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codeName="ThisWorkbook"/>
  <mc:AlternateContent xmlns:mc="http://schemas.openxmlformats.org/markup-compatibility/2006">
    <mc:Choice Requires="x15">
      <x15ac:absPath xmlns:x15ac="http://schemas.microsoft.com/office/spreadsheetml/2010/11/ac" url="\\Aa.ad.epa.gov\ord\ATH\Users\A-M\glaniak\Net MyDocuments\MyFiles\EPA R&amp;D\ORD Research Planning etc\SHCRP\ORD Interoperability Task\TEDTool\"/>
    </mc:Choice>
  </mc:AlternateContent>
  <bookViews>
    <workbookView xWindow="0" yWindow="0" windowWidth="11496" windowHeight="7080" tabRatio="795" firstSheet="5" activeTab="5"/>
  </bookViews>
  <sheets>
    <sheet name="READ ME" sheetId="30" r:id="rId1"/>
    <sheet name="inputs" sheetId="29" r:id="rId2"/>
    <sheet name="Plants" sheetId="4" r:id="rId3"/>
    <sheet name="Aquatic dependent sp thresholds" sheetId="26" r:id="rId4"/>
    <sheet name="aquatic organism tissue concs" sheetId="11" r:id="rId5"/>
    <sheet name="Min rate concentrations" sheetId="2" r:id="rId6"/>
    <sheet name="Max rate concentrations" sheetId="15" r:id="rId7"/>
    <sheet name="Min rate - dietary conc results" sheetId="9" r:id="rId8"/>
    <sheet name="Max rate - dietary conc results" sheetId="16" r:id="rId9"/>
    <sheet name="Min rate doses" sheetId="5" r:id="rId10"/>
    <sheet name="Sheet1" sheetId="31" r:id="rId11"/>
    <sheet name="Max rate doses" sheetId="18" r:id="rId12"/>
    <sheet name="Sheet2" sheetId="32" r:id="rId13"/>
  </sheets>
  <externalReferences>
    <externalReference r:id="rId14"/>
    <externalReference r:id="rId15"/>
    <externalReference r:id="rId16"/>
  </externalReferences>
  <definedNames>
    <definedName name="_xlnm._FilterDatabase" localSheetId="11" hidden="1">'Max rate doses'!$A$1:$RH$817</definedName>
    <definedName name="_xlnm._FilterDatabase" localSheetId="9" hidden="1">'Min rate doses'!$A$1:$RH$854</definedName>
    <definedName name="Application_methods" localSheetId="0">[1]inputs!$G$4:$G$6</definedName>
    <definedName name="Application_methods">inputs!$G$4:$G$6</definedName>
    <definedName name="Application_methods2">[2]inputs!$G$4:$G$6</definedName>
    <definedName name="Aqua_Species_ID">'[2]AQUA WoE Matrix'!$DY$111:$DY$1688</definedName>
    <definedName name="SpeciesIDs" localSheetId="0">#REF!</definedName>
    <definedName name="SpeciesIDs">#REF!</definedName>
    <definedName name="SpeciesNumber">'[3]Species WoE Matrix'!$DD$9:$DD$830</definedName>
    <definedName name="TAXA" localSheetId="0">#REF!</definedName>
    <definedName name="TAXA">#REF!</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398" i="32" l="1"/>
  <c r="T397" i="32"/>
  <c r="V396" i="32"/>
  <c r="W720" i="32"/>
  <c r="V720" i="32"/>
  <c r="W719" i="32"/>
  <c r="V719" i="32"/>
  <c r="W718" i="32"/>
  <c r="V718" i="32"/>
  <c r="W717" i="32"/>
  <c r="V717" i="32"/>
  <c r="W716" i="32"/>
  <c r="V716" i="32"/>
  <c r="W715" i="32"/>
  <c r="V715" i="32"/>
  <c r="W714" i="32"/>
  <c r="V714" i="32"/>
  <c r="W713" i="32"/>
  <c r="V713" i="32"/>
  <c r="W712" i="32"/>
  <c r="V712" i="32"/>
  <c r="W711" i="32"/>
  <c r="V711" i="32"/>
  <c r="W710" i="32"/>
  <c r="V710" i="32"/>
  <c r="W709" i="32"/>
  <c r="V709" i="32"/>
  <c r="W708" i="32"/>
  <c r="V708" i="32"/>
  <c r="W707" i="32"/>
  <c r="V707" i="32"/>
  <c r="W706" i="32"/>
  <c r="AA706" i="32" s="1"/>
  <c r="V706" i="32"/>
  <c r="W705" i="32"/>
  <c r="V705" i="32"/>
  <c r="W704" i="32"/>
  <c r="V704" i="32"/>
  <c r="W703" i="32"/>
  <c r="V703" i="32"/>
  <c r="W702" i="32"/>
  <c r="V702" i="32"/>
  <c r="W701" i="32"/>
  <c r="V701" i="32"/>
  <c r="Z701" i="32" s="1"/>
  <c r="W700" i="32"/>
  <c r="V700" i="32"/>
  <c r="W699" i="32"/>
  <c r="V699" i="32"/>
  <c r="W698" i="32"/>
  <c r="V698" i="32"/>
  <c r="Z698" i="32" s="1"/>
  <c r="W697" i="32"/>
  <c r="V697" i="32"/>
  <c r="W696" i="32"/>
  <c r="V696" i="32"/>
  <c r="W695" i="32"/>
  <c r="V695" i="32"/>
  <c r="W694" i="32"/>
  <c r="V694" i="32"/>
  <c r="W693" i="32"/>
  <c r="AA693" i="32" s="1"/>
  <c r="V693" i="32"/>
  <c r="Z693" i="32" s="1"/>
  <c r="W692" i="32"/>
  <c r="AA692" i="32" s="1"/>
  <c r="V692" i="32"/>
  <c r="W691" i="32"/>
  <c r="V691" i="32"/>
  <c r="W690" i="32"/>
  <c r="V690" i="32"/>
  <c r="Z690" i="32" s="1"/>
  <c r="W689" i="32"/>
  <c r="V689" i="32"/>
  <c r="Z689" i="32" s="1"/>
  <c r="W688" i="32"/>
  <c r="V688" i="32"/>
  <c r="W687" i="32"/>
  <c r="V687" i="32"/>
  <c r="W686" i="32"/>
  <c r="V686" i="32"/>
  <c r="W685" i="32"/>
  <c r="V685" i="32"/>
  <c r="W684" i="32"/>
  <c r="V684" i="32"/>
  <c r="W683" i="32"/>
  <c r="V683" i="32"/>
  <c r="W682" i="32"/>
  <c r="V682" i="32"/>
  <c r="W681" i="32"/>
  <c r="V681" i="32"/>
  <c r="Z681" i="32" s="1"/>
  <c r="W680" i="32"/>
  <c r="V680" i="32"/>
  <c r="W679" i="32"/>
  <c r="V679" i="32"/>
  <c r="W678" i="32"/>
  <c r="V678" i="32"/>
  <c r="W677" i="32"/>
  <c r="V677" i="32"/>
  <c r="W676" i="32"/>
  <c r="V676" i="32"/>
  <c r="W675" i="32"/>
  <c r="V675" i="32"/>
  <c r="W674" i="32"/>
  <c r="V674" i="32"/>
  <c r="Z674" i="32" s="1"/>
  <c r="W673" i="32"/>
  <c r="V673" i="32"/>
  <c r="W672" i="32"/>
  <c r="V672" i="32"/>
  <c r="W671" i="32"/>
  <c r="V671" i="32"/>
  <c r="W670" i="32"/>
  <c r="V670" i="32"/>
  <c r="W669" i="32"/>
  <c r="V669" i="32"/>
  <c r="Z669" i="32" s="1"/>
  <c r="W668" i="32"/>
  <c r="AA668" i="32" s="1"/>
  <c r="V668" i="32"/>
  <c r="W667" i="32"/>
  <c r="V667" i="32"/>
  <c r="W666" i="32"/>
  <c r="V666" i="32"/>
  <c r="Z666" i="32" s="1"/>
  <c r="W665" i="32"/>
  <c r="V665" i="32"/>
  <c r="W664" i="32"/>
  <c r="V664" i="32"/>
  <c r="W663" i="32"/>
  <c r="V663" i="32"/>
  <c r="W662" i="32"/>
  <c r="V662" i="32"/>
  <c r="W661" i="32"/>
  <c r="AA661" i="32" s="1"/>
  <c r="V661" i="32"/>
  <c r="Z661" i="32" s="1"/>
  <c r="W660" i="32"/>
  <c r="V660" i="32"/>
  <c r="W659" i="32"/>
  <c r="V659" i="32"/>
  <c r="W658" i="32"/>
  <c r="V658" i="32"/>
  <c r="W657" i="32"/>
  <c r="V657" i="32"/>
  <c r="Z657" i="32" s="1"/>
  <c r="W656" i="32"/>
  <c r="V656" i="32"/>
  <c r="W655" i="32"/>
  <c r="V655" i="32"/>
  <c r="W654" i="32"/>
  <c r="V654" i="32"/>
  <c r="W653" i="32"/>
  <c r="V653" i="32"/>
  <c r="W652" i="32"/>
  <c r="V652" i="32"/>
  <c r="W651" i="32"/>
  <c r="V651" i="32"/>
  <c r="W650" i="32"/>
  <c r="V650" i="32"/>
  <c r="Z650" i="32" s="1"/>
  <c r="W649" i="32"/>
  <c r="V649" i="32"/>
  <c r="T649" i="32" s="1"/>
  <c r="W648" i="32"/>
  <c r="V648" i="32"/>
  <c r="W647" i="32"/>
  <c r="V647" i="32"/>
  <c r="W646" i="32"/>
  <c r="V646" i="32"/>
  <c r="W645" i="32"/>
  <c r="AA645" i="32" s="1"/>
  <c r="V645" i="32"/>
  <c r="Z645" i="32" s="1"/>
  <c r="W644" i="32"/>
  <c r="AA644" i="32" s="1"/>
  <c r="V644" i="32"/>
  <c r="W643" i="32"/>
  <c r="V643" i="32"/>
  <c r="W642" i="32"/>
  <c r="V642" i="32"/>
  <c r="W641" i="32"/>
  <c r="V641" i="32"/>
  <c r="Z641" i="32" s="1"/>
  <c r="W640" i="32"/>
  <c r="V640" i="32"/>
  <c r="W639" i="32"/>
  <c r="V639" i="32"/>
  <c r="W638" i="32"/>
  <c r="V638" i="32"/>
  <c r="W637" i="32"/>
  <c r="V637" i="32"/>
  <c r="Z637" i="32" s="1"/>
  <c r="W636" i="32"/>
  <c r="V636" i="32"/>
  <c r="W635" i="32"/>
  <c r="V635" i="32"/>
  <c r="W634" i="32"/>
  <c r="V634" i="32"/>
  <c r="W633" i="32"/>
  <c r="V633" i="32"/>
  <c r="W632" i="32"/>
  <c r="AA632" i="32" s="1"/>
  <c r="V632" i="32"/>
  <c r="W631" i="32"/>
  <c r="V631" i="32"/>
  <c r="W630" i="32"/>
  <c r="V630" i="32"/>
  <c r="Z630" i="32" s="1"/>
  <c r="W629" i="32"/>
  <c r="V629" i="32"/>
  <c r="W628" i="32"/>
  <c r="V628" i="32"/>
  <c r="W627" i="32"/>
  <c r="V627" i="32"/>
  <c r="T627" i="32" s="1"/>
  <c r="W626" i="32"/>
  <c r="V626" i="32"/>
  <c r="W625" i="32"/>
  <c r="AA625" i="32" s="1"/>
  <c r="V625" i="32"/>
  <c r="W624" i="32"/>
  <c r="V624" i="32"/>
  <c r="W623" i="32"/>
  <c r="V623" i="32"/>
  <c r="W622" i="32"/>
  <c r="V622" i="32"/>
  <c r="T622" i="32" s="1"/>
  <c r="W621" i="32"/>
  <c r="V621" i="32"/>
  <c r="W620" i="32"/>
  <c r="V620" i="32"/>
  <c r="W619" i="32"/>
  <c r="V619" i="32"/>
  <c r="W618" i="32"/>
  <c r="V618" i="32"/>
  <c r="W617" i="32"/>
  <c r="AA617" i="32" s="1"/>
  <c r="V617" i="32"/>
  <c r="W616" i="32"/>
  <c r="V616" i="32"/>
  <c r="W615" i="32"/>
  <c r="V615" i="32"/>
  <c r="W614" i="32"/>
  <c r="V614" i="32"/>
  <c r="W613" i="32"/>
  <c r="V613" i="32"/>
  <c r="W612" i="32"/>
  <c r="V612" i="32"/>
  <c r="W611" i="32"/>
  <c r="V611" i="32"/>
  <c r="W610" i="32"/>
  <c r="V610" i="32"/>
  <c r="W609" i="32"/>
  <c r="V609" i="32"/>
  <c r="W608" i="32"/>
  <c r="V608" i="32"/>
  <c r="W607" i="32"/>
  <c r="V607" i="32"/>
  <c r="W606" i="32"/>
  <c r="V606" i="32"/>
  <c r="W605" i="32"/>
  <c r="AA605" i="32" s="1"/>
  <c r="V605" i="32"/>
  <c r="W604" i="32"/>
  <c r="V604" i="32"/>
  <c r="W603" i="32"/>
  <c r="V603" i="32"/>
  <c r="W602" i="32"/>
  <c r="V602" i="32"/>
  <c r="W601" i="32"/>
  <c r="V601" i="32"/>
  <c r="W600" i="32"/>
  <c r="V600" i="32"/>
  <c r="W599" i="32"/>
  <c r="V599" i="32"/>
  <c r="W598" i="32"/>
  <c r="V598" i="32"/>
  <c r="Z598" i="32" s="1"/>
  <c r="W597" i="32"/>
  <c r="V597" i="32"/>
  <c r="W596" i="32"/>
  <c r="V596" i="32"/>
  <c r="W595" i="32"/>
  <c r="V595" i="32"/>
  <c r="W594" i="32"/>
  <c r="AA594" i="32" s="1"/>
  <c r="V594" i="32"/>
  <c r="W593" i="32"/>
  <c r="V593" i="32"/>
  <c r="W592" i="32"/>
  <c r="V592" i="32"/>
  <c r="W591" i="32"/>
  <c r="V591" i="32"/>
  <c r="W590" i="32"/>
  <c r="V590" i="32"/>
  <c r="W589" i="32"/>
  <c r="V589" i="32"/>
  <c r="W588" i="32"/>
  <c r="V588" i="32"/>
  <c r="W587" i="32"/>
  <c r="V587" i="32"/>
  <c r="W586" i="32"/>
  <c r="V586" i="32"/>
  <c r="W585" i="32"/>
  <c r="V585" i="32"/>
  <c r="W584" i="32"/>
  <c r="V584" i="32"/>
  <c r="W583" i="32"/>
  <c r="V583" i="32"/>
  <c r="W582" i="32"/>
  <c r="V582" i="32"/>
  <c r="W581" i="32"/>
  <c r="AA581" i="32" s="1"/>
  <c r="V581" i="32"/>
  <c r="Z581" i="32" s="1"/>
  <c r="W580" i="32"/>
  <c r="V580" i="32"/>
  <c r="W579" i="32"/>
  <c r="V579" i="32"/>
  <c r="W578" i="32"/>
  <c r="V578" i="32"/>
  <c r="W577" i="32"/>
  <c r="V577" i="32"/>
  <c r="W576" i="32"/>
  <c r="V576" i="32"/>
  <c r="W575" i="32"/>
  <c r="V575" i="32"/>
  <c r="W574" i="32"/>
  <c r="V574" i="32"/>
  <c r="W573" i="32"/>
  <c r="V573" i="32"/>
  <c r="W572" i="32"/>
  <c r="V572" i="32"/>
  <c r="W571" i="32"/>
  <c r="V571" i="32"/>
  <c r="W570" i="32"/>
  <c r="V570" i="32"/>
  <c r="Z570" i="32" s="1"/>
  <c r="W569" i="32"/>
  <c r="V569" i="32"/>
  <c r="W568" i="32"/>
  <c r="V568" i="32"/>
  <c r="W567" i="32"/>
  <c r="V567" i="32"/>
  <c r="W566" i="32"/>
  <c r="V566" i="32"/>
  <c r="W565" i="32"/>
  <c r="V565" i="32"/>
  <c r="W564" i="32"/>
  <c r="V564" i="32"/>
  <c r="W563" i="32"/>
  <c r="V563" i="32"/>
  <c r="W562" i="32"/>
  <c r="V562" i="32"/>
  <c r="W561" i="32"/>
  <c r="AA561" i="32" s="1"/>
  <c r="V561" i="32"/>
  <c r="W560" i="32"/>
  <c r="V560" i="32"/>
  <c r="W559" i="32"/>
  <c r="V559" i="32"/>
  <c r="W558" i="32"/>
  <c r="V558" i="32"/>
  <c r="W557" i="32"/>
  <c r="V557" i="32"/>
  <c r="W556" i="32"/>
  <c r="V556" i="32"/>
  <c r="W555" i="32"/>
  <c r="V555" i="32"/>
  <c r="W554" i="32"/>
  <c r="V554" i="32"/>
  <c r="W553" i="32"/>
  <c r="V553" i="32"/>
  <c r="W552" i="32"/>
  <c r="V552" i="32"/>
  <c r="W551" i="32"/>
  <c r="V551" i="32"/>
  <c r="W550" i="32"/>
  <c r="V550" i="32"/>
  <c r="W549" i="32"/>
  <c r="V549" i="32"/>
  <c r="W548" i="32"/>
  <c r="V548" i="32"/>
  <c r="W547" i="32"/>
  <c r="V547" i="32"/>
  <c r="W546" i="32"/>
  <c r="V546" i="32"/>
  <c r="W545" i="32"/>
  <c r="V545" i="32"/>
  <c r="W544" i="32"/>
  <c r="V544" i="32"/>
  <c r="W543" i="32"/>
  <c r="V543" i="32"/>
  <c r="W542" i="32"/>
  <c r="V542" i="32"/>
  <c r="W541" i="32"/>
  <c r="V541" i="32"/>
  <c r="W540" i="32"/>
  <c r="AA540" i="32" s="1"/>
  <c r="V540" i="32"/>
  <c r="W539" i="32"/>
  <c r="V539" i="32"/>
  <c r="W538" i="32"/>
  <c r="V538" i="32"/>
  <c r="W537" i="32"/>
  <c r="V537" i="32"/>
  <c r="W536" i="32"/>
  <c r="V536" i="32"/>
  <c r="W535" i="32"/>
  <c r="V535" i="32"/>
  <c r="W534" i="32"/>
  <c r="V534" i="32"/>
  <c r="W533" i="32"/>
  <c r="AA533" i="32" s="1"/>
  <c r="V533" i="32"/>
  <c r="W532" i="32"/>
  <c r="V532" i="32"/>
  <c r="W531" i="32"/>
  <c r="V531" i="32"/>
  <c r="W530" i="32"/>
  <c r="AA530" i="32" s="1"/>
  <c r="V530" i="32"/>
  <c r="W529" i="32"/>
  <c r="V529" i="32"/>
  <c r="W528" i="32"/>
  <c r="V528" i="32"/>
  <c r="W527" i="32"/>
  <c r="V527" i="32"/>
  <c r="W526" i="32"/>
  <c r="V526" i="32"/>
  <c r="W525" i="32"/>
  <c r="V525" i="32"/>
  <c r="W524" i="32"/>
  <c r="V524" i="32"/>
  <c r="W523" i="32"/>
  <c r="V523" i="32"/>
  <c r="W522" i="32"/>
  <c r="V522" i="32"/>
  <c r="W521" i="32"/>
  <c r="V521" i="32"/>
  <c r="W520" i="32"/>
  <c r="V520" i="32"/>
  <c r="W519" i="32"/>
  <c r="V519" i="32"/>
  <c r="W518" i="32"/>
  <c r="V518" i="32"/>
  <c r="W517" i="32"/>
  <c r="V517" i="32"/>
  <c r="W516" i="32"/>
  <c r="V516" i="32"/>
  <c r="W515" i="32"/>
  <c r="V515" i="32"/>
  <c r="W514" i="32"/>
  <c r="V514" i="32"/>
  <c r="W513" i="32"/>
  <c r="V513" i="32"/>
  <c r="W512" i="32"/>
  <c r="V512" i="32"/>
  <c r="W511" i="32"/>
  <c r="V511" i="32"/>
  <c r="W510" i="32"/>
  <c r="V510" i="32"/>
  <c r="W509" i="32"/>
  <c r="V509" i="32"/>
  <c r="W508" i="32"/>
  <c r="V508" i="32"/>
  <c r="W507" i="32"/>
  <c r="V507" i="32"/>
  <c r="W506" i="32"/>
  <c r="V506" i="32"/>
  <c r="W505" i="32"/>
  <c r="V505" i="32"/>
  <c r="Z505" i="32" s="1"/>
  <c r="W504" i="32"/>
  <c r="V504" i="32"/>
  <c r="W503" i="32"/>
  <c r="V503" i="32"/>
  <c r="W502" i="32"/>
  <c r="V502" i="32"/>
  <c r="W501" i="32"/>
  <c r="V501" i="32"/>
  <c r="W500" i="32"/>
  <c r="V500" i="32"/>
  <c r="W499" i="32"/>
  <c r="V499" i="32"/>
  <c r="W498" i="32"/>
  <c r="AA498" i="32" s="1"/>
  <c r="V498" i="32"/>
  <c r="W497" i="32"/>
  <c r="V497" i="32"/>
  <c r="W496" i="32"/>
  <c r="V496" i="32"/>
  <c r="W495" i="32"/>
  <c r="V495" i="32"/>
  <c r="W494" i="32"/>
  <c r="V494" i="32"/>
  <c r="W493" i="32"/>
  <c r="V493" i="32"/>
  <c r="Z493" i="32" s="1"/>
  <c r="W492" i="32"/>
  <c r="V492" i="32"/>
  <c r="W491" i="32"/>
  <c r="V491" i="32"/>
  <c r="W490" i="32"/>
  <c r="V490" i="32"/>
  <c r="W489" i="32"/>
  <c r="V489" i="32"/>
  <c r="W488" i="32"/>
  <c r="V488" i="32"/>
  <c r="W487" i="32"/>
  <c r="V487" i="32"/>
  <c r="W486" i="32"/>
  <c r="V486" i="32"/>
  <c r="W485" i="32"/>
  <c r="V485" i="32"/>
  <c r="W484" i="32"/>
  <c r="V484" i="32"/>
  <c r="W483" i="32"/>
  <c r="V483" i="32"/>
  <c r="W482" i="32"/>
  <c r="V482" i="32"/>
  <c r="Z482" i="32" s="1"/>
  <c r="W481" i="32"/>
  <c r="V481" i="32"/>
  <c r="W480" i="32"/>
  <c r="V480" i="32"/>
  <c r="W479" i="32"/>
  <c r="V479" i="32"/>
  <c r="W478" i="32"/>
  <c r="V478" i="32"/>
  <c r="W477" i="32"/>
  <c r="V477" i="32"/>
  <c r="W476" i="32"/>
  <c r="V476" i="32"/>
  <c r="W475" i="32"/>
  <c r="V475" i="32"/>
  <c r="W474" i="32"/>
  <c r="V474" i="32"/>
  <c r="W473" i="32"/>
  <c r="V473" i="32"/>
  <c r="W472" i="32"/>
  <c r="AA472" i="32" s="1"/>
  <c r="V472" i="32"/>
  <c r="W471" i="32"/>
  <c r="V471" i="32"/>
  <c r="W470" i="32"/>
  <c r="V470" i="32"/>
  <c r="W469" i="32"/>
  <c r="AA469" i="32" s="1"/>
  <c r="V469" i="32"/>
  <c r="T469" i="32" s="1"/>
  <c r="W468" i="32"/>
  <c r="V468" i="32"/>
  <c r="W467" i="32"/>
  <c r="V467" i="32"/>
  <c r="W466" i="32"/>
  <c r="V466" i="32"/>
  <c r="W465" i="32"/>
  <c r="V465" i="32"/>
  <c r="W464" i="32"/>
  <c r="V464" i="32"/>
  <c r="W463" i="32"/>
  <c r="V463" i="32"/>
  <c r="W462" i="32"/>
  <c r="V462" i="32"/>
  <c r="W461" i="32"/>
  <c r="V461" i="32"/>
  <c r="W460" i="32"/>
  <c r="V460" i="32"/>
  <c r="W459" i="32"/>
  <c r="V459" i="32"/>
  <c r="W458" i="32"/>
  <c r="V458" i="32"/>
  <c r="Z458" i="32" s="1"/>
  <c r="W457" i="32"/>
  <c r="V457" i="32"/>
  <c r="W456" i="32"/>
  <c r="V456" i="32"/>
  <c r="W455" i="32"/>
  <c r="V455" i="32"/>
  <c r="W454" i="32"/>
  <c r="V454" i="32"/>
  <c r="W453" i="32"/>
  <c r="AA453" i="32" s="1"/>
  <c r="V453" i="32"/>
  <c r="W452" i="32"/>
  <c r="V452" i="32"/>
  <c r="W451" i="32"/>
  <c r="V451" i="32"/>
  <c r="W450" i="32"/>
  <c r="V450" i="32"/>
  <c r="W449" i="32"/>
  <c r="V449" i="32"/>
  <c r="W448" i="32"/>
  <c r="V448" i="32"/>
  <c r="W447" i="32"/>
  <c r="V447" i="32"/>
  <c r="W446" i="32"/>
  <c r="V446" i="32"/>
  <c r="W445" i="32"/>
  <c r="V445" i="32"/>
  <c r="W444" i="32"/>
  <c r="V444" i="32"/>
  <c r="W443" i="32"/>
  <c r="V443" i="32"/>
  <c r="W442" i="32"/>
  <c r="V442" i="32"/>
  <c r="W441" i="32"/>
  <c r="V441" i="32"/>
  <c r="W440" i="32"/>
  <c r="V440" i="32"/>
  <c r="W439" i="32"/>
  <c r="V439" i="32"/>
  <c r="W438" i="32"/>
  <c r="V438" i="32"/>
  <c r="W437" i="32"/>
  <c r="V437" i="32"/>
  <c r="W436" i="32"/>
  <c r="V436" i="32"/>
  <c r="W435" i="32"/>
  <c r="V435" i="32"/>
  <c r="W434" i="32"/>
  <c r="V434" i="32"/>
  <c r="W433" i="32"/>
  <c r="V433" i="32"/>
  <c r="W432" i="32"/>
  <c r="V432" i="32"/>
  <c r="W431" i="32"/>
  <c r="V431" i="32"/>
  <c r="W430" i="32"/>
  <c r="V430" i="32"/>
  <c r="Z430" i="32" s="1"/>
  <c r="W429" i="32"/>
  <c r="V429" i="32"/>
  <c r="T429" i="32" s="1"/>
  <c r="W428" i="32"/>
  <c r="V428" i="32"/>
  <c r="W427" i="32"/>
  <c r="V427" i="32"/>
  <c r="W426" i="32"/>
  <c r="V426" i="32"/>
  <c r="W425" i="32"/>
  <c r="V425" i="32"/>
  <c r="W424" i="32"/>
  <c r="V424" i="32"/>
  <c r="W423" i="32"/>
  <c r="V423" i="32"/>
  <c r="W422" i="32"/>
  <c r="V422" i="32"/>
  <c r="W421" i="32"/>
  <c r="V421" i="32"/>
  <c r="W420" i="32"/>
  <c r="V420" i="32"/>
  <c r="W419" i="32"/>
  <c r="V419" i="32"/>
  <c r="W418" i="32"/>
  <c r="V418" i="32"/>
  <c r="W417" i="32"/>
  <c r="V417" i="32"/>
  <c r="W416" i="32"/>
  <c r="V416" i="32"/>
  <c r="W415" i="32"/>
  <c r="V415" i="32"/>
  <c r="W414" i="32"/>
  <c r="V414" i="32"/>
  <c r="W413" i="32"/>
  <c r="V413" i="32"/>
  <c r="W412" i="32"/>
  <c r="V412" i="32"/>
  <c r="W411" i="32"/>
  <c r="V411" i="32"/>
  <c r="W410" i="32"/>
  <c r="V410" i="32"/>
  <c r="W409" i="32"/>
  <c r="V409" i="32"/>
  <c r="W408" i="32"/>
  <c r="V408" i="32"/>
  <c r="W407" i="32"/>
  <c r="V407" i="32"/>
  <c r="W406" i="32"/>
  <c r="V406" i="32"/>
  <c r="W405" i="32"/>
  <c r="V405" i="32"/>
  <c r="W404" i="32"/>
  <c r="V404" i="32"/>
  <c r="W403" i="32"/>
  <c r="V403" i="32"/>
  <c r="W402" i="32"/>
  <c r="V402" i="32"/>
  <c r="W401" i="32"/>
  <c r="V401" i="32"/>
  <c r="W400" i="32"/>
  <c r="V400" i="32"/>
  <c r="W399" i="32"/>
  <c r="V399" i="32"/>
  <c r="W398" i="32"/>
  <c r="W397" i="32"/>
  <c r="V397" i="32"/>
  <c r="W396" i="32"/>
  <c r="X820" i="32"/>
  <c r="W820" i="32"/>
  <c r="V820" i="32"/>
  <c r="U820" i="32"/>
  <c r="S820" i="32"/>
  <c r="R820" i="32"/>
  <c r="Q820" i="32"/>
  <c r="N820" i="32"/>
  <c r="M820" i="32"/>
  <c r="L820" i="32"/>
  <c r="K820" i="32"/>
  <c r="J820" i="32"/>
  <c r="I820" i="32"/>
  <c r="X819" i="32"/>
  <c r="W819" i="32"/>
  <c r="V819" i="32"/>
  <c r="S819" i="32"/>
  <c r="R819" i="32"/>
  <c r="Q819" i="32"/>
  <c r="N819" i="32"/>
  <c r="M819" i="32"/>
  <c r="J819" i="32"/>
  <c r="L819" i="32" s="1"/>
  <c r="I819" i="32"/>
  <c r="K819" i="32" s="1"/>
  <c r="X818" i="32"/>
  <c r="W818" i="32"/>
  <c r="V818" i="32"/>
  <c r="U818" i="32"/>
  <c r="S818" i="32"/>
  <c r="R818" i="32"/>
  <c r="Q818" i="32"/>
  <c r="N818" i="32"/>
  <c r="M818" i="32"/>
  <c r="L818" i="32"/>
  <c r="K818" i="32"/>
  <c r="J818" i="32"/>
  <c r="I818" i="32"/>
  <c r="X817" i="32"/>
  <c r="W817" i="32"/>
  <c r="V817" i="32"/>
  <c r="S817" i="32"/>
  <c r="R817" i="32"/>
  <c r="Q817" i="32"/>
  <c r="N817" i="32"/>
  <c r="M817" i="32"/>
  <c r="J817" i="32"/>
  <c r="L817" i="32" s="1"/>
  <c r="I817" i="32"/>
  <c r="K817" i="32" s="1"/>
  <c r="X816" i="32"/>
  <c r="W816" i="32"/>
  <c r="V816" i="32"/>
  <c r="S816" i="32"/>
  <c r="R816" i="32"/>
  <c r="Q816" i="32"/>
  <c r="N816" i="32"/>
  <c r="M816" i="32"/>
  <c r="L816" i="32"/>
  <c r="K816" i="32"/>
  <c r="U816" i="32" s="1"/>
  <c r="J816" i="32"/>
  <c r="I816" i="32"/>
  <c r="X815" i="32"/>
  <c r="W815" i="32"/>
  <c r="V815" i="32"/>
  <c r="S815" i="32"/>
  <c r="R815" i="32"/>
  <c r="Q815" i="32"/>
  <c r="N815" i="32"/>
  <c r="M815" i="32"/>
  <c r="J815" i="32"/>
  <c r="L815" i="32" s="1"/>
  <c r="I815" i="32"/>
  <c r="K815" i="32" s="1"/>
  <c r="X814" i="32"/>
  <c r="W814" i="32"/>
  <c r="V814" i="32"/>
  <c r="S814" i="32"/>
  <c r="R814" i="32"/>
  <c r="Q814" i="32"/>
  <c r="N814" i="32"/>
  <c r="M814" i="32"/>
  <c r="L814" i="32"/>
  <c r="K814" i="32"/>
  <c r="U814" i="32" s="1"/>
  <c r="J814" i="32"/>
  <c r="I814" i="32"/>
  <c r="X813" i="32"/>
  <c r="W813" i="32"/>
  <c r="AA813" i="32" s="1"/>
  <c r="V813" i="32"/>
  <c r="S813" i="32"/>
  <c r="R813" i="32"/>
  <c r="Q813" i="32"/>
  <c r="N813" i="32"/>
  <c r="M813" i="32"/>
  <c r="I813" i="32"/>
  <c r="K813" i="32" s="1"/>
  <c r="X812" i="32"/>
  <c r="W812" i="32"/>
  <c r="V812" i="32"/>
  <c r="S812" i="32"/>
  <c r="R812" i="32"/>
  <c r="Q812" i="32"/>
  <c r="N812" i="32"/>
  <c r="M812" i="32"/>
  <c r="K812" i="32"/>
  <c r="J812" i="32"/>
  <c r="L812" i="32" s="1"/>
  <c r="AA812" i="32" s="1"/>
  <c r="I812" i="32"/>
  <c r="X811" i="32"/>
  <c r="W811" i="32"/>
  <c r="V811" i="32"/>
  <c r="T811" i="32"/>
  <c r="S811" i="32"/>
  <c r="R811" i="32"/>
  <c r="Q811" i="32"/>
  <c r="Z811" i="32" s="1"/>
  <c r="N811" i="32"/>
  <c r="M811" i="32"/>
  <c r="J811" i="32"/>
  <c r="L811" i="32" s="1"/>
  <c r="I811" i="32"/>
  <c r="K811" i="32" s="1"/>
  <c r="X810" i="32"/>
  <c r="W810" i="32"/>
  <c r="V810" i="32"/>
  <c r="S810" i="32"/>
  <c r="T810" i="32" s="1"/>
  <c r="R810" i="32"/>
  <c r="Q810" i="32"/>
  <c r="N810" i="32"/>
  <c r="M810" i="32"/>
  <c r="J810" i="32"/>
  <c r="L810" i="32" s="1"/>
  <c r="I810" i="32"/>
  <c r="K810" i="32" s="1"/>
  <c r="X809" i="32"/>
  <c r="W809" i="32"/>
  <c r="V809" i="32"/>
  <c r="S809" i="32"/>
  <c r="R809" i="32"/>
  <c r="Q809" i="32"/>
  <c r="N809" i="32"/>
  <c r="M809" i="32"/>
  <c r="K809" i="32"/>
  <c r="J809" i="32"/>
  <c r="L809" i="32" s="1"/>
  <c r="I809" i="32"/>
  <c r="Z808" i="32"/>
  <c r="X808" i="32"/>
  <c r="W808" i="32"/>
  <c r="V808" i="32"/>
  <c r="U808" i="32"/>
  <c r="S808" i="32"/>
  <c r="R808" i="32"/>
  <c r="Q808" i="32"/>
  <c r="N808" i="32"/>
  <c r="M808" i="32"/>
  <c r="K808" i="32"/>
  <c r="J808" i="32"/>
  <c r="L808" i="32" s="1"/>
  <c r="AA808" i="32" s="1"/>
  <c r="I808" i="32"/>
  <c r="X807" i="32"/>
  <c r="W807" i="32"/>
  <c r="V807" i="32"/>
  <c r="S807" i="32"/>
  <c r="R807" i="32"/>
  <c r="Q807" i="32"/>
  <c r="N807" i="32"/>
  <c r="M807" i="32"/>
  <c r="J807" i="32"/>
  <c r="L807" i="32" s="1"/>
  <c r="I807" i="32"/>
  <c r="K807" i="32" s="1"/>
  <c r="X806" i="32"/>
  <c r="W806" i="32"/>
  <c r="V806" i="32"/>
  <c r="T806" i="32"/>
  <c r="S806" i="32"/>
  <c r="R806" i="32"/>
  <c r="Q806" i="32"/>
  <c r="N806" i="32"/>
  <c r="M806" i="32"/>
  <c r="J806" i="32"/>
  <c r="L806" i="32" s="1"/>
  <c r="I806" i="32"/>
  <c r="K806" i="32" s="1"/>
  <c r="AA805" i="32"/>
  <c r="X805" i="32"/>
  <c r="W805" i="32"/>
  <c r="V805" i="32"/>
  <c r="S805" i="32"/>
  <c r="R805" i="32"/>
  <c r="Q805" i="32"/>
  <c r="N805" i="32"/>
  <c r="M805" i="32"/>
  <c r="K805" i="32"/>
  <c r="J805" i="32"/>
  <c r="L805" i="32" s="1"/>
  <c r="I805" i="32"/>
  <c r="AA804" i="32"/>
  <c r="X804" i="32"/>
  <c r="W804" i="32"/>
  <c r="V804" i="32"/>
  <c r="S804" i="32"/>
  <c r="R804" i="32"/>
  <c r="Q804" i="32"/>
  <c r="N804" i="32"/>
  <c r="M804" i="32"/>
  <c r="K804" i="32"/>
  <c r="J804" i="32"/>
  <c r="L804" i="32" s="1"/>
  <c r="I804" i="32"/>
  <c r="X803" i="32"/>
  <c r="W803" i="32"/>
  <c r="V803" i="32"/>
  <c r="T803" i="32"/>
  <c r="S803" i="32"/>
  <c r="R803" i="32"/>
  <c r="Q803" i="32"/>
  <c r="N803" i="32"/>
  <c r="M803" i="32"/>
  <c r="J803" i="32"/>
  <c r="L803" i="32" s="1"/>
  <c r="I803" i="32"/>
  <c r="K803" i="32" s="1"/>
  <c r="AA803" i="32" s="1"/>
  <c r="X802" i="32"/>
  <c r="W802" i="32"/>
  <c r="V802" i="32"/>
  <c r="S802" i="32"/>
  <c r="R802" i="32"/>
  <c r="Q802" i="32"/>
  <c r="N802" i="32"/>
  <c r="M802" i="32"/>
  <c r="J802" i="32"/>
  <c r="L802" i="32" s="1"/>
  <c r="I802" i="32"/>
  <c r="K802" i="32" s="1"/>
  <c r="T802" i="32" s="1"/>
  <c r="X801" i="32"/>
  <c r="W801" i="32"/>
  <c r="V801" i="32"/>
  <c r="S801" i="32"/>
  <c r="R801" i="32"/>
  <c r="Q801" i="32"/>
  <c r="N801" i="32"/>
  <c r="M801" i="32"/>
  <c r="K801" i="32"/>
  <c r="J801" i="32"/>
  <c r="L801" i="32" s="1"/>
  <c r="I801" i="32"/>
  <c r="Z800" i="32"/>
  <c r="X800" i="32"/>
  <c r="W800" i="32"/>
  <c r="V800" i="32"/>
  <c r="U800" i="32"/>
  <c r="S800" i="32"/>
  <c r="R800" i="32"/>
  <c r="Q800" i="32"/>
  <c r="N800" i="32"/>
  <c r="M800" i="32"/>
  <c r="K800" i="32"/>
  <c r="T800" i="32" s="1"/>
  <c r="J800" i="32"/>
  <c r="L800" i="32" s="1"/>
  <c r="I800" i="32"/>
  <c r="X799" i="32"/>
  <c r="W799" i="32"/>
  <c r="V799" i="32"/>
  <c r="S799" i="32"/>
  <c r="R799" i="32"/>
  <c r="Q799" i="32"/>
  <c r="N799" i="32"/>
  <c r="M799" i="32"/>
  <c r="J799" i="32"/>
  <c r="L799" i="32" s="1"/>
  <c r="I799" i="32"/>
  <c r="K799" i="32" s="1"/>
  <c r="X798" i="32"/>
  <c r="W798" i="32"/>
  <c r="V798" i="32"/>
  <c r="S798" i="32"/>
  <c r="R798" i="32"/>
  <c r="Q798" i="32"/>
  <c r="N798" i="32"/>
  <c r="M798" i="32"/>
  <c r="J798" i="32"/>
  <c r="L798" i="32" s="1"/>
  <c r="I798" i="32"/>
  <c r="K798" i="32" s="1"/>
  <c r="T798" i="32" s="1"/>
  <c r="X797" i="32"/>
  <c r="W797" i="32"/>
  <c r="V797" i="32"/>
  <c r="S797" i="32"/>
  <c r="AA797" i="32" s="1"/>
  <c r="R797" i="32"/>
  <c r="Q797" i="32"/>
  <c r="N797" i="32"/>
  <c r="M797" i="32"/>
  <c r="I797" i="32"/>
  <c r="K797" i="32" s="1"/>
  <c r="X796" i="32"/>
  <c r="W796" i="32"/>
  <c r="V796" i="32"/>
  <c r="S796" i="32"/>
  <c r="R796" i="32"/>
  <c r="Q796" i="32"/>
  <c r="N796" i="32"/>
  <c r="M796" i="32"/>
  <c r="L796" i="32"/>
  <c r="J796" i="32"/>
  <c r="I796" i="32"/>
  <c r="K796" i="32" s="1"/>
  <c r="Z796" i="32" s="1"/>
  <c r="X795" i="32"/>
  <c r="W795" i="32"/>
  <c r="V795" i="32"/>
  <c r="S795" i="32"/>
  <c r="R795" i="32"/>
  <c r="Q795" i="32"/>
  <c r="N795" i="32"/>
  <c r="M795" i="32"/>
  <c r="AA795" i="32" s="1"/>
  <c r="L795" i="32"/>
  <c r="J795" i="32"/>
  <c r="I795" i="32"/>
  <c r="K795" i="32" s="1"/>
  <c r="X794" i="32"/>
  <c r="W794" i="32"/>
  <c r="V794" i="32"/>
  <c r="S794" i="32"/>
  <c r="R794" i="32"/>
  <c r="Q794" i="32"/>
  <c r="N794" i="32"/>
  <c r="M794" i="32"/>
  <c r="L794" i="32"/>
  <c r="J794" i="32"/>
  <c r="I794" i="32"/>
  <c r="K794" i="32" s="1"/>
  <c r="AA794" i="32" s="1"/>
  <c r="X793" i="32"/>
  <c r="W793" i="32"/>
  <c r="AA793" i="32" s="1"/>
  <c r="V793" i="32"/>
  <c r="S793" i="32"/>
  <c r="R793" i="32"/>
  <c r="Q793" i="32"/>
  <c r="N793" i="32"/>
  <c r="M793" i="32"/>
  <c r="L793" i="32"/>
  <c r="J793" i="32"/>
  <c r="I793" i="32"/>
  <c r="K793" i="32" s="1"/>
  <c r="X792" i="32"/>
  <c r="W792" i="32"/>
  <c r="AA792" i="32" s="1"/>
  <c r="V792" i="32"/>
  <c r="S792" i="32"/>
  <c r="R792" i="32"/>
  <c r="Q792" i="32"/>
  <c r="N792" i="32"/>
  <c r="M792" i="32"/>
  <c r="L792" i="32"/>
  <c r="J792" i="32"/>
  <c r="I792" i="32"/>
  <c r="K792" i="32" s="1"/>
  <c r="X791" i="32"/>
  <c r="W791" i="32"/>
  <c r="AA791" i="32" s="1"/>
  <c r="V791" i="32"/>
  <c r="S791" i="32"/>
  <c r="R791" i="32"/>
  <c r="Q791" i="32"/>
  <c r="N791" i="32"/>
  <c r="M791" i="32"/>
  <c r="Z791" i="32" s="1"/>
  <c r="L791" i="32"/>
  <c r="J791" i="32"/>
  <c r="I791" i="32"/>
  <c r="K791" i="32" s="1"/>
  <c r="X790" i="32"/>
  <c r="W790" i="32"/>
  <c r="V790" i="32"/>
  <c r="S790" i="32"/>
  <c r="R790" i="32"/>
  <c r="Q790" i="32"/>
  <c r="N790" i="32"/>
  <c r="M790" i="32"/>
  <c r="L790" i="32"/>
  <c r="J790" i="32"/>
  <c r="I790" i="32"/>
  <c r="K790" i="32" s="1"/>
  <c r="AA790" i="32" s="1"/>
  <c r="X789" i="32"/>
  <c r="W789" i="32"/>
  <c r="V789" i="32"/>
  <c r="S789" i="32"/>
  <c r="R789" i="32"/>
  <c r="Q789" i="32"/>
  <c r="N789" i="32"/>
  <c r="M789" i="32"/>
  <c r="L789" i="32"/>
  <c r="J789" i="32"/>
  <c r="I789" i="32"/>
  <c r="K789" i="32" s="1"/>
  <c r="X788" i="32"/>
  <c r="W788" i="32"/>
  <c r="V788" i="32"/>
  <c r="S788" i="32"/>
  <c r="R788" i="32"/>
  <c r="Q788" i="32"/>
  <c r="N788" i="32"/>
  <c r="M788" i="32"/>
  <c r="L788" i="32"/>
  <c r="J788" i="32"/>
  <c r="I788" i="32"/>
  <c r="K788" i="32" s="1"/>
  <c r="Z788" i="32" s="1"/>
  <c r="X787" i="32"/>
  <c r="W787" i="32"/>
  <c r="V787" i="32"/>
  <c r="S787" i="32"/>
  <c r="R787" i="32"/>
  <c r="Q787" i="32"/>
  <c r="N787" i="32"/>
  <c r="M787" i="32"/>
  <c r="Z787" i="32" s="1"/>
  <c r="J787" i="32"/>
  <c r="L787" i="32" s="1"/>
  <c r="I787" i="32"/>
  <c r="K787" i="32" s="1"/>
  <c r="X786" i="32"/>
  <c r="W786" i="32"/>
  <c r="V786" i="32"/>
  <c r="S786" i="32"/>
  <c r="R786" i="32"/>
  <c r="Q786" i="32"/>
  <c r="N786" i="32"/>
  <c r="M786" i="32"/>
  <c r="T786" i="32" s="1"/>
  <c r="K786" i="32"/>
  <c r="I786" i="32"/>
  <c r="X785" i="32"/>
  <c r="W785" i="32"/>
  <c r="AA785" i="32" s="1"/>
  <c r="V785" i="32"/>
  <c r="S785" i="32"/>
  <c r="R785" i="32"/>
  <c r="Q785" i="32"/>
  <c r="N785" i="32"/>
  <c r="M785" i="32"/>
  <c r="L785" i="32"/>
  <c r="Z785" i="32" s="1"/>
  <c r="K785" i="32"/>
  <c r="J785" i="32"/>
  <c r="I785" i="32"/>
  <c r="Z784" i="32"/>
  <c r="X784" i="32"/>
  <c r="W784" i="32"/>
  <c r="V784" i="32"/>
  <c r="S784" i="32"/>
  <c r="R784" i="32"/>
  <c r="Q784" i="32"/>
  <c r="N784" i="32"/>
  <c r="U784" i="32" s="1"/>
  <c r="M784" i="32"/>
  <c r="L784" i="32"/>
  <c r="K784" i="32"/>
  <c r="J784" i="32"/>
  <c r="I784" i="32"/>
  <c r="X783" i="32"/>
  <c r="W783" i="32"/>
  <c r="V783" i="32"/>
  <c r="Z783" i="32" s="1"/>
  <c r="S783" i="32"/>
  <c r="R783" i="32"/>
  <c r="Q783" i="32"/>
  <c r="N783" i="32"/>
  <c r="M783" i="32"/>
  <c r="L783" i="32"/>
  <c r="K783" i="32"/>
  <c r="J783" i="32"/>
  <c r="I783" i="32"/>
  <c r="X782" i="32"/>
  <c r="W782" i="32"/>
  <c r="V782" i="32"/>
  <c r="S782" i="32"/>
  <c r="R782" i="32"/>
  <c r="Q782" i="32"/>
  <c r="N782" i="32"/>
  <c r="M782" i="32"/>
  <c r="L782" i="32"/>
  <c r="K782" i="32"/>
  <c r="U782" i="32" s="1"/>
  <c r="J782" i="32"/>
  <c r="I782" i="32"/>
  <c r="X781" i="32"/>
  <c r="W781" i="32"/>
  <c r="V781" i="32"/>
  <c r="S781" i="32"/>
  <c r="R781" i="32"/>
  <c r="Q781" i="32"/>
  <c r="N781" i="32"/>
  <c r="M781" i="32"/>
  <c r="L781" i="32"/>
  <c r="Z781" i="32" s="1"/>
  <c r="K781" i="32"/>
  <c r="J781" i="32"/>
  <c r="I781" i="32"/>
  <c r="X780" i="32"/>
  <c r="W780" i="32"/>
  <c r="V780" i="32"/>
  <c r="U780" i="32"/>
  <c r="S780" i="32"/>
  <c r="R780" i="32"/>
  <c r="Q780" i="32"/>
  <c r="N780" i="32"/>
  <c r="Z780" i="32" s="1"/>
  <c r="M780" i="32"/>
  <c r="L780" i="32"/>
  <c r="K780" i="32"/>
  <c r="J780" i="32"/>
  <c r="I780" i="32"/>
  <c r="X779" i="32"/>
  <c r="W779" i="32"/>
  <c r="V779" i="32"/>
  <c r="Z779" i="32" s="1"/>
  <c r="S779" i="32"/>
  <c r="R779" i="32"/>
  <c r="Q779" i="32"/>
  <c r="N779" i="32"/>
  <c r="M779" i="32"/>
  <c r="L779" i="32"/>
  <c r="K779" i="32"/>
  <c r="J779" i="32"/>
  <c r="I779" i="32"/>
  <c r="X778" i="32"/>
  <c r="W778" i="32"/>
  <c r="V778" i="32"/>
  <c r="S778" i="32"/>
  <c r="R778" i="32"/>
  <c r="Q778" i="32"/>
  <c r="N778" i="32"/>
  <c r="M778" i="32"/>
  <c r="L778" i="32"/>
  <c r="K778" i="32"/>
  <c r="J778" i="32"/>
  <c r="I778" i="32"/>
  <c r="X777" i="32"/>
  <c r="W777" i="32"/>
  <c r="AA777" i="32" s="1"/>
  <c r="V777" i="32"/>
  <c r="S777" i="32"/>
  <c r="R777" i="32"/>
  <c r="Q777" i="32"/>
  <c r="N777" i="32"/>
  <c r="M777" i="32"/>
  <c r="L777" i="32"/>
  <c r="Z777" i="32" s="1"/>
  <c r="K777" i="32"/>
  <c r="J777" i="32"/>
  <c r="I777" i="32"/>
  <c r="X776" i="32"/>
  <c r="W776" i="32"/>
  <c r="V776" i="32"/>
  <c r="U776" i="32"/>
  <c r="S776" i="32"/>
  <c r="R776" i="32"/>
  <c r="Q776" i="32"/>
  <c r="N776" i="32"/>
  <c r="Z776" i="32" s="1"/>
  <c r="M776" i="32"/>
  <c r="L776" i="32"/>
  <c r="K776" i="32"/>
  <c r="J776" i="32"/>
  <c r="I776" i="32"/>
  <c r="X775" i="32"/>
  <c r="W775" i="32"/>
  <c r="V775" i="32"/>
  <c r="S775" i="32"/>
  <c r="R775" i="32"/>
  <c r="Q775" i="32"/>
  <c r="N775" i="32"/>
  <c r="M775" i="32"/>
  <c r="L775" i="32"/>
  <c r="K775" i="32"/>
  <c r="J775" i="32"/>
  <c r="I775" i="32"/>
  <c r="X774" i="32"/>
  <c r="W774" i="32"/>
  <c r="V774" i="32"/>
  <c r="S774" i="32"/>
  <c r="R774" i="32"/>
  <c r="Q774" i="32"/>
  <c r="N774" i="32"/>
  <c r="M774" i="32"/>
  <c r="I774" i="32"/>
  <c r="K774" i="32" s="1"/>
  <c r="U774" i="32" s="1"/>
  <c r="X773" i="32"/>
  <c r="W773" i="32"/>
  <c r="V773" i="32"/>
  <c r="U773" i="32"/>
  <c r="S773" i="32"/>
  <c r="R773" i="32"/>
  <c r="Q773" i="32"/>
  <c r="N773" i="32"/>
  <c r="M773" i="32"/>
  <c r="K773" i="32"/>
  <c r="J773" i="32"/>
  <c r="L773" i="32" s="1"/>
  <c r="T773" i="32" s="1"/>
  <c r="I773" i="32"/>
  <c r="X772" i="32"/>
  <c r="W772" i="32"/>
  <c r="V772" i="32"/>
  <c r="S772" i="32"/>
  <c r="R772" i="32"/>
  <c r="Q772" i="32"/>
  <c r="N772" i="32"/>
  <c r="M772" i="32"/>
  <c r="L772" i="32"/>
  <c r="J772" i="32"/>
  <c r="I772" i="32"/>
  <c r="K772" i="32" s="1"/>
  <c r="U772" i="32" s="1"/>
  <c r="X771" i="32"/>
  <c r="W771" i="32"/>
  <c r="V771" i="32"/>
  <c r="S771" i="32"/>
  <c r="R771" i="32"/>
  <c r="Q771" i="32"/>
  <c r="N771" i="32"/>
  <c r="M771" i="32"/>
  <c r="K771" i="32"/>
  <c r="J771" i="32"/>
  <c r="L771" i="32" s="1"/>
  <c r="I771" i="32"/>
  <c r="X770" i="32"/>
  <c r="W770" i="32"/>
  <c r="V770" i="32"/>
  <c r="S770" i="32"/>
  <c r="R770" i="32"/>
  <c r="Q770" i="32"/>
  <c r="N770" i="32"/>
  <c r="M770" i="32"/>
  <c r="L770" i="32"/>
  <c r="J770" i="32"/>
  <c r="I770" i="32"/>
  <c r="K770" i="32" s="1"/>
  <c r="U770" i="32" s="1"/>
  <c r="X769" i="32"/>
  <c r="W769" i="32"/>
  <c r="V769" i="32"/>
  <c r="U769" i="32"/>
  <c r="S769" i="32"/>
  <c r="R769" i="32"/>
  <c r="Q769" i="32"/>
  <c r="N769" i="32"/>
  <c r="M769" i="32"/>
  <c r="K769" i="32"/>
  <c r="J769" i="32"/>
  <c r="L769" i="32" s="1"/>
  <c r="T769" i="32" s="1"/>
  <c r="I769" i="32"/>
  <c r="X768" i="32"/>
  <c r="W768" i="32"/>
  <c r="V768" i="32"/>
  <c r="S768" i="32"/>
  <c r="R768" i="32"/>
  <c r="Q768" i="32"/>
  <c r="N768" i="32"/>
  <c r="M768" i="32"/>
  <c r="L768" i="32"/>
  <c r="J768" i="32"/>
  <c r="I768" i="32"/>
  <c r="K768" i="32" s="1"/>
  <c r="U768" i="32" s="1"/>
  <c r="X767" i="32"/>
  <c r="W767" i="32"/>
  <c r="V767" i="32"/>
  <c r="U767" i="32"/>
  <c r="S767" i="32"/>
  <c r="R767" i="32"/>
  <c r="Q767" i="32"/>
  <c r="N767" i="32"/>
  <c r="M767" i="32"/>
  <c r="K767" i="32"/>
  <c r="J767" i="32"/>
  <c r="L767" i="32" s="1"/>
  <c r="T767" i="32" s="1"/>
  <c r="I767" i="32"/>
  <c r="X766" i="32"/>
  <c r="W766" i="32"/>
  <c r="V766" i="32"/>
  <c r="S766" i="32"/>
  <c r="R766" i="32"/>
  <c r="Q766" i="32"/>
  <c r="N766" i="32"/>
  <c r="M766" i="32"/>
  <c r="L766" i="32"/>
  <c r="J766" i="32"/>
  <c r="I766" i="32"/>
  <c r="K766" i="32" s="1"/>
  <c r="U766" i="32" s="1"/>
  <c r="X765" i="32"/>
  <c r="W765" i="32"/>
  <c r="V765" i="32"/>
  <c r="U765" i="32"/>
  <c r="S765" i="32"/>
  <c r="R765" i="32"/>
  <c r="Q765" i="32"/>
  <c r="N765" i="32"/>
  <c r="M765" i="32"/>
  <c r="K765" i="32"/>
  <c r="J765" i="32"/>
  <c r="L765" i="32" s="1"/>
  <c r="T765" i="32" s="1"/>
  <c r="I765" i="32"/>
  <c r="X764" i="32"/>
  <c r="W764" i="32"/>
  <c r="V764" i="32"/>
  <c r="S764" i="32"/>
  <c r="R764" i="32"/>
  <c r="Q764" i="32"/>
  <c r="N764" i="32"/>
  <c r="M764" i="32"/>
  <c r="L764" i="32"/>
  <c r="J764" i="32"/>
  <c r="I764" i="32"/>
  <c r="K764" i="32" s="1"/>
  <c r="U764" i="32" s="1"/>
  <c r="X763" i="32"/>
  <c r="W763" i="32"/>
  <c r="V763" i="32"/>
  <c r="S763" i="32"/>
  <c r="R763" i="32"/>
  <c r="Q763" i="32"/>
  <c r="N763" i="32"/>
  <c r="M763" i="32"/>
  <c r="L763" i="32"/>
  <c r="K763" i="32"/>
  <c r="J763" i="32"/>
  <c r="I763" i="32"/>
  <c r="X762" i="32"/>
  <c r="U762" i="32" s="1"/>
  <c r="W762" i="32"/>
  <c r="V762" i="32"/>
  <c r="T762" i="32"/>
  <c r="S762" i="32"/>
  <c r="R762" i="32"/>
  <c r="Q762" i="32"/>
  <c r="N762" i="32"/>
  <c r="M762" i="32"/>
  <c r="K762" i="32"/>
  <c r="AA762" i="32" s="1"/>
  <c r="J762" i="32"/>
  <c r="L762" i="32" s="1"/>
  <c r="I762" i="32"/>
  <c r="X761" i="32"/>
  <c r="W761" i="32"/>
  <c r="V761" i="32"/>
  <c r="S761" i="32"/>
  <c r="R761" i="32"/>
  <c r="Q761" i="32"/>
  <c r="N761" i="32"/>
  <c r="M761" i="32"/>
  <c r="J761" i="32"/>
  <c r="L761" i="32" s="1"/>
  <c r="I761" i="32"/>
  <c r="K761" i="32" s="1"/>
  <c r="X760" i="32"/>
  <c r="W760" i="32"/>
  <c r="V760" i="32"/>
  <c r="S760" i="32"/>
  <c r="R760" i="32"/>
  <c r="Q760" i="32"/>
  <c r="N760" i="32"/>
  <c r="M760" i="32"/>
  <c r="L760" i="32"/>
  <c r="J760" i="32"/>
  <c r="I760" i="32"/>
  <c r="K760" i="32" s="1"/>
  <c r="X759" i="32"/>
  <c r="W759" i="32"/>
  <c r="V759" i="32"/>
  <c r="S759" i="32"/>
  <c r="R759" i="32"/>
  <c r="Q759" i="32"/>
  <c r="N759" i="32"/>
  <c r="M759" i="32"/>
  <c r="L759" i="32"/>
  <c r="K759" i="32"/>
  <c r="J759" i="32"/>
  <c r="I759" i="32"/>
  <c r="X758" i="32"/>
  <c r="W758" i="32"/>
  <c r="V758" i="32"/>
  <c r="S758" i="32"/>
  <c r="R758" i="32"/>
  <c r="Q758" i="32"/>
  <c r="N758" i="32"/>
  <c r="M758" i="32"/>
  <c r="K758" i="32"/>
  <c r="U758" i="32" s="1"/>
  <c r="J758" i="32"/>
  <c r="L758" i="32" s="1"/>
  <c r="AA758" i="32" s="1"/>
  <c r="I758" i="32"/>
  <c r="X757" i="32"/>
  <c r="W757" i="32"/>
  <c r="V757" i="32"/>
  <c r="S757" i="32"/>
  <c r="R757" i="32"/>
  <c r="Q757" i="32"/>
  <c r="N757" i="32"/>
  <c r="M757" i="32"/>
  <c r="J757" i="32"/>
  <c r="L757" i="32" s="1"/>
  <c r="I757" i="32"/>
  <c r="K757" i="32" s="1"/>
  <c r="T757" i="32" s="1"/>
  <c r="X756" i="32"/>
  <c r="W756" i="32"/>
  <c r="V756" i="32"/>
  <c r="S756" i="32"/>
  <c r="R756" i="32"/>
  <c r="Q756" i="32"/>
  <c r="N756" i="32"/>
  <c r="M756" i="32"/>
  <c r="L756" i="32"/>
  <c r="J756" i="32"/>
  <c r="I756" i="32"/>
  <c r="K756" i="32" s="1"/>
  <c r="X755" i="32"/>
  <c r="W755" i="32"/>
  <c r="V755" i="32"/>
  <c r="U755" i="32"/>
  <c r="S755" i="32"/>
  <c r="R755" i="32"/>
  <c r="Q755" i="32"/>
  <c r="N755" i="32"/>
  <c r="M755" i="32"/>
  <c r="L755" i="32"/>
  <c r="K755" i="32"/>
  <c r="AA755" i="32" s="1"/>
  <c r="J755" i="32"/>
  <c r="I755" i="32"/>
  <c r="X754" i="32"/>
  <c r="W754" i="32"/>
  <c r="V754" i="32"/>
  <c r="S754" i="32"/>
  <c r="R754" i="32"/>
  <c r="Q754" i="32"/>
  <c r="N754" i="32"/>
  <c r="T754" i="32" s="1"/>
  <c r="M754" i="32"/>
  <c r="K754" i="32"/>
  <c r="J754" i="32"/>
  <c r="L754" i="32" s="1"/>
  <c r="I754" i="32"/>
  <c r="X753" i="32"/>
  <c r="W753" i="32"/>
  <c r="V753" i="32"/>
  <c r="T753" i="32"/>
  <c r="S753" i="32"/>
  <c r="R753" i="32"/>
  <c r="Q753" i="32"/>
  <c r="N753" i="32"/>
  <c r="M753" i="32"/>
  <c r="J753" i="32"/>
  <c r="L753" i="32" s="1"/>
  <c r="I753" i="32"/>
  <c r="K753" i="32" s="1"/>
  <c r="X752" i="32"/>
  <c r="W752" i="32"/>
  <c r="V752" i="32"/>
  <c r="S752" i="32"/>
  <c r="R752" i="32"/>
  <c r="Q752" i="32"/>
  <c r="N752" i="32"/>
  <c r="M752" i="32"/>
  <c r="L752" i="32"/>
  <c r="J752" i="32"/>
  <c r="I752" i="32"/>
  <c r="K752" i="32" s="1"/>
  <c r="X751" i="32"/>
  <c r="W751" i="32"/>
  <c r="V751" i="32"/>
  <c r="S751" i="32"/>
  <c r="R751" i="32"/>
  <c r="Q751" i="32"/>
  <c r="N751" i="32"/>
  <c r="M751" i="32"/>
  <c r="L751" i="32"/>
  <c r="K751" i="32"/>
  <c r="J751" i="32"/>
  <c r="I751" i="32"/>
  <c r="AA750" i="32"/>
  <c r="X750" i="32"/>
  <c r="W750" i="32"/>
  <c r="V750" i="32"/>
  <c r="S750" i="32"/>
  <c r="R750" i="32"/>
  <c r="Q750" i="32"/>
  <c r="N750" i="32"/>
  <c r="M750" i="32"/>
  <c r="K750" i="32"/>
  <c r="T750" i="32" s="1"/>
  <c r="J750" i="32"/>
  <c r="L750" i="32" s="1"/>
  <c r="I750" i="32"/>
  <c r="X749" i="32"/>
  <c r="W749" i="32"/>
  <c r="V749" i="32"/>
  <c r="S749" i="32"/>
  <c r="R749" i="32"/>
  <c r="Q749" i="32"/>
  <c r="N749" i="32"/>
  <c r="M749" i="32"/>
  <c r="J749" i="32"/>
  <c r="L749" i="32" s="1"/>
  <c r="I749" i="32"/>
  <c r="K749" i="32" s="1"/>
  <c r="X748" i="32"/>
  <c r="W748" i="32"/>
  <c r="V748" i="32"/>
  <c r="S748" i="32"/>
  <c r="R748" i="32"/>
  <c r="Q748" i="32"/>
  <c r="N748" i="32"/>
  <c r="M748" i="32"/>
  <c r="L748" i="32"/>
  <c r="J748" i="32"/>
  <c r="I748" i="32"/>
  <c r="K748" i="32" s="1"/>
  <c r="U748" i="32" s="1"/>
  <c r="X747" i="32"/>
  <c r="W747" i="32"/>
  <c r="V747" i="32"/>
  <c r="S747" i="32"/>
  <c r="R747" i="32"/>
  <c r="Q747" i="32"/>
  <c r="N747" i="32"/>
  <c r="M747" i="32"/>
  <c r="L747" i="32"/>
  <c r="K747" i="32"/>
  <c r="J747" i="32"/>
  <c r="I747" i="32"/>
  <c r="X746" i="32"/>
  <c r="U746" i="32" s="1"/>
  <c r="W746" i="32"/>
  <c r="V746" i="32"/>
  <c r="S746" i="32"/>
  <c r="R746" i="32"/>
  <c r="Q746" i="32"/>
  <c r="N746" i="32"/>
  <c r="T746" i="32" s="1"/>
  <c r="M746" i="32"/>
  <c r="K746" i="32"/>
  <c r="AA746" i="32" s="1"/>
  <c r="J746" i="32"/>
  <c r="L746" i="32" s="1"/>
  <c r="I746" i="32"/>
  <c r="X745" i="32"/>
  <c r="W745" i="32"/>
  <c r="V745" i="32"/>
  <c r="S745" i="32"/>
  <c r="T745" i="32" s="1"/>
  <c r="R745" i="32"/>
  <c r="Q745" i="32"/>
  <c r="N745" i="32"/>
  <c r="M745" i="32"/>
  <c r="J745" i="32"/>
  <c r="L745" i="32" s="1"/>
  <c r="I745" i="32"/>
  <c r="K745" i="32" s="1"/>
  <c r="X744" i="32"/>
  <c r="W744" i="32"/>
  <c r="AA744" i="32" s="1"/>
  <c r="V744" i="32"/>
  <c r="S744" i="32"/>
  <c r="R744" i="32"/>
  <c r="Q744" i="32"/>
  <c r="N744" i="32"/>
  <c r="M744" i="32"/>
  <c r="L744" i="32"/>
  <c r="J744" i="32"/>
  <c r="I744" i="32"/>
  <c r="K744" i="32" s="1"/>
  <c r="X743" i="32"/>
  <c r="W743" i="32"/>
  <c r="V743" i="32"/>
  <c r="S743" i="32"/>
  <c r="R743" i="32"/>
  <c r="Q743" i="32"/>
  <c r="N743" i="32"/>
  <c r="M743" i="32"/>
  <c r="L743" i="32"/>
  <c r="K743" i="32"/>
  <c r="J743" i="32"/>
  <c r="I743" i="32"/>
  <c r="X742" i="32"/>
  <c r="W742" i="32"/>
  <c r="V742" i="32"/>
  <c r="S742" i="32"/>
  <c r="R742" i="32"/>
  <c r="Q742" i="32"/>
  <c r="N742" i="32"/>
  <c r="M742" i="32"/>
  <c r="K742" i="32"/>
  <c r="J742" i="32"/>
  <c r="L742" i="32" s="1"/>
  <c r="I742" i="32"/>
  <c r="X741" i="32"/>
  <c r="W741" i="32"/>
  <c r="V741" i="32"/>
  <c r="S741" i="32"/>
  <c r="R741" i="32"/>
  <c r="Q741" i="32"/>
  <c r="N741" i="32"/>
  <c r="M741" i="32"/>
  <c r="J741" i="32"/>
  <c r="L741" i="32" s="1"/>
  <c r="I741" i="32"/>
  <c r="K741" i="32" s="1"/>
  <c r="T741" i="32" s="1"/>
  <c r="X740" i="32"/>
  <c r="W740" i="32"/>
  <c r="V740" i="32"/>
  <c r="S740" i="32"/>
  <c r="R740" i="32"/>
  <c r="Q740" i="32"/>
  <c r="N740" i="32"/>
  <c r="M740" i="32"/>
  <c r="L740" i="32"/>
  <c r="J740" i="32"/>
  <c r="I740" i="32"/>
  <c r="K740" i="32" s="1"/>
  <c r="U740" i="32" s="1"/>
  <c r="AA739" i="32"/>
  <c r="X739" i="32"/>
  <c r="W739" i="32"/>
  <c r="V739" i="32"/>
  <c r="U739" i="32"/>
  <c r="S739" i="32"/>
  <c r="R739" i="32"/>
  <c r="Q739" i="32"/>
  <c r="N739" i="32"/>
  <c r="M739" i="32"/>
  <c r="L739" i="32"/>
  <c r="K739" i="32"/>
  <c r="J739" i="32"/>
  <c r="I739" i="32"/>
  <c r="X738" i="32"/>
  <c r="W738" i="32"/>
  <c r="V738" i="32"/>
  <c r="T738" i="32"/>
  <c r="S738" i="32"/>
  <c r="R738" i="32"/>
  <c r="Q738" i="32"/>
  <c r="N738" i="32"/>
  <c r="M738" i="32"/>
  <c r="K738" i="32"/>
  <c r="J738" i="32"/>
  <c r="L738" i="32" s="1"/>
  <c r="AA738" i="32" s="1"/>
  <c r="I738" i="32"/>
  <c r="X737" i="32"/>
  <c r="W737" i="32"/>
  <c r="V737" i="32"/>
  <c r="S737" i="32"/>
  <c r="R737" i="32"/>
  <c r="Q737" i="32"/>
  <c r="N737" i="32"/>
  <c r="T737" i="32" s="1"/>
  <c r="M737" i="32"/>
  <c r="J737" i="32"/>
  <c r="L737" i="32" s="1"/>
  <c r="I737" i="32"/>
  <c r="K737" i="32" s="1"/>
  <c r="X736" i="32"/>
  <c r="W736" i="32"/>
  <c r="V736" i="32"/>
  <c r="S736" i="32"/>
  <c r="R736" i="32"/>
  <c r="Q736" i="32"/>
  <c r="N736" i="32"/>
  <c r="M736" i="32"/>
  <c r="L736" i="32"/>
  <c r="J736" i="32"/>
  <c r="I736" i="32"/>
  <c r="K736" i="32" s="1"/>
  <c r="X735" i="32"/>
  <c r="W735" i="32"/>
  <c r="V735" i="32"/>
  <c r="S735" i="32"/>
  <c r="R735" i="32"/>
  <c r="Q735" i="32"/>
  <c r="N735" i="32"/>
  <c r="M735" i="32"/>
  <c r="L735" i="32"/>
  <c r="K735" i="32"/>
  <c r="J735" i="32"/>
  <c r="I735" i="32"/>
  <c r="X734" i="32"/>
  <c r="W734" i="32"/>
  <c r="V734" i="32"/>
  <c r="U734" i="32"/>
  <c r="S734" i="32"/>
  <c r="R734" i="32"/>
  <c r="Q734" i="32"/>
  <c r="N734" i="32"/>
  <c r="M734" i="32"/>
  <c r="K734" i="32"/>
  <c r="J734" i="32"/>
  <c r="L734" i="32" s="1"/>
  <c r="AA734" i="32" s="1"/>
  <c r="I734" i="32"/>
  <c r="X733" i="32"/>
  <c r="W733" i="32"/>
  <c r="V733" i="32"/>
  <c r="S733" i="32"/>
  <c r="R733" i="32"/>
  <c r="Q733" i="32"/>
  <c r="N733" i="32"/>
  <c r="M733" i="32"/>
  <c r="J733" i="32"/>
  <c r="L733" i="32" s="1"/>
  <c r="I733" i="32"/>
  <c r="K733" i="32" s="1"/>
  <c r="X732" i="32"/>
  <c r="W732" i="32"/>
  <c r="V732" i="32"/>
  <c r="S732" i="32"/>
  <c r="R732" i="32"/>
  <c r="Q732" i="32"/>
  <c r="N732" i="32"/>
  <c r="M732" i="32"/>
  <c r="L732" i="32"/>
  <c r="J732" i="32"/>
  <c r="I732" i="32"/>
  <c r="K732" i="32" s="1"/>
  <c r="U732" i="32" s="1"/>
  <c r="X731" i="32"/>
  <c r="W731" i="32"/>
  <c r="V731" i="32"/>
  <c r="S731" i="32"/>
  <c r="R731" i="32"/>
  <c r="Q731" i="32"/>
  <c r="N731" i="32"/>
  <c r="M731" i="32"/>
  <c r="L731" i="32"/>
  <c r="K731" i="32"/>
  <c r="J731" i="32"/>
  <c r="I731" i="32"/>
  <c r="X730" i="32"/>
  <c r="U730" i="32" s="1"/>
  <c r="W730" i="32"/>
  <c r="V730" i="32"/>
  <c r="T730" i="32"/>
  <c r="S730" i="32"/>
  <c r="R730" i="32"/>
  <c r="Q730" i="32"/>
  <c r="N730" i="32"/>
  <c r="M730" i="32"/>
  <c r="K730" i="32"/>
  <c r="AA730" i="32" s="1"/>
  <c r="J730" i="32"/>
  <c r="L730" i="32" s="1"/>
  <c r="I730" i="32"/>
  <c r="X729" i="32"/>
  <c r="W729" i="32"/>
  <c r="V729" i="32"/>
  <c r="S729" i="32"/>
  <c r="R729" i="32"/>
  <c r="Q729" i="32"/>
  <c r="N729" i="32"/>
  <c r="M729" i="32"/>
  <c r="J729" i="32"/>
  <c r="L729" i="32" s="1"/>
  <c r="I729" i="32"/>
  <c r="K729" i="32" s="1"/>
  <c r="X728" i="32"/>
  <c r="W728" i="32"/>
  <c r="V728" i="32"/>
  <c r="S728" i="32"/>
  <c r="R728" i="32"/>
  <c r="Q728" i="32"/>
  <c r="N728" i="32"/>
  <c r="M728" i="32"/>
  <c r="L728" i="32"/>
  <c r="J728" i="32"/>
  <c r="I728" i="32"/>
  <c r="K728" i="32" s="1"/>
  <c r="X727" i="32"/>
  <c r="W727" i="32"/>
  <c r="V727" i="32"/>
  <c r="S727" i="32"/>
  <c r="R727" i="32"/>
  <c r="Q727" i="32"/>
  <c r="N727" i="32"/>
  <c r="M727" i="32"/>
  <c r="L727" i="32"/>
  <c r="K727" i="32"/>
  <c r="J727" i="32"/>
  <c r="I727" i="32"/>
  <c r="X726" i="32"/>
  <c r="W726" i="32"/>
  <c r="V726" i="32"/>
  <c r="S726" i="32"/>
  <c r="R726" i="32"/>
  <c r="Q726" i="32"/>
  <c r="N726" i="32"/>
  <c r="M726" i="32"/>
  <c r="K726" i="32"/>
  <c r="J726" i="32"/>
  <c r="L726" i="32" s="1"/>
  <c r="AA726" i="32" s="1"/>
  <c r="I726" i="32"/>
  <c r="X725" i="32"/>
  <c r="W725" i="32"/>
  <c r="V725" i="32"/>
  <c r="S725" i="32"/>
  <c r="R725" i="32"/>
  <c r="Q725" i="32"/>
  <c r="N725" i="32"/>
  <c r="M725" i="32"/>
  <c r="J725" i="32"/>
  <c r="L725" i="32" s="1"/>
  <c r="I725" i="32"/>
  <c r="K725" i="32" s="1"/>
  <c r="T725" i="32" s="1"/>
  <c r="X724" i="32"/>
  <c r="W724" i="32"/>
  <c r="V724" i="32"/>
  <c r="S724" i="32"/>
  <c r="R724" i="32"/>
  <c r="Q724" i="32"/>
  <c r="N724" i="32"/>
  <c r="M724" i="32"/>
  <c r="L724" i="32"/>
  <c r="J724" i="32"/>
  <c r="I724" i="32"/>
  <c r="K724" i="32" s="1"/>
  <c r="X723" i="32"/>
  <c r="W723" i="32"/>
  <c r="V723" i="32"/>
  <c r="S723" i="32"/>
  <c r="R723" i="32"/>
  <c r="Q723" i="32"/>
  <c r="N723" i="32"/>
  <c r="M723" i="32"/>
  <c r="L723" i="32"/>
  <c r="K723" i="32"/>
  <c r="J723" i="32"/>
  <c r="I723" i="32"/>
  <c r="X722" i="32"/>
  <c r="W722" i="32"/>
  <c r="V722" i="32"/>
  <c r="S722" i="32"/>
  <c r="R722" i="32"/>
  <c r="Q722" i="32"/>
  <c r="N722" i="32"/>
  <c r="T722" i="32" s="1"/>
  <c r="M722" i="32"/>
  <c r="K722" i="32"/>
  <c r="J722" i="32"/>
  <c r="L722" i="32" s="1"/>
  <c r="I722" i="32"/>
  <c r="X721" i="32"/>
  <c r="W721" i="32"/>
  <c r="V721" i="32"/>
  <c r="T721" i="32"/>
  <c r="S721" i="32"/>
  <c r="R721" i="32"/>
  <c r="Q721" i="32"/>
  <c r="N721" i="32"/>
  <c r="M721" i="32"/>
  <c r="J721" i="32"/>
  <c r="L721" i="32" s="1"/>
  <c r="I721" i="32"/>
  <c r="K721" i="32" s="1"/>
  <c r="X720" i="32"/>
  <c r="S720" i="32"/>
  <c r="R720" i="32"/>
  <c r="Q720" i="32"/>
  <c r="P720" i="32"/>
  <c r="O720" i="32"/>
  <c r="N720" i="32"/>
  <c r="M720" i="32"/>
  <c r="K720" i="32"/>
  <c r="J720" i="32"/>
  <c r="L720" i="32" s="1"/>
  <c r="I720" i="32"/>
  <c r="X719" i="32"/>
  <c r="S719" i="32"/>
  <c r="R719" i="32"/>
  <c r="Q719" i="32"/>
  <c r="P719" i="32"/>
  <c r="O719" i="32"/>
  <c r="N719" i="32"/>
  <c r="M719" i="32"/>
  <c r="L719" i="32"/>
  <c r="J719" i="32"/>
  <c r="I719" i="32"/>
  <c r="K719" i="32" s="1"/>
  <c r="X718" i="32"/>
  <c r="S718" i="32"/>
  <c r="R718" i="32"/>
  <c r="Q718" i="32"/>
  <c r="P718" i="32"/>
  <c r="O718" i="32"/>
  <c r="N718" i="32"/>
  <c r="M718" i="32"/>
  <c r="L718" i="32"/>
  <c r="J718" i="32"/>
  <c r="I718" i="32"/>
  <c r="K718" i="32" s="1"/>
  <c r="X717" i="32"/>
  <c r="S717" i="32"/>
  <c r="R717" i="32"/>
  <c r="Q717" i="32"/>
  <c r="P717" i="32"/>
  <c r="O717" i="32"/>
  <c r="N717" i="32"/>
  <c r="M717" i="32"/>
  <c r="K717" i="32"/>
  <c r="J717" i="32"/>
  <c r="L717" i="32" s="1"/>
  <c r="I717" i="32"/>
  <c r="X716" i="32"/>
  <c r="U716" i="32" s="1"/>
  <c r="S716" i="32"/>
  <c r="R716" i="32"/>
  <c r="Q716" i="32"/>
  <c r="P716" i="32"/>
  <c r="O716" i="32"/>
  <c r="N716" i="32"/>
  <c r="M716" i="32"/>
  <c r="L716" i="32"/>
  <c r="J716" i="32"/>
  <c r="I716" i="32"/>
  <c r="K716" i="32" s="1"/>
  <c r="X715" i="32"/>
  <c r="S715" i="32"/>
  <c r="R715" i="32"/>
  <c r="Q715" i="32"/>
  <c r="P715" i="32"/>
  <c r="O715" i="32"/>
  <c r="N715" i="32"/>
  <c r="M715" i="32"/>
  <c r="K715" i="32"/>
  <c r="J715" i="32"/>
  <c r="L715" i="32" s="1"/>
  <c r="I715" i="32"/>
  <c r="X714" i="32"/>
  <c r="S714" i="32"/>
  <c r="R714" i="32"/>
  <c r="Q714" i="32"/>
  <c r="P714" i="32"/>
  <c r="O714" i="32"/>
  <c r="N714" i="32"/>
  <c r="M714" i="32"/>
  <c r="U714" i="32" s="1"/>
  <c r="L714" i="32"/>
  <c r="J714" i="32"/>
  <c r="I714" i="32"/>
  <c r="K714" i="32" s="1"/>
  <c r="X713" i="32"/>
  <c r="S713" i="32"/>
  <c r="R713" i="32"/>
  <c r="Q713" i="32"/>
  <c r="P713" i="32"/>
  <c r="O713" i="32"/>
  <c r="N713" i="32"/>
  <c r="M713" i="32"/>
  <c r="K713" i="32"/>
  <c r="J713" i="32"/>
  <c r="L713" i="32" s="1"/>
  <c r="I713" i="32"/>
  <c r="X712" i="32"/>
  <c r="S712" i="32"/>
  <c r="R712" i="32"/>
  <c r="Q712" i="32"/>
  <c r="P712" i="32"/>
  <c r="O712" i="32"/>
  <c r="N712" i="32"/>
  <c r="M712" i="32"/>
  <c r="L712" i="32"/>
  <c r="T712" i="32" s="1"/>
  <c r="J712" i="32"/>
  <c r="I712" i="32"/>
  <c r="K712" i="32" s="1"/>
  <c r="X711" i="32"/>
  <c r="AA711" i="32"/>
  <c r="S711" i="32"/>
  <c r="R711" i="32"/>
  <c r="Q711" i="32"/>
  <c r="P711" i="32"/>
  <c r="O711" i="32"/>
  <c r="N711" i="32"/>
  <c r="M711" i="32"/>
  <c r="K711" i="32"/>
  <c r="J711" i="32"/>
  <c r="L711" i="32" s="1"/>
  <c r="I711" i="32"/>
  <c r="X710" i="32"/>
  <c r="U710" i="32" s="1"/>
  <c r="S710" i="32"/>
  <c r="R710" i="32"/>
  <c r="Q710" i="32"/>
  <c r="P710" i="32"/>
  <c r="O710" i="32"/>
  <c r="N710" i="32"/>
  <c r="M710" i="32"/>
  <c r="J710" i="32"/>
  <c r="L710" i="32" s="1"/>
  <c r="I710" i="32"/>
  <c r="K710" i="32" s="1"/>
  <c r="X709" i="32"/>
  <c r="S709" i="32"/>
  <c r="R709" i="32"/>
  <c r="Q709" i="32"/>
  <c r="P709" i="32"/>
  <c r="O709" i="32"/>
  <c r="N709" i="32"/>
  <c r="M709" i="32"/>
  <c r="K709" i="32"/>
  <c r="J709" i="32"/>
  <c r="L709" i="32" s="1"/>
  <c r="I709" i="32"/>
  <c r="X708" i="32"/>
  <c r="AA708" i="32"/>
  <c r="S708" i="32"/>
  <c r="R708" i="32"/>
  <c r="Q708" i="32"/>
  <c r="P708" i="32"/>
  <c r="O708" i="32"/>
  <c r="N708" i="32"/>
  <c r="M708" i="32"/>
  <c r="L708" i="32"/>
  <c r="J708" i="32"/>
  <c r="I708" i="32"/>
  <c r="K708" i="32" s="1"/>
  <c r="X707" i="32"/>
  <c r="S707" i="32"/>
  <c r="R707" i="32"/>
  <c r="Q707" i="32"/>
  <c r="P707" i="32"/>
  <c r="O707" i="32"/>
  <c r="N707" i="32"/>
  <c r="M707" i="32"/>
  <c r="J707" i="32"/>
  <c r="L707" i="32" s="1"/>
  <c r="I707" i="32"/>
  <c r="K707" i="32" s="1"/>
  <c r="X706" i="32"/>
  <c r="U706" i="32" s="1"/>
  <c r="S706" i="32"/>
  <c r="R706" i="32"/>
  <c r="Q706" i="32"/>
  <c r="P706" i="32"/>
  <c r="O706" i="32"/>
  <c r="N706" i="32"/>
  <c r="M706" i="32"/>
  <c r="K706" i="32"/>
  <c r="J706" i="32"/>
  <c r="L706" i="32" s="1"/>
  <c r="I706" i="32"/>
  <c r="X705" i="32"/>
  <c r="S705" i="32"/>
  <c r="R705" i="32"/>
  <c r="Q705" i="32"/>
  <c r="P705" i="32"/>
  <c r="O705" i="32"/>
  <c r="N705" i="32"/>
  <c r="M705" i="32"/>
  <c r="L705" i="32"/>
  <c r="K705" i="32"/>
  <c r="J705" i="32"/>
  <c r="I705" i="32"/>
  <c r="X704" i="32"/>
  <c r="S704" i="32"/>
  <c r="R704" i="32"/>
  <c r="Q704" i="32"/>
  <c r="P704" i="32"/>
  <c r="O704" i="32"/>
  <c r="N704" i="32"/>
  <c r="M704" i="32"/>
  <c r="U704" i="32" s="1"/>
  <c r="L704" i="32"/>
  <c r="J704" i="32"/>
  <c r="I704" i="32"/>
  <c r="K704" i="32" s="1"/>
  <c r="X703" i="32"/>
  <c r="S703" i="32"/>
  <c r="R703" i="32"/>
  <c r="Q703" i="32"/>
  <c r="P703" i="32"/>
  <c r="O703" i="32"/>
  <c r="N703" i="32"/>
  <c r="M703" i="32"/>
  <c r="J703" i="32"/>
  <c r="L703" i="32" s="1"/>
  <c r="I703" i="32"/>
  <c r="K703" i="32" s="1"/>
  <c r="X702" i="32"/>
  <c r="U702" i="32" s="1"/>
  <c r="S702" i="32"/>
  <c r="R702" i="32"/>
  <c r="Q702" i="32"/>
  <c r="P702" i="32"/>
  <c r="O702" i="32"/>
  <c r="N702" i="32"/>
  <c r="M702" i="32"/>
  <c r="L702" i="32"/>
  <c r="K702" i="32"/>
  <c r="J702" i="32"/>
  <c r="I702" i="32"/>
  <c r="X701" i="32"/>
  <c r="S701" i="32"/>
  <c r="R701" i="32"/>
  <c r="Q701" i="32"/>
  <c r="P701" i="32"/>
  <c r="O701" i="32"/>
  <c r="N701" i="32"/>
  <c r="M701" i="32"/>
  <c r="J701" i="32"/>
  <c r="L701" i="32" s="1"/>
  <c r="I701" i="32"/>
  <c r="K701" i="32" s="1"/>
  <c r="X700" i="32"/>
  <c r="AA700" i="32"/>
  <c r="S700" i="32"/>
  <c r="R700" i="32"/>
  <c r="Q700" i="32"/>
  <c r="P700" i="32"/>
  <c r="O700" i="32"/>
  <c r="N700" i="32"/>
  <c r="M700" i="32"/>
  <c r="L700" i="32"/>
  <c r="T700" i="32" s="1"/>
  <c r="K700" i="32"/>
  <c r="J700" i="32"/>
  <c r="I700" i="32"/>
  <c r="X699" i="32"/>
  <c r="S699" i="32"/>
  <c r="R699" i="32"/>
  <c r="Z699" i="32" s="1"/>
  <c r="Q699" i="32"/>
  <c r="P699" i="32"/>
  <c r="O699" i="32"/>
  <c r="N699" i="32"/>
  <c r="M699" i="32"/>
  <c r="J699" i="32"/>
  <c r="L699" i="32" s="1"/>
  <c r="U699" i="32" s="1"/>
  <c r="I699" i="32"/>
  <c r="K699" i="32" s="1"/>
  <c r="AA699" i="32" s="1"/>
  <c r="X698" i="32"/>
  <c r="S698" i="32"/>
  <c r="R698" i="32"/>
  <c r="Q698" i="32"/>
  <c r="P698" i="32"/>
  <c r="O698" i="32"/>
  <c r="N698" i="32"/>
  <c r="M698" i="32"/>
  <c r="L698" i="32"/>
  <c r="K698" i="32"/>
  <c r="J698" i="32"/>
  <c r="I698" i="32"/>
  <c r="X697" i="32"/>
  <c r="S697" i="32"/>
  <c r="R697" i="32"/>
  <c r="Q697" i="32"/>
  <c r="P697" i="32"/>
  <c r="O697" i="32"/>
  <c r="N697" i="32"/>
  <c r="M697" i="32"/>
  <c r="J697" i="32"/>
  <c r="L697" i="32" s="1"/>
  <c r="U697" i="32" s="1"/>
  <c r="I697" i="32"/>
  <c r="K697" i="32" s="1"/>
  <c r="X696" i="32"/>
  <c r="S696" i="32"/>
  <c r="R696" i="32"/>
  <c r="Q696" i="32"/>
  <c r="P696" i="32"/>
  <c r="O696" i="32"/>
  <c r="N696" i="32"/>
  <c r="M696" i="32"/>
  <c r="L696" i="32"/>
  <c r="K696" i="32"/>
  <c r="T696" i="32" s="1"/>
  <c r="J696" i="32"/>
  <c r="I696" i="32"/>
  <c r="X695" i="32"/>
  <c r="S695" i="32"/>
  <c r="R695" i="32"/>
  <c r="Q695" i="32"/>
  <c r="P695" i="32"/>
  <c r="O695" i="32"/>
  <c r="N695" i="32"/>
  <c r="M695" i="32"/>
  <c r="J695" i="32"/>
  <c r="L695" i="32" s="1"/>
  <c r="I695" i="32"/>
  <c r="K695" i="32" s="1"/>
  <c r="X694" i="32"/>
  <c r="U694" i="32" s="1"/>
  <c r="S694" i="32"/>
  <c r="R694" i="32"/>
  <c r="Q694" i="32"/>
  <c r="P694" i="32"/>
  <c r="O694" i="32"/>
  <c r="N694" i="32"/>
  <c r="M694" i="32"/>
  <c r="L694" i="32"/>
  <c r="K694" i="32"/>
  <c r="J694" i="32"/>
  <c r="I694" i="32"/>
  <c r="X693" i="32"/>
  <c r="S693" i="32"/>
  <c r="R693" i="32"/>
  <c r="Q693" i="32"/>
  <c r="P693" i="32"/>
  <c r="O693" i="32"/>
  <c r="N693" i="32"/>
  <c r="M693" i="32"/>
  <c r="J693" i="32"/>
  <c r="L693" i="32" s="1"/>
  <c r="U693" i="32" s="1"/>
  <c r="I693" i="32"/>
  <c r="K693" i="32" s="1"/>
  <c r="X692" i="32"/>
  <c r="Z692" i="32"/>
  <c r="S692" i="32"/>
  <c r="R692" i="32"/>
  <c r="Q692" i="32"/>
  <c r="P692" i="32"/>
  <c r="O692" i="32"/>
  <c r="N692" i="32"/>
  <c r="M692" i="32"/>
  <c r="L692" i="32"/>
  <c r="T692" i="32" s="1"/>
  <c r="K692" i="32"/>
  <c r="J692" i="32"/>
  <c r="I692" i="32"/>
  <c r="X691" i="32"/>
  <c r="S691" i="32"/>
  <c r="R691" i="32"/>
  <c r="Q691" i="32"/>
  <c r="P691" i="32"/>
  <c r="O691" i="32"/>
  <c r="N691" i="32"/>
  <c r="M691" i="32"/>
  <c r="J691" i="32"/>
  <c r="L691" i="32" s="1"/>
  <c r="U691" i="32" s="1"/>
  <c r="I691" i="32"/>
  <c r="K691" i="32" s="1"/>
  <c r="X690" i="32"/>
  <c r="U690" i="32" s="1"/>
  <c r="S690" i="32"/>
  <c r="R690" i="32"/>
  <c r="Q690" i="32"/>
  <c r="P690" i="32"/>
  <c r="O690" i="32"/>
  <c r="N690" i="32"/>
  <c r="M690" i="32"/>
  <c r="L690" i="32"/>
  <c r="K690" i="32"/>
  <c r="J690" i="32"/>
  <c r="I690" i="32"/>
  <c r="X689" i="32"/>
  <c r="S689" i="32"/>
  <c r="R689" i="32"/>
  <c r="Q689" i="32"/>
  <c r="P689" i="32"/>
  <c r="O689" i="32"/>
  <c r="N689" i="32"/>
  <c r="M689" i="32"/>
  <c r="J689" i="32"/>
  <c r="L689" i="32" s="1"/>
  <c r="I689" i="32"/>
  <c r="K689" i="32" s="1"/>
  <c r="X688" i="32"/>
  <c r="S688" i="32"/>
  <c r="R688" i="32"/>
  <c r="Q688" i="32"/>
  <c r="P688" i="32"/>
  <c r="O688" i="32"/>
  <c r="N688" i="32"/>
  <c r="M688" i="32"/>
  <c r="L688" i="32"/>
  <c r="K688" i="32"/>
  <c r="T688" i="32" s="1"/>
  <c r="J688" i="32"/>
  <c r="I688" i="32"/>
  <c r="X687" i="32"/>
  <c r="S687" i="32"/>
  <c r="R687" i="32"/>
  <c r="Q687" i="32"/>
  <c r="P687" i="32"/>
  <c r="O687" i="32"/>
  <c r="N687" i="32"/>
  <c r="M687" i="32"/>
  <c r="J687" i="32"/>
  <c r="L687" i="32" s="1"/>
  <c r="I687" i="32"/>
  <c r="K687" i="32" s="1"/>
  <c r="X686" i="32"/>
  <c r="U686" i="32" s="1"/>
  <c r="S686" i="32"/>
  <c r="R686" i="32"/>
  <c r="Q686" i="32"/>
  <c r="P686" i="32"/>
  <c r="O686" i="32"/>
  <c r="N686" i="32"/>
  <c r="M686" i="32"/>
  <c r="L686" i="32"/>
  <c r="K686" i="32"/>
  <c r="J686" i="32"/>
  <c r="I686" i="32"/>
  <c r="X685" i="32"/>
  <c r="S685" i="32"/>
  <c r="R685" i="32"/>
  <c r="Q685" i="32"/>
  <c r="P685" i="32"/>
  <c r="O685" i="32"/>
  <c r="N685" i="32"/>
  <c r="M685" i="32"/>
  <c r="J685" i="32"/>
  <c r="L685" i="32" s="1"/>
  <c r="I685" i="32"/>
  <c r="K685" i="32" s="1"/>
  <c r="X684" i="32"/>
  <c r="AA684" i="32"/>
  <c r="Z684" i="32"/>
  <c r="S684" i="32"/>
  <c r="R684" i="32"/>
  <c r="Q684" i="32"/>
  <c r="P684" i="32"/>
  <c r="O684" i="32"/>
  <c r="N684" i="32"/>
  <c r="M684" i="32"/>
  <c r="L684" i="32"/>
  <c r="T684" i="32" s="1"/>
  <c r="K684" i="32"/>
  <c r="J684" i="32"/>
  <c r="I684" i="32"/>
  <c r="X683" i="32"/>
  <c r="S683" i="32"/>
  <c r="R683" i="32"/>
  <c r="Z683" i="32" s="1"/>
  <c r="Q683" i="32"/>
  <c r="P683" i="32"/>
  <c r="O683" i="32"/>
  <c r="N683" i="32"/>
  <c r="M683" i="32"/>
  <c r="J683" i="32"/>
  <c r="L683" i="32" s="1"/>
  <c r="U683" i="32" s="1"/>
  <c r="I683" i="32"/>
  <c r="K683" i="32" s="1"/>
  <c r="AA683" i="32" s="1"/>
  <c r="X682" i="32"/>
  <c r="S682" i="32"/>
  <c r="R682" i="32"/>
  <c r="Q682" i="32"/>
  <c r="P682" i="32"/>
  <c r="O682" i="32"/>
  <c r="N682" i="32"/>
  <c r="M682" i="32"/>
  <c r="L682" i="32"/>
  <c r="K682" i="32"/>
  <c r="J682" i="32"/>
  <c r="I682" i="32"/>
  <c r="X681" i="32"/>
  <c r="S681" i="32"/>
  <c r="R681" i="32"/>
  <c r="Q681" i="32"/>
  <c r="P681" i="32"/>
  <c r="O681" i="32"/>
  <c r="N681" i="32"/>
  <c r="M681" i="32"/>
  <c r="J681" i="32"/>
  <c r="L681" i="32" s="1"/>
  <c r="U681" i="32" s="1"/>
  <c r="I681" i="32"/>
  <c r="K681" i="32" s="1"/>
  <c r="X680" i="32"/>
  <c r="S680" i="32"/>
  <c r="R680" i="32"/>
  <c r="Q680" i="32"/>
  <c r="P680" i="32"/>
  <c r="O680" i="32"/>
  <c r="N680" i="32"/>
  <c r="M680" i="32"/>
  <c r="L680" i="32"/>
  <c r="K680" i="32"/>
  <c r="T680" i="32" s="1"/>
  <c r="J680" i="32"/>
  <c r="I680" i="32"/>
  <c r="X679" i="32"/>
  <c r="S679" i="32"/>
  <c r="R679" i="32"/>
  <c r="Q679" i="32"/>
  <c r="P679" i="32"/>
  <c r="O679" i="32"/>
  <c r="N679" i="32"/>
  <c r="M679" i="32"/>
  <c r="J679" i="32"/>
  <c r="L679" i="32" s="1"/>
  <c r="I679" i="32"/>
  <c r="K679" i="32" s="1"/>
  <c r="X678" i="32"/>
  <c r="U678" i="32" s="1"/>
  <c r="S678" i="32"/>
  <c r="R678" i="32"/>
  <c r="Q678" i="32"/>
  <c r="P678" i="32"/>
  <c r="O678" i="32"/>
  <c r="N678" i="32"/>
  <c r="M678" i="32"/>
  <c r="L678" i="32"/>
  <c r="K678" i="32"/>
  <c r="J678" i="32"/>
  <c r="I678" i="32"/>
  <c r="AA677" i="32"/>
  <c r="Z677" i="32"/>
  <c r="X677" i="32"/>
  <c r="S677" i="32"/>
  <c r="R677" i="32"/>
  <c r="Q677" i="32"/>
  <c r="P677" i="32"/>
  <c r="O677" i="32"/>
  <c r="N677" i="32"/>
  <c r="M677" i="32"/>
  <c r="J677" i="32"/>
  <c r="L677" i="32" s="1"/>
  <c r="U677" i="32" s="1"/>
  <c r="I677" i="32"/>
  <c r="K677" i="32" s="1"/>
  <c r="X676" i="32"/>
  <c r="AA676" i="32"/>
  <c r="Z676" i="32"/>
  <c r="S676" i="32"/>
  <c r="R676" i="32"/>
  <c r="Q676" i="32"/>
  <c r="P676" i="32"/>
  <c r="O676" i="32"/>
  <c r="N676" i="32"/>
  <c r="M676" i="32"/>
  <c r="L676" i="32"/>
  <c r="T676" i="32" s="1"/>
  <c r="K676" i="32"/>
  <c r="J676" i="32"/>
  <c r="I676" i="32"/>
  <c r="X675" i="32"/>
  <c r="S675" i="32"/>
  <c r="R675" i="32"/>
  <c r="Q675" i="32"/>
  <c r="P675" i="32"/>
  <c r="O675" i="32"/>
  <c r="N675" i="32"/>
  <c r="M675" i="32"/>
  <c r="J675" i="32"/>
  <c r="L675" i="32" s="1"/>
  <c r="U675" i="32" s="1"/>
  <c r="I675" i="32"/>
  <c r="K675" i="32" s="1"/>
  <c r="X674" i="32"/>
  <c r="U674" i="32" s="1"/>
  <c r="S674" i="32"/>
  <c r="R674" i="32"/>
  <c r="Q674" i="32"/>
  <c r="P674" i="32"/>
  <c r="O674" i="32"/>
  <c r="N674" i="32"/>
  <c r="M674" i="32"/>
  <c r="L674" i="32"/>
  <c r="K674" i="32"/>
  <c r="J674" i="32"/>
  <c r="I674" i="32"/>
  <c r="Z673" i="32"/>
  <c r="X673" i="32"/>
  <c r="S673" i="32"/>
  <c r="R673" i="32"/>
  <c r="Q673" i="32"/>
  <c r="P673" i="32"/>
  <c r="O673" i="32"/>
  <c r="N673" i="32"/>
  <c r="M673" i="32"/>
  <c r="J673" i="32"/>
  <c r="L673" i="32" s="1"/>
  <c r="I673" i="32"/>
  <c r="K673" i="32" s="1"/>
  <c r="X672" i="32"/>
  <c r="Z672" i="32"/>
  <c r="S672" i="32"/>
  <c r="R672" i="32"/>
  <c r="Q672" i="32"/>
  <c r="P672" i="32"/>
  <c r="O672" i="32"/>
  <c r="N672" i="32"/>
  <c r="M672" i="32"/>
  <c r="L672" i="32"/>
  <c r="K672" i="32"/>
  <c r="T672" i="32" s="1"/>
  <c r="J672" i="32"/>
  <c r="I672" i="32"/>
  <c r="X671" i="32"/>
  <c r="S671" i="32"/>
  <c r="R671" i="32"/>
  <c r="Q671" i="32"/>
  <c r="P671" i="32"/>
  <c r="O671" i="32"/>
  <c r="N671" i="32"/>
  <c r="M671" i="32"/>
  <c r="J671" i="32"/>
  <c r="L671" i="32" s="1"/>
  <c r="I671" i="32"/>
  <c r="K671" i="32" s="1"/>
  <c r="X670" i="32"/>
  <c r="U670" i="32" s="1"/>
  <c r="S670" i="32"/>
  <c r="R670" i="32"/>
  <c r="Q670" i="32"/>
  <c r="P670" i="32"/>
  <c r="O670" i="32"/>
  <c r="N670" i="32"/>
  <c r="M670" i="32"/>
  <c r="L670" i="32"/>
  <c r="K670" i="32"/>
  <c r="J670" i="32"/>
  <c r="I670" i="32"/>
  <c r="X669" i="32"/>
  <c r="S669" i="32"/>
  <c r="R669" i="32"/>
  <c r="Q669" i="32"/>
  <c r="P669" i="32"/>
  <c r="O669" i="32"/>
  <c r="N669" i="32"/>
  <c r="M669" i="32"/>
  <c r="J669" i="32"/>
  <c r="L669" i="32" s="1"/>
  <c r="I669" i="32"/>
  <c r="K669" i="32" s="1"/>
  <c r="X668" i="32"/>
  <c r="Z668" i="32"/>
  <c r="S668" i="32"/>
  <c r="R668" i="32"/>
  <c r="Q668" i="32"/>
  <c r="P668" i="32"/>
  <c r="O668" i="32"/>
  <c r="N668" i="32"/>
  <c r="M668" i="32"/>
  <c r="L668" i="32"/>
  <c r="T668" i="32" s="1"/>
  <c r="K668" i="32"/>
  <c r="J668" i="32"/>
  <c r="I668" i="32"/>
  <c r="X667" i="32"/>
  <c r="S667" i="32"/>
  <c r="R667" i="32"/>
  <c r="Q667" i="32"/>
  <c r="P667" i="32"/>
  <c r="O667" i="32"/>
  <c r="N667" i="32"/>
  <c r="M667" i="32"/>
  <c r="J667" i="32"/>
  <c r="L667" i="32" s="1"/>
  <c r="U667" i="32" s="1"/>
  <c r="I667" i="32"/>
  <c r="K667" i="32" s="1"/>
  <c r="AA667" i="32" s="1"/>
  <c r="X666" i="32"/>
  <c r="S666" i="32"/>
  <c r="R666" i="32"/>
  <c r="Q666" i="32"/>
  <c r="P666" i="32"/>
  <c r="O666" i="32"/>
  <c r="N666" i="32"/>
  <c r="M666" i="32"/>
  <c r="L666" i="32"/>
  <c r="K666" i="32"/>
  <c r="J666" i="32"/>
  <c r="I666" i="32"/>
  <c r="X665" i="32"/>
  <c r="S665" i="32"/>
  <c r="R665" i="32"/>
  <c r="Q665" i="32"/>
  <c r="P665" i="32"/>
  <c r="O665" i="32"/>
  <c r="N665" i="32"/>
  <c r="M665" i="32"/>
  <c r="J665" i="32"/>
  <c r="L665" i="32" s="1"/>
  <c r="U665" i="32" s="1"/>
  <c r="I665" i="32"/>
  <c r="K665" i="32" s="1"/>
  <c r="X664" i="32"/>
  <c r="S664" i="32"/>
  <c r="R664" i="32"/>
  <c r="Q664" i="32"/>
  <c r="P664" i="32"/>
  <c r="O664" i="32"/>
  <c r="N664" i="32"/>
  <c r="M664" i="32"/>
  <c r="L664" i="32"/>
  <c r="K664" i="32"/>
  <c r="T664" i="32" s="1"/>
  <c r="J664" i="32"/>
  <c r="I664" i="32"/>
  <c r="X663" i="32"/>
  <c r="S663" i="32"/>
  <c r="R663" i="32"/>
  <c r="Q663" i="32"/>
  <c r="P663" i="32"/>
  <c r="O663" i="32"/>
  <c r="N663" i="32"/>
  <c r="M663" i="32"/>
  <c r="J663" i="32"/>
  <c r="L663" i="32" s="1"/>
  <c r="U663" i="32" s="1"/>
  <c r="I663" i="32"/>
  <c r="K663" i="32" s="1"/>
  <c r="X662" i="32"/>
  <c r="U662" i="32" s="1"/>
  <c r="S662" i="32"/>
  <c r="R662" i="32"/>
  <c r="Q662" i="32"/>
  <c r="P662" i="32"/>
  <c r="O662" i="32"/>
  <c r="N662" i="32"/>
  <c r="M662" i="32"/>
  <c r="L662" i="32"/>
  <c r="K662" i="32"/>
  <c r="J662" i="32"/>
  <c r="I662" i="32"/>
  <c r="X661" i="32"/>
  <c r="S661" i="32"/>
  <c r="R661" i="32"/>
  <c r="Q661" i="32"/>
  <c r="P661" i="32"/>
  <c r="O661" i="32"/>
  <c r="N661" i="32"/>
  <c r="M661" i="32"/>
  <c r="J661" i="32"/>
  <c r="L661" i="32" s="1"/>
  <c r="U661" i="32" s="1"/>
  <c r="I661" i="32"/>
  <c r="K661" i="32" s="1"/>
  <c r="X660" i="32"/>
  <c r="AA660" i="32"/>
  <c r="Z660" i="32"/>
  <c r="S660" i="32"/>
  <c r="R660" i="32"/>
  <c r="Q660" i="32"/>
  <c r="P660" i="32"/>
  <c r="O660" i="32"/>
  <c r="N660" i="32"/>
  <c r="M660" i="32"/>
  <c r="L660" i="32"/>
  <c r="T660" i="32" s="1"/>
  <c r="K660" i="32"/>
  <c r="J660" i="32"/>
  <c r="I660" i="32"/>
  <c r="X659" i="32"/>
  <c r="S659" i="32"/>
  <c r="R659" i="32"/>
  <c r="Q659" i="32"/>
  <c r="P659" i="32"/>
  <c r="O659" i="32"/>
  <c r="N659" i="32"/>
  <c r="M659" i="32"/>
  <c r="J659" i="32"/>
  <c r="L659" i="32" s="1"/>
  <c r="U659" i="32" s="1"/>
  <c r="I659" i="32"/>
  <c r="K659" i="32" s="1"/>
  <c r="X658" i="32"/>
  <c r="U658" i="32" s="1"/>
  <c r="Z658" i="32"/>
  <c r="S658" i="32"/>
  <c r="R658" i="32"/>
  <c r="Q658" i="32"/>
  <c r="P658" i="32"/>
  <c r="O658" i="32"/>
  <c r="N658" i="32"/>
  <c r="M658" i="32"/>
  <c r="L658" i="32"/>
  <c r="K658" i="32"/>
  <c r="T658" i="32" s="1"/>
  <c r="J658" i="32"/>
  <c r="I658" i="32"/>
  <c r="X657" i="32"/>
  <c r="S657" i="32"/>
  <c r="R657" i="32"/>
  <c r="Q657" i="32"/>
  <c r="P657" i="32"/>
  <c r="O657" i="32"/>
  <c r="N657" i="32"/>
  <c r="M657" i="32"/>
  <c r="J657" i="32"/>
  <c r="L657" i="32" s="1"/>
  <c r="I657" i="32"/>
  <c r="K657" i="32" s="1"/>
  <c r="X656" i="32"/>
  <c r="S656" i="32"/>
  <c r="R656" i="32"/>
  <c r="Q656" i="32"/>
  <c r="P656" i="32"/>
  <c r="O656" i="32"/>
  <c r="N656" i="32"/>
  <c r="M656" i="32"/>
  <c r="L656" i="32"/>
  <c r="K656" i="32"/>
  <c r="T656" i="32" s="1"/>
  <c r="J656" i="32"/>
  <c r="I656" i="32"/>
  <c r="X655" i="32"/>
  <c r="S655" i="32"/>
  <c r="R655" i="32"/>
  <c r="Q655" i="32"/>
  <c r="P655" i="32"/>
  <c r="O655" i="32"/>
  <c r="N655" i="32"/>
  <c r="M655" i="32"/>
  <c r="J655" i="32"/>
  <c r="L655" i="32" s="1"/>
  <c r="I655" i="32"/>
  <c r="K655" i="32" s="1"/>
  <c r="X654" i="32"/>
  <c r="S654" i="32"/>
  <c r="R654" i="32"/>
  <c r="Q654" i="32"/>
  <c r="P654" i="32"/>
  <c r="O654" i="32"/>
  <c r="N654" i="32"/>
  <c r="M654" i="32"/>
  <c r="L654" i="32"/>
  <c r="K654" i="32"/>
  <c r="J654" i="32"/>
  <c r="I654" i="32"/>
  <c r="Z653" i="32"/>
  <c r="X653" i="32"/>
  <c r="S653" i="32"/>
  <c r="R653" i="32"/>
  <c r="Q653" i="32"/>
  <c r="P653" i="32"/>
  <c r="O653" i="32"/>
  <c r="N653" i="32"/>
  <c r="M653" i="32"/>
  <c r="J653" i="32"/>
  <c r="L653" i="32" s="1"/>
  <c r="I653" i="32"/>
  <c r="K653" i="32" s="1"/>
  <c r="X652" i="32"/>
  <c r="AA652" i="32"/>
  <c r="Z652" i="32"/>
  <c r="S652" i="32"/>
  <c r="R652" i="32"/>
  <c r="Q652" i="32"/>
  <c r="P652" i="32"/>
  <c r="O652" i="32"/>
  <c r="N652" i="32"/>
  <c r="M652" i="32"/>
  <c r="L652" i="32"/>
  <c r="K652" i="32"/>
  <c r="T652" i="32" s="1"/>
  <c r="J652" i="32"/>
  <c r="I652" i="32"/>
  <c r="X651" i="32"/>
  <c r="S651" i="32"/>
  <c r="R651" i="32"/>
  <c r="Q651" i="32"/>
  <c r="P651" i="32"/>
  <c r="O651" i="32"/>
  <c r="N651" i="32"/>
  <c r="M651" i="32"/>
  <c r="J651" i="32"/>
  <c r="L651" i="32" s="1"/>
  <c r="U651" i="32" s="1"/>
  <c r="I651" i="32"/>
  <c r="K651" i="32" s="1"/>
  <c r="AA651" i="32" s="1"/>
  <c r="X650" i="32"/>
  <c r="S650" i="32"/>
  <c r="R650" i="32"/>
  <c r="Q650" i="32"/>
  <c r="P650" i="32"/>
  <c r="O650" i="32"/>
  <c r="N650" i="32"/>
  <c r="M650" i="32"/>
  <c r="L650" i="32"/>
  <c r="K650" i="32"/>
  <c r="J650" i="32"/>
  <c r="I650" i="32"/>
  <c r="Z649" i="32"/>
  <c r="X649" i="32"/>
  <c r="S649" i="32"/>
  <c r="R649" i="32"/>
  <c r="Q649" i="32"/>
  <c r="P649" i="32"/>
  <c r="O649" i="32"/>
  <c r="N649" i="32"/>
  <c r="M649" i="32"/>
  <c r="J649" i="32"/>
  <c r="L649" i="32" s="1"/>
  <c r="U649" i="32" s="1"/>
  <c r="I649" i="32"/>
  <c r="K649" i="32" s="1"/>
  <c r="X648" i="32"/>
  <c r="S648" i="32"/>
  <c r="R648" i="32"/>
  <c r="Q648" i="32"/>
  <c r="P648" i="32"/>
  <c r="O648" i="32"/>
  <c r="N648" i="32"/>
  <c r="M648" i="32"/>
  <c r="L648" i="32"/>
  <c r="K648" i="32"/>
  <c r="T648" i="32" s="1"/>
  <c r="J648" i="32"/>
  <c r="I648" i="32"/>
  <c r="X647" i="32"/>
  <c r="S647" i="32"/>
  <c r="R647" i="32"/>
  <c r="Q647" i="32"/>
  <c r="P647" i="32"/>
  <c r="O647" i="32"/>
  <c r="N647" i="32"/>
  <c r="M647" i="32"/>
  <c r="J647" i="32"/>
  <c r="L647" i="32" s="1"/>
  <c r="I647" i="32"/>
  <c r="K647" i="32" s="1"/>
  <c r="X646" i="32"/>
  <c r="U646" i="32" s="1"/>
  <c r="S646" i="32"/>
  <c r="R646" i="32"/>
  <c r="Q646" i="32"/>
  <c r="P646" i="32"/>
  <c r="O646" i="32"/>
  <c r="N646" i="32"/>
  <c r="M646" i="32"/>
  <c r="L646" i="32"/>
  <c r="K646" i="32"/>
  <c r="J646" i="32"/>
  <c r="I646" i="32"/>
  <c r="X645" i="32"/>
  <c r="S645" i="32"/>
  <c r="R645" i="32"/>
  <c r="Q645" i="32"/>
  <c r="P645" i="32"/>
  <c r="O645" i="32"/>
  <c r="N645" i="32"/>
  <c r="M645" i="32"/>
  <c r="J645" i="32"/>
  <c r="L645" i="32" s="1"/>
  <c r="U645" i="32" s="1"/>
  <c r="I645" i="32"/>
  <c r="K645" i="32" s="1"/>
  <c r="X644" i="32"/>
  <c r="Z644" i="32"/>
  <c r="S644" i="32"/>
  <c r="R644" i="32"/>
  <c r="Q644" i="32"/>
  <c r="P644" i="32"/>
  <c r="O644" i="32"/>
  <c r="N644" i="32"/>
  <c r="M644" i="32"/>
  <c r="L644" i="32"/>
  <c r="K644" i="32"/>
  <c r="T644" i="32" s="1"/>
  <c r="J644" i="32"/>
  <c r="I644" i="32"/>
  <c r="X643" i="32"/>
  <c r="S643" i="32"/>
  <c r="R643" i="32"/>
  <c r="Q643" i="32"/>
  <c r="P643" i="32"/>
  <c r="O643" i="32"/>
  <c r="N643" i="32"/>
  <c r="M643" i="32"/>
  <c r="J643" i="32"/>
  <c r="L643" i="32" s="1"/>
  <c r="I643" i="32"/>
  <c r="K643" i="32" s="1"/>
  <c r="X642" i="32"/>
  <c r="S642" i="32"/>
  <c r="R642" i="32"/>
  <c r="Q642" i="32"/>
  <c r="P642" i="32"/>
  <c r="O642" i="32"/>
  <c r="N642" i="32"/>
  <c r="M642" i="32"/>
  <c r="L642" i="32"/>
  <c r="K642" i="32"/>
  <c r="J642" i="32"/>
  <c r="I642" i="32"/>
  <c r="X641" i="32"/>
  <c r="U641" i="32" s="1"/>
  <c r="S641" i="32"/>
  <c r="R641" i="32"/>
  <c r="Q641" i="32"/>
  <c r="P641" i="32"/>
  <c r="O641" i="32"/>
  <c r="N641" i="32"/>
  <c r="M641" i="32"/>
  <c r="J641" i="32"/>
  <c r="L641" i="32" s="1"/>
  <c r="I641" i="32"/>
  <c r="K641" i="32" s="1"/>
  <c r="AA641" i="32" s="1"/>
  <c r="X640" i="32"/>
  <c r="S640" i="32"/>
  <c r="R640" i="32"/>
  <c r="Q640" i="32"/>
  <c r="P640" i="32"/>
  <c r="O640" i="32"/>
  <c r="N640" i="32"/>
  <c r="M640" i="32"/>
  <c r="K640" i="32"/>
  <c r="J640" i="32"/>
  <c r="L640" i="32" s="1"/>
  <c r="I640" i="32"/>
  <c r="X639" i="32"/>
  <c r="S639" i="32"/>
  <c r="R639" i="32"/>
  <c r="Q639" i="32"/>
  <c r="P639" i="32"/>
  <c r="O639" i="32"/>
  <c r="N639" i="32"/>
  <c r="M639" i="32"/>
  <c r="L639" i="32"/>
  <c r="J639" i="32"/>
  <c r="I639" i="32"/>
  <c r="K639" i="32" s="1"/>
  <c r="X638" i="32"/>
  <c r="S638" i="32"/>
  <c r="R638" i="32"/>
  <c r="Q638" i="32"/>
  <c r="P638" i="32"/>
  <c r="O638" i="32"/>
  <c r="N638" i="32"/>
  <c r="M638" i="32"/>
  <c r="K638" i="32"/>
  <c r="J638" i="32"/>
  <c r="L638" i="32" s="1"/>
  <c r="I638" i="32"/>
  <c r="X637" i="32"/>
  <c r="S637" i="32"/>
  <c r="R637" i="32"/>
  <c r="Q637" i="32"/>
  <c r="P637" i="32"/>
  <c r="O637" i="32"/>
  <c r="N637" i="32"/>
  <c r="M637" i="32"/>
  <c r="J637" i="32"/>
  <c r="L637" i="32" s="1"/>
  <c r="I637" i="32"/>
  <c r="K637" i="32" s="1"/>
  <c r="X636" i="32"/>
  <c r="S636" i="32"/>
  <c r="R636" i="32"/>
  <c r="Q636" i="32"/>
  <c r="P636" i="32"/>
  <c r="O636" i="32"/>
  <c r="N636" i="32"/>
  <c r="M636" i="32"/>
  <c r="L636" i="32"/>
  <c r="AA636" i="32" s="1"/>
  <c r="K636" i="32"/>
  <c r="J636" i="32"/>
  <c r="I636" i="32"/>
  <c r="AA635" i="32"/>
  <c r="X635" i="32"/>
  <c r="S635" i="32"/>
  <c r="R635" i="32"/>
  <c r="Q635" i="32"/>
  <c r="P635" i="32"/>
  <c r="O635" i="32"/>
  <c r="N635" i="32"/>
  <c r="M635" i="32"/>
  <c r="L635" i="32"/>
  <c r="J635" i="32"/>
  <c r="I635" i="32"/>
  <c r="K635" i="32" s="1"/>
  <c r="X634" i="32"/>
  <c r="S634" i="32"/>
  <c r="R634" i="32"/>
  <c r="Q634" i="32"/>
  <c r="P634" i="32"/>
  <c r="O634" i="32"/>
  <c r="N634" i="32"/>
  <c r="M634" i="32"/>
  <c r="K634" i="32"/>
  <c r="AA634" i="32" s="1"/>
  <c r="J634" i="32"/>
  <c r="L634" i="32" s="1"/>
  <c r="I634" i="32"/>
  <c r="X633" i="32"/>
  <c r="S633" i="32"/>
  <c r="R633" i="32"/>
  <c r="Q633" i="32"/>
  <c r="P633" i="32"/>
  <c r="O633" i="32"/>
  <c r="N633" i="32"/>
  <c r="M633" i="32"/>
  <c r="J633" i="32"/>
  <c r="L633" i="32" s="1"/>
  <c r="I633" i="32"/>
  <c r="K633" i="32" s="1"/>
  <c r="X632" i="32"/>
  <c r="S632" i="32"/>
  <c r="R632" i="32"/>
  <c r="Q632" i="32"/>
  <c r="P632" i="32"/>
  <c r="O632" i="32"/>
  <c r="N632" i="32"/>
  <c r="M632" i="32"/>
  <c r="K632" i="32"/>
  <c r="J632" i="32"/>
  <c r="L632" i="32" s="1"/>
  <c r="I632" i="32"/>
  <c r="X631" i="32"/>
  <c r="S631" i="32"/>
  <c r="R631" i="32"/>
  <c r="Q631" i="32"/>
  <c r="P631" i="32"/>
  <c r="O631" i="32"/>
  <c r="N631" i="32"/>
  <c r="M631" i="32"/>
  <c r="L631" i="32"/>
  <c r="J631" i="32"/>
  <c r="I631" i="32"/>
  <c r="K631" i="32" s="1"/>
  <c r="AA631" i="32" s="1"/>
  <c r="X630" i="32"/>
  <c r="S630" i="32"/>
  <c r="R630" i="32"/>
  <c r="Q630" i="32"/>
  <c r="P630" i="32"/>
  <c r="O630" i="32"/>
  <c r="N630" i="32"/>
  <c r="M630" i="32"/>
  <c r="L630" i="32"/>
  <c r="K630" i="32"/>
  <c r="J630" i="32"/>
  <c r="I630" i="32"/>
  <c r="X629" i="32"/>
  <c r="S629" i="32"/>
  <c r="R629" i="32"/>
  <c r="Q629" i="32"/>
  <c r="P629" i="32"/>
  <c r="O629" i="32"/>
  <c r="N629" i="32"/>
  <c r="M629" i="32"/>
  <c r="J629" i="32"/>
  <c r="L629" i="32" s="1"/>
  <c r="I629" i="32"/>
  <c r="K629" i="32" s="1"/>
  <c r="X628" i="32"/>
  <c r="U628" i="32" s="1"/>
  <c r="S628" i="32"/>
  <c r="R628" i="32"/>
  <c r="Q628" i="32"/>
  <c r="P628" i="32"/>
  <c r="O628" i="32"/>
  <c r="N628" i="32"/>
  <c r="M628" i="32"/>
  <c r="J628" i="32"/>
  <c r="L628" i="32" s="1"/>
  <c r="AA628" i="32" s="1"/>
  <c r="I628" i="32"/>
  <c r="K628" i="32" s="1"/>
  <c r="Z628" i="32" s="1"/>
  <c r="X627" i="32"/>
  <c r="S627" i="32"/>
  <c r="R627" i="32"/>
  <c r="Q627" i="32"/>
  <c r="P627" i="32"/>
  <c r="O627" i="32"/>
  <c r="N627" i="32"/>
  <c r="M627" i="32"/>
  <c r="K627" i="32"/>
  <c r="J627" i="32"/>
  <c r="L627" i="32" s="1"/>
  <c r="AA627" i="32" s="1"/>
  <c r="I627" i="32"/>
  <c r="X626" i="32"/>
  <c r="S626" i="32"/>
  <c r="R626" i="32"/>
  <c r="Q626" i="32"/>
  <c r="P626" i="32"/>
  <c r="O626" i="32"/>
  <c r="N626" i="32"/>
  <c r="M626" i="32"/>
  <c r="U626" i="32" s="1"/>
  <c r="L626" i="32"/>
  <c r="K626" i="32"/>
  <c r="J626" i="32"/>
  <c r="I626" i="32"/>
  <c r="X625" i="32"/>
  <c r="S625" i="32"/>
  <c r="R625" i="32"/>
  <c r="Q625" i="32"/>
  <c r="P625" i="32"/>
  <c r="O625" i="32"/>
  <c r="N625" i="32"/>
  <c r="M625" i="32"/>
  <c r="J625" i="32"/>
  <c r="L625" i="32" s="1"/>
  <c r="I625" i="32"/>
  <c r="K625" i="32" s="1"/>
  <c r="X624" i="32"/>
  <c r="S624" i="32"/>
  <c r="R624" i="32"/>
  <c r="Q624" i="32"/>
  <c r="P624" i="32"/>
  <c r="O624" i="32"/>
  <c r="N624" i="32"/>
  <c r="M624" i="32"/>
  <c r="L624" i="32"/>
  <c r="Z624" i="32" s="1"/>
  <c r="J624" i="32"/>
  <c r="I624" i="32"/>
  <c r="K624" i="32" s="1"/>
  <c r="X623" i="32"/>
  <c r="S623" i="32"/>
  <c r="R623" i="32"/>
  <c r="Q623" i="32"/>
  <c r="P623" i="32"/>
  <c r="O623" i="32"/>
  <c r="N623" i="32"/>
  <c r="M623" i="32"/>
  <c r="K623" i="32"/>
  <c r="J623" i="32"/>
  <c r="L623" i="32" s="1"/>
  <c r="I623" i="32"/>
  <c r="X622" i="32"/>
  <c r="S622" i="32"/>
  <c r="R622" i="32"/>
  <c r="Q622" i="32"/>
  <c r="P622" i="32"/>
  <c r="O622" i="32"/>
  <c r="N622" i="32"/>
  <c r="M622" i="32"/>
  <c r="U622" i="32" s="1"/>
  <c r="L622" i="32"/>
  <c r="K622" i="32"/>
  <c r="J622" i="32"/>
  <c r="I622" i="32"/>
  <c r="X621" i="32"/>
  <c r="S621" i="32"/>
  <c r="R621" i="32"/>
  <c r="Q621" i="32"/>
  <c r="P621" i="32"/>
  <c r="O621" i="32"/>
  <c r="N621" i="32"/>
  <c r="M621" i="32"/>
  <c r="J621" i="32"/>
  <c r="L621" i="32" s="1"/>
  <c r="I621" i="32"/>
  <c r="K621" i="32" s="1"/>
  <c r="X620" i="32"/>
  <c r="S620" i="32"/>
  <c r="R620" i="32"/>
  <c r="Q620" i="32"/>
  <c r="P620" i="32"/>
  <c r="O620" i="32"/>
  <c r="N620" i="32"/>
  <c r="M620" i="32"/>
  <c r="J620" i="32"/>
  <c r="L620" i="32" s="1"/>
  <c r="I620" i="32"/>
  <c r="K620" i="32" s="1"/>
  <c r="AA619" i="32"/>
  <c r="X619" i="32"/>
  <c r="U619" i="32" s="1"/>
  <c r="S619" i="32"/>
  <c r="R619" i="32"/>
  <c r="Q619" i="32"/>
  <c r="P619" i="32"/>
  <c r="O619" i="32"/>
  <c r="N619" i="32"/>
  <c r="M619" i="32"/>
  <c r="L619" i="32"/>
  <c r="T619" i="32" s="1"/>
  <c r="K619" i="32"/>
  <c r="J619" i="32"/>
  <c r="I619" i="32"/>
  <c r="X618" i="32"/>
  <c r="S618" i="32"/>
  <c r="R618" i="32"/>
  <c r="Q618" i="32"/>
  <c r="P618" i="32"/>
  <c r="O618" i="32"/>
  <c r="N618" i="32"/>
  <c r="M618" i="32"/>
  <c r="L618" i="32"/>
  <c r="K618" i="32"/>
  <c r="J618" i="32"/>
  <c r="I618" i="32"/>
  <c r="X617" i="32"/>
  <c r="S617" i="32"/>
  <c r="R617" i="32"/>
  <c r="Q617" i="32"/>
  <c r="P617" i="32"/>
  <c r="O617" i="32"/>
  <c r="N617" i="32"/>
  <c r="M617" i="32"/>
  <c r="J617" i="32"/>
  <c r="L617" i="32" s="1"/>
  <c r="I617" i="32"/>
  <c r="K617" i="32" s="1"/>
  <c r="X616" i="32"/>
  <c r="S616" i="32"/>
  <c r="R616" i="32"/>
  <c r="Q616" i="32"/>
  <c r="P616" i="32"/>
  <c r="O616" i="32"/>
  <c r="N616" i="32"/>
  <c r="M616" i="32"/>
  <c r="L616" i="32"/>
  <c r="J616" i="32"/>
  <c r="I616" i="32"/>
  <c r="K616" i="32" s="1"/>
  <c r="X615" i="32"/>
  <c r="S615" i="32"/>
  <c r="R615" i="32"/>
  <c r="Q615" i="32"/>
  <c r="P615" i="32"/>
  <c r="O615" i="32"/>
  <c r="N615" i="32"/>
  <c r="M615" i="32"/>
  <c r="L615" i="32"/>
  <c r="K615" i="32"/>
  <c r="J615" i="32"/>
  <c r="I615" i="32"/>
  <c r="X614" i="32"/>
  <c r="S614" i="32"/>
  <c r="R614" i="32"/>
  <c r="Q614" i="32"/>
  <c r="P614" i="32"/>
  <c r="O614" i="32"/>
  <c r="N614" i="32"/>
  <c r="M614" i="32"/>
  <c r="L614" i="32"/>
  <c r="K614" i="32"/>
  <c r="J614" i="32"/>
  <c r="I614" i="32"/>
  <c r="X613" i="32"/>
  <c r="S613" i="32"/>
  <c r="R613" i="32"/>
  <c r="Q613" i="32"/>
  <c r="P613" i="32"/>
  <c r="O613" i="32"/>
  <c r="N613" i="32"/>
  <c r="M613" i="32"/>
  <c r="J613" i="32"/>
  <c r="L613" i="32" s="1"/>
  <c r="I613" i="32"/>
  <c r="K613" i="32" s="1"/>
  <c r="AA612" i="32"/>
  <c r="X612" i="32"/>
  <c r="U612" i="32" s="1"/>
  <c r="S612" i="32"/>
  <c r="R612" i="32"/>
  <c r="Q612" i="32"/>
  <c r="P612" i="32"/>
  <c r="O612" i="32"/>
  <c r="N612" i="32"/>
  <c r="M612" i="32"/>
  <c r="J612" i="32"/>
  <c r="L612" i="32" s="1"/>
  <c r="I612" i="32"/>
  <c r="K612" i="32" s="1"/>
  <c r="X611" i="32"/>
  <c r="S611" i="32"/>
  <c r="R611" i="32"/>
  <c r="Q611" i="32"/>
  <c r="P611" i="32"/>
  <c r="O611" i="32"/>
  <c r="N611" i="32"/>
  <c r="M611" i="32"/>
  <c r="K611" i="32"/>
  <c r="J611" i="32"/>
  <c r="L611" i="32" s="1"/>
  <c r="I611" i="32"/>
  <c r="X610" i="32"/>
  <c r="S610" i="32"/>
  <c r="R610" i="32"/>
  <c r="Q610" i="32"/>
  <c r="P610" i="32"/>
  <c r="O610" i="32"/>
  <c r="N610" i="32"/>
  <c r="M610" i="32"/>
  <c r="K610" i="32"/>
  <c r="J610" i="32"/>
  <c r="L610" i="32" s="1"/>
  <c r="I610" i="32"/>
  <c r="X609" i="32"/>
  <c r="S609" i="32"/>
  <c r="R609" i="32"/>
  <c r="Q609" i="32"/>
  <c r="P609" i="32"/>
  <c r="O609" i="32"/>
  <c r="N609" i="32"/>
  <c r="M609" i="32"/>
  <c r="K609" i="32"/>
  <c r="J609" i="32"/>
  <c r="L609" i="32" s="1"/>
  <c r="I609" i="32"/>
  <c r="X608" i="32"/>
  <c r="S608" i="32"/>
  <c r="R608" i="32"/>
  <c r="Q608" i="32"/>
  <c r="P608" i="32"/>
  <c r="O608" i="32"/>
  <c r="N608" i="32"/>
  <c r="M608" i="32"/>
  <c r="J608" i="32"/>
  <c r="L608" i="32" s="1"/>
  <c r="I608" i="32"/>
  <c r="K608" i="32" s="1"/>
  <c r="X607" i="32"/>
  <c r="S607" i="32"/>
  <c r="R607" i="32"/>
  <c r="AA607" i="32" s="1"/>
  <c r="Q607" i="32"/>
  <c r="P607" i="32"/>
  <c r="O607" i="32"/>
  <c r="N607" i="32"/>
  <c r="M607" i="32"/>
  <c r="K607" i="32"/>
  <c r="J607" i="32"/>
  <c r="L607" i="32" s="1"/>
  <c r="I607" i="32"/>
  <c r="AA606" i="32"/>
  <c r="X606" i="32"/>
  <c r="T606" i="32"/>
  <c r="S606" i="32"/>
  <c r="R606" i="32"/>
  <c r="Q606" i="32"/>
  <c r="P606" i="32"/>
  <c r="O606" i="32"/>
  <c r="N606" i="32"/>
  <c r="M606" i="32"/>
  <c r="K606" i="32"/>
  <c r="J606" i="32"/>
  <c r="L606" i="32" s="1"/>
  <c r="I606" i="32"/>
  <c r="X605" i="32"/>
  <c r="S605" i="32"/>
  <c r="R605" i="32"/>
  <c r="Q605" i="32"/>
  <c r="P605" i="32"/>
  <c r="O605" i="32"/>
  <c r="N605" i="32"/>
  <c r="M605" i="32"/>
  <c r="K605" i="32"/>
  <c r="J605" i="32"/>
  <c r="L605" i="32" s="1"/>
  <c r="I605" i="32"/>
  <c r="X604" i="32"/>
  <c r="S604" i="32"/>
  <c r="R604" i="32"/>
  <c r="Q604" i="32"/>
  <c r="P604" i="32"/>
  <c r="O604" i="32"/>
  <c r="N604" i="32"/>
  <c r="M604" i="32"/>
  <c r="L604" i="32"/>
  <c r="Z604" i="32" s="1"/>
  <c r="J604" i="32"/>
  <c r="I604" i="32"/>
  <c r="K604" i="32" s="1"/>
  <c r="X603" i="32"/>
  <c r="S603" i="32"/>
  <c r="R603" i="32"/>
  <c r="Q603" i="32"/>
  <c r="P603" i="32"/>
  <c r="O603" i="32"/>
  <c r="N603" i="32"/>
  <c r="M603" i="32"/>
  <c r="K603" i="32"/>
  <c r="J603" i="32"/>
  <c r="L603" i="32" s="1"/>
  <c r="I603" i="32"/>
  <c r="AA602" i="32"/>
  <c r="X602" i="32"/>
  <c r="S602" i="32"/>
  <c r="R602" i="32"/>
  <c r="Q602" i="32"/>
  <c r="P602" i="32"/>
  <c r="O602" i="32"/>
  <c r="N602" i="32"/>
  <c r="M602" i="32"/>
  <c r="L602" i="32"/>
  <c r="T602" i="32" s="1"/>
  <c r="K602" i="32"/>
  <c r="J602" i="32"/>
  <c r="I602" i="32"/>
  <c r="X601" i="32"/>
  <c r="S601" i="32"/>
  <c r="R601" i="32"/>
  <c r="Q601" i="32"/>
  <c r="P601" i="32"/>
  <c r="O601" i="32"/>
  <c r="N601" i="32"/>
  <c r="M601" i="32"/>
  <c r="L601" i="32"/>
  <c r="K601" i="32"/>
  <c r="J601" i="32"/>
  <c r="I601" i="32"/>
  <c r="X600" i="32"/>
  <c r="S600" i="32"/>
  <c r="R600" i="32"/>
  <c r="Q600" i="32"/>
  <c r="P600" i="32"/>
  <c r="O600" i="32"/>
  <c r="N600" i="32"/>
  <c r="M600" i="32"/>
  <c r="J600" i="32"/>
  <c r="L600" i="32" s="1"/>
  <c r="I600" i="32"/>
  <c r="K600" i="32" s="1"/>
  <c r="X599" i="32"/>
  <c r="S599" i="32"/>
  <c r="R599" i="32"/>
  <c r="Q599" i="32"/>
  <c r="P599" i="32"/>
  <c r="O599" i="32"/>
  <c r="N599" i="32"/>
  <c r="M599" i="32"/>
  <c r="L599" i="32"/>
  <c r="T599" i="32" s="1"/>
  <c r="K599" i="32"/>
  <c r="J599" i="32"/>
  <c r="I599" i="32"/>
  <c r="X598" i="32"/>
  <c r="S598" i="32"/>
  <c r="R598" i="32"/>
  <c r="Q598" i="32"/>
  <c r="P598" i="32"/>
  <c r="O598" i="32"/>
  <c r="N598" i="32"/>
  <c r="M598" i="32"/>
  <c r="J598" i="32"/>
  <c r="L598" i="32" s="1"/>
  <c r="I598" i="32"/>
  <c r="K598" i="32" s="1"/>
  <c r="X597" i="32"/>
  <c r="Z597" i="32"/>
  <c r="S597" i="32"/>
  <c r="R597" i="32"/>
  <c r="Q597" i="32"/>
  <c r="P597" i="32"/>
  <c r="O597" i="32"/>
  <c r="N597" i="32"/>
  <c r="M597" i="32"/>
  <c r="L597" i="32"/>
  <c r="T597" i="32" s="1"/>
  <c r="K597" i="32"/>
  <c r="J597" i="32"/>
  <c r="I597" i="32"/>
  <c r="X596" i="32"/>
  <c r="S596" i="32"/>
  <c r="R596" i="32"/>
  <c r="Q596" i="32"/>
  <c r="P596" i="32"/>
  <c r="O596" i="32"/>
  <c r="N596" i="32"/>
  <c r="M596" i="32"/>
  <c r="J596" i="32"/>
  <c r="L596" i="32" s="1"/>
  <c r="U596" i="32" s="1"/>
  <c r="I596" i="32"/>
  <c r="K596" i="32" s="1"/>
  <c r="X595" i="32"/>
  <c r="S595" i="32"/>
  <c r="R595" i="32"/>
  <c r="Q595" i="32"/>
  <c r="P595" i="32"/>
  <c r="O595" i="32"/>
  <c r="N595" i="32"/>
  <c r="M595" i="32"/>
  <c r="L595" i="32"/>
  <c r="K595" i="32"/>
  <c r="J595" i="32"/>
  <c r="I595" i="32"/>
  <c r="X594" i="32"/>
  <c r="S594" i="32"/>
  <c r="R594" i="32"/>
  <c r="Q594" i="32"/>
  <c r="P594" i="32"/>
  <c r="O594" i="32"/>
  <c r="N594" i="32"/>
  <c r="M594" i="32"/>
  <c r="J594" i="32"/>
  <c r="L594" i="32" s="1"/>
  <c r="I594" i="32"/>
  <c r="K594" i="32" s="1"/>
  <c r="X593" i="32"/>
  <c r="S593" i="32"/>
  <c r="R593" i="32"/>
  <c r="Q593" i="32"/>
  <c r="P593" i="32"/>
  <c r="O593" i="32"/>
  <c r="N593" i="32"/>
  <c r="M593" i="32"/>
  <c r="K593" i="32"/>
  <c r="J593" i="32"/>
  <c r="L593" i="32" s="1"/>
  <c r="I593" i="32"/>
  <c r="X592" i="32"/>
  <c r="S592" i="32"/>
  <c r="R592" i="32"/>
  <c r="Q592" i="32"/>
  <c r="P592" i="32"/>
  <c r="O592" i="32"/>
  <c r="N592" i="32"/>
  <c r="M592" i="32"/>
  <c r="J592" i="32"/>
  <c r="L592" i="32" s="1"/>
  <c r="I592" i="32"/>
  <c r="K592" i="32" s="1"/>
  <c r="X591" i="32"/>
  <c r="AA591" i="32"/>
  <c r="S591" i="32"/>
  <c r="R591" i="32"/>
  <c r="Q591" i="32"/>
  <c r="P591" i="32"/>
  <c r="O591" i="32"/>
  <c r="N591" i="32"/>
  <c r="M591" i="32"/>
  <c r="L591" i="32"/>
  <c r="K591" i="32"/>
  <c r="J591" i="32"/>
  <c r="I591" i="32"/>
  <c r="X590" i="32"/>
  <c r="S590" i="32"/>
  <c r="R590" i="32"/>
  <c r="Q590" i="32"/>
  <c r="P590" i="32"/>
  <c r="O590" i="32"/>
  <c r="N590" i="32"/>
  <c r="M590" i="32"/>
  <c r="J590" i="32"/>
  <c r="L590" i="32" s="1"/>
  <c r="I590" i="32"/>
  <c r="K590" i="32" s="1"/>
  <c r="X589" i="32"/>
  <c r="U589" i="32" s="1"/>
  <c r="S589" i="32"/>
  <c r="R589" i="32"/>
  <c r="Q589" i="32"/>
  <c r="P589" i="32"/>
  <c r="O589" i="32"/>
  <c r="N589" i="32"/>
  <c r="M589" i="32"/>
  <c r="L589" i="32"/>
  <c r="K589" i="32"/>
  <c r="J589" i="32"/>
  <c r="I589" i="32"/>
  <c r="X588" i="32"/>
  <c r="S588" i="32"/>
  <c r="R588" i="32"/>
  <c r="Q588" i="32"/>
  <c r="P588" i="32"/>
  <c r="O588" i="32"/>
  <c r="N588" i="32"/>
  <c r="M588" i="32"/>
  <c r="L588" i="32"/>
  <c r="U588" i="32" s="1"/>
  <c r="J588" i="32"/>
  <c r="I588" i="32"/>
  <c r="K588" i="32" s="1"/>
  <c r="X587" i="32"/>
  <c r="S587" i="32"/>
  <c r="R587" i="32"/>
  <c r="Q587" i="32"/>
  <c r="P587" i="32"/>
  <c r="O587" i="32"/>
  <c r="N587" i="32"/>
  <c r="M587" i="32"/>
  <c r="L587" i="32"/>
  <c r="K587" i="32"/>
  <c r="J587" i="32"/>
  <c r="I587" i="32"/>
  <c r="X586" i="32"/>
  <c r="S586" i="32"/>
  <c r="R586" i="32"/>
  <c r="Q586" i="32"/>
  <c r="P586" i="32"/>
  <c r="O586" i="32"/>
  <c r="N586" i="32"/>
  <c r="M586" i="32"/>
  <c r="J586" i="32"/>
  <c r="L586" i="32" s="1"/>
  <c r="I586" i="32"/>
  <c r="K586" i="32" s="1"/>
  <c r="X585" i="32"/>
  <c r="S585" i="32"/>
  <c r="R585" i="32"/>
  <c r="Q585" i="32"/>
  <c r="P585" i="32"/>
  <c r="O585" i="32"/>
  <c r="N585" i="32"/>
  <c r="M585" i="32"/>
  <c r="L585" i="32"/>
  <c r="K585" i="32"/>
  <c r="J585" i="32"/>
  <c r="I585" i="32"/>
  <c r="X584" i="32"/>
  <c r="S584" i="32"/>
  <c r="R584" i="32"/>
  <c r="Q584" i="32"/>
  <c r="P584" i="32"/>
  <c r="O584" i="32"/>
  <c r="N584" i="32"/>
  <c r="M584" i="32"/>
  <c r="L584" i="32"/>
  <c r="J584" i="32"/>
  <c r="I584" i="32"/>
  <c r="K584" i="32" s="1"/>
  <c r="X583" i="32"/>
  <c r="S583" i="32"/>
  <c r="R583" i="32"/>
  <c r="Q583" i="32"/>
  <c r="P583" i="32"/>
  <c r="O583" i="32"/>
  <c r="N583" i="32"/>
  <c r="M583" i="32"/>
  <c r="L583" i="32"/>
  <c r="K583" i="32"/>
  <c r="J583" i="32"/>
  <c r="I583" i="32"/>
  <c r="X582" i="32"/>
  <c r="S582" i="32"/>
  <c r="R582" i="32"/>
  <c r="Q582" i="32"/>
  <c r="P582" i="32"/>
  <c r="O582" i="32"/>
  <c r="N582" i="32"/>
  <c r="M582" i="32"/>
  <c r="J582" i="32"/>
  <c r="L582" i="32" s="1"/>
  <c r="I582" i="32"/>
  <c r="K582" i="32" s="1"/>
  <c r="X581" i="32"/>
  <c r="S581" i="32"/>
  <c r="R581" i="32"/>
  <c r="Q581" i="32"/>
  <c r="P581" i="32"/>
  <c r="O581" i="32"/>
  <c r="N581" i="32"/>
  <c r="M581" i="32"/>
  <c r="K581" i="32"/>
  <c r="J581" i="32"/>
  <c r="L581" i="32" s="1"/>
  <c r="I581" i="32"/>
  <c r="X580" i="32"/>
  <c r="S580" i="32"/>
  <c r="R580" i="32"/>
  <c r="Q580" i="32"/>
  <c r="P580" i="32"/>
  <c r="O580" i="32"/>
  <c r="N580" i="32"/>
  <c r="M580" i="32"/>
  <c r="L580" i="32"/>
  <c r="J580" i="32"/>
  <c r="I580" i="32"/>
  <c r="K580" i="32" s="1"/>
  <c r="X579" i="32"/>
  <c r="S579" i="32"/>
  <c r="R579" i="32"/>
  <c r="Q579" i="32"/>
  <c r="P579" i="32"/>
  <c r="O579" i="32"/>
  <c r="N579" i="32"/>
  <c r="M579" i="32"/>
  <c r="L579" i="32"/>
  <c r="K579" i="32"/>
  <c r="J579" i="32"/>
  <c r="I579" i="32"/>
  <c r="X578" i="32"/>
  <c r="S578" i="32"/>
  <c r="R578" i="32"/>
  <c r="Q578" i="32"/>
  <c r="P578" i="32"/>
  <c r="O578" i="32"/>
  <c r="N578" i="32"/>
  <c r="M578" i="32"/>
  <c r="J578" i="32"/>
  <c r="L578" i="32" s="1"/>
  <c r="I578" i="32"/>
  <c r="K578" i="32" s="1"/>
  <c r="X577" i="32"/>
  <c r="S577" i="32"/>
  <c r="R577" i="32"/>
  <c r="Q577" i="32"/>
  <c r="P577" i="32"/>
  <c r="O577" i="32"/>
  <c r="N577" i="32"/>
  <c r="M577" i="32"/>
  <c r="K577" i="32"/>
  <c r="J577" i="32"/>
  <c r="L577" i="32" s="1"/>
  <c r="I577" i="32"/>
  <c r="X576" i="32"/>
  <c r="S576" i="32"/>
  <c r="R576" i="32"/>
  <c r="Q576" i="32"/>
  <c r="P576" i="32"/>
  <c r="O576" i="32"/>
  <c r="N576" i="32"/>
  <c r="M576" i="32"/>
  <c r="J576" i="32"/>
  <c r="L576" i="32" s="1"/>
  <c r="I576" i="32"/>
  <c r="K576" i="32" s="1"/>
  <c r="X575" i="32"/>
  <c r="S575" i="32"/>
  <c r="R575" i="32"/>
  <c r="Q575" i="32"/>
  <c r="P575" i="32"/>
  <c r="O575" i="32"/>
  <c r="N575" i="32"/>
  <c r="M575" i="32"/>
  <c r="L575" i="32"/>
  <c r="T575" i="32" s="1"/>
  <c r="K575" i="32"/>
  <c r="J575" i="32"/>
  <c r="I575" i="32"/>
  <c r="X574" i="32"/>
  <c r="S574" i="32"/>
  <c r="R574" i="32"/>
  <c r="Q574" i="32"/>
  <c r="P574" i="32"/>
  <c r="O574" i="32"/>
  <c r="N574" i="32"/>
  <c r="M574" i="32"/>
  <c r="J574" i="32"/>
  <c r="L574" i="32" s="1"/>
  <c r="I574" i="32"/>
  <c r="K574" i="32" s="1"/>
  <c r="X573" i="32"/>
  <c r="S573" i="32"/>
  <c r="R573" i="32"/>
  <c r="Q573" i="32"/>
  <c r="P573" i="32"/>
  <c r="O573" i="32"/>
  <c r="N573" i="32"/>
  <c r="M573" i="32"/>
  <c r="K573" i="32"/>
  <c r="J573" i="32"/>
  <c r="L573" i="32" s="1"/>
  <c r="I573" i="32"/>
  <c r="X572" i="32"/>
  <c r="S572" i="32"/>
  <c r="R572" i="32"/>
  <c r="Q572" i="32"/>
  <c r="P572" i="32"/>
  <c r="O572" i="32"/>
  <c r="N572" i="32"/>
  <c r="M572" i="32"/>
  <c r="J572" i="32"/>
  <c r="L572" i="32" s="1"/>
  <c r="I572" i="32"/>
  <c r="K572" i="32" s="1"/>
  <c r="X571" i="32"/>
  <c r="S571" i="32"/>
  <c r="R571" i="32"/>
  <c r="Q571" i="32"/>
  <c r="P571" i="32"/>
  <c r="O571" i="32"/>
  <c r="N571" i="32"/>
  <c r="M571" i="32"/>
  <c r="L571" i="32"/>
  <c r="K571" i="32"/>
  <c r="J571" i="32"/>
  <c r="I571" i="32"/>
  <c r="X570" i="32"/>
  <c r="S570" i="32"/>
  <c r="R570" i="32"/>
  <c r="Q570" i="32"/>
  <c r="P570" i="32"/>
  <c r="O570" i="32"/>
  <c r="N570" i="32"/>
  <c r="M570" i="32"/>
  <c r="J570" i="32"/>
  <c r="L570" i="32" s="1"/>
  <c r="I570" i="32"/>
  <c r="K570" i="32" s="1"/>
  <c r="X569" i="32"/>
  <c r="S569" i="32"/>
  <c r="R569" i="32"/>
  <c r="Q569" i="32"/>
  <c r="P569" i="32"/>
  <c r="O569" i="32"/>
  <c r="N569" i="32"/>
  <c r="M569" i="32"/>
  <c r="L569" i="32"/>
  <c r="AA569" i="32" s="1"/>
  <c r="K569" i="32"/>
  <c r="J569" i="32"/>
  <c r="I569" i="32"/>
  <c r="AA568" i="32"/>
  <c r="X568" i="32"/>
  <c r="S568" i="32"/>
  <c r="R568" i="32"/>
  <c r="Q568" i="32"/>
  <c r="P568" i="32"/>
  <c r="O568" i="32"/>
  <c r="N568" i="32"/>
  <c r="M568" i="32"/>
  <c r="L568" i="32"/>
  <c r="J568" i="32"/>
  <c r="I568" i="32"/>
  <c r="K568" i="32" s="1"/>
  <c r="X567" i="32"/>
  <c r="S567" i="32"/>
  <c r="R567" i="32"/>
  <c r="Q567" i="32"/>
  <c r="P567" i="32"/>
  <c r="O567" i="32"/>
  <c r="N567" i="32"/>
  <c r="M567" i="32"/>
  <c r="L567" i="32"/>
  <c r="K567" i="32"/>
  <c r="J567" i="32"/>
  <c r="I567" i="32"/>
  <c r="X566" i="32"/>
  <c r="S566" i="32"/>
  <c r="R566" i="32"/>
  <c r="Q566" i="32"/>
  <c r="P566" i="32"/>
  <c r="O566" i="32"/>
  <c r="N566" i="32"/>
  <c r="M566" i="32"/>
  <c r="J566" i="32"/>
  <c r="L566" i="32" s="1"/>
  <c r="I566" i="32"/>
  <c r="K566" i="32" s="1"/>
  <c r="X565" i="32"/>
  <c r="S565" i="32"/>
  <c r="R565" i="32"/>
  <c r="Q565" i="32"/>
  <c r="P565" i="32"/>
  <c r="O565" i="32"/>
  <c r="N565" i="32"/>
  <c r="M565" i="32"/>
  <c r="L565" i="32"/>
  <c r="K565" i="32"/>
  <c r="J565" i="32"/>
  <c r="I565" i="32"/>
  <c r="X564" i="32"/>
  <c r="S564" i="32"/>
  <c r="R564" i="32"/>
  <c r="Q564" i="32"/>
  <c r="P564" i="32"/>
  <c r="O564" i="32"/>
  <c r="N564" i="32"/>
  <c r="Z564" i="32" s="1"/>
  <c r="M564" i="32"/>
  <c r="J564" i="32"/>
  <c r="L564" i="32" s="1"/>
  <c r="I564" i="32"/>
  <c r="K564" i="32" s="1"/>
  <c r="X563" i="32"/>
  <c r="S563" i="32"/>
  <c r="R563" i="32"/>
  <c r="Q563" i="32"/>
  <c r="P563" i="32"/>
  <c r="O563" i="32"/>
  <c r="N563" i="32"/>
  <c r="M563" i="32"/>
  <c r="I563" i="32"/>
  <c r="K563" i="32" s="1"/>
  <c r="T563" i="32" s="1"/>
  <c r="X562" i="32"/>
  <c r="S562" i="32"/>
  <c r="R562" i="32"/>
  <c r="Q562" i="32"/>
  <c r="P562" i="32"/>
  <c r="O562" i="32"/>
  <c r="N562" i="32"/>
  <c r="M562" i="32"/>
  <c r="L562" i="32"/>
  <c r="K562" i="32"/>
  <c r="J562" i="32"/>
  <c r="I562" i="32"/>
  <c r="X561" i="32"/>
  <c r="S561" i="32"/>
  <c r="R561" i="32"/>
  <c r="Q561" i="32"/>
  <c r="P561" i="32"/>
  <c r="O561" i="32"/>
  <c r="N561" i="32"/>
  <c r="M561" i="32"/>
  <c r="J561" i="32"/>
  <c r="L561" i="32" s="1"/>
  <c r="U561" i="32" s="1"/>
  <c r="I561" i="32"/>
  <c r="K561" i="32" s="1"/>
  <c r="X560" i="32"/>
  <c r="S560" i="32"/>
  <c r="R560" i="32"/>
  <c r="Q560" i="32"/>
  <c r="P560" i="32"/>
  <c r="O560" i="32"/>
  <c r="AA560" i="32" s="1"/>
  <c r="N560" i="32"/>
  <c r="M560" i="32"/>
  <c r="K560" i="32"/>
  <c r="J560" i="32"/>
  <c r="L560" i="32" s="1"/>
  <c r="I560" i="32"/>
  <c r="AA559" i="32"/>
  <c r="X559" i="32"/>
  <c r="S559" i="32"/>
  <c r="R559" i="32"/>
  <c r="Q559" i="32"/>
  <c r="P559" i="32"/>
  <c r="O559" i="32"/>
  <c r="N559" i="32"/>
  <c r="M559" i="32"/>
  <c r="L559" i="32"/>
  <c r="J559" i="32"/>
  <c r="I559" i="32"/>
  <c r="K559" i="32" s="1"/>
  <c r="X558" i="32"/>
  <c r="S558" i="32"/>
  <c r="R558" i="32"/>
  <c r="Q558" i="32"/>
  <c r="P558" i="32"/>
  <c r="O558" i="32"/>
  <c r="N558" i="32"/>
  <c r="M558" i="32"/>
  <c r="K558" i="32"/>
  <c r="J558" i="32"/>
  <c r="L558" i="32" s="1"/>
  <c r="I558" i="32"/>
  <c r="X557" i="32"/>
  <c r="S557" i="32"/>
  <c r="R557" i="32"/>
  <c r="Q557" i="32"/>
  <c r="P557" i="32"/>
  <c r="O557" i="32"/>
  <c r="N557" i="32"/>
  <c r="M557" i="32"/>
  <c r="L557" i="32"/>
  <c r="J557" i="32"/>
  <c r="I557" i="32"/>
  <c r="K557" i="32" s="1"/>
  <c r="X556" i="32"/>
  <c r="S556" i="32"/>
  <c r="R556" i="32"/>
  <c r="Q556" i="32"/>
  <c r="P556" i="32"/>
  <c r="O556" i="32"/>
  <c r="N556" i="32"/>
  <c r="M556" i="32"/>
  <c r="L556" i="32"/>
  <c r="K556" i="32"/>
  <c r="J556" i="32"/>
  <c r="I556" i="32"/>
  <c r="X555" i="32"/>
  <c r="S555" i="32"/>
  <c r="R555" i="32"/>
  <c r="Q555" i="32"/>
  <c r="P555" i="32"/>
  <c r="O555" i="32"/>
  <c r="N555" i="32"/>
  <c r="M555" i="32"/>
  <c r="J555" i="32"/>
  <c r="L555" i="32" s="1"/>
  <c r="U555" i="32" s="1"/>
  <c r="I555" i="32"/>
  <c r="K555" i="32" s="1"/>
  <c r="X554" i="32"/>
  <c r="S554" i="32"/>
  <c r="R554" i="32"/>
  <c r="Q554" i="32"/>
  <c r="P554" i="32"/>
  <c r="O554" i="32"/>
  <c r="N554" i="32"/>
  <c r="M554" i="32"/>
  <c r="L554" i="32"/>
  <c r="T554" i="32" s="1"/>
  <c r="K554" i="32"/>
  <c r="J554" i="32"/>
  <c r="I554" i="32"/>
  <c r="X553" i="32"/>
  <c r="S553" i="32"/>
  <c r="R553" i="32"/>
  <c r="Q553" i="32"/>
  <c r="P553" i="32"/>
  <c r="O553" i="32"/>
  <c r="N553" i="32"/>
  <c r="M553" i="32"/>
  <c r="J553" i="32"/>
  <c r="L553" i="32" s="1"/>
  <c r="I553" i="32"/>
  <c r="K553" i="32" s="1"/>
  <c r="X552" i="32"/>
  <c r="S552" i="32"/>
  <c r="R552" i="32"/>
  <c r="Q552" i="32"/>
  <c r="P552" i="32"/>
  <c r="O552" i="32"/>
  <c r="N552" i="32"/>
  <c r="M552" i="32"/>
  <c r="K552" i="32"/>
  <c r="J552" i="32"/>
  <c r="L552" i="32" s="1"/>
  <c r="I552" i="32"/>
  <c r="X551" i="32"/>
  <c r="S551" i="32"/>
  <c r="R551" i="32"/>
  <c r="Q551" i="32"/>
  <c r="P551" i="32"/>
  <c r="O551" i="32"/>
  <c r="N551" i="32"/>
  <c r="M551" i="32"/>
  <c r="U551" i="32" s="1"/>
  <c r="L551" i="32"/>
  <c r="T551" i="32" s="1"/>
  <c r="J551" i="32"/>
  <c r="I551" i="32"/>
  <c r="K551" i="32" s="1"/>
  <c r="X550" i="32"/>
  <c r="S550" i="32"/>
  <c r="R550" i="32"/>
  <c r="Q550" i="32"/>
  <c r="P550" i="32"/>
  <c r="O550" i="32"/>
  <c r="N550" i="32"/>
  <c r="M550" i="32"/>
  <c r="L550" i="32"/>
  <c r="K550" i="32"/>
  <c r="J550" i="32"/>
  <c r="I550" i="32"/>
  <c r="X549" i="32"/>
  <c r="S549" i="32"/>
  <c r="R549" i="32"/>
  <c r="Q549" i="32"/>
  <c r="P549" i="32"/>
  <c r="O549" i="32"/>
  <c r="N549" i="32"/>
  <c r="M549" i="32"/>
  <c r="J549" i="32"/>
  <c r="L549" i="32" s="1"/>
  <c r="I549" i="32"/>
  <c r="K549" i="32" s="1"/>
  <c r="X548" i="32"/>
  <c r="S548" i="32"/>
  <c r="R548" i="32"/>
  <c r="Q548" i="32"/>
  <c r="P548" i="32"/>
  <c r="O548" i="32"/>
  <c r="AA548" i="32" s="1"/>
  <c r="N548" i="32"/>
  <c r="M548" i="32"/>
  <c r="L548" i="32"/>
  <c r="K548" i="32"/>
  <c r="J548" i="32"/>
  <c r="I548" i="32"/>
  <c r="AA547" i="32"/>
  <c r="Z547" i="32"/>
  <c r="X547" i="32"/>
  <c r="S547" i="32"/>
  <c r="R547" i="32"/>
  <c r="Q547" i="32"/>
  <c r="P547" i="32"/>
  <c r="O547" i="32"/>
  <c r="N547" i="32"/>
  <c r="M547" i="32"/>
  <c r="L547" i="32"/>
  <c r="J547" i="32"/>
  <c r="I547" i="32"/>
  <c r="K547" i="32" s="1"/>
  <c r="X546" i="32"/>
  <c r="S546" i="32"/>
  <c r="R546" i="32"/>
  <c r="Q546" i="32"/>
  <c r="P546" i="32"/>
  <c r="O546" i="32"/>
  <c r="N546" i="32"/>
  <c r="M546" i="32"/>
  <c r="K546" i="32"/>
  <c r="J546" i="32"/>
  <c r="L546" i="32" s="1"/>
  <c r="I546" i="32"/>
  <c r="X545" i="32"/>
  <c r="S545" i="32"/>
  <c r="R545" i="32"/>
  <c r="Q545" i="32"/>
  <c r="P545" i="32"/>
  <c r="O545" i="32"/>
  <c r="N545" i="32"/>
  <c r="M545" i="32"/>
  <c r="J545" i="32"/>
  <c r="L545" i="32" s="1"/>
  <c r="I545" i="32"/>
  <c r="K545" i="32" s="1"/>
  <c r="X544" i="32"/>
  <c r="S544" i="32"/>
  <c r="R544" i="32"/>
  <c r="Q544" i="32"/>
  <c r="P544" i="32"/>
  <c r="O544" i="32"/>
  <c r="N544" i="32"/>
  <c r="M544" i="32"/>
  <c r="K544" i="32"/>
  <c r="J544" i="32"/>
  <c r="L544" i="32" s="1"/>
  <c r="I544" i="32"/>
  <c r="X543" i="32"/>
  <c r="S543" i="32"/>
  <c r="R543" i="32"/>
  <c r="Q543" i="32"/>
  <c r="P543" i="32"/>
  <c r="O543" i="32"/>
  <c r="N543" i="32"/>
  <c r="M543" i="32"/>
  <c r="J543" i="32"/>
  <c r="L543" i="32" s="1"/>
  <c r="I543" i="32"/>
  <c r="K543" i="32" s="1"/>
  <c r="X542" i="32"/>
  <c r="S542" i="32"/>
  <c r="R542" i="32"/>
  <c r="Q542" i="32"/>
  <c r="P542" i="32"/>
  <c r="O542" i="32"/>
  <c r="N542" i="32"/>
  <c r="M542" i="32"/>
  <c r="K542" i="32"/>
  <c r="J542" i="32"/>
  <c r="L542" i="32" s="1"/>
  <c r="I542" i="32"/>
  <c r="X541" i="32"/>
  <c r="S541" i="32"/>
  <c r="R541" i="32"/>
  <c r="Q541" i="32"/>
  <c r="P541" i="32"/>
  <c r="O541" i="32"/>
  <c r="N541" i="32"/>
  <c r="M541" i="32"/>
  <c r="L541" i="32"/>
  <c r="J541" i="32"/>
  <c r="I541" i="32"/>
  <c r="K541" i="32" s="1"/>
  <c r="X540" i="32"/>
  <c r="S540" i="32"/>
  <c r="R540" i="32"/>
  <c r="Q540" i="32"/>
  <c r="P540" i="32"/>
  <c r="O540" i="32"/>
  <c r="N540" i="32"/>
  <c r="M540" i="32"/>
  <c r="L540" i="32"/>
  <c r="T540" i="32" s="1"/>
  <c r="K540" i="32"/>
  <c r="J540" i="32"/>
  <c r="I540" i="32"/>
  <c r="X539" i="32"/>
  <c r="S539" i="32"/>
  <c r="R539" i="32"/>
  <c r="Q539" i="32"/>
  <c r="P539" i="32"/>
  <c r="O539" i="32"/>
  <c r="N539" i="32"/>
  <c r="AA539" i="32" s="1"/>
  <c r="M539" i="32"/>
  <c r="J539" i="32"/>
  <c r="L539" i="32" s="1"/>
  <c r="I539" i="32"/>
  <c r="K539" i="32" s="1"/>
  <c r="X538" i="32"/>
  <c r="S538" i="32"/>
  <c r="R538" i="32"/>
  <c r="Q538" i="32"/>
  <c r="P538" i="32"/>
  <c r="O538" i="32"/>
  <c r="N538" i="32"/>
  <c r="M538" i="32"/>
  <c r="K538" i="32"/>
  <c r="J538" i="32"/>
  <c r="L538" i="32" s="1"/>
  <c r="I538" i="32"/>
  <c r="X537" i="32"/>
  <c r="S537" i="32"/>
  <c r="R537" i="32"/>
  <c r="Q537" i="32"/>
  <c r="P537" i="32"/>
  <c r="O537" i="32"/>
  <c r="N537" i="32"/>
  <c r="M537" i="32"/>
  <c r="L537" i="32"/>
  <c r="U537" i="32" s="1"/>
  <c r="J537" i="32"/>
  <c r="I537" i="32"/>
  <c r="K537" i="32" s="1"/>
  <c r="X536" i="32"/>
  <c r="S536" i="32"/>
  <c r="R536" i="32"/>
  <c r="Q536" i="32"/>
  <c r="P536" i="32"/>
  <c r="O536" i="32"/>
  <c r="N536" i="32"/>
  <c r="M536" i="32"/>
  <c r="K536" i="32"/>
  <c r="J536" i="32"/>
  <c r="L536" i="32" s="1"/>
  <c r="I536" i="32"/>
  <c r="X535" i="32"/>
  <c r="S535" i="32"/>
  <c r="R535" i="32"/>
  <c r="Q535" i="32"/>
  <c r="P535" i="32"/>
  <c r="O535" i="32"/>
  <c r="N535" i="32"/>
  <c r="M535" i="32"/>
  <c r="U535" i="32" s="1"/>
  <c r="L535" i="32"/>
  <c r="J535" i="32"/>
  <c r="I535" i="32"/>
  <c r="K535" i="32" s="1"/>
  <c r="X534" i="32"/>
  <c r="S534" i="32"/>
  <c r="R534" i="32"/>
  <c r="Q534" i="32"/>
  <c r="P534" i="32"/>
  <c r="O534" i="32"/>
  <c r="N534" i="32"/>
  <c r="M534" i="32"/>
  <c r="L534" i="32"/>
  <c r="U534" i="32" s="1"/>
  <c r="K534" i="32"/>
  <c r="J534" i="32"/>
  <c r="I534" i="32"/>
  <c r="X533" i="32"/>
  <c r="S533" i="32"/>
  <c r="R533" i="32"/>
  <c r="Q533" i="32"/>
  <c r="P533" i="32"/>
  <c r="O533" i="32"/>
  <c r="N533" i="32"/>
  <c r="M533" i="32"/>
  <c r="L533" i="32"/>
  <c r="J533" i="32"/>
  <c r="I533" i="32"/>
  <c r="K533" i="32" s="1"/>
  <c r="X532" i="32"/>
  <c r="S532" i="32"/>
  <c r="R532" i="32"/>
  <c r="Q532" i="32"/>
  <c r="P532" i="32"/>
  <c r="O532" i="32"/>
  <c r="N532" i="32"/>
  <c r="M532" i="32"/>
  <c r="J532" i="32"/>
  <c r="L532" i="32" s="1"/>
  <c r="I532" i="32"/>
  <c r="K532" i="32" s="1"/>
  <c r="X531" i="32"/>
  <c r="S531" i="32"/>
  <c r="R531" i="32"/>
  <c r="Q531" i="32"/>
  <c r="P531" i="32"/>
  <c r="O531" i="32"/>
  <c r="N531" i="32"/>
  <c r="M531" i="32"/>
  <c r="L531" i="32"/>
  <c r="K531" i="32"/>
  <c r="Z531" i="32" s="1"/>
  <c r="J531" i="32"/>
  <c r="I531" i="32"/>
  <c r="X530" i="32"/>
  <c r="S530" i="32"/>
  <c r="R530" i="32"/>
  <c r="Q530" i="32"/>
  <c r="P530" i="32"/>
  <c r="O530" i="32"/>
  <c r="N530" i="32"/>
  <c r="M530" i="32"/>
  <c r="L530" i="32"/>
  <c r="U530" i="32" s="1"/>
  <c r="K530" i="32"/>
  <c r="J530" i="32"/>
  <c r="I530" i="32"/>
  <c r="X529" i="32"/>
  <c r="S529" i="32"/>
  <c r="R529" i="32"/>
  <c r="Q529" i="32"/>
  <c r="P529" i="32"/>
  <c r="O529" i="32"/>
  <c r="N529" i="32"/>
  <c r="M529" i="32"/>
  <c r="J529" i="32"/>
  <c r="L529" i="32" s="1"/>
  <c r="I529" i="32"/>
  <c r="K529" i="32" s="1"/>
  <c r="X528" i="32"/>
  <c r="S528" i="32"/>
  <c r="R528" i="32"/>
  <c r="Q528" i="32"/>
  <c r="P528" i="32"/>
  <c r="O528" i="32"/>
  <c r="N528" i="32"/>
  <c r="M528" i="32"/>
  <c r="L528" i="32"/>
  <c r="K528" i="32"/>
  <c r="J528" i="32"/>
  <c r="I528" i="32"/>
  <c r="X527" i="32"/>
  <c r="S527" i="32"/>
  <c r="R527" i="32"/>
  <c r="Q527" i="32"/>
  <c r="P527" i="32"/>
  <c r="O527" i="32"/>
  <c r="N527" i="32"/>
  <c r="M527" i="32"/>
  <c r="J527" i="32"/>
  <c r="L527" i="32" s="1"/>
  <c r="I527" i="32"/>
  <c r="K527" i="32" s="1"/>
  <c r="X526" i="32"/>
  <c r="S526" i="32"/>
  <c r="R526" i="32"/>
  <c r="Q526" i="32"/>
  <c r="P526" i="32"/>
  <c r="O526" i="32"/>
  <c r="N526" i="32"/>
  <c r="M526" i="32"/>
  <c r="K526" i="32"/>
  <c r="J526" i="32"/>
  <c r="L526" i="32" s="1"/>
  <c r="I526" i="32"/>
  <c r="X525" i="32"/>
  <c r="S525" i="32"/>
  <c r="R525" i="32"/>
  <c r="Q525" i="32"/>
  <c r="P525" i="32"/>
  <c r="O525" i="32"/>
  <c r="N525" i="32"/>
  <c r="M525" i="32"/>
  <c r="J525" i="32"/>
  <c r="L525" i="32" s="1"/>
  <c r="I525" i="32"/>
  <c r="K525" i="32" s="1"/>
  <c r="X524" i="32"/>
  <c r="S524" i="32"/>
  <c r="R524" i="32"/>
  <c r="Q524" i="32"/>
  <c r="P524" i="32"/>
  <c r="O524" i="32"/>
  <c r="N524" i="32"/>
  <c r="M524" i="32"/>
  <c r="L524" i="32"/>
  <c r="K524" i="32"/>
  <c r="U524" i="32" s="1"/>
  <c r="J524" i="32"/>
  <c r="I524" i="32"/>
  <c r="X523" i="32"/>
  <c r="S523" i="32"/>
  <c r="R523" i="32"/>
  <c r="Q523" i="32"/>
  <c r="P523" i="32"/>
  <c r="O523" i="32"/>
  <c r="N523" i="32"/>
  <c r="M523" i="32"/>
  <c r="J523" i="32"/>
  <c r="L523" i="32" s="1"/>
  <c r="I523" i="32"/>
  <c r="K523" i="32" s="1"/>
  <c r="U523" i="32" s="1"/>
  <c r="X522" i="32"/>
  <c r="S522" i="32"/>
  <c r="R522" i="32"/>
  <c r="Q522" i="32"/>
  <c r="P522" i="32"/>
  <c r="O522" i="32"/>
  <c r="AA522" i="32" s="1"/>
  <c r="N522" i="32"/>
  <c r="M522" i="32"/>
  <c r="K522" i="32"/>
  <c r="J522" i="32"/>
  <c r="L522" i="32" s="1"/>
  <c r="I522" i="32"/>
  <c r="X521" i="32"/>
  <c r="S521" i="32"/>
  <c r="R521" i="32"/>
  <c r="Q521" i="32"/>
  <c r="P521" i="32"/>
  <c r="O521" i="32"/>
  <c r="N521" i="32"/>
  <c r="M521" i="32"/>
  <c r="J521" i="32"/>
  <c r="L521" i="32" s="1"/>
  <c r="I521" i="32"/>
  <c r="K521" i="32" s="1"/>
  <c r="X520" i="32"/>
  <c r="AA520" i="32"/>
  <c r="S520" i="32"/>
  <c r="R520" i="32"/>
  <c r="Q520" i="32"/>
  <c r="P520" i="32"/>
  <c r="O520" i="32"/>
  <c r="N520" i="32"/>
  <c r="M520" i="32"/>
  <c r="L520" i="32"/>
  <c r="K520" i="32"/>
  <c r="J520" i="32"/>
  <c r="I520" i="32"/>
  <c r="X519" i="32"/>
  <c r="S519" i="32"/>
  <c r="R519" i="32"/>
  <c r="Q519" i="32"/>
  <c r="P519" i="32"/>
  <c r="O519" i="32"/>
  <c r="N519" i="32"/>
  <c r="M519" i="32"/>
  <c r="J519" i="32"/>
  <c r="L519" i="32" s="1"/>
  <c r="I519" i="32"/>
  <c r="K519" i="32" s="1"/>
  <c r="X518" i="32"/>
  <c r="S518" i="32"/>
  <c r="R518" i="32"/>
  <c r="Q518" i="32"/>
  <c r="P518" i="32"/>
  <c r="O518" i="32"/>
  <c r="N518" i="32"/>
  <c r="M518" i="32"/>
  <c r="K518" i="32"/>
  <c r="J518" i="32"/>
  <c r="L518" i="32" s="1"/>
  <c r="I518" i="32"/>
  <c r="X517" i="32"/>
  <c r="S517" i="32"/>
  <c r="R517" i="32"/>
  <c r="Q517" i="32"/>
  <c r="P517" i="32"/>
  <c r="O517" i="32"/>
  <c r="N517" i="32"/>
  <c r="M517" i="32"/>
  <c r="J517" i="32"/>
  <c r="L517" i="32" s="1"/>
  <c r="I517" i="32"/>
  <c r="K517" i="32" s="1"/>
  <c r="X516" i="32"/>
  <c r="S516" i="32"/>
  <c r="R516" i="32"/>
  <c r="Q516" i="32"/>
  <c r="P516" i="32"/>
  <c r="O516" i="32"/>
  <c r="N516" i="32"/>
  <c r="M516" i="32"/>
  <c r="L516" i="32"/>
  <c r="K516" i="32"/>
  <c r="U516" i="32" s="1"/>
  <c r="J516" i="32"/>
  <c r="I516" i="32"/>
  <c r="X515" i="32"/>
  <c r="S515" i="32"/>
  <c r="R515" i="32"/>
  <c r="Q515" i="32"/>
  <c r="P515" i="32"/>
  <c r="O515" i="32"/>
  <c r="N515" i="32"/>
  <c r="M515" i="32"/>
  <c r="J515" i="32"/>
  <c r="L515" i="32" s="1"/>
  <c r="I515" i="32"/>
  <c r="K515" i="32" s="1"/>
  <c r="X514" i="32"/>
  <c r="S514" i="32"/>
  <c r="R514" i="32"/>
  <c r="Q514" i="32"/>
  <c r="P514" i="32"/>
  <c r="O514" i="32"/>
  <c r="N514" i="32"/>
  <c r="M514" i="32"/>
  <c r="K514" i="32"/>
  <c r="J514" i="32"/>
  <c r="L514" i="32" s="1"/>
  <c r="I514" i="32"/>
  <c r="X513" i="32"/>
  <c r="S513" i="32"/>
  <c r="R513" i="32"/>
  <c r="Q513" i="32"/>
  <c r="P513" i="32"/>
  <c r="O513" i="32"/>
  <c r="N513" i="32"/>
  <c r="M513" i="32"/>
  <c r="J513" i="32"/>
  <c r="L513" i="32" s="1"/>
  <c r="I513" i="32"/>
  <c r="K513" i="32" s="1"/>
  <c r="X512" i="32"/>
  <c r="AA512" i="32"/>
  <c r="S512" i="32"/>
  <c r="R512" i="32"/>
  <c r="Q512" i="32"/>
  <c r="P512" i="32"/>
  <c r="O512" i="32"/>
  <c r="N512" i="32"/>
  <c r="M512" i="32"/>
  <c r="L512" i="32"/>
  <c r="K512" i="32"/>
  <c r="J512" i="32"/>
  <c r="I512" i="32"/>
  <c r="X511" i="32"/>
  <c r="S511" i="32"/>
  <c r="R511" i="32"/>
  <c r="Q511" i="32"/>
  <c r="P511" i="32"/>
  <c r="O511" i="32"/>
  <c r="N511" i="32"/>
  <c r="M511" i="32"/>
  <c r="J511" i="32"/>
  <c r="L511" i="32" s="1"/>
  <c r="I511" i="32"/>
  <c r="K511" i="32" s="1"/>
  <c r="X510" i="32"/>
  <c r="U510" i="32" s="1"/>
  <c r="S510" i="32"/>
  <c r="R510" i="32"/>
  <c r="Q510" i="32"/>
  <c r="P510" i="32"/>
  <c r="O510" i="32"/>
  <c r="N510" i="32"/>
  <c r="M510" i="32"/>
  <c r="K510" i="32"/>
  <c r="J510" i="32"/>
  <c r="L510" i="32" s="1"/>
  <c r="I510" i="32"/>
  <c r="X509" i="32"/>
  <c r="S509" i="32"/>
  <c r="R509" i="32"/>
  <c r="Q509" i="32"/>
  <c r="P509" i="32"/>
  <c r="O509" i="32"/>
  <c r="N509" i="32"/>
  <c r="M509" i="32"/>
  <c r="U509" i="32" s="1"/>
  <c r="L509" i="32"/>
  <c r="J509" i="32"/>
  <c r="I509" i="32"/>
  <c r="K509" i="32" s="1"/>
  <c r="X508" i="32"/>
  <c r="S508" i="32"/>
  <c r="R508" i="32"/>
  <c r="Q508" i="32"/>
  <c r="P508" i="32"/>
  <c r="O508" i="32"/>
  <c r="N508" i="32"/>
  <c r="M508" i="32"/>
  <c r="L508" i="32"/>
  <c r="K508" i="32"/>
  <c r="U508" i="32" s="1"/>
  <c r="J508" i="32"/>
  <c r="I508" i="32"/>
  <c r="X507" i="32"/>
  <c r="S507" i="32"/>
  <c r="R507" i="32"/>
  <c r="Q507" i="32"/>
  <c r="P507" i="32"/>
  <c r="O507" i="32"/>
  <c r="N507" i="32"/>
  <c r="M507" i="32"/>
  <c r="J507" i="32"/>
  <c r="L507" i="32" s="1"/>
  <c r="I507" i="32"/>
  <c r="K507" i="32" s="1"/>
  <c r="X506" i="32"/>
  <c r="U506" i="32" s="1"/>
  <c r="S506" i="32"/>
  <c r="R506" i="32"/>
  <c r="Q506" i="32"/>
  <c r="P506" i="32"/>
  <c r="O506" i="32"/>
  <c r="AA506" i="32" s="1"/>
  <c r="N506" i="32"/>
  <c r="M506" i="32"/>
  <c r="K506" i="32"/>
  <c r="J506" i="32"/>
  <c r="L506" i="32" s="1"/>
  <c r="I506" i="32"/>
  <c r="X505" i="32"/>
  <c r="S505" i="32"/>
  <c r="R505" i="32"/>
  <c r="Q505" i="32"/>
  <c r="P505" i="32"/>
  <c r="O505" i="32"/>
  <c r="N505" i="32"/>
  <c r="M505" i="32"/>
  <c r="J505" i="32"/>
  <c r="L505" i="32" s="1"/>
  <c r="I505" i="32"/>
  <c r="K505" i="32" s="1"/>
  <c r="U505" i="32" s="1"/>
  <c r="X504" i="32"/>
  <c r="S504" i="32"/>
  <c r="R504" i="32"/>
  <c r="Q504" i="32"/>
  <c r="P504" i="32"/>
  <c r="O504" i="32"/>
  <c r="N504" i="32"/>
  <c r="M504" i="32"/>
  <c r="L504" i="32"/>
  <c r="K504" i="32"/>
  <c r="J504" i="32"/>
  <c r="I504" i="32"/>
  <c r="X503" i="32"/>
  <c r="S503" i="32"/>
  <c r="R503" i="32"/>
  <c r="Q503" i="32"/>
  <c r="P503" i="32"/>
  <c r="O503" i="32"/>
  <c r="N503" i="32"/>
  <c r="M503" i="32"/>
  <c r="J503" i="32"/>
  <c r="L503" i="32" s="1"/>
  <c r="I503" i="32"/>
  <c r="K503" i="32" s="1"/>
  <c r="X502" i="32"/>
  <c r="S502" i="32"/>
  <c r="R502" i="32"/>
  <c r="Q502" i="32"/>
  <c r="P502" i="32"/>
  <c r="O502" i="32"/>
  <c r="N502" i="32"/>
  <c r="M502" i="32"/>
  <c r="K502" i="32"/>
  <c r="J502" i="32"/>
  <c r="L502" i="32" s="1"/>
  <c r="I502" i="32"/>
  <c r="X501" i="32"/>
  <c r="S501" i="32"/>
  <c r="R501" i="32"/>
  <c r="Q501" i="32"/>
  <c r="P501" i="32"/>
  <c r="O501" i="32"/>
  <c r="N501" i="32"/>
  <c r="M501" i="32"/>
  <c r="U501" i="32" s="1"/>
  <c r="L501" i="32"/>
  <c r="J501" i="32"/>
  <c r="I501" i="32"/>
  <c r="K501" i="32" s="1"/>
  <c r="X500" i="32"/>
  <c r="S500" i="32"/>
  <c r="R500" i="32"/>
  <c r="Q500" i="32"/>
  <c r="P500" i="32"/>
  <c r="O500" i="32"/>
  <c r="N500" i="32"/>
  <c r="M500" i="32"/>
  <c r="L500" i="32"/>
  <c r="U500" i="32" s="1"/>
  <c r="K500" i="32"/>
  <c r="J500" i="32"/>
  <c r="I500" i="32"/>
  <c r="X499" i="32"/>
  <c r="S499" i="32"/>
  <c r="R499" i="32"/>
  <c r="Q499" i="32"/>
  <c r="P499" i="32"/>
  <c r="O499" i="32"/>
  <c r="N499" i="32"/>
  <c r="M499" i="32"/>
  <c r="J499" i="32"/>
  <c r="L499" i="32" s="1"/>
  <c r="Z499" i="32" s="1"/>
  <c r="I499" i="32"/>
  <c r="K499" i="32" s="1"/>
  <c r="X498" i="32"/>
  <c r="U498" i="32" s="1"/>
  <c r="S498" i="32"/>
  <c r="R498" i="32"/>
  <c r="Q498" i="32"/>
  <c r="P498" i="32"/>
  <c r="O498" i="32"/>
  <c r="N498" i="32"/>
  <c r="M498" i="32"/>
  <c r="K498" i="32"/>
  <c r="J498" i="32"/>
  <c r="L498" i="32" s="1"/>
  <c r="I498" i="32"/>
  <c r="X497" i="32"/>
  <c r="S497" i="32"/>
  <c r="R497" i="32"/>
  <c r="Q497" i="32"/>
  <c r="P497" i="32"/>
  <c r="O497" i="32"/>
  <c r="N497" i="32"/>
  <c r="M497" i="32"/>
  <c r="L497" i="32"/>
  <c r="U497" i="32" s="1"/>
  <c r="K497" i="32"/>
  <c r="J497" i="32"/>
  <c r="I497" i="32"/>
  <c r="X496" i="32"/>
  <c r="S496" i="32"/>
  <c r="R496" i="32"/>
  <c r="Q496" i="32"/>
  <c r="P496" i="32"/>
  <c r="O496" i="32"/>
  <c r="N496" i="32"/>
  <c r="M496" i="32"/>
  <c r="L496" i="32"/>
  <c r="K496" i="32"/>
  <c r="J496" i="32"/>
  <c r="I496" i="32"/>
  <c r="X495" i="32"/>
  <c r="S495" i="32"/>
  <c r="R495" i="32"/>
  <c r="Q495" i="32"/>
  <c r="P495" i="32"/>
  <c r="O495" i="32"/>
  <c r="N495" i="32"/>
  <c r="M495" i="32"/>
  <c r="J495" i="32"/>
  <c r="L495" i="32" s="1"/>
  <c r="I495" i="32"/>
  <c r="K495" i="32" s="1"/>
  <c r="X494" i="32"/>
  <c r="S494" i="32"/>
  <c r="R494" i="32"/>
  <c r="Q494" i="32"/>
  <c r="P494" i="32"/>
  <c r="O494" i="32"/>
  <c r="N494" i="32"/>
  <c r="M494" i="32"/>
  <c r="L494" i="32"/>
  <c r="T494" i="32" s="1"/>
  <c r="K494" i="32"/>
  <c r="J494" i="32"/>
  <c r="I494" i="32"/>
  <c r="X493" i="32"/>
  <c r="S493" i="32"/>
  <c r="R493" i="32"/>
  <c r="Q493" i="32"/>
  <c r="P493" i="32"/>
  <c r="O493" i="32"/>
  <c r="N493" i="32"/>
  <c r="M493" i="32"/>
  <c r="J493" i="32"/>
  <c r="L493" i="32" s="1"/>
  <c r="U493" i="32" s="1"/>
  <c r="I493" i="32"/>
  <c r="K493" i="32" s="1"/>
  <c r="X492" i="32"/>
  <c r="S492" i="32"/>
  <c r="R492" i="32"/>
  <c r="Q492" i="32"/>
  <c r="P492" i="32"/>
  <c r="O492" i="32"/>
  <c r="N492" i="32"/>
  <c r="M492" i="32"/>
  <c r="L492" i="32"/>
  <c r="K492" i="32"/>
  <c r="J492" i="32"/>
  <c r="I492" i="32"/>
  <c r="X491" i="32"/>
  <c r="S491" i="32"/>
  <c r="R491" i="32"/>
  <c r="Q491" i="32"/>
  <c r="P491" i="32"/>
  <c r="O491" i="32"/>
  <c r="N491" i="32"/>
  <c r="M491" i="32"/>
  <c r="K491" i="32"/>
  <c r="J491" i="32"/>
  <c r="L491" i="32" s="1"/>
  <c r="I491" i="32"/>
  <c r="X490" i="32"/>
  <c r="S490" i="32"/>
  <c r="R490" i="32"/>
  <c r="Q490" i="32"/>
  <c r="P490" i="32"/>
  <c r="O490" i="32"/>
  <c r="N490" i="32"/>
  <c r="M490" i="32"/>
  <c r="L490" i="32"/>
  <c r="Z490" i="32" s="1"/>
  <c r="J490" i="32"/>
  <c r="I490" i="32"/>
  <c r="K490" i="32" s="1"/>
  <c r="X489" i="32"/>
  <c r="S489" i="32"/>
  <c r="R489" i="32"/>
  <c r="Q489" i="32"/>
  <c r="P489" i="32"/>
  <c r="O489" i="32"/>
  <c r="N489" i="32"/>
  <c r="M489" i="32"/>
  <c r="L489" i="32"/>
  <c r="K489" i="32"/>
  <c r="J489" i="32"/>
  <c r="I489" i="32"/>
  <c r="X488" i="32"/>
  <c r="AA488" i="32"/>
  <c r="S488" i="32"/>
  <c r="R488" i="32"/>
  <c r="Q488" i="32"/>
  <c r="P488" i="32"/>
  <c r="O488" i="32"/>
  <c r="N488" i="32"/>
  <c r="M488" i="32"/>
  <c r="L488" i="32"/>
  <c r="U488" i="32" s="1"/>
  <c r="J488" i="32"/>
  <c r="I488" i="32"/>
  <c r="K488" i="32" s="1"/>
  <c r="X487" i="32"/>
  <c r="AA487" i="32"/>
  <c r="S487" i="32"/>
  <c r="R487" i="32"/>
  <c r="Q487" i="32"/>
  <c r="P487" i="32"/>
  <c r="O487" i="32"/>
  <c r="N487" i="32"/>
  <c r="M487" i="32"/>
  <c r="K487" i="32"/>
  <c r="J487" i="32"/>
  <c r="L487" i="32" s="1"/>
  <c r="I487" i="32"/>
  <c r="X486" i="32"/>
  <c r="S486" i="32"/>
  <c r="R486" i="32"/>
  <c r="Q486" i="32"/>
  <c r="P486" i="32"/>
  <c r="O486" i="32"/>
  <c r="N486" i="32"/>
  <c r="M486" i="32"/>
  <c r="J486" i="32"/>
  <c r="L486" i="32" s="1"/>
  <c r="I486" i="32"/>
  <c r="K486" i="32" s="1"/>
  <c r="X485" i="32"/>
  <c r="S485" i="32"/>
  <c r="R485" i="32"/>
  <c r="Q485" i="32"/>
  <c r="P485" i="32"/>
  <c r="O485" i="32"/>
  <c r="N485" i="32"/>
  <c r="M485" i="32"/>
  <c r="L485" i="32"/>
  <c r="AA485" i="32" s="1"/>
  <c r="K485" i="32"/>
  <c r="J485" i="32"/>
  <c r="I485" i="32"/>
  <c r="X484" i="32"/>
  <c r="S484" i="32"/>
  <c r="R484" i="32"/>
  <c r="Q484" i="32"/>
  <c r="P484" i="32"/>
  <c r="O484" i="32"/>
  <c r="N484" i="32"/>
  <c r="M484" i="32"/>
  <c r="L484" i="32"/>
  <c r="J484" i="32"/>
  <c r="I484" i="32"/>
  <c r="K484" i="32" s="1"/>
  <c r="T484" i="32" s="1"/>
  <c r="X483" i="32"/>
  <c r="S483" i="32"/>
  <c r="R483" i="32"/>
  <c r="Q483" i="32"/>
  <c r="P483" i="32"/>
  <c r="O483" i="32"/>
  <c r="AA483" i="32" s="1"/>
  <c r="N483" i="32"/>
  <c r="M483" i="32"/>
  <c r="K483" i="32"/>
  <c r="J483" i="32"/>
  <c r="L483" i="32" s="1"/>
  <c r="I483" i="32"/>
  <c r="X482" i="32"/>
  <c r="U482" i="32" s="1"/>
  <c r="S482" i="32"/>
  <c r="R482" i="32"/>
  <c r="Q482" i="32"/>
  <c r="P482" i="32"/>
  <c r="O482" i="32"/>
  <c r="N482" i="32"/>
  <c r="M482" i="32"/>
  <c r="L482" i="32"/>
  <c r="J482" i="32"/>
  <c r="I482" i="32"/>
  <c r="K482" i="32" s="1"/>
  <c r="X481" i="32"/>
  <c r="S481" i="32"/>
  <c r="R481" i="32"/>
  <c r="Q481" i="32"/>
  <c r="P481" i="32"/>
  <c r="O481" i="32"/>
  <c r="N481" i="32"/>
  <c r="M481" i="32"/>
  <c r="L481" i="32"/>
  <c r="K481" i="32"/>
  <c r="J481" i="32"/>
  <c r="I481" i="32"/>
  <c r="X480" i="32"/>
  <c r="S480" i="32"/>
  <c r="R480" i="32"/>
  <c r="Q480" i="32"/>
  <c r="P480" i="32"/>
  <c r="O480" i="32"/>
  <c r="N480" i="32"/>
  <c r="U480" i="32" s="1"/>
  <c r="M480" i="32"/>
  <c r="L480" i="32"/>
  <c r="J480" i="32"/>
  <c r="I480" i="32"/>
  <c r="K480" i="32" s="1"/>
  <c r="X479" i="32"/>
  <c r="S479" i="32"/>
  <c r="R479" i="32"/>
  <c r="Q479" i="32"/>
  <c r="P479" i="32"/>
  <c r="O479" i="32"/>
  <c r="AA479" i="32" s="1"/>
  <c r="N479" i="32"/>
  <c r="M479" i="32"/>
  <c r="K479" i="32"/>
  <c r="J479" i="32"/>
  <c r="L479" i="32" s="1"/>
  <c r="I479" i="32"/>
  <c r="X478" i="32"/>
  <c r="S478" i="32"/>
  <c r="R478" i="32"/>
  <c r="Q478" i="32"/>
  <c r="P478" i="32"/>
  <c r="O478" i="32"/>
  <c r="N478" i="32"/>
  <c r="M478" i="32"/>
  <c r="J478" i="32"/>
  <c r="L478" i="32" s="1"/>
  <c r="T478" i="32" s="1"/>
  <c r="I478" i="32"/>
  <c r="K478" i="32" s="1"/>
  <c r="X477" i="32"/>
  <c r="S477" i="32"/>
  <c r="R477" i="32"/>
  <c r="Q477" i="32"/>
  <c r="P477" i="32"/>
  <c r="O477" i="32"/>
  <c r="N477" i="32"/>
  <c r="M477" i="32"/>
  <c r="L477" i="32"/>
  <c r="K477" i="32"/>
  <c r="J477" i="32"/>
  <c r="I477" i="32"/>
  <c r="X476" i="32"/>
  <c r="S476" i="32"/>
  <c r="R476" i="32"/>
  <c r="Q476" i="32"/>
  <c r="P476" i="32"/>
  <c r="O476" i="32"/>
  <c r="N476" i="32"/>
  <c r="M476" i="32"/>
  <c r="L476" i="32"/>
  <c r="J476" i="32"/>
  <c r="I476" i="32"/>
  <c r="K476" i="32" s="1"/>
  <c r="T476" i="32" s="1"/>
  <c r="X475" i="32"/>
  <c r="S475" i="32"/>
  <c r="R475" i="32"/>
  <c r="Q475" i="32"/>
  <c r="P475" i="32"/>
  <c r="O475" i="32"/>
  <c r="N475" i="32"/>
  <c r="M475" i="32"/>
  <c r="K475" i="32"/>
  <c r="J475" i="32"/>
  <c r="L475" i="32" s="1"/>
  <c r="I475" i="32"/>
  <c r="X474" i="32"/>
  <c r="S474" i="32"/>
  <c r="R474" i="32"/>
  <c r="Q474" i="32"/>
  <c r="Z474" i="32" s="1"/>
  <c r="P474" i="32"/>
  <c r="AA474" i="32" s="1"/>
  <c r="O474" i="32"/>
  <c r="N474" i="32"/>
  <c r="M474" i="32"/>
  <c r="L474" i="32"/>
  <c r="J474" i="32"/>
  <c r="I474" i="32"/>
  <c r="K474" i="32" s="1"/>
  <c r="X473" i="32"/>
  <c r="S473" i="32"/>
  <c r="R473" i="32"/>
  <c r="Q473" i="32"/>
  <c r="P473" i="32"/>
  <c r="O473" i="32"/>
  <c r="N473" i="32"/>
  <c r="M473" i="32"/>
  <c r="L473" i="32"/>
  <c r="K473" i="32"/>
  <c r="J473" i="32"/>
  <c r="I473" i="32"/>
  <c r="X472" i="32"/>
  <c r="T472" i="32"/>
  <c r="S472" i="32"/>
  <c r="R472" i="32"/>
  <c r="Q472" i="32"/>
  <c r="P472" i="32"/>
  <c r="O472" i="32"/>
  <c r="N472" i="32"/>
  <c r="M472" i="32"/>
  <c r="L472" i="32"/>
  <c r="J472" i="32"/>
  <c r="I472" i="32"/>
  <c r="K472" i="32" s="1"/>
  <c r="X471" i="32"/>
  <c r="S471" i="32"/>
  <c r="R471" i="32"/>
  <c r="Q471" i="32"/>
  <c r="P471" i="32"/>
  <c r="O471" i="32"/>
  <c r="AA471" i="32" s="1"/>
  <c r="N471" i="32"/>
  <c r="M471" i="32"/>
  <c r="K471" i="32"/>
  <c r="J471" i="32"/>
  <c r="L471" i="32" s="1"/>
  <c r="I471" i="32"/>
  <c r="X470" i="32"/>
  <c r="S470" i="32"/>
  <c r="R470" i="32"/>
  <c r="Q470" i="32"/>
  <c r="AA470" i="32" s="1"/>
  <c r="P470" i="32"/>
  <c r="O470" i="32"/>
  <c r="N470" i="32"/>
  <c r="M470" i="32"/>
  <c r="L470" i="32"/>
  <c r="J470" i="32"/>
  <c r="I470" i="32"/>
  <c r="K470" i="32" s="1"/>
  <c r="X469" i="32"/>
  <c r="S469" i="32"/>
  <c r="R469" i="32"/>
  <c r="Q469" i="32"/>
  <c r="P469" i="32"/>
  <c r="O469" i="32"/>
  <c r="N469" i="32"/>
  <c r="M469" i="32"/>
  <c r="L469" i="32"/>
  <c r="K469" i="32"/>
  <c r="J469" i="32"/>
  <c r="I469" i="32"/>
  <c r="X468" i="32"/>
  <c r="U468" i="32" s="1"/>
  <c r="T468" i="32"/>
  <c r="S468" i="32"/>
  <c r="R468" i="32"/>
  <c r="Q468" i="32"/>
  <c r="P468" i="32"/>
  <c r="O468" i="32"/>
  <c r="N468" i="32"/>
  <c r="M468" i="32"/>
  <c r="L468" i="32"/>
  <c r="J468" i="32"/>
  <c r="I468" i="32"/>
  <c r="K468" i="32" s="1"/>
  <c r="X467" i="32"/>
  <c r="S467" i="32"/>
  <c r="R467" i="32"/>
  <c r="Q467" i="32"/>
  <c r="P467" i="32"/>
  <c r="O467" i="32"/>
  <c r="N467" i="32"/>
  <c r="M467" i="32"/>
  <c r="K467" i="32"/>
  <c r="J467" i="32"/>
  <c r="L467" i="32" s="1"/>
  <c r="AA467" i="32" s="1"/>
  <c r="I467" i="32"/>
  <c r="X466" i="32"/>
  <c r="S466" i="32"/>
  <c r="R466" i="32"/>
  <c r="Q466" i="32"/>
  <c r="P466" i="32"/>
  <c r="O466" i="32"/>
  <c r="N466" i="32"/>
  <c r="M466" i="32"/>
  <c r="J466" i="32"/>
  <c r="L466" i="32" s="1"/>
  <c r="I466" i="32"/>
  <c r="K466" i="32" s="1"/>
  <c r="X465" i="32"/>
  <c r="S465" i="32"/>
  <c r="R465" i="32"/>
  <c r="Q465" i="32"/>
  <c r="P465" i="32"/>
  <c r="O465" i="32"/>
  <c r="N465" i="32"/>
  <c r="M465" i="32"/>
  <c r="K465" i="32"/>
  <c r="J465" i="32"/>
  <c r="L465" i="32" s="1"/>
  <c r="I465" i="32"/>
  <c r="X464" i="32"/>
  <c r="T464" i="32"/>
  <c r="S464" i="32"/>
  <c r="R464" i="32"/>
  <c r="Q464" i="32"/>
  <c r="P464" i="32"/>
  <c r="O464" i="32"/>
  <c r="N464" i="32"/>
  <c r="M464" i="32"/>
  <c r="U464" i="32" s="1"/>
  <c r="L464" i="32"/>
  <c r="J464" i="32"/>
  <c r="I464" i="32"/>
  <c r="K464" i="32" s="1"/>
  <c r="X463" i="32"/>
  <c r="S463" i="32"/>
  <c r="R463" i="32"/>
  <c r="Q463" i="32"/>
  <c r="P463" i="32"/>
  <c r="O463" i="32"/>
  <c r="N463" i="32"/>
  <c r="M463" i="32"/>
  <c r="K463" i="32"/>
  <c r="J463" i="32"/>
  <c r="L463" i="32" s="1"/>
  <c r="AA463" i="32" s="1"/>
  <c r="I463" i="32"/>
  <c r="X462" i="32"/>
  <c r="S462" i="32"/>
  <c r="R462" i="32"/>
  <c r="Q462" i="32"/>
  <c r="P462" i="32"/>
  <c r="O462" i="32"/>
  <c r="N462" i="32"/>
  <c r="M462" i="32"/>
  <c r="J462" i="32"/>
  <c r="L462" i="32" s="1"/>
  <c r="I462" i="32"/>
  <c r="K462" i="32" s="1"/>
  <c r="X461" i="32"/>
  <c r="S461" i="32"/>
  <c r="R461" i="32"/>
  <c r="Q461" i="32"/>
  <c r="P461" i="32"/>
  <c r="O461" i="32"/>
  <c r="N461" i="32"/>
  <c r="M461" i="32"/>
  <c r="K461" i="32"/>
  <c r="J461" i="32"/>
  <c r="L461" i="32" s="1"/>
  <c r="I461" i="32"/>
  <c r="X460" i="32"/>
  <c r="AA460" i="32"/>
  <c r="S460" i="32"/>
  <c r="R460" i="32"/>
  <c r="Q460" i="32"/>
  <c r="P460" i="32"/>
  <c r="O460" i="32"/>
  <c r="N460" i="32"/>
  <c r="M460" i="32"/>
  <c r="L460" i="32"/>
  <c r="J460" i="32"/>
  <c r="I460" i="32"/>
  <c r="K460" i="32" s="1"/>
  <c r="X459" i="32"/>
  <c r="S459" i="32"/>
  <c r="R459" i="32"/>
  <c r="Q459" i="32"/>
  <c r="P459" i="32"/>
  <c r="O459" i="32"/>
  <c r="N459" i="32"/>
  <c r="M459" i="32"/>
  <c r="K459" i="32"/>
  <c r="J459" i="32"/>
  <c r="L459" i="32" s="1"/>
  <c r="I459" i="32"/>
  <c r="X458" i="32"/>
  <c r="S458" i="32"/>
  <c r="R458" i="32"/>
  <c r="Q458" i="32"/>
  <c r="P458" i="32"/>
  <c r="O458" i="32"/>
  <c r="N458" i="32"/>
  <c r="M458" i="32"/>
  <c r="L458" i="32"/>
  <c r="J458" i="32"/>
  <c r="I458" i="32"/>
  <c r="K458" i="32" s="1"/>
  <c r="X457" i="32"/>
  <c r="S457" i="32"/>
  <c r="R457" i="32"/>
  <c r="Q457" i="32"/>
  <c r="P457" i="32"/>
  <c r="O457" i="32"/>
  <c r="N457" i="32"/>
  <c r="M457" i="32"/>
  <c r="L457" i="32"/>
  <c r="K457" i="32"/>
  <c r="J457" i="32"/>
  <c r="I457" i="32"/>
  <c r="X456" i="32"/>
  <c r="S456" i="32"/>
  <c r="R456" i="32"/>
  <c r="Q456" i="32"/>
  <c r="P456" i="32"/>
  <c r="O456" i="32"/>
  <c r="N456" i="32"/>
  <c r="M456" i="32"/>
  <c r="U456" i="32" s="1"/>
  <c r="L456" i="32"/>
  <c r="J456" i="32"/>
  <c r="I456" i="32"/>
  <c r="K456" i="32" s="1"/>
  <c r="X455" i="32"/>
  <c r="S455" i="32"/>
  <c r="R455" i="32"/>
  <c r="Q455" i="32"/>
  <c r="P455" i="32"/>
  <c r="O455" i="32"/>
  <c r="N455" i="32"/>
  <c r="M455" i="32"/>
  <c r="K455" i="32"/>
  <c r="J455" i="32"/>
  <c r="L455" i="32" s="1"/>
  <c r="I455" i="32"/>
  <c r="X454" i="32"/>
  <c r="S454" i="32"/>
  <c r="R454" i="32"/>
  <c r="Q454" i="32"/>
  <c r="P454" i="32"/>
  <c r="O454" i="32"/>
  <c r="N454" i="32"/>
  <c r="M454" i="32"/>
  <c r="J454" i="32"/>
  <c r="L454" i="32" s="1"/>
  <c r="I454" i="32"/>
  <c r="K454" i="32" s="1"/>
  <c r="X453" i="32"/>
  <c r="S453" i="32"/>
  <c r="R453" i="32"/>
  <c r="Q453" i="32"/>
  <c r="P453" i="32"/>
  <c r="O453" i="32"/>
  <c r="N453" i="32"/>
  <c r="M453" i="32"/>
  <c r="L453" i="32"/>
  <c r="K453" i="32"/>
  <c r="J453" i="32"/>
  <c r="I453" i="32"/>
  <c r="X452" i="32"/>
  <c r="U452" i="32" s="1"/>
  <c r="S452" i="32"/>
  <c r="R452" i="32"/>
  <c r="Q452" i="32"/>
  <c r="P452" i="32"/>
  <c r="O452" i="32"/>
  <c r="N452" i="32"/>
  <c r="M452" i="32"/>
  <c r="L452" i="32"/>
  <c r="T452" i="32" s="1"/>
  <c r="J452" i="32"/>
  <c r="I452" i="32"/>
  <c r="K452" i="32" s="1"/>
  <c r="X451" i="32"/>
  <c r="S451" i="32"/>
  <c r="R451" i="32"/>
  <c r="Q451" i="32"/>
  <c r="P451" i="32"/>
  <c r="O451" i="32"/>
  <c r="N451" i="32"/>
  <c r="AA451" i="32" s="1"/>
  <c r="M451" i="32"/>
  <c r="K451" i="32"/>
  <c r="J451" i="32"/>
  <c r="L451" i="32" s="1"/>
  <c r="I451" i="32"/>
  <c r="X450" i="32"/>
  <c r="S450" i="32"/>
  <c r="R450" i="32"/>
  <c r="Q450" i="32"/>
  <c r="P450" i="32"/>
  <c r="O450" i="32"/>
  <c r="N450" i="32"/>
  <c r="M450" i="32"/>
  <c r="L450" i="32"/>
  <c r="J450" i="32"/>
  <c r="I450" i="32"/>
  <c r="K450" i="32" s="1"/>
  <c r="X449" i="32"/>
  <c r="S449" i="32"/>
  <c r="R449" i="32"/>
  <c r="Q449" i="32"/>
  <c r="P449" i="32"/>
  <c r="O449" i="32"/>
  <c r="N449" i="32"/>
  <c r="M449" i="32"/>
  <c r="L449" i="32"/>
  <c r="K449" i="32"/>
  <c r="J449" i="32"/>
  <c r="I449" i="32"/>
  <c r="X448" i="32"/>
  <c r="S448" i="32"/>
  <c r="R448" i="32"/>
  <c r="Q448" i="32"/>
  <c r="P448" i="32"/>
  <c r="O448" i="32"/>
  <c r="N448" i="32"/>
  <c r="M448" i="32"/>
  <c r="U448" i="32" s="1"/>
  <c r="L448" i="32"/>
  <c r="J448" i="32"/>
  <c r="I448" i="32"/>
  <c r="K448" i="32" s="1"/>
  <c r="X447" i="32"/>
  <c r="S447" i="32"/>
  <c r="R447" i="32"/>
  <c r="Q447" i="32"/>
  <c r="P447" i="32"/>
  <c r="O447" i="32"/>
  <c r="N447" i="32"/>
  <c r="M447" i="32"/>
  <c r="K447" i="32"/>
  <c r="J447" i="32"/>
  <c r="L447" i="32" s="1"/>
  <c r="I447" i="32"/>
  <c r="X446" i="32"/>
  <c r="U446" i="32" s="1"/>
  <c r="S446" i="32"/>
  <c r="R446" i="32"/>
  <c r="Q446" i="32"/>
  <c r="P446" i="32"/>
  <c r="O446" i="32"/>
  <c r="N446" i="32"/>
  <c r="M446" i="32"/>
  <c r="J446" i="32"/>
  <c r="L446" i="32" s="1"/>
  <c r="I446" i="32"/>
  <c r="K446" i="32" s="1"/>
  <c r="X445" i="32"/>
  <c r="S445" i="32"/>
  <c r="R445" i="32"/>
  <c r="Q445" i="32"/>
  <c r="P445" i="32"/>
  <c r="O445" i="32"/>
  <c r="N445" i="32"/>
  <c r="M445" i="32"/>
  <c r="L445" i="32"/>
  <c r="K445" i="32"/>
  <c r="J445" i="32"/>
  <c r="I445" i="32"/>
  <c r="X444" i="32"/>
  <c r="S444" i="32"/>
  <c r="R444" i="32"/>
  <c r="Q444" i="32"/>
  <c r="P444" i="32"/>
  <c r="O444" i="32"/>
  <c r="N444" i="32"/>
  <c r="M444" i="32"/>
  <c r="L444" i="32"/>
  <c r="T444" i="32" s="1"/>
  <c r="J444" i="32"/>
  <c r="I444" i="32"/>
  <c r="K444" i="32" s="1"/>
  <c r="X443" i="32"/>
  <c r="S443" i="32"/>
  <c r="R443" i="32"/>
  <c r="Q443" i="32"/>
  <c r="P443" i="32"/>
  <c r="O443" i="32"/>
  <c r="N443" i="32"/>
  <c r="M443" i="32"/>
  <c r="K443" i="32"/>
  <c r="J443" i="32"/>
  <c r="L443" i="32" s="1"/>
  <c r="I443" i="32"/>
  <c r="X442" i="32"/>
  <c r="S442" i="32"/>
  <c r="R442" i="32"/>
  <c r="Q442" i="32"/>
  <c r="P442" i="32"/>
  <c r="O442" i="32"/>
  <c r="N442" i="32"/>
  <c r="M442" i="32"/>
  <c r="L442" i="32"/>
  <c r="T442" i="32" s="1"/>
  <c r="J442" i="32"/>
  <c r="I442" i="32"/>
  <c r="K442" i="32" s="1"/>
  <c r="X441" i="32"/>
  <c r="S441" i="32"/>
  <c r="R441" i="32"/>
  <c r="Q441" i="32"/>
  <c r="P441" i="32"/>
  <c r="O441" i="32"/>
  <c r="N441" i="32"/>
  <c r="M441" i="32"/>
  <c r="L441" i="32"/>
  <c r="K441" i="32"/>
  <c r="J441" i="32"/>
  <c r="I441" i="32"/>
  <c r="X440" i="32"/>
  <c r="S440" i="32"/>
  <c r="R440" i="32"/>
  <c r="Q440" i="32"/>
  <c r="P440" i="32"/>
  <c r="O440" i="32"/>
  <c r="N440" i="32"/>
  <c r="M440" i="32"/>
  <c r="L440" i="32"/>
  <c r="J440" i="32"/>
  <c r="I440" i="32"/>
  <c r="K440" i="32" s="1"/>
  <c r="X439" i="32"/>
  <c r="S439" i="32"/>
  <c r="R439" i="32"/>
  <c r="Q439" i="32"/>
  <c r="P439" i="32"/>
  <c r="O439" i="32"/>
  <c r="N439" i="32"/>
  <c r="AA439" i="32" s="1"/>
  <c r="M439" i="32"/>
  <c r="K439" i="32"/>
  <c r="J439" i="32"/>
  <c r="L439" i="32" s="1"/>
  <c r="I439" i="32"/>
  <c r="X438" i="32"/>
  <c r="S438" i="32"/>
  <c r="R438" i="32"/>
  <c r="Q438" i="32"/>
  <c r="AA438" i="32" s="1"/>
  <c r="P438" i="32"/>
  <c r="O438" i="32"/>
  <c r="N438" i="32"/>
  <c r="M438" i="32"/>
  <c r="L438" i="32"/>
  <c r="J438" i="32"/>
  <c r="I438" i="32"/>
  <c r="K438" i="32" s="1"/>
  <c r="X437" i="32"/>
  <c r="S437" i="32"/>
  <c r="R437" i="32"/>
  <c r="Q437" i="32"/>
  <c r="P437" i="32"/>
  <c r="O437" i="32"/>
  <c r="N437" i="32"/>
  <c r="M437" i="32"/>
  <c r="L437" i="32"/>
  <c r="K437" i="32"/>
  <c r="J437" i="32"/>
  <c r="I437" i="32"/>
  <c r="X436" i="32"/>
  <c r="S436" i="32"/>
  <c r="R436" i="32"/>
  <c r="Q436" i="32"/>
  <c r="P436" i="32"/>
  <c r="O436" i="32"/>
  <c r="N436" i="32"/>
  <c r="M436" i="32"/>
  <c r="L436" i="32"/>
  <c r="T436" i="32" s="1"/>
  <c r="J436" i="32"/>
  <c r="I436" i="32"/>
  <c r="K436" i="32" s="1"/>
  <c r="X435" i="32"/>
  <c r="S435" i="32"/>
  <c r="R435" i="32"/>
  <c r="Q435" i="32"/>
  <c r="P435" i="32"/>
  <c r="O435" i="32"/>
  <c r="N435" i="32"/>
  <c r="M435" i="32"/>
  <c r="K435" i="32"/>
  <c r="J435" i="32"/>
  <c r="L435" i="32" s="1"/>
  <c r="I435" i="32"/>
  <c r="X434" i="32"/>
  <c r="S434" i="32"/>
  <c r="R434" i="32"/>
  <c r="Q434" i="32"/>
  <c r="P434" i="32"/>
  <c r="O434" i="32"/>
  <c r="N434" i="32"/>
  <c r="M434" i="32"/>
  <c r="J434" i="32"/>
  <c r="L434" i="32" s="1"/>
  <c r="T434" i="32" s="1"/>
  <c r="I434" i="32"/>
  <c r="K434" i="32" s="1"/>
  <c r="X433" i="32"/>
  <c r="S433" i="32"/>
  <c r="R433" i="32"/>
  <c r="Q433" i="32"/>
  <c r="P433" i="32"/>
  <c r="O433" i="32"/>
  <c r="N433" i="32"/>
  <c r="M433" i="32"/>
  <c r="K433" i="32"/>
  <c r="J433" i="32"/>
  <c r="L433" i="32" s="1"/>
  <c r="I433" i="32"/>
  <c r="X432" i="32"/>
  <c r="S432" i="32"/>
  <c r="R432" i="32"/>
  <c r="Q432" i="32"/>
  <c r="P432" i="32"/>
  <c r="O432" i="32"/>
  <c r="N432" i="32"/>
  <c r="M432" i="32"/>
  <c r="L432" i="32"/>
  <c r="J432" i="32"/>
  <c r="I432" i="32"/>
  <c r="K432" i="32" s="1"/>
  <c r="X431" i="32"/>
  <c r="S431" i="32"/>
  <c r="R431" i="32"/>
  <c r="Q431" i="32"/>
  <c r="P431" i="32"/>
  <c r="O431" i="32"/>
  <c r="AA431" i="32" s="1"/>
  <c r="N431" i="32"/>
  <c r="M431" i="32"/>
  <c r="K431" i="32"/>
  <c r="J431" i="32"/>
  <c r="L431" i="32" s="1"/>
  <c r="I431" i="32"/>
  <c r="X430" i="32"/>
  <c r="U430" i="32" s="1"/>
  <c r="S430" i="32"/>
  <c r="R430" i="32"/>
  <c r="Q430" i="32"/>
  <c r="P430" i="32"/>
  <c r="O430" i="32"/>
  <c r="N430" i="32"/>
  <c r="M430" i="32"/>
  <c r="J430" i="32"/>
  <c r="L430" i="32" s="1"/>
  <c r="I430" i="32"/>
  <c r="K430" i="32" s="1"/>
  <c r="X429" i="32"/>
  <c r="S429" i="32"/>
  <c r="R429" i="32"/>
  <c r="Q429" i="32"/>
  <c r="P429" i="32"/>
  <c r="O429" i="32"/>
  <c r="N429" i="32"/>
  <c r="M429" i="32"/>
  <c r="K429" i="32"/>
  <c r="J429" i="32"/>
  <c r="L429" i="32" s="1"/>
  <c r="I429" i="32"/>
  <c r="X428" i="32"/>
  <c r="S428" i="32"/>
  <c r="R428" i="32"/>
  <c r="Q428" i="32"/>
  <c r="P428" i="32"/>
  <c r="O428" i="32"/>
  <c r="N428" i="32"/>
  <c r="M428" i="32"/>
  <c r="L428" i="32"/>
  <c r="J428" i="32"/>
  <c r="I428" i="32"/>
  <c r="K428" i="32" s="1"/>
  <c r="X427" i="32"/>
  <c r="S427" i="32"/>
  <c r="R427" i="32"/>
  <c r="Q427" i="32"/>
  <c r="P427" i="32"/>
  <c r="O427" i="32"/>
  <c r="N427" i="32"/>
  <c r="M427" i="32"/>
  <c r="K427" i="32"/>
  <c r="J427" i="32"/>
  <c r="L427" i="32" s="1"/>
  <c r="I427" i="32"/>
  <c r="X426" i="32"/>
  <c r="S426" i="32"/>
  <c r="R426" i="32"/>
  <c r="Q426" i="32"/>
  <c r="P426" i="32"/>
  <c r="O426" i="32"/>
  <c r="N426" i="32"/>
  <c r="M426" i="32"/>
  <c r="L426" i="32"/>
  <c r="Z426" i="32" s="1"/>
  <c r="J426" i="32"/>
  <c r="I426" i="32"/>
  <c r="K426" i="32" s="1"/>
  <c r="X425" i="32"/>
  <c r="S425" i="32"/>
  <c r="R425" i="32"/>
  <c r="Q425" i="32"/>
  <c r="P425" i="32"/>
  <c r="O425" i="32"/>
  <c r="N425" i="32"/>
  <c r="M425" i="32"/>
  <c r="L425" i="32"/>
  <c r="K425" i="32"/>
  <c r="J425" i="32"/>
  <c r="I425" i="32"/>
  <c r="X424" i="32"/>
  <c r="S424" i="32"/>
  <c r="R424" i="32"/>
  <c r="Q424" i="32"/>
  <c r="P424" i="32"/>
  <c r="O424" i="32"/>
  <c r="N424" i="32"/>
  <c r="M424" i="32"/>
  <c r="L424" i="32"/>
  <c r="U424" i="32" s="1"/>
  <c r="J424" i="32"/>
  <c r="I424" i="32"/>
  <c r="K424" i="32" s="1"/>
  <c r="X423" i="32"/>
  <c r="AA423" i="32"/>
  <c r="S423" i="32"/>
  <c r="R423" i="32"/>
  <c r="Q423" i="32"/>
  <c r="P423" i="32"/>
  <c r="O423" i="32"/>
  <c r="N423" i="32"/>
  <c r="M423" i="32"/>
  <c r="K423" i="32"/>
  <c r="J423" i="32"/>
  <c r="L423" i="32" s="1"/>
  <c r="I423" i="32"/>
  <c r="X422" i="32"/>
  <c r="S422" i="32"/>
  <c r="R422" i="32"/>
  <c r="Q422" i="32"/>
  <c r="P422" i="32"/>
  <c r="O422" i="32"/>
  <c r="N422" i="32"/>
  <c r="M422" i="32"/>
  <c r="J422" i="32"/>
  <c r="L422" i="32" s="1"/>
  <c r="I422" i="32"/>
  <c r="K422" i="32" s="1"/>
  <c r="X421" i="32"/>
  <c r="S421" i="32"/>
  <c r="R421" i="32"/>
  <c r="Q421" i="32"/>
  <c r="P421" i="32"/>
  <c r="O421" i="32"/>
  <c r="N421" i="32"/>
  <c r="M421" i="32"/>
  <c r="K421" i="32"/>
  <c r="J421" i="32"/>
  <c r="L421" i="32" s="1"/>
  <c r="I421" i="32"/>
  <c r="X420" i="32"/>
  <c r="U420" i="32" s="1"/>
  <c r="S420" i="32"/>
  <c r="R420" i="32"/>
  <c r="Q420" i="32"/>
  <c r="P420" i="32"/>
  <c r="O420" i="32"/>
  <c r="N420" i="32"/>
  <c r="M420" i="32"/>
  <c r="L420" i="32"/>
  <c r="J420" i="32"/>
  <c r="I420" i="32"/>
  <c r="K420" i="32" s="1"/>
  <c r="X419" i="32"/>
  <c r="S419" i="32"/>
  <c r="R419" i="32"/>
  <c r="Q419" i="32"/>
  <c r="P419" i="32"/>
  <c r="O419" i="32"/>
  <c r="AA419" i="32" s="1"/>
  <c r="N419" i="32"/>
  <c r="M419" i="32"/>
  <c r="K419" i="32"/>
  <c r="J419" i="32"/>
  <c r="L419" i="32" s="1"/>
  <c r="I419" i="32"/>
  <c r="X418" i="32"/>
  <c r="S418" i="32"/>
  <c r="R418" i="32"/>
  <c r="Q418" i="32"/>
  <c r="P418" i="32"/>
  <c r="O418" i="32"/>
  <c r="N418" i="32"/>
  <c r="M418" i="32"/>
  <c r="J418" i="32"/>
  <c r="L418" i="32" s="1"/>
  <c r="I418" i="32"/>
  <c r="K418" i="32" s="1"/>
  <c r="X417" i="32"/>
  <c r="S417" i="32"/>
  <c r="R417" i="32"/>
  <c r="Q417" i="32"/>
  <c r="P417" i="32"/>
  <c r="O417" i="32"/>
  <c r="N417" i="32"/>
  <c r="M417" i="32"/>
  <c r="L417" i="32"/>
  <c r="K417" i="32"/>
  <c r="J417" i="32"/>
  <c r="I417" i="32"/>
  <c r="X416" i="32"/>
  <c r="S416" i="32"/>
  <c r="R416" i="32"/>
  <c r="Q416" i="32"/>
  <c r="P416" i="32"/>
  <c r="O416" i="32"/>
  <c r="N416" i="32"/>
  <c r="M416" i="32"/>
  <c r="U416" i="32" s="1"/>
  <c r="L416" i="32"/>
  <c r="J416" i="32"/>
  <c r="I416" i="32"/>
  <c r="K416" i="32" s="1"/>
  <c r="X415" i="32"/>
  <c r="S415" i="32"/>
  <c r="R415" i="32"/>
  <c r="Q415" i="32"/>
  <c r="P415" i="32"/>
  <c r="O415" i="32"/>
  <c r="AA415" i="32" s="1"/>
  <c r="N415" i="32"/>
  <c r="M415" i="32"/>
  <c r="K415" i="32"/>
  <c r="J415" i="32"/>
  <c r="L415" i="32" s="1"/>
  <c r="I415" i="32"/>
  <c r="X414" i="32"/>
  <c r="S414" i="32"/>
  <c r="R414" i="32"/>
  <c r="Q414" i="32"/>
  <c r="P414" i="32"/>
  <c r="O414" i="32"/>
  <c r="N414" i="32"/>
  <c r="M414" i="32"/>
  <c r="L414" i="32"/>
  <c r="J414" i="32"/>
  <c r="I414" i="32"/>
  <c r="K414" i="32" s="1"/>
  <c r="AA414" i="32" s="1"/>
  <c r="X413" i="32"/>
  <c r="S413" i="32"/>
  <c r="R413" i="32"/>
  <c r="Q413" i="32"/>
  <c r="P413" i="32"/>
  <c r="O413" i="32"/>
  <c r="N413" i="32"/>
  <c r="M413" i="32"/>
  <c r="L413" i="32"/>
  <c r="K413" i="32"/>
  <c r="J413" i="32"/>
  <c r="I413" i="32"/>
  <c r="X412" i="32"/>
  <c r="U412" i="32" s="1"/>
  <c r="S412" i="32"/>
  <c r="R412" i="32"/>
  <c r="Q412" i="32"/>
  <c r="P412" i="32"/>
  <c r="O412" i="32"/>
  <c r="N412" i="32"/>
  <c r="M412" i="32"/>
  <c r="L412" i="32"/>
  <c r="J412" i="32"/>
  <c r="I412" i="32"/>
  <c r="K412" i="32" s="1"/>
  <c r="X411" i="32"/>
  <c r="S411" i="32"/>
  <c r="R411" i="32"/>
  <c r="Q411" i="32"/>
  <c r="P411" i="32"/>
  <c r="O411" i="32"/>
  <c r="N411" i="32"/>
  <c r="M411" i="32"/>
  <c r="K411" i="32"/>
  <c r="J411" i="32"/>
  <c r="L411" i="32" s="1"/>
  <c r="I411" i="32"/>
  <c r="X410" i="32"/>
  <c r="S410" i="32"/>
  <c r="R410" i="32"/>
  <c r="Q410" i="32"/>
  <c r="P410" i="32"/>
  <c r="Z410" i="32" s="1"/>
  <c r="O410" i="32"/>
  <c r="N410" i="32"/>
  <c r="M410" i="32"/>
  <c r="L410" i="32"/>
  <c r="J410" i="32"/>
  <c r="I410" i="32"/>
  <c r="K410" i="32" s="1"/>
  <c r="X409" i="32"/>
  <c r="U409" i="32" s="1"/>
  <c r="S409" i="32"/>
  <c r="R409" i="32"/>
  <c r="Q409" i="32"/>
  <c r="P409" i="32"/>
  <c r="O409" i="32"/>
  <c r="N409" i="32"/>
  <c r="M409" i="32"/>
  <c r="L409" i="32"/>
  <c r="K409" i="32"/>
  <c r="J409" i="32"/>
  <c r="I409" i="32"/>
  <c r="X408" i="32"/>
  <c r="T408" i="32"/>
  <c r="S408" i="32"/>
  <c r="R408" i="32"/>
  <c r="Q408" i="32"/>
  <c r="P408" i="32"/>
  <c r="O408" i="32"/>
  <c r="N408" i="32"/>
  <c r="M408" i="32"/>
  <c r="L408" i="32"/>
  <c r="J408" i="32"/>
  <c r="I408" i="32"/>
  <c r="K408" i="32" s="1"/>
  <c r="X407" i="32"/>
  <c r="S407" i="32"/>
  <c r="R407" i="32"/>
  <c r="Q407" i="32"/>
  <c r="P407" i="32"/>
  <c r="O407" i="32"/>
  <c r="N407" i="32"/>
  <c r="AA407" i="32" s="1"/>
  <c r="M407" i="32"/>
  <c r="K407" i="32"/>
  <c r="J407" i="32"/>
  <c r="L407" i="32" s="1"/>
  <c r="I407" i="32"/>
  <c r="AA406" i="32"/>
  <c r="X406" i="32"/>
  <c r="U406" i="32" s="1"/>
  <c r="S406" i="32"/>
  <c r="R406" i="32"/>
  <c r="Q406" i="32"/>
  <c r="P406" i="32"/>
  <c r="O406" i="32"/>
  <c r="N406" i="32"/>
  <c r="M406" i="32"/>
  <c r="L406" i="32"/>
  <c r="J406" i="32"/>
  <c r="I406" i="32"/>
  <c r="K406" i="32" s="1"/>
  <c r="X405" i="32"/>
  <c r="S405" i="32"/>
  <c r="R405" i="32"/>
  <c r="Q405" i="32"/>
  <c r="P405" i="32"/>
  <c r="O405" i="32"/>
  <c r="N405" i="32"/>
  <c r="M405" i="32"/>
  <c r="L405" i="32"/>
  <c r="K405" i="32"/>
  <c r="J405" i="32"/>
  <c r="I405" i="32"/>
  <c r="X404" i="32"/>
  <c r="U404" i="32"/>
  <c r="S404" i="32"/>
  <c r="R404" i="32"/>
  <c r="Q404" i="32"/>
  <c r="P404" i="32"/>
  <c r="O404" i="32"/>
  <c r="N404" i="32"/>
  <c r="M404" i="32"/>
  <c r="L404" i="32"/>
  <c r="J404" i="32"/>
  <c r="I404" i="32"/>
  <c r="K404" i="32" s="1"/>
  <c r="X403" i="32"/>
  <c r="S403" i="32"/>
  <c r="R403" i="32"/>
  <c r="Q403" i="32"/>
  <c r="P403" i="32"/>
  <c r="O403" i="32"/>
  <c r="N403" i="32"/>
  <c r="M403" i="32"/>
  <c r="K403" i="32"/>
  <c r="J403" i="32"/>
  <c r="L403" i="32" s="1"/>
  <c r="I403" i="32"/>
  <c r="X402" i="32"/>
  <c r="S402" i="32"/>
  <c r="R402" i="32"/>
  <c r="Q402" i="32"/>
  <c r="P402" i="32"/>
  <c r="O402" i="32"/>
  <c r="N402" i="32"/>
  <c r="M402" i="32"/>
  <c r="J402" i="32"/>
  <c r="L402" i="32" s="1"/>
  <c r="I402" i="32"/>
  <c r="K402" i="32" s="1"/>
  <c r="X401" i="32"/>
  <c r="S401" i="32"/>
  <c r="R401" i="32"/>
  <c r="Q401" i="32"/>
  <c r="P401" i="32"/>
  <c r="O401" i="32"/>
  <c r="N401" i="32"/>
  <c r="M401" i="32"/>
  <c r="K401" i="32"/>
  <c r="J401" i="32"/>
  <c r="L401" i="32" s="1"/>
  <c r="I401" i="32"/>
  <c r="X400" i="32"/>
  <c r="T400" i="32"/>
  <c r="S400" i="32"/>
  <c r="R400" i="32"/>
  <c r="Q400" i="32"/>
  <c r="P400" i="32"/>
  <c r="O400" i="32"/>
  <c r="N400" i="32"/>
  <c r="M400" i="32"/>
  <c r="U400" i="32" s="1"/>
  <c r="L400" i="32"/>
  <c r="J400" i="32"/>
  <c r="I400" i="32"/>
  <c r="K400" i="32" s="1"/>
  <c r="X399" i="32"/>
  <c r="S399" i="32"/>
  <c r="R399" i="32"/>
  <c r="Q399" i="32"/>
  <c r="P399" i="32"/>
  <c r="O399" i="32"/>
  <c r="AA399" i="32" s="1"/>
  <c r="N399" i="32"/>
  <c r="M399" i="32"/>
  <c r="K399" i="32"/>
  <c r="J399" i="32"/>
  <c r="L399" i="32" s="1"/>
  <c r="I399" i="32"/>
  <c r="X398" i="32"/>
  <c r="S398" i="32"/>
  <c r="R398" i="32"/>
  <c r="Q398" i="32"/>
  <c r="AA398" i="32" s="1"/>
  <c r="P398" i="32"/>
  <c r="O398" i="32"/>
  <c r="N398" i="32"/>
  <c r="M398" i="32"/>
  <c r="J398" i="32"/>
  <c r="L398" i="32" s="1"/>
  <c r="I398" i="32"/>
  <c r="K398" i="32" s="1"/>
  <c r="X397" i="32"/>
  <c r="S397" i="32"/>
  <c r="R397" i="32"/>
  <c r="Q397" i="32"/>
  <c r="P397" i="32"/>
  <c r="O397" i="32"/>
  <c r="N397" i="32"/>
  <c r="M397" i="32"/>
  <c r="K397" i="32"/>
  <c r="J397" i="32"/>
  <c r="L397" i="32" s="1"/>
  <c r="I397" i="32"/>
  <c r="X396" i="32"/>
  <c r="S396" i="32"/>
  <c r="R396" i="32"/>
  <c r="Q396" i="32"/>
  <c r="P396" i="32"/>
  <c r="O396" i="32"/>
  <c r="N396" i="32"/>
  <c r="M396" i="32"/>
  <c r="L396" i="32"/>
  <c r="J396" i="32"/>
  <c r="I396" i="32"/>
  <c r="K396" i="32" s="1"/>
  <c r="AA396" i="32" s="1"/>
  <c r="Y395" i="32"/>
  <c r="X395" i="32"/>
  <c r="W395" i="32"/>
  <c r="V395" i="32"/>
  <c r="S395" i="32"/>
  <c r="R395" i="32"/>
  <c r="Q395" i="32"/>
  <c r="P395" i="32"/>
  <c r="O395" i="32"/>
  <c r="N395" i="32"/>
  <c r="M395" i="32"/>
  <c r="L395" i="32"/>
  <c r="J395" i="32"/>
  <c r="I395" i="32"/>
  <c r="K395" i="32" s="1"/>
  <c r="Z394" i="32"/>
  <c r="Y394" i="32"/>
  <c r="X394" i="32"/>
  <c r="U394" i="32" s="1"/>
  <c r="W394" i="32"/>
  <c r="V394" i="32"/>
  <c r="S394" i="32"/>
  <c r="R394" i="32"/>
  <c r="Q394" i="32"/>
  <c r="P394" i="32"/>
  <c r="O394" i="32"/>
  <c r="N394" i="32"/>
  <c r="M394" i="32"/>
  <c r="L394" i="32"/>
  <c r="K394" i="32"/>
  <c r="J394" i="32"/>
  <c r="I394" i="32"/>
  <c r="Y393" i="32"/>
  <c r="X393" i="32"/>
  <c r="W393" i="32"/>
  <c r="V393" i="32"/>
  <c r="S393" i="32"/>
  <c r="R393" i="32"/>
  <c r="Q393" i="32"/>
  <c r="P393" i="32"/>
  <c r="O393" i="32"/>
  <c r="N393" i="32"/>
  <c r="M393" i="32"/>
  <c r="J393" i="32"/>
  <c r="L393" i="32" s="1"/>
  <c r="I393" i="32"/>
  <c r="K393" i="32" s="1"/>
  <c r="Y392" i="32"/>
  <c r="X392" i="32"/>
  <c r="W392" i="32"/>
  <c r="V392" i="32"/>
  <c r="S392" i="32"/>
  <c r="R392" i="32"/>
  <c r="Q392" i="32"/>
  <c r="P392" i="32"/>
  <c r="O392" i="32"/>
  <c r="N392" i="32"/>
  <c r="M392" i="32"/>
  <c r="J392" i="32"/>
  <c r="L392" i="32" s="1"/>
  <c r="I392" i="32"/>
  <c r="K392" i="32" s="1"/>
  <c r="Y391" i="32"/>
  <c r="X391" i="32"/>
  <c r="W391" i="32"/>
  <c r="V391" i="32"/>
  <c r="S391" i="32"/>
  <c r="R391" i="32"/>
  <c r="Q391" i="32"/>
  <c r="P391" i="32"/>
  <c r="O391" i="32"/>
  <c r="N391" i="32"/>
  <c r="M391" i="32"/>
  <c r="L391" i="32"/>
  <c r="K391" i="32"/>
  <c r="J391" i="32"/>
  <c r="I391" i="32"/>
  <c r="Y390" i="32"/>
  <c r="X390" i="32"/>
  <c r="W390" i="32"/>
  <c r="V390" i="32"/>
  <c r="S390" i="32"/>
  <c r="R390" i="32"/>
  <c r="Q390" i="32"/>
  <c r="P390" i="32"/>
  <c r="Z390" i="32" s="1"/>
  <c r="O390" i="32"/>
  <c r="N390" i="32"/>
  <c r="M390" i="32"/>
  <c r="K390" i="32"/>
  <c r="J390" i="32"/>
  <c r="L390" i="32" s="1"/>
  <c r="I390" i="32"/>
  <c r="Y389" i="32"/>
  <c r="X389" i="32"/>
  <c r="W389" i="32"/>
  <c r="V389" i="32"/>
  <c r="S389" i="32"/>
  <c r="R389" i="32"/>
  <c r="Q389" i="32"/>
  <c r="P389" i="32"/>
  <c r="O389" i="32"/>
  <c r="N389" i="32"/>
  <c r="M389" i="32"/>
  <c r="J389" i="32"/>
  <c r="L389" i="32" s="1"/>
  <c r="I389" i="32"/>
  <c r="K389" i="32" s="1"/>
  <c r="Y388" i="32"/>
  <c r="X388" i="32"/>
  <c r="W388" i="32"/>
  <c r="V388" i="32"/>
  <c r="S388" i="32"/>
  <c r="R388" i="32"/>
  <c r="Q388" i="32"/>
  <c r="P388" i="32"/>
  <c r="O388" i="32"/>
  <c r="N388" i="32"/>
  <c r="M388" i="32"/>
  <c r="L388" i="32"/>
  <c r="J388" i="32"/>
  <c r="I388" i="32"/>
  <c r="K388" i="32" s="1"/>
  <c r="Y387" i="32"/>
  <c r="X387" i="32"/>
  <c r="W387" i="32"/>
  <c r="V387" i="32"/>
  <c r="S387" i="32"/>
  <c r="R387" i="32"/>
  <c r="Q387" i="32"/>
  <c r="P387" i="32"/>
  <c r="AA387" i="32" s="1"/>
  <c r="O387" i="32"/>
  <c r="N387" i="32"/>
  <c r="M387" i="32"/>
  <c r="L387" i="32"/>
  <c r="J387" i="32"/>
  <c r="I387" i="32"/>
  <c r="K387" i="32" s="1"/>
  <c r="AA386" i="32"/>
  <c r="Z386" i="32"/>
  <c r="Y386" i="32"/>
  <c r="X386" i="32"/>
  <c r="W386" i="32"/>
  <c r="V386" i="32"/>
  <c r="S386" i="32"/>
  <c r="R386" i="32"/>
  <c r="Q386" i="32"/>
  <c r="P386" i="32"/>
  <c r="O386" i="32"/>
  <c r="N386" i="32"/>
  <c r="M386" i="32"/>
  <c r="K386" i="32"/>
  <c r="J386" i="32"/>
  <c r="L386" i="32" s="1"/>
  <c r="I386" i="32"/>
  <c r="Y385" i="32"/>
  <c r="X385" i="32"/>
  <c r="W385" i="32"/>
  <c r="V385" i="32"/>
  <c r="S385" i="32"/>
  <c r="R385" i="32"/>
  <c r="Q385" i="32"/>
  <c r="P385" i="32"/>
  <c r="O385" i="32"/>
  <c r="N385" i="32"/>
  <c r="M385" i="32"/>
  <c r="J385" i="32"/>
  <c r="L385" i="32" s="1"/>
  <c r="I385" i="32"/>
  <c r="K385" i="32" s="1"/>
  <c r="Y384" i="32"/>
  <c r="X384" i="32"/>
  <c r="W384" i="32"/>
  <c r="V384" i="32"/>
  <c r="S384" i="32"/>
  <c r="R384" i="32"/>
  <c r="Q384" i="32"/>
  <c r="P384" i="32"/>
  <c r="O384" i="32"/>
  <c r="N384" i="32"/>
  <c r="M384" i="32"/>
  <c r="L384" i="32"/>
  <c r="T384" i="32" s="1"/>
  <c r="J384" i="32"/>
  <c r="I384" i="32"/>
  <c r="K384" i="32" s="1"/>
  <c r="Z384" i="32" s="1"/>
  <c r="Y383" i="32"/>
  <c r="X383" i="32"/>
  <c r="W383" i="32"/>
  <c r="V383" i="32"/>
  <c r="S383" i="32"/>
  <c r="R383" i="32"/>
  <c r="Q383" i="32"/>
  <c r="P383" i="32"/>
  <c r="O383" i="32"/>
  <c r="N383" i="32"/>
  <c r="M383" i="32"/>
  <c r="L383" i="32"/>
  <c r="K383" i="32"/>
  <c r="J383" i="32"/>
  <c r="I383" i="32"/>
  <c r="Y382" i="32"/>
  <c r="X382" i="32"/>
  <c r="W382" i="32"/>
  <c r="AA382" i="32" s="1"/>
  <c r="V382" i="32"/>
  <c r="S382" i="32"/>
  <c r="R382" i="32"/>
  <c r="Q382" i="32"/>
  <c r="P382" i="32"/>
  <c r="O382" i="32"/>
  <c r="N382" i="32"/>
  <c r="M382" i="32"/>
  <c r="K382" i="32"/>
  <c r="J382" i="32"/>
  <c r="L382" i="32" s="1"/>
  <c r="I382" i="32"/>
  <c r="Y381" i="32"/>
  <c r="X381" i="32"/>
  <c r="W381" i="32"/>
  <c r="V381" i="32"/>
  <c r="S381" i="32"/>
  <c r="R381" i="32"/>
  <c r="Q381" i="32"/>
  <c r="P381" i="32"/>
  <c r="O381" i="32"/>
  <c r="N381" i="32"/>
  <c r="M381" i="32"/>
  <c r="K381" i="32"/>
  <c r="J381" i="32"/>
  <c r="L381" i="32" s="1"/>
  <c r="I381" i="32"/>
  <c r="Y380" i="32"/>
  <c r="X380" i="32"/>
  <c r="W380" i="32"/>
  <c r="V380" i="32"/>
  <c r="S380" i="32"/>
  <c r="R380" i="32"/>
  <c r="Q380" i="32"/>
  <c r="P380" i="32"/>
  <c r="O380" i="32"/>
  <c r="N380" i="32"/>
  <c r="M380" i="32"/>
  <c r="L380" i="32"/>
  <c r="J380" i="32"/>
  <c r="I380" i="32"/>
  <c r="K380" i="32" s="1"/>
  <c r="Y379" i="32"/>
  <c r="X379" i="32"/>
  <c r="W379" i="32"/>
  <c r="V379" i="32"/>
  <c r="S379" i="32"/>
  <c r="R379" i="32"/>
  <c r="Q379" i="32"/>
  <c r="P379" i="32"/>
  <c r="O379" i="32"/>
  <c r="N379" i="32"/>
  <c r="M379" i="32"/>
  <c r="L379" i="32"/>
  <c r="K379" i="32"/>
  <c r="T379" i="32" s="1"/>
  <c r="J379" i="32"/>
  <c r="I379" i="32"/>
  <c r="Y378" i="32"/>
  <c r="X378" i="32"/>
  <c r="W378" i="32"/>
  <c r="V378" i="32"/>
  <c r="S378" i="32"/>
  <c r="R378" i="32"/>
  <c r="Q378" i="32"/>
  <c r="P378" i="32"/>
  <c r="O378" i="32"/>
  <c r="N378" i="32"/>
  <c r="M378" i="32"/>
  <c r="L378" i="32"/>
  <c r="K378" i="32"/>
  <c r="J378" i="32"/>
  <c r="I378" i="32"/>
  <c r="Y377" i="32"/>
  <c r="X377" i="32"/>
  <c r="W377" i="32"/>
  <c r="V377" i="32"/>
  <c r="S377" i="32"/>
  <c r="R377" i="32"/>
  <c r="Q377" i="32"/>
  <c r="P377" i="32"/>
  <c r="O377" i="32"/>
  <c r="N377" i="32"/>
  <c r="M377" i="32"/>
  <c r="J377" i="32"/>
  <c r="L377" i="32" s="1"/>
  <c r="I377" i="32"/>
  <c r="K377" i="32" s="1"/>
  <c r="Y376" i="32"/>
  <c r="X376" i="32"/>
  <c r="W376" i="32"/>
  <c r="AA376" i="32" s="1"/>
  <c r="V376" i="32"/>
  <c r="S376" i="32"/>
  <c r="R376" i="32"/>
  <c r="Q376" i="32"/>
  <c r="P376" i="32"/>
  <c r="O376" i="32"/>
  <c r="N376" i="32"/>
  <c r="M376" i="32"/>
  <c r="L376" i="32"/>
  <c r="T376" i="32" s="1"/>
  <c r="J376" i="32"/>
  <c r="I376" i="32"/>
  <c r="K376" i="32" s="1"/>
  <c r="Y375" i="32"/>
  <c r="X375" i="32"/>
  <c r="W375" i="32"/>
  <c r="V375" i="32"/>
  <c r="S375" i="32"/>
  <c r="R375" i="32"/>
  <c r="Q375" i="32"/>
  <c r="P375" i="32"/>
  <c r="O375" i="32"/>
  <c r="N375" i="32"/>
  <c r="M375" i="32"/>
  <c r="U375" i="32" s="1"/>
  <c r="L375" i="32"/>
  <c r="K375" i="32"/>
  <c r="J375" i="32"/>
  <c r="I375" i="32"/>
  <c r="Y374" i="32"/>
  <c r="X374" i="32"/>
  <c r="W374" i="32"/>
  <c r="V374" i="32"/>
  <c r="S374" i="32"/>
  <c r="R374" i="32"/>
  <c r="Q374" i="32"/>
  <c r="P374" i="32"/>
  <c r="O374" i="32"/>
  <c r="N374" i="32"/>
  <c r="M374" i="32"/>
  <c r="K374" i="32"/>
  <c r="J374" i="32"/>
  <c r="L374" i="32" s="1"/>
  <c r="I374" i="32"/>
  <c r="Y373" i="32"/>
  <c r="X373" i="32"/>
  <c r="W373" i="32"/>
  <c r="V373" i="32"/>
  <c r="T373" i="32" s="1"/>
  <c r="S373" i="32"/>
  <c r="R373" i="32"/>
  <c r="Q373" i="32"/>
  <c r="P373" i="32"/>
  <c r="O373" i="32"/>
  <c r="N373" i="32"/>
  <c r="M373" i="32"/>
  <c r="K373" i="32"/>
  <c r="J373" i="32"/>
  <c r="L373" i="32" s="1"/>
  <c r="I373" i="32"/>
  <c r="Y372" i="32"/>
  <c r="X372" i="32"/>
  <c r="W372" i="32"/>
  <c r="V372" i="32"/>
  <c r="S372" i="32"/>
  <c r="R372" i="32"/>
  <c r="Q372" i="32"/>
  <c r="P372" i="32"/>
  <c r="O372" i="32"/>
  <c r="N372" i="32"/>
  <c r="U372" i="32" s="1"/>
  <c r="M372" i="32"/>
  <c r="L372" i="32"/>
  <c r="J372" i="32"/>
  <c r="I372" i="32"/>
  <c r="K372" i="32" s="1"/>
  <c r="Y371" i="32"/>
  <c r="X371" i="32"/>
  <c r="W371" i="32"/>
  <c r="AA371" i="32" s="1"/>
  <c r="V371" i="32"/>
  <c r="Z371" i="32" s="1"/>
  <c r="S371" i="32"/>
  <c r="R371" i="32"/>
  <c r="Q371" i="32"/>
  <c r="P371" i="32"/>
  <c r="O371" i="32"/>
  <c r="N371" i="32"/>
  <c r="M371" i="32"/>
  <c r="L371" i="32"/>
  <c r="K371" i="32"/>
  <c r="T371" i="32" s="1"/>
  <c r="J371" i="32"/>
  <c r="I371" i="32"/>
  <c r="Y370" i="32"/>
  <c r="X370" i="32"/>
  <c r="W370" i="32"/>
  <c r="V370" i="32"/>
  <c r="S370" i="32"/>
  <c r="R370" i="32"/>
  <c r="Q370" i="32"/>
  <c r="P370" i="32"/>
  <c r="O370" i="32"/>
  <c r="N370" i="32"/>
  <c r="M370" i="32"/>
  <c r="L370" i="32"/>
  <c r="AA370" i="32" s="1"/>
  <c r="K370" i="32"/>
  <c r="J370" i="32"/>
  <c r="I370" i="32"/>
  <c r="Y369" i="32"/>
  <c r="X369" i="32"/>
  <c r="W369" i="32"/>
  <c r="V369" i="32"/>
  <c r="S369" i="32"/>
  <c r="R369" i="32"/>
  <c r="Q369" i="32"/>
  <c r="P369" i="32"/>
  <c r="O369" i="32"/>
  <c r="N369" i="32"/>
  <c r="M369" i="32"/>
  <c r="J369" i="32"/>
  <c r="L369" i="32" s="1"/>
  <c r="U369" i="32" s="1"/>
  <c r="I369" i="32"/>
  <c r="K369" i="32" s="1"/>
  <c r="Y368" i="32"/>
  <c r="X368" i="32"/>
  <c r="W368" i="32"/>
  <c r="V368" i="32"/>
  <c r="S368" i="32"/>
  <c r="R368" i="32"/>
  <c r="Q368" i="32"/>
  <c r="P368" i="32"/>
  <c r="O368" i="32"/>
  <c r="N368" i="32"/>
  <c r="M368" i="32"/>
  <c r="L368" i="32"/>
  <c r="J368" i="32"/>
  <c r="I368" i="32"/>
  <c r="K368" i="32" s="1"/>
  <c r="Y367" i="32"/>
  <c r="X367" i="32"/>
  <c r="W367" i="32"/>
  <c r="V367" i="32"/>
  <c r="S367" i="32"/>
  <c r="R367" i="32"/>
  <c r="Q367" i="32"/>
  <c r="P367" i="32"/>
  <c r="O367" i="32"/>
  <c r="N367" i="32"/>
  <c r="M367" i="32"/>
  <c r="L367" i="32"/>
  <c r="K367" i="32"/>
  <c r="J367" i="32"/>
  <c r="I367" i="32"/>
  <c r="Y366" i="32"/>
  <c r="X366" i="32"/>
  <c r="W366" i="32"/>
  <c r="V366" i="32"/>
  <c r="S366" i="32"/>
  <c r="R366" i="32"/>
  <c r="Q366" i="32"/>
  <c r="P366" i="32"/>
  <c r="O366" i="32"/>
  <c r="N366" i="32"/>
  <c r="M366" i="32"/>
  <c r="K366" i="32"/>
  <c r="J366" i="32"/>
  <c r="L366" i="32" s="1"/>
  <c r="I366" i="32"/>
  <c r="Y365" i="32"/>
  <c r="X365" i="32"/>
  <c r="W365" i="32"/>
  <c r="V365" i="32"/>
  <c r="S365" i="32"/>
  <c r="R365" i="32"/>
  <c r="Q365" i="32"/>
  <c r="P365" i="32"/>
  <c r="O365" i="32"/>
  <c r="N365" i="32"/>
  <c r="M365" i="32"/>
  <c r="J365" i="32"/>
  <c r="L365" i="32" s="1"/>
  <c r="I365" i="32"/>
  <c r="K365" i="32" s="1"/>
  <c r="Y364" i="32"/>
  <c r="X364" i="32"/>
  <c r="W364" i="32"/>
  <c r="V364" i="32"/>
  <c r="S364" i="32"/>
  <c r="R364" i="32"/>
  <c r="Q364" i="32"/>
  <c r="P364" i="32"/>
  <c r="O364" i="32"/>
  <c r="N364" i="32"/>
  <c r="M364" i="32"/>
  <c r="L364" i="32"/>
  <c r="J364" i="32"/>
  <c r="I364" i="32"/>
  <c r="K364" i="32" s="1"/>
  <c r="Y363" i="32"/>
  <c r="X363" i="32"/>
  <c r="U363" i="32" s="1"/>
  <c r="W363" i="32"/>
  <c r="V363" i="32"/>
  <c r="S363" i="32"/>
  <c r="R363" i="32"/>
  <c r="Q363" i="32"/>
  <c r="P363" i="32"/>
  <c r="O363" i="32"/>
  <c r="N363" i="32"/>
  <c r="M363" i="32"/>
  <c r="L363" i="32"/>
  <c r="J363" i="32"/>
  <c r="I363" i="32"/>
  <c r="K363" i="32" s="1"/>
  <c r="Z362" i="32"/>
  <c r="Y362" i="32"/>
  <c r="X362" i="32"/>
  <c r="W362" i="32"/>
  <c r="V362" i="32"/>
  <c r="T362" i="32" s="1"/>
  <c r="S362" i="32"/>
  <c r="R362" i="32"/>
  <c r="Q362" i="32"/>
  <c r="P362" i="32"/>
  <c r="O362" i="32"/>
  <c r="N362" i="32"/>
  <c r="M362" i="32"/>
  <c r="L362" i="32"/>
  <c r="K362" i="32"/>
  <c r="J362" i="32"/>
  <c r="I362" i="32"/>
  <c r="Y361" i="32"/>
  <c r="X361" i="32"/>
  <c r="W361" i="32"/>
  <c r="V361" i="32"/>
  <c r="S361" i="32"/>
  <c r="R361" i="32"/>
  <c r="Q361" i="32"/>
  <c r="P361" i="32"/>
  <c r="O361" i="32"/>
  <c r="N361" i="32"/>
  <c r="M361" i="32"/>
  <c r="J361" i="32"/>
  <c r="L361" i="32" s="1"/>
  <c r="I361" i="32"/>
  <c r="K361" i="32" s="1"/>
  <c r="Y360" i="32"/>
  <c r="X360" i="32"/>
  <c r="W360" i="32"/>
  <c r="V360" i="32"/>
  <c r="S360" i="32"/>
  <c r="R360" i="32"/>
  <c r="Q360" i="32"/>
  <c r="P360" i="32"/>
  <c r="O360" i="32"/>
  <c r="N360" i="32"/>
  <c r="M360" i="32"/>
  <c r="K360" i="32"/>
  <c r="Z360" i="32" s="1"/>
  <c r="I360" i="32"/>
  <c r="Y359" i="32"/>
  <c r="X359" i="32"/>
  <c r="W359" i="32"/>
  <c r="V359" i="32"/>
  <c r="S359" i="32"/>
  <c r="R359" i="32"/>
  <c r="Q359" i="32"/>
  <c r="P359" i="32"/>
  <c r="O359" i="32"/>
  <c r="N359" i="32"/>
  <c r="M359" i="32"/>
  <c r="J359" i="32"/>
  <c r="L359" i="32" s="1"/>
  <c r="I359" i="32"/>
  <c r="K359" i="32" s="1"/>
  <c r="Y358" i="32"/>
  <c r="X358" i="32"/>
  <c r="W358" i="32"/>
  <c r="V358" i="32"/>
  <c r="S358" i="32"/>
  <c r="R358" i="32"/>
  <c r="Q358" i="32"/>
  <c r="P358" i="32"/>
  <c r="O358" i="32"/>
  <c r="N358" i="32"/>
  <c r="M358" i="32"/>
  <c r="L358" i="32"/>
  <c r="J358" i="32"/>
  <c r="I358" i="32"/>
  <c r="K358" i="32" s="1"/>
  <c r="Y357" i="32"/>
  <c r="X357" i="32"/>
  <c r="W357" i="32"/>
  <c r="AA357" i="32" s="1"/>
  <c r="V357" i="32"/>
  <c r="S357" i="32"/>
  <c r="R357" i="32"/>
  <c r="Q357" i="32"/>
  <c r="P357" i="32"/>
  <c r="O357" i="32"/>
  <c r="N357" i="32"/>
  <c r="M357" i="32"/>
  <c r="L357" i="32"/>
  <c r="J357" i="32"/>
  <c r="I357" i="32"/>
  <c r="K357" i="32" s="1"/>
  <c r="Y356" i="32"/>
  <c r="X356" i="32"/>
  <c r="W356" i="32"/>
  <c r="V356" i="32"/>
  <c r="S356" i="32"/>
  <c r="R356" i="32"/>
  <c r="Q356" i="32"/>
  <c r="P356" i="32"/>
  <c r="O356" i="32"/>
  <c r="N356" i="32"/>
  <c r="M356" i="32"/>
  <c r="L356" i="32"/>
  <c r="K356" i="32"/>
  <c r="J356" i="32"/>
  <c r="I356" i="32"/>
  <c r="Y355" i="32"/>
  <c r="X355" i="32"/>
  <c r="W355" i="32"/>
  <c r="V355" i="32"/>
  <c r="S355" i="32"/>
  <c r="R355" i="32"/>
  <c r="Q355" i="32"/>
  <c r="P355" i="32"/>
  <c r="O355" i="32"/>
  <c r="N355" i="32"/>
  <c r="M355" i="32"/>
  <c r="J355" i="32"/>
  <c r="L355" i="32" s="1"/>
  <c r="I355" i="32"/>
  <c r="K355" i="32" s="1"/>
  <c r="U355" i="32" s="1"/>
  <c r="Y354" i="32"/>
  <c r="X354" i="32"/>
  <c r="W354" i="32"/>
  <c r="V354" i="32"/>
  <c r="S354" i="32"/>
  <c r="R354" i="32"/>
  <c r="Q354" i="32"/>
  <c r="P354" i="32"/>
  <c r="O354" i="32"/>
  <c r="N354" i="32"/>
  <c r="M354" i="32"/>
  <c r="L354" i="32"/>
  <c r="J354" i="32"/>
  <c r="I354" i="32"/>
  <c r="K354" i="32" s="1"/>
  <c r="Y353" i="32"/>
  <c r="X353" i="32"/>
  <c r="W353" i="32"/>
  <c r="V353" i="32"/>
  <c r="S353" i="32"/>
  <c r="R353" i="32"/>
  <c r="Q353" i="32"/>
  <c r="P353" i="32"/>
  <c r="O353" i="32"/>
  <c r="N353" i="32"/>
  <c r="M353" i="32"/>
  <c r="L353" i="32"/>
  <c r="K353" i="32"/>
  <c r="J353" i="32"/>
  <c r="I353" i="32"/>
  <c r="Y352" i="32"/>
  <c r="X352" i="32"/>
  <c r="W352" i="32"/>
  <c r="V352" i="32"/>
  <c r="S352" i="32"/>
  <c r="R352" i="32"/>
  <c r="Q352" i="32"/>
  <c r="P352" i="32"/>
  <c r="O352" i="32"/>
  <c r="N352" i="32"/>
  <c r="M352" i="32"/>
  <c r="K352" i="32"/>
  <c r="J352" i="32"/>
  <c r="L352" i="32" s="1"/>
  <c r="Z352" i="32" s="1"/>
  <c r="I352" i="32"/>
  <c r="Y351" i="32"/>
  <c r="X351" i="32"/>
  <c r="W351" i="32"/>
  <c r="V351" i="32"/>
  <c r="S351" i="32"/>
  <c r="R351" i="32"/>
  <c r="Q351" i="32"/>
  <c r="P351" i="32"/>
  <c r="O351" i="32"/>
  <c r="N351" i="32"/>
  <c r="M351" i="32"/>
  <c r="K351" i="32"/>
  <c r="J351" i="32"/>
  <c r="L351" i="32" s="1"/>
  <c r="I351" i="32"/>
  <c r="Y350" i="32"/>
  <c r="X350" i="32"/>
  <c r="U350" i="32" s="1"/>
  <c r="W350" i="32"/>
  <c r="V350" i="32"/>
  <c r="S350" i="32"/>
  <c r="R350" i="32"/>
  <c r="Q350" i="32"/>
  <c r="P350" i="32"/>
  <c r="O350" i="32"/>
  <c r="N350" i="32"/>
  <c r="M350" i="32"/>
  <c r="L350" i="32"/>
  <c r="T350" i="32" s="1"/>
  <c r="J350" i="32"/>
  <c r="I350" i="32"/>
  <c r="K350" i="32" s="1"/>
  <c r="Y349" i="32"/>
  <c r="X349" i="32"/>
  <c r="W349" i="32"/>
  <c r="V349" i="32"/>
  <c r="S349" i="32"/>
  <c r="R349" i="32"/>
  <c r="Q349" i="32"/>
  <c r="P349" i="32"/>
  <c r="O349" i="32"/>
  <c r="N349" i="32"/>
  <c r="M349" i="32"/>
  <c r="L349" i="32"/>
  <c r="K349" i="32"/>
  <c r="J349" i="32"/>
  <c r="I349" i="32"/>
  <c r="Y348" i="32"/>
  <c r="X348" i="32"/>
  <c r="W348" i="32"/>
  <c r="V348" i="32"/>
  <c r="S348" i="32"/>
  <c r="R348" i="32"/>
  <c r="Q348" i="32"/>
  <c r="P348" i="32"/>
  <c r="O348" i="32"/>
  <c r="N348" i="32"/>
  <c r="M348" i="32"/>
  <c r="K348" i="32"/>
  <c r="J348" i="32"/>
  <c r="L348" i="32" s="1"/>
  <c r="I348" i="32"/>
  <c r="Y347" i="32"/>
  <c r="X347" i="32"/>
  <c r="W347" i="32"/>
  <c r="V347" i="32"/>
  <c r="S347" i="32"/>
  <c r="R347" i="32"/>
  <c r="Q347" i="32"/>
  <c r="P347" i="32"/>
  <c r="O347" i="32"/>
  <c r="N347" i="32"/>
  <c r="M347" i="32"/>
  <c r="J347" i="32"/>
  <c r="L347" i="32" s="1"/>
  <c r="I347" i="32"/>
  <c r="K347" i="32" s="1"/>
  <c r="U347" i="32" s="1"/>
  <c r="Y346" i="32"/>
  <c r="X346" i="32"/>
  <c r="W346" i="32"/>
  <c r="V346" i="32"/>
  <c r="S346" i="32"/>
  <c r="R346" i="32"/>
  <c r="Q346" i="32"/>
  <c r="P346" i="32"/>
  <c r="O346" i="32"/>
  <c r="N346" i="32"/>
  <c r="M346" i="32"/>
  <c r="J346" i="32"/>
  <c r="L346" i="32" s="1"/>
  <c r="I346" i="32"/>
  <c r="K346" i="32" s="1"/>
  <c r="AA345" i="32"/>
  <c r="Y345" i="32"/>
  <c r="X345" i="32"/>
  <c r="U345" i="32" s="1"/>
  <c r="W345" i="32"/>
  <c r="V345" i="32"/>
  <c r="S345" i="32"/>
  <c r="R345" i="32"/>
  <c r="Q345" i="32"/>
  <c r="P345" i="32"/>
  <c r="O345" i="32"/>
  <c r="N345" i="32"/>
  <c r="M345" i="32"/>
  <c r="L345" i="32"/>
  <c r="K345" i="32"/>
  <c r="T345" i="32" s="1"/>
  <c r="J345" i="32"/>
  <c r="I345" i="32"/>
  <c r="Y344" i="32"/>
  <c r="X344" i="32"/>
  <c r="W344" i="32"/>
  <c r="V344" i="32"/>
  <c r="S344" i="32"/>
  <c r="R344" i="32"/>
  <c r="Q344" i="32"/>
  <c r="P344" i="32"/>
  <c r="O344" i="32"/>
  <c r="N344" i="32"/>
  <c r="M344" i="32"/>
  <c r="I344" i="32"/>
  <c r="K344" i="32" s="1"/>
  <c r="Y343" i="32"/>
  <c r="X343" i="32"/>
  <c r="W343" i="32"/>
  <c r="V343" i="32"/>
  <c r="S343" i="32"/>
  <c r="R343" i="32"/>
  <c r="Q343" i="32"/>
  <c r="P343" i="32"/>
  <c r="O343" i="32"/>
  <c r="N343" i="32"/>
  <c r="M343" i="32"/>
  <c r="L343" i="32"/>
  <c r="K343" i="32"/>
  <c r="J343" i="32"/>
  <c r="I343" i="32"/>
  <c r="Y342" i="32"/>
  <c r="X342" i="32"/>
  <c r="W342" i="32"/>
  <c r="V342" i="32"/>
  <c r="S342" i="32"/>
  <c r="R342" i="32"/>
  <c r="Q342" i="32"/>
  <c r="P342" i="32"/>
  <c r="O342" i="32"/>
  <c r="N342" i="32"/>
  <c r="M342" i="32"/>
  <c r="L342" i="32"/>
  <c r="K342" i="32"/>
  <c r="J342" i="32"/>
  <c r="I342" i="32"/>
  <c r="Y341" i="32"/>
  <c r="X341" i="32"/>
  <c r="W341" i="32"/>
  <c r="V341" i="32"/>
  <c r="S341" i="32"/>
  <c r="R341" i="32"/>
  <c r="Q341" i="32"/>
  <c r="P341" i="32"/>
  <c r="O341" i="32"/>
  <c r="N341" i="32"/>
  <c r="M341" i="32"/>
  <c r="J341" i="32"/>
  <c r="L341" i="32" s="1"/>
  <c r="I341" i="32"/>
  <c r="K341" i="32" s="1"/>
  <c r="Y340" i="32"/>
  <c r="X340" i="32"/>
  <c r="W340" i="32"/>
  <c r="V340" i="32"/>
  <c r="S340" i="32"/>
  <c r="R340" i="32"/>
  <c r="Q340" i="32"/>
  <c r="P340" i="32"/>
  <c r="O340" i="32"/>
  <c r="N340" i="32"/>
  <c r="M340" i="32"/>
  <c r="L340" i="32"/>
  <c r="U340" i="32" s="1"/>
  <c r="J340" i="32"/>
  <c r="I340" i="32"/>
  <c r="K340" i="32" s="1"/>
  <c r="Y339" i="32"/>
  <c r="X339" i="32"/>
  <c r="W339" i="32"/>
  <c r="V339" i="32"/>
  <c r="Z339" i="32" s="1"/>
  <c r="S339" i="32"/>
  <c r="R339" i="32"/>
  <c r="Q339" i="32"/>
  <c r="P339" i="32"/>
  <c r="O339" i="32"/>
  <c r="N339" i="32"/>
  <c r="M339" i="32"/>
  <c r="U339" i="32" s="1"/>
  <c r="L339" i="32"/>
  <c r="K339" i="32"/>
  <c r="J339" i="32"/>
  <c r="I339" i="32"/>
  <c r="Y338" i="32"/>
  <c r="X338" i="32"/>
  <c r="W338" i="32"/>
  <c r="AA338" i="32" s="1"/>
  <c r="V338" i="32"/>
  <c r="S338" i="32"/>
  <c r="R338" i="32"/>
  <c r="Q338" i="32"/>
  <c r="P338" i="32"/>
  <c r="Z338" i="32" s="1"/>
  <c r="O338" i="32"/>
  <c r="N338" i="32"/>
  <c r="M338" i="32"/>
  <c r="K338" i="32"/>
  <c r="J338" i="32"/>
  <c r="L338" i="32" s="1"/>
  <c r="I338" i="32"/>
  <c r="Y337" i="32"/>
  <c r="X337" i="32"/>
  <c r="W337" i="32"/>
  <c r="V337" i="32"/>
  <c r="S337" i="32"/>
  <c r="R337" i="32"/>
  <c r="Q337" i="32"/>
  <c r="P337" i="32"/>
  <c r="O337" i="32"/>
  <c r="N337" i="32"/>
  <c r="M337" i="32"/>
  <c r="K337" i="32"/>
  <c r="U337" i="32" s="1"/>
  <c r="J337" i="32"/>
  <c r="L337" i="32" s="1"/>
  <c r="Z337" i="32" s="1"/>
  <c r="I337" i="32"/>
  <c r="Y336" i="32"/>
  <c r="X336" i="32"/>
  <c r="W336" i="32"/>
  <c r="V336" i="32"/>
  <c r="S336" i="32"/>
  <c r="R336" i="32"/>
  <c r="Q336" i="32"/>
  <c r="P336" i="32"/>
  <c r="O336" i="32"/>
  <c r="N336" i="32"/>
  <c r="M336" i="32"/>
  <c r="L336" i="32"/>
  <c r="J336" i="32"/>
  <c r="I336" i="32"/>
  <c r="K336" i="32" s="1"/>
  <c r="Y335" i="32"/>
  <c r="X335" i="32"/>
  <c r="W335" i="32"/>
  <c r="V335" i="32"/>
  <c r="S335" i="32"/>
  <c r="R335" i="32"/>
  <c r="Q335" i="32"/>
  <c r="P335" i="32"/>
  <c r="O335" i="32"/>
  <c r="N335" i="32"/>
  <c r="M335" i="32"/>
  <c r="L335" i="32"/>
  <c r="J335" i="32"/>
  <c r="I335" i="32"/>
  <c r="K335" i="32" s="1"/>
  <c r="AA334" i="32"/>
  <c r="Y334" i="32"/>
  <c r="X334" i="32"/>
  <c r="W334" i="32"/>
  <c r="V334" i="32"/>
  <c r="S334" i="32"/>
  <c r="R334" i="32"/>
  <c r="Z334" i="32" s="1"/>
  <c r="Q334" i="32"/>
  <c r="P334" i="32"/>
  <c r="O334" i="32"/>
  <c r="N334" i="32"/>
  <c r="M334" i="32"/>
  <c r="K334" i="32"/>
  <c r="J334" i="32"/>
  <c r="L334" i="32" s="1"/>
  <c r="I334" i="32"/>
  <c r="Y333" i="32"/>
  <c r="X333" i="32"/>
  <c r="W333" i="32"/>
  <c r="V333" i="32"/>
  <c r="S333" i="32"/>
  <c r="R333" i="32"/>
  <c r="Q333" i="32"/>
  <c r="P333" i="32"/>
  <c r="O333" i="32"/>
  <c r="N333" i="32"/>
  <c r="M333" i="32"/>
  <c r="J333" i="32"/>
  <c r="L333" i="32" s="1"/>
  <c r="U333" i="32" s="1"/>
  <c r="I333" i="32"/>
  <c r="K333" i="32" s="1"/>
  <c r="Y332" i="32"/>
  <c r="X332" i="32"/>
  <c r="W332" i="32"/>
  <c r="V332" i="32"/>
  <c r="S332" i="32"/>
  <c r="R332" i="32"/>
  <c r="Q332" i="32"/>
  <c r="P332" i="32"/>
  <c r="O332" i="32"/>
  <c r="N332" i="32"/>
  <c r="M332" i="32"/>
  <c r="K332" i="32"/>
  <c r="I332" i="32"/>
  <c r="Y331" i="32"/>
  <c r="X331" i="32"/>
  <c r="W331" i="32"/>
  <c r="V331" i="32"/>
  <c r="S331" i="32"/>
  <c r="R331" i="32"/>
  <c r="Q331" i="32"/>
  <c r="P331" i="32"/>
  <c r="O331" i="32"/>
  <c r="N331" i="32"/>
  <c r="M331" i="32"/>
  <c r="L331" i="32"/>
  <c r="U331" i="32" s="1"/>
  <c r="K331" i="32"/>
  <c r="AA331" i="32" s="1"/>
  <c r="J331" i="32"/>
  <c r="I331" i="32"/>
  <c r="Y330" i="32"/>
  <c r="X330" i="32"/>
  <c r="W330" i="32"/>
  <c r="V330" i="32"/>
  <c r="U330" i="32"/>
  <c r="S330" i="32"/>
  <c r="R330" i="32"/>
  <c r="Q330" i="32"/>
  <c r="P330" i="32"/>
  <c r="O330" i="32"/>
  <c r="N330" i="32"/>
  <c r="M330" i="32"/>
  <c r="L330" i="32"/>
  <c r="J330" i="32"/>
  <c r="I330" i="32"/>
  <c r="K330" i="32" s="1"/>
  <c r="Y329" i="32"/>
  <c r="X329" i="32"/>
  <c r="U329" i="32" s="1"/>
  <c r="W329" i="32"/>
  <c r="V329" i="32"/>
  <c r="S329" i="32"/>
  <c r="R329" i="32"/>
  <c r="Q329" i="32"/>
  <c r="P329" i="32"/>
  <c r="O329" i="32"/>
  <c r="N329" i="32"/>
  <c r="M329" i="32"/>
  <c r="L329" i="32"/>
  <c r="J329" i="32"/>
  <c r="I329" i="32"/>
  <c r="K329" i="32" s="1"/>
  <c r="Y328" i="32"/>
  <c r="X328" i="32"/>
  <c r="W328" i="32"/>
  <c r="AA328" i="32" s="1"/>
  <c r="V328" i="32"/>
  <c r="S328" i="32"/>
  <c r="R328" i="32"/>
  <c r="Q328" i="32"/>
  <c r="P328" i="32"/>
  <c r="O328" i="32"/>
  <c r="N328" i="32"/>
  <c r="M328" i="32"/>
  <c r="U328" i="32" s="1"/>
  <c r="L328" i="32"/>
  <c r="K328" i="32"/>
  <c r="J328" i="32"/>
  <c r="I328" i="32"/>
  <c r="Y327" i="32"/>
  <c r="X327" i="32"/>
  <c r="W327" i="32"/>
  <c r="V327" i="32"/>
  <c r="S327" i="32"/>
  <c r="R327" i="32"/>
  <c r="Q327" i="32"/>
  <c r="P327" i="32"/>
  <c r="Z327" i="32" s="1"/>
  <c r="O327" i="32"/>
  <c r="N327" i="32"/>
  <c r="M327" i="32"/>
  <c r="J327" i="32"/>
  <c r="L327" i="32" s="1"/>
  <c r="I327" i="32"/>
  <c r="K327" i="32" s="1"/>
  <c r="Z326" i="32"/>
  <c r="Y326" i="32"/>
  <c r="X326" i="32"/>
  <c r="W326" i="32"/>
  <c r="V326" i="32"/>
  <c r="S326" i="32"/>
  <c r="R326" i="32"/>
  <c r="Q326" i="32"/>
  <c r="P326" i="32"/>
  <c r="O326" i="32"/>
  <c r="N326" i="32"/>
  <c r="M326" i="32"/>
  <c r="K326" i="32"/>
  <c r="AA326" i="32" s="1"/>
  <c r="J326" i="32"/>
  <c r="L326" i="32" s="1"/>
  <c r="I326" i="32"/>
  <c r="Y325" i="32"/>
  <c r="X325" i="32"/>
  <c r="W325" i="32"/>
  <c r="V325" i="32"/>
  <c r="S325" i="32"/>
  <c r="R325" i="32"/>
  <c r="Q325" i="32"/>
  <c r="P325" i="32"/>
  <c r="O325" i="32"/>
  <c r="N325" i="32"/>
  <c r="M325" i="32"/>
  <c r="L325" i="32"/>
  <c r="K325" i="32"/>
  <c r="J325" i="32"/>
  <c r="I325" i="32"/>
  <c r="Y324" i="32"/>
  <c r="X324" i="32"/>
  <c r="W324" i="32"/>
  <c r="V324" i="32"/>
  <c r="S324" i="32"/>
  <c r="R324" i="32"/>
  <c r="Q324" i="32"/>
  <c r="P324" i="32"/>
  <c r="O324" i="32"/>
  <c r="N324" i="32"/>
  <c r="M324" i="32"/>
  <c r="K324" i="32"/>
  <c r="J324" i="32"/>
  <c r="L324" i="32" s="1"/>
  <c r="I324" i="32"/>
  <c r="Y323" i="32"/>
  <c r="X323" i="32"/>
  <c r="W323" i="32"/>
  <c r="V323" i="32"/>
  <c r="S323" i="32"/>
  <c r="R323" i="32"/>
  <c r="Q323" i="32"/>
  <c r="P323" i="32"/>
  <c r="O323" i="32"/>
  <c r="N323" i="32"/>
  <c r="M323" i="32"/>
  <c r="K323" i="32"/>
  <c r="J323" i="32"/>
  <c r="L323" i="32" s="1"/>
  <c r="I323" i="32"/>
  <c r="Y322" i="32"/>
  <c r="X322" i="32"/>
  <c r="W322" i="32"/>
  <c r="V322" i="32"/>
  <c r="S322" i="32"/>
  <c r="R322" i="32"/>
  <c r="Q322" i="32"/>
  <c r="P322" i="32"/>
  <c r="O322" i="32"/>
  <c r="N322" i="32"/>
  <c r="M322" i="32"/>
  <c r="L322" i="32"/>
  <c r="J322" i="32"/>
  <c r="I322" i="32"/>
  <c r="K322" i="32" s="1"/>
  <c r="Y321" i="32"/>
  <c r="X321" i="32"/>
  <c r="W321" i="32"/>
  <c r="V321" i="32"/>
  <c r="S321" i="32"/>
  <c r="R321" i="32"/>
  <c r="Q321" i="32"/>
  <c r="P321" i="32"/>
  <c r="O321" i="32"/>
  <c r="N321" i="32"/>
  <c r="M321" i="32"/>
  <c r="J321" i="32"/>
  <c r="L321" i="32" s="1"/>
  <c r="I321" i="32"/>
  <c r="K321" i="32" s="1"/>
  <c r="AA320" i="32"/>
  <c r="Y320" i="32"/>
  <c r="X320" i="32"/>
  <c r="W320" i="32"/>
  <c r="V320" i="32"/>
  <c r="S320" i="32"/>
  <c r="R320" i="32"/>
  <c r="Q320" i="32"/>
  <c r="P320" i="32"/>
  <c r="O320" i="32"/>
  <c r="N320" i="32"/>
  <c r="M320" i="32"/>
  <c r="L320" i="32"/>
  <c r="K320" i="32"/>
  <c r="J320" i="32"/>
  <c r="I320" i="32"/>
  <c r="Y319" i="32"/>
  <c r="X319" i="32"/>
  <c r="W319" i="32"/>
  <c r="V319" i="32"/>
  <c r="S319" i="32"/>
  <c r="R319" i="32"/>
  <c r="Q319" i="32"/>
  <c r="P319" i="32"/>
  <c r="O319" i="32"/>
  <c r="N319" i="32"/>
  <c r="M319" i="32"/>
  <c r="J319" i="32"/>
  <c r="L319" i="32" s="1"/>
  <c r="I319" i="32"/>
  <c r="K319" i="32" s="1"/>
  <c r="Z318" i="32"/>
  <c r="Y318" i="32"/>
  <c r="X318" i="32"/>
  <c r="W318" i="32"/>
  <c r="V318" i="32"/>
  <c r="S318" i="32"/>
  <c r="R318" i="32"/>
  <c r="Q318" i="32"/>
  <c r="P318" i="32"/>
  <c r="O318" i="32"/>
  <c r="N318" i="32"/>
  <c r="M318" i="32"/>
  <c r="J318" i="32"/>
  <c r="L318" i="32" s="1"/>
  <c r="AA318" i="32" s="1"/>
  <c r="I318" i="32"/>
  <c r="K318" i="32" s="1"/>
  <c r="Y317" i="32"/>
  <c r="X317" i="32"/>
  <c r="U317" i="32" s="1"/>
  <c r="W317" i="32"/>
  <c r="V317" i="32"/>
  <c r="T317" i="32" s="1"/>
  <c r="S317" i="32"/>
  <c r="R317" i="32"/>
  <c r="Q317" i="32"/>
  <c r="P317" i="32"/>
  <c r="O317" i="32"/>
  <c r="N317" i="32"/>
  <c r="M317" i="32"/>
  <c r="L317" i="32"/>
  <c r="K317" i="32"/>
  <c r="AA317" i="32" s="1"/>
  <c r="J317" i="32"/>
  <c r="I317" i="32"/>
  <c r="Y316" i="32"/>
  <c r="X316" i="32"/>
  <c r="W316" i="32"/>
  <c r="V316" i="32"/>
  <c r="S316" i="32"/>
  <c r="R316" i="32"/>
  <c r="Q316" i="32"/>
  <c r="P316" i="32"/>
  <c r="O316" i="32"/>
  <c r="N316" i="32"/>
  <c r="M316" i="32"/>
  <c r="J316" i="32"/>
  <c r="L316" i="32" s="1"/>
  <c r="I316" i="32"/>
  <c r="K316" i="32" s="1"/>
  <c r="Y315" i="32"/>
  <c r="X315" i="32"/>
  <c r="W315" i="32"/>
  <c r="V315" i="32"/>
  <c r="S315" i="32"/>
  <c r="R315" i="32"/>
  <c r="Q315" i="32"/>
  <c r="P315" i="32"/>
  <c r="O315" i="32"/>
  <c r="N315" i="32"/>
  <c r="M315" i="32"/>
  <c r="K315" i="32"/>
  <c r="J315" i="32"/>
  <c r="L315" i="32" s="1"/>
  <c r="I315" i="32"/>
  <c r="Y314" i="32"/>
  <c r="X314" i="32"/>
  <c r="W314" i="32"/>
  <c r="V314" i="32"/>
  <c r="S314" i="32"/>
  <c r="R314" i="32"/>
  <c r="Q314" i="32"/>
  <c r="P314" i="32"/>
  <c r="O314" i="32"/>
  <c r="N314" i="32"/>
  <c r="M314" i="32"/>
  <c r="L314" i="32"/>
  <c r="J314" i="32"/>
  <c r="I314" i="32"/>
  <c r="K314" i="32" s="1"/>
  <c r="U314" i="32" s="1"/>
  <c r="Y313" i="32"/>
  <c r="X313" i="32"/>
  <c r="W313" i="32"/>
  <c r="V313" i="32"/>
  <c r="S313" i="32"/>
  <c r="R313" i="32"/>
  <c r="Q313" i="32"/>
  <c r="P313" i="32"/>
  <c r="O313" i="32"/>
  <c r="N313" i="32"/>
  <c r="M313" i="32"/>
  <c r="J313" i="32"/>
  <c r="L313" i="32" s="1"/>
  <c r="I313" i="32"/>
  <c r="K313" i="32" s="1"/>
  <c r="Y312" i="32"/>
  <c r="X312" i="32"/>
  <c r="W312" i="32"/>
  <c r="V312" i="32"/>
  <c r="S312" i="32"/>
  <c r="R312" i="32"/>
  <c r="Q312" i="32"/>
  <c r="P312" i="32"/>
  <c r="O312" i="32"/>
  <c r="N312" i="32"/>
  <c r="M312" i="32"/>
  <c r="L312" i="32"/>
  <c r="K312" i="32"/>
  <c r="J312" i="32"/>
  <c r="I312" i="32"/>
  <c r="Y311" i="32"/>
  <c r="X311" i="32"/>
  <c r="W311" i="32"/>
  <c r="AA311" i="32" s="1"/>
  <c r="V311" i="32"/>
  <c r="S311" i="32"/>
  <c r="R311" i="32"/>
  <c r="Q311" i="32"/>
  <c r="P311" i="32"/>
  <c r="O311" i="32"/>
  <c r="N311" i="32"/>
  <c r="M311" i="32"/>
  <c r="K311" i="32"/>
  <c r="J311" i="32"/>
  <c r="L311" i="32" s="1"/>
  <c r="I311" i="32"/>
  <c r="Y310" i="32"/>
  <c r="X310" i="32"/>
  <c r="W310" i="32"/>
  <c r="V310" i="32"/>
  <c r="S310" i="32"/>
  <c r="R310" i="32"/>
  <c r="Q310" i="32"/>
  <c r="P310" i="32"/>
  <c r="O310" i="32"/>
  <c r="N310" i="32"/>
  <c r="M310" i="32"/>
  <c r="J310" i="32"/>
  <c r="L310" i="32" s="1"/>
  <c r="I310" i="32"/>
  <c r="K310" i="32" s="1"/>
  <c r="AA310" i="32" s="1"/>
  <c r="Y309" i="32"/>
  <c r="X309" i="32"/>
  <c r="W309" i="32"/>
  <c r="V309" i="32"/>
  <c r="U309" i="32"/>
  <c r="S309" i="32"/>
  <c r="R309" i="32"/>
  <c r="Q309" i="32"/>
  <c r="P309" i="32"/>
  <c r="O309" i="32"/>
  <c r="N309" i="32"/>
  <c r="M309" i="32"/>
  <c r="L309" i="32"/>
  <c r="K309" i="32"/>
  <c r="J309" i="32"/>
  <c r="I309" i="32"/>
  <c r="Y308" i="32"/>
  <c r="X308" i="32"/>
  <c r="U308" i="32" s="1"/>
  <c r="W308" i="32"/>
  <c r="V308" i="32"/>
  <c r="S308" i="32"/>
  <c r="R308" i="32"/>
  <c r="Q308" i="32"/>
  <c r="P308" i="32"/>
  <c r="O308" i="32"/>
  <c r="N308" i="32"/>
  <c r="M308" i="32"/>
  <c r="I308" i="32"/>
  <c r="K308" i="32" s="1"/>
  <c r="Y307" i="32"/>
  <c r="X307" i="32"/>
  <c r="W307" i="32"/>
  <c r="V307" i="32"/>
  <c r="S307" i="32"/>
  <c r="R307" i="32"/>
  <c r="Q307" i="32"/>
  <c r="P307" i="32"/>
  <c r="O307" i="32"/>
  <c r="N307" i="32"/>
  <c r="M307" i="32"/>
  <c r="J307" i="32"/>
  <c r="L307" i="32" s="1"/>
  <c r="T307" i="32" s="1"/>
  <c r="I307" i="32"/>
  <c r="K307" i="32" s="1"/>
  <c r="Y306" i="32"/>
  <c r="X306" i="32"/>
  <c r="W306" i="32"/>
  <c r="V306" i="32"/>
  <c r="S306" i="32"/>
  <c r="R306" i="32"/>
  <c r="Q306" i="32"/>
  <c r="P306" i="32"/>
  <c r="O306" i="32"/>
  <c r="N306" i="32"/>
  <c r="M306" i="32"/>
  <c r="L306" i="32"/>
  <c r="K306" i="32"/>
  <c r="J306" i="32"/>
  <c r="I306" i="32"/>
  <c r="Y305" i="32"/>
  <c r="X305" i="32"/>
  <c r="W305" i="32"/>
  <c r="V305" i="32"/>
  <c r="S305" i="32"/>
  <c r="R305" i="32"/>
  <c r="Q305" i="32"/>
  <c r="P305" i="32"/>
  <c r="O305" i="32"/>
  <c r="N305" i="32"/>
  <c r="M305" i="32"/>
  <c r="K305" i="32"/>
  <c r="J305" i="32"/>
  <c r="L305" i="32" s="1"/>
  <c r="I305" i="32"/>
  <c r="Y304" i="32"/>
  <c r="X304" i="32"/>
  <c r="W304" i="32"/>
  <c r="V304" i="32"/>
  <c r="S304" i="32"/>
  <c r="R304" i="32"/>
  <c r="Q304" i="32"/>
  <c r="P304" i="32"/>
  <c r="O304" i="32"/>
  <c r="N304" i="32"/>
  <c r="M304" i="32"/>
  <c r="J304" i="32"/>
  <c r="L304" i="32" s="1"/>
  <c r="I304" i="32"/>
  <c r="K304" i="32" s="1"/>
  <c r="Y303" i="32"/>
  <c r="X303" i="32"/>
  <c r="W303" i="32"/>
  <c r="V303" i="32"/>
  <c r="S303" i="32"/>
  <c r="R303" i="32"/>
  <c r="Q303" i="32"/>
  <c r="P303" i="32"/>
  <c r="O303" i="32"/>
  <c r="N303" i="32"/>
  <c r="M303" i="32"/>
  <c r="L303" i="32"/>
  <c r="U303" i="32" s="1"/>
  <c r="K303" i="32"/>
  <c r="J303" i="32"/>
  <c r="I303" i="32"/>
  <c r="Y302" i="32"/>
  <c r="X302" i="32"/>
  <c r="U302" i="32" s="1"/>
  <c r="W302" i="32"/>
  <c r="AA302" i="32" s="1"/>
  <c r="V302" i="32"/>
  <c r="T302" i="32" s="1"/>
  <c r="S302" i="32"/>
  <c r="R302" i="32"/>
  <c r="Q302" i="32"/>
  <c r="P302" i="32"/>
  <c r="O302" i="32"/>
  <c r="N302" i="32"/>
  <c r="M302" i="32"/>
  <c r="L302" i="32"/>
  <c r="K302" i="32"/>
  <c r="J302" i="32"/>
  <c r="I302" i="32"/>
  <c r="Y301" i="32"/>
  <c r="X301" i="32"/>
  <c r="U301" i="32" s="1"/>
  <c r="W301" i="32"/>
  <c r="V301" i="32"/>
  <c r="S301" i="32"/>
  <c r="R301" i="32"/>
  <c r="Q301" i="32"/>
  <c r="P301" i="32"/>
  <c r="O301" i="32"/>
  <c r="N301" i="32"/>
  <c r="M301" i="32"/>
  <c r="L301" i="32"/>
  <c r="T301" i="32" s="1"/>
  <c r="K301" i="32"/>
  <c r="AA301" i="32" s="1"/>
  <c r="J301" i="32"/>
  <c r="I301" i="32"/>
  <c r="Y300" i="32"/>
  <c r="X300" i="32"/>
  <c r="W300" i="32"/>
  <c r="V300" i="32"/>
  <c r="S300" i="32"/>
  <c r="R300" i="32"/>
  <c r="Q300" i="32"/>
  <c r="P300" i="32"/>
  <c r="O300" i="32"/>
  <c r="U300" i="32" s="1"/>
  <c r="N300" i="32"/>
  <c r="M300" i="32"/>
  <c r="L300" i="32"/>
  <c r="J300" i="32"/>
  <c r="I300" i="32"/>
  <c r="K300" i="32" s="1"/>
  <c r="Y299" i="32"/>
  <c r="X299" i="32"/>
  <c r="W299" i="32"/>
  <c r="V299" i="32"/>
  <c r="S299" i="32"/>
  <c r="R299" i="32"/>
  <c r="Q299" i="32"/>
  <c r="P299" i="32"/>
  <c r="O299" i="32"/>
  <c r="N299" i="32"/>
  <c r="M299" i="32"/>
  <c r="K299" i="32"/>
  <c r="I299" i="32"/>
  <c r="Y298" i="32"/>
  <c r="X298" i="32"/>
  <c r="W298" i="32"/>
  <c r="V298" i="32"/>
  <c r="S298" i="32"/>
  <c r="R298" i="32"/>
  <c r="Q298" i="32"/>
  <c r="P298" i="32"/>
  <c r="O298" i="32"/>
  <c r="N298" i="32"/>
  <c r="M298" i="32"/>
  <c r="K298" i="32"/>
  <c r="J298" i="32"/>
  <c r="L298" i="32" s="1"/>
  <c r="I298" i="32"/>
  <c r="Y297" i="32"/>
  <c r="X297" i="32"/>
  <c r="W297" i="32"/>
  <c r="V297" i="32"/>
  <c r="S297" i="32"/>
  <c r="R297" i="32"/>
  <c r="Q297" i="32"/>
  <c r="P297" i="32"/>
  <c r="O297" i="32"/>
  <c r="N297" i="32"/>
  <c r="M297" i="32"/>
  <c r="L297" i="32"/>
  <c r="K297" i="32"/>
  <c r="J297" i="32"/>
  <c r="I297" i="32"/>
  <c r="Y296" i="32"/>
  <c r="X296" i="32"/>
  <c r="U296" i="32" s="1"/>
  <c r="W296" i="32"/>
  <c r="V296" i="32"/>
  <c r="S296" i="32"/>
  <c r="R296" i="32"/>
  <c r="Q296" i="32"/>
  <c r="P296" i="32"/>
  <c r="O296" i="32"/>
  <c r="AA296" i="32" s="1"/>
  <c r="N296" i="32"/>
  <c r="M296" i="32"/>
  <c r="L296" i="32"/>
  <c r="J296" i="32"/>
  <c r="I296" i="32"/>
  <c r="K296" i="32" s="1"/>
  <c r="Y295" i="32"/>
  <c r="X295" i="32"/>
  <c r="W295" i="32"/>
  <c r="V295" i="32"/>
  <c r="S295" i="32"/>
  <c r="R295" i="32"/>
  <c r="Q295" i="32"/>
  <c r="P295" i="32"/>
  <c r="O295" i="32"/>
  <c r="N295" i="32"/>
  <c r="M295" i="32"/>
  <c r="K295" i="32"/>
  <c r="J295" i="32"/>
  <c r="L295" i="32" s="1"/>
  <c r="I295" i="32"/>
  <c r="Y294" i="32"/>
  <c r="X294" i="32"/>
  <c r="W294" i="32"/>
  <c r="AA294" i="32" s="1"/>
  <c r="V294" i="32"/>
  <c r="S294" i="32"/>
  <c r="R294" i="32"/>
  <c r="Q294" i="32"/>
  <c r="P294" i="32"/>
  <c r="O294" i="32"/>
  <c r="N294" i="32"/>
  <c r="M294" i="32"/>
  <c r="L294" i="32"/>
  <c r="J294" i="32"/>
  <c r="I294" i="32"/>
  <c r="K294" i="32" s="1"/>
  <c r="Y293" i="32"/>
  <c r="X293" i="32"/>
  <c r="W293" i="32"/>
  <c r="V293" i="32"/>
  <c r="S293" i="32"/>
  <c r="R293" i="32"/>
  <c r="Q293" i="32"/>
  <c r="P293" i="32"/>
  <c r="O293" i="32"/>
  <c r="N293" i="32"/>
  <c r="M293" i="32"/>
  <c r="J293" i="32"/>
  <c r="L293" i="32" s="1"/>
  <c r="I293" i="32"/>
  <c r="K293" i="32" s="1"/>
  <c r="Z293" i="32" s="1"/>
  <c r="AA292" i="32"/>
  <c r="Y292" i="32"/>
  <c r="X292" i="32"/>
  <c r="W292" i="32"/>
  <c r="V292" i="32"/>
  <c r="S292" i="32"/>
  <c r="R292" i="32"/>
  <c r="Q292" i="32"/>
  <c r="P292" i="32"/>
  <c r="O292" i="32"/>
  <c r="N292" i="32"/>
  <c r="M292" i="32"/>
  <c r="L292" i="32"/>
  <c r="K292" i="32"/>
  <c r="J292" i="32"/>
  <c r="I292" i="32"/>
  <c r="Y291" i="32"/>
  <c r="X291" i="32"/>
  <c r="W291" i="32"/>
  <c r="V291" i="32"/>
  <c r="S291" i="32"/>
  <c r="R291" i="32"/>
  <c r="Q291" i="32"/>
  <c r="P291" i="32"/>
  <c r="O291" i="32"/>
  <c r="N291" i="32"/>
  <c r="M291" i="32"/>
  <c r="K291" i="32"/>
  <c r="J291" i="32"/>
  <c r="L291" i="32" s="1"/>
  <c r="I291" i="32"/>
  <c r="Y290" i="32"/>
  <c r="X290" i="32"/>
  <c r="W290" i="32"/>
  <c r="V290" i="32"/>
  <c r="S290" i="32"/>
  <c r="R290" i="32"/>
  <c r="Q290" i="32"/>
  <c r="P290" i="32"/>
  <c r="O290" i="32"/>
  <c r="N290" i="32"/>
  <c r="M290" i="32"/>
  <c r="J290" i="32"/>
  <c r="L290" i="32" s="1"/>
  <c r="I290" i="32"/>
  <c r="K290" i="32" s="1"/>
  <c r="Y289" i="32"/>
  <c r="X289" i="32"/>
  <c r="W289" i="32"/>
  <c r="V289" i="32"/>
  <c r="S289" i="32"/>
  <c r="R289" i="32"/>
  <c r="Q289" i="32"/>
  <c r="P289" i="32"/>
  <c r="O289" i="32"/>
  <c r="N289" i="32"/>
  <c r="M289" i="32"/>
  <c r="L289" i="32"/>
  <c r="K289" i="32"/>
  <c r="J289" i="32"/>
  <c r="I289" i="32"/>
  <c r="Y288" i="32"/>
  <c r="X288" i="32"/>
  <c r="W288" i="32"/>
  <c r="V288" i="32"/>
  <c r="S288" i="32"/>
  <c r="R288" i="32"/>
  <c r="Q288" i="32"/>
  <c r="P288" i="32"/>
  <c r="AA288" i="32" s="1"/>
  <c r="O288" i="32"/>
  <c r="N288" i="32"/>
  <c r="M288" i="32"/>
  <c r="L288" i="32"/>
  <c r="K288" i="32"/>
  <c r="J288" i="32"/>
  <c r="I288" i="32"/>
  <c r="Y287" i="32"/>
  <c r="X287" i="32"/>
  <c r="W287" i="32"/>
  <c r="V287" i="32"/>
  <c r="S287" i="32"/>
  <c r="R287" i="32"/>
  <c r="Q287" i="32"/>
  <c r="P287" i="32"/>
  <c r="O287" i="32"/>
  <c r="N287" i="32"/>
  <c r="M287" i="32"/>
  <c r="K287" i="32"/>
  <c r="J287" i="32"/>
  <c r="L287" i="32" s="1"/>
  <c r="AA287" i="32" s="1"/>
  <c r="I287" i="32"/>
  <c r="Y286" i="32"/>
  <c r="X286" i="32"/>
  <c r="W286" i="32"/>
  <c r="V286" i="32"/>
  <c r="S286" i="32"/>
  <c r="R286" i="32"/>
  <c r="Q286" i="32"/>
  <c r="P286" i="32"/>
  <c r="O286" i="32"/>
  <c r="N286" i="32"/>
  <c r="M286" i="32"/>
  <c r="L286" i="32"/>
  <c r="J286" i="32"/>
  <c r="I286" i="32"/>
  <c r="K286" i="32" s="1"/>
  <c r="U286" i="32" s="1"/>
  <c r="Y285" i="32"/>
  <c r="X285" i="32"/>
  <c r="W285" i="32"/>
  <c r="AA285" i="32" s="1"/>
  <c r="V285" i="32"/>
  <c r="S285" i="32"/>
  <c r="R285" i="32"/>
  <c r="Q285" i="32"/>
  <c r="P285" i="32"/>
  <c r="O285" i="32"/>
  <c r="N285" i="32"/>
  <c r="M285" i="32"/>
  <c r="L285" i="32"/>
  <c r="T285" i="32" s="1"/>
  <c r="J285" i="32"/>
  <c r="I285" i="32"/>
  <c r="K285" i="32" s="1"/>
  <c r="Y284" i="32"/>
  <c r="X284" i="32"/>
  <c r="W284" i="32"/>
  <c r="V284" i="32"/>
  <c r="S284" i="32"/>
  <c r="R284" i="32"/>
  <c r="Q284" i="32"/>
  <c r="P284" i="32"/>
  <c r="O284" i="32"/>
  <c r="N284" i="32"/>
  <c r="M284" i="32"/>
  <c r="L284" i="32"/>
  <c r="K284" i="32"/>
  <c r="J284" i="32"/>
  <c r="I284" i="32"/>
  <c r="Y283" i="32"/>
  <c r="X283" i="32"/>
  <c r="W283" i="32"/>
  <c r="AA283" i="32" s="1"/>
  <c r="V283" i="32"/>
  <c r="S283" i="32"/>
  <c r="R283" i="32"/>
  <c r="Q283" i="32"/>
  <c r="P283" i="32"/>
  <c r="O283" i="32"/>
  <c r="N283" i="32"/>
  <c r="M283" i="32"/>
  <c r="K283" i="32"/>
  <c r="J283" i="32"/>
  <c r="L283" i="32" s="1"/>
  <c r="I283" i="32"/>
  <c r="Y282" i="32"/>
  <c r="X282" i="32"/>
  <c r="W282" i="32"/>
  <c r="V282" i="32"/>
  <c r="S282" i="32"/>
  <c r="R282" i="32"/>
  <c r="Q282" i="32"/>
  <c r="P282" i="32"/>
  <c r="O282" i="32"/>
  <c r="N282" i="32"/>
  <c r="M282" i="32"/>
  <c r="K282" i="32"/>
  <c r="J282" i="32"/>
  <c r="L282" i="32" s="1"/>
  <c r="I282" i="32"/>
  <c r="Y281" i="32"/>
  <c r="X281" i="32"/>
  <c r="W281" i="32"/>
  <c r="V281" i="32"/>
  <c r="S281" i="32"/>
  <c r="R281" i="32"/>
  <c r="Q281" i="32"/>
  <c r="P281" i="32"/>
  <c r="O281" i="32"/>
  <c r="N281" i="32"/>
  <c r="M281" i="32"/>
  <c r="L281" i="32"/>
  <c r="K281" i="32"/>
  <c r="J281" i="32"/>
  <c r="I281" i="32"/>
  <c r="Y280" i="32"/>
  <c r="X280" i="32"/>
  <c r="W280" i="32"/>
  <c r="V280" i="32"/>
  <c r="S280" i="32"/>
  <c r="R280" i="32"/>
  <c r="Q280" i="32"/>
  <c r="P280" i="32"/>
  <c r="AA280" i="32" s="1"/>
  <c r="O280" i="32"/>
  <c r="N280" i="32"/>
  <c r="M280" i="32"/>
  <c r="L280" i="32"/>
  <c r="J280" i="32"/>
  <c r="I280" i="32"/>
  <c r="K280" i="32" s="1"/>
  <c r="Y279" i="32"/>
  <c r="X279" i="32"/>
  <c r="W279" i="32"/>
  <c r="V279" i="32"/>
  <c r="S279" i="32"/>
  <c r="R279" i="32"/>
  <c r="Q279" i="32"/>
  <c r="P279" i="32"/>
  <c r="O279" i="32"/>
  <c r="N279" i="32"/>
  <c r="M279" i="32"/>
  <c r="K279" i="32"/>
  <c r="J279" i="32"/>
  <c r="L279" i="32" s="1"/>
  <c r="Z279" i="32" s="1"/>
  <c r="I279" i="32"/>
  <c r="Y278" i="32"/>
  <c r="X278" i="32"/>
  <c r="W278" i="32"/>
  <c r="V278" i="32"/>
  <c r="S278" i="32"/>
  <c r="R278" i="32"/>
  <c r="Q278" i="32"/>
  <c r="P278" i="32"/>
  <c r="O278" i="32"/>
  <c r="N278" i="32"/>
  <c r="M278" i="32"/>
  <c r="L278" i="32"/>
  <c r="J278" i="32"/>
  <c r="I278" i="32"/>
  <c r="K278" i="32" s="1"/>
  <c r="Y277" i="32"/>
  <c r="X277" i="32"/>
  <c r="W277" i="32"/>
  <c r="V277" i="32"/>
  <c r="S277" i="32"/>
  <c r="R277" i="32"/>
  <c r="Q277" i="32"/>
  <c r="P277" i="32"/>
  <c r="Z277" i="32" s="1"/>
  <c r="O277" i="32"/>
  <c r="N277" i="32"/>
  <c r="M277" i="32"/>
  <c r="J277" i="32"/>
  <c r="L277" i="32" s="1"/>
  <c r="I277" i="32"/>
  <c r="K277" i="32" s="1"/>
  <c r="Y276" i="32"/>
  <c r="X276" i="32"/>
  <c r="W276" i="32"/>
  <c r="AA276" i="32" s="1"/>
  <c r="V276" i="32"/>
  <c r="S276" i="32"/>
  <c r="R276" i="32"/>
  <c r="Q276" i="32"/>
  <c r="P276" i="32"/>
  <c r="O276" i="32"/>
  <c r="N276" i="32"/>
  <c r="M276" i="32"/>
  <c r="L276" i="32"/>
  <c r="K276" i="32"/>
  <c r="J276" i="32"/>
  <c r="I276" i="32"/>
  <c r="Y275" i="32"/>
  <c r="X275" i="32"/>
  <c r="W275" i="32"/>
  <c r="V275" i="32"/>
  <c r="S275" i="32"/>
  <c r="R275" i="32"/>
  <c r="Q275" i="32"/>
  <c r="P275" i="32"/>
  <c r="O275" i="32"/>
  <c r="N275" i="32"/>
  <c r="M275" i="32"/>
  <c r="K275" i="32"/>
  <c r="J275" i="32"/>
  <c r="L275" i="32" s="1"/>
  <c r="I275" i="32"/>
  <c r="Y274" i="32"/>
  <c r="X274" i="32"/>
  <c r="W274" i="32"/>
  <c r="V274" i="32"/>
  <c r="S274" i="32"/>
  <c r="R274" i="32"/>
  <c r="Q274" i="32"/>
  <c r="P274" i="32"/>
  <c r="O274" i="32"/>
  <c r="N274" i="32"/>
  <c r="M274" i="32"/>
  <c r="J274" i="32"/>
  <c r="L274" i="32" s="1"/>
  <c r="I274" i="32"/>
  <c r="K274" i="32" s="1"/>
  <c r="Y273" i="32"/>
  <c r="X273" i="32"/>
  <c r="W273" i="32"/>
  <c r="V273" i="32"/>
  <c r="S273" i="32"/>
  <c r="R273" i="32"/>
  <c r="Q273" i="32"/>
  <c r="P273" i="32"/>
  <c r="O273" i="32"/>
  <c r="N273" i="32"/>
  <c r="M273" i="32"/>
  <c r="L273" i="32"/>
  <c r="T273" i="32" s="1"/>
  <c r="K273" i="32"/>
  <c r="AA273" i="32" s="1"/>
  <c r="J273" i="32"/>
  <c r="I273" i="32"/>
  <c r="Y272" i="32"/>
  <c r="X272" i="32"/>
  <c r="W272" i="32"/>
  <c r="V272" i="32"/>
  <c r="S272" i="32"/>
  <c r="R272" i="32"/>
  <c r="Q272" i="32"/>
  <c r="P272" i="32"/>
  <c r="O272" i="32"/>
  <c r="N272" i="32"/>
  <c r="M272" i="32"/>
  <c r="L272" i="32"/>
  <c r="K272" i="32"/>
  <c r="AA272" i="32" s="1"/>
  <c r="J272" i="32"/>
  <c r="I272" i="32"/>
  <c r="Y271" i="32"/>
  <c r="X271" i="32"/>
  <c r="W271" i="32"/>
  <c r="V271" i="32"/>
  <c r="S271" i="32"/>
  <c r="R271" i="32"/>
  <c r="Q271" i="32"/>
  <c r="P271" i="32"/>
  <c r="O271" i="32"/>
  <c r="N271" i="32"/>
  <c r="M271" i="32"/>
  <c r="K271" i="32"/>
  <c r="J271" i="32"/>
  <c r="L271" i="32" s="1"/>
  <c r="AA271" i="32" s="1"/>
  <c r="I271" i="32"/>
  <c r="Y270" i="32"/>
  <c r="X270" i="32"/>
  <c r="W270" i="32"/>
  <c r="V270" i="32"/>
  <c r="S270" i="32"/>
  <c r="R270" i="32"/>
  <c r="Q270" i="32"/>
  <c r="P270" i="32"/>
  <c r="O270" i="32"/>
  <c r="N270" i="32"/>
  <c r="M270" i="32"/>
  <c r="L270" i="32"/>
  <c r="J270" i="32"/>
  <c r="I270" i="32"/>
  <c r="K270" i="32" s="1"/>
  <c r="U270" i="32" s="1"/>
  <c r="Y269" i="32"/>
  <c r="X269" i="32"/>
  <c r="W269" i="32"/>
  <c r="V269" i="32"/>
  <c r="S269" i="32"/>
  <c r="R269" i="32"/>
  <c r="Q269" i="32"/>
  <c r="P269" i="32"/>
  <c r="O269" i="32"/>
  <c r="N269" i="32"/>
  <c r="M269" i="32"/>
  <c r="L269" i="32"/>
  <c r="T269" i="32" s="1"/>
  <c r="J269" i="32"/>
  <c r="I269" i="32"/>
  <c r="K269" i="32" s="1"/>
  <c r="Y268" i="32"/>
  <c r="X268" i="32"/>
  <c r="W268" i="32"/>
  <c r="V268" i="32"/>
  <c r="S268" i="32"/>
  <c r="R268" i="32"/>
  <c r="Q268" i="32"/>
  <c r="P268" i="32"/>
  <c r="O268" i="32"/>
  <c r="N268" i="32"/>
  <c r="M268" i="32"/>
  <c r="L268" i="32"/>
  <c r="K268" i="32"/>
  <c r="J268" i="32"/>
  <c r="I268" i="32"/>
  <c r="Y267" i="32"/>
  <c r="X267" i="32"/>
  <c r="W267" i="32"/>
  <c r="V267" i="32"/>
  <c r="S267" i="32"/>
  <c r="R267" i="32"/>
  <c r="Q267" i="32"/>
  <c r="P267" i="32"/>
  <c r="O267" i="32"/>
  <c r="N267" i="32"/>
  <c r="M267" i="32"/>
  <c r="J267" i="32"/>
  <c r="L267" i="32" s="1"/>
  <c r="I267" i="32"/>
  <c r="K267" i="32" s="1"/>
  <c r="Y266" i="32"/>
  <c r="X266" i="32"/>
  <c r="W266" i="32"/>
  <c r="V266" i="32"/>
  <c r="S266" i="32"/>
  <c r="R266" i="32"/>
  <c r="Q266" i="32"/>
  <c r="P266" i="32"/>
  <c r="O266" i="32"/>
  <c r="N266" i="32"/>
  <c r="M266" i="32"/>
  <c r="K266" i="32"/>
  <c r="J266" i="32"/>
  <c r="L266" i="32" s="1"/>
  <c r="I266" i="32"/>
  <c r="Y265" i="32"/>
  <c r="X265" i="32"/>
  <c r="W265" i="32"/>
  <c r="V265" i="32"/>
  <c r="S265" i="32"/>
  <c r="R265" i="32"/>
  <c r="Q265" i="32"/>
  <c r="P265" i="32"/>
  <c r="O265" i="32"/>
  <c r="N265" i="32"/>
  <c r="M265" i="32"/>
  <c r="L265" i="32"/>
  <c r="K265" i="32"/>
  <c r="J265" i="32"/>
  <c r="I265" i="32"/>
  <c r="Y264" i="32"/>
  <c r="X264" i="32"/>
  <c r="W264" i="32"/>
  <c r="V264" i="32"/>
  <c r="S264" i="32"/>
  <c r="R264" i="32"/>
  <c r="Q264" i="32"/>
  <c r="P264" i="32"/>
  <c r="O264" i="32"/>
  <c r="N264" i="32"/>
  <c r="M264" i="32"/>
  <c r="K264" i="32"/>
  <c r="AA264" i="32" s="1"/>
  <c r="J264" i="32"/>
  <c r="L264" i="32" s="1"/>
  <c r="I264" i="32"/>
  <c r="Y263" i="32"/>
  <c r="X263" i="32"/>
  <c r="W263" i="32"/>
  <c r="V263" i="32"/>
  <c r="S263" i="32"/>
  <c r="R263" i="32"/>
  <c r="Q263" i="32"/>
  <c r="P263" i="32"/>
  <c r="O263" i="32"/>
  <c r="N263" i="32"/>
  <c r="M263" i="32"/>
  <c r="J263" i="32"/>
  <c r="L263" i="32" s="1"/>
  <c r="I263" i="32"/>
  <c r="K263" i="32" s="1"/>
  <c r="Y262" i="32"/>
  <c r="X262" i="32"/>
  <c r="W262" i="32"/>
  <c r="V262" i="32"/>
  <c r="S262" i="32"/>
  <c r="R262" i="32"/>
  <c r="Q262" i="32"/>
  <c r="P262" i="32"/>
  <c r="O262" i="32"/>
  <c r="N262" i="32"/>
  <c r="M262" i="32"/>
  <c r="L262" i="32"/>
  <c r="J262" i="32"/>
  <c r="I262" i="32"/>
  <c r="K262" i="32" s="1"/>
  <c r="U262" i="32" s="1"/>
  <c r="Y261" i="32"/>
  <c r="X261" i="32"/>
  <c r="W261" i="32"/>
  <c r="V261" i="32"/>
  <c r="S261" i="32"/>
  <c r="R261" i="32"/>
  <c r="Q261" i="32"/>
  <c r="P261" i="32"/>
  <c r="O261" i="32"/>
  <c r="N261" i="32"/>
  <c r="M261" i="32"/>
  <c r="J261" i="32"/>
  <c r="L261" i="32" s="1"/>
  <c r="I261" i="32"/>
  <c r="K261" i="32" s="1"/>
  <c r="AA260" i="32"/>
  <c r="Z260" i="32"/>
  <c r="Y260" i="32"/>
  <c r="X260" i="32"/>
  <c r="W260" i="32"/>
  <c r="V260" i="32"/>
  <c r="S260" i="32"/>
  <c r="R260" i="32"/>
  <c r="Q260" i="32"/>
  <c r="P260" i="32"/>
  <c r="O260" i="32"/>
  <c r="N260" i="32"/>
  <c r="M260" i="32"/>
  <c r="K260" i="32"/>
  <c r="J260" i="32"/>
  <c r="L260" i="32" s="1"/>
  <c r="I260" i="32"/>
  <c r="Z259" i="32"/>
  <c r="Y259" i="32"/>
  <c r="X259" i="32"/>
  <c r="W259" i="32"/>
  <c r="V259" i="32"/>
  <c r="S259" i="32"/>
  <c r="R259" i="32"/>
  <c r="Q259" i="32"/>
  <c r="P259" i="32"/>
  <c r="O259" i="32"/>
  <c r="N259" i="32"/>
  <c r="M259" i="32"/>
  <c r="J259" i="32"/>
  <c r="L259" i="32" s="1"/>
  <c r="I259" i="32"/>
  <c r="K259" i="32" s="1"/>
  <c r="U259" i="32" s="1"/>
  <c r="Z258" i="32"/>
  <c r="Y258" i="32"/>
  <c r="X258" i="32"/>
  <c r="W258" i="32"/>
  <c r="V258" i="32"/>
  <c r="S258" i="32"/>
  <c r="R258" i="32"/>
  <c r="Q258" i="32"/>
  <c r="P258" i="32"/>
  <c r="O258" i="32"/>
  <c r="N258" i="32"/>
  <c r="M258" i="32"/>
  <c r="K258" i="32"/>
  <c r="J258" i="32"/>
  <c r="L258" i="32" s="1"/>
  <c r="I258" i="32"/>
  <c r="AA257" i="32"/>
  <c r="Y257" i="32"/>
  <c r="X257" i="32"/>
  <c r="W257" i="32"/>
  <c r="V257" i="32"/>
  <c r="S257" i="32"/>
  <c r="R257" i="32"/>
  <c r="Q257" i="32"/>
  <c r="P257" i="32"/>
  <c r="O257" i="32"/>
  <c r="N257" i="32"/>
  <c r="M257" i="32"/>
  <c r="L257" i="32"/>
  <c r="U257" i="32" s="1"/>
  <c r="K257" i="32"/>
  <c r="J257" i="32"/>
  <c r="I257" i="32"/>
  <c r="Y256" i="32"/>
  <c r="X256" i="32"/>
  <c r="W256" i="32"/>
  <c r="V256" i="32"/>
  <c r="S256" i="32"/>
  <c r="R256" i="32"/>
  <c r="Q256" i="32"/>
  <c r="P256" i="32"/>
  <c r="O256" i="32"/>
  <c r="N256" i="32"/>
  <c r="M256" i="32"/>
  <c r="L256" i="32"/>
  <c r="J256" i="32"/>
  <c r="I256" i="32"/>
  <c r="K256" i="32" s="1"/>
  <c r="T256" i="32" s="1"/>
  <c r="Y255" i="32"/>
  <c r="X255" i="32"/>
  <c r="W255" i="32"/>
  <c r="V255" i="32"/>
  <c r="S255" i="32"/>
  <c r="R255" i="32"/>
  <c r="Q255" i="32"/>
  <c r="P255" i="32"/>
  <c r="O255" i="32"/>
  <c r="N255" i="32"/>
  <c r="M255" i="32"/>
  <c r="J255" i="32"/>
  <c r="L255" i="32" s="1"/>
  <c r="I255" i="32"/>
  <c r="K255" i="32" s="1"/>
  <c r="Y254" i="32"/>
  <c r="X254" i="32"/>
  <c r="W254" i="32"/>
  <c r="V254" i="32"/>
  <c r="S254" i="32"/>
  <c r="R254" i="32"/>
  <c r="Q254" i="32"/>
  <c r="P254" i="32"/>
  <c r="O254" i="32"/>
  <c r="N254" i="32"/>
  <c r="M254" i="32"/>
  <c r="K254" i="32"/>
  <c r="J254" i="32"/>
  <c r="L254" i="32" s="1"/>
  <c r="I254" i="32"/>
  <c r="Y253" i="32"/>
  <c r="X253" i="32"/>
  <c r="W253" i="32"/>
  <c r="V253" i="32"/>
  <c r="S253" i="32"/>
  <c r="R253" i="32"/>
  <c r="Q253" i="32"/>
  <c r="P253" i="32"/>
  <c r="O253" i="32"/>
  <c r="N253" i="32"/>
  <c r="M253" i="32"/>
  <c r="J253" i="32"/>
  <c r="L253" i="32" s="1"/>
  <c r="I253" i="32"/>
  <c r="K253" i="32" s="1"/>
  <c r="U253" i="32" s="1"/>
  <c r="Y252" i="32"/>
  <c r="X252" i="32"/>
  <c r="W252" i="32"/>
  <c r="V252" i="32"/>
  <c r="S252" i="32"/>
  <c r="R252" i="32"/>
  <c r="Q252" i="32"/>
  <c r="P252" i="32"/>
  <c r="O252" i="32"/>
  <c r="N252" i="32"/>
  <c r="M252" i="32"/>
  <c r="K252" i="32"/>
  <c r="J252" i="32"/>
  <c r="L252" i="32" s="1"/>
  <c r="AA252" i="32" s="1"/>
  <c r="I252" i="32"/>
  <c r="AA251" i="32"/>
  <c r="Y251" i="32"/>
  <c r="X251" i="32"/>
  <c r="W251" i="32"/>
  <c r="V251" i="32"/>
  <c r="S251" i="32"/>
  <c r="R251" i="32"/>
  <c r="Q251" i="32"/>
  <c r="P251" i="32"/>
  <c r="O251" i="32"/>
  <c r="N251" i="32"/>
  <c r="M251" i="32"/>
  <c r="L251" i="32"/>
  <c r="K251" i="32"/>
  <c r="U251" i="32" s="1"/>
  <c r="J251" i="32"/>
  <c r="I251" i="32"/>
  <c r="Y250" i="32"/>
  <c r="X250" i="32"/>
  <c r="W250" i="32"/>
  <c r="V250" i="32"/>
  <c r="S250" i="32"/>
  <c r="R250" i="32"/>
  <c r="Q250" i="32"/>
  <c r="P250" i="32"/>
  <c r="O250" i="32"/>
  <c r="N250" i="32"/>
  <c r="M250" i="32"/>
  <c r="J250" i="32"/>
  <c r="L250" i="32" s="1"/>
  <c r="I250" i="32"/>
  <c r="K250" i="32" s="1"/>
  <c r="Y249" i="32"/>
  <c r="X249" i="32"/>
  <c r="W249" i="32"/>
  <c r="V249" i="32"/>
  <c r="S249" i="32"/>
  <c r="R249" i="32"/>
  <c r="Q249" i="32"/>
  <c r="P249" i="32"/>
  <c r="O249" i="32"/>
  <c r="N249" i="32"/>
  <c r="M249" i="32"/>
  <c r="L249" i="32"/>
  <c r="T249" i="32" s="1"/>
  <c r="J249" i="32"/>
  <c r="I249" i="32"/>
  <c r="K249" i="32" s="1"/>
  <c r="Y248" i="32"/>
  <c r="X248" i="32"/>
  <c r="W248" i="32"/>
  <c r="V248" i="32"/>
  <c r="S248" i="32"/>
  <c r="R248" i="32"/>
  <c r="Q248" i="32"/>
  <c r="P248" i="32"/>
  <c r="O248" i="32"/>
  <c r="N248" i="32"/>
  <c r="M248" i="32"/>
  <c r="L248" i="32"/>
  <c r="T248" i="32" s="1"/>
  <c r="J248" i="32"/>
  <c r="I248" i="32"/>
  <c r="K248" i="32" s="1"/>
  <c r="Y247" i="32"/>
  <c r="X247" i="32"/>
  <c r="W247" i="32"/>
  <c r="V247" i="32"/>
  <c r="S247" i="32"/>
  <c r="R247" i="32"/>
  <c r="Q247" i="32"/>
  <c r="P247" i="32"/>
  <c r="O247" i="32"/>
  <c r="N247" i="32"/>
  <c r="M247" i="32"/>
  <c r="K247" i="32"/>
  <c r="J247" i="32"/>
  <c r="L247" i="32" s="1"/>
  <c r="I247" i="32"/>
  <c r="Y246" i="32"/>
  <c r="X246" i="32"/>
  <c r="W246" i="32"/>
  <c r="V246" i="32"/>
  <c r="S246" i="32"/>
  <c r="R246" i="32"/>
  <c r="Q246" i="32"/>
  <c r="P246" i="32"/>
  <c r="O246" i="32"/>
  <c r="N246" i="32"/>
  <c r="M246" i="32"/>
  <c r="L246" i="32"/>
  <c r="U246" i="32" s="1"/>
  <c r="K246" i="32"/>
  <c r="J246" i="32"/>
  <c r="I246" i="32"/>
  <c r="Y245" i="32"/>
  <c r="X245" i="32"/>
  <c r="W245" i="32"/>
  <c r="V245" i="32"/>
  <c r="S245" i="32"/>
  <c r="R245" i="32"/>
  <c r="Q245" i="32"/>
  <c r="P245" i="32"/>
  <c r="O245" i="32"/>
  <c r="N245" i="32"/>
  <c r="M245" i="32"/>
  <c r="J245" i="32"/>
  <c r="L245" i="32" s="1"/>
  <c r="U245" i="32" s="1"/>
  <c r="I245" i="32"/>
  <c r="K245" i="32" s="1"/>
  <c r="Y244" i="32"/>
  <c r="X244" i="32"/>
  <c r="W244" i="32"/>
  <c r="V244" i="32"/>
  <c r="S244" i="32"/>
  <c r="R244" i="32"/>
  <c r="Q244" i="32"/>
  <c r="P244" i="32"/>
  <c r="O244" i="32"/>
  <c r="N244" i="32"/>
  <c r="M244" i="32"/>
  <c r="L244" i="32"/>
  <c r="AA244" i="32" s="1"/>
  <c r="K244" i="32"/>
  <c r="Z244" i="32" s="1"/>
  <c r="J244" i="32"/>
  <c r="I244" i="32"/>
  <c r="Y243" i="32"/>
  <c r="X243" i="32"/>
  <c r="W243" i="32"/>
  <c r="V243" i="32"/>
  <c r="S243" i="32"/>
  <c r="R243" i="32"/>
  <c r="Q243" i="32"/>
  <c r="P243" i="32"/>
  <c r="O243" i="32"/>
  <c r="N243" i="32"/>
  <c r="M243" i="32"/>
  <c r="L243" i="32"/>
  <c r="K243" i="32"/>
  <c r="J243" i="32"/>
  <c r="I243" i="32"/>
  <c r="Y242" i="32"/>
  <c r="X242" i="32"/>
  <c r="W242" i="32"/>
  <c r="AA242" i="32" s="1"/>
  <c r="V242" i="32"/>
  <c r="S242" i="32"/>
  <c r="R242" i="32"/>
  <c r="Q242" i="32"/>
  <c r="P242" i="32"/>
  <c r="O242" i="32"/>
  <c r="N242" i="32"/>
  <c r="M242" i="32"/>
  <c r="J242" i="32"/>
  <c r="L242" i="32" s="1"/>
  <c r="I242" i="32"/>
  <c r="K242" i="32" s="1"/>
  <c r="Y241" i="32"/>
  <c r="X241" i="32"/>
  <c r="W241" i="32"/>
  <c r="V241" i="32"/>
  <c r="S241" i="32"/>
  <c r="R241" i="32"/>
  <c r="Q241" i="32"/>
  <c r="P241" i="32"/>
  <c r="O241" i="32"/>
  <c r="N241" i="32"/>
  <c r="M241" i="32"/>
  <c r="L241" i="32"/>
  <c r="K241" i="32"/>
  <c r="J241" i="32"/>
  <c r="I241" i="32"/>
  <c r="Y240" i="32"/>
  <c r="X240" i="32"/>
  <c r="W240" i="32"/>
  <c r="V240" i="32"/>
  <c r="S240" i="32"/>
  <c r="R240" i="32"/>
  <c r="Q240" i="32"/>
  <c r="P240" i="32"/>
  <c r="O240" i="32"/>
  <c r="N240" i="32"/>
  <c r="M240" i="32"/>
  <c r="L240" i="32"/>
  <c r="J240" i="32"/>
  <c r="I240" i="32"/>
  <c r="K240" i="32" s="1"/>
  <c r="Y239" i="32"/>
  <c r="X239" i="32"/>
  <c r="W239" i="32"/>
  <c r="V239" i="32"/>
  <c r="S239" i="32"/>
  <c r="R239" i="32"/>
  <c r="Q239" i="32"/>
  <c r="P239" i="32"/>
  <c r="O239" i="32"/>
  <c r="N239" i="32"/>
  <c r="M239" i="32"/>
  <c r="K239" i="32"/>
  <c r="J239" i="32"/>
  <c r="L239" i="32" s="1"/>
  <c r="I239" i="32"/>
  <c r="Y238" i="32"/>
  <c r="X238" i="32"/>
  <c r="W238" i="32"/>
  <c r="V238" i="32"/>
  <c r="S238" i="32"/>
  <c r="R238" i="32"/>
  <c r="Q238" i="32"/>
  <c r="P238" i="32"/>
  <c r="O238" i="32"/>
  <c r="N238" i="32"/>
  <c r="M238" i="32"/>
  <c r="L238" i="32"/>
  <c r="K238" i="32"/>
  <c r="J238" i="32"/>
  <c r="I238" i="32"/>
  <c r="Y237" i="32"/>
  <c r="X237" i="32"/>
  <c r="U237" i="32" s="1"/>
  <c r="W237" i="32"/>
  <c r="AA237" i="32" s="1"/>
  <c r="V237" i="32"/>
  <c r="S237" i="32"/>
  <c r="R237" i="32"/>
  <c r="Q237" i="32"/>
  <c r="P237" i="32"/>
  <c r="O237" i="32"/>
  <c r="N237" i="32"/>
  <c r="M237" i="32"/>
  <c r="J237" i="32"/>
  <c r="L237" i="32" s="1"/>
  <c r="I237" i="32"/>
  <c r="K237" i="32" s="1"/>
  <c r="Y236" i="32"/>
  <c r="X236" i="32"/>
  <c r="W236" i="32"/>
  <c r="V236" i="32"/>
  <c r="S236" i="32"/>
  <c r="R236" i="32"/>
  <c r="Q236" i="32"/>
  <c r="P236" i="32"/>
  <c r="O236" i="32"/>
  <c r="N236" i="32"/>
  <c r="M236" i="32"/>
  <c r="L236" i="32"/>
  <c r="Z236" i="32" s="1"/>
  <c r="K236" i="32"/>
  <c r="J236" i="32"/>
  <c r="I236" i="32"/>
  <c r="Y235" i="32"/>
  <c r="X235" i="32"/>
  <c r="W235" i="32"/>
  <c r="V235" i="32"/>
  <c r="S235" i="32"/>
  <c r="R235" i="32"/>
  <c r="Q235" i="32"/>
  <c r="P235" i="32"/>
  <c r="O235" i="32"/>
  <c r="N235" i="32"/>
  <c r="M235" i="32"/>
  <c r="L235" i="32"/>
  <c r="K235" i="32"/>
  <c r="J235" i="32"/>
  <c r="I235" i="32"/>
  <c r="Y234" i="32"/>
  <c r="X234" i="32"/>
  <c r="W234" i="32"/>
  <c r="V234" i="32"/>
  <c r="S234" i="32"/>
  <c r="R234" i="32"/>
  <c r="Q234" i="32"/>
  <c r="P234" i="32"/>
  <c r="O234" i="32"/>
  <c r="N234" i="32"/>
  <c r="M234" i="32"/>
  <c r="J234" i="32"/>
  <c r="L234" i="32" s="1"/>
  <c r="I234" i="32"/>
  <c r="K234" i="32" s="1"/>
  <c r="Y233" i="32"/>
  <c r="X233" i="32"/>
  <c r="W233" i="32"/>
  <c r="V233" i="32"/>
  <c r="S233" i="32"/>
  <c r="R233" i="32"/>
  <c r="Q233" i="32"/>
  <c r="P233" i="32"/>
  <c r="O233" i="32"/>
  <c r="N233" i="32"/>
  <c r="M233" i="32"/>
  <c r="L233" i="32"/>
  <c r="J233" i="32"/>
  <c r="I233" i="32"/>
  <c r="K233" i="32" s="1"/>
  <c r="Y232" i="32"/>
  <c r="X232" i="32"/>
  <c r="W232" i="32"/>
  <c r="V232" i="32"/>
  <c r="S232" i="32"/>
  <c r="R232" i="32"/>
  <c r="Q232" i="32"/>
  <c r="P232" i="32"/>
  <c r="O232" i="32"/>
  <c r="N232" i="32"/>
  <c r="M232" i="32"/>
  <c r="L232" i="32"/>
  <c r="J232" i="32"/>
  <c r="I232" i="32"/>
  <c r="K232" i="32" s="1"/>
  <c r="Z231" i="32"/>
  <c r="Y231" i="32"/>
  <c r="X231" i="32"/>
  <c r="W231" i="32"/>
  <c r="AA231" i="32" s="1"/>
  <c r="V231" i="32"/>
  <c r="S231" i="32"/>
  <c r="R231" i="32"/>
  <c r="Q231" i="32"/>
  <c r="P231" i="32"/>
  <c r="O231" i="32"/>
  <c r="N231" i="32"/>
  <c r="M231" i="32"/>
  <c r="J231" i="32"/>
  <c r="L231" i="32" s="1"/>
  <c r="I231" i="32"/>
  <c r="K231" i="32" s="1"/>
  <c r="Y230" i="32"/>
  <c r="X230" i="32"/>
  <c r="W230" i="32"/>
  <c r="V230" i="32"/>
  <c r="S230" i="32"/>
  <c r="R230" i="32"/>
  <c r="Q230" i="32"/>
  <c r="P230" i="32"/>
  <c r="O230" i="32"/>
  <c r="N230" i="32"/>
  <c r="M230" i="32"/>
  <c r="K230" i="32"/>
  <c r="J230" i="32"/>
  <c r="L230" i="32" s="1"/>
  <c r="I230" i="32"/>
  <c r="Y229" i="32"/>
  <c r="X229" i="32"/>
  <c r="W229" i="32"/>
  <c r="V229" i="32"/>
  <c r="S229" i="32"/>
  <c r="R229" i="32"/>
  <c r="Q229" i="32"/>
  <c r="P229" i="32"/>
  <c r="O229" i="32"/>
  <c r="N229" i="32"/>
  <c r="M229" i="32"/>
  <c r="J229" i="32"/>
  <c r="L229" i="32" s="1"/>
  <c r="I229" i="32"/>
  <c r="K229" i="32" s="1"/>
  <c r="Y228" i="32"/>
  <c r="X228" i="32"/>
  <c r="W228" i="32"/>
  <c r="V228" i="32"/>
  <c r="S228" i="32"/>
  <c r="R228" i="32"/>
  <c r="Q228" i="32"/>
  <c r="P228" i="32"/>
  <c r="Z228" i="32" s="1"/>
  <c r="O228" i="32"/>
  <c r="N228" i="32"/>
  <c r="M228" i="32"/>
  <c r="K228" i="32"/>
  <c r="J228" i="32"/>
  <c r="L228" i="32" s="1"/>
  <c r="I228" i="32"/>
  <c r="Y227" i="32"/>
  <c r="X227" i="32"/>
  <c r="W227" i="32"/>
  <c r="V227" i="32"/>
  <c r="S227" i="32"/>
  <c r="R227" i="32"/>
  <c r="Q227" i="32"/>
  <c r="P227" i="32"/>
  <c r="O227" i="32"/>
  <c r="N227" i="32"/>
  <c r="M227" i="32"/>
  <c r="L227" i="32"/>
  <c r="K227" i="32"/>
  <c r="J227" i="32"/>
  <c r="I227" i="32"/>
  <c r="Y226" i="32"/>
  <c r="X226" i="32"/>
  <c r="W226" i="32"/>
  <c r="V226" i="32"/>
  <c r="S226" i="32"/>
  <c r="R226" i="32"/>
  <c r="Q226" i="32"/>
  <c r="P226" i="32"/>
  <c r="O226" i="32"/>
  <c r="N226" i="32"/>
  <c r="M226" i="32"/>
  <c r="J226" i="32"/>
  <c r="L226" i="32" s="1"/>
  <c r="I226" i="32"/>
  <c r="K226" i="32" s="1"/>
  <c r="AA225" i="32"/>
  <c r="Y225" i="32"/>
  <c r="X225" i="32"/>
  <c r="W225" i="32"/>
  <c r="V225" i="32"/>
  <c r="S225" i="32"/>
  <c r="R225" i="32"/>
  <c r="Q225" i="32"/>
  <c r="P225" i="32"/>
  <c r="O225" i="32"/>
  <c r="N225" i="32"/>
  <c r="M225" i="32"/>
  <c r="L225" i="32"/>
  <c r="J225" i="32"/>
  <c r="I225" i="32"/>
  <c r="K225" i="32" s="1"/>
  <c r="Y224" i="32"/>
  <c r="X224" i="32"/>
  <c r="U224" i="32" s="1"/>
  <c r="W224" i="32"/>
  <c r="V224" i="32"/>
  <c r="S224" i="32"/>
  <c r="R224" i="32"/>
  <c r="Q224" i="32"/>
  <c r="P224" i="32"/>
  <c r="O224" i="32"/>
  <c r="N224" i="32"/>
  <c r="M224" i="32"/>
  <c r="L224" i="32"/>
  <c r="J224" i="32"/>
  <c r="I224" i="32"/>
  <c r="K224" i="32" s="1"/>
  <c r="Y223" i="32"/>
  <c r="X223" i="32"/>
  <c r="W223" i="32"/>
  <c r="V223" i="32"/>
  <c r="S223" i="32"/>
  <c r="R223" i="32"/>
  <c r="Q223" i="32"/>
  <c r="P223" i="32"/>
  <c r="O223" i="32"/>
  <c r="N223" i="32"/>
  <c r="M223" i="32"/>
  <c r="J223" i="32"/>
  <c r="L223" i="32" s="1"/>
  <c r="I223" i="32"/>
  <c r="K223" i="32" s="1"/>
  <c r="Y222" i="32"/>
  <c r="X222" i="32"/>
  <c r="W222" i="32"/>
  <c r="V222" i="32"/>
  <c r="S222" i="32"/>
  <c r="R222" i="32"/>
  <c r="Q222" i="32"/>
  <c r="P222" i="32"/>
  <c r="O222" i="32"/>
  <c r="N222" i="32"/>
  <c r="M222" i="32"/>
  <c r="L222" i="32"/>
  <c r="U222" i="32" s="1"/>
  <c r="K222" i="32"/>
  <c r="J222" i="32"/>
  <c r="I222" i="32"/>
  <c r="Y221" i="32"/>
  <c r="X221" i="32"/>
  <c r="W221" i="32"/>
  <c r="V221" i="32"/>
  <c r="U221" i="32"/>
  <c r="S221" i="32"/>
  <c r="R221" i="32"/>
  <c r="Q221" i="32"/>
  <c r="P221" i="32"/>
  <c r="O221" i="32"/>
  <c r="N221" i="32"/>
  <c r="M221" i="32"/>
  <c r="K221" i="32"/>
  <c r="I221" i="32"/>
  <c r="Y220" i="32"/>
  <c r="X220" i="32"/>
  <c r="W220" i="32"/>
  <c r="V220" i="32"/>
  <c r="S220" i="32"/>
  <c r="R220" i="32"/>
  <c r="Q220" i="32"/>
  <c r="P220" i="32"/>
  <c r="Z220" i="32" s="1"/>
  <c r="O220" i="32"/>
  <c r="N220" i="32"/>
  <c r="M220" i="32"/>
  <c r="J220" i="32"/>
  <c r="L220" i="32" s="1"/>
  <c r="I220" i="32"/>
  <c r="K220" i="32" s="1"/>
  <c r="Y219" i="32"/>
  <c r="X219" i="32"/>
  <c r="W219" i="32"/>
  <c r="V219" i="32"/>
  <c r="S219" i="32"/>
  <c r="R219" i="32"/>
  <c r="Q219" i="32"/>
  <c r="AA219" i="32" s="1"/>
  <c r="P219" i="32"/>
  <c r="O219" i="32"/>
  <c r="N219" i="32"/>
  <c r="M219" i="32"/>
  <c r="L219" i="32"/>
  <c r="J219" i="32"/>
  <c r="I219" i="32"/>
  <c r="K219" i="32" s="1"/>
  <c r="Y218" i="32"/>
  <c r="X218" i="32"/>
  <c r="W218" i="32"/>
  <c r="V218" i="32"/>
  <c r="S218" i="32"/>
  <c r="R218" i="32"/>
  <c r="Q218" i="32"/>
  <c r="P218" i="32"/>
  <c r="O218" i="32"/>
  <c r="N218" i="32"/>
  <c r="M218" i="32"/>
  <c r="L218" i="32"/>
  <c r="K218" i="32"/>
  <c r="J218" i="32"/>
  <c r="I218" i="32"/>
  <c r="Y217" i="32"/>
  <c r="X217" i="32"/>
  <c r="W217" i="32"/>
  <c r="V217" i="32"/>
  <c r="S217" i="32"/>
  <c r="R217" i="32"/>
  <c r="Q217" i="32"/>
  <c r="P217" i="32"/>
  <c r="O217" i="32"/>
  <c r="N217" i="32"/>
  <c r="M217" i="32"/>
  <c r="J217" i="32"/>
  <c r="L217" i="32" s="1"/>
  <c r="I217" i="32"/>
  <c r="K217" i="32" s="1"/>
  <c r="Y216" i="32"/>
  <c r="X216" i="32"/>
  <c r="W216" i="32"/>
  <c r="V216" i="32"/>
  <c r="S216" i="32"/>
  <c r="R216" i="32"/>
  <c r="Q216" i="32"/>
  <c r="P216" i="32"/>
  <c r="O216" i="32"/>
  <c r="N216" i="32"/>
  <c r="M216" i="32"/>
  <c r="K216" i="32"/>
  <c r="J216" i="32"/>
  <c r="L216" i="32" s="1"/>
  <c r="I216" i="32"/>
  <c r="Y215" i="32"/>
  <c r="X215" i="32"/>
  <c r="W215" i="32"/>
  <c r="V215" i="32"/>
  <c r="S215" i="32"/>
  <c r="R215" i="32"/>
  <c r="Q215" i="32"/>
  <c r="P215" i="32"/>
  <c r="U215" i="32" s="1"/>
  <c r="O215" i="32"/>
  <c r="N215" i="32"/>
  <c r="M215" i="32"/>
  <c r="K215" i="32"/>
  <c r="I215" i="32"/>
  <c r="Y214" i="32"/>
  <c r="X214" i="32"/>
  <c r="W214" i="32"/>
  <c r="V214" i="32"/>
  <c r="S214" i="32"/>
  <c r="R214" i="32"/>
  <c r="Q214" i="32"/>
  <c r="P214" i="32"/>
  <c r="Z214" i="32" s="1"/>
  <c r="O214" i="32"/>
  <c r="N214" i="32"/>
  <c r="M214" i="32"/>
  <c r="J214" i="32"/>
  <c r="L214" i="32" s="1"/>
  <c r="I214" i="32"/>
  <c r="K214" i="32" s="1"/>
  <c r="Y213" i="32"/>
  <c r="X213" i="32"/>
  <c r="W213" i="32"/>
  <c r="V213" i="32"/>
  <c r="S213" i="32"/>
  <c r="R213" i="32"/>
  <c r="Q213" i="32"/>
  <c r="P213" i="32"/>
  <c r="O213" i="32"/>
  <c r="N213" i="32"/>
  <c r="M213" i="32"/>
  <c r="L213" i="32"/>
  <c r="J213" i="32"/>
  <c r="I213" i="32"/>
  <c r="K213" i="32" s="1"/>
  <c r="Y212" i="32"/>
  <c r="X212" i="32"/>
  <c r="W212" i="32"/>
  <c r="V212" i="32"/>
  <c r="S212" i="32"/>
  <c r="R212" i="32"/>
  <c r="Q212" i="32"/>
  <c r="P212" i="32"/>
  <c r="O212" i="32"/>
  <c r="N212" i="32"/>
  <c r="M212" i="32"/>
  <c r="L212" i="32"/>
  <c r="J212" i="32"/>
  <c r="I212" i="32"/>
  <c r="K212" i="32" s="1"/>
  <c r="Z211" i="32"/>
  <c r="Y211" i="32"/>
  <c r="X211" i="32"/>
  <c r="W211" i="32"/>
  <c r="V211" i="32"/>
  <c r="S211" i="32"/>
  <c r="R211" i="32"/>
  <c r="Q211" i="32"/>
  <c r="AA211" i="32" s="1"/>
  <c r="P211" i="32"/>
  <c r="O211" i="32"/>
  <c r="N211" i="32"/>
  <c r="M211" i="32"/>
  <c r="J211" i="32"/>
  <c r="L211" i="32" s="1"/>
  <c r="I211" i="32"/>
  <c r="K211" i="32" s="1"/>
  <c r="Y210" i="32"/>
  <c r="X210" i="32"/>
  <c r="W210" i="32"/>
  <c r="V210" i="32"/>
  <c r="S210" i="32"/>
  <c r="R210" i="32"/>
  <c r="Q210" i="32"/>
  <c r="P210" i="32"/>
  <c r="O210" i="32"/>
  <c r="N210" i="32"/>
  <c r="M210" i="32"/>
  <c r="K210" i="32"/>
  <c r="J210" i="32"/>
  <c r="L210" i="32" s="1"/>
  <c r="I210" i="32"/>
  <c r="Y209" i="32"/>
  <c r="X209" i="32"/>
  <c r="W209" i="32"/>
  <c r="V209" i="32"/>
  <c r="S209" i="32"/>
  <c r="R209" i="32"/>
  <c r="Q209" i="32"/>
  <c r="P209" i="32"/>
  <c r="O209" i="32"/>
  <c r="N209" i="32"/>
  <c r="M209" i="32"/>
  <c r="J209" i="32"/>
  <c r="L209" i="32" s="1"/>
  <c r="I209" i="32"/>
  <c r="K209" i="32" s="1"/>
  <c r="Y208" i="32"/>
  <c r="X208" i="32"/>
  <c r="W208" i="32"/>
  <c r="V208" i="32"/>
  <c r="S208" i="32"/>
  <c r="R208" i="32"/>
  <c r="Q208" i="32"/>
  <c r="P208" i="32"/>
  <c r="O208" i="32"/>
  <c r="N208" i="32"/>
  <c r="M208" i="32"/>
  <c r="K208" i="32"/>
  <c r="J208" i="32"/>
  <c r="L208" i="32" s="1"/>
  <c r="I208" i="32"/>
  <c r="Y207" i="32"/>
  <c r="X207" i="32"/>
  <c r="W207" i="32"/>
  <c r="V207" i="32"/>
  <c r="S207" i="32"/>
  <c r="R207" i="32"/>
  <c r="Q207" i="32"/>
  <c r="P207" i="32"/>
  <c r="O207" i="32"/>
  <c r="N207" i="32"/>
  <c r="M207" i="32"/>
  <c r="L207" i="32"/>
  <c r="K207" i="32"/>
  <c r="AA207" i="32" s="1"/>
  <c r="J207" i="32"/>
  <c r="I207" i="32"/>
  <c r="Y206" i="32"/>
  <c r="X206" i="32"/>
  <c r="W206" i="32"/>
  <c r="V206" i="32"/>
  <c r="Z206" i="32" s="1"/>
  <c r="S206" i="32"/>
  <c r="R206" i="32"/>
  <c r="Q206" i="32"/>
  <c r="P206" i="32"/>
  <c r="O206" i="32"/>
  <c r="N206" i="32"/>
  <c r="M206" i="32"/>
  <c r="J206" i="32"/>
  <c r="L206" i="32" s="1"/>
  <c r="I206" i="32"/>
  <c r="K206" i="32" s="1"/>
  <c r="AA205" i="32"/>
  <c r="Y205" i="32"/>
  <c r="X205" i="32"/>
  <c r="W205" i="32"/>
  <c r="V205" i="32"/>
  <c r="S205" i="32"/>
  <c r="R205" i="32"/>
  <c r="Q205" i="32"/>
  <c r="P205" i="32"/>
  <c r="O205" i="32"/>
  <c r="N205" i="32"/>
  <c r="M205" i="32"/>
  <c r="L205" i="32"/>
  <c r="K205" i="32"/>
  <c r="J205" i="32"/>
  <c r="I205" i="32"/>
  <c r="Y204" i="32"/>
  <c r="X204" i="32"/>
  <c r="W204" i="32"/>
  <c r="V204" i="32"/>
  <c r="S204" i="32"/>
  <c r="R204" i="32"/>
  <c r="Q204" i="32"/>
  <c r="P204" i="32"/>
  <c r="O204" i="32"/>
  <c r="N204" i="32"/>
  <c r="M204" i="32"/>
  <c r="L204" i="32"/>
  <c r="J204" i="32"/>
  <c r="I204" i="32"/>
  <c r="K204" i="32" s="1"/>
  <c r="Z203" i="32"/>
  <c r="Y203" i="32"/>
  <c r="X203" i="32"/>
  <c r="W203" i="32"/>
  <c r="V203" i="32"/>
  <c r="S203" i="32"/>
  <c r="R203" i="32"/>
  <c r="Q203" i="32"/>
  <c r="P203" i="32"/>
  <c r="O203" i="32"/>
  <c r="N203" i="32"/>
  <c r="M203" i="32"/>
  <c r="K203" i="32"/>
  <c r="T203" i="32" s="1"/>
  <c r="J203" i="32"/>
  <c r="L203" i="32" s="1"/>
  <c r="I203" i="32"/>
  <c r="Y202" i="32"/>
  <c r="X202" i="32"/>
  <c r="W202" i="32"/>
  <c r="V202" i="32"/>
  <c r="S202" i="32"/>
  <c r="R202" i="32"/>
  <c r="Q202" i="32"/>
  <c r="P202" i="32"/>
  <c r="O202" i="32"/>
  <c r="N202" i="32"/>
  <c r="M202" i="32"/>
  <c r="L202" i="32"/>
  <c r="U202" i="32" s="1"/>
  <c r="K202" i="32"/>
  <c r="J202" i="32"/>
  <c r="I202" i="32"/>
  <c r="Y201" i="32"/>
  <c r="X201" i="32"/>
  <c r="W201" i="32"/>
  <c r="V201" i="32"/>
  <c r="S201" i="32"/>
  <c r="R201" i="32"/>
  <c r="Q201" i="32"/>
  <c r="P201" i="32"/>
  <c r="O201" i="32"/>
  <c r="N201" i="32"/>
  <c r="M201" i="32"/>
  <c r="J201" i="32"/>
  <c r="L201" i="32" s="1"/>
  <c r="U201" i="32" s="1"/>
  <c r="I201" i="32"/>
  <c r="K201" i="32" s="1"/>
  <c r="Y200" i="32"/>
  <c r="X200" i="32"/>
  <c r="W200" i="32"/>
  <c r="V200" i="32"/>
  <c r="S200" i="32"/>
  <c r="R200" i="32"/>
  <c r="Q200" i="32"/>
  <c r="P200" i="32"/>
  <c r="O200" i="32"/>
  <c r="N200" i="32"/>
  <c r="M200" i="32"/>
  <c r="L200" i="32"/>
  <c r="K200" i="32"/>
  <c r="J200" i="32"/>
  <c r="I200" i="32"/>
  <c r="Y199" i="32"/>
  <c r="X199" i="32"/>
  <c r="W199" i="32"/>
  <c r="V199" i="32"/>
  <c r="S199" i="32"/>
  <c r="R199" i="32"/>
  <c r="Q199" i="32"/>
  <c r="P199" i="32"/>
  <c r="O199" i="32"/>
  <c r="N199" i="32"/>
  <c r="U199" i="32" s="1"/>
  <c r="M199" i="32"/>
  <c r="L199" i="32"/>
  <c r="K199" i="32"/>
  <c r="J199" i="32"/>
  <c r="I199" i="32"/>
  <c r="Y198" i="32"/>
  <c r="X198" i="32"/>
  <c r="W198" i="32"/>
  <c r="AA198" i="32" s="1"/>
  <c r="V198" i="32"/>
  <c r="S198" i="32"/>
  <c r="R198" i="32"/>
  <c r="Q198" i="32"/>
  <c r="P198" i="32"/>
  <c r="O198" i="32"/>
  <c r="N198" i="32"/>
  <c r="M198" i="32"/>
  <c r="J198" i="32"/>
  <c r="L198" i="32" s="1"/>
  <c r="I198" i="32"/>
  <c r="K198" i="32" s="1"/>
  <c r="AA197" i="32"/>
  <c r="Y197" i="32"/>
  <c r="X197" i="32"/>
  <c r="W197" i="32"/>
  <c r="V197" i="32"/>
  <c r="U197" i="32"/>
  <c r="S197" i="32"/>
  <c r="R197" i="32"/>
  <c r="Q197" i="32"/>
  <c r="P197" i="32"/>
  <c r="O197" i="32"/>
  <c r="N197" i="32"/>
  <c r="M197" i="32"/>
  <c r="L197" i="32"/>
  <c r="T197" i="32" s="1"/>
  <c r="K197" i="32"/>
  <c r="J197" i="32"/>
  <c r="I197" i="32"/>
  <c r="Y196" i="32"/>
  <c r="X196" i="32"/>
  <c r="W196" i="32"/>
  <c r="V196" i="32"/>
  <c r="S196" i="32"/>
  <c r="R196" i="32"/>
  <c r="Q196" i="32"/>
  <c r="P196" i="32"/>
  <c r="O196" i="32"/>
  <c r="N196" i="32"/>
  <c r="M196" i="32"/>
  <c r="L196" i="32"/>
  <c r="J196" i="32"/>
  <c r="I196" i="32"/>
  <c r="K196" i="32" s="1"/>
  <c r="Y195" i="32"/>
  <c r="X195" i="32"/>
  <c r="W195" i="32"/>
  <c r="V195" i="32"/>
  <c r="S195" i="32"/>
  <c r="R195" i="32"/>
  <c r="Q195" i="32"/>
  <c r="P195" i="32"/>
  <c r="O195" i="32"/>
  <c r="N195" i="32"/>
  <c r="M195" i="32"/>
  <c r="K195" i="32"/>
  <c r="J195" i="32"/>
  <c r="L195" i="32" s="1"/>
  <c r="I195" i="32"/>
  <c r="Y194" i="32"/>
  <c r="X194" i="32"/>
  <c r="W194" i="32"/>
  <c r="V194" i="32"/>
  <c r="U194" i="32"/>
  <c r="S194" i="32"/>
  <c r="R194" i="32"/>
  <c r="Q194" i="32"/>
  <c r="P194" i="32"/>
  <c r="O194" i="32"/>
  <c r="N194" i="32"/>
  <c r="M194" i="32"/>
  <c r="L194" i="32"/>
  <c r="K194" i="32"/>
  <c r="AA194" i="32" s="1"/>
  <c r="J194" i="32"/>
  <c r="I194" i="32"/>
  <c r="Y193" i="32"/>
  <c r="X193" i="32"/>
  <c r="U193" i="32" s="1"/>
  <c r="W193" i="32"/>
  <c r="V193" i="32"/>
  <c r="S193" i="32"/>
  <c r="R193" i="32"/>
  <c r="Q193" i="32"/>
  <c r="P193" i="32"/>
  <c r="O193" i="32"/>
  <c r="N193" i="32"/>
  <c r="M193" i="32"/>
  <c r="J193" i="32"/>
  <c r="L193" i="32" s="1"/>
  <c r="I193" i="32"/>
  <c r="K193" i="32" s="1"/>
  <c r="Y192" i="32"/>
  <c r="X192" i="32"/>
  <c r="W192" i="32"/>
  <c r="V192" i="32"/>
  <c r="S192" i="32"/>
  <c r="R192" i="32"/>
  <c r="Q192" i="32"/>
  <c r="P192" i="32"/>
  <c r="O192" i="32"/>
  <c r="N192" i="32"/>
  <c r="M192" i="32"/>
  <c r="L192" i="32"/>
  <c r="K192" i="32"/>
  <c r="J192" i="32"/>
  <c r="I192" i="32"/>
  <c r="Y191" i="32"/>
  <c r="X191" i="32"/>
  <c r="W191" i="32"/>
  <c r="V191" i="32"/>
  <c r="S191" i="32"/>
  <c r="R191" i="32"/>
  <c r="Q191" i="32"/>
  <c r="P191" i="32"/>
  <c r="O191" i="32"/>
  <c r="N191" i="32"/>
  <c r="M191" i="32"/>
  <c r="L191" i="32"/>
  <c r="K191" i="32"/>
  <c r="J191" i="32"/>
  <c r="I191" i="32"/>
  <c r="Y190" i="32"/>
  <c r="X190" i="32"/>
  <c r="W190" i="32"/>
  <c r="V190" i="32"/>
  <c r="S190" i="32"/>
  <c r="R190" i="32"/>
  <c r="Q190" i="32"/>
  <c r="P190" i="32"/>
  <c r="O190" i="32"/>
  <c r="N190" i="32"/>
  <c r="M190" i="32"/>
  <c r="J190" i="32"/>
  <c r="L190" i="32" s="1"/>
  <c r="I190" i="32"/>
  <c r="K190" i="32" s="1"/>
  <c r="Y189" i="32"/>
  <c r="X189" i="32"/>
  <c r="W189" i="32"/>
  <c r="V189" i="32"/>
  <c r="S189" i="32"/>
  <c r="R189" i="32"/>
  <c r="Q189" i="32"/>
  <c r="P189" i="32"/>
  <c r="O189" i="32"/>
  <c r="N189" i="32"/>
  <c r="M189" i="32"/>
  <c r="L189" i="32"/>
  <c r="T189" i="32" s="1"/>
  <c r="J189" i="32"/>
  <c r="I189" i="32"/>
  <c r="K189" i="32" s="1"/>
  <c r="Y188" i="32"/>
  <c r="X188" i="32"/>
  <c r="W188" i="32"/>
  <c r="V188" i="32"/>
  <c r="S188" i="32"/>
  <c r="R188" i="32"/>
  <c r="Q188" i="32"/>
  <c r="P188" i="32"/>
  <c r="O188" i="32"/>
  <c r="N188" i="32"/>
  <c r="M188" i="32"/>
  <c r="L188" i="32"/>
  <c r="T188" i="32" s="1"/>
  <c r="J188" i="32"/>
  <c r="I188" i="32"/>
  <c r="K188" i="32" s="1"/>
  <c r="Y187" i="32"/>
  <c r="X187" i="32"/>
  <c r="W187" i="32"/>
  <c r="V187" i="32"/>
  <c r="S187" i="32"/>
  <c r="R187" i="32"/>
  <c r="Q187" i="32"/>
  <c r="P187" i="32"/>
  <c r="O187" i="32"/>
  <c r="Z187" i="32" s="1"/>
  <c r="N187" i="32"/>
  <c r="M187" i="32"/>
  <c r="I187" i="32"/>
  <c r="K187" i="32" s="1"/>
  <c r="Y186" i="32"/>
  <c r="X186" i="32"/>
  <c r="U186" i="32" s="1"/>
  <c r="W186" i="32"/>
  <c r="V186" i="32"/>
  <c r="S186" i="32"/>
  <c r="R186" i="32"/>
  <c r="Q186" i="32"/>
  <c r="P186" i="32"/>
  <c r="O186" i="32"/>
  <c r="N186" i="32"/>
  <c r="M186" i="32"/>
  <c r="L186" i="32"/>
  <c r="K186" i="32"/>
  <c r="J186" i="32"/>
  <c r="I186" i="32"/>
  <c r="Y185" i="32"/>
  <c r="X185" i="32"/>
  <c r="W185" i="32"/>
  <c r="AA185" i="32" s="1"/>
  <c r="V185" i="32"/>
  <c r="S185" i="32"/>
  <c r="R185" i="32"/>
  <c r="Q185" i="32"/>
  <c r="P185" i="32"/>
  <c r="O185" i="32"/>
  <c r="N185" i="32"/>
  <c r="M185" i="32"/>
  <c r="L185" i="32"/>
  <c r="K185" i="32"/>
  <c r="J185" i="32"/>
  <c r="I185" i="32"/>
  <c r="Y184" i="32"/>
  <c r="X184" i="32"/>
  <c r="W184" i="32"/>
  <c r="V184" i="32"/>
  <c r="S184" i="32"/>
  <c r="R184" i="32"/>
  <c r="Q184" i="32"/>
  <c r="P184" i="32"/>
  <c r="O184" i="32"/>
  <c r="N184" i="32"/>
  <c r="M184" i="32"/>
  <c r="J184" i="32"/>
  <c r="L184" i="32" s="1"/>
  <c r="I184" i="32"/>
  <c r="K184" i="32" s="1"/>
  <c r="Y183" i="32"/>
  <c r="X183" i="32"/>
  <c r="W183" i="32"/>
  <c r="V183" i="32"/>
  <c r="S183" i="32"/>
  <c r="R183" i="32"/>
  <c r="Q183" i="32"/>
  <c r="P183" i="32"/>
  <c r="O183" i="32"/>
  <c r="N183" i="32"/>
  <c r="M183" i="32"/>
  <c r="L183" i="32"/>
  <c r="J183" i="32"/>
  <c r="I183" i="32"/>
  <c r="K183" i="32" s="1"/>
  <c r="Y182" i="32"/>
  <c r="X182" i="32"/>
  <c r="W182" i="32"/>
  <c r="V182" i="32"/>
  <c r="S182" i="32"/>
  <c r="R182" i="32"/>
  <c r="Q182" i="32"/>
  <c r="P182" i="32"/>
  <c r="U182" i="32" s="1"/>
  <c r="O182" i="32"/>
  <c r="N182" i="32"/>
  <c r="M182" i="32"/>
  <c r="K182" i="32"/>
  <c r="I182" i="32"/>
  <c r="Y181" i="32"/>
  <c r="X181" i="32"/>
  <c r="W181" i="32"/>
  <c r="V181" i="32"/>
  <c r="S181" i="32"/>
  <c r="R181" i="32"/>
  <c r="Q181" i="32"/>
  <c r="P181" i="32"/>
  <c r="O181" i="32"/>
  <c r="N181" i="32"/>
  <c r="M181" i="32"/>
  <c r="J181" i="32"/>
  <c r="L181" i="32" s="1"/>
  <c r="I181" i="32"/>
  <c r="K181" i="32" s="1"/>
  <c r="Y180" i="32"/>
  <c r="X180" i="32"/>
  <c r="U180" i="32" s="1"/>
  <c r="W180" i="32"/>
  <c r="V180" i="32"/>
  <c r="S180" i="32"/>
  <c r="R180" i="32"/>
  <c r="Q180" i="32"/>
  <c r="P180" i="32"/>
  <c r="O180" i="32"/>
  <c r="N180" i="32"/>
  <c r="M180" i="32"/>
  <c r="L180" i="32"/>
  <c r="K180" i="32"/>
  <c r="J180" i="32"/>
  <c r="I180" i="32"/>
  <c r="Y179" i="32"/>
  <c r="X179" i="32"/>
  <c r="W179" i="32"/>
  <c r="V179" i="32"/>
  <c r="S179" i="32"/>
  <c r="R179" i="32"/>
  <c r="Q179" i="32"/>
  <c r="P179" i="32"/>
  <c r="O179" i="32"/>
  <c r="N179" i="32"/>
  <c r="M179" i="32"/>
  <c r="U179" i="32" s="1"/>
  <c r="L179" i="32"/>
  <c r="K179" i="32"/>
  <c r="J179" i="32"/>
  <c r="I179" i="32"/>
  <c r="Y178" i="32"/>
  <c r="X178" i="32"/>
  <c r="W178" i="32"/>
  <c r="AA178" i="32" s="1"/>
  <c r="V178" i="32"/>
  <c r="S178" i="32"/>
  <c r="R178" i="32"/>
  <c r="Q178" i="32"/>
  <c r="P178" i="32"/>
  <c r="O178" i="32"/>
  <c r="Z178" i="32" s="1"/>
  <c r="N178" i="32"/>
  <c r="M178" i="32"/>
  <c r="J178" i="32"/>
  <c r="L178" i="32" s="1"/>
  <c r="I178" i="32"/>
  <c r="K178" i="32" s="1"/>
  <c r="Y177" i="32"/>
  <c r="X177" i="32"/>
  <c r="W177" i="32"/>
  <c r="V177" i="32"/>
  <c r="S177" i="32"/>
  <c r="R177" i="32"/>
  <c r="Q177" i="32"/>
  <c r="P177" i="32"/>
  <c r="O177" i="32"/>
  <c r="N177" i="32"/>
  <c r="M177" i="32"/>
  <c r="J177" i="32"/>
  <c r="L177" i="32" s="1"/>
  <c r="I177" i="32"/>
  <c r="K177" i="32" s="1"/>
  <c r="Y176" i="32"/>
  <c r="X176" i="32"/>
  <c r="U176" i="32" s="1"/>
  <c r="W176" i="32"/>
  <c r="AA176" i="32" s="1"/>
  <c r="V176" i="32"/>
  <c r="S176" i="32"/>
  <c r="R176" i="32"/>
  <c r="Q176" i="32"/>
  <c r="P176" i="32"/>
  <c r="O176" i="32"/>
  <c r="N176" i="32"/>
  <c r="M176" i="32"/>
  <c r="L176" i="32"/>
  <c r="J176" i="32"/>
  <c r="I176" i="32"/>
  <c r="K176" i="32" s="1"/>
  <c r="T176" i="32" s="1"/>
  <c r="Y175" i="32"/>
  <c r="X175" i="32"/>
  <c r="W175" i="32"/>
  <c r="V175" i="32"/>
  <c r="S175" i="32"/>
  <c r="R175" i="32"/>
  <c r="Q175" i="32"/>
  <c r="P175" i="32"/>
  <c r="O175" i="32"/>
  <c r="N175" i="32"/>
  <c r="M175" i="32"/>
  <c r="J175" i="32"/>
  <c r="L175" i="32" s="1"/>
  <c r="AA175" i="32" s="1"/>
  <c r="I175" i="32"/>
  <c r="K175" i="32" s="1"/>
  <c r="Y174" i="32"/>
  <c r="X174" i="32"/>
  <c r="W174" i="32"/>
  <c r="V174" i="32"/>
  <c r="S174" i="32"/>
  <c r="R174" i="32"/>
  <c r="Q174" i="32"/>
  <c r="P174" i="32"/>
  <c r="O174" i="32"/>
  <c r="N174" i="32"/>
  <c r="M174" i="32"/>
  <c r="U174" i="32" s="1"/>
  <c r="L174" i="32"/>
  <c r="K174" i="32"/>
  <c r="J174" i="32"/>
  <c r="I174" i="32"/>
  <c r="Y173" i="32"/>
  <c r="X173" i="32"/>
  <c r="W173" i="32"/>
  <c r="V173" i="32"/>
  <c r="S173" i="32"/>
  <c r="R173" i="32"/>
  <c r="Q173" i="32"/>
  <c r="P173" i="32"/>
  <c r="O173" i="32"/>
  <c r="N173" i="32"/>
  <c r="M173" i="32"/>
  <c r="J173" i="32"/>
  <c r="L173" i="32" s="1"/>
  <c r="U173" i="32" s="1"/>
  <c r="I173" i="32"/>
  <c r="K173" i="32" s="1"/>
  <c r="Y172" i="32"/>
  <c r="X172" i="32"/>
  <c r="W172" i="32"/>
  <c r="V172" i="32"/>
  <c r="S172" i="32"/>
  <c r="R172" i="32"/>
  <c r="Q172" i="32"/>
  <c r="P172" i="32"/>
  <c r="O172" i="32"/>
  <c r="N172" i="32"/>
  <c r="M172" i="32"/>
  <c r="L172" i="32"/>
  <c r="K172" i="32"/>
  <c r="J172" i="32"/>
  <c r="I172" i="32"/>
  <c r="Y171" i="32"/>
  <c r="X171" i="32"/>
  <c r="W171" i="32"/>
  <c r="V171" i="32"/>
  <c r="S171" i="32"/>
  <c r="R171" i="32"/>
  <c r="Q171" i="32"/>
  <c r="P171" i="32"/>
  <c r="O171" i="32"/>
  <c r="N171" i="32"/>
  <c r="M171" i="32"/>
  <c r="L171" i="32"/>
  <c r="K171" i="32"/>
  <c r="U171" i="32" s="1"/>
  <c r="J171" i="32"/>
  <c r="I171" i="32"/>
  <c r="Y170" i="32"/>
  <c r="X170" i="32"/>
  <c r="W170" i="32"/>
  <c r="V170" i="32"/>
  <c r="S170" i="32"/>
  <c r="R170" i="32"/>
  <c r="Q170" i="32"/>
  <c r="P170" i="32"/>
  <c r="O170" i="32"/>
  <c r="N170" i="32"/>
  <c r="M170" i="32"/>
  <c r="J170" i="32"/>
  <c r="L170" i="32" s="1"/>
  <c r="I170" i="32"/>
  <c r="K170" i="32" s="1"/>
  <c r="Y169" i="32"/>
  <c r="X169" i="32"/>
  <c r="W169" i="32"/>
  <c r="V169" i="32"/>
  <c r="S169" i="32"/>
  <c r="R169" i="32"/>
  <c r="Q169" i="32"/>
  <c r="P169" i="32"/>
  <c r="O169" i="32"/>
  <c r="N169" i="32"/>
  <c r="M169" i="32"/>
  <c r="L169" i="32"/>
  <c r="T169" i="32" s="1"/>
  <c r="J169" i="32"/>
  <c r="I169" i="32"/>
  <c r="K169" i="32" s="1"/>
  <c r="Y168" i="32"/>
  <c r="X168" i="32"/>
  <c r="U168" i="32" s="1"/>
  <c r="W168" i="32"/>
  <c r="V168" i="32"/>
  <c r="S168" i="32"/>
  <c r="R168" i="32"/>
  <c r="Q168" i="32"/>
  <c r="P168" i="32"/>
  <c r="O168" i="32"/>
  <c r="N168" i="32"/>
  <c r="M168" i="32"/>
  <c r="L168" i="32"/>
  <c r="K168" i="32"/>
  <c r="J168" i="32"/>
  <c r="I168" i="32"/>
  <c r="Y167" i="32"/>
  <c r="X167" i="32"/>
  <c r="W167" i="32"/>
  <c r="V167" i="32"/>
  <c r="S167" i="32"/>
  <c r="R167" i="32"/>
  <c r="Q167" i="32"/>
  <c r="P167" i="32"/>
  <c r="O167" i="32"/>
  <c r="N167" i="32"/>
  <c r="M167" i="32"/>
  <c r="J167" i="32"/>
  <c r="L167" i="32" s="1"/>
  <c r="I167" i="32"/>
  <c r="K167" i="32" s="1"/>
  <c r="Z167" i="32" s="1"/>
  <c r="Y166" i="32"/>
  <c r="X166" i="32"/>
  <c r="W166" i="32"/>
  <c r="V166" i="32"/>
  <c r="S166" i="32"/>
  <c r="R166" i="32"/>
  <c r="Q166" i="32"/>
  <c r="P166" i="32"/>
  <c r="O166" i="32"/>
  <c r="N166" i="32"/>
  <c r="M166" i="32"/>
  <c r="L166" i="32"/>
  <c r="K166" i="32"/>
  <c r="Z166" i="32" s="1"/>
  <c r="J166" i="32"/>
  <c r="I166" i="32"/>
  <c r="Y165" i="32"/>
  <c r="X165" i="32"/>
  <c r="W165" i="32"/>
  <c r="V165" i="32"/>
  <c r="S165" i="32"/>
  <c r="R165" i="32"/>
  <c r="Q165" i="32"/>
  <c r="P165" i="32"/>
  <c r="O165" i="32"/>
  <c r="N165" i="32"/>
  <c r="M165" i="32"/>
  <c r="J165" i="32"/>
  <c r="L165" i="32" s="1"/>
  <c r="I165" i="32"/>
  <c r="K165" i="32" s="1"/>
  <c r="U165" i="32" s="1"/>
  <c r="Y164" i="32"/>
  <c r="X164" i="32"/>
  <c r="W164" i="32"/>
  <c r="V164" i="32"/>
  <c r="S164" i="32"/>
  <c r="R164" i="32"/>
  <c r="Q164" i="32"/>
  <c r="P164" i="32"/>
  <c r="O164" i="32"/>
  <c r="N164" i="32"/>
  <c r="M164" i="32"/>
  <c r="K164" i="32"/>
  <c r="J164" i="32"/>
  <c r="L164" i="32" s="1"/>
  <c r="I164" i="32"/>
  <c r="Y163" i="32"/>
  <c r="X163" i="32"/>
  <c r="W163" i="32"/>
  <c r="V163" i="32"/>
  <c r="S163" i="32"/>
  <c r="R163" i="32"/>
  <c r="Q163" i="32"/>
  <c r="P163" i="32"/>
  <c r="O163" i="32"/>
  <c r="N163" i="32"/>
  <c r="M163" i="32"/>
  <c r="L163" i="32"/>
  <c r="AA163" i="32" s="1"/>
  <c r="K163" i="32"/>
  <c r="J163" i="32"/>
  <c r="I163" i="32"/>
  <c r="Y162" i="32"/>
  <c r="X162" i="32"/>
  <c r="W162" i="32"/>
  <c r="V162" i="32"/>
  <c r="S162" i="32"/>
  <c r="R162" i="32"/>
  <c r="Q162" i="32"/>
  <c r="P162" i="32"/>
  <c r="O162" i="32"/>
  <c r="N162" i="32"/>
  <c r="M162" i="32"/>
  <c r="K162" i="32"/>
  <c r="J162" i="32"/>
  <c r="L162" i="32" s="1"/>
  <c r="I162" i="32"/>
  <c r="Y161" i="32"/>
  <c r="X161" i="32"/>
  <c r="U161" i="32" s="1"/>
  <c r="W161" i="32"/>
  <c r="V161" i="32"/>
  <c r="S161" i="32"/>
  <c r="R161" i="32"/>
  <c r="Q161" i="32"/>
  <c r="P161" i="32"/>
  <c r="O161" i="32"/>
  <c r="N161" i="32"/>
  <c r="M161" i="32"/>
  <c r="J161" i="32"/>
  <c r="L161" i="32" s="1"/>
  <c r="I161" i="32"/>
  <c r="K161" i="32" s="1"/>
  <c r="AA160" i="32"/>
  <c r="Y160" i="32"/>
  <c r="X160" i="32"/>
  <c r="U160" i="32" s="1"/>
  <c r="W160" i="32"/>
  <c r="V160" i="32"/>
  <c r="S160" i="32"/>
  <c r="R160" i="32"/>
  <c r="Q160" i="32"/>
  <c r="P160" i="32"/>
  <c r="O160" i="32"/>
  <c r="N160" i="32"/>
  <c r="M160" i="32"/>
  <c r="L160" i="32"/>
  <c r="J160" i="32"/>
  <c r="I160" i="32"/>
  <c r="K160" i="32" s="1"/>
  <c r="T160" i="32" s="1"/>
  <c r="Y159" i="32"/>
  <c r="X159" i="32"/>
  <c r="W159" i="32"/>
  <c r="V159" i="32"/>
  <c r="S159" i="32"/>
  <c r="R159" i="32"/>
  <c r="Q159" i="32"/>
  <c r="P159" i="32"/>
  <c r="O159" i="32"/>
  <c r="N159" i="32"/>
  <c r="M159" i="32"/>
  <c r="L159" i="32"/>
  <c r="J159" i="32"/>
  <c r="I159" i="32"/>
  <c r="K159" i="32" s="1"/>
  <c r="T159" i="32" s="1"/>
  <c r="Y158" i="32"/>
  <c r="X158" i="32"/>
  <c r="W158" i="32"/>
  <c r="AA158" i="32" s="1"/>
  <c r="V158" i="32"/>
  <c r="S158" i="32"/>
  <c r="R158" i="32"/>
  <c r="Q158" i="32"/>
  <c r="P158" i="32"/>
  <c r="O158" i="32"/>
  <c r="N158" i="32"/>
  <c r="M158" i="32"/>
  <c r="L158" i="32"/>
  <c r="J158" i="32"/>
  <c r="I158" i="32"/>
  <c r="K158" i="32" s="1"/>
  <c r="Y157" i="32"/>
  <c r="X157" i="32"/>
  <c r="W157" i="32"/>
  <c r="V157" i="32"/>
  <c r="S157" i="32"/>
  <c r="R157" i="32"/>
  <c r="Q157" i="32"/>
  <c r="P157" i="32"/>
  <c r="Z157" i="32" s="1"/>
  <c r="O157" i="32"/>
  <c r="N157" i="32"/>
  <c r="M157" i="32"/>
  <c r="J157" i="32"/>
  <c r="L157" i="32" s="1"/>
  <c r="I157" i="32"/>
  <c r="K157" i="32" s="1"/>
  <c r="Y156" i="32"/>
  <c r="X156" i="32"/>
  <c r="W156" i="32"/>
  <c r="V156" i="32"/>
  <c r="S156" i="32"/>
  <c r="R156" i="32"/>
  <c r="Q156" i="32"/>
  <c r="P156" i="32"/>
  <c r="Z156" i="32" s="1"/>
  <c r="O156" i="32"/>
  <c r="N156" i="32"/>
  <c r="M156" i="32"/>
  <c r="K156" i="32"/>
  <c r="J156" i="32"/>
  <c r="L156" i="32" s="1"/>
  <c r="I156" i="32"/>
  <c r="AA155" i="32"/>
  <c r="Y155" i="32"/>
  <c r="X155" i="32"/>
  <c r="W155" i="32"/>
  <c r="V155" i="32"/>
  <c r="S155" i="32"/>
  <c r="R155" i="32"/>
  <c r="Q155" i="32"/>
  <c r="P155" i="32"/>
  <c r="O155" i="32"/>
  <c r="N155" i="32"/>
  <c r="M155" i="32"/>
  <c r="L155" i="32"/>
  <c r="K155" i="32"/>
  <c r="J155" i="32"/>
  <c r="I155" i="32"/>
  <c r="Y154" i="32"/>
  <c r="X154" i="32"/>
  <c r="W154" i="32"/>
  <c r="V154" i="32"/>
  <c r="S154" i="32"/>
  <c r="R154" i="32"/>
  <c r="Q154" i="32"/>
  <c r="P154" i="32"/>
  <c r="O154" i="32"/>
  <c r="N154" i="32"/>
  <c r="M154" i="32"/>
  <c r="J154" i="32"/>
  <c r="L154" i="32" s="1"/>
  <c r="I154" i="32"/>
  <c r="K154" i="32" s="1"/>
  <c r="Y153" i="32"/>
  <c r="X153" i="32"/>
  <c r="U153" i="32" s="1"/>
  <c r="W153" i="32"/>
  <c r="V153" i="32"/>
  <c r="S153" i="32"/>
  <c r="R153" i="32"/>
  <c r="Q153" i="32"/>
  <c r="P153" i="32"/>
  <c r="O153" i="32"/>
  <c r="N153" i="32"/>
  <c r="M153" i="32"/>
  <c r="J153" i="32"/>
  <c r="L153" i="32" s="1"/>
  <c r="I153" i="32"/>
  <c r="K153" i="32" s="1"/>
  <c r="T153" i="32" s="1"/>
  <c r="Y152" i="32"/>
  <c r="X152" i="32"/>
  <c r="W152" i="32"/>
  <c r="V152" i="32"/>
  <c r="U152" i="32"/>
  <c r="S152" i="32"/>
  <c r="R152" i="32"/>
  <c r="Q152" i="32"/>
  <c r="P152" i="32"/>
  <c r="O152" i="32"/>
  <c r="N152" i="32"/>
  <c r="M152" i="32"/>
  <c r="L152" i="32"/>
  <c r="J152" i="32"/>
  <c r="I152" i="32"/>
  <c r="K152" i="32" s="1"/>
  <c r="Y151" i="32"/>
  <c r="X151" i="32"/>
  <c r="W151" i="32"/>
  <c r="V151" i="32"/>
  <c r="S151" i="32"/>
  <c r="R151" i="32"/>
  <c r="Q151" i="32"/>
  <c r="P151" i="32"/>
  <c r="O151" i="32"/>
  <c r="N151" i="32"/>
  <c r="M151" i="32"/>
  <c r="L151" i="32"/>
  <c r="K151" i="32"/>
  <c r="J151" i="32"/>
  <c r="I151" i="32"/>
  <c r="Z150" i="32"/>
  <c r="Y150" i="32"/>
  <c r="X150" i="32"/>
  <c r="W150" i="32"/>
  <c r="V150" i="32"/>
  <c r="S150" i="32"/>
  <c r="R150" i="32"/>
  <c r="Q150" i="32"/>
  <c r="P150" i="32"/>
  <c r="O150" i="32"/>
  <c r="N150" i="32"/>
  <c r="M150" i="32"/>
  <c r="J150" i="32"/>
  <c r="L150" i="32" s="1"/>
  <c r="I150" i="32"/>
  <c r="K150" i="32" s="1"/>
  <c r="Y149" i="32"/>
  <c r="X149" i="32"/>
  <c r="W149" i="32"/>
  <c r="V149" i="32"/>
  <c r="S149" i="32"/>
  <c r="R149" i="32"/>
  <c r="Q149" i="32"/>
  <c r="P149" i="32"/>
  <c r="O149" i="32"/>
  <c r="N149" i="32"/>
  <c r="M149" i="32"/>
  <c r="L149" i="32"/>
  <c r="Z149" i="32" s="1"/>
  <c r="J149" i="32"/>
  <c r="I149" i="32"/>
  <c r="K149" i="32" s="1"/>
  <c r="Y148" i="32"/>
  <c r="X148" i="32"/>
  <c r="W148" i="32"/>
  <c r="V148" i="32"/>
  <c r="S148" i="32"/>
  <c r="R148" i="32"/>
  <c r="Q148" i="32"/>
  <c r="P148" i="32"/>
  <c r="O148" i="32"/>
  <c r="N148" i="32"/>
  <c r="M148" i="32"/>
  <c r="L148" i="32"/>
  <c r="Z148" i="32" s="1"/>
  <c r="K148" i="32"/>
  <c r="J148" i="32"/>
  <c r="I148" i="32"/>
  <c r="Y147" i="32"/>
  <c r="X147" i="32"/>
  <c r="W147" i="32"/>
  <c r="V147" i="32"/>
  <c r="S147" i="32"/>
  <c r="R147" i="32"/>
  <c r="Q147" i="32"/>
  <c r="P147" i="32"/>
  <c r="O147" i="32"/>
  <c r="N147" i="32"/>
  <c r="M147" i="32"/>
  <c r="J147" i="32"/>
  <c r="L147" i="32" s="1"/>
  <c r="U147" i="32" s="1"/>
  <c r="I147" i="32"/>
  <c r="K147" i="32" s="1"/>
  <c r="Y146" i="32"/>
  <c r="X146" i="32"/>
  <c r="U146" i="32" s="1"/>
  <c r="W146" i="32"/>
  <c r="V146" i="32"/>
  <c r="S146" i="32"/>
  <c r="R146" i="32"/>
  <c r="Q146" i="32"/>
  <c r="P146" i="32"/>
  <c r="O146" i="32"/>
  <c r="N146" i="32"/>
  <c r="M146" i="32"/>
  <c r="L146" i="32"/>
  <c r="K146" i="32"/>
  <c r="J146" i="32"/>
  <c r="I146" i="32"/>
  <c r="Y145" i="32"/>
  <c r="X145" i="32"/>
  <c r="W145" i="32"/>
  <c r="AA145" i="32" s="1"/>
  <c r="V145" i="32"/>
  <c r="S145" i="32"/>
  <c r="R145" i="32"/>
  <c r="Q145" i="32"/>
  <c r="P145" i="32"/>
  <c r="O145" i="32"/>
  <c r="N145" i="32"/>
  <c r="M145" i="32"/>
  <c r="L145" i="32"/>
  <c r="K145" i="32"/>
  <c r="J145" i="32"/>
  <c r="I145" i="32"/>
  <c r="Y144" i="32"/>
  <c r="X144" i="32"/>
  <c r="W144" i="32"/>
  <c r="V144" i="32"/>
  <c r="S144" i="32"/>
  <c r="R144" i="32"/>
  <c r="Q144" i="32"/>
  <c r="P144" i="32"/>
  <c r="O144" i="32"/>
  <c r="N144" i="32"/>
  <c r="Z144" i="32" s="1"/>
  <c r="M144" i="32"/>
  <c r="J144" i="32"/>
  <c r="L144" i="32" s="1"/>
  <c r="I144" i="32"/>
  <c r="K144" i="32" s="1"/>
  <c r="Y143" i="32"/>
  <c r="X143" i="32"/>
  <c r="W143" i="32"/>
  <c r="V143" i="32"/>
  <c r="S143" i="32"/>
  <c r="R143" i="32"/>
  <c r="Q143" i="32"/>
  <c r="P143" i="32"/>
  <c r="O143" i="32"/>
  <c r="N143" i="32"/>
  <c r="M143" i="32"/>
  <c r="I143" i="32"/>
  <c r="K143" i="32" s="1"/>
  <c r="Y142" i="32"/>
  <c r="X142" i="32"/>
  <c r="W142" i="32"/>
  <c r="V142" i="32"/>
  <c r="S142" i="32"/>
  <c r="R142" i="32"/>
  <c r="Q142" i="32"/>
  <c r="P142" i="32"/>
  <c r="O142" i="32"/>
  <c r="N142" i="32"/>
  <c r="M142" i="32"/>
  <c r="U142" i="32" s="1"/>
  <c r="K142" i="32"/>
  <c r="J142" i="32"/>
  <c r="L142" i="32" s="1"/>
  <c r="I142" i="32"/>
  <c r="Y141" i="32"/>
  <c r="X141" i="32"/>
  <c r="W141" i="32"/>
  <c r="V141" i="32"/>
  <c r="T141" i="32" s="1"/>
  <c r="S141" i="32"/>
  <c r="R141" i="32"/>
  <c r="Q141" i="32"/>
  <c r="P141" i="32"/>
  <c r="O141" i="32"/>
  <c r="N141" i="32"/>
  <c r="M141" i="32"/>
  <c r="J141" i="32"/>
  <c r="L141" i="32" s="1"/>
  <c r="I141" i="32"/>
  <c r="K141" i="32" s="1"/>
  <c r="Y140" i="32"/>
  <c r="X140" i="32"/>
  <c r="W140" i="32"/>
  <c r="V140" i="32"/>
  <c r="S140" i="32"/>
  <c r="R140" i="32"/>
  <c r="Q140" i="32"/>
  <c r="P140" i="32"/>
  <c r="Z140" i="32" s="1"/>
  <c r="O140" i="32"/>
  <c r="N140" i="32"/>
  <c r="M140" i="32"/>
  <c r="K140" i="32"/>
  <c r="T140" i="32" s="1"/>
  <c r="J140" i="32"/>
  <c r="L140" i="32" s="1"/>
  <c r="I140" i="32"/>
  <c r="AA139" i="32"/>
  <c r="Y139" i="32"/>
  <c r="X139" i="32"/>
  <c r="W139" i="32"/>
  <c r="V139" i="32"/>
  <c r="S139" i="32"/>
  <c r="R139" i="32"/>
  <c r="Q139" i="32"/>
  <c r="P139" i="32"/>
  <c r="O139" i="32"/>
  <c r="N139" i="32"/>
  <c r="M139" i="32"/>
  <c r="L139" i="32"/>
  <c r="K139" i="32"/>
  <c r="U139" i="32" s="1"/>
  <c r="J139" i="32"/>
  <c r="I139" i="32"/>
  <c r="Y138" i="32"/>
  <c r="X138" i="32"/>
  <c r="W138" i="32"/>
  <c r="V138" i="32"/>
  <c r="Z138" i="32" s="1"/>
  <c r="S138" i="32"/>
  <c r="R138" i="32"/>
  <c r="Q138" i="32"/>
  <c r="P138" i="32"/>
  <c r="O138" i="32"/>
  <c r="N138" i="32"/>
  <c r="M138" i="32"/>
  <c r="J138" i="32"/>
  <c r="L138" i="32" s="1"/>
  <c r="I138" i="32"/>
  <c r="K138" i="32" s="1"/>
  <c r="Y137" i="32"/>
  <c r="X137" i="32"/>
  <c r="W137" i="32"/>
  <c r="V137" i="32"/>
  <c r="S137" i="32"/>
  <c r="R137" i="32"/>
  <c r="Q137" i="32"/>
  <c r="P137" i="32"/>
  <c r="O137" i="32"/>
  <c r="N137" i="32"/>
  <c r="M137" i="32"/>
  <c r="L137" i="32"/>
  <c r="J137" i="32"/>
  <c r="I137" i="32"/>
  <c r="K137" i="32" s="1"/>
  <c r="Y136" i="32"/>
  <c r="X136" i="32"/>
  <c r="W136" i="32"/>
  <c r="V136" i="32"/>
  <c r="S136" i="32"/>
  <c r="R136" i="32"/>
  <c r="Q136" i="32"/>
  <c r="P136" i="32"/>
  <c r="O136" i="32"/>
  <c r="N136" i="32"/>
  <c r="M136" i="32"/>
  <c r="L136" i="32"/>
  <c r="J136" i="32"/>
  <c r="I136" i="32"/>
  <c r="K136" i="32" s="1"/>
  <c r="Y135" i="32"/>
  <c r="X135" i="32"/>
  <c r="W135" i="32"/>
  <c r="V135" i="32"/>
  <c r="S135" i="32"/>
  <c r="R135" i="32"/>
  <c r="Q135" i="32"/>
  <c r="P135" i="32"/>
  <c r="O135" i="32"/>
  <c r="N135" i="32"/>
  <c r="M135" i="32"/>
  <c r="J135" i="32"/>
  <c r="L135" i="32" s="1"/>
  <c r="I135" i="32"/>
  <c r="K135" i="32" s="1"/>
  <c r="AA135" i="32" s="1"/>
  <c r="Z134" i="32"/>
  <c r="Y134" i="32"/>
  <c r="X134" i="32"/>
  <c r="W134" i="32"/>
  <c r="AA134" i="32" s="1"/>
  <c r="V134" i="32"/>
  <c r="S134" i="32"/>
  <c r="R134" i="32"/>
  <c r="Q134" i="32"/>
  <c r="P134" i="32"/>
  <c r="O134" i="32"/>
  <c r="N134" i="32"/>
  <c r="M134" i="32"/>
  <c r="K134" i="32"/>
  <c r="J134" i="32"/>
  <c r="L134" i="32" s="1"/>
  <c r="I134" i="32"/>
  <c r="Y133" i="32"/>
  <c r="X133" i="32"/>
  <c r="U133" i="32" s="1"/>
  <c r="W133" i="32"/>
  <c r="V133" i="32"/>
  <c r="S133" i="32"/>
  <c r="R133" i="32"/>
  <c r="Q133" i="32"/>
  <c r="P133" i="32"/>
  <c r="O133" i="32"/>
  <c r="N133" i="32"/>
  <c r="M133" i="32"/>
  <c r="J133" i="32"/>
  <c r="L133" i="32" s="1"/>
  <c r="I133" i="32"/>
  <c r="K133" i="32" s="1"/>
  <c r="Y132" i="32"/>
  <c r="X132" i="32"/>
  <c r="W132" i="32"/>
  <c r="V132" i="32"/>
  <c r="S132" i="32"/>
  <c r="R132" i="32"/>
  <c r="Q132" i="32"/>
  <c r="P132" i="32"/>
  <c r="O132" i="32"/>
  <c r="N132" i="32"/>
  <c r="M132" i="32"/>
  <c r="K132" i="32"/>
  <c r="AA132" i="32" s="1"/>
  <c r="J132" i="32"/>
  <c r="L132" i="32" s="1"/>
  <c r="I132" i="32"/>
  <c r="AA131" i="32"/>
  <c r="Y131" i="32"/>
  <c r="X131" i="32"/>
  <c r="W131" i="32"/>
  <c r="V131" i="32"/>
  <c r="U131" i="32"/>
  <c r="S131" i="32"/>
  <c r="R131" i="32"/>
  <c r="Q131" i="32"/>
  <c r="P131" i="32"/>
  <c r="O131" i="32"/>
  <c r="N131" i="32"/>
  <c r="M131" i="32"/>
  <c r="L131" i="32"/>
  <c r="K131" i="32"/>
  <c r="J131" i="32"/>
  <c r="I131" i="32"/>
  <c r="Y130" i="32"/>
  <c r="X130" i="32"/>
  <c r="W130" i="32"/>
  <c r="V130" i="32"/>
  <c r="T130" i="32" s="1"/>
  <c r="S130" i="32"/>
  <c r="R130" i="32"/>
  <c r="Q130" i="32"/>
  <c r="P130" i="32"/>
  <c r="O130" i="32"/>
  <c r="N130" i="32"/>
  <c r="M130" i="32"/>
  <c r="J130" i="32"/>
  <c r="L130" i="32" s="1"/>
  <c r="I130" i="32"/>
  <c r="K130" i="32" s="1"/>
  <c r="Y129" i="32"/>
  <c r="X129" i="32"/>
  <c r="W129" i="32"/>
  <c r="V129" i="32"/>
  <c r="S129" i="32"/>
  <c r="R129" i="32"/>
  <c r="Q129" i="32"/>
  <c r="P129" i="32"/>
  <c r="O129" i="32"/>
  <c r="N129" i="32"/>
  <c r="M129" i="32"/>
  <c r="L129" i="32"/>
  <c r="K129" i="32"/>
  <c r="T129" i="32" s="1"/>
  <c r="J129" i="32"/>
  <c r="I129" i="32"/>
  <c r="Y128" i="32"/>
  <c r="X128" i="32"/>
  <c r="W128" i="32"/>
  <c r="V128" i="32"/>
  <c r="S128" i="32"/>
  <c r="R128" i="32"/>
  <c r="Q128" i="32"/>
  <c r="P128" i="32"/>
  <c r="O128" i="32"/>
  <c r="N128" i="32"/>
  <c r="M128" i="32"/>
  <c r="L128" i="32"/>
  <c r="T128" i="32" s="1"/>
  <c r="J128" i="32"/>
  <c r="I128" i="32"/>
  <c r="K128" i="32" s="1"/>
  <c r="Y127" i="32"/>
  <c r="X127" i="32"/>
  <c r="W127" i="32"/>
  <c r="V127" i="32"/>
  <c r="S127" i="32"/>
  <c r="R127" i="32"/>
  <c r="Q127" i="32"/>
  <c r="AA127" i="32" s="1"/>
  <c r="P127" i="32"/>
  <c r="O127" i="32"/>
  <c r="N127" i="32"/>
  <c r="M127" i="32"/>
  <c r="I127" i="32"/>
  <c r="K127" i="32" s="1"/>
  <c r="Z127" i="32" s="1"/>
  <c r="Y126" i="32"/>
  <c r="X126" i="32"/>
  <c r="W126" i="32"/>
  <c r="V126" i="32"/>
  <c r="S126" i="32"/>
  <c r="R126" i="32"/>
  <c r="Q126" i="32"/>
  <c r="P126" i="32"/>
  <c r="O126" i="32"/>
  <c r="N126" i="32"/>
  <c r="M126" i="32"/>
  <c r="K126" i="32"/>
  <c r="J126" i="32"/>
  <c r="L126" i="32" s="1"/>
  <c r="AA126" i="32" s="1"/>
  <c r="I126" i="32"/>
  <c r="Y125" i="32"/>
  <c r="X125" i="32"/>
  <c r="W125" i="32"/>
  <c r="V125" i="32"/>
  <c r="S125" i="32"/>
  <c r="R125" i="32"/>
  <c r="Q125" i="32"/>
  <c r="P125" i="32"/>
  <c r="O125" i="32"/>
  <c r="N125" i="32"/>
  <c r="M125" i="32"/>
  <c r="L125" i="32"/>
  <c r="K125" i="32"/>
  <c r="AA125" i="32" s="1"/>
  <c r="J125" i="32"/>
  <c r="I125" i="32"/>
  <c r="Y124" i="32"/>
  <c r="X124" i="32"/>
  <c r="W124" i="32"/>
  <c r="V124" i="32"/>
  <c r="S124" i="32"/>
  <c r="R124" i="32"/>
  <c r="Q124" i="32"/>
  <c r="P124" i="32"/>
  <c r="O124" i="32"/>
  <c r="N124" i="32"/>
  <c r="M124" i="32"/>
  <c r="J124" i="32"/>
  <c r="L124" i="32" s="1"/>
  <c r="I124" i="32"/>
  <c r="K124" i="32" s="1"/>
  <c r="AA124" i="32" s="1"/>
  <c r="Y123" i="32"/>
  <c r="X123" i="32"/>
  <c r="W123" i="32"/>
  <c r="V123" i="32"/>
  <c r="S123" i="32"/>
  <c r="R123" i="32"/>
  <c r="Q123" i="32"/>
  <c r="P123" i="32"/>
  <c r="O123" i="32"/>
  <c r="N123" i="32"/>
  <c r="M123" i="32"/>
  <c r="L123" i="32"/>
  <c r="J123" i="32"/>
  <c r="I123" i="32"/>
  <c r="K123" i="32" s="1"/>
  <c r="Y122" i="32"/>
  <c r="X122" i="32"/>
  <c r="W122" i="32"/>
  <c r="V122" i="32"/>
  <c r="S122" i="32"/>
  <c r="R122" i="32"/>
  <c r="Q122" i="32"/>
  <c r="P122" i="32"/>
  <c r="O122" i="32"/>
  <c r="N122" i="32"/>
  <c r="M122" i="32"/>
  <c r="L122" i="32"/>
  <c r="T122" i="32" s="1"/>
  <c r="J122" i="32"/>
  <c r="I122" i="32"/>
  <c r="K122" i="32" s="1"/>
  <c r="Y121" i="32"/>
  <c r="X121" i="32"/>
  <c r="W121" i="32"/>
  <c r="V121" i="32"/>
  <c r="S121" i="32"/>
  <c r="R121" i="32"/>
  <c r="Q121" i="32"/>
  <c r="Z121" i="32" s="1"/>
  <c r="P121" i="32"/>
  <c r="O121" i="32"/>
  <c r="N121" i="32"/>
  <c r="M121" i="32"/>
  <c r="K121" i="32"/>
  <c r="J121" i="32"/>
  <c r="L121" i="32" s="1"/>
  <c r="I121" i="32"/>
  <c r="Y120" i="32"/>
  <c r="X120" i="32"/>
  <c r="W120" i="32"/>
  <c r="V120" i="32"/>
  <c r="S120" i="32"/>
  <c r="R120" i="32"/>
  <c r="Q120" i="32"/>
  <c r="P120" i="32"/>
  <c r="O120" i="32"/>
  <c r="N120" i="32"/>
  <c r="M120" i="32"/>
  <c r="K120" i="32"/>
  <c r="J120" i="32"/>
  <c r="L120" i="32" s="1"/>
  <c r="I120" i="32"/>
  <c r="Y119" i="32"/>
  <c r="X119" i="32"/>
  <c r="W119" i="32"/>
  <c r="V119" i="32"/>
  <c r="S119" i="32"/>
  <c r="R119" i="32"/>
  <c r="Q119" i="32"/>
  <c r="P119" i="32"/>
  <c r="O119" i="32"/>
  <c r="N119" i="32"/>
  <c r="M119" i="32"/>
  <c r="J119" i="32"/>
  <c r="L119" i="32" s="1"/>
  <c r="U119" i="32" s="1"/>
  <c r="I119" i="32"/>
  <c r="K119" i="32" s="1"/>
  <c r="Y118" i="32"/>
  <c r="X118" i="32"/>
  <c r="W118" i="32"/>
  <c r="V118" i="32"/>
  <c r="S118" i="32"/>
  <c r="R118" i="32"/>
  <c r="Q118" i="32"/>
  <c r="P118" i="32"/>
  <c r="O118" i="32"/>
  <c r="N118" i="32"/>
  <c r="M118" i="32"/>
  <c r="K118" i="32"/>
  <c r="J118" i="32"/>
  <c r="L118" i="32" s="1"/>
  <c r="I118" i="32"/>
  <c r="Y117" i="32"/>
  <c r="X117" i="32"/>
  <c r="W117" i="32"/>
  <c r="V117" i="32"/>
  <c r="S117" i="32"/>
  <c r="R117" i="32"/>
  <c r="Q117" i="32"/>
  <c r="P117" i="32"/>
  <c r="O117" i="32"/>
  <c r="N117" i="32"/>
  <c r="M117" i="32"/>
  <c r="L117" i="32"/>
  <c r="K117" i="32"/>
  <c r="J117" i="32"/>
  <c r="I117" i="32"/>
  <c r="Y116" i="32"/>
  <c r="X116" i="32"/>
  <c r="W116" i="32"/>
  <c r="V116" i="32"/>
  <c r="S116" i="32"/>
  <c r="R116" i="32"/>
  <c r="Q116" i="32"/>
  <c r="P116" i="32"/>
  <c r="O116" i="32"/>
  <c r="N116" i="32"/>
  <c r="M116" i="32"/>
  <c r="J116" i="32"/>
  <c r="L116" i="32" s="1"/>
  <c r="I116" i="32"/>
  <c r="K116" i="32" s="1"/>
  <c r="Y115" i="32"/>
  <c r="X115" i="32"/>
  <c r="W115" i="32"/>
  <c r="V115" i="32"/>
  <c r="S115" i="32"/>
  <c r="R115" i="32"/>
  <c r="Q115" i="32"/>
  <c r="P115" i="32"/>
  <c r="O115" i="32"/>
  <c r="N115" i="32"/>
  <c r="M115" i="32"/>
  <c r="L115" i="32"/>
  <c r="K115" i="32"/>
  <c r="T115" i="32" s="1"/>
  <c r="J115" i="32"/>
  <c r="I115" i="32"/>
  <c r="Y114" i="32"/>
  <c r="X114" i="32"/>
  <c r="W114" i="32"/>
  <c r="V114" i="32"/>
  <c r="S114" i="32"/>
  <c r="R114" i="32"/>
  <c r="Q114" i="32"/>
  <c r="P114" i="32"/>
  <c r="O114" i="32"/>
  <c r="N114" i="32"/>
  <c r="M114" i="32"/>
  <c r="L114" i="32"/>
  <c r="J114" i="32"/>
  <c r="I114" i="32"/>
  <c r="K114" i="32" s="1"/>
  <c r="Y113" i="32"/>
  <c r="X113" i="32"/>
  <c r="W113" i="32"/>
  <c r="V113" i="32"/>
  <c r="S113" i="32"/>
  <c r="R113" i="32"/>
  <c r="Q113" i="32"/>
  <c r="P113" i="32"/>
  <c r="O113" i="32"/>
  <c r="N113" i="32"/>
  <c r="M113" i="32"/>
  <c r="J113" i="32"/>
  <c r="L113" i="32" s="1"/>
  <c r="I113" i="32"/>
  <c r="K113" i="32" s="1"/>
  <c r="Y112" i="32"/>
  <c r="X112" i="32"/>
  <c r="W112" i="32"/>
  <c r="V112" i="32"/>
  <c r="T112" i="32" s="1"/>
  <c r="S112" i="32"/>
  <c r="R112" i="32"/>
  <c r="Q112" i="32"/>
  <c r="P112" i="32"/>
  <c r="O112" i="32"/>
  <c r="N112" i="32"/>
  <c r="M112" i="32"/>
  <c r="L112" i="32"/>
  <c r="K112" i="32"/>
  <c r="J112" i="32"/>
  <c r="I112" i="32"/>
  <c r="Y111" i="32"/>
  <c r="X111" i="32"/>
  <c r="U111" i="32" s="1"/>
  <c r="W111" i="32"/>
  <c r="AA111" i="32" s="1"/>
  <c r="V111" i="32"/>
  <c r="S111" i="32"/>
  <c r="R111" i="32"/>
  <c r="Q111" i="32"/>
  <c r="P111" i="32"/>
  <c r="O111" i="32"/>
  <c r="N111" i="32"/>
  <c r="M111" i="32"/>
  <c r="J111" i="32"/>
  <c r="L111" i="32" s="1"/>
  <c r="I111" i="32"/>
  <c r="K111" i="32" s="1"/>
  <c r="Y110" i="32"/>
  <c r="X110" i="32"/>
  <c r="W110" i="32"/>
  <c r="V110" i="32"/>
  <c r="S110" i="32"/>
  <c r="R110" i="32"/>
  <c r="Q110" i="32"/>
  <c r="P110" i="32"/>
  <c r="O110" i="32"/>
  <c r="N110" i="32"/>
  <c r="M110" i="32"/>
  <c r="L110" i="32"/>
  <c r="T110" i="32" s="1"/>
  <c r="K110" i="32"/>
  <c r="J110" i="32"/>
  <c r="I110" i="32"/>
  <c r="Y109" i="32"/>
  <c r="X109" i="32"/>
  <c r="W109" i="32"/>
  <c r="V109" i="32"/>
  <c r="U109" i="32"/>
  <c r="S109" i="32"/>
  <c r="R109" i="32"/>
  <c r="Q109" i="32"/>
  <c r="P109" i="32"/>
  <c r="O109" i="32"/>
  <c r="N109" i="32"/>
  <c r="M109" i="32"/>
  <c r="AA109" i="32" s="1"/>
  <c r="L109" i="32"/>
  <c r="K109" i="32"/>
  <c r="J109" i="32"/>
  <c r="I109" i="32"/>
  <c r="Y108" i="32"/>
  <c r="X108" i="32"/>
  <c r="W108" i="32"/>
  <c r="V108" i="32"/>
  <c r="T108" i="32" s="1"/>
  <c r="S108" i="32"/>
  <c r="R108" i="32"/>
  <c r="Q108" i="32"/>
  <c r="P108" i="32"/>
  <c r="O108" i="32"/>
  <c r="N108" i="32"/>
  <c r="M108" i="32"/>
  <c r="J108" i="32"/>
  <c r="L108" i="32" s="1"/>
  <c r="I108" i="32"/>
  <c r="K108" i="32" s="1"/>
  <c r="Y107" i="32"/>
  <c r="X107" i="32"/>
  <c r="W107" i="32"/>
  <c r="V107" i="32"/>
  <c r="S107" i="32"/>
  <c r="R107" i="32"/>
  <c r="Q107" i="32"/>
  <c r="P107" i="32"/>
  <c r="O107" i="32"/>
  <c r="N107" i="32"/>
  <c r="M107" i="32"/>
  <c r="L107" i="32"/>
  <c r="T107" i="32" s="1"/>
  <c r="J107" i="32"/>
  <c r="I107" i="32"/>
  <c r="K107" i="32" s="1"/>
  <c r="Y106" i="32"/>
  <c r="X106" i="32"/>
  <c r="W106" i="32"/>
  <c r="V106" i="32"/>
  <c r="T106" i="32" s="1"/>
  <c r="S106" i="32"/>
  <c r="R106" i="32"/>
  <c r="Q106" i="32"/>
  <c r="P106" i="32"/>
  <c r="O106" i="32"/>
  <c r="N106" i="32"/>
  <c r="M106" i="32"/>
  <c r="L106" i="32"/>
  <c r="J106" i="32"/>
  <c r="I106" i="32"/>
  <c r="K106" i="32" s="1"/>
  <c r="Y105" i="32"/>
  <c r="X105" i="32"/>
  <c r="W105" i="32"/>
  <c r="AA105" i="32" s="1"/>
  <c r="V105" i="32"/>
  <c r="S105" i="32"/>
  <c r="R105" i="32"/>
  <c r="Q105" i="32"/>
  <c r="P105" i="32"/>
  <c r="O105" i="32"/>
  <c r="N105" i="32"/>
  <c r="M105" i="32"/>
  <c r="K105" i="32"/>
  <c r="T105" i="32" s="1"/>
  <c r="J105" i="32"/>
  <c r="L105" i="32" s="1"/>
  <c r="I105" i="32"/>
  <c r="Y104" i="32"/>
  <c r="X104" i="32"/>
  <c r="W104" i="32"/>
  <c r="V104" i="32"/>
  <c r="U104" i="32"/>
  <c r="S104" i="32"/>
  <c r="R104" i="32"/>
  <c r="Q104" i="32"/>
  <c r="P104" i="32"/>
  <c r="O104" i="32"/>
  <c r="N104" i="32"/>
  <c r="M104" i="32"/>
  <c r="K104" i="32"/>
  <c r="J104" i="32"/>
  <c r="L104" i="32" s="1"/>
  <c r="I104" i="32"/>
  <c r="Y103" i="32"/>
  <c r="X103" i="32"/>
  <c r="W103" i="32"/>
  <c r="V103" i="32"/>
  <c r="S103" i="32"/>
  <c r="R103" i="32"/>
  <c r="Q103" i="32"/>
  <c r="P103" i="32"/>
  <c r="O103" i="32"/>
  <c r="N103" i="32"/>
  <c r="M103" i="32"/>
  <c r="J103" i="32"/>
  <c r="L103" i="32" s="1"/>
  <c r="I103" i="32"/>
  <c r="K103" i="32" s="1"/>
  <c r="Y102" i="32"/>
  <c r="X102" i="32"/>
  <c r="W102" i="32"/>
  <c r="V102" i="32"/>
  <c r="S102" i="32"/>
  <c r="R102" i="32"/>
  <c r="Q102" i="32"/>
  <c r="P102" i="32"/>
  <c r="Z102" i="32" s="1"/>
  <c r="O102" i="32"/>
  <c r="N102" i="32"/>
  <c r="M102" i="32"/>
  <c r="K102" i="32"/>
  <c r="T102" i="32" s="1"/>
  <c r="J102" i="32"/>
  <c r="L102" i="32" s="1"/>
  <c r="I102" i="32"/>
  <c r="Y101" i="32"/>
  <c r="X101" i="32"/>
  <c r="W101" i="32"/>
  <c r="V101" i="32"/>
  <c r="S101" i="32"/>
  <c r="R101" i="32"/>
  <c r="Q101" i="32"/>
  <c r="P101" i="32"/>
  <c r="O101" i="32"/>
  <c r="AA101" i="32" s="1"/>
  <c r="N101" i="32"/>
  <c r="M101" i="32"/>
  <c r="L101" i="32"/>
  <c r="K101" i="32"/>
  <c r="U101" i="32" s="1"/>
  <c r="J101" i="32"/>
  <c r="I101" i="32"/>
  <c r="Y100" i="32"/>
  <c r="X100" i="32"/>
  <c r="W100" i="32"/>
  <c r="V100" i="32"/>
  <c r="S100" i="32"/>
  <c r="R100" i="32"/>
  <c r="Q100" i="32"/>
  <c r="P100" i="32"/>
  <c r="O100" i="32"/>
  <c r="N100" i="32"/>
  <c r="M100" i="32"/>
  <c r="J100" i="32"/>
  <c r="L100" i="32" s="1"/>
  <c r="I100" i="32"/>
  <c r="K100" i="32" s="1"/>
  <c r="AA99" i="32"/>
  <c r="Y99" i="32"/>
  <c r="X99" i="32"/>
  <c r="W99" i="32"/>
  <c r="V99" i="32"/>
  <c r="Z99" i="32" s="1"/>
  <c r="S99" i="32"/>
  <c r="R99" i="32"/>
  <c r="Q99" i="32"/>
  <c r="P99" i="32"/>
  <c r="O99" i="32"/>
  <c r="N99" i="32"/>
  <c r="M99" i="32"/>
  <c r="L99" i="32"/>
  <c r="J99" i="32"/>
  <c r="I99" i="32"/>
  <c r="K99" i="32" s="1"/>
  <c r="Y98" i="32"/>
  <c r="X98" i="32"/>
  <c r="W98" i="32"/>
  <c r="V98" i="32"/>
  <c r="S98" i="32"/>
  <c r="R98" i="32"/>
  <c r="Q98" i="32"/>
  <c r="P98" i="32"/>
  <c r="O98" i="32"/>
  <c r="N98" i="32"/>
  <c r="M98" i="32"/>
  <c r="L98" i="32"/>
  <c r="J98" i="32"/>
  <c r="I98" i="32"/>
  <c r="K98" i="32" s="1"/>
  <c r="Y97" i="32"/>
  <c r="X97" i="32"/>
  <c r="W97" i="32"/>
  <c r="V97" i="32"/>
  <c r="S97" i="32"/>
  <c r="R97" i="32"/>
  <c r="Q97" i="32"/>
  <c r="AA97" i="32" s="1"/>
  <c r="P97" i="32"/>
  <c r="O97" i="32"/>
  <c r="N97" i="32"/>
  <c r="M97" i="32"/>
  <c r="J97" i="32"/>
  <c r="L97" i="32" s="1"/>
  <c r="I97" i="32"/>
  <c r="K97" i="32" s="1"/>
  <c r="Y96" i="32"/>
  <c r="X96" i="32"/>
  <c r="W96" i="32"/>
  <c r="V96" i="32"/>
  <c r="S96" i="32"/>
  <c r="R96" i="32"/>
  <c r="Q96" i="32"/>
  <c r="P96" i="32"/>
  <c r="O96" i="32"/>
  <c r="N96" i="32"/>
  <c r="M96" i="32"/>
  <c r="K96" i="32"/>
  <c r="J96" i="32"/>
  <c r="L96" i="32" s="1"/>
  <c r="I96" i="32"/>
  <c r="Y95" i="32"/>
  <c r="X95" i="32"/>
  <c r="U95" i="32" s="1"/>
  <c r="W95" i="32"/>
  <c r="V95" i="32"/>
  <c r="S95" i="32"/>
  <c r="R95" i="32"/>
  <c r="Q95" i="32"/>
  <c r="P95" i="32"/>
  <c r="O95" i="32"/>
  <c r="N95" i="32"/>
  <c r="M95" i="32"/>
  <c r="J95" i="32"/>
  <c r="L95" i="32" s="1"/>
  <c r="I95" i="32"/>
  <c r="K95" i="32" s="1"/>
  <c r="Y94" i="32"/>
  <c r="X94" i="32"/>
  <c r="W94" i="32"/>
  <c r="V94" i="32"/>
  <c r="S94" i="32"/>
  <c r="R94" i="32"/>
  <c r="Q94" i="32"/>
  <c r="P94" i="32"/>
  <c r="O94" i="32"/>
  <c r="N94" i="32"/>
  <c r="M94" i="32"/>
  <c r="K94" i="32"/>
  <c r="J94" i="32"/>
  <c r="L94" i="32" s="1"/>
  <c r="AA94" i="32" s="1"/>
  <c r="I94" i="32"/>
  <c r="Y93" i="32"/>
  <c r="X93" i="32"/>
  <c r="W93" i="32"/>
  <c r="V93" i="32"/>
  <c r="S93" i="32"/>
  <c r="R93" i="32"/>
  <c r="Q93" i="32"/>
  <c r="P93" i="32"/>
  <c r="O93" i="32"/>
  <c r="N93" i="32"/>
  <c r="M93" i="32"/>
  <c r="L93" i="32"/>
  <c r="K93" i="32"/>
  <c r="AA93" i="32" s="1"/>
  <c r="J93" i="32"/>
  <c r="I93" i="32"/>
  <c r="Y92" i="32"/>
  <c r="X92" i="32"/>
  <c r="W92" i="32"/>
  <c r="V92" i="32"/>
  <c r="S92" i="32"/>
  <c r="R92" i="32"/>
  <c r="Q92" i="32"/>
  <c r="P92" i="32"/>
  <c r="O92" i="32"/>
  <c r="N92" i="32"/>
  <c r="M92" i="32"/>
  <c r="J92" i="32"/>
  <c r="L92" i="32" s="1"/>
  <c r="I92" i="32"/>
  <c r="K92" i="32" s="1"/>
  <c r="AA92" i="32" s="1"/>
  <c r="Y91" i="32"/>
  <c r="X91" i="32"/>
  <c r="W91" i="32"/>
  <c r="V91" i="32"/>
  <c r="S91" i="32"/>
  <c r="R91" i="32"/>
  <c r="Q91" i="32"/>
  <c r="P91" i="32"/>
  <c r="O91" i="32"/>
  <c r="N91" i="32"/>
  <c r="M91" i="32"/>
  <c r="L91" i="32"/>
  <c r="J91" i="32"/>
  <c r="I91" i="32"/>
  <c r="K91" i="32" s="1"/>
  <c r="Y90" i="32"/>
  <c r="X90" i="32"/>
  <c r="W90" i="32"/>
  <c r="V90" i="32"/>
  <c r="S90" i="32"/>
  <c r="R90" i="32"/>
  <c r="Q90" i="32"/>
  <c r="P90" i="32"/>
  <c r="O90" i="32"/>
  <c r="N90" i="32"/>
  <c r="M90" i="32"/>
  <c r="L90" i="32"/>
  <c r="T90" i="32" s="1"/>
  <c r="J90" i="32"/>
  <c r="I90" i="32"/>
  <c r="K90" i="32" s="1"/>
  <c r="Y89" i="32"/>
  <c r="X89" i="32"/>
  <c r="W89" i="32"/>
  <c r="V89" i="32"/>
  <c r="S89" i="32"/>
  <c r="R89" i="32"/>
  <c r="Q89" i="32"/>
  <c r="Z89" i="32" s="1"/>
  <c r="P89" i="32"/>
  <c r="O89" i="32"/>
  <c r="N89" i="32"/>
  <c r="M89" i="32"/>
  <c r="K89" i="32"/>
  <c r="J89" i="32"/>
  <c r="L89" i="32" s="1"/>
  <c r="I89" i="32"/>
  <c r="Y88" i="32"/>
  <c r="X88" i="32"/>
  <c r="W88" i="32"/>
  <c r="V88" i="32"/>
  <c r="S88" i="32"/>
  <c r="R88" i="32"/>
  <c r="Q88" i="32"/>
  <c r="P88" i="32"/>
  <c r="O88" i="32"/>
  <c r="N88" i="32"/>
  <c r="M88" i="32"/>
  <c r="K88" i="32"/>
  <c r="J88" i="32"/>
  <c r="L88" i="32" s="1"/>
  <c r="I88" i="32"/>
  <c r="Y87" i="32"/>
  <c r="X87" i="32"/>
  <c r="W87" i="32"/>
  <c r="V87" i="32"/>
  <c r="S87" i="32"/>
  <c r="R87" i="32"/>
  <c r="Q87" i="32"/>
  <c r="P87" i="32"/>
  <c r="O87" i="32"/>
  <c r="N87" i="32"/>
  <c r="M87" i="32"/>
  <c r="J87" i="32"/>
  <c r="L87" i="32" s="1"/>
  <c r="U87" i="32" s="1"/>
  <c r="I87" i="32"/>
  <c r="K87" i="32" s="1"/>
  <c r="Y86" i="32"/>
  <c r="X86" i="32"/>
  <c r="W86" i="32"/>
  <c r="V86" i="32"/>
  <c r="S86" i="32"/>
  <c r="R86" i="32"/>
  <c r="Q86" i="32"/>
  <c r="P86" i="32"/>
  <c r="O86" i="32"/>
  <c r="N86" i="32"/>
  <c r="M86" i="32"/>
  <c r="K86" i="32"/>
  <c r="J86" i="32"/>
  <c r="L86" i="32" s="1"/>
  <c r="I86" i="32"/>
  <c r="Y85" i="32"/>
  <c r="X85" i="32"/>
  <c r="W85" i="32"/>
  <c r="V85" i="32"/>
  <c r="S85" i="32"/>
  <c r="R85" i="32"/>
  <c r="Q85" i="32"/>
  <c r="P85" i="32"/>
  <c r="O85" i="32"/>
  <c r="N85" i="32"/>
  <c r="M85" i="32"/>
  <c r="L85" i="32"/>
  <c r="K85" i="32"/>
  <c r="J85" i="32"/>
  <c r="I85" i="32"/>
  <c r="Y84" i="32"/>
  <c r="X84" i="32"/>
  <c r="W84" i="32"/>
  <c r="V84" i="32"/>
  <c r="S84" i="32"/>
  <c r="R84" i="32"/>
  <c r="Q84" i="32"/>
  <c r="P84" i="32"/>
  <c r="O84" i="32"/>
  <c r="N84" i="32"/>
  <c r="M84" i="32"/>
  <c r="J84" i="32"/>
  <c r="L84" i="32" s="1"/>
  <c r="I84" i="32"/>
  <c r="K84" i="32" s="1"/>
  <c r="Y83" i="32"/>
  <c r="X83" i="32"/>
  <c r="W83" i="32"/>
  <c r="V83" i="32"/>
  <c r="S83" i="32"/>
  <c r="R83" i="32"/>
  <c r="Q83" i="32"/>
  <c r="P83" i="32"/>
  <c r="O83" i="32"/>
  <c r="N83" i="32"/>
  <c r="M83" i="32"/>
  <c r="L83" i="32"/>
  <c r="K83" i="32"/>
  <c r="AA83" i="32" s="1"/>
  <c r="J83" i="32"/>
  <c r="I83" i="32"/>
  <c r="Y82" i="32"/>
  <c r="X82" i="32"/>
  <c r="W82" i="32"/>
  <c r="V82" i="32"/>
  <c r="S82" i="32"/>
  <c r="R82" i="32"/>
  <c r="Q82" i="32"/>
  <c r="P82" i="32"/>
  <c r="O82" i="32"/>
  <c r="N82" i="32"/>
  <c r="M82" i="32"/>
  <c r="L82" i="32"/>
  <c r="J82" i="32"/>
  <c r="I82" i="32"/>
  <c r="K82" i="32" s="1"/>
  <c r="Y81" i="32"/>
  <c r="X81" i="32"/>
  <c r="W81" i="32"/>
  <c r="V81" i="32"/>
  <c r="S81" i="32"/>
  <c r="R81" i="32"/>
  <c r="Q81" i="32"/>
  <c r="P81" i="32"/>
  <c r="O81" i="32"/>
  <c r="N81" i="32"/>
  <c r="M81" i="32"/>
  <c r="J81" i="32"/>
  <c r="L81" i="32" s="1"/>
  <c r="I81" i="32"/>
  <c r="K81" i="32" s="1"/>
  <c r="Y80" i="32"/>
  <c r="X80" i="32"/>
  <c r="W80" i="32"/>
  <c r="V80" i="32"/>
  <c r="T80" i="32" s="1"/>
  <c r="S80" i="32"/>
  <c r="R80" i="32"/>
  <c r="Q80" i="32"/>
  <c r="P80" i="32"/>
  <c r="O80" i="32"/>
  <c r="N80" i="32"/>
  <c r="M80" i="32"/>
  <c r="L80" i="32"/>
  <c r="K80" i="32"/>
  <c r="J80" i="32"/>
  <c r="I80" i="32"/>
  <c r="Y79" i="32"/>
  <c r="X79" i="32"/>
  <c r="U79" i="32" s="1"/>
  <c r="W79" i="32"/>
  <c r="AA79" i="32" s="1"/>
  <c r="V79" i="32"/>
  <c r="S79" i="32"/>
  <c r="R79" i="32"/>
  <c r="Q79" i="32"/>
  <c r="P79" i="32"/>
  <c r="O79" i="32"/>
  <c r="N79" i="32"/>
  <c r="M79" i="32"/>
  <c r="J79" i="32"/>
  <c r="L79" i="32" s="1"/>
  <c r="I79" i="32"/>
  <c r="K79" i="32" s="1"/>
  <c r="Y78" i="32"/>
  <c r="X78" i="32"/>
  <c r="W78" i="32"/>
  <c r="V78" i="32"/>
  <c r="S78" i="32"/>
  <c r="R78" i="32"/>
  <c r="Q78" i="32"/>
  <c r="P78" i="32"/>
  <c r="O78" i="32"/>
  <c r="N78" i="32"/>
  <c r="M78" i="32"/>
  <c r="L78" i="32"/>
  <c r="T78" i="32" s="1"/>
  <c r="K78" i="32"/>
  <c r="J78" i="32"/>
  <c r="I78" i="32"/>
  <c r="Y77" i="32"/>
  <c r="X77" i="32"/>
  <c r="W77" i="32"/>
  <c r="V77" i="32"/>
  <c r="S77" i="32"/>
  <c r="R77" i="32"/>
  <c r="Q77" i="32"/>
  <c r="P77" i="32"/>
  <c r="O77" i="32"/>
  <c r="N77" i="32"/>
  <c r="M77" i="32"/>
  <c r="I77" i="32"/>
  <c r="K77" i="32" s="1"/>
  <c r="AA77" i="32" s="1"/>
  <c r="Y76" i="32"/>
  <c r="X76" i="32"/>
  <c r="W76" i="32"/>
  <c r="V76" i="32"/>
  <c r="Z76" i="32" s="1"/>
  <c r="S76" i="32"/>
  <c r="R76" i="32"/>
  <c r="Q76" i="32"/>
  <c r="P76" i="32"/>
  <c r="O76" i="32"/>
  <c r="N76" i="32"/>
  <c r="M76" i="32"/>
  <c r="L76" i="32"/>
  <c r="J76" i="32"/>
  <c r="I76" i="32"/>
  <c r="K76" i="32" s="1"/>
  <c r="AA75" i="32"/>
  <c r="Y75" i="32"/>
  <c r="X75" i="32"/>
  <c r="W75" i="32"/>
  <c r="V75" i="32"/>
  <c r="S75" i="32"/>
  <c r="R75" i="32"/>
  <c r="Q75" i="32"/>
  <c r="P75" i="32"/>
  <c r="O75" i="32"/>
  <c r="N75" i="32"/>
  <c r="M75" i="32"/>
  <c r="K75" i="32"/>
  <c r="J75" i="32"/>
  <c r="L75" i="32" s="1"/>
  <c r="I75" i="32"/>
  <c r="Y74" i="32"/>
  <c r="X74" i="32"/>
  <c r="W74" i="32"/>
  <c r="V74" i="32"/>
  <c r="S74" i="32"/>
  <c r="R74" i="32"/>
  <c r="Q74" i="32"/>
  <c r="P74" i="32"/>
  <c r="O74" i="32"/>
  <c r="N74" i="32"/>
  <c r="M74" i="32"/>
  <c r="L74" i="32"/>
  <c r="Z74" i="32" s="1"/>
  <c r="K74" i="32"/>
  <c r="J74" i="32"/>
  <c r="I74" i="32"/>
  <c r="Y73" i="32"/>
  <c r="X73" i="32"/>
  <c r="W73" i="32"/>
  <c r="V73" i="32"/>
  <c r="S73" i="32"/>
  <c r="R73" i="32"/>
  <c r="Q73" i="32"/>
  <c r="P73" i="32"/>
  <c r="Z73" i="32" s="1"/>
  <c r="O73" i="32"/>
  <c r="N73" i="32"/>
  <c r="M73" i="32"/>
  <c r="J73" i="32"/>
  <c r="L73" i="32" s="1"/>
  <c r="I73" i="32"/>
  <c r="K73" i="32" s="1"/>
  <c r="Y72" i="32"/>
  <c r="X72" i="32"/>
  <c r="W72" i="32"/>
  <c r="V72" i="32"/>
  <c r="S72" i="32"/>
  <c r="R72" i="32"/>
  <c r="Q72" i="32"/>
  <c r="P72" i="32"/>
  <c r="O72" i="32"/>
  <c r="N72" i="32"/>
  <c r="M72" i="32"/>
  <c r="K72" i="32"/>
  <c r="J72" i="32"/>
  <c r="L72" i="32" s="1"/>
  <c r="Z72" i="32" s="1"/>
  <c r="I72" i="32"/>
  <c r="Y71" i="32"/>
  <c r="X71" i="32"/>
  <c r="W71" i="32"/>
  <c r="V71" i="32"/>
  <c r="S71" i="32"/>
  <c r="R71" i="32"/>
  <c r="Q71" i="32"/>
  <c r="P71" i="32"/>
  <c r="O71" i="32"/>
  <c r="N71" i="32"/>
  <c r="M71" i="32"/>
  <c r="L71" i="32"/>
  <c r="K71" i="32"/>
  <c r="J71" i="32"/>
  <c r="I71" i="32"/>
  <c r="Y70" i="32"/>
  <c r="X70" i="32"/>
  <c r="W70" i="32"/>
  <c r="V70" i="32"/>
  <c r="S70" i="32"/>
  <c r="R70" i="32"/>
  <c r="Q70" i="32"/>
  <c r="AA70" i="32" s="1"/>
  <c r="P70" i="32"/>
  <c r="Z70" i="32" s="1"/>
  <c r="O70" i="32"/>
  <c r="N70" i="32"/>
  <c r="M70" i="32"/>
  <c r="K70" i="32"/>
  <c r="J70" i="32"/>
  <c r="L70" i="32" s="1"/>
  <c r="I70" i="32"/>
  <c r="Y69" i="32"/>
  <c r="X69" i="32"/>
  <c r="W69" i="32"/>
  <c r="V69" i="32"/>
  <c r="S69" i="32"/>
  <c r="R69" i="32"/>
  <c r="Q69" i="32"/>
  <c r="P69" i="32"/>
  <c r="O69" i="32"/>
  <c r="N69" i="32"/>
  <c r="M69" i="32"/>
  <c r="L69" i="32"/>
  <c r="J69" i="32"/>
  <c r="I69" i="32"/>
  <c r="K69" i="32" s="1"/>
  <c r="U69" i="32" s="1"/>
  <c r="Y68" i="32"/>
  <c r="X68" i="32"/>
  <c r="W68" i="32"/>
  <c r="V68" i="32"/>
  <c r="Z68" i="32" s="1"/>
  <c r="S68" i="32"/>
  <c r="R68" i="32"/>
  <c r="Q68" i="32"/>
  <c r="P68" i="32"/>
  <c r="O68" i="32"/>
  <c r="N68" i="32"/>
  <c r="M68" i="32"/>
  <c r="L68" i="32"/>
  <c r="J68" i="32"/>
  <c r="I68" i="32"/>
  <c r="K68" i="32" s="1"/>
  <c r="Y67" i="32"/>
  <c r="X67" i="32"/>
  <c r="W67" i="32"/>
  <c r="V67" i="32"/>
  <c r="S67" i="32"/>
  <c r="R67" i="32"/>
  <c r="Q67" i="32"/>
  <c r="P67" i="32"/>
  <c r="O67" i="32"/>
  <c r="N67" i="32"/>
  <c r="M67" i="32"/>
  <c r="K67" i="32"/>
  <c r="J67" i="32"/>
  <c r="L67" i="32" s="1"/>
  <c r="I67" i="32"/>
  <c r="Y66" i="32"/>
  <c r="X66" i="32"/>
  <c r="W66" i="32"/>
  <c r="V66" i="32"/>
  <c r="S66" i="32"/>
  <c r="R66" i="32"/>
  <c r="Q66" i="32"/>
  <c r="P66" i="32"/>
  <c r="O66" i="32"/>
  <c r="N66" i="32"/>
  <c r="M66" i="32"/>
  <c r="K66" i="32"/>
  <c r="J66" i="32"/>
  <c r="L66" i="32" s="1"/>
  <c r="U66" i="32" s="1"/>
  <c r="I66" i="32"/>
  <c r="Y65" i="32"/>
  <c r="X65" i="32"/>
  <c r="W65" i="32"/>
  <c r="V65" i="32"/>
  <c r="S65" i="32"/>
  <c r="R65" i="32"/>
  <c r="Q65" i="32"/>
  <c r="P65" i="32"/>
  <c r="O65" i="32"/>
  <c r="N65" i="32"/>
  <c r="M65" i="32"/>
  <c r="J65" i="32"/>
  <c r="L65" i="32" s="1"/>
  <c r="I65" i="32"/>
  <c r="K65" i="32" s="1"/>
  <c r="Z65" i="32" s="1"/>
  <c r="Y64" i="32"/>
  <c r="X64" i="32"/>
  <c r="W64" i="32"/>
  <c r="V64" i="32"/>
  <c r="S64" i="32"/>
  <c r="R64" i="32"/>
  <c r="Q64" i="32"/>
  <c r="P64" i="32"/>
  <c r="O64" i="32"/>
  <c r="N64" i="32"/>
  <c r="M64" i="32"/>
  <c r="L64" i="32"/>
  <c r="J64" i="32"/>
  <c r="I64" i="32"/>
  <c r="K64" i="32" s="1"/>
  <c r="Y63" i="32"/>
  <c r="X63" i="32"/>
  <c r="W63" i="32"/>
  <c r="AA63" i="32" s="1"/>
  <c r="V63" i="32"/>
  <c r="T63" i="32" s="1"/>
  <c r="S63" i="32"/>
  <c r="R63" i="32"/>
  <c r="Q63" i="32"/>
  <c r="P63" i="32"/>
  <c r="O63" i="32"/>
  <c r="N63" i="32"/>
  <c r="M63" i="32"/>
  <c r="L63" i="32"/>
  <c r="K63" i="32"/>
  <c r="J63" i="32"/>
  <c r="I63" i="32"/>
  <c r="Y62" i="32"/>
  <c r="X62" i="32"/>
  <c r="W62" i="32"/>
  <c r="V62" i="32"/>
  <c r="Z62" i="32" s="1"/>
  <c r="S62" i="32"/>
  <c r="R62" i="32"/>
  <c r="Q62" i="32"/>
  <c r="P62" i="32"/>
  <c r="O62" i="32"/>
  <c r="N62" i="32"/>
  <c r="M62" i="32"/>
  <c r="J62" i="32"/>
  <c r="L62" i="32" s="1"/>
  <c r="I62" i="32"/>
  <c r="K62" i="32" s="1"/>
  <c r="AA61" i="32"/>
  <c r="X61" i="32"/>
  <c r="W61" i="32"/>
  <c r="V61" i="32"/>
  <c r="S61" i="32"/>
  <c r="R61" i="32"/>
  <c r="Q61" i="32"/>
  <c r="N61" i="32"/>
  <c r="M61" i="32"/>
  <c r="Z61" i="32" s="1"/>
  <c r="I61" i="32"/>
  <c r="K61" i="32" s="1"/>
  <c r="X60" i="32"/>
  <c r="W60" i="32"/>
  <c r="V60" i="32"/>
  <c r="S60" i="32"/>
  <c r="R60" i="32"/>
  <c r="Q60" i="32"/>
  <c r="N60" i="32"/>
  <c r="M60" i="32"/>
  <c r="L60" i="32"/>
  <c r="K60" i="32"/>
  <c r="J60" i="32"/>
  <c r="I60" i="32"/>
  <c r="AA59" i="32"/>
  <c r="X59" i="32"/>
  <c r="W59" i="32"/>
  <c r="V59" i="32"/>
  <c r="U59" i="32"/>
  <c r="S59" i="32"/>
  <c r="R59" i="32"/>
  <c r="Q59" i="32"/>
  <c r="N59" i="32"/>
  <c r="M59" i="32"/>
  <c r="L59" i="32"/>
  <c r="K59" i="32"/>
  <c r="J59" i="32"/>
  <c r="I59" i="32"/>
  <c r="X58" i="32"/>
  <c r="W58" i="32"/>
  <c r="V58" i="32"/>
  <c r="S58" i="32"/>
  <c r="R58" i="32"/>
  <c r="Q58" i="32"/>
  <c r="AA58" i="32" s="1"/>
  <c r="N58" i="32"/>
  <c r="Z58" i="32" s="1"/>
  <c r="M58" i="32"/>
  <c r="L58" i="32"/>
  <c r="J58" i="32"/>
  <c r="I58" i="32"/>
  <c r="K58" i="32" s="1"/>
  <c r="U58" i="32" s="1"/>
  <c r="X57" i="32"/>
  <c r="W57" i="32"/>
  <c r="V57" i="32"/>
  <c r="S57" i="32"/>
  <c r="R57" i="32"/>
  <c r="Q57" i="32"/>
  <c r="N57" i="32"/>
  <c r="M57" i="32"/>
  <c r="Z57" i="32" s="1"/>
  <c r="L57" i="32"/>
  <c r="J57" i="32"/>
  <c r="I57" i="32"/>
  <c r="K57" i="32" s="1"/>
  <c r="X56" i="32"/>
  <c r="W56" i="32"/>
  <c r="V56" i="32"/>
  <c r="S56" i="32"/>
  <c r="R56" i="32"/>
  <c r="Q56" i="32"/>
  <c r="N56" i="32"/>
  <c r="M56" i="32"/>
  <c r="L56" i="32"/>
  <c r="AA56" i="32" s="1"/>
  <c r="J56" i="32"/>
  <c r="I56" i="32"/>
  <c r="K56" i="32" s="1"/>
  <c r="Z55" i="32"/>
  <c r="X55" i="32"/>
  <c r="W55" i="32"/>
  <c r="V55" i="32"/>
  <c r="T55" i="32" s="1"/>
  <c r="S55" i="32"/>
  <c r="R55" i="32"/>
  <c r="Q55" i="32"/>
  <c r="N55" i="32"/>
  <c r="AA55" i="32" s="1"/>
  <c r="M55" i="32"/>
  <c r="K55" i="32"/>
  <c r="I55" i="32"/>
  <c r="X54" i="32"/>
  <c r="W54" i="32"/>
  <c r="V54" i="32"/>
  <c r="S54" i="32"/>
  <c r="R54" i="32"/>
  <c r="Q54" i="32"/>
  <c r="N54" i="32"/>
  <c r="M54" i="32"/>
  <c r="L54" i="32"/>
  <c r="J54" i="32"/>
  <c r="I54" i="32"/>
  <c r="K54" i="32" s="1"/>
  <c r="U54" i="32" s="1"/>
  <c r="X53" i="32"/>
  <c r="W53" i="32"/>
  <c r="V53" i="32"/>
  <c r="U53" i="32"/>
  <c r="S53" i="32"/>
  <c r="R53" i="32"/>
  <c r="Q53" i="32"/>
  <c r="Z53" i="32" s="1"/>
  <c r="N53" i="32"/>
  <c r="M53" i="32"/>
  <c r="I53" i="32"/>
  <c r="K53" i="32" s="1"/>
  <c r="T53" i="32" s="1"/>
  <c r="X52" i="32"/>
  <c r="W52" i="32"/>
  <c r="V52" i="32"/>
  <c r="S52" i="32"/>
  <c r="R52" i="32"/>
  <c r="Q52" i="32"/>
  <c r="N52" i="32"/>
  <c r="M52" i="32"/>
  <c r="AA52" i="32" s="1"/>
  <c r="J52" i="32"/>
  <c r="L52" i="32" s="1"/>
  <c r="I52" i="32"/>
  <c r="K52" i="32" s="1"/>
  <c r="X51" i="32"/>
  <c r="W51" i="32"/>
  <c r="V51" i="32"/>
  <c r="S51" i="32"/>
  <c r="R51" i="32"/>
  <c r="Q51" i="32"/>
  <c r="N51" i="32"/>
  <c r="M51" i="32"/>
  <c r="J51" i="32"/>
  <c r="L51" i="32" s="1"/>
  <c r="AA51" i="32" s="1"/>
  <c r="I51" i="32"/>
  <c r="K51" i="32" s="1"/>
  <c r="X50" i="32"/>
  <c r="W50" i="32"/>
  <c r="AA50" i="32" s="1"/>
  <c r="V50" i="32"/>
  <c r="S50" i="32"/>
  <c r="R50" i="32"/>
  <c r="Q50" i="32"/>
  <c r="N50" i="32"/>
  <c r="M50" i="32"/>
  <c r="J50" i="32"/>
  <c r="L50" i="32" s="1"/>
  <c r="I50" i="32"/>
  <c r="K50" i="32" s="1"/>
  <c r="X49" i="32"/>
  <c r="W49" i="32"/>
  <c r="AA49" i="32" s="1"/>
  <c r="V49" i="32"/>
  <c r="Z49" i="32" s="1"/>
  <c r="S49" i="32"/>
  <c r="R49" i="32"/>
  <c r="Q49" i="32"/>
  <c r="N49" i="32"/>
  <c r="M49" i="32"/>
  <c r="J49" i="32"/>
  <c r="L49" i="32" s="1"/>
  <c r="I49" i="32"/>
  <c r="K49" i="32" s="1"/>
  <c r="X48" i="32"/>
  <c r="W48" i="32"/>
  <c r="V48" i="32"/>
  <c r="S48" i="32"/>
  <c r="R48" i="32"/>
  <c r="Q48" i="32"/>
  <c r="N48" i="32"/>
  <c r="M48" i="32"/>
  <c r="AA48" i="32" s="1"/>
  <c r="I48" i="32"/>
  <c r="K48" i="32" s="1"/>
  <c r="X47" i="32"/>
  <c r="U47" i="32" s="1"/>
  <c r="W47" i="32"/>
  <c r="V47" i="32"/>
  <c r="S47" i="32"/>
  <c r="R47" i="32"/>
  <c r="Q47" i="32"/>
  <c r="N47" i="32"/>
  <c r="M47" i="32"/>
  <c r="K47" i="32"/>
  <c r="J47" i="32"/>
  <c r="L47" i="32" s="1"/>
  <c r="I47" i="32"/>
  <c r="X46" i="32"/>
  <c r="U46" i="32" s="1"/>
  <c r="W46" i="32"/>
  <c r="V46" i="32"/>
  <c r="S46" i="32"/>
  <c r="R46" i="32"/>
  <c r="Q46" i="32"/>
  <c r="N46" i="32"/>
  <c r="M46" i="32"/>
  <c r="T46" i="32" s="1"/>
  <c r="J46" i="32"/>
  <c r="L46" i="32" s="1"/>
  <c r="I46" i="32"/>
  <c r="K46" i="32" s="1"/>
  <c r="X45" i="32"/>
  <c r="W45" i="32"/>
  <c r="V45" i="32"/>
  <c r="S45" i="32"/>
  <c r="R45" i="32"/>
  <c r="Q45" i="32"/>
  <c r="N45" i="32"/>
  <c r="M45" i="32"/>
  <c r="I45" i="32"/>
  <c r="K45" i="32" s="1"/>
  <c r="Z45" i="32" s="1"/>
  <c r="X44" i="32"/>
  <c r="W44" i="32"/>
  <c r="V44" i="32"/>
  <c r="S44" i="32"/>
  <c r="R44" i="32"/>
  <c r="Q44" i="32"/>
  <c r="N44" i="32"/>
  <c r="M44" i="32"/>
  <c r="L44" i="32"/>
  <c r="J44" i="32"/>
  <c r="I44" i="32"/>
  <c r="K44" i="32" s="1"/>
  <c r="Z44" i="32" s="1"/>
  <c r="X43" i="32"/>
  <c r="W43" i="32"/>
  <c r="AA43" i="32" s="1"/>
  <c r="V43" i="32"/>
  <c r="S43" i="32"/>
  <c r="R43" i="32"/>
  <c r="Q43" i="32"/>
  <c r="N43" i="32"/>
  <c r="M43" i="32"/>
  <c r="L43" i="32"/>
  <c r="J43" i="32"/>
  <c r="I43" i="32"/>
  <c r="K43" i="32" s="1"/>
  <c r="X42" i="32"/>
  <c r="W42" i="32"/>
  <c r="V42" i="32"/>
  <c r="S42" i="32"/>
  <c r="R42" i="32"/>
  <c r="Q42" i="32"/>
  <c r="N42" i="32"/>
  <c r="M42" i="32"/>
  <c r="I42" i="32"/>
  <c r="K42" i="32" s="1"/>
  <c r="U42" i="32" s="1"/>
  <c r="X41" i="32"/>
  <c r="W41" i="32"/>
  <c r="V41" i="32"/>
  <c r="U41" i="32"/>
  <c r="S41" i="32"/>
  <c r="R41" i="32"/>
  <c r="Q41" i="32"/>
  <c r="N41" i="32"/>
  <c r="M41" i="32"/>
  <c r="L41" i="32"/>
  <c r="K41" i="32"/>
  <c r="J41" i="32"/>
  <c r="I41" i="32"/>
  <c r="X40" i="32"/>
  <c r="W40" i="32"/>
  <c r="V40" i="32"/>
  <c r="T40" i="32"/>
  <c r="S40" i="32"/>
  <c r="R40" i="32"/>
  <c r="Q40" i="32"/>
  <c r="N40" i="32"/>
  <c r="M40" i="32"/>
  <c r="K40" i="32"/>
  <c r="U40" i="32" s="1"/>
  <c r="J40" i="32"/>
  <c r="L40" i="32" s="1"/>
  <c r="I40" i="32"/>
  <c r="X39" i="32"/>
  <c r="W39" i="32"/>
  <c r="V39" i="32"/>
  <c r="S39" i="32"/>
  <c r="R39" i="32"/>
  <c r="Q39" i="32"/>
  <c r="N39" i="32"/>
  <c r="Z39" i="32" s="1"/>
  <c r="M39" i="32"/>
  <c r="I39" i="32"/>
  <c r="K39" i="32" s="1"/>
  <c r="X38" i="32"/>
  <c r="W38" i="32"/>
  <c r="V38" i="32"/>
  <c r="S38" i="32"/>
  <c r="R38" i="32"/>
  <c r="Q38" i="32"/>
  <c r="N38" i="32"/>
  <c r="M38" i="32"/>
  <c r="Z38" i="32" s="1"/>
  <c r="L38" i="32"/>
  <c r="J38" i="32"/>
  <c r="I38" i="32"/>
  <c r="K38" i="32" s="1"/>
  <c r="AA38" i="32" s="1"/>
  <c r="AA37" i="32"/>
  <c r="X37" i="32"/>
  <c r="W37" i="32"/>
  <c r="V37" i="32"/>
  <c r="S37" i="32"/>
  <c r="R37" i="32"/>
  <c r="Q37" i="32"/>
  <c r="N37" i="32"/>
  <c r="M37" i="32"/>
  <c r="L37" i="32"/>
  <c r="J37" i="32"/>
  <c r="I37" i="32"/>
  <c r="K37" i="32" s="1"/>
  <c r="U37" i="32" s="1"/>
  <c r="X36" i="32"/>
  <c r="W36" i="32"/>
  <c r="AA36" i="32" s="1"/>
  <c r="V36" i="32"/>
  <c r="S36" i="32"/>
  <c r="R36" i="32"/>
  <c r="Q36" i="32"/>
  <c r="N36" i="32"/>
  <c r="M36" i="32"/>
  <c r="L36" i="32"/>
  <c r="J36" i="32"/>
  <c r="I36" i="32"/>
  <c r="K36" i="32" s="1"/>
  <c r="X35" i="32"/>
  <c r="W35" i="32"/>
  <c r="AA35" i="32" s="1"/>
  <c r="V35" i="32"/>
  <c r="S35" i="32"/>
  <c r="R35" i="32"/>
  <c r="Q35" i="32"/>
  <c r="N35" i="32"/>
  <c r="M35" i="32"/>
  <c r="L35" i="32"/>
  <c r="Z35" i="32" s="1"/>
  <c r="J35" i="32"/>
  <c r="I35" i="32"/>
  <c r="K35" i="32" s="1"/>
  <c r="X34" i="32"/>
  <c r="W34" i="32"/>
  <c r="V34" i="32"/>
  <c r="S34" i="32"/>
  <c r="R34" i="32"/>
  <c r="Q34" i="32"/>
  <c r="N34" i="32"/>
  <c r="M34" i="32"/>
  <c r="AA34" i="32" s="1"/>
  <c r="L34" i="32"/>
  <c r="J34" i="32"/>
  <c r="I34" i="32"/>
  <c r="K34" i="32" s="1"/>
  <c r="X33" i="32"/>
  <c r="W33" i="32"/>
  <c r="V33" i="32"/>
  <c r="S33" i="32"/>
  <c r="R33" i="32"/>
  <c r="Q33" i="32"/>
  <c r="N33" i="32"/>
  <c r="M33" i="32"/>
  <c r="L33" i="32"/>
  <c r="J33" i="32"/>
  <c r="I33" i="32"/>
  <c r="K33" i="32" s="1"/>
  <c r="U33" i="32" s="1"/>
  <c r="X32" i="32"/>
  <c r="W32" i="32"/>
  <c r="AA32" i="32" s="1"/>
  <c r="V32" i="32"/>
  <c r="Z32" i="32" s="1"/>
  <c r="S32" i="32"/>
  <c r="R32" i="32"/>
  <c r="Q32" i="32"/>
  <c r="N32" i="32"/>
  <c r="M32" i="32"/>
  <c r="L32" i="32"/>
  <c r="J32" i="32"/>
  <c r="I32" i="32"/>
  <c r="K32" i="32" s="1"/>
  <c r="X31" i="32"/>
  <c r="W31" i="32"/>
  <c r="AA31" i="32" s="1"/>
  <c r="V31" i="32"/>
  <c r="S31" i="32"/>
  <c r="R31" i="32"/>
  <c r="Q31" i="32"/>
  <c r="N31" i="32"/>
  <c r="M31" i="32"/>
  <c r="K31" i="32"/>
  <c r="U31" i="32" s="1"/>
  <c r="I31" i="32"/>
  <c r="X30" i="32"/>
  <c r="W30" i="32"/>
  <c r="V30" i="32"/>
  <c r="S30" i="32"/>
  <c r="R30" i="32"/>
  <c r="Q30" i="32"/>
  <c r="N30" i="32"/>
  <c r="M30" i="32"/>
  <c r="J30" i="32"/>
  <c r="L30" i="32" s="1"/>
  <c r="I30" i="32"/>
  <c r="K30" i="32" s="1"/>
  <c r="T30" i="32" s="1"/>
  <c r="X29" i="32"/>
  <c r="W29" i="32"/>
  <c r="V29" i="32"/>
  <c r="S29" i="32"/>
  <c r="R29" i="32"/>
  <c r="Q29" i="32"/>
  <c r="N29" i="32"/>
  <c r="M29" i="32"/>
  <c r="K29" i="32"/>
  <c r="Z29" i="32" s="1"/>
  <c r="J29" i="32"/>
  <c r="L29" i="32" s="1"/>
  <c r="I29" i="32"/>
  <c r="X28" i="32"/>
  <c r="W28" i="32"/>
  <c r="V28" i="32"/>
  <c r="S28" i="32"/>
  <c r="R28" i="32"/>
  <c r="Q28" i="32"/>
  <c r="N28" i="32"/>
  <c r="M28" i="32"/>
  <c r="K28" i="32"/>
  <c r="AA28" i="32" s="1"/>
  <c r="J28" i="32"/>
  <c r="L28" i="32" s="1"/>
  <c r="I28" i="32"/>
  <c r="X27" i="32"/>
  <c r="W27" i="32"/>
  <c r="V27" i="32"/>
  <c r="S27" i="32"/>
  <c r="R27" i="32"/>
  <c r="Q27" i="32"/>
  <c r="Z27" i="32" s="1"/>
  <c r="N27" i="32"/>
  <c r="M27" i="32"/>
  <c r="J27" i="32"/>
  <c r="L27" i="32" s="1"/>
  <c r="I27" i="32"/>
  <c r="K27" i="32" s="1"/>
  <c r="T27" i="32" s="1"/>
  <c r="X26" i="32"/>
  <c r="W26" i="32"/>
  <c r="V26" i="32"/>
  <c r="S26" i="32"/>
  <c r="R26" i="32"/>
  <c r="Q26" i="32"/>
  <c r="N26" i="32"/>
  <c r="M26" i="32"/>
  <c r="J26" i="32"/>
  <c r="L26" i="32" s="1"/>
  <c r="I26" i="32"/>
  <c r="K26" i="32" s="1"/>
  <c r="Z26" i="32" s="1"/>
  <c r="X25" i="32"/>
  <c r="W25" i="32"/>
  <c r="AA25" i="32" s="1"/>
  <c r="V25" i="32"/>
  <c r="S25" i="32"/>
  <c r="R25" i="32"/>
  <c r="Q25" i="32"/>
  <c r="N25" i="32"/>
  <c r="M25" i="32"/>
  <c r="J25" i="32"/>
  <c r="L25" i="32" s="1"/>
  <c r="I25" i="32"/>
  <c r="K25" i="32" s="1"/>
  <c r="AA24" i="32"/>
  <c r="X24" i="32"/>
  <c r="W24" i="32"/>
  <c r="V24" i="32"/>
  <c r="S24" i="32"/>
  <c r="R24" i="32"/>
  <c r="Q24" i="32"/>
  <c r="N24" i="32"/>
  <c r="M24" i="32"/>
  <c r="Z24" i="32" s="1"/>
  <c r="K24" i="32"/>
  <c r="J24" i="32"/>
  <c r="L24" i="32" s="1"/>
  <c r="I24" i="32"/>
  <c r="X23" i="32"/>
  <c r="W23" i="32"/>
  <c r="V23" i="32"/>
  <c r="S23" i="32"/>
  <c r="R23" i="32"/>
  <c r="Q23" i="32"/>
  <c r="N23" i="32"/>
  <c r="M23" i="32"/>
  <c r="K23" i="32"/>
  <c r="J23" i="32"/>
  <c r="L23" i="32" s="1"/>
  <c r="I23" i="32"/>
  <c r="X22" i="32"/>
  <c r="W22" i="32"/>
  <c r="V22" i="32"/>
  <c r="S22" i="32"/>
  <c r="R22" i="32"/>
  <c r="Q22" i="32"/>
  <c r="N22" i="32"/>
  <c r="M22" i="32"/>
  <c r="J22" i="32"/>
  <c r="L22" i="32" s="1"/>
  <c r="I22" i="32"/>
  <c r="K22" i="32" s="1"/>
  <c r="T22" i="32" s="1"/>
  <c r="X21" i="32"/>
  <c r="W21" i="32"/>
  <c r="V21" i="32"/>
  <c r="S21" i="32"/>
  <c r="R21" i="32"/>
  <c r="Q21" i="32"/>
  <c r="N21" i="32"/>
  <c r="M21" i="32"/>
  <c r="K21" i="32"/>
  <c r="Z21" i="32" s="1"/>
  <c r="J21" i="32"/>
  <c r="L21" i="32" s="1"/>
  <c r="I21" i="32"/>
  <c r="X20" i="32"/>
  <c r="W20" i="32"/>
  <c r="V20" i="32"/>
  <c r="S20" i="32"/>
  <c r="R20" i="32"/>
  <c r="Q20" i="32"/>
  <c r="N20" i="32"/>
  <c r="M20" i="32"/>
  <c r="K20" i="32"/>
  <c r="AA20" i="32" s="1"/>
  <c r="J20" i="32"/>
  <c r="L20" i="32" s="1"/>
  <c r="I20" i="32"/>
  <c r="X19" i="32"/>
  <c r="W19" i="32"/>
  <c r="V19" i="32"/>
  <c r="S19" i="32"/>
  <c r="R19" i="32"/>
  <c r="Q19" i="32"/>
  <c r="N19" i="32"/>
  <c r="M19" i="32"/>
  <c r="J19" i="32"/>
  <c r="L19" i="32" s="1"/>
  <c r="I19" i="32"/>
  <c r="K19" i="32" s="1"/>
  <c r="T19" i="32" s="1"/>
  <c r="X18" i="32"/>
  <c r="W18" i="32"/>
  <c r="V18" i="32"/>
  <c r="S18" i="32"/>
  <c r="R18" i="32"/>
  <c r="Q18" i="32"/>
  <c r="N18" i="32"/>
  <c r="M18" i="32"/>
  <c r="J18" i="32"/>
  <c r="L18" i="32" s="1"/>
  <c r="I18" i="32"/>
  <c r="K18" i="32" s="1"/>
  <c r="T18" i="32" s="1"/>
  <c r="X17" i="32"/>
  <c r="W17" i="32"/>
  <c r="AA17" i="32" s="1"/>
  <c r="V17" i="32"/>
  <c r="S17" i="32"/>
  <c r="R17" i="32"/>
  <c r="Q17" i="32"/>
  <c r="N17" i="32"/>
  <c r="M17" i="32"/>
  <c r="I17" i="32"/>
  <c r="K17" i="32" s="1"/>
  <c r="X16" i="32"/>
  <c r="U16" i="32" s="1"/>
  <c r="W16" i="32"/>
  <c r="AA16" i="32" s="1"/>
  <c r="V16" i="32"/>
  <c r="S16" i="32"/>
  <c r="R16" i="32"/>
  <c r="Q16" i="32"/>
  <c r="N16" i="32"/>
  <c r="M16" i="32"/>
  <c r="L16" i="32"/>
  <c r="J16" i="32"/>
  <c r="I16" i="32"/>
  <c r="K16" i="32" s="1"/>
  <c r="X15" i="32"/>
  <c r="W15" i="32"/>
  <c r="V15" i="32"/>
  <c r="S15" i="32"/>
  <c r="R15" i="32"/>
  <c r="Q15" i="32"/>
  <c r="N15" i="32"/>
  <c r="M15" i="32"/>
  <c r="L15" i="32"/>
  <c r="K15" i="32"/>
  <c r="J15" i="32"/>
  <c r="I15" i="32"/>
  <c r="AA14" i="32"/>
  <c r="X14" i="32"/>
  <c r="W14" i="32"/>
  <c r="V14" i="32"/>
  <c r="U14" i="32"/>
  <c r="S14" i="32"/>
  <c r="R14" i="32"/>
  <c r="Q14" i="32"/>
  <c r="N14" i="32"/>
  <c r="M14" i="32"/>
  <c r="L14" i="32"/>
  <c r="K14" i="32"/>
  <c r="J14" i="32"/>
  <c r="I14" i="32"/>
  <c r="X13" i="32"/>
  <c r="W13" i="32"/>
  <c r="V13" i="32"/>
  <c r="S13" i="32"/>
  <c r="R13" i="32"/>
  <c r="Q13" i="32"/>
  <c r="AA13" i="32" s="1"/>
  <c r="N13" i="32"/>
  <c r="Z13" i="32" s="1"/>
  <c r="M13" i="32"/>
  <c r="L13" i="32"/>
  <c r="J13" i="32"/>
  <c r="I13" i="32"/>
  <c r="K13" i="32" s="1"/>
  <c r="U13" i="32" s="1"/>
  <c r="X12" i="32"/>
  <c r="W12" i="32"/>
  <c r="V12" i="32"/>
  <c r="S12" i="32"/>
  <c r="R12" i="32"/>
  <c r="Q12" i="32"/>
  <c r="N12" i="32"/>
  <c r="M12" i="32"/>
  <c r="Z12" i="32" s="1"/>
  <c r="L12" i="32"/>
  <c r="J12" i="32"/>
  <c r="I12" i="32"/>
  <c r="K12" i="32" s="1"/>
  <c r="X11" i="32"/>
  <c r="W11" i="32"/>
  <c r="V11" i="32"/>
  <c r="S11" i="32"/>
  <c r="R11" i="32"/>
  <c r="Q11" i="32"/>
  <c r="N11" i="32"/>
  <c r="M11" i="32"/>
  <c r="J11" i="32"/>
  <c r="L11" i="32" s="1"/>
  <c r="AA11" i="32" s="1"/>
  <c r="I11" i="32"/>
  <c r="K11" i="32" s="1"/>
  <c r="X10" i="32"/>
  <c r="W10" i="32"/>
  <c r="AA10" i="32" s="1"/>
  <c r="V10" i="32"/>
  <c r="S10" i="32"/>
  <c r="R10" i="32"/>
  <c r="Q10" i="32"/>
  <c r="N10" i="32"/>
  <c r="M10" i="32"/>
  <c r="J10" i="32"/>
  <c r="L10" i="32" s="1"/>
  <c r="I10" i="32"/>
  <c r="K10" i="32" s="1"/>
  <c r="T10" i="32" s="1"/>
  <c r="X9" i="32"/>
  <c r="W9" i="32"/>
  <c r="AA9" i="32" s="1"/>
  <c r="V9" i="32"/>
  <c r="Z9" i="32" s="1"/>
  <c r="S9" i="32"/>
  <c r="R9" i="32"/>
  <c r="Q9" i="32"/>
  <c r="N9" i="32"/>
  <c r="M9" i="32"/>
  <c r="J9" i="32"/>
  <c r="L9" i="32" s="1"/>
  <c r="I9" i="32"/>
  <c r="K9" i="32" s="1"/>
  <c r="X8" i="32"/>
  <c r="W8" i="32"/>
  <c r="V8" i="32"/>
  <c r="S8" i="32"/>
  <c r="R8" i="32"/>
  <c r="Q8" i="32"/>
  <c r="N8" i="32"/>
  <c r="M8" i="32"/>
  <c r="AA8" i="32" s="1"/>
  <c r="J8" i="32"/>
  <c r="L8" i="32" s="1"/>
  <c r="I8" i="32"/>
  <c r="K8" i="32" s="1"/>
  <c r="X7" i="32"/>
  <c r="W7" i="32"/>
  <c r="V7" i="32"/>
  <c r="S7" i="32"/>
  <c r="R7" i="32"/>
  <c r="Q7" i="32"/>
  <c r="N7" i="32"/>
  <c r="M7" i="32"/>
  <c r="J7" i="32"/>
  <c r="L7" i="32" s="1"/>
  <c r="AA7" i="32" s="1"/>
  <c r="I7" i="32"/>
  <c r="K7" i="32" s="1"/>
  <c r="X6" i="32"/>
  <c r="W6" i="32"/>
  <c r="AA6" i="32" s="1"/>
  <c r="V6" i="32"/>
  <c r="S6" i="32"/>
  <c r="R6" i="32"/>
  <c r="Q6" i="32"/>
  <c r="N6" i="32"/>
  <c r="M6" i="32"/>
  <c r="J6" i="32"/>
  <c r="L6" i="32" s="1"/>
  <c r="I6" i="32"/>
  <c r="K6" i="32" s="1"/>
  <c r="T6" i="32" s="1"/>
  <c r="X5" i="32"/>
  <c r="W5" i="32"/>
  <c r="AA5" i="32" s="1"/>
  <c r="V5" i="32"/>
  <c r="S5" i="32"/>
  <c r="R5" i="32"/>
  <c r="Q5" i="32"/>
  <c r="N5" i="32"/>
  <c r="M5" i="32"/>
  <c r="J5" i="32"/>
  <c r="L5" i="32" s="1"/>
  <c r="I5" i="32"/>
  <c r="K5" i="32" s="1"/>
  <c r="X4" i="32"/>
  <c r="W4" i="32"/>
  <c r="V4" i="32"/>
  <c r="S4" i="32"/>
  <c r="R4" i="32"/>
  <c r="Q4" i="32"/>
  <c r="N4" i="32"/>
  <c r="M4" i="32"/>
  <c r="AA4" i="32" s="1"/>
  <c r="J4" i="32"/>
  <c r="L4" i="32" s="1"/>
  <c r="I4" i="32"/>
  <c r="K4" i="32" s="1"/>
  <c r="X3" i="32"/>
  <c r="W3" i="32"/>
  <c r="V3" i="32"/>
  <c r="S3" i="32"/>
  <c r="R3" i="32"/>
  <c r="Q3" i="32"/>
  <c r="N3" i="32"/>
  <c r="M3" i="32"/>
  <c r="I3" i="32"/>
  <c r="K3" i="32" s="1"/>
  <c r="T3" i="32" s="1"/>
  <c r="X2" i="32"/>
  <c r="W2" i="32"/>
  <c r="V2" i="32"/>
  <c r="S2" i="32"/>
  <c r="R2" i="32"/>
  <c r="Q2" i="32"/>
  <c r="N2" i="32"/>
  <c r="M2" i="32"/>
  <c r="L2" i="32"/>
  <c r="K2" i="32"/>
  <c r="J2" i="32"/>
  <c r="I2" i="32"/>
  <c r="V720" i="31"/>
  <c r="V719" i="31"/>
  <c r="V718" i="31"/>
  <c r="V717" i="31"/>
  <c r="V716" i="31"/>
  <c r="V715" i="31"/>
  <c r="V714" i="31"/>
  <c r="V713" i="31"/>
  <c r="V712" i="31"/>
  <c r="V711" i="31"/>
  <c r="V710" i="31"/>
  <c r="V709" i="31"/>
  <c r="V708" i="31"/>
  <c r="V707" i="31"/>
  <c r="V706" i="31"/>
  <c r="V705" i="31"/>
  <c r="V704" i="31"/>
  <c r="V703" i="31"/>
  <c r="V702" i="31"/>
  <c r="V701" i="31"/>
  <c r="V700" i="31"/>
  <c r="V699" i="31"/>
  <c r="V698" i="31"/>
  <c r="V697" i="31"/>
  <c r="V696" i="31"/>
  <c r="V695" i="31"/>
  <c r="V694" i="31"/>
  <c r="V693" i="31"/>
  <c r="V692" i="31"/>
  <c r="V691" i="31"/>
  <c r="V690" i="31"/>
  <c r="V689" i="31"/>
  <c r="V688" i="31"/>
  <c r="V687" i="31"/>
  <c r="V686" i="31"/>
  <c r="V685" i="31"/>
  <c r="V684" i="31"/>
  <c r="V683" i="31"/>
  <c r="V682" i="31"/>
  <c r="V681" i="31"/>
  <c r="V680" i="31"/>
  <c r="V679" i="31"/>
  <c r="V678" i="31"/>
  <c r="V677" i="31"/>
  <c r="V676" i="31"/>
  <c r="V675" i="31"/>
  <c r="V674" i="31"/>
  <c r="V673" i="31"/>
  <c r="V672" i="31"/>
  <c r="V671" i="31"/>
  <c r="V670" i="31"/>
  <c r="V669" i="31"/>
  <c r="V668" i="31"/>
  <c r="V667" i="31"/>
  <c r="V666" i="31"/>
  <c r="V665" i="31"/>
  <c r="V664" i="31"/>
  <c r="V663" i="31"/>
  <c r="V662" i="31"/>
  <c r="V661" i="31"/>
  <c r="V660" i="31"/>
  <c r="V659" i="31"/>
  <c r="V658" i="31"/>
  <c r="V657" i="31"/>
  <c r="V656" i="31"/>
  <c r="V655" i="31"/>
  <c r="V654" i="31"/>
  <c r="V653" i="31"/>
  <c r="V652" i="31"/>
  <c r="V651" i="31"/>
  <c r="V650" i="31"/>
  <c r="V649" i="31"/>
  <c r="V648" i="31"/>
  <c r="V647" i="31"/>
  <c r="V646" i="31"/>
  <c r="V645" i="31"/>
  <c r="V644" i="31"/>
  <c r="V643" i="31"/>
  <c r="V642" i="31"/>
  <c r="V641" i="31"/>
  <c r="V640" i="31"/>
  <c r="V639" i="31"/>
  <c r="V638" i="31"/>
  <c r="V637" i="31"/>
  <c r="V636" i="31"/>
  <c r="V635" i="31"/>
  <c r="V634" i="31"/>
  <c r="V633" i="31"/>
  <c r="V632" i="31"/>
  <c r="V631" i="31"/>
  <c r="V630" i="31"/>
  <c r="V629" i="31"/>
  <c r="V628" i="31"/>
  <c r="V627" i="31"/>
  <c r="V626" i="31"/>
  <c r="V625" i="31"/>
  <c r="V624" i="31"/>
  <c r="V623" i="31"/>
  <c r="V622" i="31"/>
  <c r="V621" i="31"/>
  <c r="V620" i="31"/>
  <c r="V619" i="31"/>
  <c r="V618" i="31"/>
  <c r="V617" i="31"/>
  <c r="V616" i="31"/>
  <c r="V615" i="31"/>
  <c r="V614" i="31"/>
  <c r="V613" i="31"/>
  <c r="V612" i="31"/>
  <c r="V611" i="31"/>
  <c r="V610" i="31"/>
  <c r="V609" i="31"/>
  <c r="V608" i="31"/>
  <c r="V607" i="31"/>
  <c r="V606" i="31"/>
  <c r="V605" i="31"/>
  <c r="V604" i="31"/>
  <c r="V603" i="31"/>
  <c r="V602" i="31"/>
  <c r="V601" i="31"/>
  <c r="V600" i="31"/>
  <c r="V599" i="31"/>
  <c r="V598" i="31"/>
  <c r="V597" i="31"/>
  <c r="V596" i="31"/>
  <c r="V595" i="31"/>
  <c r="V594" i="31"/>
  <c r="V593" i="31"/>
  <c r="V592" i="31"/>
  <c r="V591" i="31"/>
  <c r="V590" i="31"/>
  <c r="V589" i="31"/>
  <c r="V588" i="31"/>
  <c r="V587" i="31"/>
  <c r="V586" i="31"/>
  <c r="V585" i="31"/>
  <c r="V584" i="31"/>
  <c r="V583" i="31"/>
  <c r="V582" i="31"/>
  <c r="V581" i="31"/>
  <c r="V580" i="31"/>
  <c r="V579" i="31"/>
  <c r="V578" i="31"/>
  <c r="V577" i="31"/>
  <c r="V576" i="31"/>
  <c r="V575" i="31"/>
  <c r="V574" i="31"/>
  <c r="V573" i="31"/>
  <c r="V572" i="31"/>
  <c r="V571" i="31"/>
  <c r="V570" i="31"/>
  <c r="V569" i="31"/>
  <c r="V568" i="31"/>
  <c r="V567" i="31"/>
  <c r="V566" i="31"/>
  <c r="V565" i="31"/>
  <c r="V564" i="31"/>
  <c r="V563" i="31"/>
  <c r="V562" i="31"/>
  <c r="V561" i="31"/>
  <c r="V560" i="31"/>
  <c r="V559" i="31"/>
  <c r="V558" i="31"/>
  <c r="V557" i="31"/>
  <c r="V556" i="31"/>
  <c r="V555" i="31"/>
  <c r="V554" i="31"/>
  <c r="V553" i="31"/>
  <c r="V552" i="31"/>
  <c r="V551" i="31"/>
  <c r="V550" i="31"/>
  <c r="V549" i="31"/>
  <c r="V548" i="31"/>
  <c r="V547" i="31"/>
  <c r="V546" i="31"/>
  <c r="V545" i="31"/>
  <c r="V544" i="31"/>
  <c r="V543" i="31"/>
  <c r="V542" i="31"/>
  <c r="V541" i="31"/>
  <c r="V540" i="31"/>
  <c r="V539" i="31"/>
  <c r="V538" i="31"/>
  <c r="V537" i="31"/>
  <c r="V536" i="31"/>
  <c r="V535" i="31"/>
  <c r="V534" i="31"/>
  <c r="V533" i="31"/>
  <c r="V532" i="31"/>
  <c r="V531" i="31"/>
  <c r="V530" i="31"/>
  <c r="V529" i="31"/>
  <c r="V528" i="31"/>
  <c r="V527" i="31"/>
  <c r="V526" i="31"/>
  <c r="V525" i="31"/>
  <c r="V524" i="31"/>
  <c r="V523" i="31"/>
  <c r="V522" i="31"/>
  <c r="V521" i="31"/>
  <c r="V520" i="31"/>
  <c r="V519" i="31"/>
  <c r="V518" i="31"/>
  <c r="V517" i="31"/>
  <c r="V516" i="31"/>
  <c r="V515" i="31"/>
  <c r="V514" i="31"/>
  <c r="V513" i="31"/>
  <c r="V512" i="31"/>
  <c r="V511" i="31"/>
  <c r="V510" i="31"/>
  <c r="V509" i="31"/>
  <c r="V508" i="31"/>
  <c r="V507" i="31"/>
  <c r="V506" i="31"/>
  <c r="V505" i="31"/>
  <c r="V504" i="31"/>
  <c r="V503" i="31"/>
  <c r="V502" i="31"/>
  <c r="V501" i="31"/>
  <c r="V500" i="31"/>
  <c r="V499" i="31"/>
  <c r="V498" i="31"/>
  <c r="V497" i="31"/>
  <c r="V496" i="31"/>
  <c r="V495" i="31"/>
  <c r="V494" i="31"/>
  <c r="V493" i="31"/>
  <c r="V492" i="31"/>
  <c r="V491" i="31"/>
  <c r="V490" i="31"/>
  <c r="V489" i="31"/>
  <c r="V488" i="31"/>
  <c r="V487" i="31"/>
  <c r="V486" i="31"/>
  <c r="V485" i="31"/>
  <c r="V484" i="31"/>
  <c r="V483" i="31"/>
  <c r="V482" i="31"/>
  <c r="V481" i="31"/>
  <c r="V480" i="31"/>
  <c r="V479" i="31"/>
  <c r="V478" i="31"/>
  <c r="V477" i="31"/>
  <c r="V476" i="31"/>
  <c r="V475" i="31"/>
  <c r="V474" i="31"/>
  <c r="V473" i="31"/>
  <c r="V472" i="31"/>
  <c r="V471" i="31"/>
  <c r="V470" i="31"/>
  <c r="V469" i="31"/>
  <c r="V468" i="31"/>
  <c r="V467" i="31"/>
  <c r="V466" i="31"/>
  <c r="V465" i="31"/>
  <c r="V464" i="31"/>
  <c r="V463" i="31"/>
  <c r="V462" i="31"/>
  <c r="V461" i="31"/>
  <c r="V460" i="31"/>
  <c r="V459" i="31"/>
  <c r="V458" i="31"/>
  <c r="V457" i="31"/>
  <c r="V456" i="31"/>
  <c r="V455" i="31"/>
  <c r="V454" i="31"/>
  <c r="V453" i="31"/>
  <c r="V452" i="31"/>
  <c r="V451" i="31"/>
  <c r="V450" i="31"/>
  <c r="V449" i="31"/>
  <c r="V448" i="31"/>
  <c r="V447" i="31"/>
  <c r="V446" i="31"/>
  <c r="V445" i="31"/>
  <c r="V444" i="31"/>
  <c r="V443" i="31"/>
  <c r="V442" i="31"/>
  <c r="V441" i="31"/>
  <c r="V440" i="31"/>
  <c r="V439" i="31"/>
  <c r="V438" i="31"/>
  <c r="V437" i="31"/>
  <c r="V436" i="31"/>
  <c r="V435" i="31"/>
  <c r="V434" i="31"/>
  <c r="V433" i="31"/>
  <c r="V432" i="31"/>
  <c r="V431" i="31"/>
  <c r="V430" i="31"/>
  <c r="V429" i="31"/>
  <c r="V428" i="31"/>
  <c r="V427" i="31"/>
  <c r="V426" i="31"/>
  <c r="V425" i="31"/>
  <c r="V424" i="31"/>
  <c r="V423" i="31"/>
  <c r="V422" i="31"/>
  <c r="V421" i="31"/>
  <c r="V420" i="31"/>
  <c r="V419" i="31"/>
  <c r="V418" i="31"/>
  <c r="V417" i="31"/>
  <c r="V416" i="31"/>
  <c r="V415" i="31"/>
  <c r="V414" i="31"/>
  <c r="V413" i="31"/>
  <c r="V412" i="31"/>
  <c r="V411" i="31"/>
  <c r="V410" i="31"/>
  <c r="V409" i="31"/>
  <c r="V408" i="31"/>
  <c r="V407" i="31"/>
  <c r="V406" i="31"/>
  <c r="V405" i="31"/>
  <c r="V404" i="31"/>
  <c r="V403" i="31"/>
  <c r="V402" i="31"/>
  <c r="V401" i="31"/>
  <c r="V400" i="31"/>
  <c r="V399" i="31"/>
  <c r="V398" i="31"/>
  <c r="V397" i="31"/>
  <c r="V396" i="31"/>
  <c r="T409" i="32" l="1"/>
  <c r="AA437" i="32"/>
  <c r="AA481" i="32"/>
  <c r="AA585" i="32"/>
  <c r="AA701" i="32"/>
  <c r="T445" i="32"/>
  <c r="AA609" i="32"/>
  <c r="T674" i="32"/>
  <c r="AA718" i="32"/>
  <c r="AA397" i="32"/>
  <c r="T438" i="32"/>
  <c r="AA446" i="32"/>
  <c r="T453" i="32"/>
  <c r="AA454" i="32"/>
  <c r="T458" i="32"/>
  <c r="T474" i="32"/>
  <c r="Z675" i="32"/>
  <c r="T681" i="32"/>
  <c r="Z714" i="32"/>
  <c r="AA461" i="32"/>
  <c r="T505" i="32"/>
  <c r="T414" i="32"/>
  <c r="T562" i="32"/>
  <c r="T581" i="32"/>
  <c r="T698" i="32"/>
  <c r="AA713" i="32"/>
  <c r="AA405" i="32"/>
  <c r="AA417" i="32"/>
  <c r="T430" i="32"/>
  <c r="AA542" i="32"/>
  <c r="T550" i="32"/>
  <c r="AA629" i="32"/>
  <c r="AA653" i="32"/>
  <c r="T441" i="32"/>
  <c r="T446" i="32"/>
  <c r="AA462" i="32"/>
  <c r="T535" i="32"/>
  <c r="Z541" i="32"/>
  <c r="AA608" i="32"/>
  <c r="T635" i="32"/>
  <c r="Z659" i="32"/>
  <c r="AA669" i="32"/>
  <c r="T690" i="32"/>
  <c r="T406" i="32"/>
  <c r="AA413" i="32"/>
  <c r="Z462" i="32"/>
  <c r="T477" i="32"/>
  <c r="Z521" i="32"/>
  <c r="AA633" i="32"/>
  <c r="Z691" i="32"/>
  <c r="Z42" i="32"/>
  <c r="AA42" i="32"/>
  <c r="Z64" i="32"/>
  <c r="T64" i="32"/>
  <c r="AA64" i="32"/>
  <c r="U88" i="32"/>
  <c r="Z88" i="32"/>
  <c r="T88" i="32"/>
  <c r="U120" i="32"/>
  <c r="Z120" i="32"/>
  <c r="T120" i="32"/>
  <c r="U91" i="32"/>
  <c r="AA91" i="32"/>
  <c r="T91" i="32"/>
  <c r="U123" i="32"/>
  <c r="AA123" i="32"/>
  <c r="T123" i="32"/>
  <c r="Z86" i="32"/>
  <c r="T86" i="32"/>
  <c r="AA86" i="32"/>
  <c r="Z118" i="32"/>
  <c r="AA118" i="32"/>
  <c r="T118" i="32"/>
  <c r="U56" i="32"/>
  <c r="Z67" i="32"/>
  <c r="T67" i="32"/>
  <c r="AA80" i="32"/>
  <c r="T2" i="32"/>
  <c r="Z5" i="32"/>
  <c r="AA46" i="32"/>
  <c r="AA60" i="32"/>
  <c r="AA69" i="32"/>
  <c r="T74" i="32"/>
  <c r="Z75" i="32"/>
  <c r="T75" i="32"/>
  <c r="T98" i="32"/>
  <c r="U100" i="32"/>
  <c r="Z108" i="32"/>
  <c r="U135" i="32"/>
  <c r="U144" i="32"/>
  <c r="AA172" i="32"/>
  <c r="Z172" i="32"/>
  <c r="T173" i="32"/>
  <c r="Z173" i="32"/>
  <c r="AA179" i="32"/>
  <c r="Z233" i="32"/>
  <c r="T233" i="32"/>
  <c r="AA233" i="32"/>
  <c r="U233" i="32"/>
  <c r="AA234" i="32"/>
  <c r="U240" i="32"/>
  <c r="AA250" i="32"/>
  <c r="T418" i="32"/>
  <c r="AA418" i="32"/>
  <c r="Z418" i="32"/>
  <c r="T437" i="32"/>
  <c r="T771" i="32"/>
  <c r="U771" i="32"/>
  <c r="T778" i="32"/>
  <c r="Z778" i="32"/>
  <c r="U15" i="32"/>
  <c r="AA18" i="32"/>
  <c r="U63" i="32"/>
  <c r="AA73" i="32"/>
  <c r="Z79" i="32"/>
  <c r="AA81" i="32"/>
  <c r="T92" i="32"/>
  <c r="U93" i="32"/>
  <c r="T94" i="32"/>
  <c r="Z94" i="32"/>
  <c r="U106" i="32"/>
  <c r="AA113" i="32"/>
  <c r="T124" i="32"/>
  <c r="T126" i="32"/>
  <c r="Z126" i="32"/>
  <c r="U137" i="32"/>
  <c r="T137" i="32"/>
  <c r="Z143" i="32"/>
  <c r="U163" i="32"/>
  <c r="Z164" i="32"/>
  <c r="T164" i="32"/>
  <c r="AA164" i="32"/>
  <c r="U177" i="32"/>
  <c r="T177" i="32"/>
  <c r="AA177" i="32"/>
  <c r="Z208" i="32"/>
  <c r="AA282" i="32"/>
  <c r="Z282" i="32"/>
  <c r="U282" i="32"/>
  <c r="T289" i="32"/>
  <c r="Z306" i="32"/>
  <c r="AA306" i="32"/>
  <c r="T306" i="32"/>
  <c r="U306" i="32"/>
  <c r="Z313" i="32"/>
  <c r="T313" i="32"/>
  <c r="T347" i="32"/>
  <c r="Z347" i="32"/>
  <c r="Z381" i="32"/>
  <c r="AA381" i="32"/>
  <c r="U381" i="32"/>
  <c r="Z3" i="32"/>
  <c r="U5" i="32"/>
  <c r="T8" i="32"/>
  <c r="Z11" i="32"/>
  <c r="T14" i="32"/>
  <c r="Z14" i="32"/>
  <c r="Z16" i="32"/>
  <c r="U18" i="32"/>
  <c r="U20" i="32"/>
  <c r="U21" i="32"/>
  <c r="U25" i="32"/>
  <c r="T31" i="32"/>
  <c r="Z40" i="32"/>
  <c r="U44" i="32"/>
  <c r="T45" i="32"/>
  <c r="U52" i="32"/>
  <c r="T52" i="32"/>
  <c r="Z56" i="32"/>
  <c r="T59" i="32"/>
  <c r="Z59" i="32"/>
  <c r="U61" i="32"/>
  <c r="T61" i="32"/>
  <c r="U64" i="32"/>
  <c r="T69" i="32"/>
  <c r="U72" i="32"/>
  <c r="U80" i="32"/>
  <c r="U81" i="32"/>
  <c r="U85" i="32"/>
  <c r="T97" i="32"/>
  <c r="Z97" i="32"/>
  <c r="T103" i="32"/>
  <c r="U112" i="32"/>
  <c r="U113" i="32"/>
  <c r="AA115" i="32"/>
  <c r="U117" i="32"/>
  <c r="T150" i="32"/>
  <c r="Z151" i="32"/>
  <c r="T151" i="32"/>
  <c r="Z153" i="32"/>
  <c r="AA156" i="32"/>
  <c r="Z159" i="32"/>
  <c r="AA161" i="32"/>
  <c r="Z161" i="32"/>
  <c r="AA167" i="32"/>
  <c r="AA186" i="32"/>
  <c r="Z186" i="32"/>
  <c r="T186" i="32"/>
  <c r="AA191" i="32"/>
  <c r="U192" i="32"/>
  <c r="AA196" i="32"/>
  <c r="T202" i="32"/>
  <c r="AA208" i="32"/>
  <c r="Z222" i="32"/>
  <c r="AA228" i="32"/>
  <c r="AA229" i="32"/>
  <c r="AA243" i="32"/>
  <c r="Z297" i="32"/>
  <c r="T297" i="32"/>
  <c r="AA448" i="32"/>
  <c r="T450" i="32"/>
  <c r="AA450" i="32"/>
  <c r="Z450" i="32"/>
  <c r="U11" i="32"/>
  <c r="U19" i="32"/>
  <c r="U50" i="32"/>
  <c r="T50" i="32"/>
  <c r="U77" i="32"/>
  <c r="U96" i="32"/>
  <c r="T96" i="32"/>
  <c r="AA2" i="32"/>
  <c r="U7" i="32"/>
  <c r="U12" i="32"/>
  <c r="AA15" i="32"/>
  <c r="Z19" i="32"/>
  <c r="U27" i="32"/>
  <c r="Z28" i="32"/>
  <c r="T28" i="32"/>
  <c r="AA33" i="32"/>
  <c r="T37" i="32"/>
  <c r="T39" i="32"/>
  <c r="U57" i="32"/>
  <c r="U65" i="32"/>
  <c r="AA67" i="32"/>
  <c r="T73" i="32"/>
  <c r="AA89" i="32"/>
  <c r="AA121" i="32"/>
  <c r="Z130" i="32"/>
  <c r="T143" i="32"/>
  <c r="AA143" i="32"/>
  <c r="U143" i="32"/>
  <c r="T163" i="32"/>
  <c r="U254" i="32"/>
  <c r="T254" i="32"/>
  <c r="Z268" i="32"/>
  <c r="T268" i="32"/>
  <c r="U268" i="32"/>
  <c r="Z492" i="32"/>
  <c r="T492" i="32"/>
  <c r="T5" i="32"/>
  <c r="Z8" i="32"/>
  <c r="U10" i="32"/>
  <c r="AA19" i="32"/>
  <c r="AA21" i="32"/>
  <c r="T23" i="32"/>
  <c r="AA23" i="32"/>
  <c r="T25" i="32"/>
  <c r="Z25" i="32"/>
  <c r="AA30" i="32"/>
  <c r="U34" i="32"/>
  <c r="T34" i="32"/>
  <c r="AA44" i="32"/>
  <c r="U49" i="32"/>
  <c r="T49" i="32"/>
  <c r="Z52" i="32"/>
  <c r="U60" i="32"/>
  <c r="U74" i="32"/>
  <c r="Z96" i="32"/>
  <c r="T104" i="32"/>
  <c r="Z104" i="32"/>
  <c r="Z111" i="32"/>
  <c r="U125" i="32"/>
  <c r="Z133" i="32"/>
  <c r="T162" i="32"/>
  <c r="Z162" i="32"/>
  <c r="Z170" i="32"/>
  <c r="T172" i="32"/>
  <c r="Z196" i="32"/>
  <c r="T196" i="32"/>
  <c r="U198" i="32"/>
  <c r="T212" i="32"/>
  <c r="Z2" i="32"/>
  <c r="Z6" i="32"/>
  <c r="U8" i="32"/>
  <c r="T11" i="32"/>
  <c r="Z18" i="32"/>
  <c r="Z22" i="32"/>
  <c r="U22" i="32"/>
  <c r="Z23" i="32"/>
  <c r="T26" i="32"/>
  <c r="T29" i="32"/>
  <c r="U36" i="32"/>
  <c r="T36" i="32"/>
  <c r="Z37" i="32"/>
  <c r="U39" i="32"/>
  <c r="Z50" i="32"/>
  <c r="Z54" i="32"/>
  <c r="T54" i="32"/>
  <c r="T68" i="32"/>
  <c r="T70" i="32"/>
  <c r="AA74" i="32"/>
  <c r="AA78" i="32"/>
  <c r="Z78" i="32"/>
  <c r="Z80" i="32"/>
  <c r="AA84" i="32"/>
  <c r="Z84" i="32"/>
  <c r="Z85" i="32"/>
  <c r="T85" i="32"/>
  <c r="T87" i="32"/>
  <c r="T89" i="32"/>
  <c r="U94" i="32"/>
  <c r="AA98" i="32"/>
  <c r="AA102" i="32"/>
  <c r="AA103" i="32"/>
  <c r="Z105" i="32"/>
  <c r="AA107" i="32"/>
  <c r="AA110" i="32"/>
  <c r="Z110" i="32"/>
  <c r="Z112" i="32"/>
  <c r="AA116" i="32"/>
  <c r="Z116" i="32"/>
  <c r="Z117" i="32"/>
  <c r="T117" i="32"/>
  <c r="T119" i="32"/>
  <c r="T121" i="32"/>
  <c r="U126" i="32"/>
  <c r="AA130" i="32"/>
  <c r="T136" i="32"/>
  <c r="Z137" i="32"/>
  <c r="U138" i="32"/>
  <c r="AA151" i="32"/>
  <c r="AA153" i="32"/>
  <c r="U155" i="32"/>
  <c r="T156" i="32"/>
  <c r="U157" i="32"/>
  <c r="AA170" i="32"/>
  <c r="AA171" i="32"/>
  <c r="U191" i="32"/>
  <c r="T195" i="32"/>
  <c r="Z195" i="32"/>
  <c r="T228" i="32"/>
  <c r="Z234" i="32"/>
  <c r="Z261" i="32"/>
  <c r="T281" i="32"/>
  <c r="AA402" i="32"/>
  <c r="Z402" i="32"/>
  <c r="T402" i="32"/>
  <c r="U553" i="32"/>
  <c r="T553" i="32"/>
  <c r="U3" i="32"/>
  <c r="T33" i="32"/>
  <c r="Z34" i="32"/>
  <c r="AA45" i="32"/>
  <c r="T47" i="32"/>
  <c r="AA47" i="32"/>
  <c r="T83" i="32"/>
  <c r="AA112" i="32"/>
  <c r="AA117" i="32"/>
  <c r="T132" i="32"/>
  <c r="Z132" i="32"/>
  <c r="T142" i="32"/>
  <c r="Z142" i="32"/>
  <c r="T148" i="32"/>
  <c r="T149" i="32"/>
  <c r="AA181" i="32"/>
  <c r="U190" i="32"/>
  <c r="AA200" i="32"/>
  <c r="Z200" i="32"/>
  <c r="T200" i="32"/>
  <c r="U227" i="32"/>
  <c r="AA227" i="32"/>
  <c r="Z241" i="32"/>
  <c r="AA241" i="32"/>
  <c r="T241" i="32"/>
  <c r="U241" i="32"/>
  <c r="U365" i="32"/>
  <c r="Z365" i="32"/>
  <c r="AA365" i="32"/>
  <c r="AA466" i="32"/>
  <c r="Z466" i="32"/>
  <c r="T466" i="32"/>
  <c r="T9" i="32"/>
  <c r="AA22" i="32"/>
  <c r="AA26" i="32"/>
  <c r="AA27" i="32"/>
  <c r="Z31" i="32"/>
  <c r="U38" i="32"/>
  <c r="Z41" i="32"/>
  <c r="T41" i="32"/>
  <c r="U62" i="32"/>
  <c r="U83" i="32"/>
  <c r="Z92" i="32"/>
  <c r="U115" i="32"/>
  <c r="Z124" i="32"/>
  <c r="U145" i="32"/>
  <c r="U148" i="32"/>
  <c r="U166" i="32"/>
  <c r="AA166" i="32"/>
  <c r="AA180" i="32"/>
  <c r="Z180" i="32"/>
  <c r="T180" i="32"/>
  <c r="T236" i="32"/>
  <c r="AA315" i="32"/>
  <c r="U439" i="32"/>
  <c r="T4" i="32"/>
  <c r="Z7" i="32"/>
  <c r="U9" i="32"/>
  <c r="Z17" i="32"/>
  <c r="U17" i="32"/>
  <c r="U24" i="32"/>
  <c r="T24" i="32"/>
  <c r="U26" i="32"/>
  <c r="U28" i="32"/>
  <c r="U29" i="32"/>
  <c r="U35" i="32"/>
  <c r="T35" i="32"/>
  <c r="Z36" i="32"/>
  <c r="U43" i="32"/>
  <c r="Z46" i="32"/>
  <c r="Z47" i="32"/>
  <c r="Z51" i="32"/>
  <c r="T62" i="32"/>
  <c r="T66" i="32"/>
  <c r="Z66" i="32"/>
  <c r="U71" i="32"/>
  <c r="Z82" i="32"/>
  <c r="T82" i="32"/>
  <c r="Z83" i="32"/>
  <c r="U84" i="32"/>
  <c r="Z95" i="32"/>
  <c r="AA96" i="32"/>
  <c r="U99" i="32"/>
  <c r="T99" i="32"/>
  <c r="Z100" i="32"/>
  <c r="U107" i="32"/>
  <c r="Z114" i="32"/>
  <c r="T114" i="32"/>
  <c r="Z115" i="32"/>
  <c r="U116" i="32"/>
  <c r="T127" i="32"/>
  <c r="U132" i="32"/>
  <c r="AA136" i="32"/>
  <c r="AA140" i="32"/>
  <c r="AA141" i="32"/>
  <c r="Z145" i="32"/>
  <c r="T145" i="32"/>
  <c r="AA146" i="32"/>
  <c r="Z146" i="32"/>
  <c r="T146" i="32"/>
  <c r="AA152" i="32"/>
  <c r="T152" i="32"/>
  <c r="U158" i="32"/>
  <c r="T158" i="32"/>
  <c r="T166" i="32"/>
  <c r="Z177" i="32"/>
  <c r="U185" i="32"/>
  <c r="T204" i="32"/>
  <c r="Z225" i="32"/>
  <c r="U225" i="32"/>
  <c r="T225" i="32"/>
  <c r="U230" i="32"/>
  <c r="Z235" i="32"/>
  <c r="T235" i="32"/>
  <c r="Z246" i="32"/>
  <c r="T255" i="32"/>
  <c r="Z255" i="32"/>
  <c r="AA255" i="32"/>
  <c r="T270" i="32"/>
  <c r="Z270" i="32"/>
  <c r="Z274" i="32"/>
  <c r="AA274" i="32"/>
  <c r="U274" i="32"/>
  <c r="Z284" i="32"/>
  <c r="T284" i="32"/>
  <c r="U284" i="32"/>
  <c r="Z20" i="32"/>
  <c r="T20" i="32"/>
  <c r="Z43" i="32"/>
  <c r="AA85" i="32"/>
  <c r="U98" i="32"/>
  <c r="U170" i="32"/>
  <c r="Z217" i="32"/>
  <c r="AA217" i="32"/>
  <c r="Z271" i="32"/>
  <c r="T271" i="32"/>
  <c r="Z304" i="32"/>
  <c r="AA304" i="32"/>
  <c r="U304" i="32"/>
  <c r="T370" i="32"/>
  <c r="Z370" i="32"/>
  <c r="U473" i="32"/>
  <c r="AA473" i="32"/>
  <c r="U499" i="32"/>
  <c r="AA3" i="32"/>
  <c r="Z4" i="32"/>
  <c r="U6" i="32"/>
  <c r="AA29" i="32"/>
  <c r="T38" i="32"/>
  <c r="U45" i="32"/>
  <c r="Z48" i="32"/>
  <c r="AA66" i="32"/>
  <c r="AA71" i="32"/>
  <c r="Z77" i="32"/>
  <c r="T77" i="32"/>
  <c r="U97" i="32"/>
  <c r="Z109" i="32"/>
  <c r="T109" i="32"/>
  <c r="U129" i="32"/>
  <c r="AA129" i="32"/>
  <c r="T135" i="32"/>
  <c r="Z135" i="32"/>
  <c r="T147" i="32"/>
  <c r="Z154" i="32"/>
  <c r="U181" i="32"/>
  <c r="Z183" i="32"/>
  <c r="AA183" i="32"/>
  <c r="U183" i="32"/>
  <c r="T184" i="32"/>
  <c r="Z184" i="32"/>
  <c r="Z213" i="32"/>
  <c r="U213" i="32"/>
  <c r="T213" i="32"/>
  <c r="AA213" i="32"/>
  <c r="T222" i="32"/>
  <c r="T246" i="32"/>
  <c r="Z254" i="32"/>
  <c r="U2" i="32"/>
  <c r="U4" i="32"/>
  <c r="T7" i="32"/>
  <c r="Z10" i="32"/>
  <c r="AA12" i="32"/>
  <c r="T15" i="32"/>
  <c r="Z15" i="32"/>
  <c r="T17" i="32"/>
  <c r="T21" i="32"/>
  <c r="U23" i="32"/>
  <c r="Z30" i="32"/>
  <c r="U30" i="32"/>
  <c r="U32" i="32"/>
  <c r="T32" i="32"/>
  <c r="Z33" i="32"/>
  <c r="T42" i="32"/>
  <c r="U48" i="32"/>
  <c r="T48" i="32"/>
  <c r="U51" i="32"/>
  <c r="T51" i="32"/>
  <c r="U55" i="32"/>
  <c r="AA57" i="32"/>
  <c r="T60" i="32"/>
  <c r="Z60" i="32"/>
  <c r="AA62" i="32"/>
  <c r="Z63" i="32"/>
  <c r="AA65" i="32"/>
  <c r="U73" i="32"/>
  <c r="T76" i="32"/>
  <c r="U78" i="32"/>
  <c r="T81" i="32"/>
  <c r="Z81" i="32"/>
  <c r="AA82" i="32"/>
  <c r="Z106" i="32"/>
  <c r="U110" i="32"/>
  <c r="T113" i="32"/>
  <c r="Z113" i="32"/>
  <c r="AA114" i="32"/>
  <c r="U134" i="32"/>
  <c r="T134" i="32"/>
  <c r="U136" i="32"/>
  <c r="AA137" i="32"/>
  <c r="AA148" i="32"/>
  <c r="U149" i="32"/>
  <c r="U154" i="32"/>
  <c r="AA159" i="32"/>
  <c r="AA174" i="32"/>
  <c r="T174" i="32"/>
  <c r="T183" i="32"/>
  <c r="U184" i="32"/>
  <c r="AA192" i="32"/>
  <c r="Z192" i="32"/>
  <c r="T192" i="32"/>
  <c r="AA199" i="32"/>
  <c r="U216" i="32"/>
  <c r="Z216" i="32"/>
  <c r="T216" i="32"/>
  <c r="U235" i="32"/>
  <c r="AA235" i="32"/>
  <c r="Z249" i="32"/>
  <c r="AA249" i="32"/>
  <c r="U249" i="32"/>
  <c r="AA335" i="32"/>
  <c r="T421" i="32"/>
  <c r="AA421" i="32"/>
  <c r="Z189" i="32"/>
  <c r="AA189" i="32"/>
  <c r="U189" i="32"/>
  <c r="T190" i="32"/>
  <c r="T201" i="32"/>
  <c r="AA203" i="32"/>
  <c r="U210" i="32"/>
  <c r="T210" i="32"/>
  <c r="AA212" i="32"/>
  <c r="AA216" i="32"/>
  <c r="T218" i="32"/>
  <c r="T223" i="32"/>
  <c r="Z223" i="32"/>
  <c r="T230" i="32"/>
  <c r="U232" i="32"/>
  <c r="U238" i="32"/>
  <c r="T238" i="32"/>
  <c r="AA239" i="32"/>
  <c r="U243" i="32"/>
  <c r="T244" i="32"/>
  <c r="T245" i="32"/>
  <c r="T247" i="32"/>
  <c r="Z247" i="32"/>
  <c r="Z248" i="32"/>
  <c r="U265" i="32"/>
  <c r="AA270" i="32"/>
  <c r="AA277" i="32"/>
  <c r="Z290" i="32"/>
  <c r="U290" i="32"/>
  <c r="T308" i="32"/>
  <c r="T321" i="32"/>
  <c r="T343" i="32"/>
  <c r="AA343" i="32"/>
  <c r="T467" i="32"/>
  <c r="Z467" i="32"/>
  <c r="AA496" i="32"/>
  <c r="T507" i="32"/>
  <c r="Z507" i="32"/>
  <c r="U525" i="32"/>
  <c r="T525" i="32"/>
  <c r="T542" i="32"/>
  <c r="AA582" i="32"/>
  <c r="AA584" i="32"/>
  <c r="U584" i="32"/>
  <c r="T16" i="32"/>
  <c r="T79" i="32"/>
  <c r="T84" i="32"/>
  <c r="Z87" i="32"/>
  <c r="U102" i="32"/>
  <c r="AA104" i="32"/>
  <c r="U105" i="32"/>
  <c r="AA106" i="32"/>
  <c r="Z107" i="32"/>
  <c r="U108" i="32"/>
  <c r="T111" i="32"/>
  <c r="T116" i="32"/>
  <c r="Z119" i="32"/>
  <c r="U140" i="32"/>
  <c r="AA142" i="32"/>
  <c r="AA147" i="32"/>
  <c r="U151" i="32"/>
  <c r="U156" i="32"/>
  <c r="AA169" i="32"/>
  <c r="Z169" i="32"/>
  <c r="U169" i="32"/>
  <c r="Z171" i="32"/>
  <c r="T171" i="32"/>
  <c r="Z174" i="32"/>
  <c r="T198" i="32"/>
  <c r="Z198" i="32"/>
  <c r="Z199" i="32"/>
  <c r="T199" i="32"/>
  <c r="Z202" i="32"/>
  <c r="AA210" i="32"/>
  <c r="U211" i="32"/>
  <c r="AA218" i="32"/>
  <c r="AA222" i="32"/>
  <c r="AA236" i="32"/>
  <c r="Z238" i="32"/>
  <c r="U239" i="32"/>
  <c r="Z242" i="32"/>
  <c r="Z243" i="32"/>
  <c r="T243" i="32"/>
  <c r="AA245" i="32"/>
  <c r="T263" i="32"/>
  <c r="Z263" i="32"/>
  <c r="U264" i="32"/>
  <c r="Z276" i="32"/>
  <c r="U276" i="32"/>
  <c r="T276" i="32"/>
  <c r="AA284" i="32"/>
  <c r="AA295" i="32"/>
  <c r="Z295" i="32"/>
  <c r="U297" i="32"/>
  <c r="AA316" i="32"/>
  <c r="AA322" i="32"/>
  <c r="AA332" i="32"/>
  <c r="Z332" i="32"/>
  <c r="T332" i="32"/>
  <c r="Z380" i="32"/>
  <c r="T380" i="32"/>
  <c r="U389" i="32"/>
  <c r="Z389" i="32"/>
  <c r="T415" i="32"/>
  <c r="Z415" i="32"/>
  <c r="T426" i="32"/>
  <c r="U427" i="32"/>
  <c r="AA442" i="32"/>
  <c r="T447" i="32"/>
  <c r="Z447" i="32"/>
  <c r="U489" i="32"/>
  <c r="AA489" i="32"/>
  <c r="T489" i="32"/>
  <c r="U495" i="32"/>
  <c r="T495" i="32"/>
  <c r="Z495" i="32"/>
  <c r="U517" i="32"/>
  <c r="T517" i="32"/>
  <c r="T331" i="32"/>
  <c r="Z335" i="32"/>
  <c r="T335" i="32"/>
  <c r="AA375" i="32"/>
  <c r="AA388" i="32"/>
  <c r="T388" i="32"/>
  <c r="T569" i="32"/>
  <c r="AA577" i="32"/>
  <c r="T577" i="32"/>
  <c r="AA723" i="32"/>
  <c r="U723" i="32"/>
  <c r="AA54" i="32"/>
  <c r="T58" i="32"/>
  <c r="U67" i="32"/>
  <c r="AA68" i="32"/>
  <c r="Z69" i="32"/>
  <c r="AA72" i="32"/>
  <c r="U75" i="32"/>
  <c r="AA76" i="32"/>
  <c r="U82" i="32"/>
  <c r="AA87" i="32"/>
  <c r="Z90" i="32"/>
  <c r="Z93" i="32"/>
  <c r="T93" i="32"/>
  <c r="AA100" i="32"/>
  <c r="U114" i="32"/>
  <c r="AA119" i="32"/>
  <c r="Z122" i="32"/>
  <c r="Z125" i="32"/>
  <c r="T125" i="32"/>
  <c r="Z128" i="32"/>
  <c r="Z131" i="32"/>
  <c r="T131" i="32"/>
  <c r="AA138" i="32"/>
  <c r="AA154" i="32"/>
  <c r="AA162" i="32"/>
  <c r="Z163" i="32"/>
  <c r="T187" i="32"/>
  <c r="AA187" i="32"/>
  <c r="Z190" i="32"/>
  <c r="AA195" i="32"/>
  <c r="T208" i="32"/>
  <c r="Z219" i="32"/>
  <c r="U219" i="32"/>
  <c r="T219" i="32"/>
  <c r="Z226" i="32"/>
  <c r="U229" i="32"/>
  <c r="Z230" i="32"/>
  <c r="U242" i="32"/>
  <c r="AA247" i="32"/>
  <c r="AA254" i="32"/>
  <c r="U278" i="32"/>
  <c r="T279" i="32"/>
  <c r="T293" i="32"/>
  <c r="AA299" i="32"/>
  <c r="T305" i="32"/>
  <c r="Z305" i="32"/>
  <c r="Z310" i="32"/>
  <c r="U310" i="32"/>
  <c r="Z315" i="32"/>
  <c r="T315" i="32"/>
  <c r="AA341" i="32"/>
  <c r="U353" i="32"/>
  <c r="T353" i="32"/>
  <c r="AA364" i="32"/>
  <c r="Z368" i="32"/>
  <c r="U377" i="32"/>
  <c r="Z405" i="32"/>
  <c r="T405" i="32"/>
  <c r="T411" i="32"/>
  <c r="Z411" i="32"/>
  <c r="Z524" i="32"/>
  <c r="T524" i="32"/>
  <c r="T543" i="32"/>
  <c r="Z543" i="32"/>
  <c r="T545" i="32"/>
  <c r="Z545" i="32"/>
  <c r="AA545" i="32"/>
  <c r="Z557" i="32"/>
  <c r="U557" i="32"/>
  <c r="T557" i="32"/>
  <c r="Z591" i="32"/>
  <c r="T591" i="32"/>
  <c r="T593" i="32"/>
  <c r="AA593" i="32"/>
  <c r="U600" i="32"/>
  <c r="AA279" i="32"/>
  <c r="T280" i="32"/>
  <c r="U283" i="32"/>
  <c r="Z287" i="32"/>
  <c r="T287" i="32"/>
  <c r="T532" i="32"/>
  <c r="Z532" i="32"/>
  <c r="Z578" i="32"/>
  <c r="AA578" i="32"/>
  <c r="T620" i="32"/>
  <c r="AA620" i="32"/>
  <c r="Z620" i="32"/>
  <c r="Z642" i="32"/>
  <c r="T642" i="32"/>
  <c r="AA41" i="32"/>
  <c r="T12" i="32"/>
  <c r="AA40" i="32"/>
  <c r="T44" i="32"/>
  <c r="AA53" i="32"/>
  <c r="T57" i="32"/>
  <c r="U68" i="32"/>
  <c r="U70" i="32"/>
  <c r="Z71" i="32"/>
  <c r="T71" i="32"/>
  <c r="T72" i="32"/>
  <c r="U76" i="32"/>
  <c r="U86" i="32"/>
  <c r="AA88" i="32"/>
  <c r="U89" i="32"/>
  <c r="AA90" i="32"/>
  <c r="Z91" i="32"/>
  <c r="U92" i="32"/>
  <c r="T95" i="32"/>
  <c r="T100" i="32"/>
  <c r="Z103" i="32"/>
  <c r="U118" i="32"/>
  <c r="AA120" i="32"/>
  <c r="U121" i="32"/>
  <c r="AA122" i="32"/>
  <c r="Z123" i="32"/>
  <c r="U124" i="32"/>
  <c r="U127" i="32"/>
  <c r="AA128" i="32"/>
  <c r="Z129" i="32"/>
  <c r="U130" i="32"/>
  <c r="T133" i="32"/>
  <c r="T138" i="32"/>
  <c r="Z141" i="32"/>
  <c r="AA144" i="32"/>
  <c r="T154" i="32"/>
  <c r="T161" i="32"/>
  <c r="U162" i="32"/>
  <c r="U167" i="32"/>
  <c r="AA182" i="32"/>
  <c r="AA188" i="32"/>
  <c r="T193" i="32"/>
  <c r="Z194" i="32"/>
  <c r="T194" i="32"/>
  <c r="U195" i="32"/>
  <c r="Z205" i="32"/>
  <c r="U205" i="32"/>
  <c r="T206" i="32"/>
  <c r="U207" i="32"/>
  <c r="U209" i="32"/>
  <c r="Z210" i="32"/>
  <c r="U214" i="32"/>
  <c r="AA223" i="32"/>
  <c r="T231" i="32"/>
  <c r="U236" i="32"/>
  <c r="Z240" i="32"/>
  <c r="T240" i="32"/>
  <c r="Z252" i="32"/>
  <c r="U256" i="32"/>
  <c r="AA265" i="32"/>
  <c r="T286" i="32"/>
  <c r="Z286" i="32"/>
  <c r="AA290" i="32"/>
  <c r="AA298" i="32"/>
  <c r="Z298" i="32"/>
  <c r="U298" i="32"/>
  <c r="T310" i="32"/>
  <c r="Z321" i="32"/>
  <c r="AA323" i="32"/>
  <c r="Z323" i="32"/>
  <c r="AA324" i="32"/>
  <c r="U325" i="32"/>
  <c r="T340" i="32"/>
  <c r="U358" i="32"/>
  <c r="U397" i="32"/>
  <c r="U457" i="32"/>
  <c r="AA457" i="32"/>
  <c r="T485" i="32"/>
  <c r="T497" i="32"/>
  <c r="T288" i="32"/>
  <c r="T374" i="32"/>
  <c r="Z374" i="32"/>
  <c r="AA378" i="32"/>
  <c r="T378" i="32"/>
  <c r="AA425" i="32"/>
  <c r="T425" i="32"/>
  <c r="AA572" i="32"/>
  <c r="T572" i="32"/>
  <c r="Z577" i="32"/>
  <c r="Z731" i="32"/>
  <c r="T731" i="32"/>
  <c r="T13" i="32"/>
  <c r="AA39" i="32"/>
  <c r="T43" i="32"/>
  <c r="T56" i="32"/>
  <c r="T65" i="32"/>
  <c r="U90" i="32"/>
  <c r="AA95" i="32"/>
  <c r="Z98" i="32"/>
  <c r="Z101" i="32"/>
  <c r="T101" i="32"/>
  <c r="U103" i="32"/>
  <c r="AA108" i="32"/>
  <c r="U122" i="32"/>
  <c r="U128" i="32"/>
  <c r="AA133" i="32"/>
  <c r="Z136" i="32"/>
  <c r="Z139" i="32"/>
  <c r="T139" i="32"/>
  <c r="U141" i="32"/>
  <c r="T144" i="32"/>
  <c r="Z147" i="32"/>
  <c r="U150" i="32"/>
  <c r="AA150" i="32"/>
  <c r="Z155" i="32"/>
  <c r="T155" i="32"/>
  <c r="T157" i="32"/>
  <c r="Z158" i="32"/>
  <c r="AA168" i="32"/>
  <c r="T175" i="32"/>
  <c r="Z175" i="32"/>
  <c r="T181" i="32"/>
  <c r="Z181" i="32"/>
  <c r="U187" i="32"/>
  <c r="U188" i="32"/>
  <c r="AA193" i="32"/>
  <c r="AA202" i="32"/>
  <c r="T205" i="32"/>
  <c r="U208" i="32"/>
  <c r="U220" i="32"/>
  <c r="T224" i="32"/>
  <c r="Z232" i="32"/>
  <c r="T232" i="32"/>
  <c r="Z239" i="32"/>
  <c r="AA240" i="32"/>
  <c r="T250" i="32"/>
  <c r="Z250" i="32"/>
  <c r="Z251" i="32"/>
  <c r="T251" i="32"/>
  <c r="T252" i="32"/>
  <c r="Z265" i="32"/>
  <c r="T265" i="32"/>
  <c r="T272" i="32"/>
  <c r="U289" i="32"/>
  <c r="T303" i="32"/>
  <c r="AA353" i="32"/>
  <c r="U356" i="32"/>
  <c r="AA356" i="32"/>
  <c r="Z356" i="32"/>
  <c r="T363" i="32"/>
  <c r="Z364" i="32"/>
  <c r="T364" i="32"/>
  <c r="T368" i="32"/>
  <c r="AA389" i="32"/>
  <c r="Z404" i="32"/>
  <c r="T404" i="32"/>
  <c r="Z457" i="32"/>
  <c r="T457" i="32"/>
  <c r="Z460" i="32"/>
  <c r="T460" i="32"/>
  <c r="Z481" i="32"/>
  <c r="T481" i="32"/>
  <c r="U543" i="32"/>
  <c r="AA556" i="32"/>
  <c r="T556" i="32"/>
  <c r="AA157" i="32"/>
  <c r="Z168" i="32"/>
  <c r="T170" i="32"/>
  <c r="U178" i="32"/>
  <c r="Z179" i="32"/>
  <c r="Z182" i="32"/>
  <c r="AA184" i="32"/>
  <c r="Z185" i="32"/>
  <c r="T185" i="32"/>
  <c r="Z188" i="32"/>
  <c r="AA190" i="32"/>
  <c r="Z191" i="32"/>
  <c r="T191" i="32"/>
  <c r="Z197" i="32"/>
  <c r="U212" i="32"/>
  <c r="U218" i="32"/>
  <c r="U228" i="32"/>
  <c r="U231" i="32"/>
  <c r="AA232" i="32"/>
  <c r="U234" i="32"/>
  <c r="T237" i="32"/>
  <c r="T239" i="32"/>
  <c r="T242" i="32"/>
  <c r="AA246" i="32"/>
  <c r="U263" i="32"/>
  <c r="AA263" i="32"/>
  <c r="T264" i="32"/>
  <c r="Z264" i="32"/>
  <c r="Z269" i="32"/>
  <c r="Z275" i="32"/>
  <c r="AA286" i="32"/>
  <c r="U294" i="32"/>
  <c r="T295" i="32"/>
  <c r="T296" i="32"/>
  <c r="U299" i="32"/>
  <c r="Z307" i="32"/>
  <c r="AA308" i="32"/>
  <c r="Z309" i="32"/>
  <c r="U322" i="32"/>
  <c r="T323" i="32"/>
  <c r="T339" i="32"/>
  <c r="T357" i="32"/>
  <c r="Z357" i="32"/>
  <c r="Z358" i="32"/>
  <c r="T358" i="32"/>
  <c r="U366" i="32"/>
  <c r="T369" i="32"/>
  <c r="Z369" i="32"/>
  <c r="T375" i="32"/>
  <c r="T385" i="32"/>
  <c r="Z385" i="32"/>
  <c r="AA392" i="32"/>
  <c r="T395" i="32"/>
  <c r="Z396" i="32"/>
  <c r="T396" i="32"/>
  <c r="Z448" i="32"/>
  <c r="T448" i="32"/>
  <c r="U459" i="32"/>
  <c r="T461" i="32"/>
  <c r="U496" i="32"/>
  <c r="T496" i="32"/>
  <c r="T500" i="32"/>
  <c r="AA503" i="32"/>
  <c r="T604" i="32"/>
  <c r="AA615" i="32"/>
  <c r="T615" i="32"/>
  <c r="Z152" i="32"/>
  <c r="T165" i="32"/>
  <c r="Z165" i="32"/>
  <c r="AA173" i="32"/>
  <c r="U196" i="32"/>
  <c r="AA201" i="32"/>
  <c r="Z204" i="32"/>
  <c r="AA206" i="32"/>
  <c r="Z207" i="32"/>
  <c r="T207" i="32"/>
  <c r="T215" i="32"/>
  <c r="T217" i="32"/>
  <c r="T221" i="32"/>
  <c r="T226" i="32"/>
  <c r="AA230" i="32"/>
  <c r="U244" i="32"/>
  <c r="U247" i="32"/>
  <c r="AA248" i="32"/>
  <c r="U250" i="32"/>
  <c r="T253" i="32"/>
  <c r="T257" i="32"/>
  <c r="U260" i="32"/>
  <c r="T261" i="32"/>
  <c r="Z262" i="32"/>
  <c r="T262" i="32"/>
  <c r="AA269" i="32"/>
  <c r="Z281" i="32"/>
  <c r="Z292" i="32"/>
  <c r="U292" i="32"/>
  <c r="T292" i="32"/>
  <c r="AA293" i="32"/>
  <c r="T304" i="32"/>
  <c r="AA305" i="32"/>
  <c r="Z312" i="32"/>
  <c r="AA312" i="32"/>
  <c r="Z320" i="32"/>
  <c r="U320" i="32"/>
  <c r="T320" i="32"/>
  <c r="AA321" i="32"/>
  <c r="Z329" i="32"/>
  <c r="T329" i="32"/>
  <c r="U332" i="32"/>
  <c r="U342" i="32"/>
  <c r="AA342" i="32"/>
  <c r="AA346" i="32"/>
  <c r="T346" i="32"/>
  <c r="Z346" i="32"/>
  <c r="AA351" i="32"/>
  <c r="Z351" i="32"/>
  <c r="U351" i="32"/>
  <c r="T356" i="32"/>
  <c r="U357" i="32"/>
  <c r="U359" i="32"/>
  <c r="Z359" i="32"/>
  <c r="AA359" i="32"/>
  <c r="Z383" i="32"/>
  <c r="T383" i="32"/>
  <c r="AA383" i="32"/>
  <c r="U383" i="32"/>
  <c r="T387" i="32"/>
  <c r="U395" i="32"/>
  <c r="U398" i="32"/>
  <c r="AA403" i="32"/>
  <c r="AA410" i="32"/>
  <c r="T410" i="32"/>
  <c r="U418" i="32"/>
  <c r="AA420" i="32"/>
  <c r="T420" i="32"/>
  <c r="U425" i="32"/>
  <c r="AA433" i="32"/>
  <c r="Z433" i="32"/>
  <c r="T433" i="32"/>
  <c r="AA441" i="32"/>
  <c r="AA447" i="32"/>
  <c r="T456" i="32"/>
  <c r="AA475" i="32"/>
  <c r="U477" i="32"/>
  <c r="AA477" i="32"/>
  <c r="U478" i="32"/>
  <c r="AA491" i="32"/>
  <c r="AA536" i="32"/>
  <c r="U159" i="32"/>
  <c r="AA165" i="32"/>
  <c r="T167" i="32"/>
  <c r="U172" i="32"/>
  <c r="U200" i="32"/>
  <c r="U203" i="32"/>
  <c r="AA204" i="32"/>
  <c r="U206" i="32"/>
  <c r="T209" i="32"/>
  <c r="T211" i="32"/>
  <c r="T214" i="32"/>
  <c r="AA215" i="32"/>
  <c r="T220" i="32"/>
  <c r="AA221" i="32"/>
  <c r="Z224" i="32"/>
  <c r="AA226" i="32"/>
  <c r="Z227" i="32"/>
  <c r="T227" i="32"/>
  <c r="U248" i="32"/>
  <c r="AA253" i="32"/>
  <c r="Z256" i="32"/>
  <c r="T258" i="32"/>
  <c r="AA258" i="32"/>
  <c r="U258" i="32"/>
  <c r="T259" i="32"/>
  <c r="T260" i="32"/>
  <c r="AA267" i="32"/>
  <c r="AA268" i="32"/>
  <c r="U273" i="32"/>
  <c r="T277" i="32"/>
  <c r="U280" i="32"/>
  <c r="Z285" i="32"/>
  <c r="Z291" i="32"/>
  <c r="Z299" i="32"/>
  <c r="T299" i="32"/>
  <c r="Z301" i="32"/>
  <c r="Z303" i="32"/>
  <c r="T312" i="32"/>
  <c r="Z319" i="32"/>
  <c r="T328" i="32"/>
  <c r="AA330" i="32"/>
  <c r="Z342" i="32"/>
  <c r="T342" i="32"/>
  <c r="U346" i="32"/>
  <c r="Z367" i="32"/>
  <c r="Z372" i="32"/>
  <c r="T372" i="32"/>
  <c r="U378" i="32"/>
  <c r="T403" i="32"/>
  <c r="Z403" i="32"/>
  <c r="T427" i="32"/>
  <c r="Z427" i="32"/>
  <c r="AA432" i="32"/>
  <c r="U432" i="32"/>
  <c r="U436" i="32"/>
  <c r="Z442" i="32"/>
  <c r="Z468" i="32"/>
  <c r="T490" i="32"/>
  <c r="U491" i="32"/>
  <c r="T523" i="32"/>
  <c r="Z523" i="32"/>
  <c r="U564" i="32"/>
  <c r="AA149" i="32"/>
  <c r="Z160" i="32"/>
  <c r="U164" i="32"/>
  <c r="T168" i="32"/>
  <c r="U175" i="32"/>
  <c r="Z176" i="32"/>
  <c r="T178" i="32"/>
  <c r="T179" i="32"/>
  <c r="T182" i="32"/>
  <c r="U204" i="32"/>
  <c r="AA209" i="32"/>
  <c r="Z212" i="32"/>
  <c r="AA214" i="32"/>
  <c r="U217" i="32"/>
  <c r="Z218" i="32"/>
  <c r="AA220" i="32"/>
  <c r="U223" i="32"/>
  <c r="AA224" i="32"/>
  <c r="U226" i="32"/>
  <c r="T229" i="32"/>
  <c r="T234" i="32"/>
  <c r="AA238" i="32"/>
  <c r="U252" i="32"/>
  <c r="U255" i="32"/>
  <c r="AA256" i="32"/>
  <c r="Z257" i="32"/>
  <c r="AA261" i="32"/>
  <c r="U267" i="32"/>
  <c r="AA278" i="32"/>
  <c r="U281" i="32"/>
  <c r="AA289" i="32"/>
  <c r="AA300" i="32"/>
  <c r="T309" i="32"/>
  <c r="T311" i="32"/>
  <c r="Z311" i="32"/>
  <c r="U312" i="32"/>
  <c r="T318" i="32"/>
  <c r="U318" i="32"/>
  <c r="AA327" i="32"/>
  <c r="AA329" i="32"/>
  <c r="U336" i="32"/>
  <c r="U341" i="32"/>
  <c r="T341" i="32"/>
  <c r="Z341" i="32"/>
  <c r="Z366" i="32"/>
  <c r="U367" i="32"/>
  <c r="T392" i="32"/>
  <c r="Z392" i="32"/>
  <c r="Z398" i="32"/>
  <c r="U407" i="32"/>
  <c r="AA411" i="32"/>
  <c r="AA412" i="32"/>
  <c r="T412" i="32"/>
  <c r="T413" i="32"/>
  <c r="AA427" i="32"/>
  <c r="AA429" i="32"/>
  <c r="T443" i="32"/>
  <c r="Z443" i="32"/>
  <c r="U444" i="32"/>
  <c r="Z449" i="32"/>
  <c r="T449" i="32"/>
  <c r="AA456" i="32"/>
  <c r="U465" i="32"/>
  <c r="AA465" i="32"/>
  <c r="Z465" i="32"/>
  <c r="T465" i="32"/>
  <c r="U484" i="32"/>
  <c r="T509" i="32"/>
  <c r="Z512" i="32"/>
  <c r="T512" i="32"/>
  <c r="T534" i="32"/>
  <c r="U261" i="32"/>
  <c r="AA262" i="32"/>
  <c r="T266" i="32"/>
  <c r="U266" i="32"/>
  <c r="T267" i="32"/>
  <c r="U277" i="32"/>
  <c r="U279" i="32"/>
  <c r="T282" i="32"/>
  <c r="T283" i="32"/>
  <c r="U293" i="32"/>
  <c r="U295" i="32"/>
  <c r="T298" i="32"/>
  <c r="T300" i="32"/>
  <c r="Z300" i="32"/>
  <c r="AA303" i="32"/>
  <c r="AA309" i="32"/>
  <c r="U321" i="32"/>
  <c r="U323" i="32"/>
  <c r="U324" i="32"/>
  <c r="Z325" i="32"/>
  <c r="U327" i="32"/>
  <c r="Z330" i="32"/>
  <c r="T330" i="32"/>
  <c r="AA333" i="32"/>
  <c r="U335" i="32"/>
  <c r="Z343" i="32"/>
  <c r="U348" i="32"/>
  <c r="T348" i="32"/>
  <c r="T349" i="32"/>
  <c r="Z349" i="32"/>
  <c r="U354" i="32"/>
  <c r="AA358" i="32"/>
  <c r="AA366" i="32"/>
  <c r="AA367" i="32"/>
  <c r="AA373" i="32"/>
  <c r="Z373" i="32"/>
  <c r="U373" i="32"/>
  <c r="AA374" i="32"/>
  <c r="AA380" i="32"/>
  <c r="Z382" i="32"/>
  <c r="U388" i="32"/>
  <c r="AA400" i="32"/>
  <c r="AA401" i="32"/>
  <c r="Z401" i="32"/>
  <c r="T401" i="32"/>
  <c r="U419" i="32"/>
  <c r="Z422" i="32"/>
  <c r="T422" i="32"/>
  <c r="AA426" i="32"/>
  <c r="U428" i="32"/>
  <c r="U435" i="32"/>
  <c r="Z438" i="32"/>
  <c r="U440" i="32"/>
  <c r="Z444" i="32"/>
  <c r="Z469" i="32"/>
  <c r="U470" i="32"/>
  <c r="T473" i="32"/>
  <c r="U483" i="32"/>
  <c r="Z486" i="32"/>
  <c r="T486" i="32"/>
  <c r="AA490" i="32"/>
  <c r="Z491" i="32"/>
  <c r="U492" i="32"/>
  <c r="AA492" i="32"/>
  <c r="AA517" i="32"/>
  <c r="T518" i="32"/>
  <c r="Z518" i="32"/>
  <c r="AA518" i="32"/>
  <c r="T526" i="32"/>
  <c r="Z526" i="32"/>
  <c r="AA526" i="32"/>
  <c r="U539" i="32"/>
  <c r="T558" i="32"/>
  <c r="T585" i="32"/>
  <c r="U586" i="32"/>
  <c r="AA596" i="32"/>
  <c r="U610" i="32"/>
  <c r="AA725" i="32"/>
  <c r="AA747" i="32"/>
  <c r="U747" i="32"/>
  <c r="AA757" i="32"/>
  <c r="Z193" i="32"/>
  <c r="Z201" i="32"/>
  <c r="Z209" i="32"/>
  <c r="Z215" i="32"/>
  <c r="Z221" i="32"/>
  <c r="Z229" i="32"/>
  <c r="Z237" i="32"/>
  <c r="Z245" i="32"/>
  <c r="Z253" i="32"/>
  <c r="AA259" i="32"/>
  <c r="Z267" i="32"/>
  <c r="U269" i="32"/>
  <c r="U271" i="32"/>
  <c r="T274" i="32"/>
  <c r="T275" i="32"/>
  <c r="Z283" i="32"/>
  <c r="U285" i="32"/>
  <c r="U287" i="32"/>
  <c r="T290" i="32"/>
  <c r="T291" i="32"/>
  <c r="U305" i="32"/>
  <c r="U311" i="32"/>
  <c r="T314" i="32"/>
  <c r="Z314" i="32"/>
  <c r="T316" i="32"/>
  <c r="T319" i="32"/>
  <c r="U338" i="32"/>
  <c r="AA339" i="32"/>
  <c r="Z348" i="32"/>
  <c r="AA354" i="32"/>
  <c r="T354" i="32"/>
  <c r="Z354" i="32"/>
  <c r="U360" i="32"/>
  <c r="AA369" i="32"/>
  <c r="Z376" i="32"/>
  <c r="Z391" i="32"/>
  <c r="U391" i="32"/>
  <c r="T391" i="32"/>
  <c r="U392" i="32"/>
  <c r="AA409" i="32"/>
  <c r="U414" i="32"/>
  <c r="Z417" i="32"/>
  <c r="T417" i="32"/>
  <c r="AA422" i="32"/>
  <c r="T424" i="32"/>
  <c r="AA428" i="32"/>
  <c r="AA430" i="32"/>
  <c r="Z437" i="32"/>
  <c r="U438" i="32"/>
  <c r="U451" i="32"/>
  <c r="Z454" i="32"/>
  <c r="T454" i="32"/>
  <c r="AA455" i="32"/>
  <c r="AA458" i="32"/>
  <c r="U460" i="32"/>
  <c r="T462" i="32"/>
  <c r="U467" i="32"/>
  <c r="Z470" i="32"/>
  <c r="U472" i="32"/>
  <c r="Z476" i="32"/>
  <c r="AA486" i="32"/>
  <c r="T488" i="32"/>
  <c r="U503" i="32"/>
  <c r="T511" i="32"/>
  <c r="Z511" i="32"/>
  <c r="T527" i="32"/>
  <c r="Z527" i="32"/>
  <c r="U528" i="32"/>
  <c r="T530" i="32"/>
  <c r="Z535" i="32"/>
  <c r="AA537" i="32"/>
  <c r="Z538" i="32"/>
  <c r="T538" i="32"/>
  <c r="U548" i="32"/>
  <c r="T565" i="32"/>
  <c r="T568" i="32"/>
  <c r="Z568" i="32"/>
  <c r="Z569" i="32"/>
  <c r="Z587" i="32"/>
  <c r="T587" i="32"/>
  <c r="U592" i="32"/>
  <c r="T592" i="32"/>
  <c r="AA592" i="32"/>
  <c r="U593" i="32"/>
  <c r="Z266" i="32"/>
  <c r="U272" i="32"/>
  <c r="Z273" i="32"/>
  <c r="AA275" i="32"/>
  <c r="U288" i="32"/>
  <c r="Z289" i="32"/>
  <c r="AA291" i="32"/>
  <c r="AA307" i="32"/>
  <c r="AA313" i="32"/>
  <c r="AA314" i="32"/>
  <c r="AA319" i="32"/>
  <c r="AA325" i="32"/>
  <c r="Z328" i="32"/>
  <c r="Z333" i="32"/>
  <c r="U334" i="32"/>
  <c r="T334" i="32"/>
  <c r="T336" i="32"/>
  <c r="T344" i="32"/>
  <c r="Z344" i="32"/>
  <c r="Z345" i="32"/>
  <c r="AA348" i="32"/>
  <c r="AA349" i="32"/>
  <c r="U362" i="32"/>
  <c r="AA362" i="32"/>
  <c r="U364" i="32"/>
  <c r="Z375" i="32"/>
  <c r="T377" i="32"/>
  <c r="Z377" i="32"/>
  <c r="Z378" i="32"/>
  <c r="AA379" i="32"/>
  <c r="U380" i="32"/>
  <c r="T386" i="32"/>
  <c r="T394" i="32"/>
  <c r="AA394" i="32"/>
  <c r="U396" i="32"/>
  <c r="T398" i="32"/>
  <c r="U403" i="32"/>
  <c r="Z406" i="32"/>
  <c r="U408" i="32"/>
  <c r="Z412" i="32"/>
  <c r="Z425" i="32"/>
  <c r="U429" i="32"/>
  <c r="AA435" i="32"/>
  <c r="Z436" i="32"/>
  <c r="AA443" i="32"/>
  <c r="U445" i="32"/>
  <c r="AA445" i="32"/>
  <c r="T459" i="32"/>
  <c r="Z459" i="32"/>
  <c r="Z480" i="32"/>
  <c r="T480" i="32"/>
  <c r="Z489" i="32"/>
  <c r="Z508" i="32"/>
  <c r="T508" i="32"/>
  <c r="U514" i="32"/>
  <c r="T533" i="32"/>
  <c r="Z533" i="32"/>
  <c r="U563" i="32"/>
  <c r="AA266" i="32"/>
  <c r="U275" i="32"/>
  <c r="T278" i="32"/>
  <c r="Z278" i="32"/>
  <c r="AA281" i="32"/>
  <c r="U291" i="32"/>
  <c r="T294" i="32"/>
  <c r="Z294" i="32"/>
  <c r="AA297" i="32"/>
  <c r="U307" i="32"/>
  <c r="U313" i="32"/>
  <c r="U315" i="32"/>
  <c r="U316" i="32"/>
  <c r="Z317" i="32"/>
  <c r="U319" i="32"/>
  <c r="T322" i="32"/>
  <c r="Z322" i="32"/>
  <c r="T324" i="32"/>
  <c r="T325" i="32"/>
  <c r="T326" i="32"/>
  <c r="U326" i="32"/>
  <c r="T327" i="32"/>
  <c r="Z331" i="32"/>
  <c r="AA344" i="32"/>
  <c r="AA350" i="32"/>
  <c r="U361" i="32"/>
  <c r="AA363" i="32"/>
  <c r="T367" i="32"/>
  <c r="U385" i="32"/>
  <c r="AA391" i="32"/>
  <c r="U393" i="32"/>
  <c r="AA395" i="32"/>
  <c r="Z416" i="32"/>
  <c r="T416" i="32"/>
  <c r="U417" i="32"/>
  <c r="Z428" i="32"/>
  <c r="T428" i="32"/>
  <c r="T432" i="32"/>
  <c r="AA434" i="32"/>
  <c r="Z434" i="32"/>
  <c r="T435" i="32"/>
  <c r="Z435" i="32"/>
  <c r="T440" i="32"/>
  <c r="U441" i="32"/>
  <c r="AA449" i="32"/>
  <c r="U450" i="32"/>
  <c r="AA459" i="32"/>
  <c r="U462" i="32"/>
  <c r="T470" i="32"/>
  <c r="U471" i="32"/>
  <c r="T475" i="32"/>
  <c r="Z475" i="32"/>
  <c r="U476" i="32"/>
  <c r="AA478" i="32"/>
  <c r="T479" i="32"/>
  <c r="Z479" i="32"/>
  <c r="AA480" i="32"/>
  <c r="T482" i="32"/>
  <c r="AA482" i="32"/>
  <c r="AA497" i="32"/>
  <c r="Z497" i="32"/>
  <c r="T498" i="32"/>
  <c r="Z498" i="32"/>
  <c r="AA501" i="32"/>
  <c r="Z501" i="32"/>
  <c r="T501" i="32"/>
  <c r="T502" i="32"/>
  <c r="Z502" i="32"/>
  <c r="U511" i="32"/>
  <c r="T513" i="32"/>
  <c r="Z513" i="32"/>
  <c r="AA514" i="32"/>
  <c r="U527" i="32"/>
  <c r="U529" i="32"/>
  <c r="T529" i="32"/>
  <c r="U531" i="32"/>
  <c r="AA534" i="32"/>
  <c r="T537" i="32"/>
  <c r="U541" i="32"/>
  <c r="AA546" i="32"/>
  <c r="AA549" i="32"/>
  <c r="AA565" i="32"/>
  <c r="T579" i="32"/>
  <c r="Z603" i="32"/>
  <c r="T624" i="32"/>
  <c r="Z272" i="32"/>
  <c r="Z280" i="32"/>
  <c r="Z288" i="32"/>
  <c r="Z296" i="32"/>
  <c r="Z302" i="32"/>
  <c r="Z308" i="32"/>
  <c r="Z316" i="32"/>
  <c r="Z324" i="32"/>
  <c r="T333" i="32"/>
  <c r="AA336" i="32"/>
  <c r="AA337" i="32"/>
  <c r="U344" i="32"/>
  <c r="U368" i="32"/>
  <c r="U371" i="32"/>
  <c r="U374" i="32"/>
  <c r="AA377" i="32"/>
  <c r="Z379" i="32"/>
  <c r="T381" i="32"/>
  <c r="T382" i="32"/>
  <c r="U405" i="32"/>
  <c r="AA408" i="32"/>
  <c r="Z413" i="32"/>
  <c r="U415" i="32"/>
  <c r="T423" i="32"/>
  <c r="Z423" i="32"/>
  <c r="Z424" i="32"/>
  <c r="U426" i="32"/>
  <c r="AA436" i="32"/>
  <c r="AA440" i="32"/>
  <c r="Z445" i="32"/>
  <c r="U447" i="32"/>
  <c r="U453" i="32"/>
  <c r="T455" i="32"/>
  <c r="Z455" i="32"/>
  <c r="Z456" i="32"/>
  <c r="U458" i="32"/>
  <c r="AA468" i="32"/>
  <c r="Z477" i="32"/>
  <c r="U479" i="32"/>
  <c r="U485" i="32"/>
  <c r="T487" i="32"/>
  <c r="Z487" i="32"/>
  <c r="Z488" i="32"/>
  <c r="U490" i="32"/>
  <c r="AA493" i="32"/>
  <c r="Z494" i="32"/>
  <c r="AA495" i="32"/>
  <c r="AA502" i="32"/>
  <c r="U507" i="32"/>
  <c r="AA511" i="32"/>
  <c r="U513" i="32"/>
  <c r="U518" i="32"/>
  <c r="Z520" i="32"/>
  <c r="T520" i="32"/>
  <c r="AA525" i="32"/>
  <c r="T541" i="32"/>
  <c r="U549" i="32"/>
  <c r="T549" i="32"/>
  <c r="Z549" i="32"/>
  <c r="AA555" i="32"/>
  <c r="U559" i="32"/>
  <c r="T559" i="32"/>
  <c r="Z559" i="32"/>
  <c r="U565" i="32"/>
  <c r="Z567" i="32"/>
  <c r="T567" i="32"/>
  <c r="U569" i="32"/>
  <c r="AA576" i="32"/>
  <c r="U576" i="32"/>
  <c r="Z576" i="32"/>
  <c r="T576" i="32"/>
  <c r="T636" i="32"/>
  <c r="AA671" i="32"/>
  <c r="Z671" i="32"/>
  <c r="U671" i="32"/>
  <c r="AA685" i="32"/>
  <c r="Z685" i="32"/>
  <c r="U695" i="32"/>
  <c r="AA347" i="32"/>
  <c r="T351" i="32"/>
  <c r="T352" i="32"/>
  <c r="U376" i="32"/>
  <c r="U379" i="32"/>
  <c r="U382" i="32"/>
  <c r="AA385" i="32"/>
  <c r="Z387" i="32"/>
  <c r="T389" i="32"/>
  <c r="T390" i="32"/>
  <c r="T399" i="32"/>
  <c r="Z399" i="32"/>
  <c r="Z400" i="32"/>
  <c r="U402" i="32"/>
  <c r="U413" i="32"/>
  <c r="Z414" i="32"/>
  <c r="AA416" i="32"/>
  <c r="Z421" i="32"/>
  <c r="U423" i="32"/>
  <c r="T431" i="32"/>
  <c r="Z431" i="32"/>
  <c r="Z432" i="32"/>
  <c r="U434" i="32"/>
  <c r="AA444" i="32"/>
  <c r="Z446" i="32"/>
  <c r="Z453" i="32"/>
  <c r="U455" i="32"/>
  <c r="U461" i="32"/>
  <c r="T463" i="32"/>
  <c r="Z463" i="32"/>
  <c r="Z464" i="32"/>
  <c r="U466" i="32"/>
  <c r="AA476" i="32"/>
  <c r="Z478" i="32"/>
  <c r="Z485" i="32"/>
  <c r="U487" i="32"/>
  <c r="T493" i="32"/>
  <c r="T499" i="32"/>
  <c r="Z504" i="32"/>
  <c r="T504" i="32"/>
  <c r="AA509" i="32"/>
  <c r="Z516" i="32"/>
  <c r="T516" i="32"/>
  <c r="T519" i="32"/>
  <c r="Z519" i="32"/>
  <c r="T544" i="32"/>
  <c r="Z552" i="32"/>
  <c r="T552" i="32"/>
  <c r="Z555" i="32"/>
  <c r="T555" i="32"/>
  <c r="U560" i="32"/>
  <c r="T573" i="32"/>
  <c r="AA573" i="32"/>
  <c r="U583" i="32"/>
  <c r="AA586" i="32"/>
  <c r="AA587" i="32"/>
  <c r="Z590" i="32"/>
  <c r="AA590" i="32"/>
  <c r="U590" i="32"/>
  <c r="T595" i="32"/>
  <c r="T665" i="32"/>
  <c r="Z665" i="32"/>
  <c r="T697" i="32"/>
  <c r="Z697" i="32"/>
  <c r="T337" i="32"/>
  <c r="T338" i="32"/>
  <c r="AA340" i="32"/>
  <c r="Z340" i="32"/>
  <c r="U343" i="32"/>
  <c r="Z350" i="32"/>
  <c r="AA352" i="32"/>
  <c r="T355" i="32"/>
  <c r="Z355" i="32"/>
  <c r="AA360" i="32"/>
  <c r="T360" i="32"/>
  <c r="T361" i="32"/>
  <c r="Z361" i="32"/>
  <c r="AA368" i="32"/>
  <c r="U370" i="32"/>
  <c r="AA372" i="32"/>
  <c r="AA384" i="32"/>
  <c r="U386" i="32"/>
  <c r="Z388" i="32"/>
  <c r="AA390" i="32"/>
  <c r="T393" i="32"/>
  <c r="Z393" i="32"/>
  <c r="U401" i="32"/>
  <c r="AA404" i="32"/>
  <c r="Z409" i="32"/>
  <c r="U411" i="32"/>
  <c r="T419" i="32"/>
  <c r="Z419" i="32"/>
  <c r="Z420" i="32"/>
  <c r="U422" i="32"/>
  <c r="U433" i="32"/>
  <c r="Z441" i="32"/>
  <c r="U443" i="32"/>
  <c r="U449" i="32"/>
  <c r="T451" i="32"/>
  <c r="Z451" i="32"/>
  <c r="Z452" i="32"/>
  <c r="U454" i="32"/>
  <c r="AA464" i="32"/>
  <c r="Z473" i="32"/>
  <c r="U475" i="32"/>
  <c r="U481" i="32"/>
  <c r="T483" i="32"/>
  <c r="Z483" i="32"/>
  <c r="Z484" i="32"/>
  <c r="U486" i="32"/>
  <c r="AA494" i="32"/>
  <c r="AA499" i="32"/>
  <c r="Z500" i="32"/>
  <c r="AA504" i="32"/>
  <c r="T510" i="32"/>
  <c r="Z510" i="32"/>
  <c r="AA510" i="32"/>
  <c r="U515" i="32"/>
  <c r="AA519" i="32"/>
  <c r="U521" i="32"/>
  <c r="U526" i="32"/>
  <c r="T528" i="32"/>
  <c r="Z528" i="32"/>
  <c r="AA532" i="32"/>
  <c r="U542" i="32"/>
  <c r="T548" i="32"/>
  <c r="AA552" i="32"/>
  <c r="AA566" i="32"/>
  <c r="U571" i="32"/>
  <c r="U579" i="32"/>
  <c r="Z582" i="32"/>
  <c r="T584" i="32"/>
  <c r="AA589" i="32"/>
  <c r="T589" i="32"/>
  <c r="U599" i="32"/>
  <c r="AA601" i="32"/>
  <c r="U601" i="32"/>
  <c r="T601" i="32"/>
  <c r="T611" i="32"/>
  <c r="AA611" i="32"/>
  <c r="AA614" i="32"/>
  <c r="U614" i="32"/>
  <c r="T614" i="32"/>
  <c r="U621" i="32"/>
  <c r="U629" i="32"/>
  <c r="Z336" i="32"/>
  <c r="U349" i="32"/>
  <c r="U352" i="32"/>
  <c r="Z353" i="32"/>
  <c r="AA355" i="32"/>
  <c r="T359" i="32"/>
  <c r="AA361" i="32"/>
  <c r="Z363" i="32"/>
  <c r="T365" i="32"/>
  <c r="T366" i="32"/>
  <c r="U384" i="32"/>
  <c r="U387" i="32"/>
  <c r="U390" i="32"/>
  <c r="AA393" i="32"/>
  <c r="Z395" i="32"/>
  <c r="Z397" i="32"/>
  <c r="U399" i="32"/>
  <c r="T407" i="32"/>
  <c r="Z407" i="32"/>
  <c r="Z408" i="32"/>
  <c r="U410" i="32"/>
  <c r="U421" i="32"/>
  <c r="AA424" i="32"/>
  <c r="Z429" i="32"/>
  <c r="U431" i="32"/>
  <c r="U437" i="32"/>
  <c r="T439" i="32"/>
  <c r="Z439" i="32"/>
  <c r="Z440" i="32"/>
  <c r="U442" i="32"/>
  <c r="AA452" i="32"/>
  <c r="Z461" i="32"/>
  <c r="U463" i="32"/>
  <c r="U469" i="32"/>
  <c r="T471" i="32"/>
  <c r="Z471" i="32"/>
  <c r="Z472" i="32"/>
  <c r="U474" i="32"/>
  <c r="AA484" i="32"/>
  <c r="U494" i="32"/>
  <c r="T503" i="32"/>
  <c r="Z503" i="32"/>
  <c r="T515" i="32"/>
  <c r="Z515" i="32"/>
  <c r="U519" i="32"/>
  <c r="T521" i="32"/>
  <c r="U522" i="32"/>
  <c r="AA528" i="32"/>
  <c r="AA531" i="32"/>
  <c r="T531" i="32"/>
  <c r="Z539" i="32"/>
  <c r="T539" i="32"/>
  <c r="AA543" i="32"/>
  <c r="AA557" i="32"/>
  <c r="AA570" i="32"/>
  <c r="U570" i="32"/>
  <c r="U572" i="32"/>
  <c r="U573" i="32"/>
  <c r="U580" i="32"/>
  <c r="AA580" i="32"/>
  <c r="AA597" i="32"/>
  <c r="U598" i="32"/>
  <c r="AA655" i="32"/>
  <c r="Z655" i="32"/>
  <c r="U655" i="32"/>
  <c r="Z496" i="32"/>
  <c r="AA500" i="32"/>
  <c r="U502" i="32"/>
  <c r="AA505" i="32"/>
  <c r="AA513" i="32"/>
  <c r="AA521" i="32"/>
  <c r="U533" i="32"/>
  <c r="U545" i="32"/>
  <c r="Z551" i="32"/>
  <c r="AA553" i="32"/>
  <c r="U558" i="32"/>
  <c r="AA563" i="32"/>
  <c r="T566" i="32"/>
  <c r="Z580" i="32"/>
  <c r="T580" i="32"/>
  <c r="AA588" i="32"/>
  <c r="Z596" i="32"/>
  <c r="T596" i="32"/>
  <c r="T605" i="32"/>
  <c r="T608" i="32"/>
  <c r="U618" i="32"/>
  <c r="AA623" i="32"/>
  <c r="T623" i="32"/>
  <c r="Z634" i="32"/>
  <c r="T634" i="32"/>
  <c r="U635" i="32"/>
  <c r="AA637" i="32"/>
  <c r="U647" i="32"/>
  <c r="U654" i="32"/>
  <c r="Z656" i="32"/>
  <c r="U703" i="32"/>
  <c r="AA703" i="32"/>
  <c r="Z723" i="32"/>
  <c r="T723" i="32"/>
  <c r="Z740" i="32"/>
  <c r="T740" i="32"/>
  <c r="Z748" i="32"/>
  <c r="T748" i="32"/>
  <c r="AA799" i="32"/>
  <c r="T799" i="32"/>
  <c r="Z799" i="32"/>
  <c r="U799" i="32"/>
  <c r="AA507" i="32"/>
  <c r="AA508" i="32"/>
  <c r="AA515" i="32"/>
  <c r="AA516" i="32"/>
  <c r="AA523" i="32"/>
  <c r="AA524" i="32"/>
  <c r="U532" i="32"/>
  <c r="Z537" i="32"/>
  <c r="AA538" i="32"/>
  <c r="AA541" i="32"/>
  <c r="T547" i="32"/>
  <c r="AA550" i="32"/>
  <c r="Z554" i="32"/>
  <c r="T561" i="32"/>
  <c r="Z561" i="32"/>
  <c r="AA564" i="32"/>
  <c r="U566" i="32"/>
  <c r="T578" i="32"/>
  <c r="T588" i="32"/>
  <c r="AA598" i="32"/>
  <c r="AA616" i="32"/>
  <c r="Z616" i="32"/>
  <c r="T616" i="32"/>
  <c r="U617" i="32"/>
  <c r="Z631" i="32"/>
  <c r="T631" i="32"/>
  <c r="T640" i="32"/>
  <c r="AA640" i="32"/>
  <c r="U643" i="32"/>
  <c r="Z643" i="32"/>
  <c r="T643" i="32"/>
  <c r="U679" i="32"/>
  <c r="Z688" i="32"/>
  <c r="U719" i="32"/>
  <c r="Z719" i="32"/>
  <c r="U504" i="32"/>
  <c r="T506" i="32"/>
  <c r="Z506" i="32"/>
  <c r="Z509" i="32"/>
  <c r="U512" i="32"/>
  <c r="T514" i="32"/>
  <c r="Z514" i="32"/>
  <c r="Z517" i="32"/>
  <c r="U520" i="32"/>
  <c r="T522" i="32"/>
  <c r="Z522" i="32"/>
  <c r="Z525" i="32"/>
  <c r="AA527" i="32"/>
  <c r="Z529" i="32"/>
  <c r="AA535" i="32"/>
  <c r="AA544" i="32"/>
  <c r="Z548" i="32"/>
  <c r="U550" i="32"/>
  <c r="Z553" i="32"/>
  <c r="AA554" i="32"/>
  <c r="Z566" i="32"/>
  <c r="U567" i="32"/>
  <c r="T571" i="32"/>
  <c r="AA574" i="32"/>
  <c r="Z575" i="32"/>
  <c r="Z579" i="32"/>
  <c r="T583" i="32"/>
  <c r="T594" i="32"/>
  <c r="Z594" i="32"/>
  <c r="T598" i="32"/>
  <c r="U602" i="32"/>
  <c r="AA603" i="32"/>
  <c r="T603" i="32"/>
  <c r="T612" i="32"/>
  <c r="Z612" i="32"/>
  <c r="Z633" i="32"/>
  <c r="U633" i="32"/>
  <c r="T633" i="32"/>
  <c r="T682" i="32"/>
  <c r="Z682" i="32"/>
  <c r="AA687" i="32"/>
  <c r="Z687" i="32"/>
  <c r="U687" i="32"/>
  <c r="T491" i="32"/>
  <c r="AA529" i="32"/>
  <c r="Z536" i="32"/>
  <c r="T536" i="32"/>
  <c r="U544" i="32"/>
  <c r="Z546" i="32"/>
  <c r="T546" i="32"/>
  <c r="U547" i="32"/>
  <c r="AA551" i="32"/>
  <c r="T560" i="32"/>
  <c r="T564" i="32"/>
  <c r="U568" i="32"/>
  <c r="AA571" i="32"/>
  <c r="T574" i="32"/>
  <c r="Z574" i="32"/>
  <c r="AA599" i="32"/>
  <c r="T609" i="32"/>
  <c r="AA639" i="32"/>
  <c r="Z639" i="32"/>
  <c r="T639" i="32"/>
  <c r="Z534" i="32"/>
  <c r="U546" i="32"/>
  <c r="Z550" i="32"/>
  <c r="Z563" i="32"/>
  <c r="Z565" i="32"/>
  <c r="AA567" i="32"/>
  <c r="U578" i="32"/>
  <c r="AA579" i="32"/>
  <c r="U581" i="32"/>
  <c r="T586" i="32"/>
  <c r="Z588" i="32"/>
  <c r="Z589" i="32"/>
  <c r="U591" i="32"/>
  <c r="Z599" i="32"/>
  <c r="AA604" i="32"/>
  <c r="AA621" i="32"/>
  <c r="U650" i="32"/>
  <c r="U666" i="32"/>
  <c r="U682" i="32"/>
  <c r="U698" i="32"/>
  <c r="T703" i="32"/>
  <c r="Z703" i="32"/>
  <c r="U720" i="32"/>
  <c r="T742" i="32"/>
  <c r="U742" i="32"/>
  <c r="AA742" i="32"/>
  <c r="U752" i="32"/>
  <c r="U817" i="32"/>
  <c r="T817" i="32"/>
  <c r="AA817" i="32"/>
  <c r="Z530" i="32"/>
  <c r="U536" i="32"/>
  <c r="Z540" i="32"/>
  <c r="U552" i="32"/>
  <c r="Z556" i="32"/>
  <c r="Z562" i="32"/>
  <c r="U574" i="32"/>
  <c r="AA575" i="32"/>
  <c r="U577" i="32"/>
  <c r="T582" i="32"/>
  <c r="Z584" i="32"/>
  <c r="Z585" i="32"/>
  <c r="Z586" i="32"/>
  <c r="U587" i="32"/>
  <c r="Z595" i="32"/>
  <c r="U605" i="32"/>
  <c r="T607" i="32"/>
  <c r="U608" i="32"/>
  <c r="AA613" i="32"/>
  <c r="Z615" i="32"/>
  <c r="U620" i="32"/>
  <c r="AA626" i="32"/>
  <c r="T626" i="32"/>
  <c r="T630" i="32"/>
  <c r="U631" i="32"/>
  <c r="AA638" i="32"/>
  <c r="AA647" i="32"/>
  <c r="Z647" i="32"/>
  <c r="Z648" i="32"/>
  <c r="U657" i="32"/>
  <c r="T657" i="32"/>
  <c r="AA663" i="32"/>
  <c r="Z663" i="32"/>
  <c r="Z664" i="32"/>
  <c r="U673" i="32"/>
  <c r="T673" i="32"/>
  <c r="AA679" i="32"/>
  <c r="Z679" i="32"/>
  <c r="Z680" i="32"/>
  <c r="U689" i="32"/>
  <c r="T689" i="32"/>
  <c r="AA695" i="32"/>
  <c r="Z695" i="32"/>
  <c r="Z696" i="32"/>
  <c r="U705" i="32"/>
  <c r="T705" i="32"/>
  <c r="U726" i="32"/>
  <c r="U731" i="32"/>
  <c r="AA731" i="32"/>
  <c r="AA807" i="32"/>
  <c r="T807" i="32"/>
  <c r="U807" i="32"/>
  <c r="Z807" i="32"/>
  <c r="U538" i="32"/>
  <c r="Z542" i="32"/>
  <c r="U554" i="32"/>
  <c r="Z558" i="32"/>
  <c r="Z560" i="32"/>
  <c r="AA562" i="32"/>
  <c r="T570" i="32"/>
  <c r="Z572" i="32"/>
  <c r="Z573" i="32"/>
  <c r="U575" i="32"/>
  <c r="Z583" i="32"/>
  <c r="U594" i="32"/>
  <c r="AA595" i="32"/>
  <c r="U597" i="32"/>
  <c r="Z600" i="32"/>
  <c r="T600" i="32"/>
  <c r="Z601" i="32"/>
  <c r="AA610" i="32"/>
  <c r="T613" i="32"/>
  <c r="Z613" i="32"/>
  <c r="AA618" i="32"/>
  <c r="T618" i="32"/>
  <c r="U623" i="32"/>
  <c r="Z627" i="32"/>
  <c r="T629" i="32"/>
  <c r="Z629" i="32"/>
  <c r="U637" i="32"/>
  <c r="U642" i="32"/>
  <c r="Z651" i="32"/>
  <c r="U653" i="32"/>
  <c r="Z667" i="32"/>
  <c r="U669" i="32"/>
  <c r="U685" i="32"/>
  <c r="U701" i="32"/>
  <c r="Z718" i="32"/>
  <c r="T718" i="32"/>
  <c r="U761" i="32"/>
  <c r="Z766" i="32"/>
  <c r="T766" i="32"/>
  <c r="U540" i="32"/>
  <c r="Z544" i="32"/>
  <c r="U556" i="32"/>
  <c r="AA558" i="32"/>
  <c r="U562" i="32"/>
  <c r="Z571" i="32"/>
  <c r="U582" i="32"/>
  <c r="AA583" i="32"/>
  <c r="U585" i="32"/>
  <c r="T590" i="32"/>
  <c r="Z592" i="32"/>
  <c r="Z593" i="32"/>
  <c r="U595" i="32"/>
  <c r="AA600" i="32"/>
  <c r="U606" i="32"/>
  <c r="Z610" i="32"/>
  <c r="T610" i="32"/>
  <c r="Z618" i="32"/>
  <c r="AA624" i="32"/>
  <c r="T625" i="32"/>
  <c r="Z625" i="32"/>
  <c r="Z626" i="32"/>
  <c r="T632" i="32"/>
  <c r="U638" i="32"/>
  <c r="AA643" i="32"/>
  <c r="T650" i="32"/>
  <c r="AA659" i="32"/>
  <c r="T666" i="32"/>
  <c r="AA691" i="32"/>
  <c r="T704" i="32"/>
  <c r="T774" i="32"/>
  <c r="Z774" i="32"/>
  <c r="U781" i="32"/>
  <c r="U607" i="32"/>
  <c r="Z608" i="32"/>
  <c r="U609" i="32"/>
  <c r="U611" i="32"/>
  <c r="T617" i="32"/>
  <c r="Z617" i="32"/>
  <c r="Z619" i="32"/>
  <c r="T628" i="32"/>
  <c r="AA630" i="32"/>
  <c r="Z635" i="32"/>
  <c r="T641" i="32"/>
  <c r="AA642" i="32"/>
  <c r="Z708" i="32"/>
  <c r="T708" i="32"/>
  <c r="Z710" i="32"/>
  <c r="T710" i="32"/>
  <c r="AA710" i="32"/>
  <c r="U711" i="32"/>
  <c r="U735" i="32"/>
  <c r="U744" i="32"/>
  <c r="Z747" i="32"/>
  <c r="T747" i="32"/>
  <c r="T761" i="32"/>
  <c r="Z764" i="32"/>
  <c r="T764" i="32"/>
  <c r="U777" i="32"/>
  <c r="Z814" i="32"/>
  <c r="T814" i="32"/>
  <c r="U819" i="32"/>
  <c r="T819" i="32"/>
  <c r="AA819" i="32"/>
  <c r="Z602" i="32"/>
  <c r="Z614" i="32"/>
  <c r="U616" i="32"/>
  <c r="AA622" i="32"/>
  <c r="U625" i="32"/>
  <c r="U627" i="32"/>
  <c r="T637" i="32"/>
  <c r="U644" i="32"/>
  <c r="U652" i="32"/>
  <c r="U660" i="32"/>
  <c r="U668" i="32"/>
  <c r="U676" i="32"/>
  <c r="U684" i="32"/>
  <c r="U692" i="32"/>
  <c r="U700" i="32"/>
  <c r="AA715" i="32"/>
  <c r="U729" i="32"/>
  <c r="U736" i="32"/>
  <c r="Z755" i="32"/>
  <c r="T755" i="32"/>
  <c r="Z772" i="32"/>
  <c r="T772" i="32"/>
  <c r="Z605" i="32"/>
  <c r="U613" i="32"/>
  <c r="U615" i="32"/>
  <c r="T621" i="32"/>
  <c r="Z621" i="32"/>
  <c r="Z623" i="32"/>
  <c r="T638" i="32"/>
  <c r="U640" i="32"/>
  <c r="AA649" i="32"/>
  <c r="AA657" i="32"/>
  <c r="AA665" i="32"/>
  <c r="AA673" i="32"/>
  <c r="AA681" i="32"/>
  <c r="AA689" i="32"/>
  <c r="AA697" i="32"/>
  <c r="U712" i="32"/>
  <c r="U715" i="32"/>
  <c r="T729" i="32"/>
  <c r="Z732" i="32"/>
  <c r="T732" i="32"/>
  <c r="Z763" i="32"/>
  <c r="T763" i="32"/>
  <c r="Z770" i="32"/>
  <c r="T770" i="32"/>
  <c r="AA789" i="32"/>
  <c r="U603" i="32"/>
  <c r="U604" i="32"/>
  <c r="Z606" i="32"/>
  <c r="Z607" i="32"/>
  <c r="Z609" i="32"/>
  <c r="Z611" i="32"/>
  <c r="Z622" i="32"/>
  <c r="U624" i="32"/>
  <c r="U639" i="32"/>
  <c r="T646" i="32"/>
  <c r="T654" i="32"/>
  <c r="T662" i="32"/>
  <c r="T670" i="32"/>
  <c r="T678" i="32"/>
  <c r="T686" i="32"/>
  <c r="T694" i="32"/>
  <c r="T702" i="32"/>
  <c r="Z704" i="32"/>
  <c r="U751" i="32"/>
  <c r="U763" i="32"/>
  <c r="AA763" i="32"/>
  <c r="Z768" i="32"/>
  <c r="T768" i="32"/>
  <c r="Z786" i="32"/>
  <c r="AA798" i="32"/>
  <c r="Z798" i="32"/>
  <c r="U798" i="32"/>
  <c r="U630" i="32"/>
  <c r="Z632" i="32"/>
  <c r="T647" i="32"/>
  <c r="AA650" i="32"/>
  <c r="T655" i="32"/>
  <c r="AA658" i="32"/>
  <c r="T663" i="32"/>
  <c r="AA666" i="32"/>
  <c r="T671" i="32"/>
  <c r="AA674" i="32"/>
  <c r="AA675" i="32"/>
  <c r="T679" i="32"/>
  <c r="AA682" i="32"/>
  <c r="T687" i="32"/>
  <c r="AA690" i="32"/>
  <c r="T695" i="32"/>
  <c r="AA698" i="32"/>
  <c r="AA705" i="32"/>
  <c r="Z707" i="32"/>
  <c r="U708" i="32"/>
  <c r="Z712" i="32"/>
  <c r="U713" i="32"/>
  <c r="T713" i="32"/>
  <c r="Z713" i="32"/>
  <c r="U717" i="32"/>
  <c r="T717" i="32"/>
  <c r="Z717" i="32"/>
  <c r="U721" i="32"/>
  <c r="AA727" i="32"/>
  <c r="U727" i="32"/>
  <c r="T734" i="32"/>
  <c r="AA736" i="32"/>
  <c r="U738" i="32"/>
  <c r="T749" i="32"/>
  <c r="AA749" i="32"/>
  <c r="U753" i="32"/>
  <c r="AA759" i="32"/>
  <c r="U759" i="32"/>
  <c r="AA781" i="32"/>
  <c r="U809" i="32"/>
  <c r="T809" i="32"/>
  <c r="Z809" i="32"/>
  <c r="AA809" i="32"/>
  <c r="T812" i="32"/>
  <c r="Z812" i="32"/>
  <c r="U812" i="32"/>
  <c r="U815" i="32"/>
  <c r="T815" i="32"/>
  <c r="AA815" i="32"/>
  <c r="U632" i="32"/>
  <c r="Z636" i="32"/>
  <c r="T645" i="32"/>
  <c r="AA648" i="32"/>
  <c r="T653" i="32"/>
  <c r="AA656" i="32"/>
  <c r="T661" i="32"/>
  <c r="AA664" i="32"/>
  <c r="T669" i="32"/>
  <c r="AA672" i="32"/>
  <c r="T677" i="32"/>
  <c r="AA680" i="32"/>
  <c r="T685" i="32"/>
  <c r="AA688" i="32"/>
  <c r="T693" i="32"/>
  <c r="AA696" i="32"/>
  <c r="T701" i="32"/>
  <c r="AA707" i="32"/>
  <c r="Z716" i="32"/>
  <c r="T716" i="32"/>
  <c r="AA719" i="32"/>
  <c r="AA722" i="32"/>
  <c r="T726" i="32"/>
  <c r="AA728" i="32"/>
  <c r="AA741" i="32"/>
  <c r="U745" i="32"/>
  <c r="U750" i="32"/>
  <c r="T758" i="32"/>
  <c r="AA760" i="32"/>
  <c r="U778" i="32"/>
  <c r="AA788" i="32"/>
  <c r="AA796" i="32"/>
  <c r="AA806" i="32"/>
  <c r="Z806" i="32"/>
  <c r="U806" i="32"/>
  <c r="U813" i="32"/>
  <c r="T813" i="32"/>
  <c r="Z820" i="32"/>
  <c r="T820" i="32"/>
  <c r="U634" i="32"/>
  <c r="Z638" i="32"/>
  <c r="Z646" i="32"/>
  <c r="U648" i="32"/>
  <c r="Z654" i="32"/>
  <c r="U656" i="32"/>
  <c r="Z662" i="32"/>
  <c r="U664" i="32"/>
  <c r="Z670" i="32"/>
  <c r="U672" i="32"/>
  <c r="Z678" i="32"/>
  <c r="U680" i="32"/>
  <c r="Z686" i="32"/>
  <c r="U688" i="32"/>
  <c r="Z694" i="32"/>
  <c r="U696" i="32"/>
  <c r="Z700" i="32"/>
  <c r="Z702" i="32"/>
  <c r="U707" i="32"/>
  <c r="Z709" i="32"/>
  <c r="T709" i="32"/>
  <c r="AA717" i="32"/>
  <c r="U724" i="32"/>
  <c r="Z724" i="32"/>
  <c r="T724" i="32"/>
  <c r="U728" i="32"/>
  <c r="Z739" i="32"/>
  <c r="T739" i="32"/>
  <c r="AA754" i="32"/>
  <c r="U756" i="32"/>
  <c r="Z756" i="32"/>
  <c r="T756" i="32"/>
  <c r="U760" i="32"/>
  <c r="Z775" i="32"/>
  <c r="T782" i="32"/>
  <c r="Z782" i="32"/>
  <c r="U785" i="32"/>
  <c r="Z818" i="32"/>
  <c r="T818" i="32"/>
  <c r="U636" i="32"/>
  <c r="Z640" i="32"/>
  <c r="AA646" i="32"/>
  <c r="T651" i="32"/>
  <c r="AA654" i="32"/>
  <c r="T659" i="32"/>
  <c r="AA662" i="32"/>
  <c r="T667" i="32"/>
  <c r="AA670" i="32"/>
  <c r="T675" i="32"/>
  <c r="AA678" i="32"/>
  <c r="T683" i="32"/>
  <c r="AA686" i="32"/>
  <c r="T691" i="32"/>
  <c r="AA694" i="32"/>
  <c r="T699" i="32"/>
  <c r="AA702" i="32"/>
  <c r="Z706" i="32"/>
  <c r="T706" i="32"/>
  <c r="AA709" i="32"/>
  <c r="AA712" i="32"/>
  <c r="AA714" i="32"/>
  <c r="T714" i="32"/>
  <c r="AA716" i="32"/>
  <c r="T719" i="32"/>
  <c r="AA720" i="32"/>
  <c r="U722" i="32"/>
  <c r="T733" i="32"/>
  <c r="AA733" i="32"/>
  <c r="U737" i="32"/>
  <c r="AA743" i="32"/>
  <c r="U743" i="32"/>
  <c r="AA752" i="32"/>
  <c r="U754" i="32"/>
  <c r="U801" i="32"/>
  <c r="T801" i="32"/>
  <c r="Z801" i="32"/>
  <c r="AA801" i="32"/>
  <c r="T804" i="32"/>
  <c r="U804" i="32"/>
  <c r="Z804" i="32"/>
  <c r="Z816" i="32"/>
  <c r="T816" i="32"/>
  <c r="U709" i="32"/>
  <c r="U725" i="32"/>
  <c r="AA732" i="32"/>
  <c r="AA735" i="32"/>
  <c r="U741" i="32"/>
  <c r="AA748" i="32"/>
  <c r="AA751" i="32"/>
  <c r="U757" i="32"/>
  <c r="AA764" i="32"/>
  <c r="AA766" i="32"/>
  <c r="AA768" i="32"/>
  <c r="AA770" i="32"/>
  <c r="AA772" i="32"/>
  <c r="T776" i="32"/>
  <c r="AA779" i="32"/>
  <c r="T784" i="32"/>
  <c r="AA786" i="32"/>
  <c r="U788" i="32"/>
  <c r="Z790" i="32"/>
  <c r="U792" i="32"/>
  <c r="Z794" i="32"/>
  <c r="U796" i="32"/>
  <c r="AA800" i="32"/>
  <c r="U803" i="32"/>
  <c r="AA704" i="32"/>
  <c r="Z705" i="32"/>
  <c r="T707" i="32"/>
  <c r="Z711" i="32"/>
  <c r="T711" i="32"/>
  <c r="Z720" i="32"/>
  <c r="T720" i="32"/>
  <c r="Z727" i="32"/>
  <c r="T727" i="32"/>
  <c r="AA729" i="32"/>
  <c r="Z736" i="32"/>
  <c r="T736" i="32"/>
  <c r="Z743" i="32"/>
  <c r="T743" i="32"/>
  <c r="AA745" i="32"/>
  <c r="Z752" i="32"/>
  <c r="T752" i="32"/>
  <c r="Z759" i="32"/>
  <c r="T759" i="32"/>
  <c r="AA761" i="32"/>
  <c r="U779" i="32"/>
  <c r="U786" i="32"/>
  <c r="Z789" i="32"/>
  <c r="T789" i="32"/>
  <c r="Z792" i="32"/>
  <c r="Z793" i="32"/>
  <c r="T793" i="32"/>
  <c r="Z797" i="32"/>
  <c r="U797" i="32"/>
  <c r="T797" i="32"/>
  <c r="T808" i="32"/>
  <c r="U810" i="32"/>
  <c r="AA810" i="32"/>
  <c r="Z810" i="32"/>
  <c r="AA724" i="32"/>
  <c r="U733" i="32"/>
  <c r="AA740" i="32"/>
  <c r="U749" i="32"/>
  <c r="AA756" i="32"/>
  <c r="AA775" i="32"/>
  <c r="T780" i="32"/>
  <c r="AA783" i="32"/>
  <c r="AA787" i="32"/>
  <c r="U787" i="32"/>
  <c r="U791" i="32"/>
  <c r="U795" i="32"/>
  <c r="Z803" i="32"/>
  <c r="AA811" i="32"/>
  <c r="U811" i="32"/>
  <c r="Z715" i="32"/>
  <c r="T715" i="32"/>
  <c r="AA721" i="32"/>
  <c r="Z728" i="32"/>
  <c r="T728" i="32"/>
  <c r="Z735" i="32"/>
  <c r="T735" i="32"/>
  <c r="AA737" i="32"/>
  <c r="Z744" i="32"/>
  <c r="T744" i="32"/>
  <c r="Z751" i="32"/>
  <c r="T751" i="32"/>
  <c r="AA753" i="32"/>
  <c r="Z760" i="32"/>
  <c r="T760" i="32"/>
  <c r="U775" i="32"/>
  <c r="U783" i="32"/>
  <c r="T790" i="32"/>
  <c r="T794" i="32"/>
  <c r="Z795" i="32"/>
  <c r="U802" i="32"/>
  <c r="AA802" i="32"/>
  <c r="Z802" i="32"/>
  <c r="Z805" i="32"/>
  <c r="U805" i="32"/>
  <c r="T805" i="32"/>
  <c r="Z722" i="32"/>
  <c r="Z730" i="32"/>
  <c r="Z738" i="32"/>
  <c r="Z746" i="32"/>
  <c r="Z754" i="32"/>
  <c r="Z762" i="32"/>
  <c r="Z767" i="32"/>
  <c r="Z771" i="32"/>
  <c r="AA774" i="32"/>
  <c r="AA778" i="32"/>
  <c r="AA782" i="32"/>
  <c r="T787" i="32"/>
  <c r="U793" i="32"/>
  <c r="T795" i="32"/>
  <c r="AA814" i="32"/>
  <c r="AA818" i="32"/>
  <c r="U718" i="32"/>
  <c r="Z721" i="32"/>
  <c r="Z729" i="32"/>
  <c r="Z737" i="32"/>
  <c r="Z745" i="32"/>
  <c r="Z753" i="32"/>
  <c r="Z761" i="32"/>
  <c r="AA767" i="32"/>
  <c r="AA771" i="32"/>
  <c r="T777" i="32"/>
  <c r="T781" i="32"/>
  <c r="T785" i="32"/>
  <c r="U790" i="32"/>
  <c r="T792" i="32"/>
  <c r="Z813" i="32"/>
  <c r="Z817" i="32"/>
  <c r="Z726" i="32"/>
  <c r="Z734" i="32"/>
  <c r="Z742" i="32"/>
  <c r="Z750" i="32"/>
  <c r="Z758" i="32"/>
  <c r="Z765" i="32"/>
  <c r="Z769" i="32"/>
  <c r="Z773" i="32"/>
  <c r="AA776" i="32"/>
  <c r="AA780" i="32"/>
  <c r="AA784" i="32"/>
  <c r="U789" i="32"/>
  <c r="T791" i="32"/>
  <c r="AA816" i="32"/>
  <c r="AA820" i="32"/>
  <c r="Z725" i="32"/>
  <c r="Z733" i="32"/>
  <c r="Z741" i="32"/>
  <c r="Z749" i="32"/>
  <c r="Z757" i="32"/>
  <c r="AA765" i="32"/>
  <c r="AA769" i="32"/>
  <c r="AA773" i="32"/>
  <c r="T775" i="32"/>
  <c r="T779" i="32"/>
  <c r="T783" i="32"/>
  <c r="T788" i="32"/>
  <c r="U794" i="32"/>
  <c r="T796" i="32"/>
  <c r="Z815" i="32"/>
  <c r="Z819" i="32"/>
  <c r="X820" i="31"/>
  <c r="W820" i="31"/>
  <c r="V820" i="31"/>
  <c r="S820" i="31"/>
  <c r="R820" i="31"/>
  <c r="Q820" i="31"/>
  <c r="N820" i="31"/>
  <c r="M820" i="31"/>
  <c r="L820" i="31"/>
  <c r="K820" i="31"/>
  <c r="J820" i="31"/>
  <c r="I820" i="31"/>
  <c r="X819" i="31"/>
  <c r="W819" i="31"/>
  <c r="V819" i="31"/>
  <c r="S819" i="31"/>
  <c r="R819" i="31"/>
  <c r="Q819" i="31"/>
  <c r="N819" i="31"/>
  <c r="M819" i="31"/>
  <c r="AA819" i="31" s="1"/>
  <c r="L819" i="31"/>
  <c r="K819" i="31"/>
  <c r="J819" i="31"/>
  <c r="I819" i="31"/>
  <c r="X818" i="31"/>
  <c r="W818" i="31"/>
  <c r="V818" i="31"/>
  <c r="S818" i="31"/>
  <c r="R818" i="31"/>
  <c r="Q818" i="31"/>
  <c r="N818" i="31"/>
  <c r="M818" i="31"/>
  <c r="L818" i="31"/>
  <c r="Z818" i="31" s="1"/>
  <c r="K818" i="31"/>
  <c r="J818" i="31"/>
  <c r="I818" i="31"/>
  <c r="X817" i="31"/>
  <c r="W817" i="31"/>
  <c r="V817" i="31"/>
  <c r="S817" i="31"/>
  <c r="R817" i="31"/>
  <c r="Q817" i="31"/>
  <c r="N817" i="31"/>
  <c r="M817" i="31"/>
  <c r="Z817" i="31" s="1"/>
  <c r="L817" i="31"/>
  <c r="K817" i="31"/>
  <c r="J817" i="31"/>
  <c r="I817" i="31"/>
  <c r="X816" i="31"/>
  <c r="W816" i="31"/>
  <c r="AA816" i="31" s="1"/>
  <c r="V816" i="31"/>
  <c r="S816" i="31"/>
  <c r="R816" i="31"/>
  <c r="Q816" i="31"/>
  <c r="N816" i="31"/>
  <c r="M816" i="31"/>
  <c r="L816" i="31"/>
  <c r="K816" i="31"/>
  <c r="J816" i="31"/>
  <c r="I816" i="31"/>
  <c r="X815" i="31"/>
  <c r="W815" i="31"/>
  <c r="V815" i="31"/>
  <c r="S815" i="31"/>
  <c r="R815" i="31"/>
  <c r="Q815" i="31"/>
  <c r="N815" i="31"/>
  <c r="M815" i="31"/>
  <c r="AA815" i="31" s="1"/>
  <c r="L815" i="31"/>
  <c r="K815" i="31"/>
  <c r="J815" i="31"/>
  <c r="I815" i="31"/>
  <c r="X814" i="31"/>
  <c r="W814" i="31"/>
  <c r="V814" i="31"/>
  <c r="S814" i="31"/>
  <c r="R814" i="31"/>
  <c r="Q814" i="31"/>
  <c r="N814" i="31"/>
  <c r="M814" i="31"/>
  <c r="L814" i="31"/>
  <c r="Z814" i="31" s="1"/>
  <c r="K814" i="31"/>
  <c r="J814" i="31"/>
  <c r="I814" i="31"/>
  <c r="X813" i="31"/>
  <c r="W813" i="31"/>
  <c r="V813" i="31"/>
  <c r="S813" i="31"/>
  <c r="R813" i="31"/>
  <c r="Q813" i="31"/>
  <c r="N813" i="31"/>
  <c r="M813" i="31"/>
  <c r="Z813" i="31" s="1"/>
  <c r="K813" i="31"/>
  <c r="I813" i="31"/>
  <c r="X812" i="31"/>
  <c r="W812" i="31"/>
  <c r="V812" i="31"/>
  <c r="S812" i="31"/>
  <c r="R812" i="31"/>
  <c r="Q812" i="31"/>
  <c r="N812" i="31"/>
  <c r="M812" i="31"/>
  <c r="K812" i="31"/>
  <c r="J812" i="31"/>
  <c r="L812" i="31" s="1"/>
  <c r="T812" i="31" s="1"/>
  <c r="I812" i="31"/>
  <c r="X811" i="31"/>
  <c r="W811" i="31"/>
  <c r="V811" i="31"/>
  <c r="S811" i="31"/>
  <c r="R811" i="31"/>
  <c r="Q811" i="31"/>
  <c r="N811" i="31"/>
  <c r="M811" i="31"/>
  <c r="L811" i="31"/>
  <c r="K811" i="31"/>
  <c r="U811" i="31" s="1"/>
  <c r="J811" i="31"/>
  <c r="I811" i="31"/>
  <c r="X810" i="31"/>
  <c r="W810" i="31"/>
  <c r="AA810" i="31" s="1"/>
  <c r="V810" i="31"/>
  <c r="S810" i="31"/>
  <c r="R810" i="31"/>
  <c r="Q810" i="31"/>
  <c r="N810" i="31"/>
  <c r="M810" i="31"/>
  <c r="K810" i="31"/>
  <c r="T810" i="31" s="1"/>
  <c r="J810" i="31"/>
  <c r="L810" i="31" s="1"/>
  <c r="U810" i="31" s="1"/>
  <c r="I810" i="31"/>
  <c r="X809" i="31"/>
  <c r="W809" i="31"/>
  <c r="V809" i="31"/>
  <c r="U809" i="31"/>
  <c r="S809" i="31"/>
  <c r="R809" i="31"/>
  <c r="Q809" i="31"/>
  <c r="N809" i="31"/>
  <c r="M809" i="31"/>
  <c r="L809" i="31"/>
  <c r="K809" i="31"/>
  <c r="J809" i="31"/>
  <c r="I809" i="31"/>
  <c r="X808" i="31"/>
  <c r="W808" i="31"/>
  <c r="V808" i="31"/>
  <c r="S808" i="31"/>
  <c r="R808" i="31"/>
  <c r="Q808" i="31"/>
  <c r="N808" i="31"/>
  <c r="M808" i="31"/>
  <c r="K808" i="31"/>
  <c r="J808" i="31"/>
  <c r="L808" i="31" s="1"/>
  <c r="I808" i="31"/>
  <c r="X807" i="31"/>
  <c r="W807" i="31"/>
  <c r="V807" i="31"/>
  <c r="U807" i="31"/>
  <c r="S807" i="31"/>
  <c r="R807" i="31"/>
  <c r="Q807" i="31"/>
  <c r="N807" i="31"/>
  <c r="M807" i="31"/>
  <c r="L807" i="31"/>
  <c r="K807" i="31"/>
  <c r="J807" i="31"/>
  <c r="I807" i="31"/>
  <c r="X806" i="31"/>
  <c r="W806" i="31"/>
  <c r="V806" i="31"/>
  <c r="S806" i="31"/>
  <c r="R806" i="31"/>
  <c r="Q806" i="31"/>
  <c r="N806" i="31"/>
  <c r="M806" i="31"/>
  <c r="K806" i="31"/>
  <c r="J806" i="31"/>
  <c r="L806" i="31" s="1"/>
  <c r="I806" i="31"/>
  <c r="X805" i="31"/>
  <c r="W805" i="31"/>
  <c r="V805" i="31"/>
  <c r="S805" i="31"/>
  <c r="R805" i="31"/>
  <c r="Q805" i="31"/>
  <c r="N805" i="31"/>
  <c r="M805" i="31"/>
  <c r="L805" i="31"/>
  <c r="K805" i="31"/>
  <c r="U805" i="31" s="1"/>
  <c r="J805" i="31"/>
  <c r="I805" i="31"/>
  <c r="X804" i="31"/>
  <c r="W804" i="31"/>
  <c r="V804" i="31"/>
  <c r="S804" i="31"/>
  <c r="R804" i="31"/>
  <c r="Q804" i="31"/>
  <c r="N804" i="31"/>
  <c r="M804" i="31"/>
  <c r="K804" i="31"/>
  <c r="J804" i="31"/>
  <c r="L804" i="31" s="1"/>
  <c r="T804" i="31" s="1"/>
  <c r="I804" i="31"/>
  <c r="X803" i="31"/>
  <c r="W803" i="31"/>
  <c r="V803" i="31"/>
  <c r="S803" i="31"/>
  <c r="R803" i="31"/>
  <c r="Q803" i="31"/>
  <c r="N803" i="31"/>
  <c r="M803" i="31"/>
  <c r="L803" i="31"/>
  <c r="K803" i="31"/>
  <c r="J803" i="31"/>
  <c r="I803" i="31"/>
  <c r="X802" i="31"/>
  <c r="W802" i="31"/>
  <c r="V802" i="31"/>
  <c r="S802" i="31"/>
  <c r="R802" i="31"/>
  <c r="Q802" i="31"/>
  <c r="N802" i="31"/>
  <c r="M802" i="31"/>
  <c r="K802" i="31"/>
  <c r="J802" i="31"/>
  <c r="L802" i="31" s="1"/>
  <c r="I802" i="31"/>
  <c r="X801" i="31"/>
  <c r="W801" i="31"/>
  <c r="V801" i="31"/>
  <c r="S801" i="31"/>
  <c r="R801" i="31"/>
  <c r="Q801" i="31"/>
  <c r="N801" i="31"/>
  <c r="M801" i="31"/>
  <c r="L801" i="31"/>
  <c r="K801" i="31"/>
  <c r="U801" i="31" s="1"/>
  <c r="J801" i="31"/>
  <c r="I801" i="31"/>
  <c r="X800" i="31"/>
  <c r="W800" i="31"/>
  <c r="V800" i="31"/>
  <c r="S800" i="31"/>
  <c r="R800" i="31"/>
  <c r="Q800" i="31"/>
  <c r="N800" i="31"/>
  <c r="M800" i="31"/>
  <c r="K800" i="31"/>
  <c r="J800" i="31"/>
  <c r="L800" i="31" s="1"/>
  <c r="T800" i="31" s="1"/>
  <c r="I800" i="31"/>
  <c r="X799" i="31"/>
  <c r="W799" i="31"/>
  <c r="V799" i="31"/>
  <c r="S799" i="31"/>
  <c r="R799" i="31"/>
  <c r="Q799" i="31"/>
  <c r="N799" i="31"/>
  <c r="M799" i="31"/>
  <c r="L799" i="31"/>
  <c r="K799" i="31"/>
  <c r="J799" i="31"/>
  <c r="I799" i="31"/>
  <c r="X798" i="31"/>
  <c r="W798" i="31"/>
  <c r="V798" i="31"/>
  <c r="U798" i="31"/>
  <c r="S798" i="31"/>
  <c r="R798" i="31"/>
  <c r="Q798" i="31"/>
  <c r="N798" i="31"/>
  <c r="M798" i="31"/>
  <c r="K798" i="31"/>
  <c r="J798" i="31"/>
  <c r="L798" i="31" s="1"/>
  <c r="I798" i="31"/>
  <c r="X797" i="31"/>
  <c r="W797" i="31"/>
  <c r="V797" i="31"/>
  <c r="T797" i="31" s="1"/>
  <c r="U797" i="31"/>
  <c r="S797" i="31"/>
  <c r="R797" i="31"/>
  <c r="Q797" i="31"/>
  <c r="N797" i="31"/>
  <c r="M797" i="31"/>
  <c r="I797" i="31"/>
  <c r="K797" i="31" s="1"/>
  <c r="X796" i="31"/>
  <c r="W796" i="31"/>
  <c r="V796" i="31"/>
  <c r="S796" i="31"/>
  <c r="R796" i="31"/>
  <c r="Q796" i="31"/>
  <c r="N796" i="31"/>
  <c r="M796" i="31"/>
  <c r="L796" i="31"/>
  <c r="J796" i="31"/>
  <c r="I796" i="31"/>
  <c r="K796" i="31" s="1"/>
  <c r="AA795" i="31"/>
  <c r="X795" i="31"/>
  <c r="W795" i="31"/>
  <c r="V795" i="31"/>
  <c r="S795" i="31"/>
  <c r="R795" i="31"/>
  <c r="Q795" i="31"/>
  <c r="N795" i="31"/>
  <c r="M795" i="31"/>
  <c r="L795" i="31"/>
  <c r="K795" i="31"/>
  <c r="U795" i="31" s="1"/>
  <c r="J795" i="31"/>
  <c r="I795" i="31"/>
  <c r="X794" i="31"/>
  <c r="W794" i="31"/>
  <c r="V794" i="31"/>
  <c r="S794" i="31"/>
  <c r="R794" i="31"/>
  <c r="Q794" i="31"/>
  <c r="N794" i="31"/>
  <c r="M794" i="31"/>
  <c r="L794" i="31"/>
  <c r="K794" i="31"/>
  <c r="U794" i="31" s="1"/>
  <c r="J794" i="31"/>
  <c r="I794" i="31"/>
  <c r="X793" i="31"/>
  <c r="W793" i="31"/>
  <c r="V793" i="31"/>
  <c r="S793" i="31"/>
  <c r="R793" i="31"/>
  <c r="Q793" i="31"/>
  <c r="N793" i="31"/>
  <c r="M793" i="31"/>
  <c r="J793" i="31"/>
  <c r="L793" i="31" s="1"/>
  <c r="T793" i="31" s="1"/>
  <c r="I793" i="31"/>
  <c r="K793" i="31" s="1"/>
  <c r="X792" i="31"/>
  <c r="W792" i="31"/>
  <c r="V792" i="31"/>
  <c r="S792" i="31"/>
  <c r="R792" i="31"/>
  <c r="Q792" i="31"/>
  <c r="N792" i="31"/>
  <c r="M792" i="31"/>
  <c r="J792" i="31"/>
  <c r="L792" i="31" s="1"/>
  <c r="I792" i="31"/>
  <c r="K792" i="31" s="1"/>
  <c r="AA791" i="31"/>
  <c r="X791" i="31"/>
  <c r="W791" i="31"/>
  <c r="V791" i="31"/>
  <c r="U791" i="31"/>
  <c r="S791" i="31"/>
  <c r="R791" i="31"/>
  <c r="Q791" i="31"/>
  <c r="N791" i="31"/>
  <c r="M791" i="31"/>
  <c r="L791" i="31"/>
  <c r="K791" i="31"/>
  <c r="J791" i="31"/>
  <c r="I791" i="31"/>
  <c r="X790" i="31"/>
  <c r="W790" i="31"/>
  <c r="V790" i="31"/>
  <c r="T790" i="31"/>
  <c r="S790" i="31"/>
  <c r="R790" i="31"/>
  <c r="AA790" i="31" s="1"/>
  <c r="Q790" i="31"/>
  <c r="N790" i="31"/>
  <c r="M790" i="31"/>
  <c r="K790" i="31"/>
  <c r="J790" i="31"/>
  <c r="L790" i="31" s="1"/>
  <c r="I790" i="31"/>
  <c r="AA789" i="31"/>
  <c r="X789" i="31"/>
  <c r="W789" i="31"/>
  <c r="V789" i="31"/>
  <c r="S789" i="31"/>
  <c r="R789" i="31"/>
  <c r="Q789" i="31"/>
  <c r="N789" i="31"/>
  <c r="M789" i="31"/>
  <c r="J789" i="31"/>
  <c r="L789" i="31" s="1"/>
  <c r="I789" i="31"/>
  <c r="K789" i="31" s="1"/>
  <c r="X788" i="31"/>
  <c r="W788" i="31"/>
  <c r="V788" i="31"/>
  <c r="S788" i="31"/>
  <c r="R788" i="31"/>
  <c r="Q788" i="31"/>
  <c r="N788" i="31"/>
  <c r="M788" i="31"/>
  <c r="L788" i="31"/>
  <c r="J788" i="31"/>
  <c r="I788" i="31"/>
  <c r="K788" i="31" s="1"/>
  <c r="X787" i="31"/>
  <c r="W787" i="31"/>
  <c r="V787" i="31"/>
  <c r="S787" i="31"/>
  <c r="R787" i="31"/>
  <c r="Q787" i="31"/>
  <c r="N787" i="31"/>
  <c r="M787" i="31"/>
  <c r="L787" i="31"/>
  <c r="K787" i="31"/>
  <c r="J787" i="31"/>
  <c r="I787" i="31"/>
  <c r="X786" i="31"/>
  <c r="W786" i="31"/>
  <c r="V786" i="31"/>
  <c r="S786" i="31"/>
  <c r="R786" i="31"/>
  <c r="Q786" i="31"/>
  <c r="N786" i="31"/>
  <c r="M786" i="31"/>
  <c r="I786" i="31"/>
  <c r="K786" i="31" s="1"/>
  <c r="X785" i="31"/>
  <c r="W785" i="31"/>
  <c r="V785" i="31"/>
  <c r="S785" i="31"/>
  <c r="R785" i="31"/>
  <c r="AA785" i="31" s="1"/>
  <c r="Q785" i="31"/>
  <c r="N785" i="31"/>
  <c r="M785" i="31"/>
  <c r="J785" i="31"/>
  <c r="L785" i="31" s="1"/>
  <c r="I785" i="31"/>
  <c r="K785" i="31" s="1"/>
  <c r="X784" i="31"/>
  <c r="W784" i="31"/>
  <c r="V784" i="31"/>
  <c r="S784" i="31"/>
  <c r="R784" i="31"/>
  <c r="Q784" i="31"/>
  <c r="N784" i="31"/>
  <c r="M784" i="31"/>
  <c r="J784" i="31"/>
  <c r="L784" i="31" s="1"/>
  <c r="I784" i="31"/>
  <c r="K784" i="31" s="1"/>
  <c r="X783" i="31"/>
  <c r="W783" i="31"/>
  <c r="V783" i="31"/>
  <c r="S783" i="31"/>
  <c r="R783" i="31"/>
  <c r="Q783" i="31"/>
  <c r="N783" i="31"/>
  <c r="M783" i="31"/>
  <c r="J783" i="31"/>
  <c r="L783" i="31" s="1"/>
  <c r="I783" i="31"/>
  <c r="K783" i="31" s="1"/>
  <c r="X782" i="31"/>
  <c r="W782" i="31"/>
  <c r="V782" i="31"/>
  <c r="S782" i="31"/>
  <c r="R782" i="31"/>
  <c r="Q782" i="31"/>
  <c r="N782" i="31"/>
  <c r="M782" i="31"/>
  <c r="J782" i="31"/>
  <c r="L782" i="31" s="1"/>
  <c r="I782" i="31"/>
  <c r="K782" i="31" s="1"/>
  <c r="X781" i="31"/>
  <c r="W781" i="31"/>
  <c r="V781" i="31"/>
  <c r="S781" i="31"/>
  <c r="R781" i="31"/>
  <c r="Q781" i="31"/>
  <c r="N781" i="31"/>
  <c r="M781" i="31"/>
  <c r="J781" i="31"/>
  <c r="L781" i="31" s="1"/>
  <c r="I781" i="31"/>
  <c r="K781" i="31" s="1"/>
  <c r="X780" i="31"/>
  <c r="W780" i="31"/>
  <c r="V780" i="31"/>
  <c r="S780" i="31"/>
  <c r="R780" i="31"/>
  <c r="Q780" i="31"/>
  <c r="N780" i="31"/>
  <c r="M780" i="31"/>
  <c r="J780" i="31"/>
  <c r="L780" i="31" s="1"/>
  <c r="T780" i="31" s="1"/>
  <c r="I780" i="31"/>
  <c r="K780" i="31" s="1"/>
  <c r="Z779" i="31"/>
  <c r="X779" i="31"/>
  <c r="W779" i="31"/>
  <c r="V779" i="31"/>
  <c r="S779" i="31"/>
  <c r="R779" i="31"/>
  <c r="Q779" i="31"/>
  <c r="N779" i="31"/>
  <c r="M779" i="31"/>
  <c r="J779" i="31"/>
  <c r="L779" i="31" s="1"/>
  <c r="I779" i="31"/>
  <c r="K779" i="31" s="1"/>
  <c r="Z778" i="31"/>
  <c r="X778" i="31"/>
  <c r="W778" i="31"/>
  <c r="V778" i="31"/>
  <c r="S778" i="31"/>
  <c r="R778" i="31"/>
  <c r="Q778" i="31"/>
  <c r="N778" i="31"/>
  <c r="M778" i="31"/>
  <c r="J778" i="31"/>
  <c r="L778" i="31" s="1"/>
  <c r="I778" i="31"/>
  <c r="K778" i="31" s="1"/>
  <c r="X777" i="31"/>
  <c r="W777" i="31"/>
  <c r="V777" i="31"/>
  <c r="S777" i="31"/>
  <c r="R777" i="31"/>
  <c r="Q777" i="31"/>
  <c r="N777" i="31"/>
  <c r="M777" i="31"/>
  <c r="J777" i="31"/>
  <c r="L777" i="31" s="1"/>
  <c r="I777" i="31"/>
  <c r="K777" i="31" s="1"/>
  <c r="Z776" i="31"/>
  <c r="X776" i="31"/>
  <c r="W776" i="31"/>
  <c r="V776" i="31"/>
  <c r="S776" i="31"/>
  <c r="R776" i="31"/>
  <c r="Q776" i="31"/>
  <c r="N776" i="31"/>
  <c r="M776" i="31"/>
  <c r="J776" i="31"/>
  <c r="L776" i="31" s="1"/>
  <c r="I776" i="31"/>
  <c r="K776" i="31" s="1"/>
  <c r="X775" i="31"/>
  <c r="U775" i="31" s="1"/>
  <c r="W775" i="31"/>
  <c r="V775" i="31"/>
  <c r="T775" i="31"/>
  <c r="S775" i="31"/>
  <c r="R775" i="31"/>
  <c r="Q775" i="31"/>
  <c r="N775" i="31"/>
  <c r="M775" i="31"/>
  <c r="J775" i="31"/>
  <c r="L775" i="31" s="1"/>
  <c r="I775" i="31"/>
  <c r="K775" i="31" s="1"/>
  <c r="AA774" i="31"/>
  <c r="X774" i="31"/>
  <c r="W774" i="31"/>
  <c r="V774" i="31"/>
  <c r="S774" i="31"/>
  <c r="R774" i="31"/>
  <c r="Q774" i="31"/>
  <c r="T774" i="31" s="1"/>
  <c r="N774" i="31"/>
  <c r="M774" i="31"/>
  <c r="K774" i="31"/>
  <c r="I774" i="31"/>
  <c r="X773" i="31"/>
  <c r="W773" i="31"/>
  <c r="V773" i="31"/>
  <c r="S773" i="31"/>
  <c r="R773" i="31"/>
  <c r="Q773" i="31"/>
  <c r="N773" i="31"/>
  <c r="AA773" i="31" s="1"/>
  <c r="M773" i="31"/>
  <c r="L773" i="31"/>
  <c r="K773" i="31"/>
  <c r="J773" i="31"/>
  <c r="I773" i="31"/>
  <c r="X772" i="31"/>
  <c r="W772" i="31"/>
  <c r="AA772" i="31" s="1"/>
  <c r="V772" i="31"/>
  <c r="S772" i="31"/>
  <c r="R772" i="31"/>
  <c r="Q772" i="31"/>
  <c r="N772" i="31"/>
  <c r="M772" i="31"/>
  <c r="L772" i="31"/>
  <c r="K772" i="31"/>
  <c r="J772" i="31"/>
  <c r="I772" i="31"/>
  <c r="X771" i="31"/>
  <c r="W771" i="31"/>
  <c r="V771" i="31"/>
  <c r="S771" i="31"/>
  <c r="R771" i="31"/>
  <c r="Q771" i="31"/>
  <c r="N771" i="31"/>
  <c r="M771" i="31"/>
  <c r="L771" i="31"/>
  <c r="K771" i="31"/>
  <c r="J771" i="31"/>
  <c r="I771" i="31"/>
  <c r="X770" i="31"/>
  <c r="W770" i="31"/>
  <c r="V770" i="31"/>
  <c r="S770" i="31"/>
  <c r="R770" i="31"/>
  <c r="Q770" i="31"/>
  <c r="N770" i="31"/>
  <c r="M770" i="31"/>
  <c r="AA770" i="31" s="1"/>
  <c r="L770" i="31"/>
  <c r="K770" i="31"/>
  <c r="J770" i="31"/>
  <c r="I770" i="31"/>
  <c r="X769" i="31"/>
  <c r="W769" i="31"/>
  <c r="AA769" i="31" s="1"/>
  <c r="V769" i="31"/>
  <c r="S769" i="31"/>
  <c r="R769" i="31"/>
  <c r="Q769" i="31"/>
  <c r="N769" i="31"/>
  <c r="M769" i="31"/>
  <c r="L769" i="31"/>
  <c r="K769" i="31"/>
  <c r="J769" i="31"/>
  <c r="I769" i="31"/>
  <c r="X768" i="31"/>
  <c r="W768" i="31"/>
  <c r="V768" i="31"/>
  <c r="S768" i="31"/>
  <c r="R768" i="31"/>
  <c r="Q768" i="31"/>
  <c r="N768" i="31"/>
  <c r="M768" i="31"/>
  <c r="L768" i="31"/>
  <c r="K768" i="31"/>
  <c r="J768" i="31"/>
  <c r="I768" i="31"/>
  <c r="AA767" i="31"/>
  <c r="X767" i="31"/>
  <c r="W767" i="31"/>
  <c r="V767" i="31"/>
  <c r="S767" i="31"/>
  <c r="R767" i="31"/>
  <c r="Q767" i="31"/>
  <c r="N767" i="31"/>
  <c r="M767" i="31"/>
  <c r="L767" i="31"/>
  <c r="K767" i="31"/>
  <c r="J767" i="31"/>
  <c r="I767" i="31"/>
  <c r="X766" i="31"/>
  <c r="W766" i="31"/>
  <c r="V766" i="31"/>
  <c r="S766" i="31"/>
  <c r="R766" i="31"/>
  <c r="Q766" i="31"/>
  <c r="N766" i="31"/>
  <c r="M766" i="31"/>
  <c r="Z766" i="31" s="1"/>
  <c r="L766" i="31"/>
  <c r="K766" i="31"/>
  <c r="J766" i="31"/>
  <c r="I766" i="31"/>
  <c r="X765" i="31"/>
  <c r="W765" i="31"/>
  <c r="V765" i="31"/>
  <c r="S765" i="31"/>
  <c r="R765" i="31"/>
  <c r="Q765" i="31"/>
  <c r="N765" i="31"/>
  <c r="AA765" i="31" s="1"/>
  <c r="M765" i="31"/>
  <c r="L765" i="31"/>
  <c r="K765" i="31"/>
  <c r="J765" i="31"/>
  <c r="I765" i="31"/>
  <c r="X764" i="31"/>
  <c r="W764" i="31"/>
  <c r="V764" i="31"/>
  <c r="S764" i="31"/>
  <c r="R764" i="31"/>
  <c r="Q764" i="31"/>
  <c r="N764" i="31"/>
  <c r="M764" i="31"/>
  <c r="L764" i="31"/>
  <c r="K764" i="31"/>
  <c r="J764" i="31"/>
  <c r="I764" i="31"/>
  <c r="X763" i="31"/>
  <c r="W763" i="31"/>
  <c r="V763" i="31"/>
  <c r="S763" i="31"/>
  <c r="R763" i="31"/>
  <c r="Q763" i="31"/>
  <c r="N763" i="31"/>
  <c r="AA763" i="31" s="1"/>
  <c r="M763" i="31"/>
  <c r="L763" i="31"/>
  <c r="K763" i="31"/>
  <c r="J763" i="31"/>
  <c r="I763" i="31"/>
  <c r="X762" i="31"/>
  <c r="W762" i="31"/>
  <c r="V762" i="31"/>
  <c r="S762" i="31"/>
  <c r="R762" i="31"/>
  <c r="Q762" i="31"/>
  <c r="N762" i="31"/>
  <c r="AA762" i="31" s="1"/>
  <c r="M762" i="31"/>
  <c r="Z762" i="31" s="1"/>
  <c r="L762" i="31"/>
  <c r="K762" i="31"/>
  <c r="J762" i="31"/>
  <c r="I762" i="31"/>
  <c r="X761" i="31"/>
  <c r="W761" i="31"/>
  <c r="AA761" i="31" s="1"/>
  <c r="V761" i="31"/>
  <c r="S761" i="31"/>
  <c r="R761" i="31"/>
  <c r="Q761" i="31"/>
  <c r="N761" i="31"/>
  <c r="M761" i="31"/>
  <c r="L761" i="31"/>
  <c r="K761" i="31"/>
  <c r="J761" i="31"/>
  <c r="I761" i="31"/>
  <c r="X760" i="31"/>
  <c r="W760" i="31"/>
  <c r="V760" i="31"/>
  <c r="S760" i="31"/>
  <c r="R760" i="31"/>
  <c r="Q760" i="31"/>
  <c r="N760" i="31"/>
  <c r="M760" i="31"/>
  <c r="L760" i="31"/>
  <c r="K760" i="31"/>
  <c r="J760" i="31"/>
  <c r="I760" i="31"/>
  <c r="AA759" i="31"/>
  <c r="X759" i="31"/>
  <c r="W759" i="31"/>
  <c r="V759" i="31"/>
  <c r="S759" i="31"/>
  <c r="R759" i="31"/>
  <c r="Q759" i="31"/>
  <c r="N759" i="31"/>
  <c r="M759" i="31"/>
  <c r="L759" i="31"/>
  <c r="K759" i="31"/>
  <c r="J759" i="31"/>
  <c r="I759" i="31"/>
  <c r="X758" i="31"/>
  <c r="W758" i="31"/>
  <c r="V758" i="31"/>
  <c r="S758" i="31"/>
  <c r="R758" i="31"/>
  <c r="Q758" i="31"/>
  <c r="N758" i="31"/>
  <c r="M758" i="31"/>
  <c r="Z758" i="31" s="1"/>
  <c r="L758" i="31"/>
  <c r="K758" i="31"/>
  <c r="J758" i="31"/>
  <c r="I758" i="31"/>
  <c r="X757" i="31"/>
  <c r="W757" i="31"/>
  <c r="V757" i="31"/>
  <c r="S757" i="31"/>
  <c r="R757" i="31"/>
  <c r="Q757" i="31"/>
  <c r="N757" i="31"/>
  <c r="AA757" i="31" s="1"/>
  <c r="M757" i="31"/>
  <c r="L757" i="31"/>
  <c r="K757" i="31"/>
  <c r="J757" i="31"/>
  <c r="I757" i="31"/>
  <c r="X756" i="31"/>
  <c r="W756" i="31"/>
  <c r="V756" i="31"/>
  <c r="S756" i="31"/>
  <c r="R756" i="31"/>
  <c r="Q756" i="31"/>
  <c r="N756" i="31"/>
  <c r="M756" i="31"/>
  <c r="L756" i="31"/>
  <c r="AA756" i="31" s="1"/>
  <c r="K756" i="31"/>
  <c r="J756" i="31"/>
  <c r="I756" i="31"/>
  <c r="X755" i="31"/>
  <c r="W755" i="31"/>
  <c r="V755" i="31"/>
  <c r="S755" i="31"/>
  <c r="R755" i="31"/>
  <c r="Q755" i="31"/>
  <c r="N755" i="31"/>
  <c r="AA755" i="31" s="1"/>
  <c r="M755" i="31"/>
  <c r="L755" i="31"/>
  <c r="K755" i="31"/>
  <c r="J755" i="31"/>
  <c r="I755" i="31"/>
  <c r="X754" i="31"/>
  <c r="W754" i="31"/>
  <c r="V754" i="31"/>
  <c r="S754" i="31"/>
  <c r="R754" i="31"/>
  <c r="Q754" i="31"/>
  <c r="N754" i="31"/>
  <c r="M754" i="31"/>
  <c r="AA754" i="31" s="1"/>
  <c r="L754" i="31"/>
  <c r="K754" i="31"/>
  <c r="J754" i="31"/>
  <c r="I754" i="31"/>
  <c r="X753" i="31"/>
  <c r="W753" i="31"/>
  <c r="AA753" i="31" s="1"/>
  <c r="V753" i="31"/>
  <c r="S753" i="31"/>
  <c r="R753" i="31"/>
  <c r="Q753" i="31"/>
  <c r="N753" i="31"/>
  <c r="M753" i="31"/>
  <c r="L753" i="31"/>
  <c r="K753" i="31"/>
  <c r="J753" i="31"/>
  <c r="I753" i="31"/>
  <c r="X752" i="31"/>
  <c r="W752" i="31"/>
  <c r="V752" i="31"/>
  <c r="S752" i="31"/>
  <c r="R752" i="31"/>
  <c r="Q752" i="31"/>
  <c r="N752" i="31"/>
  <c r="M752" i="31"/>
  <c r="L752" i="31"/>
  <c r="K752" i="31"/>
  <c r="J752" i="31"/>
  <c r="I752" i="31"/>
  <c r="X751" i="31"/>
  <c r="W751" i="31"/>
  <c r="V751" i="31"/>
  <c r="S751" i="31"/>
  <c r="R751" i="31"/>
  <c r="Q751" i="31"/>
  <c r="AA751" i="31" s="1"/>
  <c r="N751" i="31"/>
  <c r="M751" i="31"/>
  <c r="L751" i="31"/>
  <c r="K751" i="31"/>
  <c r="J751" i="31"/>
  <c r="I751" i="31"/>
  <c r="X750" i="31"/>
  <c r="W750" i="31"/>
  <c r="V750" i="31"/>
  <c r="S750" i="31"/>
  <c r="R750" i="31"/>
  <c r="Q750" i="31"/>
  <c r="N750" i="31"/>
  <c r="M750" i="31"/>
  <c r="Z750" i="31" s="1"/>
  <c r="L750" i="31"/>
  <c r="K750" i="31"/>
  <c r="J750" i="31"/>
  <c r="I750" i="31"/>
  <c r="X749" i="31"/>
  <c r="W749" i="31"/>
  <c r="V749" i="31"/>
  <c r="S749" i="31"/>
  <c r="R749" i="31"/>
  <c r="Q749" i="31"/>
  <c r="N749" i="31"/>
  <c r="AA749" i="31" s="1"/>
  <c r="M749" i="31"/>
  <c r="L749" i="31"/>
  <c r="K749" i="31"/>
  <c r="J749" i="31"/>
  <c r="I749" i="31"/>
  <c r="X748" i="31"/>
  <c r="W748" i="31"/>
  <c r="V748" i="31"/>
  <c r="S748" i="31"/>
  <c r="R748" i="31"/>
  <c r="Q748" i="31"/>
  <c r="N748" i="31"/>
  <c r="M748" i="31"/>
  <c r="L748" i="31"/>
  <c r="AA748" i="31" s="1"/>
  <c r="K748" i="31"/>
  <c r="J748" i="31"/>
  <c r="I748" i="31"/>
  <c r="X747" i="31"/>
  <c r="W747" i="31"/>
  <c r="AA747" i="31" s="1"/>
  <c r="V747" i="31"/>
  <c r="S747" i="31"/>
  <c r="R747" i="31"/>
  <c r="Q747" i="31"/>
  <c r="N747" i="31"/>
  <c r="M747" i="31"/>
  <c r="L747" i="31"/>
  <c r="K747" i="31"/>
  <c r="J747" i="31"/>
  <c r="I747" i="31"/>
  <c r="X746" i="31"/>
  <c r="W746" i="31"/>
  <c r="V746" i="31"/>
  <c r="S746" i="31"/>
  <c r="R746" i="31"/>
  <c r="Q746" i="31"/>
  <c r="N746" i="31"/>
  <c r="AA746" i="31" s="1"/>
  <c r="M746" i="31"/>
  <c r="Z746" i="31" s="1"/>
  <c r="L746" i="31"/>
  <c r="K746" i="31"/>
  <c r="J746" i="31"/>
  <c r="I746" i="31"/>
  <c r="X745" i="31"/>
  <c r="W745" i="31"/>
  <c r="V745" i="31"/>
  <c r="S745" i="31"/>
  <c r="R745" i="31"/>
  <c r="Q745" i="31"/>
  <c r="N745" i="31"/>
  <c r="M745" i="31"/>
  <c r="L745" i="31"/>
  <c r="K745" i="31"/>
  <c r="J745" i="31"/>
  <c r="I745" i="31"/>
  <c r="X744" i="31"/>
  <c r="W744" i="31"/>
  <c r="V744" i="31"/>
  <c r="S744" i="31"/>
  <c r="R744" i="31"/>
  <c r="Q744" i="31"/>
  <c r="N744" i="31"/>
  <c r="M744" i="31"/>
  <c r="L744" i="31"/>
  <c r="K744" i="31"/>
  <c r="J744" i="31"/>
  <c r="I744" i="31"/>
  <c r="AA743" i="31"/>
  <c r="X743" i="31"/>
  <c r="W743" i="31"/>
  <c r="V743" i="31"/>
  <c r="S743" i="31"/>
  <c r="R743" i="31"/>
  <c r="Q743" i="31"/>
  <c r="N743" i="31"/>
  <c r="M743" i="31"/>
  <c r="L743" i="31"/>
  <c r="K743" i="31"/>
  <c r="J743" i="31"/>
  <c r="I743" i="31"/>
  <c r="AA742" i="31"/>
  <c r="X742" i="31"/>
  <c r="W742" i="31"/>
  <c r="V742" i="31"/>
  <c r="S742" i="31"/>
  <c r="R742" i="31"/>
  <c r="Q742" i="31"/>
  <c r="N742" i="31"/>
  <c r="M742" i="31"/>
  <c r="L742" i="31"/>
  <c r="K742" i="31"/>
  <c r="J742" i="31"/>
  <c r="I742" i="31"/>
  <c r="X741" i="31"/>
  <c r="W741" i="31"/>
  <c r="V741" i="31"/>
  <c r="S741" i="31"/>
  <c r="R741" i="31"/>
  <c r="Q741" i="31"/>
  <c r="N741" i="31"/>
  <c r="M741" i="31"/>
  <c r="L741" i="31"/>
  <c r="K741" i="31"/>
  <c r="J741" i="31"/>
  <c r="I741" i="31"/>
  <c r="X740" i="31"/>
  <c r="W740" i="31"/>
  <c r="V740" i="31"/>
  <c r="S740" i="31"/>
  <c r="R740" i="31"/>
  <c r="Q740" i="31"/>
  <c r="N740" i="31"/>
  <c r="M740" i="31"/>
  <c r="L740" i="31"/>
  <c r="K740" i="31"/>
  <c r="J740" i="31"/>
  <c r="I740" i="31"/>
  <c r="X739" i="31"/>
  <c r="W739" i="31"/>
  <c r="AA739" i="31" s="1"/>
  <c r="V739" i="31"/>
  <c r="S739" i="31"/>
  <c r="R739" i="31"/>
  <c r="Q739" i="31"/>
  <c r="N739" i="31"/>
  <c r="M739" i="31"/>
  <c r="L739" i="31"/>
  <c r="K739" i="31"/>
  <c r="J739" i="31"/>
  <c r="I739" i="31"/>
  <c r="X738" i="31"/>
  <c r="W738" i="31"/>
  <c r="V738" i="31"/>
  <c r="S738" i="31"/>
  <c r="R738" i="31"/>
  <c r="Q738" i="31"/>
  <c r="N738" i="31"/>
  <c r="M738" i="31"/>
  <c r="L738" i="31"/>
  <c r="Z738" i="31" s="1"/>
  <c r="K738" i="31"/>
  <c r="J738" i="31"/>
  <c r="I738" i="31"/>
  <c r="X737" i="31"/>
  <c r="W737" i="31"/>
  <c r="V737" i="31"/>
  <c r="S737" i="31"/>
  <c r="R737" i="31"/>
  <c r="Q737" i="31"/>
  <c r="N737" i="31"/>
  <c r="M737" i="31"/>
  <c r="L737" i="31"/>
  <c r="AA737" i="31" s="1"/>
  <c r="K737" i="31"/>
  <c r="J737" i="31"/>
  <c r="I737" i="31"/>
  <c r="X736" i="31"/>
  <c r="W736" i="31"/>
  <c r="V736" i="31"/>
  <c r="S736" i="31"/>
  <c r="R736" i="31"/>
  <c r="Q736" i="31"/>
  <c r="N736" i="31"/>
  <c r="M736" i="31"/>
  <c r="Z736" i="31" s="1"/>
  <c r="L736" i="31"/>
  <c r="K736" i="31"/>
  <c r="J736" i="31"/>
  <c r="I736" i="31"/>
  <c r="X735" i="31"/>
  <c r="W735" i="31"/>
  <c r="V735" i="31"/>
  <c r="S735" i="31"/>
  <c r="R735" i="31"/>
  <c r="Q735" i="31"/>
  <c r="N735" i="31"/>
  <c r="AA735" i="31" s="1"/>
  <c r="M735" i="31"/>
  <c r="L735" i="31"/>
  <c r="K735" i="31"/>
  <c r="J735" i="31"/>
  <c r="I735" i="31"/>
  <c r="X734" i="31"/>
  <c r="W734" i="31"/>
  <c r="V734" i="31"/>
  <c r="S734" i="31"/>
  <c r="R734" i="31"/>
  <c r="Q734" i="31"/>
  <c r="N734" i="31"/>
  <c r="M734" i="31"/>
  <c r="L734" i="31"/>
  <c r="K734" i="31"/>
  <c r="J734" i="31"/>
  <c r="I734" i="31"/>
  <c r="AA733" i="31"/>
  <c r="X733" i="31"/>
  <c r="W733" i="31"/>
  <c r="V733" i="31"/>
  <c r="S733" i="31"/>
  <c r="R733" i="31"/>
  <c r="Q733" i="31"/>
  <c r="N733" i="31"/>
  <c r="M733" i="31"/>
  <c r="L733" i="31"/>
  <c r="K733" i="31"/>
  <c r="J733" i="31"/>
  <c r="I733" i="31"/>
  <c r="X732" i="31"/>
  <c r="W732" i="31"/>
  <c r="V732" i="31"/>
  <c r="S732" i="31"/>
  <c r="R732" i="31"/>
  <c r="Q732" i="31"/>
  <c r="N732" i="31"/>
  <c r="M732" i="31"/>
  <c r="L732" i="31"/>
  <c r="K732" i="31"/>
  <c r="J732" i="31"/>
  <c r="I732" i="31"/>
  <c r="X731" i="31"/>
  <c r="W731" i="31"/>
  <c r="V731" i="31"/>
  <c r="S731" i="31"/>
  <c r="R731" i="31"/>
  <c r="Q731" i="31"/>
  <c r="AA731" i="31" s="1"/>
  <c r="N731" i="31"/>
  <c r="M731" i="31"/>
  <c r="L731" i="31"/>
  <c r="K731" i="31"/>
  <c r="J731" i="31"/>
  <c r="I731" i="31"/>
  <c r="X730" i="31"/>
  <c r="W730" i="31"/>
  <c r="V730" i="31"/>
  <c r="S730" i="31"/>
  <c r="R730" i="31"/>
  <c r="Q730" i="31"/>
  <c r="N730" i="31"/>
  <c r="M730" i="31"/>
  <c r="Z730" i="31" s="1"/>
  <c r="L730" i="31"/>
  <c r="AA730" i="31" s="1"/>
  <c r="K730" i="31"/>
  <c r="J730" i="31"/>
  <c r="I730" i="31"/>
  <c r="X729" i="31"/>
  <c r="W729" i="31"/>
  <c r="V729" i="31"/>
  <c r="S729" i="31"/>
  <c r="R729" i="31"/>
  <c r="Q729" i="31"/>
  <c r="N729" i="31"/>
  <c r="M729" i="31"/>
  <c r="L729" i="31"/>
  <c r="K729" i="31"/>
  <c r="J729" i="31"/>
  <c r="I729" i="31"/>
  <c r="X728" i="31"/>
  <c r="W728" i="31"/>
  <c r="V728" i="31"/>
  <c r="S728" i="31"/>
  <c r="R728" i="31"/>
  <c r="Q728" i="31"/>
  <c r="N728" i="31"/>
  <c r="M728" i="31"/>
  <c r="Z728" i="31" s="1"/>
  <c r="L728" i="31"/>
  <c r="K728" i="31"/>
  <c r="J728" i="31"/>
  <c r="I728" i="31"/>
  <c r="X727" i="31"/>
  <c r="W727" i="31"/>
  <c r="V727" i="31"/>
  <c r="S727" i="31"/>
  <c r="R727" i="31"/>
  <c r="Q727" i="31"/>
  <c r="N727" i="31"/>
  <c r="M727" i="31"/>
  <c r="L727" i="31"/>
  <c r="K727" i="31"/>
  <c r="J727" i="31"/>
  <c r="I727" i="31"/>
  <c r="X726" i="31"/>
  <c r="W726" i="31"/>
  <c r="V726" i="31"/>
  <c r="S726" i="31"/>
  <c r="R726" i="31"/>
  <c r="Q726" i="31"/>
  <c r="N726" i="31"/>
  <c r="AA726" i="31" s="1"/>
  <c r="M726" i="31"/>
  <c r="L726" i="31"/>
  <c r="K726" i="31"/>
  <c r="J726" i="31"/>
  <c r="I726" i="31"/>
  <c r="X725" i="31"/>
  <c r="W725" i="31"/>
  <c r="AA725" i="31" s="1"/>
  <c r="V725" i="31"/>
  <c r="S725" i="31"/>
  <c r="R725" i="31"/>
  <c r="Q725" i="31"/>
  <c r="N725" i="31"/>
  <c r="M725" i="31"/>
  <c r="L725" i="31"/>
  <c r="K725" i="31"/>
  <c r="J725" i="31"/>
  <c r="I725" i="31"/>
  <c r="X724" i="31"/>
  <c r="W724" i="31"/>
  <c r="V724" i="31"/>
  <c r="S724" i="31"/>
  <c r="R724" i="31"/>
  <c r="Q724" i="31"/>
  <c r="N724" i="31"/>
  <c r="M724" i="31"/>
  <c r="K724" i="31"/>
  <c r="J724" i="31"/>
  <c r="L724" i="31" s="1"/>
  <c r="AA724" i="31" s="1"/>
  <c r="I724" i="31"/>
  <c r="X723" i="31"/>
  <c r="W723" i="31"/>
  <c r="V723" i="31"/>
  <c r="S723" i="31"/>
  <c r="R723" i="31"/>
  <c r="Q723" i="31"/>
  <c r="AA723" i="31" s="1"/>
  <c r="N723" i="31"/>
  <c r="M723" i="31"/>
  <c r="L723" i="31"/>
  <c r="K723" i="31"/>
  <c r="J723" i="31"/>
  <c r="I723" i="31"/>
  <c r="X722" i="31"/>
  <c r="W722" i="31"/>
  <c r="V722" i="31"/>
  <c r="S722" i="31"/>
  <c r="R722" i="31"/>
  <c r="Q722" i="31"/>
  <c r="N722" i="31"/>
  <c r="Z722" i="31" s="1"/>
  <c r="M722" i="31"/>
  <c r="K722" i="31"/>
  <c r="J722" i="31"/>
  <c r="L722" i="31" s="1"/>
  <c r="I722" i="31"/>
  <c r="Z721" i="31"/>
  <c r="X721" i="31"/>
  <c r="W721" i="31"/>
  <c r="V721" i="31"/>
  <c r="S721" i="31"/>
  <c r="R721" i="31"/>
  <c r="Q721" i="31"/>
  <c r="N721" i="31"/>
  <c r="M721" i="31"/>
  <c r="K721" i="31"/>
  <c r="J721" i="31"/>
  <c r="L721" i="31" s="1"/>
  <c r="T721" i="31" s="1"/>
  <c r="I721" i="31"/>
  <c r="X720" i="31"/>
  <c r="W720" i="31"/>
  <c r="S720" i="31"/>
  <c r="R720" i="31"/>
  <c r="Q720" i="31"/>
  <c r="P720" i="31"/>
  <c r="O720" i="31"/>
  <c r="N720" i="31"/>
  <c r="M720" i="31"/>
  <c r="J720" i="31"/>
  <c r="L720" i="31" s="1"/>
  <c r="I720" i="31"/>
  <c r="K720" i="31" s="1"/>
  <c r="Z719" i="31"/>
  <c r="X719" i="31"/>
  <c r="W719" i="31"/>
  <c r="S719" i="31"/>
  <c r="R719" i="31"/>
  <c r="Q719" i="31"/>
  <c r="O719" i="31"/>
  <c r="N719" i="31"/>
  <c r="M719" i="31"/>
  <c r="J719" i="31"/>
  <c r="I719" i="31"/>
  <c r="K719" i="31" s="1"/>
  <c r="X718" i="31"/>
  <c r="W718" i="31"/>
  <c r="S718" i="31"/>
  <c r="R718" i="31"/>
  <c r="Q718" i="31"/>
  <c r="P718" i="31"/>
  <c r="O718" i="31"/>
  <c r="N718" i="31"/>
  <c r="M718" i="31"/>
  <c r="L718" i="31"/>
  <c r="T718" i="31" s="1"/>
  <c r="J718" i="31"/>
  <c r="I718" i="31"/>
  <c r="K718" i="31" s="1"/>
  <c r="AA718" i="31" s="1"/>
  <c r="X717" i="31"/>
  <c r="W717" i="31"/>
  <c r="U717" i="31"/>
  <c r="S717" i="31"/>
  <c r="R717" i="31"/>
  <c r="Q717" i="31"/>
  <c r="P717" i="31"/>
  <c r="O717" i="31"/>
  <c r="N717" i="31"/>
  <c r="M717" i="31"/>
  <c r="K717" i="31"/>
  <c r="J717" i="31"/>
  <c r="L717" i="31" s="1"/>
  <c r="I717" i="31"/>
  <c r="X716" i="31"/>
  <c r="W716" i="31"/>
  <c r="S716" i="31"/>
  <c r="R716" i="31"/>
  <c r="Q716" i="31"/>
  <c r="O716" i="31"/>
  <c r="N716" i="31"/>
  <c r="M716" i="31"/>
  <c r="K716" i="31"/>
  <c r="J716" i="31"/>
  <c r="I716" i="31"/>
  <c r="X715" i="31"/>
  <c r="W715" i="31"/>
  <c r="S715" i="31"/>
  <c r="R715" i="31"/>
  <c r="Q715" i="31"/>
  <c r="P715" i="31"/>
  <c r="O715" i="31"/>
  <c r="N715" i="31"/>
  <c r="M715" i="31"/>
  <c r="U715" i="31" s="1"/>
  <c r="K715" i="31"/>
  <c r="J715" i="31"/>
  <c r="L715" i="31" s="1"/>
  <c r="I715" i="31"/>
  <c r="X714" i="31"/>
  <c r="W714" i="31"/>
  <c r="S714" i="31"/>
  <c r="R714" i="31"/>
  <c r="Q714" i="31"/>
  <c r="P714" i="31"/>
  <c r="O714" i="31"/>
  <c r="Z714" i="31" s="1"/>
  <c r="N714" i="31"/>
  <c r="M714" i="31"/>
  <c r="J714" i="31"/>
  <c r="L714" i="31" s="1"/>
  <c r="I714" i="31"/>
  <c r="K714" i="31" s="1"/>
  <c r="X713" i="31"/>
  <c r="W713" i="31"/>
  <c r="S713" i="31"/>
  <c r="R713" i="31"/>
  <c r="Q713" i="31"/>
  <c r="P713" i="31"/>
  <c r="O713" i="31"/>
  <c r="N713" i="31"/>
  <c r="M713" i="31"/>
  <c r="K713" i="31"/>
  <c r="J713" i="31"/>
  <c r="L713" i="31" s="1"/>
  <c r="I713" i="31"/>
  <c r="X712" i="31"/>
  <c r="W712" i="31"/>
  <c r="S712" i="31"/>
  <c r="R712" i="31"/>
  <c r="Q712" i="31"/>
  <c r="O712" i="31"/>
  <c r="AA712" i="31" s="1"/>
  <c r="N712" i="31"/>
  <c r="M712" i="31"/>
  <c r="J712" i="31"/>
  <c r="I712" i="31"/>
  <c r="K712" i="31" s="1"/>
  <c r="X711" i="31"/>
  <c r="W711" i="31"/>
  <c r="S711" i="31"/>
  <c r="R711" i="31"/>
  <c r="Q711" i="31"/>
  <c r="P711" i="31"/>
  <c r="O711" i="31"/>
  <c r="N711" i="31"/>
  <c r="M711" i="31"/>
  <c r="K711" i="31"/>
  <c r="AA711" i="31" s="1"/>
  <c r="J711" i="31"/>
  <c r="L711" i="31" s="1"/>
  <c r="I711" i="31"/>
  <c r="X710" i="31"/>
  <c r="W710" i="31"/>
  <c r="S710" i="31"/>
  <c r="R710" i="31"/>
  <c r="Q710" i="31"/>
  <c r="P710" i="31"/>
  <c r="AA710" i="31" s="1"/>
  <c r="O710" i="31"/>
  <c r="N710" i="31"/>
  <c r="M710" i="31"/>
  <c r="L710" i="31"/>
  <c r="T710" i="31" s="1"/>
  <c r="K710" i="31"/>
  <c r="J710" i="31"/>
  <c r="I710" i="31"/>
  <c r="X709" i="31"/>
  <c r="W709" i="31"/>
  <c r="S709" i="31"/>
  <c r="R709" i="31"/>
  <c r="Q709" i="31"/>
  <c r="P709" i="31"/>
  <c r="O709" i="31"/>
  <c r="N709" i="31"/>
  <c r="M709" i="31"/>
  <c r="L709" i="31"/>
  <c r="T709" i="31" s="1"/>
  <c r="J709" i="31"/>
  <c r="I709" i="31"/>
  <c r="K709" i="31" s="1"/>
  <c r="X708" i="31"/>
  <c r="W708" i="31"/>
  <c r="S708" i="31"/>
  <c r="R708" i="31"/>
  <c r="Q708" i="31"/>
  <c r="P708" i="31"/>
  <c r="O708" i="31"/>
  <c r="N708" i="31"/>
  <c r="M708" i="31"/>
  <c r="J708" i="31"/>
  <c r="L708" i="31" s="1"/>
  <c r="I708" i="31"/>
  <c r="K708" i="31" s="1"/>
  <c r="X707" i="31"/>
  <c r="W707" i="31"/>
  <c r="S707" i="31"/>
  <c r="R707" i="31"/>
  <c r="Q707" i="31"/>
  <c r="O707" i="31"/>
  <c r="N707" i="31"/>
  <c r="M707" i="31"/>
  <c r="K707" i="31"/>
  <c r="J707" i="31"/>
  <c r="I707" i="31"/>
  <c r="X706" i="31"/>
  <c r="W706" i="31"/>
  <c r="S706" i="31"/>
  <c r="R706" i="31"/>
  <c r="Q706" i="31"/>
  <c r="P706" i="31"/>
  <c r="O706" i="31"/>
  <c r="N706" i="31"/>
  <c r="M706" i="31"/>
  <c r="K706" i="31"/>
  <c r="J706" i="31"/>
  <c r="L706" i="31" s="1"/>
  <c r="I706" i="31"/>
  <c r="X705" i="31"/>
  <c r="W705" i="31"/>
  <c r="S705" i="31"/>
  <c r="R705" i="31"/>
  <c r="Q705" i="31"/>
  <c r="P705" i="31"/>
  <c r="O705" i="31"/>
  <c r="N705" i="31"/>
  <c r="M705" i="31"/>
  <c r="K705" i="31"/>
  <c r="J705" i="31"/>
  <c r="L705" i="31" s="1"/>
  <c r="I705" i="31"/>
  <c r="X704" i="31"/>
  <c r="W704" i="31"/>
  <c r="S704" i="31"/>
  <c r="R704" i="31"/>
  <c r="Q704" i="31"/>
  <c r="P704" i="31"/>
  <c r="O704" i="31"/>
  <c r="N704" i="31"/>
  <c r="M704" i="31"/>
  <c r="J704" i="31"/>
  <c r="L704" i="31" s="1"/>
  <c r="I704" i="31"/>
  <c r="K704" i="31" s="1"/>
  <c r="X703" i="31"/>
  <c r="W703" i="31"/>
  <c r="S703" i="31"/>
  <c r="R703" i="31"/>
  <c r="Q703" i="31"/>
  <c r="P703" i="31"/>
  <c r="O703" i="31"/>
  <c r="N703" i="31"/>
  <c r="M703" i="31"/>
  <c r="L703" i="31"/>
  <c r="T703" i="31" s="1"/>
  <c r="K703" i="31"/>
  <c r="J703" i="31"/>
  <c r="I703" i="31"/>
  <c r="X702" i="31"/>
  <c r="W702" i="31"/>
  <c r="S702" i="31"/>
  <c r="R702" i="31"/>
  <c r="Q702" i="31"/>
  <c r="P702" i="31"/>
  <c r="O702" i="31"/>
  <c r="N702" i="31"/>
  <c r="M702" i="31"/>
  <c r="L702" i="31"/>
  <c r="U702" i="31" s="1"/>
  <c r="K702" i="31"/>
  <c r="J702" i="31"/>
  <c r="I702" i="31"/>
  <c r="X701" i="31"/>
  <c r="W701" i="31"/>
  <c r="S701" i="31"/>
  <c r="R701" i="31"/>
  <c r="Q701" i="31"/>
  <c r="P701" i="31"/>
  <c r="O701" i="31"/>
  <c r="N701" i="31"/>
  <c r="M701" i="31"/>
  <c r="AA701" i="31" s="1"/>
  <c r="L701" i="31"/>
  <c r="K701" i="31"/>
  <c r="J701" i="31"/>
  <c r="I701" i="31"/>
  <c r="X700" i="31"/>
  <c r="W700" i="31"/>
  <c r="AA700" i="31" s="1"/>
  <c r="S700" i="31"/>
  <c r="R700" i="31"/>
  <c r="Q700" i="31"/>
  <c r="P700" i="31"/>
  <c r="O700" i="31"/>
  <c r="N700" i="31"/>
  <c r="M700" i="31"/>
  <c r="J700" i="31"/>
  <c r="L700" i="31" s="1"/>
  <c r="I700" i="31"/>
  <c r="K700" i="31" s="1"/>
  <c r="X699" i="31"/>
  <c r="W699" i="31"/>
  <c r="S699" i="31"/>
  <c r="R699" i="31"/>
  <c r="Q699" i="31"/>
  <c r="P699" i="31"/>
  <c r="O699" i="31"/>
  <c r="N699" i="31"/>
  <c r="M699" i="31"/>
  <c r="J699" i="31"/>
  <c r="L699" i="31" s="1"/>
  <c r="I699" i="31"/>
  <c r="K699" i="31" s="1"/>
  <c r="X698" i="31"/>
  <c r="W698" i="31"/>
  <c r="S698" i="31"/>
  <c r="R698" i="31"/>
  <c r="Q698" i="31"/>
  <c r="P698" i="31"/>
  <c r="O698" i="31"/>
  <c r="N698" i="31"/>
  <c r="M698" i="31"/>
  <c r="K698" i="31"/>
  <c r="J698" i="31"/>
  <c r="L698" i="31" s="1"/>
  <c r="I698" i="31"/>
  <c r="AA697" i="31"/>
  <c r="X697" i="31"/>
  <c r="W697" i="31"/>
  <c r="S697" i="31"/>
  <c r="R697" i="31"/>
  <c r="Q697" i="31"/>
  <c r="O697" i="31"/>
  <c r="N697" i="31"/>
  <c r="M697" i="31"/>
  <c r="J697" i="31"/>
  <c r="I697" i="31"/>
  <c r="K697" i="31" s="1"/>
  <c r="T697" i="31" s="1"/>
  <c r="X696" i="31"/>
  <c r="W696" i="31"/>
  <c r="S696" i="31"/>
  <c r="R696" i="31"/>
  <c r="Q696" i="31"/>
  <c r="P696" i="31"/>
  <c r="O696" i="31"/>
  <c r="N696" i="31"/>
  <c r="M696" i="31"/>
  <c r="L696" i="31"/>
  <c r="T696" i="31" s="1"/>
  <c r="K696" i="31"/>
  <c r="J696" i="31"/>
  <c r="I696" i="31"/>
  <c r="X695" i="31"/>
  <c r="W695" i="31"/>
  <c r="S695" i="31"/>
  <c r="R695" i="31"/>
  <c r="Q695" i="31"/>
  <c r="P695" i="31"/>
  <c r="O695" i="31"/>
  <c r="N695" i="31"/>
  <c r="M695" i="31"/>
  <c r="L695" i="31"/>
  <c r="AA695" i="31" s="1"/>
  <c r="J695" i="31"/>
  <c r="I695" i="31"/>
  <c r="K695" i="31" s="1"/>
  <c r="X694" i="31"/>
  <c r="W694" i="31"/>
  <c r="AA694" i="31" s="1"/>
  <c r="S694" i="31"/>
  <c r="R694" i="31"/>
  <c r="Q694" i="31"/>
  <c r="O694" i="31"/>
  <c r="N694" i="31"/>
  <c r="M694" i="31"/>
  <c r="J694" i="31"/>
  <c r="I694" i="31"/>
  <c r="K694" i="31" s="1"/>
  <c r="T694" i="31" s="1"/>
  <c r="X693" i="31"/>
  <c r="U693" i="31" s="1"/>
  <c r="W693" i="31"/>
  <c r="S693" i="31"/>
  <c r="R693" i="31"/>
  <c r="Q693" i="31"/>
  <c r="P693" i="31"/>
  <c r="O693" i="31"/>
  <c r="Z693" i="31" s="1"/>
  <c r="N693" i="31"/>
  <c r="M693" i="31"/>
  <c r="K693" i="31"/>
  <c r="J693" i="31"/>
  <c r="L693" i="31" s="1"/>
  <c r="I693" i="31"/>
  <c r="X692" i="31"/>
  <c r="W692" i="31"/>
  <c r="S692" i="31"/>
  <c r="R692" i="31"/>
  <c r="Z692" i="31" s="1"/>
  <c r="Q692" i="31"/>
  <c r="P692" i="31"/>
  <c r="O692" i="31"/>
  <c r="N692" i="31"/>
  <c r="M692" i="31"/>
  <c r="J692" i="31"/>
  <c r="L692" i="31" s="1"/>
  <c r="I692" i="31"/>
  <c r="K692" i="31" s="1"/>
  <c r="AA691" i="31"/>
  <c r="X691" i="31"/>
  <c r="W691" i="31"/>
  <c r="S691" i="31"/>
  <c r="R691" i="31"/>
  <c r="Q691" i="31"/>
  <c r="P691" i="31"/>
  <c r="O691" i="31"/>
  <c r="N691" i="31"/>
  <c r="M691" i="31"/>
  <c r="K691" i="31"/>
  <c r="U691" i="31" s="1"/>
  <c r="J691" i="31"/>
  <c r="L691" i="31" s="1"/>
  <c r="I691" i="31"/>
  <c r="X690" i="31"/>
  <c r="W690" i="31"/>
  <c r="S690" i="31"/>
  <c r="R690" i="31"/>
  <c r="Q690" i="31"/>
  <c r="P690" i="31"/>
  <c r="O690" i="31"/>
  <c r="N690" i="31"/>
  <c r="M690" i="31"/>
  <c r="L690" i="31"/>
  <c r="Z690" i="31" s="1"/>
  <c r="J690" i="31"/>
  <c r="I690" i="31"/>
  <c r="K690" i="31" s="1"/>
  <c r="X689" i="31"/>
  <c r="W689" i="31"/>
  <c r="S689" i="31"/>
  <c r="R689" i="31"/>
  <c r="Q689" i="31"/>
  <c r="P689" i="31"/>
  <c r="O689" i="31"/>
  <c r="N689" i="31"/>
  <c r="M689" i="31"/>
  <c r="L689" i="31"/>
  <c r="Z689" i="31" s="1"/>
  <c r="J689" i="31"/>
  <c r="I689" i="31"/>
  <c r="K689" i="31" s="1"/>
  <c r="X688" i="31"/>
  <c r="W688" i="31"/>
  <c r="S688" i="31"/>
  <c r="R688" i="31"/>
  <c r="Q688" i="31"/>
  <c r="O688" i="31"/>
  <c r="N688" i="31"/>
  <c r="M688" i="31"/>
  <c r="J688" i="31"/>
  <c r="I688" i="31"/>
  <c r="K688" i="31" s="1"/>
  <c r="AA687" i="31"/>
  <c r="X687" i="31"/>
  <c r="W687" i="31"/>
  <c r="S687" i="31"/>
  <c r="R687" i="31"/>
  <c r="Q687" i="31"/>
  <c r="P687" i="31"/>
  <c r="O687" i="31"/>
  <c r="N687" i="31"/>
  <c r="M687" i="31"/>
  <c r="L687" i="31"/>
  <c r="K687" i="31"/>
  <c r="J687" i="31"/>
  <c r="I687" i="31"/>
  <c r="X686" i="31"/>
  <c r="W686" i="31"/>
  <c r="T686" i="31"/>
  <c r="S686" i="31"/>
  <c r="R686" i="31"/>
  <c r="Q686" i="31"/>
  <c r="P686" i="31"/>
  <c r="O686" i="31"/>
  <c r="N686" i="31"/>
  <c r="M686" i="31"/>
  <c r="K686" i="31"/>
  <c r="J686" i="31"/>
  <c r="L686" i="31" s="1"/>
  <c r="I686" i="31"/>
  <c r="X685" i="31"/>
  <c r="W685" i="31"/>
  <c r="S685" i="31"/>
  <c r="R685" i="31"/>
  <c r="Q685" i="31"/>
  <c r="P685" i="31"/>
  <c r="O685" i="31"/>
  <c r="N685" i="31"/>
  <c r="M685" i="31"/>
  <c r="L685" i="31"/>
  <c r="J685" i="31"/>
  <c r="I685" i="31"/>
  <c r="K685" i="31" s="1"/>
  <c r="X684" i="31"/>
  <c r="W684" i="31"/>
  <c r="S684" i="31"/>
  <c r="R684" i="31"/>
  <c r="Q684" i="31"/>
  <c r="O684" i="31"/>
  <c r="N684" i="31"/>
  <c r="M684" i="31"/>
  <c r="J684" i="31"/>
  <c r="I684" i="31"/>
  <c r="K684" i="31" s="1"/>
  <c r="X683" i="31"/>
  <c r="W683" i="31"/>
  <c r="S683" i="31"/>
  <c r="R683" i="31"/>
  <c r="Q683" i="31"/>
  <c r="P683" i="31"/>
  <c r="O683" i="31"/>
  <c r="N683" i="31"/>
  <c r="M683" i="31"/>
  <c r="K683" i="31"/>
  <c r="J683" i="31"/>
  <c r="L683" i="31" s="1"/>
  <c r="I683" i="31"/>
  <c r="X682" i="31"/>
  <c r="W682" i="31"/>
  <c r="T682" i="31"/>
  <c r="S682" i="31"/>
  <c r="R682" i="31"/>
  <c r="Q682" i="31"/>
  <c r="P682" i="31"/>
  <c r="O682" i="31"/>
  <c r="N682" i="31"/>
  <c r="M682" i="31"/>
  <c r="U682" i="31" s="1"/>
  <c r="L682" i="31"/>
  <c r="K682" i="31"/>
  <c r="J682" i="31"/>
  <c r="I682" i="31"/>
  <c r="X681" i="31"/>
  <c r="W681" i="31"/>
  <c r="S681" i="31"/>
  <c r="R681" i="31"/>
  <c r="Q681" i="31"/>
  <c r="P681" i="31"/>
  <c r="O681" i="31"/>
  <c r="N681" i="31"/>
  <c r="M681" i="31"/>
  <c r="U681" i="31" s="1"/>
  <c r="L681" i="31"/>
  <c r="K681" i="31"/>
  <c r="J681" i="31"/>
  <c r="I681" i="31"/>
  <c r="X680" i="31"/>
  <c r="W680" i="31"/>
  <c r="S680" i="31"/>
  <c r="R680" i="31"/>
  <c r="Q680" i="31"/>
  <c r="P680" i="31"/>
  <c r="O680" i="31"/>
  <c r="N680" i="31"/>
  <c r="M680" i="31"/>
  <c r="J680" i="31"/>
  <c r="L680" i="31" s="1"/>
  <c r="I680" i="31"/>
  <c r="K680" i="31" s="1"/>
  <c r="Z680" i="31" s="1"/>
  <c r="AA679" i="31"/>
  <c r="X679" i="31"/>
  <c r="W679" i="31"/>
  <c r="S679" i="31"/>
  <c r="R679" i="31"/>
  <c r="Q679" i="31"/>
  <c r="O679" i="31"/>
  <c r="N679" i="31"/>
  <c r="M679" i="31"/>
  <c r="K679" i="31"/>
  <c r="J679" i="31"/>
  <c r="I679" i="31"/>
  <c r="X678" i="31"/>
  <c r="W678" i="31"/>
  <c r="S678" i="31"/>
  <c r="R678" i="31"/>
  <c r="Q678" i="31"/>
  <c r="P678" i="31"/>
  <c r="O678" i="31"/>
  <c r="N678" i="31"/>
  <c r="M678" i="31"/>
  <c r="K678" i="31"/>
  <c r="J678" i="31"/>
  <c r="L678" i="31" s="1"/>
  <c r="I678" i="31"/>
  <c r="X677" i="31"/>
  <c r="W677" i="31"/>
  <c r="AA677" i="31" s="1"/>
  <c r="Z677" i="31"/>
  <c r="S677" i="31"/>
  <c r="R677" i="31"/>
  <c r="Q677" i="31"/>
  <c r="P677" i="31"/>
  <c r="O677" i="31"/>
  <c r="N677" i="31"/>
  <c r="M677" i="31"/>
  <c r="L677" i="31"/>
  <c r="K677" i="31"/>
  <c r="J677" i="31"/>
  <c r="I677" i="31"/>
  <c r="X676" i="31"/>
  <c r="W676" i="31"/>
  <c r="S676" i="31"/>
  <c r="R676" i="31"/>
  <c r="Q676" i="31"/>
  <c r="P676" i="31"/>
  <c r="O676" i="31"/>
  <c r="Z676" i="31" s="1"/>
  <c r="N676" i="31"/>
  <c r="M676" i="31"/>
  <c r="L676" i="31"/>
  <c r="J676" i="31"/>
  <c r="I676" i="31"/>
  <c r="K676" i="31" s="1"/>
  <c r="X675" i="31"/>
  <c r="W675" i="31"/>
  <c r="S675" i="31"/>
  <c r="R675" i="31"/>
  <c r="Q675" i="31"/>
  <c r="P675" i="31"/>
  <c r="O675" i="31"/>
  <c r="N675" i="31"/>
  <c r="M675" i="31"/>
  <c r="K675" i="31"/>
  <c r="Z675" i="31" s="1"/>
  <c r="J675" i="31"/>
  <c r="L675" i="31" s="1"/>
  <c r="I675" i="31"/>
  <c r="Z674" i="31"/>
  <c r="X674" i="31"/>
  <c r="W674" i="31"/>
  <c r="S674" i="31"/>
  <c r="R674" i="31"/>
  <c r="Q674" i="31"/>
  <c r="P674" i="31"/>
  <c r="O674" i="31"/>
  <c r="N674" i="31"/>
  <c r="M674" i="31"/>
  <c r="K674" i="31"/>
  <c r="J674" i="31"/>
  <c r="L674" i="31" s="1"/>
  <c r="I674" i="31"/>
  <c r="X673" i="31"/>
  <c r="W673" i="31"/>
  <c r="S673" i="31"/>
  <c r="R673" i="31"/>
  <c r="Q673" i="31"/>
  <c r="P673" i="31"/>
  <c r="O673" i="31"/>
  <c r="N673" i="31"/>
  <c r="M673" i="31"/>
  <c r="L673" i="31"/>
  <c r="K673" i="31"/>
  <c r="J673" i="31"/>
  <c r="I673" i="31"/>
  <c r="X672" i="31"/>
  <c r="W672" i="31"/>
  <c r="S672" i="31"/>
  <c r="R672" i="31"/>
  <c r="Q672" i="31"/>
  <c r="P672" i="31"/>
  <c r="O672" i="31"/>
  <c r="N672" i="31"/>
  <c r="M672" i="31"/>
  <c r="U672" i="31" s="1"/>
  <c r="L672" i="31"/>
  <c r="J672" i="31"/>
  <c r="I672" i="31"/>
  <c r="K672" i="31" s="1"/>
  <c r="X671" i="31"/>
  <c r="W671" i="31"/>
  <c r="S671" i="31"/>
  <c r="R671" i="31"/>
  <c r="Q671" i="31"/>
  <c r="P671" i="31"/>
  <c r="O671" i="31"/>
  <c r="N671" i="31"/>
  <c r="M671" i="31"/>
  <c r="J671" i="31"/>
  <c r="L671" i="31" s="1"/>
  <c r="I671" i="31"/>
  <c r="K671" i="31" s="1"/>
  <c r="AA670" i="31"/>
  <c r="X670" i="31"/>
  <c r="W670" i="31"/>
  <c r="S670" i="31"/>
  <c r="R670" i="31"/>
  <c r="Q670" i="31"/>
  <c r="O670" i="31"/>
  <c r="N670" i="31"/>
  <c r="M670" i="31"/>
  <c r="J670" i="31"/>
  <c r="I670" i="31"/>
  <c r="K670" i="31" s="1"/>
  <c r="X669" i="31"/>
  <c r="W669" i="31"/>
  <c r="S669" i="31"/>
  <c r="R669" i="31"/>
  <c r="Q669" i="31"/>
  <c r="O669" i="31"/>
  <c r="N669" i="31"/>
  <c r="M669" i="31"/>
  <c r="K669" i="31"/>
  <c r="J669" i="31"/>
  <c r="I669" i="31"/>
  <c r="AA668" i="31"/>
  <c r="X668" i="31"/>
  <c r="W668" i="31"/>
  <c r="S668" i="31"/>
  <c r="R668" i="31"/>
  <c r="Q668" i="31"/>
  <c r="O668" i="31"/>
  <c r="N668" i="31"/>
  <c r="M668" i="31"/>
  <c r="J668" i="31"/>
  <c r="I668" i="31"/>
  <c r="K668" i="31" s="1"/>
  <c r="X667" i="31"/>
  <c r="W667" i="31"/>
  <c r="S667" i="31"/>
  <c r="R667" i="31"/>
  <c r="Q667" i="31"/>
  <c r="P667" i="31"/>
  <c r="O667" i="31"/>
  <c r="N667" i="31"/>
  <c r="M667" i="31"/>
  <c r="J667" i="31"/>
  <c r="L667" i="31" s="1"/>
  <c r="I667" i="31"/>
  <c r="K667" i="31" s="1"/>
  <c r="X666" i="31"/>
  <c r="W666" i="31"/>
  <c r="S666" i="31"/>
  <c r="R666" i="31"/>
  <c r="Q666" i="31"/>
  <c r="P666" i="31"/>
  <c r="O666" i="31"/>
  <c r="N666" i="31"/>
  <c r="M666" i="31"/>
  <c r="L666" i="31"/>
  <c r="K666" i="31"/>
  <c r="J666" i="31"/>
  <c r="I666" i="31"/>
  <c r="X665" i="31"/>
  <c r="W665" i="31"/>
  <c r="S665" i="31"/>
  <c r="R665" i="31"/>
  <c r="Q665" i="31"/>
  <c r="P665" i="31"/>
  <c r="O665" i="31"/>
  <c r="N665" i="31"/>
  <c r="M665" i="31"/>
  <c r="L665" i="31"/>
  <c r="J665" i="31"/>
  <c r="I665" i="31"/>
  <c r="K665" i="31" s="1"/>
  <c r="X664" i="31"/>
  <c r="W664" i="31"/>
  <c r="AA664" i="31" s="1"/>
  <c r="S664" i="31"/>
  <c r="R664" i="31"/>
  <c r="Q664" i="31"/>
  <c r="O664" i="31"/>
  <c r="N664" i="31"/>
  <c r="M664" i="31"/>
  <c r="J664" i="31"/>
  <c r="I664" i="31"/>
  <c r="K664" i="31" s="1"/>
  <c r="Z664" i="31" s="1"/>
  <c r="X663" i="31"/>
  <c r="W663" i="31"/>
  <c r="S663" i="31"/>
  <c r="R663" i="31"/>
  <c r="Q663" i="31"/>
  <c r="P663" i="31"/>
  <c r="O663" i="31"/>
  <c r="Z663" i="31" s="1"/>
  <c r="N663" i="31"/>
  <c r="M663" i="31"/>
  <c r="K663" i="31"/>
  <c r="J663" i="31"/>
  <c r="L663" i="31" s="1"/>
  <c r="I663" i="31"/>
  <c r="X662" i="31"/>
  <c r="W662" i="31"/>
  <c r="S662" i="31"/>
  <c r="R662" i="31"/>
  <c r="Q662" i="31"/>
  <c r="P662" i="31"/>
  <c r="O662" i="31"/>
  <c r="N662" i="31"/>
  <c r="M662" i="31"/>
  <c r="J662" i="31"/>
  <c r="L662" i="31" s="1"/>
  <c r="Z662" i="31" s="1"/>
  <c r="I662" i="31"/>
  <c r="K662" i="31" s="1"/>
  <c r="X661" i="31"/>
  <c r="W661" i="31"/>
  <c r="Z661" i="31"/>
  <c r="S661" i="31"/>
  <c r="R661" i="31"/>
  <c r="Q661" i="31"/>
  <c r="P661" i="31"/>
  <c r="O661" i="31"/>
  <c r="N661" i="31"/>
  <c r="M661" i="31"/>
  <c r="L661" i="31"/>
  <c r="K661" i="31"/>
  <c r="U661" i="31" s="1"/>
  <c r="J661" i="31"/>
  <c r="I661" i="31"/>
  <c r="X660" i="31"/>
  <c r="W660" i="31"/>
  <c r="S660" i="31"/>
  <c r="R660" i="31"/>
  <c r="Q660" i="31"/>
  <c r="P660" i="31"/>
  <c r="O660" i="31"/>
  <c r="Z660" i="31" s="1"/>
  <c r="N660" i="31"/>
  <c r="M660" i="31"/>
  <c r="L660" i="31"/>
  <c r="J660" i="31"/>
  <c r="I660" i="31"/>
  <c r="K660" i="31" s="1"/>
  <c r="X659" i="31"/>
  <c r="U659" i="31" s="1"/>
  <c r="W659" i="31"/>
  <c r="S659" i="31"/>
  <c r="R659" i="31"/>
  <c r="Q659" i="31"/>
  <c r="P659" i="31"/>
  <c r="O659" i="31"/>
  <c r="N659" i="31"/>
  <c r="M659" i="31"/>
  <c r="K659" i="31"/>
  <c r="Z659" i="31" s="1"/>
  <c r="J659" i="31"/>
  <c r="L659" i="31" s="1"/>
  <c r="I659" i="31"/>
  <c r="X658" i="31"/>
  <c r="W658" i="31"/>
  <c r="S658" i="31"/>
  <c r="R658" i="31"/>
  <c r="Q658" i="31"/>
  <c r="P658" i="31"/>
  <c r="O658" i="31"/>
  <c r="N658" i="31"/>
  <c r="M658" i="31"/>
  <c r="K658" i="31"/>
  <c r="J658" i="31"/>
  <c r="L658" i="31" s="1"/>
  <c r="I658" i="31"/>
  <c r="X657" i="31"/>
  <c r="W657" i="31"/>
  <c r="S657" i="31"/>
  <c r="R657" i="31"/>
  <c r="Q657" i="31"/>
  <c r="P657" i="31"/>
  <c r="O657" i="31"/>
  <c r="N657" i="31"/>
  <c r="M657" i="31"/>
  <c r="L657" i="31"/>
  <c r="K657" i="31"/>
  <c r="J657" i="31"/>
  <c r="I657" i="31"/>
  <c r="X656" i="31"/>
  <c r="W656" i="31"/>
  <c r="S656" i="31"/>
  <c r="R656" i="31"/>
  <c r="Q656" i="31"/>
  <c r="O656" i="31"/>
  <c r="N656" i="31"/>
  <c r="M656" i="31"/>
  <c r="K656" i="31"/>
  <c r="U656" i="31" s="1"/>
  <c r="J656" i="31"/>
  <c r="I656" i="31"/>
  <c r="X655" i="31"/>
  <c r="W655" i="31"/>
  <c r="S655" i="31"/>
  <c r="R655" i="31"/>
  <c r="Q655" i="31"/>
  <c r="P655" i="31"/>
  <c r="O655" i="31"/>
  <c r="N655" i="31"/>
  <c r="M655" i="31"/>
  <c r="L655" i="31"/>
  <c r="J655" i="31"/>
  <c r="I655" i="31"/>
  <c r="K655" i="31" s="1"/>
  <c r="X654" i="31"/>
  <c r="W654" i="31"/>
  <c r="S654" i="31"/>
  <c r="R654" i="31"/>
  <c r="Q654" i="31"/>
  <c r="P654" i="31"/>
  <c r="O654" i="31"/>
  <c r="Z654" i="31" s="1"/>
  <c r="N654" i="31"/>
  <c r="M654" i="31"/>
  <c r="J654" i="31"/>
  <c r="L654" i="31" s="1"/>
  <c r="I654" i="31"/>
  <c r="K654" i="31" s="1"/>
  <c r="X653" i="31"/>
  <c r="W653" i="31"/>
  <c r="S653" i="31"/>
  <c r="R653" i="31"/>
  <c r="Q653" i="31"/>
  <c r="P653" i="31"/>
  <c r="O653" i="31"/>
  <c r="N653" i="31"/>
  <c r="M653" i="31"/>
  <c r="J653" i="31"/>
  <c r="L653" i="31" s="1"/>
  <c r="I653" i="31"/>
  <c r="K653" i="31" s="1"/>
  <c r="X652" i="31"/>
  <c r="W652" i="31"/>
  <c r="S652" i="31"/>
  <c r="R652" i="31"/>
  <c r="Q652" i="31"/>
  <c r="O652" i="31"/>
  <c r="N652" i="31"/>
  <c r="M652" i="31"/>
  <c r="J652" i="31"/>
  <c r="I652" i="31"/>
  <c r="K652" i="31" s="1"/>
  <c r="X651" i="31"/>
  <c r="W651" i="31"/>
  <c r="S651" i="31"/>
  <c r="R651" i="31"/>
  <c r="Q651" i="31"/>
  <c r="P651" i="31"/>
  <c r="O651" i="31"/>
  <c r="N651" i="31"/>
  <c r="M651" i="31"/>
  <c r="L651" i="31"/>
  <c r="U651" i="31" s="1"/>
  <c r="K651" i="31"/>
  <c r="J651" i="31"/>
  <c r="I651" i="31"/>
  <c r="X650" i="31"/>
  <c r="W650" i="31"/>
  <c r="S650" i="31"/>
  <c r="R650" i="31"/>
  <c r="Q650" i="31"/>
  <c r="P650" i="31"/>
  <c r="O650" i="31"/>
  <c r="N650" i="31"/>
  <c r="U650" i="31" s="1"/>
  <c r="M650" i="31"/>
  <c r="L650" i="31"/>
  <c r="J650" i="31"/>
  <c r="I650" i="31"/>
  <c r="K650" i="31" s="1"/>
  <c r="X649" i="31"/>
  <c r="W649" i="31"/>
  <c r="S649" i="31"/>
  <c r="R649" i="31"/>
  <c r="Q649" i="31"/>
  <c r="P649" i="31"/>
  <c r="O649" i="31"/>
  <c r="N649" i="31"/>
  <c r="M649" i="31"/>
  <c r="J649" i="31"/>
  <c r="L649" i="31" s="1"/>
  <c r="I649" i="31"/>
  <c r="K649" i="31" s="1"/>
  <c r="Z649" i="31" s="1"/>
  <c r="X648" i="31"/>
  <c r="W648" i="31"/>
  <c r="S648" i="31"/>
  <c r="R648" i="31"/>
  <c r="Q648" i="31"/>
  <c r="P648" i="31"/>
  <c r="O648" i="31"/>
  <c r="N648" i="31"/>
  <c r="M648" i="31"/>
  <c r="K648" i="31"/>
  <c r="J648" i="31"/>
  <c r="L648" i="31" s="1"/>
  <c r="I648" i="31"/>
  <c r="X647" i="31"/>
  <c r="W647" i="31"/>
  <c r="S647" i="31"/>
  <c r="R647" i="31"/>
  <c r="Q647" i="31"/>
  <c r="O647" i="31"/>
  <c r="N647" i="31"/>
  <c r="M647" i="31"/>
  <c r="K647" i="31"/>
  <c r="J647" i="31"/>
  <c r="I647" i="31"/>
  <c r="X646" i="31"/>
  <c r="W646" i="31"/>
  <c r="S646" i="31"/>
  <c r="R646" i="31"/>
  <c r="Q646" i="31"/>
  <c r="P646" i="31"/>
  <c r="O646" i="31"/>
  <c r="N646" i="31"/>
  <c r="M646" i="31"/>
  <c r="L646" i="31"/>
  <c r="K646" i="31"/>
  <c r="J646" i="31"/>
  <c r="I646" i="31"/>
  <c r="X645" i="31"/>
  <c r="W645" i="31"/>
  <c r="S645" i="31"/>
  <c r="R645" i="31"/>
  <c r="Q645" i="31"/>
  <c r="P645" i="31"/>
  <c r="O645" i="31"/>
  <c r="Z645" i="31" s="1"/>
  <c r="N645" i="31"/>
  <c r="M645" i="31"/>
  <c r="L645" i="31"/>
  <c r="J645" i="31"/>
  <c r="I645" i="31"/>
  <c r="K645" i="31" s="1"/>
  <c r="X644" i="31"/>
  <c r="U644" i="31" s="1"/>
  <c r="W644" i="31"/>
  <c r="AA644" i="31" s="1"/>
  <c r="S644" i="31"/>
  <c r="R644" i="31"/>
  <c r="Q644" i="31"/>
  <c r="O644" i="31"/>
  <c r="N644" i="31"/>
  <c r="Z644" i="31" s="1"/>
  <c r="M644" i="31"/>
  <c r="J644" i="31"/>
  <c r="I644" i="31"/>
  <c r="K644" i="31" s="1"/>
  <c r="X643" i="31"/>
  <c r="W643" i="31"/>
  <c r="S643" i="31"/>
  <c r="R643" i="31"/>
  <c r="Q643" i="31"/>
  <c r="O643" i="31"/>
  <c r="N643" i="31"/>
  <c r="M643" i="31"/>
  <c r="J643" i="31"/>
  <c r="I643" i="31"/>
  <c r="K643" i="31" s="1"/>
  <c r="X642" i="31"/>
  <c r="W642" i="31"/>
  <c r="AA642" i="31" s="1"/>
  <c r="S642" i="31"/>
  <c r="R642" i="31"/>
  <c r="Q642" i="31"/>
  <c r="P642" i="31"/>
  <c r="O642" i="31"/>
  <c r="Z642" i="31" s="1"/>
  <c r="N642" i="31"/>
  <c r="M642" i="31"/>
  <c r="K642" i="31"/>
  <c r="J642" i="31"/>
  <c r="L642" i="31" s="1"/>
  <c r="I642" i="31"/>
  <c r="X641" i="31"/>
  <c r="W641" i="31"/>
  <c r="S641" i="31"/>
  <c r="R641" i="31"/>
  <c r="Q641" i="31"/>
  <c r="P641" i="31"/>
  <c r="O641" i="31"/>
  <c r="N641" i="31"/>
  <c r="M641" i="31"/>
  <c r="J641" i="31"/>
  <c r="L641" i="31" s="1"/>
  <c r="I641" i="31"/>
  <c r="K641" i="31" s="1"/>
  <c r="X640" i="31"/>
  <c r="W640" i="31"/>
  <c r="S640" i="31"/>
  <c r="R640" i="31"/>
  <c r="Q640" i="31"/>
  <c r="O640" i="31"/>
  <c r="N640" i="31"/>
  <c r="M640" i="31"/>
  <c r="K640" i="31"/>
  <c r="U640" i="31" s="1"/>
  <c r="J640" i="31"/>
  <c r="I640" i="31"/>
  <c r="X639" i="31"/>
  <c r="W639" i="31"/>
  <c r="Z639" i="31"/>
  <c r="S639" i="31"/>
  <c r="R639" i="31"/>
  <c r="Q639" i="31"/>
  <c r="O639" i="31"/>
  <c r="N639" i="31"/>
  <c r="M639" i="31"/>
  <c r="J639" i="31"/>
  <c r="I639" i="31"/>
  <c r="K639" i="31" s="1"/>
  <c r="U639" i="31" s="1"/>
  <c r="X638" i="31"/>
  <c r="W638" i="31"/>
  <c r="S638" i="31"/>
  <c r="R638" i="31"/>
  <c r="Q638" i="31"/>
  <c r="O638" i="31"/>
  <c r="N638" i="31"/>
  <c r="M638" i="31"/>
  <c r="J638" i="31"/>
  <c r="I638" i="31"/>
  <c r="K638" i="31" s="1"/>
  <c r="U638" i="31" s="1"/>
  <c r="X637" i="31"/>
  <c r="W637" i="31"/>
  <c r="AA637" i="31" s="1"/>
  <c r="S637" i="31"/>
  <c r="R637" i="31"/>
  <c r="Q637" i="31"/>
  <c r="P637" i="31"/>
  <c r="O637" i="31"/>
  <c r="N637" i="31"/>
  <c r="M637" i="31"/>
  <c r="L637" i="31"/>
  <c r="K637" i="31"/>
  <c r="J637" i="31"/>
  <c r="I637" i="31"/>
  <c r="X636" i="31"/>
  <c r="W636" i="31"/>
  <c r="S636" i="31"/>
  <c r="R636" i="31"/>
  <c r="Q636" i="31"/>
  <c r="O636" i="31"/>
  <c r="N636" i="31"/>
  <c r="M636" i="31"/>
  <c r="K636" i="31"/>
  <c r="J636" i="31"/>
  <c r="I636" i="31"/>
  <c r="Z635" i="31"/>
  <c r="X635" i="31"/>
  <c r="W635" i="31"/>
  <c r="U635" i="31"/>
  <c r="S635" i="31"/>
  <c r="R635" i="31"/>
  <c r="Q635" i="31"/>
  <c r="P635" i="31"/>
  <c r="O635" i="31"/>
  <c r="N635" i="31"/>
  <c r="M635" i="31"/>
  <c r="L635" i="31"/>
  <c r="J635" i="31"/>
  <c r="I635" i="31"/>
  <c r="K635" i="31" s="1"/>
  <c r="X634" i="31"/>
  <c r="U634" i="31" s="1"/>
  <c r="W634" i="31"/>
  <c r="S634" i="31"/>
  <c r="R634" i="31"/>
  <c r="Q634" i="31"/>
  <c r="P634" i="31"/>
  <c r="O634" i="31"/>
  <c r="N634" i="31"/>
  <c r="M634" i="31"/>
  <c r="J634" i="31"/>
  <c r="L634" i="31" s="1"/>
  <c r="I634" i="31"/>
  <c r="K634" i="31" s="1"/>
  <c r="Z634" i="31" s="1"/>
  <c r="X633" i="31"/>
  <c r="W633" i="31"/>
  <c r="S633" i="31"/>
  <c r="R633" i="31"/>
  <c r="Q633" i="31"/>
  <c r="P633" i="31"/>
  <c r="O633" i="31"/>
  <c r="N633" i="31"/>
  <c r="M633" i="31"/>
  <c r="U633" i="31" s="1"/>
  <c r="L633" i="31"/>
  <c r="K633" i="31"/>
  <c r="J633" i="31"/>
  <c r="I633" i="31"/>
  <c r="X632" i="31"/>
  <c r="W632" i="31"/>
  <c r="U632" i="31"/>
  <c r="S632" i="31"/>
  <c r="R632" i="31"/>
  <c r="Q632" i="31"/>
  <c r="P632" i="31"/>
  <c r="O632" i="31"/>
  <c r="N632" i="31"/>
  <c r="M632" i="31"/>
  <c r="L632" i="31"/>
  <c r="T632" i="31" s="1"/>
  <c r="K632" i="31"/>
  <c r="J632" i="31"/>
  <c r="I632" i="31"/>
  <c r="X631" i="31"/>
  <c r="W631" i="31"/>
  <c r="U631" i="31"/>
  <c r="S631" i="31"/>
  <c r="R631" i="31"/>
  <c r="Q631" i="31"/>
  <c r="O631" i="31"/>
  <c r="N631" i="31"/>
  <c r="M631" i="31"/>
  <c r="K631" i="31"/>
  <c r="J631" i="31"/>
  <c r="I631" i="31"/>
  <c r="X630" i="31"/>
  <c r="W630" i="31"/>
  <c r="S630" i="31"/>
  <c r="R630" i="31"/>
  <c r="Q630" i="31"/>
  <c r="P630" i="31"/>
  <c r="O630" i="31"/>
  <c r="N630" i="31"/>
  <c r="M630" i="31"/>
  <c r="L630" i="31"/>
  <c r="J630" i="31"/>
  <c r="I630" i="31"/>
  <c r="K630" i="31" s="1"/>
  <c r="X629" i="31"/>
  <c r="W629" i="31"/>
  <c r="S629" i="31"/>
  <c r="R629" i="31"/>
  <c r="Q629" i="31"/>
  <c r="AA629" i="31" s="1"/>
  <c r="P629" i="31"/>
  <c r="O629" i="31"/>
  <c r="N629" i="31"/>
  <c r="M629" i="31"/>
  <c r="J629" i="31"/>
  <c r="L629" i="31" s="1"/>
  <c r="I629" i="31"/>
  <c r="K629" i="31" s="1"/>
  <c r="X628" i="31"/>
  <c r="W628" i="31"/>
  <c r="S628" i="31"/>
  <c r="R628" i="31"/>
  <c r="Q628" i="31"/>
  <c r="P628" i="31"/>
  <c r="O628" i="31"/>
  <c r="N628" i="31"/>
  <c r="M628" i="31"/>
  <c r="J628" i="31"/>
  <c r="L628" i="31" s="1"/>
  <c r="I628" i="31"/>
  <c r="K628" i="31" s="1"/>
  <c r="X627" i="31"/>
  <c r="W627" i="31"/>
  <c r="S627" i="31"/>
  <c r="R627" i="31"/>
  <c r="Q627" i="31"/>
  <c r="P627" i="31"/>
  <c r="O627" i="31"/>
  <c r="N627" i="31"/>
  <c r="M627" i="31"/>
  <c r="L627" i="31"/>
  <c r="K627" i="31"/>
  <c r="J627" i="31"/>
  <c r="I627" i="31"/>
  <c r="X626" i="31"/>
  <c r="W626" i="31"/>
  <c r="S626" i="31"/>
  <c r="R626" i="31"/>
  <c r="Q626" i="31"/>
  <c r="P626" i="31"/>
  <c r="O626" i="31"/>
  <c r="N626" i="31"/>
  <c r="M626" i="31"/>
  <c r="L626" i="31"/>
  <c r="J626" i="31"/>
  <c r="I626" i="31"/>
  <c r="K626" i="31" s="1"/>
  <c r="X625" i="31"/>
  <c r="W625" i="31"/>
  <c r="S625" i="31"/>
  <c r="R625" i="31"/>
  <c r="Q625" i="31"/>
  <c r="P625" i="31"/>
  <c r="O625" i="31"/>
  <c r="N625" i="31"/>
  <c r="M625" i="31"/>
  <c r="J625" i="31"/>
  <c r="L625" i="31" s="1"/>
  <c r="I625" i="31"/>
  <c r="K625" i="31" s="1"/>
  <c r="Z625" i="31" s="1"/>
  <c r="X624" i="31"/>
  <c r="W624" i="31"/>
  <c r="S624" i="31"/>
  <c r="R624" i="31"/>
  <c r="Q624" i="31"/>
  <c r="P624" i="31"/>
  <c r="O624" i="31"/>
  <c r="N624" i="31"/>
  <c r="M624" i="31"/>
  <c r="J624" i="31"/>
  <c r="L624" i="31" s="1"/>
  <c r="I624" i="31"/>
  <c r="K624" i="31" s="1"/>
  <c r="X623" i="31"/>
  <c r="W623" i="31"/>
  <c r="S623" i="31"/>
  <c r="R623" i="31"/>
  <c r="Q623" i="31"/>
  <c r="P623" i="31"/>
  <c r="O623" i="31"/>
  <c r="N623" i="31"/>
  <c r="M623" i="31"/>
  <c r="L623" i="31"/>
  <c r="K623" i="31"/>
  <c r="J623" i="31"/>
  <c r="I623" i="31"/>
  <c r="X622" i="31"/>
  <c r="W622" i="31"/>
  <c r="S622" i="31"/>
  <c r="R622" i="31"/>
  <c r="Q622" i="31"/>
  <c r="P622" i="31"/>
  <c r="O622" i="31"/>
  <c r="N622" i="31"/>
  <c r="M622" i="31"/>
  <c r="L622" i="31"/>
  <c r="J622" i="31"/>
  <c r="I622" i="31"/>
  <c r="K622" i="31" s="1"/>
  <c r="X621" i="31"/>
  <c r="W621" i="31"/>
  <c r="S621" i="31"/>
  <c r="R621" i="31"/>
  <c r="Q621" i="31"/>
  <c r="P621" i="31"/>
  <c r="O621" i="31"/>
  <c r="N621" i="31"/>
  <c r="M621" i="31"/>
  <c r="J621" i="31"/>
  <c r="L621" i="31" s="1"/>
  <c r="I621" i="31"/>
  <c r="K621" i="31" s="1"/>
  <c r="X620" i="31"/>
  <c r="W620" i="31"/>
  <c r="S620" i="31"/>
  <c r="R620" i="31"/>
  <c r="Q620" i="31"/>
  <c r="O620" i="31"/>
  <c r="N620" i="31"/>
  <c r="M620" i="31"/>
  <c r="K620" i="31"/>
  <c r="J620" i="31"/>
  <c r="I620" i="31"/>
  <c r="Z619" i="31"/>
  <c r="X619" i="31"/>
  <c r="W619" i="31"/>
  <c r="S619" i="31"/>
  <c r="R619" i="31"/>
  <c r="Q619" i="31"/>
  <c r="P619" i="31"/>
  <c r="O619" i="31"/>
  <c r="N619" i="31"/>
  <c r="M619" i="31"/>
  <c r="K619" i="31"/>
  <c r="J619" i="31"/>
  <c r="L619" i="31" s="1"/>
  <c r="I619" i="31"/>
  <c r="X618" i="31"/>
  <c r="W618" i="31"/>
  <c r="S618" i="31"/>
  <c r="R618" i="31"/>
  <c r="Q618" i="31"/>
  <c r="P618" i="31"/>
  <c r="O618" i="31"/>
  <c r="N618" i="31"/>
  <c r="M618" i="31"/>
  <c r="K618" i="31"/>
  <c r="J618" i="31"/>
  <c r="L618" i="31" s="1"/>
  <c r="I618" i="31"/>
  <c r="X617" i="31"/>
  <c r="W617" i="31"/>
  <c r="S617" i="31"/>
  <c r="R617" i="31"/>
  <c r="Q617" i="31"/>
  <c r="P617" i="31"/>
  <c r="O617" i="31"/>
  <c r="N617" i="31"/>
  <c r="M617" i="31"/>
  <c r="L617" i="31"/>
  <c r="J617" i="31"/>
  <c r="I617" i="31"/>
  <c r="K617" i="31" s="1"/>
  <c r="X616" i="31"/>
  <c r="W616" i="31"/>
  <c r="Z616" i="31"/>
  <c r="S616" i="31"/>
  <c r="R616" i="31"/>
  <c r="Q616" i="31"/>
  <c r="O616" i="31"/>
  <c r="N616" i="31"/>
  <c r="M616" i="31"/>
  <c r="J616" i="31"/>
  <c r="I616" i="31"/>
  <c r="K616" i="31" s="1"/>
  <c r="X615" i="31"/>
  <c r="W615" i="31"/>
  <c r="S615" i="31"/>
  <c r="R615" i="31"/>
  <c r="Q615" i="31"/>
  <c r="P615" i="31"/>
  <c r="O615" i="31"/>
  <c r="N615" i="31"/>
  <c r="M615" i="31"/>
  <c r="J615" i="31"/>
  <c r="L615" i="31" s="1"/>
  <c r="I615" i="31"/>
  <c r="K615" i="31" s="1"/>
  <c r="X614" i="31"/>
  <c r="W614" i="31"/>
  <c r="S614" i="31"/>
  <c r="R614" i="31"/>
  <c r="Q614" i="31"/>
  <c r="P614" i="31"/>
  <c r="O614" i="31"/>
  <c r="N614" i="31"/>
  <c r="M614" i="31"/>
  <c r="L614" i="31"/>
  <c r="K614" i="31"/>
  <c r="J614" i="31"/>
  <c r="I614" i="31"/>
  <c r="X613" i="31"/>
  <c r="U613" i="31" s="1"/>
  <c r="W613" i="31"/>
  <c r="AA613" i="31" s="1"/>
  <c r="S613" i="31"/>
  <c r="R613" i="31"/>
  <c r="Q613" i="31"/>
  <c r="P613" i="31"/>
  <c r="O613" i="31"/>
  <c r="N613" i="31"/>
  <c r="M613" i="31"/>
  <c r="L613" i="31"/>
  <c r="T613" i="31" s="1"/>
  <c r="K613" i="31"/>
  <c r="J613" i="31"/>
  <c r="I613" i="31"/>
  <c r="X612" i="31"/>
  <c r="W612" i="31"/>
  <c r="S612" i="31"/>
  <c r="R612" i="31"/>
  <c r="Q612" i="31"/>
  <c r="O612" i="31"/>
  <c r="N612" i="31"/>
  <c r="M612" i="31"/>
  <c r="AA612" i="31" s="1"/>
  <c r="K612" i="31"/>
  <c r="J612" i="31"/>
  <c r="I612" i="31"/>
  <c r="X611" i="31"/>
  <c r="W611" i="31"/>
  <c r="S611" i="31"/>
  <c r="R611" i="31"/>
  <c r="Q611" i="31"/>
  <c r="P611" i="31"/>
  <c r="O611" i="31"/>
  <c r="AA611" i="31" s="1"/>
  <c r="N611" i="31"/>
  <c r="M611" i="31"/>
  <c r="L611" i="31"/>
  <c r="J611" i="31"/>
  <c r="I611" i="31"/>
  <c r="K611" i="31" s="1"/>
  <c r="X610" i="31"/>
  <c r="W610" i="31"/>
  <c r="AA610" i="31" s="1"/>
  <c r="S610" i="31"/>
  <c r="R610" i="31"/>
  <c r="Q610" i="31"/>
  <c r="O610" i="31"/>
  <c r="N610" i="31"/>
  <c r="Z610" i="31" s="1"/>
  <c r="M610" i="31"/>
  <c r="J610" i="31"/>
  <c r="I610" i="31"/>
  <c r="K610" i="31" s="1"/>
  <c r="Z609" i="31"/>
  <c r="X609" i="31"/>
  <c r="W609" i="31"/>
  <c r="S609" i="31"/>
  <c r="R609" i="31"/>
  <c r="Q609" i="31"/>
  <c r="P609" i="31"/>
  <c r="O609" i="31"/>
  <c r="N609" i="31"/>
  <c r="M609" i="31"/>
  <c r="L609" i="31"/>
  <c r="K609" i="31"/>
  <c r="J609" i="31"/>
  <c r="I609" i="31"/>
  <c r="X608" i="31"/>
  <c r="W608" i="31"/>
  <c r="S608" i="31"/>
  <c r="R608" i="31"/>
  <c r="Q608" i="31"/>
  <c r="P608" i="31"/>
  <c r="O608" i="31"/>
  <c r="N608" i="31"/>
  <c r="AA608" i="31" s="1"/>
  <c r="M608" i="31"/>
  <c r="J608" i="31"/>
  <c r="L608" i="31" s="1"/>
  <c r="I608" i="31"/>
  <c r="K608" i="31" s="1"/>
  <c r="X607" i="31"/>
  <c r="W607" i="31"/>
  <c r="S607" i="31"/>
  <c r="R607" i="31"/>
  <c r="Q607" i="31"/>
  <c r="P607" i="31"/>
  <c r="O607" i="31"/>
  <c r="N607" i="31"/>
  <c r="M607" i="31"/>
  <c r="L607" i="31"/>
  <c r="T607" i="31" s="1"/>
  <c r="J607" i="31"/>
  <c r="I607" i="31"/>
  <c r="K607" i="31" s="1"/>
  <c r="X606" i="31"/>
  <c r="W606" i="31"/>
  <c r="S606" i="31"/>
  <c r="R606" i="31"/>
  <c r="Q606" i="31"/>
  <c r="O606" i="31"/>
  <c r="N606" i="31"/>
  <c r="M606" i="31"/>
  <c r="J606" i="31"/>
  <c r="I606" i="31"/>
  <c r="K606" i="31" s="1"/>
  <c r="X605" i="31"/>
  <c r="W605" i="31"/>
  <c r="S605" i="31"/>
  <c r="R605" i="31"/>
  <c r="AA605" i="31" s="1"/>
  <c r="Q605" i="31"/>
  <c r="P605" i="31"/>
  <c r="O605" i="31"/>
  <c r="N605" i="31"/>
  <c r="M605" i="31"/>
  <c r="K605" i="31"/>
  <c r="J605" i="31"/>
  <c r="L605" i="31" s="1"/>
  <c r="I605" i="31"/>
  <c r="X604" i="31"/>
  <c r="W604" i="31"/>
  <c r="S604" i="31"/>
  <c r="R604" i="31"/>
  <c r="Q604" i="31"/>
  <c r="P604" i="31"/>
  <c r="O604" i="31"/>
  <c r="N604" i="31"/>
  <c r="M604" i="31"/>
  <c r="L604" i="31"/>
  <c r="J604" i="31"/>
  <c r="I604" i="31"/>
  <c r="K604" i="31" s="1"/>
  <c r="X603" i="31"/>
  <c r="W603" i="31"/>
  <c r="S603" i="31"/>
  <c r="R603" i="31"/>
  <c r="Q603" i="31"/>
  <c r="P603" i="31"/>
  <c r="O603" i="31"/>
  <c r="N603" i="31"/>
  <c r="M603" i="31"/>
  <c r="J603" i="31"/>
  <c r="L603" i="31" s="1"/>
  <c r="AA603" i="31" s="1"/>
  <c r="I603" i="31"/>
  <c r="K603" i="31" s="1"/>
  <c r="X602" i="31"/>
  <c r="W602" i="31"/>
  <c r="S602" i="31"/>
  <c r="R602" i="31"/>
  <c r="Q602" i="31"/>
  <c r="Z602" i="31" s="1"/>
  <c r="O602" i="31"/>
  <c r="N602" i="31"/>
  <c r="M602" i="31"/>
  <c r="J602" i="31"/>
  <c r="I602" i="31"/>
  <c r="K602" i="31" s="1"/>
  <c r="T602" i="31" s="1"/>
  <c r="X601" i="31"/>
  <c r="U601" i="31" s="1"/>
  <c r="W601" i="31"/>
  <c r="S601" i="31"/>
  <c r="R601" i="31"/>
  <c r="Q601" i="31"/>
  <c r="AA601" i="31" s="1"/>
  <c r="P601" i="31"/>
  <c r="O601" i="31"/>
  <c r="N601" i="31"/>
  <c r="M601" i="31"/>
  <c r="J601" i="31"/>
  <c r="L601" i="31" s="1"/>
  <c r="I601" i="31"/>
  <c r="K601" i="31" s="1"/>
  <c r="X600" i="31"/>
  <c r="W600" i="31"/>
  <c r="S600" i="31"/>
  <c r="R600" i="31"/>
  <c r="Q600" i="31"/>
  <c r="P600" i="31"/>
  <c r="O600" i="31"/>
  <c r="N600" i="31"/>
  <c r="M600" i="31"/>
  <c r="K600" i="31"/>
  <c r="U600" i="31" s="1"/>
  <c r="J600" i="31"/>
  <c r="L600" i="31" s="1"/>
  <c r="I600" i="31"/>
  <c r="X599" i="31"/>
  <c r="W599" i="31"/>
  <c r="S599" i="31"/>
  <c r="R599" i="31"/>
  <c r="Q599" i="31"/>
  <c r="P599" i="31"/>
  <c r="O599" i="31"/>
  <c r="N599" i="31"/>
  <c r="M599" i="31"/>
  <c r="K599" i="31"/>
  <c r="J599" i="31"/>
  <c r="L599" i="31" s="1"/>
  <c r="I599" i="31"/>
  <c r="X598" i="31"/>
  <c r="W598" i="31"/>
  <c r="S598" i="31"/>
  <c r="R598" i="31"/>
  <c r="Q598" i="31"/>
  <c r="P598" i="31"/>
  <c r="Z598" i="31" s="1"/>
  <c r="O598" i="31"/>
  <c r="N598" i="31"/>
  <c r="M598" i="31"/>
  <c r="L598" i="31"/>
  <c r="J598" i="31"/>
  <c r="I598" i="31"/>
  <c r="K598" i="31" s="1"/>
  <c r="X597" i="31"/>
  <c r="W597" i="31"/>
  <c r="S597" i="31"/>
  <c r="R597" i="31"/>
  <c r="Q597" i="31"/>
  <c r="P597" i="31"/>
  <c r="O597" i="31"/>
  <c r="N597" i="31"/>
  <c r="M597" i="31"/>
  <c r="J597" i="31"/>
  <c r="L597" i="31" s="1"/>
  <c r="I597" i="31"/>
  <c r="K597" i="31" s="1"/>
  <c r="X596" i="31"/>
  <c r="W596" i="31"/>
  <c r="S596" i="31"/>
  <c r="R596" i="31"/>
  <c r="Q596" i="31"/>
  <c r="P596" i="31"/>
  <c r="O596" i="31"/>
  <c r="N596" i="31"/>
  <c r="M596" i="31"/>
  <c r="K596" i="31"/>
  <c r="J596" i="31"/>
  <c r="L596" i="31" s="1"/>
  <c r="I596" i="31"/>
  <c r="X595" i="31"/>
  <c r="W595" i="31"/>
  <c r="S595" i="31"/>
  <c r="R595" i="31"/>
  <c r="Q595" i="31"/>
  <c r="P595" i="31"/>
  <c r="O595" i="31"/>
  <c r="N595" i="31"/>
  <c r="M595" i="31"/>
  <c r="L595" i="31"/>
  <c r="U595" i="31" s="1"/>
  <c r="K595" i="31"/>
  <c r="J595" i="31"/>
  <c r="I595" i="31"/>
  <c r="X594" i="31"/>
  <c r="U594" i="31" s="1"/>
  <c r="W594" i="31"/>
  <c r="AA594" i="31" s="1"/>
  <c r="S594" i="31"/>
  <c r="R594" i="31"/>
  <c r="Q594" i="31"/>
  <c r="O594" i="31"/>
  <c r="N594" i="31"/>
  <c r="T594" i="31" s="1"/>
  <c r="M594" i="31"/>
  <c r="K594" i="31"/>
  <c r="J594" i="31"/>
  <c r="I594" i="31"/>
  <c r="X593" i="31"/>
  <c r="W593" i="31"/>
  <c r="S593" i="31"/>
  <c r="R593" i="31"/>
  <c r="Q593" i="31"/>
  <c r="O593" i="31"/>
  <c r="N593" i="31"/>
  <c r="M593" i="31"/>
  <c r="J593" i="31"/>
  <c r="I593" i="31"/>
  <c r="K593" i="31" s="1"/>
  <c r="T593" i="31" s="1"/>
  <c r="X592" i="31"/>
  <c r="W592" i="31"/>
  <c r="S592" i="31"/>
  <c r="R592" i="31"/>
  <c r="Q592" i="31"/>
  <c r="P592" i="31"/>
  <c r="O592" i="31"/>
  <c r="N592" i="31"/>
  <c r="M592" i="31"/>
  <c r="J592" i="31"/>
  <c r="L592" i="31" s="1"/>
  <c r="AA592" i="31" s="1"/>
  <c r="I592" i="31"/>
  <c r="K592" i="31" s="1"/>
  <c r="AA591" i="31"/>
  <c r="X591" i="31"/>
  <c r="W591" i="31"/>
  <c r="S591" i="31"/>
  <c r="R591" i="31"/>
  <c r="Q591" i="31"/>
  <c r="O591" i="31"/>
  <c r="N591" i="31"/>
  <c r="M591" i="31"/>
  <c r="J591" i="31"/>
  <c r="I591" i="31"/>
  <c r="K591" i="31" s="1"/>
  <c r="X590" i="31"/>
  <c r="W590" i="31"/>
  <c r="S590" i="31"/>
  <c r="R590" i="31"/>
  <c r="Q590" i="31"/>
  <c r="P590" i="31"/>
  <c r="O590" i="31"/>
  <c r="N590" i="31"/>
  <c r="M590" i="31"/>
  <c r="K590" i="31"/>
  <c r="J590" i="31"/>
  <c r="L590" i="31" s="1"/>
  <c r="I590" i="31"/>
  <c r="X589" i="31"/>
  <c r="W589" i="31"/>
  <c r="S589" i="31"/>
  <c r="R589" i="31"/>
  <c r="Q589" i="31"/>
  <c r="P589" i="31"/>
  <c r="O589" i="31"/>
  <c r="N589" i="31"/>
  <c r="M589" i="31"/>
  <c r="L589" i="31"/>
  <c r="J589" i="31"/>
  <c r="I589" i="31"/>
  <c r="K589" i="31" s="1"/>
  <c r="X588" i="31"/>
  <c r="W588" i="31"/>
  <c r="S588" i="31"/>
  <c r="R588" i="31"/>
  <c r="Q588" i="31"/>
  <c r="P588" i="31"/>
  <c r="O588" i="31"/>
  <c r="N588" i="31"/>
  <c r="M588" i="31"/>
  <c r="J588" i="31"/>
  <c r="L588" i="31" s="1"/>
  <c r="I588" i="31"/>
  <c r="K588" i="31" s="1"/>
  <c r="X587" i="31"/>
  <c r="W587" i="31"/>
  <c r="S587" i="31"/>
  <c r="R587" i="31"/>
  <c r="Q587" i="31"/>
  <c r="P587" i="31"/>
  <c r="O587" i="31"/>
  <c r="N587" i="31"/>
  <c r="M587" i="31"/>
  <c r="J587" i="31"/>
  <c r="L587" i="31" s="1"/>
  <c r="I587" i="31"/>
  <c r="K587" i="31" s="1"/>
  <c r="X586" i="31"/>
  <c r="W586" i="31"/>
  <c r="S586" i="31"/>
  <c r="R586" i="31"/>
  <c r="Q586" i="31"/>
  <c r="P586" i="31"/>
  <c r="O586" i="31"/>
  <c r="N586" i="31"/>
  <c r="M586" i="31"/>
  <c r="K586" i="31"/>
  <c r="AA586" i="31" s="1"/>
  <c r="J586" i="31"/>
  <c r="L586" i="31" s="1"/>
  <c r="I586" i="31"/>
  <c r="X585" i="31"/>
  <c r="W585" i="31"/>
  <c r="AA585" i="31" s="1"/>
  <c r="S585" i="31"/>
  <c r="R585" i="31"/>
  <c r="Q585" i="31"/>
  <c r="P585" i="31"/>
  <c r="O585" i="31"/>
  <c r="N585" i="31"/>
  <c r="M585" i="31"/>
  <c r="L585" i="31"/>
  <c r="J585" i="31"/>
  <c r="I585" i="31"/>
  <c r="K585" i="31" s="1"/>
  <c r="X584" i="31"/>
  <c r="W584" i="31"/>
  <c r="S584" i="31"/>
  <c r="R584" i="31"/>
  <c r="Q584" i="31"/>
  <c r="O584" i="31"/>
  <c r="N584" i="31"/>
  <c r="AA584" i="31" s="1"/>
  <c r="M584" i="31"/>
  <c r="J584" i="31"/>
  <c r="I584" i="31"/>
  <c r="K584" i="31" s="1"/>
  <c r="X583" i="31"/>
  <c r="W583" i="31"/>
  <c r="AA583" i="31" s="1"/>
  <c r="S583" i="31"/>
  <c r="R583" i="31"/>
  <c r="Q583" i="31"/>
  <c r="P583" i="31"/>
  <c r="O583" i="31"/>
  <c r="N583" i="31"/>
  <c r="M583" i="31"/>
  <c r="J583" i="31"/>
  <c r="L583" i="31" s="1"/>
  <c r="I583" i="31"/>
  <c r="K583" i="31" s="1"/>
  <c r="X582" i="31"/>
  <c r="W582" i="31"/>
  <c r="S582" i="31"/>
  <c r="R582" i="31"/>
  <c r="Z582" i="31" s="1"/>
  <c r="Q582" i="31"/>
  <c r="P582" i="31"/>
  <c r="O582" i="31"/>
  <c r="N582" i="31"/>
  <c r="M582" i="31"/>
  <c r="J582" i="31"/>
  <c r="L582" i="31" s="1"/>
  <c r="I582" i="31"/>
  <c r="K582" i="31" s="1"/>
  <c r="X581" i="31"/>
  <c r="W581" i="31"/>
  <c r="S581" i="31"/>
  <c r="R581" i="31"/>
  <c r="Q581" i="31"/>
  <c r="O581" i="31"/>
  <c r="N581" i="31"/>
  <c r="M581" i="31"/>
  <c r="AA581" i="31" s="1"/>
  <c r="J581" i="31"/>
  <c r="I581" i="31"/>
  <c r="K581" i="31" s="1"/>
  <c r="X580" i="31"/>
  <c r="W580" i="31"/>
  <c r="S580" i="31"/>
  <c r="R580" i="31"/>
  <c r="Q580" i="31"/>
  <c r="P580" i="31"/>
  <c r="O580" i="31"/>
  <c r="N580" i="31"/>
  <c r="M580" i="31"/>
  <c r="L580" i="31"/>
  <c r="K580" i="31"/>
  <c r="J580" i="31"/>
  <c r="I580" i="31"/>
  <c r="X579" i="31"/>
  <c r="W579" i="31"/>
  <c r="AA579" i="31" s="1"/>
  <c r="S579" i="31"/>
  <c r="R579" i="31"/>
  <c r="Q579" i="31"/>
  <c r="P579" i="31"/>
  <c r="O579" i="31"/>
  <c r="N579" i="31"/>
  <c r="M579" i="31"/>
  <c r="L579" i="31"/>
  <c r="J579" i="31"/>
  <c r="I579" i="31"/>
  <c r="K579" i="31" s="1"/>
  <c r="X578" i="31"/>
  <c r="W578" i="31"/>
  <c r="S578" i="31"/>
  <c r="R578" i="31"/>
  <c r="Q578" i="31"/>
  <c r="P578" i="31"/>
  <c r="O578" i="31"/>
  <c r="N578" i="31"/>
  <c r="M578" i="31"/>
  <c r="J578" i="31"/>
  <c r="L578" i="31" s="1"/>
  <c r="I578" i="31"/>
  <c r="K578" i="31" s="1"/>
  <c r="X577" i="31"/>
  <c r="W577" i="31"/>
  <c r="S577" i="31"/>
  <c r="R577" i="31"/>
  <c r="Q577" i="31"/>
  <c r="AA577" i="31" s="1"/>
  <c r="P577" i="31"/>
  <c r="O577" i="31"/>
  <c r="N577" i="31"/>
  <c r="M577" i="31"/>
  <c r="L577" i="31"/>
  <c r="J577" i="31"/>
  <c r="I577" i="31"/>
  <c r="K577" i="31" s="1"/>
  <c r="AA576" i="31"/>
  <c r="X576" i="31"/>
  <c r="W576" i="31"/>
  <c r="S576" i="31"/>
  <c r="R576" i="31"/>
  <c r="Q576" i="31"/>
  <c r="P576" i="31"/>
  <c r="O576" i="31"/>
  <c r="N576" i="31"/>
  <c r="M576" i="31"/>
  <c r="K576" i="31"/>
  <c r="J576" i="31"/>
  <c r="L576" i="31" s="1"/>
  <c r="I576" i="31"/>
  <c r="X575" i="31"/>
  <c r="W575" i="31"/>
  <c r="S575" i="31"/>
  <c r="R575" i="31"/>
  <c r="Q575" i="31"/>
  <c r="P575" i="31"/>
  <c r="O575" i="31"/>
  <c r="N575" i="31"/>
  <c r="M575" i="31"/>
  <c r="L575" i="31"/>
  <c r="J575" i="31"/>
  <c r="I575" i="31"/>
  <c r="K575" i="31" s="1"/>
  <c r="X574" i="31"/>
  <c r="W574" i="31"/>
  <c r="S574" i="31"/>
  <c r="R574" i="31"/>
  <c r="Q574" i="31"/>
  <c r="P574" i="31"/>
  <c r="O574" i="31"/>
  <c r="N574" i="31"/>
  <c r="M574" i="31"/>
  <c r="J574" i="31"/>
  <c r="L574" i="31" s="1"/>
  <c r="I574" i="31"/>
  <c r="K574" i="31" s="1"/>
  <c r="X573" i="31"/>
  <c r="U573" i="31" s="1"/>
  <c r="W573" i="31"/>
  <c r="S573" i="31"/>
  <c r="R573" i="31"/>
  <c r="Q573" i="31"/>
  <c r="P573" i="31"/>
  <c r="O573" i="31"/>
  <c r="N573" i="31"/>
  <c r="M573" i="31"/>
  <c r="L573" i="31"/>
  <c r="AA573" i="31" s="1"/>
  <c r="J573" i="31"/>
  <c r="I573" i="31"/>
  <c r="K573" i="31" s="1"/>
  <c r="X572" i="31"/>
  <c r="W572" i="31"/>
  <c r="S572" i="31"/>
  <c r="R572" i="31"/>
  <c r="Q572" i="31"/>
  <c r="P572" i="31"/>
  <c r="O572" i="31"/>
  <c r="N572" i="31"/>
  <c r="M572" i="31"/>
  <c r="L572" i="31"/>
  <c r="T572" i="31" s="1"/>
  <c r="K572" i="31"/>
  <c r="J572" i="31"/>
  <c r="I572" i="31"/>
  <c r="X571" i="31"/>
  <c r="W571" i="31"/>
  <c r="S571" i="31"/>
  <c r="R571" i="31"/>
  <c r="Q571" i="31"/>
  <c r="P571" i="31"/>
  <c r="O571" i="31"/>
  <c r="N571" i="31"/>
  <c r="M571" i="31"/>
  <c r="L571" i="31"/>
  <c r="J571" i="31"/>
  <c r="I571" i="31"/>
  <c r="K571" i="31" s="1"/>
  <c r="X570" i="31"/>
  <c r="W570" i="31"/>
  <c r="S570" i="31"/>
  <c r="R570" i="31"/>
  <c r="Q570" i="31"/>
  <c r="P570" i="31"/>
  <c r="O570" i="31"/>
  <c r="N570" i="31"/>
  <c r="M570" i="31"/>
  <c r="J570" i="31"/>
  <c r="L570" i="31" s="1"/>
  <c r="I570" i="31"/>
  <c r="K570" i="31" s="1"/>
  <c r="AA569" i="31"/>
  <c r="X569" i="31"/>
  <c r="W569" i="31"/>
  <c r="S569" i="31"/>
  <c r="R569" i="31"/>
  <c r="Q569" i="31"/>
  <c r="O569" i="31"/>
  <c r="N569" i="31"/>
  <c r="M569" i="31"/>
  <c r="J569" i="31"/>
  <c r="I569" i="31"/>
  <c r="K569" i="31" s="1"/>
  <c r="T569" i="31" s="1"/>
  <c r="X568" i="31"/>
  <c r="W568" i="31"/>
  <c r="S568" i="31"/>
  <c r="R568" i="31"/>
  <c r="Q568" i="31"/>
  <c r="P568" i="31"/>
  <c r="O568" i="31"/>
  <c r="N568" i="31"/>
  <c r="M568" i="31"/>
  <c r="J568" i="31"/>
  <c r="L568" i="31" s="1"/>
  <c r="AA568" i="31" s="1"/>
  <c r="I568" i="31"/>
  <c r="K568" i="31" s="1"/>
  <c r="X567" i="31"/>
  <c r="W567" i="31"/>
  <c r="S567" i="31"/>
  <c r="R567" i="31"/>
  <c r="Q567" i="31"/>
  <c r="P567" i="31"/>
  <c r="O567" i="31"/>
  <c r="N567" i="31"/>
  <c r="M567" i="31"/>
  <c r="K567" i="31"/>
  <c r="J567" i="31"/>
  <c r="L567" i="31" s="1"/>
  <c r="I567" i="31"/>
  <c r="X566" i="31"/>
  <c r="W566" i="31"/>
  <c r="U566" i="31"/>
  <c r="S566" i="31"/>
  <c r="R566" i="31"/>
  <c r="Q566" i="31"/>
  <c r="P566" i="31"/>
  <c r="O566" i="31"/>
  <c r="N566" i="31"/>
  <c r="M566" i="31"/>
  <c r="L566" i="31"/>
  <c r="J566" i="31"/>
  <c r="I566" i="31"/>
  <c r="K566" i="31" s="1"/>
  <c r="X565" i="31"/>
  <c r="W565" i="31"/>
  <c r="S565" i="31"/>
  <c r="R565" i="31"/>
  <c r="Q565" i="31"/>
  <c r="P565" i="31"/>
  <c r="O565" i="31"/>
  <c r="N565" i="31"/>
  <c r="M565" i="31"/>
  <c r="J565" i="31"/>
  <c r="L565" i="31" s="1"/>
  <c r="AA565" i="31" s="1"/>
  <c r="I565" i="31"/>
  <c r="K565" i="31" s="1"/>
  <c r="X564" i="31"/>
  <c r="W564" i="31"/>
  <c r="S564" i="31"/>
  <c r="R564" i="31"/>
  <c r="Q564" i="31"/>
  <c r="P564" i="31"/>
  <c r="O564" i="31"/>
  <c r="N564" i="31"/>
  <c r="M564" i="31"/>
  <c r="J564" i="31"/>
  <c r="L564" i="31" s="1"/>
  <c r="I564" i="31"/>
  <c r="K564" i="31" s="1"/>
  <c r="X563" i="31"/>
  <c r="W563" i="31"/>
  <c r="T563" i="31"/>
  <c r="S563" i="31"/>
  <c r="R563" i="31"/>
  <c r="Q563" i="31"/>
  <c r="O563" i="31"/>
  <c r="N563" i="31"/>
  <c r="M563" i="31"/>
  <c r="I563" i="31"/>
  <c r="K563" i="31" s="1"/>
  <c r="X562" i="31"/>
  <c r="W562" i="31"/>
  <c r="S562" i="31"/>
  <c r="R562" i="31"/>
  <c r="Q562" i="31"/>
  <c r="P562" i="31"/>
  <c r="O562" i="31"/>
  <c r="N562" i="31"/>
  <c r="M562" i="31"/>
  <c r="J562" i="31"/>
  <c r="L562" i="31" s="1"/>
  <c r="I562" i="31"/>
  <c r="K562" i="31" s="1"/>
  <c r="X561" i="31"/>
  <c r="W561" i="31"/>
  <c r="S561" i="31"/>
  <c r="R561" i="31"/>
  <c r="Q561" i="31"/>
  <c r="P561" i="31"/>
  <c r="O561" i="31"/>
  <c r="N561" i="31"/>
  <c r="M561" i="31"/>
  <c r="U561" i="31" s="1"/>
  <c r="L561" i="31"/>
  <c r="K561" i="31"/>
  <c r="J561" i="31"/>
  <c r="I561" i="31"/>
  <c r="X560" i="31"/>
  <c r="W560" i="31"/>
  <c r="S560" i="31"/>
  <c r="R560" i="31"/>
  <c r="Q560" i="31"/>
  <c r="P560" i="31"/>
  <c r="O560" i="31"/>
  <c r="N560" i="31"/>
  <c r="M560" i="31"/>
  <c r="J560" i="31"/>
  <c r="L560" i="31" s="1"/>
  <c r="I560" i="31"/>
  <c r="K560" i="31" s="1"/>
  <c r="X559" i="31"/>
  <c r="W559" i="31"/>
  <c r="S559" i="31"/>
  <c r="R559" i="31"/>
  <c r="Q559" i="31"/>
  <c r="P559" i="31"/>
  <c r="O559" i="31"/>
  <c r="Z559" i="31" s="1"/>
  <c r="N559" i="31"/>
  <c r="M559" i="31"/>
  <c r="K559" i="31"/>
  <c r="J559" i="31"/>
  <c r="L559" i="31" s="1"/>
  <c r="I559" i="31"/>
  <c r="X558" i="31"/>
  <c r="W558" i="31"/>
  <c r="S558" i="31"/>
  <c r="R558" i="31"/>
  <c r="Q558" i="31"/>
  <c r="P558" i="31"/>
  <c r="O558" i="31"/>
  <c r="N558" i="31"/>
  <c r="M558" i="31"/>
  <c r="L558" i="31"/>
  <c r="J558" i="31"/>
  <c r="I558" i="31"/>
  <c r="K558" i="31" s="1"/>
  <c r="X557" i="31"/>
  <c r="W557" i="31"/>
  <c r="S557" i="31"/>
  <c r="R557" i="31"/>
  <c r="Q557" i="31"/>
  <c r="P557" i="31"/>
  <c r="O557" i="31"/>
  <c r="N557" i="31"/>
  <c r="M557" i="31"/>
  <c r="U557" i="31" s="1"/>
  <c r="L557" i="31"/>
  <c r="J557" i="31"/>
  <c r="I557" i="31"/>
  <c r="K557" i="31" s="1"/>
  <c r="X556" i="31"/>
  <c r="W556" i="31"/>
  <c r="S556" i="31"/>
  <c r="R556" i="31"/>
  <c r="Q556" i="31"/>
  <c r="P556" i="31"/>
  <c r="O556" i="31"/>
  <c r="N556" i="31"/>
  <c r="M556" i="31"/>
  <c r="J556" i="31"/>
  <c r="L556" i="31" s="1"/>
  <c r="I556" i="31"/>
  <c r="K556" i="31" s="1"/>
  <c r="Z556" i="31" s="1"/>
  <c r="X555" i="31"/>
  <c r="W555" i="31"/>
  <c r="AA555" i="31" s="1"/>
  <c r="S555" i="31"/>
  <c r="R555" i="31"/>
  <c r="Q555" i="31"/>
  <c r="O555" i="31"/>
  <c r="N555" i="31"/>
  <c r="M555" i="31"/>
  <c r="K555" i="31"/>
  <c r="J555" i="31"/>
  <c r="I555" i="31"/>
  <c r="X554" i="31"/>
  <c r="U554" i="31" s="1"/>
  <c r="W554" i="31"/>
  <c r="S554" i="31"/>
  <c r="R554" i="31"/>
  <c r="Q554" i="31"/>
  <c r="P554" i="31"/>
  <c r="O554" i="31"/>
  <c r="N554" i="31"/>
  <c r="M554" i="31"/>
  <c r="K554" i="31"/>
  <c r="J554" i="31"/>
  <c r="L554" i="31" s="1"/>
  <c r="I554" i="31"/>
  <c r="X553" i="31"/>
  <c r="W553" i="31"/>
  <c r="S553" i="31"/>
  <c r="R553" i="31"/>
  <c r="Q553" i="31"/>
  <c r="P553" i="31"/>
  <c r="O553" i="31"/>
  <c r="N553" i="31"/>
  <c r="M553" i="31"/>
  <c r="J553" i="31"/>
  <c r="L553" i="31" s="1"/>
  <c r="I553" i="31"/>
  <c r="K553" i="31" s="1"/>
  <c r="X552" i="31"/>
  <c r="W552" i="31"/>
  <c r="S552" i="31"/>
  <c r="R552" i="31"/>
  <c r="Q552" i="31"/>
  <c r="O552" i="31"/>
  <c r="N552" i="31"/>
  <c r="M552" i="31"/>
  <c r="Z552" i="31" s="1"/>
  <c r="J552" i="31"/>
  <c r="I552" i="31"/>
  <c r="K552" i="31" s="1"/>
  <c r="Z551" i="31"/>
  <c r="X551" i="31"/>
  <c r="W551" i="31"/>
  <c r="U551" i="31"/>
  <c r="S551" i="31"/>
  <c r="R551" i="31"/>
  <c r="Q551" i="31"/>
  <c r="P551" i="31"/>
  <c r="O551" i="31"/>
  <c r="N551" i="31"/>
  <c r="M551" i="31"/>
  <c r="L551" i="31"/>
  <c r="J551" i="31"/>
  <c r="I551" i="31"/>
  <c r="K551" i="31" s="1"/>
  <c r="X550" i="31"/>
  <c r="W550" i="31"/>
  <c r="S550" i="31"/>
  <c r="R550" i="31"/>
  <c r="Q550" i="31"/>
  <c r="P550" i="31"/>
  <c r="O550" i="31"/>
  <c r="N550" i="31"/>
  <c r="M550" i="31"/>
  <c r="J550" i="31"/>
  <c r="L550" i="31" s="1"/>
  <c r="I550" i="31"/>
  <c r="K550" i="31" s="1"/>
  <c r="X549" i="31"/>
  <c r="W549" i="31"/>
  <c r="S549" i="31"/>
  <c r="R549" i="31"/>
  <c r="Q549" i="31"/>
  <c r="O549" i="31"/>
  <c r="Z549" i="31" s="1"/>
  <c r="N549" i="31"/>
  <c r="M549" i="31"/>
  <c r="K549" i="31"/>
  <c r="J549" i="31"/>
  <c r="I549" i="31"/>
  <c r="X548" i="31"/>
  <c r="W548" i="31"/>
  <c r="S548" i="31"/>
  <c r="R548" i="31"/>
  <c r="Q548" i="31"/>
  <c r="P548" i="31"/>
  <c r="O548" i="31"/>
  <c r="N548" i="31"/>
  <c r="M548" i="31"/>
  <c r="J548" i="31"/>
  <c r="L548" i="31" s="1"/>
  <c r="U548" i="31" s="1"/>
  <c r="I548" i="31"/>
  <c r="K548" i="31" s="1"/>
  <c r="X547" i="31"/>
  <c r="W547" i="31"/>
  <c r="S547" i="31"/>
  <c r="R547" i="31"/>
  <c r="Q547" i="31"/>
  <c r="P547" i="31"/>
  <c r="O547" i="31"/>
  <c r="AA547" i="31" s="1"/>
  <c r="N547" i="31"/>
  <c r="M547" i="31"/>
  <c r="K547" i="31"/>
  <c r="J547" i="31"/>
  <c r="L547" i="31" s="1"/>
  <c r="I547" i="31"/>
  <c r="X546" i="31"/>
  <c r="W546" i="31"/>
  <c r="S546" i="31"/>
  <c r="R546" i="31"/>
  <c r="Q546" i="31"/>
  <c r="P546" i="31"/>
  <c r="O546" i="31"/>
  <c r="N546" i="31"/>
  <c r="M546" i="31"/>
  <c r="L546" i="31"/>
  <c r="J546" i="31"/>
  <c r="I546" i="31"/>
  <c r="K546" i="31" s="1"/>
  <c r="X545" i="31"/>
  <c r="W545" i="31"/>
  <c r="S545" i="31"/>
  <c r="R545" i="31"/>
  <c r="Q545" i="31"/>
  <c r="P545" i="31"/>
  <c r="O545" i="31"/>
  <c r="N545" i="31"/>
  <c r="M545" i="31"/>
  <c r="J545" i="31"/>
  <c r="L545" i="31" s="1"/>
  <c r="I545" i="31"/>
  <c r="K545" i="31" s="1"/>
  <c r="X544" i="31"/>
  <c r="W544" i="31"/>
  <c r="S544" i="31"/>
  <c r="R544" i="31"/>
  <c r="Q544" i="31"/>
  <c r="P544" i="31"/>
  <c r="O544" i="31"/>
  <c r="N544" i="31"/>
  <c r="M544" i="31"/>
  <c r="K544" i="31"/>
  <c r="AA544" i="31" s="1"/>
  <c r="J544" i="31"/>
  <c r="L544" i="31" s="1"/>
  <c r="I544" i="31"/>
  <c r="X543" i="31"/>
  <c r="U543" i="31" s="1"/>
  <c r="W543" i="31"/>
  <c r="S543" i="31"/>
  <c r="R543" i="31"/>
  <c r="Q543" i="31"/>
  <c r="P543" i="31"/>
  <c r="O543" i="31"/>
  <c r="N543" i="31"/>
  <c r="M543" i="31"/>
  <c r="L543" i="31"/>
  <c r="J543" i="31"/>
  <c r="I543" i="31"/>
  <c r="K543" i="31" s="1"/>
  <c r="X542" i="31"/>
  <c r="W542" i="31"/>
  <c r="AA542" i="31" s="1"/>
  <c r="S542" i="31"/>
  <c r="R542" i="31"/>
  <c r="Q542" i="31"/>
  <c r="P542" i="31"/>
  <c r="O542" i="31"/>
  <c r="Z542" i="31" s="1"/>
  <c r="N542" i="31"/>
  <c r="M542" i="31"/>
  <c r="J542" i="31"/>
  <c r="L542" i="31" s="1"/>
  <c r="I542" i="31"/>
  <c r="K542" i="31" s="1"/>
  <c r="X541" i="31"/>
  <c r="W541" i="31"/>
  <c r="S541" i="31"/>
  <c r="R541" i="31"/>
  <c r="Q541" i="31"/>
  <c r="P541" i="31"/>
  <c r="Z541" i="31" s="1"/>
  <c r="O541" i="31"/>
  <c r="N541" i="31"/>
  <c r="M541" i="31"/>
  <c r="L541" i="31"/>
  <c r="J541" i="31"/>
  <c r="I541" i="31"/>
  <c r="K541" i="31" s="1"/>
  <c r="X540" i="31"/>
  <c r="W540" i="31"/>
  <c r="S540" i="31"/>
  <c r="R540" i="31"/>
  <c r="Q540" i="31"/>
  <c r="P540" i="31"/>
  <c r="O540" i="31"/>
  <c r="N540" i="31"/>
  <c r="M540" i="31"/>
  <c r="K540" i="31"/>
  <c r="AA540" i="31" s="1"/>
  <c r="J540" i="31"/>
  <c r="L540" i="31" s="1"/>
  <c r="I540" i="31"/>
  <c r="X539" i="31"/>
  <c r="W539" i="31"/>
  <c r="S539" i="31"/>
  <c r="R539" i="31"/>
  <c r="Q539" i="31"/>
  <c r="P539" i="31"/>
  <c r="O539" i="31"/>
  <c r="N539" i="31"/>
  <c r="M539" i="31"/>
  <c r="L539" i="31"/>
  <c r="J539" i="31"/>
  <c r="I539" i="31"/>
  <c r="K539" i="31" s="1"/>
  <c r="X538" i="31"/>
  <c r="W538" i="31"/>
  <c r="S538" i="31"/>
  <c r="R538" i="31"/>
  <c r="Q538" i="31"/>
  <c r="P538" i="31"/>
  <c r="O538" i="31"/>
  <c r="N538" i="31"/>
  <c r="M538" i="31"/>
  <c r="J538" i="31"/>
  <c r="L538" i="31" s="1"/>
  <c r="I538" i="31"/>
  <c r="K538" i="31" s="1"/>
  <c r="Z538" i="31" s="1"/>
  <c r="X537" i="31"/>
  <c r="W537" i="31"/>
  <c r="S537" i="31"/>
  <c r="R537" i="31"/>
  <c r="Q537" i="31"/>
  <c r="P537" i="31"/>
  <c r="O537" i="31"/>
  <c r="N537" i="31"/>
  <c r="M537" i="31"/>
  <c r="L537" i="31"/>
  <c r="J537" i="31"/>
  <c r="I537" i="31"/>
  <c r="K537" i="31" s="1"/>
  <c r="X536" i="31"/>
  <c r="W536" i="31"/>
  <c r="S536" i="31"/>
  <c r="R536" i="31"/>
  <c r="Q536" i="31"/>
  <c r="P536" i="31"/>
  <c r="O536" i="31"/>
  <c r="N536" i="31"/>
  <c r="M536" i="31"/>
  <c r="AA536" i="31" s="1"/>
  <c r="K536" i="31"/>
  <c r="J536" i="31"/>
  <c r="L536" i="31" s="1"/>
  <c r="I536" i="31"/>
  <c r="X535" i="31"/>
  <c r="W535" i="31"/>
  <c r="S535" i="31"/>
  <c r="R535" i="31"/>
  <c r="Q535" i="31"/>
  <c r="P535" i="31"/>
  <c r="O535" i="31"/>
  <c r="N535" i="31"/>
  <c r="M535" i="31"/>
  <c r="L535" i="31"/>
  <c r="T535" i="31" s="1"/>
  <c r="J535" i="31"/>
  <c r="I535" i="31"/>
  <c r="K535" i="31" s="1"/>
  <c r="X534" i="31"/>
  <c r="W534" i="31"/>
  <c r="S534" i="31"/>
  <c r="R534" i="31"/>
  <c r="Q534" i="31"/>
  <c r="P534" i="31"/>
  <c r="O534" i="31"/>
  <c r="Z534" i="31" s="1"/>
  <c r="N534" i="31"/>
  <c r="M534" i="31"/>
  <c r="J534" i="31"/>
  <c r="L534" i="31" s="1"/>
  <c r="I534" i="31"/>
  <c r="K534" i="31" s="1"/>
  <c r="X533" i="31"/>
  <c r="W533" i="31"/>
  <c r="S533" i="31"/>
  <c r="R533" i="31"/>
  <c r="Q533" i="31"/>
  <c r="P533" i="31"/>
  <c r="Z533" i="31" s="1"/>
  <c r="O533" i="31"/>
  <c r="N533" i="31"/>
  <c r="M533" i="31"/>
  <c r="L533" i="31"/>
  <c r="J533" i="31"/>
  <c r="I533" i="31"/>
  <c r="K533" i="31" s="1"/>
  <c r="X532" i="31"/>
  <c r="W532" i="31"/>
  <c r="S532" i="31"/>
  <c r="R532" i="31"/>
  <c r="Q532" i="31"/>
  <c r="P532" i="31"/>
  <c r="O532" i="31"/>
  <c r="N532" i="31"/>
  <c r="M532" i="31"/>
  <c r="K532" i="31"/>
  <c r="AA532" i="31" s="1"/>
  <c r="J532" i="31"/>
  <c r="L532" i="31" s="1"/>
  <c r="I532" i="31"/>
  <c r="X531" i="31"/>
  <c r="W531" i="31"/>
  <c r="S531" i="31"/>
  <c r="R531" i="31"/>
  <c r="Q531" i="31"/>
  <c r="P531" i="31"/>
  <c r="O531" i="31"/>
  <c r="N531" i="31"/>
  <c r="M531" i="31"/>
  <c r="L531" i="31"/>
  <c r="T531" i="31" s="1"/>
  <c r="J531" i="31"/>
  <c r="I531" i="31"/>
  <c r="K531" i="31" s="1"/>
  <c r="X530" i="31"/>
  <c r="W530" i="31"/>
  <c r="S530" i="31"/>
  <c r="R530" i="31"/>
  <c r="Q530" i="31"/>
  <c r="P530" i="31"/>
  <c r="O530" i="31"/>
  <c r="N530" i="31"/>
  <c r="M530" i="31"/>
  <c r="J530" i="31"/>
  <c r="L530" i="31" s="1"/>
  <c r="I530" i="31"/>
  <c r="K530" i="31" s="1"/>
  <c r="X529" i="31"/>
  <c r="W529" i="31"/>
  <c r="S529" i="31"/>
  <c r="R529" i="31"/>
  <c r="Q529" i="31"/>
  <c r="P529" i="31"/>
  <c r="Z529" i="31" s="1"/>
  <c r="O529" i="31"/>
  <c r="N529" i="31"/>
  <c r="M529" i="31"/>
  <c r="L529" i="31"/>
  <c r="J529" i="31"/>
  <c r="I529" i="31"/>
  <c r="K529" i="31" s="1"/>
  <c r="X528" i="31"/>
  <c r="W528" i="31"/>
  <c r="S528" i="31"/>
  <c r="R528" i="31"/>
  <c r="Q528" i="31"/>
  <c r="P528" i="31"/>
  <c r="O528" i="31"/>
  <c r="N528" i="31"/>
  <c r="M528" i="31"/>
  <c r="AA528" i="31" s="1"/>
  <c r="K528" i="31"/>
  <c r="J528" i="31"/>
  <c r="L528" i="31" s="1"/>
  <c r="I528" i="31"/>
  <c r="X527" i="31"/>
  <c r="W527" i="31"/>
  <c r="AA527" i="31" s="1"/>
  <c r="S527" i="31"/>
  <c r="R527" i="31"/>
  <c r="Q527" i="31"/>
  <c r="P527" i="31"/>
  <c r="O527" i="31"/>
  <c r="N527" i="31"/>
  <c r="M527" i="31"/>
  <c r="L527" i="31"/>
  <c r="T527" i="31" s="1"/>
  <c r="J527" i="31"/>
  <c r="I527" i="31"/>
  <c r="K527" i="31" s="1"/>
  <c r="X526" i="31"/>
  <c r="W526" i="31"/>
  <c r="S526" i="31"/>
  <c r="R526" i="31"/>
  <c r="Q526" i="31"/>
  <c r="P526" i="31"/>
  <c r="O526" i="31"/>
  <c r="Z526" i="31" s="1"/>
  <c r="N526" i="31"/>
  <c r="M526" i="31"/>
  <c r="J526" i="31"/>
  <c r="L526" i="31" s="1"/>
  <c r="I526" i="31"/>
  <c r="K526" i="31" s="1"/>
  <c r="X525" i="31"/>
  <c r="W525" i="31"/>
  <c r="S525" i="31"/>
  <c r="R525" i="31"/>
  <c r="Q525" i="31"/>
  <c r="P525" i="31"/>
  <c r="O525" i="31"/>
  <c r="N525" i="31"/>
  <c r="M525" i="31"/>
  <c r="L525" i="31"/>
  <c r="J525" i="31"/>
  <c r="I525" i="31"/>
  <c r="K525" i="31" s="1"/>
  <c r="X524" i="31"/>
  <c r="W524" i="31"/>
  <c r="S524" i="31"/>
  <c r="R524" i="31"/>
  <c r="Q524" i="31"/>
  <c r="P524" i="31"/>
  <c r="O524" i="31"/>
  <c r="N524" i="31"/>
  <c r="M524" i="31"/>
  <c r="K524" i="31"/>
  <c r="AA524" i="31" s="1"/>
  <c r="J524" i="31"/>
  <c r="L524" i="31" s="1"/>
  <c r="I524" i="31"/>
  <c r="X523" i="31"/>
  <c r="U523" i="31" s="1"/>
  <c r="W523" i="31"/>
  <c r="S523" i="31"/>
  <c r="R523" i="31"/>
  <c r="Q523" i="31"/>
  <c r="P523" i="31"/>
  <c r="O523" i="31"/>
  <c r="N523" i="31"/>
  <c r="M523" i="31"/>
  <c r="L523" i="31"/>
  <c r="T523" i="31" s="1"/>
  <c r="J523" i="31"/>
  <c r="I523" i="31"/>
  <c r="K523" i="31" s="1"/>
  <c r="X522" i="31"/>
  <c r="W522" i="31"/>
  <c r="S522" i="31"/>
  <c r="R522" i="31"/>
  <c r="Q522" i="31"/>
  <c r="P522" i="31"/>
  <c r="O522" i="31"/>
  <c r="N522" i="31"/>
  <c r="M522" i="31"/>
  <c r="J522" i="31"/>
  <c r="L522" i="31" s="1"/>
  <c r="I522" i="31"/>
  <c r="K522" i="31" s="1"/>
  <c r="Z521" i="31"/>
  <c r="X521" i="31"/>
  <c r="W521" i="31"/>
  <c r="S521" i="31"/>
  <c r="R521" i="31"/>
  <c r="Q521" i="31"/>
  <c r="P521" i="31"/>
  <c r="O521" i="31"/>
  <c r="N521" i="31"/>
  <c r="M521" i="31"/>
  <c r="L521" i="31"/>
  <c r="J521" i="31"/>
  <c r="I521" i="31"/>
  <c r="K521" i="31" s="1"/>
  <c r="X520" i="31"/>
  <c r="W520" i="31"/>
  <c r="S520" i="31"/>
  <c r="R520" i="31"/>
  <c r="Q520" i="31"/>
  <c r="P520" i="31"/>
  <c r="O520" i="31"/>
  <c r="N520" i="31"/>
  <c r="M520" i="31"/>
  <c r="K520" i="31"/>
  <c r="U520" i="31" s="1"/>
  <c r="J520" i="31"/>
  <c r="L520" i="31" s="1"/>
  <c r="I520" i="31"/>
  <c r="X519" i="31"/>
  <c r="U519" i="31" s="1"/>
  <c r="W519" i="31"/>
  <c r="S519" i="31"/>
  <c r="R519" i="31"/>
  <c r="Q519" i="31"/>
  <c r="P519" i="31"/>
  <c r="O519" i="31"/>
  <c r="N519" i="31"/>
  <c r="M519" i="31"/>
  <c r="L519" i="31"/>
  <c r="T519" i="31" s="1"/>
  <c r="J519" i="31"/>
  <c r="I519" i="31"/>
  <c r="K519" i="31" s="1"/>
  <c r="X518" i="31"/>
  <c r="W518" i="31"/>
  <c r="S518" i="31"/>
  <c r="R518" i="31"/>
  <c r="Q518" i="31"/>
  <c r="P518" i="31"/>
  <c r="O518" i="31"/>
  <c r="N518" i="31"/>
  <c r="M518" i="31"/>
  <c r="J518" i="31"/>
  <c r="L518" i="31" s="1"/>
  <c r="I518" i="31"/>
  <c r="K518" i="31" s="1"/>
  <c r="X517" i="31"/>
  <c r="W517" i="31"/>
  <c r="S517" i="31"/>
  <c r="R517" i="31"/>
  <c r="Q517" i="31"/>
  <c r="P517" i="31"/>
  <c r="O517" i="31"/>
  <c r="N517" i="31"/>
  <c r="M517" i="31"/>
  <c r="L517" i="31"/>
  <c r="Z517" i="31" s="1"/>
  <c r="J517" i="31"/>
  <c r="I517" i="31"/>
  <c r="K517" i="31" s="1"/>
  <c r="AA516" i="31"/>
  <c r="X516" i="31"/>
  <c r="W516" i="31"/>
  <c r="S516" i="31"/>
  <c r="R516" i="31"/>
  <c r="Q516" i="31"/>
  <c r="P516" i="31"/>
  <c r="O516" i="31"/>
  <c r="N516" i="31"/>
  <c r="M516" i="31"/>
  <c r="K516" i="31"/>
  <c r="U516" i="31" s="1"/>
  <c r="J516" i="31"/>
  <c r="L516" i="31" s="1"/>
  <c r="I516" i="31"/>
  <c r="X515" i="31"/>
  <c r="W515" i="31"/>
  <c r="S515" i="31"/>
  <c r="R515" i="31"/>
  <c r="Q515" i="31"/>
  <c r="P515" i="31"/>
  <c r="O515" i="31"/>
  <c r="N515" i="31"/>
  <c r="M515" i="31"/>
  <c r="L515" i="31"/>
  <c r="T515" i="31" s="1"/>
  <c r="J515" i="31"/>
  <c r="I515" i="31"/>
  <c r="K515" i="31" s="1"/>
  <c r="X514" i="31"/>
  <c r="W514" i="31"/>
  <c r="S514" i="31"/>
  <c r="R514" i="31"/>
  <c r="Q514" i="31"/>
  <c r="P514" i="31"/>
  <c r="O514" i="31"/>
  <c r="Z514" i="31" s="1"/>
  <c r="N514" i="31"/>
  <c r="M514" i="31"/>
  <c r="J514" i="31"/>
  <c r="L514" i="31" s="1"/>
  <c r="I514" i="31"/>
  <c r="K514" i="31" s="1"/>
  <c r="X513" i="31"/>
  <c r="W513" i="31"/>
  <c r="S513" i="31"/>
  <c r="R513" i="31"/>
  <c r="Q513" i="31"/>
  <c r="P513" i="31"/>
  <c r="Z513" i="31" s="1"/>
  <c r="O513" i="31"/>
  <c r="N513" i="31"/>
  <c r="M513" i="31"/>
  <c r="L513" i="31"/>
  <c r="J513" i="31"/>
  <c r="I513" i="31"/>
  <c r="K513" i="31" s="1"/>
  <c r="X512" i="31"/>
  <c r="W512" i="31"/>
  <c r="S512" i="31"/>
  <c r="R512" i="31"/>
  <c r="Q512" i="31"/>
  <c r="P512" i="31"/>
  <c r="O512" i="31"/>
  <c r="N512" i="31"/>
  <c r="M512" i="31"/>
  <c r="K512" i="31"/>
  <c r="AA512" i="31" s="1"/>
  <c r="J512" i="31"/>
  <c r="L512" i="31" s="1"/>
  <c r="I512" i="31"/>
  <c r="X511" i="31"/>
  <c r="U511" i="31" s="1"/>
  <c r="W511" i="31"/>
  <c r="S511" i="31"/>
  <c r="R511" i="31"/>
  <c r="Q511" i="31"/>
  <c r="P511" i="31"/>
  <c r="O511" i="31"/>
  <c r="N511" i="31"/>
  <c r="M511" i="31"/>
  <c r="L511" i="31"/>
  <c r="J511" i="31"/>
  <c r="I511" i="31"/>
  <c r="K511" i="31" s="1"/>
  <c r="X510" i="31"/>
  <c r="W510" i="31"/>
  <c r="S510" i="31"/>
  <c r="R510" i="31"/>
  <c r="Q510" i="31"/>
  <c r="P510" i="31"/>
  <c r="O510" i="31"/>
  <c r="Z510" i="31" s="1"/>
  <c r="N510" i="31"/>
  <c r="M510" i="31"/>
  <c r="J510" i="31"/>
  <c r="L510" i="31" s="1"/>
  <c r="I510" i="31"/>
  <c r="K510" i="31" s="1"/>
  <c r="X509" i="31"/>
  <c r="W509" i="31"/>
  <c r="S509" i="31"/>
  <c r="R509" i="31"/>
  <c r="Q509" i="31"/>
  <c r="P509" i="31"/>
  <c r="Z509" i="31" s="1"/>
  <c r="O509" i="31"/>
  <c r="N509" i="31"/>
  <c r="M509" i="31"/>
  <c r="L509" i="31"/>
  <c r="J509" i="31"/>
  <c r="I509" i="31"/>
  <c r="K509" i="31" s="1"/>
  <c r="X508" i="31"/>
  <c r="W508" i="31"/>
  <c r="S508" i="31"/>
  <c r="R508" i="31"/>
  <c r="Q508" i="31"/>
  <c r="P508" i="31"/>
  <c r="O508" i="31"/>
  <c r="N508" i="31"/>
  <c r="M508" i="31"/>
  <c r="K508" i="31"/>
  <c r="AA508" i="31" s="1"/>
  <c r="J508" i="31"/>
  <c r="L508" i="31" s="1"/>
  <c r="I508" i="31"/>
  <c r="X507" i="31"/>
  <c r="W507" i="31"/>
  <c r="S507" i="31"/>
  <c r="R507" i="31"/>
  <c r="Q507" i="31"/>
  <c r="P507" i="31"/>
  <c r="O507" i="31"/>
  <c r="N507" i="31"/>
  <c r="M507" i="31"/>
  <c r="L507" i="31"/>
  <c r="J507" i="31"/>
  <c r="I507" i="31"/>
  <c r="K507" i="31" s="1"/>
  <c r="X506" i="31"/>
  <c r="W506" i="31"/>
  <c r="S506" i="31"/>
  <c r="R506" i="31"/>
  <c r="Q506" i="31"/>
  <c r="P506" i="31"/>
  <c r="O506" i="31"/>
  <c r="N506" i="31"/>
  <c r="M506" i="31"/>
  <c r="J506" i="31"/>
  <c r="L506" i="31" s="1"/>
  <c r="I506" i="31"/>
  <c r="K506" i="31" s="1"/>
  <c r="Z506" i="31" s="1"/>
  <c r="X505" i="31"/>
  <c r="W505" i="31"/>
  <c r="S505" i="31"/>
  <c r="R505" i="31"/>
  <c r="Q505" i="31"/>
  <c r="P505" i="31"/>
  <c r="O505" i="31"/>
  <c r="N505" i="31"/>
  <c r="M505" i="31"/>
  <c r="L505" i="31"/>
  <c r="J505" i="31"/>
  <c r="I505" i="31"/>
  <c r="K505" i="31" s="1"/>
  <c r="X504" i="31"/>
  <c r="W504" i="31"/>
  <c r="S504" i="31"/>
  <c r="R504" i="31"/>
  <c r="Q504" i="31"/>
  <c r="P504" i="31"/>
  <c r="O504" i="31"/>
  <c r="N504" i="31"/>
  <c r="M504" i="31"/>
  <c r="AA504" i="31" s="1"/>
  <c r="K504" i="31"/>
  <c r="J504" i="31"/>
  <c r="L504" i="31" s="1"/>
  <c r="I504" i="31"/>
  <c r="X503" i="31"/>
  <c r="W503" i="31"/>
  <c r="S503" i="31"/>
  <c r="R503" i="31"/>
  <c r="Q503" i="31"/>
  <c r="P503" i="31"/>
  <c r="O503" i="31"/>
  <c r="N503" i="31"/>
  <c r="M503" i="31"/>
  <c r="L503" i="31"/>
  <c r="T503" i="31" s="1"/>
  <c r="J503" i="31"/>
  <c r="I503" i="31"/>
  <c r="K503" i="31" s="1"/>
  <c r="X502" i="31"/>
  <c r="W502" i="31"/>
  <c r="S502" i="31"/>
  <c r="R502" i="31"/>
  <c r="Q502" i="31"/>
  <c r="P502" i="31"/>
  <c r="O502" i="31"/>
  <c r="Z502" i="31" s="1"/>
  <c r="N502" i="31"/>
  <c r="M502" i="31"/>
  <c r="J502" i="31"/>
  <c r="L502" i="31" s="1"/>
  <c r="I502" i="31"/>
  <c r="K502" i="31" s="1"/>
  <c r="X501" i="31"/>
  <c r="W501" i="31"/>
  <c r="S501" i="31"/>
  <c r="R501" i="31"/>
  <c r="Q501" i="31"/>
  <c r="P501" i="31"/>
  <c r="Z501" i="31" s="1"/>
  <c r="O501" i="31"/>
  <c r="N501" i="31"/>
  <c r="M501" i="31"/>
  <c r="L501" i="31"/>
  <c r="J501" i="31"/>
  <c r="I501" i="31"/>
  <c r="K501" i="31" s="1"/>
  <c r="X500" i="31"/>
  <c r="W500" i="31"/>
  <c r="S500" i="31"/>
  <c r="R500" i="31"/>
  <c r="Q500" i="31"/>
  <c r="P500" i="31"/>
  <c r="O500" i="31"/>
  <c r="N500" i="31"/>
  <c r="M500" i="31"/>
  <c r="K500" i="31"/>
  <c r="AA500" i="31" s="1"/>
  <c r="J500" i="31"/>
  <c r="L500" i="31" s="1"/>
  <c r="I500" i="31"/>
  <c r="X499" i="31"/>
  <c r="W499" i="31"/>
  <c r="T499" i="31"/>
  <c r="S499" i="31"/>
  <c r="R499" i="31"/>
  <c r="Q499" i="31"/>
  <c r="O499" i="31"/>
  <c r="N499" i="31"/>
  <c r="M499" i="31"/>
  <c r="K499" i="31"/>
  <c r="J499" i="31"/>
  <c r="I499" i="31"/>
  <c r="X498" i="31"/>
  <c r="W498" i="31"/>
  <c r="Z498" i="31"/>
  <c r="S498" i="31"/>
  <c r="R498" i="31"/>
  <c r="Q498" i="31"/>
  <c r="P498" i="31"/>
  <c r="O498" i="31"/>
  <c r="N498" i="31"/>
  <c r="M498" i="31"/>
  <c r="L498" i="31"/>
  <c r="J498" i="31"/>
  <c r="I498" i="31"/>
  <c r="K498" i="31" s="1"/>
  <c r="AA497" i="31"/>
  <c r="X497" i="31"/>
  <c r="W497" i="31"/>
  <c r="S497" i="31"/>
  <c r="R497" i="31"/>
  <c r="Q497" i="31"/>
  <c r="O497" i="31"/>
  <c r="N497" i="31"/>
  <c r="M497" i="31"/>
  <c r="J497" i="31"/>
  <c r="I497" i="31"/>
  <c r="K497" i="31" s="1"/>
  <c r="X496" i="31"/>
  <c r="W496" i="31"/>
  <c r="S496" i="31"/>
  <c r="R496" i="31"/>
  <c r="Q496" i="31"/>
  <c r="P496" i="31"/>
  <c r="O496" i="31"/>
  <c r="N496" i="31"/>
  <c r="M496" i="31"/>
  <c r="J496" i="31"/>
  <c r="L496" i="31" s="1"/>
  <c r="I496" i="31"/>
  <c r="K496" i="31" s="1"/>
  <c r="Z495" i="31"/>
  <c r="X495" i="31"/>
  <c r="W495" i="31"/>
  <c r="S495" i="31"/>
  <c r="R495" i="31"/>
  <c r="Q495" i="31"/>
  <c r="P495" i="31"/>
  <c r="O495" i="31"/>
  <c r="N495" i="31"/>
  <c r="M495" i="31"/>
  <c r="L495" i="31"/>
  <c r="T495" i="31" s="1"/>
  <c r="K495" i="31"/>
  <c r="J495" i="31"/>
  <c r="I495" i="31"/>
  <c r="AA494" i="31"/>
  <c r="X494" i="31"/>
  <c r="W494" i="31"/>
  <c r="S494" i="31"/>
  <c r="R494" i="31"/>
  <c r="Q494" i="31"/>
  <c r="P494" i="31"/>
  <c r="O494" i="31"/>
  <c r="N494" i="31"/>
  <c r="M494" i="31"/>
  <c r="K494" i="31"/>
  <c r="U494" i="31" s="1"/>
  <c r="J494" i="31"/>
  <c r="L494" i="31" s="1"/>
  <c r="I494" i="31"/>
  <c r="X493" i="31"/>
  <c r="U493" i="31" s="1"/>
  <c r="W493" i="31"/>
  <c r="AA493" i="31" s="1"/>
  <c r="S493" i="31"/>
  <c r="R493" i="31"/>
  <c r="Q493" i="31"/>
  <c r="P493" i="31"/>
  <c r="O493" i="31"/>
  <c r="N493" i="31"/>
  <c r="M493" i="31"/>
  <c r="L493" i="31"/>
  <c r="J493" i="31"/>
  <c r="I493" i="31"/>
  <c r="K493" i="31" s="1"/>
  <c r="T493" i="31" s="1"/>
  <c r="X492" i="31"/>
  <c r="W492" i="31"/>
  <c r="S492" i="31"/>
  <c r="R492" i="31"/>
  <c r="Q492" i="31"/>
  <c r="O492" i="31"/>
  <c r="N492" i="31"/>
  <c r="M492" i="31"/>
  <c r="J492" i="31"/>
  <c r="I492" i="31"/>
  <c r="K492" i="31" s="1"/>
  <c r="X491" i="31"/>
  <c r="W491" i="31"/>
  <c r="S491" i="31"/>
  <c r="R491" i="31"/>
  <c r="Q491" i="31"/>
  <c r="P491" i="31"/>
  <c r="O491" i="31"/>
  <c r="N491" i="31"/>
  <c r="Z491" i="31" s="1"/>
  <c r="M491" i="31"/>
  <c r="J491" i="31"/>
  <c r="L491" i="31" s="1"/>
  <c r="I491" i="31"/>
  <c r="K491" i="31" s="1"/>
  <c r="X490" i="31"/>
  <c r="W490" i="31"/>
  <c r="S490" i="31"/>
  <c r="R490" i="31"/>
  <c r="Q490" i="31"/>
  <c r="P490" i="31"/>
  <c r="O490" i="31"/>
  <c r="N490" i="31"/>
  <c r="M490" i="31"/>
  <c r="L490" i="31"/>
  <c r="Z490" i="31" s="1"/>
  <c r="J490" i="31"/>
  <c r="I490" i="31"/>
  <c r="K490" i="31" s="1"/>
  <c r="X489" i="31"/>
  <c r="W489" i="31"/>
  <c r="U489" i="31"/>
  <c r="S489" i="31"/>
  <c r="R489" i="31"/>
  <c r="Q489" i="31"/>
  <c r="O489" i="31"/>
  <c r="AA489" i="31" s="1"/>
  <c r="N489" i="31"/>
  <c r="M489" i="31"/>
  <c r="K489" i="31"/>
  <c r="J489" i="31"/>
  <c r="I489" i="31"/>
  <c r="X488" i="31"/>
  <c r="W488" i="31"/>
  <c r="S488" i="31"/>
  <c r="R488" i="31"/>
  <c r="Q488" i="31"/>
  <c r="P488" i="31"/>
  <c r="O488" i="31"/>
  <c r="N488" i="31"/>
  <c r="M488" i="31"/>
  <c r="K488" i="31"/>
  <c r="J488" i="31"/>
  <c r="L488" i="31" s="1"/>
  <c r="I488" i="31"/>
  <c r="X487" i="31"/>
  <c r="W487" i="31"/>
  <c r="AA487" i="31" s="1"/>
  <c r="S487" i="31"/>
  <c r="R487" i="31"/>
  <c r="Q487" i="31"/>
  <c r="O487" i="31"/>
  <c r="N487" i="31"/>
  <c r="T487" i="31" s="1"/>
  <c r="M487" i="31"/>
  <c r="K487" i="31"/>
  <c r="J487" i="31"/>
  <c r="I487" i="31"/>
  <c r="X486" i="31"/>
  <c r="W486" i="31"/>
  <c r="S486" i="31"/>
  <c r="R486" i="31"/>
  <c r="Q486" i="31"/>
  <c r="P486" i="31"/>
  <c r="O486" i="31"/>
  <c r="N486" i="31"/>
  <c r="M486" i="31"/>
  <c r="J486" i="31"/>
  <c r="L486" i="31" s="1"/>
  <c r="I486" i="31"/>
  <c r="K486" i="31" s="1"/>
  <c r="X485" i="31"/>
  <c r="W485" i="31"/>
  <c r="S485" i="31"/>
  <c r="R485" i="31"/>
  <c r="Q485" i="31"/>
  <c r="P485" i="31"/>
  <c r="O485" i="31"/>
  <c r="N485" i="31"/>
  <c r="M485" i="31"/>
  <c r="J485" i="31"/>
  <c r="L485" i="31" s="1"/>
  <c r="I485" i="31"/>
  <c r="K485" i="31" s="1"/>
  <c r="X484" i="31"/>
  <c r="W484" i="31"/>
  <c r="S484" i="31"/>
  <c r="R484" i="31"/>
  <c r="Q484" i="31"/>
  <c r="P484" i="31"/>
  <c r="O484" i="31"/>
  <c r="N484" i="31"/>
  <c r="M484" i="31"/>
  <c r="K484" i="31"/>
  <c r="J484" i="31"/>
  <c r="L484" i="31" s="1"/>
  <c r="I484" i="31"/>
  <c r="X483" i="31"/>
  <c r="W483" i="31"/>
  <c r="S483" i="31"/>
  <c r="R483" i="31"/>
  <c r="Q483" i="31"/>
  <c r="P483" i="31"/>
  <c r="O483" i="31"/>
  <c r="N483" i="31"/>
  <c r="M483" i="31"/>
  <c r="L483" i="31"/>
  <c r="K483" i="31"/>
  <c r="J483" i="31"/>
  <c r="I483" i="31"/>
  <c r="X482" i="31"/>
  <c r="W482" i="31"/>
  <c r="S482" i="31"/>
  <c r="R482" i="31"/>
  <c r="Q482" i="31"/>
  <c r="P482" i="31"/>
  <c r="O482" i="31"/>
  <c r="N482" i="31"/>
  <c r="M482" i="31"/>
  <c r="J482" i="31"/>
  <c r="L482" i="31" s="1"/>
  <c r="I482" i="31"/>
  <c r="K482" i="31" s="1"/>
  <c r="X481" i="31"/>
  <c r="W481" i="31"/>
  <c r="S481" i="31"/>
  <c r="R481" i="31"/>
  <c r="Q481" i="31"/>
  <c r="P481" i="31"/>
  <c r="O481" i="31"/>
  <c r="N481" i="31"/>
  <c r="M481" i="31"/>
  <c r="J481" i="31"/>
  <c r="L481" i="31" s="1"/>
  <c r="I481" i="31"/>
  <c r="K481" i="31" s="1"/>
  <c r="X480" i="31"/>
  <c r="W480" i="31"/>
  <c r="S480" i="31"/>
  <c r="R480" i="31"/>
  <c r="Q480" i="31"/>
  <c r="P480" i="31"/>
  <c r="O480" i="31"/>
  <c r="N480" i="31"/>
  <c r="M480" i="31"/>
  <c r="L480" i="31"/>
  <c r="K480" i="31"/>
  <c r="J480" i="31"/>
  <c r="I480" i="31"/>
  <c r="X479" i="31"/>
  <c r="W479" i="31"/>
  <c r="S479" i="31"/>
  <c r="R479" i="31"/>
  <c r="Q479" i="31"/>
  <c r="P479" i="31"/>
  <c r="O479" i="31"/>
  <c r="N479" i="31"/>
  <c r="M479" i="31"/>
  <c r="L479" i="31"/>
  <c r="AA479" i="31" s="1"/>
  <c r="K479" i="31"/>
  <c r="J479" i="31"/>
  <c r="I479" i="31"/>
  <c r="X478" i="31"/>
  <c r="W478" i="31"/>
  <c r="S478" i="31"/>
  <c r="R478" i="31"/>
  <c r="Q478" i="31"/>
  <c r="P478" i="31"/>
  <c r="O478" i="31"/>
  <c r="N478" i="31"/>
  <c r="M478" i="31"/>
  <c r="J478" i="31"/>
  <c r="L478" i="31" s="1"/>
  <c r="I478" i="31"/>
  <c r="K478" i="31" s="1"/>
  <c r="X477" i="31"/>
  <c r="W477" i="31"/>
  <c r="S477" i="31"/>
  <c r="R477" i="31"/>
  <c r="Q477" i="31"/>
  <c r="P477" i="31"/>
  <c r="O477" i="31"/>
  <c r="N477" i="31"/>
  <c r="M477" i="31"/>
  <c r="K477" i="31"/>
  <c r="J477" i="31"/>
  <c r="L477" i="31" s="1"/>
  <c r="I477" i="31"/>
  <c r="X476" i="31"/>
  <c r="W476" i="31"/>
  <c r="S476" i="31"/>
  <c r="R476" i="31"/>
  <c r="Q476" i="31"/>
  <c r="P476" i="31"/>
  <c r="O476" i="31"/>
  <c r="N476" i="31"/>
  <c r="M476" i="31"/>
  <c r="L476" i="31"/>
  <c r="T476" i="31" s="1"/>
  <c r="J476" i="31"/>
  <c r="I476" i="31"/>
  <c r="K476" i="31" s="1"/>
  <c r="X475" i="31"/>
  <c r="W475" i="31"/>
  <c r="S475" i="31"/>
  <c r="R475" i="31"/>
  <c r="Q475" i="31"/>
  <c r="P475" i="31"/>
  <c r="O475" i="31"/>
  <c r="N475" i="31"/>
  <c r="M475" i="31"/>
  <c r="K475" i="31"/>
  <c r="J475" i="31"/>
  <c r="L475" i="31" s="1"/>
  <c r="I475" i="31"/>
  <c r="X474" i="31"/>
  <c r="U474" i="31" s="1"/>
  <c r="W474" i="31"/>
  <c r="S474" i="31"/>
  <c r="R474" i="31"/>
  <c r="Q474" i="31"/>
  <c r="O474" i="31"/>
  <c r="N474" i="31"/>
  <c r="T474" i="31" s="1"/>
  <c r="M474" i="31"/>
  <c r="K474" i="31"/>
  <c r="J474" i="31"/>
  <c r="I474" i="31"/>
  <c r="X473" i="31"/>
  <c r="W473" i="31"/>
  <c r="T473" i="31"/>
  <c r="S473" i="31"/>
  <c r="R473" i="31"/>
  <c r="Q473" i="31"/>
  <c r="O473" i="31"/>
  <c r="N473" i="31"/>
  <c r="M473" i="31"/>
  <c r="K473" i="31"/>
  <c r="J473" i="31"/>
  <c r="I473" i="31"/>
  <c r="X472" i="31"/>
  <c r="W472" i="31"/>
  <c r="AA472" i="31" s="1"/>
  <c r="S472" i="31"/>
  <c r="R472" i="31"/>
  <c r="Q472" i="31"/>
  <c r="P472" i="31"/>
  <c r="O472" i="31"/>
  <c r="N472" i="31"/>
  <c r="M472" i="31"/>
  <c r="L472" i="31"/>
  <c r="K472" i="31"/>
  <c r="J472" i="31"/>
  <c r="I472" i="31"/>
  <c r="X471" i="31"/>
  <c r="W471" i="31"/>
  <c r="S471" i="31"/>
  <c r="R471" i="31"/>
  <c r="Q471" i="31"/>
  <c r="P471" i="31"/>
  <c r="O471" i="31"/>
  <c r="N471" i="31"/>
  <c r="M471" i="31"/>
  <c r="J471" i="31"/>
  <c r="L471" i="31" s="1"/>
  <c r="U471" i="31" s="1"/>
  <c r="I471" i="31"/>
  <c r="K471" i="31" s="1"/>
  <c r="AA471" i="31" s="1"/>
  <c r="X470" i="31"/>
  <c r="W470" i="31"/>
  <c r="S470" i="31"/>
  <c r="R470" i="31"/>
  <c r="Q470" i="31"/>
  <c r="P470" i="31"/>
  <c r="O470" i="31"/>
  <c r="N470" i="31"/>
  <c r="M470" i="31"/>
  <c r="L470" i="31"/>
  <c r="T470" i="31" s="1"/>
  <c r="K470" i="31"/>
  <c r="J470" i="31"/>
  <c r="I470" i="31"/>
  <c r="X469" i="31"/>
  <c r="W469" i="31"/>
  <c r="S469" i="31"/>
  <c r="R469" i="31"/>
  <c r="Q469" i="31"/>
  <c r="P469" i="31"/>
  <c r="O469" i="31"/>
  <c r="N469" i="31"/>
  <c r="M469" i="31"/>
  <c r="J469" i="31"/>
  <c r="L469" i="31" s="1"/>
  <c r="I469" i="31"/>
  <c r="K469" i="31" s="1"/>
  <c r="X468" i="31"/>
  <c r="U468" i="31" s="1"/>
  <c r="W468" i="31"/>
  <c r="S468" i="31"/>
  <c r="R468" i="31"/>
  <c r="Q468" i="31"/>
  <c r="P468" i="31"/>
  <c r="O468" i="31"/>
  <c r="N468" i="31"/>
  <c r="M468" i="31"/>
  <c r="L468" i="31"/>
  <c r="T468" i="31" s="1"/>
  <c r="K468" i="31"/>
  <c r="J468" i="31"/>
  <c r="I468" i="31"/>
  <c r="X467" i="31"/>
  <c r="W467" i="31"/>
  <c r="S467" i="31"/>
  <c r="R467" i="31"/>
  <c r="Q467" i="31"/>
  <c r="P467" i="31"/>
  <c r="O467" i="31"/>
  <c r="N467" i="31"/>
  <c r="M467" i="31"/>
  <c r="J467" i="31"/>
  <c r="L467" i="31" s="1"/>
  <c r="I467" i="31"/>
  <c r="K467" i="31" s="1"/>
  <c r="Z467" i="31" s="1"/>
  <c r="X466" i="31"/>
  <c r="W466" i="31"/>
  <c r="S466" i="31"/>
  <c r="R466" i="31"/>
  <c r="Q466" i="31"/>
  <c r="O466" i="31"/>
  <c r="N466" i="31"/>
  <c r="M466" i="31"/>
  <c r="J466" i="31"/>
  <c r="I466" i="31"/>
  <c r="K466" i="31" s="1"/>
  <c r="X465" i="31"/>
  <c r="W465" i="31"/>
  <c r="S465" i="31"/>
  <c r="R465" i="31"/>
  <c r="Q465" i="31"/>
  <c r="O465" i="31"/>
  <c r="N465" i="31"/>
  <c r="M465" i="31"/>
  <c r="J465" i="31"/>
  <c r="I465" i="31"/>
  <c r="K465" i="31" s="1"/>
  <c r="X464" i="31"/>
  <c r="W464" i="31"/>
  <c r="S464" i="31"/>
  <c r="R464" i="31"/>
  <c r="Q464" i="31"/>
  <c r="P464" i="31"/>
  <c r="O464" i="31"/>
  <c r="N464" i="31"/>
  <c r="M464" i="31"/>
  <c r="L464" i="31"/>
  <c r="K464" i="31"/>
  <c r="J464" i="31"/>
  <c r="I464" i="31"/>
  <c r="X463" i="31"/>
  <c r="W463" i="31"/>
  <c r="S463" i="31"/>
  <c r="R463" i="31"/>
  <c r="Q463" i="31"/>
  <c r="AA463" i="31" s="1"/>
  <c r="P463" i="31"/>
  <c r="O463" i="31"/>
  <c r="N463" i="31"/>
  <c r="M463" i="31"/>
  <c r="J463" i="31"/>
  <c r="L463" i="31" s="1"/>
  <c r="I463" i="31"/>
  <c r="K463" i="31" s="1"/>
  <c r="X462" i="31"/>
  <c r="W462" i="31"/>
  <c r="S462" i="31"/>
  <c r="R462" i="31"/>
  <c r="Q462" i="31"/>
  <c r="P462" i="31"/>
  <c r="O462" i="31"/>
  <c r="N462" i="31"/>
  <c r="M462" i="31"/>
  <c r="L462" i="31"/>
  <c r="K462" i="31"/>
  <c r="T462" i="31" s="1"/>
  <c r="J462" i="31"/>
  <c r="I462" i="31"/>
  <c r="X461" i="31"/>
  <c r="W461" i="31"/>
  <c r="S461" i="31"/>
  <c r="R461" i="31"/>
  <c r="Q461" i="31"/>
  <c r="P461" i="31"/>
  <c r="O461" i="31"/>
  <c r="N461" i="31"/>
  <c r="M461" i="31"/>
  <c r="J461" i="31"/>
  <c r="L461" i="31" s="1"/>
  <c r="U461" i="31" s="1"/>
  <c r="I461" i="31"/>
  <c r="K461" i="31" s="1"/>
  <c r="X460" i="31"/>
  <c r="W460" i="31"/>
  <c r="S460" i="31"/>
  <c r="R460" i="31"/>
  <c r="Q460" i="31"/>
  <c r="P460" i="31"/>
  <c r="O460" i="31"/>
  <c r="N460" i="31"/>
  <c r="M460" i="31"/>
  <c r="L460" i="31"/>
  <c r="K460" i="31"/>
  <c r="J460" i="31"/>
  <c r="I460" i="31"/>
  <c r="X459" i="31"/>
  <c r="W459" i="31"/>
  <c r="S459" i="31"/>
  <c r="R459" i="31"/>
  <c r="Q459" i="31"/>
  <c r="P459" i="31"/>
  <c r="O459" i="31"/>
  <c r="N459" i="31"/>
  <c r="M459" i="31"/>
  <c r="J459" i="31"/>
  <c r="L459" i="31" s="1"/>
  <c r="I459" i="31"/>
  <c r="K459" i="31" s="1"/>
  <c r="X458" i="31"/>
  <c r="W458" i="31"/>
  <c r="S458" i="31"/>
  <c r="R458" i="31"/>
  <c r="Q458" i="31"/>
  <c r="O458" i="31"/>
  <c r="N458" i="31"/>
  <c r="M458" i="31"/>
  <c r="J458" i="31"/>
  <c r="I458" i="31"/>
  <c r="K458" i="31" s="1"/>
  <c r="X457" i="31"/>
  <c r="W457" i="31"/>
  <c r="S457" i="31"/>
  <c r="R457" i="31"/>
  <c r="Q457" i="31"/>
  <c r="O457" i="31"/>
  <c r="N457" i="31"/>
  <c r="M457" i="31"/>
  <c r="J457" i="31"/>
  <c r="I457" i="31"/>
  <c r="K457" i="31" s="1"/>
  <c r="X456" i="31"/>
  <c r="U456" i="31" s="1"/>
  <c r="W456" i="31"/>
  <c r="Z456" i="31"/>
  <c r="S456" i="31"/>
  <c r="R456" i="31"/>
  <c r="Q456" i="31"/>
  <c r="P456" i="31"/>
  <c r="O456" i="31"/>
  <c r="N456" i="31"/>
  <c r="M456" i="31"/>
  <c r="L456" i="31"/>
  <c r="T456" i="31" s="1"/>
  <c r="K456" i="31"/>
  <c r="J456" i="31"/>
  <c r="I456" i="31"/>
  <c r="X455" i="31"/>
  <c r="W455" i="31"/>
  <c r="S455" i="31"/>
  <c r="R455" i="31"/>
  <c r="Q455" i="31"/>
  <c r="P455" i="31"/>
  <c r="O455" i="31"/>
  <c r="N455" i="31"/>
  <c r="M455" i="31"/>
  <c r="J455" i="31"/>
  <c r="L455" i="31" s="1"/>
  <c r="I455" i="31"/>
  <c r="K455" i="31" s="1"/>
  <c r="X454" i="31"/>
  <c r="W454" i="31"/>
  <c r="S454" i="31"/>
  <c r="R454" i="31"/>
  <c r="Q454" i="31"/>
  <c r="P454" i="31"/>
  <c r="O454" i="31"/>
  <c r="N454" i="31"/>
  <c r="M454" i="31"/>
  <c r="L454" i="31"/>
  <c r="K454" i="31"/>
  <c r="J454" i="31"/>
  <c r="I454" i="31"/>
  <c r="AA453" i="31"/>
  <c r="X453" i="31"/>
  <c r="W453" i="31"/>
  <c r="S453" i="31"/>
  <c r="R453" i="31"/>
  <c r="Q453" i="31"/>
  <c r="P453" i="31"/>
  <c r="O453" i="31"/>
  <c r="N453" i="31"/>
  <c r="M453" i="31"/>
  <c r="J453" i="31"/>
  <c r="L453" i="31" s="1"/>
  <c r="I453" i="31"/>
  <c r="K453" i="31" s="1"/>
  <c r="X452" i="31"/>
  <c r="W452" i="31"/>
  <c r="AA452" i="31" s="1"/>
  <c r="S452" i="31"/>
  <c r="R452" i="31"/>
  <c r="Q452" i="31"/>
  <c r="P452" i="31"/>
  <c r="O452" i="31"/>
  <c r="N452" i="31"/>
  <c r="M452" i="31"/>
  <c r="L452" i="31"/>
  <c r="K452" i="31"/>
  <c r="T452" i="31" s="1"/>
  <c r="J452" i="31"/>
  <c r="I452" i="31"/>
  <c r="X451" i="31"/>
  <c r="W451" i="31"/>
  <c r="S451" i="31"/>
  <c r="R451" i="31"/>
  <c r="Q451" i="31"/>
  <c r="P451" i="31"/>
  <c r="O451" i="31"/>
  <c r="N451" i="31"/>
  <c r="M451" i="31"/>
  <c r="J451" i="31"/>
  <c r="L451" i="31" s="1"/>
  <c r="U451" i="31" s="1"/>
  <c r="I451" i="31"/>
  <c r="K451" i="31" s="1"/>
  <c r="X450" i="31"/>
  <c r="U450" i="31" s="1"/>
  <c r="W450" i="31"/>
  <c r="S450" i="31"/>
  <c r="R450" i="31"/>
  <c r="Q450" i="31"/>
  <c r="O450" i="31"/>
  <c r="N450" i="31"/>
  <c r="M450" i="31"/>
  <c r="J450" i="31"/>
  <c r="I450" i="31"/>
  <c r="K450" i="31" s="1"/>
  <c r="X449" i="31"/>
  <c r="W449" i="31"/>
  <c r="Z449" i="31"/>
  <c r="S449" i="31"/>
  <c r="R449" i="31"/>
  <c r="Q449" i="31"/>
  <c r="O449" i="31"/>
  <c r="N449" i="31"/>
  <c r="M449" i="31"/>
  <c r="J449" i="31"/>
  <c r="I449" i="31"/>
  <c r="K449" i="31" s="1"/>
  <c r="T449" i="31" s="1"/>
  <c r="X448" i="31"/>
  <c r="W448" i="31"/>
  <c r="S448" i="31"/>
  <c r="R448" i="31"/>
  <c r="Q448" i="31"/>
  <c r="P448" i="31"/>
  <c r="O448" i="31"/>
  <c r="N448" i="31"/>
  <c r="M448" i="31"/>
  <c r="L448" i="31"/>
  <c r="T448" i="31" s="1"/>
  <c r="K448" i="31"/>
  <c r="J448" i="31"/>
  <c r="I448" i="31"/>
  <c r="Z447" i="31"/>
  <c r="X447" i="31"/>
  <c r="W447" i="31"/>
  <c r="S447" i="31"/>
  <c r="R447" i="31"/>
  <c r="Q447" i="31"/>
  <c r="P447" i="31"/>
  <c r="O447" i="31"/>
  <c r="N447" i="31"/>
  <c r="M447" i="31"/>
  <c r="J447" i="31"/>
  <c r="L447" i="31" s="1"/>
  <c r="AA447" i="31" s="1"/>
  <c r="I447" i="31"/>
  <c r="K447" i="31" s="1"/>
  <c r="X446" i="31"/>
  <c r="W446" i="31"/>
  <c r="Z446" i="31"/>
  <c r="S446" i="31"/>
  <c r="R446" i="31"/>
  <c r="Q446" i="31"/>
  <c r="P446" i="31"/>
  <c r="O446" i="31"/>
  <c r="N446" i="31"/>
  <c r="M446" i="31"/>
  <c r="L446" i="31"/>
  <c r="T446" i="31" s="1"/>
  <c r="K446" i="31"/>
  <c r="J446" i="31"/>
  <c r="I446" i="31"/>
  <c r="X445" i="31"/>
  <c r="W445" i="31"/>
  <c r="S445" i="31"/>
  <c r="R445" i="31"/>
  <c r="Q445" i="31"/>
  <c r="P445" i="31"/>
  <c r="O445" i="31"/>
  <c r="N445" i="31"/>
  <c r="M445" i="31"/>
  <c r="J445" i="31"/>
  <c r="L445" i="31" s="1"/>
  <c r="I445" i="31"/>
  <c r="K445" i="31" s="1"/>
  <c r="Z445" i="31" s="1"/>
  <c r="X444" i="31"/>
  <c r="W444" i="31"/>
  <c r="S444" i="31"/>
  <c r="R444" i="31"/>
  <c r="Q444" i="31"/>
  <c r="P444" i="31"/>
  <c r="O444" i="31"/>
  <c r="N444" i="31"/>
  <c r="M444" i="31"/>
  <c r="L444" i="31"/>
  <c r="K444" i="31"/>
  <c r="J444" i="31"/>
  <c r="I444" i="31"/>
  <c r="AA443" i="31"/>
  <c r="X443" i="31"/>
  <c r="W443" i="31"/>
  <c r="S443" i="31"/>
  <c r="R443" i="31"/>
  <c r="Q443" i="31"/>
  <c r="Z443" i="31" s="1"/>
  <c r="P443" i="31"/>
  <c r="O443" i="31"/>
  <c r="N443" i="31"/>
  <c r="M443" i="31"/>
  <c r="J443" i="31"/>
  <c r="L443" i="31" s="1"/>
  <c r="U443" i="31" s="1"/>
  <c r="I443" i="31"/>
  <c r="K443" i="31" s="1"/>
  <c r="X442" i="31"/>
  <c r="W442" i="31"/>
  <c r="AA442" i="31" s="1"/>
  <c r="Z442" i="31"/>
  <c r="S442" i="31"/>
  <c r="R442" i="31"/>
  <c r="Q442" i="31"/>
  <c r="O442" i="31"/>
  <c r="N442" i="31"/>
  <c r="M442" i="31"/>
  <c r="J442" i="31"/>
  <c r="I442" i="31"/>
  <c r="K442" i="31" s="1"/>
  <c r="T442" i="31" s="1"/>
  <c r="X441" i="31"/>
  <c r="W441" i="31"/>
  <c r="S441" i="31"/>
  <c r="R441" i="31"/>
  <c r="Q441" i="31"/>
  <c r="P441" i="31"/>
  <c r="O441" i="31"/>
  <c r="N441" i="31"/>
  <c r="M441" i="31"/>
  <c r="L441" i="31"/>
  <c r="K441" i="31"/>
  <c r="J441" i="31"/>
  <c r="I441" i="31"/>
  <c r="Z440" i="31"/>
  <c r="X440" i="31"/>
  <c r="W440" i="31"/>
  <c r="S440" i="31"/>
  <c r="R440" i="31"/>
  <c r="Q440" i="31"/>
  <c r="P440" i="31"/>
  <c r="O440" i="31"/>
  <c r="N440" i="31"/>
  <c r="M440" i="31"/>
  <c r="J440" i="31"/>
  <c r="L440" i="31" s="1"/>
  <c r="I440" i="31"/>
  <c r="K440" i="31" s="1"/>
  <c r="X439" i="31"/>
  <c r="W439" i="31"/>
  <c r="S439" i="31"/>
  <c r="R439" i="31"/>
  <c r="Q439" i="31"/>
  <c r="P439" i="31"/>
  <c r="O439" i="31"/>
  <c r="N439" i="31"/>
  <c r="M439" i="31"/>
  <c r="L439" i="31"/>
  <c r="K439" i="31"/>
  <c r="T439" i="31" s="1"/>
  <c r="J439" i="31"/>
  <c r="I439" i="31"/>
  <c r="X438" i="31"/>
  <c r="W438" i="31"/>
  <c r="S438" i="31"/>
  <c r="R438" i="31"/>
  <c r="Q438" i="31"/>
  <c r="P438" i="31"/>
  <c r="O438" i="31"/>
  <c r="N438" i="31"/>
  <c r="M438" i="31"/>
  <c r="J438" i="31"/>
  <c r="L438" i="31" s="1"/>
  <c r="I438" i="31"/>
  <c r="K438" i="31" s="1"/>
  <c r="X437" i="31"/>
  <c r="W437" i="31"/>
  <c r="S437" i="31"/>
  <c r="R437" i="31"/>
  <c r="Q437" i="31"/>
  <c r="O437" i="31"/>
  <c r="N437" i="31"/>
  <c r="M437" i="31"/>
  <c r="J437" i="31"/>
  <c r="I437" i="31"/>
  <c r="K437" i="31" s="1"/>
  <c r="X436" i="31"/>
  <c r="U436" i="31" s="1"/>
  <c r="W436" i="31"/>
  <c r="S436" i="31"/>
  <c r="R436" i="31"/>
  <c r="Q436" i="31"/>
  <c r="P436" i="31"/>
  <c r="O436" i="31"/>
  <c r="N436" i="31"/>
  <c r="M436" i="31"/>
  <c r="L436" i="31"/>
  <c r="K436" i="31"/>
  <c r="J436" i="31"/>
  <c r="I436" i="31"/>
  <c r="Z435" i="31"/>
  <c r="X435" i="31"/>
  <c r="W435" i="31"/>
  <c r="S435" i="31"/>
  <c r="R435" i="31"/>
  <c r="Q435" i="31"/>
  <c r="P435" i="31"/>
  <c r="O435" i="31"/>
  <c r="N435" i="31"/>
  <c r="M435" i="31"/>
  <c r="J435" i="31"/>
  <c r="L435" i="31" s="1"/>
  <c r="I435" i="31"/>
  <c r="K435" i="31" s="1"/>
  <c r="X434" i="31"/>
  <c r="W434" i="31"/>
  <c r="S434" i="31"/>
  <c r="R434" i="31"/>
  <c r="Q434" i="31"/>
  <c r="P434" i="31"/>
  <c r="O434" i="31"/>
  <c r="N434" i="31"/>
  <c r="M434" i="31"/>
  <c r="L434" i="31"/>
  <c r="K434" i="31"/>
  <c r="T434" i="31" s="1"/>
  <c r="J434" i="31"/>
  <c r="I434" i="31"/>
  <c r="X433" i="31"/>
  <c r="W433" i="31"/>
  <c r="S433" i="31"/>
  <c r="R433" i="31"/>
  <c r="Q433" i="31"/>
  <c r="P433" i="31"/>
  <c r="O433" i="31"/>
  <c r="N433" i="31"/>
  <c r="M433" i="31"/>
  <c r="J433" i="31"/>
  <c r="L433" i="31" s="1"/>
  <c r="I433" i="31"/>
  <c r="K433" i="31" s="1"/>
  <c r="X432" i="31"/>
  <c r="W432" i="31"/>
  <c r="S432" i="31"/>
  <c r="R432" i="31"/>
  <c r="Q432" i="31"/>
  <c r="O432" i="31"/>
  <c r="N432" i="31"/>
  <c r="M432" i="31"/>
  <c r="J432" i="31"/>
  <c r="I432" i="31"/>
  <c r="K432" i="31" s="1"/>
  <c r="X431" i="31"/>
  <c r="U431" i="31" s="1"/>
  <c r="W431" i="31"/>
  <c r="Z431" i="31"/>
  <c r="S431" i="31"/>
  <c r="R431" i="31"/>
  <c r="Q431" i="31"/>
  <c r="P431" i="31"/>
  <c r="O431" i="31"/>
  <c r="N431" i="31"/>
  <c r="M431" i="31"/>
  <c r="L431" i="31"/>
  <c r="T431" i="31" s="1"/>
  <c r="K431" i="31"/>
  <c r="J431" i="31"/>
  <c r="I431" i="31"/>
  <c r="X430" i="31"/>
  <c r="W430" i="31"/>
  <c r="S430" i="31"/>
  <c r="R430" i="31"/>
  <c r="Q430" i="31"/>
  <c r="P430" i="31"/>
  <c r="O430" i="31"/>
  <c r="N430" i="31"/>
  <c r="M430" i="31"/>
  <c r="J430" i="31"/>
  <c r="L430" i="31" s="1"/>
  <c r="I430" i="31"/>
  <c r="K430" i="31" s="1"/>
  <c r="X429" i="31"/>
  <c r="U429" i="31" s="1"/>
  <c r="W429" i="31"/>
  <c r="Z429" i="31"/>
  <c r="S429" i="31"/>
  <c r="R429" i="31"/>
  <c r="Q429" i="31"/>
  <c r="P429" i="31"/>
  <c r="O429" i="31"/>
  <c r="N429" i="31"/>
  <c r="M429" i="31"/>
  <c r="L429" i="31"/>
  <c r="K429" i="31"/>
  <c r="J429" i="31"/>
  <c r="I429" i="31"/>
  <c r="X428" i="31"/>
  <c r="W428" i="31"/>
  <c r="S428" i="31"/>
  <c r="R428" i="31"/>
  <c r="Q428" i="31"/>
  <c r="AA428" i="31" s="1"/>
  <c r="P428" i="31"/>
  <c r="O428" i="31"/>
  <c r="N428" i="31"/>
  <c r="Z428" i="31" s="1"/>
  <c r="M428" i="31"/>
  <c r="J428" i="31"/>
  <c r="L428" i="31" s="1"/>
  <c r="U428" i="31" s="1"/>
  <c r="I428" i="31"/>
  <c r="K428" i="31" s="1"/>
  <c r="X427" i="31"/>
  <c r="W427" i="31"/>
  <c r="AA427" i="31" s="1"/>
  <c r="S427" i="31"/>
  <c r="R427" i="31"/>
  <c r="Q427" i="31"/>
  <c r="O427" i="31"/>
  <c r="N427" i="31"/>
  <c r="M427" i="31"/>
  <c r="J427" i="31"/>
  <c r="I427" i="31"/>
  <c r="K427" i="31" s="1"/>
  <c r="X426" i="31"/>
  <c r="U426" i="31" s="1"/>
  <c r="W426" i="31"/>
  <c r="Z426" i="31"/>
  <c r="S426" i="31"/>
  <c r="R426" i="31"/>
  <c r="Q426" i="31"/>
  <c r="P426" i="31"/>
  <c r="O426" i="31"/>
  <c r="N426" i="31"/>
  <c r="M426" i="31"/>
  <c r="L426" i="31"/>
  <c r="T426" i="31" s="1"/>
  <c r="K426" i="31"/>
  <c r="J426" i="31"/>
  <c r="I426" i="31"/>
  <c r="X425" i="31"/>
  <c r="W425" i="31"/>
  <c r="S425" i="31"/>
  <c r="R425" i="31"/>
  <c r="Q425" i="31"/>
  <c r="P425" i="31"/>
  <c r="O425" i="31"/>
  <c r="N425" i="31"/>
  <c r="M425" i="31"/>
  <c r="J425" i="31"/>
  <c r="L425" i="31" s="1"/>
  <c r="I425" i="31"/>
  <c r="K425" i="31" s="1"/>
  <c r="X424" i="31"/>
  <c r="W424" i="31"/>
  <c r="Z424" i="31"/>
  <c r="S424" i="31"/>
  <c r="R424" i="31"/>
  <c r="Q424" i="31"/>
  <c r="P424" i="31"/>
  <c r="O424" i="31"/>
  <c r="N424" i="31"/>
  <c r="M424" i="31"/>
  <c r="L424" i="31"/>
  <c r="K424" i="31"/>
  <c r="J424" i="31"/>
  <c r="I424" i="31"/>
  <c r="X423" i="31"/>
  <c r="W423" i="31"/>
  <c r="S423" i="31"/>
  <c r="R423" i="31"/>
  <c r="Q423" i="31"/>
  <c r="P423" i="31"/>
  <c r="O423" i="31"/>
  <c r="N423" i="31"/>
  <c r="M423" i="31"/>
  <c r="J423" i="31"/>
  <c r="L423" i="31" s="1"/>
  <c r="I423" i="31"/>
  <c r="K423" i="31" s="1"/>
  <c r="X422" i="31"/>
  <c r="W422" i="31"/>
  <c r="AA422" i="31" s="1"/>
  <c r="Z422" i="31"/>
  <c r="S422" i="31"/>
  <c r="R422" i="31"/>
  <c r="Q422" i="31"/>
  <c r="P422" i="31"/>
  <c r="O422" i="31"/>
  <c r="N422" i="31"/>
  <c r="M422" i="31"/>
  <c r="L422" i="31"/>
  <c r="K422" i="31"/>
  <c r="T422" i="31" s="1"/>
  <c r="J422" i="31"/>
  <c r="I422" i="31"/>
  <c r="X421" i="31"/>
  <c r="W421" i="31"/>
  <c r="U421" i="31"/>
  <c r="S421" i="31"/>
  <c r="R421" i="31"/>
  <c r="Q421" i="31"/>
  <c r="O421" i="31"/>
  <c r="N421" i="31"/>
  <c r="M421" i="31"/>
  <c r="K421" i="31"/>
  <c r="J421" i="31"/>
  <c r="I421" i="31"/>
  <c r="X420" i="31"/>
  <c r="W420" i="31"/>
  <c r="S420" i="31"/>
  <c r="R420" i="31"/>
  <c r="Q420" i="31"/>
  <c r="P420" i="31"/>
  <c r="O420" i="31"/>
  <c r="N420" i="31"/>
  <c r="M420" i="31"/>
  <c r="J420" i="31"/>
  <c r="L420" i="31" s="1"/>
  <c r="I420" i="31"/>
  <c r="K420" i="31" s="1"/>
  <c r="X419" i="31"/>
  <c r="W419" i="31"/>
  <c r="S419" i="31"/>
  <c r="R419" i="31"/>
  <c r="Q419" i="31"/>
  <c r="P419" i="31"/>
  <c r="O419" i="31"/>
  <c r="N419" i="31"/>
  <c r="M419" i="31"/>
  <c r="L419" i="31"/>
  <c r="K419" i="31"/>
  <c r="J419" i="31"/>
  <c r="I419" i="31"/>
  <c r="X418" i="31"/>
  <c r="W418" i="31"/>
  <c r="S418" i="31"/>
  <c r="R418" i="31"/>
  <c r="Q418" i="31"/>
  <c r="AA418" i="31" s="1"/>
  <c r="P418" i="31"/>
  <c r="O418" i="31"/>
  <c r="N418" i="31"/>
  <c r="M418" i="31"/>
  <c r="J418" i="31"/>
  <c r="L418" i="31" s="1"/>
  <c r="I418" i="31"/>
  <c r="K418" i="31" s="1"/>
  <c r="X417" i="31"/>
  <c r="W417" i="31"/>
  <c r="AA417" i="31" s="1"/>
  <c r="S417" i="31"/>
  <c r="R417" i="31"/>
  <c r="Q417" i="31"/>
  <c r="P417" i="31"/>
  <c r="O417" i="31"/>
  <c r="N417" i="31"/>
  <c r="M417" i="31"/>
  <c r="L417" i="31"/>
  <c r="T417" i="31" s="1"/>
  <c r="K417" i="31"/>
  <c r="J417" i="31"/>
  <c r="I417" i="31"/>
  <c r="X416" i="31"/>
  <c r="W416" i="31"/>
  <c r="S416" i="31"/>
  <c r="R416" i="31"/>
  <c r="Q416" i="31"/>
  <c r="P416" i="31"/>
  <c r="O416" i="31"/>
  <c r="N416" i="31"/>
  <c r="M416" i="31"/>
  <c r="J416" i="31"/>
  <c r="L416" i="31" s="1"/>
  <c r="U416" i="31" s="1"/>
  <c r="I416" i="31"/>
  <c r="K416" i="31" s="1"/>
  <c r="X415" i="31"/>
  <c r="W415" i="31"/>
  <c r="S415" i="31"/>
  <c r="R415" i="31"/>
  <c r="Q415" i="31"/>
  <c r="P415" i="31"/>
  <c r="O415" i="31"/>
  <c r="N415" i="31"/>
  <c r="M415" i="31"/>
  <c r="L415" i="31"/>
  <c r="K415" i="31"/>
  <c r="J415" i="31"/>
  <c r="I415" i="31"/>
  <c r="X414" i="31"/>
  <c r="W414" i="31"/>
  <c r="S414" i="31"/>
  <c r="R414" i="31"/>
  <c r="Q414" i="31"/>
  <c r="P414" i="31"/>
  <c r="O414" i="31"/>
  <c r="N414" i="31"/>
  <c r="M414" i="31"/>
  <c r="J414" i="31"/>
  <c r="L414" i="31" s="1"/>
  <c r="I414" i="31"/>
  <c r="K414" i="31" s="1"/>
  <c r="X413" i="31"/>
  <c r="W413" i="31"/>
  <c r="Z413" i="31"/>
  <c r="S413" i="31"/>
  <c r="R413" i="31"/>
  <c r="Q413" i="31"/>
  <c r="P413" i="31"/>
  <c r="O413" i="31"/>
  <c r="N413" i="31"/>
  <c r="M413" i="31"/>
  <c r="L413" i="31"/>
  <c r="T413" i="31" s="1"/>
  <c r="K413" i="31"/>
  <c r="J413" i="31"/>
  <c r="I413" i="31"/>
  <c r="X412" i="31"/>
  <c r="W412" i="31"/>
  <c r="S412" i="31"/>
  <c r="R412" i="31"/>
  <c r="Q412" i="31"/>
  <c r="P412" i="31"/>
  <c r="O412" i="31"/>
  <c r="N412" i="31"/>
  <c r="M412" i="31"/>
  <c r="AA412" i="31" s="1"/>
  <c r="J412" i="31"/>
  <c r="L412" i="31" s="1"/>
  <c r="I412" i="31"/>
  <c r="K412" i="31" s="1"/>
  <c r="X411" i="31"/>
  <c r="W411" i="31"/>
  <c r="S411" i="31"/>
  <c r="R411" i="31"/>
  <c r="Q411" i="31"/>
  <c r="P411" i="31"/>
  <c r="O411" i="31"/>
  <c r="N411" i="31"/>
  <c r="M411" i="31"/>
  <c r="L411" i="31"/>
  <c r="K411" i="31"/>
  <c r="J411" i="31"/>
  <c r="I411" i="31"/>
  <c r="X410" i="31"/>
  <c r="W410" i="31"/>
  <c r="S410" i="31"/>
  <c r="R410" i="31"/>
  <c r="Q410" i="31"/>
  <c r="P410" i="31"/>
  <c r="O410" i="31"/>
  <c r="N410" i="31"/>
  <c r="M410" i="31"/>
  <c r="J410" i="31"/>
  <c r="L410" i="31" s="1"/>
  <c r="I410" i="31"/>
  <c r="K410" i="31" s="1"/>
  <c r="X409" i="31"/>
  <c r="W409" i="31"/>
  <c r="AA409" i="31" s="1"/>
  <c r="S409" i="31"/>
  <c r="R409" i="31"/>
  <c r="Q409" i="31"/>
  <c r="P409" i="31"/>
  <c r="O409" i="31"/>
  <c r="N409" i="31"/>
  <c r="M409" i="31"/>
  <c r="L409" i="31"/>
  <c r="T409" i="31" s="1"/>
  <c r="K409" i="31"/>
  <c r="J409" i="31"/>
  <c r="I409" i="31"/>
  <c r="X408" i="31"/>
  <c r="W408" i="31"/>
  <c r="S408" i="31"/>
  <c r="R408" i="31"/>
  <c r="Q408" i="31"/>
  <c r="P408" i="31"/>
  <c r="O408" i="31"/>
  <c r="N408" i="31"/>
  <c r="M408" i="31"/>
  <c r="AA408" i="31" s="1"/>
  <c r="J408" i="31"/>
  <c r="L408" i="31" s="1"/>
  <c r="I408" i="31"/>
  <c r="K408" i="31" s="1"/>
  <c r="X407" i="31"/>
  <c r="W407" i="31"/>
  <c r="S407" i="31"/>
  <c r="R407" i="31"/>
  <c r="Q407" i="31"/>
  <c r="P407" i="31"/>
  <c r="O407" i="31"/>
  <c r="N407" i="31"/>
  <c r="M407" i="31"/>
  <c r="L407" i="31"/>
  <c r="K407" i="31"/>
  <c r="J407" i="31"/>
  <c r="I407" i="31"/>
  <c r="X406" i="31"/>
  <c r="W406" i="31"/>
  <c r="S406" i="31"/>
  <c r="R406" i="31"/>
  <c r="Q406" i="31"/>
  <c r="P406" i="31"/>
  <c r="O406" i="31"/>
  <c r="N406" i="31"/>
  <c r="M406" i="31"/>
  <c r="J406" i="31"/>
  <c r="L406" i="31" s="1"/>
  <c r="I406" i="31"/>
  <c r="K406" i="31" s="1"/>
  <c r="X405" i="31"/>
  <c r="W405" i="31"/>
  <c r="Z405" i="31"/>
  <c r="S405" i="31"/>
  <c r="R405" i="31"/>
  <c r="Q405" i="31"/>
  <c r="P405" i="31"/>
  <c r="O405" i="31"/>
  <c r="N405" i="31"/>
  <c r="M405" i="31"/>
  <c r="L405" i="31"/>
  <c r="T405" i="31" s="1"/>
  <c r="K405" i="31"/>
  <c r="J405" i="31"/>
  <c r="I405" i="31"/>
  <c r="X404" i="31"/>
  <c r="W404" i="31"/>
  <c r="S404" i="31"/>
  <c r="R404" i="31"/>
  <c r="Q404" i="31"/>
  <c r="P404" i="31"/>
  <c r="O404" i="31"/>
  <c r="N404" i="31"/>
  <c r="M404" i="31"/>
  <c r="AA404" i="31" s="1"/>
  <c r="J404" i="31"/>
  <c r="L404" i="31" s="1"/>
  <c r="I404" i="31"/>
  <c r="K404" i="31" s="1"/>
  <c r="X403" i="31"/>
  <c r="W403" i="31"/>
  <c r="S403" i="31"/>
  <c r="R403" i="31"/>
  <c r="Q403" i="31"/>
  <c r="P403" i="31"/>
  <c r="O403" i="31"/>
  <c r="N403" i="31"/>
  <c r="M403" i="31"/>
  <c r="L403" i="31"/>
  <c r="K403" i="31"/>
  <c r="J403" i="31"/>
  <c r="I403" i="31"/>
  <c r="X402" i="31"/>
  <c r="W402" i="31"/>
  <c r="S402" i="31"/>
  <c r="R402" i="31"/>
  <c r="Q402" i="31"/>
  <c r="P402" i="31"/>
  <c r="O402" i="31"/>
  <c r="N402" i="31"/>
  <c r="M402" i="31"/>
  <c r="J402" i="31"/>
  <c r="L402" i="31" s="1"/>
  <c r="I402" i="31"/>
  <c r="K402" i="31" s="1"/>
  <c r="X401" i="31"/>
  <c r="W401" i="31"/>
  <c r="AA401" i="31" s="1"/>
  <c r="S401" i="31"/>
  <c r="R401" i="31"/>
  <c r="Q401" i="31"/>
  <c r="P401" i="31"/>
  <c r="O401" i="31"/>
  <c r="N401" i="31"/>
  <c r="M401" i="31"/>
  <c r="L401" i="31"/>
  <c r="T401" i="31" s="1"/>
  <c r="K401" i="31"/>
  <c r="J401" i="31"/>
  <c r="I401" i="31"/>
  <c r="X400" i="31"/>
  <c r="W400" i="31"/>
  <c r="S400" i="31"/>
  <c r="R400" i="31"/>
  <c r="Q400" i="31"/>
  <c r="P400" i="31"/>
  <c r="O400" i="31"/>
  <c r="N400" i="31"/>
  <c r="M400" i="31"/>
  <c r="AA400" i="31" s="1"/>
  <c r="J400" i="31"/>
  <c r="L400" i="31" s="1"/>
  <c r="I400" i="31"/>
  <c r="K400" i="31" s="1"/>
  <c r="X399" i="31"/>
  <c r="W399" i="31"/>
  <c r="S399" i="31"/>
  <c r="R399" i="31"/>
  <c r="Q399" i="31"/>
  <c r="P399" i="31"/>
  <c r="O399" i="31"/>
  <c r="N399" i="31"/>
  <c r="M399" i="31"/>
  <c r="L399" i="31"/>
  <c r="K399" i="31"/>
  <c r="J399" i="31"/>
  <c r="I399" i="31"/>
  <c r="X398" i="31"/>
  <c r="W398" i="31"/>
  <c r="S398" i="31"/>
  <c r="R398" i="31"/>
  <c r="Q398" i="31"/>
  <c r="P398" i="31"/>
  <c r="O398" i="31"/>
  <c r="N398" i="31"/>
  <c r="M398" i="31"/>
  <c r="J398" i="31"/>
  <c r="L398" i="31" s="1"/>
  <c r="I398" i="31"/>
  <c r="K398" i="31" s="1"/>
  <c r="X397" i="31"/>
  <c r="W397" i="31"/>
  <c r="Z397" i="31"/>
  <c r="S397" i="31"/>
  <c r="R397" i="31"/>
  <c r="Q397" i="31"/>
  <c r="P397" i="31"/>
  <c r="O397" i="31"/>
  <c r="N397" i="31"/>
  <c r="M397" i="31"/>
  <c r="L397" i="31"/>
  <c r="T397" i="31" s="1"/>
  <c r="K397" i="31"/>
  <c r="J397" i="31"/>
  <c r="I397" i="31"/>
  <c r="X396" i="31"/>
  <c r="W396" i="31"/>
  <c r="S396" i="31"/>
  <c r="R396" i="31"/>
  <c r="Q396" i="31"/>
  <c r="P396" i="31"/>
  <c r="O396" i="31"/>
  <c r="N396" i="31"/>
  <c r="M396" i="31"/>
  <c r="AA396" i="31" s="1"/>
  <c r="J396" i="31"/>
  <c r="L396" i="31" s="1"/>
  <c r="I396" i="31"/>
  <c r="K396" i="31" s="1"/>
  <c r="Y395" i="31"/>
  <c r="X395" i="31"/>
  <c r="U395" i="31" s="1"/>
  <c r="W395" i="31"/>
  <c r="V395" i="31"/>
  <c r="S395" i="31"/>
  <c r="R395" i="31"/>
  <c r="Q395" i="31"/>
  <c r="P395" i="31"/>
  <c r="O395" i="31"/>
  <c r="N395" i="31"/>
  <c r="M395" i="31"/>
  <c r="L395" i="31"/>
  <c r="T395" i="31" s="1"/>
  <c r="J395" i="31"/>
  <c r="I395" i="31"/>
  <c r="K395" i="31" s="1"/>
  <c r="Y394" i="31"/>
  <c r="X394" i="31"/>
  <c r="W394" i="31"/>
  <c r="V394" i="31"/>
  <c r="S394" i="31"/>
  <c r="R394" i="31"/>
  <c r="Q394" i="31"/>
  <c r="P394" i="31"/>
  <c r="O394" i="31"/>
  <c r="N394" i="31"/>
  <c r="M394" i="31"/>
  <c r="L394" i="31"/>
  <c r="K394" i="31"/>
  <c r="J394" i="31"/>
  <c r="I394" i="31"/>
  <c r="Y393" i="31"/>
  <c r="X393" i="31"/>
  <c r="W393" i="31"/>
  <c r="V393" i="31"/>
  <c r="S393" i="31"/>
  <c r="R393" i="31"/>
  <c r="Q393" i="31"/>
  <c r="P393" i="31"/>
  <c r="O393" i="31"/>
  <c r="N393" i="31"/>
  <c r="M393" i="31"/>
  <c r="K393" i="31"/>
  <c r="J393" i="31"/>
  <c r="L393" i="31" s="1"/>
  <c r="I393" i="31"/>
  <c r="Y392" i="31"/>
  <c r="X392" i="31"/>
  <c r="W392" i="31"/>
  <c r="V392" i="31"/>
  <c r="S392" i="31"/>
  <c r="R392" i="31"/>
  <c r="Q392" i="31"/>
  <c r="P392" i="31"/>
  <c r="O392" i="31"/>
  <c r="N392" i="31"/>
  <c r="M392" i="31"/>
  <c r="J392" i="31"/>
  <c r="L392" i="31" s="1"/>
  <c r="I392" i="31"/>
  <c r="K392" i="31" s="1"/>
  <c r="Y391" i="31"/>
  <c r="X391" i="31"/>
  <c r="U391" i="31" s="1"/>
  <c r="W391" i="31"/>
  <c r="V391" i="31"/>
  <c r="S391" i="31"/>
  <c r="R391" i="31"/>
  <c r="Q391" i="31"/>
  <c r="P391" i="31"/>
  <c r="O391" i="31"/>
  <c r="N391" i="31"/>
  <c r="M391" i="31"/>
  <c r="L391" i="31"/>
  <c r="T391" i="31" s="1"/>
  <c r="J391" i="31"/>
  <c r="I391" i="31"/>
  <c r="K391" i="31" s="1"/>
  <c r="Y390" i="31"/>
  <c r="X390" i="31"/>
  <c r="W390" i="31"/>
  <c r="V390" i="31"/>
  <c r="S390" i="31"/>
  <c r="R390" i="31"/>
  <c r="Q390" i="31"/>
  <c r="P390" i="31"/>
  <c r="O390" i="31"/>
  <c r="N390" i="31"/>
  <c r="M390" i="31"/>
  <c r="L390" i="31"/>
  <c r="K390" i="31"/>
  <c r="J390" i="31"/>
  <c r="I390" i="31"/>
  <c r="Y389" i="31"/>
  <c r="X389" i="31"/>
  <c r="W389" i="31"/>
  <c r="AA389" i="31" s="1"/>
  <c r="V389" i="31"/>
  <c r="S389" i="31"/>
  <c r="R389" i="31"/>
  <c r="Q389" i="31"/>
  <c r="P389" i="31"/>
  <c r="O389" i="31"/>
  <c r="N389" i="31"/>
  <c r="M389" i="31"/>
  <c r="K389" i="31"/>
  <c r="J389" i="31"/>
  <c r="L389" i="31" s="1"/>
  <c r="Z389" i="31" s="1"/>
  <c r="I389" i="31"/>
  <c r="Y388" i="31"/>
  <c r="X388" i="31"/>
  <c r="W388" i="31"/>
  <c r="V388" i="31"/>
  <c r="S388" i="31"/>
  <c r="R388" i="31"/>
  <c r="Q388" i="31"/>
  <c r="P388" i="31"/>
  <c r="O388" i="31"/>
  <c r="N388" i="31"/>
  <c r="M388" i="31"/>
  <c r="J388" i="31"/>
  <c r="I388" i="31"/>
  <c r="K388" i="31" s="1"/>
  <c r="Y387" i="31"/>
  <c r="X387" i="31"/>
  <c r="W387" i="31"/>
  <c r="V387" i="31"/>
  <c r="Z387" i="31" s="1"/>
  <c r="S387" i="31"/>
  <c r="R387" i="31"/>
  <c r="Q387" i="31"/>
  <c r="P387" i="31"/>
  <c r="O387" i="31"/>
  <c r="N387" i="31"/>
  <c r="M387" i="31"/>
  <c r="L387" i="31"/>
  <c r="AA387" i="31" s="1"/>
  <c r="K387" i="31"/>
  <c r="J387" i="31"/>
  <c r="I387" i="31"/>
  <c r="Y386" i="31"/>
  <c r="X386" i="31"/>
  <c r="W386" i="31"/>
  <c r="AA386" i="31" s="1"/>
  <c r="V386" i="31"/>
  <c r="S386" i="31"/>
  <c r="R386" i="31"/>
  <c r="Q386" i="31"/>
  <c r="P386" i="31"/>
  <c r="O386" i="31"/>
  <c r="N386" i="31"/>
  <c r="M386" i="31"/>
  <c r="K386" i="31"/>
  <c r="J386" i="31"/>
  <c r="L386" i="31" s="1"/>
  <c r="Z386" i="31" s="1"/>
  <c r="I386" i="31"/>
  <c r="Y385" i="31"/>
  <c r="X385" i="31"/>
  <c r="W385" i="31"/>
  <c r="V385" i="31"/>
  <c r="S385" i="31"/>
  <c r="R385" i="31"/>
  <c r="Q385" i="31"/>
  <c r="P385" i="31"/>
  <c r="O385" i="31"/>
  <c r="N385" i="31"/>
  <c r="M385" i="31"/>
  <c r="J385" i="31"/>
  <c r="I385" i="31"/>
  <c r="K385" i="31" s="1"/>
  <c r="U385" i="31" s="1"/>
  <c r="Y384" i="31"/>
  <c r="X384" i="31"/>
  <c r="W384" i="31"/>
  <c r="V384" i="31"/>
  <c r="S384" i="31"/>
  <c r="R384" i="31"/>
  <c r="Q384" i="31"/>
  <c r="P384" i="31"/>
  <c r="O384" i="31"/>
  <c r="N384" i="31"/>
  <c r="M384" i="31"/>
  <c r="L384" i="31"/>
  <c r="AA384" i="31" s="1"/>
  <c r="K384" i="31"/>
  <c r="J384" i="31"/>
  <c r="I384" i="31"/>
  <c r="Y383" i="31"/>
  <c r="X383" i="31"/>
  <c r="W383" i="31"/>
  <c r="AA383" i="31" s="1"/>
  <c r="V383" i="31"/>
  <c r="S383" i="31"/>
  <c r="R383" i="31"/>
  <c r="Q383" i="31"/>
  <c r="P383" i="31"/>
  <c r="O383" i="31"/>
  <c r="N383" i="31"/>
  <c r="M383" i="31"/>
  <c r="K383" i="31"/>
  <c r="J383" i="31"/>
  <c r="L383" i="31" s="1"/>
  <c r="I383" i="31"/>
  <c r="Y382" i="31"/>
  <c r="X382" i="31"/>
  <c r="W382" i="31"/>
  <c r="V382" i="31"/>
  <c r="S382" i="31"/>
  <c r="R382" i="31"/>
  <c r="Q382" i="31"/>
  <c r="P382" i="31"/>
  <c r="O382" i="31"/>
  <c r="N382" i="31"/>
  <c r="M382" i="31"/>
  <c r="J382" i="31"/>
  <c r="L382" i="31" s="1"/>
  <c r="I382" i="31"/>
  <c r="K382" i="31" s="1"/>
  <c r="Y381" i="31"/>
  <c r="X381" i="31"/>
  <c r="W381" i="31"/>
  <c r="V381" i="31"/>
  <c r="U381" i="31"/>
  <c r="S381" i="31"/>
  <c r="R381" i="31"/>
  <c r="Q381" i="31"/>
  <c r="P381" i="31"/>
  <c r="O381" i="31"/>
  <c r="N381" i="31"/>
  <c r="M381" i="31"/>
  <c r="L381" i="31"/>
  <c r="T381" i="31" s="1"/>
  <c r="J381" i="31"/>
  <c r="I381" i="31"/>
  <c r="K381" i="31" s="1"/>
  <c r="Y380" i="31"/>
  <c r="X380" i="31"/>
  <c r="W380" i="31"/>
  <c r="V380" i="31"/>
  <c r="S380" i="31"/>
  <c r="R380" i="31"/>
  <c r="Q380" i="31"/>
  <c r="P380" i="31"/>
  <c r="O380" i="31"/>
  <c r="N380" i="31"/>
  <c r="M380" i="31"/>
  <c r="L380" i="31"/>
  <c r="AA380" i="31" s="1"/>
  <c r="K380" i="31"/>
  <c r="J380" i="31"/>
  <c r="I380" i="31"/>
  <c r="Y379" i="31"/>
  <c r="X379" i="31"/>
  <c r="W379" i="31"/>
  <c r="V379" i="31"/>
  <c r="S379" i="31"/>
  <c r="R379" i="31"/>
  <c r="Q379" i="31"/>
  <c r="P379" i="31"/>
  <c r="O379" i="31"/>
  <c r="N379" i="31"/>
  <c r="M379" i="31"/>
  <c r="K379" i="31"/>
  <c r="J379" i="31"/>
  <c r="L379" i="31" s="1"/>
  <c r="I379" i="31"/>
  <c r="Y378" i="31"/>
  <c r="X378" i="31"/>
  <c r="W378" i="31"/>
  <c r="V378" i="31"/>
  <c r="S378" i="31"/>
  <c r="R378" i="31"/>
  <c r="Q378" i="31"/>
  <c r="P378" i="31"/>
  <c r="O378" i="31"/>
  <c r="N378" i="31"/>
  <c r="M378" i="31"/>
  <c r="J378" i="31"/>
  <c r="L378" i="31" s="1"/>
  <c r="I378" i="31"/>
  <c r="K378" i="31" s="1"/>
  <c r="Y377" i="31"/>
  <c r="X377" i="31"/>
  <c r="U377" i="31" s="1"/>
  <c r="W377" i="31"/>
  <c r="V377" i="31"/>
  <c r="S377" i="31"/>
  <c r="R377" i="31"/>
  <c r="Q377" i="31"/>
  <c r="P377" i="31"/>
  <c r="O377" i="31"/>
  <c r="N377" i="31"/>
  <c r="M377" i="31"/>
  <c r="L377" i="31"/>
  <c r="J377" i="31"/>
  <c r="I377" i="31"/>
  <c r="K377" i="31" s="1"/>
  <c r="Y376" i="31"/>
  <c r="X376" i="31"/>
  <c r="W376" i="31"/>
  <c r="V376" i="31"/>
  <c r="S376" i="31"/>
  <c r="R376" i="31"/>
  <c r="Q376" i="31"/>
  <c r="P376" i="31"/>
  <c r="O376" i="31"/>
  <c r="N376" i="31"/>
  <c r="M376" i="31"/>
  <c r="L376" i="31"/>
  <c r="AA376" i="31" s="1"/>
  <c r="K376" i="31"/>
  <c r="J376" i="31"/>
  <c r="I376" i="31"/>
  <c r="Y375" i="31"/>
  <c r="X375" i="31"/>
  <c r="W375" i="31"/>
  <c r="V375" i="31"/>
  <c r="S375" i="31"/>
  <c r="R375" i="31"/>
  <c r="Q375" i="31"/>
  <c r="P375" i="31"/>
  <c r="O375" i="31"/>
  <c r="N375" i="31"/>
  <c r="M375" i="31"/>
  <c r="J375" i="31"/>
  <c r="I375" i="31"/>
  <c r="K375" i="31" s="1"/>
  <c r="Y374" i="31"/>
  <c r="X374" i="31"/>
  <c r="W374" i="31"/>
  <c r="V374" i="31"/>
  <c r="S374" i="31"/>
  <c r="R374" i="31"/>
  <c r="Q374" i="31"/>
  <c r="P374" i="31"/>
  <c r="O374" i="31"/>
  <c r="N374" i="31"/>
  <c r="M374" i="31"/>
  <c r="L374" i="31"/>
  <c r="J374" i="31"/>
  <c r="I374" i="31"/>
  <c r="K374" i="31" s="1"/>
  <c r="Y373" i="31"/>
  <c r="X373" i="31"/>
  <c r="W373" i="31"/>
  <c r="V373" i="31"/>
  <c r="S373" i="31"/>
  <c r="R373" i="31"/>
  <c r="Q373" i="31"/>
  <c r="P373" i="31"/>
  <c r="O373" i="31"/>
  <c r="N373" i="31"/>
  <c r="M373" i="31"/>
  <c r="L373" i="31"/>
  <c r="AA373" i="31" s="1"/>
  <c r="K373" i="31"/>
  <c r="J373" i="31"/>
  <c r="I373" i="31"/>
  <c r="Y372" i="31"/>
  <c r="X372" i="31"/>
  <c r="W372" i="31"/>
  <c r="AA372" i="31" s="1"/>
  <c r="V372" i="31"/>
  <c r="S372" i="31"/>
  <c r="R372" i="31"/>
  <c r="Q372" i="31"/>
  <c r="P372" i="31"/>
  <c r="O372" i="31"/>
  <c r="N372" i="31"/>
  <c r="M372" i="31"/>
  <c r="J372" i="31"/>
  <c r="I372" i="31"/>
  <c r="K372" i="31" s="1"/>
  <c r="Y371" i="31"/>
  <c r="X371" i="31"/>
  <c r="W371" i="31"/>
  <c r="V371" i="31"/>
  <c r="S371" i="31"/>
  <c r="R371" i="31"/>
  <c r="Q371" i="31"/>
  <c r="P371" i="31"/>
  <c r="O371" i="31"/>
  <c r="N371" i="31"/>
  <c r="M371" i="31"/>
  <c r="L371" i="31"/>
  <c r="T371" i="31" s="1"/>
  <c r="J371" i="31"/>
  <c r="I371" i="31"/>
  <c r="K371" i="31" s="1"/>
  <c r="Y370" i="31"/>
  <c r="X370" i="31"/>
  <c r="W370" i="31"/>
  <c r="V370" i="31"/>
  <c r="S370" i="31"/>
  <c r="R370" i="31"/>
  <c r="Q370" i="31"/>
  <c r="P370" i="31"/>
  <c r="O370" i="31"/>
  <c r="N370" i="31"/>
  <c r="M370" i="31"/>
  <c r="L370" i="31"/>
  <c r="K370" i="31"/>
  <c r="J370" i="31"/>
  <c r="I370" i="31"/>
  <c r="Y369" i="31"/>
  <c r="X369" i="31"/>
  <c r="W369" i="31"/>
  <c r="V369" i="31"/>
  <c r="S369" i="31"/>
  <c r="R369" i="31"/>
  <c r="Q369" i="31"/>
  <c r="P369" i="31"/>
  <c r="O369" i="31"/>
  <c r="N369" i="31"/>
  <c r="M369" i="31"/>
  <c r="J369" i="31"/>
  <c r="I369" i="31"/>
  <c r="K369" i="31" s="1"/>
  <c r="Y368" i="31"/>
  <c r="X368" i="31"/>
  <c r="W368" i="31"/>
  <c r="V368" i="31"/>
  <c r="S368" i="31"/>
  <c r="R368" i="31"/>
  <c r="Q368" i="31"/>
  <c r="P368" i="31"/>
  <c r="O368" i="31"/>
  <c r="N368" i="31"/>
  <c r="M368" i="31"/>
  <c r="K368" i="31"/>
  <c r="U368" i="31" s="1"/>
  <c r="J368" i="31"/>
  <c r="I368" i="31"/>
  <c r="Y367" i="31"/>
  <c r="X367" i="31"/>
  <c r="W367" i="31"/>
  <c r="AA367" i="31" s="1"/>
  <c r="V367" i="31"/>
  <c r="Z367" i="31" s="1"/>
  <c r="S367" i="31"/>
  <c r="R367" i="31"/>
  <c r="Q367" i="31"/>
  <c r="P367" i="31"/>
  <c r="O367" i="31"/>
  <c r="N367" i="31"/>
  <c r="M367" i="31"/>
  <c r="K367" i="31"/>
  <c r="J367" i="31"/>
  <c r="L367" i="31" s="1"/>
  <c r="I367" i="31"/>
  <c r="Y366" i="31"/>
  <c r="X366" i="31"/>
  <c r="W366" i="31"/>
  <c r="V366" i="31"/>
  <c r="S366" i="31"/>
  <c r="R366" i="31"/>
  <c r="Q366" i="31"/>
  <c r="P366" i="31"/>
  <c r="O366" i="31"/>
  <c r="N366" i="31"/>
  <c r="M366" i="31"/>
  <c r="J366" i="31"/>
  <c r="L366" i="31" s="1"/>
  <c r="U366" i="31" s="1"/>
  <c r="I366" i="31"/>
  <c r="K366" i="31" s="1"/>
  <c r="Y365" i="31"/>
  <c r="X365" i="31"/>
  <c r="U365" i="31" s="1"/>
  <c r="W365" i="31"/>
  <c r="AA365" i="31" s="1"/>
  <c r="V365" i="31"/>
  <c r="S365" i="31"/>
  <c r="R365" i="31"/>
  <c r="Q365" i="31"/>
  <c r="P365" i="31"/>
  <c r="O365" i="31"/>
  <c r="N365" i="31"/>
  <c r="M365" i="31"/>
  <c r="K365" i="31"/>
  <c r="T365" i="31" s="1"/>
  <c r="J365" i="31"/>
  <c r="I365" i="31"/>
  <c r="Y364" i="31"/>
  <c r="X364" i="31"/>
  <c r="W364" i="31"/>
  <c r="V364" i="31"/>
  <c r="S364" i="31"/>
  <c r="R364" i="31"/>
  <c r="Q364" i="31"/>
  <c r="P364" i="31"/>
  <c r="O364" i="31"/>
  <c r="AA364" i="31" s="1"/>
  <c r="N364" i="31"/>
  <c r="M364" i="31"/>
  <c r="K364" i="31"/>
  <c r="J364" i="31"/>
  <c r="L364" i="31" s="1"/>
  <c r="I364" i="31"/>
  <c r="Y363" i="31"/>
  <c r="X363" i="31"/>
  <c r="W363" i="31"/>
  <c r="V363" i="31"/>
  <c r="S363" i="31"/>
  <c r="R363" i="31"/>
  <c r="Q363" i="31"/>
  <c r="U363" i="31" s="1"/>
  <c r="P363" i="31"/>
  <c r="O363" i="31"/>
  <c r="N363" i="31"/>
  <c r="M363" i="31"/>
  <c r="J363" i="31"/>
  <c r="I363" i="31"/>
  <c r="K363" i="31" s="1"/>
  <c r="Y362" i="31"/>
  <c r="X362" i="31"/>
  <c r="W362" i="31"/>
  <c r="V362" i="31"/>
  <c r="S362" i="31"/>
  <c r="R362" i="31"/>
  <c r="Q362" i="31"/>
  <c r="P362" i="31"/>
  <c r="O362" i="31"/>
  <c r="N362" i="31"/>
  <c r="M362" i="31"/>
  <c r="L362" i="31"/>
  <c r="K362" i="31"/>
  <c r="T362" i="31" s="1"/>
  <c r="J362" i="31"/>
  <c r="I362" i="31"/>
  <c r="Y361" i="31"/>
  <c r="X361" i="31"/>
  <c r="W361" i="31"/>
  <c r="V361" i="31"/>
  <c r="S361" i="31"/>
  <c r="R361" i="31"/>
  <c r="Q361" i="31"/>
  <c r="P361" i="31"/>
  <c r="O361" i="31"/>
  <c r="N361" i="31"/>
  <c r="M361" i="31"/>
  <c r="K361" i="31"/>
  <c r="J361" i="31"/>
  <c r="L361" i="31" s="1"/>
  <c r="I361" i="31"/>
  <c r="Y360" i="31"/>
  <c r="X360" i="31"/>
  <c r="W360" i="31"/>
  <c r="V360" i="31"/>
  <c r="U360" i="31"/>
  <c r="S360" i="31"/>
  <c r="R360" i="31"/>
  <c r="Q360" i="31"/>
  <c r="P360" i="31"/>
  <c r="O360" i="31"/>
  <c r="N360" i="31"/>
  <c r="M360" i="31"/>
  <c r="K360" i="31"/>
  <c r="Z360" i="31" s="1"/>
  <c r="I360" i="31"/>
  <c r="Y359" i="31"/>
  <c r="X359" i="31"/>
  <c r="W359" i="31"/>
  <c r="V359" i="31"/>
  <c r="S359" i="31"/>
  <c r="R359" i="31"/>
  <c r="Q359" i="31"/>
  <c r="P359" i="31"/>
  <c r="O359" i="31"/>
  <c r="N359" i="31"/>
  <c r="M359" i="31"/>
  <c r="K359" i="31"/>
  <c r="J359" i="31"/>
  <c r="L359" i="31" s="1"/>
  <c r="I359" i="31"/>
  <c r="Y358" i="31"/>
  <c r="X358" i="31"/>
  <c r="W358" i="31"/>
  <c r="V358" i="31"/>
  <c r="S358" i="31"/>
  <c r="R358" i="31"/>
  <c r="Q358" i="31"/>
  <c r="P358" i="31"/>
  <c r="O358" i="31"/>
  <c r="N358" i="31"/>
  <c r="M358" i="31"/>
  <c r="J358" i="31"/>
  <c r="L358" i="31" s="1"/>
  <c r="I358" i="31"/>
  <c r="K358" i="31" s="1"/>
  <c r="Y357" i="31"/>
  <c r="X357" i="31"/>
  <c r="W357" i="31"/>
  <c r="V357" i="31"/>
  <c r="S357" i="31"/>
  <c r="R357" i="31"/>
  <c r="Q357" i="31"/>
  <c r="P357" i="31"/>
  <c r="O357" i="31"/>
  <c r="N357" i="31"/>
  <c r="M357" i="31"/>
  <c r="K357" i="31"/>
  <c r="J357" i="31"/>
  <c r="I357" i="31"/>
  <c r="Y356" i="31"/>
  <c r="X356" i="31"/>
  <c r="W356" i="31"/>
  <c r="V356" i="31"/>
  <c r="S356" i="31"/>
  <c r="R356" i="31"/>
  <c r="Q356" i="31"/>
  <c r="P356" i="31"/>
  <c r="O356" i="31"/>
  <c r="N356" i="31"/>
  <c r="M356" i="31"/>
  <c r="J356" i="31"/>
  <c r="L356" i="31" s="1"/>
  <c r="I356" i="31"/>
  <c r="K356" i="31" s="1"/>
  <c r="Y355" i="31"/>
  <c r="X355" i="31"/>
  <c r="W355" i="31"/>
  <c r="V355" i="31"/>
  <c r="S355" i="31"/>
  <c r="R355" i="31"/>
  <c r="Q355" i="31"/>
  <c r="P355" i="31"/>
  <c r="O355" i="31"/>
  <c r="N355" i="31"/>
  <c r="M355" i="31"/>
  <c r="L355" i="31"/>
  <c r="Z355" i="31" s="1"/>
  <c r="J355" i="31"/>
  <c r="I355" i="31"/>
  <c r="K355" i="31" s="1"/>
  <c r="Y354" i="31"/>
  <c r="X354" i="31"/>
  <c r="W354" i="31"/>
  <c r="AA354" i="31" s="1"/>
  <c r="V354" i="31"/>
  <c r="S354" i="31"/>
  <c r="R354" i="31"/>
  <c r="Q354" i="31"/>
  <c r="P354" i="31"/>
  <c r="O354" i="31"/>
  <c r="N354" i="31"/>
  <c r="M354" i="31"/>
  <c r="L354" i="31"/>
  <c r="K354" i="31"/>
  <c r="J354" i="31"/>
  <c r="I354" i="31"/>
  <c r="Y353" i="31"/>
  <c r="X353" i="31"/>
  <c r="W353" i="31"/>
  <c r="V353" i="31"/>
  <c r="S353" i="31"/>
  <c r="R353" i="31"/>
  <c r="Q353" i="31"/>
  <c r="P353" i="31"/>
  <c r="O353" i="31"/>
  <c r="AA353" i="31" s="1"/>
  <c r="N353" i="31"/>
  <c r="M353" i="31"/>
  <c r="K353" i="31"/>
  <c r="J353" i="31"/>
  <c r="L353" i="31" s="1"/>
  <c r="I353" i="31"/>
  <c r="Y352" i="31"/>
  <c r="X352" i="31"/>
  <c r="W352" i="31"/>
  <c r="V352" i="31"/>
  <c r="S352" i="31"/>
  <c r="R352" i="31"/>
  <c r="Q352" i="31"/>
  <c r="Z352" i="31" s="1"/>
  <c r="P352" i="31"/>
  <c r="O352" i="31"/>
  <c r="N352" i="31"/>
  <c r="M352" i="31"/>
  <c r="K352" i="31"/>
  <c r="J352" i="31"/>
  <c r="L352" i="31" s="1"/>
  <c r="I352" i="31"/>
  <c r="Y351" i="31"/>
  <c r="X351" i="31"/>
  <c r="W351" i="31"/>
  <c r="V351" i="31"/>
  <c r="S351" i="31"/>
  <c r="R351" i="31"/>
  <c r="Q351" i="31"/>
  <c r="P351" i="31"/>
  <c r="Z351" i="31" s="1"/>
  <c r="O351" i="31"/>
  <c r="N351" i="31"/>
  <c r="M351" i="31"/>
  <c r="L351" i="31"/>
  <c r="J351" i="31"/>
  <c r="I351" i="31"/>
  <c r="K351" i="31" s="1"/>
  <c r="Y350" i="31"/>
  <c r="X350" i="31"/>
  <c r="W350" i="31"/>
  <c r="V350" i="31"/>
  <c r="S350" i="31"/>
  <c r="R350" i="31"/>
  <c r="Q350" i="31"/>
  <c r="P350" i="31"/>
  <c r="O350" i="31"/>
  <c r="N350" i="31"/>
  <c r="M350" i="31"/>
  <c r="L350" i="31"/>
  <c r="J350" i="31"/>
  <c r="I350" i="31"/>
  <c r="K350" i="31" s="1"/>
  <c r="Y349" i="31"/>
  <c r="X349" i="31"/>
  <c r="U349" i="31" s="1"/>
  <c r="W349" i="31"/>
  <c r="V349" i="31"/>
  <c r="S349" i="31"/>
  <c r="R349" i="31"/>
  <c r="Q349" i="31"/>
  <c r="P349" i="31"/>
  <c r="O349" i="31"/>
  <c r="N349" i="31"/>
  <c r="M349" i="31"/>
  <c r="K349" i="31"/>
  <c r="J349" i="31"/>
  <c r="L349" i="31" s="1"/>
  <c r="I349" i="31"/>
  <c r="Z348" i="31"/>
  <c r="Y348" i="31"/>
  <c r="X348" i="31"/>
  <c r="W348" i="31"/>
  <c r="V348" i="31"/>
  <c r="S348" i="31"/>
  <c r="R348" i="31"/>
  <c r="Q348" i="31"/>
  <c r="P348" i="31"/>
  <c r="O348" i="31"/>
  <c r="AA348" i="31" s="1"/>
  <c r="N348" i="31"/>
  <c r="M348" i="31"/>
  <c r="J348" i="31"/>
  <c r="I348" i="31"/>
  <c r="K348" i="31" s="1"/>
  <c r="Y347" i="31"/>
  <c r="X347" i="31"/>
  <c r="W347" i="31"/>
  <c r="V347" i="31"/>
  <c r="S347" i="31"/>
  <c r="R347" i="31"/>
  <c r="Q347" i="31"/>
  <c r="P347" i="31"/>
  <c r="O347" i="31"/>
  <c r="N347" i="31"/>
  <c r="M347" i="31"/>
  <c r="K347" i="31"/>
  <c r="J347" i="31"/>
  <c r="I347" i="31"/>
  <c r="Y346" i="31"/>
  <c r="X346" i="31"/>
  <c r="W346" i="31"/>
  <c r="V346" i="31"/>
  <c r="S346" i="31"/>
  <c r="R346" i="31"/>
  <c r="Q346" i="31"/>
  <c r="P346" i="31"/>
  <c r="AA346" i="31" s="1"/>
  <c r="O346" i="31"/>
  <c r="N346" i="31"/>
  <c r="M346" i="31"/>
  <c r="J346" i="31"/>
  <c r="L346" i="31" s="1"/>
  <c r="I346" i="31"/>
  <c r="K346" i="31" s="1"/>
  <c r="Y345" i="31"/>
  <c r="X345" i="31"/>
  <c r="W345" i="31"/>
  <c r="V345" i="31"/>
  <c r="S345" i="31"/>
  <c r="R345" i="31"/>
  <c r="Q345" i="31"/>
  <c r="P345" i="31"/>
  <c r="O345" i="31"/>
  <c r="N345" i="31"/>
  <c r="M345" i="31"/>
  <c r="L345" i="31"/>
  <c r="T345" i="31" s="1"/>
  <c r="J345" i="31"/>
  <c r="I345" i="31"/>
  <c r="K345" i="31" s="1"/>
  <c r="Y344" i="31"/>
  <c r="X344" i="31"/>
  <c r="W344" i="31"/>
  <c r="AA344" i="31" s="1"/>
  <c r="V344" i="31"/>
  <c r="S344" i="31"/>
  <c r="R344" i="31"/>
  <c r="Q344" i="31"/>
  <c r="P344" i="31"/>
  <c r="O344" i="31"/>
  <c r="N344" i="31"/>
  <c r="M344" i="31"/>
  <c r="K344" i="31"/>
  <c r="T344" i="31" s="1"/>
  <c r="I344" i="31"/>
  <c r="Y343" i="31"/>
  <c r="X343" i="31"/>
  <c r="W343" i="31"/>
  <c r="V343" i="31"/>
  <c r="S343" i="31"/>
  <c r="R343" i="31"/>
  <c r="Q343" i="31"/>
  <c r="P343" i="31"/>
  <c r="O343" i="31"/>
  <c r="N343" i="31"/>
  <c r="M343" i="31"/>
  <c r="L343" i="31"/>
  <c r="J343" i="31"/>
  <c r="I343" i="31"/>
  <c r="K343" i="31" s="1"/>
  <c r="Y342" i="31"/>
  <c r="X342" i="31"/>
  <c r="U342" i="31" s="1"/>
  <c r="W342" i="31"/>
  <c r="V342" i="31"/>
  <c r="S342" i="31"/>
  <c r="R342" i="31"/>
  <c r="Q342" i="31"/>
  <c r="P342" i="31"/>
  <c r="O342" i="31"/>
  <c r="N342" i="31"/>
  <c r="M342" i="31"/>
  <c r="K342" i="31"/>
  <c r="J342" i="31"/>
  <c r="I342" i="31"/>
  <c r="Y341" i="31"/>
  <c r="X341" i="31"/>
  <c r="W341" i="31"/>
  <c r="V341" i="31"/>
  <c r="S341" i="31"/>
  <c r="R341" i="31"/>
  <c r="Q341" i="31"/>
  <c r="P341" i="31"/>
  <c r="O341" i="31"/>
  <c r="N341" i="31"/>
  <c r="M341" i="31"/>
  <c r="K341" i="31"/>
  <c r="J341" i="31"/>
  <c r="L341" i="31" s="1"/>
  <c r="I341" i="31"/>
  <c r="Y340" i="31"/>
  <c r="X340" i="31"/>
  <c r="W340" i="31"/>
  <c r="V340" i="31"/>
  <c r="U340" i="31"/>
  <c r="S340" i="31"/>
  <c r="R340" i="31"/>
  <c r="Q340" i="31"/>
  <c r="P340" i="31"/>
  <c r="O340" i="31"/>
  <c r="N340" i="31"/>
  <c r="M340" i="31"/>
  <c r="L340" i="31"/>
  <c r="T340" i="31" s="1"/>
  <c r="J340" i="31"/>
  <c r="I340" i="31"/>
  <c r="K340" i="31" s="1"/>
  <c r="Z340" i="31" s="1"/>
  <c r="Y339" i="31"/>
  <c r="X339" i="31"/>
  <c r="W339" i="31"/>
  <c r="V339" i="31"/>
  <c r="S339" i="31"/>
  <c r="R339" i="31"/>
  <c r="Q339" i="31"/>
  <c r="P339" i="31"/>
  <c r="O339" i="31"/>
  <c r="N339" i="31"/>
  <c r="M339" i="31"/>
  <c r="J339" i="31"/>
  <c r="L339" i="31" s="1"/>
  <c r="I339" i="31"/>
  <c r="K339" i="31" s="1"/>
  <c r="Y338" i="31"/>
  <c r="X338" i="31"/>
  <c r="W338" i="31"/>
  <c r="V338" i="31"/>
  <c r="S338" i="31"/>
  <c r="R338" i="31"/>
  <c r="Q338" i="31"/>
  <c r="P338" i="31"/>
  <c r="O338" i="31"/>
  <c r="N338" i="31"/>
  <c r="M338" i="31"/>
  <c r="K338" i="31"/>
  <c r="J338" i="31"/>
  <c r="L338" i="31" s="1"/>
  <c r="I338" i="31"/>
  <c r="Y337" i="31"/>
  <c r="X337" i="31"/>
  <c r="W337" i="31"/>
  <c r="V337" i="31"/>
  <c r="S337" i="31"/>
  <c r="R337" i="31"/>
  <c r="Q337" i="31"/>
  <c r="P337" i="31"/>
  <c r="O337" i="31"/>
  <c r="N337" i="31"/>
  <c r="M337" i="31"/>
  <c r="L337" i="31"/>
  <c r="K337" i="31"/>
  <c r="Z337" i="31" s="1"/>
  <c r="J337" i="31"/>
  <c r="I337" i="31"/>
  <c r="Y336" i="31"/>
  <c r="X336" i="31"/>
  <c r="W336" i="31"/>
  <c r="AA336" i="31" s="1"/>
  <c r="V336" i="31"/>
  <c r="S336" i="31"/>
  <c r="R336" i="31"/>
  <c r="Q336" i="31"/>
  <c r="P336" i="31"/>
  <c r="O336" i="31"/>
  <c r="N336" i="31"/>
  <c r="Z336" i="31" s="1"/>
  <c r="M336" i="31"/>
  <c r="L336" i="31"/>
  <c r="T336" i="31" s="1"/>
  <c r="J336" i="31"/>
  <c r="I336" i="31"/>
  <c r="K336" i="31" s="1"/>
  <c r="Y335" i="31"/>
  <c r="X335" i="31"/>
  <c r="W335" i="31"/>
  <c r="V335" i="31"/>
  <c r="S335" i="31"/>
  <c r="R335" i="31"/>
  <c r="Q335" i="31"/>
  <c r="U335" i="31" s="1"/>
  <c r="P335" i="31"/>
  <c r="O335" i="31"/>
  <c r="N335" i="31"/>
  <c r="M335" i="31"/>
  <c r="J335" i="31"/>
  <c r="I335" i="31"/>
  <c r="K335" i="31" s="1"/>
  <c r="Y334" i="31"/>
  <c r="X334" i="31"/>
  <c r="W334" i="31"/>
  <c r="V334" i="31"/>
  <c r="S334" i="31"/>
  <c r="R334" i="31"/>
  <c r="Q334" i="31"/>
  <c r="P334" i="31"/>
  <c r="O334" i="31"/>
  <c r="N334" i="31"/>
  <c r="M334" i="31"/>
  <c r="K334" i="31"/>
  <c r="J334" i="31"/>
  <c r="I334" i="31"/>
  <c r="Y333" i="31"/>
  <c r="X333" i="31"/>
  <c r="W333" i="31"/>
  <c r="V333" i="31"/>
  <c r="S333" i="31"/>
  <c r="R333" i="31"/>
  <c r="Q333" i="31"/>
  <c r="P333" i="31"/>
  <c r="O333" i="31"/>
  <c r="N333" i="31"/>
  <c r="M333" i="31"/>
  <c r="K333" i="31"/>
  <c r="U333" i="31" s="1"/>
  <c r="J333" i="31"/>
  <c r="L333" i="31" s="1"/>
  <c r="I333" i="31"/>
  <c r="Y332" i="31"/>
  <c r="X332" i="31"/>
  <c r="U332" i="31" s="1"/>
  <c r="W332" i="31"/>
  <c r="V332" i="31"/>
  <c r="S332" i="31"/>
  <c r="R332" i="31"/>
  <c r="Q332" i="31"/>
  <c r="P332" i="31"/>
  <c r="O332" i="31"/>
  <c r="N332" i="31"/>
  <c r="M332" i="31"/>
  <c r="K332" i="31"/>
  <c r="I332" i="31"/>
  <c r="Y331" i="31"/>
  <c r="X331" i="31"/>
  <c r="W331" i="31"/>
  <c r="V331" i="31"/>
  <c r="S331" i="31"/>
  <c r="R331" i="31"/>
  <c r="Q331" i="31"/>
  <c r="P331" i="31"/>
  <c r="O331" i="31"/>
  <c r="N331" i="31"/>
  <c r="M331" i="31"/>
  <c r="J331" i="31"/>
  <c r="L331" i="31" s="1"/>
  <c r="I331" i="31"/>
  <c r="K331" i="31" s="1"/>
  <c r="Y330" i="31"/>
  <c r="X330" i="31"/>
  <c r="W330" i="31"/>
  <c r="V330" i="31"/>
  <c r="S330" i="31"/>
  <c r="R330" i="31"/>
  <c r="Q330" i="31"/>
  <c r="P330" i="31"/>
  <c r="O330" i="31"/>
  <c r="N330" i="31"/>
  <c r="M330" i="31"/>
  <c r="J330" i="31"/>
  <c r="L330" i="31" s="1"/>
  <c r="U330" i="31" s="1"/>
  <c r="I330" i="31"/>
  <c r="K330" i="31" s="1"/>
  <c r="Y329" i="31"/>
  <c r="X329" i="31"/>
  <c r="W329" i="31"/>
  <c r="V329" i="31"/>
  <c r="S329" i="31"/>
  <c r="R329" i="31"/>
  <c r="Q329" i="31"/>
  <c r="P329" i="31"/>
  <c r="O329" i="31"/>
  <c r="N329" i="31"/>
  <c r="M329" i="31"/>
  <c r="L329" i="31"/>
  <c r="K329" i="31"/>
  <c r="J329" i="31"/>
  <c r="I329" i="31"/>
  <c r="Y328" i="31"/>
  <c r="X328" i="31"/>
  <c r="W328" i="31"/>
  <c r="V328" i="31"/>
  <c r="S328" i="31"/>
  <c r="R328" i="31"/>
  <c r="Q328" i="31"/>
  <c r="P328" i="31"/>
  <c r="O328" i="31"/>
  <c r="N328" i="31"/>
  <c r="M328" i="31"/>
  <c r="K328" i="31"/>
  <c r="AA328" i="31" s="1"/>
  <c r="J328" i="31"/>
  <c r="L328" i="31" s="1"/>
  <c r="I328" i="31"/>
  <c r="Y327" i="31"/>
  <c r="X327" i="31"/>
  <c r="W327" i="31"/>
  <c r="V327" i="31"/>
  <c r="S327" i="31"/>
  <c r="R327" i="31"/>
  <c r="Q327" i="31"/>
  <c r="P327" i="31"/>
  <c r="O327" i="31"/>
  <c r="N327" i="31"/>
  <c r="M327" i="31"/>
  <c r="J327" i="31"/>
  <c r="L327" i="31" s="1"/>
  <c r="I327" i="31"/>
  <c r="K327" i="31" s="1"/>
  <c r="Y326" i="31"/>
  <c r="X326" i="31"/>
  <c r="W326" i="31"/>
  <c r="V326" i="31"/>
  <c r="S326" i="31"/>
  <c r="R326" i="31"/>
  <c r="Q326" i="31"/>
  <c r="P326" i="31"/>
  <c r="O326" i="31"/>
  <c r="N326" i="31"/>
  <c r="M326" i="31"/>
  <c r="L326" i="31"/>
  <c r="J326" i="31"/>
  <c r="I326" i="31"/>
  <c r="K326" i="31" s="1"/>
  <c r="Y325" i="31"/>
  <c r="X325" i="31"/>
  <c r="W325" i="31"/>
  <c r="AA325" i="31" s="1"/>
  <c r="V325" i="31"/>
  <c r="Z325" i="31" s="1"/>
  <c r="S325" i="31"/>
  <c r="R325" i="31"/>
  <c r="Q325" i="31"/>
  <c r="P325" i="31"/>
  <c r="O325" i="31"/>
  <c r="N325" i="31"/>
  <c r="M325" i="31"/>
  <c r="L325" i="31"/>
  <c r="K325" i="31"/>
  <c r="T325" i="31" s="1"/>
  <c r="J325" i="31"/>
  <c r="I325" i="31"/>
  <c r="Y324" i="31"/>
  <c r="X324" i="31"/>
  <c r="W324" i="31"/>
  <c r="V324" i="31"/>
  <c r="S324" i="31"/>
  <c r="R324" i="31"/>
  <c r="Q324" i="31"/>
  <c r="P324" i="31"/>
  <c r="O324" i="31"/>
  <c r="N324" i="31"/>
  <c r="M324" i="31"/>
  <c r="L324" i="31"/>
  <c r="Z324" i="31" s="1"/>
  <c r="K324" i="31"/>
  <c r="J324" i="31"/>
  <c r="I324" i="31"/>
  <c r="Y323" i="31"/>
  <c r="X323" i="31"/>
  <c r="W323" i="31"/>
  <c r="V323" i="31"/>
  <c r="T323" i="31" s="1"/>
  <c r="S323" i="31"/>
  <c r="R323" i="31"/>
  <c r="Q323" i="31"/>
  <c r="P323" i="31"/>
  <c r="O323" i="31"/>
  <c r="N323" i="31"/>
  <c r="M323" i="31"/>
  <c r="J323" i="31"/>
  <c r="I323" i="31"/>
  <c r="K323" i="31" s="1"/>
  <c r="Y322" i="31"/>
  <c r="X322" i="31"/>
  <c r="U322" i="31" s="1"/>
  <c r="W322" i="31"/>
  <c r="V322" i="31"/>
  <c r="S322" i="31"/>
  <c r="R322" i="31"/>
  <c r="Q322" i="31"/>
  <c r="P322" i="31"/>
  <c r="O322" i="31"/>
  <c r="N322" i="31"/>
  <c r="M322" i="31"/>
  <c r="L322" i="31"/>
  <c r="T322" i="31" s="1"/>
  <c r="K322" i="31"/>
  <c r="J322" i="31"/>
  <c r="I322" i="31"/>
  <c r="Y321" i="31"/>
  <c r="X321" i="31"/>
  <c r="U321" i="31" s="1"/>
  <c r="W321" i="31"/>
  <c r="V321" i="31"/>
  <c r="S321" i="31"/>
  <c r="R321" i="31"/>
  <c r="Q321" i="31"/>
  <c r="P321" i="31"/>
  <c r="O321" i="31"/>
  <c r="N321" i="31"/>
  <c r="M321" i="31"/>
  <c r="K321" i="31"/>
  <c r="J321" i="31"/>
  <c r="I321" i="31"/>
  <c r="Y320" i="31"/>
  <c r="X320" i="31"/>
  <c r="U320" i="31" s="1"/>
  <c r="W320" i="31"/>
  <c r="V320" i="31"/>
  <c r="S320" i="31"/>
  <c r="R320" i="31"/>
  <c r="Q320" i="31"/>
  <c r="P320" i="31"/>
  <c r="O320" i="31"/>
  <c r="N320" i="31"/>
  <c r="M320" i="31"/>
  <c r="L320" i="31"/>
  <c r="J320" i="31"/>
  <c r="I320" i="31"/>
  <c r="K320" i="31" s="1"/>
  <c r="Y319" i="31"/>
  <c r="X319" i="31"/>
  <c r="W319" i="31"/>
  <c r="V319" i="31"/>
  <c r="S319" i="31"/>
  <c r="R319" i="31"/>
  <c r="Q319" i="31"/>
  <c r="P319" i="31"/>
  <c r="O319" i="31"/>
  <c r="N319" i="31"/>
  <c r="M319" i="31"/>
  <c r="L319" i="31"/>
  <c r="T319" i="31" s="1"/>
  <c r="K319" i="31"/>
  <c r="J319" i="31"/>
  <c r="I319" i="31"/>
  <c r="Y318" i="31"/>
  <c r="X318" i="31"/>
  <c r="U318" i="31" s="1"/>
  <c r="W318" i="31"/>
  <c r="V318" i="31"/>
  <c r="S318" i="31"/>
  <c r="R318" i="31"/>
  <c r="Q318" i="31"/>
  <c r="P318" i="31"/>
  <c r="O318" i="31"/>
  <c r="N318" i="31"/>
  <c r="M318" i="31"/>
  <c r="L318" i="31"/>
  <c r="K318" i="31"/>
  <c r="J318" i="31"/>
  <c r="I318" i="31"/>
  <c r="Y317" i="31"/>
  <c r="X317" i="31"/>
  <c r="W317" i="31"/>
  <c r="V317" i="31"/>
  <c r="S317" i="31"/>
  <c r="R317" i="31"/>
  <c r="Q317" i="31"/>
  <c r="P317" i="31"/>
  <c r="O317" i="31"/>
  <c r="N317" i="31"/>
  <c r="M317" i="31"/>
  <c r="J317" i="31"/>
  <c r="L317" i="31" s="1"/>
  <c r="Z317" i="31" s="1"/>
  <c r="I317" i="31"/>
  <c r="K317" i="31" s="1"/>
  <c r="Y316" i="31"/>
  <c r="X316" i="31"/>
  <c r="W316" i="31"/>
  <c r="V316" i="31"/>
  <c r="S316" i="31"/>
  <c r="R316" i="31"/>
  <c r="Q316" i="31"/>
  <c r="P316" i="31"/>
  <c r="O316" i="31"/>
  <c r="N316" i="31"/>
  <c r="M316" i="31"/>
  <c r="L316" i="31"/>
  <c r="T316" i="31" s="1"/>
  <c r="J316" i="31"/>
  <c r="I316" i="31"/>
  <c r="K316" i="31" s="1"/>
  <c r="Z316" i="31" s="1"/>
  <c r="Y315" i="31"/>
  <c r="X315" i="31"/>
  <c r="W315" i="31"/>
  <c r="V315" i="31"/>
  <c r="S315" i="31"/>
  <c r="R315" i="31"/>
  <c r="Q315" i="31"/>
  <c r="P315" i="31"/>
  <c r="U315" i="31" s="1"/>
  <c r="O315" i="31"/>
  <c r="N315" i="31"/>
  <c r="M315" i="31"/>
  <c r="L315" i="31"/>
  <c r="K315" i="31"/>
  <c r="J315" i="31"/>
  <c r="I315" i="31"/>
  <c r="AA314" i="31"/>
  <c r="Y314" i="31"/>
  <c r="X314" i="31"/>
  <c r="W314" i="31"/>
  <c r="V314" i="31"/>
  <c r="S314" i="31"/>
  <c r="R314" i="31"/>
  <c r="Q314" i="31"/>
  <c r="P314" i="31"/>
  <c r="O314" i="31"/>
  <c r="N314" i="31"/>
  <c r="M314" i="31"/>
  <c r="K314" i="31"/>
  <c r="J314" i="31"/>
  <c r="L314" i="31" s="1"/>
  <c r="I314" i="31"/>
  <c r="Y313" i="31"/>
  <c r="X313" i="31"/>
  <c r="W313" i="31"/>
  <c r="V313" i="31"/>
  <c r="S313" i="31"/>
  <c r="R313" i="31"/>
  <c r="Q313" i="31"/>
  <c r="P313" i="31"/>
  <c r="O313" i="31"/>
  <c r="N313" i="31"/>
  <c r="M313" i="31"/>
  <c r="J313" i="31"/>
  <c r="I313" i="31"/>
  <c r="K313" i="31" s="1"/>
  <c r="Y312" i="31"/>
  <c r="X312" i="31"/>
  <c r="W312" i="31"/>
  <c r="AA312" i="31" s="1"/>
  <c r="V312" i="31"/>
  <c r="S312" i="31"/>
  <c r="R312" i="31"/>
  <c r="Q312" i="31"/>
  <c r="P312" i="31"/>
  <c r="U312" i="31" s="1"/>
  <c r="O312" i="31"/>
  <c r="N312" i="31"/>
  <c r="M312" i="31"/>
  <c r="L312" i="31"/>
  <c r="K312" i="31"/>
  <c r="J312" i="31"/>
  <c r="I312" i="31"/>
  <c r="Y311" i="31"/>
  <c r="X311" i="31"/>
  <c r="W311" i="31"/>
  <c r="V311" i="31"/>
  <c r="S311" i="31"/>
  <c r="R311" i="31"/>
  <c r="AA311" i="31" s="1"/>
  <c r="Q311" i="31"/>
  <c r="P311" i="31"/>
  <c r="O311" i="31"/>
  <c r="N311" i="31"/>
  <c r="M311" i="31"/>
  <c r="K311" i="31"/>
  <c r="J311" i="31"/>
  <c r="L311" i="31" s="1"/>
  <c r="I311" i="31"/>
  <c r="Y310" i="31"/>
  <c r="X310" i="31"/>
  <c r="W310" i="31"/>
  <c r="V310" i="31"/>
  <c r="S310" i="31"/>
  <c r="R310" i="31"/>
  <c r="Q310" i="31"/>
  <c r="P310" i="31"/>
  <c r="O310" i="31"/>
  <c r="N310" i="31"/>
  <c r="M310" i="31"/>
  <c r="J310" i="31"/>
  <c r="L310" i="31" s="1"/>
  <c r="I310" i="31"/>
  <c r="K310" i="31" s="1"/>
  <c r="Y309" i="31"/>
  <c r="X309" i="31"/>
  <c r="W309" i="31"/>
  <c r="V309" i="31"/>
  <c r="S309" i="31"/>
  <c r="R309" i="31"/>
  <c r="Q309" i="31"/>
  <c r="P309" i="31"/>
  <c r="O309" i="31"/>
  <c r="N309" i="31"/>
  <c r="M309" i="31"/>
  <c r="L309" i="31"/>
  <c r="J309" i="31"/>
  <c r="I309" i="31"/>
  <c r="K309" i="31" s="1"/>
  <c r="Y308" i="31"/>
  <c r="X308" i="31"/>
  <c r="W308" i="31"/>
  <c r="AA308" i="31" s="1"/>
  <c r="V308" i="31"/>
  <c r="S308" i="31"/>
  <c r="R308" i="31"/>
  <c r="Q308" i="31"/>
  <c r="P308" i="31"/>
  <c r="O308" i="31"/>
  <c r="N308" i="31"/>
  <c r="M308" i="31"/>
  <c r="K308" i="31"/>
  <c r="T308" i="31" s="1"/>
  <c r="I308" i="31"/>
  <c r="Y307" i="31"/>
  <c r="X307" i="31"/>
  <c r="W307" i="31"/>
  <c r="V307" i="31"/>
  <c r="S307" i="31"/>
  <c r="R307" i="31"/>
  <c r="Q307" i="31"/>
  <c r="P307" i="31"/>
  <c r="O307" i="31"/>
  <c r="N307" i="31"/>
  <c r="M307" i="31"/>
  <c r="L307" i="31"/>
  <c r="T307" i="31" s="1"/>
  <c r="J307" i="31"/>
  <c r="I307" i="31"/>
  <c r="K307" i="31" s="1"/>
  <c r="AA306" i="31"/>
  <c r="Y306" i="31"/>
  <c r="X306" i="31"/>
  <c r="W306" i="31"/>
  <c r="V306" i="31"/>
  <c r="U306" i="31"/>
  <c r="S306" i="31"/>
  <c r="R306" i="31"/>
  <c r="Q306" i="31"/>
  <c r="P306" i="31"/>
  <c r="O306" i="31"/>
  <c r="N306" i="31"/>
  <c r="M306" i="31"/>
  <c r="L306" i="31"/>
  <c r="K306" i="31"/>
  <c r="J306" i="31"/>
  <c r="I306" i="31"/>
  <c r="AA305" i="31"/>
  <c r="Y305" i="31"/>
  <c r="X305" i="31"/>
  <c r="W305" i="31"/>
  <c r="V305" i="31"/>
  <c r="S305" i="31"/>
  <c r="R305" i="31"/>
  <c r="Q305" i="31"/>
  <c r="P305" i="31"/>
  <c r="O305" i="31"/>
  <c r="N305" i="31"/>
  <c r="M305" i="31"/>
  <c r="K305" i="31"/>
  <c r="J305" i="31"/>
  <c r="L305" i="31" s="1"/>
  <c r="I305" i="31"/>
  <c r="AA304" i="31"/>
  <c r="Y304" i="31"/>
  <c r="X304" i="31"/>
  <c r="W304" i="31"/>
  <c r="V304" i="31"/>
  <c r="S304" i="31"/>
  <c r="R304" i="31"/>
  <c r="Q304" i="31"/>
  <c r="P304" i="31"/>
  <c r="O304" i="31"/>
  <c r="N304" i="31"/>
  <c r="M304" i="31"/>
  <c r="J304" i="31"/>
  <c r="L304" i="31" s="1"/>
  <c r="I304" i="31"/>
  <c r="K304" i="31" s="1"/>
  <c r="Y303" i="31"/>
  <c r="X303" i="31"/>
  <c r="W303" i="31"/>
  <c r="V303" i="31"/>
  <c r="S303" i="31"/>
  <c r="R303" i="31"/>
  <c r="Q303" i="31"/>
  <c r="P303" i="31"/>
  <c r="O303" i="31"/>
  <c r="N303" i="31"/>
  <c r="M303" i="31"/>
  <c r="L303" i="31"/>
  <c r="J303" i="31"/>
  <c r="I303" i="31"/>
  <c r="K303" i="31" s="1"/>
  <c r="Y302" i="31"/>
  <c r="X302" i="31"/>
  <c r="W302" i="31"/>
  <c r="AA302" i="31" s="1"/>
  <c r="V302" i="31"/>
  <c r="S302" i="31"/>
  <c r="R302" i="31"/>
  <c r="Q302" i="31"/>
  <c r="P302" i="31"/>
  <c r="O302" i="31"/>
  <c r="N302" i="31"/>
  <c r="M302" i="31"/>
  <c r="L302" i="31"/>
  <c r="J302" i="31"/>
  <c r="I302" i="31"/>
  <c r="K302" i="31" s="1"/>
  <c r="T302" i="31" s="1"/>
  <c r="Y301" i="31"/>
  <c r="X301" i="31"/>
  <c r="W301" i="31"/>
  <c r="V301" i="31"/>
  <c r="S301" i="31"/>
  <c r="R301" i="31"/>
  <c r="Q301" i="31"/>
  <c r="P301" i="31"/>
  <c r="O301" i="31"/>
  <c r="N301" i="31"/>
  <c r="M301" i="31"/>
  <c r="J301" i="31"/>
  <c r="I301" i="31"/>
  <c r="K301" i="31" s="1"/>
  <c r="Y300" i="31"/>
  <c r="X300" i="31"/>
  <c r="W300" i="31"/>
  <c r="V300" i="31"/>
  <c r="S300" i="31"/>
  <c r="R300" i="31"/>
  <c r="Q300" i="31"/>
  <c r="P300" i="31"/>
  <c r="O300" i="31"/>
  <c r="N300" i="31"/>
  <c r="M300" i="31"/>
  <c r="L300" i="31"/>
  <c r="J300" i="31"/>
  <c r="I300" i="31"/>
  <c r="K300" i="31" s="1"/>
  <c r="Y299" i="31"/>
  <c r="X299" i="31"/>
  <c r="W299" i="31"/>
  <c r="AA299" i="31" s="1"/>
  <c r="V299" i="31"/>
  <c r="S299" i="31"/>
  <c r="R299" i="31"/>
  <c r="Q299" i="31"/>
  <c r="P299" i="31"/>
  <c r="O299" i="31"/>
  <c r="N299" i="31"/>
  <c r="M299" i="31"/>
  <c r="K299" i="31"/>
  <c r="T299" i="31" s="1"/>
  <c r="I299" i="31"/>
  <c r="Y298" i="31"/>
  <c r="X298" i="31"/>
  <c r="W298" i="31"/>
  <c r="V298" i="31"/>
  <c r="S298" i="31"/>
  <c r="R298" i="31"/>
  <c r="Q298" i="31"/>
  <c r="P298" i="31"/>
  <c r="O298" i="31"/>
  <c r="N298" i="31"/>
  <c r="M298" i="31"/>
  <c r="K298" i="31"/>
  <c r="Z298" i="31" s="1"/>
  <c r="J298" i="31"/>
  <c r="I298" i="31"/>
  <c r="Z297" i="31"/>
  <c r="Y297" i="31"/>
  <c r="X297" i="31"/>
  <c r="W297" i="31"/>
  <c r="V297" i="31"/>
  <c r="S297" i="31"/>
  <c r="R297" i="31"/>
  <c r="Q297" i="31"/>
  <c r="P297" i="31"/>
  <c r="O297" i="31"/>
  <c r="N297" i="31"/>
  <c r="M297" i="31"/>
  <c r="L297" i="31"/>
  <c r="T297" i="31" s="1"/>
  <c r="K297" i="31"/>
  <c r="J297" i="31"/>
  <c r="I297" i="31"/>
  <c r="Y296" i="31"/>
  <c r="X296" i="31"/>
  <c r="W296" i="31"/>
  <c r="V296" i="31"/>
  <c r="S296" i="31"/>
  <c r="R296" i="31"/>
  <c r="Q296" i="31"/>
  <c r="P296" i="31"/>
  <c r="O296" i="31"/>
  <c r="N296" i="31"/>
  <c r="M296" i="31"/>
  <c r="J296" i="31"/>
  <c r="L296" i="31" s="1"/>
  <c r="I296" i="31"/>
  <c r="K296" i="31" s="1"/>
  <c r="Y295" i="31"/>
  <c r="X295" i="31"/>
  <c r="W295" i="31"/>
  <c r="V295" i="31"/>
  <c r="S295" i="31"/>
  <c r="R295" i="31"/>
  <c r="Q295" i="31"/>
  <c r="P295" i="31"/>
  <c r="O295" i="31"/>
  <c r="N295" i="31"/>
  <c r="M295" i="31"/>
  <c r="U295" i="31" s="1"/>
  <c r="J295" i="31"/>
  <c r="I295" i="31"/>
  <c r="K295" i="31" s="1"/>
  <c r="Y294" i="31"/>
  <c r="X294" i="31"/>
  <c r="W294" i="31"/>
  <c r="V294" i="31"/>
  <c r="S294" i="31"/>
  <c r="R294" i="31"/>
  <c r="Q294" i="31"/>
  <c r="P294" i="31"/>
  <c r="O294" i="31"/>
  <c r="N294" i="31"/>
  <c r="M294" i="31"/>
  <c r="K294" i="31"/>
  <c r="J294" i="31"/>
  <c r="L294" i="31" s="1"/>
  <c r="Z294" i="31" s="1"/>
  <c r="I294" i="31"/>
  <c r="Y293" i="31"/>
  <c r="X293" i="31"/>
  <c r="W293" i="31"/>
  <c r="V293" i="31"/>
  <c r="S293" i="31"/>
  <c r="R293" i="31"/>
  <c r="Q293" i="31"/>
  <c r="P293" i="31"/>
  <c r="O293" i="31"/>
  <c r="N293" i="31"/>
  <c r="M293" i="31"/>
  <c r="J293" i="31"/>
  <c r="L293" i="31" s="1"/>
  <c r="I293" i="31"/>
  <c r="K293" i="31" s="1"/>
  <c r="Y292" i="31"/>
  <c r="X292" i="31"/>
  <c r="U292" i="31" s="1"/>
  <c r="W292" i="31"/>
  <c r="V292" i="31"/>
  <c r="S292" i="31"/>
  <c r="R292" i="31"/>
  <c r="Q292" i="31"/>
  <c r="P292" i="31"/>
  <c r="O292" i="31"/>
  <c r="N292" i="31"/>
  <c r="M292" i="31"/>
  <c r="J292" i="31"/>
  <c r="L292" i="31" s="1"/>
  <c r="I292" i="31"/>
  <c r="K292" i="31" s="1"/>
  <c r="Y291" i="31"/>
  <c r="X291" i="31"/>
  <c r="W291" i="31"/>
  <c r="V291" i="31"/>
  <c r="S291" i="31"/>
  <c r="R291" i="31"/>
  <c r="Q291" i="31"/>
  <c r="P291" i="31"/>
  <c r="O291" i="31"/>
  <c r="N291" i="31"/>
  <c r="M291" i="31"/>
  <c r="K291" i="31"/>
  <c r="J291" i="31"/>
  <c r="I291" i="31"/>
  <c r="Y290" i="31"/>
  <c r="X290" i="31"/>
  <c r="W290" i="31"/>
  <c r="V290" i="31"/>
  <c r="S290" i="31"/>
  <c r="R290" i="31"/>
  <c r="Q290" i="31"/>
  <c r="P290" i="31"/>
  <c r="O290" i="31"/>
  <c r="N290" i="31"/>
  <c r="M290" i="31"/>
  <c r="J290" i="31"/>
  <c r="L290" i="31" s="1"/>
  <c r="I290" i="31"/>
  <c r="K290" i="31" s="1"/>
  <c r="Y289" i="31"/>
  <c r="X289" i="31"/>
  <c r="W289" i="31"/>
  <c r="V289" i="31"/>
  <c r="S289" i="31"/>
  <c r="R289" i="31"/>
  <c r="Q289" i="31"/>
  <c r="P289" i="31"/>
  <c r="Z289" i="31" s="1"/>
  <c r="O289" i="31"/>
  <c r="N289" i="31"/>
  <c r="M289" i="31"/>
  <c r="J289" i="31"/>
  <c r="L289" i="31" s="1"/>
  <c r="I289" i="31"/>
  <c r="K289" i="31" s="1"/>
  <c r="Y288" i="31"/>
  <c r="X288" i="31"/>
  <c r="W288" i="31"/>
  <c r="AA288" i="31" s="1"/>
  <c r="V288" i="31"/>
  <c r="S288" i="31"/>
  <c r="R288" i="31"/>
  <c r="Q288" i="31"/>
  <c r="P288" i="31"/>
  <c r="O288" i="31"/>
  <c r="N288" i="31"/>
  <c r="M288" i="31"/>
  <c r="L288" i="31"/>
  <c r="K288" i="31"/>
  <c r="J288" i="31"/>
  <c r="I288" i="31"/>
  <c r="Y287" i="31"/>
  <c r="X287" i="31"/>
  <c r="W287" i="31"/>
  <c r="V287" i="31"/>
  <c r="S287" i="31"/>
  <c r="R287" i="31"/>
  <c r="Q287" i="31"/>
  <c r="P287" i="31"/>
  <c r="O287" i="31"/>
  <c r="N287" i="31"/>
  <c r="M287" i="31"/>
  <c r="K287" i="31"/>
  <c r="AA287" i="31" s="1"/>
  <c r="J287" i="31"/>
  <c r="L287" i="31" s="1"/>
  <c r="I287" i="31"/>
  <c r="Y286" i="31"/>
  <c r="X286" i="31"/>
  <c r="W286" i="31"/>
  <c r="V286" i="31"/>
  <c r="U286" i="31"/>
  <c r="S286" i="31"/>
  <c r="R286" i="31"/>
  <c r="Q286" i="31"/>
  <c r="P286" i="31"/>
  <c r="O286" i="31"/>
  <c r="N286" i="31"/>
  <c r="M286" i="31"/>
  <c r="J286" i="31"/>
  <c r="I286" i="31"/>
  <c r="K286" i="31" s="1"/>
  <c r="AA286" i="31" s="1"/>
  <c r="Y285" i="31"/>
  <c r="X285" i="31"/>
  <c r="W285" i="31"/>
  <c r="AA285" i="31" s="1"/>
  <c r="V285" i="31"/>
  <c r="S285" i="31"/>
  <c r="R285" i="31"/>
  <c r="Q285" i="31"/>
  <c r="P285" i="31"/>
  <c r="O285" i="31"/>
  <c r="N285" i="31"/>
  <c r="M285" i="31"/>
  <c r="L285" i="31"/>
  <c r="K285" i="31"/>
  <c r="J285" i="31"/>
  <c r="I285" i="31"/>
  <c r="AA284" i="31"/>
  <c r="Y284" i="31"/>
  <c r="X284" i="31"/>
  <c r="W284" i="31"/>
  <c r="V284" i="31"/>
  <c r="S284" i="31"/>
  <c r="R284" i="31"/>
  <c r="Q284" i="31"/>
  <c r="P284" i="31"/>
  <c r="O284" i="31"/>
  <c r="N284" i="31"/>
  <c r="M284" i="31"/>
  <c r="K284" i="31"/>
  <c r="J284" i="31"/>
  <c r="L284" i="31" s="1"/>
  <c r="I284" i="31"/>
  <c r="AA283" i="31"/>
  <c r="Y283" i="31"/>
  <c r="X283" i="31"/>
  <c r="W283" i="31"/>
  <c r="V283" i="31"/>
  <c r="S283" i="31"/>
  <c r="R283" i="31"/>
  <c r="Q283" i="31"/>
  <c r="P283" i="31"/>
  <c r="O283" i="31"/>
  <c r="N283" i="31"/>
  <c r="M283" i="31"/>
  <c r="K283" i="31"/>
  <c r="J283" i="31"/>
  <c r="L283" i="31" s="1"/>
  <c r="I283" i="31"/>
  <c r="Y282" i="31"/>
  <c r="X282" i="31"/>
  <c r="W282" i="31"/>
  <c r="V282" i="31"/>
  <c r="S282" i="31"/>
  <c r="R282" i="31"/>
  <c r="Q282" i="31"/>
  <c r="P282" i="31"/>
  <c r="O282" i="31"/>
  <c r="N282" i="31"/>
  <c r="M282" i="31"/>
  <c r="L282" i="31"/>
  <c r="T282" i="31" s="1"/>
  <c r="J282" i="31"/>
  <c r="I282" i="31"/>
  <c r="K282" i="31" s="1"/>
  <c r="Y281" i="31"/>
  <c r="X281" i="31"/>
  <c r="W281" i="31"/>
  <c r="V281" i="31"/>
  <c r="S281" i="31"/>
  <c r="R281" i="31"/>
  <c r="Q281" i="31"/>
  <c r="P281" i="31"/>
  <c r="O281" i="31"/>
  <c r="N281" i="31"/>
  <c r="M281" i="31"/>
  <c r="L281" i="31"/>
  <c r="J281" i="31"/>
  <c r="I281" i="31"/>
  <c r="K281" i="31" s="1"/>
  <c r="T281" i="31" s="1"/>
  <c r="Y280" i="31"/>
  <c r="X280" i="31"/>
  <c r="W280" i="31"/>
  <c r="V280" i="31"/>
  <c r="S280" i="31"/>
  <c r="R280" i="31"/>
  <c r="Q280" i="31"/>
  <c r="P280" i="31"/>
  <c r="O280" i="31"/>
  <c r="N280" i="31"/>
  <c r="M280" i="31"/>
  <c r="K280" i="31"/>
  <c r="J280" i="31"/>
  <c r="L280" i="31" s="1"/>
  <c r="I280" i="31"/>
  <c r="Y279" i="31"/>
  <c r="X279" i="31"/>
  <c r="W279" i="31"/>
  <c r="V279" i="31"/>
  <c r="S279" i="31"/>
  <c r="R279" i="31"/>
  <c r="Q279" i="31"/>
  <c r="P279" i="31"/>
  <c r="O279" i="31"/>
  <c r="N279" i="31"/>
  <c r="M279" i="31"/>
  <c r="U279" i="31" s="1"/>
  <c r="K279" i="31"/>
  <c r="J279" i="31"/>
  <c r="I279" i="31"/>
  <c r="Y278" i="31"/>
  <c r="X278" i="31"/>
  <c r="W278" i="31"/>
  <c r="V278" i="31"/>
  <c r="S278" i="31"/>
  <c r="R278" i="31"/>
  <c r="Q278" i="31"/>
  <c r="P278" i="31"/>
  <c r="O278" i="31"/>
  <c r="N278" i="31"/>
  <c r="M278" i="31"/>
  <c r="L278" i="31"/>
  <c r="K278" i="31"/>
  <c r="J278" i="31"/>
  <c r="I278" i="31"/>
  <c r="Y277" i="31"/>
  <c r="X277" i="31"/>
  <c r="W277" i="31"/>
  <c r="V277" i="31"/>
  <c r="S277" i="31"/>
  <c r="R277" i="31"/>
  <c r="Q277" i="31"/>
  <c r="P277" i="31"/>
  <c r="O277" i="31"/>
  <c r="N277" i="31"/>
  <c r="M277" i="31"/>
  <c r="J277" i="31"/>
  <c r="L277" i="31" s="1"/>
  <c r="I277" i="31"/>
  <c r="K277" i="31" s="1"/>
  <c r="Y276" i="31"/>
  <c r="X276" i="31"/>
  <c r="W276" i="31"/>
  <c r="V276" i="31"/>
  <c r="S276" i="31"/>
  <c r="R276" i="31"/>
  <c r="Q276" i="31"/>
  <c r="P276" i="31"/>
  <c r="O276" i="31"/>
  <c r="N276" i="31"/>
  <c r="M276" i="31"/>
  <c r="K276" i="31"/>
  <c r="U276" i="31" s="1"/>
  <c r="J276" i="31"/>
  <c r="I276" i="31"/>
  <c r="Y275" i="31"/>
  <c r="X275" i="31"/>
  <c r="W275" i="31"/>
  <c r="V275" i="31"/>
  <c r="S275" i="31"/>
  <c r="R275" i="31"/>
  <c r="Q275" i="31"/>
  <c r="P275" i="31"/>
  <c r="O275" i="31"/>
  <c r="N275" i="31"/>
  <c r="M275" i="31"/>
  <c r="L275" i="31"/>
  <c r="T275" i="31" s="1"/>
  <c r="K275" i="31"/>
  <c r="AA275" i="31" s="1"/>
  <c r="J275" i="31"/>
  <c r="I275" i="31"/>
  <c r="Y274" i="31"/>
  <c r="X274" i="31"/>
  <c r="W274" i="31"/>
  <c r="AA274" i="31" s="1"/>
  <c r="V274" i="31"/>
  <c r="T274" i="31" s="1"/>
  <c r="S274" i="31"/>
  <c r="R274" i="31"/>
  <c r="Q274" i="31"/>
  <c r="P274" i="31"/>
  <c r="O274" i="31"/>
  <c r="N274" i="31"/>
  <c r="M274" i="31"/>
  <c r="J274" i="31"/>
  <c r="I274" i="31"/>
  <c r="K274" i="31" s="1"/>
  <c r="Y273" i="31"/>
  <c r="X273" i="31"/>
  <c r="W273" i="31"/>
  <c r="V273" i="31"/>
  <c r="S273" i="31"/>
  <c r="R273" i="31"/>
  <c r="Q273" i="31"/>
  <c r="P273" i="31"/>
  <c r="O273" i="31"/>
  <c r="N273" i="31"/>
  <c r="M273" i="31"/>
  <c r="L273" i="31"/>
  <c r="AA273" i="31" s="1"/>
  <c r="K273" i="31"/>
  <c r="J273" i="31"/>
  <c r="I273" i="31"/>
  <c r="Y272" i="31"/>
  <c r="X272" i="31"/>
  <c r="W272" i="31"/>
  <c r="V272" i="31"/>
  <c r="S272" i="31"/>
  <c r="R272" i="31"/>
  <c r="Q272" i="31"/>
  <c r="P272" i="31"/>
  <c r="O272" i="31"/>
  <c r="N272" i="31"/>
  <c r="M272" i="31"/>
  <c r="L272" i="31"/>
  <c r="T272" i="31" s="1"/>
  <c r="J272" i="31"/>
  <c r="I272" i="31"/>
  <c r="K272" i="31" s="1"/>
  <c r="Y271" i="31"/>
  <c r="X271" i="31"/>
  <c r="W271" i="31"/>
  <c r="V271" i="31"/>
  <c r="S271" i="31"/>
  <c r="R271" i="31"/>
  <c r="Q271" i="31"/>
  <c r="P271" i="31"/>
  <c r="O271" i="31"/>
  <c r="N271" i="31"/>
  <c r="M271" i="31"/>
  <c r="J271" i="31"/>
  <c r="I271" i="31"/>
  <c r="K271" i="31" s="1"/>
  <c r="AA271" i="31" s="1"/>
  <c r="Y270" i="31"/>
  <c r="X270" i="31"/>
  <c r="W270" i="31"/>
  <c r="V270" i="31"/>
  <c r="S270" i="31"/>
  <c r="R270" i="31"/>
  <c r="Q270" i="31"/>
  <c r="P270" i="31"/>
  <c r="O270" i="31"/>
  <c r="N270" i="31"/>
  <c r="M270" i="31"/>
  <c r="J270" i="31"/>
  <c r="L270" i="31" s="1"/>
  <c r="I270" i="31"/>
  <c r="K270" i="31" s="1"/>
  <c r="Y269" i="31"/>
  <c r="X269" i="31"/>
  <c r="W269" i="31"/>
  <c r="V269" i="31"/>
  <c r="S269" i="31"/>
  <c r="R269" i="31"/>
  <c r="Q269" i="31"/>
  <c r="P269" i="31"/>
  <c r="O269" i="31"/>
  <c r="N269" i="31"/>
  <c r="M269" i="31"/>
  <c r="L269" i="31"/>
  <c r="K269" i="31"/>
  <c r="J269" i="31"/>
  <c r="I269" i="31"/>
  <c r="Y268" i="31"/>
  <c r="X268" i="31"/>
  <c r="W268" i="31"/>
  <c r="V268" i="31"/>
  <c r="S268" i="31"/>
  <c r="R268" i="31"/>
  <c r="Q268" i="31"/>
  <c r="Z268" i="31" s="1"/>
  <c r="P268" i="31"/>
  <c r="O268" i="31"/>
  <c r="N268" i="31"/>
  <c r="M268" i="31"/>
  <c r="L268" i="31"/>
  <c r="T268" i="31" s="1"/>
  <c r="J268" i="31"/>
  <c r="I268" i="31"/>
  <c r="K268" i="31" s="1"/>
  <c r="Y267" i="31"/>
  <c r="X267" i="31"/>
  <c r="W267" i="31"/>
  <c r="V267" i="31"/>
  <c r="S267" i="31"/>
  <c r="R267" i="31"/>
  <c r="Q267" i="31"/>
  <c r="P267" i="31"/>
  <c r="O267" i="31"/>
  <c r="N267" i="31"/>
  <c r="M267" i="31"/>
  <c r="L267" i="31"/>
  <c r="J267" i="31"/>
  <c r="I267" i="31"/>
  <c r="K267" i="31" s="1"/>
  <c r="Y266" i="31"/>
  <c r="X266" i="31"/>
  <c r="W266" i="31"/>
  <c r="V266" i="31"/>
  <c r="S266" i="31"/>
  <c r="R266" i="31"/>
  <c r="Q266" i="31"/>
  <c r="P266" i="31"/>
  <c r="O266" i="31"/>
  <c r="N266" i="31"/>
  <c r="M266" i="31"/>
  <c r="J266" i="31"/>
  <c r="I266" i="31"/>
  <c r="K266" i="31" s="1"/>
  <c r="U266" i="31" s="1"/>
  <c r="Y265" i="31"/>
  <c r="X265" i="31"/>
  <c r="W265" i="31"/>
  <c r="AA265" i="31" s="1"/>
  <c r="V265" i="31"/>
  <c r="S265" i="31"/>
  <c r="R265" i="31"/>
  <c r="Q265" i="31"/>
  <c r="P265" i="31"/>
  <c r="O265" i="31"/>
  <c r="N265" i="31"/>
  <c r="M265" i="31"/>
  <c r="L265" i="31"/>
  <c r="K265" i="31"/>
  <c r="J265" i="31"/>
  <c r="I265" i="31"/>
  <c r="Y264" i="31"/>
  <c r="X264" i="31"/>
  <c r="W264" i="31"/>
  <c r="V264" i="31"/>
  <c r="S264" i="31"/>
  <c r="R264" i="31"/>
  <c r="Q264" i="31"/>
  <c r="P264" i="31"/>
  <c r="O264" i="31"/>
  <c r="N264" i="31"/>
  <c r="M264" i="31"/>
  <c r="K264" i="31"/>
  <c r="AA264" i="31" s="1"/>
  <c r="J264" i="31"/>
  <c r="L264" i="31" s="1"/>
  <c r="I264" i="31"/>
  <c r="Y263" i="31"/>
  <c r="X263" i="31"/>
  <c r="W263" i="31"/>
  <c r="V263" i="31"/>
  <c r="U263" i="31"/>
  <c r="S263" i="31"/>
  <c r="R263" i="31"/>
  <c r="Q263" i="31"/>
  <c r="P263" i="31"/>
  <c r="O263" i="31"/>
  <c r="N263" i="31"/>
  <c r="M263" i="31"/>
  <c r="J263" i="31"/>
  <c r="I263" i="31"/>
  <c r="K263" i="31" s="1"/>
  <c r="AA263" i="31" s="1"/>
  <c r="Y262" i="31"/>
  <c r="X262" i="31"/>
  <c r="W262" i="31"/>
  <c r="V262" i="31"/>
  <c r="S262" i="31"/>
  <c r="R262" i="31"/>
  <c r="Q262" i="31"/>
  <c r="P262" i="31"/>
  <c r="O262" i="31"/>
  <c r="N262" i="31"/>
  <c r="M262" i="31"/>
  <c r="L262" i="31"/>
  <c r="K262" i="31"/>
  <c r="J262" i="31"/>
  <c r="I262" i="31"/>
  <c r="Y261" i="31"/>
  <c r="X261" i="31"/>
  <c r="W261" i="31"/>
  <c r="V261" i="31"/>
  <c r="S261" i="31"/>
  <c r="R261" i="31"/>
  <c r="Q261" i="31"/>
  <c r="P261" i="31"/>
  <c r="O261" i="31"/>
  <c r="N261" i="31"/>
  <c r="M261" i="31"/>
  <c r="K261" i="31"/>
  <c r="J261" i="31"/>
  <c r="L261" i="31" s="1"/>
  <c r="AA261" i="31" s="1"/>
  <c r="I261" i="31"/>
  <c r="AA260" i="31"/>
  <c r="Y260" i="31"/>
  <c r="X260" i="31"/>
  <c r="W260" i="31"/>
  <c r="V260" i="31"/>
  <c r="S260" i="31"/>
  <c r="R260" i="31"/>
  <c r="Q260" i="31"/>
  <c r="P260" i="31"/>
  <c r="O260" i="31"/>
  <c r="N260" i="31"/>
  <c r="M260" i="31"/>
  <c r="J260" i="31"/>
  <c r="I260" i="31"/>
  <c r="K260" i="31" s="1"/>
  <c r="U260" i="31" s="1"/>
  <c r="Y259" i="31"/>
  <c r="X259" i="31"/>
  <c r="W259" i="31"/>
  <c r="V259" i="31"/>
  <c r="S259" i="31"/>
  <c r="R259" i="31"/>
  <c r="Q259" i="31"/>
  <c r="P259" i="31"/>
  <c r="O259" i="31"/>
  <c r="N259" i="31"/>
  <c r="M259" i="31"/>
  <c r="L259" i="31"/>
  <c r="K259" i="31"/>
  <c r="J259" i="31"/>
  <c r="I259" i="31"/>
  <c r="AA258" i="31"/>
  <c r="Y258" i="31"/>
  <c r="X258" i="31"/>
  <c r="W258" i="31"/>
  <c r="V258" i="31"/>
  <c r="S258" i="31"/>
  <c r="R258" i="31"/>
  <c r="Q258" i="31"/>
  <c r="P258" i="31"/>
  <c r="O258" i="31"/>
  <c r="N258" i="31"/>
  <c r="M258" i="31"/>
  <c r="K258" i="31"/>
  <c r="J258" i="31"/>
  <c r="L258" i="31" s="1"/>
  <c r="I258" i="31"/>
  <c r="Y257" i="31"/>
  <c r="X257" i="31"/>
  <c r="W257" i="31"/>
  <c r="V257" i="31"/>
  <c r="S257" i="31"/>
  <c r="R257" i="31"/>
  <c r="Q257" i="31"/>
  <c r="P257" i="31"/>
  <c r="O257" i="31"/>
  <c r="N257" i="31"/>
  <c r="M257" i="31"/>
  <c r="K257" i="31"/>
  <c r="U257" i="31" s="1"/>
  <c r="J257" i="31"/>
  <c r="L257" i="31" s="1"/>
  <c r="I257" i="31"/>
  <c r="Y256" i="31"/>
  <c r="X256" i="31"/>
  <c r="W256" i="31"/>
  <c r="V256" i="31"/>
  <c r="T256" i="31" s="1"/>
  <c r="S256" i="31"/>
  <c r="R256" i="31"/>
  <c r="Q256" i="31"/>
  <c r="P256" i="31"/>
  <c r="O256" i="31"/>
  <c r="N256" i="31"/>
  <c r="M256" i="31"/>
  <c r="L256" i="31"/>
  <c r="J256" i="31"/>
  <c r="I256" i="31"/>
  <c r="K256" i="31" s="1"/>
  <c r="Y255" i="31"/>
  <c r="X255" i="31"/>
  <c r="W255" i="31"/>
  <c r="V255" i="31"/>
  <c r="S255" i="31"/>
  <c r="R255" i="31"/>
  <c r="Q255" i="31"/>
  <c r="P255" i="31"/>
  <c r="O255" i="31"/>
  <c r="N255" i="31"/>
  <c r="M255" i="31"/>
  <c r="L255" i="31"/>
  <c r="K255" i="31"/>
  <c r="T255" i="31" s="1"/>
  <c r="J255" i="31"/>
  <c r="I255" i="31"/>
  <c r="Y254" i="31"/>
  <c r="X254" i="31"/>
  <c r="W254" i="31"/>
  <c r="V254" i="31"/>
  <c r="S254" i="31"/>
  <c r="R254" i="31"/>
  <c r="Q254" i="31"/>
  <c r="P254" i="31"/>
  <c r="O254" i="31"/>
  <c r="N254" i="31"/>
  <c r="M254" i="31"/>
  <c r="L254" i="31"/>
  <c r="Z254" i="31" s="1"/>
  <c r="K254" i="31"/>
  <c r="U254" i="31" s="1"/>
  <c r="J254" i="31"/>
  <c r="I254" i="31"/>
  <c r="Y253" i="31"/>
  <c r="X253" i="31"/>
  <c r="W253" i="31"/>
  <c r="V253" i="31"/>
  <c r="U253" i="31"/>
  <c r="S253" i="31"/>
  <c r="R253" i="31"/>
  <c r="Q253" i="31"/>
  <c r="P253" i="31"/>
  <c r="O253" i="31"/>
  <c r="N253" i="31"/>
  <c r="M253" i="31"/>
  <c r="J253" i="31"/>
  <c r="I253" i="31"/>
  <c r="K253" i="31" s="1"/>
  <c r="Z253" i="31" s="1"/>
  <c r="Y252" i="31"/>
  <c r="X252" i="31"/>
  <c r="W252" i="31"/>
  <c r="V252" i="31"/>
  <c r="S252" i="31"/>
  <c r="R252" i="31"/>
  <c r="Q252" i="31"/>
  <c r="P252" i="31"/>
  <c r="O252" i="31"/>
  <c r="N252" i="31"/>
  <c r="M252" i="31"/>
  <c r="L252" i="31"/>
  <c r="K252" i="31"/>
  <c r="J252" i="31"/>
  <c r="I252" i="31"/>
  <c r="Y251" i="31"/>
  <c r="X251" i="31"/>
  <c r="W251" i="31"/>
  <c r="V251" i="31"/>
  <c r="S251" i="31"/>
  <c r="R251" i="31"/>
  <c r="Q251" i="31"/>
  <c r="P251" i="31"/>
  <c r="O251" i="31"/>
  <c r="N251" i="31"/>
  <c r="M251" i="31"/>
  <c r="K251" i="31"/>
  <c r="J251" i="31"/>
  <c r="L251" i="31" s="1"/>
  <c r="T251" i="31" s="1"/>
  <c r="I251" i="31"/>
  <c r="Y250" i="31"/>
  <c r="X250" i="31"/>
  <c r="W250" i="31"/>
  <c r="V250" i="31"/>
  <c r="S250" i="31"/>
  <c r="R250" i="31"/>
  <c r="Q250" i="31"/>
  <c r="P250" i="31"/>
  <c r="O250" i="31"/>
  <c r="N250" i="31"/>
  <c r="M250" i="31"/>
  <c r="J250" i="31"/>
  <c r="L250" i="31" s="1"/>
  <c r="I250" i="31"/>
  <c r="K250" i="31" s="1"/>
  <c r="Y249" i="31"/>
  <c r="X249" i="31"/>
  <c r="W249" i="31"/>
  <c r="V249" i="31"/>
  <c r="S249" i="31"/>
  <c r="R249" i="31"/>
  <c r="Q249" i="31"/>
  <c r="P249" i="31"/>
  <c r="O249" i="31"/>
  <c r="N249" i="31"/>
  <c r="M249" i="31"/>
  <c r="J249" i="31"/>
  <c r="L249" i="31" s="1"/>
  <c r="T249" i="31" s="1"/>
  <c r="I249" i="31"/>
  <c r="K249" i="31" s="1"/>
  <c r="AA248" i="31"/>
  <c r="Y248" i="31"/>
  <c r="X248" i="31"/>
  <c r="W248" i="31"/>
  <c r="V248" i="31"/>
  <c r="S248" i="31"/>
  <c r="R248" i="31"/>
  <c r="Q248" i="31"/>
  <c r="P248" i="31"/>
  <c r="O248" i="31"/>
  <c r="N248" i="31"/>
  <c r="M248" i="31"/>
  <c r="L248" i="31"/>
  <c r="K248" i="31"/>
  <c r="J248" i="31"/>
  <c r="I248" i="31"/>
  <c r="Y247" i="31"/>
  <c r="X247" i="31"/>
  <c r="W247" i="31"/>
  <c r="V247" i="31"/>
  <c r="S247" i="31"/>
  <c r="R247" i="31"/>
  <c r="Q247" i="31"/>
  <c r="P247" i="31"/>
  <c r="O247" i="31"/>
  <c r="N247" i="31"/>
  <c r="M247" i="31"/>
  <c r="K247" i="31"/>
  <c r="J247" i="31"/>
  <c r="L247" i="31" s="1"/>
  <c r="I247" i="31"/>
  <c r="Y246" i="31"/>
  <c r="X246" i="31"/>
  <c r="W246" i="31"/>
  <c r="V246" i="31"/>
  <c r="S246" i="31"/>
  <c r="R246" i="31"/>
  <c r="Q246" i="31"/>
  <c r="P246" i="31"/>
  <c r="O246" i="31"/>
  <c r="N246" i="31"/>
  <c r="M246" i="31"/>
  <c r="K246" i="31"/>
  <c r="AA246" i="31" s="1"/>
  <c r="J246" i="31"/>
  <c r="L246" i="31" s="1"/>
  <c r="I246" i="31"/>
  <c r="Y245" i="31"/>
  <c r="X245" i="31"/>
  <c r="W245" i="31"/>
  <c r="V245" i="31"/>
  <c r="S245" i="31"/>
  <c r="R245" i="31"/>
  <c r="Q245" i="31"/>
  <c r="P245" i="31"/>
  <c r="O245" i="31"/>
  <c r="N245" i="31"/>
  <c r="M245" i="31"/>
  <c r="K245" i="31"/>
  <c r="J245" i="31"/>
  <c r="I245" i="31"/>
  <c r="Y244" i="31"/>
  <c r="X244" i="31"/>
  <c r="W244" i="31"/>
  <c r="V244" i="31"/>
  <c r="S244" i="31"/>
  <c r="R244" i="31"/>
  <c r="Q244" i="31"/>
  <c r="P244" i="31"/>
  <c r="O244" i="31"/>
  <c r="N244" i="31"/>
  <c r="M244" i="31"/>
  <c r="K244" i="31"/>
  <c r="J244" i="31"/>
  <c r="L244" i="31" s="1"/>
  <c r="I244" i="31"/>
  <c r="AA243" i="31"/>
  <c r="Y243" i="31"/>
  <c r="X243" i="31"/>
  <c r="W243" i="31"/>
  <c r="V243" i="31"/>
  <c r="S243" i="31"/>
  <c r="R243" i="31"/>
  <c r="Q243" i="31"/>
  <c r="P243" i="31"/>
  <c r="O243" i="31"/>
  <c r="N243" i="31"/>
  <c r="M243" i="31"/>
  <c r="K243" i="31"/>
  <c r="J243" i="31"/>
  <c r="L243" i="31" s="1"/>
  <c r="I243" i="31"/>
  <c r="Y242" i="31"/>
  <c r="X242" i="31"/>
  <c r="W242" i="31"/>
  <c r="V242" i="31"/>
  <c r="S242" i="31"/>
  <c r="R242" i="31"/>
  <c r="Q242" i="31"/>
  <c r="P242" i="31"/>
  <c r="O242" i="31"/>
  <c r="N242" i="31"/>
  <c r="M242" i="31"/>
  <c r="L242" i="31"/>
  <c r="T242" i="31" s="1"/>
  <c r="J242" i="31"/>
  <c r="I242" i="31"/>
  <c r="K242" i="31" s="1"/>
  <c r="Y241" i="31"/>
  <c r="X241" i="31"/>
  <c r="W241" i="31"/>
  <c r="AA241" i="31" s="1"/>
  <c r="V241" i="31"/>
  <c r="Z241" i="31" s="1"/>
  <c r="S241" i="31"/>
  <c r="R241" i="31"/>
  <c r="Q241" i="31"/>
  <c r="P241" i="31"/>
  <c r="O241" i="31"/>
  <c r="N241" i="31"/>
  <c r="M241" i="31"/>
  <c r="L241" i="31"/>
  <c r="T241" i="31" s="1"/>
  <c r="K241" i="31"/>
  <c r="J241" i="31"/>
  <c r="I241" i="31"/>
  <c r="Z240" i="31"/>
  <c r="Y240" i="31"/>
  <c r="X240" i="31"/>
  <c r="W240" i="31"/>
  <c r="V240" i="31"/>
  <c r="S240" i="31"/>
  <c r="R240" i="31"/>
  <c r="Q240" i="31"/>
  <c r="P240" i="31"/>
  <c r="O240" i="31"/>
  <c r="N240" i="31"/>
  <c r="M240" i="31"/>
  <c r="L240" i="31"/>
  <c r="K240" i="31"/>
  <c r="J240" i="31"/>
  <c r="I240" i="31"/>
  <c r="Y239" i="31"/>
  <c r="X239" i="31"/>
  <c r="W239" i="31"/>
  <c r="V239" i="31"/>
  <c r="S239" i="31"/>
  <c r="R239" i="31"/>
  <c r="Q239" i="31"/>
  <c r="P239" i="31"/>
  <c r="O239" i="31"/>
  <c r="N239" i="31"/>
  <c r="M239" i="31"/>
  <c r="J239" i="31"/>
  <c r="L239" i="31" s="1"/>
  <c r="I239" i="31"/>
  <c r="K239" i="31" s="1"/>
  <c r="Z238" i="31"/>
  <c r="Y238" i="31"/>
  <c r="X238" i="31"/>
  <c r="W238" i="31"/>
  <c r="AA238" i="31" s="1"/>
  <c r="V238" i="31"/>
  <c r="S238" i="31"/>
  <c r="R238" i="31"/>
  <c r="Q238" i="31"/>
  <c r="P238" i="31"/>
  <c r="O238" i="31"/>
  <c r="N238" i="31"/>
  <c r="M238" i="31"/>
  <c r="L238" i="31"/>
  <c r="T238" i="31" s="1"/>
  <c r="J238" i="31"/>
  <c r="I238" i="31"/>
  <c r="K238" i="31" s="1"/>
  <c r="Y237" i="31"/>
  <c r="X237" i="31"/>
  <c r="W237" i="31"/>
  <c r="AA237" i="31" s="1"/>
  <c r="V237" i="31"/>
  <c r="U237" i="31"/>
  <c r="S237" i="31"/>
  <c r="R237" i="31"/>
  <c r="Q237" i="31"/>
  <c r="P237" i="31"/>
  <c r="O237" i="31"/>
  <c r="N237" i="31"/>
  <c r="M237" i="31"/>
  <c r="K237" i="31"/>
  <c r="T237" i="31" s="1"/>
  <c r="J237" i="31"/>
  <c r="I237" i="31"/>
  <c r="Y236" i="31"/>
  <c r="X236" i="31"/>
  <c r="W236" i="31"/>
  <c r="V236" i="31"/>
  <c r="S236" i="31"/>
  <c r="R236" i="31"/>
  <c r="Q236" i="31"/>
  <c r="P236" i="31"/>
  <c r="O236" i="31"/>
  <c r="N236" i="31"/>
  <c r="M236" i="31"/>
  <c r="J236" i="31"/>
  <c r="L236" i="31" s="1"/>
  <c r="Z236" i="31" s="1"/>
  <c r="I236" i="31"/>
  <c r="K236" i="31" s="1"/>
  <c r="Y235" i="31"/>
  <c r="X235" i="31"/>
  <c r="W235" i="31"/>
  <c r="V235" i="31"/>
  <c r="S235" i="31"/>
  <c r="R235" i="31"/>
  <c r="Q235" i="31"/>
  <c r="P235" i="31"/>
  <c r="O235" i="31"/>
  <c r="N235" i="31"/>
  <c r="M235" i="31"/>
  <c r="L235" i="31"/>
  <c r="T235" i="31" s="1"/>
  <c r="J235" i="31"/>
  <c r="I235" i="31"/>
  <c r="K235" i="31" s="1"/>
  <c r="Y234" i="31"/>
  <c r="X234" i="31"/>
  <c r="U234" i="31" s="1"/>
  <c r="W234" i="31"/>
  <c r="AA234" i="31" s="1"/>
  <c r="V234" i="31"/>
  <c r="S234" i="31"/>
  <c r="R234" i="31"/>
  <c r="Q234" i="31"/>
  <c r="P234" i="31"/>
  <c r="O234" i="31"/>
  <c r="N234" i="31"/>
  <c r="M234" i="31"/>
  <c r="L234" i="31"/>
  <c r="K234" i="31"/>
  <c r="J234" i="31"/>
  <c r="I234" i="31"/>
  <c r="Y233" i="31"/>
  <c r="X233" i="31"/>
  <c r="W233" i="31"/>
  <c r="V233" i="31"/>
  <c r="S233" i="31"/>
  <c r="R233" i="31"/>
  <c r="Q233" i="31"/>
  <c r="P233" i="31"/>
  <c r="O233" i="31"/>
  <c r="N233" i="31"/>
  <c r="M233" i="31"/>
  <c r="K233" i="31"/>
  <c r="J233" i="31"/>
  <c r="L233" i="31" s="1"/>
  <c r="I233" i="31"/>
  <c r="Y232" i="31"/>
  <c r="X232" i="31"/>
  <c r="W232" i="31"/>
  <c r="V232" i="31"/>
  <c r="S232" i="31"/>
  <c r="R232" i="31"/>
  <c r="Q232" i="31"/>
  <c r="P232" i="31"/>
  <c r="O232" i="31"/>
  <c r="N232" i="31"/>
  <c r="M232" i="31"/>
  <c r="J232" i="31"/>
  <c r="L232" i="31" s="1"/>
  <c r="I232" i="31"/>
  <c r="K232" i="31" s="1"/>
  <c r="Y231" i="31"/>
  <c r="X231" i="31"/>
  <c r="W231" i="31"/>
  <c r="V231" i="31"/>
  <c r="S231" i="31"/>
  <c r="R231" i="31"/>
  <c r="Q231" i="31"/>
  <c r="P231" i="31"/>
  <c r="O231" i="31"/>
  <c r="N231" i="31"/>
  <c r="M231" i="31"/>
  <c r="L231" i="31"/>
  <c r="T231" i="31" s="1"/>
  <c r="J231" i="31"/>
  <c r="I231" i="31"/>
  <c r="K231" i="31" s="1"/>
  <c r="Y230" i="31"/>
  <c r="X230" i="31"/>
  <c r="W230" i="31"/>
  <c r="V230" i="31"/>
  <c r="S230" i="31"/>
  <c r="R230" i="31"/>
  <c r="Q230" i="31"/>
  <c r="P230" i="31"/>
  <c r="O230" i="31"/>
  <c r="N230" i="31"/>
  <c r="M230" i="31"/>
  <c r="L230" i="31"/>
  <c r="T230" i="31" s="1"/>
  <c r="J230" i="31"/>
  <c r="I230" i="31"/>
  <c r="K230" i="31" s="1"/>
  <c r="Y229" i="31"/>
  <c r="X229" i="31"/>
  <c r="W229" i="31"/>
  <c r="V229" i="31"/>
  <c r="S229" i="31"/>
  <c r="R229" i="31"/>
  <c r="Q229" i="31"/>
  <c r="P229" i="31"/>
  <c r="O229" i="31"/>
  <c r="N229" i="31"/>
  <c r="M229" i="31"/>
  <c r="J229" i="31"/>
  <c r="I229" i="31"/>
  <c r="K229" i="31" s="1"/>
  <c r="U229" i="31" s="1"/>
  <c r="Y228" i="31"/>
  <c r="X228" i="31"/>
  <c r="W228" i="31"/>
  <c r="V228" i="31"/>
  <c r="S228" i="31"/>
  <c r="R228" i="31"/>
  <c r="Q228" i="31"/>
  <c r="P228" i="31"/>
  <c r="O228" i="31"/>
  <c r="N228" i="31"/>
  <c r="M228" i="31"/>
  <c r="L228" i="31"/>
  <c r="J228" i="31"/>
  <c r="I228" i="31"/>
  <c r="K228" i="31" s="1"/>
  <c r="Y227" i="31"/>
  <c r="X227" i="31"/>
  <c r="W227" i="31"/>
  <c r="V227" i="31"/>
  <c r="S227" i="31"/>
  <c r="R227" i="31"/>
  <c r="Q227" i="31"/>
  <c r="P227" i="31"/>
  <c r="O227" i="31"/>
  <c r="N227" i="31"/>
  <c r="M227" i="31"/>
  <c r="L227" i="31"/>
  <c r="T227" i="31" s="1"/>
  <c r="J227" i="31"/>
  <c r="I227" i="31"/>
  <c r="K227" i="31" s="1"/>
  <c r="Y226" i="31"/>
  <c r="X226" i="31"/>
  <c r="W226" i="31"/>
  <c r="V226" i="31"/>
  <c r="S226" i="31"/>
  <c r="R226" i="31"/>
  <c r="Q226" i="31"/>
  <c r="P226" i="31"/>
  <c r="O226" i="31"/>
  <c r="N226" i="31"/>
  <c r="M226" i="31"/>
  <c r="K226" i="31"/>
  <c r="J226" i="31"/>
  <c r="L226" i="31" s="1"/>
  <c r="I226" i="31"/>
  <c r="Y225" i="31"/>
  <c r="X225" i="31"/>
  <c r="W225" i="31"/>
  <c r="AA225" i="31" s="1"/>
  <c r="V225" i="31"/>
  <c r="S225" i="31"/>
  <c r="R225" i="31"/>
  <c r="Q225" i="31"/>
  <c r="Z225" i="31" s="1"/>
  <c r="P225" i="31"/>
  <c r="O225" i="31"/>
  <c r="N225" i="31"/>
  <c r="M225" i="31"/>
  <c r="J225" i="31"/>
  <c r="L225" i="31" s="1"/>
  <c r="U225" i="31" s="1"/>
  <c r="I225" i="31"/>
  <c r="K225" i="31" s="1"/>
  <c r="Y224" i="31"/>
  <c r="X224" i="31"/>
  <c r="W224" i="31"/>
  <c r="V224" i="31"/>
  <c r="S224" i="31"/>
  <c r="R224" i="31"/>
  <c r="Q224" i="31"/>
  <c r="P224" i="31"/>
  <c r="O224" i="31"/>
  <c r="N224" i="31"/>
  <c r="M224" i="31"/>
  <c r="L224" i="31"/>
  <c r="T224" i="31" s="1"/>
  <c r="J224" i="31"/>
  <c r="I224" i="31"/>
  <c r="K224" i="31" s="1"/>
  <c r="Y223" i="31"/>
  <c r="X223" i="31"/>
  <c r="W223" i="31"/>
  <c r="V223" i="31"/>
  <c r="U223" i="31"/>
  <c r="S223" i="31"/>
  <c r="R223" i="31"/>
  <c r="Q223" i="31"/>
  <c r="P223" i="31"/>
  <c r="AA223" i="31" s="1"/>
  <c r="O223" i="31"/>
  <c r="N223" i="31"/>
  <c r="M223" i="31"/>
  <c r="L223" i="31"/>
  <c r="K223" i="31"/>
  <c r="J223" i="31"/>
  <c r="I223" i="31"/>
  <c r="Y222" i="31"/>
  <c r="X222" i="31"/>
  <c r="W222" i="31"/>
  <c r="V222" i="31"/>
  <c r="S222" i="31"/>
  <c r="R222" i="31"/>
  <c r="AA222" i="31" s="1"/>
  <c r="Q222" i="31"/>
  <c r="P222" i="31"/>
  <c r="O222" i="31"/>
  <c r="N222" i="31"/>
  <c r="M222" i="31"/>
  <c r="K222" i="31"/>
  <c r="J222" i="31"/>
  <c r="L222" i="31" s="1"/>
  <c r="I222" i="31"/>
  <c r="Y221" i="31"/>
  <c r="X221" i="31"/>
  <c r="W221" i="31"/>
  <c r="V221" i="31"/>
  <c r="S221" i="31"/>
  <c r="R221" i="31"/>
  <c r="Q221" i="31"/>
  <c r="AA221" i="31" s="1"/>
  <c r="P221" i="31"/>
  <c r="O221" i="31"/>
  <c r="N221" i="31"/>
  <c r="M221" i="31"/>
  <c r="I221" i="31"/>
  <c r="K221" i="31" s="1"/>
  <c r="U221" i="31" s="1"/>
  <c r="Y220" i="31"/>
  <c r="X220" i="31"/>
  <c r="W220" i="31"/>
  <c r="V220" i="31"/>
  <c r="S220" i="31"/>
  <c r="R220" i="31"/>
  <c r="Q220" i="31"/>
  <c r="P220" i="31"/>
  <c r="O220" i="31"/>
  <c r="N220" i="31"/>
  <c r="M220" i="31"/>
  <c r="J220" i="31"/>
  <c r="I220" i="31"/>
  <c r="K220" i="31" s="1"/>
  <c r="Y219" i="31"/>
  <c r="X219" i="31"/>
  <c r="W219" i="31"/>
  <c r="V219" i="31"/>
  <c r="S219" i="31"/>
  <c r="R219" i="31"/>
  <c r="Q219" i="31"/>
  <c r="P219" i="31"/>
  <c r="O219" i="31"/>
  <c r="N219" i="31"/>
  <c r="M219" i="31"/>
  <c r="L219" i="31"/>
  <c r="T219" i="31" s="1"/>
  <c r="J219" i="31"/>
  <c r="I219" i="31"/>
  <c r="K219" i="31" s="1"/>
  <c r="Y218" i="31"/>
  <c r="X218" i="31"/>
  <c r="W218" i="31"/>
  <c r="V218" i="31"/>
  <c r="S218" i="31"/>
  <c r="R218" i="31"/>
  <c r="Q218" i="31"/>
  <c r="P218" i="31"/>
  <c r="O218" i="31"/>
  <c r="N218" i="31"/>
  <c r="M218" i="31"/>
  <c r="L218" i="31"/>
  <c r="T218" i="31" s="1"/>
  <c r="J218" i="31"/>
  <c r="I218" i="31"/>
  <c r="K218" i="31" s="1"/>
  <c r="Y217" i="31"/>
  <c r="X217" i="31"/>
  <c r="W217" i="31"/>
  <c r="V217" i="31"/>
  <c r="S217" i="31"/>
  <c r="R217" i="31"/>
  <c r="Q217" i="31"/>
  <c r="P217" i="31"/>
  <c r="O217" i="31"/>
  <c r="N217" i="31"/>
  <c r="M217" i="31"/>
  <c r="K217" i="31"/>
  <c r="J217" i="31"/>
  <c r="L217" i="31" s="1"/>
  <c r="I217" i="31"/>
  <c r="Z216" i="31"/>
  <c r="Y216" i="31"/>
  <c r="X216" i="31"/>
  <c r="W216" i="31"/>
  <c r="V216" i="31"/>
  <c r="S216" i="31"/>
  <c r="R216" i="31"/>
  <c r="Q216" i="31"/>
  <c r="P216" i="31"/>
  <c r="O216" i="31"/>
  <c r="N216" i="31"/>
  <c r="M216" i="31"/>
  <c r="J216" i="31"/>
  <c r="L216" i="31" s="1"/>
  <c r="I216" i="31"/>
  <c r="K216" i="31" s="1"/>
  <c r="Y215" i="31"/>
  <c r="X215" i="31"/>
  <c r="U215" i="31" s="1"/>
  <c r="W215" i="31"/>
  <c r="V215" i="31"/>
  <c r="S215" i="31"/>
  <c r="R215" i="31"/>
  <c r="Q215" i="31"/>
  <c r="P215" i="31"/>
  <c r="O215" i="31"/>
  <c r="N215" i="31"/>
  <c r="M215" i="31"/>
  <c r="K215" i="31"/>
  <c r="I215" i="31"/>
  <c r="Y214" i="31"/>
  <c r="X214" i="31"/>
  <c r="W214" i="31"/>
  <c r="V214" i="31"/>
  <c r="S214" i="31"/>
  <c r="R214" i="31"/>
  <c r="Q214" i="31"/>
  <c r="P214" i="31"/>
  <c r="O214" i="31"/>
  <c r="N214" i="31"/>
  <c r="M214" i="31"/>
  <c r="J214" i="31"/>
  <c r="I214" i="31"/>
  <c r="K214" i="31" s="1"/>
  <c r="Y213" i="31"/>
  <c r="X213" i="31"/>
  <c r="W213" i="31"/>
  <c r="AA213" i="31" s="1"/>
  <c r="V213" i="31"/>
  <c r="U213" i="31"/>
  <c r="S213" i="31"/>
  <c r="R213" i="31"/>
  <c r="Q213" i="31"/>
  <c r="P213" i="31"/>
  <c r="O213" i="31"/>
  <c r="N213" i="31"/>
  <c r="M213" i="31"/>
  <c r="L213" i="31"/>
  <c r="K213" i="31"/>
  <c r="J213" i="31"/>
  <c r="I213" i="31"/>
  <c r="Y212" i="31"/>
  <c r="X212" i="31"/>
  <c r="W212" i="31"/>
  <c r="V212" i="31"/>
  <c r="S212" i="31"/>
  <c r="R212" i="31"/>
  <c r="Q212" i="31"/>
  <c r="P212" i="31"/>
  <c r="O212" i="31"/>
  <c r="N212" i="31"/>
  <c r="M212" i="31"/>
  <c r="K212" i="31"/>
  <c r="J212" i="31"/>
  <c r="L212" i="31" s="1"/>
  <c r="I212" i="31"/>
  <c r="Y211" i="31"/>
  <c r="X211" i="31"/>
  <c r="W211" i="31"/>
  <c r="V211" i="31"/>
  <c r="S211" i="31"/>
  <c r="R211" i="31"/>
  <c r="Q211" i="31"/>
  <c r="P211" i="31"/>
  <c r="O211" i="31"/>
  <c r="N211" i="31"/>
  <c r="M211" i="31"/>
  <c r="J211" i="31"/>
  <c r="L211" i="31" s="1"/>
  <c r="I211" i="31"/>
  <c r="K211" i="31" s="1"/>
  <c r="Y210" i="31"/>
  <c r="X210" i="31"/>
  <c r="W210" i="31"/>
  <c r="V210" i="31"/>
  <c r="S210" i="31"/>
  <c r="R210" i="31"/>
  <c r="Q210" i="31"/>
  <c r="P210" i="31"/>
  <c r="O210" i="31"/>
  <c r="N210" i="31"/>
  <c r="M210" i="31"/>
  <c r="L210" i="31"/>
  <c r="J210" i="31"/>
  <c r="I210" i="31"/>
  <c r="K210" i="31" s="1"/>
  <c r="T210" i="31" s="1"/>
  <c r="Y209" i="31"/>
  <c r="X209" i="31"/>
  <c r="U209" i="31" s="1"/>
  <c r="W209" i="31"/>
  <c r="V209" i="31"/>
  <c r="S209" i="31"/>
  <c r="R209" i="31"/>
  <c r="Q209" i="31"/>
  <c r="P209" i="31"/>
  <c r="O209" i="31"/>
  <c r="N209" i="31"/>
  <c r="M209" i="31"/>
  <c r="L209" i="31"/>
  <c r="J209" i="31"/>
  <c r="I209" i="31"/>
  <c r="K209" i="31" s="1"/>
  <c r="Y208" i="31"/>
  <c r="X208" i="31"/>
  <c r="W208" i="31"/>
  <c r="V208" i="31"/>
  <c r="S208" i="31"/>
  <c r="R208" i="31"/>
  <c r="Q208" i="31"/>
  <c r="P208" i="31"/>
  <c r="O208" i="31"/>
  <c r="N208" i="31"/>
  <c r="Z208" i="31" s="1"/>
  <c r="M208" i="31"/>
  <c r="L208" i="31"/>
  <c r="K208" i="31"/>
  <c r="J208" i="31"/>
  <c r="I208" i="31"/>
  <c r="Y207" i="31"/>
  <c r="X207" i="31"/>
  <c r="W207" i="31"/>
  <c r="V207" i="31"/>
  <c r="S207" i="31"/>
  <c r="R207" i="31"/>
  <c r="Q207" i="31"/>
  <c r="P207" i="31"/>
  <c r="O207" i="31"/>
  <c r="N207" i="31"/>
  <c r="M207" i="31"/>
  <c r="J207" i="31"/>
  <c r="L207" i="31" s="1"/>
  <c r="I207" i="31"/>
  <c r="K207" i="31" s="1"/>
  <c r="Y206" i="31"/>
  <c r="X206" i="31"/>
  <c r="W206" i="31"/>
  <c r="V206" i="31"/>
  <c r="U206" i="31"/>
  <c r="S206" i="31"/>
  <c r="R206" i="31"/>
  <c r="Q206" i="31"/>
  <c r="P206" i="31"/>
  <c r="O206" i="31"/>
  <c r="N206" i="31"/>
  <c r="M206" i="31"/>
  <c r="Z206" i="31" s="1"/>
  <c r="L206" i="31"/>
  <c r="J206" i="31"/>
  <c r="I206" i="31"/>
  <c r="K206" i="31" s="1"/>
  <c r="Y205" i="31"/>
  <c r="X205" i="31"/>
  <c r="W205" i="31"/>
  <c r="V205" i="31"/>
  <c r="S205" i="31"/>
  <c r="R205" i="31"/>
  <c r="Q205" i="31"/>
  <c r="P205" i="31"/>
  <c r="O205" i="31"/>
  <c r="N205" i="31"/>
  <c r="M205" i="31"/>
  <c r="L205" i="31"/>
  <c r="K205" i="31"/>
  <c r="J205" i="31"/>
  <c r="I205" i="31"/>
  <c r="Y204" i="31"/>
  <c r="X204" i="31"/>
  <c r="W204" i="31"/>
  <c r="V204" i="31"/>
  <c r="S204" i="31"/>
  <c r="R204" i="31"/>
  <c r="Q204" i="31"/>
  <c r="P204" i="31"/>
  <c r="O204" i="31"/>
  <c r="N204" i="31"/>
  <c r="M204" i="31"/>
  <c r="K204" i="31"/>
  <c r="AA204" i="31" s="1"/>
  <c r="J204" i="31"/>
  <c r="L204" i="31" s="1"/>
  <c r="I204" i="31"/>
  <c r="Y203" i="31"/>
  <c r="X203" i="31"/>
  <c r="W203" i="31"/>
  <c r="V203" i="31"/>
  <c r="S203" i="31"/>
  <c r="R203" i="31"/>
  <c r="Q203" i="31"/>
  <c r="P203" i="31"/>
  <c r="O203" i="31"/>
  <c r="N203" i="31"/>
  <c r="M203" i="31"/>
  <c r="K203" i="31"/>
  <c r="J203" i="31"/>
  <c r="L203" i="31" s="1"/>
  <c r="I203" i="31"/>
  <c r="Y202" i="31"/>
  <c r="X202" i="31"/>
  <c r="W202" i="31"/>
  <c r="V202" i="31"/>
  <c r="S202" i="31"/>
  <c r="R202" i="31"/>
  <c r="Q202" i="31"/>
  <c r="P202" i="31"/>
  <c r="O202" i="31"/>
  <c r="N202" i="31"/>
  <c r="M202" i="31"/>
  <c r="U202" i="31" s="1"/>
  <c r="L202" i="31"/>
  <c r="T202" i="31" s="1"/>
  <c r="J202" i="31"/>
  <c r="I202" i="31"/>
  <c r="K202" i="31" s="1"/>
  <c r="Y201" i="31"/>
  <c r="X201" i="31"/>
  <c r="W201" i="31"/>
  <c r="V201" i="31"/>
  <c r="S201" i="31"/>
  <c r="R201" i="31"/>
  <c r="Q201" i="31"/>
  <c r="P201" i="31"/>
  <c r="O201" i="31"/>
  <c r="N201" i="31"/>
  <c r="M201" i="31"/>
  <c r="L201" i="31"/>
  <c r="T201" i="31" s="1"/>
  <c r="K201" i="31"/>
  <c r="J201" i="31"/>
  <c r="I201" i="31"/>
  <c r="Y200" i="31"/>
  <c r="X200" i="31"/>
  <c r="W200" i="31"/>
  <c r="V200" i="31"/>
  <c r="S200" i="31"/>
  <c r="R200" i="31"/>
  <c r="Q200" i="31"/>
  <c r="P200" i="31"/>
  <c r="O200" i="31"/>
  <c r="N200" i="31"/>
  <c r="M200" i="31"/>
  <c r="L200" i="31"/>
  <c r="AA200" i="31" s="1"/>
  <c r="K200" i="31"/>
  <c r="J200" i="31"/>
  <c r="I200" i="31"/>
  <c r="Y199" i="31"/>
  <c r="X199" i="31"/>
  <c r="W199" i="31"/>
  <c r="V199" i="31"/>
  <c r="S199" i="31"/>
  <c r="R199" i="31"/>
  <c r="Q199" i="31"/>
  <c r="P199" i="31"/>
  <c r="O199" i="31"/>
  <c r="N199" i="31"/>
  <c r="M199" i="31"/>
  <c r="J199" i="31"/>
  <c r="L199" i="31" s="1"/>
  <c r="I199" i="31"/>
  <c r="K199" i="31" s="1"/>
  <c r="U199" i="31" s="1"/>
  <c r="Y198" i="31"/>
  <c r="X198" i="31"/>
  <c r="W198" i="31"/>
  <c r="V198" i="31"/>
  <c r="S198" i="31"/>
  <c r="R198" i="31"/>
  <c r="Q198" i="31"/>
  <c r="P198" i="31"/>
  <c r="O198" i="31"/>
  <c r="N198" i="31"/>
  <c r="M198" i="31"/>
  <c r="J198" i="31"/>
  <c r="L198" i="31" s="1"/>
  <c r="I198" i="31"/>
  <c r="K198" i="31" s="1"/>
  <c r="Y197" i="31"/>
  <c r="X197" i="31"/>
  <c r="W197" i="31"/>
  <c r="AA197" i="31" s="1"/>
  <c r="V197" i="31"/>
  <c r="S197" i="31"/>
  <c r="R197" i="31"/>
  <c r="Q197" i="31"/>
  <c r="P197" i="31"/>
  <c r="O197" i="31"/>
  <c r="N197" i="31"/>
  <c r="M197" i="31"/>
  <c r="L197" i="31"/>
  <c r="K197" i="31"/>
  <c r="J197" i="31"/>
  <c r="I197" i="31"/>
  <c r="Y196" i="31"/>
  <c r="X196" i="31"/>
  <c r="W196" i="31"/>
  <c r="V196" i="31"/>
  <c r="S196" i="31"/>
  <c r="R196" i="31"/>
  <c r="Q196" i="31"/>
  <c r="P196" i="31"/>
  <c r="O196" i="31"/>
  <c r="Z196" i="31" s="1"/>
  <c r="N196" i="31"/>
  <c r="M196" i="31"/>
  <c r="K196" i="31"/>
  <c r="J196" i="31"/>
  <c r="L196" i="31" s="1"/>
  <c r="I196" i="31"/>
  <c r="Y195" i="31"/>
  <c r="X195" i="31"/>
  <c r="W195" i="31"/>
  <c r="V195" i="31"/>
  <c r="S195" i="31"/>
  <c r="R195" i="31"/>
  <c r="Q195" i="31"/>
  <c r="P195" i="31"/>
  <c r="O195" i="31"/>
  <c r="N195" i="31"/>
  <c r="M195" i="31"/>
  <c r="J195" i="31"/>
  <c r="L195" i="31" s="1"/>
  <c r="I195" i="31"/>
  <c r="K195" i="31" s="1"/>
  <c r="AA195" i="31" s="1"/>
  <c r="Y194" i="31"/>
  <c r="X194" i="31"/>
  <c r="W194" i="31"/>
  <c r="V194" i="31"/>
  <c r="S194" i="31"/>
  <c r="R194" i="31"/>
  <c r="Q194" i="31"/>
  <c r="P194" i="31"/>
  <c r="O194" i="31"/>
  <c r="N194" i="31"/>
  <c r="M194" i="31"/>
  <c r="K194" i="31"/>
  <c r="J194" i="31"/>
  <c r="I194" i="31"/>
  <c r="Y193" i="31"/>
  <c r="X193" i="31"/>
  <c r="W193" i="31"/>
  <c r="V193" i="31"/>
  <c r="S193" i="31"/>
  <c r="R193" i="31"/>
  <c r="Q193" i="31"/>
  <c r="P193" i="31"/>
  <c r="O193" i="31"/>
  <c r="N193" i="31"/>
  <c r="M193" i="31"/>
  <c r="K193" i="31"/>
  <c r="J193" i="31"/>
  <c r="L193" i="31" s="1"/>
  <c r="I193" i="31"/>
  <c r="Z192" i="31"/>
  <c r="Y192" i="31"/>
  <c r="X192" i="31"/>
  <c r="W192" i="31"/>
  <c r="V192" i="31"/>
  <c r="S192" i="31"/>
  <c r="R192" i="31"/>
  <c r="Q192" i="31"/>
  <c r="P192" i="31"/>
  <c r="O192" i="31"/>
  <c r="N192" i="31"/>
  <c r="M192" i="31"/>
  <c r="K192" i="31"/>
  <c r="J192" i="31"/>
  <c r="L192" i="31" s="1"/>
  <c r="I192" i="31"/>
  <c r="Y191" i="31"/>
  <c r="X191" i="31"/>
  <c r="W191" i="31"/>
  <c r="V191" i="31"/>
  <c r="S191" i="31"/>
  <c r="R191" i="31"/>
  <c r="Q191" i="31"/>
  <c r="P191" i="31"/>
  <c r="O191" i="31"/>
  <c r="N191" i="31"/>
  <c r="M191" i="31"/>
  <c r="L191" i="31"/>
  <c r="J191" i="31"/>
  <c r="I191" i="31"/>
  <c r="K191" i="31" s="1"/>
  <c r="Y190" i="31"/>
  <c r="X190" i="31"/>
  <c r="W190" i="31"/>
  <c r="V190" i="31"/>
  <c r="S190" i="31"/>
  <c r="R190" i="31"/>
  <c r="Q190" i="31"/>
  <c r="P190" i="31"/>
  <c r="O190" i="31"/>
  <c r="N190" i="31"/>
  <c r="M190" i="31"/>
  <c r="L190" i="31"/>
  <c r="J190" i="31"/>
  <c r="I190" i="31"/>
  <c r="K190" i="31" s="1"/>
  <c r="T190" i="31" s="1"/>
  <c r="Z189" i="31"/>
  <c r="Y189" i="31"/>
  <c r="X189" i="31"/>
  <c r="W189" i="31"/>
  <c r="AA189" i="31" s="1"/>
  <c r="V189" i="31"/>
  <c r="T189" i="31" s="1"/>
  <c r="S189" i="31"/>
  <c r="R189" i="31"/>
  <c r="Q189" i="31"/>
  <c r="P189" i="31"/>
  <c r="O189" i="31"/>
  <c r="N189" i="31"/>
  <c r="M189" i="31"/>
  <c r="L189" i="31"/>
  <c r="K189" i="31"/>
  <c r="J189" i="31"/>
  <c r="I189" i="31"/>
  <c r="Y188" i="31"/>
  <c r="X188" i="31"/>
  <c r="W188" i="31"/>
  <c r="V188" i="31"/>
  <c r="S188" i="31"/>
  <c r="R188" i="31"/>
  <c r="U188" i="31" s="1"/>
  <c r="Q188" i="31"/>
  <c r="P188" i="31"/>
  <c r="O188" i="31"/>
  <c r="N188" i="31"/>
  <c r="M188" i="31"/>
  <c r="J188" i="31"/>
  <c r="I188" i="31"/>
  <c r="K188" i="31" s="1"/>
  <c r="AA187" i="31"/>
  <c r="Y187" i="31"/>
  <c r="X187" i="31"/>
  <c r="W187" i="31"/>
  <c r="V187" i="31"/>
  <c r="S187" i="31"/>
  <c r="R187" i="31"/>
  <c r="Q187" i="31"/>
  <c r="P187" i="31"/>
  <c r="O187" i="31"/>
  <c r="N187" i="31"/>
  <c r="M187" i="31"/>
  <c r="I187" i="31"/>
  <c r="K187" i="31" s="1"/>
  <c r="Y186" i="31"/>
  <c r="X186" i="31"/>
  <c r="W186" i="31"/>
  <c r="V186" i="31"/>
  <c r="S186" i="31"/>
  <c r="R186" i="31"/>
  <c r="Q186" i="31"/>
  <c r="P186" i="31"/>
  <c r="O186" i="31"/>
  <c r="N186" i="31"/>
  <c r="M186" i="31"/>
  <c r="K186" i="31"/>
  <c r="J186" i="31"/>
  <c r="I186" i="31"/>
  <c r="Y185" i="31"/>
  <c r="X185" i="31"/>
  <c r="W185" i="31"/>
  <c r="V185" i="31"/>
  <c r="S185" i="31"/>
  <c r="R185" i="31"/>
  <c r="Q185" i="31"/>
  <c r="P185" i="31"/>
  <c r="O185" i="31"/>
  <c r="N185" i="31"/>
  <c r="M185" i="31"/>
  <c r="L185" i="31"/>
  <c r="T185" i="31" s="1"/>
  <c r="J185" i="31"/>
  <c r="I185" i="31"/>
  <c r="K185" i="31" s="1"/>
  <c r="Y184" i="31"/>
  <c r="X184" i="31"/>
  <c r="W184" i="31"/>
  <c r="V184" i="31"/>
  <c r="S184" i="31"/>
  <c r="R184" i="31"/>
  <c r="Q184" i="31"/>
  <c r="P184" i="31"/>
  <c r="O184" i="31"/>
  <c r="N184" i="31"/>
  <c r="M184" i="31"/>
  <c r="J184" i="31"/>
  <c r="L184" i="31" s="1"/>
  <c r="I184" i="31"/>
  <c r="K184" i="31" s="1"/>
  <c r="Y183" i="31"/>
  <c r="X183" i="31"/>
  <c r="W183" i="31"/>
  <c r="V183" i="31"/>
  <c r="S183" i="31"/>
  <c r="R183" i="31"/>
  <c r="Q183" i="31"/>
  <c r="P183" i="31"/>
  <c r="O183" i="31"/>
  <c r="N183" i="31"/>
  <c r="M183" i="31"/>
  <c r="K183" i="31"/>
  <c r="J183" i="31"/>
  <c r="L183" i="31" s="1"/>
  <c r="I183" i="31"/>
  <c r="Y182" i="31"/>
  <c r="X182" i="31"/>
  <c r="W182" i="31"/>
  <c r="V182" i="31"/>
  <c r="S182" i="31"/>
  <c r="R182" i="31"/>
  <c r="Q182" i="31"/>
  <c r="P182" i="31"/>
  <c r="O182" i="31"/>
  <c r="N182" i="31"/>
  <c r="M182" i="31"/>
  <c r="I182" i="31"/>
  <c r="K182" i="31" s="1"/>
  <c r="Y181" i="31"/>
  <c r="X181" i="31"/>
  <c r="W181" i="31"/>
  <c r="V181" i="31"/>
  <c r="S181" i="31"/>
  <c r="R181" i="31"/>
  <c r="Q181" i="31"/>
  <c r="P181" i="31"/>
  <c r="U181" i="31" s="1"/>
  <c r="O181" i="31"/>
  <c r="N181" i="31"/>
  <c r="M181" i="31"/>
  <c r="K181" i="31"/>
  <c r="J181" i="31"/>
  <c r="I181" i="31"/>
  <c r="Y180" i="31"/>
  <c r="X180" i="31"/>
  <c r="W180" i="31"/>
  <c r="V180" i="31"/>
  <c r="S180" i="31"/>
  <c r="R180" i="31"/>
  <c r="Q180" i="31"/>
  <c r="P180" i="31"/>
  <c r="Z180" i="31" s="1"/>
  <c r="O180" i="31"/>
  <c r="N180" i="31"/>
  <c r="M180" i="31"/>
  <c r="K180" i="31"/>
  <c r="U180" i="31" s="1"/>
  <c r="J180" i="31"/>
  <c r="L180" i="31" s="1"/>
  <c r="I180" i="31"/>
  <c r="Y179" i="31"/>
  <c r="X179" i="31"/>
  <c r="W179" i="31"/>
  <c r="V179" i="31"/>
  <c r="S179" i="31"/>
  <c r="R179" i="31"/>
  <c r="Q179" i="31"/>
  <c r="P179" i="31"/>
  <c r="AA179" i="31" s="1"/>
  <c r="O179" i="31"/>
  <c r="N179" i="31"/>
  <c r="M179" i="31"/>
  <c r="K179" i="31"/>
  <c r="J179" i="31"/>
  <c r="L179" i="31" s="1"/>
  <c r="I179" i="31"/>
  <c r="AA178" i="31"/>
  <c r="Y178" i="31"/>
  <c r="X178" i="31"/>
  <c r="W178" i="31"/>
  <c r="V178" i="31"/>
  <c r="S178" i="31"/>
  <c r="R178" i="31"/>
  <c r="Q178" i="31"/>
  <c r="P178" i="31"/>
  <c r="O178" i="31"/>
  <c r="N178" i="31"/>
  <c r="M178" i="31"/>
  <c r="U178" i="31" s="1"/>
  <c r="L178" i="31"/>
  <c r="T178" i="31" s="1"/>
  <c r="K178" i="31"/>
  <c r="J178" i="31"/>
  <c r="I178" i="31"/>
  <c r="Y177" i="31"/>
  <c r="X177" i="31"/>
  <c r="W177" i="31"/>
  <c r="V177" i="31"/>
  <c r="S177" i="31"/>
  <c r="R177" i="31"/>
  <c r="Q177" i="31"/>
  <c r="P177" i="31"/>
  <c r="O177" i="31"/>
  <c r="N177" i="31"/>
  <c r="M177" i="31"/>
  <c r="J177" i="31"/>
  <c r="L177" i="31" s="1"/>
  <c r="T177" i="31" s="1"/>
  <c r="I177" i="31"/>
  <c r="K177" i="31" s="1"/>
  <c r="Y176" i="31"/>
  <c r="X176" i="31"/>
  <c r="W176" i="31"/>
  <c r="V176" i="31"/>
  <c r="S176" i="31"/>
  <c r="R176" i="31"/>
  <c r="Q176" i="31"/>
  <c r="P176" i="31"/>
  <c r="O176" i="31"/>
  <c r="N176" i="31"/>
  <c r="M176" i="31"/>
  <c r="J176" i="31"/>
  <c r="L176" i="31" s="1"/>
  <c r="I176" i="31"/>
  <c r="K176" i="31" s="1"/>
  <c r="Y175" i="31"/>
  <c r="X175" i="31"/>
  <c r="W175" i="31"/>
  <c r="V175" i="31"/>
  <c r="S175" i="31"/>
  <c r="R175" i="31"/>
  <c r="Q175" i="31"/>
  <c r="P175" i="31"/>
  <c r="O175" i="31"/>
  <c r="N175" i="31"/>
  <c r="M175" i="31"/>
  <c r="K175" i="31"/>
  <c r="J175" i="31"/>
  <c r="I175" i="31"/>
  <c r="Y174" i="31"/>
  <c r="X174" i="31"/>
  <c r="W174" i="31"/>
  <c r="V174" i="31"/>
  <c r="S174" i="31"/>
  <c r="R174" i="31"/>
  <c r="Q174" i="31"/>
  <c r="P174" i="31"/>
  <c r="AA174" i="31" s="1"/>
  <c r="O174" i="31"/>
  <c r="N174" i="31"/>
  <c r="M174" i="31"/>
  <c r="K174" i="31"/>
  <c r="J174" i="31"/>
  <c r="L174" i="31" s="1"/>
  <c r="I174" i="31"/>
  <c r="Y173" i="31"/>
  <c r="X173" i="31"/>
  <c r="W173" i="31"/>
  <c r="V173" i="31"/>
  <c r="S173" i="31"/>
  <c r="R173" i="31"/>
  <c r="Q173" i="31"/>
  <c r="P173" i="31"/>
  <c r="O173" i="31"/>
  <c r="N173" i="31"/>
  <c r="M173" i="31"/>
  <c r="J173" i="31"/>
  <c r="I173" i="31"/>
  <c r="K173" i="31" s="1"/>
  <c r="U173" i="31" s="1"/>
  <c r="Y172" i="31"/>
  <c r="X172" i="31"/>
  <c r="W172" i="31"/>
  <c r="V172" i="31"/>
  <c r="S172" i="31"/>
  <c r="R172" i="31"/>
  <c r="Q172" i="31"/>
  <c r="P172" i="31"/>
  <c r="O172" i="31"/>
  <c r="N172" i="31"/>
  <c r="M172" i="31"/>
  <c r="L172" i="31"/>
  <c r="J172" i="31"/>
  <c r="I172" i="31"/>
  <c r="K172" i="31" s="1"/>
  <c r="Y171" i="31"/>
  <c r="X171" i="31"/>
  <c r="W171" i="31"/>
  <c r="V171" i="31"/>
  <c r="S171" i="31"/>
  <c r="R171" i="31"/>
  <c r="Q171" i="31"/>
  <c r="P171" i="31"/>
  <c r="O171" i="31"/>
  <c r="N171" i="31"/>
  <c r="AA171" i="31" s="1"/>
  <c r="M171" i="31"/>
  <c r="K171" i="31"/>
  <c r="J171" i="31"/>
  <c r="L171" i="31" s="1"/>
  <c r="I171" i="31"/>
  <c r="Y170" i="31"/>
  <c r="X170" i="31"/>
  <c r="W170" i="31"/>
  <c r="V170" i="31"/>
  <c r="S170" i="31"/>
  <c r="R170" i="31"/>
  <c r="Q170" i="31"/>
  <c r="P170" i="31"/>
  <c r="O170" i="31"/>
  <c r="N170" i="31"/>
  <c r="M170" i="31"/>
  <c r="L170" i="31"/>
  <c r="K170" i="31"/>
  <c r="U170" i="31" s="1"/>
  <c r="J170" i="31"/>
  <c r="I170" i="31"/>
  <c r="Y169" i="31"/>
  <c r="X169" i="31"/>
  <c r="U169" i="31" s="1"/>
  <c r="W169" i="31"/>
  <c r="V169" i="31"/>
  <c r="S169" i="31"/>
  <c r="R169" i="31"/>
  <c r="Q169" i="31"/>
  <c r="P169" i="31"/>
  <c r="O169" i="31"/>
  <c r="N169" i="31"/>
  <c r="M169" i="31"/>
  <c r="J169" i="31"/>
  <c r="L169" i="31" s="1"/>
  <c r="I169" i="31"/>
  <c r="K169" i="31" s="1"/>
  <c r="Y168" i="31"/>
  <c r="X168" i="31"/>
  <c r="W168" i="31"/>
  <c r="V168" i="31"/>
  <c r="S168" i="31"/>
  <c r="R168" i="31"/>
  <c r="Q168" i="31"/>
  <c r="P168" i="31"/>
  <c r="O168" i="31"/>
  <c r="N168" i="31"/>
  <c r="M168" i="31"/>
  <c r="J168" i="31"/>
  <c r="I168" i="31"/>
  <c r="K168" i="31" s="1"/>
  <c r="Y167" i="31"/>
  <c r="X167" i="31"/>
  <c r="W167" i="31"/>
  <c r="V167" i="31"/>
  <c r="S167" i="31"/>
  <c r="R167" i="31"/>
  <c r="Q167" i="31"/>
  <c r="P167" i="31"/>
  <c r="O167" i="31"/>
  <c r="N167" i="31"/>
  <c r="M167" i="31"/>
  <c r="L167" i="31"/>
  <c r="J167" i="31"/>
  <c r="I167" i="31"/>
  <c r="K167" i="31" s="1"/>
  <c r="Y166" i="31"/>
  <c r="X166" i="31"/>
  <c r="W166" i="31"/>
  <c r="V166" i="31"/>
  <c r="S166" i="31"/>
  <c r="R166" i="31"/>
  <c r="Q166" i="31"/>
  <c r="P166" i="31"/>
  <c r="O166" i="31"/>
  <c r="N166" i="31"/>
  <c r="M166" i="31"/>
  <c r="J166" i="31"/>
  <c r="L166" i="31" s="1"/>
  <c r="U166" i="31" s="1"/>
  <c r="I166" i="31"/>
  <c r="K166" i="31" s="1"/>
  <c r="Y165" i="31"/>
  <c r="X165" i="31"/>
  <c r="W165" i="31"/>
  <c r="V165" i="31"/>
  <c r="S165" i="31"/>
  <c r="R165" i="31"/>
  <c r="Q165" i="31"/>
  <c r="P165" i="31"/>
  <c r="O165" i="31"/>
  <c r="N165" i="31"/>
  <c r="M165" i="31"/>
  <c r="K165" i="31"/>
  <c r="AA165" i="31" s="1"/>
  <c r="J165" i="31"/>
  <c r="L165" i="31" s="1"/>
  <c r="I165" i="31"/>
  <c r="Y164" i="31"/>
  <c r="X164" i="31"/>
  <c r="W164" i="31"/>
  <c r="V164" i="31"/>
  <c r="S164" i="31"/>
  <c r="R164" i="31"/>
  <c r="Q164" i="31"/>
  <c r="P164" i="31"/>
  <c r="O164" i="31"/>
  <c r="N164" i="31"/>
  <c r="M164" i="31"/>
  <c r="K164" i="31"/>
  <c r="AA164" i="31" s="1"/>
  <c r="J164" i="31"/>
  <c r="L164" i="31" s="1"/>
  <c r="I164" i="31"/>
  <c r="Y163" i="31"/>
  <c r="X163" i="31"/>
  <c r="W163" i="31"/>
  <c r="V163" i="31"/>
  <c r="S163" i="31"/>
  <c r="R163" i="31"/>
  <c r="Q163" i="31"/>
  <c r="P163" i="31"/>
  <c r="O163" i="31"/>
  <c r="N163" i="31"/>
  <c r="M163" i="31"/>
  <c r="L163" i="31"/>
  <c r="K163" i="31"/>
  <c r="J163" i="31"/>
  <c r="I163" i="31"/>
  <c r="Y162" i="31"/>
  <c r="X162" i="31"/>
  <c r="W162" i="31"/>
  <c r="V162" i="31"/>
  <c r="S162" i="31"/>
  <c r="R162" i="31"/>
  <c r="Q162" i="31"/>
  <c r="P162" i="31"/>
  <c r="O162" i="31"/>
  <c r="N162" i="31"/>
  <c r="M162" i="31"/>
  <c r="L162" i="31"/>
  <c r="T162" i="31" s="1"/>
  <c r="J162" i="31"/>
  <c r="I162" i="31"/>
  <c r="K162" i="31" s="1"/>
  <c r="Y161" i="31"/>
  <c r="X161" i="31"/>
  <c r="W161" i="31"/>
  <c r="V161" i="31"/>
  <c r="S161" i="31"/>
  <c r="R161" i="31"/>
  <c r="Q161" i="31"/>
  <c r="P161" i="31"/>
  <c r="O161" i="31"/>
  <c r="N161" i="31"/>
  <c r="M161" i="31"/>
  <c r="L161" i="31"/>
  <c r="K161" i="31"/>
  <c r="T161" i="31" s="1"/>
  <c r="J161" i="31"/>
  <c r="I161" i="31"/>
  <c r="Y160" i="31"/>
  <c r="X160" i="31"/>
  <c r="W160" i="31"/>
  <c r="V160" i="31"/>
  <c r="S160" i="31"/>
  <c r="R160" i="31"/>
  <c r="Q160" i="31"/>
  <c r="P160" i="31"/>
  <c r="O160" i="31"/>
  <c r="N160" i="31"/>
  <c r="M160" i="31"/>
  <c r="L160" i="31"/>
  <c r="T160" i="31" s="1"/>
  <c r="J160" i="31"/>
  <c r="I160" i="31"/>
  <c r="K160" i="31" s="1"/>
  <c r="Y159" i="31"/>
  <c r="X159" i="31"/>
  <c r="W159" i="31"/>
  <c r="V159" i="31"/>
  <c r="S159" i="31"/>
  <c r="R159" i="31"/>
  <c r="Q159" i="31"/>
  <c r="P159" i="31"/>
  <c r="O159" i="31"/>
  <c r="N159" i="31"/>
  <c r="M159" i="31"/>
  <c r="J159" i="31"/>
  <c r="L159" i="31" s="1"/>
  <c r="I159" i="31"/>
  <c r="K159" i="31" s="1"/>
  <c r="Y158" i="31"/>
  <c r="X158" i="31"/>
  <c r="W158" i="31"/>
  <c r="V158" i="31"/>
  <c r="S158" i="31"/>
  <c r="R158" i="31"/>
  <c r="Q158" i="31"/>
  <c r="P158" i="31"/>
  <c r="O158" i="31"/>
  <c r="N158" i="31"/>
  <c r="M158" i="31"/>
  <c r="L158" i="31"/>
  <c r="Z158" i="31" s="1"/>
  <c r="K158" i="31"/>
  <c r="J158" i="31"/>
  <c r="I158" i="31"/>
  <c r="Y157" i="31"/>
  <c r="X157" i="31"/>
  <c r="W157" i="31"/>
  <c r="V157" i="31"/>
  <c r="S157" i="31"/>
  <c r="R157" i="31"/>
  <c r="Q157" i="31"/>
  <c r="P157" i="31"/>
  <c r="O157" i="31"/>
  <c r="N157" i="31"/>
  <c r="M157" i="31"/>
  <c r="K157" i="31"/>
  <c r="J157" i="31"/>
  <c r="L157" i="31" s="1"/>
  <c r="I157" i="31"/>
  <c r="Y156" i="31"/>
  <c r="X156" i="31"/>
  <c r="W156" i="31"/>
  <c r="V156" i="31"/>
  <c r="S156" i="31"/>
  <c r="R156" i="31"/>
  <c r="Q156" i="31"/>
  <c r="P156" i="31"/>
  <c r="O156" i="31"/>
  <c r="N156" i="31"/>
  <c r="AA156" i="31" s="1"/>
  <c r="M156" i="31"/>
  <c r="K156" i="31"/>
  <c r="J156" i="31"/>
  <c r="L156" i="31" s="1"/>
  <c r="I156" i="31"/>
  <c r="Y155" i="31"/>
  <c r="X155" i="31"/>
  <c r="W155" i="31"/>
  <c r="V155" i="31"/>
  <c r="S155" i="31"/>
  <c r="R155" i="31"/>
  <c r="Q155" i="31"/>
  <c r="P155" i="31"/>
  <c r="O155" i="31"/>
  <c r="N155" i="31"/>
  <c r="M155" i="31"/>
  <c r="L155" i="31"/>
  <c r="J155" i="31"/>
  <c r="I155" i="31"/>
  <c r="K155" i="31" s="1"/>
  <c r="Y154" i="31"/>
  <c r="X154" i="31"/>
  <c r="W154" i="31"/>
  <c r="AA154" i="31" s="1"/>
  <c r="V154" i="31"/>
  <c r="S154" i="31"/>
  <c r="R154" i="31"/>
  <c r="Q154" i="31"/>
  <c r="P154" i="31"/>
  <c r="O154" i="31"/>
  <c r="N154" i="31"/>
  <c r="M154" i="31"/>
  <c r="L154" i="31"/>
  <c r="J154" i="31"/>
  <c r="I154" i="31"/>
  <c r="K154" i="31" s="1"/>
  <c r="Y153" i="31"/>
  <c r="X153" i="31"/>
  <c r="W153" i="31"/>
  <c r="V153" i="31"/>
  <c r="S153" i="31"/>
  <c r="R153" i="31"/>
  <c r="Q153" i="31"/>
  <c r="P153" i="31"/>
  <c r="O153" i="31"/>
  <c r="N153" i="31"/>
  <c r="M153" i="31"/>
  <c r="L153" i="31"/>
  <c r="J153" i="31"/>
  <c r="I153" i="31"/>
  <c r="K153" i="31" s="1"/>
  <c r="Y152" i="31"/>
  <c r="X152" i="31"/>
  <c r="W152" i="31"/>
  <c r="AA152" i="31" s="1"/>
  <c r="V152" i="31"/>
  <c r="S152" i="31"/>
  <c r="R152" i="31"/>
  <c r="Q152" i="31"/>
  <c r="P152" i="31"/>
  <c r="O152" i="31"/>
  <c r="N152" i="31"/>
  <c r="M152" i="31"/>
  <c r="L152" i="31"/>
  <c r="J152" i="31"/>
  <c r="I152" i="31"/>
  <c r="K152" i="31" s="1"/>
  <c r="Y151" i="31"/>
  <c r="X151" i="31"/>
  <c r="W151" i="31"/>
  <c r="V151" i="31"/>
  <c r="S151" i="31"/>
  <c r="R151" i="31"/>
  <c r="Q151" i="31"/>
  <c r="P151" i="31"/>
  <c r="O151" i="31"/>
  <c r="N151" i="31"/>
  <c r="M151" i="31"/>
  <c r="J151" i="31"/>
  <c r="L151" i="31" s="1"/>
  <c r="U151" i="31" s="1"/>
  <c r="I151" i="31"/>
  <c r="K151" i="31" s="1"/>
  <c r="Z151" i="31" s="1"/>
  <c r="Y150" i="31"/>
  <c r="X150" i="31"/>
  <c r="W150" i="31"/>
  <c r="V150" i="31"/>
  <c r="S150" i="31"/>
  <c r="R150" i="31"/>
  <c r="Q150" i="31"/>
  <c r="P150" i="31"/>
  <c r="O150" i="31"/>
  <c r="N150" i="31"/>
  <c r="M150" i="31"/>
  <c r="K150" i="31"/>
  <c r="J150" i="31"/>
  <c r="L150" i="31" s="1"/>
  <c r="I150" i="31"/>
  <c r="Y149" i="31"/>
  <c r="X149" i="31"/>
  <c r="W149" i="31"/>
  <c r="V149" i="31"/>
  <c r="S149" i="31"/>
  <c r="R149" i="31"/>
  <c r="Q149" i="31"/>
  <c r="P149" i="31"/>
  <c r="O149" i="31"/>
  <c r="AA149" i="31" s="1"/>
  <c r="N149" i="31"/>
  <c r="M149" i="31"/>
  <c r="K149" i="31"/>
  <c r="J149" i="31"/>
  <c r="L149" i="31" s="1"/>
  <c r="I149" i="31"/>
  <c r="Y148" i="31"/>
  <c r="X148" i="31"/>
  <c r="W148" i="31"/>
  <c r="V148" i="31"/>
  <c r="S148" i="31"/>
  <c r="R148" i="31"/>
  <c r="Q148" i="31"/>
  <c r="P148" i="31"/>
  <c r="AA148" i="31" s="1"/>
  <c r="O148" i="31"/>
  <c r="N148" i="31"/>
  <c r="M148" i="31"/>
  <c r="K148" i="31"/>
  <c r="J148" i="31"/>
  <c r="L148" i="31" s="1"/>
  <c r="I148" i="31"/>
  <c r="Y147" i="31"/>
  <c r="X147" i="31"/>
  <c r="W147" i="31"/>
  <c r="V147" i="31"/>
  <c r="S147" i="31"/>
  <c r="R147" i="31"/>
  <c r="Q147" i="31"/>
  <c r="P147" i="31"/>
  <c r="O147" i="31"/>
  <c r="N147" i="31"/>
  <c r="M147" i="31"/>
  <c r="L147" i="31"/>
  <c r="J147" i="31"/>
  <c r="I147" i="31"/>
  <c r="K147" i="31" s="1"/>
  <c r="U147" i="31" s="1"/>
  <c r="Y146" i="31"/>
  <c r="X146" i="31"/>
  <c r="W146" i="31"/>
  <c r="V146" i="31"/>
  <c r="T146" i="31" s="1"/>
  <c r="S146" i="31"/>
  <c r="R146" i="31"/>
  <c r="Q146" i="31"/>
  <c r="P146" i="31"/>
  <c r="O146" i="31"/>
  <c r="N146" i="31"/>
  <c r="M146" i="31"/>
  <c r="L146" i="31"/>
  <c r="J146" i="31"/>
  <c r="I146" i="31"/>
  <c r="K146" i="31" s="1"/>
  <c r="Y145" i="31"/>
  <c r="X145" i="31"/>
  <c r="W145" i="31"/>
  <c r="V145" i="31"/>
  <c r="S145" i="31"/>
  <c r="R145" i="31"/>
  <c r="Q145" i="31"/>
  <c r="P145" i="31"/>
  <c r="O145" i="31"/>
  <c r="N145" i="31"/>
  <c r="M145" i="31"/>
  <c r="L145" i="31"/>
  <c r="J145" i="31"/>
  <c r="I145" i="31"/>
  <c r="K145" i="31" s="1"/>
  <c r="AA145" i="31" s="1"/>
  <c r="Y144" i="31"/>
  <c r="X144" i="31"/>
  <c r="W144" i="31"/>
  <c r="V144" i="31"/>
  <c r="S144" i="31"/>
  <c r="R144" i="31"/>
  <c r="Q144" i="31"/>
  <c r="P144" i="31"/>
  <c r="O144" i="31"/>
  <c r="N144" i="31"/>
  <c r="M144" i="31"/>
  <c r="L144" i="31"/>
  <c r="J144" i="31"/>
  <c r="I144" i="31"/>
  <c r="K144" i="31" s="1"/>
  <c r="Y143" i="31"/>
  <c r="X143" i="31"/>
  <c r="W143" i="31"/>
  <c r="V143" i="31"/>
  <c r="S143" i="31"/>
  <c r="R143" i="31"/>
  <c r="Q143" i="31"/>
  <c r="U143" i="31" s="1"/>
  <c r="P143" i="31"/>
  <c r="O143" i="31"/>
  <c r="N143" i="31"/>
  <c r="M143" i="31"/>
  <c r="K143" i="31"/>
  <c r="I143" i="31"/>
  <c r="Z142" i="31"/>
  <c r="Y142" i="31"/>
  <c r="X142" i="31"/>
  <c r="W142" i="31"/>
  <c r="V142" i="31"/>
  <c r="S142" i="31"/>
  <c r="R142" i="31"/>
  <c r="Q142" i="31"/>
  <c r="P142" i="31"/>
  <c r="AA142" i="31" s="1"/>
  <c r="O142" i="31"/>
  <c r="N142" i="31"/>
  <c r="M142" i="31"/>
  <c r="K142" i="31"/>
  <c r="J142" i="31"/>
  <c r="L142" i="31" s="1"/>
  <c r="I142" i="31"/>
  <c r="AA141" i="31"/>
  <c r="Y141" i="31"/>
  <c r="X141" i="31"/>
  <c r="W141" i="31"/>
  <c r="V141" i="31"/>
  <c r="S141" i="31"/>
  <c r="R141" i="31"/>
  <c r="Q141" i="31"/>
  <c r="P141" i="31"/>
  <c r="O141" i="31"/>
  <c r="N141" i="31"/>
  <c r="M141" i="31"/>
  <c r="L141" i="31"/>
  <c r="J141" i="31"/>
  <c r="I141" i="31"/>
  <c r="K141" i="31" s="1"/>
  <c r="Y140" i="31"/>
  <c r="X140" i="31"/>
  <c r="W140" i="31"/>
  <c r="V140" i="31"/>
  <c r="S140" i="31"/>
  <c r="R140" i="31"/>
  <c r="Q140" i="31"/>
  <c r="P140" i="31"/>
  <c r="O140" i="31"/>
  <c r="N140" i="31"/>
  <c r="M140" i="31"/>
  <c r="L140" i="31"/>
  <c r="J140" i="31"/>
  <c r="I140" i="31"/>
  <c r="K140" i="31" s="1"/>
  <c r="Y139" i="31"/>
  <c r="X139" i="31"/>
  <c r="W139" i="31"/>
  <c r="V139" i="31"/>
  <c r="S139" i="31"/>
  <c r="R139" i="31"/>
  <c r="Q139" i="31"/>
  <c r="P139" i="31"/>
  <c r="O139" i="31"/>
  <c r="N139" i="31"/>
  <c r="M139" i="31"/>
  <c r="L139" i="31"/>
  <c r="J139" i="31"/>
  <c r="I139" i="31"/>
  <c r="K139" i="31" s="1"/>
  <c r="AA139" i="31" s="1"/>
  <c r="Y138" i="31"/>
  <c r="X138" i="31"/>
  <c r="W138" i="31"/>
  <c r="V138" i="31"/>
  <c r="S138" i="31"/>
  <c r="R138" i="31"/>
  <c r="Q138" i="31"/>
  <c r="P138" i="31"/>
  <c r="O138" i="31"/>
  <c r="N138" i="31"/>
  <c r="M138" i="31"/>
  <c r="L138" i="31"/>
  <c r="J138" i="31"/>
  <c r="I138" i="31"/>
  <c r="K138" i="31" s="1"/>
  <c r="Z138" i="31" s="1"/>
  <c r="Y137" i="31"/>
  <c r="X137" i="31"/>
  <c r="W137" i="31"/>
  <c r="V137" i="31"/>
  <c r="S137" i="31"/>
  <c r="R137" i="31"/>
  <c r="Z137" i="31" s="1"/>
  <c r="Q137" i="31"/>
  <c r="P137" i="31"/>
  <c r="O137" i="31"/>
  <c r="N137" i="31"/>
  <c r="M137" i="31"/>
  <c r="J137" i="31"/>
  <c r="L137" i="31" s="1"/>
  <c r="I137" i="31"/>
  <c r="K137" i="31" s="1"/>
  <c r="Y136" i="31"/>
  <c r="X136" i="31"/>
  <c r="W136" i="31"/>
  <c r="V136" i="31"/>
  <c r="S136" i="31"/>
  <c r="R136" i="31"/>
  <c r="Q136" i="31"/>
  <c r="P136" i="31"/>
  <c r="Z136" i="31" s="1"/>
  <c r="O136" i="31"/>
  <c r="N136" i="31"/>
  <c r="M136" i="31"/>
  <c r="K136" i="31"/>
  <c r="J136" i="31"/>
  <c r="L136" i="31" s="1"/>
  <c r="I136" i="31"/>
  <c r="Y135" i="31"/>
  <c r="X135" i="31"/>
  <c r="W135" i="31"/>
  <c r="V135" i="31"/>
  <c r="S135" i="31"/>
  <c r="R135" i="31"/>
  <c r="Q135" i="31"/>
  <c r="P135" i="31"/>
  <c r="O135" i="31"/>
  <c r="N135" i="31"/>
  <c r="M135" i="31"/>
  <c r="K135" i="31"/>
  <c r="J135" i="31"/>
  <c r="L135" i="31" s="1"/>
  <c r="AA135" i="31" s="1"/>
  <c r="I135" i="31"/>
  <c r="Y134" i="31"/>
  <c r="X134" i="31"/>
  <c r="W134" i="31"/>
  <c r="V134" i="31"/>
  <c r="S134" i="31"/>
  <c r="R134" i="31"/>
  <c r="AA134" i="31" s="1"/>
  <c r="Q134" i="31"/>
  <c r="P134" i="31"/>
  <c r="O134" i="31"/>
  <c r="N134" i="31"/>
  <c r="M134" i="31"/>
  <c r="J134" i="31"/>
  <c r="I134" i="31"/>
  <c r="K134" i="31" s="1"/>
  <c r="Y133" i="31"/>
  <c r="X133" i="31"/>
  <c r="W133" i="31"/>
  <c r="V133" i="31"/>
  <c r="S133" i="31"/>
  <c r="R133" i="31"/>
  <c r="Z133" i="31" s="1"/>
  <c r="Q133" i="31"/>
  <c r="P133" i="31"/>
  <c r="O133" i="31"/>
  <c r="N133" i="31"/>
  <c r="M133" i="31"/>
  <c r="K133" i="31"/>
  <c r="AA133" i="31" s="1"/>
  <c r="J133" i="31"/>
  <c r="L133" i="31" s="1"/>
  <c r="I133" i="31"/>
  <c r="Y132" i="31"/>
  <c r="X132" i="31"/>
  <c r="W132" i="31"/>
  <c r="V132" i="31"/>
  <c r="S132" i="31"/>
  <c r="R132" i="31"/>
  <c r="Q132" i="31"/>
  <c r="P132" i="31"/>
  <c r="O132" i="31"/>
  <c r="N132" i="31"/>
  <c r="M132" i="31"/>
  <c r="K132" i="31"/>
  <c r="U132" i="31" s="1"/>
  <c r="J132" i="31"/>
  <c r="L132" i="31" s="1"/>
  <c r="I132" i="31"/>
  <c r="Y131" i="31"/>
  <c r="X131" i="31"/>
  <c r="W131" i="31"/>
  <c r="V131" i="31"/>
  <c r="S131" i="31"/>
  <c r="R131" i="31"/>
  <c r="Q131" i="31"/>
  <c r="P131" i="31"/>
  <c r="O131" i="31"/>
  <c r="N131" i="31"/>
  <c r="M131" i="31"/>
  <c r="K131" i="31"/>
  <c r="J131" i="31"/>
  <c r="L131" i="31" s="1"/>
  <c r="I131" i="31"/>
  <c r="Y130" i="31"/>
  <c r="X130" i="31"/>
  <c r="W130" i="31"/>
  <c r="V130" i="31"/>
  <c r="U130" i="31"/>
  <c r="S130" i="31"/>
  <c r="R130" i="31"/>
  <c r="Q130" i="31"/>
  <c r="P130" i="31"/>
  <c r="O130" i="31"/>
  <c r="N130" i="31"/>
  <c r="M130" i="31"/>
  <c r="L130" i="31"/>
  <c r="K130" i="31"/>
  <c r="AA130" i="31" s="1"/>
  <c r="J130" i="31"/>
  <c r="I130" i="31"/>
  <c r="Y129" i="31"/>
  <c r="X129" i="31"/>
  <c r="W129" i="31"/>
  <c r="V129" i="31"/>
  <c r="S129" i="31"/>
  <c r="R129" i="31"/>
  <c r="Q129" i="31"/>
  <c r="P129" i="31"/>
  <c r="O129" i="31"/>
  <c r="N129" i="31"/>
  <c r="M129" i="31"/>
  <c r="L129" i="31"/>
  <c r="T129" i="31" s="1"/>
  <c r="J129" i="31"/>
  <c r="I129" i="31"/>
  <c r="K129" i="31" s="1"/>
  <c r="Y128" i="31"/>
  <c r="X128" i="31"/>
  <c r="W128" i="31"/>
  <c r="V128" i="31"/>
  <c r="S128" i="31"/>
  <c r="R128" i="31"/>
  <c r="Q128" i="31"/>
  <c r="P128" i="31"/>
  <c r="O128" i="31"/>
  <c r="N128" i="31"/>
  <c r="M128" i="31"/>
  <c r="L128" i="31"/>
  <c r="K128" i="31"/>
  <c r="J128" i="31"/>
  <c r="I128" i="31"/>
  <c r="Y127" i="31"/>
  <c r="X127" i="31"/>
  <c r="W127" i="31"/>
  <c r="V127" i="31"/>
  <c r="Z127" i="31" s="1"/>
  <c r="S127" i="31"/>
  <c r="R127" i="31"/>
  <c r="Q127" i="31"/>
  <c r="P127" i="31"/>
  <c r="O127" i="31"/>
  <c r="N127" i="31"/>
  <c r="M127" i="31"/>
  <c r="K127" i="31"/>
  <c r="U127" i="31" s="1"/>
  <c r="I127" i="31"/>
  <c r="Y126" i="31"/>
  <c r="X126" i="31"/>
  <c r="W126" i="31"/>
  <c r="V126" i="31"/>
  <c r="S126" i="31"/>
  <c r="R126" i="31"/>
  <c r="Q126" i="31"/>
  <c r="P126" i="31"/>
  <c r="O126" i="31"/>
  <c r="N126" i="31"/>
  <c r="M126" i="31"/>
  <c r="K126" i="31"/>
  <c r="U126" i="31" s="1"/>
  <c r="J126" i="31"/>
  <c r="L126" i="31" s="1"/>
  <c r="I126" i="31"/>
  <c r="Y125" i="31"/>
  <c r="X125" i="31"/>
  <c r="W125" i="31"/>
  <c r="V125" i="31"/>
  <c r="S125" i="31"/>
  <c r="R125" i="31"/>
  <c r="Q125" i="31"/>
  <c r="P125" i="31"/>
  <c r="O125" i="31"/>
  <c r="N125" i="31"/>
  <c r="M125" i="31"/>
  <c r="K125" i="31"/>
  <c r="J125" i="31"/>
  <c r="L125" i="31" s="1"/>
  <c r="I125" i="31"/>
  <c r="Y124" i="31"/>
  <c r="X124" i="31"/>
  <c r="W124" i="31"/>
  <c r="V124" i="31"/>
  <c r="S124" i="31"/>
  <c r="R124" i="31"/>
  <c r="Q124" i="31"/>
  <c r="P124" i="31"/>
  <c r="O124" i="31"/>
  <c r="N124" i="31"/>
  <c r="M124" i="31"/>
  <c r="L124" i="31"/>
  <c r="K124" i="31"/>
  <c r="AA124" i="31" s="1"/>
  <c r="J124" i="31"/>
  <c r="I124" i="31"/>
  <c r="Y123" i="31"/>
  <c r="X123" i="31"/>
  <c r="W123" i="31"/>
  <c r="V123" i="31"/>
  <c r="S123" i="31"/>
  <c r="R123" i="31"/>
  <c r="Q123" i="31"/>
  <c r="P123" i="31"/>
  <c r="O123" i="31"/>
  <c r="N123" i="31"/>
  <c r="M123" i="31"/>
  <c r="L123" i="31"/>
  <c r="J123" i="31"/>
  <c r="I123" i="31"/>
  <c r="K123" i="31" s="1"/>
  <c r="T123" i="31" s="1"/>
  <c r="Y122" i="31"/>
  <c r="X122" i="31"/>
  <c r="W122" i="31"/>
  <c r="V122" i="31"/>
  <c r="S122" i="31"/>
  <c r="R122" i="31"/>
  <c r="Q122" i="31"/>
  <c r="P122" i="31"/>
  <c r="O122" i="31"/>
  <c r="N122" i="31"/>
  <c r="M122" i="31"/>
  <c r="L122" i="31"/>
  <c r="K122" i="31"/>
  <c r="J122" i="31"/>
  <c r="I122" i="31"/>
  <c r="Y121" i="31"/>
  <c r="X121" i="31"/>
  <c r="W121" i="31"/>
  <c r="V121" i="31"/>
  <c r="S121" i="31"/>
  <c r="R121" i="31"/>
  <c r="Q121" i="31"/>
  <c r="P121" i="31"/>
  <c r="O121" i="31"/>
  <c r="N121" i="31"/>
  <c r="M121" i="31"/>
  <c r="J121" i="31"/>
  <c r="L121" i="31" s="1"/>
  <c r="U121" i="31" s="1"/>
  <c r="I121" i="31"/>
  <c r="K121" i="31" s="1"/>
  <c r="Y120" i="31"/>
  <c r="X120" i="31"/>
  <c r="U120" i="31" s="1"/>
  <c r="W120" i="31"/>
  <c r="V120" i="31"/>
  <c r="S120" i="31"/>
  <c r="R120" i="31"/>
  <c r="Q120" i="31"/>
  <c r="P120" i="31"/>
  <c r="O120" i="31"/>
  <c r="N120" i="31"/>
  <c r="M120" i="31"/>
  <c r="J120" i="31"/>
  <c r="I120" i="31"/>
  <c r="K120" i="31" s="1"/>
  <c r="Y119" i="31"/>
  <c r="X119" i="31"/>
  <c r="W119" i="31"/>
  <c r="V119" i="31"/>
  <c r="S119" i="31"/>
  <c r="R119" i="31"/>
  <c r="Q119" i="31"/>
  <c r="P119" i="31"/>
  <c r="O119" i="31"/>
  <c r="N119" i="31"/>
  <c r="M119" i="31"/>
  <c r="L119" i="31"/>
  <c r="J119" i="31"/>
  <c r="I119" i="31"/>
  <c r="K119" i="31" s="1"/>
  <c r="Y118" i="31"/>
  <c r="X118" i="31"/>
  <c r="W118" i="31"/>
  <c r="V118" i="31"/>
  <c r="S118" i="31"/>
  <c r="R118" i="31"/>
  <c r="Q118" i="31"/>
  <c r="P118" i="31"/>
  <c r="O118" i="31"/>
  <c r="N118" i="31"/>
  <c r="M118" i="31"/>
  <c r="K118" i="31"/>
  <c r="J118" i="31"/>
  <c r="I118" i="31"/>
  <c r="Y117" i="31"/>
  <c r="X117" i="31"/>
  <c r="W117" i="31"/>
  <c r="V117" i="31"/>
  <c r="S117" i="31"/>
  <c r="R117" i="31"/>
  <c r="Q117" i="31"/>
  <c r="P117" i="31"/>
  <c r="O117" i="31"/>
  <c r="N117" i="31"/>
  <c r="M117" i="31"/>
  <c r="L117" i="31"/>
  <c r="J117" i="31"/>
  <c r="I117" i="31"/>
  <c r="K117" i="31" s="1"/>
  <c r="Y116" i="31"/>
  <c r="X116" i="31"/>
  <c r="W116" i="31"/>
  <c r="V116" i="31"/>
  <c r="S116" i="31"/>
  <c r="R116" i="31"/>
  <c r="Q116" i="31"/>
  <c r="P116" i="31"/>
  <c r="O116" i="31"/>
  <c r="N116" i="31"/>
  <c r="M116" i="31"/>
  <c r="L116" i="31"/>
  <c r="J116" i="31"/>
  <c r="I116" i="31"/>
  <c r="K116" i="31" s="1"/>
  <c r="Z116" i="31" s="1"/>
  <c r="Y115" i="31"/>
  <c r="X115" i="31"/>
  <c r="W115" i="31"/>
  <c r="V115" i="31"/>
  <c r="S115" i="31"/>
  <c r="R115" i="31"/>
  <c r="Q115" i="31"/>
  <c r="P115" i="31"/>
  <c r="O115" i="31"/>
  <c r="N115" i="31"/>
  <c r="M115" i="31"/>
  <c r="J115" i="31"/>
  <c r="L115" i="31" s="1"/>
  <c r="I115" i="31"/>
  <c r="K115" i="31" s="1"/>
  <c r="U115" i="31" s="1"/>
  <c r="Y114" i="31"/>
  <c r="X114" i="31"/>
  <c r="W114" i="31"/>
  <c r="V114" i="31"/>
  <c r="S114" i="31"/>
  <c r="R114" i="31"/>
  <c r="Q114" i="31"/>
  <c r="P114" i="31"/>
  <c r="O114" i="31"/>
  <c r="N114" i="31"/>
  <c r="M114" i="31"/>
  <c r="J114" i="31"/>
  <c r="L114" i="31" s="1"/>
  <c r="I114" i="31"/>
  <c r="K114" i="31" s="1"/>
  <c r="T114" i="31" s="1"/>
  <c r="Y113" i="31"/>
  <c r="X113" i="31"/>
  <c r="W113" i="31"/>
  <c r="V113" i="31"/>
  <c r="S113" i="31"/>
  <c r="Z113" i="31" s="1"/>
  <c r="R113" i="31"/>
  <c r="Q113" i="31"/>
  <c r="P113" i="31"/>
  <c r="O113" i="31"/>
  <c r="N113" i="31"/>
  <c r="M113" i="31"/>
  <c r="K113" i="31"/>
  <c r="AA113" i="31" s="1"/>
  <c r="J113" i="31"/>
  <c r="I113" i="31"/>
  <c r="Y112" i="31"/>
  <c r="X112" i="31"/>
  <c r="W112" i="31"/>
  <c r="V112" i="31"/>
  <c r="S112" i="31"/>
  <c r="R112" i="31"/>
  <c r="Q112" i="31"/>
  <c r="P112" i="31"/>
  <c r="O112" i="31"/>
  <c r="N112" i="31"/>
  <c r="M112" i="31"/>
  <c r="J112" i="31"/>
  <c r="L112" i="31" s="1"/>
  <c r="I112" i="31"/>
  <c r="K112" i="31" s="1"/>
  <c r="Y111" i="31"/>
  <c r="X111" i="31"/>
  <c r="W111" i="31"/>
  <c r="V111" i="31"/>
  <c r="S111" i="31"/>
  <c r="R111" i="31"/>
  <c r="Q111" i="31"/>
  <c r="P111" i="31"/>
  <c r="O111" i="31"/>
  <c r="N111" i="31"/>
  <c r="M111" i="31"/>
  <c r="J111" i="31"/>
  <c r="L111" i="31" s="1"/>
  <c r="I111" i="31"/>
  <c r="K111" i="31" s="1"/>
  <c r="Y110" i="31"/>
  <c r="X110" i="31"/>
  <c r="W110" i="31"/>
  <c r="V110" i="31"/>
  <c r="S110" i="31"/>
  <c r="R110" i="31"/>
  <c r="Q110" i="31"/>
  <c r="P110" i="31"/>
  <c r="O110" i="31"/>
  <c r="N110" i="31"/>
  <c r="M110" i="31"/>
  <c r="U110" i="31" s="1"/>
  <c r="L110" i="31"/>
  <c r="K110" i="31"/>
  <c r="J110" i="31"/>
  <c r="I110" i="31"/>
  <c r="Y109" i="31"/>
  <c r="X109" i="31"/>
  <c r="W109" i="31"/>
  <c r="V109" i="31"/>
  <c r="S109" i="31"/>
  <c r="R109" i="31"/>
  <c r="Q109" i="31"/>
  <c r="P109" i="31"/>
  <c r="O109" i="31"/>
  <c r="N109" i="31"/>
  <c r="M109" i="31"/>
  <c r="K109" i="31"/>
  <c r="J109" i="31"/>
  <c r="L109" i="31" s="1"/>
  <c r="I109" i="31"/>
  <c r="AA108" i="31"/>
  <c r="Y108" i="31"/>
  <c r="X108" i="31"/>
  <c r="W108" i="31"/>
  <c r="V108" i="31"/>
  <c r="S108" i="31"/>
  <c r="R108" i="31"/>
  <c r="Q108" i="31"/>
  <c r="P108" i="31"/>
  <c r="O108" i="31"/>
  <c r="N108" i="31"/>
  <c r="M108" i="31"/>
  <c r="K108" i="31"/>
  <c r="J108" i="31"/>
  <c r="L108" i="31" s="1"/>
  <c r="I108" i="31"/>
  <c r="Y107" i="31"/>
  <c r="X107" i="31"/>
  <c r="W107" i="31"/>
  <c r="V107" i="31"/>
  <c r="S107" i="31"/>
  <c r="R107" i="31"/>
  <c r="Q107" i="31"/>
  <c r="P107" i="31"/>
  <c r="O107" i="31"/>
  <c r="N107" i="31"/>
  <c r="AA107" i="31" s="1"/>
  <c r="M107" i="31"/>
  <c r="L107" i="31"/>
  <c r="K107" i="31"/>
  <c r="J107" i="31"/>
  <c r="I107" i="31"/>
  <c r="Y106" i="31"/>
  <c r="X106" i="31"/>
  <c r="W106" i="31"/>
  <c r="AA106" i="31" s="1"/>
  <c r="V106" i="31"/>
  <c r="S106" i="31"/>
  <c r="R106" i="31"/>
  <c r="Q106" i="31"/>
  <c r="P106" i="31"/>
  <c r="O106" i="31"/>
  <c r="N106" i="31"/>
  <c r="M106" i="31"/>
  <c r="L106" i="31"/>
  <c r="J106" i="31"/>
  <c r="I106" i="31"/>
  <c r="K106" i="31" s="1"/>
  <c r="Z105" i="31"/>
  <c r="Y105" i="31"/>
  <c r="X105" i="31"/>
  <c r="W105" i="31"/>
  <c r="AA105" i="31" s="1"/>
  <c r="V105" i="31"/>
  <c r="S105" i="31"/>
  <c r="R105" i="31"/>
  <c r="Q105" i="31"/>
  <c r="P105" i="31"/>
  <c r="O105" i="31"/>
  <c r="N105" i="31"/>
  <c r="M105" i="31"/>
  <c r="L105" i="31"/>
  <c r="K105" i="31"/>
  <c r="J105" i="31"/>
  <c r="I105" i="31"/>
  <c r="Y104" i="31"/>
  <c r="X104" i="31"/>
  <c r="W104" i="31"/>
  <c r="V104" i="31"/>
  <c r="S104" i="31"/>
  <c r="R104" i="31"/>
  <c r="Q104" i="31"/>
  <c r="P104" i="31"/>
  <c r="O104" i="31"/>
  <c r="N104" i="31"/>
  <c r="M104" i="31"/>
  <c r="J104" i="31"/>
  <c r="L104" i="31" s="1"/>
  <c r="I104" i="31"/>
  <c r="K104" i="31" s="1"/>
  <c r="U104" i="31" s="1"/>
  <c r="Y103" i="31"/>
  <c r="X103" i="31"/>
  <c r="W103" i="31"/>
  <c r="V103" i="31"/>
  <c r="S103" i="31"/>
  <c r="R103" i="31"/>
  <c r="Q103" i="31"/>
  <c r="P103" i="31"/>
  <c r="O103" i="31"/>
  <c r="N103" i="31"/>
  <c r="M103" i="31"/>
  <c r="J103" i="31"/>
  <c r="L103" i="31" s="1"/>
  <c r="I103" i="31"/>
  <c r="K103" i="31" s="1"/>
  <c r="T103" i="31" s="1"/>
  <c r="Y102" i="31"/>
  <c r="X102" i="31"/>
  <c r="W102" i="31"/>
  <c r="V102" i="31"/>
  <c r="S102" i="31"/>
  <c r="R102" i="31"/>
  <c r="Q102" i="31"/>
  <c r="P102" i="31"/>
  <c r="O102" i="31"/>
  <c r="N102" i="31"/>
  <c r="M102" i="31"/>
  <c r="L102" i="31"/>
  <c r="K102" i="31"/>
  <c r="AA102" i="31" s="1"/>
  <c r="J102" i="31"/>
  <c r="I102" i="31"/>
  <c r="Y101" i="31"/>
  <c r="X101" i="31"/>
  <c r="U101" i="31" s="1"/>
  <c r="W101" i="31"/>
  <c r="V101" i="31"/>
  <c r="S101" i="31"/>
  <c r="R101" i="31"/>
  <c r="Q101" i="31"/>
  <c r="P101" i="31"/>
  <c r="O101" i="31"/>
  <c r="N101" i="31"/>
  <c r="M101" i="31"/>
  <c r="K101" i="31"/>
  <c r="J101" i="31"/>
  <c r="L101" i="31" s="1"/>
  <c r="I101" i="31"/>
  <c r="Y100" i="31"/>
  <c r="X100" i="31"/>
  <c r="W100" i="31"/>
  <c r="V100" i="31"/>
  <c r="S100" i="31"/>
  <c r="R100" i="31"/>
  <c r="Q100" i="31"/>
  <c r="P100" i="31"/>
  <c r="O100" i="31"/>
  <c r="N100" i="31"/>
  <c r="M100" i="31"/>
  <c r="K100" i="31"/>
  <c r="J100" i="31"/>
  <c r="L100" i="31" s="1"/>
  <c r="I100" i="31"/>
  <c r="Y99" i="31"/>
  <c r="X99" i="31"/>
  <c r="W99" i="31"/>
  <c r="V99" i="31"/>
  <c r="S99" i="31"/>
  <c r="R99" i="31"/>
  <c r="Q99" i="31"/>
  <c r="P99" i="31"/>
  <c r="O99" i="31"/>
  <c r="N99" i="31"/>
  <c r="M99" i="31"/>
  <c r="U99" i="31" s="1"/>
  <c r="L99" i="31"/>
  <c r="K99" i="31"/>
  <c r="J99" i="31"/>
  <c r="I99" i="31"/>
  <c r="Y98" i="31"/>
  <c r="X98" i="31"/>
  <c r="W98" i="31"/>
  <c r="V98" i="31"/>
  <c r="Z98" i="31" s="1"/>
  <c r="S98" i="31"/>
  <c r="R98" i="31"/>
  <c r="Q98" i="31"/>
  <c r="P98" i="31"/>
  <c r="O98" i="31"/>
  <c r="N98" i="31"/>
  <c r="M98" i="31"/>
  <c r="L98" i="31"/>
  <c r="J98" i="31"/>
  <c r="I98" i="31"/>
  <c r="K98" i="31" s="1"/>
  <c r="Z97" i="31"/>
  <c r="Y97" i="31"/>
  <c r="X97" i="31"/>
  <c r="W97" i="31"/>
  <c r="V97" i="31"/>
  <c r="S97" i="31"/>
  <c r="R97" i="31"/>
  <c r="Q97" i="31"/>
  <c r="P97" i="31"/>
  <c r="O97" i="31"/>
  <c r="N97" i="31"/>
  <c r="M97" i="31"/>
  <c r="L97" i="31"/>
  <c r="J97" i="31"/>
  <c r="I97" i="31"/>
  <c r="K97" i="31" s="1"/>
  <c r="Y96" i="31"/>
  <c r="X96" i="31"/>
  <c r="W96" i="31"/>
  <c r="V96" i="31"/>
  <c r="S96" i="31"/>
  <c r="R96" i="31"/>
  <c r="Q96" i="31"/>
  <c r="P96" i="31"/>
  <c r="O96" i="31"/>
  <c r="N96" i="31"/>
  <c r="M96" i="31"/>
  <c r="J96" i="31"/>
  <c r="L96" i="31" s="1"/>
  <c r="U96" i="31" s="1"/>
  <c r="I96" i="31"/>
  <c r="K96" i="31" s="1"/>
  <c r="Y95" i="31"/>
  <c r="X95" i="31"/>
  <c r="W95" i="31"/>
  <c r="V95" i="31"/>
  <c r="S95" i="31"/>
  <c r="R95" i="31"/>
  <c r="Q95" i="31"/>
  <c r="P95" i="31"/>
  <c r="Z95" i="31" s="1"/>
  <c r="O95" i="31"/>
  <c r="N95" i="31"/>
  <c r="M95" i="31"/>
  <c r="J95" i="31"/>
  <c r="L95" i="31" s="1"/>
  <c r="I95" i="31"/>
  <c r="K95" i="31" s="1"/>
  <c r="Z94" i="31"/>
  <c r="Y94" i="31"/>
  <c r="X94" i="31"/>
  <c r="U94" i="31" s="1"/>
  <c r="W94" i="31"/>
  <c r="V94" i="31"/>
  <c r="S94" i="31"/>
  <c r="R94" i="31"/>
  <c r="Q94" i="31"/>
  <c r="P94" i="31"/>
  <c r="O94" i="31"/>
  <c r="N94" i="31"/>
  <c r="M94" i="31"/>
  <c r="L94" i="31"/>
  <c r="T94" i="31" s="1"/>
  <c r="K94" i="31"/>
  <c r="AA94" i="31" s="1"/>
  <c r="J94" i="31"/>
  <c r="I94" i="31"/>
  <c r="Y93" i="31"/>
  <c r="X93" i="31"/>
  <c r="W93" i="31"/>
  <c r="V93" i="31"/>
  <c r="S93" i="31"/>
  <c r="R93" i="31"/>
  <c r="Q93" i="31"/>
  <c r="P93" i="31"/>
  <c r="O93" i="31"/>
  <c r="N93" i="31"/>
  <c r="M93" i="31"/>
  <c r="K93" i="31"/>
  <c r="J93" i="31"/>
  <c r="L93" i="31" s="1"/>
  <c r="AA93" i="31" s="1"/>
  <c r="I93" i="31"/>
  <c r="Y92" i="31"/>
  <c r="X92" i="31"/>
  <c r="W92" i="31"/>
  <c r="V92" i="31"/>
  <c r="S92" i="31"/>
  <c r="R92" i="31"/>
  <c r="Q92" i="31"/>
  <c r="P92" i="31"/>
  <c r="O92" i="31"/>
  <c r="N92" i="31"/>
  <c r="M92" i="31"/>
  <c r="K92" i="31"/>
  <c r="J92" i="31"/>
  <c r="L92" i="31" s="1"/>
  <c r="AA92" i="31" s="1"/>
  <c r="I92" i="31"/>
  <c r="Y91" i="31"/>
  <c r="X91" i="31"/>
  <c r="W91" i="31"/>
  <c r="V91" i="31"/>
  <c r="S91" i="31"/>
  <c r="R91" i="31"/>
  <c r="Q91" i="31"/>
  <c r="P91" i="31"/>
  <c r="O91" i="31"/>
  <c r="N91" i="31"/>
  <c r="M91" i="31"/>
  <c r="L91" i="31"/>
  <c r="K91" i="31"/>
  <c r="AA91" i="31" s="1"/>
  <c r="J91" i="31"/>
  <c r="I91" i="31"/>
  <c r="Y90" i="31"/>
  <c r="X90" i="31"/>
  <c r="W90" i="31"/>
  <c r="V90" i="31"/>
  <c r="S90" i="31"/>
  <c r="R90" i="31"/>
  <c r="Q90" i="31"/>
  <c r="P90" i="31"/>
  <c r="O90" i="31"/>
  <c r="N90" i="31"/>
  <c r="M90" i="31"/>
  <c r="L90" i="31"/>
  <c r="T90" i="31" s="1"/>
  <c r="K90" i="31"/>
  <c r="J90" i="31"/>
  <c r="I90" i="31"/>
  <c r="Y89" i="31"/>
  <c r="X89" i="31"/>
  <c r="W89" i="31"/>
  <c r="AA89" i="31" s="1"/>
  <c r="V89" i="31"/>
  <c r="S89" i="31"/>
  <c r="R89" i="31"/>
  <c r="Q89" i="31"/>
  <c r="P89" i="31"/>
  <c r="O89" i="31"/>
  <c r="N89" i="31"/>
  <c r="M89" i="31"/>
  <c r="K89" i="31"/>
  <c r="J89" i="31"/>
  <c r="L89" i="31" s="1"/>
  <c r="T89" i="31" s="1"/>
  <c r="I89" i="31"/>
  <c r="Y88" i="31"/>
  <c r="X88" i="31"/>
  <c r="W88" i="31"/>
  <c r="V88" i="31"/>
  <c r="S88" i="31"/>
  <c r="R88" i="31"/>
  <c r="Q88" i="31"/>
  <c r="Z88" i="31" s="1"/>
  <c r="P88" i="31"/>
  <c r="O88" i="31"/>
  <c r="N88" i="31"/>
  <c r="M88" i="31"/>
  <c r="L88" i="31"/>
  <c r="T88" i="31" s="1"/>
  <c r="J88" i="31"/>
  <c r="I88" i="31"/>
  <c r="K88" i="31" s="1"/>
  <c r="Y87" i="31"/>
  <c r="X87" i="31"/>
  <c r="W87" i="31"/>
  <c r="V87" i="31"/>
  <c r="S87" i="31"/>
  <c r="R87" i="31"/>
  <c r="Q87" i="31"/>
  <c r="P87" i="31"/>
  <c r="O87" i="31"/>
  <c r="N87" i="31"/>
  <c r="M87" i="31"/>
  <c r="K87" i="31"/>
  <c r="AA87" i="31" s="1"/>
  <c r="J87" i="31"/>
  <c r="I87" i="31"/>
  <c r="Y86" i="31"/>
  <c r="X86" i="31"/>
  <c r="W86" i="31"/>
  <c r="V86" i="31"/>
  <c r="S86" i="31"/>
  <c r="R86" i="31"/>
  <c r="Q86" i="31"/>
  <c r="P86" i="31"/>
  <c r="O86" i="31"/>
  <c r="N86" i="31"/>
  <c r="M86" i="31"/>
  <c r="K86" i="31"/>
  <c r="AA86" i="31" s="1"/>
  <c r="J86" i="31"/>
  <c r="I86" i="31"/>
  <c r="Y85" i="31"/>
  <c r="X85" i="31"/>
  <c r="W85" i="31"/>
  <c r="V85" i="31"/>
  <c r="S85" i="31"/>
  <c r="R85" i="31"/>
  <c r="Q85" i="31"/>
  <c r="P85" i="31"/>
  <c r="O85" i="31"/>
  <c r="U85" i="31" s="1"/>
  <c r="N85" i="31"/>
  <c r="M85" i="31"/>
  <c r="L85" i="31"/>
  <c r="J85" i="31"/>
  <c r="I85" i="31"/>
  <c r="K85" i="31" s="1"/>
  <c r="Y84" i="31"/>
  <c r="X84" i="31"/>
  <c r="W84" i="31"/>
  <c r="V84" i="31"/>
  <c r="S84" i="31"/>
  <c r="R84" i="31"/>
  <c r="Q84" i="31"/>
  <c r="P84" i="31"/>
  <c r="Z84" i="31" s="1"/>
  <c r="O84" i="31"/>
  <c r="N84" i="31"/>
  <c r="M84" i="31"/>
  <c r="L84" i="31"/>
  <c r="K84" i="31"/>
  <c r="J84" i="31"/>
  <c r="I84" i="31"/>
  <c r="Y83" i="31"/>
  <c r="X83" i="31"/>
  <c r="W83" i="31"/>
  <c r="V83" i="31"/>
  <c r="Z83" i="31" s="1"/>
  <c r="S83" i="31"/>
  <c r="R83" i="31"/>
  <c r="Q83" i="31"/>
  <c r="P83" i="31"/>
  <c r="O83" i="31"/>
  <c r="N83" i="31"/>
  <c r="M83" i="31"/>
  <c r="L83" i="31"/>
  <c r="AA83" i="31" s="1"/>
  <c r="K83" i="31"/>
  <c r="J83" i="31"/>
  <c r="I83" i="31"/>
  <c r="Y82" i="31"/>
  <c r="X82" i="31"/>
  <c r="W82" i="31"/>
  <c r="V82" i="31"/>
  <c r="S82" i="31"/>
  <c r="R82" i="31"/>
  <c r="Q82" i="31"/>
  <c r="P82" i="31"/>
  <c r="O82" i="31"/>
  <c r="N82" i="31"/>
  <c r="M82" i="31"/>
  <c r="U82" i="31" s="1"/>
  <c r="K82" i="31"/>
  <c r="J82" i="31"/>
  <c r="I82" i="31"/>
  <c r="Y81" i="31"/>
  <c r="X81" i="31"/>
  <c r="W81" i="31"/>
  <c r="AA81" i="31" s="1"/>
  <c r="V81" i="31"/>
  <c r="T81" i="31" s="1"/>
  <c r="S81" i="31"/>
  <c r="R81" i="31"/>
  <c r="Q81" i="31"/>
  <c r="P81" i="31"/>
  <c r="O81" i="31"/>
  <c r="N81" i="31"/>
  <c r="M81" i="31"/>
  <c r="J81" i="31"/>
  <c r="I81" i="31"/>
  <c r="K81" i="31" s="1"/>
  <c r="Y80" i="31"/>
  <c r="X80" i="31"/>
  <c r="W80" i="31"/>
  <c r="V80" i="31"/>
  <c r="S80" i="31"/>
  <c r="R80" i="31"/>
  <c r="Q80" i="31"/>
  <c r="P80" i="31"/>
  <c r="AA80" i="31" s="1"/>
  <c r="O80" i="31"/>
  <c r="N80" i="31"/>
  <c r="M80" i="31"/>
  <c r="L80" i="31"/>
  <c r="K80" i="31"/>
  <c r="J80" i="31"/>
  <c r="I80" i="31"/>
  <c r="Y79" i="31"/>
  <c r="X79" i="31"/>
  <c r="W79" i="31"/>
  <c r="V79" i="31"/>
  <c r="S79" i="31"/>
  <c r="R79" i="31"/>
  <c r="Q79" i="31"/>
  <c r="P79" i="31"/>
  <c r="O79" i="31"/>
  <c r="N79" i="31"/>
  <c r="M79" i="31"/>
  <c r="K79" i="31"/>
  <c r="U79" i="31" s="1"/>
  <c r="J79" i="31"/>
  <c r="L79" i="31" s="1"/>
  <c r="AA79" i="31" s="1"/>
  <c r="I79" i="31"/>
  <c r="Y78" i="31"/>
  <c r="X78" i="31"/>
  <c r="W78" i="31"/>
  <c r="V78" i="31"/>
  <c r="S78" i="31"/>
  <c r="R78" i="31"/>
  <c r="Q78" i="31"/>
  <c r="P78" i="31"/>
  <c r="O78" i="31"/>
  <c r="N78" i="31"/>
  <c r="M78" i="31"/>
  <c r="L78" i="31"/>
  <c r="T78" i="31" s="1"/>
  <c r="J78" i="31"/>
  <c r="I78" i="31"/>
  <c r="K78" i="31" s="1"/>
  <c r="U78" i="31" s="1"/>
  <c r="Y77" i="31"/>
  <c r="X77" i="31"/>
  <c r="W77" i="31"/>
  <c r="V77" i="31"/>
  <c r="S77" i="31"/>
  <c r="R77" i="31"/>
  <c r="Q77" i="31"/>
  <c r="P77" i="31"/>
  <c r="AA77" i="31" s="1"/>
  <c r="O77" i="31"/>
  <c r="N77" i="31"/>
  <c r="M77" i="31"/>
  <c r="I77" i="31"/>
  <c r="K77" i="31" s="1"/>
  <c r="Y76" i="31"/>
  <c r="X76" i="31"/>
  <c r="W76" i="31"/>
  <c r="V76" i="31"/>
  <c r="S76" i="31"/>
  <c r="R76" i="31"/>
  <c r="Q76" i="31"/>
  <c r="P76" i="31"/>
  <c r="O76" i="31"/>
  <c r="N76" i="31"/>
  <c r="M76" i="31"/>
  <c r="K76" i="31"/>
  <c r="T76" i="31" s="1"/>
  <c r="J76" i="31"/>
  <c r="I76" i="31"/>
  <c r="Y75" i="31"/>
  <c r="X75" i="31"/>
  <c r="W75" i="31"/>
  <c r="V75" i="31"/>
  <c r="S75" i="31"/>
  <c r="R75" i="31"/>
  <c r="Q75" i="31"/>
  <c r="P75" i="31"/>
  <c r="O75" i="31"/>
  <c r="N75" i="31"/>
  <c r="M75" i="31"/>
  <c r="K75" i="31"/>
  <c r="J75" i="31"/>
  <c r="L75" i="31" s="1"/>
  <c r="I75" i="31"/>
  <c r="Y74" i="31"/>
  <c r="X74" i="31"/>
  <c r="W74" i="31"/>
  <c r="V74" i="31"/>
  <c r="S74" i="31"/>
  <c r="R74" i="31"/>
  <c r="Q74" i="31"/>
  <c r="P74" i="31"/>
  <c r="O74" i="31"/>
  <c r="N74" i="31"/>
  <c r="M74" i="31"/>
  <c r="J74" i="31"/>
  <c r="L74" i="31" s="1"/>
  <c r="I74" i="31"/>
  <c r="K74" i="31" s="1"/>
  <c r="U74" i="31" s="1"/>
  <c r="Y73" i="31"/>
  <c r="X73" i="31"/>
  <c r="W73" i="31"/>
  <c r="V73" i="31"/>
  <c r="S73" i="31"/>
  <c r="R73" i="31"/>
  <c r="Q73" i="31"/>
  <c r="P73" i="31"/>
  <c r="O73" i="31"/>
  <c r="N73" i="31"/>
  <c r="M73" i="31"/>
  <c r="L73" i="31"/>
  <c r="T73" i="31" s="1"/>
  <c r="J73" i="31"/>
  <c r="I73" i="31"/>
  <c r="K73" i="31" s="1"/>
  <c r="Y72" i="31"/>
  <c r="X72" i="31"/>
  <c r="W72" i="31"/>
  <c r="AA72" i="31" s="1"/>
  <c r="V72" i="31"/>
  <c r="S72" i="31"/>
  <c r="R72" i="31"/>
  <c r="Q72" i="31"/>
  <c r="P72" i="31"/>
  <c r="O72" i="31"/>
  <c r="N72" i="31"/>
  <c r="M72" i="31"/>
  <c r="U72" i="31" s="1"/>
  <c r="K72" i="31"/>
  <c r="J72" i="31"/>
  <c r="I72" i="31"/>
  <c r="Y71" i="31"/>
  <c r="X71" i="31"/>
  <c r="W71" i="31"/>
  <c r="V71" i="31"/>
  <c r="S71" i="31"/>
  <c r="R71" i="31"/>
  <c r="Q71" i="31"/>
  <c r="P71" i="31"/>
  <c r="O71" i="31"/>
  <c r="N71" i="31"/>
  <c r="M71" i="31"/>
  <c r="J71" i="31"/>
  <c r="L71" i="31" s="1"/>
  <c r="U71" i="31" s="1"/>
  <c r="I71" i="31"/>
  <c r="K71" i="31" s="1"/>
  <c r="Y70" i="31"/>
  <c r="X70" i="31"/>
  <c r="W70" i="31"/>
  <c r="V70" i="31"/>
  <c r="S70" i="31"/>
  <c r="R70" i="31"/>
  <c r="Q70" i="31"/>
  <c r="P70" i="31"/>
  <c r="O70" i="31"/>
  <c r="N70" i="31"/>
  <c r="M70" i="31"/>
  <c r="J70" i="31"/>
  <c r="L70" i="31" s="1"/>
  <c r="Z70" i="31" s="1"/>
  <c r="I70" i="31"/>
  <c r="K70" i="31" s="1"/>
  <c r="T70" i="31" s="1"/>
  <c r="Y69" i="31"/>
  <c r="X69" i="31"/>
  <c r="W69" i="31"/>
  <c r="AA69" i="31" s="1"/>
  <c r="V69" i="31"/>
  <c r="S69" i="31"/>
  <c r="R69" i="31"/>
  <c r="Q69" i="31"/>
  <c r="P69" i="31"/>
  <c r="O69" i="31"/>
  <c r="N69" i="31"/>
  <c r="M69" i="31"/>
  <c r="L69" i="31"/>
  <c r="T69" i="31" s="1"/>
  <c r="K69" i="31"/>
  <c r="J69" i="31"/>
  <c r="I69" i="31"/>
  <c r="Y68" i="31"/>
  <c r="X68" i="31"/>
  <c r="W68" i="31"/>
  <c r="V68" i="31"/>
  <c r="S68" i="31"/>
  <c r="R68" i="31"/>
  <c r="Q68" i="31"/>
  <c r="P68" i="31"/>
  <c r="Z68" i="31" s="1"/>
  <c r="O68" i="31"/>
  <c r="N68" i="31"/>
  <c r="M68" i="31"/>
  <c r="K68" i="31"/>
  <c r="J68" i="31"/>
  <c r="L68" i="31" s="1"/>
  <c r="I68" i="31"/>
  <c r="Y67" i="31"/>
  <c r="X67" i="31"/>
  <c r="W67" i="31"/>
  <c r="V67" i="31"/>
  <c r="S67" i="31"/>
  <c r="R67" i="31"/>
  <c r="Q67" i="31"/>
  <c r="P67" i="31"/>
  <c r="O67" i="31"/>
  <c r="N67" i="31"/>
  <c r="M67" i="31"/>
  <c r="J67" i="31"/>
  <c r="L67" i="31" s="1"/>
  <c r="I67" i="31"/>
  <c r="K67" i="31" s="1"/>
  <c r="Y66" i="31"/>
  <c r="X66" i="31"/>
  <c r="W66" i="31"/>
  <c r="V66" i="31"/>
  <c r="T66" i="31" s="1"/>
  <c r="S66" i="31"/>
  <c r="R66" i="31"/>
  <c r="Q66" i="31"/>
  <c r="P66" i="31"/>
  <c r="O66" i="31"/>
  <c r="N66" i="31"/>
  <c r="M66" i="31"/>
  <c r="U66" i="31" s="1"/>
  <c r="L66" i="31"/>
  <c r="J66" i="31"/>
  <c r="I66" i="31"/>
  <c r="K66" i="31" s="1"/>
  <c r="Y65" i="31"/>
  <c r="X65" i="31"/>
  <c r="W65" i="31"/>
  <c r="V65" i="31"/>
  <c r="S65" i="31"/>
  <c r="R65" i="31"/>
  <c r="Q65" i="31"/>
  <c r="P65" i="31"/>
  <c r="O65" i="31"/>
  <c r="N65" i="31"/>
  <c r="M65" i="31"/>
  <c r="L65" i="31"/>
  <c r="J65" i="31"/>
  <c r="I65" i="31"/>
  <c r="K65" i="31" s="1"/>
  <c r="Y64" i="31"/>
  <c r="X64" i="31"/>
  <c r="W64" i="31"/>
  <c r="V64" i="31"/>
  <c r="S64" i="31"/>
  <c r="R64" i="31"/>
  <c r="Q64" i="31"/>
  <c r="P64" i="31"/>
  <c r="O64" i="31"/>
  <c r="N64" i="31"/>
  <c r="M64" i="31"/>
  <c r="K64" i="31"/>
  <c r="Z64" i="31" s="1"/>
  <c r="J64" i="31"/>
  <c r="L64" i="31" s="1"/>
  <c r="AA64" i="31" s="1"/>
  <c r="I64" i="31"/>
  <c r="Y63" i="31"/>
  <c r="X63" i="31"/>
  <c r="W63" i="31"/>
  <c r="V63" i="31"/>
  <c r="S63" i="31"/>
  <c r="R63" i="31"/>
  <c r="Q63" i="31"/>
  <c r="P63" i="31"/>
  <c r="O63" i="31"/>
  <c r="N63" i="31"/>
  <c r="M63" i="31"/>
  <c r="J63" i="31"/>
  <c r="L63" i="31" s="1"/>
  <c r="I63" i="31"/>
  <c r="K63" i="31" s="1"/>
  <c r="U63" i="31" s="1"/>
  <c r="Y62" i="31"/>
  <c r="X62" i="31"/>
  <c r="W62" i="31"/>
  <c r="V62" i="31"/>
  <c r="S62" i="31"/>
  <c r="R62" i="31"/>
  <c r="Q62" i="31"/>
  <c r="P62" i="31"/>
  <c r="O62" i="31"/>
  <c r="N62" i="31"/>
  <c r="M62" i="31"/>
  <c r="J62" i="31"/>
  <c r="L62" i="31" s="1"/>
  <c r="Z62" i="31" s="1"/>
  <c r="I62" i="31"/>
  <c r="K62" i="31" s="1"/>
  <c r="AA61" i="31"/>
  <c r="X61" i="31"/>
  <c r="W61" i="31"/>
  <c r="V61" i="31"/>
  <c r="S61" i="31"/>
  <c r="R61" i="31"/>
  <c r="Q61" i="31"/>
  <c r="N61" i="31"/>
  <c r="M61" i="31"/>
  <c r="K61" i="31"/>
  <c r="T61" i="31" s="1"/>
  <c r="I61" i="31"/>
  <c r="X60" i="31"/>
  <c r="W60" i="31"/>
  <c r="V60" i="31"/>
  <c r="S60" i="31"/>
  <c r="R60" i="31"/>
  <c r="Q60" i="31"/>
  <c r="N60" i="31"/>
  <c r="M60" i="31"/>
  <c r="K60" i="31"/>
  <c r="J60" i="31"/>
  <c r="L60" i="31" s="1"/>
  <c r="T60" i="31" s="1"/>
  <c r="I60" i="31"/>
  <c r="X59" i="31"/>
  <c r="W59" i="31"/>
  <c r="V59" i="31"/>
  <c r="S59" i="31"/>
  <c r="R59" i="31"/>
  <c r="Q59" i="31"/>
  <c r="AA59" i="31" s="1"/>
  <c r="N59" i="31"/>
  <c r="M59" i="31"/>
  <c r="K59" i="31"/>
  <c r="J59" i="31"/>
  <c r="L59" i="31" s="1"/>
  <c r="Z59" i="31" s="1"/>
  <c r="I59" i="31"/>
  <c r="X58" i="31"/>
  <c r="W58" i="31"/>
  <c r="V58" i="31"/>
  <c r="S58" i="31"/>
  <c r="R58" i="31"/>
  <c r="Q58" i="31"/>
  <c r="AA58" i="31" s="1"/>
  <c r="N58" i="31"/>
  <c r="M58" i="31"/>
  <c r="K58" i="31"/>
  <c r="J58" i="31"/>
  <c r="L58" i="31" s="1"/>
  <c r="Z58" i="31" s="1"/>
  <c r="I58" i="31"/>
  <c r="X57" i="31"/>
  <c r="U57" i="31" s="1"/>
  <c r="W57" i="31"/>
  <c r="V57" i="31"/>
  <c r="S57" i="31"/>
  <c r="R57" i="31"/>
  <c r="Q57" i="31"/>
  <c r="N57" i="31"/>
  <c r="M57" i="31"/>
  <c r="K57" i="31"/>
  <c r="J57" i="31"/>
  <c r="L57" i="31" s="1"/>
  <c r="T57" i="31" s="1"/>
  <c r="I57" i="31"/>
  <c r="X56" i="31"/>
  <c r="W56" i="31"/>
  <c r="V56" i="31"/>
  <c r="S56" i="31"/>
  <c r="R56" i="31"/>
  <c r="Q56" i="31"/>
  <c r="N56" i="31"/>
  <c r="M56" i="31"/>
  <c r="K56" i="31"/>
  <c r="J56" i="31"/>
  <c r="L56" i="31" s="1"/>
  <c r="T56" i="31" s="1"/>
  <c r="I56" i="31"/>
  <c r="X55" i="31"/>
  <c r="W55" i="31"/>
  <c r="V55" i="31"/>
  <c r="S55" i="31"/>
  <c r="R55" i="31"/>
  <c r="Q55" i="31"/>
  <c r="AA55" i="31" s="1"/>
  <c r="N55" i="31"/>
  <c r="Z55" i="31" s="1"/>
  <c r="M55" i="31"/>
  <c r="K55" i="31"/>
  <c r="I55" i="31"/>
  <c r="X54" i="31"/>
  <c r="W54" i="31"/>
  <c r="V54" i="31"/>
  <c r="S54" i="31"/>
  <c r="R54" i="31"/>
  <c r="Q54" i="31"/>
  <c r="N54" i="31"/>
  <c r="M54" i="31"/>
  <c r="L54" i="31"/>
  <c r="J54" i="31"/>
  <c r="I54" i="31"/>
  <c r="K54" i="31" s="1"/>
  <c r="AA54" i="31" s="1"/>
  <c r="X53" i="31"/>
  <c r="W53" i="31"/>
  <c r="V53" i="31"/>
  <c r="S53" i="31"/>
  <c r="R53" i="31"/>
  <c r="Q53" i="31"/>
  <c r="N53" i="31"/>
  <c r="M53" i="31"/>
  <c r="K53" i="31"/>
  <c r="AA53" i="31" s="1"/>
  <c r="I53" i="31"/>
  <c r="X52" i="31"/>
  <c r="W52" i="31"/>
  <c r="V52" i="31"/>
  <c r="S52" i="31"/>
  <c r="R52" i="31"/>
  <c r="Q52" i="31"/>
  <c r="N52" i="31"/>
  <c r="M52" i="31"/>
  <c r="L52" i="31"/>
  <c r="K52" i="31"/>
  <c r="J52" i="31"/>
  <c r="I52" i="31"/>
  <c r="X51" i="31"/>
  <c r="W51" i="31"/>
  <c r="V51" i="31"/>
  <c r="S51" i="31"/>
  <c r="R51" i="31"/>
  <c r="Q51" i="31"/>
  <c r="N51" i="31"/>
  <c r="M51" i="31"/>
  <c r="K51" i="31"/>
  <c r="J51" i="31"/>
  <c r="L51" i="31" s="1"/>
  <c r="T51" i="31" s="1"/>
  <c r="I51" i="31"/>
  <c r="X50" i="31"/>
  <c r="U50" i="31" s="1"/>
  <c r="W50" i="31"/>
  <c r="V50" i="31"/>
  <c r="T50" i="31" s="1"/>
  <c r="S50" i="31"/>
  <c r="R50" i="31"/>
  <c r="Q50" i="31"/>
  <c r="N50" i="31"/>
  <c r="M50" i="31"/>
  <c r="L50" i="31"/>
  <c r="K50" i="31"/>
  <c r="J50" i="31"/>
  <c r="I50" i="31"/>
  <c r="X49" i="31"/>
  <c r="U49" i="31" s="1"/>
  <c r="W49" i="31"/>
  <c r="V49" i="31"/>
  <c r="T49" i="31" s="1"/>
  <c r="S49" i="31"/>
  <c r="R49" i="31"/>
  <c r="Q49" i="31"/>
  <c r="N49" i="31"/>
  <c r="M49" i="31"/>
  <c r="L49" i="31"/>
  <c r="K49" i="31"/>
  <c r="J49" i="31"/>
  <c r="I49" i="31"/>
  <c r="X48" i="31"/>
  <c r="W48" i="31"/>
  <c r="V48" i="31"/>
  <c r="S48" i="31"/>
  <c r="R48" i="31"/>
  <c r="Q48" i="31"/>
  <c r="N48" i="31"/>
  <c r="M48" i="31"/>
  <c r="K48" i="31"/>
  <c r="AA48" i="31" s="1"/>
  <c r="I48" i="31"/>
  <c r="X47" i="31"/>
  <c r="W47" i="31"/>
  <c r="V47" i="31"/>
  <c r="S47" i="31"/>
  <c r="R47" i="31"/>
  <c r="AA47" i="31" s="1"/>
  <c r="Q47" i="31"/>
  <c r="N47" i="31"/>
  <c r="M47" i="31"/>
  <c r="L47" i="31"/>
  <c r="J47" i="31"/>
  <c r="I47" i="31"/>
  <c r="K47" i="31" s="1"/>
  <c r="T47" i="31" s="1"/>
  <c r="X46" i="31"/>
  <c r="W46" i="31"/>
  <c r="V46" i="31"/>
  <c r="S46" i="31"/>
  <c r="R46" i="31"/>
  <c r="Q46" i="31"/>
  <c r="N46" i="31"/>
  <c r="M46" i="31"/>
  <c r="J46" i="31"/>
  <c r="L46" i="31" s="1"/>
  <c r="AA46" i="31" s="1"/>
  <c r="I46" i="31"/>
  <c r="K46" i="31" s="1"/>
  <c r="X45" i="31"/>
  <c r="W45" i="31"/>
  <c r="V45" i="31"/>
  <c r="T45" i="31"/>
  <c r="S45" i="31"/>
  <c r="R45" i="31"/>
  <c r="AA45" i="31" s="1"/>
  <c r="Q45" i="31"/>
  <c r="N45" i="31"/>
  <c r="M45" i="31"/>
  <c r="K45" i="31"/>
  <c r="I45" i="31"/>
  <c r="X44" i="31"/>
  <c r="W44" i="31"/>
  <c r="V44" i="31"/>
  <c r="S44" i="31"/>
  <c r="R44" i="31"/>
  <c r="Q44" i="31"/>
  <c r="AA44" i="31" s="1"/>
  <c r="N44" i="31"/>
  <c r="M44" i="31"/>
  <c r="K44" i="31"/>
  <c r="J44" i="31"/>
  <c r="L44" i="31" s="1"/>
  <c r="Z44" i="31" s="1"/>
  <c r="I44" i="31"/>
  <c r="X43" i="31"/>
  <c r="U43" i="31" s="1"/>
  <c r="W43" i="31"/>
  <c r="V43" i="31"/>
  <c r="S43" i="31"/>
  <c r="R43" i="31"/>
  <c r="Q43" i="31"/>
  <c r="N43" i="31"/>
  <c r="M43" i="31"/>
  <c r="K43" i="31"/>
  <c r="J43" i="31"/>
  <c r="L43" i="31" s="1"/>
  <c r="T43" i="31" s="1"/>
  <c r="I43" i="31"/>
  <c r="X42" i="31"/>
  <c r="W42" i="31"/>
  <c r="V42" i="31"/>
  <c r="S42" i="31"/>
  <c r="R42" i="31"/>
  <c r="Q42" i="31"/>
  <c r="T42" i="31" s="1"/>
  <c r="N42" i="31"/>
  <c r="Z42" i="31" s="1"/>
  <c r="M42" i="31"/>
  <c r="K42" i="31"/>
  <c r="I42" i="31"/>
  <c r="X41" i="31"/>
  <c r="W41" i="31"/>
  <c r="V41" i="31"/>
  <c r="S41" i="31"/>
  <c r="R41" i="31"/>
  <c r="Q41" i="31"/>
  <c r="N41" i="31"/>
  <c r="M41" i="31"/>
  <c r="L41" i="31"/>
  <c r="J41" i="31"/>
  <c r="I41" i="31"/>
  <c r="K41" i="31" s="1"/>
  <c r="AA41" i="31" s="1"/>
  <c r="X40" i="31"/>
  <c r="W40" i="31"/>
  <c r="AA40" i="31" s="1"/>
  <c r="V40" i="31"/>
  <c r="S40" i="31"/>
  <c r="R40" i="31"/>
  <c r="Q40" i="31"/>
  <c r="N40" i="31"/>
  <c r="M40" i="31"/>
  <c r="L40" i="31"/>
  <c r="J40" i="31"/>
  <c r="I40" i="31"/>
  <c r="K40" i="31" s="1"/>
  <c r="X39" i="31"/>
  <c r="W39" i="31"/>
  <c r="V39" i="31"/>
  <c r="S39" i="31"/>
  <c r="R39" i="31"/>
  <c r="Q39" i="31"/>
  <c r="N39" i="31"/>
  <c r="M39" i="31"/>
  <c r="K39" i="31"/>
  <c r="AA39" i="31" s="1"/>
  <c r="I39" i="31"/>
  <c r="X38" i="31"/>
  <c r="U38" i="31" s="1"/>
  <c r="W38" i="31"/>
  <c r="V38" i="31"/>
  <c r="S38" i="31"/>
  <c r="R38" i="31"/>
  <c r="Q38" i="31"/>
  <c r="N38" i="31"/>
  <c r="M38" i="31"/>
  <c r="K38" i="31"/>
  <c r="J38" i="31"/>
  <c r="L38" i="31" s="1"/>
  <c r="T38" i="31" s="1"/>
  <c r="I38" i="31"/>
  <c r="X37" i="31"/>
  <c r="U37" i="31" s="1"/>
  <c r="W37" i="31"/>
  <c r="V37" i="31"/>
  <c r="T37" i="31" s="1"/>
  <c r="S37" i="31"/>
  <c r="R37" i="31"/>
  <c r="Q37" i="31"/>
  <c r="N37" i="31"/>
  <c r="M37" i="31"/>
  <c r="L37" i="31"/>
  <c r="K37" i="31"/>
  <c r="J37" i="31"/>
  <c r="I37" i="31"/>
  <c r="X36" i="31"/>
  <c r="U36" i="31" s="1"/>
  <c r="W36" i="31"/>
  <c r="V36" i="31"/>
  <c r="T36" i="31" s="1"/>
  <c r="S36" i="31"/>
  <c r="R36" i="31"/>
  <c r="Q36" i="31"/>
  <c r="N36" i="31"/>
  <c r="M36" i="31"/>
  <c r="L36" i="31"/>
  <c r="K36" i="31"/>
  <c r="J36" i="31"/>
  <c r="I36" i="31"/>
  <c r="X35" i="31"/>
  <c r="W35" i="31"/>
  <c r="V35" i="31"/>
  <c r="S35" i="31"/>
  <c r="R35" i="31"/>
  <c r="Q35" i="31"/>
  <c r="N35" i="31"/>
  <c r="M35" i="31"/>
  <c r="L35" i="31"/>
  <c r="K35" i="31"/>
  <c r="J35" i="31"/>
  <c r="I35" i="31"/>
  <c r="X34" i="31"/>
  <c r="W34" i="31"/>
  <c r="V34" i="31"/>
  <c r="S34" i="31"/>
  <c r="R34" i="31"/>
  <c r="Q34" i="31"/>
  <c r="N34" i="31"/>
  <c r="M34" i="31"/>
  <c r="K34" i="31"/>
  <c r="J34" i="31"/>
  <c r="L34" i="31" s="1"/>
  <c r="T34" i="31" s="1"/>
  <c r="I34" i="31"/>
  <c r="X33" i="31"/>
  <c r="U33" i="31" s="1"/>
  <c r="W33" i="31"/>
  <c r="V33" i="31"/>
  <c r="T33" i="31" s="1"/>
  <c r="S33" i="31"/>
  <c r="R33" i="31"/>
  <c r="Q33" i="31"/>
  <c r="N33" i="31"/>
  <c r="M33" i="31"/>
  <c r="L33" i="31"/>
  <c r="K33" i="31"/>
  <c r="J33" i="31"/>
  <c r="I33" i="31"/>
  <c r="X32" i="31"/>
  <c r="U32" i="31" s="1"/>
  <c r="W32" i="31"/>
  <c r="V32" i="31"/>
  <c r="T32" i="31" s="1"/>
  <c r="S32" i="31"/>
  <c r="R32" i="31"/>
  <c r="Q32" i="31"/>
  <c r="N32" i="31"/>
  <c r="M32" i="31"/>
  <c r="L32" i="31"/>
  <c r="K32" i="31"/>
  <c r="J32" i="31"/>
  <c r="I32" i="31"/>
  <c r="X31" i="31"/>
  <c r="W31" i="31"/>
  <c r="V31" i="31"/>
  <c r="S31" i="31"/>
  <c r="R31" i="31"/>
  <c r="Q31" i="31"/>
  <c r="N31" i="31"/>
  <c r="M31" i="31"/>
  <c r="K31" i="31"/>
  <c r="AA31" i="31" s="1"/>
  <c r="I31" i="31"/>
  <c r="X30" i="31"/>
  <c r="W30" i="31"/>
  <c r="V30" i="31"/>
  <c r="S30" i="31"/>
  <c r="R30" i="31"/>
  <c r="AA30" i="31" s="1"/>
  <c r="Q30" i="31"/>
  <c r="N30" i="31"/>
  <c r="M30" i="31"/>
  <c r="L30" i="31"/>
  <c r="J30" i="31"/>
  <c r="I30" i="31"/>
  <c r="K30" i="31" s="1"/>
  <c r="T30" i="31" s="1"/>
  <c r="X29" i="31"/>
  <c r="W29" i="31"/>
  <c r="V29" i="31"/>
  <c r="S29" i="31"/>
  <c r="R29" i="31"/>
  <c r="Q29" i="31"/>
  <c r="N29" i="31"/>
  <c r="M29" i="31"/>
  <c r="J29" i="31"/>
  <c r="L29" i="31" s="1"/>
  <c r="AA29" i="31" s="1"/>
  <c r="I29" i="31"/>
  <c r="K29" i="31" s="1"/>
  <c r="X28" i="31"/>
  <c r="W28" i="31"/>
  <c r="V28" i="31"/>
  <c r="S28" i="31"/>
  <c r="R28" i="31"/>
  <c r="Q28" i="31"/>
  <c r="N28" i="31"/>
  <c r="M28" i="31"/>
  <c r="J28" i="31"/>
  <c r="L28" i="31" s="1"/>
  <c r="I28" i="31"/>
  <c r="K28" i="31" s="1"/>
  <c r="X27" i="31"/>
  <c r="W27" i="31"/>
  <c r="V27" i="31"/>
  <c r="S27" i="31"/>
  <c r="R27" i="31"/>
  <c r="Q27" i="31"/>
  <c r="N27" i="31"/>
  <c r="M27" i="31"/>
  <c r="J27" i="31"/>
  <c r="L27" i="31" s="1"/>
  <c r="AA27" i="31" s="1"/>
  <c r="I27" i="31"/>
  <c r="K27" i="31" s="1"/>
  <c r="X26" i="31"/>
  <c r="W26" i="31"/>
  <c r="V26" i="31"/>
  <c r="S26" i="31"/>
  <c r="R26" i="31"/>
  <c r="Q26" i="31"/>
  <c r="N26" i="31"/>
  <c r="M26" i="31"/>
  <c r="L26" i="31"/>
  <c r="J26" i="31"/>
  <c r="I26" i="31"/>
  <c r="K26" i="31" s="1"/>
  <c r="T26" i="31" s="1"/>
  <c r="X25" i="31"/>
  <c r="W25" i="31"/>
  <c r="V25" i="31"/>
  <c r="S25" i="31"/>
  <c r="R25" i="31"/>
  <c r="Q25" i="31"/>
  <c r="N25" i="31"/>
  <c r="M25" i="31"/>
  <c r="J25" i="31"/>
  <c r="L25" i="31" s="1"/>
  <c r="I25" i="31"/>
  <c r="K25" i="31" s="1"/>
  <c r="AA24" i="31"/>
  <c r="X24" i="31"/>
  <c r="W24" i="31"/>
  <c r="V24" i="31"/>
  <c r="S24" i="31"/>
  <c r="R24" i="31"/>
  <c r="Q24" i="31"/>
  <c r="N24" i="31"/>
  <c r="M24" i="31"/>
  <c r="L24" i="31"/>
  <c r="J24" i="31"/>
  <c r="I24" i="31"/>
  <c r="K24" i="31" s="1"/>
  <c r="T24" i="31" s="1"/>
  <c r="X23" i="31"/>
  <c r="W23" i="31"/>
  <c r="V23" i="31"/>
  <c r="S23" i="31"/>
  <c r="R23" i="31"/>
  <c r="Q23" i="31"/>
  <c r="N23" i="31"/>
  <c r="M23" i="31"/>
  <c r="J23" i="31"/>
  <c r="L23" i="31" s="1"/>
  <c r="I23" i="31"/>
  <c r="K23" i="31" s="1"/>
  <c r="AA23" i="31" s="1"/>
  <c r="X22" i="31"/>
  <c r="W22" i="31"/>
  <c r="V22" i="31"/>
  <c r="S22" i="31"/>
  <c r="R22" i="31"/>
  <c r="AA22" i="31" s="1"/>
  <c r="Q22" i="31"/>
  <c r="N22" i="31"/>
  <c r="M22" i="31"/>
  <c r="L22" i="31"/>
  <c r="J22" i="31"/>
  <c r="I22" i="31"/>
  <c r="K22" i="31" s="1"/>
  <c r="T22" i="31" s="1"/>
  <c r="X21" i="31"/>
  <c r="W21" i="31"/>
  <c r="V21" i="31"/>
  <c r="S21" i="31"/>
  <c r="R21" i="31"/>
  <c r="Q21" i="31"/>
  <c r="N21" i="31"/>
  <c r="M21" i="31"/>
  <c r="J21" i="31"/>
  <c r="L21" i="31" s="1"/>
  <c r="AA21" i="31" s="1"/>
  <c r="I21" i="31"/>
  <c r="K21" i="31" s="1"/>
  <c r="X20" i="31"/>
  <c r="W20" i="31"/>
  <c r="V20" i="31"/>
  <c r="S20" i="31"/>
  <c r="R20" i="31"/>
  <c r="Q20" i="31"/>
  <c r="N20" i="31"/>
  <c r="M20" i="31"/>
  <c r="J20" i="31"/>
  <c r="L20" i="31" s="1"/>
  <c r="I20" i="31"/>
  <c r="K20" i="31" s="1"/>
  <c r="AA20" i="31" s="1"/>
  <c r="X19" i="31"/>
  <c r="W19" i="31"/>
  <c r="V19" i="31"/>
  <c r="S19" i="31"/>
  <c r="R19" i="31"/>
  <c r="Q19" i="31"/>
  <c r="N19" i="31"/>
  <c r="M19" i="31"/>
  <c r="J19" i="31"/>
  <c r="L19" i="31" s="1"/>
  <c r="AA19" i="31" s="1"/>
  <c r="I19" i="31"/>
  <c r="K19" i="31" s="1"/>
  <c r="X18" i="31"/>
  <c r="W18" i="31"/>
  <c r="V18" i="31"/>
  <c r="S18" i="31"/>
  <c r="R18" i="31"/>
  <c r="Q18" i="31"/>
  <c r="N18" i="31"/>
  <c r="M18" i="31"/>
  <c r="L18" i="31"/>
  <c r="J18" i="31"/>
  <c r="I18" i="31"/>
  <c r="K18" i="31" s="1"/>
  <c r="T18" i="31" s="1"/>
  <c r="X17" i="31"/>
  <c r="W17" i="31"/>
  <c r="V17" i="31"/>
  <c r="S17" i="31"/>
  <c r="T17" i="31" s="1"/>
  <c r="R17" i="31"/>
  <c r="Q17" i="31"/>
  <c r="N17" i="31"/>
  <c r="M17" i="31"/>
  <c r="K17" i="31"/>
  <c r="AA17" i="31" s="1"/>
  <c r="I17" i="31"/>
  <c r="X16" i="31"/>
  <c r="W16" i="31"/>
  <c r="V16" i="31"/>
  <c r="S16" i="31"/>
  <c r="R16" i="31"/>
  <c r="Q16" i="31"/>
  <c r="N16" i="31"/>
  <c r="T16" i="31" s="1"/>
  <c r="M16" i="31"/>
  <c r="K16" i="31"/>
  <c r="J16" i="31"/>
  <c r="L16" i="31" s="1"/>
  <c r="I16" i="31"/>
  <c r="X15" i="31"/>
  <c r="W15" i="31"/>
  <c r="V15" i="31"/>
  <c r="T15" i="31"/>
  <c r="S15" i="31"/>
  <c r="R15" i="31"/>
  <c r="Q15" i="31"/>
  <c r="N15" i="31"/>
  <c r="M15" i="31"/>
  <c r="K15" i="31"/>
  <c r="J15" i="31"/>
  <c r="L15" i="31" s="1"/>
  <c r="AA15" i="31" s="1"/>
  <c r="I15" i="31"/>
  <c r="X14" i="31"/>
  <c r="W14" i="31"/>
  <c r="V14" i="31"/>
  <c r="T14" i="31"/>
  <c r="S14" i="31"/>
  <c r="R14" i="31"/>
  <c r="Q14" i="31"/>
  <c r="N14" i="31"/>
  <c r="Z14" i="31" s="1"/>
  <c r="M14" i="31"/>
  <c r="K14" i="31"/>
  <c r="J14" i="31"/>
  <c r="L14" i="31" s="1"/>
  <c r="AA14" i="31" s="1"/>
  <c r="I14" i="31"/>
  <c r="X13" i="31"/>
  <c r="W13" i="31"/>
  <c r="V13" i="31"/>
  <c r="S13" i="31"/>
  <c r="R13" i="31"/>
  <c r="Q13" i="31"/>
  <c r="N13" i="31"/>
  <c r="AA13" i="31" s="1"/>
  <c r="M13" i="31"/>
  <c r="K13" i="31"/>
  <c r="J13" i="31"/>
  <c r="L13" i="31" s="1"/>
  <c r="I13" i="31"/>
  <c r="X12" i="31"/>
  <c r="W12" i="31"/>
  <c r="V12" i="31"/>
  <c r="S12" i="31"/>
  <c r="R12" i="31"/>
  <c r="Q12" i="31"/>
  <c r="N12" i="31"/>
  <c r="T12" i="31" s="1"/>
  <c r="M12" i="31"/>
  <c r="K12" i="31"/>
  <c r="J12" i="31"/>
  <c r="L12" i="31" s="1"/>
  <c r="I12" i="31"/>
  <c r="X11" i="31"/>
  <c r="W11" i="31"/>
  <c r="V11" i="31"/>
  <c r="T11" i="31"/>
  <c r="S11" i="31"/>
  <c r="R11" i="31"/>
  <c r="Q11" i="31"/>
  <c r="N11" i="31"/>
  <c r="M11" i="31"/>
  <c r="K11" i="31"/>
  <c r="J11" i="31"/>
  <c r="L11" i="31" s="1"/>
  <c r="AA11" i="31" s="1"/>
  <c r="I11" i="31"/>
  <c r="X10" i="31"/>
  <c r="W10" i="31"/>
  <c r="V10" i="31"/>
  <c r="T10" i="31"/>
  <c r="S10" i="31"/>
  <c r="R10" i="31"/>
  <c r="Q10" i="31"/>
  <c r="N10" i="31"/>
  <c r="Z10" i="31" s="1"/>
  <c r="M10" i="31"/>
  <c r="K10" i="31"/>
  <c r="J10" i="31"/>
  <c r="L10" i="31" s="1"/>
  <c r="AA10" i="31" s="1"/>
  <c r="I10" i="31"/>
  <c r="X9" i="31"/>
  <c r="W9" i="31"/>
  <c r="V9" i="31"/>
  <c r="S9" i="31"/>
  <c r="R9" i="31"/>
  <c r="Q9" i="31"/>
  <c r="N9" i="31"/>
  <c r="AA9" i="31" s="1"/>
  <c r="M9" i="31"/>
  <c r="K9" i="31"/>
  <c r="J9" i="31"/>
  <c r="L9" i="31" s="1"/>
  <c r="I9" i="31"/>
  <c r="X8" i="31"/>
  <c r="W8" i="31"/>
  <c r="V8" i="31"/>
  <c r="S8" i="31"/>
  <c r="R8" i="31"/>
  <c r="Q8" i="31"/>
  <c r="N8" i="31"/>
  <c r="T8" i="31" s="1"/>
  <c r="M8" i="31"/>
  <c r="K8" i="31"/>
  <c r="J8" i="31"/>
  <c r="L8" i="31" s="1"/>
  <c r="I8" i="31"/>
  <c r="X7" i="31"/>
  <c r="W7" i="31"/>
  <c r="V7" i="31"/>
  <c r="T7" i="31"/>
  <c r="S7" i="31"/>
  <c r="R7" i="31"/>
  <c r="Q7" i="31"/>
  <c r="N7" i="31"/>
  <c r="M7" i="31"/>
  <c r="K7" i="31"/>
  <c r="J7" i="31"/>
  <c r="L7" i="31" s="1"/>
  <c r="AA7" i="31" s="1"/>
  <c r="I7" i="31"/>
  <c r="X6" i="31"/>
  <c r="W6" i="31"/>
  <c r="V6" i="31"/>
  <c r="T6" i="31"/>
  <c r="S6" i="31"/>
  <c r="R6" i="31"/>
  <c r="Q6" i="31"/>
  <c r="N6" i="31"/>
  <c r="Z6" i="31" s="1"/>
  <c r="M6" i="31"/>
  <c r="K6" i="31"/>
  <c r="J6" i="31"/>
  <c r="L6" i="31" s="1"/>
  <c r="AA6" i="31" s="1"/>
  <c r="I6" i="31"/>
  <c r="X5" i="31"/>
  <c r="W5" i="31"/>
  <c r="V5" i="31"/>
  <c r="S5" i="31"/>
  <c r="R5" i="31"/>
  <c r="Q5" i="31"/>
  <c r="N5" i="31"/>
  <c r="AA5" i="31" s="1"/>
  <c r="M5" i="31"/>
  <c r="K5" i="31"/>
  <c r="J5" i="31"/>
  <c r="L5" i="31" s="1"/>
  <c r="I5" i="31"/>
  <c r="X4" i="31"/>
  <c r="W4" i="31"/>
  <c r="V4" i="31"/>
  <c r="S4" i="31"/>
  <c r="R4" i="31"/>
  <c r="Q4" i="31"/>
  <c r="N4" i="31"/>
  <c r="M4" i="31"/>
  <c r="J4" i="31"/>
  <c r="L4" i="31" s="1"/>
  <c r="T4" i="31" s="1"/>
  <c r="I4" i="31"/>
  <c r="K4" i="31" s="1"/>
  <c r="X3" i="31"/>
  <c r="W3" i="31"/>
  <c r="V3" i="31"/>
  <c r="S3" i="31"/>
  <c r="R3" i="31"/>
  <c r="Q3" i="31"/>
  <c r="T3" i="31" s="1"/>
  <c r="N3" i="31"/>
  <c r="Z3" i="31" s="1"/>
  <c r="M3" i="31"/>
  <c r="K3" i="31"/>
  <c r="I3" i="31"/>
  <c r="X2" i="31"/>
  <c r="W2" i="31"/>
  <c r="V2" i="31"/>
  <c r="S2" i="31"/>
  <c r="R2" i="31"/>
  <c r="Q2" i="31"/>
  <c r="N2" i="31"/>
  <c r="M2" i="31"/>
  <c r="L2" i="31"/>
  <c r="AA2" i="31" s="1"/>
  <c r="K2" i="31"/>
  <c r="J2" i="31"/>
  <c r="I2" i="31"/>
  <c r="N12" i="29"/>
  <c r="U112" i="31" l="1"/>
  <c r="T112" i="31"/>
  <c r="U34" i="31"/>
  <c r="T21" i="31"/>
  <c r="T27" i="31"/>
  <c r="T46" i="31"/>
  <c r="T62" i="31"/>
  <c r="T65" i="31"/>
  <c r="AA65" i="31"/>
  <c r="U51" i="31"/>
  <c r="Z75" i="31"/>
  <c r="AA75" i="31"/>
  <c r="AA28" i="31"/>
  <c r="T75" i="31"/>
  <c r="T183" i="31"/>
  <c r="Z183" i="31"/>
  <c r="T19" i="31"/>
  <c r="AA25" i="31"/>
  <c r="T29" i="31"/>
  <c r="Z67" i="31"/>
  <c r="U67" i="31"/>
  <c r="AA67" i="31"/>
  <c r="Z4" i="31"/>
  <c r="Z16" i="31"/>
  <c r="T20" i="31"/>
  <c r="U21" i="31"/>
  <c r="Z31" i="31"/>
  <c r="Z35" i="31"/>
  <c r="U46" i="31"/>
  <c r="Z48" i="31"/>
  <c r="T83" i="31"/>
  <c r="T86" i="31"/>
  <c r="T87" i="31"/>
  <c r="U144" i="31"/>
  <c r="T144" i="31"/>
  <c r="AA163" i="31"/>
  <c r="T164" i="31"/>
  <c r="Z164" i="31"/>
  <c r="U246" i="31"/>
  <c r="U250" i="31"/>
  <c r="Z250" i="31"/>
  <c r="U7" i="31"/>
  <c r="AA8" i="31"/>
  <c r="U11" i="31"/>
  <c r="AA12" i="31"/>
  <c r="U15" i="31"/>
  <c r="Z20" i="31"/>
  <c r="U26" i="31"/>
  <c r="Z28" i="31"/>
  <c r="AA34" i="31"/>
  <c r="AA38" i="31"/>
  <c r="Z45" i="31"/>
  <c r="AA51" i="31"/>
  <c r="T55" i="31"/>
  <c r="AA66" i="31"/>
  <c r="Z73" i="31"/>
  <c r="T80" i="31"/>
  <c r="Z82" i="31"/>
  <c r="U86" i="31"/>
  <c r="AA101" i="31"/>
  <c r="T102" i="31"/>
  <c r="T111" i="31"/>
  <c r="Z111" i="31"/>
  <c r="T113" i="31"/>
  <c r="U140" i="31"/>
  <c r="Z148" i="31"/>
  <c r="T155" i="31"/>
  <c r="Z155" i="31"/>
  <c r="U156" i="31"/>
  <c r="U163" i="31"/>
  <c r="Z167" i="31"/>
  <c r="U167" i="31"/>
  <c r="T176" i="31"/>
  <c r="Z176" i="31"/>
  <c r="Z185" i="31"/>
  <c r="AA196" i="31"/>
  <c r="Z393" i="31"/>
  <c r="AA393" i="31"/>
  <c r="T555" i="31"/>
  <c r="Z555" i="31"/>
  <c r="T651" i="31"/>
  <c r="T658" i="31"/>
  <c r="AA658" i="31"/>
  <c r="Z658" i="31"/>
  <c r="U658" i="31"/>
  <c r="AA707" i="31"/>
  <c r="U707" i="31"/>
  <c r="T5" i="31"/>
  <c r="T9" i="31"/>
  <c r="T13" i="31"/>
  <c r="Z17" i="31"/>
  <c r="AA18" i="31"/>
  <c r="Z25" i="31"/>
  <c r="AA26" i="31"/>
  <c r="U40" i="31"/>
  <c r="U42" i="31"/>
  <c r="Z51" i="31"/>
  <c r="T53" i="31"/>
  <c r="Z53" i="31"/>
  <c r="U56" i="31"/>
  <c r="AA57" i="31"/>
  <c r="U60" i="31"/>
  <c r="T64" i="31"/>
  <c r="T77" i="31"/>
  <c r="Z77" i="31"/>
  <c r="T79" i="31"/>
  <c r="Z80" i="31"/>
  <c r="U81" i="31"/>
  <c r="T84" i="31"/>
  <c r="Z85" i="31"/>
  <c r="T85" i="31"/>
  <c r="Z86" i="31"/>
  <c r="Z90" i="31"/>
  <c r="U91" i="31"/>
  <c r="U95" i="31"/>
  <c r="U97" i="31"/>
  <c r="T97" i="31"/>
  <c r="T101" i="31"/>
  <c r="Z101" i="31"/>
  <c r="AA110" i="31"/>
  <c r="U111" i="31"/>
  <c r="AA119" i="31"/>
  <c r="U122" i="31"/>
  <c r="AA122" i="31"/>
  <c r="Z122" i="31"/>
  <c r="U124" i="31"/>
  <c r="U137" i="31"/>
  <c r="U146" i="31"/>
  <c r="AA147" i="31"/>
  <c r="AA151" i="31"/>
  <c r="Z162" i="31"/>
  <c r="T163" i="31"/>
  <c r="Z163" i="31"/>
  <c r="Z168" i="31"/>
  <c r="AA168" i="31"/>
  <c r="T172" i="31"/>
  <c r="U176" i="31"/>
  <c r="AA183" i="31"/>
  <c r="T184" i="31"/>
  <c r="Z184" i="31"/>
  <c r="Z194" i="31"/>
  <c r="T194" i="31"/>
  <c r="U198" i="31"/>
  <c r="Z205" i="31"/>
  <c r="T205" i="31"/>
  <c r="AA205" i="31"/>
  <c r="T209" i="31"/>
  <c r="T214" i="31"/>
  <c r="Z214" i="31"/>
  <c r="T221" i="31"/>
  <c r="Z221" i="31"/>
  <c r="U227" i="31"/>
  <c r="U231" i="31"/>
  <c r="AA233" i="31"/>
  <c r="Z233" i="31"/>
  <c r="Z245" i="31"/>
  <c r="T245" i="31"/>
  <c r="U341" i="31"/>
  <c r="AA341" i="31"/>
  <c r="T341" i="31"/>
  <c r="Z341" i="31"/>
  <c r="T385" i="31"/>
  <c r="Z385" i="31"/>
  <c r="U2" i="31"/>
  <c r="Z12" i="31"/>
  <c r="Z23" i="31"/>
  <c r="T40" i="31"/>
  <c r="Z40" i="31"/>
  <c r="U54" i="31"/>
  <c r="U70" i="31"/>
  <c r="AA560" i="31"/>
  <c r="AA4" i="31"/>
  <c r="AA16" i="31"/>
  <c r="U18" i="31"/>
  <c r="T25" i="31"/>
  <c r="Z43" i="31"/>
  <c r="Z57" i="31"/>
  <c r="T59" i="31"/>
  <c r="Z76" i="31"/>
  <c r="Z89" i="31"/>
  <c r="T91" i="31"/>
  <c r="Z92" i="31"/>
  <c r="U92" i="31"/>
  <c r="T93" i="31"/>
  <c r="Z93" i="31"/>
  <c r="U106" i="31"/>
  <c r="AA125" i="31"/>
  <c r="T125" i="31"/>
  <c r="Z125" i="31"/>
  <c r="AA126" i="31"/>
  <c r="Z161" i="31"/>
  <c r="U161" i="31"/>
  <c r="AA161" i="31"/>
  <c r="U247" i="31"/>
  <c r="U3" i="31"/>
  <c r="Z7" i="31"/>
  <c r="Z11" i="31"/>
  <c r="Z15" i="31"/>
  <c r="U23" i="31"/>
  <c r="Z34" i="31"/>
  <c r="Z38" i="31"/>
  <c r="AA43" i="31"/>
  <c r="U6" i="31"/>
  <c r="U10" i="31"/>
  <c r="U14" i="31"/>
  <c r="U20" i="31"/>
  <c r="Z22" i="31"/>
  <c r="U28" i="31"/>
  <c r="Z30" i="31"/>
  <c r="AA33" i="31"/>
  <c r="AA37" i="31"/>
  <c r="T44" i="31"/>
  <c r="U45" i="31"/>
  <c r="Z47" i="31"/>
  <c r="AA50" i="31"/>
  <c r="Z56" i="31"/>
  <c r="T58" i="31"/>
  <c r="Z60" i="31"/>
  <c r="T63" i="31"/>
  <c r="Z63" i="31"/>
  <c r="Z69" i="31"/>
  <c r="Z72" i="31"/>
  <c r="T72" i="31"/>
  <c r="Z78" i="31"/>
  <c r="AA84" i="31"/>
  <c r="AA85" i="31"/>
  <c r="U87" i="31"/>
  <c r="AA90" i="31"/>
  <c r="U93" i="31"/>
  <c r="T98" i="31"/>
  <c r="AA99" i="31"/>
  <c r="T99" i="31"/>
  <c r="AA100" i="31"/>
  <c r="T100" i="31"/>
  <c r="Z100" i="31"/>
  <c r="U103" i="31"/>
  <c r="Z110" i="31"/>
  <c r="T110" i="31"/>
  <c r="U114" i="31"/>
  <c r="Z115" i="31"/>
  <c r="T117" i="31"/>
  <c r="T118" i="31"/>
  <c r="T122" i="31"/>
  <c r="AA131" i="31"/>
  <c r="T131" i="31"/>
  <c r="Z131" i="31"/>
  <c r="AA132" i="31"/>
  <c r="T136" i="31"/>
  <c r="U141" i="31"/>
  <c r="T150" i="31"/>
  <c r="Z150" i="31"/>
  <c r="Z153" i="31"/>
  <c r="U153" i="31"/>
  <c r="T153" i="31"/>
  <c r="Z154" i="31"/>
  <c r="T154" i="31"/>
  <c r="Z159" i="31"/>
  <c r="U159" i="31"/>
  <c r="Z160" i="31"/>
  <c r="T167" i="31"/>
  <c r="AA173" i="31"/>
  <c r="AA177" i="31"/>
  <c r="AA182" i="31"/>
  <c r="U182" i="31"/>
  <c r="AA193" i="31"/>
  <c r="Z193" i="31"/>
  <c r="T229" i="31"/>
  <c r="Z229" i="31"/>
  <c r="AA230" i="31"/>
  <c r="AA239" i="31"/>
  <c r="Z244" i="31"/>
  <c r="AA244" i="31"/>
  <c r="T254" i="31"/>
  <c r="T273" i="31"/>
  <c r="T287" i="31"/>
  <c r="Z287" i="31"/>
  <c r="U375" i="31"/>
  <c r="Z375" i="31"/>
  <c r="AA375" i="31"/>
  <c r="T376" i="31"/>
  <c r="Z8" i="31"/>
  <c r="T28" i="31"/>
  <c r="U29" i="31"/>
  <c r="Z52" i="31"/>
  <c r="T104" i="31"/>
  <c r="T2" i="31"/>
  <c r="Z2" i="31"/>
  <c r="AA3" i="31"/>
  <c r="U17" i="31"/>
  <c r="Z19" i="31"/>
  <c r="U25" i="31"/>
  <c r="Z27" i="31"/>
  <c r="Z33" i="31"/>
  <c r="Z37" i="31"/>
  <c r="T39" i="31"/>
  <c r="Z39" i="31"/>
  <c r="T41" i="31"/>
  <c r="Z41" i="31"/>
  <c r="AA42" i="31"/>
  <c r="Z50" i="31"/>
  <c r="U53" i="31"/>
  <c r="U55" i="31"/>
  <c r="AA56" i="31"/>
  <c r="U59" i="31"/>
  <c r="AA60" i="31"/>
  <c r="AA63" i="31"/>
  <c r="Z65" i="31"/>
  <c r="T67" i="31"/>
  <c r="T68" i="31"/>
  <c r="T74" i="31"/>
  <c r="Z74" i="31"/>
  <c r="U77" i="31"/>
  <c r="U80" i="31"/>
  <c r="Z81" i="31"/>
  <c r="U84" i="31"/>
  <c r="U88" i="31"/>
  <c r="U102" i="31"/>
  <c r="Z104" i="31"/>
  <c r="T109" i="31"/>
  <c r="Z109" i="31"/>
  <c r="U113" i="31"/>
  <c r="U116" i="31"/>
  <c r="T116" i="31"/>
  <c r="U118" i="31"/>
  <c r="AA118" i="31"/>
  <c r="T121" i="31"/>
  <c r="Z121" i="31"/>
  <c r="Z128" i="31"/>
  <c r="U128" i="31"/>
  <c r="T158" i="31"/>
  <c r="AA160" i="31"/>
  <c r="U172" i="31"/>
  <c r="Z179" i="31"/>
  <c r="T182" i="31"/>
  <c r="AA190" i="31"/>
  <c r="T204" i="31"/>
  <c r="Z204" i="31"/>
  <c r="U210" i="31"/>
  <c r="AA212" i="31"/>
  <c r="Z212" i="31"/>
  <c r="U216" i="31"/>
  <c r="AA228" i="31"/>
  <c r="T228" i="31"/>
  <c r="T264" i="31"/>
  <c r="Z264" i="31"/>
  <c r="U267" i="31"/>
  <c r="T267" i="31"/>
  <c r="AA267" i="31"/>
  <c r="AA482" i="31"/>
  <c r="Z482" i="31"/>
  <c r="U482" i="31"/>
  <c r="U5" i="31"/>
  <c r="U9" i="31"/>
  <c r="U13" i="31"/>
  <c r="U22" i="31"/>
  <c r="Z24" i="31"/>
  <c r="U30" i="31"/>
  <c r="AA32" i="31"/>
  <c r="AA36" i="31"/>
  <c r="U47" i="31"/>
  <c r="AA49" i="31"/>
  <c r="Z61" i="31"/>
  <c r="AA62" i="31"/>
  <c r="U64" i="31"/>
  <c r="Z66" i="31"/>
  <c r="AA68" i="31"/>
  <c r="U69" i="31"/>
  <c r="T71" i="31"/>
  <c r="Z71" i="31"/>
  <c r="AA74" i="31"/>
  <c r="Z87" i="31"/>
  <c r="AA97" i="31"/>
  <c r="AA98" i="31"/>
  <c r="Z99" i="31"/>
  <c r="Z103" i="31"/>
  <c r="T106" i="31"/>
  <c r="Z108" i="31"/>
  <c r="AA109" i="31"/>
  <c r="Z114" i="31"/>
  <c r="AA121" i="31"/>
  <c r="T127" i="31"/>
  <c r="T128" i="31"/>
  <c r="Z134" i="31"/>
  <c r="T152" i="31"/>
  <c r="U154" i="31"/>
  <c r="T157" i="31"/>
  <c r="U158" i="31"/>
  <c r="AA159" i="31"/>
  <c r="T166" i="31"/>
  <c r="Z166" i="31"/>
  <c r="AA167" i="31"/>
  <c r="T174" i="31"/>
  <c r="U191" i="31"/>
  <c r="T197" i="31"/>
  <c r="AA203" i="31"/>
  <c r="U203" i="31"/>
  <c r="AA209" i="31"/>
  <c r="AA252" i="31"/>
  <c r="T252" i="31"/>
  <c r="U323" i="31"/>
  <c r="Z323" i="31"/>
  <c r="T324" i="31"/>
  <c r="Z356" i="31"/>
  <c r="U477" i="31"/>
  <c r="T479" i="31"/>
  <c r="Z5" i="31"/>
  <c r="Z9" i="31"/>
  <c r="Z13" i="31"/>
  <c r="U19" i="31"/>
  <c r="Z21" i="31"/>
  <c r="U27" i="31"/>
  <c r="Z29" i="31"/>
  <c r="T31" i="31"/>
  <c r="Z32" i="31"/>
  <c r="T35" i="31"/>
  <c r="Z36" i="31"/>
  <c r="U39" i="31"/>
  <c r="U41" i="31"/>
  <c r="U44" i="31"/>
  <c r="Z46" i="31"/>
  <c r="T48" i="31"/>
  <c r="Z49" i="31"/>
  <c r="T52" i="31"/>
  <c r="T54" i="31"/>
  <c r="Z54" i="31"/>
  <c r="U58" i="31"/>
  <c r="U62" i="31"/>
  <c r="U65" i="31"/>
  <c r="U68" i="31"/>
  <c r="AA71" i="31"/>
  <c r="AA73" i="31"/>
  <c r="U75" i="31"/>
  <c r="AA76" i="31"/>
  <c r="T96" i="31"/>
  <c r="Z102" i="31"/>
  <c r="U107" i="31"/>
  <c r="Z107" i="31"/>
  <c r="T107" i="31"/>
  <c r="U109" i="31"/>
  <c r="AA117" i="31"/>
  <c r="U136" i="31"/>
  <c r="Z139" i="31"/>
  <c r="U139" i="31"/>
  <c r="T139" i="31"/>
  <c r="Z144" i="31"/>
  <c r="U150" i="31"/>
  <c r="AA153" i="31"/>
  <c r="AA157" i="31"/>
  <c r="U165" i="31"/>
  <c r="U183" i="31"/>
  <c r="T200" i="31"/>
  <c r="T203" i="31"/>
  <c r="Z203" i="31"/>
  <c r="T208" i="31"/>
  <c r="U235" i="31"/>
  <c r="Z235" i="31"/>
  <c r="U236" i="31"/>
  <c r="Z280" i="31"/>
  <c r="U317" i="31"/>
  <c r="AA356" i="31"/>
  <c r="U4" i="31"/>
  <c r="U8" i="31"/>
  <c r="U12" i="31"/>
  <c r="U16" i="31"/>
  <c r="Z18" i="31"/>
  <c r="T23" i="31"/>
  <c r="U24" i="31"/>
  <c r="Z26" i="31"/>
  <c r="U31" i="31"/>
  <c r="AA35" i="31"/>
  <c r="U35" i="31"/>
  <c r="U48" i="31"/>
  <c r="AA52" i="31"/>
  <c r="U52" i="31"/>
  <c r="U61" i="31"/>
  <c r="AA70" i="31"/>
  <c r="U73" i="31"/>
  <c r="U76" i="31"/>
  <c r="AA78" i="31"/>
  <c r="T82" i="31"/>
  <c r="U83" i="31"/>
  <c r="T95" i="31"/>
  <c r="AA96" i="31"/>
  <c r="U105" i="31"/>
  <c r="T105" i="31"/>
  <c r="U108" i="31"/>
  <c r="Z112" i="31"/>
  <c r="T115" i="31"/>
  <c r="AA116" i="31"/>
  <c r="U117" i="31"/>
  <c r="U119" i="31"/>
  <c r="T119" i="31"/>
  <c r="Z119" i="31"/>
  <c r="Z120" i="31"/>
  <c r="AA120" i="31"/>
  <c r="AA128" i="31"/>
  <c r="U133" i="31"/>
  <c r="T133" i="31"/>
  <c r="U135" i="31"/>
  <c r="U138" i="31"/>
  <c r="T138" i="31"/>
  <c r="T140" i="31"/>
  <c r="Z143" i="31"/>
  <c r="Z145" i="31"/>
  <c r="U145" i="31"/>
  <c r="T145" i="31"/>
  <c r="U149" i="31"/>
  <c r="Z152" i="31"/>
  <c r="U155" i="31"/>
  <c r="AA155" i="31"/>
  <c r="Z156" i="31"/>
  <c r="U157" i="31"/>
  <c r="T165" i="31"/>
  <c r="AA169" i="31"/>
  <c r="U186" i="31"/>
  <c r="AA186" i="31"/>
  <c r="Z186" i="31"/>
  <c r="T186" i="31"/>
  <c r="T191" i="31"/>
  <c r="U197" i="31"/>
  <c r="T199" i="31"/>
  <c r="Z199" i="31"/>
  <c r="Z200" i="31"/>
  <c r="Z207" i="31"/>
  <c r="AA208" i="31"/>
  <c r="T355" i="31"/>
  <c r="T250" i="31"/>
  <c r="T253" i="31"/>
  <c r="T262" i="31"/>
  <c r="Z262" i="31"/>
  <c r="U262" i="31"/>
  <c r="AA270" i="31"/>
  <c r="T270" i="31"/>
  <c r="AA319" i="31"/>
  <c r="T328" i="31"/>
  <c r="Z328" i="31"/>
  <c r="AA329" i="31"/>
  <c r="T374" i="31"/>
  <c r="T380" i="31"/>
  <c r="T416" i="31"/>
  <c r="Z416" i="31"/>
  <c r="AA437" i="31"/>
  <c r="AA459" i="31"/>
  <c r="Z459" i="31"/>
  <c r="U459" i="31"/>
  <c r="U485" i="31"/>
  <c r="AA82" i="31"/>
  <c r="U90" i="31"/>
  <c r="Z91" i="31"/>
  <c r="T92" i="31"/>
  <c r="Z96" i="31"/>
  <c r="U98" i="31"/>
  <c r="U100" i="31"/>
  <c r="AA111" i="31"/>
  <c r="Z118" i="31"/>
  <c r="Z123" i="31"/>
  <c r="T124" i="31"/>
  <c r="Z124" i="31"/>
  <c r="T126" i="31"/>
  <c r="AA127" i="31"/>
  <c r="Z129" i="31"/>
  <c r="T130" i="31"/>
  <c r="Z130" i="31"/>
  <c r="T132" i="31"/>
  <c r="T134" i="31"/>
  <c r="AA136" i="31"/>
  <c r="T137" i="31"/>
  <c r="AA162" i="31"/>
  <c r="U164" i="31"/>
  <c r="AA170" i="31"/>
  <c r="Z177" i="31"/>
  <c r="AA185" i="31"/>
  <c r="U189" i="31"/>
  <c r="AA192" i="31"/>
  <c r="U192" i="31"/>
  <c r="Z201" i="31"/>
  <c r="U205" i="31"/>
  <c r="U211" i="31"/>
  <c r="AA211" i="31"/>
  <c r="U217" i="31"/>
  <c r="T217" i="31"/>
  <c r="Z217" i="31"/>
  <c r="AA218" i="31"/>
  <c r="U219" i="31"/>
  <c r="U230" i="31"/>
  <c r="AA236" i="31"/>
  <c r="AA242" i="31"/>
  <c r="Z249" i="31"/>
  <c r="AA250" i="31"/>
  <c r="Z251" i="31"/>
  <c r="AA255" i="31"/>
  <c r="AA257" i="31"/>
  <c r="T261" i="31"/>
  <c r="Z261" i="31"/>
  <c r="U272" i="31"/>
  <c r="Z274" i="31"/>
  <c r="AA281" i="31"/>
  <c r="U294" i="31"/>
  <c r="AA317" i="31"/>
  <c r="U319" i="31"/>
  <c r="AA327" i="31"/>
  <c r="U327" i="31"/>
  <c r="U331" i="31"/>
  <c r="Z331" i="31"/>
  <c r="AA335" i="31"/>
  <c r="AA351" i="31"/>
  <c r="T351" i="31"/>
  <c r="U355" i="31"/>
  <c r="U402" i="31"/>
  <c r="AA410" i="31"/>
  <c r="U410" i="31"/>
  <c r="U460" i="31"/>
  <c r="U465" i="31"/>
  <c r="AA469" i="31"/>
  <c r="U469" i="31"/>
  <c r="AA129" i="31"/>
  <c r="T143" i="31"/>
  <c r="T173" i="31"/>
  <c r="Z175" i="31"/>
  <c r="U175" i="31"/>
  <c r="T175" i="31"/>
  <c r="AA176" i="31"/>
  <c r="T179" i="31"/>
  <c r="AA201" i="31"/>
  <c r="U224" i="31"/>
  <c r="U232" i="31"/>
  <c r="AA232" i="31"/>
  <c r="AA262" i="31"/>
  <c r="AA310" i="31"/>
  <c r="U352" i="31"/>
  <c r="U369" i="31"/>
  <c r="Z369" i="31"/>
  <c r="AA369" i="31"/>
  <c r="T469" i="31"/>
  <c r="Z558" i="31"/>
  <c r="T558" i="31"/>
  <c r="U558" i="31"/>
  <c r="U580" i="31"/>
  <c r="AA580" i="31"/>
  <c r="T580" i="31"/>
  <c r="Z79" i="31"/>
  <c r="U89" i="31"/>
  <c r="AA103" i="31"/>
  <c r="AA114" i="31"/>
  <c r="U123" i="31"/>
  <c r="U129" i="31"/>
  <c r="U134" i="31"/>
  <c r="T142" i="31"/>
  <c r="T148" i="31"/>
  <c r="AA150" i="31"/>
  <c r="T151" i="31"/>
  <c r="Z174" i="31"/>
  <c r="U177" i="31"/>
  <c r="T181" i="31"/>
  <c r="Z188" i="31"/>
  <c r="U193" i="31"/>
  <c r="Z215" i="31"/>
  <c r="T215" i="31"/>
  <c r="AA216" i="31"/>
  <c r="U220" i="31"/>
  <c r="Z222" i="31"/>
  <c r="AA231" i="31"/>
  <c r="T232" i="31"/>
  <c r="Z232" i="31"/>
  <c r="U238" i="31"/>
  <c r="U240" i="31"/>
  <c r="U244" i="31"/>
  <c r="T248" i="31"/>
  <c r="Z248" i="31"/>
  <c r="U248" i="31"/>
  <c r="U252" i="31"/>
  <c r="T259" i="31"/>
  <c r="Z259" i="31"/>
  <c r="U259" i="31"/>
  <c r="U269" i="31"/>
  <c r="U270" i="31"/>
  <c r="U278" i="31"/>
  <c r="U283" i="31"/>
  <c r="AA297" i="31"/>
  <c r="T321" i="31"/>
  <c r="Z321" i="31"/>
  <c r="T330" i="31"/>
  <c r="AA331" i="31"/>
  <c r="T350" i="31"/>
  <c r="AA350" i="31"/>
  <c r="U350" i="31"/>
  <c r="U361" i="31"/>
  <c r="AA361" i="31"/>
  <c r="T361" i="31"/>
  <c r="Z361" i="31"/>
  <c r="Z363" i="31"/>
  <c r="T396" i="31"/>
  <c r="Z396" i="31"/>
  <c r="T399" i="31"/>
  <c r="AA420" i="31"/>
  <c r="AA423" i="31"/>
  <c r="Z423" i="31"/>
  <c r="U423" i="31"/>
  <c r="U434" i="31"/>
  <c r="Z438" i="31"/>
  <c r="AA438" i="31"/>
  <c r="U438" i="31"/>
  <c r="AA462" i="31"/>
  <c r="AA112" i="31"/>
  <c r="AA123" i="31"/>
  <c r="U131" i="31"/>
  <c r="T135" i="31"/>
  <c r="U194" i="31"/>
  <c r="U249" i="31"/>
  <c r="T277" i="31"/>
  <c r="Z277" i="31"/>
  <c r="AA278" i="31"/>
  <c r="T289" i="31"/>
  <c r="AA290" i="31"/>
  <c r="T304" i="31"/>
  <c r="Z304" i="31"/>
  <c r="U328" i="31"/>
  <c r="AA433" i="31"/>
  <c r="Z433" i="31"/>
  <c r="AA104" i="31"/>
  <c r="AA115" i="31"/>
  <c r="T120" i="31"/>
  <c r="AA137" i="31"/>
  <c r="AA138" i="31"/>
  <c r="Z140" i="31"/>
  <c r="T141" i="31"/>
  <c r="Z141" i="31"/>
  <c r="AA143" i="31"/>
  <c r="AA144" i="31"/>
  <c r="Z146" i="31"/>
  <c r="T147" i="31"/>
  <c r="Z147" i="31"/>
  <c r="T149" i="31"/>
  <c r="U160" i="31"/>
  <c r="T168" i="31"/>
  <c r="Z171" i="31"/>
  <c r="T171" i="31"/>
  <c r="Z172" i="31"/>
  <c r="AA175" i="31"/>
  <c r="U179" i="31"/>
  <c r="AA180" i="31"/>
  <c r="AA181" i="31"/>
  <c r="Z187" i="31"/>
  <c r="T187" i="31"/>
  <c r="AA188" i="31"/>
  <c r="Z195" i="31"/>
  <c r="U195" i="31"/>
  <c r="AA206" i="31"/>
  <c r="T206" i="31"/>
  <c r="AA219" i="31"/>
  <c r="T220" i="31"/>
  <c r="Z220" i="31"/>
  <c r="Z239" i="31"/>
  <c r="U239" i="31"/>
  <c r="T240" i="31"/>
  <c r="Z242" i="31"/>
  <c r="AA256" i="31"/>
  <c r="T258" i="31"/>
  <c r="Z258" i="31"/>
  <c r="T269" i="31"/>
  <c r="T276" i="31"/>
  <c r="U277" i="31"/>
  <c r="Z292" i="31"/>
  <c r="Z295" i="31"/>
  <c r="Z296" i="31"/>
  <c r="T300" i="31"/>
  <c r="Z301" i="31"/>
  <c r="T309" i="31"/>
  <c r="T313" i="31"/>
  <c r="Z313" i="31"/>
  <c r="AA315" i="31"/>
  <c r="Z335" i="31"/>
  <c r="Z346" i="31"/>
  <c r="U347" i="31"/>
  <c r="AA347" i="31"/>
  <c r="U374" i="31"/>
  <c r="U524" i="31"/>
  <c r="T647" i="31"/>
  <c r="U647" i="31"/>
  <c r="U125" i="31"/>
  <c r="U152" i="31"/>
  <c r="U162" i="31"/>
  <c r="U184" i="31"/>
  <c r="AA210" i="31"/>
  <c r="T211" i="31"/>
  <c r="Z211" i="31"/>
  <c r="U218" i="31"/>
  <c r="AA235" i="31"/>
  <c r="U243" i="31"/>
  <c r="T243" i="31"/>
  <c r="Z243" i="31"/>
  <c r="AA277" i="31"/>
  <c r="U418" i="31"/>
  <c r="U433" i="31"/>
  <c r="AA88" i="31"/>
  <c r="AA95" i="31"/>
  <c r="Z106" i="31"/>
  <c r="T108" i="31"/>
  <c r="Z117" i="31"/>
  <c r="AA140" i="31"/>
  <c r="U142" i="31"/>
  <c r="AA146" i="31"/>
  <c r="U148" i="31"/>
  <c r="T156" i="31"/>
  <c r="AA158" i="31"/>
  <c r="T159" i="31"/>
  <c r="U168" i="31"/>
  <c r="T169" i="31"/>
  <c r="T170" i="31"/>
  <c r="Z170" i="31"/>
  <c r="AA172" i="31"/>
  <c r="U185" i="31"/>
  <c r="U190" i="31"/>
  <c r="Z197" i="31"/>
  <c r="AA202" i="31"/>
  <c r="U207" i="31"/>
  <c r="T207" i="31"/>
  <c r="U214" i="31"/>
  <c r="AA214" i="31"/>
  <c r="Z224" i="31"/>
  <c r="U226" i="31"/>
  <c r="T226" i="31"/>
  <c r="Z226" i="31"/>
  <c r="AA227" i="31"/>
  <c r="U228" i="31"/>
  <c r="AA240" i="31"/>
  <c r="AA247" i="31"/>
  <c r="T247" i="31"/>
  <c r="Z247" i="31"/>
  <c r="AA259" i="31"/>
  <c r="T265" i="31"/>
  <c r="Z265" i="31"/>
  <c r="U265" i="31"/>
  <c r="AA269" i="31"/>
  <c r="Z270" i="31"/>
  <c r="U273" i="31"/>
  <c r="Z276" i="31"/>
  <c r="T280" i="31"/>
  <c r="T303" i="31"/>
  <c r="T333" i="31"/>
  <c r="Z333" i="31"/>
  <c r="U334" i="31"/>
  <c r="AA342" i="31"/>
  <c r="Z342" i="31"/>
  <c r="T342" i="31"/>
  <c r="U351" i="31"/>
  <c r="T356" i="31"/>
  <c r="AA357" i="31"/>
  <c r="U357" i="31"/>
  <c r="T377" i="31"/>
  <c r="T382" i="31"/>
  <c r="Z382" i="31"/>
  <c r="U425" i="31"/>
  <c r="AA425" i="31"/>
  <c r="Z425" i="31"/>
  <c r="U453" i="31"/>
  <c r="U467" i="31"/>
  <c r="AA467" i="31"/>
  <c r="Z469" i="31"/>
  <c r="AA476" i="31"/>
  <c r="Z476" i="31"/>
  <c r="Z477" i="31"/>
  <c r="T477" i="31"/>
  <c r="Z485" i="31"/>
  <c r="T490" i="31"/>
  <c r="T513" i="31"/>
  <c r="AA166" i="31"/>
  <c r="Z178" i="31"/>
  <c r="U187" i="31"/>
  <c r="Z190" i="31"/>
  <c r="T192" i="31"/>
  <c r="T193" i="31"/>
  <c r="AA194" i="31"/>
  <c r="Z202" i="31"/>
  <c r="U245" i="31"/>
  <c r="AA249" i="31"/>
  <c r="AA251" i="31"/>
  <c r="Z252" i="31"/>
  <c r="AA253" i="31"/>
  <c r="T257" i="31"/>
  <c r="Z257" i="31"/>
  <c r="T260" i="31"/>
  <c r="Z260" i="31"/>
  <c r="T263" i="31"/>
  <c r="Z263" i="31"/>
  <c r="T266" i="31"/>
  <c r="Z266" i="31"/>
  <c r="Z267" i="31"/>
  <c r="Z271" i="31"/>
  <c r="Z272" i="31"/>
  <c r="Z273" i="31"/>
  <c r="AA276" i="31"/>
  <c r="Z285" i="31"/>
  <c r="T285" i="31"/>
  <c r="U288" i="31"/>
  <c r="Z290" i="31"/>
  <c r="U290" i="31"/>
  <c r="AA291" i="31"/>
  <c r="T294" i="31"/>
  <c r="AA295" i="31"/>
  <c r="U298" i="31"/>
  <c r="U307" i="31"/>
  <c r="U310" i="31"/>
  <c r="U313" i="31"/>
  <c r="AA324" i="31"/>
  <c r="Z329" i="31"/>
  <c r="T329" i="31"/>
  <c r="U329" i="31"/>
  <c r="T334" i="31"/>
  <c r="Z334" i="31"/>
  <c r="U337" i="31"/>
  <c r="Z339" i="31"/>
  <c r="U346" i="31"/>
  <c r="Z354" i="31"/>
  <c r="T354" i="31"/>
  <c r="U371" i="31"/>
  <c r="AA416" i="31"/>
  <c r="Z430" i="31"/>
  <c r="U454" i="31"/>
  <c r="Z460" i="31"/>
  <c r="Z464" i="31"/>
  <c r="T464" i="31"/>
  <c r="U478" i="31"/>
  <c r="T507" i="31"/>
  <c r="AA518" i="31"/>
  <c r="Z518" i="31"/>
  <c r="Z522" i="31"/>
  <c r="T529" i="31"/>
  <c r="U532" i="31"/>
  <c r="AA537" i="31"/>
  <c r="Z537" i="31"/>
  <c r="T537" i="31"/>
  <c r="U538" i="31"/>
  <c r="U540" i="31"/>
  <c r="Z126" i="31"/>
  <c r="Z132" i="31"/>
  <c r="Z135" i="31"/>
  <c r="Z149" i="31"/>
  <c r="Z157" i="31"/>
  <c r="Z165" i="31"/>
  <c r="Z169" i="31"/>
  <c r="Z173" i="31"/>
  <c r="U174" i="31"/>
  <c r="Z182" i="31"/>
  <c r="Z191" i="31"/>
  <c r="T195" i="31"/>
  <c r="T196" i="31"/>
  <c r="AA198" i="31"/>
  <c r="Z198" i="31"/>
  <c r="U201" i="31"/>
  <c r="U204" i="31"/>
  <c r="U208" i="31"/>
  <c r="T222" i="31"/>
  <c r="T223" i="31"/>
  <c r="Z223" i="31"/>
  <c r="U241" i="31"/>
  <c r="U242" i="31"/>
  <c r="AA254" i="31"/>
  <c r="Z255" i="31"/>
  <c r="Z256" i="31"/>
  <c r="U258" i="31"/>
  <c r="U261" i="31"/>
  <c r="U264" i="31"/>
  <c r="AA268" i="31"/>
  <c r="Z269" i="31"/>
  <c r="AA272" i="31"/>
  <c r="U275" i="31"/>
  <c r="T284" i="31"/>
  <c r="Z284" i="31"/>
  <c r="U291" i="31"/>
  <c r="Z293" i="31"/>
  <c r="U293" i="31"/>
  <c r="T301" i="31"/>
  <c r="T310" i="31"/>
  <c r="Z310" i="31"/>
  <c r="U316" i="31"/>
  <c r="AA320" i="31"/>
  <c r="U324" i="31"/>
  <c r="AA334" i="31"/>
  <c r="T339" i="31"/>
  <c r="T353" i="31"/>
  <c r="Z353" i="31"/>
  <c r="AA359" i="31"/>
  <c r="U359" i="31"/>
  <c r="T368" i="31"/>
  <c r="AA378" i="31"/>
  <c r="U378" i="31"/>
  <c r="Z378" i="31"/>
  <c r="AA379" i="31"/>
  <c r="Z390" i="31"/>
  <c r="T398" i="31"/>
  <c r="Z398" i="31"/>
  <c r="U399" i="31"/>
  <c r="AA402" i="31"/>
  <c r="T404" i="31"/>
  <c r="Z404" i="31"/>
  <c r="T407" i="31"/>
  <c r="U439" i="31"/>
  <c r="T444" i="31"/>
  <c r="U447" i="31"/>
  <c r="Z453" i="31"/>
  <c r="Z455" i="31"/>
  <c r="T460" i="31"/>
  <c r="Z463" i="31"/>
  <c r="U463" i="31"/>
  <c r="U171" i="31"/>
  <c r="T180" i="31"/>
  <c r="AA184" i="31"/>
  <c r="U196" i="31"/>
  <c r="T198" i="31"/>
  <c r="U200" i="31"/>
  <c r="AA207" i="31"/>
  <c r="T212" i="31"/>
  <c r="T213" i="31"/>
  <c r="Z213" i="31"/>
  <c r="T216" i="31"/>
  <c r="U222" i="31"/>
  <c r="T225" i="31"/>
  <c r="T233" i="31"/>
  <c r="T234" i="31"/>
  <c r="Z234" i="31"/>
  <c r="U255" i="31"/>
  <c r="U256" i="31"/>
  <c r="T279" i="31"/>
  <c r="AA280" i="31"/>
  <c r="U285" i="31"/>
  <c r="T292" i="31"/>
  <c r="AA293" i="31"/>
  <c r="U301" i="31"/>
  <c r="Z307" i="31"/>
  <c r="AA313" i="31"/>
  <c r="T320" i="31"/>
  <c r="AA322" i="31"/>
  <c r="AA332" i="31"/>
  <c r="T332" i="31"/>
  <c r="T338" i="31"/>
  <c r="U338" i="31"/>
  <c r="Z338" i="31"/>
  <c r="U339" i="31"/>
  <c r="T343" i="31"/>
  <c r="Z343" i="31"/>
  <c r="U345" i="31"/>
  <c r="U354" i="31"/>
  <c r="U358" i="31"/>
  <c r="T358" i="31"/>
  <c r="Z358" i="31"/>
  <c r="T388" i="31"/>
  <c r="Z388" i="31"/>
  <c r="U400" i="31"/>
  <c r="T400" i="31"/>
  <c r="Z400" i="31"/>
  <c r="T406" i="31"/>
  <c r="Z406" i="31"/>
  <c r="U407" i="31"/>
  <c r="T412" i="31"/>
  <c r="Z412" i="31"/>
  <c r="T415" i="31"/>
  <c r="T424" i="31"/>
  <c r="U464" i="31"/>
  <c r="AA483" i="31"/>
  <c r="T483" i="31"/>
  <c r="U491" i="31"/>
  <c r="U518" i="31"/>
  <c r="Z520" i="31"/>
  <c r="T520" i="31"/>
  <c r="AA525" i="31"/>
  <c r="T525" i="31"/>
  <c r="Z525" i="31"/>
  <c r="T539" i="31"/>
  <c r="Z181" i="31"/>
  <c r="T188" i="31"/>
  <c r="AA191" i="31"/>
  <c r="AA199" i="31"/>
  <c r="Z209" i="31"/>
  <c r="Z210" i="31"/>
  <c r="U212" i="31"/>
  <c r="AA215" i="31"/>
  <c r="AA217" i="31"/>
  <c r="Z218" i="31"/>
  <c r="Z219" i="31"/>
  <c r="AA220" i="31"/>
  <c r="AA224" i="31"/>
  <c r="AA226" i="31"/>
  <c r="Z227" i="31"/>
  <c r="Z228" i="31"/>
  <c r="AA229" i="31"/>
  <c r="Z230" i="31"/>
  <c r="Z231" i="31"/>
  <c r="U233" i="31"/>
  <c r="T236" i="31"/>
  <c r="T239" i="31"/>
  <c r="T244" i="31"/>
  <c r="AA245" i="31"/>
  <c r="T246" i="31"/>
  <c r="Z246" i="31"/>
  <c r="U251" i="31"/>
  <c r="Z278" i="31"/>
  <c r="T278" i="31"/>
  <c r="AA279" i="31"/>
  <c r="U281" i="31"/>
  <c r="U282" i="31"/>
  <c r="Z288" i="31"/>
  <c r="T288" i="31"/>
  <c r="U289" i="31"/>
  <c r="T295" i="31"/>
  <c r="U296" i="31"/>
  <c r="T296" i="31"/>
  <c r="T298" i="31"/>
  <c r="U304" i="31"/>
  <c r="T318" i="31"/>
  <c r="Z318" i="31"/>
  <c r="Z326" i="31"/>
  <c r="T326" i="31"/>
  <c r="T331" i="31"/>
  <c r="U343" i="31"/>
  <c r="T366" i="31"/>
  <c r="Z366" i="31"/>
  <c r="T387" i="31"/>
  <c r="U408" i="31"/>
  <c r="T408" i="31"/>
  <c r="Z408" i="31"/>
  <c r="T414" i="31"/>
  <c r="Z414" i="31"/>
  <c r="U415" i="31"/>
  <c r="T420" i="31"/>
  <c r="Z420" i="31"/>
  <c r="U445" i="31"/>
  <c r="AA445" i="31"/>
  <c r="U500" i="31"/>
  <c r="AA505" i="31"/>
  <c r="Z505" i="31"/>
  <c r="T505" i="31"/>
  <c r="U506" i="31"/>
  <c r="U508" i="31"/>
  <c r="U590" i="31"/>
  <c r="AA590" i="31"/>
  <c r="Z590" i="31"/>
  <c r="T590" i="31"/>
  <c r="AA266" i="31"/>
  <c r="T271" i="31"/>
  <c r="U274" i="31"/>
  <c r="Z275" i="31"/>
  <c r="U280" i="31"/>
  <c r="Z281" i="31"/>
  <c r="T283" i="31"/>
  <c r="Z283" i="31"/>
  <c r="T286" i="31"/>
  <c r="Z286" i="31"/>
  <c r="Z291" i="31"/>
  <c r="AA300" i="31"/>
  <c r="AA303" i="31"/>
  <c r="AA309" i="31"/>
  <c r="U325" i="31"/>
  <c r="U326" i="31"/>
  <c r="AA330" i="31"/>
  <c r="AA333" i="31"/>
  <c r="AA345" i="31"/>
  <c r="Z345" i="31"/>
  <c r="T348" i="31"/>
  <c r="AA349" i="31"/>
  <c r="Z349" i="31"/>
  <c r="T349" i="31"/>
  <c r="Z350" i="31"/>
  <c r="AA363" i="31"/>
  <c r="U372" i="31"/>
  <c r="Z372" i="31"/>
  <c r="Z383" i="31"/>
  <c r="AA385" i="31"/>
  <c r="AA391" i="31"/>
  <c r="AA392" i="31"/>
  <c r="U392" i="31"/>
  <c r="AA394" i="31"/>
  <c r="T394" i="31"/>
  <c r="T432" i="31"/>
  <c r="Z432" i="31"/>
  <c r="U435" i="31"/>
  <c r="AA435" i="31"/>
  <c r="T436" i="31"/>
  <c r="Z436" i="31"/>
  <c r="Z439" i="31"/>
  <c r="U446" i="31"/>
  <c r="U449" i="31"/>
  <c r="T457" i="31"/>
  <c r="Z457" i="31"/>
  <c r="T459" i="31"/>
  <c r="AA473" i="31"/>
  <c r="AA475" i="31"/>
  <c r="U475" i="31"/>
  <c r="Z496" i="31"/>
  <c r="T498" i="31"/>
  <c r="U498" i="31"/>
  <c r="T501" i="31"/>
  <c r="U503" i="31"/>
  <c r="Z508" i="31"/>
  <c r="T508" i="31"/>
  <c r="T511" i="31"/>
  <c r="Z530" i="31"/>
  <c r="T533" i="31"/>
  <c r="AA534" i="31"/>
  <c r="U535" i="31"/>
  <c r="Z540" i="31"/>
  <c r="T540" i="31"/>
  <c r="T543" i="31"/>
  <c r="AA549" i="31"/>
  <c r="Z577" i="31"/>
  <c r="Z237" i="31"/>
  <c r="Z279" i="31"/>
  <c r="Z282" i="31"/>
  <c r="U284" i="31"/>
  <c r="U287" i="31"/>
  <c r="T290" i="31"/>
  <c r="T293" i="31"/>
  <c r="T305" i="31"/>
  <c r="Z306" i="31"/>
  <c r="T306" i="31"/>
  <c r="T311" i="31"/>
  <c r="Z312" i="31"/>
  <c r="T312" i="31"/>
  <c r="T314" i="31"/>
  <c r="Z315" i="31"/>
  <c r="T315" i="31"/>
  <c r="T335" i="31"/>
  <c r="T347" i="31"/>
  <c r="U348" i="31"/>
  <c r="AA352" i="31"/>
  <c r="U353" i="31"/>
  <c r="AA355" i="31"/>
  <c r="U364" i="31"/>
  <c r="T364" i="31"/>
  <c r="Z364" i="31"/>
  <c r="T373" i="31"/>
  <c r="AA381" i="31"/>
  <c r="Z381" i="31"/>
  <c r="U382" i="31"/>
  <c r="T384" i="31"/>
  <c r="T392" i="31"/>
  <c r="AA398" i="31"/>
  <c r="U398" i="31"/>
  <c r="Z402" i="31"/>
  <c r="T403" i="31"/>
  <c r="AA406" i="31"/>
  <c r="U406" i="31"/>
  <c r="Z410" i="31"/>
  <c r="T411" i="31"/>
  <c r="AA414" i="31"/>
  <c r="U414" i="31"/>
  <c r="Z418" i="31"/>
  <c r="T419" i="31"/>
  <c r="U424" i="31"/>
  <c r="T429" i="31"/>
  <c r="AA432" i="31"/>
  <c r="Z450" i="31"/>
  <c r="T450" i="31"/>
  <c r="Z454" i="31"/>
  <c r="T454" i="31"/>
  <c r="AA457" i="31"/>
  <c r="U466" i="31"/>
  <c r="U470" i="31"/>
  <c r="Z472" i="31"/>
  <c r="T472" i="31"/>
  <c r="Z475" i="31"/>
  <c r="T475" i="31"/>
  <c r="U476" i="31"/>
  <c r="AA478" i="31"/>
  <c r="U479" i="31"/>
  <c r="U483" i="31"/>
  <c r="AA485" i="31"/>
  <c r="AA510" i="31"/>
  <c r="AA513" i="31"/>
  <c r="AA515" i="31"/>
  <c r="AA545" i="31"/>
  <c r="U545" i="31"/>
  <c r="Z571" i="31"/>
  <c r="T571" i="31"/>
  <c r="Z607" i="31"/>
  <c r="U271" i="31"/>
  <c r="AA289" i="31"/>
  <c r="AA292" i="31"/>
  <c r="AA294" i="31"/>
  <c r="AA296" i="31"/>
  <c r="Z299" i="31"/>
  <c r="Z300" i="31"/>
  <c r="AA301" i="31"/>
  <c r="Z302" i="31"/>
  <c r="Z303" i="31"/>
  <c r="U305" i="31"/>
  <c r="Z308" i="31"/>
  <c r="Z309" i="31"/>
  <c r="U311" i="31"/>
  <c r="U314" i="31"/>
  <c r="T317" i="31"/>
  <c r="AA326" i="31"/>
  <c r="Z330" i="31"/>
  <c r="Z344" i="31"/>
  <c r="AA360" i="31"/>
  <c r="T360" i="31"/>
  <c r="AA370" i="31"/>
  <c r="T370" i="31"/>
  <c r="Z379" i="31"/>
  <c r="AA382" i="31"/>
  <c r="U388" i="31"/>
  <c r="AA390" i="31"/>
  <c r="T390" i="31"/>
  <c r="AA399" i="31"/>
  <c r="AA403" i="31"/>
  <c r="AA407" i="31"/>
  <c r="AA411" i="31"/>
  <c r="AA415" i="31"/>
  <c r="AA419" i="31"/>
  <c r="T437" i="31"/>
  <c r="Z437" i="31"/>
  <c r="U440" i="31"/>
  <c r="AA440" i="31"/>
  <c r="T441" i="31"/>
  <c r="Z441" i="31"/>
  <c r="Z444" i="31"/>
  <c r="T447" i="31"/>
  <c r="T458" i="31"/>
  <c r="Z458" i="31"/>
  <c r="AA461" i="31"/>
  <c r="Z462" i="31"/>
  <c r="Z465" i="31"/>
  <c r="T465" i="31"/>
  <c r="AA481" i="31"/>
  <c r="Z492" i="31"/>
  <c r="U492" i="31"/>
  <c r="U496" i="31"/>
  <c r="U504" i="31"/>
  <c r="Z504" i="31"/>
  <c r="T504" i="31"/>
  <c r="AA507" i="31"/>
  <c r="U514" i="31"/>
  <c r="T517" i="31"/>
  <c r="AA523" i="31"/>
  <c r="U530" i="31"/>
  <c r="U536" i="31"/>
  <c r="Z536" i="31"/>
  <c r="T536" i="31"/>
  <c r="AA539" i="31"/>
  <c r="AA550" i="31"/>
  <c r="T557" i="31"/>
  <c r="Z557" i="31"/>
  <c r="Z585" i="31"/>
  <c r="T585" i="31"/>
  <c r="T587" i="31"/>
  <c r="AA587" i="31"/>
  <c r="Z587" i="31"/>
  <c r="U268" i="31"/>
  <c r="AA282" i="31"/>
  <c r="U297" i="31"/>
  <c r="AA298" i="31"/>
  <c r="U299" i="31"/>
  <c r="U300" i="31"/>
  <c r="U302" i="31"/>
  <c r="U303" i="31"/>
  <c r="Z305" i="31"/>
  <c r="AA307" i="31"/>
  <c r="U308" i="31"/>
  <c r="U309" i="31"/>
  <c r="Z311" i="31"/>
  <c r="Z314" i="31"/>
  <c r="AA316" i="31"/>
  <c r="AA318" i="31"/>
  <c r="Z319" i="31"/>
  <c r="Z320" i="31"/>
  <c r="AA321" i="31"/>
  <c r="Z322" i="31"/>
  <c r="AA323" i="31"/>
  <c r="T327" i="31"/>
  <c r="Z327" i="31"/>
  <c r="Z332" i="31"/>
  <c r="U336" i="31"/>
  <c r="AA337" i="31"/>
  <c r="AA338" i="31"/>
  <c r="AA339" i="31"/>
  <c r="AA343" i="31"/>
  <c r="U344" i="31"/>
  <c r="U356" i="31"/>
  <c r="Z357" i="31"/>
  <c r="T357" i="31"/>
  <c r="T359" i="31"/>
  <c r="Z359" i="31"/>
  <c r="AA362" i="31"/>
  <c r="U367" i="31"/>
  <c r="T367" i="31"/>
  <c r="T378" i="31"/>
  <c r="Z380" i="31"/>
  <c r="AA388" i="31"/>
  <c r="Z392" i="31"/>
  <c r="Z395" i="31"/>
  <c r="U396" i="31"/>
  <c r="U404" i="31"/>
  <c r="U412" i="31"/>
  <c r="U420" i="31"/>
  <c r="AA421" i="31"/>
  <c r="Z421" i="31"/>
  <c r="T427" i="31"/>
  <c r="Z427" i="31"/>
  <c r="U430" i="31"/>
  <c r="AA430" i="31"/>
  <c r="Z434" i="31"/>
  <c r="U441" i="31"/>
  <c r="U444" i="31"/>
  <c r="U448" i="31"/>
  <c r="AA451" i="31"/>
  <c r="Z452" i="31"/>
  <c r="U455" i="31"/>
  <c r="AA455" i="31"/>
  <c r="U458" i="31"/>
  <c r="Z470" i="31"/>
  <c r="AA480" i="31"/>
  <c r="Z480" i="31"/>
  <c r="T480" i="31"/>
  <c r="AA486" i="31"/>
  <c r="AA490" i="31"/>
  <c r="U512" i="31"/>
  <c r="AA521" i="31"/>
  <c r="T521" i="31"/>
  <c r="AA522" i="31"/>
  <c r="U528" i="31"/>
  <c r="Z528" i="31"/>
  <c r="T528" i="31"/>
  <c r="U544" i="31"/>
  <c r="Z589" i="31"/>
  <c r="T589" i="31"/>
  <c r="Z591" i="31"/>
  <c r="T591" i="31"/>
  <c r="U608" i="31"/>
  <c r="T291" i="31"/>
  <c r="Z347" i="31"/>
  <c r="U362" i="31"/>
  <c r="Z401" i="31"/>
  <c r="U403" i="31"/>
  <c r="Z409" i="31"/>
  <c r="U411" i="31"/>
  <c r="Z417" i="31"/>
  <c r="U419" i="31"/>
  <c r="T423" i="31"/>
  <c r="AA426" i="31"/>
  <c r="T428" i="31"/>
  <c r="AA431" i="31"/>
  <c r="T433" i="31"/>
  <c r="AA436" i="31"/>
  <c r="T438" i="31"/>
  <c r="AA441" i="31"/>
  <c r="T443" i="31"/>
  <c r="AA446" i="31"/>
  <c r="T453" i="31"/>
  <c r="AA456" i="31"/>
  <c r="AA458" i="31"/>
  <c r="T463" i="31"/>
  <c r="Z466" i="31"/>
  <c r="T466" i="31"/>
  <c r="AA468" i="31"/>
  <c r="Z473" i="31"/>
  <c r="U480" i="31"/>
  <c r="T482" i="31"/>
  <c r="U484" i="31"/>
  <c r="U486" i="31"/>
  <c r="AA488" i="31"/>
  <c r="AA491" i="31"/>
  <c r="T497" i="31"/>
  <c r="Z497" i="31"/>
  <c r="U502" i="31"/>
  <c r="AA506" i="31"/>
  <c r="U507" i="31"/>
  <c r="AA509" i="31"/>
  <c r="AA511" i="31"/>
  <c r="Z524" i="31"/>
  <c r="T524" i="31"/>
  <c r="U534" i="31"/>
  <c r="AA538" i="31"/>
  <c r="U539" i="31"/>
  <c r="AA541" i="31"/>
  <c r="AA543" i="31"/>
  <c r="Z560" i="31"/>
  <c r="T592" i="31"/>
  <c r="Z592" i="31"/>
  <c r="T595" i="31"/>
  <c r="AA366" i="31"/>
  <c r="T369" i="31"/>
  <c r="Z370" i="31"/>
  <c r="T372" i="31"/>
  <c r="Z373" i="31"/>
  <c r="T375" i="31"/>
  <c r="Z376" i="31"/>
  <c r="U379" i="31"/>
  <c r="T379" i="31"/>
  <c r="U383" i="31"/>
  <c r="T383" i="31"/>
  <c r="Z384" i="31"/>
  <c r="U386" i="31"/>
  <c r="T386" i="31"/>
  <c r="U389" i="31"/>
  <c r="T389" i="31"/>
  <c r="U393" i="31"/>
  <c r="T393" i="31"/>
  <c r="Z394" i="31"/>
  <c r="Z399" i="31"/>
  <c r="U401" i="31"/>
  <c r="Z407" i="31"/>
  <c r="U409" i="31"/>
  <c r="Z415" i="31"/>
  <c r="U417" i="31"/>
  <c r="T421" i="31"/>
  <c r="AA424" i="31"/>
  <c r="AA429" i="31"/>
  <c r="AA434" i="31"/>
  <c r="AA439" i="31"/>
  <c r="AA444" i="31"/>
  <c r="AA449" i="31"/>
  <c r="T451" i="31"/>
  <c r="AA454" i="31"/>
  <c r="T461" i="31"/>
  <c r="AA464" i="31"/>
  <c r="AA466" i="31"/>
  <c r="T471" i="31"/>
  <c r="U473" i="31"/>
  <c r="AA477" i="31"/>
  <c r="T481" i="31"/>
  <c r="Z481" i="31"/>
  <c r="T485" i="31"/>
  <c r="U488" i="31"/>
  <c r="Z493" i="31"/>
  <c r="U495" i="31"/>
  <c r="Z500" i="31"/>
  <c r="T500" i="31"/>
  <c r="T509" i="31"/>
  <c r="U510" i="31"/>
  <c r="AA514" i="31"/>
  <c r="U515" i="31"/>
  <c r="AA517" i="31"/>
  <c r="AA519" i="31"/>
  <c r="AA520" i="31"/>
  <c r="Z532" i="31"/>
  <c r="T532" i="31"/>
  <c r="T541" i="31"/>
  <c r="U542" i="31"/>
  <c r="T545" i="31"/>
  <c r="Z545" i="31"/>
  <c r="Z548" i="31"/>
  <c r="Z553" i="31"/>
  <c r="U556" i="31"/>
  <c r="U560" i="31"/>
  <c r="Z569" i="31"/>
  <c r="Z573" i="31"/>
  <c r="AA575" i="31"/>
  <c r="T582" i="31"/>
  <c r="AA582" i="31"/>
  <c r="U589" i="31"/>
  <c r="Z597" i="31"/>
  <c r="Z600" i="31"/>
  <c r="T600" i="31"/>
  <c r="T620" i="31"/>
  <c r="Z620" i="31"/>
  <c r="U620" i="31"/>
  <c r="AA620" i="31"/>
  <c r="T622" i="31"/>
  <c r="Z622" i="31"/>
  <c r="T633" i="31"/>
  <c r="T337" i="31"/>
  <c r="T352" i="31"/>
  <c r="AA358" i="31"/>
  <c r="T363" i="31"/>
  <c r="Z368" i="31"/>
  <c r="Z371" i="31"/>
  <c r="Z374" i="31"/>
  <c r="Z377" i="31"/>
  <c r="Z391" i="31"/>
  <c r="AA397" i="31"/>
  <c r="T402" i="31"/>
  <c r="AA405" i="31"/>
  <c r="T410" i="31"/>
  <c r="AA413" i="31"/>
  <c r="T418" i="31"/>
  <c r="U422" i="31"/>
  <c r="U427" i="31"/>
  <c r="U432" i="31"/>
  <c r="U437" i="31"/>
  <c r="U442" i="31"/>
  <c r="Z448" i="31"/>
  <c r="Z451" i="31"/>
  <c r="U452" i="31"/>
  <c r="U457" i="31"/>
  <c r="Z461" i="31"/>
  <c r="U462" i="31"/>
  <c r="Z468" i="31"/>
  <c r="Z471" i="31"/>
  <c r="U472" i="31"/>
  <c r="Z474" i="31"/>
  <c r="Z478" i="31"/>
  <c r="T478" i="31"/>
  <c r="U487" i="31"/>
  <c r="Z489" i="31"/>
  <c r="T489" i="31"/>
  <c r="AA499" i="31"/>
  <c r="AA502" i="31"/>
  <c r="Z512" i="31"/>
  <c r="T512" i="31"/>
  <c r="U522" i="31"/>
  <c r="AA526" i="31"/>
  <c r="U527" i="31"/>
  <c r="AA529" i="31"/>
  <c r="AA531" i="31"/>
  <c r="Z544" i="31"/>
  <c r="T544" i="31"/>
  <c r="Z546" i="31"/>
  <c r="T546" i="31"/>
  <c r="U550" i="31"/>
  <c r="U559" i="31"/>
  <c r="T561" i="31"/>
  <c r="AA574" i="31"/>
  <c r="U582" i="31"/>
  <c r="AA602" i="31"/>
  <c r="T603" i="31"/>
  <c r="Z603" i="31"/>
  <c r="T672" i="31"/>
  <c r="Z672" i="31"/>
  <c r="T689" i="31"/>
  <c r="AA740" i="31"/>
  <c r="Z740" i="31"/>
  <c r="U740" i="31"/>
  <c r="AA340" i="31"/>
  <c r="T346" i="31"/>
  <c r="Z362" i="31"/>
  <c r="Z365" i="31"/>
  <c r="AA368" i="31"/>
  <c r="U370" i="31"/>
  <c r="AA371" i="31"/>
  <c r="U373" i="31"/>
  <c r="AA374" i="31"/>
  <c r="U376" i="31"/>
  <c r="AA377" i="31"/>
  <c r="U380" i="31"/>
  <c r="U384" i="31"/>
  <c r="U387" i="31"/>
  <c r="U390" i="31"/>
  <c r="U394" i="31"/>
  <c r="AA395" i="31"/>
  <c r="U397" i="31"/>
  <c r="Z403" i="31"/>
  <c r="U405" i="31"/>
  <c r="Z411" i="31"/>
  <c r="U413" i="31"/>
  <c r="Z419" i="31"/>
  <c r="T425" i="31"/>
  <c r="T430" i="31"/>
  <c r="T435" i="31"/>
  <c r="T440" i="31"/>
  <c r="T445" i="31"/>
  <c r="AA448" i="31"/>
  <c r="AA450" i="31"/>
  <c r="T455" i="31"/>
  <c r="AA460" i="31"/>
  <c r="AA465" i="31"/>
  <c r="T467" i="31"/>
  <c r="AA470" i="31"/>
  <c r="AA474" i="31"/>
  <c r="AA484" i="31"/>
  <c r="Z484" i="31"/>
  <c r="T484" i="31"/>
  <c r="Z486" i="31"/>
  <c r="T486" i="31"/>
  <c r="AA492" i="31"/>
  <c r="AA495" i="31"/>
  <c r="AA496" i="31"/>
  <c r="U499" i="31"/>
  <c r="AA501" i="31"/>
  <c r="AA503" i="31"/>
  <c r="Z516" i="31"/>
  <c r="T516" i="31"/>
  <c r="U526" i="31"/>
  <c r="AA530" i="31"/>
  <c r="U531" i="31"/>
  <c r="AA533" i="31"/>
  <c r="AA535" i="31"/>
  <c r="U565" i="31"/>
  <c r="AA567" i="31"/>
  <c r="AA570" i="31"/>
  <c r="T573" i="31"/>
  <c r="U574" i="31"/>
  <c r="U576" i="31"/>
  <c r="T576" i="31"/>
  <c r="Z579" i="31"/>
  <c r="T579" i="31"/>
  <c r="T665" i="31"/>
  <c r="Z665" i="31"/>
  <c r="U669" i="31"/>
  <c r="Z669" i="31"/>
  <c r="T675" i="31"/>
  <c r="AA678" i="31"/>
  <c r="Z678" i="31"/>
  <c r="Z681" i="31"/>
  <c r="T681" i="31"/>
  <c r="U481" i="31"/>
  <c r="Z494" i="31"/>
  <c r="T494" i="31"/>
  <c r="T506" i="31"/>
  <c r="T514" i="31"/>
  <c r="T522" i="31"/>
  <c r="T530" i="31"/>
  <c r="T538" i="31"/>
  <c r="U547" i="31"/>
  <c r="T547" i="31"/>
  <c r="Z547" i="31"/>
  <c r="T551" i="31"/>
  <c r="T553" i="31"/>
  <c r="AA553" i="31"/>
  <c r="T554" i="31"/>
  <c r="AA554" i="31"/>
  <c r="U555" i="31"/>
  <c r="T559" i="31"/>
  <c r="AA559" i="31"/>
  <c r="T562" i="31"/>
  <c r="U562" i="31"/>
  <c r="Z562" i="31"/>
  <c r="AA564" i="31"/>
  <c r="Z564" i="31"/>
  <c r="T564" i="31"/>
  <c r="U568" i="31"/>
  <c r="AA571" i="31"/>
  <c r="U575" i="31"/>
  <c r="T578" i="31"/>
  <c r="Z578" i="31"/>
  <c r="U579" i="31"/>
  <c r="T588" i="31"/>
  <c r="Z588" i="31"/>
  <c r="AA596" i="31"/>
  <c r="T599" i="31"/>
  <c r="AA615" i="31"/>
  <c r="T628" i="31"/>
  <c r="U628" i="31"/>
  <c r="Z628" i="31"/>
  <c r="AA628" i="31"/>
  <c r="U636" i="31"/>
  <c r="Z636" i="31"/>
  <c r="AA665" i="31"/>
  <c r="AA681" i="31"/>
  <c r="Z726" i="31"/>
  <c r="AA728" i="31"/>
  <c r="U728" i="31"/>
  <c r="AA745" i="31"/>
  <c r="Z483" i="31"/>
  <c r="Z487" i="31"/>
  <c r="Z488" i="31"/>
  <c r="T488" i="31"/>
  <c r="U490" i="31"/>
  <c r="T492" i="31"/>
  <c r="Z499" i="31"/>
  <c r="U501" i="31"/>
  <c r="Z503" i="31"/>
  <c r="U509" i="31"/>
  <c r="Z511" i="31"/>
  <c r="U517" i="31"/>
  <c r="Z519" i="31"/>
  <c r="U525" i="31"/>
  <c r="Z527" i="31"/>
  <c r="U533" i="31"/>
  <c r="Z535" i="31"/>
  <c r="U541" i="31"/>
  <c r="Z543" i="31"/>
  <c r="T550" i="31"/>
  <c r="U553" i="31"/>
  <c r="Z567" i="31"/>
  <c r="T567" i="31"/>
  <c r="T570" i="31"/>
  <c r="Z570" i="31"/>
  <c r="U571" i="31"/>
  <c r="T577" i="31"/>
  <c r="AA578" i="31"/>
  <c r="T583" i="31"/>
  <c r="Z583" i="31"/>
  <c r="AA588" i="31"/>
  <c r="T598" i="31"/>
  <c r="AA598" i="31"/>
  <c r="Z606" i="31"/>
  <c r="T606" i="31"/>
  <c r="T653" i="31"/>
  <c r="U653" i="31"/>
  <c r="AA653" i="31"/>
  <c r="Z653" i="31"/>
  <c r="T659" i="31"/>
  <c r="T702" i="31"/>
  <c r="U745" i="31"/>
  <c r="Z811" i="31"/>
  <c r="T811" i="31"/>
  <c r="Z479" i="31"/>
  <c r="T491" i="31"/>
  <c r="U497" i="31"/>
  <c r="AA498" i="31"/>
  <c r="T502" i="31"/>
  <c r="T510" i="31"/>
  <c r="T518" i="31"/>
  <c r="T526" i="31"/>
  <c r="T534" i="31"/>
  <c r="T542" i="31"/>
  <c r="U546" i="31"/>
  <c r="T548" i="31"/>
  <c r="AA548" i="31"/>
  <c r="T549" i="31"/>
  <c r="Z550" i="31"/>
  <c r="U552" i="31"/>
  <c r="T552" i="31"/>
  <c r="Z554" i="31"/>
  <c r="T556" i="31"/>
  <c r="AA558" i="31"/>
  <c r="AA562" i="31"/>
  <c r="Z566" i="31"/>
  <c r="T566" i="31"/>
  <c r="U572" i="31"/>
  <c r="AA572" i="31"/>
  <c r="T575" i="31"/>
  <c r="T584" i="31"/>
  <c r="Z584" i="31"/>
  <c r="U585" i="31"/>
  <c r="Z595" i="31"/>
  <c r="T597" i="31"/>
  <c r="AA597" i="31"/>
  <c r="AA599" i="31"/>
  <c r="T616" i="31"/>
  <c r="T619" i="31"/>
  <c r="AA619" i="31"/>
  <c r="U619" i="31"/>
  <c r="AA625" i="31"/>
  <c r="T627" i="31"/>
  <c r="U627" i="31"/>
  <c r="AA662" i="31"/>
  <c r="AA689" i="31"/>
  <c r="T690" i="31"/>
  <c r="T695" i="31"/>
  <c r="T496" i="31"/>
  <c r="U505" i="31"/>
  <c r="Z507" i="31"/>
  <c r="U513" i="31"/>
  <c r="Z515" i="31"/>
  <c r="U521" i="31"/>
  <c r="Z523" i="31"/>
  <c r="U529" i="31"/>
  <c r="Z531" i="31"/>
  <c r="U537" i="31"/>
  <c r="Z539" i="31"/>
  <c r="U549" i="31"/>
  <c r="AA552" i="31"/>
  <c r="AA556" i="31"/>
  <c r="T560" i="31"/>
  <c r="Z561" i="31"/>
  <c r="U563" i="31"/>
  <c r="AA563" i="31"/>
  <c r="Z563" i="31"/>
  <c r="T565" i="31"/>
  <c r="Z565" i="31"/>
  <c r="T568" i="31"/>
  <c r="Z568" i="31"/>
  <c r="U587" i="31"/>
  <c r="Z621" i="31"/>
  <c r="AA621" i="31"/>
  <c r="AA650" i="31"/>
  <c r="U657" i="31"/>
  <c r="T657" i="31"/>
  <c r="T684" i="31"/>
  <c r="Z684" i="31"/>
  <c r="AA551" i="31"/>
  <c r="AA557" i="31"/>
  <c r="AA561" i="31"/>
  <c r="AA566" i="31"/>
  <c r="Z572" i="31"/>
  <c r="Z580" i="31"/>
  <c r="U584" i="31"/>
  <c r="Z594" i="31"/>
  <c r="AA595" i="31"/>
  <c r="AA600" i="31"/>
  <c r="U606" i="31"/>
  <c r="AA606" i="31"/>
  <c r="AA616" i="31"/>
  <c r="T618" i="31"/>
  <c r="T624" i="31"/>
  <c r="U624" i="31"/>
  <c r="T631" i="31"/>
  <c r="Z631" i="31"/>
  <c r="T638" i="31"/>
  <c r="Z651" i="31"/>
  <c r="AA659" i="31"/>
  <c r="Z671" i="31"/>
  <c r="AA684" i="31"/>
  <c r="T765" i="31"/>
  <c r="Z765" i="31"/>
  <c r="T802" i="31"/>
  <c r="U802" i="31"/>
  <c r="U564" i="31"/>
  <c r="U570" i="31"/>
  <c r="U578" i="31"/>
  <c r="U586" i="31"/>
  <c r="AA589" i="31"/>
  <c r="Z593" i="31"/>
  <c r="U602" i="31"/>
  <c r="T604" i="31"/>
  <c r="T605" i="31"/>
  <c r="U605" i="31"/>
  <c r="T609" i="31"/>
  <c r="U612" i="31"/>
  <c r="Z615" i="31"/>
  <c r="T615" i="31"/>
  <c r="U626" i="31"/>
  <c r="T668" i="31"/>
  <c r="U668" i="31"/>
  <c r="Z668" i="31"/>
  <c r="Z679" i="31"/>
  <c r="U679" i="31"/>
  <c r="U688" i="31"/>
  <c r="AA688" i="31"/>
  <c r="T688" i="31"/>
  <c r="AA706" i="31"/>
  <c r="T706" i="31"/>
  <c r="AA708" i="31"/>
  <c r="T708" i="31"/>
  <c r="AA783" i="31"/>
  <c r="Z783" i="31"/>
  <c r="T783" i="31"/>
  <c r="Z787" i="31"/>
  <c r="T787" i="31"/>
  <c r="Z803" i="31"/>
  <c r="T803" i="31"/>
  <c r="U567" i="31"/>
  <c r="Z576" i="31"/>
  <c r="U581" i="31"/>
  <c r="T581" i="31"/>
  <c r="U583" i="31"/>
  <c r="T586" i="31"/>
  <c r="U588" i="31"/>
  <c r="AA593" i="31"/>
  <c r="T596" i="31"/>
  <c r="U596" i="31"/>
  <c r="T601" i="31"/>
  <c r="Z601" i="31"/>
  <c r="AA607" i="31"/>
  <c r="AA609" i="31"/>
  <c r="T611" i="31"/>
  <c r="Z611" i="31"/>
  <c r="U617" i="31"/>
  <c r="Z617" i="31"/>
  <c r="Z624" i="31"/>
  <c r="Z629" i="31"/>
  <c r="U637" i="31"/>
  <c r="T639" i="31"/>
  <c r="T641" i="31"/>
  <c r="U641" i="31"/>
  <c r="Z641" i="31"/>
  <c r="AA641" i="31"/>
  <c r="U645" i="31"/>
  <c r="U646" i="31"/>
  <c r="T646" i="31"/>
  <c r="AA652" i="31"/>
  <c r="Z666" i="31"/>
  <c r="T670" i="31"/>
  <c r="Z670" i="31"/>
  <c r="U670" i="31"/>
  <c r="U673" i="31"/>
  <c r="Z754" i="31"/>
  <c r="Z782" i="31"/>
  <c r="AA546" i="31"/>
  <c r="U569" i="31"/>
  <c r="T574" i="31"/>
  <c r="Z574" i="31"/>
  <c r="Z575" i="31"/>
  <c r="U577" i="31"/>
  <c r="Z581" i="31"/>
  <c r="Z586" i="31"/>
  <c r="U591" i="31"/>
  <c r="U599" i="31"/>
  <c r="U604" i="31"/>
  <c r="AA614" i="31"/>
  <c r="U614" i="31"/>
  <c r="T614" i="31"/>
  <c r="AA617" i="31"/>
  <c r="AA624" i="31"/>
  <c r="T637" i="31"/>
  <c r="Z637" i="31"/>
  <c r="T656" i="31"/>
  <c r="Z656" i="31"/>
  <c r="U666" i="31"/>
  <c r="AA666" i="31"/>
  <c r="AA669" i="31"/>
  <c r="AA673" i="31"/>
  <c r="AA676" i="31"/>
  <c r="AA705" i="31"/>
  <c r="U705" i="31"/>
  <c r="Z711" i="31"/>
  <c r="T711" i="31"/>
  <c r="T713" i="31"/>
  <c r="AA713" i="31"/>
  <c r="Z713" i="31"/>
  <c r="T732" i="31"/>
  <c r="Z732" i="31"/>
  <c r="U737" i="31"/>
  <c r="T749" i="31"/>
  <c r="Z749" i="31"/>
  <c r="U607" i="31"/>
  <c r="T610" i="31"/>
  <c r="U611" i="31"/>
  <c r="U616" i="31"/>
  <c r="T621" i="31"/>
  <c r="T626" i="31"/>
  <c r="Z626" i="31"/>
  <c r="U630" i="31"/>
  <c r="AA632" i="31"/>
  <c r="AA636" i="31"/>
  <c r="U642" i="31"/>
  <c r="T650" i="31"/>
  <c r="U660" i="31"/>
  <c r="T664" i="31"/>
  <c r="T667" i="31"/>
  <c r="U667" i="31"/>
  <c r="AA667" i="31"/>
  <c r="AA671" i="31"/>
  <c r="T680" i="31"/>
  <c r="U690" i="31"/>
  <c r="AA692" i="31"/>
  <c r="U704" i="31"/>
  <c r="U719" i="31"/>
  <c r="AA727" i="31"/>
  <c r="T729" i="31"/>
  <c r="Z729" i="31"/>
  <c r="AA734" i="31"/>
  <c r="AA771" i="31"/>
  <c r="T772" i="31"/>
  <c r="Z772" i="31"/>
  <c r="AA782" i="31"/>
  <c r="T805" i="31"/>
  <c r="Z807" i="31"/>
  <c r="T807" i="31"/>
  <c r="T809" i="31"/>
  <c r="U593" i="31"/>
  <c r="Z596" i="31"/>
  <c r="Z604" i="31"/>
  <c r="Z605" i="31"/>
  <c r="U610" i="31"/>
  <c r="AA618" i="31"/>
  <c r="U618" i="31"/>
  <c r="T625" i="31"/>
  <c r="T630" i="31"/>
  <c r="Z630" i="31"/>
  <c r="T635" i="31"/>
  <c r="T640" i="31"/>
  <c r="Z643" i="31"/>
  <c r="T649" i="31"/>
  <c r="U655" i="31"/>
  <c r="AA657" i="31"/>
  <c r="AA661" i="31"/>
  <c r="T674" i="31"/>
  <c r="AA674" i="31"/>
  <c r="U674" i="31"/>
  <c r="AA675" i="31"/>
  <c r="T683" i="31"/>
  <c r="Z683" i="31"/>
  <c r="Z685" i="31"/>
  <c r="T685" i="31"/>
  <c r="Z695" i="31"/>
  <c r="U701" i="31"/>
  <c r="T735" i="31"/>
  <c r="Z735" i="31"/>
  <c r="Z770" i="31"/>
  <c r="U803" i="31"/>
  <c r="AA803" i="31"/>
  <c r="U603" i="31"/>
  <c r="AA604" i="31"/>
  <c r="T612" i="31"/>
  <c r="Z612" i="31"/>
  <c r="T617" i="31"/>
  <c r="T623" i="31"/>
  <c r="AA635" i="31"/>
  <c r="AA643" i="31"/>
  <c r="AA646" i="31"/>
  <c r="Z650" i="31"/>
  <c r="AA660" i="31"/>
  <c r="T673" i="31"/>
  <c r="U675" i="31"/>
  <c r="AA682" i="31"/>
  <c r="AA685" i="31"/>
  <c r="Z701" i="31"/>
  <c r="T701" i="31"/>
  <c r="AA709" i="31"/>
  <c r="U711" i="31"/>
  <c r="AA722" i="31"/>
  <c r="T756" i="31"/>
  <c r="Z756" i="31"/>
  <c r="U761" i="31"/>
  <c r="U781" i="31"/>
  <c r="AA793" i="31"/>
  <c r="U793" i="31"/>
  <c r="U799" i="31"/>
  <c r="AA812" i="31"/>
  <c r="U814" i="31"/>
  <c r="U592" i="31"/>
  <c r="U597" i="31"/>
  <c r="U598" i="31"/>
  <c r="Z599" i="31"/>
  <c r="T608" i="31"/>
  <c r="Z608" i="31"/>
  <c r="Z613" i="31"/>
  <c r="Z614" i="31"/>
  <c r="Z618" i="31"/>
  <c r="U622" i="31"/>
  <c r="U623" i="31"/>
  <c r="T629" i="31"/>
  <c r="AA633" i="31"/>
  <c r="Z633" i="31"/>
  <c r="T634" i="31"/>
  <c r="Z640" i="31"/>
  <c r="T648" i="31"/>
  <c r="AA648" i="31"/>
  <c r="Z648" i="31"/>
  <c r="U648" i="31"/>
  <c r="U649" i="31"/>
  <c r="U652" i="31"/>
  <c r="T652" i="31"/>
  <c r="Z652" i="31"/>
  <c r="T655" i="31"/>
  <c r="Z655" i="31"/>
  <c r="T662" i="31"/>
  <c r="U662" i="31"/>
  <c r="U665" i="31"/>
  <c r="T666" i="31"/>
  <c r="Z667" i="31"/>
  <c r="U676" i="31"/>
  <c r="U677" i="31"/>
  <c r="U685" i="31"/>
  <c r="U687" i="31"/>
  <c r="T687" i="31"/>
  <c r="Z707" i="31"/>
  <c r="T707" i="31"/>
  <c r="T714" i="31"/>
  <c r="AA715" i="31"/>
  <c r="AA729" i="31"/>
  <c r="AA786" i="31"/>
  <c r="U786" i="31"/>
  <c r="T786" i="31"/>
  <c r="T806" i="31"/>
  <c r="U806" i="31"/>
  <c r="U609" i="31"/>
  <c r="AA631" i="31"/>
  <c r="Z632" i="31"/>
  <c r="AA634" i="31"/>
  <c r="AA640" i="31"/>
  <c r="T643" i="31"/>
  <c r="AA649" i="31"/>
  <c r="AA651" i="31"/>
  <c r="AA656" i="31"/>
  <c r="Z657" i="31"/>
  <c r="U664" i="31"/>
  <c r="T671" i="31"/>
  <c r="AA672" i="31"/>
  <c r="Z673" i="31"/>
  <c r="Z688" i="31"/>
  <c r="Z694" i="31"/>
  <c r="T700" i="31"/>
  <c r="Z700" i="31"/>
  <c r="T712" i="31"/>
  <c r="Z715" i="31"/>
  <c r="T715" i="31"/>
  <c r="AA717" i="31"/>
  <c r="Z718" i="31"/>
  <c r="Z720" i="31"/>
  <c r="T722" i="31"/>
  <c r="U725" i="31"/>
  <c r="T727" i="31"/>
  <c r="Z727" i="31"/>
  <c r="AA738" i="31"/>
  <c r="T739" i="31"/>
  <c r="Z739" i="31"/>
  <c r="Z742" i="31"/>
  <c r="U742" i="31"/>
  <c r="T753" i="31"/>
  <c r="Z753" i="31"/>
  <c r="U756" i="31"/>
  <c r="AA758" i="31"/>
  <c r="T760" i="31"/>
  <c r="Z760" i="31"/>
  <c r="T769" i="31"/>
  <c r="Z769" i="31"/>
  <c r="U772" i="31"/>
  <c r="Z774" i="31"/>
  <c r="T778" i="31"/>
  <c r="T781" i="31"/>
  <c r="Z781" i="31"/>
  <c r="AA781" i="31"/>
  <c r="T784" i="31"/>
  <c r="T791" i="31"/>
  <c r="Z819" i="31"/>
  <c r="AA622" i="31"/>
  <c r="Z623" i="31"/>
  <c r="AA626" i="31"/>
  <c r="Z627" i="31"/>
  <c r="AA630" i="31"/>
  <c r="AA639" i="31"/>
  <c r="U643" i="31"/>
  <c r="Z647" i="31"/>
  <c r="T654" i="31"/>
  <c r="AA655" i="31"/>
  <c r="T663" i="31"/>
  <c r="T669" i="31"/>
  <c r="U671" i="31"/>
  <c r="T678" i="31"/>
  <c r="U678" i="31"/>
  <c r="T679" i="31"/>
  <c r="AA680" i="31"/>
  <c r="Z682" i="31"/>
  <c r="AA683" i="31"/>
  <c r="U686" i="31"/>
  <c r="T692" i="31"/>
  <c r="U698" i="31"/>
  <c r="U700" i="31"/>
  <c r="Z704" i="31"/>
  <c r="T704" i="31"/>
  <c r="Z709" i="31"/>
  <c r="U712" i="31"/>
  <c r="T724" i="31"/>
  <c r="Z724" i="31"/>
  <c r="U734" i="31"/>
  <c r="T736" i="31"/>
  <c r="T748" i="31"/>
  <c r="Z748" i="31"/>
  <c r="U753" i="31"/>
  <c r="T757" i="31"/>
  <c r="Z757" i="31"/>
  <c r="T764" i="31"/>
  <c r="Z764" i="31"/>
  <c r="U769" i="31"/>
  <c r="T773" i="31"/>
  <c r="Z773" i="31"/>
  <c r="U787" i="31"/>
  <c r="AA787" i="31"/>
  <c r="AA800" i="31"/>
  <c r="AA804" i="31"/>
  <c r="U812" i="31"/>
  <c r="T813" i="31"/>
  <c r="U615" i="31"/>
  <c r="U621" i="31"/>
  <c r="AA623" i="31"/>
  <c r="U625" i="31"/>
  <c r="AA627" i="31"/>
  <c r="U629" i="31"/>
  <c r="Z638" i="31"/>
  <c r="T645" i="31"/>
  <c r="AA647" i="31"/>
  <c r="AA654" i="31"/>
  <c r="T661" i="31"/>
  <c r="AA663" i="31"/>
  <c r="T677" i="31"/>
  <c r="U680" i="31"/>
  <c r="Z687" i="31"/>
  <c r="U692" i="31"/>
  <c r="T693" i="31"/>
  <c r="U695" i="31"/>
  <c r="AA699" i="31"/>
  <c r="U706" i="31"/>
  <c r="AA714" i="31"/>
  <c r="T733" i="31"/>
  <c r="Z733" i="31"/>
  <c r="Z734" i="31"/>
  <c r="AA741" i="31"/>
  <c r="AA764" i="31"/>
  <c r="T776" i="31"/>
  <c r="Z784" i="31"/>
  <c r="T792" i="31"/>
  <c r="T798" i="31"/>
  <c r="AA798" i="31"/>
  <c r="AA802" i="31"/>
  <c r="AA813" i="31"/>
  <c r="U818" i="31"/>
  <c r="T636" i="31"/>
  <c r="AA638" i="31"/>
  <c r="T642" i="31"/>
  <c r="T644" i="31"/>
  <c r="AA645" i="31"/>
  <c r="Z646" i="31"/>
  <c r="U654" i="31"/>
  <c r="T660" i="31"/>
  <c r="U663" i="31"/>
  <c r="T676" i="31"/>
  <c r="Z686" i="31"/>
  <c r="AA704" i="31"/>
  <c r="Z708" i="31"/>
  <c r="AA721" i="31"/>
  <c r="U724" i="31"/>
  <c r="T745" i="31"/>
  <c r="Z745" i="31"/>
  <c r="U748" i="31"/>
  <c r="AA750" i="31"/>
  <c r="T752" i="31"/>
  <c r="Z752" i="31"/>
  <c r="T761" i="31"/>
  <c r="Z761" i="31"/>
  <c r="U764" i="31"/>
  <c r="AA766" i="31"/>
  <c r="T768" i="31"/>
  <c r="Z768" i="31"/>
  <c r="U776" i="31"/>
  <c r="U788" i="31"/>
  <c r="AA788" i="31"/>
  <c r="Z788" i="31"/>
  <c r="T788" i="31"/>
  <c r="U790" i="31"/>
  <c r="AA794" i="31"/>
  <c r="Z794" i="31"/>
  <c r="T794" i="31"/>
  <c r="U796" i="31"/>
  <c r="AA796" i="31"/>
  <c r="Z796" i="31"/>
  <c r="T796" i="31"/>
  <c r="U684" i="31"/>
  <c r="U697" i="31"/>
  <c r="T699" i="31"/>
  <c r="Z699" i="31"/>
  <c r="U703" i="31"/>
  <c r="U714" i="31"/>
  <c r="Z717" i="31"/>
  <c r="T717" i="31"/>
  <c r="T720" i="31"/>
  <c r="U721" i="31"/>
  <c r="U730" i="31"/>
  <c r="U733" i="31"/>
  <c r="AA736" i="31"/>
  <c r="U736" i="31"/>
  <c r="T741" i="31"/>
  <c r="Z741" i="31"/>
  <c r="T744" i="31"/>
  <c r="T747" i="31"/>
  <c r="Z747" i="31"/>
  <c r="U750" i="31"/>
  <c r="T755" i="31"/>
  <c r="Z755" i="31"/>
  <c r="U758" i="31"/>
  <c r="T763" i="31"/>
  <c r="Z763" i="31"/>
  <c r="U766" i="31"/>
  <c r="T771" i="31"/>
  <c r="Z771" i="31"/>
  <c r="Z777" i="31"/>
  <c r="T777" i="31"/>
  <c r="U779" i="31"/>
  <c r="T782" i="31"/>
  <c r="U783" i="31"/>
  <c r="Z786" i="31"/>
  <c r="U800" i="31"/>
  <c r="AA807" i="31"/>
  <c r="AA818" i="31"/>
  <c r="U683" i="31"/>
  <c r="AA686" i="31"/>
  <c r="Z691" i="31"/>
  <c r="T691" i="31"/>
  <c r="Z696" i="31"/>
  <c r="U699" i="31"/>
  <c r="Z705" i="31"/>
  <c r="T705" i="31"/>
  <c r="Z716" i="31"/>
  <c r="T716" i="31"/>
  <c r="AA720" i="31"/>
  <c r="Z723" i="31"/>
  <c r="T723" i="31"/>
  <c r="U738" i="31"/>
  <c r="U741" i="31"/>
  <c r="AA744" i="31"/>
  <c r="U744" i="31"/>
  <c r="AA768" i="31"/>
  <c r="AA775" i="31"/>
  <c r="Z775" i="31"/>
  <c r="AA777" i="31"/>
  <c r="T779" i="31"/>
  <c r="AA779" i="31"/>
  <c r="U784" i="31"/>
  <c r="AA792" i="31"/>
  <c r="U792" i="31"/>
  <c r="U804" i="31"/>
  <c r="AA811" i="31"/>
  <c r="T817" i="31"/>
  <c r="AA696" i="31"/>
  <c r="U710" i="31"/>
  <c r="U713" i="31"/>
  <c r="AA716" i="31"/>
  <c r="U720" i="31"/>
  <c r="U726" i="31"/>
  <c r="U729" i="31"/>
  <c r="AA732" i="31"/>
  <c r="U732" i="31"/>
  <c r="T737" i="31"/>
  <c r="Z737" i="31"/>
  <c r="T740" i="31"/>
  <c r="T743" i="31"/>
  <c r="Z743" i="31"/>
  <c r="Z744" i="31"/>
  <c r="U749" i="31"/>
  <c r="AA752" i="31"/>
  <c r="U752" i="31"/>
  <c r="U757" i="31"/>
  <c r="AA760" i="31"/>
  <c r="U760" i="31"/>
  <c r="U765" i="31"/>
  <c r="U768" i="31"/>
  <c r="U773" i="31"/>
  <c r="AA778" i="31"/>
  <c r="Z780" i="31"/>
  <c r="Z792" i="31"/>
  <c r="Z795" i="31"/>
  <c r="T795" i="31"/>
  <c r="Z799" i="31"/>
  <c r="T799" i="31"/>
  <c r="T801" i="31"/>
  <c r="AA806" i="31"/>
  <c r="T808" i="31"/>
  <c r="AA808" i="31"/>
  <c r="Z815" i="31"/>
  <c r="AA817" i="31"/>
  <c r="AA820" i="31"/>
  <c r="U689" i="31"/>
  <c r="AA690" i="31"/>
  <c r="AA693" i="31"/>
  <c r="U696" i="31"/>
  <c r="AA698" i="31"/>
  <c r="Z698" i="31"/>
  <c r="T698" i="31"/>
  <c r="AA702" i="31"/>
  <c r="AA703" i="31"/>
  <c r="Z703" i="31"/>
  <c r="U716" i="31"/>
  <c r="T719" i="31"/>
  <c r="T725" i="31"/>
  <c r="Z725" i="31"/>
  <c r="T728" i="31"/>
  <c r="T731" i="31"/>
  <c r="Z731" i="31"/>
  <c r="U746" i="31"/>
  <c r="T751" i="31"/>
  <c r="Z751" i="31"/>
  <c r="U754" i="31"/>
  <c r="T759" i="31"/>
  <c r="Z759" i="31"/>
  <c r="U762" i="31"/>
  <c r="T767" i="31"/>
  <c r="Z767" i="31"/>
  <c r="U770" i="31"/>
  <c r="AA780" i="31"/>
  <c r="Z785" i="31"/>
  <c r="T785" i="31"/>
  <c r="U789" i="31"/>
  <c r="T789" i="31"/>
  <c r="AA799" i="31"/>
  <c r="U808" i="31"/>
  <c r="AA814" i="31"/>
  <c r="Z702" i="31"/>
  <c r="U718" i="31"/>
  <c r="AA719" i="31"/>
  <c r="AA776" i="31"/>
  <c r="U778" i="31"/>
  <c r="AA784" i="31"/>
  <c r="Z793" i="31"/>
  <c r="Z798" i="31"/>
  <c r="Z802" i="31"/>
  <c r="Z806" i="31"/>
  <c r="Z810" i="31"/>
  <c r="U813" i="31"/>
  <c r="T816" i="31"/>
  <c r="U817" i="31"/>
  <c r="T820" i="31"/>
  <c r="U780" i="31"/>
  <c r="Z791" i="31"/>
  <c r="Z797" i="31"/>
  <c r="Z801" i="31"/>
  <c r="Z805" i="31"/>
  <c r="Z809" i="31"/>
  <c r="T815" i="31"/>
  <c r="U816" i="31"/>
  <c r="T819" i="31"/>
  <c r="U820" i="31"/>
  <c r="Z706" i="31"/>
  <c r="U723" i="31"/>
  <c r="T726" i="31"/>
  <c r="U727" i="31"/>
  <c r="T730" i="31"/>
  <c r="U731" i="31"/>
  <c r="T734" i="31"/>
  <c r="U735" i="31"/>
  <c r="T738" i="31"/>
  <c r="U739" i="31"/>
  <c r="T742" i="31"/>
  <c r="U743" i="31"/>
  <c r="T746" i="31"/>
  <c r="U747" i="31"/>
  <c r="T750" i="31"/>
  <c r="U751" i="31"/>
  <c r="T754" i="31"/>
  <c r="U755" i="31"/>
  <c r="T758" i="31"/>
  <c r="U759" i="31"/>
  <c r="T762" i="31"/>
  <c r="U763" i="31"/>
  <c r="T766" i="31"/>
  <c r="U767" i="31"/>
  <c r="T770" i="31"/>
  <c r="U771" i="31"/>
  <c r="U777" i="31"/>
  <c r="U785" i="31"/>
  <c r="Z790" i="31"/>
  <c r="AA797" i="31"/>
  <c r="AA801" i="31"/>
  <c r="AA805" i="31"/>
  <c r="AA809" i="31"/>
  <c r="Z816" i="31"/>
  <c r="Z820" i="31"/>
  <c r="U694" i="31"/>
  <c r="Z697" i="31"/>
  <c r="U708" i="31"/>
  <c r="U709" i="31"/>
  <c r="Z710" i="31"/>
  <c r="Z712" i="31"/>
  <c r="U722" i="31"/>
  <c r="U774" i="31"/>
  <c r="U782" i="31"/>
  <c r="Z789" i="31"/>
  <c r="Z800" i="31"/>
  <c r="Z804" i="31"/>
  <c r="Z808" i="31"/>
  <c r="Z812" i="31"/>
  <c r="T814" i="31"/>
  <c r="U815" i="31"/>
  <c r="T818" i="31"/>
  <c r="U819" i="31"/>
  <c r="E107" i="29"/>
  <c r="C54" i="29"/>
  <c r="X410" i="5" l="1"/>
  <c r="W410" i="5"/>
  <c r="V410" i="5"/>
  <c r="Q410" i="5"/>
  <c r="X409" i="5"/>
  <c r="W409" i="5"/>
  <c r="V409" i="5"/>
  <c r="Q409" i="5"/>
  <c r="X410" i="18"/>
  <c r="W410" i="18"/>
  <c r="V410" i="18"/>
  <c r="Q410" i="18"/>
  <c r="X409" i="18"/>
  <c r="W409" i="18"/>
  <c r="V409" i="18"/>
  <c r="Q409" i="18"/>
  <c r="X543" i="5" l="1"/>
  <c r="W543" i="5"/>
  <c r="V543" i="5"/>
  <c r="Q543" i="5"/>
  <c r="X543" i="18"/>
  <c r="W543" i="18"/>
  <c r="V543" i="18"/>
  <c r="Q543" i="18"/>
  <c r="X542" i="18"/>
  <c r="W542" i="18"/>
  <c r="V542" i="18"/>
  <c r="Q542" i="18"/>
  <c r="X541" i="18"/>
  <c r="W541" i="18"/>
  <c r="V541" i="18"/>
  <c r="Q541" i="18"/>
  <c r="X542" i="5"/>
  <c r="W542" i="5"/>
  <c r="V542" i="5"/>
  <c r="Q542" i="5"/>
  <c r="X541" i="5"/>
  <c r="W541" i="5"/>
  <c r="V541" i="5"/>
  <c r="Q541" i="5"/>
  <c r="X540" i="18" l="1"/>
  <c r="W540" i="18"/>
  <c r="V540" i="18"/>
  <c r="Q540" i="18"/>
  <c r="X539" i="18"/>
  <c r="W539" i="18"/>
  <c r="V539" i="18"/>
  <c r="Q539" i="18"/>
  <c r="X538" i="18"/>
  <c r="W538" i="18"/>
  <c r="V538" i="18"/>
  <c r="Q538" i="18"/>
  <c r="X784" i="18"/>
  <c r="W784" i="18"/>
  <c r="V784" i="18"/>
  <c r="Q784" i="18"/>
  <c r="X540" i="5"/>
  <c r="W540" i="5"/>
  <c r="V540" i="5"/>
  <c r="Q540" i="5"/>
  <c r="X539" i="5"/>
  <c r="W539" i="5"/>
  <c r="V539" i="5"/>
  <c r="Q539" i="5"/>
  <c r="X538" i="5"/>
  <c r="W538" i="5"/>
  <c r="V538" i="5"/>
  <c r="Q538" i="5"/>
  <c r="X784" i="5"/>
  <c r="W784" i="5"/>
  <c r="V784" i="5"/>
  <c r="Q784" i="5"/>
  <c r="Y303" i="18"/>
  <c r="X303" i="18"/>
  <c r="W303" i="18"/>
  <c r="V303" i="18"/>
  <c r="Q303" i="18"/>
  <c r="Y302" i="18"/>
  <c r="X302" i="18"/>
  <c r="W302" i="18"/>
  <c r="V302" i="18"/>
  <c r="Q302" i="18"/>
  <c r="Y325" i="18"/>
  <c r="X325" i="18"/>
  <c r="W325" i="18"/>
  <c r="V325" i="18"/>
  <c r="Q325" i="18"/>
  <c r="Y324" i="18"/>
  <c r="X324" i="18"/>
  <c r="W324" i="18"/>
  <c r="V324" i="18"/>
  <c r="Q324" i="18"/>
  <c r="Y303" i="5"/>
  <c r="X303" i="5"/>
  <c r="W303" i="5"/>
  <c r="V303" i="5"/>
  <c r="Q303" i="5"/>
  <c r="Y302" i="5"/>
  <c r="X302" i="5"/>
  <c r="W302" i="5"/>
  <c r="V302" i="5"/>
  <c r="Q302" i="5"/>
  <c r="Y325" i="5"/>
  <c r="X325" i="5"/>
  <c r="W325" i="5"/>
  <c r="V325" i="5"/>
  <c r="Q325" i="5"/>
  <c r="Y324" i="5"/>
  <c r="X324" i="5"/>
  <c r="W324" i="5"/>
  <c r="V324" i="5"/>
  <c r="Q324" i="5"/>
  <c r="Q395" i="18" l="1"/>
  <c r="Q394" i="18"/>
  <c r="Q393" i="18"/>
  <c r="Q392" i="18"/>
  <c r="Q391" i="18"/>
  <c r="Q390" i="18"/>
  <c r="Q389" i="18"/>
  <c r="Q388" i="18"/>
  <c r="Q387" i="18"/>
  <c r="Q386" i="18"/>
  <c r="Q385" i="18"/>
  <c r="Q384" i="18"/>
  <c r="Q383" i="18"/>
  <c r="Q382" i="18"/>
  <c r="Q381" i="18"/>
  <c r="Q380" i="18"/>
  <c r="Q379" i="18"/>
  <c r="Q378" i="18"/>
  <c r="Q377" i="18"/>
  <c r="Q376" i="18"/>
  <c r="Q375" i="18"/>
  <c r="Q374" i="18"/>
  <c r="Q373" i="18"/>
  <c r="Q372" i="18"/>
  <c r="Q371" i="18"/>
  <c r="Q370" i="18"/>
  <c r="Q369" i="18"/>
  <c r="Q368" i="18"/>
  <c r="Q367" i="18"/>
  <c r="Q366" i="18"/>
  <c r="Q365" i="18"/>
  <c r="Q364" i="18"/>
  <c r="Q363" i="18"/>
  <c r="Q362" i="18"/>
  <c r="Q361" i="18"/>
  <c r="Q360" i="18"/>
  <c r="Q359" i="18"/>
  <c r="Q358" i="18"/>
  <c r="Q357" i="18"/>
  <c r="Q356" i="18"/>
  <c r="Q355" i="18"/>
  <c r="Q354" i="18"/>
  <c r="Q353" i="18"/>
  <c r="Q352" i="18"/>
  <c r="Q351" i="18"/>
  <c r="Q350" i="18"/>
  <c r="Q349" i="18"/>
  <c r="Q348" i="18"/>
  <c r="Q347" i="18"/>
  <c r="Q346" i="18"/>
  <c r="Q345" i="18"/>
  <c r="Q344" i="18"/>
  <c r="Q343" i="18"/>
  <c r="Q342" i="18"/>
  <c r="Q341" i="18"/>
  <c r="Q340" i="18"/>
  <c r="Q339" i="18"/>
  <c r="Q338" i="18"/>
  <c r="Q337" i="18"/>
  <c r="Q336" i="18"/>
  <c r="Q335" i="18"/>
  <c r="Q334" i="18"/>
  <c r="Q333" i="18"/>
  <c r="Q332" i="18"/>
  <c r="Q331" i="18"/>
  <c r="Q330" i="18"/>
  <c r="Q329" i="18"/>
  <c r="Q328" i="18"/>
  <c r="Q327" i="18"/>
  <c r="Q326" i="18"/>
  <c r="Q323" i="18"/>
  <c r="Q322" i="18"/>
  <c r="Q321" i="18"/>
  <c r="Q320" i="18"/>
  <c r="Q319" i="18"/>
  <c r="Q318" i="18"/>
  <c r="Q317" i="18"/>
  <c r="Q316" i="18"/>
  <c r="Q315" i="18"/>
  <c r="Q314" i="18"/>
  <c r="Q313" i="18"/>
  <c r="Q312" i="18"/>
  <c r="Q311" i="18"/>
  <c r="Q310" i="18"/>
  <c r="Q309" i="18"/>
  <c r="Q308" i="18"/>
  <c r="Q307" i="18"/>
  <c r="Q306" i="18"/>
  <c r="Q305" i="18"/>
  <c r="Q304" i="18"/>
  <c r="Q301" i="18"/>
  <c r="Q300" i="18"/>
  <c r="Q299" i="18"/>
  <c r="Q298" i="18"/>
  <c r="Q297" i="18"/>
  <c r="Q296" i="18"/>
  <c r="Q295" i="18"/>
  <c r="Q294" i="18"/>
  <c r="Q293" i="18"/>
  <c r="Q292" i="18"/>
  <c r="Q291" i="18"/>
  <c r="Q290" i="18"/>
  <c r="Q289" i="18"/>
  <c r="Q288" i="18"/>
  <c r="Q287" i="18"/>
  <c r="Q286" i="18"/>
  <c r="Q285" i="18"/>
  <c r="Q284" i="18"/>
  <c r="Q283" i="18"/>
  <c r="Q282" i="18"/>
  <c r="Q281" i="18"/>
  <c r="Q280" i="18"/>
  <c r="Q279" i="18"/>
  <c r="Q278" i="18"/>
  <c r="Q277" i="18"/>
  <c r="Q276" i="18"/>
  <c r="Q275" i="18"/>
  <c r="Q274" i="18"/>
  <c r="Q273" i="18"/>
  <c r="Q272" i="18"/>
  <c r="Q271" i="18"/>
  <c r="Q270" i="18"/>
  <c r="Q269" i="18"/>
  <c r="Q268" i="18"/>
  <c r="Q267" i="18"/>
  <c r="Q266" i="18"/>
  <c r="Q265" i="18"/>
  <c r="Q264" i="18"/>
  <c r="Q263" i="18"/>
  <c r="Q262" i="18"/>
  <c r="Q261" i="18"/>
  <c r="Q260" i="18"/>
  <c r="Q259" i="18"/>
  <c r="Q258" i="18"/>
  <c r="Q257" i="18"/>
  <c r="Q256" i="18"/>
  <c r="Q255" i="18"/>
  <c r="Q254" i="18"/>
  <c r="Q253" i="18"/>
  <c r="Q252" i="18"/>
  <c r="Q251" i="18"/>
  <c r="Q250" i="18"/>
  <c r="Q249" i="18"/>
  <c r="Q248" i="18"/>
  <c r="Q247" i="18"/>
  <c r="Q246" i="18"/>
  <c r="Q245" i="18"/>
  <c r="Q244" i="18"/>
  <c r="Q243" i="18"/>
  <c r="Q242" i="18"/>
  <c r="Q241" i="18"/>
  <c r="Q240" i="18"/>
  <c r="Q239" i="18"/>
  <c r="Q238" i="18"/>
  <c r="Q237" i="18"/>
  <c r="Q236" i="18"/>
  <c r="Q235" i="18"/>
  <c r="Q234" i="18"/>
  <c r="Q233" i="18"/>
  <c r="Q232" i="18"/>
  <c r="Q231" i="18"/>
  <c r="Q230" i="18"/>
  <c r="Q229" i="18"/>
  <c r="Q228" i="18"/>
  <c r="Q227" i="18"/>
  <c r="Q226" i="18"/>
  <c r="Q225" i="18"/>
  <c r="Q224" i="18"/>
  <c r="Q223" i="18"/>
  <c r="Q222" i="18"/>
  <c r="Q221" i="18"/>
  <c r="Q220" i="18"/>
  <c r="Q219" i="18"/>
  <c r="Q218" i="18"/>
  <c r="Q217" i="18"/>
  <c r="Q216" i="18"/>
  <c r="Q215" i="18"/>
  <c r="Q214" i="18"/>
  <c r="Q213" i="18"/>
  <c r="Q212" i="18"/>
  <c r="Q211" i="18"/>
  <c r="Q210" i="18"/>
  <c r="Q209" i="18"/>
  <c r="Q208" i="18"/>
  <c r="Q207" i="18"/>
  <c r="Q206" i="18"/>
  <c r="Q205" i="18"/>
  <c r="Q204" i="18"/>
  <c r="Q203" i="18"/>
  <c r="Q202" i="18"/>
  <c r="Q201" i="18"/>
  <c r="Q200" i="18"/>
  <c r="Q199" i="18"/>
  <c r="Q198" i="18"/>
  <c r="Q197" i="18"/>
  <c r="Q196" i="18"/>
  <c r="Q195" i="18"/>
  <c r="Q194" i="18"/>
  <c r="Q193" i="18"/>
  <c r="Q192" i="18"/>
  <c r="Q191" i="18"/>
  <c r="Q190" i="18"/>
  <c r="Q189" i="18"/>
  <c r="Q188" i="18"/>
  <c r="Q187" i="18"/>
  <c r="Q186" i="18"/>
  <c r="Q185" i="18"/>
  <c r="Q184" i="18"/>
  <c r="Q183" i="18"/>
  <c r="Q182" i="18"/>
  <c r="Q181" i="18"/>
  <c r="Q180" i="18"/>
  <c r="Q179" i="18"/>
  <c r="Q178" i="18"/>
  <c r="Q177" i="18"/>
  <c r="Q176" i="18"/>
  <c r="Q175" i="18"/>
  <c r="Q174" i="18"/>
  <c r="Q173" i="18"/>
  <c r="Q172" i="18"/>
  <c r="Q171" i="18"/>
  <c r="Q170" i="18"/>
  <c r="Q169" i="18"/>
  <c r="Q168" i="18"/>
  <c r="Q167" i="18"/>
  <c r="Q166" i="18"/>
  <c r="Q165" i="18"/>
  <c r="Q164" i="18"/>
  <c r="Q163" i="18"/>
  <c r="Q162" i="18"/>
  <c r="Q161" i="18"/>
  <c r="Q160" i="18"/>
  <c r="Q159" i="18"/>
  <c r="Q158" i="18"/>
  <c r="Q157" i="18"/>
  <c r="Q156" i="18"/>
  <c r="Q155" i="18"/>
  <c r="Q154" i="18"/>
  <c r="Q153" i="18"/>
  <c r="Q152" i="18"/>
  <c r="Q151" i="18"/>
  <c r="Q150" i="18"/>
  <c r="Q149" i="18"/>
  <c r="Q148" i="18"/>
  <c r="Q147" i="18"/>
  <c r="Q146" i="18"/>
  <c r="Q145" i="18"/>
  <c r="Q144" i="18"/>
  <c r="Q143" i="18"/>
  <c r="Q142" i="18"/>
  <c r="Q141" i="18"/>
  <c r="Q140" i="18"/>
  <c r="Q139" i="18"/>
  <c r="Q138" i="18"/>
  <c r="Q137" i="18"/>
  <c r="Q136" i="18"/>
  <c r="Q135" i="18"/>
  <c r="Q134" i="18"/>
  <c r="Q133" i="18"/>
  <c r="Q132" i="18"/>
  <c r="Q131" i="18"/>
  <c r="Q130" i="18"/>
  <c r="Q129" i="18"/>
  <c r="Q128" i="18"/>
  <c r="Q127" i="18"/>
  <c r="Q126" i="18"/>
  <c r="Q125" i="18"/>
  <c r="Q124" i="18"/>
  <c r="Q123" i="18"/>
  <c r="Q122" i="18"/>
  <c r="Q121" i="18"/>
  <c r="Q120" i="18"/>
  <c r="Q119" i="18"/>
  <c r="Q118" i="18"/>
  <c r="Q117" i="18"/>
  <c r="Q116" i="18"/>
  <c r="Q115" i="18"/>
  <c r="Q114" i="18"/>
  <c r="Q113" i="18"/>
  <c r="Q112" i="18"/>
  <c r="Q111" i="18"/>
  <c r="Q110" i="18"/>
  <c r="Q109" i="18"/>
  <c r="Q108" i="18"/>
  <c r="Q107" i="18"/>
  <c r="Q106" i="18"/>
  <c r="Q105" i="18"/>
  <c r="Q104" i="18"/>
  <c r="Q103" i="18"/>
  <c r="Q102" i="18"/>
  <c r="Q101" i="18"/>
  <c r="Q100" i="18"/>
  <c r="Q99" i="18"/>
  <c r="Q98" i="18"/>
  <c r="Q97" i="18"/>
  <c r="Q96" i="18"/>
  <c r="Q95" i="18"/>
  <c r="Q94" i="18"/>
  <c r="Q93" i="18"/>
  <c r="Q92" i="18"/>
  <c r="Q91" i="18"/>
  <c r="Q90" i="18"/>
  <c r="Q89" i="18"/>
  <c r="Q88" i="18"/>
  <c r="Q87" i="18"/>
  <c r="Q86" i="18"/>
  <c r="Q85" i="18"/>
  <c r="Q84" i="18"/>
  <c r="Q83" i="18"/>
  <c r="Q82" i="18"/>
  <c r="Q81" i="18"/>
  <c r="Q80" i="18"/>
  <c r="Q79" i="18"/>
  <c r="Q78" i="18"/>
  <c r="Q77" i="18"/>
  <c r="Q76" i="18"/>
  <c r="Q75" i="18"/>
  <c r="Q74" i="18"/>
  <c r="Q73" i="18"/>
  <c r="Q72" i="18"/>
  <c r="Q71" i="18"/>
  <c r="Q70" i="18"/>
  <c r="Q69" i="18"/>
  <c r="Q68" i="18"/>
  <c r="Q67" i="18"/>
  <c r="Q66" i="18"/>
  <c r="Q65" i="18"/>
  <c r="Q64" i="18"/>
  <c r="Q63" i="18"/>
  <c r="Q62" i="18"/>
  <c r="Q395" i="5"/>
  <c r="Q394" i="5"/>
  <c r="Q393" i="5"/>
  <c r="Q392" i="5"/>
  <c r="Q391" i="5"/>
  <c r="Q390" i="5"/>
  <c r="Q389" i="5"/>
  <c r="Q388" i="5"/>
  <c r="Q387" i="5"/>
  <c r="Q386" i="5"/>
  <c r="Q385" i="5"/>
  <c r="Q384" i="5"/>
  <c r="Q383" i="5"/>
  <c r="Q382" i="5"/>
  <c r="Q381" i="5"/>
  <c r="Q380" i="5"/>
  <c r="Q379" i="5"/>
  <c r="Q378" i="5"/>
  <c r="Q377" i="5"/>
  <c r="Q376" i="5"/>
  <c r="Q375" i="5"/>
  <c r="Q374" i="5"/>
  <c r="Q373" i="5"/>
  <c r="Q372" i="5"/>
  <c r="Q371" i="5"/>
  <c r="Q370" i="5"/>
  <c r="Q369" i="5"/>
  <c r="Q368" i="5"/>
  <c r="Q367" i="5"/>
  <c r="Q366" i="5"/>
  <c r="Q365" i="5"/>
  <c r="Q364" i="5"/>
  <c r="Q363" i="5"/>
  <c r="Q362" i="5"/>
  <c r="Q361" i="5"/>
  <c r="Q360" i="5"/>
  <c r="Q359" i="5"/>
  <c r="Q358" i="5"/>
  <c r="Q357" i="5"/>
  <c r="Q356" i="5"/>
  <c r="Q355" i="5"/>
  <c r="Q354" i="5"/>
  <c r="Q353" i="5"/>
  <c r="Q352" i="5"/>
  <c r="Q351" i="5"/>
  <c r="Q350" i="5"/>
  <c r="Q349" i="5"/>
  <c r="Q348" i="5"/>
  <c r="Q347" i="5"/>
  <c r="Q346" i="5"/>
  <c r="Q345" i="5"/>
  <c r="Q344" i="5"/>
  <c r="Q343" i="5"/>
  <c r="Q342" i="5"/>
  <c r="Q341" i="5"/>
  <c r="Q340" i="5"/>
  <c r="Q339" i="5"/>
  <c r="Q338" i="5"/>
  <c r="Q337" i="5"/>
  <c r="Q336" i="5"/>
  <c r="Q335" i="5"/>
  <c r="Q334" i="5"/>
  <c r="Q333" i="5"/>
  <c r="Q332" i="5"/>
  <c r="Q331" i="5"/>
  <c r="Q330" i="5"/>
  <c r="Q329" i="5"/>
  <c r="Q328" i="5"/>
  <c r="Q327" i="5"/>
  <c r="Q326" i="5"/>
  <c r="Q323" i="5"/>
  <c r="Q322" i="5"/>
  <c r="Q321" i="5"/>
  <c r="Q320" i="5"/>
  <c r="Q319" i="5"/>
  <c r="Q318" i="5"/>
  <c r="Q317" i="5"/>
  <c r="Q316" i="5"/>
  <c r="Q315" i="5"/>
  <c r="Q314" i="5"/>
  <c r="Q313" i="5"/>
  <c r="Q312" i="5"/>
  <c r="Q311" i="5"/>
  <c r="Q310" i="5"/>
  <c r="Q309" i="5"/>
  <c r="Q308" i="5"/>
  <c r="Q307" i="5"/>
  <c r="Q306" i="5"/>
  <c r="Q305" i="5"/>
  <c r="Q304" i="5"/>
  <c r="Q301" i="5"/>
  <c r="Q300" i="5"/>
  <c r="Q299" i="5"/>
  <c r="Q298" i="5"/>
  <c r="Q297" i="5"/>
  <c r="Q296" i="5"/>
  <c r="Q295" i="5"/>
  <c r="Q294" i="5"/>
  <c r="Q293" i="5"/>
  <c r="Q292" i="5"/>
  <c r="Q291" i="5"/>
  <c r="Q290" i="5"/>
  <c r="Q289" i="5"/>
  <c r="Q288" i="5"/>
  <c r="Q287" i="5"/>
  <c r="Q286" i="5"/>
  <c r="Q285" i="5"/>
  <c r="Q284" i="5"/>
  <c r="Q283" i="5"/>
  <c r="Q282" i="5"/>
  <c r="Q281" i="5"/>
  <c r="Q280" i="5"/>
  <c r="Q279" i="5"/>
  <c r="Q278" i="5"/>
  <c r="Q277" i="5"/>
  <c r="Q276" i="5"/>
  <c r="Q275" i="5"/>
  <c r="Q274" i="5"/>
  <c r="Q273" i="5"/>
  <c r="Q272" i="5"/>
  <c r="Q271" i="5"/>
  <c r="Q270" i="5"/>
  <c r="Q269" i="5"/>
  <c r="Q268" i="5"/>
  <c r="Q267" i="5"/>
  <c r="Q266" i="5"/>
  <c r="Q265" i="5"/>
  <c r="Q264" i="5"/>
  <c r="Q263" i="5"/>
  <c r="Q262" i="5"/>
  <c r="Q261" i="5"/>
  <c r="Q260" i="5"/>
  <c r="Q259" i="5"/>
  <c r="Q258" i="5"/>
  <c r="Q257" i="5"/>
  <c r="Q256" i="5"/>
  <c r="Q255" i="5"/>
  <c r="Q254" i="5"/>
  <c r="Q253" i="5"/>
  <c r="Q252" i="5"/>
  <c r="Q251" i="5"/>
  <c r="Q250" i="5"/>
  <c r="Q249" i="5"/>
  <c r="Q248" i="5"/>
  <c r="Q247" i="5"/>
  <c r="Q246" i="5"/>
  <c r="Q245" i="5"/>
  <c r="Q244" i="5"/>
  <c r="Q243" i="5"/>
  <c r="Q242" i="5"/>
  <c r="Q241" i="5"/>
  <c r="Q240" i="5"/>
  <c r="Q239" i="5"/>
  <c r="Q238" i="5"/>
  <c r="Q237" i="5"/>
  <c r="Q236" i="5"/>
  <c r="Q235" i="5"/>
  <c r="Q234" i="5"/>
  <c r="Q233" i="5"/>
  <c r="Q232" i="5"/>
  <c r="Q231" i="5"/>
  <c r="Q230" i="5"/>
  <c r="Q229" i="5"/>
  <c r="Q228" i="5"/>
  <c r="Q227" i="5"/>
  <c r="Q226" i="5"/>
  <c r="Q225" i="5"/>
  <c r="Q224" i="5"/>
  <c r="Q223" i="5"/>
  <c r="Q222" i="5"/>
  <c r="Q221" i="5"/>
  <c r="Q220" i="5"/>
  <c r="Q219" i="5"/>
  <c r="Q218" i="5"/>
  <c r="Q217" i="5"/>
  <c r="Q216" i="5"/>
  <c r="Q215" i="5"/>
  <c r="Q214" i="5"/>
  <c r="Q213" i="5"/>
  <c r="Q212" i="5"/>
  <c r="Q211" i="5"/>
  <c r="Q210" i="5"/>
  <c r="Q209" i="5"/>
  <c r="Q208" i="5"/>
  <c r="Q207" i="5"/>
  <c r="Q206" i="5"/>
  <c r="Q205" i="5"/>
  <c r="Q204" i="5"/>
  <c r="Q203" i="5"/>
  <c r="Q202" i="5"/>
  <c r="Q201" i="5"/>
  <c r="Q200" i="5"/>
  <c r="Q199" i="5"/>
  <c r="Q198" i="5"/>
  <c r="Q197" i="5"/>
  <c r="Q196" i="5"/>
  <c r="Q195" i="5"/>
  <c r="Q194" i="5"/>
  <c r="Q193" i="5"/>
  <c r="Q192" i="5"/>
  <c r="Q191" i="5"/>
  <c r="Q190" i="5"/>
  <c r="Q189" i="5"/>
  <c r="Q188" i="5"/>
  <c r="Q187" i="5"/>
  <c r="Q186" i="5"/>
  <c r="Q185" i="5"/>
  <c r="Q184" i="5"/>
  <c r="Q183" i="5"/>
  <c r="Q182" i="5"/>
  <c r="Q181" i="5"/>
  <c r="Q180" i="5"/>
  <c r="Q179" i="5"/>
  <c r="Q178" i="5"/>
  <c r="Q177" i="5"/>
  <c r="Q176" i="5"/>
  <c r="Q175" i="5"/>
  <c r="Q174" i="5"/>
  <c r="Q173" i="5"/>
  <c r="Q172" i="5"/>
  <c r="Q171" i="5"/>
  <c r="Q170" i="5"/>
  <c r="Q169" i="5"/>
  <c r="Q168" i="5"/>
  <c r="Q167" i="5"/>
  <c r="Q166" i="5"/>
  <c r="Q165" i="5"/>
  <c r="Q164" i="5"/>
  <c r="Q163" i="5"/>
  <c r="Q162" i="5"/>
  <c r="Q161" i="5"/>
  <c r="Q160" i="5"/>
  <c r="Q159" i="5"/>
  <c r="Q158" i="5"/>
  <c r="Q157" i="5"/>
  <c r="Q156" i="5"/>
  <c r="Q155" i="5"/>
  <c r="Q154" i="5"/>
  <c r="Q153" i="5"/>
  <c r="Q152" i="5"/>
  <c r="Q151" i="5"/>
  <c r="Q150" i="5"/>
  <c r="Q149" i="5"/>
  <c r="Q148" i="5"/>
  <c r="Q147" i="5"/>
  <c r="Q146" i="5"/>
  <c r="Q145" i="5"/>
  <c r="Q144" i="5"/>
  <c r="Q143" i="5"/>
  <c r="Q142" i="5"/>
  <c r="Q141" i="5"/>
  <c r="Q140" i="5"/>
  <c r="Q139" i="5"/>
  <c r="Q138" i="5"/>
  <c r="Q137" i="5"/>
  <c r="Q136" i="5"/>
  <c r="Q135" i="5"/>
  <c r="Q134" i="5"/>
  <c r="Q133" i="5"/>
  <c r="Q132" i="5"/>
  <c r="Q131" i="5"/>
  <c r="Q130" i="5"/>
  <c r="Q129" i="5"/>
  <c r="Q128" i="5"/>
  <c r="Q127" i="5"/>
  <c r="Q126" i="5"/>
  <c r="Q125" i="5"/>
  <c r="Q124" i="5"/>
  <c r="Q123" i="5"/>
  <c r="Q122" i="5"/>
  <c r="Q121" i="5"/>
  <c r="Q120" i="5"/>
  <c r="Q119" i="5"/>
  <c r="Q118" i="5"/>
  <c r="Q117" i="5"/>
  <c r="Q116" i="5"/>
  <c r="Q115" i="5"/>
  <c r="Q114" i="5"/>
  <c r="Q113" i="5"/>
  <c r="Q112" i="5"/>
  <c r="Q111" i="5"/>
  <c r="Q110" i="5"/>
  <c r="Q109" i="5"/>
  <c r="Q108" i="5"/>
  <c r="Q107" i="5"/>
  <c r="Q106" i="5"/>
  <c r="Q105" i="5"/>
  <c r="Q104" i="5"/>
  <c r="Q103" i="5"/>
  <c r="Q102" i="5"/>
  <c r="Q101" i="5"/>
  <c r="Q100" i="5"/>
  <c r="Q99" i="5"/>
  <c r="Q98" i="5"/>
  <c r="Q97" i="5"/>
  <c r="Q96" i="5"/>
  <c r="Q95" i="5"/>
  <c r="Q94" i="5"/>
  <c r="Q93" i="5"/>
  <c r="Q92" i="5"/>
  <c r="Q91" i="5"/>
  <c r="Q90" i="5"/>
  <c r="Q89" i="5"/>
  <c r="Q88" i="5"/>
  <c r="Q87" i="5"/>
  <c r="Q86" i="5"/>
  <c r="Q85" i="5"/>
  <c r="Q84" i="5"/>
  <c r="Q83" i="5"/>
  <c r="Q82" i="5"/>
  <c r="Q81" i="5"/>
  <c r="Q80" i="5"/>
  <c r="Q79" i="5"/>
  <c r="Q78" i="5"/>
  <c r="Q77" i="5"/>
  <c r="Q76" i="5"/>
  <c r="Q75" i="5"/>
  <c r="Q74" i="5"/>
  <c r="Q73" i="5"/>
  <c r="Q72" i="5"/>
  <c r="Q71" i="5"/>
  <c r="Q70" i="5"/>
  <c r="Q69" i="5"/>
  <c r="Q68" i="5"/>
  <c r="Q67" i="5"/>
  <c r="Q66" i="5"/>
  <c r="Q65" i="5"/>
  <c r="Q64" i="5"/>
  <c r="Q63" i="5"/>
  <c r="Q62" i="5"/>
  <c r="J820" i="18" l="1"/>
  <c r="I820" i="18"/>
  <c r="J817" i="18"/>
  <c r="I817" i="18"/>
  <c r="J812" i="18"/>
  <c r="I812" i="18"/>
  <c r="J809" i="18"/>
  <c r="I809" i="18"/>
  <c r="J801" i="18"/>
  <c r="I801" i="18"/>
  <c r="J800" i="18"/>
  <c r="I800" i="18"/>
  <c r="J793" i="18"/>
  <c r="I793" i="18"/>
  <c r="J770" i="18"/>
  <c r="I770" i="18"/>
  <c r="J741" i="18"/>
  <c r="I741" i="18"/>
  <c r="J721" i="18"/>
  <c r="I721" i="18"/>
  <c r="J672" i="18"/>
  <c r="I672" i="18"/>
  <c r="J562" i="18"/>
  <c r="I562" i="18"/>
  <c r="J532" i="18"/>
  <c r="I532" i="18"/>
  <c r="J524" i="18"/>
  <c r="I524" i="18"/>
  <c r="J516" i="18"/>
  <c r="I516" i="18"/>
  <c r="J508" i="18"/>
  <c r="I508" i="18"/>
  <c r="J381" i="18"/>
  <c r="I381" i="18"/>
  <c r="J378" i="18"/>
  <c r="I378" i="18"/>
  <c r="J376" i="18"/>
  <c r="I376" i="18"/>
  <c r="J270" i="18"/>
  <c r="I270" i="18"/>
  <c r="J255" i="18"/>
  <c r="I255" i="18"/>
  <c r="J254" i="18"/>
  <c r="I254" i="18"/>
  <c r="J248" i="18"/>
  <c r="I248" i="18"/>
  <c r="J240" i="18"/>
  <c r="I240" i="18"/>
  <c r="J232" i="18"/>
  <c r="I232" i="18"/>
  <c r="J224" i="18"/>
  <c r="I224" i="18"/>
  <c r="J218" i="18"/>
  <c r="I218" i="18"/>
  <c r="J207" i="18"/>
  <c r="I207" i="18"/>
  <c r="J202" i="18"/>
  <c r="I202" i="18"/>
  <c r="J199" i="18"/>
  <c r="I199" i="18"/>
  <c r="J197" i="18"/>
  <c r="I197" i="18"/>
  <c r="J190" i="18"/>
  <c r="I190" i="18"/>
  <c r="J189" i="18"/>
  <c r="I189" i="18"/>
  <c r="J177" i="18"/>
  <c r="I177" i="18"/>
  <c r="J137" i="18"/>
  <c r="I137" i="18"/>
  <c r="J122" i="18"/>
  <c r="I122" i="18"/>
  <c r="J113" i="18"/>
  <c r="I113" i="18"/>
  <c r="J108" i="18"/>
  <c r="I108" i="18"/>
  <c r="J107" i="18"/>
  <c r="I107" i="18"/>
  <c r="J106" i="18"/>
  <c r="I106" i="18"/>
  <c r="J104" i="18"/>
  <c r="I104" i="18"/>
  <c r="J101" i="18"/>
  <c r="I101" i="18"/>
  <c r="J98" i="18"/>
  <c r="I98" i="18"/>
  <c r="J92" i="18"/>
  <c r="I92" i="18"/>
  <c r="J89" i="18"/>
  <c r="I89" i="18"/>
  <c r="J87" i="18"/>
  <c r="I87" i="18"/>
  <c r="J73" i="18"/>
  <c r="I73" i="18"/>
  <c r="J62" i="18"/>
  <c r="I62" i="18"/>
  <c r="J60" i="18"/>
  <c r="I60" i="18"/>
  <c r="J58" i="18"/>
  <c r="I58" i="18"/>
  <c r="J51" i="18"/>
  <c r="I51" i="18"/>
  <c r="J34" i="18"/>
  <c r="I34" i="18"/>
  <c r="J27" i="18"/>
  <c r="I27" i="18"/>
  <c r="J25" i="18"/>
  <c r="I25" i="18"/>
  <c r="J23" i="18"/>
  <c r="I23" i="18"/>
  <c r="J14" i="18"/>
  <c r="I14" i="18"/>
  <c r="J9" i="18"/>
  <c r="J819" i="18"/>
  <c r="I819" i="18"/>
  <c r="J816" i="18"/>
  <c r="I816" i="18"/>
  <c r="J810" i="18"/>
  <c r="I810" i="18"/>
  <c r="J808" i="18"/>
  <c r="I808" i="18"/>
  <c r="J790" i="18"/>
  <c r="I790" i="18"/>
  <c r="J216" i="18"/>
  <c r="I216" i="18"/>
  <c r="J200" i="18"/>
  <c r="I200" i="18"/>
  <c r="J195" i="18"/>
  <c r="I195" i="18"/>
  <c r="J188" i="18"/>
  <c r="I188" i="18"/>
  <c r="J91" i="18"/>
  <c r="I91" i="18"/>
  <c r="J88" i="18"/>
  <c r="I88" i="18"/>
  <c r="J82" i="18"/>
  <c r="I82" i="18"/>
  <c r="J72" i="18"/>
  <c r="J818" i="18"/>
  <c r="I818" i="18"/>
  <c r="J781" i="18"/>
  <c r="I781" i="18"/>
  <c r="J771" i="18"/>
  <c r="I771" i="18"/>
  <c r="J764" i="18"/>
  <c r="I764" i="18"/>
  <c r="J755" i="18"/>
  <c r="I755" i="18"/>
  <c r="J749" i="18"/>
  <c r="I749" i="18"/>
  <c r="J742" i="18"/>
  <c r="I742" i="18"/>
  <c r="J731" i="18"/>
  <c r="I731" i="18"/>
  <c r="J723" i="18"/>
  <c r="I723" i="18"/>
  <c r="J675" i="18"/>
  <c r="I675" i="18"/>
  <c r="J480" i="18"/>
  <c r="I480" i="18"/>
  <c r="J470" i="18"/>
  <c r="I470" i="18"/>
  <c r="J462" i="18"/>
  <c r="I462" i="18"/>
  <c r="J454" i="18"/>
  <c r="I454" i="18"/>
  <c r="J446" i="18"/>
  <c r="I446" i="18"/>
  <c r="J440" i="18"/>
  <c r="I440" i="18"/>
  <c r="J435" i="18"/>
  <c r="I435" i="18"/>
  <c r="J430" i="18"/>
  <c r="I430" i="18"/>
  <c r="J420" i="18"/>
  <c r="I420" i="18"/>
  <c r="J382" i="18"/>
  <c r="I382" i="18"/>
  <c r="J380" i="18"/>
  <c r="I380" i="18"/>
  <c r="J379" i="18"/>
  <c r="I379" i="18"/>
  <c r="J377" i="18"/>
  <c r="I377" i="18"/>
  <c r="J256" i="18"/>
  <c r="I256" i="18"/>
  <c r="J250" i="18"/>
  <c r="I250" i="18"/>
  <c r="J242" i="18"/>
  <c r="I242" i="18"/>
  <c r="J234" i="18"/>
  <c r="I234" i="18"/>
  <c r="J226" i="18"/>
  <c r="I226" i="18"/>
  <c r="J198" i="18"/>
  <c r="I198" i="18"/>
  <c r="J140" i="18"/>
  <c r="I140" i="18"/>
  <c r="J124" i="18"/>
  <c r="I124" i="18"/>
  <c r="J114" i="18"/>
  <c r="I114" i="18"/>
  <c r="J112" i="18"/>
  <c r="I112" i="18"/>
  <c r="J110" i="18"/>
  <c r="I110" i="18"/>
  <c r="J109" i="18"/>
  <c r="I109" i="18"/>
  <c r="J102" i="18"/>
  <c r="I102" i="18"/>
  <c r="J100" i="18"/>
  <c r="I100" i="18"/>
  <c r="J99" i="18"/>
  <c r="I99" i="18"/>
  <c r="J95" i="18"/>
  <c r="I95" i="18"/>
  <c r="J52" i="18"/>
  <c r="I52" i="18"/>
  <c r="J11" i="18"/>
  <c r="I11" i="18"/>
  <c r="I820" i="5"/>
  <c r="I817" i="5"/>
  <c r="I812" i="5"/>
  <c r="I809" i="5"/>
  <c r="I801" i="5"/>
  <c r="I800" i="5"/>
  <c r="I793" i="5"/>
  <c r="I770" i="5"/>
  <c r="I741" i="5"/>
  <c r="I721" i="5"/>
  <c r="I672" i="5"/>
  <c r="I562" i="5"/>
  <c r="I532" i="5"/>
  <c r="I524" i="5"/>
  <c r="I516" i="5"/>
  <c r="I508" i="5"/>
  <c r="I381" i="5"/>
  <c r="I378" i="5"/>
  <c r="I376" i="5"/>
  <c r="I270" i="5"/>
  <c r="I255" i="5"/>
  <c r="I254" i="5"/>
  <c r="I248" i="5"/>
  <c r="I240" i="5"/>
  <c r="I232" i="5"/>
  <c r="I224" i="5"/>
  <c r="I218" i="5"/>
  <c r="I207" i="5"/>
  <c r="I202" i="5"/>
  <c r="I199" i="5"/>
  <c r="I197" i="5"/>
  <c r="I190" i="5"/>
  <c r="I189" i="5"/>
  <c r="I177" i="5"/>
  <c r="I137" i="5"/>
  <c r="I122" i="5"/>
  <c r="I108" i="5"/>
  <c r="I107" i="5"/>
  <c r="I106" i="5"/>
  <c r="I104" i="5"/>
  <c r="I101" i="5"/>
  <c r="I98" i="5"/>
  <c r="I92" i="5"/>
  <c r="I89" i="5"/>
  <c r="I73" i="5"/>
  <c r="I62" i="5"/>
  <c r="I60" i="5"/>
  <c r="I58" i="5"/>
  <c r="I51" i="5"/>
  <c r="I34" i="5"/>
  <c r="I27" i="5"/>
  <c r="I25" i="5"/>
  <c r="I23" i="5"/>
  <c r="I113" i="5"/>
  <c r="I87" i="5"/>
  <c r="I14" i="5"/>
  <c r="I819" i="5"/>
  <c r="I816" i="5"/>
  <c r="I810" i="5"/>
  <c r="I808" i="5"/>
  <c r="I790" i="5"/>
  <c r="I216" i="5"/>
  <c r="I200" i="5"/>
  <c r="I195" i="5"/>
  <c r="I188" i="5"/>
  <c r="I91" i="5"/>
  <c r="I88" i="5"/>
  <c r="I82" i="5"/>
  <c r="I72" i="5"/>
  <c r="I818" i="5"/>
  <c r="I781" i="5"/>
  <c r="I771" i="5"/>
  <c r="I764" i="5"/>
  <c r="I755" i="5"/>
  <c r="I749" i="5"/>
  <c r="I742" i="5"/>
  <c r="I731" i="5"/>
  <c r="I723" i="5"/>
  <c r="I675" i="5"/>
  <c r="I480" i="5"/>
  <c r="I470" i="5"/>
  <c r="I462" i="5"/>
  <c r="I454" i="5"/>
  <c r="I446" i="5"/>
  <c r="I440" i="5"/>
  <c r="I435" i="5"/>
  <c r="I430" i="5"/>
  <c r="I420" i="5"/>
  <c r="I382" i="5"/>
  <c r="I380" i="5"/>
  <c r="I379" i="5"/>
  <c r="I377" i="5"/>
  <c r="I256" i="5"/>
  <c r="I250" i="5"/>
  <c r="I242" i="5"/>
  <c r="I234" i="5"/>
  <c r="I226" i="5"/>
  <c r="I198" i="5"/>
  <c r="I140" i="5"/>
  <c r="I124" i="5"/>
  <c r="I114" i="5"/>
  <c r="I112" i="5"/>
  <c r="I110" i="5"/>
  <c r="I109" i="5"/>
  <c r="I102" i="5"/>
  <c r="I100" i="5"/>
  <c r="I99" i="5"/>
  <c r="I95" i="5"/>
  <c r="I52" i="5"/>
  <c r="I11" i="5"/>
  <c r="C4" i="2" l="1"/>
  <c r="H224" i="29" l="1"/>
  <c r="G224" i="29"/>
  <c r="H223" i="29"/>
  <c r="G223" i="29"/>
  <c r="H222" i="29"/>
  <c r="G222" i="29"/>
  <c r="H221" i="29"/>
  <c r="G221" i="29"/>
  <c r="H214" i="29"/>
  <c r="G214" i="29"/>
  <c r="H213" i="29"/>
  <c r="G213" i="29"/>
  <c r="H212" i="29"/>
  <c r="G212" i="29"/>
  <c r="H211" i="29"/>
  <c r="G211" i="29"/>
  <c r="H220" i="29" l="1"/>
  <c r="H219" i="29"/>
  <c r="H218" i="29"/>
  <c r="H217" i="29"/>
  <c r="H216" i="29"/>
  <c r="H215" i="29"/>
  <c r="H210" i="29"/>
  <c r="H209" i="29"/>
  <c r="H208" i="29"/>
  <c r="H207" i="29"/>
  <c r="H206" i="29"/>
  <c r="H205" i="29"/>
  <c r="G220" i="29"/>
  <c r="G219" i="29"/>
  <c r="G218" i="29"/>
  <c r="G217" i="29"/>
  <c r="G216" i="29"/>
  <c r="G215" i="29"/>
  <c r="G210" i="29"/>
  <c r="G209" i="29"/>
  <c r="G208" i="29"/>
  <c r="G207" i="29"/>
  <c r="G206" i="29"/>
  <c r="G205" i="29"/>
  <c r="D3" i="4" l="1"/>
  <c r="O12" i="29" l="1"/>
  <c r="P12" i="29"/>
  <c r="N13" i="29"/>
  <c r="O13" i="29"/>
  <c r="P13" i="29"/>
  <c r="H14" i="29"/>
  <c r="I14" i="29"/>
  <c r="H15" i="29"/>
  <c r="I15" i="29"/>
  <c r="H16" i="29"/>
  <c r="I16" i="29"/>
  <c r="H17" i="29"/>
  <c r="I17" i="29"/>
  <c r="S410" i="5" l="1"/>
  <c r="S409" i="5"/>
  <c r="S543" i="5"/>
  <c r="S542" i="5"/>
  <c r="S541" i="5"/>
  <c r="S324" i="5"/>
  <c r="S540" i="5"/>
  <c r="S539" i="5"/>
  <c r="S784" i="5"/>
  <c r="S302" i="5"/>
  <c r="S303" i="5"/>
  <c r="S538" i="5"/>
  <c r="S325" i="5"/>
  <c r="S820" i="5"/>
  <c r="S818" i="5"/>
  <c r="S816" i="5"/>
  <c r="S814" i="5"/>
  <c r="S812" i="5"/>
  <c r="S810" i="5"/>
  <c r="S808" i="5"/>
  <c r="S806" i="5"/>
  <c r="S804" i="5"/>
  <c r="S802" i="5"/>
  <c r="S800" i="5"/>
  <c r="S798" i="5"/>
  <c r="S796" i="5"/>
  <c r="S794" i="5"/>
  <c r="S792" i="5"/>
  <c r="S790" i="5"/>
  <c r="S788" i="5"/>
  <c r="S786" i="5"/>
  <c r="S783" i="5"/>
  <c r="S781" i="5"/>
  <c r="S779" i="5"/>
  <c r="S777" i="5"/>
  <c r="S775" i="5"/>
  <c r="S773" i="5"/>
  <c r="S771" i="5"/>
  <c r="S769" i="5"/>
  <c r="S767" i="5"/>
  <c r="S765" i="5"/>
  <c r="S763" i="5"/>
  <c r="S761" i="5"/>
  <c r="S759" i="5"/>
  <c r="S757" i="5"/>
  <c r="S755" i="5"/>
  <c r="S753" i="5"/>
  <c r="S751" i="5"/>
  <c r="S749" i="5"/>
  <c r="S747" i="5"/>
  <c r="S745" i="5"/>
  <c r="S743" i="5"/>
  <c r="S741" i="5"/>
  <c r="S739" i="5"/>
  <c r="S737" i="5"/>
  <c r="S735" i="5"/>
  <c r="S733" i="5"/>
  <c r="S731" i="5"/>
  <c r="S729" i="5"/>
  <c r="S727" i="5"/>
  <c r="S725" i="5"/>
  <c r="S723" i="5"/>
  <c r="S721" i="5"/>
  <c r="S60" i="5"/>
  <c r="S58" i="5"/>
  <c r="S56" i="5"/>
  <c r="S54" i="5"/>
  <c r="S52" i="5"/>
  <c r="S50" i="5"/>
  <c r="S48" i="5"/>
  <c r="S46" i="5"/>
  <c r="S44" i="5"/>
  <c r="S42" i="5"/>
  <c r="S40" i="5"/>
  <c r="S38" i="5"/>
  <c r="S36" i="5"/>
  <c r="S34" i="5"/>
  <c r="S32" i="5"/>
  <c r="S30" i="5"/>
  <c r="S28" i="5"/>
  <c r="S26" i="5"/>
  <c r="S24" i="5"/>
  <c r="S22" i="5"/>
  <c r="S20" i="5"/>
  <c r="S18" i="5"/>
  <c r="S16" i="5"/>
  <c r="S14" i="5"/>
  <c r="S12" i="5"/>
  <c r="S815" i="5"/>
  <c r="S807" i="5"/>
  <c r="S799" i="5"/>
  <c r="S791" i="5"/>
  <c r="S782" i="5"/>
  <c r="S774" i="5"/>
  <c r="S766" i="5"/>
  <c r="S758" i="5"/>
  <c r="S750" i="5"/>
  <c r="S742" i="5"/>
  <c r="S734" i="5"/>
  <c r="S726" i="5"/>
  <c r="S59" i="5"/>
  <c r="S51" i="5"/>
  <c r="S43" i="5"/>
  <c r="S35" i="5"/>
  <c r="S27" i="5"/>
  <c r="S19" i="5"/>
  <c r="S11" i="5"/>
  <c r="S9" i="5"/>
  <c r="S7" i="5"/>
  <c r="S5" i="5"/>
  <c r="S3" i="5"/>
  <c r="S395" i="5"/>
  <c r="S393" i="5"/>
  <c r="S391" i="5"/>
  <c r="S389" i="5"/>
  <c r="S387" i="5"/>
  <c r="S385" i="5"/>
  <c r="S383" i="5"/>
  <c r="S381" i="5"/>
  <c r="S379" i="5"/>
  <c r="S377" i="5"/>
  <c r="S375" i="5"/>
  <c r="S373" i="5"/>
  <c r="S371" i="5"/>
  <c r="S369" i="5"/>
  <c r="S367" i="5"/>
  <c r="S365" i="5"/>
  <c r="S363" i="5"/>
  <c r="S361" i="5"/>
  <c r="S359" i="5"/>
  <c r="S357" i="5"/>
  <c r="S355" i="5"/>
  <c r="S353" i="5"/>
  <c r="S351" i="5"/>
  <c r="S349" i="5"/>
  <c r="S347" i="5"/>
  <c r="S345" i="5"/>
  <c r="S343" i="5"/>
  <c r="S341" i="5"/>
  <c r="S339" i="5"/>
  <c r="S337" i="5"/>
  <c r="S335" i="5"/>
  <c r="S333" i="5"/>
  <c r="S331" i="5"/>
  <c r="S329" i="5"/>
  <c r="S327" i="5"/>
  <c r="S323" i="5"/>
  <c r="S321" i="5"/>
  <c r="S319" i="5"/>
  <c r="S317" i="5"/>
  <c r="S315" i="5"/>
  <c r="S313" i="5"/>
  <c r="S311" i="5"/>
  <c r="S309" i="5"/>
  <c r="S307" i="5"/>
  <c r="S811" i="5"/>
  <c r="S797" i="5"/>
  <c r="S793" i="5"/>
  <c r="S778" i="5"/>
  <c r="S764" i="5"/>
  <c r="S760" i="5"/>
  <c r="S746" i="5"/>
  <c r="S732" i="5"/>
  <c r="S728" i="5"/>
  <c r="S55" i="5"/>
  <c r="S817" i="5"/>
  <c r="S803" i="5"/>
  <c r="S789" i="5"/>
  <c r="S785" i="5"/>
  <c r="S770" i="5"/>
  <c r="S756" i="5"/>
  <c r="S752" i="5"/>
  <c r="S738" i="5"/>
  <c r="S724" i="5"/>
  <c r="S61" i="5"/>
  <c r="S47" i="5"/>
  <c r="S33" i="5"/>
  <c r="S29" i="5"/>
  <c r="S15" i="5"/>
  <c r="S6" i="5"/>
  <c r="S394" i="5"/>
  <c r="S386" i="5"/>
  <c r="S378" i="5"/>
  <c r="S370" i="5"/>
  <c r="S362" i="5"/>
  <c r="S354" i="5"/>
  <c r="S346" i="5"/>
  <c r="S338" i="5"/>
  <c r="S330" i="5"/>
  <c r="S320" i="5"/>
  <c r="S312" i="5"/>
  <c r="S809" i="5"/>
  <c r="S795" i="5"/>
  <c r="S780" i="5"/>
  <c r="S744" i="5"/>
  <c r="S730" i="5"/>
  <c r="S57" i="5"/>
  <c r="S45" i="5"/>
  <c r="S41" i="5"/>
  <c r="S31" i="5"/>
  <c r="S21" i="5"/>
  <c r="S17" i="5"/>
  <c r="S8" i="5"/>
  <c r="S2" i="5"/>
  <c r="S384" i="5"/>
  <c r="S380" i="5"/>
  <c r="S366" i="5"/>
  <c r="S352" i="5"/>
  <c r="S348" i="5"/>
  <c r="S334" i="5"/>
  <c r="S318" i="5"/>
  <c r="S314" i="5"/>
  <c r="S801" i="5"/>
  <c r="S787" i="5"/>
  <c r="S772" i="5"/>
  <c r="S736" i="5"/>
  <c r="S722" i="5"/>
  <c r="S49" i="5"/>
  <c r="S39" i="5"/>
  <c r="S25" i="5"/>
  <c r="S4" i="5"/>
  <c r="S390" i="5"/>
  <c r="S376" i="5"/>
  <c r="S372" i="5"/>
  <c r="S358" i="5"/>
  <c r="S344" i="5"/>
  <c r="S776" i="5"/>
  <c r="S762" i="5"/>
  <c r="S748" i="5"/>
  <c r="S10" i="5"/>
  <c r="S364" i="5"/>
  <c r="S350" i="5"/>
  <c r="S322" i="5"/>
  <c r="S308" i="5"/>
  <c r="S305" i="5"/>
  <c r="S300" i="5"/>
  <c r="S295" i="5"/>
  <c r="S292" i="5"/>
  <c r="S287" i="5"/>
  <c r="S284" i="5"/>
  <c r="S279" i="5"/>
  <c r="S276" i="5"/>
  <c r="S271" i="5"/>
  <c r="S268" i="5"/>
  <c r="S263" i="5"/>
  <c r="S260" i="5"/>
  <c r="S255" i="5"/>
  <c r="S252" i="5"/>
  <c r="S247" i="5"/>
  <c r="S244" i="5"/>
  <c r="S239" i="5"/>
  <c r="S236" i="5"/>
  <c r="S231" i="5"/>
  <c r="S228" i="5"/>
  <c r="S223" i="5"/>
  <c r="S220" i="5"/>
  <c r="S215" i="5"/>
  <c r="S212" i="5"/>
  <c r="S207" i="5"/>
  <c r="S204" i="5"/>
  <c r="S199" i="5"/>
  <c r="S196" i="5"/>
  <c r="S191" i="5"/>
  <c r="S188" i="5"/>
  <c r="S183" i="5"/>
  <c r="S180" i="5"/>
  <c r="S178" i="5"/>
  <c r="S176" i="5"/>
  <c r="S174" i="5"/>
  <c r="S172" i="5"/>
  <c r="S170" i="5"/>
  <c r="S168" i="5"/>
  <c r="S166" i="5"/>
  <c r="S164" i="5"/>
  <c r="S162" i="5"/>
  <c r="S160" i="5"/>
  <c r="S158" i="5"/>
  <c r="S156" i="5"/>
  <c r="S154" i="5"/>
  <c r="S152" i="5"/>
  <c r="S150" i="5"/>
  <c r="S148" i="5"/>
  <c r="S146" i="5"/>
  <c r="S144" i="5"/>
  <c r="S142" i="5"/>
  <c r="S140" i="5"/>
  <c r="S138" i="5"/>
  <c r="S136" i="5"/>
  <c r="S134" i="5"/>
  <c r="S132" i="5"/>
  <c r="S130" i="5"/>
  <c r="S128" i="5"/>
  <c r="S126" i="5"/>
  <c r="S124" i="5"/>
  <c r="S122" i="5"/>
  <c r="S120" i="5"/>
  <c r="S118" i="5"/>
  <c r="S116" i="5"/>
  <c r="S114" i="5"/>
  <c r="S112" i="5"/>
  <c r="S110" i="5"/>
  <c r="S108" i="5"/>
  <c r="S106" i="5"/>
  <c r="S104" i="5"/>
  <c r="S102" i="5"/>
  <c r="S100" i="5"/>
  <c r="S98" i="5"/>
  <c r="S96" i="5"/>
  <c r="S94" i="5"/>
  <c r="S92" i="5"/>
  <c r="S90" i="5"/>
  <c r="S88" i="5"/>
  <c r="S86" i="5"/>
  <c r="S84" i="5"/>
  <c r="S82" i="5"/>
  <c r="S80" i="5"/>
  <c r="S78" i="5"/>
  <c r="S76" i="5"/>
  <c r="S74" i="5"/>
  <c r="S72" i="5"/>
  <c r="S70" i="5"/>
  <c r="S68" i="5"/>
  <c r="S66" i="5"/>
  <c r="S64" i="5"/>
  <c r="S62" i="5"/>
  <c r="S336" i="5"/>
  <c r="S310" i="5"/>
  <c r="S299" i="5"/>
  <c r="S288" i="5"/>
  <c r="S280" i="5"/>
  <c r="S272" i="5"/>
  <c r="S264" i="5"/>
  <c r="S259" i="5"/>
  <c r="S248" i="5"/>
  <c r="S240" i="5"/>
  <c r="S232" i="5"/>
  <c r="S224" i="5"/>
  <c r="S219" i="5"/>
  <c r="S208" i="5"/>
  <c r="S203" i="5"/>
  <c r="S192" i="5"/>
  <c r="S184" i="5"/>
  <c r="S177" i="5"/>
  <c r="S173" i="5"/>
  <c r="S167" i="5"/>
  <c r="S163" i="5"/>
  <c r="S157" i="5"/>
  <c r="S153" i="5"/>
  <c r="S147" i="5"/>
  <c r="S143" i="5"/>
  <c r="S137" i="5"/>
  <c r="S133" i="5"/>
  <c r="S127" i="5"/>
  <c r="S121" i="5"/>
  <c r="S117" i="5"/>
  <c r="S111" i="5"/>
  <c r="S107" i="5"/>
  <c r="S101" i="5"/>
  <c r="S95" i="5"/>
  <c r="S91" i="5"/>
  <c r="S85" i="5"/>
  <c r="S81" i="5"/>
  <c r="S75" i="5"/>
  <c r="S69" i="5"/>
  <c r="S65" i="5"/>
  <c r="S754" i="5"/>
  <c r="S360" i="5"/>
  <c r="S301" i="5"/>
  <c r="S293" i="5"/>
  <c r="S285" i="5"/>
  <c r="S266" i="5"/>
  <c r="S258" i="5"/>
  <c r="S250" i="5"/>
  <c r="S245" i="5"/>
  <c r="S237" i="5"/>
  <c r="S229" i="5"/>
  <c r="S221" i="5"/>
  <c r="S202" i="5"/>
  <c r="S194" i="5"/>
  <c r="S186" i="5"/>
  <c r="S181" i="5"/>
  <c r="S819" i="5"/>
  <c r="S805" i="5"/>
  <c r="S37" i="5"/>
  <c r="S392" i="5"/>
  <c r="S356" i="5"/>
  <c r="S342" i="5"/>
  <c r="S332" i="5"/>
  <c r="S328" i="5"/>
  <c r="S316" i="5"/>
  <c r="S304" i="5"/>
  <c r="S297" i="5"/>
  <c r="S294" i="5"/>
  <c r="S289" i="5"/>
  <c r="S286" i="5"/>
  <c r="S281" i="5"/>
  <c r="S278" i="5"/>
  <c r="S273" i="5"/>
  <c r="S270" i="5"/>
  <c r="S265" i="5"/>
  <c r="S262" i="5"/>
  <c r="S257" i="5"/>
  <c r="S254" i="5"/>
  <c r="S249" i="5"/>
  <c r="S246" i="5"/>
  <c r="S241" i="5"/>
  <c r="S238" i="5"/>
  <c r="S233" i="5"/>
  <c r="S230" i="5"/>
  <c r="S225" i="5"/>
  <c r="S222" i="5"/>
  <c r="S217" i="5"/>
  <c r="S214" i="5"/>
  <c r="S209" i="5"/>
  <c r="S206" i="5"/>
  <c r="S201" i="5"/>
  <c r="S198" i="5"/>
  <c r="S193" i="5"/>
  <c r="S190" i="5"/>
  <c r="S185" i="5"/>
  <c r="S182" i="5"/>
  <c r="S813" i="5"/>
  <c r="S53" i="5"/>
  <c r="S382" i="5"/>
  <c r="S368" i="5"/>
  <c r="S340" i="5"/>
  <c r="S326" i="5"/>
  <c r="S306" i="5"/>
  <c r="S296" i="5"/>
  <c r="S291" i="5"/>
  <c r="S283" i="5"/>
  <c r="S275" i="5"/>
  <c r="S267" i="5"/>
  <c r="S256" i="5"/>
  <c r="S251" i="5"/>
  <c r="S243" i="5"/>
  <c r="S235" i="5"/>
  <c r="S227" i="5"/>
  <c r="S216" i="5"/>
  <c r="S211" i="5"/>
  <c r="S200" i="5"/>
  <c r="S195" i="5"/>
  <c r="S187" i="5"/>
  <c r="S179" i="5"/>
  <c r="S175" i="5"/>
  <c r="S171" i="5"/>
  <c r="S169" i="5"/>
  <c r="S165" i="5"/>
  <c r="S161" i="5"/>
  <c r="S159" i="5"/>
  <c r="S155" i="5"/>
  <c r="S151" i="5"/>
  <c r="S149" i="5"/>
  <c r="S145" i="5"/>
  <c r="S141" i="5"/>
  <c r="S139" i="5"/>
  <c r="S135" i="5"/>
  <c r="S131" i="5"/>
  <c r="S129" i="5"/>
  <c r="S125" i="5"/>
  <c r="S123" i="5"/>
  <c r="S119" i="5"/>
  <c r="S115" i="5"/>
  <c r="S113" i="5"/>
  <c r="S109" i="5"/>
  <c r="S105" i="5"/>
  <c r="S103" i="5"/>
  <c r="S99" i="5"/>
  <c r="S97" i="5"/>
  <c r="S93" i="5"/>
  <c r="S89" i="5"/>
  <c r="S87" i="5"/>
  <c r="S83" i="5"/>
  <c r="S79" i="5"/>
  <c r="S77" i="5"/>
  <c r="S73" i="5"/>
  <c r="S71" i="5"/>
  <c r="S67" i="5"/>
  <c r="S63" i="5"/>
  <c r="S768" i="5"/>
  <c r="S740" i="5"/>
  <c r="S23" i="5"/>
  <c r="S13" i="5"/>
  <c r="S388" i="5"/>
  <c r="S374" i="5"/>
  <c r="S298" i="5"/>
  <c r="S290" i="5"/>
  <c r="S282" i="5"/>
  <c r="S277" i="5"/>
  <c r="S274" i="5"/>
  <c r="S269" i="5"/>
  <c r="S261" i="5"/>
  <c r="S253" i="5"/>
  <c r="S242" i="5"/>
  <c r="S234" i="5"/>
  <c r="S226" i="5"/>
  <c r="S218" i="5"/>
  <c r="S213" i="5"/>
  <c r="S210" i="5"/>
  <c r="S205" i="5"/>
  <c r="S197" i="5"/>
  <c r="S189" i="5"/>
  <c r="C40" i="4"/>
  <c r="C50" i="4"/>
  <c r="C39" i="4"/>
  <c r="C49" i="4"/>
  <c r="C45" i="4"/>
  <c r="C46" i="4"/>
  <c r="C43" i="4"/>
  <c r="C34" i="4"/>
  <c r="C47" i="4"/>
  <c r="C44" i="4"/>
  <c r="C36" i="4"/>
  <c r="C37" i="4"/>
  <c r="C35" i="4"/>
  <c r="S409" i="18"/>
  <c r="S410" i="18"/>
  <c r="S543" i="18"/>
  <c r="S542" i="18"/>
  <c r="S541" i="18"/>
  <c r="S540" i="18"/>
  <c r="S539" i="18"/>
  <c r="S538" i="18"/>
  <c r="S784" i="18"/>
  <c r="S324" i="18"/>
  <c r="S302" i="18"/>
  <c r="S325" i="18"/>
  <c r="S303" i="18"/>
  <c r="S819" i="18"/>
  <c r="S817" i="18"/>
  <c r="S815" i="18"/>
  <c r="S813" i="18"/>
  <c r="S811" i="18"/>
  <c r="S809" i="18"/>
  <c r="S807" i="18"/>
  <c r="S805" i="18"/>
  <c r="S803" i="18"/>
  <c r="S801" i="18"/>
  <c r="S799" i="18"/>
  <c r="S797" i="18"/>
  <c r="S795" i="18"/>
  <c r="S793" i="18"/>
  <c r="S791" i="18"/>
  <c r="S789" i="18"/>
  <c r="S787" i="18"/>
  <c r="S785" i="18"/>
  <c r="S782" i="18"/>
  <c r="S780" i="18"/>
  <c r="S778" i="18"/>
  <c r="S776" i="18"/>
  <c r="S774" i="18"/>
  <c r="S772" i="18"/>
  <c r="S770" i="18"/>
  <c r="S768" i="18"/>
  <c r="S766" i="18"/>
  <c r="S764" i="18"/>
  <c r="S762" i="18"/>
  <c r="S760" i="18"/>
  <c r="S758" i="18"/>
  <c r="S756" i="18"/>
  <c r="S754" i="18"/>
  <c r="S752" i="18"/>
  <c r="S750" i="18"/>
  <c r="S748" i="18"/>
  <c r="S746" i="18"/>
  <c r="S744" i="18"/>
  <c r="S742" i="18"/>
  <c r="S740" i="18"/>
  <c r="S738" i="18"/>
  <c r="S736" i="18"/>
  <c r="S734" i="18"/>
  <c r="S732" i="18"/>
  <c r="S730" i="18"/>
  <c r="S728" i="18"/>
  <c r="S726" i="18"/>
  <c r="S724" i="18"/>
  <c r="S722" i="18"/>
  <c r="S61" i="18"/>
  <c r="S59" i="18"/>
  <c r="S57" i="18"/>
  <c r="S55" i="18"/>
  <c r="S53" i="18"/>
  <c r="S51" i="18"/>
  <c r="S49" i="18"/>
  <c r="S47" i="18"/>
  <c r="S45" i="18"/>
  <c r="S43" i="18"/>
  <c r="S41" i="18"/>
  <c r="S39" i="18"/>
  <c r="S37" i="18"/>
  <c r="S35" i="18"/>
  <c r="S33" i="18"/>
  <c r="S31" i="18"/>
  <c r="S29" i="18"/>
  <c r="S27" i="18"/>
  <c r="S25" i="18"/>
  <c r="S23" i="18"/>
  <c r="S21" i="18"/>
  <c r="S19" i="18"/>
  <c r="S17" i="18"/>
  <c r="S15" i="18"/>
  <c r="S13" i="18"/>
  <c r="S11" i="18"/>
  <c r="S9" i="18"/>
  <c r="S7" i="18"/>
  <c r="S5" i="18"/>
  <c r="S3" i="18"/>
  <c r="S816" i="18"/>
  <c r="S808" i="18"/>
  <c r="S800" i="18"/>
  <c r="S792" i="18"/>
  <c r="S783" i="18"/>
  <c r="S775" i="18"/>
  <c r="S767" i="18"/>
  <c r="S759" i="18"/>
  <c r="S751" i="18"/>
  <c r="S743" i="18"/>
  <c r="S735" i="18"/>
  <c r="S727" i="18"/>
  <c r="S60" i="18"/>
  <c r="S52" i="18"/>
  <c r="S44" i="18"/>
  <c r="S36" i="18"/>
  <c r="S28" i="18"/>
  <c r="S20" i="18"/>
  <c r="S12" i="18"/>
  <c r="S4" i="18"/>
  <c r="S395" i="18"/>
  <c r="S393" i="18"/>
  <c r="S391" i="18"/>
  <c r="S389" i="18"/>
  <c r="S387" i="18"/>
  <c r="S385" i="18"/>
  <c r="S383" i="18"/>
  <c r="S381" i="18"/>
  <c r="S379" i="18"/>
  <c r="S377" i="18"/>
  <c r="S375" i="18"/>
  <c r="S373" i="18"/>
  <c r="S371" i="18"/>
  <c r="S369" i="18"/>
  <c r="S367" i="18"/>
  <c r="S365" i="18"/>
  <c r="S363" i="18"/>
  <c r="S361" i="18"/>
  <c r="S359" i="18"/>
  <c r="S357" i="18"/>
  <c r="S355" i="18"/>
  <c r="S353" i="18"/>
  <c r="S351" i="18"/>
  <c r="S349" i="18"/>
  <c r="S347" i="18"/>
  <c r="S345" i="18"/>
  <c r="S343" i="18"/>
  <c r="S341" i="18"/>
  <c r="S339" i="18"/>
  <c r="S337" i="18"/>
  <c r="S335" i="18"/>
  <c r="S333" i="18"/>
  <c r="S331" i="18"/>
  <c r="S329" i="18"/>
  <c r="S327" i="18"/>
  <c r="S323" i="18"/>
  <c r="S321" i="18"/>
  <c r="S319" i="18"/>
  <c r="S317" i="18"/>
  <c r="S315" i="18"/>
  <c r="S313" i="18"/>
  <c r="S311" i="18"/>
  <c r="S309" i="18"/>
  <c r="S307" i="18"/>
  <c r="S305" i="18"/>
  <c r="S301" i="18"/>
  <c r="S299" i="18"/>
  <c r="S297" i="18"/>
  <c r="S295" i="18"/>
  <c r="S293" i="18"/>
  <c r="S291" i="18"/>
  <c r="S289" i="18"/>
  <c r="S287" i="18"/>
  <c r="S285" i="18"/>
  <c r="S283" i="18"/>
  <c r="S281" i="18"/>
  <c r="S279" i="18"/>
  <c r="S277" i="18"/>
  <c r="S275" i="18"/>
  <c r="S273" i="18"/>
  <c r="S271" i="18"/>
  <c r="S269" i="18"/>
  <c r="S267" i="18"/>
  <c r="S265" i="18"/>
  <c r="S263" i="18"/>
  <c r="S261" i="18"/>
  <c r="S259" i="18"/>
  <c r="S257" i="18"/>
  <c r="S255" i="18"/>
  <c r="S253" i="18"/>
  <c r="S251" i="18"/>
  <c r="S249" i="18"/>
  <c r="S247" i="18"/>
  <c r="S245" i="18"/>
  <c r="S243" i="18"/>
  <c r="S241" i="18"/>
  <c r="S239" i="18"/>
  <c r="S237" i="18"/>
  <c r="S235" i="18"/>
  <c r="S233" i="18"/>
  <c r="S231" i="18"/>
  <c r="S229" i="18"/>
  <c r="S227" i="18"/>
  <c r="S225" i="18"/>
  <c r="S223" i="18"/>
  <c r="S221" i="18"/>
  <c r="S219" i="18"/>
  <c r="S217" i="18"/>
  <c r="S215" i="18"/>
  <c r="S213" i="18"/>
  <c r="S211" i="18"/>
  <c r="S209" i="18"/>
  <c r="S207" i="18"/>
  <c r="S205" i="18"/>
  <c r="S203" i="18"/>
  <c r="S201" i="18"/>
  <c r="S199" i="18"/>
  <c r="S197" i="18"/>
  <c r="S195" i="18"/>
  <c r="S193" i="18"/>
  <c r="S191" i="18"/>
  <c r="S189" i="18"/>
  <c r="S187" i="18"/>
  <c r="S185" i="18"/>
  <c r="S183" i="18"/>
  <c r="S181" i="18"/>
  <c r="S179" i="18"/>
  <c r="S177" i="18"/>
  <c r="S175" i="18"/>
  <c r="S173" i="18"/>
  <c r="S171" i="18"/>
  <c r="S169" i="18"/>
  <c r="S167" i="18"/>
  <c r="S165" i="18"/>
  <c r="S163" i="18"/>
  <c r="S161" i="18"/>
  <c r="S159" i="18"/>
  <c r="S157" i="18"/>
  <c r="S155" i="18"/>
  <c r="S153" i="18"/>
  <c r="S151" i="18"/>
  <c r="S149" i="18"/>
  <c r="S147" i="18"/>
  <c r="S145" i="18"/>
  <c r="S143" i="18"/>
  <c r="S141" i="18"/>
  <c r="S139" i="18"/>
  <c r="S137" i="18"/>
  <c r="S135" i="18"/>
  <c r="S133" i="18"/>
  <c r="S131" i="18"/>
  <c r="S129" i="18"/>
  <c r="S127" i="18"/>
  <c r="S125" i="18"/>
  <c r="S123" i="18"/>
  <c r="S121" i="18"/>
  <c r="S119" i="18"/>
  <c r="S117" i="18"/>
  <c r="S115" i="18"/>
  <c r="S113" i="18"/>
  <c r="S111" i="18"/>
  <c r="S109" i="18"/>
  <c r="S107" i="18"/>
  <c r="S105" i="18"/>
  <c r="S103" i="18"/>
  <c r="S101" i="18"/>
  <c r="S99" i="18"/>
  <c r="S97" i="18"/>
  <c r="S95" i="18"/>
  <c r="S93" i="18"/>
  <c r="S91" i="18"/>
  <c r="S89" i="18"/>
  <c r="S87" i="18"/>
  <c r="S85" i="18"/>
  <c r="S83" i="18"/>
  <c r="S81" i="18"/>
  <c r="S79" i="18"/>
  <c r="S77" i="18"/>
  <c r="S75" i="18"/>
  <c r="S73" i="18"/>
  <c r="S71" i="18"/>
  <c r="S69" i="18"/>
  <c r="S67" i="18"/>
  <c r="S65" i="18"/>
  <c r="S63" i="18"/>
  <c r="S812" i="18"/>
  <c r="S798" i="18"/>
  <c r="S794" i="18"/>
  <c r="S779" i="18"/>
  <c r="S765" i="18"/>
  <c r="S761" i="18"/>
  <c r="S747" i="18"/>
  <c r="S733" i="18"/>
  <c r="S729" i="18"/>
  <c r="S56" i="18"/>
  <c r="S42" i="18"/>
  <c r="S38" i="18"/>
  <c r="S24" i="18"/>
  <c r="S10" i="18"/>
  <c r="S6" i="18"/>
  <c r="S818" i="18"/>
  <c r="S804" i="18"/>
  <c r="S790" i="18"/>
  <c r="S786" i="18"/>
  <c r="S771" i="18"/>
  <c r="S757" i="18"/>
  <c r="S753" i="18"/>
  <c r="S739" i="18"/>
  <c r="S725" i="18"/>
  <c r="S721" i="18"/>
  <c r="S48" i="18"/>
  <c r="S34" i="18"/>
  <c r="S30" i="18"/>
  <c r="S16" i="18"/>
  <c r="S2" i="18"/>
  <c r="S392" i="18"/>
  <c r="S384" i="18"/>
  <c r="S376" i="18"/>
  <c r="S368" i="18"/>
  <c r="S360" i="18"/>
  <c r="S352" i="18"/>
  <c r="S344" i="18"/>
  <c r="S336" i="18"/>
  <c r="S328" i="18"/>
  <c r="S318" i="18"/>
  <c r="S310" i="18"/>
  <c r="S300" i="18"/>
  <c r="S292" i="18"/>
  <c r="S284" i="18"/>
  <c r="S276" i="18"/>
  <c r="S268" i="18"/>
  <c r="S260" i="18"/>
  <c r="S252" i="18"/>
  <c r="S244" i="18"/>
  <c r="S236" i="18"/>
  <c r="S228" i="18"/>
  <c r="S220" i="18"/>
  <c r="S212" i="18"/>
  <c r="S204" i="18"/>
  <c r="S196" i="18"/>
  <c r="S188" i="18"/>
  <c r="S180" i="18"/>
  <c r="S172" i="18"/>
  <c r="S164" i="18"/>
  <c r="S156" i="18"/>
  <c r="S148" i="18"/>
  <c r="S140" i="18"/>
  <c r="S132" i="18"/>
  <c r="S124" i="18"/>
  <c r="S116" i="18"/>
  <c r="S108" i="18"/>
  <c r="S100" i="18"/>
  <c r="S92" i="18"/>
  <c r="S84" i="18"/>
  <c r="S76" i="18"/>
  <c r="S68" i="18"/>
  <c r="S814" i="18"/>
  <c r="S777" i="18"/>
  <c r="S763" i="18"/>
  <c r="S749" i="18"/>
  <c r="S54" i="18"/>
  <c r="S40" i="18"/>
  <c r="S26" i="18"/>
  <c r="S388" i="18"/>
  <c r="S374" i="18"/>
  <c r="S370" i="18"/>
  <c r="S356" i="18"/>
  <c r="S342" i="18"/>
  <c r="S338" i="18"/>
  <c r="S322" i="18"/>
  <c r="S308" i="18"/>
  <c r="S304" i="18"/>
  <c r="S288" i="18"/>
  <c r="S274" i="18"/>
  <c r="S270" i="18"/>
  <c r="S256" i="18"/>
  <c r="S242" i="18"/>
  <c r="S238" i="18"/>
  <c r="S224" i="18"/>
  <c r="S210" i="18"/>
  <c r="S206" i="18"/>
  <c r="S192" i="18"/>
  <c r="S178" i="18"/>
  <c r="S174" i="18"/>
  <c r="S160" i="18"/>
  <c r="S146" i="18"/>
  <c r="S142" i="18"/>
  <c r="S128" i="18"/>
  <c r="S114" i="18"/>
  <c r="S110" i="18"/>
  <c r="S96" i="18"/>
  <c r="S82" i="18"/>
  <c r="S78" i="18"/>
  <c r="S64" i="18"/>
  <c r="S820" i="18"/>
  <c r="S806" i="18"/>
  <c r="S769" i="18"/>
  <c r="S755" i="18"/>
  <c r="S741" i="18"/>
  <c r="S46" i="18"/>
  <c r="S32" i="18"/>
  <c r="S18" i="18"/>
  <c r="S394" i="18"/>
  <c r="S380" i="18"/>
  <c r="S366" i="18"/>
  <c r="S362" i="18"/>
  <c r="S348" i="18"/>
  <c r="S334" i="18"/>
  <c r="S330" i="18"/>
  <c r="S314" i="18"/>
  <c r="S298" i="18"/>
  <c r="S294" i="18"/>
  <c r="S280" i="18"/>
  <c r="S266" i="18"/>
  <c r="S262" i="18"/>
  <c r="S248" i="18"/>
  <c r="S234" i="18"/>
  <c r="S230" i="18"/>
  <c r="S216" i="18"/>
  <c r="S202" i="18"/>
  <c r="S198" i="18"/>
  <c r="S184" i="18"/>
  <c r="S170" i="18"/>
  <c r="S166" i="18"/>
  <c r="S152" i="18"/>
  <c r="S138" i="18"/>
  <c r="S134" i="18"/>
  <c r="S120" i="18"/>
  <c r="S106" i="18"/>
  <c r="S102" i="18"/>
  <c r="S88" i="18"/>
  <c r="S74" i="18"/>
  <c r="S70" i="18"/>
  <c r="S745" i="18"/>
  <c r="S731" i="18"/>
  <c r="S58" i="18"/>
  <c r="S390" i="18"/>
  <c r="S354" i="18"/>
  <c r="S340" i="18"/>
  <c r="S326" i="18"/>
  <c r="S286" i="18"/>
  <c r="S272" i="18"/>
  <c r="S258" i="18"/>
  <c r="S222" i="18"/>
  <c r="S208" i="18"/>
  <c r="S194" i="18"/>
  <c r="S158" i="18"/>
  <c r="S144" i="18"/>
  <c r="S130" i="18"/>
  <c r="S94" i="18"/>
  <c r="S80" i="18"/>
  <c r="S66" i="18"/>
  <c r="S386" i="18"/>
  <c r="S320" i="18"/>
  <c r="S254" i="18"/>
  <c r="S176" i="18"/>
  <c r="S126" i="18"/>
  <c r="S737" i="18"/>
  <c r="S350" i="18"/>
  <c r="S312" i="18"/>
  <c r="S802" i="18"/>
  <c r="S788" i="18"/>
  <c r="S773" i="18"/>
  <c r="S14" i="18"/>
  <c r="S382" i="18"/>
  <c r="S346" i="18"/>
  <c r="S332" i="18"/>
  <c r="S316" i="18"/>
  <c r="S278" i="18"/>
  <c r="S264" i="18"/>
  <c r="S250" i="18"/>
  <c r="S214" i="18"/>
  <c r="S200" i="18"/>
  <c r="S186" i="18"/>
  <c r="S150" i="18"/>
  <c r="S136" i="18"/>
  <c r="S122" i="18"/>
  <c r="S86" i="18"/>
  <c r="S72" i="18"/>
  <c r="S810" i="18"/>
  <c r="S796" i="18"/>
  <c r="S781" i="18"/>
  <c r="S22" i="18"/>
  <c r="S8" i="18"/>
  <c r="S372" i="18"/>
  <c r="S358" i="18"/>
  <c r="S306" i="18"/>
  <c r="S290" i="18"/>
  <c r="S240" i="18"/>
  <c r="S226" i="18"/>
  <c r="S190" i="18"/>
  <c r="S162" i="18"/>
  <c r="S112" i="18"/>
  <c r="S98" i="18"/>
  <c r="S62" i="18"/>
  <c r="S723" i="18"/>
  <c r="S50" i="18"/>
  <c r="S378" i="18"/>
  <c r="S364" i="18"/>
  <c r="S296" i="18"/>
  <c r="S282" i="18"/>
  <c r="S246" i="18"/>
  <c r="S232" i="18"/>
  <c r="S218" i="18"/>
  <c r="S182" i="18"/>
  <c r="S168" i="18"/>
  <c r="S154" i="18"/>
  <c r="S118" i="18"/>
  <c r="S104" i="18"/>
  <c r="S90" i="18"/>
  <c r="D44" i="4"/>
  <c r="D47" i="4"/>
  <c r="D37" i="4"/>
  <c r="D34" i="4"/>
  <c r="D45" i="4"/>
  <c r="D46" i="4"/>
  <c r="D35" i="4"/>
  <c r="D43" i="4"/>
  <c r="D51" i="4"/>
  <c r="D42" i="4"/>
  <c r="D33" i="4"/>
  <c r="D32" i="4"/>
  <c r="D39" i="4"/>
  <c r="D50" i="4"/>
  <c r="D49" i="4"/>
  <c r="D41" i="4"/>
  <c r="D48" i="4"/>
  <c r="D38" i="4"/>
  <c r="D36" i="4"/>
  <c r="D40" i="4"/>
  <c r="C42" i="4"/>
  <c r="C41" i="4"/>
  <c r="C48" i="4"/>
  <c r="C32" i="4"/>
  <c r="C33" i="4"/>
  <c r="C38" i="4"/>
  <c r="C51" i="4"/>
  <c r="D5" i="4" l="1"/>
  <c r="C5" i="4"/>
  <c r="D9" i="4" l="1"/>
  <c r="D10" i="4"/>
  <c r="Q815" i="5"/>
  <c r="Q814" i="5"/>
  <c r="Q818" i="5"/>
  <c r="Q817" i="5"/>
  <c r="Q816" i="5"/>
  <c r="Q804" i="5"/>
  <c r="Q803" i="5"/>
  <c r="Q802" i="5"/>
  <c r="Q799" i="5"/>
  <c r="Q798" i="5"/>
  <c r="Q797" i="5"/>
  <c r="Q796" i="5"/>
  <c r="Q795" i="5"/>
  <c r="Q794" i="5"/>
  <c r="Q793" i="5"/>
  <c r="Q792" i="5"/>
  <c r="Q791" i="5"/>
  <c r="Q807" i="5"/>
  <c r="Q806" i="5"/>
  <c r="Q805" i="5"/>
  <c r="Q820" i="5"/>
  <c r="Q819" i="5"/>
  <c r="Q813" i="5"/>
  <c r="Q812" i="5"/>
  <c r="Q811" i="5"/>
  <c r="Q810" i="5"/>
  <c r="Q809" i="5"/>
  <c r="Q808" i="5"/>
  <c r="Q801" i="5"/>
  <c r="Q800" i="5"/>
  <c r="Q790" i="5"/>
  <c r="Q774" i="5"/>
  <c r="Q786" i="5"/>
  <c r="Q754" i="5"/>
  <c r="Q753" i="5"/>
  <c r="Q752" i="5"/>
  <c r="Q733" i="5"/>
  <c r="Q732" i="5"/>
  <c r="Q756" i="5"/>
  <c r="Q764" i="5"/>
  <c r="Q763" i="5"/>
  <c r="Q773" i="5"/>
  <c r="Q772" i="5"/>
  <c r="Q771" i="5"/>
  <c r="Q770" i="5"/>
  <c r="Q769" i="5"/>
  <c r="Q755" i="5"/>
  <c r="Q730" i="5"/>
  <c r="Q729" i="5"/>
  <c r="Q728" i="5"/>
  <c r="Q727" i="5"/>
  <c r="Q726" i="5"/>
  <c r="Q742" i="5"/>
  <c r="Q741" i="5"/>
  <c r="Q783" i="5"/>
  <c r="Q734" i="5"/>
  <c r="Q762" i="5"/>
  <c r="Q725" i="5"/>
  <c r="Q724" i="5"/>
  <c r="Q723" i="5"/>
  <c r="Q722" i="5"/>
  <c r="Q721" i="5"/>
  <c r="Q789" i="5"/>
  <c r="Q788" i="5"/>
  <c r="Q787" i="5"/>
  <c r="Q751" i="5"/>
  <c r="Q750" i="5"/>
  <c r="Q749" i="5"/>
  <c r="Q748" i="5"/>
  <c r="Q747" i="5"/>
  <c r="Q746" i="5"/>
  <c r="Q731" i="5"/>
  <c r="Q768" i="5"/>
  <c r="Q767" i="5"/>
  <c r="Q766" i="5"/>
  <c r="Q765" i="5"/>
  <c r="Q761" i="5"/>
  <c r="Q760" i="5"/>
  <c r="Q759" i="5"/>
  <c r="Q758" i="5"/>
  <c r="Q757" i="5"/>
  <c r="Q785" i="5"/>
  <c r="Q745" i="5"/>
  <c r="Q744" i="5"/>
  <c r="Q743" i="5"/>
  <c r="Q779" i="5"/>
  <c r="Q778" i="5"/>
  <c r="Q777" i="5"/>
  <c r="Q776" i="5"/>
  <c r="Q775" i="5"/>
  <c r="Q782" i="5"/>
  <c r="Q781" i="5"/>
  <c r="Q780" i="5"/>
  <c r="Q740" i="5"/>
  <c r="Q739" i="5"/>
  <c r="Q738" i="5"/>
  <c r="Q737" i="5"/>
  <c r="Q736" i="5"/>
  <c r="Q735" i="5"/>
  <c r="J818" i="5"/>
  <c r="L818" i="5" s="1"/>
  <c r="J764" i="5"/>
  <c r="L764" i="5" s="1"/>
  <c r="J771" i="5"/>
  <c r="L771" i="5" s="1"/>
  <c r="J755" i="5"/>
  <c r="L755" i="5" s="1"/>
  <c r="J742" i="5"/>
  <c r="L742" i="5" s="1"/>
  <c r="J723" i="5"/>
  <c r="L723" i="5" s="1"/>
  <c r="J749" i="5"/>
  <c r="L749" i="5" s="1"/>
  <c r="J731" i="5"/>
  <c r="L731" i="5" s="1"/>
  <c r="J781" i="5"/>
  <c r="L781" i="5" s="1"/>
  <c r="J440" i="5"/>
  <c r="L440" i="5" s="1"/>
  <c r="J446" i="5"/>
  <c r="L446" i="5" s="1"/>
  <c r="J470" i="5"/>
  <c r="L470" i="5" s="1"/>
  <c r="J454" i="5"/>
  <c r="L454" i="5" s="1"/>
  <c r="J675" i="5"/>
  <c r="L675" i="5" s="1"/>
  <c r="J420" i="5"/>
  <c r="L420" i="5" s="1"/>
  <c r="J480" i="5"/>
  <c r="L480" i="5" s="1"/>
  <c r="J435" i="5"/>
  <c r="L435" i="5" s="1"/>
  <c r="J430" i="5"/>
  <c r="L430" i="5" s="1"/>
  <c r="J462" i="5"/>
  <c r="L462" i="5" s="1"/>
  <c r="J250" i="5"/>
  <c r="L250" i="5" s="1"/>
  <c r="J234" i="5"/>
  <c r="L234" i="5" s="1"/>
  <c r="J112" i="5"/>
  <c r="L112" i="5" s="1"/>
  <c r="J242" i="5"/>
  <c r="L242" i="5" s="1"/>
  <c r="J377" i="5"/>
  <c r="L377" i="5" s="1"/>
  <c r="J102" i="5"/>
  <c r="L102" i="5" s="1"/>
  <c r="J109" i="5"/>
  <c r="L109" i="5" s="1"/>
  <c r="J110" i="5"/>
  <c r="L110" i="5" s="1"/>
  <c r="J100" i="5"/>
  <c r="L100" i="5" s="1"/>
  <c r="J140" i="5"/>
  <c r="L140" i="5" s="1"/>
  <c r="J114" i="5"/>
  <c r="L114" i="5" s="1"/>
  <c r="J124" i="5"/>
  <c r="L124" i="5" s="1"/>
  <c r="J380" i="5"/>
  <c r="L380" i="5" s="1"/>
  <c r="J198" i="5"/>
  <c r="L198" i="5" s="1"/>
  <c r="J99" i="5"/>
  <c r="L99" i="5" s="1"/>
  <c r="J95" i="5"/>
  <c r="L95" i="5" s="1"/>
  <c r="J382" i="5"/>
  <c r="L382" i="5" s="1"/>
  <c r="J256" i="5"/>
  <c r="L256" i="5" s="1"/>
  <c r="J379" i="5"/>
  <c r="L379" i="5" s="1"/>
  <c r="J226" i="5"/>
  <c r="L226" i="5" s="1"/>
  <c r="J52" i="5"/>
  <c r="L52" i="5" s="1"/>
  <c r="J11" i="5"/>
  <c r="L11" i="5" s="1"/>
  <c r="J817" i="5"/>
  <c r="L817" i="5" s="1"/>
  <c r="J770" i="5"/>
  <c r="L770" i="5" s="1"/>
  <c r="J793" i="5"/>
  <c r="L793" i="5" s="1"/>
  <c r="J741" i="5"/>
  <c r="L741" i="5" s="1"/>
  <c r="J721" i="5"/>
  <c r="L721" i="5" s="1"/>
  <c r="J820" i="5"/>
  <c r="L820" i="5" s="1"/>
  <c r="J812" i="5"/>
  <c r="L812" i="5" s="1"/>
  <c r="J809" i="5"/>
  <c r="L809" i="5" s="1"/>
  <c r="J801" i="5"/>
  <c r="L801" i="5" s="1"/>
  <c r="J800" i="5"/>
  <c r="L800" i="5" s="1"/>
  <c r="J532" i="5"/>
  <c r="L532" i="5" s="1"/>
  <c r="J524" i="5"/>
  <c r="L524" i="5" s="1"/>
  <c r="J516" i="5"/>
  <c r="L516" i="5" s="1"/>
  <c r="J508" i="5"/>
  <c r="L508" i="5" s="1"/>
  <c r="J562" i="5"/>
  <c r="L562" i="5" s="1"/>
  <c r="J672" i="5"/>
  <c r="L672" i="5" s="1"/>
  <c r="J248" i="5"/>
  <c r="L248" i="5" s="1"/>
  <c r="J108" i="5"/>
  <c r="L108" i="5" s="1"/>
  <c r="J107" i="5"/>
  <c r="L107" i="5" s="1"/>
  <c r="J232" i="5"/>
  <c r="L232" i="5" s="1"/>
  <c r="J113" i="5"/>
  <c r="J240" i="5"/>
  <c r="L240" i="5" s="1"/>
  <c r="J376" i="5"/>
  <c r="L376" i="5" s="1"/>
  <c r="J92" i="5"/>
  <c r="L92" i="5" s="1"/>
  <c r="J218" i="5"/>
  <c r="L218" i="5" s="1"/>
  <c r="J62" i="5"/>
  <c r="L62" i="5" s="1"/>
  <c r="J89" i="5"/>
  <c r="L89" i="5" s="1"/>
  <c r="J101" i="5"/>
  <c r="L101" i="5" s="1"/>
  <c r="J104" i="5"/>
  <c r="L104" i="5" s="1"/>
  <c r="J106" i="5"/>
  <c r="L106" i="5" s="1"/>
  <c r="J137" i="5"/>
  <c r="L137" i="5" s="1"/>
  <c r="J202" i="5"/>
  <c r="L202" i="5" s="1"/>
  <c r="J122" i="5"/>
  <c r="L122" i="5" s="1"/>
  <c r="J207" i="5"/>
  <c r="L207" i="5" s="1"/>
  <c r="J197" i="5"/>
  <c r="L197" i="5" s="1"/>
  <c r="J98" i="5"/>
  <c r="L98" i="5" s="1"/>
  <c r="J199" i="5"/>
  <c r="L199" i="5" s="1"/>
  <c r="J177" i="5"/>
  <c r="L177" i="5" s="1"/>
  <c r="J381" i="5"/>
  <c r="L381" i="5" s="1"/>
  <c r="J270" i="5"/>
  <c r="L270" i="5" s="1"/>
  <c r="J255" i="5"/>
  <c r="L255" i="5" s="1"/>
  <c r="J254" i="5"/>
  <c r="L254" i="5" s="1"/>
  <c r="J378" i="5"/>
  <c r="L378" i="5" s="1"/>
  <c r="J190" i="5"/>
  <c r="L190" i="5" s="1"/>
  <c r="J189" i="5"/>
  <c r="L189" i="5" s="1"/>
  <c r="J87" i="5"/>
  <c r="J73" i="5"/>
  <c r="L73" i="5" s="1"/>
  <c r="J224" i="5"/>
  <c r="L224" i="5" s="1"/>
  <c r="J34" i="5"/>
  <c r="L34" i="5" s="1"/>
  <c r="J51" i="5"/>
  <c r="L51" i="5" s="1"/>
  <c r="J23" i="5"/>
  <c r="L23" i="5" s="1"/>
  <c r="J60" i="5"/>
  <c r="L60" i="5" s="1"/>
  <c r="J14" i="5"/>
  <c r="L14" i="5" s="1"/>
  <c r="J25" i="5"/>
  <c r="L25" i="5" s="1"/>
  <c r="J27" i="5"/>
  <c r="L27" i="5" s="1"/>
  <c r="J9" i="5"/>
  <c r="L9" i="5" s="1"/>
  <c r="J58" i="5"/>
  <c r="L58" i="5" s="1"/>
  <c r="J816" i="5"/>
  <c r="L816" i="5" s="1"/>
  <c r="J819" i="5"/>
  <c r="L819" i="5" s="1"/>
  <c r="J810" i="5"/>
  <c r="L810" i="5" s="1"/>
  <c r="J808" i="5"/>
  <c r="L808" i="5" s="1"/>
  <c r="J790" i="5"/>
  <c r="L790" i="5" s="1"/>
  <c r="J216" i="5"/>
  <c r="L216" i="5" s="1"/>
  <c r="J91" i="5"/>
  <c r="L91" i="5" s="1"/>
  <c r="J88" i="5"/>
  <c r="L88" i="5" s="1"/>
  <c r="J200" i="5"/>
  <c r="L200" i="5" s="1"/>
  <c r="J195" i="5"/>
  <c r="L195" i="5" s="1"/>
  <c r="J188" i="5"/>
  <c r="J82" i="5"/>
  <c r="J72" i="5"/>
  <c r="S411" i="18"/>
  <c r="Q411" i="18"/>
  <c r="S408" i="18"/>
  <c r="Q408" i="18"/>
  <c r="S407" i="18"/>
  <c r="Q407" i="18"/>
  <c r="S560" i="18"/>
  <c r="Q560" i="18"/>
  <c r="S406" i="18"/>
  <c r="Q406" i="18"/>
  <c r="S405" i="18"/>
  <c r="Q405" i="18"/>
  <c r="S404" i="18"/>
  <c r="Q404" i="18"/>
  <c r="S403" i="18"/>
  <c r="Q403" i="18"/>
  <c r="S402" i="18"/>
  <c r="Q402" i="18"/>
  <c r="S537" i="18"/>
  <c r="Q537" i="18"/>
  <c r="S536" i="18"/>
  <c r="Q536" i="18"/>
  <c r="S535" i="18"/>
  <c r="Q535" i="18"/>
  <c r="S534" i="18"/>
  <c r="Q534" i="18"/>
  <c r="S533" i="18"/>
  <c r="Q533" i="18"/>
  <c r="S532" i="18"/>
  <c r="Q532" i="18"/>
  <c r="S531" i="18"/>
  <c r="Q531" i="18"/>
  <c r="S530" i="18"/>
  <c r="Q530" i="18"/>
  <c r="S529" i="18"/>
  <c r="Q529" i="18"/>
  <c r="S528" i="18"/>
  <c r="Q528" i="18"/>
  <c r="S527" i="18"/>
  <c r="Q527" i="18"/>
  <c r="S526" i="18"/>
  <c r="Q526" i="18"/>
  <c r="S525" i="18"/>
  <c r="Q525" i="18"/>
  <c r="S524" i="18"/>
  <c r="Q524" i="18"/>
  <c r="S523" i="18"/>
  <c r="Q523" i="18"/>
  <c r="S522" i="18"/>
  <c r="Q522" i="18"/>
  <c r="S521" i="18"/>
  <c r="Q521" i="18"/>
  <c r="S520" i="18"/>
  <c r="Q520" i="18"/>
  <c r="S519" i="18"/>
  <c r="Q519" i="18"/>
  <c r="S518" i="18"/>
  <c r="Q518" i="18"/>
  <c r="S517" i="18"/>
  <c r="Q517" i="18"/>
  <c r="S516" i="18"/>
  <c r="Q516" i="18"/>
  <c r="S515" i="18"/>
  <c r="Q515" i="18"/>
  <c r="S514" i="18"/>
  <c r="Q514" i="18"/>
  <c r="S513" i="18"/>
  <c r="Q513" i="18"/>
  <c r="S512" i="18"/>
  <c r="Q512" i="18"/>
  <c r="S511" i="18"/>
  <c r="Q511" i="18"/>
  <c r="S510" i="18"/>
  <c r="Q510" i="18"/>
  <c r="S509" i="18"/>
  <c r="Q509" i="18"/>
  <c r="S508" i="18"/>
  <c r="Q508" i="18"/>
  <c r="S507" i="18"/>
  <c r="Q507" i="18"/>
  <c r="S506" i="18"/>
  <c r="Q506" i="18"/>
  <c r="S505" i="18"/>
  <c r="Q505" i="18"/>
  <c r="S504" i="18"/>
  <c r="Q504" i="18"/>
  <c r="S503" i="18"/>
  <c r="Q503" i="18"/>
  <c r="S502" i="18"/>
  <c r="Q502" i="18"/>
  <c r="S501" i="18"/>
  <c r="Q501" i="18"/>
  <c r="S573" i="18"/>
  <c r="Q573" i="18"/>
  <c r="S572" i="18"/>
  <c r="Q572" i="18"/>
  <c r="S500" i="18"/>
  <c r="Q500" i="18"/>
  <c r="S499" i="18"/>
  <c r="Q499" i="18"/>
  <c r="S498" i="18"/>
  <c r="Q498" i="18"/>
  <c r="S497" i="18"/>
  <c r="Q497" i="18"/>
  <c r="S571" i="18"/>
  <c r="Q571" i="18"/>
  <c r="S570" i="18"/>
  <c r="Q570" i="18"/>
  <c r="S401" i="18"/>
  <c r="Q401" i="18"/>
  <c r="S400" i="18"/>
  <c r="Q400" i="18"/>
  <c r="S559" i="18"/>
  <c r="Q559" i="18"/>
  <c r="S558" i="18"/>
  <c r="Q558" i="18"/>
  <c r="S557" i="18"/>
  <c r="Q557" i="18"/>
  <c r="S496" i="18"/>
  <c r="Q496" i="18"/>
  <c r="S495" i="18"/>
  <c r="Q495" i="18"/>
  <c r="S494" i="18"/>
  <c r="Q494" i="18"/>
  <c r="S556" i="18"/>
  <c r="Q556" i="18"/>
  <c r="S569" i="18"/>
  <c r="Q569" i="18"/>
  <c r="S568" i="18"/>
  <c r="Q568" i="18"/>
  <c r="S567" i="18"/>
  <c r="Q567" i="18"/>
  <c r="S566" i="18"/>
  <c r="Q566" i="18"/>
  <c r="S555" i="18"/>
  <c r="Q555" i="18"/>
  <c r="S554" i="18"/>
  <c r="Q554" i="18"/>
  <c r="S553" i="18"/>
  <c r="Q553" i="18"/>
  <c r="S493" i="18"/>
  <c r="Q493" i="18"/>
  <c r="S492" i="18"/>
  <c r="Q492" i="18"/>
  <c r="S491" i="18"/>
  <c r="Q491" i="18"/>
  <c r="S490" i="18"/>
  <c r="Q490" i="18"/>
  <c r="S489" i="18"/>
  <c r="Q489" i="18"/>
  <c r="S488" i="18"/>
  <c r="Q488" i="18"/>
  <c r="S552" i="18"/>
  <c r="Q552" i="18"/>
  <c r="S551" i="18"/>
  <c r="Q551" i="18"/>
  <c r="S550" i="18"/>
  <c r="Q550" i="18"/>
  <c r="S565" i="18"/>
  <c r="Q565" i="18"/>
  <c r="S564" i="18"/>
  <c r="Q564" i="18"/>
  <c r="S487" i="18"/>
  <c r="Q487" i="18"/>
  <c r="S486" i="18"/>
  <c r="Q486" i="18"/>
  <c r="S485" i="18"/>
  <c r="Q485" i="18"/>
  <c r="S484" i="18"/>
  <c r="Q484" i="18"/>
  <c r="S483" i="18"/>
  <c r="Q483" i="18"/>
  <c r="S549" i="18"/>
  <c r="Q549" i="18"/>
  <c r="S548" i="18"/>
  <c r="Q548" i="18"/>
  <c r="S399" i="18"/>
  <c r="Q399" i="18"/>
  <c r="S398" i="18"/>
  <c r="Q398" i="18"/>
  <c r="S482" i="18"/>
  <c r="Q482" i="18"/>
  <c r="S481" i="18"/>
  <c r="Q481" i="18"/>
  <c r="S480" i="18"/>
  <c r="Q480" i="18"/>
  <c r="S479" i="18"/>
  <c r="Q479" i="18"/>
  <c r="S547" i="18"/>
  <c r="Q547" i="18"/>
  <c r="S546" i="18"/>
  <c r="Q546" i="18"/>
  <c r="S478" i="18"/>
  <c r="Q478" i="18"/>
  <c r="S477" i="18"/>
  <c r="Q477" i="18"/>
  <c r="S476" i="18"/>
  <c r="Q476" i="18"/>
  <c r="S475" i="18"/>
  <c r="Q475" i="18"/>
  <c r="S474" i="18"/>
  <c r="Q474" i="18"/>
  <c r="S473" i="18"/>
  <c r="Q473" i="18"/>
  <c r="S472" i="18"/>
  <c r="Q472" i="18"/>
  <c r="S471" i="18"/>
  <c r="Q471" i="18"/>
  <c r="S470" i="18"/>
  <c r="Q470" i="18"/>
  <c r="S469" i="18"/>
  <c r="Q469" i="18"/>
  <c r="S468" i="18"/>
  <c r="Q468" i="18"/>
  <c r="S467" i="18"/>
  <c r="Q467" i="18"/>
  <c r="S466" i="18"/>
  <c r="Q466" i="18"/>
  <c r="S465" i="18"/>
  <c r="Q465" i="18"/>
  <c r="S464" i="18"/>
  <c r="Q464" i="18"/>
  <c r="S463" i="18"/>
  <c r="Q463" i="18"/>
  <c r="S462" i="18"/>
  <c r="Q462" i="18"/>
  <c r="S461" i="18"/>
  <c r="Q461" i="18"/>
  <c r="S460" i="18"/>
  <c r="Q460" i="18"/>
  <c r="S459" i="18"/>
  <c r="Q459" i="18"/>
  <c r="S458" i="18"/>
  <c r="Q458" i="18"/>
  <c r="S457" i="18"/>
  <c r="Q457" i="18"/>
  <c r="S456" i="18"/>
  <c r="Q456" i="18"/>
  <c r="S455" i="18"/>
  <c r="Q455" i="18"/>
  <c r="S454" i="18"/>
  <c r="Q454" i="18"/>
  <c r="S453" i="18"/>
  <c r="Q453" i="18"/>
  <c r="S452" i="18"/>
  <c r="Q452" i="18"/>
  <c r="S451" i="18"/>
  <c r="Q451" i="18"/>
  <c r="S450" i="18"/>
  <c r="Q450" i="18"/>
  <c r="S449" i="18"/>
  <c r="Q449" i="18"/>
  <c r="S448" i="18"/>
  <c r="Q448" i="18"/>
  <c r="S447" i="18"/>
  <c r="Q447" i="18"/>
  <c r="S446" i="18"/>
  <c r="Q446" i="18"/>
  <c r="S445" i="18"/>
  <c r="Q445" i="18"/>
  <c r="S444" i="18"/>
  <c r="Q444" i="18"/>
  <c r="S443" i="18"/>
  <c r="Q443" i="18"/>
  <c r="S442" i="18"/>
  <c r="Q442" i="18"/>
  <c r="S441" i="18"/>
  <c r="Q441" i="18"/>
  <c r="S440" i="18"/>
  <c r="Q440" i="18"/>
  <c r="S439" i="18"/>
  <c r="Q439" i="18"/>
  <c r="S438" i="18"/>
  <c r="Q438" i="18"/>
  <c r="S437" i="18"/>
  <c r="Q437" i="18"/>
  <c r="S436" i="18"/>
  <c r="Q436" i="18"/>
  <c r="S435" i="18"/>
  <c r="Q435" i="18"/>
  <c r="S434" i="18"/>
  <c r="Q434" i="18"/>
  <c r="S433" i="18"/>
  <c r="Q433" i="18"/>
  <c r="S432" i="18"/>
  <c r="Q432" i="18"/>
  <c r="S431" i="18"/>
  <c r="Q431" i="18"/>
  <c r="S430" i="18"/>
  <c r="Q430" i="18"/>
  <c r="S429" i="18"/>
  <c r="Q429" i="18"/>
  <c r="S545" i="18"/>
  <c r="Q545" i="18"/>
  <c r="S428" i="18"/>
  <c r="Q428" i="18"/>
  <c r="S427" i="18"/>
  <c r="Q427" i="18"/>
  <c r="S544" i="18"/>
  <c r="Q544" i="18"/>
  <c r="S426" i="18"/>
  <c r="Q426" i="18"/>
  <c r="S425" i="18"/>
  <c r="Q425" i="18"/>
  <c r="S424" i="18"/>
  <c r="Q424" i="18"/>
  <c r="S423" i="18"/>
  <c r="Q423" i="18"/>
  <c r="S397" i="18"/>
  <c r="Q397" i="18"/>
  <c r="S396" i="18"/>
  <c r="Q396" i="18"/>
  <c r="S422" i="18"/>
  <c r="Q422" i="18"/>
  <c r="S421" i="18"/>
  <c r="Q421" i="18"/>
  <c r="S420" i="18"/>
  <c r="Q420" i="18"/>
  <c r="S419" i="18"/>
  <c r="Q419" i="18"/>
  <c r="S418" i="18"/>
  <c r="Q418" i="18"/>
  <c r="S563" i="18"/>
  <c r="Q563" i="18"/>
  <c r="S562" i="18"/>
  <c r="Q562" i="18"/>
  <c r="S561" i="18"/>
  <c r="Q561" i="18"/>
  <c r="S417" i="18"/>
  <c r="Q417" i="18"/>
  <c r="S416" i="18"/>
  <c r="Q416" i="18"/>
  <c r="S415" i="18"/>
  <c r="Q415" i="18"/>
  <c r="S414" i="18"/>
  <c r="Q414" i="18"/>
  <c r="S413" i="18"/>
  <c r="Q413" i="18"/>
  <c r="S720" i="18"/>
  <c r="Q720" i="18"/>
  <c r="S719" i="18"/>
  <c r="Q719" i="18"/>
  <c r="S718" i="18"/>
  <c r="Q718" i="18"/>
  <c r="S717" i="18"/>
  <c r="Q717" i="18"/>
  <c r="S716" i="18"/>
  <c r="Q716" i="18"/>
  <c r="S715" i="18"/>
  <c r="Q715" i="18"/>
  <c r="S714" i="18"/>
  <c r="Q714" i="18"/>
  <c r="S713" i="18"/>
  <c r="Q713" i="18"/>
  <c r="S712" i="18"/>
  <c r="Q712" i="18"/>
  <c r="S711" i="18"/>
  <c r="Q711" i="18"/>
  <c r="S710" i="18"/>
  <c r="Q710" i="18"/>
  <c r="S709" i="18"/>
  <c r="Q709" i="18"/>
  <c r="S708" i="18"/>
  <c r="Q708" i="18"/>
  <c r="S707" i="18"/>
  <c r="Q707" i="18"/>
  <c r="S706" i="18"/>
  <c r="Q706" i="18"/>
  <c r="S705" i="18"/>
  <c r="Q705" i="18"/>
  <c r="S704" i="18"/>
  <c r="Q704" i="18"/>
  <c r="S703" i="18"/>
  <c r="Q703" i="18"/>
  <c r="S702" i="18"/>
  <c r="Q702" i="18"/>
  <c r="S701" i="18"/>
  <c r="Q701" i="18"/>
  <c r="S700" i="18"/>
  <c r="Q700" i="18"/>
  <c r="S699" i="18"/>
  <c r="Q699" i="18"/>
  <c r="S698" i="18"/>
  <c r="Q698" i="18"/>
  <c r="S697" i="18"/>
  <c r="Q697" i="18"/>
  <c r="S696" i="18"/>
  <c r="Q696" i="18"/>
  <c r="S695" i="18"/>
  <c r="Q695" i="18"/>
  <c r="S694" i="18"/>
  <c r="Q694" i="18"/>
  <c r="S693" i="18"/>
  <c r="Q693" i="18"/>
  <c r="S692" i="18"/>
  <c r="Q692" i="18"/>
  <c r="S691" i="18"/>
  <c r="Q691" i="18"/>
  <c r="S690" i="18"/>
  <c r="Q690" i="18"/>
  <c r="S689" i="18"/>
  <c r="Q689" i="18"/>
  <c r="S688" i="18"/>
  <c r="Q688" i="18"/>
  <c r="S687" i="18"/>
  <c r="Q687" i="18"/>
  <c r="S686" i="18"/>
  <c r="Q686" i="18"/>
  <c r="S685" i="18"/>
  <c r="Q685" i="18"/>
  <c r="S684" i="18"/>
  <c r="Q684" i="18"/>
  <c r="S683" i="18"/>
  <c r="Q683" i="18"/>
  <c r="S682" i="18"/>
  <c r="Q682" i="18"/>
  <c r="S681" i="18"/>
  <c r="Q681" i="18"/>
  <c r="S680" i="18"/>
  <c r="Q680" i="18"/>
  <c r="S679" i="18"/>
  <c r="Q679" i="18"/>
  <c r="S678" i="18"/>
  <c r="Q678" i="18"/>
  <c r="S677" i="18"/>
  <c r="Q677" i="18"/>
  <c r="S676" i="18"/>
  <c r="Q676" i="18"/>
  <c r="S675" i="18"/>
  <c r="Q675" i="18"/>
  <c r="S674" i="18"/>
  <c r="Q674" i="18"/>
  <c r="S673" i="18"/>
  <c r="Q673" i="18"/>
  <c r="S672" i="18"/>
  <c r="Q672" i="18"/>
  <c r="S671" i="18"/>
  <c r="Q671" i="18"/>
  <c r="S670" i="18"/>
  <c r="Q670" i="18"/>
  <c r="S669" i="18"/>
  <c r="Q669" i="18"/>
  <c r="S668" i="18"/>
  <c r="Q668" i="18"/>
  <c r="S667" i="18"/>
  <c r="Q667" i="18"/>
  <c r="S666" i="18"/>
  <c r="Q666" i="18"/>
  <c r="S665" i="18"/>
  <c r="Q665" i="18"/>
  <c r="S664" i="18"/>
  <c r="Q664" i="18"/>
  <c r="S663" i="18"/>
  <c r="Q663" i="18"/>
  <c r="S662" i="18"/>
  <c r="Q662" i="18"/>
  <c r="S661" i="18"/>
  <c r="Q661" i="18"/>
  <c r="S660" i="18"/>
  <c r="Q660" i="18"/>
  <c r="S659" i="18"/>
  <c r="Q659" i="18"/>
  <c r="S658" i="18"/>
  <c r="Q658" i="18"/>
  <c r="S657" i="18"/>
  <c r="Q657" i="18"/>
  <c r="S656" i="18"/>
  <c r="Q656" i="18"/>
  <c r="S655" i="18"/>
  <c r="Q655" i="18"/>
  <c r="S654" i="18"/>
  <c r="Q654" i="18"/>
  <c r="S653" i="18"/>
  <c r="Q653" i="18"/>
  <c r="S652" i="18"/>
  <c r="Q652" i="18"/>
  <c r="S651" i="18"/>
  <c r="Q651" i="18"/>
  <c r="S650" i="18"/>
  <c r="Q650" i="18"/>
  <c r="S649" i="18"/>
  <c r="Q649" i="18"/>
  <c r="S648" i="18"/>
  <c r="Q648" i="18"/>
  <c r="S647" i="18"/>
  <c r="Q647" i="18"/>
  <c r="S646" i="18"/>
  <c r="Q646" i="18"/>
  <c r="S645" i="18"/>
  <c r="Q645" i="18"/>
  <c r="S644" i="18"/>
  <c r="Q644" i="18"/>
  <c r="S643" i="18"/>
  <c r="Q643" i="18"/>
  <c r="S642" i="18"/>
  <c r="Q642" i="18"/>
  <c r="S641" i="18"/>
  <c r="Q641" i="18"/>
  <c r="S640" i="18"/>
  <c r="Q640" i="18"/>
  <c r="S639" i="18"/>
  <c r="Q639" i="18"/>
  <c r="S638" i="18"/>
  <c r="Q638" i="18"/>
  <c r="S637" i="18"/>
  <c r="Q637" i="18"/>
  <c r="S636" i="18"/>
  <c r="Q636" i="18"/>
  <c r="S635" i="18"/>
  <c r="Q635" i="18"/>
  <c r="S634" i="18"/>
  <c r="Q634" i="18"/>
  <c r="S633" i="18"/>
  <c r="Q633" i="18"/>
  <c r="S632" i="18"/>
  <c r="Q632" i="18"/>
  <c r="S631" i="18"/>
  <c r="Q631" i="18"/>
  <c r="S630" i="18"/>
  <c r="Q630" i="18"/>
  <c r="S629" i="18"/>
  <c r="Q629" i="18"/>
  <c r="S628" i="18"/>
  <c r="Q628" i="18"/>
  <c r="S627" i="18"/>
  <c r="Q627" i="18"/>
  <c r="S626" i="18"/>
  <c r="Q626" i="18"/>
  <c r="S625" i="18"/>
  <c r="Q625" i="18"/>
  <c r="S624" i="18"/>
  <c r="Q624" i="18"/>
  <c r="S623" i="18"/>
  <c r="Q623" i="18"/>
  <c r="S622" i="18"/>
  <c r="Q622" i="18"/>
  <c r="S621" i="18"/>
  <c r="Q621" i="18"/>
  <c r="S620" i="18"/>
  <c r="Q620" i="18"/>
  <c r="S619" i="18"/>
  <c r="Q619" i="18"/>
  <c r="S618" i="18"/>
  <c r="Q618" i="18"/>
  <c r="S617" i="18"/>
  <c r="Q617" i="18"/>
  <c r="S616" i="18"/>
  <c r="Q616" i="18"/>
  <c r="S615" i="18"/>
  <c r="Q615" i="18"/>
  <c r="S614" i="18"/>
  <c r="Q614" i="18"/>
  <c r="S613" i="18"/>
  <c r="Q613" i="18"/>
  <c r="S612" i="18"/>
  <c r="Q612" i="18"/>
  <c r="S611" i="18"/>
  <c r="Q611" i="18"/>
  <c r="S610" i="18"/>
  <c r="Q610" i="18"/>
  <c r="S609" i="18"/>
  <c r="Q609" i="18"/>
  <c r="S608" i="18"/>
  <c r="Q608" i="18"/>
  <c r="S607" i="18"/>
  <c r="Q607" i="18"/>
  <c r="S606" i="18"/>
  <c r="Q606" i="18"/>
  <c r="S605" i="18"/>
  <c r="Q605" i="18"/>
  <c r="S604" i="18"/>
  <c r="Q604" i="18"/>
  <c r="S603" i="18"/>
  <c r="Q603" i="18"/>
  <c r="S602" i="18"/>
  <c r="Q602" i="18"/>
  <c r="S601" i="18"/>
  <c r="Q601" i="18"/>
  <c r="S600" i="18"/>
  <c r="Q600" i="18"/>
  <c r="S599" i="18"/>
  <c r="Q599" i="18"/>
  <c r="S598" i="18"/>
  <c r="Q598" i="18"/>
  <c r="S597" i="18"/>
  <c r="Q597" i="18"/>
  <c r="S596" i="18"/>
  <c r="Q596" i="18"/>
  <c r="S595" i="18"/>
  <c r="Q595" i="18"/>
  <c r="S594" i="18"/>
  <c r="Q594" i="18"/>
  <c r="S593" i="18"/>
  <c r="Q593" i="18"/>
  <c r="S592" i="18"/>
  <c r="Q592" i="18"/>
  <c r="S591" i="18"/>
  <c r="Q591" i="18"/>
  <c r="S590" i="18"/>
  <c r="Q590" i="18"/>
  <c r="S589" i="18"/>
  <c r="Q589" i="18"/>
  <c r="S588" i="18"/>
  <c r="Q588" i="18"/>
  <c r="S587" i="18"/>
  <c r="Q587" i="18"/>
  <c r="S586" i="18"/>
  <c r="Q586" i="18"/>
  <c r="S585" i="18"/>
  <c r="Q585" i="18"/>
  <c r="S584" i="18"/>
  <c r="Q584" i="18"/>
  <c r="S583" i="18"/>
  <c r="Q583" i="18"/>
  <c r="S582" i="18"/>
  <c r="Q582" i="18"/>
  <c r="S581" i="18"/>
  <c r="Q581" i="18"/>
  <c r="S580" i="18"/>
  <c r="Q580" i="18"/>
  <c r="S579" i="18"/>
  <c r="Q579" i="18"/>
  <c r="S578" i="18"/>
  <c r="Q578" i="18"/>
  <c r="S577" i="18"/>
  <c r="Q577" i="18"/>
  <c r="S576" i="18"/>
  <c r="Q576" i="18"/>
  <c r="S575" i="18"/>
  <c r="Q575" i="18"/>
  <c r="Q797" i="18"/>
  <c r="Q813" i="18"/>
  <c r="Q774" i="18"/>
  <c r="Q786" i="18"/>
  <c r="Q53" i="18"/>
  <c r="Q42" i="18"/>
  <c r="Q61" i="18"/>
  <c r="Q39" i="18"/>
  <c r="Q45" i="18"/>
  <c r="Q48" i="18"/>
  <c r="Q55" i="18"/>
  <c r="Q3" i="18"/>
  <c r="Q17" i="18"/>
  <c r="Q31" i="18"/>
  <c r="Q754" i="18"/>
  <c r="Q753" i="18"/>
  <c r="Q752" i="18"/>
  <c r="Q733" i="18"/>
  <c r="Q732" i="18"/>
  <c r="Q756" i="18"/>
  <c r="Q764" i="18"/>
  <c r="Q763" i="18"/>
  <c r="Q773" i="18"/>
  <c r="Q772" i="18"/>
  <c r="Q771" i="18"/>
  <c r="Q770" i="18"/>
  <c r="Q769" i="18"/>
  <c r="Q755" i="18"/>
  <c r="Q730" i="18"/>
  <c r="Q729" i="18"/>
  <c r="Q728" i="18"/>
  <c r="Q727" i="18"/>
  <c r="Q726" i="18"/>
  <c r="Q742" i="18"/>
  <c r="Q741" i="18"/>
  <c r="Q783" i="18"/>
  <c r="Q734" i="18"/>
  <c r="Q762" i="18"/>
  <c r="Q725" i="18"/>
  <c r="Q724" i="18"/>
  <c r="Q723" i="18"/>
  <c r="Q722" i="18"/>
  <c r="Q721" i="18"/>
  <c r="Q789" i="18"/>
  <c r="Q788" i="18"/>
  <c r="Q787" i="18"/>
  <c r="Q751" i="18"/>
  <c r="Q750" i="18"/>
  <c r="Q749" i="18"/>
  <c r="Q748" i="18"/>
  <c r="Q747" i="18"/>
  <c r="Q746" i="18"/>
  <c r="Q731" i="18"/>
  <c r="Q768" i="18"/>
  <c r="Q767" i="18"/>
  <c r="Q766" i="18"/>
  <c r="Q765" i="18"/>
  <c r="Q761" i="18"/>
  <c r="Q760" i="18"/>
  <c r="Q759" i="18"/>
  <c r="Q758" i="18"/>
  <c r="Q757" i="18"/>
  <c r="Q785" i="18"/>
  <c r="Q745" i="18"/>
  <c r="Q744" i="18"/>
  <c r="Q743" i="18"/>
  <c r="Q779" i="18"/>
  <c r="Q778" i="18"/>
  <c r="Q777" i="18"/>
  <c r="Q776" i="18"/>
  <c r="Q775" i="18"/>
  <c r="Q782" i="18"/>
  <c r="Q781" i="18"/>
  <c r="Q780" i="18"/>
  <c r="Q740" i="18"/>
  <c r="Q739" i="18"/>
  <c r="Q738" i="18"/>
  <c r="Q737" i="18"/>
  <c r="Q736" i="18"/>
  <c r="Q735" i="18"/>
  <c r="Q815" i="18"/>
  <c r="Q814" i="18"/>
  <c r="Q818" i="18"/>
  <c r="Q817" i="18"/>
  <c r="Q816" i="18"/>
  <c r="Q804" i="18"/>
  <c r="Q803" i="18"/>
  <c r="Q802" i="18"/>
  <c r="Q799" i="18"/>
  <c r="Q798" i="18"/>
  <c r="Q796" i="18"/>
  <c r="Q795" i="18"/>
  <c r="Q794" i="18"/>
  <c r="Q793" i="18"/>
  <c r="Q792" i="18"/>
  <c r="Q791" i="18"/>
  <c r="Q807" i="18"/>
  <c r="Q806" i="18"/>
  <c r="Q805" i="18"/>
  <c r="Q820" i="18"/>
  <c r="Q819" i="18"/>
  <c r="Q812" i="18"/>
  <c r="Q811" i="18"/>
  <c r="Q810" i="18"/>
  <c r="Q809" i="18"/>
  <c r="Q808" i="18"/>
  <c r="Q801" i="18"/>
  <c r="Q800" i="18"/>
  <c r="Q790" i="18"/>
  <c r="Q34" i="18"/>
  <c r="Q33" i="18"/>
  <c r="Q2" i="18"/>
  <c r="Q23" i="18"/>
  <c r="Q22" i="18"/>
  <c r="Q14" i="18"/>
  <c r="Q13" i="18"/>
  <c r="Q12" i="18"/>
  <c r="Q28" i="18"/>
  <c r="Q29" i="18"/>
  <c r="Q32" i="18"/>
  <c r="Q25" i="18"/>
  <c r="Q24" i="18"/>
  <c r="Q36" i="18"/>
  <c r="Q16" i="18"/>
  <c r="Q15" i="18"/>
  <c r="Q27" i="18"/>
  <c r="Q26" i="18"/>
  <c r="Q11" i="18"/>
  <c r="Q10" i="18"/>
  <c r="Q9" i="18"/>
  <c r="Q8" i="18"/>
  <c r="Q7" i="18"/>
  <c r="Q6" i="18"/>
  <c r="Q5" i="18"/>
  <c r="Q4" i="18"/>
  <c r="Q35" i="18"/>
  <c r="Q19" i="18"/>
  <c r="Q30" i="18"/>
  <c r="Q18" i="18"/>
  <c r="Q21" i="18"/>
  <c r="Q20" i="18"/>
  <c r="Q52" i="18"/>
  <c r="Q51" i="18"/>
  <c r="Q41" i="18"/>
  <c r="Q40" i="18"/>
  <c r="Q60" i="18"/>
  <c r="Q59" i="18"/>
  <c r="Q38" i="18"/>
  <c r="Q37" i="18"/>
  <c r="Q49" i="18"/>
  <c r="Q44" i="18"/>
  <c r="Q43" i="18"/>
  <c r="Q58" i="18"/>
  <c r="Q57" i="18"/>
  <c r="Q56" i="18"/>
  <c r="Q46" i="18"/>
  <c r="Q50" i="18"/>
  <c r="Q47" i="18"/>
  <c r="L818" i="18"/>
  <c r="L764" i="18"/>
  <c r="L771" i="18"/>
  <c r="L755" i="18"/>
  <c r="L742" i="18"/>
  <c r="L723" i="18"/>
  <c r="L749" i="18"/>
  <c r="L731" i="18"/>
  <c r="L781" i="18"/>
  <c r="L675" i="18"/>
  <c r="L480" i="18"/>
  <c r="L470" i="18"/>
  <c r="L462" i="18"/>
  <c r="L454" i="18"/>
  <c r="L446" i="18"/>
  <c r="L440" i="18"/>
  <c r="L435" i="18"/>
  <c r="L430" i="18"/>
  <c r="L420" i="18"/>
  <c r="L256" i="18"/>
  <c r="L112" i="18"/>
  <c r="L114" i="18"/>
  <c r="L250" i="18"/>
  <c r="L242" i="18"/>
  <c r="L234" i="18"/>
  <c r="L226" i="18"/>
  <c r="L382" i="18"/>
  <c r="L110" i="18"/>
  <c r="L109" i="18"/>
  <c r="L380" i="18"/>
  <c r="L102" i="18"/>
  <c r="L100" i="18"/>
  <c r="L99" i="18"/>
  <c r="L379" i="18"/>
  <c r="L198" i="18"/>
  <c r="L124" i="18"/>
  <c r="L95" i="18"/>
  <c r="L377" i="18"/>
  <c r="L140" i="18"/>
  <c r="L52" i="18"/>
  <c r="L11" i="18"/>
  <c r="K11" i="18"/>
  <c r="L817" i="18"/>
  <c r="L770" i="18"/>
  <c r="L793" i="18"/>
  <c r="L741" i="18"/>
  <c r="L721" i="18"/>
  <c r="L820" i="18"/>
  <c r="L812" i="18"/>
  <c r="L809" i="18"/>
  <c r="L801" i="18"/>
  <c r="L800" i="18"/>
  <c r="L532" i="18"/>
  <c r="L524" i="18"/>
  <c r="L516" i="18"/>
  <c r="L508" i="18"/>
  <c r="L672" i="18"/>
  <c r="L562" i="18"/>
  <c r="L255" i="18"/>
  <c r="L254" i="18"/>
  <c r="L113" i="18"/>
  <c r="L248" i="18"/>
  <c r="L240" i="18"/>
  <c r="L232" i="18"/>
  <c r="L224" i="18"/>
  <c r="L92" i="18"/>
  <c r="L218" i="18"/>
  <c r="L89" i="18"/>
  <c r="L381" i="18"/>
  <c r="L108" i="18"/>
  <c r="L107" i="18"/>
  <c r="L106" i="18"/>
  <c r="L104" i="18"/>
  <c r="L207" i="18"/>
  <c r="L202" i="18"/>
  <c r="L101" i="18"/>
  <c r="L199" i="18"/>
  <c r="L87" i="18"/>
  <c r="L98" i="18"/>
  <c r="L73" i="18"/>
  <c r="L378" i="18"/>
  <c r="L197" i="18"/>
  <c r="L190" i="18"/>
  <c r="L189" i="18"/>
  <c r="L122" i="18"/>
  <c r="L62" i="18"/>
  <c r="L270" i="18"/>
  <c r="L177" i="18"/>
  <c r="L376" i="18"/>
  <c r="L137" i="18"/>
  <c r="L34" i="18"/>
  <c r="L51" i="18"/>
  <c r="L23" i="18"/>
  <c r="L60" i="18"/>
  <c r="L14" i="18"/>
  <c r="L25" i="18"/>
  <c r="L27" i="18"/>
  <c r="L9" i="18"/>
  <c r="L58" i="18"/>
  <c r="K58" i="18"/>
  <c r="L816" i="18"/>
  <c r="L819" i="18"/>
  <c r="L810" i="18"/>
  <c r="L808" i="18"/>
  <c r="L790" i="18"/>
  <c r="L91" i="18"/>
  <c r="L216" i="18"/>
  <c r="L88" i="18"/>
  <c r="L200" i="18"/>
  <c r="L82" i="18"/>
  <c r="L72" i="18"/>
  <c r="L195" i="18"/>
  <c r="L188" i="18"/>
  <c r="K188" i="18"/>
  <c r="W3" i="2"/>
  <c r="X3" i="2"/>
  <c r="Y3" i="2"/>
  <c r="Z3" i="2"/>
  <c r="AA3" i="2"/>
  <c r="T4" i="2"/>
  <c r="T5" i="2" s="1"/>
  <c r="T6" i="2" s="1"/>
  <c r="T7" i="2" s="1"/>
  <c r="T8" i="2" s="1"/>
  <c r="T9" i="2" s="1"/>
  <c r="T10" i="2" s="1"/>
  <c r="T11" i="2" s="1"/>
  <c r="T12" i="2" s="1"/>
  <c r="T13" i="2" s="1"/>
  <c r="T14" i="2" s="1"/>
  <c r="T15" i="2" s="1"/>
  <c r="T16" i="2" s="1"/>
  <c r="T17" i="2" s="1"/>
  <c r="T18" i="2" s="1"/>
  <c r="T19" i="2" s="1"/>
  <c r="T20" i="2" s="1"/>
  <c r="T21" i="2" s="1"/>
  <c r="T22" i="2" s="1"/>
  <c r="T23" i="2" s="1"/>
  <c r="T24" i="2" s="1"/>
  <c r="T25" i="2" s="1"/>
  <c r="T26" i="2" s="1"/>
  <c r="T27" i="2" s="1"/>
  <c r="T28" i="2" s="1"/>
  <c r="T29" i="2" s="1"/>
  <c r="T30" i="2" s="1"/>
  <c r="T31" i="2" s="1"/>
  <c r="T32" i="2" s="1"/>
  <c r="T33" i="2" s="1"/>
  <c r="T34" i="2" s="1"/>
  <c r="T35" i="2" s="1"/>
  <c r="T36" i="2" s="1"/>
  <c r="T37" i="2" s="1"/>
  <c r="T38" i="2" s="1"/>
  <c r="T39" i="2" s="1"/>
  <c r="T40" i="2" s="1"/>
  <c r="T41" i="2" s="1"/>
  <c r="T42" i="2" s="1"/>
  <c r="T43" i="2" s="1"/>
  <c r="T44" i="2" s="1"/>
  <c r="T45" i="2" s="1"/>
  <c r="T46" i="2" s="1"/>
  <c r="T47" i="2" s="1"/>
  <c r="T48" i="2" s="1"/>
  <c r="T49" i="2" s="1"/>
  <c r="T50" i="2" s="1"/>
  <c r="T51" i="2" s="1"/>
  <c r="T52" i="2" s="1"/>
  <c r="T53" i="2" s="1"/>
  <c r="T54" i="2" s="1"/>
  <c r="T55" i="2" s="1"/>
  <c r="T56" i="2" s="1"/>
  <c r="T57" i="2" s="1"/>
  <c r="T58" i="2" s="1"/>
  <c r="T59" i="2" s="1"/>
  <c r="T60" i="2" s="1"/>
  <c r="T61" i="2" s="1"/>
  <c r="T62" i="2" s="1"/>
  <c r="T63" i="2" s="1"/>
  <c r="T64" i="2" s="1"/>
  <c r="T65" i="2" s="1"/>
  <c r="T66" i="2" s="1"/>
  <c r="T67" i="2" s="1"/>
  <c r="T68" i="2" s="1"/>
  <c r="T69" i="2" s="1"/>
  <c r="T70" i="2" s="1"/>
  <c r="T71" i="2" s="1"/>
  <c r="T72" i="2" s="1"/>
  <c r="T73" i="2" s="1"/>
  <c r="T74" i="2" s="1"/>
  <c r="T75" i="2" s="1"/>
  <c r="T76" i="2" s="1"/>
  <c r="T77" i="2" s="1"/>
  <c r="T78" i="2" s="1"/>
  <c r="T79" i="2" s="1"/>
  <c r="T80" i="2" s="1"/>
  <c r="T81" i="2" s="1"/>
  <c r="T82" i="2" s="1"/>
  <c r="T83" i="2" s="1"/>
  <c r="T84" i="2" s="1"/>
  <c r="T85" i="2" s="1"/>
  <c r="T86" i="2" s="1"/>
  <c r="T87" i="2" s="1"/>
  <c r="T88" i="2" s="1"/>
  <c r="T89" i="2" s="1"/>
  <c r="T90" i="2" s="1"/>
  <c r="T91" i="2" s="1"/>
  <c r="T92" i="2" s="1"/>
  <c r="T93" i="2" s="1"/>
  <c r="T94" i="2" s="1"/>
  <c r="T95" i="2" s="1"/>
  <c r="T96" i="2" s="1"/>
  <c r="T97" i="2" s="1"/>
  <c r="T98" i="2" s="1"/>
  <c r="T99" i="2" s="1"/>
  <c r="T100" i="2" s="1"/>
  <c r="T101" i="2" s="1"/>
  <c r="T102" i="2" s="1"/>
  <c r="T103" i="2" s="1"/>
  <c r="T104" i="2" s="1"/>
  <c r="T105" i="2" s="1"/>
  <c r="T106" i="2" s="1"/>
  <c r="T107" i="2" s="1"/>
  <c r="T108" i="2" s="1"/>
  <c r="T109" i="2" s="1"/>
  <c r="T110" i="2" s="1"/>
  <c r="T111" i="2" s="1"/>
  <c r="T112" i="2" s="1"/>
  <c r="T113" i="2" s="1"/>
  <c r="T114" i="2" s="1"/>
  <c r="T115" i="2" s="1"/>
  <c r="T116" i="2" s="1"/>
  <c r="T117" i="2" s="1"/>
  <c r="T118" i="2" s="1"/>
  <c r="T119" i="2" s="1"/>
  <c r="T120" i="2" s="1"/>
  <c r="T121" i="2" s="1"/>
  <c r="T122" i="2" s="1"/>
  <c r="T123" i="2" s="1"/>
  <c r="T124" i="2" s="1"/>
  <c r="T125" i="2" s="1"/>
  <c r="T126" i="2" s="1"/>
  <c r="T127" i="2" s="1"/>
  <c r="T128" i="2" s="1"/>
  <c r="T129" i="2" s="1"/>
  <c r="T130" i="2" s="1"/>
  <c r="T131" i="2" s="1"/>
  <c r="T132" i="2" s="1"/>
  <c r="T133" i="2" s="1"/>
  <c r="T134" i="2" s="1"/>
  <c r="T135" i="2" s="1"/>
  <c r="T136" i="2" s="1"/>
  <c r="T137" i="2" s="1"/>
  <c r="T138" i="2" s="1"/>
  <c r="T139" i="2" s="1"/>
  <c r="T140" i="2" s="1"/>
  <c r="T141" i="2" s="1"/>
  <c r="T142" i="2" s="1"/>
  <c r="T143" i="2" s="1"/>
  <c r="T144" i="2" s="1"/>
  <c r="T145" i="2" s="1"/>
  <c r="T146" i="2" s="1"/>
  <c r="T147" i="2" s="1"/>
  <c r="T148" i="2" s="1"/>
  <c r="T149" i="2" s="1"/>
  <c r="T150" i="2" s="1"/>
  <c r="T151" i="2" s="1"/>
  <c r="T152" i="2" s="1"/>
  <c r="T153" i="2" s="1"/>
  <c r="T154" i="2" s="1"/>
  <c r="T155" i="2" s="1"/>
  <c r="T156" i="2" s="1"/>
  <c r="T157" i="2" s="1"/>
  <c r="T158" i="2" s="1"/>
  <c r="T159" i="2" s="1"/>
  <c r="T160" i="2" s="1"/>
  <c r="T161" i="2" s="1"/>
  <c r="T162" i="2" s="1"/>
  <c r="T163" i="2" s="1"/>
  <c r="T164" i="2" s="1"/>
  <c r="T165" i="2" s="1"/>
  <c r="T166" i="2" s="1"/>
  <c r="T167" i="2" s="1"/>
  <c r="T168" i="2" s="1"/>
  <c r="T169" i="2" s="1"/>
  <c r="T170" i="2" s="1"/>
  <c r="T171" i="2" s="1"/>
  <c r="T172" i="2" s="1"/>
  <c r="T173" i="2" s="1"/>
  <c r="T174" i="2" s="1"/>
  <c r="T175" i="2" s="1"/>
  <c r="T176" i="2" s="1"/>
  <c r="T177" i="2" s="1"/>
  <c r="T178" i="2" s="1"/>
  <c r="T179" i="2" s="1"/>
  <c r="T180" i="2" s="1"/>
  <c r="T181" i="2" s="1"/>
  <c r="T182" i="2" s="1"/>
  <c r="T183" i="2" s="1"/>
  <c r="T184" i="2" s="1"/>
  <c r="T185" i="2" s="1"/>
  <c r="T186" i="2" s="1"/>
  <c r="T187" i="2" s="1"/>
  <c r="T188" i="2" s="1"/>
  <c r="T189" i="2" s="1"/>
  <c r="T190" i="2" s="1"/>
  <c r="T191" i="2" s="1"/>
  <c r="T192" i="2" s="1"/>
  <c r="T193" i="2" s="1"/>
  <c r="T194" i="2" s="1"/>
  <c r="T195" i="2" s="1"/>
  <c r="T196" i="2" s="1"/>
  <c r="T197" i="2" s="1"/>
  <c r="T198" i="2" s="1"/>
  <c r="T199" i="2" s="1"/>
  <c r="T200" i="2" s="1"/>
  <c r="T201" i="2" s="1"/>
  <c r="T202" i="2" s="1"/>
  <c r="T203" i="2" s="1"/>
  <c r="T204" i="2" s="1"/>
  <c r="T205" i="2" s="1"/>
  <c r="T206" i="2" s="1"/>
  <c r="T207" i="2" s="1"/>
  <c r="T208" i="2" s="1"/>
  <c r="T209" i="2" s="1"/>
  <c r="T210" i="2" s="1"/>
  <c r="T211" i="2" s="1"/>
  <c r="T212" i="2" s="1"/>
  <c r="T213" i="2" s="1"/>
  <c r="T214" i="2" s="1"/>
  <c r="T215" i="2" s="1"/>
  <c r="T216" i="2" s="1"/>
  <c r="T217" i="2" s="1"/>
  <c r="T218" i="2" s="1"/>
  <c r="T219" i="2" s="1"/>
  <c r="T220" i="2" s="1"/>
  <c r="T221" i="2" s="1"/>
  <c r="T222" i="2" s="1"/>
  <c r="T223" i="2" s="1"/>
  <c r="T224" i="2" s="1"/>
  <c r="T225" i="2" s="1"/>
  <c r="T226" i="2" s="1"/>
  <c r="T227" i="2" s="1"/>
  <c r="T228" i="2" s="1"/>
  <c r="T229" i="2" s="1"/>
  <c r="T230" i="2" s="1"/>
  <c r="T231" i="2" s="1"/>
  <c r="T232" i="2" s="1"/>
  <c r="T233" i="2" s="1"/>
  <c r="T234" i="2" s="1"/>
  <c r="T235" i="2" s="1"/>
  <c r="T236" i="2" s="1"/>
  <c r="T237" i="2" s="1"/>
  <c r="T238" i="2" s="1"/>
  <c r="T239" i="2" s="1"/>
  <c r="T240" i="2" s="1"/>
  <c r="T241" i="2" s="1"/>
  <c r="T242" i="2" s="1"/>
  <c r="T243" i="2" s="1"/>
  <c r="T244" i="2" s="1"/>
  <c r="T245" i="2" s="1"/>
  <c r="T246" i="2" s="1"/>
  <c r="T247" i="2" s="1"/>
  <c r="T248" i="2" s="1"/>
  <c r="T249" i="2" s="1"/>
  <c r="T250" i="2" s="1"/>
  <c r="T251" i="2" s="1"/>
  <c r="T252" i="2" s="1"/>
  <c r="T253" i="2" s="1"/>
  <c r="T254" i="2" s="1"/>
  <c r="T255" i="2" s="1"/>
  <c r="T256" i="2" s="1"/>
  <c r="T257" i="2" s="1"/>
  <c r="T258" i="2" s="1"/>
  <c r="T259" i="2" s="1"/>
  <c r="T260" i="2" s="1"/>
  <c r="T261" i="2" s="1"/>
  <c r="T262" i="2" s="1"/>
  <c r="T263" i="2" s="1"/>
  <c r="T264" i="2" s="1"/>
  <c r="T265" i="2" s="1"/>
  <c r="T266" i="2" s="1"/>
  <c r="T267" i="2" s="1"/>
  <c r="T268" i="2" s="1"/>
  <c r="T269" i="2" s="1"/>
  <c r="T270" i="2" s="1"/>
  <c r="T271" i="2" s="1"/>
  <c r="T272" i="2" s="1"/>
  <c r="T273" i="2" s="1"/>
  <c r="T274" i="2" s="1"/>
  <c r="T275" i="2" s="1"/>
  <c r="T276" i="2" s="1"/>
  <c r="T277" i="2" s="1"/>
  <c r="T278" i="2" s="1"/>
  <c r="T279" i="2" s="1"/>
  <c r="T280" i="2" s="1"/>
  <c r="T281" i="2" s="1"/>
  <c r="T282" i="2" s="1"/>
  <c r="T283" i="2" s="1"/>
  <c r="T284" i="2" s="1"/>
  <c r="T285" i="2" s="1"/>
  <c r="T286" i="2" s="1"/>
  <c r="T287" i="2" s="1"/>
  <c r="T288" i="2" s="1"/>
  <c r="T289" i="2" s="1"/>
  <c r="T290" i="2" s="1"/>
  <c r="T291" i="2" s="1"/>
  <c r="T292" i="2" s="1"/>
  <c r="T293" i="2" s="1"/>
  <c r="T294" i="2" s="1"/>
  <c r="T295" i="2" s="1"/>
  <c r="T296" i="2" s="1"/>
  <c r="T297" i="2" s="1"/>
  <c r="T298" i="2" s="1"/>
  <c r="T299" i="2" s="1"/>
  <c r="T300" i="2" s="1"/>
  <c r="T301" i="2" s="1"/>
  <c r="T302" i="2" s="1"/>
  <c r="T303" i="2" s="1"/>
  <c r="T304" i="2" s="1"/>
  <c r="T305" i="2" s="1"/>
  <c r="T306" i="2" s="1"/>
  <c r="T307" i="2" s="1"/>
  <c r="T308" i="2" s="1"/>
  <c r="T309" i="2" s="1"/>
  <c r="T310" i="2" s="1"/>
  <c r="T311" i="2" s="1"/>
  <c r="T312" i="2" s="1"/>
  <c r="T313" i="2" s="1"/>
  <c r="T314" i="2" s="1"/>
  <c r="T315" i="2" s="1"/>
  <c r="T316" i="2" s="1"/>
  <c r="T317" i="2" s="1"/>
  <c r="T318" i="2" s="1"/>
  <c r="T319" i="2" s="1"/>
  <c r="T320" i="2" s="1"/>
  <c r="T321" i="2" s="1"/>
  <c r="T322" i="2" s="1"/>
  <c r="T323" i="2" s="1"/>
  <c r="T324" i="2" s="1"/>
  <c r="T325" i="2" s="1"/>
  <c r="T326" i="2" s="1"/>
  <c r="T327" i="2" s="1"/>
  <c r="T328" i="2" s="1"/>
  <c r="T329" i="2" s="1"/>
  <c r="T330" i="2" s="1"/>
  <c r="T331" i="2" s="1"/>
  <c r="T332" i="2" s="1"/>
  <c r="T333" i="2" s="1"/>
  <c r="T334" i="2" s="1"/>
  <c r="T335" i="2" s="1"/>
  <c r="T336" i="2" s="1"/>
  <c r="T337" i="2" s="1"/>
  <c r="T338" i="2" s="1"/>
  <c r="T339" i="2" s="1"/>
  <c r="T340" i="2" s="1"/>
  <c r="T341" i="2" s="1"/>
  <c r="T342" i="2" s="1"/>
  <c r="T343" i="2" s="1"/>
  <c r="T344" i="2" s="1"/>
  <c r="T345" i="2" s="1"/>
  <c r="T346" i="2" s="1"/>
  <c r="T347" i="2" s="1"/>
  <c r="T348" i="2" s="1"/>
  <c r="T349" i="2" s="1"/>
  <c r="T350" i="2" s="1"/>
  <c r="T351" i="2" s="1"/>
  <c r="T352" i="2" s="1"/>
  <c r="T353" i="2" s="1"/>
  <c r="T354" i="2" s="1"/>
  <c r="T355" i="2" s="1"/>
  <c r="T356" i="2" s="1"/>
  <c r="T357" i="2" s="1"/>
  <c r="T358" i="2" s="1"/>
  <c r="T359" i="2" s="1"/>
  <c r="T360" i="2" s="1"/>
  <c r="T361" i="2" s="1"/>
  <c r="T362" i="2" s="1"/>
  <c r="T363" i="2" s="1"/>
  <c r="T364" i="2" s="1"/>
  <c r="T365" i="2" s="1"/>
  <c r="T366" i="2" s="1"/>
  <c r="T367" i="2" s="1"/>
  <c r="T368" i="2" s="1"/>
  <c r="U4" i="2"/>
  <c r="V4" i="2"/>
  <c r="V5" i="2" s="1"/>
  <c r="V6" i="2" s="1"/>
  <c r="V7" i="2" s="1"/>
  <c r="V8" i="2" s="1"/>
  <c r="V9" i="2" s="1"/>
  <c r="V10" i="2" s="1"/>
  <c r="V11" i="2" s="1"/>
  <c r="V12" i="2" s="1"/>
  <c r="V13" i="2" s="1"/>
  <c r="V14" i="2" s="1"/>
  <c r="V15" i="2" s="1"/>
  <c r="V16" i="2" s="1"/>
  <c r="V17" i="2" s="1"/>
  <c r="V18" i="2" s="1"/>
  <c r="V19" i="2" s="1"/>
  <c r="V20" i="2" s="1"/>
  <c r="V21" i="2" s="1"/>
  <c r="V22" i="2" s="1"/>
  <c r="V23" i="2" s="1"/>
  <c r="V24" i="2" s="1"/>
  <c r="V25" i="2" s="1"/>
  <c r="V26" i="2" s="1"/>
  <c r="V27" i="2" s="1"/>
  <c r="V28" i="2" s="1"/>
  <c r="V29" i="2" s="1"/>
  <c r="V30" i="2" s="1"/>
  <c r="V31" i="2" s="1"/>
  <c r="V32" i="2" s="1"/>
  <c r="V33" i="2" s="1"/>
  <c r="V34" i="2" s="1"/>
  <c r="V35" i="2" s="1"/>
  <c r="V36" i="2" s="1"/>
  <c r="V37" i="2" s="1"/>
  <c r="V38" i="2" s="1"/>
  <c r="V39" i="2" s="1"/>
  <c r="V40" i="2" s="1"/>
  <c r="V41" i="2" s="1"/>
  <c r="V42" i="2" s="1"/>
  <c r="V43" i="2" s="1"/>
  <c r="V44" i="2" s="1"/>
  <c r="V45" i="2" s="1"/>
  <c r="V46" i="2" s="1"/>
  <c r="V47" i="2" s="1"/>
  <c r="V48" i="2" s="1"/>
  <c r="V49" i="2" s="1"/>
  <c r="V50" i="2" s="1"/>
  <c r="V51" i="2" s="1"/>
  <c r="V52" i="2" s="1"/>
  <c r="V53" i="2" s="1"/>
  <c r="V54" i="2" s="1"/>
  <c r="V55" i="2" s="1"/>
  <c r="V56" i="2" s="1"/>
  <c r="V57" i="2" s="1"/>
  <c r="V58" i="2" s="1"/>
  <c r="V59" i="2" s="1"/>
  <c r="V60" i="2" s="1"/>
  <c r="V61" i="2" s="1"/>
  <c r="V62" i="2" s="1"/>
  <c r="V63" i="2" s="1"/>
  <c r="V64" i="2" s="1"/>
  <c r="V65" i="2" s="1"/>
  <c r="V66" i="2" s="1"/>
  <c r="V67" i="2" s="1"/>
  <c r="V68" i="2" s="1"/>
  <c r="V69" i="2" s="1"/>
  <c r="V70" i="2" s="1"/>
  <c r="V71" i="2" s="1"/>
  <c r="V72" i="2" s="1"/>
  <c r="V73" i="2" s="1"/>
  <c r="V74" i="2" s="1"/>
  <c r="V75" i="2" s="1"/>
  <c r="V76" i="2" s="1"/>
  <c r="V77" i="2" s="1"/>
  <c r="V78" i="2" s="1"/>
  <c r="V79" i="2" s="1"/>
  <c r="V80" i="2" s="1"/>
  <c r="V81" i="2" s="1"/>
  <c r="V82" i="2" s="1"/>
  <c r="V83" i="2" s="1"/>
  <c r="V84" i="2" s="1"/>
  <c r="V85" i="2" s="1"/>
  <c r="V86" i="2" s="1"/>
  <c r="V87" i="2" s="1"/>
  <c r="V88" i="2" s="1"/>
  <c r="V89" i="2" s="1"/>
  <c r="V90" i="2" s="1"/>
  <c r="V91" i="2" s="1"/>
  <c r="V92" i="2" s="1"/>
  <c r="V93" i="2" s="1"/>
  <c r="V94" i="2" s="1"/>
  <c r="V95" i="2" s="1"/>
  <c r="V96" i="2" s="1"/>
  <c r="V97" i="2" s="1"/>
  <c r="V98" i="2" s="1"/>
  <c r="V99" i="2" s="1"/>
  <c r="V100" i="2" s="1"/>
  <c r="V101" i="2" s="1"/>
  <c r="V102" i="2" s="1"/>
  <c r="V103" i="2" s="1"/>
  <c r="V104" i="2" s="1"/>
  <c r="V105" i="2" s="1"/>
  <c r="V106" i="2" s="1"/>
  <c r="V107" i="2" s="1"/>
  <c r="V108" i="2" s="1"/>
  <c r="V109" i="2" s="1"/>
  <c r="V110" i="2" s="1"/>
  <c r="V111" i="2" s="1"/>
  <c r="V112" i="2" s="1"/>
  <c r="V113" i="2" s="1"/>
  <c r="V114" i="2" s="1"/>
  <c r="V115" i="2" s="1"/>
  <c r="V116" i="2" s="1"/>
  <c r="V117" i="2" s="1"/>
  <c r="V118" i="2" s="1"/>
  <c r="V119" i="2" s="1"/>
  <c r="V120" i="2" s="1"/>
  <c r="V121" i="2" s="1"/>
  <c r="V122" i="2" s="1"/>
  <c r="V123" i="2" s="1"/>
  <c r="V124" i="2" s="1"/>
  <c r="V125" i="2" s="1"/>
  <c r="V126" i="2" s="1"/>
  <c r="V127" i="2" s="1"/>
  <c r="V128" i="2" s="1"/>
  <c r="V129" i="2" s="1"/>
  <c r="V130" i="2" s="1"/>
  <c r="V131" i="2" s="1"/>
  <c r="V132" i="2" s="1"/>
  <c r="V133" i="2" s="1"/>
  <c r="V134" i="2" s="1"/>
  <c r="V135" i="2" s="1"/>
  <c r="V136" i="2" s="1"/>
  <c r="V137" i="2" s="1"/>
  <c r="V138" i="2" s="1"/>
  <c r="V139" i="2" s="1"/>
  <c r="V140" i="2" s="1"/>
  <c r="V141" i="2" s="1"/>
  <c r="V142" i="2" s="1"/>
  <c r="V143" i="2" s="1"/>
  <c r="V144" i="2" s="1"/>
  <c r="V145" i="2" s="1"/>
  <c r="V146" i="2" s="1"/>
  <c r="V147" i="2" s="1"/>
  <c r="V148" i="2" s="1"/>
  <c r="V149" i="2" s="1"/>
  <c r="V150" i="2" s="1"/>
  <c r="V151" i="2" s="1"/>
  <c r="V152" i="2" s="1"/>
  <c r="V153" i="2" s="1"/>
  <c r="V154" i="2" s="1"/>
  <c r="V155" i="2" s="1"/>
  <c r="V156" i="2" s="1"/>
  <c r="V157" i="2" s="1"/>
  <c r="V158" i="2" s="1"/>
  <c r="V159" i="2" s="1"/>
  <c r="V160" i="2" s="1"/>
  <c r="V161" i="2" s="1"/>
  <c r="V162" i="2" s="1"/>
  <c r="V163" i="2" s="1"/>
  <c r="V164" i="2" s="1"/>
  <c r="V165" i="2" s="1"/>
  <c r="V166" i="2" s="1"/>
  <c r="V167" i="2" s="1"/>
  <c r="V168" i="2" s="1"/>
  <c r="V169" i="2" s="1"/>
  <c r="V170" i="2" s="1"/>
  <c r="V171" i="2" s="1"/>
  <c r="V172" i="2" s="1"/>
  <c r="V173" i="2" s="1"/>
  <c r="V174" i="2" s="1"/>
  <c r="V175" i="2" s="1"/>
  <c r="V176" i="2" s="1"/>
  <c r="V177" i="2" s="1"/>
  <c r="V178" i="2" s="1"/>
  <c r="V179" i="2" s="1"/>
  <c r="V180" i="2" s="1"/>
  <c r="V181" i="2" s="1"/>
  <c r="V182" i="2" s="1"/>
  <c r="V183" i="2" s="1"/>
  <c r="V184" i="2" s="1"/>
  <c r="V185" i="2" s="1"/>
  <c r="V186" i="2" s="1"/>
  <c r="V187" i="2" s="1"/>
  <c r="V188" i="2" s="1"/>
  <c r="V189" i="2" s="1"/>
  <c r="V190" i="2" s="1"/>
  <c r="V191" i="2" s="1"/>
  <c r="V192" i="2" s="1"/>
  <c r="V193" i="2" s="1"/>
  <c r="V194" i="2" s="1"/>
  <c r="V195" i="2" s="1"/>
  <c r="V196" i="2" s="1"/>
  <c r="V197" i="2" s="1"/>
  <c r="V198" i="2" s="1"/>
  <c r="V199" i="2" s="1"/>
  <c r="V200" i="2" s="1"/>
  <c r="V201" i="2" s="1"/>
  <c r="V202" i="2" s="1"/>
  <c r="V203" i="2" s="1"/>
  <c r="V204" i="2" s="1"/>
  <c r="V205" i="2" s="1"/>
  <c r="V206" i="2" s="1"/>
  <c r="V207" i="2" s="1"/>
  <c r="V208" i="2" s="1"/>
  <c r="V209" i="2" s="1"/>
  <c r="V210" i="2" s="1"/>
  <c r="V211" i="2" s="1"/>
  <c r="V212" i="2" s="1"/>
  <c r="V213" i="2" s="1"/>
  <c r="V214" i="2" s="1"/>
  <c r="V215" i="2" s="1"/>
  <c r="V216" i="2" s="1"/>
  <c r="V217" i="2" s="1"/>
  <c r="V218" i="2" s="1"/>
  <c r="V219" i="2" s="1"/>
  <c r="V220" i="2" s="1"/>
  <c r="V221" i="2" s="1"/>
  <c r="V222" i="2" s="1"/>
  <c r="V223" i="2" s="1"/>
  <c r="V224" i="2" s="1"/>
  <c r="V225" i="2" s="1"/>
  <c r="V226" i="2" s="1"/>
  <c r="V227" i="2" s="1"/>
  <c r="V228" i="2" s="1"/>
  <c r="V229" i="2" s="1"/>
  <c r="V230" i="2" s="1"/>
  <c r="V231" i="2" s="1"/>
  <c r="V232" i="2" s="1"/>
  <c r="V233" i="2" s="1"/>
  <c r="V234" i="2" s="1"/>
  <c r="V235" i="2" s="1"/>
  <c r="V236" i="2" s="1"/>
  <c r="V237" i="2" s="1"/>
  <c r="V238" i="2" s="1"/>
  <c r="V239" i="2" s="1"/>
  <c r="V240" i="2" s="1"/>
  <c r="V241" i="2" s="1"/>
  <c r="V242" i="2" s="1"/>
  <c r="V243" i="2" s="1"/>
  <c r="V244" i="2" s="1"/>
  <c r="V245" i="2" s="1"/>
  <c r="V246" i="2" s="1"/>
  <c r="V247" i="2" s="1"/>
  <c r="V248" i="2" s="1"/>
  <c r="V249" i="2" s="1"/>
  <c r="V250" i="2" s="1"/>
  <c r="V251" i="2" s="1"/>
  <c r="V252" i="2" s="1"/>
  <c r="V253" i="2" s="1"/>
  <c r="V254" i="2" s="1"/>
  <c r="V255" i="2" s="1"/>
  <c r="V256" i="2" s="1"/>
  <c r="V257" i="2" s="1"/>
  <c r="V258" i="2" s="1"/>
  <c r="V259" i="2" s="1"/>
  <c r="V260" i="2" s="1"/>
  <c r="V261" i="2" s="1"/>
  <c r="V262" i="2" s="1"/>
  <c r="V263" i="2" s="1"/>
  <c r="V264" i="2" s="1"/>
  <c r="V265" i="2" s="1"/>
  <c r="V266" i="2" s="1"/>
  <c r="V267" i="2" s="1"/>
  <c r="V268" i="2" s="1"/>
  <c r="V269" i="2" s="1"/>
  <c r="V270" i="2" s="1"/>
  <c r="V271" i="2" s="1"/>
  <c r="V272" i="2" s="1"/>
  <c r="V273" i="2" s="1"/>
  <c r="V274" i="2" s="1"/>
  <c r="V275" i="2" s="1"/>
  <c r="V276" i="2" s="1"/>
  <c r="V277" i="2" s="1"/>
  <c r="V278" i="2" s="1"/>
  <c r="V279" i="2" s="1"/>
  <c r="V280" i="2" s="1"/>
  <c r="V281" i="2" s="1"/>
  <c r="V282" i="2" s="1"/>
  <c r="V283" i="2" s="1"/>
  <c r="V284" i="2" s="1"/>
  <c r="V285" i="2" s="1"/>
  <c r="V286" i="2" s="1"/>
  <c r="V287" i="2" s="1"/>
  <c r="V288" i="2" s="1"/>
  <c r="V289" i="2" s="1"/>
  <c r="V290" i="2" s="1"/>
  <c r="V291" i="2" s="1"/>
  <c r="V292" i="2" s="1"/>
  <c r="V293" i="2" s="1"/>
  <c r="V294" i="2" s="1"/>
  <c r="V295" i="2" s="1"/>
  <c r="V296" i="2" s="1"/>
  <c r="V297" i="2" s="1"/>
  <c r="V298" i="2" s="1"/>
  <c r="V299" i="2" s="1"/>
  <c r="V300" i="2" s="1"/>
  <c r="V301" i="2" s="1"/>
  <c r="V302" i="2" s="1"/>
  <c r="V303" i="2" s="1"/>
  <c r="V304" i="2" s="1"/>
  <c r="V305" i="2" s="1"/>
  <c r="V306" i="2" s="1"/>
  <c r="V307" i="2" s="1"/>
  <c r="V308" i="2" s="1"/>
  <c r="V309" i="2" s="1"/>
  <c r="V310" i="2" s="1"/>
  <c r="V311" i="2" s="1"/>
  <c r="V312" i="2" s="1"/>
  <c r="V313" i="2" s="1"/>
  <c r="V314" i="2" s="1"/>
  <c r="V315" i="2" s="1"/>
  <c r="V316" i="2" s="1"/>
  <c r="V317" i="2" s="1"/>
  <c r="V318" i="2" s="1"/>
  <c r="V319" i="2" s="1"/>
  <c r="V320" i="2" s="1"/>
  <c r="V321" i="2" s="1"/>
  <c r="V322" i="2" s="1"/>
  <c r="V323" i="2" s="1"/>
  <c r="V324" i="2" s="1"/>
  <c r="V325" i="2" s="1"/>
  <c r="V326" i="2" s="1"/>
  <c r="V327" i="2" s="1"/>
  <c r="V328" i="2" s="1"/>
  <c r="V329" i="2" s="1"/>
  <c r="V330" i="2" s="1"/>
  <c r="V331" i="2" s="1"/>
  <c r="V332" i="2" s="1"/>
  <c r="V333" i="2" s="1"/>
  <c r="V334" i="2" s="1"/>
  <c r="V335" i="2" s="1"/>
  <c r="V336" i="2" s="1"/>
  <c r="V337" i="2" s="1"/>
  <c r="V338" i="2" s="1"/>
  <c r="V339" i="2" s="1"/>
  <c r="V340" i="2" s="1"/>
  <c r="V341" i="2" s="1"/>
  <c r="V342" i="2" s="1"/>
  <c r="V343" i="2" s="1"/>
  <c r="V344" i="2" s="1"/>
  <c r="V345" i="2" s="1"/>
  <c r="V346" i="2" s="1"/>
  <c r="V347" i="2" s="1"/>
  <c r="V348" i="2" s="1"/>
  <c r="V349" i="2" s="1"/>
  <c r="V350" i="2" s="1"/>
  <c r="V351" i="2" s="1"/>
  <c r="V352" i="2" s="1"/>
  <c r="V353" i="2" s="1"/>
  <c r="V354" i="2" s="1"/>
  <c r="V355" i="2" s="1"/>
  <c r="V356" i="2" s="1"/>
  <c r="V357" i="2" s="1"/>
  <c r="V358" i="2" s="1"/>
  <c r="V359" i="2" s="1"/>
  <c r="V360" i="2" s="1"/>
  <c r="V361" i="2" s="1"/>
  <c r="V362" i="2" s="1"/>
  <c r="V363" i="2" s="1"/>
  <c r="V364" i="2" s="1"/>
  <c r="V365" i="2" s="1"/>
  <c r="V366" i="2" s="1"/>
  <c r="V367" i="2" s="1"/>
  <c r="V368" i="2" s="1"/>
  <c r="W3" i="15"/>
  <c r="X3" i="15"/>
  <c r="Y3" i="15"/>
  <c r="Z3" i="15"/>
  <c r="AA3" i="15"/>
  <c r="T4" i="15"/>
  <c r="T5" i="15" s="1"/>
  <c r="T6" i="15" s="1"/>
  <c r="T7" i="15" s="1"/>
  <c r="T8" i="15" s="1"/>
  <c r="T9" i="15" s="1"/>
  <c r="T10" i="15" s="1"/>
  <c r="T11" i="15" s="1"/>
  <c r="T12" i="15" s="1"/>
  <c r="T13" i="15" s="1"/>
  <c r="T14" i="15" s="1"/>
  <c r="T15" i="15" s="1"/>
  <c r="T16" i="15" s="1"/>
  <c r="T17" i="15" s="1"/>
  <c r="T18" i="15" s="1"/>
  <c r="T19" i="15" s="1"/>
  <c r="T20" i="15" s="1"/>
  <c r="T21" i="15" s="1"/>
  <c r="T22" i="15" s="1"/>
  <c r="T23" i="15" s="1"/>
  <c r="T24" i="15" s="1"/>
  <c r="T25" i="15" s="1"/>
  <c r="T26" i="15" s="1"/>
  <c r="T27" i="15" s="1"/>
  <c r="T28" i="15" s="1"/>
  <c r="T29" i="15" s="1"/>
  <c r="T30" i="15" s="1"/>
  <c r="T31" i="15" s="1"/>
  <c r="T32" i="15" s="1"/>
  <c r="T33" i="15" s="1"/>
  <c r="T34" i="15" s="1"/>
  <c r="T35" i="15" s="1"/>
  <c r="T36" i="15" s="1"/>
  <c r="T37" i="15" s="1"/>
  <c r="T38" i="15" s="1"/>
  <c r="T39" i="15" s="1"/>
  <c r="T40" i="15" s="1"/>
  <c r="T41" i="15" s="1"/>
  <c r="T42" i="15" s="1"/>
  <c r="T43" i="15" s="1"/>
  <c r="T44" i="15" s="1"/>
  <c r="T45" i="15" s="1"/>
  <c r="T46" i="15" s="1"/>
  <c r="T47" i="15" s="1"/>
  <c r="T48" i="15" s="1"/>
  <c r="T49" i="15" s="1"/>
  <c r="T50" i="15" s="1"/>
  <c r="T51" i="15" s="1"/>
  <c r="T52" i="15" s="1"/>
  <c r="T53" i="15" s="1"/>
  <c r="T54" i="15" s="1"/>
  <c r="T55" i="15" s="1"/>
  <c r="T56" i="15" s="1"/>
  <c r="T57" i="15" s="1"/>
  <c r="T58" i="15" s="1"/>
  <c r="T59" i="15" s="1"/>
  <c r="T60" i="15" s="1"/>
  <c r="T61" i="15" s="1"/>
  <c r="T62" i="15" s="1"/>
  <c r="T63" i="15" s="1"/>
  <c r="T64" i="15" s="1"/>
  <c r="T65" i="15" s="1"/>
  <c r="T66" i="15" s="1"/>
  <c r="T67" i="15" s="1"/>
  <c r="T68" i="15" s="1"/>
  <c r="T69" i="15" s="1"/>
  <c r="T70" i="15" s="1"/>
  <c r="T71" i="15" s="1"/>
  <c r="T72" i="15" s="1"/>
  <c r="T73" i="15" s="1"/>
  <c r="T74" i="15" s="1"/>
  <c r="T75" i="15" s="1"/>
  <c r="T76" i="15" s="1"/>
  <c r="T77" i="15" s="1"/>
  <c r="T78" i="15" s="1"/>
  <c r="T79" i="15" s="1"/>
  <c r="T80" i="15" s="1"/>
  <c r="T81" i="15" s="1"/>
  <c r="T82" i="15" s="1"/>
  <c r="T83" i="15" s="1"/>
  <c r="T84" i="15" s="1"/>
  <c r="T85" i="15" s="1"/>
  <c r="T86" i="15" s="1"/>
  <c r="T87" i="15" s="1"/>
  <c r="T88" i="15" s="1"/>
  <c r="T89" i="15" s="1"/>
  <c r="T90" i="15" s="1"/>
  <c r="T91" i="15" s="1"/>
  <c r="T92" i="15" s="1"/>
  <c r="T93" i="15" s="1"/>
  <c r="T94" i="15" s="1"/>
  <c r="T95" i="15" s="1"/>
  <c r="T96" i="15" s="1"/>
  <c r="T97" i="15" s="1"/>
  <c r="T98" i="15" s="1"/>
  <c r="T99" i="15" s="1"/>
  <c r="T100" i="15" s="1"/>
  <c r="T101" i="15" s="1"/>
  <c r="T102" i="15" s="1"/>
  <c r="T103" i="15" s="1"/>
  <c r="T104" i="15" s="1"/>
  <c r="T105" i="15" s="1"/>
  <c r="T106" i="15" s="1"/>
  <c r="T107" i="15" s="1"/>
  <c r="T108" i="15" s="1"/>
  <c r="T109" i="15" s="1"/>
  <c r="T110" i="15" s="1"/>
  <c r="T111" i="15" s="1"/>
  <c r="T112" i="15" s="1"/>
  <c r="T113" i="15" s="1"/>
  <c r="T114" i="15" s="1"/>
  <c r="T115" i="15" s="1"/>
  <c r="T116" i="15" s="1"/>
  <c r="T117" i="15" s="1"/>
  <c r="T118" i="15" s="1"/>
  <c r="T119" i="15" s="1"/>
  <c r="T120" i="15" s="1"/>
  <c r="T121" i="15" s="1"/>
  <c r="T122" i="15" s="1"/>
  <c r="T123" i="15" s="1"/>
  <c r="T124" i="15" s="1"/>
  <c r="T125" i="15" s="1"/>
  <c r="T126" i="15" s="1"/>
  <c r="T127" i="15" s="1"/>
  <c r="T128" i="15" s="1"/>
  <c r="T129" i="15" s="1"/>
  <c r="T130" i="15" s="1"/>
  <c r="T131" i="15" s="1"/>
  <c r="T132" i="15" s="1"/>
  <c r="T133" i="15" s="1"/>
  <c r="T134" i="15" s="1"/>
  <c r="T135" i="15" s="1"/>
  <c r="T136" i="15" s="1"/>
  <c r="T137" i="15" s="1"/>
  <c r="T138" i="15" s="1"/>
  <c r="T139" i="15" s="1"/>
  <c r="T140" i="15" s="1"/>
  <c r="T141" i="15" s="1"/>
  <c r="T142" i="15" s="1"/>
  <c r="T143" i="15" s="1"/>
  <c r="T144" i="15" s="1"/>
  <c r="T145" i="15" s="1"/>
  <c r="T146" i="15" s="1"/>
  <c r="T147" i="15" s="1"/>
  <c r="T148" i="15" s="1"/>
  <c r="T149" i="15" s="1"/>
  <c r="T150" i="15" s="1"/>
  <c r="T151" i="15" s="1"/>
  <c r="T152" i="15" s="1"/>
  <c r="T153" i="15" s="1"/>
  <c r="T154" i="15" s="1"/>
  <c r="T155" i="15" s="1"/>
  <c r="T156" i="15" s="1"/>
  <c r="T157" i="15" s="1"/>
  <c r="T158" i="15" s="1"/>
  <c r="T159" i="15" s="1"/>
  <c r="T160" i="15" s="1"/>
  <c r="T161" i="15" s="1"/>
  <c r="T162" i="15" s="1"/>
  <c r="T163" i="15" s="1"/>
  <c r="T164" i="15" s="1"/>
  <c r="T165" i="15" s="1"/>
  <c r="T166" i="15" s="1"/>
  <c r="T167" i="15" s="1"/>
  <c r="T168" i="15" s="1"/>
  <c r="T169" i="15" s="1"/>
  <c r="T170" i="15" s="1"/>
  <c r="T171" i="15" s="1"/>
  <c r="T172" i="15" s="1"/>
  <c r="T173" i="15" s="1"/>
  <c r="T174" i="15" s="1"/>
  <c r="T175" i="15" s="1"/>
  <c r="T176" i="15" s="1"/>
  <c r="T177" i="15" s="1"/>
  <c r="T178" i="15" s="1"/>
  <c r="T179" i="15" s="1"/>
  <c r="T180" i="15" s="1"/>
  <c r="T181" i="15" s="1"/>
  <c r="T182" i="15" s="1"/>
  <c r="T183" i="15" s="1"/>
  <c r="T184" i="15" s="1"/>
  <c r="T185" i="15" s="1"/>
  <c r="T186" i="15" s="1"/>
  <c r="T187" i="15" s="1"/>
  <c r="T188" i="15" s="1"/>
  <c r="T189" i="15" s="1"/>
  <c r="T190" i="15" s="1"/>
  <c r="T191" i="15" s="1"/>
  <c r="T192" i="15" s="1"/>
  <c r="T193" i="15" s="1"/>
  <c r="T194" i="15" s="1"/>
  <c r="T195" i="15" s="1"/>
  <c r="T196" i="15" s="1"/>
  <c r="T197" i="15" s="1"/>
  <c r="T198" i="15" s="1"/>
  <c r="T199" i="15" s="1"/>
  <c r="T200" i="15" s="1"/>
  <c r="T201" i="15" s="1"/>
  <c r="T202" i="15" s="1"/>
  <c r="T203" i="15" s="1"/>
  <c r="T204" i="15" s="1"/>
  <c r="T205" i="15" s="1"/>
  <c r="T206" i="15" s="1"/>
  <c r="T207" i="15" s="1"/>
  <c r="T208" i="15" s="1"/>
  <c r="T209" i="15" s="1"/>
  <c r="T210" i="15" s="1"/>
  <c r="T211" i="15" s="1"/>
  <c r="T212" i="15" s="1"/>
  <c r="T213" i="15" s="1"/>
  <c r="T214" i="15" s="1"/>
  <c r="T215" i="15" s="1"/>
  <c r="T216" i="15" s="1"/>
  <c r="T217" i="15" s="1"/>
  <c r="T218" i="15" s="1"/>
  <c r="T219" i="15" s="1"/>
  <c r="T220" i="15" s="1"/>
  <c r="T221" i="15" s="1"/>
  <c r="T222" i="15" s="1"/>
  <c r="T223" i="15" s="1"/>
  <c r="T224" i="15" s="1"/>
  <c r="T225" i="15" s="1"/>
  <c r="T226" i="15" s="1"/>
  <c r="T227" i="15" s="1"/>
  <c r="T228" i="15" s="1"/>
  <c r="T229" i="15" s="1"/>
  <c r="T230" i="15" s="1"/>
  <c r="T231" i="15" s="1"/>
  <c r="T232" i="15" s="1"/>
  <c r="T233" i="15" s="1"/>
  <c r="T234" i="15" s="1"/>
  <c r="T235" i="15" s="1"/>
  <c r="T236" i="15" s="1"/>
  <c r="T237" i="15" s="1"/>
  <c r="T238" i="15" s="1"/>
  <c r="T239" i="15" s="1"/>
  <c r="T240" i="15" s="1"/>
  <c r="T241" i="15" s="1"/>
  <c r="T242" i="15" s="1"/>
  <c r="T243" i="15" s="1"/>
  <c r="T244" i="15" s="1"/>
  <c r="T245" i="15" s="1"/>
  <c r="T246" i="15" s="1"/>
  <c r="T247" i="15" s="1"/>
  <c r="T248" i="15" s="1"/>
  <c r="T249" i="15" s="1"/>
  <c r="T250" i="15" s="1"/>
  <c r="T251" i="15" s="1"/>
  <c r="T252" i="15" s="1"/>
  <c r="T253" i="15" s="1"/>
  <c r="T254" i="15" s="1"/>
  <c r="T255" i="15" s="1"/>
  <c r="T256" i="15" s="1"/>
  <c r="T257" i="15" s="1"/>
  <c r="T258" i="15" s="1"/>
  <c r="T259" i="15" s="1"/>
  <c r="T260" i="15" s="1"/>
  <c r="T261" i="15" s="1"/>
  <c r="T262" i="15" s="1"/>
  <c r="T263" i="15" s="1"/>
  <c r="T264" i="15" s="1"/>
  <c r="T265" i="15" s="1"/>
  <c r="T266" i="15" s="1"/>
  <c r="T267" i="15" s="1"/>
  <c r="T268" i="15" s="1"/>
  <c r="T269" i="15" s="1"/>
  <c r="T270" i="15" s="1"/>
  <c r="T271" i="15" s="1"/>
  <c r="T272" i="15" s="1"/>
  <c r="T273" i="15" s="1"/>
  <c r="T274" i="15" s="1"/>
  <c r="T275" i="15" s="1"/>
  <c r="T276" i="15" s="1"/>
  <c r="T277" i="15" s="1"/>
  <c r="T278" i="15" s="1"/>
  <c r="T279" i="15" s="1"/>
  <c r="T280" i="15" s="1"/>
  <c r="T281" i="15" s="1"/>
  <c r="T282" i="15" s="1"/>
  <c r="T283" i="15" s="1"/>
  <c r="T284" i="15" s="1"/>
  <c r="T285" i="15" s="1"/>
  <c r="T286" i="15" s="1"/>
  <c r="T287" i="15" s="1"/>
  <c r="T288" i="15" s="1"/>
  <c r="T289" i="15" s="1"/>
  <c r="T290" i="15" s="1"/>
  <c r="T291" i="15" s="1"/>
  <c r="T292" i="15" s="1"/>
  <c r="T293" i="15" s="1"/>
  <c r="T294" i="15" s="1"/>
  <c r="T295" i="15" s="1"/>
  <c r="T296" i="15" s="1"/>
  <c r="T297" i="15" s="1"/>
  <c r="T298" i="15" s="1"/>
  <c r="T299" i="15" s="1"/>
  <c r="T300" i="15" s="1"/>
  <c r="T301" i="15" s="1"/>
  <c r="T302" i="15" s="1"/>
  <c r="T303" i="15" s="1"/>
  <c r="T304" i="15" s="1"/>
  <c r="T305" i="15" s="1"/>
  <c r="T306" i="15" s="1"/>
  <c r="T307" i="15" s="1"/>
  <c r="T308" i="15" s="1"/>
  <c r="T309" i="15" s="1"/>
  <c r="T310" i="15" s="1"/>
  <c r="T311" i="15" s="1"/>
  <c r="T312" i="15" s="1"/>
  <c r="T313" i="15" s="1"/>
  <c r="T314" i="15" s="1"/>
  <c r="T315" i="15" s="1"/>
  <c r="T316" i="15" s="1"/>
  <c r="T317" i="15" s="1"/>
  <c r="T318" i="15" s="1"/>
  <c r="T319" i="15" s="1"/>
  <c r="T320" i="15" s="1"/>
  <c r="T321" i="15" s="1"/>
  <c r="T322" i="15" s="1"/>
  <c r="T323" i="15" s="1"/>
  <c r="T324" i="15" s="1"/>
  <c r="T325" i="15" s="1"/>
  <c r="T326" i="15" s="1"/>
  <c r="T327" i="15" s="1"/>
  <c r="T328" i="15" s="1"/>
  <c r="T329" i="15" s="1"/>
  <c r="T330" i="15" s="1"/>
  <c r="T331" i="15" s="1"/>
  <c r="T332" i="15" s="1"/>
  <c r="T333" i="15" s="1"/>
  <c r="T334" i="15" s="1"/>
  <c r="T335" i="15" s="1"/>
  <c r="T336" i="15" s="1"/>
  <c r="T337" i="15" s="1"/>
  <c r="T338" i="15" s="1"/>
  <c r="T339" i="15" s="1"/>
  <c r="T340" i="15" s="1"/>
  <c r="T341" i="15" s="1"/>
  <c r="T342" i="15" s="1"/>
  <c r="T343" i="15" s="1"/>
  <c r="T344" i="15" s="1"/>
  <c r="T345" i="15" s="1"/>
  <c r="T346" i="15" s="1"/>
  <c r="T347" i="15" s="1"/>
  <c r="T348" i="15" s="1"/>
  <c r="T349" i="15" s="1"/>
  <c r="T350" i="15" s="1"/>
  <c r="T351" i="15" s="1"/>
  <c r="T352" i="15" s="1"/>
  <c r="T353" i="15" s="1"/>
  <c r="T354" i="15" s="1"/>
  <c r="T355" i="15" s="1"/>
  <c r="T356" i="15" s="1"/>
  <c r="T357" i="15" s="1"/>
  <c r="T358" i="15" s="1"/>
  <c r="T359" i="15" s="1"/>
  <c r="T360" i="15" s="1"/>
  <c r="T361" i="15" s="1"/>
  <c r="T362" i="15" s="1"/>
  <c r="T363" i="15" s="1"/>
  <c r="T364" i="15" s="1"/>
  <c r="T365" i="15" s="1"/>
  <c r="T366" i="15" s="1"/>
  <c r="T367" i="15" s="1"/>
  <c r="T368" i="15" s="1"/>
  <c r="U4" i="15"/>
  <c r="V4" i="15"/>
  <c r="V5" i="15" s="1"/>
  <c r="V6" i="15" s="1"/>
  <c r="V7" i="15" s="1"/>
  <c r="V8" i="15" s="1"/>
  <c r="V9" i="15" s="1"/>
  <c r="V10" i="15" s="1"/>
  <c r="V11" i="15" s="1"/>
  <c r="V12" i="15" s="1"/>
  <c r="V13" i="15" s="1"/>
  <c r="V14" i="15" s="1"/>
  <c r="V15" i="15" s="1"/>
  <c r="V16" i="15" s="1"/>
  <c r="V17" i="15" s="1"/>
  <c r="V18" i="15" s="1"/>
  <c r="V19" i="15" s="1"/>
  <c r="V20" i="15" s="1"/>
  <c r="V21" i="15" s="1"/>
  <c r="V22" i="15" s="1"/>
  <c r="V23" i="15" s="1"/>
  <c r="V24" i="15" s="1"/>
  <c r="V25" i="15" s="1"/>
  <c r="V26" i="15" s="1"/>
  <c r="V27" i="15" s="1"/>
  <c r="V28" i="15" s="1"/>
  <c r="V29" i="15" s="1"/>
  <c r="V30" i="15" s="1"/>
  <c r="V31" i="15" s="1"/>
  <c r="V32" i="15" s="1"/>
  <c r="V33" i="15" s="1"/>
  <c r="V34" i="15" s="1"/>
  <c r="V35" i="15" s="1"/>
  <c r="V36" i="15" s="1"/>
  <c r="V37" i="15" s="1"/>
  <c r="V38" i="15" s="1"/>
  <c r="V39" i="15" s="1"/>
  <c r="V40" i="15" s="1"/>
  <c r="V41" i="15" s="1"/>
  <c r="V42" i="15" s="1"/>
  <c r="V43" i="15" s="1"/>
  <c r="V44" i="15" s="1"/>
  <c r="V45" i="15" s="1"/>
  <c r="V46" i="15" s="1"/>
  <c r="V47" i="15" s="1"/>
  <c r="V48" i="15" s="1"/>
  <c r="V49" i="15" s="1"/>
  <c r="V50" i="15" s="1"/>
  <c r="V51" i="15" s="1"/>
  <c r="V52" i="15" s="1"/>
  <c r="V53" i="15" s="1"/>
  <c r="V54" i="15" s="1"/>
  <c r="V55" i="15" s="1"/>
  <c r="V56" i="15" s="1"/>
  <c r="V57" i="15" s="1"/>
  <c r="V58" i="15" s="1"/>
  <c r="V59" i="15" s="1"/>
  <c r="V60" i="15" s="1"/>
  <c r="V61" i="15" s="1"/>
  <c r="V62" i="15" s="1"/>
  <c r="V63" i="15" s="1"/>
  <c r="V64" i="15" s="1"/>
  <c r="V65" i="15" s="1"/>
  <c r="V66" i="15" s="1"/>
  <c r="V67" i="15" s="1"/>
  <c r="V68" i="15" s="1"/>
  <c r="V69" i="15" s="1"/>
  <c r="V70" i="15" s="1"/>
  <c r="V71" i="15" s="1"/>
  <c r="V72" i="15" s="1"/>
  <c r="V73" i="15" s="1"/>
  <c r="V74" i="15" s="1"/>
  <c r="V75" i="15" s="1"/>
  <c r="V76" i="15" s="1"/>
  <c r="V77" i="15" s="1"/>
  <c r="V78" i="15" s="1"/>
  <c r="V79" i="15" s="1"/>
  <c r="V80" i="15" s="1"/>
  <c r="V81" i="15" s="1"/>
  <c r="V82" i="15" s="1"/>
  <c r="V83" i="15" s="1"/>
  <c r="V84" i="15" s="1"/>
  <c r="V85" i="15" s="1"/>
  <c r="V86" i="15" s="1"/>
  <c r="V87" i="15" s="1"/>
  <c r="V88" i="15" s="1"/>
  <c r="V89" i="15" s="1"/>
  <c r="V90" i="15" s="1"/>
  <c r="V91" i="15" s="1"/>
  <c r="V92" i="15" s="1"/>
  <c r="V93" i="15" s="1"/>
  <c r="V94" i="15" s="1"/>
  <c r="V95" i="15" s="1"/>
  <c r="V96" i="15" s="1"/>
  <c r="V97" i="15" s="1"/>
  <c r="V98" i="15" s="1"/>
  <c r="V99" i="15" s="1"/>
  <c r="V100" i="15" s="1"/>
  <c r="V101" i="15" s="1"/>
  <c r="V102" i="15" s="1"/>
  <c r="V103" i="15" s="1"/>
  <c r="V104" i="15" s="1"/>
  <c r="V105" i="15" s="1"/>
  <c r="V106" i="15" s="1"/>
  <c r="V107" i="15" s="1"/>
  <c r="V108" i="15" s="1"/>
  <c r="V109" i="15" s="1"/>
  <c r="V110" i="15" s="1"/>
  <c r="V111" i="15" s="1"/>
  <c r="V112" i="15" s="1"/>
  <c r="V113" i="15" s="1"/>
  <c r="V114" i="15" s="1"/>
  <c r="V115" i="15" s="1"/>
  <c r="V116" i="15" s="1"/>
  <c r="V117" i="15" s="1"/>
  <c r="V118" i="15" s="1"/>
  <c r="V119" i="15" s="1"/>
  <c r="V120" i="15" s="1"/>
  <c r="V121" i="15" s="1"/>
  <c r="V122" i="15" s="1"/>
  <c r="V123" i="15" s="1"/>
  <c r="V124" i="15" s="1"/>
  <c r="V125" i="15" s="1"/>
  <c r="V126" i="15" s="1"/>
  <c r="V127" i="15" s="1"/>
  <c r="V128" i="15" s="1"/>
  <c r="V129" i="15" s="1"/>
  <c r="V130" i="15" s="1"/>
  <c r="V131" i="15" s="1"/>
  <c r="V132" i="15" s="1"/>
  <c r="V133" i="15" s="1"/>
  <c r="V134" i="15" s="1"/>
  <c r="V135" i="15" s="1"/>
  <c r="V136" i="15" s="1"/>
  <c r="V137" i="15" s="1"/>
  <c r="V138" i="15" s="1"/>
  <c r="V139" i="15" s="1"/>
  <c r="V140" i="15" s="1"/>
  <c r="V141" i="15" s="1"/>
  <c r="V142" i="15" s="1"/>
  <c r="V143" i="15" s="1"/>
  <c r="V144" i="15" s="1"/>
  <c r="V145" i="15" s="1"/>
  <c r="V146" i="15" s="1"/>
  <c r="V147" i="15" s="1"/>
  <c r="V148" i="15" s="1"/>
  <c r="V149" i="15" s="1"/>
  <c r="V150" i="15" s="1"/>
  <c r="V151" i="15" s="1"/>
  <c r="V152" i="15" s="1"/>
  <c r="V153" i="15" s="1"/>
  <c r="V154" i="15" s="1"/>
  <c r="V155" i="15" s="1"/>
  <c r="V156" i="15" s="1"/>
  <c r="V157" i="15" s="1"/>
  <c r="V158" i="15" s="1"/>
  <c r="V159" i="15" s="1"/>
  <c r="V160" i="15" s="1"/>
  <c r="V161" i="15" s="1"/>
  <c r="V162" i="15" s="1"/>
  <c r="V163" i="15" s="1"/>
  <c r="V164" i="15" s="1"/>
  <c r="V165" i="15" s="1"/>
  <c r="V166" i="15" s="1"/>
  <c r="V167" i="15" s="1"/>
  <c r="V168" i="15" s="1"/>
  <c r="V169" i="15" s="1"/>
  <c r="V170" i="15" s="1"/>
  <c r="V171" i="15" s="1"/>
  <c r="V172" i="15" s="1"/>
  <c r="V173" i="15" s="1"/>
  <c r="V174" i="15" s="1"/>
  <c r="V175" i="15" s="1"/>
  <c r="V176" i="15" s="1"/>
  <c r="V177" i="15" s="1"/>
  <c r="V178" i="15" s="1"/>
  <c r="V179" i="15" s="1"/>
  <c r="V180" i="15" s="1"/>
  <c r="V181" i="15" s="1"/>
  <c r="V182" i="15" s="1"/>
  <c r="V183" i="15" s="1"/>
  <c r="V184" i="15" s="1"/>
  <c r="V185" i="15" s="1"/>
  <c r="V186" i="15" s="1"/>
  <c r="V187" i="15" s="1"/>
  <c r="V188" i="15" s="1"/>
  <c r="V189" i="15" s="1"/>
  <c r="V190" i="15" s="1"/>
  <c r="V191" i="15" s="1"/>
  <c r="V192" i="15" s="1"/>
  <c r="V193" i="15" s="1"/>
  <c r="V194" i="15" s="1"/>
  <c r="V195" i="15" s="1"/>
  <c r="V196" i="15" s="1"/>
  <c r="V197" i="15" s="1"/>
  <c r="V198" i="15" s="1"/>
  <c r="V199" i="15" s="1"/>
  <c r="V200" i="15" s="1"/>
  <c r="V201" i="15" s="1"/>
  <c r="V202" i="15" s="1"/>
  <c r="V203" i="15" s="1"/>
  <c r="V204" i="15" s="1"/>
  <c r="V205" i="15" s="1"/>
  <c r="V206" i="15" s="1"/>
  <c r="V207" i="15" s="1"/>
  <c r="V208" i="15" s="1"/>
  <c r="V209" i="15" s="1"/>
  <c r="V210" i="15" s="1"/>
  <c r="V211" i="15" s="1"/>
  <c r="V212" i="15" s="1"/>
  <c r="V213" i="15" s="1"/>
  <c r="V214" i="15" s="1"/>
  <c r="V215" i="15" s="1"/>
  <c r="V216" i="15" s="1"/>
  <c r="V217" i="15" s="1"/>
  <c r="V218" i="15" s="1"/>
  <c r="V219" i="15" s="1"/>
  <c r="V220" i="15" s="1"/>
  <c r="V221" i="15" s="1"/>
  <c r="V222" i="15" s="1"/>
  <c r="V223" i="15" s="1"/>
  <c r="V224" i="15" s="1"/>
  <c r="V225" i="15" s="1"/>
  <c r="V226" i="15" s="1"/>
  <c r="V227" i="15" s="1"/>
  <c r="V228" i="15" s="1"/>
  <c r="V229" i="15" s="1"/>
  <c r="V230" i="15" s="1"/>
  <c r="V231" i="15" s="1"/>
  <c r="V232" i="15" s="1"/>
  <c r="V233" i="15" s="1"/>
  <c r="V234" i="15" s="1"/>
  <c r="V235" i="15" s="1"/>
  <c r="V236" i="15" s="1"/>
  <c r="V237" i="15" s="1"/>
  <c r="V238" i="15" s="1"/>
  <c r="V239" i="15" s="1"/>
  <c r="V240" i="15" s="1"/>
  <c r="V241" i="15" s="1"/>
  <c r="V242" i="15" s="1"/>
  <c r="V243" i="15" s="1"/>
  <c r="V244" i="15" s="1"/>
  <c r="V245" i="15" s="1"/>
  <c r="V246" i="15" s="1"/>
  <c r="V247" i="15" s="1"/>
  <c r="V248" i="15" s="1"/>
  <c r="V249" i="15" s="1"/>
  <c r="V250" i="15" s="1"/>
  <c r="V251" i="15" s="1"/>
  <c r="V252" i="15" s="1"/>
  <c r="V253" i="15" s="1"/>
  <c r="V254" i="15" s="1"/>
  <c r="V255" i="15" s="1"/>
  <c r="V256" i="15" s="1"/>
  <c r="V257" i="15" s="1"/>
  <c r="V258" i="15" s="1"/>
  <c r="V259" i="15" s="1"/>
  <c r="V260" i="15" s="1"/>
  <c r="V261" i="15" s="1"/>
  <c r="V262" i="15" s="1"/>
  <c r="V263" i="15" s="1"/>
  <c r="V264" i="15" s="1"/>
  <c r="V265" i="15" s="1"/>
  <c r="V266" i="15" s="1"/>
  <c r="V267" i="15" s="1"/>
  <c r="V268" i="15" s="1"/>
  <c r="V269" i="15" s="1"/>
  <c r="V270" i="15" s="1"/>
  <c r="V271" i="15" s="1"/>
  <c r="V272" i="15" s="1"/>
  <c r="V273" i="15" s="1"/>
  <c r="V274" i="15" s="1"/>
  <c r="V275" i="15" s="1"/>
  <c r="V276" i="15" s="1"/>
  <c r="V277" i="15" s="1"/>
  <c r="V278" i="15" s="1"/>
  <c r="V279" i="15" s="1"/>
  <c r="V280" i="15" s="1"/>
  <c r="V281" i="15" s="1"/>
  <c r="V282" i="15" s="1"/>
  <c r="V283" i="15" s="1"/>
  <c r="V284" i="15" s="1"/>
  <c r="V285" i="15" s="1"/>
  <c r="V286" i="15" s="1"/>
  <c r="V287" i="15" s="1"/>
  <c r="V288" i="15" s="1"/>
  <c r="V289" i="15" s="1"/>
  <c r="V290" i="15" s="1"/>
  <c r="V291" i="15" s="1"/>
  <c r="V292" i="15" s="1"/>
  <c r="V293" i="15" s="1"/>
  <c r="V294" i="15" s="1"/>
  <c r="V295" i="15" s="1"/>
  <c r="V296" i="15" s="1"/>
  <c r="V297" i="15" s="1"/>
  <c r="V298" i="15" s="1"/>
  <c r="V299" i="15" s="1"/>
  <c r="V300" i="15" s="1"/>
  <c r="V301" i="15" s="1"/>
  <c r="V302" i="15" s="1"/>
  <c r="V303" i="15" s="1"/>
  <c r="V304" i="15" s="1"/>
  <c r="V305" i="15" s="1"/>
  <c r="V306" i="15" s="1"/>
  <c r="V307" i="15" s="1"/>
  <c r="V308" i="15" s="1"/>
  <c r="V309" i="15" s="1"/>
  <c r="V310" i="15" s="1"/>
  <c r="V311" i="15" s="1"/>
  <c r="V312" i="15" s="1"/>
  <c r="V313" i="15" s="1"/>
  <c r="V314" i="15" s="1"/>
  <c r="V315" i="15" s="1"/>
  <c r="V316" i="15" s="1"/>
  <c r="V317" i="15" s="1"/>
  <c r="V318" i="15" s="1"/>
  <c r="V319" i="15" s="1"/>
  <c r="V320" i="15" s="1"/>
  <c r="V321" i="15" s="1"/>
  <c r="V322" i="15" s="1"/>
  <c r="V323" i="15" s="1"/>
  <c r="V324" i="15" s="1"/>
  <c r="V325" i="15" s="1"/>
  <c r="V326" i="15" s="1"/>
  <c r="V327" i="15" s="1"/>
  <c r="V328" i="15" s="1"/>
  <c r="V329" i="15" s="1"/>
  <c r="V330" i="15" s="1"/>
  <c r="V331" i="15" s="1"/>
  <c r="V332" i="15" s="1"/>
  <c r="V333" i="15" s="1"/>
  <c r="V334" i="15" s="1"/>
  <c r="V335" i="15" s="1"/>
  <c r="V336" i="15" s="1"/>
  <c r="V337" i="15" s="1"/>
  <c r="V338" i="15" s="1"/>
  <c r="V339" i="15" s="1"/>
  <c r="V340" i="15" s="1"/>
  <c r="V341" i="15" s="1"/>
  <c r="V342" i="15" s="1"/>
  <c r="V343" i="15" s="1"/>
  <c r="V344" i="15" s="1"/>
  <c r="V345" i="15" s="1"/>
  <c r="V346" i="15" s="1"/>
  <c r="V347" i="15" s="1"/>
  <c r="V348" i="15" s="1"/>
  <c r="V349" i="15" s="1"/>
  <c r="V350" i="15" s="1"/>
  <c r="V351" i="15" s="1"/>
  <c r="V352" i="15" s="1"/>
  <c r="V353" i="15" s="1"/>
  <c r="V354" i="15" s="1"/>
  <c r="V355" i="15" s="1"/>
  <c r="V356" i="15" s="1"/>
  <c r="V357" i="15" s="1"/>
  <c r="V358" i="15" s="1"/>
  <c r="V359" i="15" s="1"/>
  <c r="V360" i="15" s="1"/>
  <c r="V361" i="15" s="1"/>
  <c r="V362" i="15" s="1"/>
  <c r="V363" i="15" s="1"/>
  <c r="V364" i="15" s="1"/>
  <c r="V365" i="15" s="1"/>
  <c r="V366" i="15" s="1"/>
  <c r="V367" i="15" s="1"/>
  <c r="V368" i="15" s="1"/>
  <c r="AB3" i="15" l="1"/>
  <c r="AB3" i="2"/>
  <c r="D28" i="4"/>
  <c r="D24" i="4"/>
  <c r="D27" i="4"/>
  <c r="D23" i="4"/>
  <c r="D26" i="4"/>
  <c r="D25" i="4"/>
  <c r="D19" i="4"/>
  <c r="D15" i="4"/>
  <c r="D18" i="4"/>
  <c r="D14" i="4"/>
  <c r="D17" i="4"/>
  <c r="D16" i="4"/>
  <c r="X4" i="15"/>
  <c r="W4" i="15"/>
  <c r="AC3" i="2"/>
  <c r="W4" i="2"/>
  <c r="X4" i="2"/>
  <c r="AA4" i="2"/>
  <c r="Y4" i="15"/>
  <c r="Z4" i="15"/>
  <c r="U5" i="15"/>
  <c r="AC3" i="15"/>
  <c r="AD3" i="2"/>
  <c r="AE3" i="2"/>
  <c r="Y4" i="2"/>
  <c r="Z4" i="2"/>
  <c r="U5" i="2"/>
  <c r="AE3" i="15"/>
  <c r="AD3" i="15"/>
  <c r="AA4" i="15"/>
  <c r="Q53" i="5"/>
  <c r="Q52" i="5"/>
  <c r="Q51" i="5"/>
  <c r="Q42" i="5"/>
  <c r="Q41" i="5"/>
  <c r="Q40" i="5"/>
  <c r="Q60" i="5"/>
  <c r="Q61" i="5"/>
  <c r="Q59" i="5"/>
  <c r="Q39" i="5"/>
  <c r="Q38" i="5"/>
  <c r="Q37" i="5"/>
  <c r="Q49" i="5"/>
  <c r="Q45" i="5"/>
  <c r="Q44" i="5"/>
  <c r="Q43" i="5"/>
  <c r="Q58" i="5"/>
  <c r="Q57" i="5"/>
  <c r="Q56" i="5"/>
  <c r="Q48" i="5"/>
  <c r="Q46" i="5"/>
  <c r="Q50" i="5"/>
  <c r="Q47" i="5"/>
  <c r="Q55" i="5"/>
  <c r="Q54" i="5"/>
  <c r="Q34" i="5"/>
  <c r="Q33" i="5"/>
  <c r="Q3" i="5"/>
  <c r="Q2" i="5"/>
  <c r="Q23" i="5"/>
  <c r="Q22" i="5"/>
  <c r="Q14" i="5"/>
  <c r="Q13" i="5"/>
  <c r="Q12" i="5"/>
  <c r="Q28" i="5"/>
  <c r="Q29" i="5"/>
  <c r="Q32" i="5"/>
  <c r="Q25" i="5"/>
  <c r="Q24" i="5"/>
  <c r="Q36" i="5"/>
  <c r="Q17" i="5"/>
  <c r="Q16" i="5"/>
  <c r="Q15" i="5"/>
  <c r="Q27" i="5"/>
  <c r="Q26" i="5"/>
  <c r="Q11" i="5"/>
  <c r="Q10" i="5"/>
  <c r="Q9" i="5"/>
  <c r="Q8" i="5"/>
  <c r="Q7" i="5"/>
  <c r="Q6" i="5"/>
  <c r="Q5" i="5"/>
  <c r="Q4" i="5"/>
  <c r="Q35" i="5"/>
  <c r="Q19" i="5"/>
  <c r="Q31" i="5"/>
  <c r="Q30" i="5"/>
  <c r="Q18" i="5"/>
  <c r="Q21" i="5"/>
  <c r="Q20" i="5"/>
  <c r="Q54" i="18"/>
  <c r="AB4" i="15" l="1"/>
  <c r="W5" i="15"/>
  <c r="X5" i="15"/>
  <c r="Y5" i="15"/>
  <c r="AE4" i="2"/>
  <c r="Z5" i="15"/>
  <c r="U6" i="15"/>
  <c r="AA5" i="15"/>
  <c r="AD4" i="2"/>
  <c r="AB4" i="2"/>
  <c r="AC4" i="2"/>
  <c r="AC4" i="15"/>
  <c r="AA5" i="2"/>
  <c r="U6" i="2"/>
  <c r="Z5" i="2"/>
  <c r="W5" i="2"/>
  <c r="Y5" i="2"/>
  <c r="X5" i="2"/>
  <c r="AD4" i="15"/>
  <c r="AE4" i="15"/>
  <c r="AB5" i="15" l="1"/>
  <c r="AC5" i="15"/>
  <c r="X6" i="15"/>
  <c r="AA6" i="15"/>
  <c r="U7" i="15"/>
  <c r="Z6" i="15"/>
  <c r="W6" i="15"/>
  <c r="Y6" i="15"/>
  <c r="AD5" i="15"/>
  <c r="AE5" i="15"/>
  <c r="AC5" i="2"/>
  <c r="AB5" i="2"/>
  <c r="X6" i="2"/>
  <c r="Z6" i="2"/>
  <c r="AA6" i="2"/>
  <c r="W6" i="2"/>
  <c r="Y6" i="2"/>
  <c r="U7" i="2"/>
  <c r="AE5" i="2"/>
  <c r="AD5" i="2"/>
  <c r="AC6" i="15" l="1"/>
  <c r="AB6" i="15"/>
  <c r="W7" i="15"/>
  <c r="AA7" i="15"/>
  <c r="Z7" i="15"/>
  <c r="X7" i="15"/>
  <c r="Y7" i="15"/>
  <c r="U8" i="15"/>
  <c r="U9" i="15" s="1"/>
  <c r="AD6" i="15"/>
  <c r="AE6" i="15"/>
  <c r="W7" i="2"/>
  <c r="X7" i="2"/>
  <c r="Z7" i="2"/>
  <c r="Y7" i="2"/>
  <c r="AA7" i="2"/>
  <c r="U8" i="2"/>
  <c r="AB6" i="2"/>
  <c r="AC6" i="2"/>
  <c r="AE6" i="2"/>
  <c r="AD6" i="2"/>
  <c r="AB7" i="15" l="1"/>
  <c r="AE7" i="15"/>
  <c r="AD7" i="15"/>
  <c r="AC7" i="15"/>
  <c r="AA8" i="15"/>
  <c r="Z8" i="15"/>
  <c r="Y8" i="15"/>
  <c r="X8" i="15"/>
  <c r="W8" i="15"/>
  <c r="Y8" i="2"/>
  <c r="Z8" i="2"/>
  <c r="W8" i="2"/>
  <c r="X8" i="2"/>
  <c r="U9" i="2"/>
  <c r="AA8" i="2"/>
  <c r="AD7" i="2"/>
  <c r="AE7" i="2"/>
  <c r="AB7" i="2"/>
  <c r="AC7" i="2"/>
  <c r="U10" i="15"/>
  <c r="S574" i="18"/>
  <c r="S412" i="18"/>
  <c r="Q574" i="18"/>
  <c r="Q412" i="18"/>
  <c r="Y9" i="15" l="1"/>
  <c r="W9" i="15"/>
  <c r="Z9" i="15"/>
  <c r="X9" i="15"/>
  <c r="X10" i="15" s="1"/>
  <c r="AC8" i="15"/>
  <c r="AE8" i="15"/>
  <c r="AA9" i="15"/>
  <c r="AD8" i="15"/>
  <c r="AB8" i="15"/>
  <c r="AB9" i="15" s="1"/>
  <c r="AE8" i="2"/>
  <c r="AD8" i="2"/>
  <c r="AA9" i="2"/>
  <c r="U10" i="2"/>
  <c r="W9" i="2"/>
  <c r="X9" i="2"/>
  <c r="Z9" i="2"/>
  <c r="Y9" i="2"/>
  <c r="AB8" i="2"/>
  <c r="AC8" i="2"/>
  <c r="W10" i="15"/>
  <c r="Y10" i="15"/>
  <c r="U11" i="15"/>
  <c r="F41" i="26"/>
  <c r="E41" i="26"/>
  <c r="F40" i="26"/>
  <c r="E40" i="26"/>
  <c r="F39" i="26"/>
  <c r="E39" i="26"/>
  <c r="F38" i="26"/>
  <c r="E38" i="26"/>
  <c r="F37" i="26"/>
  <c r="E37" i="26"/>
  <c r="F36" i="26"/>
  <c r="E36" i="26"/>
  <c r="F35" i="26"/>
  <c r="E35" i="26"/>
  <c r="F34" i="26"/>
  <c r="E34" i="26"/>
  <c r="F33" i="26"/>
  <c r="E33" i="26"/>
  <c r="F32" i="26"/>
  <c r="E32" i="26"/>
  <c r="F31" i="26"/>
  <c r="E31" i="26"/>
  <c r="F30" i="26"/>
  <c r="E30" i="26"/>
  <c r="F29" i="26"/>
  <c r="E29" i="26"/>
  <c r="F28" i="26"/>
  <c r="E28" i="26"/>
  <c r="F27" i="26"/>
  <c r="E27" i="26"/>
  <c r="F26" i="26"/>
  <c r="E26" i="26"/>
  <c r="F25" i="26"/>
  <c r="E25" i="26"/>
  <c r="F24" i="26"/>
  <c r="E24" i="26"/>
  <c r="F23" i="26"/>
  <c r="E23" i="26"/>
  <c r="F22" i="26"/>
  <c r="E22" i="26"/>
  <c r="F21" i="26"/>
  <c r="E21" i="26"/>
  <c r="F20" i="26"/>
  <c r="E20" i="26"/>
  <c r="F19" i="26"/>
  <c r="E19" i="26"/>
  <c r="F18" i="26"/>
  <c r="E18" i="26"/>
  <c r="F17" i="26"/>
  <c r="E17" i="26"/>
  <c r="F16" i="26"/>
  <c r="E16" i="26"/>
  <c r="F15" i="26"/>
  <c r="E15" i="26"/>
  <c r="F14" i="26"/>
  <c r="E14" i="26"/>
  <c r="F13" i="26"/>
  <c r="E13" i="26"/>
  <c r="F12" i="26"/>
  <c r="E12" i="26"/>
  <c r="F11" i="26"/>
  <c r="E11" i="26"/>
  <c r="F10" i="26"/>
  <c r="E10" i="26"/>
  <c r="F9" i="26"/>
  <c r="E9" i="26"/>
  <c r="F8" i="26"/>
  <c r="E8" i="26"/>
  <c r="F7" i="26"/>
  <c r="E7" i="26"/>
  <c r="F6" i="26"/>
  <c r="E6" i="26"/>
  <c r="F5" i="26"/>
  <c r="E5" i="26"/>
  <c r="F4" i="26"/>
  <c r="E4" i="26"/>
  <c r="F3" i="26"/>
  <c r="E3" i="26"/>
  <c r="D3"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D16" i="26"/>
  <c r="D15" i="26"/>
  <c r="D14" i="26"/>
  <c r="D13" i="26"/>
  <c r="D12" i="26"/>
  <c r="D11" i="26"/>
  <c r="D10" i="26"/>
  <c r="D9" i="26"/>
  <c r="D8" i="26"/>
  <c r="D7" i="26"/>
  <c r="D6" i="26"/>
  <c r="D5" i="26"/>
  <c r="D4" i="26"/>
  <c r="I9" i="5"/>
  <c r="K781" i="18"/>
  <c r="K764" i="18"/>
  <c r="K755" i="18"/>
  <c r="K771" i="18"/>
  <c r="K742" i="18"/>
  <c r="K731" i="18"/>
  <c r="K818" i="18"/>
  <c r="K770" i="18"/>
  <c r="K809" i="18"/>
  <c r="K801" i="18"/>
  <c r="K800" i="18"/>
  <c r="K741" i="18"/>
  <c r="K817" i="18"/>
  <c r="K812" i="18"/>
  <c r="K820" i="18"/>
  <c r="K721" i="18"/>
  <c r="K793" i="18"/>
  <c r="K532" i="18"/>
  <c r="K524" i="18"/>
  <c r="K508" i="18"/>
  <c r="K516" i="18"/>
  <c r="K562" i="18"/>
  <c r="K672" i="18"/>
  <c r="K113" i="18"/>
  <c r="K89" i="18"/>
  <c r="K62" i="18"/>
  <c r="K255" i="18"/>
  <c r="K254" i="18"/>
  <c r="K177" i="18"/>
  <c r="K199" i="18"/>
  <c r="K378" i="18"/>
  <c r="K218" i="18"/>
  <c r="K92" i="18"/>
  <c r="K137" i="18"/>
  <c r="K381" i="18"/>
  <c r="K376" i="18"/>
  <c r="K98" i="18"/>
  <c r="K122" i="18"/>
  <c r="K207" i="18"/>
  <c r="K224" i="18"/>
  <c r="K240" i="18"/>
  <c r="K248" i="18"/>
  <c r="K232" i="18"/>
  <c r="K190" i="18"/>
  <c r="K189" i="18"/>
  <c r="K202" i="18"/>
  <c r="K197" i="18"/>
  <c r="K104" i="18"/>
  <c r="K106" i="18"/>
  <c r="K108" i="18"/>
  <c r="K107" i="18"/>
  <c r="K101" i="18"/>
  <c r="K73" i="18"/>
  <c r="K87" i="18"/>
  <c r="K270" i="18"/>
  <c r="K34" i="18"/>
  <c r="K27" i="18"/>
  <c r="K25" i="18"/>
  <c r="K14" i="18"/>
  <c r="I9" i="18"/>
  <c r="K9" i="18" s="1"/>
  <c r="K60" i="18"/>
  <c r="K23" i="18"/>
  <c r="K51" i="18"/>
  <c r="K808" i="18"/>
  <c r="K790" i="18"/>
  <c r="K816" i="18"/>
  <c r="K810" i="18"/>
  <c r="K819" i="18"/>
  <c r="K88" i="18"/>
  <c r="K216" i="18"/>
  <c r="K91" i="18"/>
  <c r="K200" i="18"/>
  <c r="K195" i="18"/>
  <c r="I72" i="18"/>
  <c r="K72" i="18" s="1"/>
  <c r="K82" i="18"/>
  <c r="AC9" i="15" l="1"/>
  <c r="AC10" i="15" s="1"/>
  <c r="Z10" i="15"/>
  <c r="Z11" i="15" s="1"/>
  <c r="AA10" i="15"/>
  <c r="AD9" i="15"/>
  <c r="AE9" i="15"/>
  <c r="X10" i="2"/>
  <c r="W10" i="2"/>
  <c r="U11" i="2"/>
  <c r="Z10" i="2"/>
  <c r="AA10" i="2"/>
  <c r="Y10" i="2"/>
  <c r="AE9" i="2"/>
  <c r="AD9" i="2"/>
  <c r="AC9" i="2"/>
  <c r="AB9" i="2"/>
  <c r="X11" i="15"/>
  <c r="Y11" i="15"/>
  <c r="U12" i="15"/>
  <c r="W11" i="15"/>
  <c r="AB10" i="15"/>
  <c r="E8" i="11"/>
  <c r="E7" i="11"/>
  <c r="E6" i="11"/>
  <c r="E5" i="11"/>
  <c r="E4" i="11"/>
  <c r="D8" i="11"/>
  <c r="D7" i="11"/>
  <c r="D6" i="11"/>
  <c r="D5" i="11"/>
  <c r="D4" i="11"/>
  <c r="C8" i="11"/>
  <c r="C7" i="11"/>
  <c r="C6" i="11"/>
  <c r="C5" i="11"/>
  <c r="C4" i="11"/>
  <c r="B8" i="11"/>
  <c r="B7" i="11"/>
  <c r="B6" i="11"/>
  <c r="B5" i="11"/>
  <c r="B4" i="11"/>
  <c r="AA11" i="15" l="1"/>
  <c r="AD10" i="15"/>
  <c r="AD11" i="15" s="1"/>
  <c r="AE10" i="15"/>
  <c r="AE11" i="15" s="1"/>
  <c r="W11" i="2"/>
  <c r="X11" i="2"/>
  <c r="Z11" i="2"/>
  <c r="U12" i="2"/>
  <c r="Y11" i="2"/>
  <c r="AA11" i="2"/>
  <c r="AB10" i="2"/>
  <c r="AC10" i="2"/>
  <c r="AE10" i="2"/>
  <c r="AD10" i="2"/>
  <c r="AB11" i="15"/>
  <c r="AC11" i="15"/>
  <c r="Z12" i="15"/>
  <c r="W12" i="15"/>
  <c r="Y12" i="15"/>
  <c r="U13" i="15"/>
  <c r="X12" i="15"/>
  <c r="AA12" i="15"/>
  <c r="AD11" i="2" l="1"/>
  <c r="AE11" i="2"/>
  <c r="Y12" i="2"/>
  <c r="Z12" i="2"/>
  <c r="W12" i="2"/>
  <c r="AA12" i="2"/>
  <c r="X12" i="2"/>
  <c r="U13" i="2"/>
  <c r="AC11" i="2"/>
  <c r="AB11" i="2"/>
  <c r="AB12" i="15"/>
  <c r="AC12" i="15"/>
  <c r="W13" i="15"/>
  <c r="Y13" i="15"/>
  <c r="X13" i="15"/>
  <c r="AA13" i="15"/>
  <c r="Z13" i="15"/>
  <c r="U14" i="15"/>
  <c r="AE12" i="15"/>
  <c r="AD12" i="15"/>
  <c r="AD12" i="2" l="1"/>
  <c r="AE12" i="2"/>
  <c r="AC12" i="2"/>
  <c r="AB12" i="2"/>
  <c r="AA13" i="2"/>
  <c r="U14" i="2"/>
  <c r="W13" i="2"/>
  <c r="Y13" i="2"/>
  <c r="Z13" i="2"/>
  <c r="X13" i="2"/>
  <c r="AD13" i="15"/>
  <c r="AE13" i="15"/>
  <c r="AC13" i="15"/>
  <c r="AB13" i="15"/>
  <c r="X14" i="15"/>
  <c r="Z14" i="15"/>
  <c r="AA14" i="15"/>
  <c r="Y14" i="15"/>
  <c r="U15" i="15"/>
  <c r="W14" i="15"/>
  <c r="AD13" i="2" l="1"/>
  <c r="AE13" i="2"/>
  <c r="X14" i="2"/>
  <c r="U15" i="2"/>
  <c r="W14" i="2"/>
  <c r="Z14" i="2"/>
  <c r="AA14" i="2"/>
  <c r="Y14" i="2"/>
  <c r="AC13" i="2"/>
  <c r="AB13" i="2"/>
  <c r="AE14" i="15"/>
  <c r="AD14" i="15"/>
  <c r="X15" i="15"/>
  <c r="Z15" i="15"/>
  <c r="W15" i="15"/>
  <c r="U16" i="15"/>
  <c r="AA15" i="15"/>
  <c r="Y15" i="15"/>
  <c r="AC14" i="15"/>
  <c r="AB14" i="15"/>
  <c r="AB14" i="2" l="1"/>
  <c r="AC14" i="2"/>
  <c r="W15" i="2"/>
  <c r="X15" i="2"/>
  <c r="Z15" i="2"/>
  <c r="Y15" i="2"/>
  <c r="U16" i="2"/>
  <c r="AA15" i="2"/>
  <c r="AE14" i="2"/>
  <c r="AD14" i="2"/>
  <c r="AC15" i="15"/>
  <c r="AB15" i="15"/>
  <c r="Z16" i="15"/>
  <c r="W16" i="15"/>
  <c r="U17" i="15"/>
  <c r="X16" i="15"/>
  <c r="Y16" i="15"/>
  <c r="AA16" i="15"/>
  <c r="AE15" i="15"/>
  <c r="AD15" i="15"/>
  <c r="Y16" i="2" l="1"/>
  <c r="Z16" i="2"/>
  <c r="AA16" i="2"/>
  <c r="W16" i="2"/>
  <c r="X16" i="2"/>
  <c r="U17" i="2"/>
  <c r="AB15" i="2"/>
  <c r="AC15" i="2"/>
  <c r="AD15" i="2"/>
  <c r="AE15" i="2"/>
  <c r="Z17" i="15"/>
  <c r="AA17" i="15"/>
  <c r="U18" i="15"/>
  <c r="Y17" i="15"/>
  <c r="X17" i="15"/>
  <c r="W17" i="15"/>
  <c r="AC16" i="15"/>
  <c r="AB16" i="15"/>
  <c r="AD16" i="15"/>
  <c r="AE16" i="15"/>
  <c r="AA17" i="2" l="1"/>
  <c r="U18" i="2"/>
  <c r="W17" i="2"/>
  <c r="X17" i="2"/>
  <c r="Z17" i="2"/>
  <c r="Y17" i="2"/>
  <c r="AC16" i="2"/>
  <c r="AB16" i="2"/>
  <c r="AD16" i="2"/>
  <c r="AE16" i="2"/>
  <c r="X18" i="15"/>
  <c r="W18" i="15"/>
  <c r="Y18" i="15"/>
  <c r="U19" i="15"/>
  <c r="AA18" i="15"/>
  <c r="Z18" i="15"/>
  <c r="AC17" i="15"/>
  <c r="AB17" i="15"/>
  <c r="AD17" i="15"/>
  <c r="AE17" i="15"/>
  <c r="AE17" i="2" l="1"/>
  <c r="AD17" i="2"/>
  <c r="AC17" i="2"/>
  <c r="AB17" i="2"/>
  <c r="X18" i="2"/>
  <c r="W18" i="2"/>
  <c r="Y18" i="2"/>
  <c r="AA18" i="2"/>
  <c r="U19" i="2"/>
  <c r="Z18" i="2"/>
  <c r="AE18" i="15"/>
  <c r="AD18" i="15"/>
  <c r="X19" i="15"/>
  <c r="Z19" i="15"/>
  <c r="W19" i="15"/>
  <c r="U20" i="15"/>
  <c r="AA19" i="15"/>
  <c r="Y19" i="15"/>
  <c r="AC18" i="15"/>
  <c r="AB18" i="15"/>
  <c r="X740" i="18"/>
  <c r="W740" i="18"/>
  <c r="V740" i="18"/>
  <c r="X739" i="18"/>
  <c r="W739" i="18"/>
  <c r="V739" i="18"/>
  <c r="X738" i="18"/>
  <c r="W738" i="18"/>
  <c r="V738" i="18"/>
  <c r="X782" i="18"/>
  <c r="W782" i="18"/>
  <c r="V782" i="18"/>
  <c r="X781" i="18"/>
  <c r="W781" i="18"/>
  <c r="V781" i="18"/>
  <c r="X780" i="18"/>
  <c r="W780" i="18"/>
  <c r="V780" i="18"/>
  <c r="X764" i="18"/>
  <c r="W764" i="18"/>
  <c r="V764" i="18"/>
  <c r="X763" i="18"/>
  <c r="W763" i="18"/>
  <c r="V763" i="18"/>
  <c r="X755" i="18"/>
  <c r="W755" i="18"/>
  <c r="V755" i="18"/>
  <c r="X774" i="18"/>
  <c r="W774" i="18"/>
  <c r="V774" i="18"/>
  <c r="X773" i="18"/>
  <c r="W773" i="18"/>
  <c r="V773" i="18"/>
  <c r="X772" i="18"/>
  <c r="W772" i="18"/>
  <c r="V772" i="18"/>
  <c r="X771" i="18"/>
  <c r="W771" i="18"/>
  <c r="V771" i="18"/>
  <c r="X770" i="18"/>
  <c r="W770" i="18"/>
  <c r="V770" i="18"/>
  <c r="X769" i="18"/>
  <c r="W769" i="18"/>
  <c r="V769" i="18"/>
  <c r="X762" i="18"/>
  <c r="W762" i="18"/>
  <c r="V762" i="18"/>
  <c r="X754" i="18"/>
  <c r="W754" i="18"/>
  <c r="V754" i="18"/>
  <c r="X753" i="18"/>
  <c r="W753" i="18"/>
  <c r="V753" i="18"/>
  <c r="X752" i="18"/>
  <c r="W752" i="18"/>
  <c r="V752" i="18"/>
  <c r="X809" i="18"/>
  <c r="W809" i="18"/>
  <c r="V809" i="18"/>
  <c r="X808" i="18"/>
  <c r="W808" i="18"/>
  <c r="V808" i="18"/>
  <c r="X801" i="18"/>
  <c r="W801" i="18"/>
  <c r="V801" i="18"/>
  <c r="X800" i="18"/>
  <c r="W800" i="18"/>
  <c r="V800" i="18"/>
  <c r="X790" i="18"/>
  <c r="W790" i="18"/>
  <c r="V790" i="18"/>
  <c r="X756" i="18"/>
  <c r="W756" i="18"/>
  <c r="V756" i="18"/>
  <c r="X733" i="18"/>
  <c r="W733" i="18"/>
  <c r="V733" i="18"/>
  <c r="X732" i="18"/>
  <c r="W732" i="18"/>
  <c r="V732" i="18"/>
  <c r="X742" i="18"/>
  <c r="W742" i="18"/>
  <c r="V742" i="18"/>
  <c r="X741" i="18"/>
  <c r="W741" i="18"/>
  <c r="V741" i="18"/>
  <c r="X731" i="18"/>
  <c r="W731" i="18"/>
  <c r="V731" i="18"/>
  <c r="X783" i="18"/>
  <c r="W783" i="18"/>
  <c r="V783" i="18"/>
  <c r="X730" i="18"/>
  <c r="W730" i="18"/>
  <c r="V730" i="18"/>
  <c r="X729" i="18"/>
  <c r="W729" i="18"/>
  <c r="V729" i="18"/>
  <c r="X728" i="18"/>
  <c r="W728" i="18"/>
  <c r="V728" i="18"/>
  <c r="X727" i="18"/>
  <c r="W727" i="18"/>
  <c r="V727" i="18"/>
  <c r="X726" i="18"/>
  <c r="W726" i="18"/>
  <c r="V726" i="18"/>
  <c r="X818" i="18"/>
  <c r="W818" i="18"/>
  <c r="V818" i="18"/>
  <c r="X817" i="18"/>
  <c r="W817" i="18"/>
  <c r="V817" i="18"/>
  <c r="X816" i="18"/>
  <c r="W816" i="18"/>
  <c r="V816" i="18"/>
  <c r="X813" i="18"/>
  <c r="W813" i="18"/>
  <c r="V813" i="18"/>
  <c r="X812" i="18"/>
  <c r="W812" i="18"/>
  <c r="V812" i="18"/>
  <c r="X811" i="18"/>
  <c r="W811" i="18"/>
  <c r="V811" i="18"/>
  <c r="X810" i="18"/>
  <c r="W810" i="18"/>
  <c r="V810" i="18"/>
  <c r="X820" i="18"/>
  <c r="W820" i="18"/>
  <c r="V820" i="18"/>
  <c r="X819" i="18"/>
  <c r="W819" i="18"/>
  <c r="V819" i="18"/>
  <c r="X804" i="18"/>
  <c r="W804" i="18"/>
  <c r="V804" i="18"/>
  <c r="X807" i="18"/>
  <c r="W807" i="18"/>
  <c r="V807" i="18"/>
  <c r="X803" i="18"/>
  <c r="W803" i="18"/>
  <c r="V803" i="18"/>
  <c r="X806" i="18"/>
  <c r="W806" i="18"/>
  <c r="V806" i="18"/>
  <c r="X802" i="18"/>
  <c r="W802" i="18"/>
  <c r="V802" i="18"/>
  <c r="X805" i="18"/>
  <c r="W805" i="18"/>
  <c r="V805" i="18"/>
  <c r="X815" i="18"/>
  <c r="W815" i="18"/>
  <c r="V815" i="18"/>
  <c r="X814" i="18"/>
  <c r="W814" i="18"/>
  <c r="V814" i="18"/>
  <c r="X799" i="18"/>
  <c r="W799" i="18"/>
  <c r="V799" i="18"/>
  <c r="X798" i="18"/>
  <c r="W798" i="18"/>
  <c r="V798" i="18"/>
  <c r="X737" i="18"/>
  <c r="W737" i="18"/>
  <c r="V737" i="18"/>
  <c r="X736" i="18"/>
  <c r="W736" i="18"/>
  <c r="V736" i="18"/>
  <c r="X735" i="18"/>
  <c r="W735" i="18"/>
  <c r="V735" i="18"/>
  <c r="X734" i="18"/>
  <c r="W734" i="18"/>
  <c r="V734" i="18"/>
  <c r="X758" i="18"/>
  <c r="W758" i="18"/>
  <c r="V758" i="18"/>
  <c r="X757" i="18"/>
  <c r="W757" i="18"/>
  <c r="V757" i="18"/>
  <c r="X789" i="18"/>
  <c r="W789" i="18"/>
  <c r="V789" i="18"/>
  <c r="X788" i="18"/>
  <c r="W788" i="18"/>
  <c r="V788" i="18"/>
  <c r="X787" i="18"/>
  <c r="W787" i="18"/>
  <c r="V787" i="18"/>
  <c r="X779" i="18"/>
  <c r="W779" i="18"/>
  <c r="V779" i="18"/>
  <c r="X778" i="18"/>
  <c r="W778" i="18"/>
  <c r="V778" i="18"/>
  <c r="X777" i="18"/>
  <c r="W777" i="18"/>
  <c r="V777" i="18"/>
  <c r="X776" i="18"/>
  <c r="W776" i="18"/>
  <c r="V776" i="18"/>
  <c r="X775" i="18"/>
  <c r="W775" i="18"/>
  <c r="V775" i="18"/>
  <c r="X751" i="18"/>
  <c r="W751" i="18"/>
  <c r="V751" i="18"/>
  <c r="X750" i="18"/>
  <c r="W750" i="18"/>
  <c r="V750" i="18"/>
  <c r="X749" i="18"/>
  <c r="W749" i="18"/>
  <c r="V749" i="18"/>
  <c r="K749" i="18"/>
  <c r="X748" i="18"/>
  <c r="W748" i="18"/>
  <c r="V748" i="18"/>
  <c r="X747" i="18"/>
  <c r="W747" i="18"/>
  <c r="V747" i="18"/>
  <c r="X746" i="18"/>
  <c r="W746" i="18"/>
  <c r="V746" i="18"/>
  <c r="X761" i="18"/>
  <c r="W761" i="18"/>
  <c r="V761" i="18"/>
  <c r="X760" i="18"/>
  <c r="W760" i="18"/>
  <c r="V760" i="18"/>
  <c r="X759" i="18"/>
  <c r="W759" i="18"/>
  <c r="V759" i="18"/>
  <c r="X768" i="18"/>
  <c r="W768" i="18"/>
  <c r="V768" i="18"/>
  <c r="X767" i="18"/>
  <c r="W767" i="18"/>
  <c r="V767" i="18"/>
  <c r="X766" i="18"/>
  <c r="W766" i="18"/>
  <c r="V766" i="18"/>
  <c r="X765" i="18"/>
  <c r="W765" i="18"/>
  <c r="V765" i="18"/>
  <c r="X725" i="18"/>
  <c r="W725" i="18"/>
  <c r="V725" i="18"/>
  <c r="X724" i="18"/>
  <c r="W724" i="18"/>
  <c r="V724" i="18"/>
  <c r="X723" i="18"/>
  <c r="W723" i="18"/>
  <c r="V723" i="18"/>
  <c r="K723" i="18"/>
  <c r="X722" i="18"/>
  <c r="W722" i="18"/>
  <c r="V722" i="18"/>
  <c r="X721" i="18"/>
  <c r="W721" i="18"/>
  <c r="V721" i="18"/>
  <c r="X797" i="18"/>
  <c r="W797" i="18"/>
  <c r="V797" i="18"/>
  <c r="X796" i="18"/>
  <c r="W796" i="18"/>
  <c r="V796" i="18"/>
  <c r="X795" i="18"/>
  <c r="W795" i="18"/>
  <c r="V795" i="18"/>
  <c r="X794" i="18"/>
  <c r="W794" i="18"/>
  <c r="V794" i="18"/>
  <c r="X793" i="18"/>
  <c r="W793" i="18"/>
  <c r="V793" i="18"/>
  <c r="X792" i="18"/>
  <c r="W792" i="18"/>
  <c r="V792" i="18"/>
  <c r="X791" i="18"/>
  <c r="W791" i="18"/>
  <c r="V791" i="18"/>
  <c r="X745" i="18"/>
  <c r="W745" i="18"/>
  <c r="V745" i="18"/>
  <c r="X744" i="18"/>
  <c r="W744" i="18"/>
  <c r="V744" i="18"/>
  <c r="X743" i="18"/>
  <c r="W743" i="18"/>
  <c r="V743" i="18"/>
  <c r="X786" i="18"/>
  <c r="W786" i="18"/>
  <c r="V786" i="18"/>
  <c r="X785" i="18"/>
  <c r="W785" i="18"/>
  <c r="V785" i="18"/>
  <c r="X669" i="18"/>
  <c r="W669" i="18"/>
  <c r="V669" i="18"/>
  <c r="X668" i="18"/>
  <c r="W668" i="18"/>
  <c r="V668" i="18"/>
  <c r="X667" i="18"/>
  <c r="W667" i="18"/>
  <c r="V667" i="18"/>
  <c r="X666" i="18"/>
  <c r="W666" i="18"/>
  <c r="V666" i="18"/>
  <c r="X644" i="18"/>
  <c r="W644" i="18"/>
  <c r="V644" i="18"/>
  <c r="X643" i="18"/>
  <c r="W643" i="18"/>
  <c r="V643" i="18"/>
  <c r="X642" i="18"/>
  <c r="W642" i="18"/>
  <c r="V642" i="18"/>
  <c r="X641" i="18"/>
  <c r="W641" i="18"/>
  <c r="V641" i="18"/>
  <c r="X505" i="18"/>
  <c r="W505" i="18"/>
  <c r="V505" i="18"/>
  <c r="X504" i="18"/>
  <c r="W504" i="18"/>
  <c r="V504" i="18"/>
  <c r="X503" i="18"/>
  <c r="W503" i="18"/>
  <c r="V503" i="18"/>
  <c r="X502" i="18"/>
  <c r="W502" i="18"/>
  <c r="V502" i="18"/>
  <c r="X501" i="18"/>
  <c r="W501" i="18"/>
  <c r="V501" i="18"/>
  <c r="X459" i="18"/>
  <c r="W459" i="18"/>
  <c r="V459" i="18"/>
  <c r="X451" i="18"/>
  <c r="W451" i="18"/>
  <c r="V451" i="18"/>
  <c r="X475" i="18"/>
  <c r="W475" i="18"/>
  <c r="V475" i="18"/>
  <c r="X467" i="18"/>
  <c r="W467" i="18"/>
  <c r="V467" i="18"/>
  <c r="X458" i="18"/>
  <c r="W458" i="18"/>
  <c r="V458" i="18"/>
  <c r="X450" i="18"/>
  <c r="W450" i="18"/>
  <c r="V450" i="18"/>
  <c r="X474" i="18"/>
  <c r="W474" i="18"/>
  <c r="V474" i="18"/>
  <c r="X466" i="18"/>
  <c r="W466" i="18"/>
  <c r="V466" i="18"/>
  <c r="X457" i="18"/>
  <c r="W457" i="18"/>
  <c r="V457" i="18"/>
  <c r="X449" i="18"/>
  <c r="W449" i="18"/>
  <c r="V449" i="18"/>
  <c r="X473" i="18"/>
  <c r="W473" i="18"/>
  <c r="V473" i="18"/>
  <c r="X465" i="18"/>
  <c r="W465" i="18"/>
  <c r="V465" i="18"/>
  <c r="X456" i="18"/>
  <c r="W456" i="18"/>
  <c r="V456" i="18"/>
  <c r="X448" i="18"/>
  <c r="W448" i="18"/>
  <c r="V448" i="18"/>
  <c r="X472" i="18"/>
  <c r="W472" i="18"/>
  <c r="V472" i="18"/>
  <c r="X464" i="18"/>
  <c r="W464" i="18"/>
  <c r="V464" i="18"/>
  <c r="X455" i="18"/>
  <c r="W455" i="18"/>
  <c r="V455" i="18"/>
  <c r="X447" i="18"/>
  <c r="W447" i="18"/>
  <c r="V447" i="18"/>
  <c r="X471" i="18"/>
  <c r="W471" i="18"/>
  <c r="V471" i="18"/>
  <c r="X463" i="18"/>
  <c r="W463" i="18"/>
  <c r="V463" i="18"/>
  <c r="X454" i="18"/>
  <c r="W454" i="18"/>
  <c r="V454" i="18"/>
  <c r="K454" i="18"/>
  <c r="X446" i="18"/>
  <c r="W446" i="18"/>
  <c r="V446" i="18"/>
  <c r="K446" i="18"/>
  <c r="X470" i="18"/>
  <c r="W470" i="18"/>
  <c r="V470" i="18"/>
  <c r="K470" i="18"/>
  <c r="X462" i="18"/>
  <c r="W462" i="18"/>
  <c r="V462" i="18"/>
  <c r="K462" i="18"/>
  <c r="X453" i="18"/>
  <c r="W453" i="18"/>
  <c r="V453" i="18"/>
  <c r="X445" i="18"/>
  <c r="W445" i="18"/>
  <c r="V445" i="18"/>
  <c r="X469" i="18"/>
  <c r="W469" i="18"/>
  <c r="V469" i="18"/>
  <c r="X461" i="18"/>
  <c r="W461" i="18"/>
  <c r="V461" i="18"/>
  <c r="X452" i="18"/>
  <c r="W452" i="18"/>
  <c r="V452" i="18"/>
  <c r="X444" i="18"/>
  <c r="W444" i="18"/>
  <c r="V444" i="18"/>
  <c r="X468" i="18"/>
  <c r="W468" i="18"/>
  <c r="V468" i="18"/>
  <c r="X460" i="18"/>
  <c r="W460" i="18"/>
  <c r="V460" i="18"/>
  <c r="X487" i="18"/>
  <c r="W487" i="18"/>
  <c r="V487" i="18"/>
  <c r="X486" i="18"/>
  <c r="W486" i="18"/>
  <c r="V486" i="18"/>
  <c r="X485" i="18"/>
  <c r="W485" i="18"/>
  <c r="V485" i="18"/>
  <c r="X484" i="18"/>
  <c r="W484" i="18"/>
  <c r="V484" i="18"/>
  <c r="X483" i="18"/>
  <c r="W483" i="18"/>
  <c r="V483" i="18"/>
  <c r="X537" i="18"/>
  <c r="W537" i="18"/>
  <c r="V537" i="18"/>
  <c r="X536" i="18"/>
  <c r="W536" i="18"/>
  <c r="V536" i="18"/>
  <c r="X535" i="18"/>
  <c r="W535" i="18"/>
  <c r="V535" i="18"/>
  <c r="X534" i="18"/>
  <c r="W534" i="18"/>
  <c r="V534" i="18"/>
  <c r="X533" i="18"/>
  <c r="W533" i="18"/>
  <c r="V533" i="18"/>
  <c r="X532" i="18"/>
  <c r="W532" i="18"/>
  <c r="V532" i="18"/>
  <c r="X531" i="18"/>
  <c r="W531" i="18"/>
  <c r="V531" i="18"/>
  <c r="X530" i="18"/>
  <c r="W530" i="18"/>
  <c r="V530" i="18"/>
  <c r="X529" i="18"/>
  <c r="W529" i="18"/>
  <c r="V529" i="18"/>
  <c r="X528" i="18"/>
  <c r="W528" i="18"/>
  <c r="V528" i="18"/>
  <c r="X527" i="18"/>
  <c r="W527" i="18"/>
  <c r="V527" i="18"/>
  <c r="X526" i="18"/>
  <c r="W526" i="18"/>
  <c r="V526" i="18"/>
  <c r="X525" i="18"/>
  <c r="W525" i="18"/>
  <c r="V525" i="18"/>
  <c r="X524" i="18"/>
  <c r="W524" i="18"/>
  <c r="V524" i="18"/>
  <c r="X523" i="18"/>
  <c r="W523" i="18"/>
  <c r="V523" i="18"/>
  <c r="X522" i="18"/>
  <c r="W522" i="18"/>
  <c r="V522" i="18"/>
  <c r="X513" i="18"/>
  <c r="W513" i="18"/>
  <c r="V513" i="18"/>
  <c r="X512" i="18"/>
  <c r="W512" i="18"/>
  <c r="V512" i="18"/>
  <c r="X511" i="18"/>
  <c r="W511" i="18"/>
  <c r="V511" i="18"/>
  <c r="X510" i="18"/>
  <c r="W510" i="18"/>
  <c r="V510" i="18"/>
  <c r="X509" i="18"/>
  <c r="W509" i="18"/>
  <c r="V509" i="18"/>
  <c r="X508" i="18"/>
  <c r="W508" i="18"/>
  <c r="V508" i="18"/>
  <c r="X507" i="18"/>
  <c r="W507" i="18"/>
  <c r="V507" i="18"/>
  <c r="X506" i="18"/>
  <c r="W506" i="18"/>
  <c r="V506" i="18"/>
  <c r="X521" i="18"/>
  <c r="W521" i="18"/>
  <c r="V521" i="18"/>
  <c r="X520" i="18"/>
  <c r="W520" i="18"/>
  <c r="V520" i="18"/>
  <c r="X519" i="18"/>
  <c r="W519" i="18"/>
  <c r="V519" i="18"/>
  <c r="X518" i="18"/>
  <c r="W518" i="18"/>
  <c r="V518" i="18"/>
  <c r="X517" i="18"/>
  <c r="W517" i="18"/>
  <c r="V517" i="18"/>
  <c r="X516" i="18"/>
  <c r="W516" i="18"/>
  <c r="V516" i="18"/>
  <c r="X515" i="18"/>
  <c r="W515" i="18"/>
  <c r="V515" i="18"/>
  <c r="X514" i="18"/>
  <c r="W514" i="18"/>
  <c r="V514" i="18"/>
  <c r="X719" i="18"/>
  <c r="W719" i="18"/>
  <c r="V719" i="18"/>
  <c r="X718" i="18"/>
  <c r="W718" i="18"/>
  <c r="V718" i="18"/>
  <c r="X717" i="18"/>
  <c r="W717" i="18"/>
  <c r="V717" i="18"/>
  <c r="X697" i="18"/>
  <c r="W697" i="18"/>
  <c r="V697" i="18"/>
  <c r="X696" i="18"/>
  <c r="W696" i="18"/>
  <c r="V696" i="18"/>
  <c r="X695" i="18"/>
  <c r="W695" i="18"/>
  <c r="V695" i="18"/>
  <c r="X720" i="18"/>
  <c r="W720" i="18"/>
  <c r="V720" i="18"/>
  <c r="X708" i="18"/>
  <c r="W708" i="18"/>
  <c r="V708" i="18"/>
  <c r="X648" i="18"/>
  <c r="W648" i="18"/>
  <c r="V648" i="18"/>
  <c r="X680" i="18"/>
  <c r="W680" i="18"/>
  <c r="V680" i="18"/>
  <c r="X640" i="18"/>
  <c r="W640" i="18"/>
  <c r="V640" i="18"/>
  <c r="X639" i="18"/>
  <c r="W639" i="18"/>
  <c r="V639" i="18"/>
  <c r="X638" i="18"/>
  <c r="W638" i="18"/>
  <c r="V638" i="18"/>
  <c r="X637" i="18"/>
  <c r="W637" i="18"/>
  <c r="V637" i="18"/>
  <c r="X656" i="18"/>
  <c r="W656" i="18"/>
  <c r="V656" i="18"/>
  <c r="X655" i="18"/>
  <c r="W655" i="18"/>
  <c r="V655" i="18"/>
  <c r="X654" i="18"/>
  <c r="W654" i="18"/>
  <c r="V654" i="18"/>
  <c r="X653" i="18"/>
  <c r="W653" i="18"/>
  <c r="V653" i="18"/>
  <c r="X569" i="18"/>
  <c r="W569" i="18"/>
  <c r="V569" i="18"/>
  <c r="X568" i="18"/>
  <c r="W568" i="18"/>
  <c r="V568" i="18"/>
  <c r="X567" i="18"/>
  <c r="W567" i="18"/>
  <c r="V567" i="18"/>
  <c r="X566" i="18"/>
  <c r="W566" i="18"/>
  <c r="V566" i="18"/>
  <c r="X565" i="18"/>
  <c r="W565" i="18"/>
  <c r="V565" i="18"/>
  <c r="X564" i="18"/>
  <c r="W564" i="18"/>
  <c r="V564" i="18"/>
  <c r="X573" i="18"/>
  <c r="W573" i="18"/>
  <c r="V573" i="18"/>
  <c r="X572" i="18"/>
  <c r="W572" i="18"/>
  <c r="V572" i="18"/>
  <c r="X647" i="18"/>
  <c r="W647" i="18"/>
  <c r="V647" i="18"/>
  <c r="X646" i="18"/>
  <c r="W646" i="18"/>
  <c r="V646" i="18"/>
  <c r="X645" i="18"/>
  <c r="W645" i="18"/>
  <c r="V645" i="18"/>
  <c r="X563" i="18"/>
  <c r="W563" i="18"/>
  <c r="V563" i="18"/>
  <c r="X562" i="18"/>
  <c r="W562" i="18"/>
  <c r="V562" i="18"/>
  <c r="X561" i="18"/>
  <c r="W561" i="18"/>
  <c r="V561" i="18"/>
  <c r="X610" i="18"/>
  <c r="W610" i="18"/>
  <c r="V610" i="18"/>
  <c r="X606" i="18"/>
  <c r="W606" i="18"/>
  <c r="V606" i="18"/>
  <c r="X609" i="18"/>
  <c r="W609" i="18"/>
  <c r="V609" i="18"/>
  <c r="X605" i="18"/>
  <c r="W605" i="18"/>
  <c r="V605" i="18"/>
  <c r="X608" i="18"/>
  <c r="W608" i="18"/>
  <c r="V608" i="18"/>
  <c r="X604" i="18"/>
  <c r="W604" i="18"/>
  <c r="V604" i="18"/>
  <c r="X607" i="18"/>
  <c r="W607" i="18"/>
  <c r="V607" i="18"/>
  <c r="X603" i="18"/>
  <c r="W603" i="18"/>
  <c r="V603" i="18"/>
  <c r="X684" i="18"/>
  <c r="W684" i="18"/>
  <c r="V684" i="18"/>
  <c r="X683" i="18"/>
  <c r="W683" i="18"/>
  <c r="V683" i="18"/>
  <c r="X682" i="18"/>
  <c r="W682" i="18"/>
  <c r="V682" i="18"/>
  <c r="X681" i="18"/>
  <c r="W681" i="18"/>
  <c r="V681" i="18"/>
  <c r="X411" i="18"/>
  <c r="W411" i="18"/>
  <c r="V411" i="18"/>
  <c r="X428" i="18"/>
  <c r="W428" i="18"/>
  <c r="V428" i="18"/>
  <c r="X427" i="18"/>
  <c r="W427" i="18"/>
  <c r="V427" i="18"/>
  <c r="X552" i="18"/>
  <c r="W552" i="18"/>
  <c r="V552" i="18"/>
  <c r="X551" i="18"/>
  <c r="W551" i="18"/>
  <c r="V551" i="18"/>
  <c r="X550" i="18"/>
  <c r="W550" i="18"/>
  <c r="V550" i="18"/>
  <c r="X664" i="18"/>
  <c r="W664" i="18"/>
  <c r="V664" i="18"/>
  <c r="X663" i="18"/>
  <c r="W663" i="18"/>
  <c r="V663" i="18"/>
  <c r="X662" i="18"/>
  <c r="W662" i="18"/>
  <c r="V662" i="18"/>
  <c r="X661" i="18"/>
  <c r="W661" i="18"/>
  <c r="V661" i="18"/>
  <c r="X660" i="18"/>
  <c r="W660" i="18"/>
  <c r="V660" i="18"/>
  <c r="X659" i="18"/>
  <c r="W659" i="18"/>
  <c r="V659" i="18"/>
  <c r="X658" i="18"/>
  <c r="W658" i="18"/>
  <c r="V658" i="18"/>
  <c r="X657" i="18"/>
  <c r="W657" i="18"/>
  <c r="V657" i="18"/>
  <c r="X591" i="18"/>
  <c r="W591" i="18"/>
  <c r="V591" i="18"/>
  <c r="X590" i="18"/>
  <c r="W590" i="18"/>
  <c r="V590" i="18"/>
  <c r="X589" i="18"/>
  <c r="W589" i="18"/>
  <c r="V589" i="18"/>
  <c r="X588" i="18"/>
  <c r="W588" i="18"/>
  <c r="V588" i="18"/>
  <c r="X587" i="18"/>
  <c r="W587" i="18"/>
  <c r="V587" i="18"/>
  <c r="X586" i="18"/>
  <c r="W586" i="18"/>
  <c r="V586" i="18"/>
  <c r="X585" i="18"/>
  <c r="W585" i="18"/>
  <c r="V585" i="18"/>
  <c r="X703" i="18"/>
  <c r="W703" i="18"/>
  <c r="V703" i="18"/>
  <c r="X702" i="18"/>
  <c r="W702" i="18"/>
  <c r="V702" i="18"/>
  <c r="X701" i="18"/>
  <c r="W701" i="18"/>
  <c r="V701" i="18"/>
  <c r="X700" i="18"/>
  <c r="W700" i="18"/>
  <c r="V700" i="18"/>
  <c r="X699" i="18"/>
  <c r="W699" i="18"/>
  <c r="V699" i="18"/>
  <c r="X698" i="18"/>
  <c r="W698" i="18"/>
  <c r="V698" i="18"/>
  <c r="X694" i="18"/>
  <c r="W694" i="18"/>
  <c r="V694" i="18"/>
  <c r="X693" i="18"/>
  <c r="W693" i="18"/>
  <c r="V693" i="18"/>
  <c r="X692" i="18"/>
  <c r="W692" i="18"/>
  <c r="V692" i="18"/>
  <c r="X691" i="18"/>
  <c r="W691" i="18"/>
  <c r="V691" i="18"/>
  <c r="X690" i="18"/>
  <c r="W690" i="18"/>
  <c r="V690" i="18"/>
  <c r="X689" i="18"/>
  <c r="W689" i="18"/>
  <c r="V689" i="18"/>
  <c r="X581" i="18"/>
  <c r="W581" i="18"/>
  <c r="V581" i="18"/>
  <c r="X580" i="18"/>
  <c r="W580" i="18"/>
  <c r="V580" i="18"/>
  <c r="X579" i="18"/>
  <c r="W579" i="18"/>
  <c r="V579" i="18"/>
  <c r="X578" i="18"/>
  <c r="W578" i="18"/>
  <c r="V578" i="18"/>
  <c r="X577" i="18"/>
  <c r="W577" i="18"/>
  <c r="V577" i="18"/>
  <c r="X576" i="18"/>
  <c r="W576" i="18"/>
  <c r="V576" i="18"/>
  <c r="X575" i="18"/>
  <c r="W575" i="18"/>
  <c r="V575" i="18"/>
  <c r="X574" i="18"/>
  <c r="W574" i="18"/>
  <c r="V574" i="18"/>
  <c r="X602" i="18"/>
  <c r="W602" i="18"/>
  <c r="V602" i="18"/>
  <c r="X601" i="18"/>
  <c r="W601" i="18"/>
  <c r="V601" i="18"/>
  <c r="X600" i="18"/>
  <c r="W600" i="18"/>
  <c r="V600" i="18"/>
  <c r="X599" i="18"/>
  <c r="W599" i="18"/>
  <c r="V599" i="18"/>
  <c r="X598" i="18"/>
  <c r="W598" i="18"/>
  <c r="V598" i="18"/>
  <c r="X597" i="18"/>
  <c r="W597" i="18"/>
  <c r="V597" i="18"/>
  <c r="X596" i="18"/>
  <c r="W596" i="18"/>
  <c r="V596" i="18"/>
  <c r="X595" i="18"/>
  <c r="W595" i="18"/>
  <c r="V595" i="18"/>
  <c r="X626" i="18"/>
  <c r="W626" i="18"/>
  <c r="V626" i="18"/>
  <c r="X625" i="18"/>
  <c r="W625" i="18"/>
  <c r="V625" i="18"/>
  <c r="X624" i="18"/>
  <c r="W624" i="18"/>
  <c r="V624" i="18"/>
  <c r="X623" i="18"/>
  <c r="W623" i="18"/>
  <c r="V623" i="18"/>
  <c r="X652" i="18"/>
  <c r="W652" i="18"/>
  <c r="V652" i="18"/>
  <c r="X651" i="18"/>
  <c r="W651" i="18"/>
  <c r="V651" i="18"/>
  <c r="X650" i="18"/>
  <c r="W650" i="18"/>
  <c r="V650" i="18"/>
  <c r="X649" i="18"/>
  <c r="W649" i="18"/>
  <c r="V649" i="18"/>
  <c r="X482" i="18"/>
  <c r="W482" i="18"/>
  <c r="V482" i="18"/>
  <c r="X481" i="18"/>
  <c r="W481" i="18"/>
  <c r="V481" i="18"/>
  <c r="X480" i="18"/>
  <c r="W480" i="18"/>
  <c r="V480" i="18"/>
  <c r="K480" i="18"/>
  <c r="X479" i="18"/>
  <c r="W479" i="18"/>
  <c r="V479" i="18"/>
  <c r="X402" i="18"/>
  <c r="W402" i="18"/>
  <c r="V402" i="18"/>
  <c r="X401" i="18"/>
  <c r="W401" i="18"/>
  <c r="V401" i="18"/>
  <c r="X400" i="18"/>
  <c r="W400" i="18"/>
  <c r="V400" i="18"/>
  <c r="X677" i="18"/>
  <c r="W677" i="18"/>
  <c r="V677" i="18"/>
  <c r="X676" i="18"/>
  <c r="W676" i="18"/>
  <c r="V676" i="18"/>
  <c r="X675" i="18"/>
  <c r="W675" i="18"/>
  <c r="V675" i="18"/>
  <c r="K675" i="18"/>
  <c r="X674" i="18"/>
  <c r="W674" i="18"/>
  <c r="V674" i="18"/>
  <c r="X673" i="18"/>
  <c r="W673" i="18"/>
  <c r="V673" i="18"/>
  <c r="X672" i="18"/>
  <c r="W672" i="18"/>
  <c r="V672" i="18"/>
  <c r="X671" i="18"/>
  <c r="W671" i="18"/>
  <c r="V671" i="18"/>
  <c r="X397" i="18"/>
  <c r="W397" i="18"/>
  <c r="V397" i="18"/>
  <c r="X396" i="18"/>
  <c r="W396" i="18"/>
  <c r="V396" i="18"/>
  <c r="X399" i="18"/>
  <c r="W399" i="18"/>
  <c r="V399" i="18"/>
  <c r="X398" i="18"/>
  <c r="W398" i="18"/>
  <c r="V398" i="18"/>
  <c r="X679" i="18"/>
  <c r="W679" i="18"/>
  <c r="V679" i="18"/>
  <c r="X678" i="18"/>
  <c r="W678" i="18"/>
  <c r="V678" i="18"/>
  <c r="X631" i="18"/>
  <c r="W631" i="18"/>
  <c r="V631" i="18"/>
  <c r="X630" i="18"/>
  <c r="W630" i="18"/>
  <c r="V630" i="18"/>
  <c r="X629" i="18"/>
  <c r="W629" i="18"/>
  <c r="V629" i="18"/>
  <c r="X628" i="18"/>
  <c r="W628" i="18"/>
  <c r="V628" i="18"/>
  <c r="X627" i="18"/>
  <c r="W627" i="18"/>
  <c r="V627" i="18"/>
  <c r="X547" i="18"/>
  <c r="W547" i="18"/>
  <c r="V547" i="18"/>
  <c r="X556" i="18"/>
  <c r="W556" i="18"/>
  <c r="V556" i="18"/>
  <c r="X545" i="18"/>
  <c r="W545" i="18"/>
  <c r="V545" i="18"/>
  <c r="X417" i="18"/>
  <c r="W417" i="18"/>
  <c r="V417" i="18"/>
  <c r="X414" i="18"/>
  <c r="W414" i="18"/>
  <c r="V414" i="18"/>
  <c r="X416" i="18"/>
  <c r="W416" i="18"/>
  <c r="V416" i="18"/>
  <c r="X413" i="18"/>
  <c r="W413" i="18"/>
  <c r="V413" i="18"/>
  <c r="X415" i="18"/>
  <c r="W415" i="18"/>
  <c r="V415" i="18"/>
  <c r="X412" i="18"/>
  <c r="W412" i="18"/>
  <c r="V412" i="18"/>
  <c r="X612" i="18"/>
  <c r="W612" i="18"/>
  <c r="V612" i="18"/>
  <c r="X611" i="18"/>
  <c r="W611" i="18"/>
  <c r="V611" i="18"/>
  <c r="X622" i="18"/>
  <c r="W622" i="18"/>
  <c r="V622" i="18"/>
  <c r="X621" i="18"/>
  <c r="W621" i="18"/>
  <c r="V621" i="18"/>
  <c r="X584" i="18"/>
  <c r="W584" i="18"/>
  <c r="V584" i="18"/>
  <c r="X583" i="18"/>
  <c r="W583" i="18"/>
  <c r="V583" i="18"/>
  <c r="X582" i="18"/>
  <c r="W582" i="18"/>
  <c r="V582" i="18"/>
  <c r="X426" i="18"/>
  <c r="W426" i="18"/>
  <c r="V426" i="18"/>
  <c r="X425" i="18"/>
  <c r="W425" i="18"/>
  <c r="V425" i="18"/>
  <c r="X424" i="18"/>
  <c r="W424" i="18"/>
  <c r="V424" i="18"/>
  <c r="X423" i="18"/>
  <c r="W423" i="18"/>
  <c r="V423" i="18"/>
  <c r="X422" i="18"/>
  <c r="W422" i="18"/>
  <c r="V422" i="18"/>
  <c r="X421" i="18"/>
  <c r="W421" i="18"/>
  <c r="V421" i="18"/>
  <c r="X420" i="18"/>
  <c r="W420" i="18"/>
  <c r="V420" i="18"/>
  <c r="K420" i="18"/>
  <c r="X419" i="18"/>
  <c r="W419" i="18"/>
  <c r="V419" i="18"/>
  <c r="X418" i="18"/>
  <c r="W418" i="18"/>
  <c r="V418" i="18"/>
  <c r="X555" i="18"/>
  <c r="W555" i="18"/>
  <c r="V555" i="18"/>
  <c r="X554" i="18"/>
  <c r="W554" i="18"/>
  <c r="V554" i="18"/>
  <c r="X553" i="18"/>
  <c r="W553" i="18"/>
  <c r="V553" i="18"/>
  <c r="X549" i="18"/>
  <c r="W549" i="18"/>
  <c r="V549" i="18"/>
  <c r="X548" i="18"/>
  <c r="W548" i="18"/>
  <c r="V548" i="18"/>
  <c r="X496" i="18"/>
  <c r="W496" i="18"/>
  <c r="V496" i="18"/>
  <c r="X495" i="18"/>
  <c r="W495" i="18"/>
  <c r="V495" i="18"/>
  <c r="X494" i="18"/>
  <c r="W494" i="18"/>
  <c r="V494" i="18"/>
  <c r="X546" i="18"/>
  <c r="W546" i="18"/>
  <c r="V546" i="18"/>
  <c r="X478" i="18"/>
  <c r="W478" i="18"/>
  <c r="V478" i="18"/>
  <c r="X477" i="18"/>
  <c r="W477" i="18"/>
  <c r="V477" i="18"/>
  <c r="X476" i="18"/>
  <c r="W476" i="18"/>
  <c r="V476" i="18"/>
  <c r="X594" i="18"/>
  <c r="W594" i="18"/>
  <c r="V594" i="18"/>
  <c r="X593" i="18"/>
  <c r="W593" i="18"/>
  <c r="V593" i="18"/>
  <c r="X592" i="18"/>
  <c r="W592" i="18"/>
  <c r="V592" i="18"/>
  <c r="X544" i="18"/>
  <c r="W544" i="18"/>
  <c r="V544" i="18"/>
  <c r="X559" i="18"/>
  <c r="W559" i="18"/>
  <c r="V559" i="18"/>
  <c r="X558" i="18"/>
  <c r="W558" i="18"/>
  <c r="V558" i="18"/>
  <c r="X707" i="18"/>
  <c r="W707" i="18"/>
  <c r="V707" i="18"/>
  <c r="X706" i="18"/>
  <c r="W706" i="18"/>
  <c r="V706" i="18"/>
  <c r="X705" i="18"/>
  <c r="W705" i="18"/>
  <c r="V705" i="18"/>
  <c r="X704" i="18"/>
  <c r="W704" i="18"/>
  <c r="V704" i="18"/>
  <c r="X712" i="18"/>
  <c r="W712" i="18"/>
  <c r="V712" i="18"/>
  <c r="X711" i="18"/>
  <c r="W711" i="18"/>
  <c r="V711" i="18"/>
  <c r="X710" i="18"/>
  <c r="W710" i="18"/>
  <c r="V710" i="18"/>
  <c r="X709" i="18"/>
  <c r="W709" i="18"/>
  <c r="V709" i="18"/>
  <c r="X616" i="18"/>
  <c r="W616" i="18"/>
  <c r="V616" i="18"/>
  <c r="X615" i="18"/>
  <c r="W615" i="18"/>
  <c r="V615" i="18"/>
  <c r="X614" i="18"/>
  <c r="W614" i="18"/>
  <c r="V614" i="18"/>
  <c r="X613" i="18"/>
  <c r="W613" i="18"/>
  <c r="V613" i="18"/>
  <c r="X688" i="18"/>
  <c r="W688" i="18"/>
  <c r="V688" i="18"/>
  <c r="X687" i="18"/>
  <c r="W687" i="18"/>
  <c r="V687" i="18"/>
  <c r="X686" i="18"/>
  <c r="W686" i="18"/>
  <c r="V686" i="18"/>
  <c r="X685" i="18"/>
  <c r="W685" i="18"/>
  <c r="V685" i="18"/>
  <c r="X620" i="18"/>
  <c r="W620" i="18"/>
  <c r="V620" i="18"/>
  <c r="X619" i="18"/>
  <c r="W619" i="18"/>
  <c r="V619" i="18"/>
  <c r="X618" i="18"/>
  <c r="W618" i="18"/>
  <c r="V618" i="18"/>
  <c r="X617" i="18"/>
  <c r="W617" i="18"/>
  <c r="V617" i="18"/>
  <c r="X636" i="18"/>
  <c r="W636" i="18"/>
  <c r="V636" i="18"/>
  <c r="X635" i="18"/>
  <c r="W635" i="18"/>
  <c r="V635" i="18"/>
  <c r="X634" i="18"/>
  <c r="W634" i="18"/>
  <c r="V634" i="18"/>
  <c r="X633" i="18"/>
  <c r="W633" i="18"/>
  <c r="V633" i="18"/>
  <c r="X632" i="18"/>
  <c r="W632" i="18"/>
  <c r="V632" i="18"/>
  <c r="X716" i="18"/>
  <c r="W716" i="18"/>
  <c r="V716" i="18"/>
  <c r="X715" i="18"/>
  <c r="W715" i="18"/>
  <c r="V715" i="18"/>
  <c r="X714" i="18"/>
  <c r="W714" i="18"/>
  <c r="V714" i="18"/>
  <c r="X713" i="18"/>
  <c r="W713" i="18"/>
  <c r="V713" i="18"/>
  <c r="X560" i="18"/>
  <c r="W560" i="18"/>
  <c r="V560" i="18"/>
  <c r="X557" i="18"/>
  <c r="W557" i="18"/>
  <c r="V557" i="18"/>
  <c r="X500" i="18"/>
  <c r="W500" i="18"/>
  <c r="V500" i="18"/>
  <c r="X498" i="18"/>
  <c r="W498" i="18"/>
  <c r="V498" i="18"/>
  <c r="X499" i="18"/>
  <c r="W499" i="18"/>
  <c r="V499" i="18"/>
  <c r="X497" i="18"/>
  <c r="W497" i="18"/>
  <c r="V497" i="18"/>
  <c r="X493" i="18"/>
  <c r="W493" i="18"/>
  <c r="V493" i="18"/>
  <c r="X490" i="18"/>
  <c r="W490" i="18"/>
  <c r="V490" i="18"/>
  <c r="X492" i="18"/>
  <c r="W492" i="18"/>
  <c r="V492" i="18"/>
  <c r="X489" i="18"/>
  <c r="W489" i="18"/>
  <c r="V489" i="18"/>
  <c r="X491" i="18"/>
  <c r="W491" i="18"/>
  <c r="V491" i="18"/>
  <c r="X488" i="18"/>
  <c r="W488" i="18"/>
  <c r="V488" i="18"/>
  <c r="X443" i="18"/>
  <c r="W443" i="18"/>
  <c r="V443" i="18"/>
  <c r="X438" i="18"/>
  <c r="W438" i="18"/>
  <c r="V438" i="18"/>
  <c r="X433" i="18"/>
  <c r="W433" i="18"/>
  <c r="V433" i="18"/>
  <c r="X442" i="18"/>
  <c r="W442" i="18"/>
  <c r="V442" i="18"/>
  <c r="X437" i="18"/>
  <c r="W437" i="18"/>
  <c r="V437" i="18"/>
  <c r="X432" i="18"/>
  <c r="W432" i="18"/>
  <c r="V432" i="18"/>
  <c r="X441" i="18"/>
  <c r="W441" i="18"/>
  <c r="V441" i="18"/>
  <c r="X436" i="18"/>
  <c r="W436" i="18"/>
  <c r="V436" i="18"/>
  <c r="X431" i="18"/>
  <c r="W431" i="18"/>
  <c r="V431" i="18"/>
  <c r="X440" i="18"/>
  <c r="W440" i="18"/>
  <c r="V440" i="18"/>
  <c r="K440" i="18"/>
  <c r="X435" i="18"/>
  <c r="W435" i="18"/>
  <c r="V435" i="18"/>
  <c r="K435" i="18"/>
  <c r="X430" i="18"/>
  <c r="W430" i="18"/>
  <c r="V430" i="18"/>
  <c r="K430" i="18"/>
  <c r="X439" i="18"/>
  <c r="W439" i="18"/>
  <c r="V439" i="18"/>
  <c r="X434" i="18"/>
  <c r="W434" i="18"/>
  <c r="V434" i="18"/>
  <c r="X429" i="18"/>
  <c r="W429" i="18"/>
  <c r="V429" i="18"/>
  <c r="X571" i="18"/>
  <c r="W571" i="18"/>
  <c r="V571" i="18"/>
  <c r="X570" i="18"/>
  <c r="W570" i="18"/>
  <c r="V570" i="18"/>
  <c r="X408" i="18"/>
  <c r="W408" i="18"/>
  <c r="V408" i="18"/>
  <c r="X407" i="18"/>
  <c r="W407" i="18"/>
  <c r="V407" i="18"/>
  <c r="X670" i="18"/>
  <c r="W670" i="18"/>
  <c r="V670" i="18"/>
  <c r="X665" i="18"/>
  <c r="W665" i="18"/>
  <c r="V665" i="18"/>
  <c r="X406" i="18"/>
  <c r="W406" i="18"/>
  <c r="V406" i="18"/>
  <c r="X404" i="18"/>
  <c r="W404" i="18"/>
  <c r="V404" i="18"/>
  <c r="X405" i="18"/>
  <c r="W405" i="18"/>
  <c r="V405" i="18"/>
  <c r="X403" i="18"/>
  <c r="W403" i="18"/>
  <c r="V403" i="18"/>
  <c r="Y348" i="18"/>
  <c r="X348" i="18"/>
  <c r="W348" i="18"/>
  <c r="V348" i="18"/>
  <c r="Y347" i="18"/>
  <c r="X347" i="18"/>
  <c r="W347" i="18"/>
  <c r="V347" i="18"/>
  <c r="Y346" i="18"/>
  <c r="X346" i="18"/>
  <c r="W346" i="18"/>
  <c r="V346" i="18"/>
  <c r="Y345" i="18"/>
  <c r="X345" i="18"/>
  <c r="W345" i="18"/>
  <c r="V345" i="18"/>
  <c r="Y314" i="18"/>
  <c r="X314" i="18"/>
  <c r="W314" i="18"/>
  <c r="V314" i="18"/>
  <c r="Y268" i="18"/>
  <c r="X268" i="18"/>
  <c r="W268" i="18"/>
  <c r="V268" i="18"/>
  <c r="Y267" i="18"/>
  <c r="X267" i="18"/>
  <c r="W267" i="18"/>
  <c r="V267" i="18"/>
  <c r="Y168" i="18"/>
  <c r="X168" i="18"/>
  <c r="W168" i="18"/>
  <c r="V168" i="18"/>
  <c r="Y167" i="18"/>
  <c r="X167" i="18"/>
  <c r="W167" i="18"/>
  <c r="V167" i="18"/>
  <c r="Y166" i="18"/>
  <c r="X166" i="18"/>
  <c r="W166" i="18"/>
  <c r="V166" i="18"/>
  <c r="Y165" i="18"/>
  <c r="X165" i="18"/>
  <c r="W165" i="18"/>
  <c r="V165" i="18"/>
  <c r="Y156" i="18"/>
  <c r="X156" i="18"/>
  <c r="W156" i="18"/>
  <c r="V156" i="18"/>
  <c r="Y155" i="18"/>
  <c r="X155" i="18"/>
  <c r="W155" i="18"/>
  <c r="V155" i="18"/>
  <c r="Y154" i="18"/>
  <c r="X154" i="18"/>
  <c r="W154" i="18"/>
  <c r="V154" i="18"/>
  <c r="Y335" i="18"/>
  <c r="X335" i="18"/>
  <c r="W335" i="18"/>
  <c r="V335" i="18"/>
  <c r="Y334" i="18"/>
  <c r="X334" i="18"/>
  <c r="W334" i="18"/>
  <c r="V334" i="18"/>
  <c r="Y333" i="18"/>
  <c r="X333" i="18"/>
  <c r="W333" i="18"/>
  <c r="V333" i="18"/>
  <c r="Y313" i="18"/>
  <c r="X313" i="18"/>
  <c r="W313" i="18"/>
  <c r="V313" i="18"/>
  <c r="Y312" i="18"/>
  <c r="X312" i="18"/>
  <c r="W312" i="18"/>
  <c r="V312" i="18"/>
  <c r="Y311" i="18"/>
  <c r="X311" i="18"/>
  <c r="W311" i="18"/>
  <c r="V311" i="18"/>
  <c r="Y310" i="18"/>
  <c r="X310" i="18"/>
  <c r="W310" i="18"/>
  <c r="V310" i="18"/>
  <c r="Y309" i="18"/>
  <c r="X309" i="18"/>
  <c r="W309" i="18"/>
  <c r="V309" i="18"/>
  <c r="Y113" i="18"/>
  <c r="X113" i="18"/>
  <c r="W113" i="18"/>
  <c r="V113" i="18"/>
  <c r="Y112" i="18"/>
  <c r="X112" i="18"/>
  <c r="W112" i="18"/>
  <c r="V112" i="18"/>
  <c r="K112" i="18"/>
  <c r="Y392" i="18"/>
  <c r="X392" i="18"/>
  <c r="W392" i="18"/>
  <c r="V392" i="18"/>
  <c r="Y391" i="18"/>
  <c r="X391" i="18"/>
  <c r="W391" i="18"/>
  <c r="V391" i="18"/>
  <c r="Y390" i="18"/>
  <c r="X390" i="18"/>
  <c r="W390" i="18"/>
  <c r="V390" i="18"/>
  <c r="Y389" i="18"/>
  <c r="X389" i="18"/>
  <c r="W389" i="18"/>
  <c r="V389" i="18"/>
  <c r="Y395" i="18"/>
  <c r="X395" i="18"/>
  <c r="W395" i="18"/>
  <c r="V395" i="18"/>
  <c r="Y394" i="18"/>
  <c r="X394" i="18"/>
  <c r="W394" i="18"/>
  <c r="V394" i="18"/>
  <c r="Y393" i="18"/>
  <c r="X393" i="18"/>
  <c r="W393" i="18"/>
  <c r="V393" i="18"/>
  <c r="Y110" i="18"/>
  <c r="X110" i="18"/>
  <c r="W110" i="18"/>
  <c r="V110" i="18"/>
  <c r="K110" i="18"/>
  <c r="Y109" i="18"/>
  <c r="X109" i="18"/>
  <c r="W109" i="18"/>
  <c r="V109" i="18"/>
  <c r="K109" i="18"/>
  <c r="Y95" i="18"/>
  <c r="X95" i="18"/>
  <c r="W95" i="18"/>
  <c r="V95" i="18"/>
  <c r="K95" i="18"/>
  <c r="Y100" i="18"/>
  <c r="X100" i="18"/>
  <c r="W100" i="18"/>
  <c r="V100" i="18"/>
  <c r="K100" i="18"/>
  <c r="Y90" i="18"/>
  <c r="X90" i="18"/>
  <c r="W90" i="18"/>
  <c r="V90" i="18"/>
  <c r="Y89" i="18"/>
  <c r="X89" i="18"/>
  <c r="W89" i="18"/>
  <c r="V89" i="18"/>
  <c r="Y88" i="18"/>
  <c r="X88" i="18"/>
  <c r="W88" i="18"/>
  <c r="V88" i="18"/>
  <c r="Y305" i="18"/>
  <c r="X305" i="18"/>
  <c r="W305" i="18"/>
  <c r="V305" i="18"/>
  <c r="Y304" i="18"/>
  <c r="X304" i="18"/>
  <c r="W304" i="18"/>
  <c r="V304" i="18"/>
  <c r="Y62" i="18"/>
  <c r="X62" i="18"/>
  <c r="W62" i="18"/>
  <c r="V62" i="18"/>
  <c r="Y182" i="18"/>
  <c r="X182" i="18"/>
  <c r="W182" i="18"/>
  <c r="V182" i="18"/>
  <c r="Y187" i="18"/>
  <c r="X187" i="18"/>
  <c r="W187" i="18"/>
  <c r="V187" i="18"/>
  <c r="Y181" i="18"/>
  <c r="X181" i="18"/>
  <c r="W181" i="18"/>
  <c r="V181" i="18"/>
  <c r="Y186" i="18"/>
  <c r="X186" i="18"/>
  <c r="W186" i="18"/>
  <c r="V186" i="18"/>
  <c r="Y180" i="18"/>
  <c r="X180" i="18"/>
  <c r="W180" i="18"/>
  <c r="V180" i="18"/>
  <c r="Y185" i="18"/>
  <c r="X185" i="18"/>
  <c r="W185" i="18"/>
  <c r="V185" i="18"/>
  <c r="Y179" i="18"/>
  <c r="X179" i="18"/>
  <c r="W179" i="18"/>
  <c r="V179" i="18"/>
  <c r="Y184" i="18"/>
  <c r="X184" i="18"/>
  <c r="W184" i="18"/>
  <c r="V184" i="18"/>
  <c r="Y178" i="18"/>
  <c r="X178" i="18"/>
  <c r="W178" i="18"/>
  <c r="V178" i="18"/>
  <c r="Y183" i="18"/>
  <c r="X183" i="18"/>
  <c r="W183" i="18"/>
  <c r="V183" i="18"/>
  <c r="Y256" i="18"/>
  <c r="X256" i="18"/>
  <c r="W256" i="18"/>
  <c r="V256" i="18"/>
  <c r="K256" i="18"/>
  <c r="Y255" i="18"/>
  <c r="X255" i="18"/>
  <c r="W255" i="18"/>
  <c r="V255" i="18"/>
  <c r="Y254" i="18"/>
  <c r="X254" i="18"/>
  <c r="W254" i="18"/>
  <c r="V254" i="18"/>
  <c r="Y177" i="18"/>
  <c r="X177" i="18"/>
  <c r="W177" i="18"/>
  <c r="V177" i="18"/>
  <c r="Y176" i="18"/>
  <c r="X176" i="18"/>
  <c r="W176" i="18"/>
  <c r="V176" i="18"/>
  <c r="Y199" i="18"/>
  <c r="X199" i="18"/>
  <c r="W199" i="18"/>
  <c r="V199" i="18"/>
  <c r="Y380" i="18"/>
  <c r="X380" i="18"/>
  <c r="W380" i="18"/>
  <c r="V380" i="18"/>
  <c r="K380" i="18"/>
  <c r="Y379" i="18"/>
  <c r="X379" i="18"/>
  <c r="W379" i="18"/>
  <c r="V379" i="18"/>
  <c r="K379" i="18"/>
  <c r="Y378" i="18"/>
  <c r="X378" i="18"/>
  <c r="W378" i="18"/>
  <c r="V378" i="18"/>
  <c r="Y260" i="18"/>
  <c r="X260" i="18"/>
  <c r="W260" i="18"/>
  <c r="V260" i="18"/>
  <c r="Y259" i="18"/>
  <c r="X259" i="18"/>
  <c r="W259" i="18"/>
  <c r="V259" i="18"/>
  <c r="Y258" i="18"/>
  <c r="X258" i="18"/>
  <c r="W258" i="18"/>
  <c r="V258" i="18"/>
  <c r="Y257" i="18"/>
  <c r="X257" i="18"/>
  <c r="W257" i="18"/>
  <c r="V257" i="18"/>
  <c r="Y326" i="18"/>
  <c r="X326" i="18"/>
  <c r="W326" i="18"/>
  <c r="V326" i="18"/>
  <c r="Y221" i="18"/>
  <c r="X221" i="18"/>
  <c r="W221" i="18"/>
  <c r="V221" i="18"/>
  <c r="Y220" i="18"/>
  <c r="X220" i="18"/>
  <c r="W220" i="18"/>
  <c r="V220" i="18"/>
  <c r="Y219" i="18"/>
  <c r="X219" i="18"/>
  <c r="W219" i="18"/>
  <c r="V219" i="18"/>
  <c r="Y218" i="18"/>
  <c r="X218" i="18"/>
  <c r="W218" i="18"/>
  <c r="V218" i="18"/>
  <c r="Y217" i="18"/>
  <c r="X217" i="18"/>
  <c r="W217" i="18"/>
  <c r="V217" i="18"/>
  <c r="Y216" i="18"/>
  <c r="X216" i="18"/>
  <c r="W216" i="18"/>
  <c r="V216" i="18"/>
  <c r="Y92" i="18"/>
  <c r="X92" i="18"/>
  <c r="W92" i="18"/>
  <c r="V92" i="18"/>
  <c r="Y91" i="18"/>
  <c r="X91" i="18"/>
  <c r="W91" i="18"/>
  <c r="V91" i="18"/>
  <c r="Y143" i="18"/>
  <c r="X143" i="18"/>
  <c r="W143" i="18"/>
  <c r="V143" i="18"/>
  <c r="Y142" i="18"/>
  <c r="X142" i="18"/>
  <c r="W142" i="18"/>
  <c r="V142" i="18"/>
  <c r="Y141" i="18"/>
  <c r="X141" i="18"/>
  <c r="W141" i="18"/>
  <c r="V141" i="18"/>
  <c r="Y140" i="18"/>
  <c r="X140" i="18"/>
  <c r="W140" i="18"/>
  <c r="V140" i="18"/>
  <c r="K140" i="18"/>
  <c r="Y139" i="18"/>
  <c r="X139" i="18"/>
  <c r="W139" i="18"/>
  <c r="V139" i="18"/>
  <c r="Y138" i="18"/>
  <c r="X138" i="18"/>
  <c r="W138" i="18"/>
  <c r="V138" i="18"/>
  <c r="Y137" i="18"/>
  <c r="X137" i="18"/>
  <c r="W137" i="18"/>
  <c r="V137" i="18"/>
  <c r="Y136" i="18"/>
  <c r="X136" i="18"/>
  <c r="W136" i="18"/>
  <c r="V136" i="18"/>
  <c r="Y135" i="18"/>
  <c r="X135" i="18"/>
  <c r="W135" i="18"/>
  <c r="V135" i="18"/>
  <c r="Y274" i="18"/>
  <c r="X274" i="18"/>
  <c r="W274" i="18"/>
  <c r="V274" i="18"/>
  <c r="Y273" i="18"/>
  <c r="X273" i="18"/>
  <c r="W273" i="18"/>
  <c r="V273" i="18"/>
  <c r="Y272" i="18"/>
  <c r="X272" i="18"/>
  <c r="W272" i="18"/>
  <c r="V272" i="18"/>
  <c r="Y295" i="18"/>
  <c r="X295" i="18"/>
  <c r="W295" i="18"/>
  <c r="V295" i="18"/>
  <c r="Y294" i="18"/>
  <c r="X294" i="18"/>
  <c r="W294" i="18"/>
  <c r="V294" i="18"/>
  <c r="Y293" i="18"/>
  <c r="X293" i="18"/>
  <c r="W293" i="18"/>
  <c r="V293" i="18"/>
  <c r="Y375" i="18"/>
  <c r="X375" i="18"/>
  <c r="W375" i="18"/>
  <c r="V375" i="18"/>
  <c r="Y374" i="18"/>
  <c r="X374" i="18"/>
  <c r="W374" i="18"/>
  <c r="V374" i="18"/>
  <c r="Y373" i="18"/>
  <c r="X373" i="18"/>
  <c r="W373" i="18"/>
  <c r="V373" i="18"/>
  <c r="Y382" i="18"/>
  <c r="X382" i="18"/>
  <c r="W382" i="18"/>
  <c r="V382" i="18"/>
  <c r="K382" i="18"/>
  <c r="Y381" i="18"/>
  <c r="X381" i="18"/>
  <c r="W381" i="18"/>
  <c r="V381" i="18"/>
  <c r="Y337" i="18"/>
  <c r="X337" i="18"/>
  <c r="W337" i="18"/>
  <c r="V337" i="18"/>
  <c r="Y327" i="18"/>
  <c r="X327" i="18"/>
  <c r="W327" i="18"/>
  <c r="V327" i="18"/>
  <c r="Y276" i="18"/>
  <c r="X276" i="18"/>
  <c r="W276" i="18"/>
  <c r="V276" i="18"/>
  <c r="Y275" i="18"/>
  <c r="X275" i="18"/>
  <c r="W275" i="18"/>
  <c r="V275" i="18"/>
  <c r="Y292" i="18"/>
  <c r="X292" i="18"/>
  <c r="W292" i="18"/>
  <c r="V292" i="18"/>
  <c r="Y266" i="18"/>
  <c r="X266" i="18"/>
  <c r="W266" i="18"/>
  <c r="V266" i="18"/>
  <c r="Y265" i="18"/>
  <c r="X265" i="18"/>
  <c r="W265" i="18"/>
  <c r="V265" i="18"/>
  <c r="Y264" i="18"/>
  <c r="X264" i="18"/>
  <c r="W264" i="18"/>
  <c r="V264" i="18"/>
  <c r="Y377" i="18"/>
  <c r="X377" i="18"/>
  <c r="W377" i="18"/>
  <c r="V377" i="18"/>
  <c r="K377" i="18"/>
  <c r="Y376" i="18"/>
  <c r="X376" i="18"/>
  <c r="W376" i="18"/>
  <c r="V376" i="18"/>
  <c r="Y97" i="18"/>
  <c r="X97" i="18"/>
  <c r="W97" i="18"/>
  <c r="V97" i="18"/>
  <c r="Y96" i="18"/>
  <c r="X96" i="18"/>
  <c r="W96" i="18"/>
  <c r="V96" i="18"/>
  <c r="Y114" i="18"/>
  <c r="X114" i="18"/>
  <c r="W114" i="18"/>
  <c r="V114" i="18"/>
  <c r="K114" i="18"/>
  <c r="Y360" i="18"/>
  <c r="X360" i="18"/>
  <c r="W360" i="18"/>
  <c r="V360" i="18"/>
  <c r="Y359" i="18"/>
  <c r="X359" i="18"/>
  <c r="W359" i="18"/>
  <c r="V359" i="18"/>
  <c r="Y358" i="18"/>
  <c r="X358" i="18"/>
  <c r="W358" i="18"/>
  <c r="V358" i="18"/>
  <c r="Y308" i="18"/>
  <c r="X308" i="18"/>
  <c r="W308" i="18"/>
  <c r="V308" i="18"/>
  <c r="Y307" i="18"/>
  <c r="X307" i="18"/>
  <c r="W307" i="18"/>
  <c r="V307" i="18"/>
  <c r="Y306" i="18"/>
  <c r="X306" i="18"/>
  <c r="W306" i="18"/>
  <c r="V306" i="18"/>
  <c r="Y329" i="18"/>
  <c r="X329" i="18"/>
  <c r="W329" i="18"/>
  <c r="V329" i="18"/>
  <c r="Y328" i="18"/>
  <c r="X328" i="18"/>
  <c r="W328" i="18"/>
  <c r="V328" i="18"/>
  <c r="Y299" i="18"/>
  <c r="X299" i="18"/>
  <c r="W299" i="18"/>
  <c r="V299" i="18"/>
  <c r="Y298" i="18"/>
  <c r="X298" i="18"/>
  <c r="W298" i="18"/>
  <c r="V298" i="18"/>
  <c r="Y297" i="18"/>
  <c r="X297" i="18"/>
  <c r="W297" i="18"/>
  <c r="V297" i="18"/>
  <c r="Y296" i="18"/>
  <c r="X296" i="18"/>
  <c r="W296" i="18"/>
  <c r="V296" i="18"/>
  <c r="Y344" i="18"/>
  <c r="X344" i="18"/>
  <c r="W344" i="18"/>
  <c r="V344" i="18"/>
  <c r="Y343" i="18"/>
  <c r="X343" i="18"/>
  <c r="W343" i="18"/>
  <c r="V343" i="18"/>
  <c r="Y175" i="18"/>
  <c r="X175" i="18"/>
  <c r="W175" i="18"/>
  <c r="V175" i="18"/>
  <c r="Y174" i="18"/>
  <c r="X174" i="18"/>
  <c r="W174" i="18"/>
  <c r="V174" i="18"/>
  <c r="Y323" i="18"/>
  <c r="X323" i="18"/>
  <c r="W323" i="18"/>
  <c r="V323" i="18"/>
  <c r="Y322" i="18"/>
  <c r="X322" i="18"/>
  <c r="W322" i="18"/>
  <c r="V322" i="18"/>
  <c r="Y291" i="18"/>
  <c r="X291" i="18"/>
  <c r="W291" i="18"/>
  <c r="V291" i="18"/>
  <c r="Y290" i="18"/>
  <c r="X290" i="18"/>
  <c r="W290" i="18"/>
  <c r="V290" i="18"/>
  <c r="Y289" i="18"/>
  <c r="X289" i="18"/>
  <c r="W289" i="18"/>
  <c r="V289" i="18"/>
  <c r="Y288" i="18"/>
  <c r="X288" i="18"/>
  <c r="W288" i="18"/>
  <c r="V288" i="18"/>
  <c r="Y261" i="18"/>
  <c r="X261" i="18"/>
  <c r="W261" i="18"/>
  <c r="V261" i="18"/>
  <c r="Y342" i="18"/>
  <c r="X342" i="18"/>
  <c r="W342" i="18"/>
  <c r="V342" i="18"/>
  <c r="Y341" i="18"/>
  <c r="X341" i="18"/>
  <c r="W341" i="18"/>
  <c r="V341" i="18"/>
  <c r="Y340" i="18"/>
  <c r="X340" i="18"/>
  <c r="W340" i="18"/>
  <c r="V340" i="18"/>
  <c r="Y339" i="18"/>
  <c r="X339" i="18"/>
  <c r="W339" i="18"/>
  <c r="V339" i="18"/>
  <c r="Y352" i="18"/>
  <c r="X352" i="18"/>
  <c r="W352" i="18"/>
  <c r="V352" i="18"/>
  <c r="Y351" i="18"/>
  <c r="X351" i="18"/>
  <c r="W351" i="18"/>
  <c r="V351" i="18"/>
  <c r="Y350" i="18"/>
  <c r="X350" i="18"/>
  <c r="W350" i="18"/>
  <c r="V350" i="18"/>
  <c r="Y349" i="18"/>
  <c r="X349" i="18"/>
  <c r="W349" i="18"/>
  <c r="V349" i="18"/>
  <c r="Y99" i="18"/>
  <c r="X99" i="18"/>
  <c r="W99" i="18"/>
  <c r="V99" i="18"/>
  <c r="K99" i="18"/>
  <c r="Y98" i="18"/>
  <c r="X98" i="18"/>
  <c r="W98" i="18"/>
  <c r="V98" i="18"/>
  <c r="Y301" i="18"/>
  <c r="X301" i="18"/>
  <c r="W301" i="18"/>
  <c r="V301" i="18"/>
  <c r="Y300" i="18"/>
  <c r="X300" i="18"/>
  <c r="W300" i="18"/>
  <c r="V300" i="18"/>
  <c r="Y263" i="18"/>
  <c r="X263" i="18"/>
  <c r="W263" i="18"/>
  <c r="V263" i="18"/>
  <c r="Y262" i="18"/>
  <c r="X262" i="18"/>
  <c r="W262" i="18"/>
  <c r="V262" i="18"/>
  <c r="Y127" i="18"/>
  <c r="X127" i="18"/>
  <c r="W127" i="18"/>
  <c r="V127" i="18"/>
  <c r="Y126" i="18"/>
  <c r="X126" i="18"/>
  <c r="W126" i="18"/>
  <c r="V126" i="18"/>
  <c r="Y125" i="18"/>
  <c r="X125" i="18"/>
  <c r="W125" i="18"/>
  <c r="V125" i="18"/>
  <c r="Y124" i="18"/>
  <c r="X124" i="18"/>
  <c r="W124" i="18"/>
  <c r="V124" i="18"/>
  <c r="K124" i="18"/>
  <c r="Y123" i="18"/>
  <c r="X123" i="18"/>
  <c r="W123" i="18"/>
  <c r="V123" i="18"/>
  <c r="Y122" i="18"/>
  <c r="X122" i="18"/>
  <c r="W122" i="18"/>
  <c r="V122" i="18"/>
  <c r="Y121" i="18"/>
  <c r="X121" i="18"/>
  <c r="W121" i="18"/>
  <c r="V121" i="18"/>
  <c r="Y144" i="18"/>
  <c r="X144" i="18"/>
  <c r="W144" i="18"/>
  <c r="V144" i="18"/>
  <c r="Y145" i="18"/>
  <c r="X145" i="18"/>
  <c r="W145" i="18"/>
  <c r="V145" i="18"/>
  <c r="Y215" i="18"/>
  <c r="X215" i="18"/>
  <c r="W215" i="18"/>
  <c r="V215" i="18"/>
  <c r="Y214" i="18"/>
  <c r="X214" i="18"/>
  <c r="W214" i="18"/>
  <c r="V214" i="18"/>
  <c r="Y213" i="18"/>
  <c r="X213" i="18"/>
  <c r="W213" i="18"/>
  <c r="V213" i="18"/>
  <c r="Y212" i="18"/>
  <c r="X212" i="18"/>
  <c r="W212" i="18"/>
  <c r="V212" i="18"/>
  <c r="Y211" i="18"/>
  <c r="X211" i="18"/>
  <c r="W211" i="18"/>
  <c r="V211" i="18"/>
  <c r="Y210" i="18"/>
  <c r="X210" i="18"/>
  <c r="W210" i="18"/>
  <c r="V210" i="18"/>
  <c r="Y209" i="18"/>
  <c r="X209" i="18"/>
  <c r="W209" i="18"/>
  <c r="V209" i="18"/>
  <c r="Y208" i="18"/>
  <c r="X208" i="18"/>
  <c r="W208" i="18"/>
  <c r="V208" i="18"/>
  <c r="Y207" i="18"/>
  <c r="X207" i="18"/>
  <c r="W207" i="18"/>
  <c r="V207" i="18"/>
  <c r="Y206" i="18"/>
  <c r="X206" i="18"/>
  <c r="W206" i="18"/>
  <c r="V206" i="18"/>
  <c r="Y205" i="18"/>
  <c r="X205" i="18"/>
  <c r="W205" i="18"/>
  <c r="V205" i="18"/>
  <c r="Y229" i="18"/>
  <c r="X229" i="18"/>
  <c r="W229" i="18"/>
  <c r="V229" i="18"/>
  <c r="Y245" i="18"/>
  <c r="X245" i="18"/>
  <c r="W245" i="18"/>
  <c r="V245" i="18"/>
  <c r="Y253" i="18"/>
  <c r="X253" i="18"/>
  <c r="W253" i="18"/>
  <c r="V253" i="18"/>
  <c r="Y237" i="18"/>
  <c r="X237" i="18"/>
  <c r="W237" i="18"/>
  <c r="V237" i="18"/>
  <c r="Y228" i="18"/>
  <c r="X228" i="18"/>
  <c r="W228" i="18"/>
  <c r="V228" i="18"/>
  <c r="Y244" i="18"/>
  <c r="X244" i="18"/>
  <c r="W244" i="18"/>
  <c r="V244" i="18"/>
  <c r="Y252" i="18"/>
  <c r="X252" i="18"/>
  <c r="W252" i="18"/>
  <c r="V252" i="18"/>
  <c r="Y236" i="18"/>
  <c r="X236" i="18"/>
  <c r="W236" i="18"/>
  <c r="V236" i="18"/>
  <c r="Y227" i="18"/>
  <c r="X227" i="18"/>
  <c r="W227" i="18"/>
  <c r="V227" i="18"/>
  <c r="Y243" i="18"/>
  <c r="X243" i="18"/>
  <c r="W243" i="18"/>
  <c r="V243" i="18"/>
  <c r="Y251" i="18"/>
  <c r="X251" i="18"/>
  <c r="W251" i="18"/>
  <c r="V251" i="18"/>
  <c r="Y235" i="18"/>
  <c r="X235" i="18"/>
  <c r="W235" i="18"/>
  <c r="V235" i="18"/>
  <c r="Y226" i="18"/>
  <c r="X226" i="18"/>
  <c r="W226" i="18"/>
  <c r="V226" i="18"/>
  <c r="K226" i="18"/>
  <c r="Y242" i="18"/>
  <c r="X242" i="18"/>
  <c r="W242" i="18"/>
  <c r="V242" i="18"/>
  <c r="K242" i="18"/>
  <c r="Y250" i="18"/>
  <c r="X250" i="18"/>
  <c r="W250" i="18"/>
  <c r="V250" i="18"/>
  <c r="K250" i="18"/>
  <c r="Y234" i="18"/>
  <c r="X234" i="18"/>
  <c r="W234" i="18"/>
  <c r="V234" i="18"/>
  <c r="K234" i="18"/>
  <c r="Y225" i="18"/>
  <c r="X225" i="18"/>
  <c r="W225" i="18"/>
  <c r="V225" i="18"/>
  <c r="Y241" i="18"/>
  <c r="X241" i="18"/>
  <c r="W241" i="18"/>
  <c r="V241" i="18"/>
  <c r="Y249" i="18"/>
  <c r="X249" i="18"/>
  <c r="W249" i="18"/>
  <c r="V249" i="18"/>
  <c r="Y233" i="18"/>
  <c r="X233" i="18"/>
  <c r="W233" i="18"/>
  <c r="V233" i="18"/>
  <c r="Y224" i="18"/>
  <c r="X224" i="18"/>
  <c r="W224" i="18"/>
  <c r="V224" i="18"/>
  <c r="Y240" i="18"/>
  <c r="X240" i="18"/>
  <c r="W240" i="18"/>
  <c r="V240" i="18"/>
  <c r="Y248" i="18"/>
  <c r="X248" i="18"/>
  <c r="W248" i="18"/>
  <c r="V248" i="18"/>
  <c r="Y232" i="18"/>
  <c r="X232" i="18"/>
  <c r="W232" i="18"/>
  <c r="V232" i="18"/>
  <c r="Y223" i="18"/>
  <c r="X223" i="18"/>
  <c r="W223" i="18"/>
  <c r="V223" i="18"/>
  <c r="Y239" i="18"/>
  <c r="X239" i="18"/>
  <c r="W239" i="18"/>
  <c r="V239" i="18"/>
  <c r="Y247" i="18"/>
  <c r="X247" i="18"/>
  <c r="W247" i="18"/>
  <c r="V247" i="18"/>
  <c r="Y231" i="18"/>
  <c r="X231" i="18"/>
  <c r="W231" i="18"/>
  <c r="V231" i="18"/>
  <c r="Y222" i="18"/>
  <c r="X222" i="18"/>
  <c r="W222" i="18"/>
  <c r="V222" i="18"/>
  <c r="Y238" i="18"/>
  <c r="X238" i="18"/>
  <c r="W238" i="18"/>
  <c r="V238" i="18"/>
  <c r="Y246" i="18"/>
  <c r="X246" i="18"/>
  <c r="W246" i="18"/>
  <c r="V246" i="18"/>
  <c r="Y230" i="18"/>
  <c r="X230" i="18"/>
  <c r="W230" i="18"/>
  <c r="V230" i="18"/>
  <c r="Y194" i="18"/>
  <c r="X194" i="18"/>
  <c r="W194" i="18"/>
  <c r="V194" i="18"/>
  <c r="Y193" i="18"/>
  <c r="X193" i="18"/>
  <c r="W193" i="18"/>
  <c r="V193" i="18"/>
  <c r="Y192" i="18"/>
  <c r="X192" i="18"/>
  <c r="W192" i="18"/>
  <c r="V192" i="18"/>
  <c r="Y191" i="18"/>
  <c r="X191" i="18"/>
  <c r="W191" i="18"/>
  <c r="V191" i="18"/>
  <c r="Y190" i="18"/>
  <c r="X190" i="18"/>
  <c r="W190" i="18"/>
  <c r="V190" i="18"/>
  <c r="Y189" i="18"/>
  <c r="X189" i="18"/>
  <c r="W189" i="18"/>
  <c r="V189" i="18"/>
  <c r="Y188" i="18"/>
  <c r="X188" i="18"/>
  <c r="W188" i="18"/>
  <c r="V188" i="18"/>
  <c r="Y204" i="18"/>
  <c r="X204" i="18"/>
  <c r="W204" i="18"/>
  <c r="V204" i="18"/>
  <c r="Y203" i="18"/>
  <c r="X203" i="18"/>
  <c r="W203" i="18"/>
  <c r="V203" i="18"/>
  <c r="Y202" i="18"/>
  <c r="X202" i="18"/>
  <c r="W202" i="18"/>
  <c r="V202" i="18"/>
  <c r="Y201" i="18"/>
  <c r="X201" i="18"/>
  <c r="W201" i="18"/>
  <c r="V201" i="18"/>
  <c r="Y200" i="18"/>
  <c r="X200" i="18"/>
  <c r="W200" i="18"/>
  <c r="V200" i="18"/>
  <c r="Y118" i="18"/>
  <c r="X118" i="18"/>
  <c r="W118" i="18"/>
  <c r="V118" i="18"/>
  <c r="Y117" i="18"/>
  <c r="X117" i="18"/>
  <c r="W117" i="18"/>
  <c r="V117" i="18"/>
  <c r="Y116" i="18"/>
  <c r="X116" i="18"/>
  <c r="W116" i="18"/>
  <c r="V116" i="18"/>
  <c r="Y115" i="18"/>
  <c r="X115" i="18"/>
  <c r="W115" i="18"/>
  <c r="V115" i="18"/>
  <c r="Y198" i="18"/>
  <c r="X198" i="18"/>
  <c r="W198" i="18"/>
  <c r="V198" i="18"/>
  <c r="K198" i="18"/>
  <c r="Y197" i="18"/>
  <c r="X197" i="18"/>
  <c r="W197" i="18"/>
  <c r="V197" i="18"/>
  <c r="Y196" i="18"/>
  <c r="X196" i="18"/>
  <c r="W196" i="18"/>
  <c r="V196" i="18"/>
  <c r="Y195" i="18"/>
  <c r="X195" i="18"/>
  <c r="W195" i="18"/>
  <c r="V195" i="18"/>
  <c r="Y149" i="18"/>
  <c r="X149" i="18"/>
  <c r="W149" i="18"/>
  <c r="V149" i="18"/>
  <c r="Y153" i="18"/>
  <c r="X153" i="18"/>
  <c r="W153" i="18"/>
  <c r="V153" i="18"/>
  <c r="Y148" i="18"/>
  <c r="X148" i="18"/>
  <c r="W148" i="18"/>
  <c r="V148" i="18"/>
  <c r="Y152" i="18"/>
  <c r="X152" i="18"/>
  <c r="W152" i="18"/>
  <c r="V152" i="18"/>
  <c r="Y147" i="18"/>
  <c r="X147" i="18"/>
  <c r="W147" i="18"/>
  <c r="V147" i="18"/>
  <c r="Y151" i="18"/>
  <c r="X151" i="18"/>
  <c r="W151" i="18"/>
  <c r="V151" i="18"/>
  <c r="Y146" i="18"/>
  <c r="X146" i="18"/>
  <c r="W146" i="18"/>
  <c r="V146" i="18"/>
  <c r="Y150" i="18"/>
  <c r="X150" i="18"/>
  <c r="W150" i="18"/>
  <c r="V150" i="18"/>
  <c r="Y365" i="18"/>
  <c r="X365" i="18"/>
  <c r="W365" i="18"/>
  <c r="V365" i="18"/>
  <c r="Y364" i="18"/>
  <c r="X364" i="18"/>
  <c r="W364" i="18"/>
  <c r="V364" i="18"/>
  <c r="Y361" i="18"/>
  <c r="X361" i="18"/>
  <c r="W361" i="18"/>
  <c r="V361" i="18"/>
  <c r="Y287" i="18"/>
  <c r="X287" i="18"/>
  <c r="W287" i="18"/>
  <c r="V287" i="18"/>
  <c r="Y277" i="18"/>
  <c r="X277" i="18"/>
  <c r="W277" i="18"/>
  <c r="V277" i="18"/>
  <c r="Y321" i="18"/>
  <c r="X321" i="18"/>
  <c r="W321" i="18"/>
  <c r="V321" i="18"/>
  <c r="Y320" i="18"/>
  <c r="X320" i="18"/>
  <c r="W320" i="18"/>
  <c r="V320" i="18"/>
  <c r="Y319" i="18"/>
  <c r="X319" i="18"/>
  <c r="W319" i="18"/>
  <c r="V319" i="18"/>
  <c r="Y318" i="18"/>
  <c r="X318" i="18"/>
  <c r="W318" i="18"/>
  <c r="V318" i="18"/>
  <c r="Y317" i="18"/>
  <c r="X317" i="18"/>
  <c r="W317" i="18"/>
  <c r="V317" i="18"/>
  <c r="Y316" i="18"/>
  <c r="X316" i="18"/>
  <c r="W316" i="18"/>
  <c r="V316" i="18"/>
  <c r="Y315" i="18"/>
  <c r="X315" i="18"/>
  <c r="W315" i="18"/>
  <c r="V315" i="18"/>
  <c r="Y120" i="18"/>
  <c r="X120" i="18"/>
  <c r="W120" i="18"/>
  <c r="V120" i="18"/>
  <c r="Y119" i="18"/>
  <c r="X119" i="18"/>
  <c r="W119" i="18"/>
  <c r="V119" i="18"/>
  <c r="Y173" i="18"/>
  <c r="X173" i="18"/>
  <c r="W173" i="18"/>
  <c r="V173" i="18"/>
  <c r="Y172" i="18"/>
  <c r="X172" i="18"/>
  <c r="W172" i="18"/>
  <c r="V172" i="18"/>
  <c r="Y171" i="18"/>
  <c r="X171" i="18"/>
  <c r="W171" i="18"/>
  <c r="V171" i="18"/>
  <c r="Y170" i="18"/>
  <c r="X170" i="18"/>
  <c r="W170" i="18"/>
  <c r="V170" i="18"/>
  <c r="Y169" i="18"/>
  <c r="X169" i="18"/>
  <c r="W169" i="18"/>
  <c r="V169" i="18"/>
  <c r="Y134" i="18"/>
  <c r="X134" i="18"/>
  <c r="W134" i="18"/>
  <c r="V134" i="18"/>
  <c r="Y133" i="18"/>
  <c r="X133" i="18"/>
  <c r="W133" i="18"/>
  <c r="V133" i="18"/>
  <c r="Y132" i="18"/>
  <c r="X132" i="18"/>
  <c r="W132" i="18"/>
  <c r="V132" i="18"/>
  <c r="Y131" i="18"/>
  <c r="X131" i="18"/>
  <c r="W131" i="18"/>
  <c r="V131" i="18"/>
  <c r="Y130" i="18"/>
  <c r="X130" i="18"/>
  <c r="W130" i="18"/>
  <c r="V130" i="18"/>
  <c r="Y129" i="18"/>
  <c r="X129" i="18"/>
  <c r="W129" i="18"/>
  <c r="V129" i="18"/>
  <c r="Y128" i="18"/>
  <c r="X128" i="18"/>
  <c r="W128" i="18"/>
  <c r="V128" i="18"/>
  <c r="Y338" i="18"/>
  <c r="X338" i="18"/>
  <c r="W338" i="18"/>
  <c r="V338" i="18"/>
  <c r="Y104" i="18"/>
  <c r="X104" i="18"/>
  <c r="W104" i="18"/>
  <c r="V104" i="18"/>
  <c r="Y106" i="18"/>
  <c r="X106" i="18"/>
  <c r="W106" i="18"/>
  <c r="V106" i="18"/>
  <c r="Y103" i="18"/>
  <c r="X103" i="18"/>
  <c r="W103" i="18"/>
  <c r="V103" i="18"/>
  <c r="Y105" i="18"/>
  <c r="X105" i="18"/>
  <c r="W105" i="18"/>
  <c r="V105" i="18"/>
  <c r="Y111" i="18"/>
  <c r="X111" i="18"/>
  <c r="W111" i="18"/>
  <c r="V111" i="18"/>
  <c r="Y162" i="18"/>
  <c r="X162" i="18"/>
  <c r="W162" i="18"/>
  <c r="V162" i="18"/>
  <c r="Y159" i="18"/>
  <c r="X159" i="18"/>
  <c r="W159" i="18"/>
  <c r="V159" i="18"/>
  <c r="Y161" i="18"/>
  <c r="X161" i="18"/>
  <c r="W161" i="18"/>
  <c r="V161" i="18"/>
  <c r="Y158" i="18"/>
  <c r="X158" i="18"/>
  <c r="W158" i="18"/>
  <c r="V158" i="18"/>
  <c r="Y160" i="18"/>
  <c r="X160" i="18"/>
  <c r="W160" i="18"/>
  <c r="V160" i="18"/>
  <c r="Y157" i="18"/>
  <c r="X157" i="18"/>
  <c r="W157" i="18"/>
  <c r="V157" i="18"/>
  <c r="Y164" i="18"/>
  <c r="X164" i="18"/>
  <c r="W164" i="18"/>
  <c r="V164" i="18"/>
  <c r="Y163" i="18"/>
  <c r="X163" i="18"/>
  <c r="W163" i="18"/>
  <c r="V163" i="18"/>
  <c r="Y94" i="18"/>
  <c r="X94" i="18"/>
  <c r="W94" i="18"/>
  <c r="V94" i="18"/>
  <c r="Y372" i="18"/>
  <c r="X372" i="18"/>
  <c r="W372" i="18"/>
  <c r="V372" i="18"/>
  <c r="Y371" i="18"/>
  <c r="X371" i="18"/>
  <c r="W371" i="18"/>
  <c r="V371" i="18"/>
  <c r="Y370" i="18"/>
  <c r="X370" i="18"/>
  <c r="W370" i="18"/>
  <c r="V370" i="18"/>
  <c r="Y108" i="18"/>
  <c r="X108" i="18"/>
  <c r="W108" i="18"/>
  <c r="V108" i="18"/>
  <c r="Y107" i="18"/>
  <c r="X107" i="18"/>
  <c r="W107" i="18"/>
  <c r="V107" i="18"/>
  <c r="Y65" i="18"/>
  <c r="X65" i="18"/>
  <c r="W65" i="18"/>
  <c r="V65" i="18"/>
  <c r="Y64" i="18"/>
  <c r="X64" i="18"/>
  <c r="W64" i="18"/>
  <c r="V64" i="18"/>
  <c r="Y63" i="18"/>
  <c r="X63" i="18"/>
  <c r="W63" i="18"/>
  <c r="V63" i="18"/>
  <c r="Y70" i="18"/>
  <c r="X70" i="18"/>
  <c r="W70" i="18"/>
  <c r="V70" i="18"/>
  <c r="Y69" i="18"/>
  <c r="X69" i="18"/>
  <c r="W69" i="18"/>
  <c r="V69" i="18"/>
  <c r="Y68" i="18"/>
  <c r="X68" i="18"/>
  <c r="W68" i="18"/>
  <c r="V68" i="18"/>
  <c r="Y67" i="18"/>
  <c r="X67" i="18"/>
  <c r="W67" i="18"/>
  <c r="V67" i="18"/>
  <c r="Y66" i="18"/>
  <c r="X66" i="18"/>
  <c r="W66" i="18"/>
  <c r="V66" i="18"/>
  <c r="Y81" i="18"/>
  <c r="X81" i="18"/>
  <c r="W81" i="18"/>
  <c r="V81" i="18"/>
  <c r="Y80" i="18"/>
  <c r="X80" i="18"/>
  <c r="W80" i="18"/>
  <c r="V80" i="18"/>
  <c r="Y79" i="18"/>
  <c r="X79" i="18"/>
  <c r="W79" i="18"/>
  <c r="V79" i="18"/>
  <c r="Y78" i="18"/>
  <c r="X78" i="18"/>
  <c r="W78" i="18"/>
  <c r="V78" i="18"/>
  <c r="Y102" i="18"/>
  <c r="X102" i="18"/>
  <c r="W102" i="18"/>
  <c r="V102" i="18"/>
  <c r="K102" i="18"/>
  <c r="Y101" i="18"/>
  <c r="X101" i="18"/>
  <c r="W101" i="18"/>
  <c r="V101" i="18"/>
  <c r="Y286" i="18"/>
  <c r="X286" i="18"/>
  <c r="W286" i="18"/>
  <c r="V286" i="18"/>
  <c r="Y285" i="18"/>
  <c r="X285" i="18"/>
  <c r="W285" i="18"/>
  <c r="V285" i="18"/>
  <c r="Y284" i="18"/>
  <c r="X284" i="18"/>
  <c r="W284" i="18"/>
  <c r="V284" i="18"/>
  <c r="Y283" i="18"/>
  <c r="X283" i="18"/>
  <c r="W283" i="18"/>
  <c r="V283" i="18"/>
  <c r="Y282" i="18"/>
  <c r="X282" i="18"/>
  <c r="W282" i="18"/>
  <c r="V282" i="18"/>
  <c r="Y281" i="18"/>
  <c r="X281" i="18"/>
  <c r="W281" i="18"/>
  <c r="V281" i="18"/>
  <c r="Y280" i="18"/>
  <c r="X280" i="18"/>
  <c r="W280" i="18"/>
  <c r="V280" i="18"/>
  <c r="Y363" i="18"/>
  <c r="X363" i="18"/>
  <c r="W363" i="18"/>
  <c r="V363" i="18"/>
  <c r="Y362" i="18"/>
  <c r="X362" i="18"/>
  <c r="W362" i="18"/>
  <c r="V362" i="18"/>
  <c r="Y77" i="18"/>
  <c r="X77" i="18"/>
  <c r="W77" i="18"/>
  <c r="V77" i="18"/>
  <c r="Y76" i="18"/>
  <c r="X76" i="18"/>
  <c r="W76" i="18"/>
  <c r="V76" i="18"/>
  <c r="Y75" i="18"/>
  <c r="X75" i="18"/>
  <c r="W75" i="18"/>
  <c r="V75" i="18"/>
  <c r="Y74" i="18"/>
  <c r="X74" i="18"/>
  <c r="W74" i="18"/>
  <c r="V74" i="18"/>
  <c r="Y73" i="18"/>
  <c r="X73" i="18"/>
  <c r="W73" i="18"/>
  <c r="V73" i="18"/>
  <c r="Y72" i="18"/>
  <c r="X72" i="18"/>
  <c r="W72" i="18"/>
  <c r="V72" i="18"/>
  <c r="Y87" i="18"/>
  <c r="X87" i="18"/>
  <c r="W87" i="18"/>
  <c r="V87" i="18"/>
  <c r="Y86" i="18"/>
  <c r="X86" i="18"/>
  <c r="W86" i="18"/>
  <c r="V86" i="18"/>
  <c r="Y85" i="18"/>
  <c r="X85" i="18"/>
  <c r="W85" i="18"/>
  <c r="V85" i="18"/>
  <c r="Y84" i="18"/>
  <c r="X84" i="18"/>
  <c r="W84" i="18"/>
  <c r="V84" i="18"/>
  <c r="Y83" i="18"/>
  <c r="X83" i="18"/>
  <c r="W83" i="18"/>
  <c r="V83" i="18"/>
  <c r="Y82" i="18"/>
  <c r="X82" i="18"/>
  <c r="W82" i="18"/>
  <c r="V82" i="18"/>
  <c r="Y357" i="18"/>
  <c r="X357" i="18"/>
  <c r="W357" i="18"/>
  <c r="V357" i="18"/>
  <c r="Y356" i="18"/>
  <c r="X356" i="18"/>
  <c r="W356" i="18"/>
  <c r="V356" i="18"/>
  <c r="Y355" i="18"/>
  <c r="X355" i="18"/>
  <c r="W355" i="18"/>
  <c r="V355" i="18"/>
  <c r="Y354" i="18"/>
  <c r="X354" i="18"/>
  <c r="W354" i="18"/>
  <c r="V354" i="18"/>
  <c r="Y353" i="18"/>
  <c r="X353" i="18"/>
  <c r="W353" i="18"/>
  <c r="V353" i="18"/>
  <c r="Y279" i="18"/>
  <c r="X279" i="18"/>
  <c r="W279" i="18"/>
  <c r="V279" i="18"/>
  <c r="Y278" i="18"/>
  <c r="X278" i="18"/>
  <c r="W278" i="18"/>
  <c r="V278" i="18"/>
  <c r="Y271" i="18"/>
  <c r="X271" i="18"/>
  <c r="W271" i="18"/>
  <c r="V271" i="18"/>
  <c r="Y270" i="18"/>
  <c r="X270" i="18"/>
  <c r="W270" i="18"/>
  <c r="V270" i="18"/>
  <c r="Y269" i="18"/>
  <c r="X269" i="18"/>
  <c r="W269" i="18"/>
  <c r="V269" i="18"/>
  <c r="Y385" i="18"/>
  <c r="X385" i="18"/>
  <c r="W385" i="18"/>
  <c r="V385" i="18"/>
  <c r="Y384" i="18"/>
  <c r="X384" i="18"/>
  <c r="W384" i="18"/>
  <c r="V384" i="18"/>
  <c r="Y383" i="18"/>
  <c r="X383" i="18"/>
  <c r="W383" i="18"/>
  <c r="V383" i="18"/>
  <c r="Y388" i="18"/>
  <c r="X388" i="18"/>
  <c r="W388" i="18"/>
  <c r="V388" i="18"/>
  <c r="Y387" i="18"/>
  <c r="X387" i="18"/>
  <c r="W387" i="18"/>
  <c r="V387" i="18"/>
  <c r="Y386" i="18"/>
  <c r="X386" i="18"/>
  <c r="W386" i="18"/>
  <c r="V386" i="18"/>
  <c r="Y369" i="18"/>
  <c r="X369" i="18"/>
  <c r="W369" i="18"/>
  <c r="V369" i="18"/>
  <c r="Y368" i="18"/>
  <c r="X368" i="18"/>
  <c r="W368" i="18"/>
  <c r="V368" i="18"/>
  <c r="Y367" i="18"/>
  <c r="X367" i="18"/>
  <c r="W367" i="18"/>
  <c r="V367" i="18"/>
  <c r="Y366" i="18"/>
  <c r="X366" i="18"/>
  <c r="W366" i="18"/>
  <c r="V366" i="18"/>
  <c r="Y93" i="18"/>
  <c r="X93" i="18"/>
  <c r="W93" i="18"/>
  <c r="V93" i="18"/>
  <c r="Y332" i="18"/>
  <c r="X332" i="18"/>
  <c r="W332" i="18"/>
  <c r="V332" i="18"/>
  <c r="Y331" i="18"/>
  <c r="X331" i="18"/>
  <c r="W331" i="18"/>
  <c r="V331" i="18"/>
  <c r="Y330" i="18"/>
  <c r="X330" i="18"/>
  <c r="W330" i="18"/>
  <c r="V330" i="18"/>
  <c r="Y336" i="18"/>
  <c r="X336" i="18"/>
  <c r="W336" i="18"/>
  <c r="V336" i="18"/>
  <c r="Y71" i="18"/>
  <c r="X71" i="18"/>
  <c r="W71" i="18"/>
  <c r="V71" i="18"/>
  <c r="X34" i="18"/>
  <c r="W34" i="18"/>
  <c r="V34" i="18"/>
  <c r="X33" i="18"/>
  <c r="W33" i="18"/>
  <c r="V33" i="18"/>
  <c r="X17" i="18"/>
  <c r="W17" i="18"/>
  <c r="V17" i="18"/>
  <c r="X16" i="18"/>
  <c r="W16" i="18"/>
  <c r="V16" i="18"/>
  <c r="X15" i="18"/>
  <c r="W15" i="18"/>
  <c r="V15" i="18"/>
  <c r="X28" i="18"/>
  <c r="W28" i="18"/>
  <c r="V28" i="18"/>
  <c r="X29" i="18"/>
  <c r="W29" i="18"/>
  <c r="V29" i="18"/>
  <c r="X27" i="18"/>
  <c r="W27" i="18"/>
  <c r="V27" i="18"/>
  <c r="X25" i="18"/>
  <c r="W25" i="18"/>
  <c r="V25" i="18"/>
  <c r="X26" i="18"/>
  <c r="W26" i="18"/>
  <c r="V26" i="18"/>
  <c r="X24" i="18"/>
  <c r="W24" i="18"/>
  <c r="V24" i="18"/>
  <c r="X14" i="18"/>
  <c r="W14" i="18"/>
  <c r="V14" i="18"/>
  <c r="X13" i="18"/>
  <c r="W13" i="18"/>
  <c r="V13" i="18"/>
  <c r="X12" i="18"/>
  <c r="W12" i="18"/>
  <c r="V12" i="18"/>
  <c r="X7" i="18"/>
  <c r="W7" i="18"/>
  <c r="V7" i="18"/>
  <c r="X6" i="18"/>
  <c r="W6" i="18"/>
  <c r="V6" i="18"/>
  <c r="X5" i="18"/>
  <c r="W5" i="18"/>
  <c r="V5" i="18"/>
  <c r="X11" i="18"/>
  <c r="W11" i="18"/>
  <c r="V11" i="18"/>
  <c r="X10" i="18"/>
  <c r="W10" i="18"/>
  <c r="V10" i="18"/>
  <c r="X9" i="18"/>
  <c r="W9" i="18"/>
  <c r="V9" i="18"/>
  <c r="X8" i="18"/>
  <c r="W8" i="18"/>
  <c r="V8" i="18"/>
  <c r="X56" i="18"/>
  <c r="W56" i="18"/>
  <c r="V56" i="18"/>
  <c r="X46" i="18"/>
  <c r="W46" i="18"/>
  <c r="V46" i="18"/>
  <c r="X49" i="18"/>
  <c r="W49" i="18"/>
  <c r="V49" i="18"/>
  <c r="X50" i="18"/>
  <c r="W50" i="18"/>
  <c r="V50" i="18"/>
  <c r="X31" i="18"/>
  <c r="W31" i="18"/>
  <c r="V31" i="18"/>
  <c r="X30" i="18"/>
  <c r="W30" i="18"/>
  <c r="V30" i="18"/>
  <c r="X60" i="18"/>
  <c r="W60" i="18"/>
  <c r="V60" i="18"/>
  <c r="X61" i="18"/>
  <c r="W61" i="18"/>
  <c r="V61" i="18"/>
  <c r="X59" i="18"/>
  <c r="W59" i="18"/>
  <c r="V59" i="18"/>
  <c r="X32" i="18"/>
  <c r="W32" i="18"/>
  <c r="V32" i="18"/>
  <c r="X3" i="18"/>
  <c r="W3" i="18"/>
  <c r="V3" i="18"/>
  <c r="X2" i="18"/>
  <c r="W2" i="18"/>
  <c r="V2" i="18"/>
  <c r="X23" i="18"/>
  <c r="W23" i="18"/>
  <c r="V23" i="18"/>
  <c r="X22" i="18"/>
  <c r="W22" i="18"/>
  <c r="V22" i="18"/>
  <c r="X18" i="18"/>
  <c r="W18" i="18"/>
  <c r="V18" i="18"/>
  <c r="X19" i="18"/>
  <c r="W19" i="18"/>
  <c r="V19" i="18"/>
  <c r="X21" i="18"/>
  <c r="W21" i="18"/>
  <c r="V21" i="18"/>
  <c r="X20" i="18"/>
  <c r="W20" i="18"/>
  <c r="V20" i="18"/>
  <c r="X47" i="18"/>
  <c r="W47" i="18"/>
  <c r="V47" i="18"/>
  <c r="X36" i="18"/>
  <c r="W36" i="18"/>
  <c r="V36" i="18"/>
  <c r="X4" i="18"/>
  <c r="W4" i="18"/>
  <c r="V4" i="18"/>
  <c r="X35" i="18"/>
  <c r="W35" i="18"/>
  <c r="V35" i="18"/>
  <c r="X58" i="18"/>
  <c r="W58" i="18"/>
  <c r="V58" i="18"/>
  <c r="X57" i="18"/>
  <c r="W57" i="18"/>
  <c r="V57" i="18"/>
  <c r="X55" i="18"/>
  <c r="W55" i="18"/>
  <c r="V55" i="18"/>
  <c r="X54" i="18"/>
  <c r="W54" i="18"/>
  <c r="V54" i="18"/>
  <c r="X48" i="18"/>
  <c r="W48" i="18"/>
  <c r="V48" i="18"/>
  <c r="X39" i="18"/>
  <c r="W39" i="18"/>
  <c r="V39" i="18"/>
  <c r="X45" i="18"/>
  <c r="W45" i="18"/>
  <c r="V45" i="18"/>
  <c r="X42" i="18"/>
  <c r="W42" i="18"/>
  <c r="V42" i="18"/>
  <c r="X38" i="18"/>
  <c r="W38" i="18"/>
  <c r="V38" i="18"/>
  <c r="X44" i="18"/>
  <c r="W44" i="18"/>
  <c r="V44" i="18"/>
  <c r="X41" i="18"/>
  <c r="W41" i="18"/>
  <c r="V41" i="18"/>
  <c r="X37" i="18"/>
  <c r="W37" i="18"/>
  <c r="V37" i="18"/>
  <c r="X43" i="18"/>
  <c r="W43" i="18"/>
  <c r="V43" i="18"/>
  <c r="X40" i="18"/>
  <c r="W40" i="18"/>
  <c r="V40" i="18"/>
  <c r="X53" i="18"/>
  <c r="W53" i="18"/>
  <c r="V53" i="18"/>
  <c r="X52" i="18"/>
  <c r="W52" i="18"/>
  <c r="V52" i="18"/>
  <c r="K52" i="18"/>
  <c r="X51" i="18"/>
  <c r="W51" i="18"/>
  <c r="V51" i="18"/>
  <c r="AB18" i="2" l="1"/>
  <c r="AC18" i="2"/>
  <c r="W19" i="2"/>
  <c r="Z19" i="2"/>
  <c r="AA19" i="2"/>
  <c r="U20" i="2"/>
  <c r="X19" i="2"/>
  <c r="Y19" i="2"/>
  <c r="AE18" i="2"/>
  <c r="AD18" i="2"/>
  <c r="Z20" i="15"/>
  <c r="AA20" i="15"/>
  <c r="U21" i="15"/>
  <c r="W20" i="15"/>
  <c r="X20" i="15"/>
  <c r="Y20" i="15"/>
  <c r="AC19" i="15"/>
  <c r="AB19" i="15"/>
  <c r="AE19" i="15"/>
  <c r="AD19" i="15"/>
  <c r="Y20" i="2" l="1"/>
  <c r="W20" i="2"/>
  <c r="X20" i="2"/>
  <c r="U21" i="2"/>
  <c r="AA20" i="2"/>
  <c r="Z20" i="2"/>
  <c r="AD19" i="2"/>
  <c r="AE19" i="2"/>
  <c r="AC19" i="2"/>
  <c r="AB19" i="2"/>
  <c r="AB20" i="15"/>
  <c r="AC20" i="15"/>
  <c r="X21" i="15"/>
  <c r="Y21" i="15"/>
  <c r="U22" i="15"/>
  <c r="AA21" i="15"/>
  <c r="W21" i="15"/>
  <c r="Z21" i="15"/>
  <c r="AD20" i="15"/>
  <c r="AE20" i="15"/>
  <c r="R3" i="15"/>
  <c r="P3" i="15"/>
  <c r="O3" i="15"/>
  <c r="H3" i="15"/>
  <c r="G3" i="15"/>
  <c r="F3" i="15"/>
  <c r="E3" i="15"/>
  <c r="D3" i="15"/>
  <c r="B4" i="15"/>
  <c r="B5" i="15" s="1"/>
  <c r="B6" i="15" s="1"/>
  <c r="B7" i="15" s="1"/>
  <c r="B8" i="15" s="1"/>
  <c r="B9" i="15" s="1"/>
  <c r="B10" i="15" s="1"/>
  <c r="B11" i="15" s="1"/>
  <c r="B12" i="15" s="1"/>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B58" i="15" s="1"/>
  <c r="B59" i="15" s="1"/>
  <c r="B60" i="15" s="1"/>
  <c r="B61" i="15" s="1"/>
  <c r="B62" i="15" s="1"/>
  <c r="B63" i="15" s="1"/>
  <c r="B64" i="15" s="1"/>
  <c r="B65" i="15" s="1"/>
  <c r="B66" i="15" s="1"/>
  <c r="B67" i="15" s="1"/>
  <c r="B68" i="15" s="1"/>
  <c r="B69" i="15" s="1"/>
  <c r="B70" i="15" s="1"/>
  <c r="B71" i="15" s="1"/>
  <c r="B72" i="15" s="1"/>
  <c r="B73" i="15" s="1"/>
  <c r="B74" i="15" s="1"/>
  <c r="B75" i="15" s="1"/>
  <c r="B76" i="15" s="1"/>
  <c r="B77" i="15" s="1"/>
  <c r="B78" i="15" s="1"/>
  <c r="B79" i="15" s="1"/>
  <c r="B80" i="15" s="1"/>
  <c r="B81" i="15" s="1"/>
  <c r="B82" i="15" s="1"/>
  <c r="B83" i="15" s="1"/>
  <c r="B84" i="15" s="1"/>
  <c r="B85" i="15" s="1"/>
  <c r="B86" i="15" s="1"/>
  <c r="B87" i="15" s="1"/>
  <c r="B88" i="15" s="1"/>
  <c r="B89" i="15" s="1"/>
  <c r="B90" i="15" s="1"/>
  <c r="B91" i="15" s="1"/>
  <c r="B92" i="15" s="1"/>
  <c r="B93" i="15" s="1"/>
  <c r="B94" i="15" s="1"/>
  <c r="B95" i="15" s="1"/>
  <c r="B96" i="15" s="1"/>
  <c r="B97" i="15" s="1"/>
  <c r="B98" i="15" s="1"/>
  <c r="B99" i="15" s="1"/>
  <c r="B100" i="15" s="1"/>
  <c r="B101" i="15" s="1"/>
  <c r="B102" i="15" s="1"/>
  <c r="B103" i="15" s="1"/>
  <c r="B104" i="15" s="1"/>
  <c r="B105" i="15" s="1"/>
  <c r="B106" i="15" s="1"/>
  <c r="B107" i="15" s="1"/>
  <c r="B108" i="15" s="1"/>
  <c r="B109" i="15" s="1"/>
  <c r="B110" i="15" s="1"/>
  <c r="B111" i="15" s="1"/>
  <c r="B112" i="15" s="1"/>
  <c r="B113" i="15" s="1"/>
  <c r="B114" i="15" s="1"/>
  <c r="B115" i="15" s="1"/>
  <c r="B116" i="15" s="1"/>
  <c r="B117" i="15" s="1"/>
  <c r="B118" i="15" s="1"/>
  <c r="B119" i="15" s="1"/>
  <c r="B120" i="15" s="1"/>
  <c r="B121" i="15" s="1"/>
  <c r="B122" i="15" s="1"/>
  <c r="B123" i="15" s="1"/>
  <c r="B124" i="15" s="1"/>
  <c r="B125" i="15" s="1"/>
  <c r="B126" i="15" s="1"/>
  <c r="B127" i="15" s="1"/>
  <c r="B128" i="15" s="1"/>
  <c r="B129" i="15" s="1"/>
  <c r="B130" i="15" s="1"/>
  <c r="B131" i="15" s="1"/>
  <c r="B132" i="15" s="1"/>
  <c r="B133" i="15" s="1"/>
  <c r="B134" i="15" s="1"/>
  <c r="B135" i="15" s="1"/>
  <c r="B136" i="15" s="1"/>
  <c r="B137" i="15" s="1"/>
  <c r="B138" i="15" s="1"/>
  <c r="B139" i="15" s="1"/>
  <c r="B140" i="15" s="1"/>
  <c r="B141" i="15" s="1"/>
  <c r="B142" i="15" s="1"/>
  <c r="B143" i="15" s="1"/>
  <c r="B144" i="15" s="1"/>
  <c r="B145" i="15" s="1"/>
  <c r="B146" i="15" s="1"/>
  <c r="B147" i="15" s="1"/>
  <c r="B148" i="15" s="1"/>
  <c r="B149" i="15" s="1"/>
  <c r="B150" i="15" s="1"/>
  <c r="B151" i="15" s="1"/>
  <c r="B152" i="15" s="1"/>
  <c r="B153" i="15" s="1"/>
  <c r="B154" i="15" s="1"/>
  <c r="B155" i="15" s="1"/>
  <c r="B156" i="15" s="1"/>
  <c r="B157" i="15" s="1"/>
  <c r="B158" i="15" s="1"/>
  <c r="B159" i="15" s="1"/>
  <c r="B160" i="15" s="1"/>
  <c r="B161" i="15" s="1"/>
  <c r="B162" i="15" s="1"/>
  <c r="B163" i="15" s="1"/>
  <c r="B164" i="15" s="1"/>
  <c r="B165" i="15" s="1"/>
  <c r="B166" i="15" s="1"/>
  <c r="B167" i="15" s="1"/>
  <c r="B168" i="15" s="1"/>
  <c r="B169" i="15" s="1"/>
  <c r="B170" i="15" s="1"/>
  <c r="B171" i="15" s="1"/>
  <c r="B172" i="15" s="1"/>
  <c r="B173" i="15" s="1"/>
  <c r="B174" i="15" s="1"/>
  <c r="B175" i="15" s="1"/>
  <c r="B176" i="15" s="1"/>
  <c r="B177" i="15" s="1"/>
  <c r="B178" i="15" s="1"/>
  <c r="B179" i="15" s="1"/>
  <c r="B180" i="15" s="1"/>
  <c r="B181" i="15" s="1"/>
  <c r="B182" i="15" s="1"/>
  <c r="B183" i="15" s="1"/>
  <c r="B184" i="15" s="1"/>
  <c r="B185" i="15" s="1"/>
  <c r="B186" i="15" s="1"/>
  <c r="B187" i="15" s="1"/>
  <c r="B188" i="15" s="1"/>
  <c r="B189" i="15" s="1"/>
  <c r="B190" i="15" s="1"/>
  <c r="B191" i="15" s="1"/>
  <c r="B192" i="15" s="1"/>
  <c r="B193" i="15" s="1"/>
  <c r="B194" i="15" s="1"/>
  <c r="B195" i="15" s="1"/>
  <c r="B196" i="15" s="1"/>
  <c r="B197" i="15" s="1"/>
  <c r="B198" i="15" s="1"/>
  <c r="B199" i="15" s="1"/>
  <c r="B200" i="15" s="1"/>
  <c r="B201" i="15" s="1"/>
  <c r="B202" i="15" s="1"/>
  <c r="B203" i="15" s="1"/>
  <c r="B204" i="15" s="1"/>
  <c r="B205" i="15" s="1"/>
  <c r="B206" i="15" s="1"/>
  <c r="B207" i="15" s="1"/>
  <c r="B208" i="15" s="1"/>
  <c r="B209" i="15" s="1"/>
  <c r="B210" i="15" s="1"/>
  <c r="B211" i="15" s="1"/>
  <c r="B212" i="15" s="1"/>
  <c r="B213" i="15" s="1"/>
  <c r="B214" i="15" s="1"/>
  <c r="B215" i="15" s="1"/>
  <c r="B216" i="15" s="1"/>
  <c r="B217" i="15" s="1"/>
  <c r="B218" i="15" s="1"/>
  <c r="B219" i="15" s="1"/>
  <c r="B220" i="15" s="1"/>
  <c r="B221" i="15" s="1"/>
  <c r="B222" i="15" s="1"/>
  <c r="B223" i="15" s="1"/>
  <c r="B224" i="15" s="1"/>
  <c r="B225" i="15" s="1"/>
  <c r="B226" i="15" s="1"/>
  <c r="B227" i="15" s="1"/>
  <c r="B228" i="15" s="1"/>
  <c r="B229" i="15" s="1"/>
  <c r="B230" i="15" s="1"/>
  <c r="B231" i="15" s="1"/>
  <c r="B232" i="15" s="1"/>
  <c r="B233" i="15" s="1"/>
  <c r="B234" i="15" s="1"/>
  <c r="B235" i="15" s="1"/>
  <c r="B236" i="15" s="1"/>
  <c r="B237" i="15" s="1"/>
  <c r="B238" i="15" s="1"/>
  <c r="B239" i="15" s="1"/>
  <c r="B240" i="15" s="1"/>
  <c r="B241" i="15" s="1"/>
  <c r="B242" i="15" s="1"/>
  <c r="B243" i="15" s="1"/>
  <c r="B244" i="15" s="1"/>
  <c r="B245" i="15" s="1"/>
  <c r="B246" i="15" s="1"/>
  <c r="B247" i="15" s="1"/>
  <c r="B248" i="15" s="1"/>
  <c r="B249" i="15" s="1"/>
  <c r="B250" i="15" s="1"/>
  <c r="B251" i="15" s="1"/>
  <c r="B252" i="15" s="1"/>
  <c r="B253" i="15" s="1"/>
  <c r="B254" i="15" s="1"/>
  <c r="B255" i="15" s="1"/>
  <c r="B256" i="15" s="1"/>
  <c r="B257" i="15" s="1"/>
  <c r="B258" i="15" s="1"/>
  <c r="B259" i="15" s="1"/>
  <c r="B260" i="15" s="1"/>
  <c r="B261" i="15" s="1"/>
  <c r="B262" i="15" s="1"/>
  <c r="B263" i="15" s="1"/>
  <c r="B264" i="15" s="1"/>
  <c r="B265" i="15" s="1"/>
  <c r="B266" i="15" s="1"/>
  <c r="B267" i="15" s="1"/>
  <c r="B268" i="15" s="1"/>
  <c r="B269" i="15" s="1"/>
  <c r="B270" i="15" s="1"/>
  <c r="B271" i="15" s="1"/>
  <c r="B272" i="15" s="1"/>
  <c r="B273" i="15" s="1"/>
  <c r="B274" i="15" s="1"/>
  <c r="B275" i="15" s="1"/>
  <c r="B276" i="15" s="1"/>
  <c r="B277" i="15" s="1"/>
  <c r="B278" i="15" s="1"/>
  <c r="B279" i="15" s="1"/>
  <c r="B280" i="15" s="1"/>
  <c r="B281" i="15" s="1"/>
  <c r="B282" i="15" s="1"/>
  <c r="B283" i="15" s="1"/>
  <c r="B284" i="15" s="1"/>
  <c r="B285" i="15" s="1"/>
  <c r="B286" i="15" s="1"/>
  <c r="B287" i="15" s="1"/>
  <c r="B288" i="15" s="1"/>
  <c r="B289" i="15" s="1"/>
  <c r="B290" i="15" s="1"/>
  <c r="B291" i="15" s="1"/>
  <c r="B292" i="15" s="1"/>
  <c r="B293" i="15" s="1"/>
  <c r="B294" i="15" s="1"/>
  <c r="B295" i="15" s="1"/>
  <c r="B296" i="15" s="1"/>
  <c r="B297" i="15" s="1"/>
  <c r="B298" i="15" s="1"/>
  <c r="B299" i="15" s="1"/>
  <c r="B300" i="15" s="1"/>
  <c r="B301" i="15" s="1"/>
  <c r="B302" i="15" s="1"/>
  <c r="B303" i="15" s="1"/>
  <c r="B304" i="15" s="1"/>
  <c r="B305" i="15" s="1"/>
  <c r="B306" i="15" s="1"/>
  <c r="B307" i="15" s="1"/>
  <c r="B308" i="15" s="1"/>
  <c r="B309" i="15" s="1"/>
  <c r="B310" i="15" s="1"/>
  <c r="B311" i="15" s="1"/>
  <c r="B312" i="15" s="1"/>
  <c r="B313" i="15" s="1"/>
  <c r="B314" i="15" s="1"/>
  <c r="B315" i="15" s="1"/>
  <c r="B316" i="15" s="1"/>
  <c r="B317" i="15" s="1"/>
  <c r="B318" i="15" s="1"/>
  <c r="B319" i="15" s="1"/>
  <c r="B320" i="15" s="1"/>
  <c r="B321" i="15" s="1"/>
  <c r="B322" i="15" s="1"/>
  <c r="B323" i="15" s="1"/>
  <c r="B324" i="15" s="1"/>
  <c r="B325" i="15" s="1"/>
  <c r="B326" i="15" s="1"/>
  <c r="B327" i="15" s="1"/>
  <c r="B328" i="15" s="1"/>
  <c r="B329" i="15" s="1"/>
  <c r="B330" i="15" s="1"/>
  <c r="B331" i="15" s="1"/>
  <c r="B332" i="15" s="1"/>
  <c r="B333" i="15" s="1"/>
  <c r="B334" i="15" s="1"/>
  <c r="B335" i="15" s="1"/>
  <c r="B336" i="15" s="1"/>
  <c r="B337" i="15" s="1"/>
  <c r="B338" i="15" s="1"/>
  <c r="B339" i="15" s="1"/>
  <c r="B340" i="15" s="1"/>
  <c r="B341" i="15" s="1"/>
  <c r="B342" i="15" s="1"/>
  <c r="B343" i="15" s="1"/>
  <c r="B344" i="15" s="1"/>
  <c r="B345" i="15" s="1"/>
  <c r="B346" i="15" s="1"/>
  <c r="B347" i="15" s="1"/>
  <c r="B348" i="15" s="1"/>
  <c r="B349" i="15" s="1"/>
  <c r="B350" i="15" s="1"/>
  <c r="B351" i="15" s="1"/>
  <c r="B352" i="15" s="1"/>
  <c r="B353" i="15" s="1"/>
  <c r="B354" i="15" s="1"/>
  <c r="B355" i="15" s="1"/>
  <c r="B356" i="15" s="1"/>
  <c r="B357" i="15" s="1"/>
  <c r="B358" i="15" s="1"/>
  <c r="B359" i="15" s="1"/>
  <c r="B360" i="15" s="1"/>
  <c r="B361" i="15" s="1"/>
  <c r="B362" i="15" s="1"/>
  <c r="B363" i="15" s="1"/>
  <c r="B364" i="15" s="1"/>
  <c r="B365" i="15" s="1"/>
  <c r="B366" i="15" s="1"/>
  <c r="B367" i="15" s="1"/>
  <c r="B368" i="15" s="1"/>
  <c r="A4" i="15"/>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2" i="15" s="1"/>
  <c r="A63" i="15" s="1"/>
  <c r="A64" i="15" s="1"/>
  <c r="A65" i="15" s="1"/>
  <c r="A66" i="15" s="1"/>
  <c r="A67" i="15" s="1"/>
  <c r="A68" i="15" s="1"/>
  <c r="A69" i="15" s="1"/>
  <c r="A70" i="15" s="1"/>
  <c r="A71" i="15" s="1"/>
  <c r="A72" i="15" s="1"/>
  <c r="A73" i="15" s="1"/>
  <c r="A74" i="15" s="1"/>
  <c r="A75" i="15" s="1"/>
  <c r="A76" i="15" s="1"/>
  <c r="A77" i="15" s="1"/>
  <c r="A78" i="15" s="1"/>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118" i="15" s="1"/>
  <c r="A119" i="15" s="1"/>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159" i="15" s="1"/>
  <c r="A160" i="15" s="1"/>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96" i="15" s="1"/>
  <c r="A197" i="15" s="1"/>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240" i="15" s="1"/>
  <c r="A241" i="15" s="1"/>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277" i="15" s="1"/>
  <c r="A278" i="15" s="1"/>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302" i="15" s="1"/>
  <c r="A303" i="15" s="1"/>
  <c r="A304" i="15" s="1"/>
  <c r="A305" i="15" s="1"/>
  <c r="A306" i="15" s="1"/>
  <c r="A307" i="15" s="1"/>
  <c r="A308" i="15" s="1"/>
  <c r="A309" i="15" s="1"/>
  <c r="A310" i="15" s="1"/>
  <c r="A311" i="15" s="1"/>
  <c r="A312" i="15" s="1"/>
  <c r="A313" i="15" s="1"/>
  <c r="A314" i="15" s="1"/>
  <c r="A315" i="15" s="1"/>
  <c r="A316" i="15" s="1"/>
  <c r="A317" i="15" s="1"/>
  <c r="A318" i="15" s="1"/>
  <c r="A319" i="15" s="1"/>
  <c r="A320" i="15" s="1"/>
  <c r="A321" i="15" s="1"/>
  <c r="A322" i="15" s="1"/>
  <c r="A323" i="15" s="1"/>
  <c r="A324" i="15" s="1"/>
  <c r="A325" i="15" s="1"/>
  <c r="A326" i="15" s="1"/>
  <c r="A327" i="15" s="1"/>
  <c r="A328" i="15" s="1"/>
  <c r="A329" i="15" s="1"/>
  <c r="A330" i="15" s="1"/>
  <c r="A331" i="15" s="1"/>
  <c r="A332" i="15" s="1"/>
  <c r="A333" i="15" s="1"/>
  <c r="A334" i="15" s="1"/>
  <c r="A335" i="15" s="1"/>
  <c r="A336" i="15" s="1"/>
  <c r="A337" i="15" s="1"/>
  <c r="A338" i="15" s="1"/>
  <c r="A339" i="15" s="1"/>
  <c r="A340" i="15" s="1"/>
  <c r="A341" i="15" s="1"/>
  <c r="A342" i="15" s="1"/>
  <c r="A343" i="15" s="1"/>
  <c r="A344" i="15" s="1"/>
  <c r="A345" i="15" s="1"/>
  <c r="A346" i="15" s="1"/>
  <c r="A347" i="15" s="1"/>
  <c r="A348" i="15" s="1"/>
  <c r="A349" i="15" s="1"/>
  <c r="A350" i="15" s="1"/>
  <c r="A351" i="15" s="1"/>
  <c r="A352" i="15" s="1"/>
  <c r="A353" i="15" s="1"/>
  <c r="A354" i="15" s="1"/>
  <c r="A355" i="15" s="1"/>
  <c r="A356" i="15" s="1"/>
  <c r="A357" i="15" s="1"/>
  <c r="A358" i="15" s="1"/>
  <c r="A359" i="15" s="1"/>
  <c r="A360" i="15" s="1"/>
  <c r="A361" i="15" s="1"/>
  <c r="A362" i="15" s="1"/>
  <c r="A363" i="15" s="1"/>
  <c r="A364" i="15" s="1"/>
  <c r="A365" i="15" s="1"/>
  <c r="A366" i="15" s="1"/>
  <c r="A367" i="15" s="1"/>
  <c r="A368" i="15" s="1"/>
  <c r="C4" i="15"/>
  <c r="C5" i="15" s="1"/>
  <c r="C6" i="15" s="1"/>
  <c r="C7" i="15" s="1"/>
  <c r="C8" i="15" s="1"/>
  <c r="C9" i="15" s="1"/>
  <c r="C10" i="15" s="1"/>
  <c r="C11" i="15" s="1"/>
  <c r="C12" i="15" s="1"/>
  <c r="C13" i="15" s="1"/>
  <c r="C14" i="15" s="1"/>
  <c r="C15" i="15" s="1"/>
  <c r="C16" i="15" s="1"/>
  <c r="C17" i="15" s="1"/>
  <c r="C18" i="15" s="1"/>
  <c r="C19" i="15" s="1"/>
  <c r="C20" i="15" s="1"/>
  <c r="C21" i="15" s="1"/>
  <c r="C22" i="15" s="1"/>
  <c r="C23" i="15" s="1"/>
  <c r="C24" i="15" s="1"/>
  <c r="C25" i="15" s="1"/>
  <c r="C26" i="15" s="1"/>
  <c r="C27" i="15" s="1"/>
  <c r="C28" i="15" s="1"/>
  <c r="C29" i="15" s="1"/>
  <c r="C30" i="15" s="1"/>
  <c r="C31" i="15" s="1"/>
  <c r="C32" i="15" s="1"/>
  <c r="C33" i="15" s="1"/>
  <c r="C34" i="15" s="1"/>
  <c r="C35" i="15" s="1"/>
  <c r="C36" i="15" s="1"/>
  <c r="C37" i="15" s="1"/>
  <c r="C38" i="15" s="1"/>
  <c r="C39" i="15" s="1"/>
  <c r="C40" i="15" s="1"/>
  <c r="C41" i="15" s="1"/>
  <c r="C42" i="15" s="1"/>
  <c r="C43" i="15" s="1"/>
  <c r="C44" i="15" s="1"/>
  <c r="C45" i="15" s="1"/>
  <c r="C46" i="15" s="1"/>
  <c r="C47" i="15" s="1"/>
  <c r="C48" i="15" s="1"/>
  <c r="C49" i="15" s="1"/>
  <c r="C50" i="15" s="1"/>
  <c r="C51" i="15" s="1"/>
  <c r="C52" i="15" s="1"/>
  <c r="C53" i="15" s="1"/>
  <c r="C54" i="15" s="1"/>
  <c r="C55" i="15" s="1"/>
  <c r="C56" i="15" s="1"/>
  <c r="C57" i="15" s="1"/>
  <c r="C58" i="15" s="1"/>
  <c r="C59" i="15" s="1"/>
  <c r="C60" i="15" s="1"/>
  <c r="C61" i="15" s="1"/>
  <c r="C62" i="15" s="1"/>
  <c r="C63" i="15" s="1"/>
  <c r="C64" i="15" s="1"/>
  <c r="C65" i="15" s="1"/>
  <c r="C66" i="15" s="1"/>
  <c r="C67" i="15" s="1"/>
  <c r="C68" i="15" s="1"/>
  <c r="C69" i="15" s="1"/>
  <c r="C70" i="15" s="1"/>
  <c r="C71" i="15" s="1"/>
  <c r="C72" i="15" s="1"/>
  <c r="C73" i="15" s="1"/>
  <c r="C74" i="15" s="1"/>
  <c r="C75" i="15" s="1"/>
  <c r="C76" i="15" s="1"/>
  <c r="C77" i="15" s="1"/>
  <c r="C78" i="15" s="1"/>
  <c r="C79" i="15" s="1"/>
  <c r="C80" i="15" s="1"/>
  <c r="C81" i="15" s="1"/>
  <c r="C82" i="15" s="1"/>
  <c r="C83" i="15" s="1"/>
  <c r="C84" i="15" s="1"/>
  <c r="C85" i="15" s="1"/>
  <c r="C86" i="15" s="1"/>
  <c r="C87" i="15" s="1"/>
  <c r="C88" i="15" s="1"/>
  <c r="C89" i="15" s="1"/>
  <c r="C90" i="15" s="1"/>
  <c r="C91" i="15" s="1"/>
  <c r="C92" i="15" s="1"/>
  <c r="C93" i="15" s="1"/>
  <c r="C94" i="15" s="1"/>
  <c r="C95" i="15" s="1"/>
  <c r="C96" i="15" s="1"/>
  <c r="C97" i="15" s="1"/>
  <c r="C98" i="15" s="1"/>
  <c r="C99" i="15" s="1"/>
  <c r="C100" i="15" s="1"/>
  <c r="C101" i="15" s="1"/>
  <c r="C102" i="15" s="1"/>
  <c r="C103" i="15" s="1"/>
  <c r="C104" i="15" s="1"/>
  <c r="C105" i="15" s="1"/>
  <c r="C106" i="15" s="1"/>
  <c r="C107" i="15" s="1"/>
  <c r="C108" i="15" s="1"/>
  <c r="C109" i="15" s="1"/>
  <c r="C110" i="15" s="1"/>
  <c r="C111" i="15" s="1"/>
  <c r="C112" i="15" s="1"/>
  <c r="C113" i="15" s="1"/>
  <c r="C114" i="15" s="1"/>
  <c r="C115" i="15" s="1"/>
  <c r="C116" i="15" s="1"/>
  <c r="C117" i="15" s="1"/>
  <c r="C118" i="15" s="1"/>
  <c r="C119" i="15" s="1"/>
  <c r="C120" i="15" s="1"/>
  <c r="C121" i="15" s="1"/>
  <c r="C122" i="15" s="1"/>
  <c r="C123" i="15" s="1"/>
  <c r="C124" i="15" s="1"/>
  <c r="C125" i="15" s="1"/>
  <c r="C126" i="15" s="1"/>
  <c r="C127" i="15" s="1"/>
  <c r="C128" i="15" s="1"/>
  <c r="C129" i="15" s="1"/>
  <c r="C130" i="15" s="1"/>
  <c r="C131" i="15" s="1"/>
  <c r="C132" i="15" s="1"/>
  <c r="C133" i="15" s="1"/>
  <c r="C134" i="15" s="1"/>
  <c r="C135" i="15" s="1"/>
  <c r="C136" i="15" s="1"/>
  <c r="C137" i="15" s="1"/>
  <c r="C138" i="15" s="1"/>
  <c r="C139" i="15" s="1"/>
  <c r="C140" i="15" s="1"/>
  <c r="C141" i="15" s="1"/>
  <c r="C142" i="15" s="1"/>
  <c r="C143" i="15" s="1"/>
  <c r="C144" i="15" s="1"/>
  <c r="C145" i="15" s="1"/>
  <c r="C146" i="15" s="1"/>
  <c r="C147" i="15" s="1"/>
  <c r="C148" i="15" s="1"/>
  <c r="C149" i="15" s="1"/>
  <c r="C150" i="15" s="1"/>
  <c r="C151" i="15" s="1"/>
  <c r="C152" i="15" s="1"/>
  <c r="C153" i="15" s="1"/>
  <c r="C154" i="15" s="1"/>
  <c r="C155" i="15" s="1"/>
  <c r="C156" i="15" s="1"/>
  <c r="C157" i="15" s="1"/>
  <c r="C158" i="15" s="1"/>
  <c r="C159" i="15" s="1"/>
  <c r="C160" i="15" s="1"/>
  <c r="C161" i="15" s="1"/>
  <c r="C162" i="15" s="1"/>
  <c r="C163" i="15" s="1"/>
  <c r="C164" i="15" s="1"/>
  <c r="C165" i="15" s="1"/>
  <c r="C166" i="15" s="1"/>
  <c r="C167" i="15" s="1"/>
  <c r="C168" i="15" s="1"/>
  <c r="C169" i="15" s="1"/>
  <c r="C170" i="15" s="1"/>
  <c r="C171" i="15" s="1"/>
  <c r="C172" i="15" s="1"/>
  <c r="C173" i="15" s="1"/>
  <c r="C174" i="15" s="1"/>
  <c r="C175" i="15" s="1"/>
  <c r="C176" i="15" s="1"/>
  <c r="C177" i="15" s="1"/>
  <c r="C178" i="15" s="1"/>
  <c r="C179" i="15" s="1"/>
  <c r="C180" i="15" s="1"/>
  <c r="C181" i="15" s="1"/>
  <c r="C182" i="15" s="1"/>
  <c r="C183" i="15" s="1"/>
  <c r="C184" i="15" s="1"/>
  <c r="C185" i="15" s="1"/>
  <c r="C186" i="15" s="1"/>
  <c r="C187" i="15" s="1"/>
  <c r="C188" i="15" s="1"/>
  <c r="C189" i="15" s="1"/>
  <c r="C190" i="15" s="1"/>
  <c r="C191" i="15" s="1"/>
  <c r="C192" i="15" s="1"/>
  <c r="C193" i="15" s="1"/>
  <c r="C194" i="15" s="1"/>
  <c r="C195" i="15" s="1"/>
  <c r="C196" i="15" s="1"/>
  <c r="C197" i="15" s="1"/>
  <c r="C198" i="15" s="1"/>
  <c r="C199" i="15" s="1"/>
  <c r="C200" i="15" s="1"/>
  <c r="C201" i="15" s="1"/>
  <c r="C202" i="15" s="1"/>
  <c r="C203" i="15" s="1"/>
  <c r="C204" i="15" s="1"/>
  <c r="C205" i="15" s="1"/>
  <c r="C206" i="15" s="1"/>
  <c r="C207" i="15" s="1"/>
  <c r="C208" i="15" s="1"/>
  <c r="C209" i="15" s="1"/>
  <c r="C210" i="15" s="1"/>
  <c r="C211" i="15" s="1"/>
  <c r="C212" i="15" s="1"/>
  <c r="C213" i="15" s="1"/>
  <c r="C214" i="15" s="1"/>
  <c r="C215" i="15" s="1"/>
  <c r="C216" i="15" s="1"/>
  <c r="C217" i="15" s="1"/>
  <c r="C218" i="15" s="1"/>
  <c r="C219" i="15" s="1"/>
  <c r="C220" i="15" s="1"/>
  <c r="C221" i="15" s="1"/>
  <c r="C222" i="15" s="1"/>
  <c r="C223" i="15" s="1"/>
  <c r="C224" i="15" s="1"/>
  <c r="C225" i="15" s="1"/>
  <c r="C226" i="15" s="1"/>
  <c r="C227" i="15" s="1"/>
  <c r="C228" i="15" s="1"/>
  <c r="C229" i="15" s="1"/>
  <c r="C230" i="15" s="1"/>
  <c r="C231" i="15" s="1"/>
  <c r="C232" i="15" s="1"/>
  <c r="C233" i="15" s="1"/>
  <c r="C234" i="15" s="1"/>
  <c r="C235" i="15" s="1"/>
  <c r="C236" i="15" s="1"/>
  <c r="C237" i="15" s="1"/>
  <c r="C238" i="15" s="1"/>
  <c r="C239" i="15" s="1"/>
  <c r="C240" i="15" s="1"/>
  <c r="C241" i="15" s="1"/>
  <c r="C242" i="15" s="1"/>
  <c r="C243" i="15" s="1"/>
  <c r="C244" i="15" s="1"/>
  <c r="C245" i="15" s="1"/>
  <c r="C246" i="15" s="1"/>
  <c r="C247" i="15" s="1"/>
  <c r="C248" i="15" s="1"/>
  <c r="C249" i="15" s="1"/>
  <c r="C250" i="15" s="1"/>
  <c r="C251" i="15" s="1"/>
  <c r="C252" i="15" s="1"/>
  <c r="C253" i="15" s="1"/>
  <c r="C254" i="15" s="1"/>
  <c r="C255" i="15" s="1"/>
  <c r="C256" i="15" s="1"/>
  <c r="C257" i="15" s="1"/>
  <c r="C258" i="15" s="1"/>
  <c r="C259" i="15" s="1"/>
  <c r="C260" i="15" s="1"/>
  <c r="C261" i="15" s="1"/>
  <c r="C262" i="15" s="1"/>
  <c r="C263" i="15" s="1"/>
  <c r="C264" i="15" s="1"/>
  <c r="C265" i="15" s="1"/>
  <c r="C266" i="15" s="1"/>
  <c r="C267" i="15" s="1"/>
  <c r="C268" i="15" s="1"/>
  <c r="C269" i="15" s="1"/>
  <c r="C270" i="15" s="1"/>
  <c r="C271" i="15" s="1"/>
  <c r="C272" i="15" s="1"/>
  <c r="C273" i="15" s="1"/>
  <c r="C274" i="15" s="1"/>
  <c r="C275" i="15" s="1"/>
  <c r="C276" i="15" s="1"/>
  <c r="C277" i="15" s="1"/>
  <c r="C278" i="15" s="1"/>
  <c r="C279" i="15" s="1"/>
  <c r="C280" i="15" s="1"/>
  <c r="C281" i="15" s="1"/>
  <c r="C282" i="15" s="1"/>
  <c r="C283" i="15" s="1"/>
  <c r="C284" i="15" s="1"/>
  <c r="C285" i="15" s="1"/>
  <c r="C286" i="15" s="1"/>
  <c r="C287" i="15" s="1"/>
  <c r="C288" i="15" s="1"/>
  <c r="C289" i="15" s="1"/>
  <c r="C290" i="15" s="1"/>
  <c r="C291" i="15" s="1"/>
  <c r="C292" i="15" s="1"/>
  <c r="C293" i="15" s="1"/>
  <c r="C294" i="15" s="1"/>
  <c r="C295" i="15" s="1"/>
  <c r="C296" i="15" s="1"/>
  <c r="C297" i="15" s="1"/>
  <c r="C298" i="15" s="1"/>
  <c r="C299" i="15" s="1"/>
  <c r="C300" i="15" s="1"/>
  <c r="C301" i="15" s="1"/>
  <c r="C302" i="15" s="1"/>
  <c r="C303" i="15" s="1"/>
  <c r="C304" i="15" s="1"/>
  <c r="C305" i="15" s="1"/>
  <c r="C306" i="15" s="1"/>
  <c r="C307" i="15" s="1"/>
  <c r="C308" i="15" s="1"/>
  <c r="C309" i="15" s="1"/>
  <c r="C310" i="15" s="1"/>
  <c r="C311" i="15" s="1"/>
  <c r="C312" i="15" s="1"/>
  <c r="C313" i="15" s="1"/>
  <c r="C314" i="15" s="1"/>
  <c r="C315" i="15" s="1"/>
  <c r="C316" i="15" s="1"/>
  <c r="C317" i="15" s="1"/>
  <c r="C318" i="15" s="1"/>
  <c r="C319" i="15" s="1"/>
  <c r="C320" i="15" s="1"/>
  <c r="C321" i="15" s="1"/>
  <c r="C322" i="15" s="1"/>
  <c r="C323" i="15" s="1"/>
  <c r="C324" i="15" s="1"/>
  <c r="C325" i="15" s="1"/>
  <c r="C326" i="15" s="1"/>
  <c r="C327" i="15" s="1"/>
  <c r="C328" i="15" s="1"/>
  <c r="C329" i="15" s="1"/>
  <c r="C330" i="15" s="1"/>
  <c r="C331" i="15" s="1"/>
  <c r="C332" i="15" s="1"/>
  <c r="C333" i="15" s="1"/>
  <c r="C334" i="15" s="1"/>
  <c r="C335" i="15" s="1"/>
  <c r="C336" i="15" s="1"/>
  <c r="C337" i="15" s="1"/>
  <c r="C338" i="15" s="1"/>
  <c r="C339" i="15" s="1"/>
  <c r="C340" i="15" s="1"/>
  <c r="C341" i="15" s="1"/>
  <c r="C342" i="15" s="1"/>
  <c r="C343" i="15" s="1"/>
  <c r="C344" i="15" s="1"/>
  <c r="C345" i="15" s="1"/>
  <c r="C346" i="15" s="1"/>
  <c r="C347" i="15" s="1"/>
  <c r="C348" i="15" s="1"/>
  <c r="C349" i="15" s="1"/>
  <c r="C350" i="15" s="1"/>
  <c r="C351" i="15" s="1"/>
  <c r="C352" i="15" s="1"/>
  <c r="C353" i="15" s="1"/>
  <c r="C354" i="15" s="1"/>
  <c r="C355" i="15" s="1"/>
  <c r="C356" i="15" s="1"/>
  <c r="C357" i="15" s="1"/>
  <c r="C358" i="15" s="1"/>
  <c r="C359" i="15" s="1"/>
  <c r="C360" i="15" s="1"/>
  <c r="C361" i="15" s="1"/>
  <c r="C362" i="15" s="1"/>
  <c r="C363" i="15" s="1"/>
  <c r="C364" i="15" s="1"/>
  <c r="C365" i="15" s="1"/>
  <c r="C366" i="15" s="1"/>
  <c r="C367" i="15" s="1"/>
  <c r="C368" i="15" s="1"/>
  <c r="J3" i="15" l="1"/>
  <c r="L3" i="15"/>
  <c r="I3" i="15"/>
  <c r="N3" i="15"/>
  <c r="AC20" i="2"/>
  <c r="AB20" i="2"/>
  <c r="AD20" i="2"/>
  <c r="AE20" i="2"/>
  <c r="AA21" i="2"/>
  <c r="U22" i="2"/>
  <c r="X21" i="2"/>
  <c r="W21" i="2"/>
  <c r="Y21" i="2"/>
  <c r="Z21" i="2"/>
  <c r="AE21" i="15"/>
  <c r="AD21" i="15"/>
  <c r="X22" i="15"/>
  <c r="Y22" i="15"/>
  <c r="U23" i="15"/>
  <c r="Z22" i="15"/>
  <c r="AA22" i="15"/>
  <c r="W22" i="15"/>
  <c r="AC21" i="15"/>
  <c r="AB21" i="15"/>
  <c r="M3" i="15"/>
  <c r="Q3" i="15"/>
  <c r="K3" i="15"/>
  <c r="E4" i="15"/>
  <c r="O4" i="15"/>
  <c r="G4" i="15"/>
  <c r="F4" i="15"/>
  <c r="H4" i="15"/>
  <c r="R4" i="15"/>
  <c r="D4" i="15"/>
  <c r="P4" i="15"/>
  <c r="K60" i="5"/>
  <c r="X60" i="5"/>
  <c r="W60" i="5"/>
  <c r="V60" i="5"/>
  <c r="X61" i="5"/>
  <c r="W61" i="5"/>
  <c r="V61" i="5"/>
  <c r="X28" i="5"/>
  <c r="W28" i="5"/>
  <c r="V28" i="5"/>
  <c r="I4" i="15" l="1"/>
  <c r="N4" i="15"/>
  <c r="AC21" i="2"/>
  <c r="AB21" i="2"/>
  <c r="X22" i="2"/>
  <c r="AA22" i="2"/>
  <c r="Y22" i="2"/>
  <c r="Z22" i="2"/>
  <c r="U23" i="2"/>
  <c r="W22" i="2"/>
  <c r="AD21" i="2"/>
  <c r="AE21" i="2"/>
  <c r="AC22" i="15"/>
  <c r="AB22" i="15"/>
  <c r="AE22" i="15"/>
  <c r="AD22" i="15"/>
  <c r="X23" i="15"/>
  <c r="Z23" i="15"/>
  <c r="AA23" i="15"/>
  <c r="Y23" i="15"/>
  <c r="U24" i="15"/>
  <c r="W23" i="15"/>
  <c r="Q4" i="15"/>
  <c r="K4" i="15"/>
  <c r="J4" i="15"/>
  <c r="M4" i="15"/>
  <c r="L4" i="15"/>
  <c r="D5" i="15"/>
  <c r="E5" i="15"/>
  <c r="F5" i="15"/>
  <c r="O5" i="15"/>
  <c r="R5" i="15"/>
  <c r="H5" i="15"/>
  <c r="G5" i="15"/>
  <c r="P5" i="15"/>
  <c r="X29" i="5"/>
  <c r="W29" i="5"/>
  <c r="V29" i="5"/>
  <c r="X49" i="5"/>
  <c r="W49" i="5"/>
  <c r="V49" i="5"/>
  <c r="X59" i="5"/>
  <c r="W59" i="5"/>
  <c r="V59" i="5"/>
  <c r="X32" i="5"/>
  <c r="W32" i="5"/>
  <c r="V32" i="5"/>
  <c r="X17" i="5"/>
  <c r="W17" i="5"/>
  <c r="V17" i="5"/>
  <c r="X31" i="5"/>
  <c r="W31" i="5"/>
  <c r="V31" i="5"/>
  <c r="X3" i="5"/>
  <c r="W3" i="5"/>
  <c r="V3" i="5"/>
  <c r="X55" i="5"/>
  <c r="W55" i="5"/>
  <c r="V55" i="5"/>
  <c r="X48" i="5"/>
  <c r="W48" i="5"/>
  <c r="V48" i="5"/>
  <c r="X39" i="5"/>
  <c r="W39" i="5"/>
  <c r="V39" i="5"/>
  <c r="X45" i="5"/>
  <c r="W45" i="5"/>
  <c r="V45" i="5"/>
  <c r="X42" i="5"/>
  <c r="W42" i="5"/>
  <c r="V42" i="5"/>
  <c r="X53" i="5"/>
  <c r="W53" i="5"/>
  <c r="V53" i="5"/>
  <c r="X774" i="5"/>
  <c r="W774" i="5"/>
  <c r="V774" i="5"/>
  <c r="X813" i="5"/>
  <c r="W813" i="5"/>
  <c r="V813" i="5"/>
  <c r="X797" i="5"/>
  <c r="W797" i="5"/>
  <c r="V797" i="5"/>
  <c r="X786" i="5"/>
  <c r="W786" i="5"/>
  <c r="V786" i="5"/>
  <c r="X740" i="5"/>
  <c r="W740" i="5"/>
  <c r="V740" i="5"/>
  <c r="X773" i="5"/>
  <c r="W773" i="5"/>
  <c r="V773" i="5"/>
  <c r="X754" i="5"/>
  <c r="W754" i="5"/>
  <c r="V754" i="5"/>
  <c r="X730" i="5"/>
  <c r="W730" i="5"/>
  <c r="V730" i="5"/>
  <c r="X737" i="5"/>
  <c r="W737" i="5"/>
  <c r="V737" i="5"/>
  <c r="X758" i="5"/>
  <c r="W758" i="5"/>
  <c r="V758" i="5"/>
  <c r="X789" i="5"/>
  <c r="W789" i="5"/>
  <c r="V789" i="5"/>
  <c r="X779" i="5"/>
  <c r="W779" i="5"/>
  <c r="V779" i="5"/>
  <c r="X751" i="5"/>
  <c r="W751" i="5"/>
  <c r="V751" i="5"/>
  <c r="X768" i="5"/>
  <c r="W768" i="5"/>
  <c r="V768" i="5"/>
  <c r="X725" i="5"/>
  <c r="W725" i="5"/>
  <c r="V725" i="5"/>
  <c r="X796" i="5"/>
  <c r="W796" i="5"/>
  <c r="V796" i="5"/>
  <c r="X745" i="5"/>
  <c r="W745" i="5"/>
  <c r="V745" i="5"/>
  <c r="X7" i="5"/>
  <c r="W7" i="5"/>
  <c r="V7" i="5"/>
  <c r="X782" i="5"/>
  <c r="W782" i="5"/>
  <c r="V782" i="5"/>
  <c r="X772" i="5"/>
  <c r="W772" i="5"/>
  <c r="V772" i="5"/>
  <c r="X753" i="5"/>
  <c r="W753" i="5"/>
  <c r="V753" i="5"/>
  <c r="X756" i="5"/>
  <c r="W756" i="5"/>
  <c r="V756" i="5"/>
  <c r="X733" i="5"/>
  <c r="W733" i="5"/>
  <c r="V733" i="5"/>
  <c r="X729" i="5"/>
  <c r="W729" i="5"/>
  <c r="V729" i="5"/>
  <c r="X757" i="5"/>
  <c r="W757" i="5"/>
  <c r="V757" i="5"/>
  <c r="X788" i="5"/>
  <c r="W788" i="5"/>
  <c r="V788" i="5"/>
  <c r="X778" i="5"/>
  <c r="W778" i="5"/>
  <c r="V778" i="5"/>
  <c r="X750" i="5"/>
  <c r="W750" i="5"/>
  <c r="V750" i="5"/>
  <c r="X767" i="5"/>
  <c r="W767" i="5"/>
  <c r="V767" i="5"/>
  <c r="X724" i="5"/>
  <c r="W724" i="5"/>
  <c r="V724" i="5"/>
  <c r="X739" i="5"/>
  <c r="W739" i="5"/>
  <c r="V739" i="5"/>
  <c r="X799" i="5"/>
  <c r="W799" i="5"/>
  <c r="V799" i="5"/>
  <c r="X804" i="5"/>
  <c r="W804" i="5"/>
  <c r="V804" i="5"/>
  <c r="X807" i="5"/>
  <c r="W807" i="5"/>
  <c r="V807" i="5"/>
  <c r="X815" i="5"/>
  <c r="W815" i="5"/>
  <c r="V815" i="5"/>
  <c r="X736" i="5"/>
  <c r="W736" i="5"/>
  <c r="V736" i="5"/>
  <c r="X761" i="5"/>
  <c r="W761" i="5"/>
  <c r="V761" i="5"/>
  <c r="X795" i="5"/>
  <c r="W795" i="5"/>
  <c r="V795" i="5"/>
  <c r="X803" i="5"/>
  <c r="W803" i="5"/>
  <c r="V803" i="5"/>
  <c r="X806" i="5"/>
  <c r="W806" i="5"/>
  <c r="V806" i="5"/>
  <c r="X814" i="5"/>
  <c r="W814" i="5"/>
  <c r="V814" i="5"/>
  <c r="X798" i="5"/>
  <c r="W798" i="5"/>
  <c r="V798" i="5"/>
  <c r="X802" i="5"/>
  <c r="W802" i="5"/>
  <c r="V802" i="5"/>
  <c r="X805" i="5"/>
  <c r="W805" i="5"/>
  <c r="V805" i="5"/>
  <c r="X760" i="5"/>
  <c r="W760" i="5"/>
  <c r="V760" i="5"/>
  <c r="X744" i="5"/>
  <c r="W744" i="5"/>
  <c r="V744" i="5"/>
  <c r="X11" i="5"/>
  <c r="W11" i="5"/>
  <c r="V11" i="5"/>
  <c r="X52" i="5"/>
  <c r="W52" i="5"/>
  <c r="V52" i="5"/>
  <c r="X781" i="5"/>
  <c r="W781" i="5"/>
  <c r="V781" i="5"/>
  <c r="X764" i="5"/>
  <c r="W764" i="5"/>
  <c r="V764" i="5"/>
  <c r="X755" i="5"/>
  <c r="W755" i="5"/>
  <c r="V755" i="5"/>
  <c r="X771" i="5"/>
  <c r="W771" i="5"/>
  <c r="V771" i="5"/>
  <c r="X742" i="5"/>
  <c r="W742" i="5"/>
  <c r="V742" i="5"/>
  <c r="X731" i="5"/>
  <c r="W731" i="5"/>
  <c r="V731" i="5"/>
  <c r="X818" i="5"/>
  <c r="W818" i="5"/>
  <c r="V818" i="5"/>
  <c r="X749" i="5"/>
  <c r="W749" i="5"/>
  <c r="V749" i="5"/>
  <c r="X723" i="5"/>
  <c r="W723" i="5"/>
  <c r="V723" i="5"/>
  <c r="X14" i="5"/>
  <c r="W14" i="5"/>
  <c r="V14" i="5"/>
  <c r="X801" i="5"/>
  <c r="W801" i="5"/>
  <c r="V801" i="5"/>
  <c r="X777" i="5"/>
  <c r="W777" i="5"/>
  <c r="V777" i="5"/>
  <c r="X794" i="5"/>
  <c r="W794" i="5"/>
  <c r="V794" i="5"/>
  <c r="X10" i="5"/>
  <c r="W10" i="5"/>
  <c r="V10" i="5"/>
  <c r="X732" i="5"/>
  <c r="W732" i="5"/>
  <c r="V732" i="5"/>
  <c r="X728" i="5"/>
  <c r="W728" i="5"/>
  <c r="V728" i="5"/>
  <c r="X787" i="5"/>
  <c r="W787" i="5"/>
  <c r="V787" i="5"/>
  <c r="X776" i="5"/>
  <c r="W776" i="5"/>
  <c r="V776" i="5"/>
  <c r="X748" i="5"/>
  <c r="W748" i="5"/>
  <c r="V748" i="5"/>
  <c r="X766" i="5"/>
  <c r="W766" i="5"/>
  <c r="V766" i="5"/>
  <c r="X722" i="5"/>
  <c r="W722" i="5"/>
  <c r="V722" i="5"/>
  <c r="X34" i="5"/>
  <c r="W34" i="5"/>
  <c r="V34" i="5"/>
  <c r="X27" i="5"/>
  <c r="W27" i="5"/>
  <c r="V27" i="5"/>
  <c r="X25" i="5"/>
  <c r="W25" i="5"/>
  <c r="V25" i="5"/>
  <c r="X9" i="5"/>
  <c r="W9" i="5"/>
  <c r="V9" i="5"/>
  <c r="X23" i="5"/>
  <c r="W23" i="5"/>
  <c r="V23" i="5"/>
  <c r="X58" i="5"/>
  <c r="W58" i="5"/>
  <c r="V58" i="5"/>
  <c r="X51" i="5"/>
  <c r="W51" i="5"/>
  <c r="V51" i="5"/>
  <c r="X770" i="5"/>
  <c r="W770" i="5"/>
  <c r="V770" i="5"/>
  <c r="X800" i="5"/>
  <c r="W800" i="5"/>
  <c r="V800" i="5"/>
  <c r="X809" i="5"/>
  <c r="W809" i="5"/>
  <c r="V809" i="5"/>
  <c r="X741" i="5"/>
  <c r="W741" i="5"/>
  <c r="V741" i="5"/>
  <c r="X817" i="5"/>
  <c r="W817" i="5"/>
  <c r="V817" i="5"/>
  <c r="X812" i="5"/>
  <c r="W812" i="5"/>
  <c r="V812" i="5"/>
  <c r="X820" i="5"/>
  <c r="W820" i="5"/>
  <c r="V820" i="5"/>
  <c r="X721" i="5"/>
  <c r="W721" i="5"/>
  <c r="V721" i="5"/>
  <c r="X793" i="5"/>
  <c r="W793" i="5"/>
  <c r="V793" i="5"/>
  <c r="X33" i="5"/>
  <c r="W33" i="5"/>
  <c r="V33" i="5"/>
  <c r="X16" i="5"/>
  <c r="W16" i="5"/>
  <c r="V16" i="5"/>
  <c r="X26" i="5"/>
  <c r="W26" i="5"/>
  <c r="V26" i="5"/>
  <c r="X24" i="5"/>
  <c r="W24" i="5"/>
  <c r="V24" i="5"/>
  <c r="X13" i="5"/>
  <c r="W13" i="5"/>
  <c r="V13" i="5"/>
  <c r="X6" i="5"/>
  <c r="W6" i="5"/>
  <c r="V6" i="5"/>
  <c r="X8" i="5"/>
  <c r="W8" i="5"/>
  <c r="V8" i="5"/>
  <c r="X56" i="5"/>
  <c r="W56" i="5"/>
  <c r="V56" i="5"/>
  <c r="X46" i="5"/>
  <c r="W46" i="5"/>
  <c r="V46" i="5"/>
  <c r="X50" i="5"/>
  <c r="W50" i="5"/>
  <c r="V50" i="5"/>
  <c r="X30" i="5"/>
  <c r="W30" i="5"/>
  <c r="V30" i="5"/>
  <c r="X2" i="5"/>
  <c r="W2" i="5"/>
  <c r="V2" i="5"/>
  <c r="X22" i="5"/>
  <c r="W22" i="5"/>
  <c r="V22" i="5"/>
  <c r="X18" i="5"/>
  <c r="W18" i="5"/>
  <c r="V18" i="5"/>
  <c r="X19" i="5"/>
  <c r="W19" i="5"/>
  <c r="V19" i="5"/>
  <c r="X21" i="5"/>
  <c r="W21" i="5"/>
  <c r="V21" i="5"/>
  <c r="X47" i="5"/>
  <c r="W47" i="5"/>
  <c r="V47" i="5"/>
  <c r="X36" i="5"/>
  <c r="W36" i="5"/>
  <c r="V36" i="5"/>
  <c r="X4" i="5"/>
  <c r="W4" i="5"/>
  <c r="V4" i="5"/>
  <c r="X35" i="5"/>
  <c r="W35" i="5"/>
  <c r="V35" i="5"/>
  <c r="X57" i="5"/>
  <c r="W57" i="5"/>
  <c r="V57" i="5"/>
  <c r="X54" i="5"/>
  <c r="W54" i="5"/>
  <c r="V54" i="5"/>
  <c r="X38" i="5"/>
  <c r="W38" i="5"/>
  <c r="V38" i="5"/>
  <c r="X44" i="5"/>
  <c r="W44" i="5"/>
  <c r="V44" i="5"/>
  <c r="X41" i="5"/>
  <c r="W41" i="5"/>
  <c r="V41" i="5"/>
  <c r="X738" i="5"/>
  <c r="W738" i="5"/>
  <c r="V738" i="5"/>
  <c r="X762" i="5"/>
  <c r="W762" i="5"/>
  <c r="V762" i="5"/>
  <c r="X783" i="5"/>
  <c r="W783" i="5"/>
  <c r="V783" i="5"/>
  <c r="X727" i="5"/>
  <c r="W727" i="5"/>
  <c r="V727" i="5"/>
  <c r="X811" i="5"/>
  <c r="W811" i="5"/>
  <c r="V811" i="5"/>
  <c r="X735" i="5"/>
  <c r="W735" i="5"/>
  <c r="V735" i="5"/>
  <c r="X734" i="5"/>
  <c r="W734" i="5"/>
  <c r="V734" i="5"/>
  <c r="X775" i="5"/>
  <c r="W775" i="5"/>
  <c r="V775" i="5"/>
  <c r="X747" i="5"/>
  <c r="W747" i="5"/>
  <c r="V747" i="5"/>
  <c r="X759" i="5"/>
  <c r="W759" i="5"/>
  <c r="V759" i="5"/>
  <c r="X765" i="5"/>
  <c r="W765" i="5"/>
  <c r="V765" i="5"/>
  <c r="X792" i="5"/>
  <c r="W792" i="5"/>
  <c r="V792" i="5"/>
  <c r="X743" i="5"/>
  <c r="W743" i="5"/>
  <c r="V743" i="5"/>
  <c r="X810" i="5"/>
  <c r="W810" i="5"/>
  <c r="V810" i="5"/>
  <c r="X819" i="5"/>
  <c r="W819" i="5"/>
  <c r="V819" i="5"/>
  <c r="X808" i="5"/>
  <c r="W808" i="5"/>
  <c r="V808" i="5"/>
  <c r="X790" i="5"/>
  <c r="W790" i="5"/>
  <c r="V790" i="5"/>
  <c r="X816" i="5"/>
  <c r="W816" i="5"/>
  <c r="V816" i="5"/>
  <c r="X15" i="5"/>
  <c r="W15" i="5"/>
  <c r="V15" i="5"/>
  <c r="X12" i="5"/>
  <c r="W12" i="5"/>
  <c r="V12" i="5"/>
  <c r="X5" i="5"/>
  <c r="W5" i="5"/>
  <c r="V5" i="5"/>
  <c r="X20" i="5"/>
  <c r="W20" i="5"/>
  <c r="V20" i="5"/>
  <c r="X37" i="5"/>
  <c r="W37" i="5"/>
  <c r="V37" i="5"/>
  <c r="X43" i="5"/>
  <c r="W43" i="5"/>
  <c r="V43" i="5"/>
  <c r="X40" i="5"/>
  <c r="W40" i="5"/>
  <c r="V40" i="5"/>
  <c r="X780" i="5"/>
  <c r="W780" i="5"/>
  <c r="V780" i="5"/>
  <c r="X763" i="5"/>
  <c r="W763" i="5"/>
  <c r="V763" i="5"/>
  <c r="X769" i="5"/>
  <c r="W769" i="5"/>
  <c r="V769" i="5"/>
  <c r="X752" i="5"/>
  <c r="W752" i="5"/>
  <c r="V752" i="5"/>
  <c r="X726" i="5"/>
  <c r="W726" i="5"/>
  <c r="V726" i="5"/>
  <c r="X746" i="5"/>
  <c r="W746" i="5"/>
  <c r="V746" i="5"/>
  <c r="X791" i="5"/>
  <c r="W791" i="5"/>
  <c r="V791" i="5"/>
  <c r="K113" i="5"/>
  <c r="K87" i="5"/>
  <c r="K11" i="5"/>
  <c r="K52" i="5"/>
  <c r="K781" i="5"/>
  <c r="K764" i="5"/>
  <c r="K755" i="5"/>
  <c r="K771" i="5"/>
  <c r="K742" i="5"/>
  <c r="K731" i="5"/>
  <c r="K818" i="5"/>
  <c r="K454" i="5"/>
  <c r="K446" i="5"/>
  <c r="K470" i="5"/>
  <c r="K462" i="5"/>
  <c r="K480" i="5"/>
  <c r="K675" i="5"/>
  <c r="K420" i="5"/>
  <c r="K440" i="5"/>
  <c r="K435" i="5"/>
  <c r="K430" i="5"/>
  <c r="K749" i="5"/>
  <c r="K723" i="5"/>
  <c r="K112" i="5"/>
  <c r="K110" i="5"/>
  <c r="K109" i="5"/>
  <c r="K95" i="5"/>
  <c r="K100" i="5"/>
  <c r="K256" i="5"/>
  <c r="K380" i="5"/>
  <c r="K379" i="5"/>
  <c r="K140" i="5"/>
  <c r="K382" i="5"/>
  <c r="K377" i="5"/>
  <c r="K114" i="5"/>
  <c r="K99" i="5"/>
  <c r="K124" i="5"/>
  <c r="K226" i="5"/>
  <c r="K242" i="5"/>
  <c r="K250" i="5"/>
  <c r="K234" i="5"/>
  <c r="K198" i="5"/>
  <c r="K102" i="5"/>
  <c r="K14" i="5"/>
  <c r="K801" i="5"/>
  <c r="K255" i="5"/>
  <c r="K177" i="5"/>
  <c r="K190" i="5"/>
  <c r="K108" i="5"/>
  <c r="K34" i="5"/>
  <c r="K27" i="5"/>
  <c r="K25" i="5"/>
  <c r="K9" i="5"/>
  <c r="K23" i="5"/>
  <c r="K58" i="5"/>
  <c r="K51" i="5"/>
  <c r="K532" i="5"/>
  <c r="K524" i="5"/>
  <c r="K508" i="5"/>
  <c r="K516" i="5"/>
  <c r="K562" i="5"/>
  <c r="K672" i="5"/>
  <c r="K770" i="5"/>
  <c r="K800" i="5"/>
  <c r="K809" i="5"/>
  <c r="K741" i="5"/>
  <c r="K817" i="5"/>
  <c r="K812" i="5"/>
  <c r="K820" i="5"/>
  <c r="K721" i="5"/>
  <c r="K793" i="5"/>
  <c r="K89" i="5"/>
  <c r="K62" i="5"/>
  <c r="K254" i="5"/>
  <c r="K199" i="5"/>
  <c r="K378" i="5"/>
  <c r="K218" i="5"/>
  <c r="K92" i="5"/>
  <c r="K137" i="5"/>
  <c r="K381" i="5"/>
  <c r="K376" i="5"/>
  <c r="K98" i="5"/>
  <c r="K122" i="5"/>
  <c r="K207" i="5"/>
  <c r="K224" i="5"/>
  <c r="K240" i="5"/>
  <c r="K248" i="5"/>
  <c r="K232" i="5"/>
  <c r="K189" i="5"/>
  <c r="K202" i="5"/>
  <c r="K197" i="5"/>
  <c r="K104" i="5"/>
  <c r="K106" i="5"/>
  <c r="K107" i="5"/>
  <c r="K101" i="5"/>
  <c r="K73" i="5"/>
  <c r="K270" i="5"/>
  <c r="K810" i="5"/>
  <c r="K819" i="5"/>
  <c r="K808" i="5"/>
  <c r="K790" i="5"/>
  <c r="K816" i="5"/>
  <c r="K88" i="5"/>
  <c r="K216" i="5"/>
  <c r="K91" i="5"/>
  <c r="K200" i="5"/>
  <c r="K195" i="5"/>
  <c r="K188" i="5"/>
  <c r="K72" i="5"/>
  <c r="K82" i="5"/>
  <c r="I5" i="15" l="1"/>
  <c r="N5" i="15"/>
  <c r="W23" i="2"/>
  <c r="Z23" i="2"/>
  <c r="X23" i="2"/>
  <c r="U24" i="2"/>
  <c r="Y23" i="2"/>
  <c r="AA23" i="2"/>
  <c r="AE22" i="2"/>
  <c r="AD22" i="2"/>
  <c r="AB22" i="2"/>
  <c r="AC22" i="2"/>
  <c r="Z24" i="15"/>
  <c r="X24" i="15"/>
  <c r="U25" i="15"/>
  <c r="Y24" i="15"/>
  <c r="W24" i="15"/>
  <c r="AA24" i="15"/>
  <c r="AB23" i="15"/>
  <c r="AC23" i="15"/>
  <c r="AE23" i="15"/>
  <c r="AD23" i="15"/>
  <c r="Q5" i="15"/>
  <c r="K5" i="15"/>
  <c r="J5" i="15"/>
  <c r="G6" i="15"/>
  <c r="P6" i="15"/>
  <c r="H6" i="15"/>
  <c r="R6" i="15"/>
  <c r="F6" i="15"/>
  <c r="O6" i="15"/>
  <c r="D6" i="15"/>
  <c r="E6" i="15"/>
  <c r="L5" i="15"/>
  <c r="M5" i="15"/>
  <c r="X785" i="5"/>
  <c r="W785" i="5"/>
  <c r="V785" i="5"/>
  <c r="I6" i="15" l="1"/>
  <c r="N6" i="15"/>
  <c r="Y24" i="2"/>
  <c r="X24" i="2"/>
  <c r="U25" i="2"/>
  <c r="W24" i="2"/>
  <c r="AA24" i="2"/>
  <c r="Z24" i="2"/>
  <c r="AD23" i="2"/>
  <c r="AE23" i="2"/>
  <c r="AB23" i="2"/>
  <c r="AC23" i="2"/>
  <c r="AD24" i="15"/>
  <c r="AE24" i="15"/>
  <c r="AB24" i="15"/>
  <c r="AC24" i="15"/>
  <c r="W25" i="15"/>
  <c r="Y25" i="15"/>
  <c r="U26" i="15"/>
  <c r="AA25" i="15"/>
  <c r="X25" i="15"/>
  <c r="Z25" i="15"/>
  <c r="Q6" i="15"/>
  <c r="J6" i="15"/>
  <c r="K6" i="15"/>
  <c r="M6" i="15"/>
  <c r="L6" i="15"/>
  <c r="R7" i="15"/>
  <c r="E7" i="15"/>
  <c r="P7" i="15"/>
  <c r="O7" i="15"/>
  <c r="D7" i="15"/>
  <c r="H7" i="15"/>
  <c r="G7" i="15"/>
  <c r="F7" i="15"/>
  <c r="O3" i="2"/>
  <c r="B4" i="2"/>
  <c r="A4" i="2"/>
  <c r="A5" i="2" s="1"/>
  <c r="A6" i="2" s="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G3" i="2"/>
  <c r="H3" i="2"/>
  <c r="D3" i="2"/>
  <c r="F3" i="2"/>
  <c r="E3" i="2"/>
  <c r="P3" i="2"/>
  <c r="R3" i="2"/>
  <c r="Y348" i="5"/>
  <c r="X348" i="5"/>
  <c r="W348" i="5"/>
  <c r="V348" i="5"/>
  <c r="Y347" i="5"/>
  <c r="X347" i="5"/>
  <c r="W347" i="5"/>
  <c r="V347" i="5"/>
  <c r="Y346" i="5"/>
  <c r="X346" i="5"/>
  <c r="W346" i="5"/>
  <c r="V346" i="5"/>
  <c r="Y345" i="5"/>
  <c r="X345" i="5"/>
  <c r="W345" i="5"/>
  <c r="V345" i="5"/>
  <c r="Y314" i="5"/>
  <c r="X314" i="5"/>
  <c r="W314" i="5"/>
  <c r="V314" i="5"/>
  <c r="Y268" i="5"/>
  <c r="X268" i="5"/>
  <c r="W268" i="5"/>
  <c r="V268" i="5"/>
  <c r="Y267" i="5"/>
  <c r="X267" i="5"/>
  <c r="W267" i="5"/>
  <c r="V267" i="5"/>
  <c r="Y168" i="5"/>
  <c r="X168" i="5"/>
  <c r="W168" i="5"/>
  <c r="V168" i="5"/>
  <c r="Y167" i="5"/>
  <c r="X167" i="5"/>
  <c r="W167" i="5"/>
  <c r="V167" i="5"/>
  <c r="Y166" i="5"/>
  <c r="X166" i="5"/>
  <c r="W166" i="5"/>
  <c r="V166" i="5"/>
  <c r="Y165" i="5"/>
  <c r="X165" i="5"/>
  <c r="W165" i="5"/>
  <c r="V165" i="5"/>
  <c r="Y156" i="5"/>
  <c r="X156" i="5"/>
  <c r="W156" i="5"/>
  <c r="V156" i="5"/>
  <c r="Y155" i="5"/>
  <c r="X155" i="5"/>
  <c r="W155" i="5"/>
  <c r="V155" i="5"/>
  <c r="Y154" i="5"/>
  <c r="X154" i="5"/>
  <c r="W154" i="5"/>
  <c r="V154" i="5"/>
  <c r="Y335" i="5"/>
  <c r="X335" i="5"/>
  <c r="W335" i="5"/>
  <c r="V335" i="5"/>
  <c r="Y334" i="5"/>
  <c r="X334" i="5"/>
  <c r="W334" i="5"/>
  <c r="V334" i="5"/>
  <c r="Y333" i="5"/>
  <c r="X333" i="5"/>
  <c r="W333" i="5"/>
  <c r="V333" i="5"/>
  <c r="Y313" i="5"/>
  <c r="X313" i="5"/>
  <c r="W313" i="5"/>
  <c r="V313" i="5"/>
  <c r="Y312" i="5"/>
  <c r="X312" i="5"/>
  <c r="W312" i="5"/>
  <c r="V312" i="5"/>
  <c r="Y311" i="5"/>
  <c r="X311" i="5"/>
  <c r="W311" i="5"/>
  <c r="V311" i="5"/>
  <c r="Y310" i="5"/>
  <c r="X310" i="5"/>
  <c r="W310" i="5"/>
  <c r="V310" i="5"/>
  <c r="Y309" i="5"/>
  <c r="X309" i="5"/>
  <c r="W309" i="5"/>
  <c r="V309" i="5"/>
  <c r="Y113" i="5"/>
  <c r="X113" i="5"/>
  <c r="W113" i="5"/>
  <c r="V113" i="5"/>
  <c r="Y112" i="5"/>
  <c r="X112" i="5"/>
  <c r="W112" i="5"/>
  <c r="V112" i="5"/>
  <c r="Y392" i="5"/>
  <c r="X392" i="5"/>
  <c r="W392" i="5"/>
  <c r="V392" i="5"/>
  <c r="Y391" i="5"/>
  <c r="X391" i="5"/>
  <c r="W391" i="5"/>
  <c r="V391" i="5"/>
  <c r="Y390" i="5"/>
  <c r="X390" i="5"/>
  <c r="W390" i="5"/>
  <c r="V390" i="5"/>
  <c r="Y389" i="5"/>
  <c r="X389" i="5"/>
  <c r="W389" i="5"/>
  <c r="V389" i="5"/>
  <c r="Y395" i="5"/>
  <c r="X395" i="5"/>
  <c r="W395" i="5"/>
  <c r="V395" i="5"/>
  <c r="Y394" i="5"/>
  <c r="X394" i="5"/>
  <c r="W394" i="5"/>
  <c r="V394" i="5"/>
  <c r="Y393" i="5"/>
  <c r="X393" i="5"/>
  <c r="W393" i="5"/>
  <c r="V393" i="5"/>
  <c r="Y110" i="5"/>
  <c r="X110" i="5"/>
  <c r="W110" i="5"/>
  <c r="V110" i="5"/>
  <c r="Y109" i="5"/>
  <c r="X109" i="5"/>
  <c r="W109" i="5"/>
  <c r="V109" i="5"/>
  <c r="Y95" i="5"/>
  <c r="X95" i="5"/>
  <c r="W95" i="5"/>
  <c r="V95" i="5"/>
  <c r="Y100" i="5"/>
  <c r="X100" i="5"/>
  <c r="W100" i="5"/>
  <c r="V100" i="5"/>
  <c r="Y90" i="5"/>
  <c r="X90" i="5"/>
  <c r="W90" i="5"/>
  <c r="V90" i="5"/>
  <c r="Y89" i="5"/>
  <c r="X89" i="5"/>
  <c r="W89" i="5"/>
  <c r="V89" i="5"/>
  <c r="Y88" i="5"/>
  <c r="X88" i="5"/>
  <c r="W88" i="5"/>
  <c r="V88" i="5"/>
  <c r="Y305" i="5"/>
  <c r="X305" i="5"/>
  <c r="W305" i="5"/>
  <c r="V305" i="5"/>
  <c r="Y304" i="5"/>
  <c r="X304" i="5"/>
  <c r="W304" i="5"/>
  <c r="V304" i="5"/>
  <c r="Y62" i="5"/>
  <c r="X62" i="5"/>
  <c r="W62" i="5"/>
  <c r="V62" i="5"/>
  <c r="Y182" i="5"/>
  <c r="X182" i="5"/>
  <c r="W182" i="5"/>
  <c r="V182" i="5"/>
  <c r="Y187" i="5"/>
  <c r="X187" i="5"/>
  <c r="W187" i="5"/>
  <c r="V187" i="5"/>
  <c r="Y181" i="5"/>
  <c r="X181" i="5"/>
  <c r="W181" i="5"/>
  <c r="V181" i="5"/>
  <c r="Y186" i="5"/>
  <c r="X186" i="5"/>
  <c r="W186" i="5"/>
  <c r="V186" i="5"/>
  <c r="Y180" i="5"/>
  <c r="X180" i="5"/>
  <c r="W180" i="5"/>
  <c r="V180" i="5"/>
  <c r="Y185" i="5"/>
  <c r="X185" i="5"/>
  <c r="W185" i="5"/>
  <c r="V185" i="5"/>
  <c r="Y179" i="5"/>
  <c r="X179" i="5"/>
  <c r="W179" i="5"/>
  <c r="V179" i="5"/>
  <c r="Y184" i="5"/>
  <c r="X184" i="5"/>
  <c r="W184" i="5"/>
  <c r="V184" i="5"/>
  <c r="Y178" i="5"/>
  <c r="X178" i="5"/>
  <c r="W178" i="5"/>
  <c r="V178" i="5"/>
  <c r="Y183" i="5"/>
  <c r="X183" i="5"/>
  <c r="W183" i="5"/>
  <c r="V183" i="5"/>
  <c r="Y256" i="5"/>
  <c r="X256" i="5"/>
  <c r="W256" i="5"/>
  <c r="V256" i="5"/>
  <c r="Y255" i="5"/>
  <c r="X255" i="5"/>
  <c r="W255" i="5"/>
  <c r="V255" i="5"/>
  <c r="Y254" i="5"/>
  <c r="X254" i="5"/>
  <c r="W254" i="5"/>
  <c r="V254" i="5"/>
  <c r="Y177" i="5"/>
  <c r="X177" i="5"/>
  <c r="W177" i="5"/>
  <c r="V177" i="5"/>
  <c r="Y176" i="5"/>
  <c r="X176" i="5"/>
  <c r="W176" i="5"/>
  <c r="V176" i="5"/>
  <c r="Y199" i="5"/>
  <c r="X199" i="5"/>
  <c r="W199" i="5"/>
  <c r="V199" i="5"/>
  <c r="Y380" i="5"/>
  <c r="X380" i="5"/>
  <c r="W380" i="5"/>
  <c r="V380" i="5"/>
  <c r="Y379" i="5"/>
  <c r="X379" i="5"/>
  <c r="W379" i="5"/>
  <c r="V379" i="5"/>
  <c r="Y378" i="5"/>
  <c r="X378" i="5"/>
  <c r="W378" i="5"/>
  <c r="V378" i="5"/>
  <c r="Y260" i="5"/>
  <c r="X260" i="5"/>
  <c r="W260" i="5"/>
  <c r="V260" i="5"/>
  <c r="Y259" i="5"/>
  <c r="X259" i="5"/>
  <c r="W259" i="5"/>
  <c r="V259" i="5"/>
  <c r="Y258" i="5"/>
  <c r="X258" i="5"/>
  <c r="W258" i="5"/>
  <c r="V258" i="5"/>
  <c r="Y257" i="5"/>
  <c r="X257" i="5"/>
  <c r="W257" i="5"/>
  <c r="V257" i="5"/>
  <c r="Y326" i="5"/>
  <c r="X326" i="5"/>
  <c r="W326" i="5"/>
  <c r="V326" i="5"/>
  <c r="Y221" i="5"/>
  <c r="X221" i="5"/>
  <c r="W221" i="5"/>
  <c r="V221" i="5"/>
  <c r="Y220" i="5"/>
  <c r="X220" i="5"/>
  <c r="W220" i="5"/>
  <c r="V220" i="5"/>
  <c r="Y219" i="5"/>
  <c r="X219" i="5"/>
  <c r="W219" i="5"/>
  <c r="V219" i="5"/>
  <c r="Y218" i="5"/>
  <c r="X218" i="5"/>
  <c r="W218" i="5"/>
  <c r="V218" i="5"/>
  <c r="Y217" i="5"/>
  <c r="X217" i="5"/>
  <c r="W217" i="5"/>
  <c r="V217" i="5"/>
  <c r="Y216" i="5"/>
  <c r="X216" i="5"/>
  <c r="W216" i="5"/>
  <c r="V216" i="5"/>
  <c r="Y92" i="5"/>
  <c r="X92" i="5"/>
  <c r="W92" i="5"/>
  <c r="V92" i="5"/>
  <c r="Y91" i="5"/>
  <c r="X91" i="5"/>
  <c r="W91" i="5"/>
  <c r="V91" i="5"/>
  <c r="Y143" i="5"/>
  <c r="X143" i="5"/>
  <c r="W143" i="5"/>
  <c r="V143" i="5"/>
  <c r="Y142" i="5"/>
  <c r="X142" i="5"/>
  <c r="W142" i="5"/>
  <c r="V142" i="5"/>
  <c r="Y141" i="5"/>
  <c r="X141" i="5"/>
  <c r="W141" i="5"/>
  <c r="V141" i="5"/>
  <c r="Y140" i="5"/>
  <c r="X140" i="5"/>
  <c r="W140" i="5"/>
  <c r="V140" i="5"/>
  <c r="Y139" i="5"/>
  <c r="X139" i="5"/>
  <c r="W139" i="5"/>
  <c r="V139" i="5"/>
  <c r="Y138" i="5"/>
  <c r="X138" i="5"/>
  <c r="W138" i="5"/>
  <c r="V138" i="5"/>
  <c r="Y137" i="5"/>
  <c r="X137" i="5"/>
  <c r="W137" i="5"/>
  <c r="V137" i="5"/>
  <c r="Y136" i="5"/>
  <c r="X136" i="5"/>
  <c r="W136" i="5"/>
  <c r="V136" i="5"/>
  <c r="Y135" i="5"/>
  <c r="X135" i="5"/>
  <c r="W135" i="5"/>
  <c r="V135" i="5"/>
  <c r="Y274" i="5"/>
  <c r="X274" i="5"/>
  <c r="W274" i="5"/>
  <c r="V274" i="5"/>
  <c r="Y273" i="5"/>
  <c r="X273" i="5"/>
  <c r="W273" i="5"/>
  <c r="V273" i="5"/>
  <c r="Y272" i="5"/>
  <c r="X272" i="5"/>
  <c r="W272" i="5"/>
  <c r="V272" i="5"/>
  <c r="Y295" i="5"/>
  <c r="X295" i="5"/>
  <c r="W295" i="5"/>
  <c r="V295" i="5"/>
  <c r="Y294" i="5"/>
  <c r="X294" i="5"/>
  <c r="W294" i="5"/>
  <c r="V294" i="5"/>
  <c r="Y293" i="5"/>
  <c r="X293" i="5"/>
  <c r="W293" i="5"/>
  <c r="V293" i="5"/>
  <c r="Y375" i="5"/>
  <c r="X375" i="5"/>
  <c r="W375" i="5"/>
  <c r="V375" i="5"/>
  <c r="Y374" i="5"/>
  <c r="X374" i="5"/>
  <c r="W374" i="5"/>
  <c r="V374" i="5"/>
  <c r="Y373" i="5"/>
  <c r="X373" i="5"/>
  <c r="W373" i="5"/>
  <c r="V373" i="5"/>
  <c r="Y382" i="5"/>
  <c r="X382" i="5"/>
  <c r="W382" i="5"/>
  <c r="V382" i="5"/>
  <c r="Y381" i="5"/>
  <c r="X381" i="5"/>
  <c r="W381" i="5"/>
  <c r="V381" i="5"/>
  <c r="Y337" i="5"/>
  <c r="X337" i="5"/>
  <c r="W337" i="5"/>
  <c r="V337" i="5"/>
  <c r="Y327" i="5"/>
  <c r="X327" i="5"/>
  <c r="W327" i="5"/>
  <c r="V327" i="5"/>
  <c r="Y276" i="5"/>
  <c r="X276" i="5"/>
  <c r="W276" i="5"/>
  <c r="V276" i="5"/>
  <c r="Y275" i="5"/>
  <c r="X275" i="5"/>
  <c r="W275" i="5"/>
  <c r="V275" i="5"/>
  <c r="Y292" i="5"/>
  <c r="X292" i="5"/>
  <c r="W292" i="5"/>
  <c r="V292" i="5"/>
  <c r="Y266" i="5"/>
  <c r="X266" i="5"/>
  <c r="W266" i="5"/>
  <c r="V266" i="5"/>
  <c r="Y265" i="5"/>
  <c r="X265" i="5"/>
  <c r="W265" i="5"/>
  <c r="V265" i="5"/>
  <c r="Y264" i="5"/>
  <c r="X264" i="5"/>
  <c r="W264" i="5"/>
  <c r="V264" i="5"/>
  <c r="Y377" i="5"/>
  <c r="X377" i="5"/>
  <c r="W377" i="5"/>
  <c r="V377" i="5"/>
  <c r="Y376" i="5"/>
  <c r="X376" i="5"/>
  <c r="W376" i="5"/>
  <c r="V376" i="5"/>
  <c r="Y97" i="5"/>
  <c r="X97" i="5"/>
  <c r="W97" i="5"/>
  <c r="V97" i="5"/>
  <c r="Y96" i="5"/>
  <c r="X96" i="5"/>
  <c r="W96" i="5"/>
  <c r="V96" i="5"/>
  <c r="Y114" i="5"/>
  <c r="X114" i="5"/>
  <c r="W114" i="5"/>
  <c r="V114" i="5"/>
  <c r="Y360" i="5"/>
  <c r="X360" i="5"/>
  <c r="W360" i="5"/>
  <c r="V360" i="5"/>
  <c r="Y359" i="5"/>
  <c r="X359" i="5"/>
  <c r="W359" i="5"/>
  <c r="V359" i="5"/>
  <c r="Y358" i="5"/>
  <c r="X358" i="5"/>
  <c r="W358" i="5"/>
  <c r="V358" i="5"/>
  <c r="Y308" i="5"/>
  <c r="X308" i="5"/>
  <c r="W308" i="5"/>
  <c r="V308" i="5"/>
  <c r="Y307" i="5"/>
  <c r="X307" i="5"/>
  <c r="W307" i="5"/>
  <c r="V307" i="5"/>
  <c r="Y306" i="5"/>
  <c r="X306" i="5"/>
  <c r="W306" i="5"/>
  <c r="V306" i="5"/>
  <c r="Y329" i="5"/>
  <c r="X329" i="5"/>
  <c r="W329" i="5"/>
  <c r="V329" i="5"/>
  <c r="Y328" i="5"/>
  <c r="X328" i="5"/>
  <c r="W328" i="5"/>
  <c r="V328" i="5"/>
  <c r="Y299" i="5"/>
  <c r="X299" i="5"/>
  <c r="W299" i="5"/>
  <c r="V299" i="5"/>
  <c r="Y298" i="5"/>
  <c r="X298" i="5"/>
  <c r="W298" i="5"/>
  <c r="V298" i="5"/>
  <c r="Y297" i="5"/>
  <c r="X297" i="5"/>
  <c r="W297" i="5"/>
  <c r="V297" i="5"/>
  <c r="Y296" i="5"/>
  <c r="X296" i="5"/>
  <c r="W296" i="5"/>
  <c r="V296" i="5"/>
  <c r="Y344" i="5"/>
  <c r="X344" i="5"/>
  <c r="W344" i="5"/>
  <c r="V344" i="5"/>
  <c r="Y343" i="5"/>
  <c r="X343" i="5"/>
  <c r="W343" i="5"/>
  <c r="V343" i="5"/>
  <c r="Y175" i="5"/>
  <c r="X175" i="5"/>
  <c r="W175" i="5"/>
  <c r="V175" i="5"/>
  <c r="Y174" i="5"/>
  <c r="X174" i="5"/>
  <c r="W174" i="5"/>
  <c r="V174" i="5"/>
  <c r="Y323" i="5"/>
  <c r="X323" i="5"/>
  <c r="W323" i="5"/>
  <c r="V323" i="5"/>
  <c r="Y322" i="5"/>
  <c r="X322" i="5"/>
  <c r="W322" i="5"/>
  <c r="V322" i="5"/>
  <c r="Y291" i="5"/>
  <c r="X291" i="5"/>
  <c r="W291" i="5"/>
  <c r="V291" i="5"/>
  <c r="Y290" i="5"/>
  <c r="X290" i="5"/>
  <c r="W290" i="5"/>
  <c r="V290" i="5"/>
  <c r="Y289" i="5"/>
  <c r="X289" i="5"/>
  <c r="W289" i="5"/>
  <c r="V289" i="5"/>
  <c r="Y288" i="5"/>
  <c r="X288" i="5"/>
  <c r="W288" i="5"/>
  <c r="V288" i="5"/>
  <c r="Y261" i="5"/>
  <c r="X261" i="5"/>
  <c r="W261" i="5"/>
  <c r="V261" i="5"/>
  <c r="Y342" i="5"/>
  <c r="X342" i="5"/>
  <c r="W342" i="5"/>
  <c r="V342" i="5"/>
  <c r="Y341" i="5"/>
  <c r="X341" i="5"/>
  <c r="W341" i="5"/>
  <c r="V341" i="5"/>
  <c r="Y340" i="5"/>
  <c r="X340" i="5"/>
  <c r="W340" i="5"/>
  <c r="V340" i="5"/>
  <c r="Y339" i="5"/>
  <c r="X339" i="5"/>
  <c r="W339" i="5"/>
  <c r="V339" i="5"/>
  <c r="Y352" i="5"/>
  <c r="X352" i="5"/>
  <c r="W352" i="5"/>
  <c r="V352" i="5"/>
  <c r="Y351" i="5"/>
  <c r="X351" i="5"/>
  <c r="W351" i="5"/>
  <c r="V351" i="5"/>
  <c r="Y350" i="5"/>
  <c r="X350" i="5"/>
  <c r="W350" i="5"/>
  <c r="V350" i="5"/>
  <c r="Y349" i="5"/>
  <c r="X349" i="5"/>
  <c r="W349" i="5"/>
  <c r="V349" i="5"/>
  <c r="Y99" i="5"/>
  <c r="X99" i="5"/>
  <c r="W99" i="5"/>
  <c r="V99" i="5"/>
  <c r="Y98" i="5"/>
  <c r="X98" i="5"/>
  <c r="W98" i="5"/>
  <c r="V98" i="5"/>
  <c r="Y301" i="5"/>
  <c r="X301" i="5"/>
  <c r="W301" i="5"/>
  <c r="V301" i="5"/>
  <c r="Y300" i="5"/>
  <c r="X300" i="5"/>
  <c r="W300" i="5"/>
  <c r="V300" i="5"/>
  <c r="Y263" i="5"/>
  <c r="X263" i="5"/>
  <c r="W263" i="5"/>
  <c r="V263" i="5"/>
  <c r="Y262" i="5"/>
  <c r="X262" i="5"/>
  <c r="W262" i="5"/>
  <c r="V262" i="5"/>
  <c r="Y127" i="5"/>
  <c r="X127" i="5"/>
  <c r="W127" i="5"/>
  <c r="V127" i="5"/>
  <c r="Y126" i="5"/>
  <c r="X126" i="5"/>
  <c r="W126" i="5"/>
  <c r="V126" i="5"/>
  <c r="Y125" i="5"/>
  <c r="X125" i="5"/>
  <c r="W125" i="5"/>
  <c r="V125" i="5"/>
  <c r="Y124" i="5"/>
  <c r="X124" i="5"/>
  <c r="W124" i="5"/>
  <c r="V124" i="5"/>
  <c r="Y123" i="5"/>
  <c r="X123" i="5"/>
  <c r="W123" i="5"/>
  <c r="V123" i="5"/>
  <c r="Y122" i="5"/>
  <c r="X122" i="5"/>
  <c r="W122" i="5"/>
  <c r="V122" i="5"/>
  <c r="Y121" i="5"/>
  <c r="X121" i="5"/>
  <c r="W121" i="5"/>
  <c r="V121" i="5"/>
  <c r="Y144" i="5"/>
  <c r="X144" i="5"/>
  <c r="W144" i="5"/>
  <c r="V144" i="5"/>
  <c r="Y145" i="5"/>
  <c r="X145" i="5"/>
  <c r="W145" i="5"/>
  <c r="V145" i="5"/>
  <c r="Y215" i="5"/>
  <c r="X215" i="5"/>
  <c r="W215" i="5"/>
  <c r="V215" i="5"/>
  <c r="Y214" i="5"/>
  <c r="X214" i="5"/>
  <c r="W214" i="5"/>
  <c r="V214" i="5"/>
  <c r="Y213" i="5"/>
  <c r="X213" i="5"/>
  <c r="W213" i="5"/>
  <c r="V213" i="5"/>
  <c r="Y212" i="5"/>
  <c r="X212" i="5"/>
  <c r="W212" i="5"/>
  <c r="V212" i="5"/>
  <c r="Y211" i="5"/>
  <c r="X211" i="5"/>
  <c r="W211" i="5"/>
  <c r="V211" i="5"/>
  <c r="Y210" i="5"/>
  <c r="X210" i="5"/>
  <c r="W210" i="5"/>
  <c r="V210" i="5"/>
  <c r="Y209" i="5"/>
  <c r="X209" i="5"/>
  <c r="W209" i="5"/>
  <c r="V209" i="5"/>
  <c r="Y208" i="5"/>
  <c r="X208" i="5"/>
  <c r="W208" i="5"/>
  <c r="V208" i="5"/>
  <c r="Y207" i="5"/>
  <c r="X207" i="5"/>
  <c r="W207" i="5"/>
  <c r="V207" i="5"/>
  <c r="Y206" i="5"/>
  <c r="X206" i="5"/>
  <c r="W206" i="5"/>
  <c r="V206" i="5"/>
  <c r="Y205" i="5"/>
  <c r="X205" i="5"/>
  <c r="W205" i="5"/>
  <c r="V205" i="5"/>
  <c r="Y229" i="5"/>
  <c r="X229" i="5"/>
  <c r="W229" i="5"/>
  <c r="V229" i="5"/>
  <c r="Y245" i="5"/>
  <c r="X245" i="5"/>
  <c r="W245" i="5"/>
  <c r="V245" i="5"/>
  <c r="Y253" i="5"/>
  <c r="X253" i="5"/>
  <c r="W253" i="5"/>
  <c r="V253" i="5"/>
  <c r="Y237" i="5"/>
  <c r="X237" i="5"/>
  <c r="W237" i="5"/>
  <c r="V237" i="5"/>
  <c r="Y228" i="5"/>
  <c r="X228" i="5"/>
  <c r="W228" i="5"/>
  <c r="V228" i="5"/>
  <c r="Y244" i="5"/>
  <c r="X244" i="5"/>
  <c r="W244" i="5"/>
  <c r="V244" i="5"/>
  <c r="Y252" i="5"/>
  <c r="X252" i="5"/>
  <c r="W252" i="5"/>
  <c r="V252" i="5"/>
  <c r="Y236" i="5"/>
  <c r="X236" i="5"/>
  <c r="W236" i="5"/>
  <c r="V236" i="5"/>
  <c r="Y227" i="5"/>
  <c r="X227" i="5"/>
  <c r="W227" i="5"/>
  <c r="V227" i="5"/>
  <c r="Y243" i="5"/>
  <c r="X243" i="5"/>
  <c r="W243" i="5"/>
  <c r="V243" i="5"/>
  <c r="Y251" i="5"/>
  <c r="X251" i="5"/>
  <c r="W251" i="5"/>
  <c r="V251" i="5"/>
  <c r="Y235" i="5"/>
  <c r="X235" i="5"/>
  <c r="W235" i="5"/>
  <c r="V235" i="5"/>
  <c r="Y226" i="5"/>
  <c r="X226" i="5"/>
  <c r="W226" i="5"/>
  <c r="V226" i="5"/>
  <c r="Y242" i="5"/>
  <c r="X242" i="5"/>
  <c r="W242" i="5"/>
  <c r="V242" i="5"/>
  <c r="Y250" i="5"/>
  <c r="X250" i="5"/>
  <c r="W250" i="5"/>
  <c r="V250" i="5"/>
  <c r="Y234" i="5"/>
  <c r="X234" i="5"/>
  <c r="W234" i="5"/>
  <c r="V234" i="5"/>
  <c r="Y225" i="5"/>
  <c r="X225" i="5"/>
  <c r="W225" i="5"/>
  <c r="V225" i="5"/>
  <c r="Y241" i="5"/>
  <c r="X241" i="5"/>
  <c r="W241" i="5"/>
  <c r="V241" i="5"/>
  <c r="Y249" i="5"/>
  <c r="X249" i="5"/>
  <c r="W249" i="5"/>
  <c r="V249" i="5"/>
  <c r="Y233" i="5"/>
  <c r="X233" i="5"/>
  <c r="W233" i="5"/>
  <c r="V233" i="5"/>
  <c r="Y224" i="5"/>
  <c r="X224" i="5"/>
  <c r="W224" i="5"/>
  <c r="V224" i="5"/>
  <c r="Y240" i="5"/>
  <c r="X240" i="5"/>
  <c r="W240" i="5"/>
  <c r="V240" i="5"/>
  <c r="Y248" i="5"/>
  <c r="X248" i="5"/>
  <c r="W248" i="5"/>
  <c r="V248" i="5"/>
  <c r="Y232" i="5"/>
  <c r="X232" i="5"/>
  <c r="W232" i="5"/>
  <c r="V232" i="5"/>
  <c r="Y223" i="5"/>
  <c r="X223" i="5"/>
  <c r="W223" i="5"/>
  <c r="V223" i="5"/>
  <c r="Y239" i="5"/>
  <c r="X239" i="5"/>
  <c r="W239" i="5"/>
  <c r="V239" i="5"/>
  <c r="Y247" i="5"/>
  <c r="X247" i="5"/>
  <c r="W247" i="5"/>
  <c r="V247" i="5"/>
  <c r="Y231" i="5"/>
  <c r="X231" i="5"/>
  <c r="W231" i="5"/>
  <c r="V231" i="5"/>
  <c r="Y222" i="5"/>
  <c r="X222" i="5"/>
  <c r="W222" i="5"/>
  <c r="V222" i="5"/>
  <c r="Y238" i="5"/>
  <c r="X238" i="5"/>
  <c r="W238" i="5"/>
  <c r="V238" i="5"/>
  <c r="Y246" i="5"/>
  <c r="X246" i="5"/>
  <c r="W246" i="5"/>
  <c r="V246" i="5"/>
  <c r="Y230" i="5"/>
  <c r="X230" i="5"/>
  <c r="W230" i="5"/>
  <c r="V230" i="5"/>
  <c r="Y194" i="5"/>
  <c r="X194" i="5"/>
  <c r="W194" i="5"/>
  <c r="V194" i="5"/>
  <c r="Y193" i="5"/>
  <c r="X193" i="5"/>
  <c r="W193" i="5"/>
  <c r="V193" i="5"/>
  <c r="Y192" i="5"/>
  <c r="X192" i="5"/>
  <c r="W192" i="5"/>
  <c r="V192" i="5"/>
  <c r="Y191" i="5"/>
  <c r="X191" i="5"/>
  <c r="W191" i="5"/>
  <c r="V191" i="5"/>
  <c r="Y190" i="5"/>
  <c r="X190" i="5"/>
  <c r="W190" i="5"/>
  <c r="V190" i="5"/>
  <c r="Y189" i="5"/>
  <c r="X189" i="5"/>
  <c r="W189" i="5"/>
  <c r="V189" i="5"/>
  <c r="Y188" i="5"/>
  <c r="X188" i="5"/>
  <c r="W188" i="5"/>
  <c r="V188" i="5"/>
  <c r="Y204" i="5"/>
  <c r="X204" i="5"/>
  <c r="W204" i="5"/>
  <c r="V204" i="5"/>
  <c r="Y203" i="5"/>
  <c r="X203" i="5"/>
  <c r="W203" i="5"/>
  <c r="V203" i="5"/>
  <c r="Y202" i="5"/>
  <c r="X202" i="5"/>
  <c r="W202" i="5"/>
  <c r="V202" i="5"/>
  <c r="Y201" i="5"/>
  <c r="X201" i="5"/>
  <c r="W201" i="5"/>
  <c r="V201" i="5"/>
  <c r="Y200" i="5"/>
  <c r="X200" i="5"/>
  <c r="W200" i="5"/>
  <c r="V200" i="5"/>
  <c r="Y118" i="5"/>
  <c r="X118" i="5"/>
  <c r="W118" i="5"/>
  <c r="V118" i="5"/>
  <c r="Y117" i="5"/>
  <c r="X117" i="5"/>
  <c r="W117" i="5"/>
  <c r="V117" i="5"/>
  <c r="Y116" i="5"/>
  <c r="X116" i="5"/>
  <c r="W116" i="5"/>
  <c r="V116" i="5"/>
  <c r="Y115" i="5"/>
  <c r="X115" i="5"/>
  <c r="W115" i="5"/>
  <c r="V115" i="5"/>
  <c r="Y198" i="5"/>
  <c r="X198" i="5"/>
  <c r="W198" i="5"/>
  <c r="V198" i="5"/>
  <c r="Y197" i="5"/>
  <c r="X197" i="5"/>
  <c r="W197" i="5"/>
  <c r="V197" i="5"/>
  <c r="Y196" i="5"/>
  <c r="X196" i="5"/>
  <c r="W196" i="5"/>
  <c r="V196" i="5"/>
  <c r="Y195" i="5"/>
  <c r="X195" i="5"/>
  <c r="W195" i="5"/>
  <c r="V195" i="5"/>
  <c r="Y149" i="5"/>
  <c r="X149" i="5"/>
  <c r="W149" i="5"/>
  <c r="V149" i="5"/>
  <c r="Y153" i="5"/>
  <c r="X153" i="5"/>
  <c r="W153" i="5"/>
  <c r="V153" i="5"/>
  <c r="Y148" i="5"/>
  <c r="X148" i="5"/>
  <c r="W148" i="5"/>
  <c r="V148" i="5"/>
  <c r="Y152" i="5"/>
  <c r="X152" i="5"/>
  <c r="W152" i="5"/>
  <c r="V152" i="5"/>
  <c r="Y147" i="5"/>
  <c r="X147" i="5"/>
  <c r="W147" i="5"/>
  <c r="V147" i="5"/>
  <c r="Y151" i="5"/>
  <c r="X151" i="5"/>
  <c r="W151" i="5"/>
  <c r="V151" i="5"/>
  <c r="Y146" i="5"/>
  <c r="X146" i="5"/>
  <c r="W146" i="5"/>
  <c r="V146" i="5"/>
  <c r="Y150" i="5"/>
  <c r="X150" i="5"/>
  <c r="W150" i="5"/>
  <c r="V150" i="5"/>
  <c r="Y365" i="5"/>
  <c r="X365" i="5"/>
  <c r="W365" i="5"/>
  <c r="V365" i="5"/>
  <c r="Y364" i="5"/>
  <c r="X364" i="5"/>
  <c r="W364" i="5"/>
  <c r="V364" i="5"/>
  <c r="Y361" i="5"/>
  <c r="X361" i="5"/>
  <c r="W361" i="5"/>
  <c r="V361" i="5"/>
  <c r="Y287" i="5"/>
  <c r="X287" i="5"/>
  <c r="W287" i="5"/>
  <c r="V287" i="5"/>
  <c r="Y277" i="5"/>
  <c r="X277" i="5"/>
  <c r="W277" i="5"/>
  <c r="V277" i="5"/>
  <c r="Y321" i="5"/>
  <c r="X321" i="5"/>
  <c r="W321" i="5"/>
  <c r="V321" i="5"/>
  <c r="Y320" i="5"/>
  <c r="X320" i="5"/>
  <c r="W320" i="5"/>
  <c r="V320" i="5"/>
  <c r="Y319" i="5"/>
  <c r="X319" i="5"/>
  <c r="W319" i="5"/>
  <c r="V319" i="5"/>
  <c r="Y318" i="5"/>
  <c r="X318" i="5"/>
  <c r="W318" i="5"/>
  <c r="V318" i="5"/>
  <c r="Y317" i="5"/>
  <c r="X317" i="5"/>
  <c r="W317" i="5"/>
  <c r="V317" i="5"/>
  <c r="Y316" i="5"/>
  <c r="X316" i="5"/>
  <c r="W316" i="5"/>
  <c r="V316" i="5"/>
  <c r="Y315" i="5"/>
  <c r="X315" i="5"/>
  <c r="W315" i="5"/>
  <c r="V315" i="5"/>
  <c r="Y120" i="5"/>
  <c r="X120" i="5"/>
  <c r="W120" i="5"/>
  <c r="V120" i="5"/>
  <c r="Y119" i="5"/>
  <c r="X119" i="5"/>
  <c r="W119" i="5"/>
  <c r="V119" i="5"/>
  <c r="Y173" i="5"/>
  <c r="X173" i="5"/>
  <c r="W173" i="5"/>
  <c r="V173" i="5"/>
  <c r="Y172" i="5"/>
  <c r="X172" i="5"/>
  <c r="W172" i="5"/>
  <c r="V172" i="5"/>
  <c r="Y171" i="5"/>
  <c r="X171" i="5"/>
  <c r="W171" i="5"/>
  <c r="V171" i="5"/>
  <c r="Y170" i="5"/>
  <c r="X170" i="5"/>
  <c r="W170" i="5"/>
  <c r="V170" i="5"/>
  <c r="Y169" i="5"/>
  <c r="X169" i="5"/>
  <c r="W169" i="5"/>
  <c r="V169" i="5"/>
  <c r="Y134" i="5"/>
  <c r="X134" i="5"/>
  <c r="W134" i="5"/>
  <c r="V134" i="5"/>
  <c r="Y133" i="5"/>
  <c r="X133" i="5"/>
  <c r="W133" i="5"/>
  <c r="V133" i="5"/>
  <c r="Y132" i="5"/>
  <c r="X132" i="5"/>
  <c r="W132" i="5"/>
  <c r="V132" i="5"/>
  <c r="Y131" i="5"/>
  <c r="X131" i="5"/>
  <c r="W131" i="5"/>
  <c r="V131" i="5"/>
  <c r="Y130" i="5"/>
  <c r="X130" i="5"/>
  <c r="W130" i="5"/>
  <c r="V130" i="5"/>
  <c r="Y129" i="5"/>
  <c r="X129" i="5"/>
  <c r="W129" i="5"/>
  <c r="V129" i="5"/>
  <c r="Y128" i="5"/>
  <c r="X128" i="5"/>
  <c r="W128" i="5"/>
  <c r="V128" i="5"/>
  <c r="Y338" i="5"/>
  <c r="X338" i="5"/>
  <c r="W338" i="5"/>
  <c r="V338" i="5"/>
  <c r="Y104" i="5"/>
  <c r="X104" i="5"/>
  <c r="W104" i="5"/>
  <c r="V104" i="5"/>
  <c r="Y106" i="5"/>
  <c r="X106" i="5"/>
  <c r="W106" i="5"/>
  <c r="V106" i="5"/>
  <c r="Y103" i="5"/>
  <c r="X103" i="5"/>
  <c r="W103" i="5"/>
  <c r="V103" i="5"/>
  <c r="Y105" i="5"/>
  <c r="X105" i="5"/>
  <c r="W105" i="5"/>
  <c r="V105" i="5"/>
  <c r="Y111" i="5"/>
  <c r="X111" i="5"/>
  <c r="W111" i="5"/>
  <c r="V111" i="5"/>
  <c r="Y162" i="5"/>
  <c r="X162" i="5"/>
  <c r="W162" i="5"/>
  <c r="V162" i="5"/>
  <c r="Y159" i="5"/>
  <c r="X159" i="5"/>
  <c r="W159" i="5"/>
  <c r="V159" i="5"/>
  <c r="Y161" i="5"/>
  <c r="X161" i="5"/>
  <c r="W161" i="5"/>
  <c r="V161" i="5"/>
  <c r="Y158" i="5"/>
  <c r="X158" i="5"/>
  <c r="W158" i="5"/>
  <c r="V158" i="5"/>
  <c r="Y160" i="5"/>
  <c r="X160" i="5"/>
  <c r="W160" i="5"/>
  <c r="V160" i="5"/>
  <c r="Y157" i="5"/>
  <c r="X157" i="5"/>
  <c r="W157" i="5"/>
  <c r="V157" i="5"/>
  <c r="Y164" i="5"/>
  <c r="X164" i="5"/>
  <c r="W164" i="5"/>
  <c r="V164" i="5"/>
  <c r="Y163" i="5"/>
  <c r="X163" i="5"/>
  <c r="W163" i="5"/>
  <c r="V163" i="5"/>
  <c r="Y94" i="5"/>
  <c r="X94" i="5"/>
  <c r="W94" i="5"/>
  <c r="V94" i="5"/>
  <c r="Y372" i="5"/>
  <c r="X372" i="5"/>
  <c r="W372" i="5"/>
  <c r="V372" i="5"/>
  <c r="Y371" i="5"/>
  <c r="X371" i="5"/>
  <c r="W371" i="5"/>
  <c r="V371" i="5"/>
  <c r="Y370" i="5"/>
  <c r="X370" i="5"/>
  <c r="W370" i="5"/>
  <c r="V370" i="5"/>
  <c r="Y108" i="5"/>
  <c r="X108" i="5"/>
  <c r="W108" i="5"/>
  <c r="V108" i="5"/>
  <c r="Y107" i="5"/>
  <c r="X107" i="5"/>
  <c r="W107" i="5"/>
  <c r="V107" i="5"/>
  <c r="Y65" i="5"/>
  <c r="X65" i="5"/>
  <c r="W65" i="5"/>
  <c r="V65" i="5"/>
  <c r="Y64" i="5"/>
  <c r="X64" i="5"/>
  <c r="W64" i="5"/>
  <c r="V64" i="5"/>
  <c r="Y63" i="5"/>
  <c r="X63" i="5"/>
  <c r="W63" i="5"/>
  <c r="V63" i="5"/>
  <c r="Y70" i="5"/>
  <c r="X70" i="5"/>
  <c r="W70" i="5"/>
  <c r="V70" i="5"/>
  <c r="Y69" i="5"/>
  <c r="X69" i="5"/>
  <c r="W69" i="5"/>
  <c r="V69" i="5"/>
  <c r="Y68" i="5"/>
  <c r="X68" i="5"/>
  <c r="W68" i="5"/>
  <c r="V68" i="5"/>
  <c r="Y67" i="5"/>
  <c r="X67" i="5"/>
  <c r="W67" i="5"/>
  <c r="V67" i="5"/>
  <c r="Y66" i="5"/>
  <c r="X66" i="5"/>
  <c r="W66" i="5"/>
  <c r="V66" i="5"/>
  <c r="Y81" i="5"/>
  <c r="X81" i="5"/>
  <c r="W81" i="5"/>
  <c r="V81" i="5"/>
  <c r="Y80" i="5"/>
  <c r="X80" i="5"/>
  <c r="W80" i="5"/>
  <c r="V80" i="5"/>
  <c r="Y79" i="5"/>
  <c r="X79" i="5"/>
  <c r="W79" i="5"/>
  <c r="V79" i="5"/>
  <c r="Y78" i="5"/>
  <c r="X78" i="5"/>
  <c r="W78" i="5"/>
  <c r="V78" i="5"/>
  <c r="Y102" i="5"/>
  <c r="X102" i="5"/>
  <c r="W102" i="5"/>
  <c r="V102" i="5"/>
  <c r="Y101" i="5"/>
  <c r="X101" i="5"/>
  <c r="W101" i="5"/>
  <c r="V101" i="5"/>
  <c r="Y286" i="5"/>
  <c r="X286" i="5"/>
  <c r="W286" i="5"/>
  <c r="V286" i="5"/>
  <c r="Y285" i="5"/>
  <c r="X285" i="5"/>
  <c r="W285" i="5"/>
  <c r="V285" i="5"/>
  <c r="Y284" i="5"/>
  <c r="X284" i="5"/>
  <c r="W284" i="5"/>
  <c r="V284" i="5"/>
  <c r="Y283" i="5"/>
  <c r="X283" i="5"/>
  <c r="W283" i="5"/>
  <c r="V283" i="5"/>
  <c r="Y282" i="5"/>
  <c r="X282" i="5"/>
  <c r="W282" i="5"/>
  <c r="V282" i="5"/>
  <c r="Y281" i="5"/>
  <c r="X281" i="5"/>
  <c r="W281" i="5"/>
  <c r="V281" i="5"/>
  <c r="Y280" i="5"/>
  <c r="X280" i="5"/>
  <c r="W280" i="5"/>
  <c r="V280" i="5"/>
  <c r="Y363" i="5"/>
  <c r="X363" i="5"/>
  <c r="W363" i="5"/>
  <c r="V363" i="5"/>
  <c r="Y362" i="5"/>
  <c r="X362" i="5"/>
  <c r="W362" i="5"/>
  <c r="V362" i="5"/>
  <c r="Y77" i="5"/>
  <c r="X77" i="5"/>
  <c r="W77" i="5"/>
  <c r="V77" i="5"/>
  <c r="Y76" i="5"/>
  <c r="X76" i="5"/>
  <c r="W76" i="5"/>
  <c r="V76" i="5"/>
  <c r="Y75" i="5"/>
  <c r="X75" i="5"/>
  <c r="W75" i="5"/>
  <c r="V75" i="5"/>
  <c r="Y74" i="5"/>
  <c r="X74" i="5"/>
  <c r="W74" i="5"/>
  <c r="V74" i="5"/>
  <c r="Y73" i="5"/>
  <c r="X73" i="5"/>
  <c r="W73" i="5"/>
  <c r="V73" i="5"/>
  <c r="Y72" i="5"/>
  <c r="X72" i="5"/>
  <c r="W72" i="5"/>
  <c r="V72" i="5"/>
  <c r="Y87" i="5"/>
  <c r="X87" i="5"/>
  <c r="W87" i="5"/>
  <c r="V87" i="5"/>
  <c r="Y86" i="5"/>
  <c r="X86" i="5"/>
  <c r="W86" i="5"/>
  <c r="V86" i="5"/>
  <c r="Y85" i="5"/>
  <c r="X85" i="5"/>
  <c r="W85" i="5"/>
  <c r="V85" i="5"/>
  <c r="Y84" i="5"/>
  <c r="X84" i="5"/>
  <c r="W84" i="5"/>
  <c r="V84" i="5"/>
  <c r="Y83" i="5"/>
  <c r="X83" i="5"/>
  <c r="W83" i="5"/>
  <c r="V83" i="5"/>
  <c r="Y82" i="5"/>
  <c r="X82" i="5"/>
  <c r="W82" i="5"/>
  <c r="V82" i="5"/>
  <c r="Y357" i="5"/>
  <c r="X357" i="5"/>
  <c r="W357" i="5"/>
  <c r="V357" i="5"/>
  <c r="Y356" i="5"/>
  <c r="X356" i="5"/>
  <c r="W356" i="5"/>
  <c r="V356" i="5"/>
  <c r="Y355" i="5"/>
  <c r="X355" i="5"/>
  <c r="W355" i="5"/>
  <c r="V355" i="5"/>
  <c r="Y354" i="5"/>
  <c r="X354" i="5"/>
  <c r="W354" i="5"/>
  <c r="V354" i="5"/>
  <c r="Y353" i="5"/>
  <c r="X353" i="5"/>
  <c r="W353" i="5"/>
  <c r="V353" i="5"/>
  <c r="Y279" i="5"/>
  <c r="X279" i="5"/>
  <c r="W279" i="5"/>
  <c r="V279" i="5"/>
  <c r="Y278" i="5"/>
  <c r="X278" i="5"/>
  <c r="W278" i="5"/>
  <c r="V278" i="5"/>
  <c r="Y271" i="5"/>
  <c r="X271" i="5"/>
  <c r="W271" i="5"/>
  <c r="V271" i="5"/>
  <c r="Y270" i="5"/>
  <c r="X270" i="5"/>
  <c r="W270" i="5"/>
  <c r="V270" i="5"/>
  <c r="Y269" i="5"/>
  <c r="X269" i="5"/>
  <c r="W269" i="5"/>
  <c r="V269" i="5"/>
  <c r="Y385" i="5"/>
  <c r="X385" i="5"/>
  <c r="W385" i="5"/>
  <c r="V385" i="5"/>
  <c r="Y384" i="5"/>
  <c r="X384" i="5"/>
  <c r="W384" i="5"/>
  <c r="V384" i="5"/>
  <c r="Y383" i="5"/>
  <c r="X383" i="5"/>
  <c r="W383" i="5"/>
  <c r="V383" i="5"/>
  <c r="Y388" i="5"/>
  <c r="X388" i="5"/>
  <c r="W388" i="5"/>
  <c r="V388" i="5"/>
  <c r="Y387" i="5"/>
  <c r="X387" i="5"/>
  <c r="W387" i="5"/>
  <c r="V387" i="5"/>
  <c r="Y386" i="5"/>
  <c r="X386" i="5"/>
  <c r="W386" i="5"/>
  <c r="V386" i="5"/>
  <c r="Y369" i="5"/>
  <c r="X369" i="5"/>
  <c r="W369" i="5"/>
  <c r="V369" i="5"/>
  <c r="Y368" i="5"/>
  <c r="X368" i="5"/>
  <c r="W368" i="5"/>
  <c r="V368" i="5"/>
  <c r="Y367" i="5"/>
  <c r="X367" i="5"/>
  <c r="W367" i="5"/>
  <c r="V367" i="5"/>
  <c r="Y366" i="5"/>
  <c r="X366" i="5"/>
  <c r="W366" i="5"/>
  <c r="V366" i="5"/>
  <c r="Y93" i="5"/>
  <c r="X93" i="5"/>
  <c r="W93" i="5"/>
  <c r="V93" i="5"/>
  <c r="Y332" i="5"/>
  <c r="X332" i="5"/>
  <c r="W332" i="5"/>
  <c r="V332" i="5"/>
  <c r="Y331" i="5"/>
  <c r="X331" i="5"/>
  <c r="W331" i="5"/>
  <c r="V331" i="5"/>
  <c r="Y330" i="5"/>
  <c r="X330" i="5"/>
  <c r="W330" i="5"/>
  <c r="V330" i="5"/>
  <c r="Y336" i="5"/>
  <c r="X336" i="5"/>
  <c r="W336" i="5"/>
  <c r="V336" i="5"/>
  <c r="Y71" i="5"/>
  <c r="X71" i="5"/>
  <c r="W71" i="5"/>
  <c r="V71" i="5"/>
  <c r="X666" i="5"/>
  <c r="W666" i="5"/>
  <c r="V666" i="5"/>
  <c r="X668" i="5"/>
  <c r="W668" i="5"/>
  <c r="V668" i="5"/>
  <c r="X667" i="5"/>
  <c r="W667" i="5"/>
  <c r="V667" i="5"/>
  <c r="X669" i="5"/>
  <c r="W669" i="5"/>
  <c r="V669" i="5"/>
  <c r="X643" i="5"/>
  <c r="W643" i="5"/>
  <c r="V643" i="5"/>
  <c r="X642" i="5"/>
  <c r="W642" i="5"/>
  <c r="V642" i="5"/>
  <c r="X644" i="5"/>
  <c r="W644" i="5"/>
  <c r="V644" i="5"/>
  <c r="X641" i="5"/>
  <c r="W641" i="5"/>
  <c r="V641" i="5"/>
  <c r="X504" i="5"/>
  <c r="W504" i="5"/>
  <c r="V504" i="5"/>
  <c r="X503" i="5"/>
  <c r="W503" i="5"/>
  <c r="V503" i="5"/>
  <c r="X502" i="5"/>
  <c r="W502" i="5"/>
  <c r="V502" i="5"/>
  <c r="X505" i="5"/>
  <c r="W505" i="5"/>
  <c r="V505" i="5"/>
  <c r="X501" i="5"/>
  <c r="W501" i="5"/>
  <c r="V501" i="5"/>
  <c r="X452" i="5"/>
  <c r="W452" i="5"/>
  <c r="V452" i="5"/>
  <c r="X454" i="5"/>
  <c r="W454" i="5"/>
  <c r="V454" i="5"/>
  <c r="X455" i="5"/>
  <c r="W455" i="5"/>
  <c r="V455" i="5"/>
  <c r="X457" i="5"/>
  <c r="W457" i="5"/>
  <c r="V457" i="5"/>
  <c r="X456" i="5"/>
  <c r="W456" i="5"/>
  <c r="V456" i="5"/>
  <c r="X453" i="5"/>
  <c r="W453" i="5"/>
  <c r="V453" i="5"/>
  <c r="X458" i="5"/>
  <c r="W458" i="5"/>
  <c r="V458" i="5"/>
  <c r="X459" i="5"/>
  <c r="W459" i="5"/>
  <c r="V459" i="5"/>
  <c r="X444" i="5"/>
  <c r="W444" i="5"/>
  <c r="V444" i="5"/>
  <c r="X446" i="5"/>
  <c r="W446" i="5"/>
  <c r="V446" i="5"/>
  <c r="X447" i="5"/>
  <c r="W447" i="5"/>
  <c r="V447" i="5"/>
  <c r="X449" i="5"/>
  <c r="W449" i="5"/>
  <c r="V449" i="5"/>
  <c r="X448" i="5"/>
  <c r="W448" i="5"/>
  <c r="V448" i="5"/>
  <c r="X445" i="5"/>
  <c r="W445" i="5"/>
  <c r="V445" i="5"/>
  <c r="X450" i="5"/>
  <c r="W450" i="5"/>
  <c r="V450" i="5"/>
  <c r="X451" i="5"/>
  <c r="W451" i="5"/>
  <c r="V451" i="5"/>
  <c r="X468" i="5"/>
  <c r="W468" i="5"/>
  <c r="V468" i="5"/>
  <c r="X470" i="5"/>
  <c r="W470" i="5"/>
  <c r="V470" i="5"/>
  <c r="X471" i="5"/>
  <c r="W471" i="5"/>
  <c r="V471" i="5"/>
  <c r="X473" i="5"/>
  <c r="W473" i="5"/>
  <c r="V473" i="5"/>
  <c r="X472" i="5"/>
  <c r="W472" i="5"/>
  <c r="V472" i="5"/>
  <c r="X469" i="5"/>
  <c r="W469" i="5"/>
  <c r="V469" i="5"/>
  <c r="X474" i="5"/>
  <c r="W474" i="5"/>
  <c r="V474" i="5"/>
  <c r="X475" i="5"/>
  <c r="W475" i="5"/>
  <c r="V475" i="5"/>
  <c r="X460" i="5"/>
  <c r="W460" i="5"/>
  <c r="V460" i="5"/>
  <c r="X462" i="5"/>
  <c r="W462" i="5"/>
  <c r="V462" i="5"/>
  <c r="X463" i="5"/>
  <c r="W463" i="5"/>
  <c r="V463" i="5"/>
  <c r="X465" i="5"/>
  <c r="W465" i="5"/>
  <c r="V465" i="5"/>
  <c r="X464" i="5"/>
  <c r="W464" i="5"/>
  <c r="V464" i="5"/>
  <c r="X461" i="5"/>
  <c r="W461" i="5"/>
  <c r="V461" i="5"/>
  <c r="X466" i="5"/>
  <c r="W466" i="5"/>
  <c r="V466" i="5"/>
  <c r="X467" i="5"/>
  <c r="W467" i="5"/>
  <c r="V467" i="5"/>
  <c r="X487" i="5"/>
  <c r="W487" i="5"/>
  <c r="V487" i="5"/>
  <c r="X485" i="5"/>
  <c r="W485" i="5"/>
  <c r="V485" i="5"/>
  <c r="X484" i="5"/>
  <c r="W484" i="5"/>
  <c r="V484" i="5"/>
  <c r="X483" i="5"/>
  <c r="W483" i="5"/>
  <c r="V483" i="5"/>
  <c r="X486" i="5"/>
  <c r="W486" i="5"/>
  <c r="V486" i="5"/>
  <c r="X532" i="5"/>
  <c r="W532" i="5"/>
  <c r="V532" i="5"/>
  <c r="X530" i="5"/>
  <c r="W530" i="5"/>
  <c r="V530" i="5"/>
  <c r="X534" i="5"/>
  <c r="W534" i="5"/>
  <c r="V534" i="5"/>
  <c r="X535" i="5"/>
  <c r="W535" i="5"/>
  <c r="V535" i="5"/>
  <c r="X537" i="5"/>
  <c r="W537" i="5"/>
  <c r="V537" i="5"/>
  <c r="X533" i="5"/>
  <c r="W533" i="5"/>
  <c r="V533" i="5"/>
  <c r="X536" i="5"/>
  <c r="W536" i="5"/>
  <c r="V536" i="5"/>
  <c r="X531" i="5"/>
  <c r="W531" i="5"/>
  <c r="V531" i="5"/>
  <c r="X524" i="5"/>
  <c r="W524" i="5"/>
  <c r="V524" i="5"/>
  <c r="X522" i="5"/>
  <c r="W522" i="5"/>
  <c r="V522" i="5"/>
  <c r="X526" i="5"/>
  <c r="W526" i="5"/>
  <c r="V526" i="5"/>
  <c r="X527" i="5"/>
  <c r="W527" i="5"/>
  <c r="V527" i="5"/>
  <c r="X529" i="5"/>
  <c r="W529" i="5"/>
  <c r="V529" i="5"/>
  <c r="X525" i="5"/>
  <c r="W525" i="5"/>
  <c r="V525" i="5"/>
  <c r="X528" i="5"/>
  <c r="W528" i="5"/>
  <c r="V528" i="5"/>
  <c r="X523" i="5"/>
  <c r="W523" i="5"/>
  <c r="V523" i="5"/>
  <c r="X508" i="5"/>
  <c r="W508" i="5"/>
  <c r="V508" i="5"/>
  <c r="X506" i="5"/>
  <c r="W506" i="5"/>
  <c r="V506" i="5"/>
  <c r="X510" i="5"/>
  <c r="W510" i="5"/>
  <c r="V510" i="5"/>
  <c r="X511" i="5"/>
  <c r="W511" i="5"/>
  <c r="V511" i="5"/>
  <c r="X513" i="5"/>
  <c r="W513" i="5"/>
  <c r="V513" i="5"/>
  <c r="X509" i="5"/>
  <c r="W509" i="5"/>
  <c r="V509" i="5"/>
  <c r="X512" i="5"/>
  <c r="W512" i="5"/>
  <c r="V512" i="5"/>
  <c r="X507" i="5"/>
  <c r="W507" i="5"/>
  <c r="V507" i="5"/>
  <c r="X516" i="5"/>
  <c r="W516" i="5"/>
  <c r="V516" i="5"/>
  <c r="X514" i="5"/>
  <c r="W514" i="5"/>
  <c r="V514" i="5"/>
  <c r="X518" i="5"/>
  <c r="W518" i="5"/>
  <c r="V518" i="5"/>
  <c r="X519" i="5"/>
  <c r="W519" i="5"/>
  <c r="V519" i="5"/>
  <c r="X521" i="5"/>
  <c r="W521" i="5"/>
  <c r="V521" i="5"/>
  <c r="X517" i="5"/>
  <c r="W517" i="5"/>
  <c r="V517" i="5"/>
  <c r="X520" i="5"/>
  <c r="W520" i="5"/>
  <c r="V520" i="5"/>
  <c r="X515" i="5"/>
  <c r="W515" i="5"/>
  <c r="V515" i="5"/>
  <c r="X717" i="5"/>
  <c r="W717" i="5"/>
  <c r="V717" i="5"/>
  <c r="X719" i="5"/>
  <c r="W719" i="5"/>
  <c r="V719" i="5"/>
  <c r="X718" i="5"/>
  <c r="W718" i="5"/>
  <c r="V718" i="5"/>
  <c r="X697" i="5"/>
  <c r="W697" i="5"/>
  <c r="V697" i="5"/>
  <c r="X696" i="5"/>
  <c r="W696" i="5"/>
  <c r="V696" i="5"/>
  <c r="X695" i="5"/>
  <c r="W695" i="5"/>
  <c r="V695" i="5"/>
  <c r="X720" i="5"/>
  <c r="W720" i="5"/>
  <c r="V720" i="5"/>
  <c r="X708" i="5"/>
  <c r="W708" i="5"/>
  <c r="V708" i="5"/>
  <c r="X648" i="5"/>
  <c r="W648" i="5"/>
  <c r="V648" i="5"/>
  <c r="X680" i="5"/>
  <c r="W680" i="5"/>
  <c r="V680" i="5"/>
  <c r="X639" i="5"/>
  <c r="W639" i="5"/>
  <c r="V639" i="5"/>
  <c r="X637" i="5"/>
  <c r="W637" i="5"/>
  <c r="V637" i="5"/>
  <c r="X638" i="5"/>
  <c r="W638" i="5"/>
  <c r="V638" i="5"/>
  <c r="X640" i="5"/>
  <c r="W640" i="5"/>
  <c r="V640" i="5"/>
  <c r="X655" i="5"/>
  <c r="W655" i="5"/>
  <c r="V655" i="5"/>
  <c r="X653" i="5"/>
  <c r="W653" i="5"/>
  <c r="V653" i="5"/>
  <c r="X656" i="5"/>
  <c r="W656" i="5"/>
  <c r="V656" i="5"/>
  <c r="X654" i="5"/>
  <c r="W654" i="5"/>
  <c r="V654" i="5"/>
  <c r="X569" i="5"/>
  <c r="W569" i="5"/>
  <c r="V569" i="5"/>
  <c r="X566" i="5"/>
  <c r="W566" i="5"/>
  <c r="V566" i="5"/>
  <c r="X568" i="5"/>
  <c r="W568" i="5"/>
  <c r="V568" i="5"/>
  <c r="X567" i="5"/>
  <c r="W567" i="5"/>
  <c r="V567" i="5"/>
  <c r="X564" i="5"/>
  <c r="W564" i="5"/>
  <c r="V564" i="5"/>
  <c r="X565" i="5"/>
  <c r="W565" i="5"/>
  <c r="V565" i="5"/>
  <c r="X573" i="5"/>
  <c r="W573" i="5"/>
  <c r="V573" i="5"/>
  <c r="X572" i="5"/>
  <c r="W572" i="5"/>
  <c r="V572" i="5"/>
  <c r="X646" i="5"/>
  <c r="W646" i="5"/>
  <c r="V646" i="5"/>
  <c r="X645" i="5"/>
  <c r="W645" i="5"/>
  <c r="V645" i="5"/>
  <c r="X647" i="5"/>
  <c r="W647" i="5"/>
  <c r="V647" i="5"/>
  <c r="X562" i="5"/>
  <c r="W562" i="5"/>
  <c r="V562" i="5"/>
  <c r="X563" i="5"/>
  <c r="W563" i="5"/>
  <c r="V563" i="5"/>
  <c r="X561" i="5"/>
  <c r="W561" i="5"/>
  <c r="V561" i="5"/>
  <c r="X608" i="5"/>
  <c r="W608" i="5"/>
  <c r="V608" i="5"/>
  <c r="X607" i="5"/>
  <c r="W607" i="5"/>
  <c r="V607" i="5"/>
  <c r="X609" i="5"/>
  <c r="W609" i="5"/>
  <c r="V609" i="5"/>
  <c r="X610" i="5"/>
  <c r="W610" i="5"/>
  <c r="V610" i="5"/>
  <c r="X604" i="5"/>
  <c r="W604" i="5"/>
  <c r="V604" i="5"/>
  <c r="X603" i="5"/>
  <c r="W603" i="5"/>
  <c r="V603" i="5"/>
  <c r="X605" i="5"/>
  <c r="W605" i="5"/>
  <c r="V605" i="5"/>
  <c r="X606" i="5"/>
  <c r="W606" i="5"/>
  <c r="V606" i="5"/>
  <c r="X683" i="5"/>
  <c r="W683" i="5"/>
  <c r="V683" i="5"/>
  <c r="X681" i="5"/>
  <c r="W681" i="5"/>
  <c r="V681" i="5"/>
  <c r="X682" i="5"/>
  <c r="W682" i="5"/>
  <c r="V682" i="5"/>
  <c r="X684" i="5"/>
  <c r="W684" i="5"/>
  <c r="V684" i="5"/>
  <c r="X411" i="5"/>
  <c r="W411" i="5"/>
  <c r="V411" i="5"/>
  <c r="X428" i="5"/>
  <c r="W428" i="5"/>
  <c r="V428" i="5"/>
  <c r="X427" i="5"/>
  <c r="W427" i="5"/>
  <c r="V427" i="5"/>
  <c r="X552" i="5"/>
  <c r="W552" i="5"/>
  <c r="V552" i="5"/>
  <c r="X551" i="5"/>
  <c r="W551" i="5"/>
  <c r="V551" i="5"/>
  <c r="X550" i="5"/>
  <c r="W550" i="5"/>
  <c r="V550" i="5"/>
  <c r="X663" i="5"/>
  <c r="W663" i="5"/>
  <c r="V663" i="5"/>
  <c r="X662" i="5"/>
  <c r="W662" i="5"/>
  <c r="V662" i="5"/>
  <c r="X657" i="5"/>
  <c r="W657" i="5"/>
  <c r="V657" i="5"/>
  <c r="X661" i="5"/>
  <c r="W661" i="5"/>
  <c r="V661" i="5"/>
  <c r="X660" i="5"/>
  <c r="W660" i="5"/>
  <c r="V660" i="5"/>
  <c r="X659" i="5"/>
  <c r="W659" i="5"/>
  <c r="V659" i="5"/>
  <c r="X664" i="5"/>
  <c r="W664" i="5"/>
  <c r="V664" i="5"/>
  <c r="X658" i="5"/>
  <c r="W658" i="5"/>
  <c r="V658" i="5"/>
  <c r="X590" i="5"/>
  <c r="W590" i="5"/>
  <c r="V590" i="5"/>
  <c r="X589" i="5"/>
  <c r="W589" i="5"/>
  <c r="V589" i="5"/>
  <c r="X585" i="5"/>
  <c r="W585" i="5"/>
  <c r="V585" i="5"/>
  <c r="X587" i="5"/>
  <c r="W587" i="5"/>
  <c r="V587" i="5"/>
  <c r="X588" i="5"/>
  <c r="W588" i="5"/>
  <c r="V588" i="5"/>
  <c r="X586" i="5"/>
  <c r="W586" i="5"/>
  <c r="V586" i="5"/>
  <c r="X591" i="5"/>
  <c r="W591" i="5"/>
  <c r="V591" i="5"/>
  <c r="X702" i="5"/>
  <c r="W702" i="5"/>
  <c r="V702" i="5"/>
  <c r="X703" i="5"/>
  <c r="W703" i="5"/>
  <c r="V703" i="5"/>
  <c r="X698" i="5"/>
  <c r="W698" i="5"/>
  <c r="V698" i="5"/>
  <c r="X699" i="5"/>
  <c r="W699" i="5"/>
  <c r="V699" i="5"/>
  <c r="X700" i="5"/>
  <c r="W700" i="5"/>
  <c r="V700" i="5"/>
  <c r="X701" i="5"/>
  <c r="W701" i="5"/>
  <c r="V701" i="5"/>
  <c r="X692" i="5"/>
  <c r="W692" i="5"/>
  <c r="V692" i="5"/>
  <c r="X693" i="5"/>
  <c r="W693" i="5"/>
  <c r="V693" i="5"/>
  <c r="X689" i="5"/>
  <c r="W689" i="5"/>
  <c r="V689" i="5"/>
  <c r="X690" i="5"/>
  <c r="W690" i="5"/>
  <c r="V690" i="5"/>
  <c r="X691" i="5"/>
  <c r="W691" i="5"/>
  <c r="V691" i="5"/>
  <c r="X694" i="5"/>
  <c r="W694" i="5"/>
  <c r="V694" i="5"/>
  <c r="X579" i="5"/>
  <c r="W579" i="5"/>
  <c r="V579" i="5"/>
  <c r="X580" i="5"/>
  <c r="W580" i="5"/>
  <c r="V580" i="5"/>
  <c r="X574" i="5"/>
  <c r="W574" i="5"/>
  <c r="V574" i="5"/>
  <c r="X578" i="5"/>
  <c r="W578" i="5"/>
  <c r="V578" i="5"/>
  <c r="X577" i="5"/>
  <c r="W577" i="5"/>
  <c r="V577" i="5"/>
  <c r="X581" i="5"/>
  <c r="W581" i="5"/>
  <c r="V581" i="5"/>
  <c r="X576" i="5"/>
  <c r="W576" i="5"/>
  <c r="V576" i="5"/>
  <c r="X575" i="5"/>
  <c r="W575" i="5"/>
  <c r="V575" i="5"/>
  <c r="X600" i="5"/>
  <c r="W600" i="5"/>
  <c r="V600" i="5"/>
  <c r="X601" i="5"/>
  <c r="W601" i="5"/>
  <c r="V601" i="5"/>
  <c r="X595" i="5"/>
  <c r="W595" i="5"/>
  <c r="V595" i="5"/>
  <c r="X599" i="5"/>
  <c r="W599" i="5"/>
  <c r="V599" i="5"/>
  <c r="X598" i="5"/>
  <c r="W598" i="5"/>
  <c r="V598" i="5"/>
  <c r="X602" i="5"/>
  <c r="W602" i="5"/>
  <c r="V602" i="5"/>
  <c r="X597" i="5"/>
  <c r="W597" i="5"/>
  <c r="V597" i="5"/>
  <c r="X596" i="5"/>
  <c r="W596" i="5"/>
  <c r="V596" i="5"/>
  <c r="X623" i="5"/>
  <c r="W623" i="5"/>
  <c r="V623" i="5"/>
  <c r="X626" i="5"/>
  <c r="W626" i="5"/>
  <c r="V626" i="5"/>
  <c r="X625" i="5"/>
  <c r="W625" i="5"/>
  <c r="V625" i="5"/>
  <c r="X624" i="5"/>
  <c r="W624" i="5"/>
  <c r="V624" i="5"/>
  <c r="X649" i="5"/>
  <c r="W649" i="5"/>
  <c r="V649" i="5"/>
  <c r="X651" i="5"/>
  <c r="W651" i="5"/>
  <c r="V651" i="5"/>
  <c r="X650" i="5"/>
  <c r="W650" i="5"/>
  <c r="V650" i="5"/>
  <c r="X652" i="5"/>
  <c r="W652" i="5"/>
  <c r="V652" i="5"/>
  <c r="X482" i="5"/>
  <c r="W482" i="5"/>
  <c r="V482" i="5"/>
  <c r="X480" i="5"/>
  <c r="W480" i="5"/>
  <c r="V480" i="5"/>
  <c r="X479" i="5"/>
  <c r="W479" i="5"/>
  <c r="V479" i="5"/>
  <c r="X481" i="5"/>
  <c r="W481" i="5"/>
  <c r="V481" i="5"/>
  <c r="X402" i="5"/>
  <c r="W402" i="5"/>
  <c r="V402" i="5"/>
  <c r="X401" i="5"/>
  <c r="W401" i="5"/>
  <c r="V401" i="5"/>
  <c r="X400" i="5"/>
  <c r="W400" i="5"/>
  <c r="V400" i="5"/>
  <c r="X673" i="5"/>
  <c r="W673" i="5"/>
  <c r="V673" i="5"/>
  <c r="X676" i="5"/>
  <c r="W676" i="5"/>
  <c r="V676" i="5"/>
  <c r="X674" i="5"/>
  <c r="W674" i="5"/>
  <c r="V674" i="5"/>
  <c r="X677" i="5"/>
  <c r="W677" i="5"/>
  <c r="V677" i="5"/>
  <c r="X672" i="5"/>
  <c r="W672" i="5"/>
  <c r="V672" i="5"/>
  <c r="X675" i="5"/>
  <c r="W675" i="5"/>
  <c r="V675" i="5"/>
  <c r="X671" i="5"/>
  <c r="W671" i="5"/>
  <c r="V671" i="5"/>
  <c r="X397" i="5"/>
  <c r="W397" i="5"/>
  <c r="V397" i="5"/>
  <c r="X396" i="5"/>
  <c r="W396" i="5"/>
  <c r="V396" i="5"/>
  <c r="X399" i="5"/>
  <c r="W399" i="5"/>
  <c r="V399" i="5"/>
  <c r="X398" i="5"/>
  <c r="W398" i="5"/>
  <c r="V398" i="5"/>
  <c r="X679" i="5"/>
  <c r="W679" i="5"/>
  <c r="V679" i="5"/>
  <c r="X678" i="5"/>
  <c r="W678" i="5"/>
  <c r="V678" i="5"/>
  <c r="X627" i="5"/>
  <c r="W627" i="5"/>
  <c r="V627" i="5"/>
  <c r="X628" i="5"/>
  <c r="W628" i="5"/>
  <c r="V628" i="5"/>
  <c r="X631" i="5"/>
  <c r="W631" i="5"/>
  <c r="V631" i="5"/>
  <c r="X630" i="5"/>
  <c r="W630" i="5"/>
  <c r="V630" i="5"/>
  <c r="X629" i="5"/>
  <c r="W629" i="5"/>
  <c r="V629" i="5"/>
  <c r="X547" i="5"/>
  <c r="W547" i="5"/>
  <c r="V547" i="5"/>
  <c r="X556" i="5"/>
  <c r="W556" i="5"/>
  <c r="V556" i="5"/>
  <c r="X545" i="5"/>
  <c r="W545" i="5"/>
  <c r="V545" i="5"/>
  <c r="X415" i="5"/>
  <c r="W415" i="5"/>
  <c r="V415" i="5"/>
  <c r="X416" i="5"/>
  <c r="W416" i="5"/>
  <c r="V416" i="5"/>
  <c r="X417" i="5"/>
  <c r="W417" i="5"/>
  <c r="V417" i="5"/>
  <c r="X412" i="5"/>
  <c r="W412" i="5"/>
  <c r="V412" i="5"/>
  <c r="X413" i="5"/>
  <c r="W413" i="5"/>
  <c r="V413" i="5"/>
  <c r="X414" i="5"/>
  <c r="W414" i="5"/>
  <c r="V414" i="5"/>
  <c r="X612" i="5"/>
  <c r="W612" i="5"/>
  <c r="V612" i="5"/>
  <c r="X611" i="5"/>
  <c r="W611" i="5"/>
  <c r="V611" i="5"/>
  <c r="X622" i="5"/>
  <c r="W622" i="5"/>
  <c r="V622" i="5"/>
  <c r="X621" i="5"/>
  <c r="W621" i="5"/>
  <c r="V621" i="5"/>
  <c r="X584" i="5"/>
  <c r="W584" i="5"/>
  <c r="V584" i="5"/>
  <c r="X583" i="5"/>
  <c r="W583" i="5"/>
  <c r="V583" i="5"/>
  <c r="X582" i="5"/>
  <c r="W582" i="5"/>
  <c r="V582" i="5"/>
  <c r="X426" i="5"/>
  <c r="W426" i="5"/>
  <c r="V426" i="5"/>
  <c r="X423" i="5"/>
  <c r="W423" i="5"/>
  <c r="V423" i="5"/>
  <c r="X424" i="5"/>
  <c r="W424" i="5"/>
  <c r="V424" i="5"/>
  <c r="X425" i="5"/>
  <c r="W425" i="5"/>
  <c r="V425" i="5"/>
  <c r="X418" i="5"/>
  <c r="W418" i="5"/>
  <c r="V418" i="5"/>
  <c r="X419" i="5"/>
  <c r="W419" i="5"/>
  <c r="V419" i="5"/>
  <c r="X420" i="5"/>
  <c r="W420" i="5"/>
  <c r="V420" i="5"/>
  <c r="X422" i="5"/>
  <c r="W422" i="5"/>
  <c r="V422" i="5"/>
  <c r="X421" i="5"/>
  <c r="W421" i="5"/>
  <c r="V421" i="5"/>
  <c r="X553" i="5"/>
  <c r="W553" i="5"/>
  <c r="V553" i="5"/>
  <c r="X554" i="5"/>
  <c r="W554" i="5"/>
  <c r="V554" i="5"/>
  <c r="X555" i="5"/>
  <c r="W555" i="5"/>
  <c r="V555" i="5"/>
  <c r="X548" i="5"/>
  <c r="W548" i="5"/>
  <c r="V548" i="5"/>
  <c r="X549" i="5"/>
  <c r="W549" i="5"/>
  <c r="V549" i="5"/>
  <c r="X494" i="5"/>
  <c r="W494" i="5"/>
  <c r="V494" i="5"/>
  <c r="X496" i="5"/>
  <c r="W496" i="5"/>
  <c r="V496" i="5"/>
  <c r="X495" i="5"/>
  <c r="W495" i="5"/>
  <c r="V495" i="5"/>
  <c r="X546" i="5"/>
  <c r="W546" i="5"/>
  <c r="V546" i="5"/>
  <c r="X478" i="5"/>
  <c r="W478" i="5"/>
  <c r="V478" i="5"/>
  <c r="X476" i="5"/>
  <c r="W476" i="5"/>
  <c r="V476" i="5"/>
  <c r="X477" i="5"/>
  <c r="W477" i="5"/>
  <c r="V477" i="5"/>
  <c r="X593" i="5"/>
  <c r="W593" i="5"/>
  <c r="V593" i="5"/>
  <c r="X594" i="5"/>
  <c r="W594" i="5"/>
  <c r="V594" i="5"/>
  <c r="X592" i="5"/>
  <c r="W592" i="5"/>
  <c r="V592" i="5"/>
  <c r="X544" i="5"/>
  <c r="W544" i="5"/>
  <c r="V544" i="5"/>
  <c r="X559" i="5"/>
  <c r="W559" i="5"/>
  <c r="V559" i="5"/>
  <c r="X558" i="5"/>
  <c r="W558" i="5"/>
  <c r="V558" i="5"/>
  <c r="X705" i="5"/>
  <c r="W705" i="5"/>
  <c r="V705" i="5"/>
  <c r="X706" i="5"/>
  <c r="W706" i="5"/>
  <c r="V706" i="5"/>
  <c r="X704" i="5"/>
  <c r="W704" i="5"/>
  <c r="V704" i="5"/>
  <c r="X707" i="5"/>
  <c r="W707" i="5"/>
  <c r="V707" i="5"/>
  <c r="X709" i="5"/>
  <c r="W709" i="5"/>
  <c r="V709" i="5"/>
  <c r="X710" i="5"/>
  <c r="W710" i="5"/>
  <c r="V710" i="5"/>
  <c r="X711" i="5"/>
  <c r="W711" i="5"/>
  <c r="V711" i="5"/>
  <c r="X712" i="5"/>
  <c r="W712" i="5"/>
  <c r="V712" i="5"/>
  <c r="X613" i="5"/>
  <c r="W613" i="5"/>
  <c r="V613" i="5"/>
  <c r="X615" i="5"/>
  <c r="W615" i="5"/>
  <c r="V615" i="5"/>
  <c r="X614" i="5"/>
  <c r="W614" i="5"/>
  <c r="V614" i="5"/>
  <c r="X616" i="5"/>
  <c r="W616" i="5"/>
  <c r="V616" i="5"/>
  <c r="X685" i="5"/>
  <c r="W685" i="5"/>
  <c r="V685" i="5"/>
  <c r="X686" i="5"/>
  <c r="W686" i="5"/>
  <c r="V686" i="5"/>
  <c r="X687" i="5"/>
  <c r="W687" i="5"/>
  <c r="V687" i="5"/>
  <c r="X688" i="5"/>
  <c r="W688" i="5"/>
  <c r="V688" i="5"/>
  <c r="X617" i="5"/>
  <c r="W617" i="5"/>
  <c r="V617" i="5"/>
  <c r="X619" i="5"/>
  <c r="W619" i="5"/>
  <c r="V619" i="5"/>
  <c r="X618" i="5"/>
  <c r="W618" i="5"/>
  <c r="V618" i="5"/>
  <c r="X620" i="5"/>
  <c r="W620" i="5"/>
  <c r="V620" i="5"/>
  <c r="X634" i="5"/>
  <c r="W634" i="5"/>
  <c r="V634" i="5"/>
  <c r="X632" i="5"/>
  <c r="W632" i="5"/>
  <c r="V632" i="5"/>
  <c r="X635" i="5"/>
  <c r="W635" i="5"/>
  <c r="V635" i="5"/>
  <c r="X633" i="5"/>
  <c r="W633" i="5"/>
  <c r="V633" i="5"/>
  <c r="X636" i="5"/>
  <c r="W636" i="5"/>
  <c r="V636" i="5"/>
  <c r="X715" i="5"/>
  <c r="W715" i="5"/>
  <c r="V715" i="5"/>
  <c r="X714" i="5"/>
  <c r="W714" i="5"/>
  <c r="V714" i="5"/>
  <c r="X716" i="5"/>
  <c r="W716" i="5"/>
  <c r="V716" i="5"/>
  <c r="X713" i="5"/>
  <c r="W713" i="5"/>
  <c r="V713" i="5"/>
  <c r="X560" i="5"/>
  <c r="W560" i="5"/>
  <c r="V560" i="5"/>
  <c r="X557" i="5"/>
  <c r="W557" i="5"/>
  <c r="V557" i="5"/>
  <c r="X500" i="5"/>
  <c r="W500" i="5"/>
  <c r="V500" i="5"/>
  <c r="X499" i="5"/>
  <c r="W499" i="5"/>
  <c r="V499" i="5"/>
  <c r="X498" i="5"/>
  <c r="W498" i="5"/>
  <c r="V498" i="5"/>
  <c r="X497" i="5"/>
  <c r="W497" i="5"/>
  <c r="V497" i="5"/>
  <c r="X493" i="5"/>
  <c r="W493" i="5"/>
  <c r="V493" i="5"/>
  <c r="X492" i="5"/>
  <c r="W492" i="5"/>
  <c r="V492" i="5"/>
  <c r="X491" i="5"/>
  <c r="W491" i="5"/>
  <c r="V491" i="5"/>
  <c r="X488" i="5"/>
  <c r="W488" i="5"/>
  <c r="V488" i="5"/>
  <c r="X490" i="5"/>
  <c r="W490" i="5"/>
  <c r="V490" i="5"/>
  <c r="X489" i="5"/>
  <c r="W489" i="5"/>
  <c r="V489" i="5"/>
  <c r="X440" i="5"/>
  <c r="W440" i="5"/>
  <c r="V440" i="5"/>
  <c r="X441" i="5"/>
  <c r="W441" i="5"/>
  <c r="V441" i="5"/>
  <c r="X439" i="5"/>
  <c r="W439" i="5"/>
  <c r="V439" i="5"/>
  <c r="X443" i="5"/>
  <c r="W443" i="5"/>
  <c r="V443" i="5"/>
  <c r="X442" i="5"/>
  <c r="W442" i="5"/>
  <c r="V442" i="5"/>
  <c r="X436" i="5"/>
  <c r="W436" i="5"/>
  <c r="V436" i="5"/>
  <c r="X434" i="5"/>
  <c r="W434" i="5"/>
  <c r="V434" i="5"/>
  <c r="X438" i="5"/>
  <c r="W438" i="5"/>
  <c r="V438" i="5"/>
  <c r="X437" i="5"/>
  <c r="W437" i="5"/>
  <c r="V437" i="5"/>
  <c r="X435" i="5"/>
  <c r="W435" i="5"/>
  <c r="V435" i="5"/>
  <c r="X430" i="5"/>
  <c r="W430" i="5"/>
  <c r="V430" i="5"/>
  <c r="X431" i="5"/>
  <c r="W431" i="5"/>
  <c r="V431" i="5"/>
  <c r="X429" i="5"/>
  <c r="W429" i="5"/>
  <c r="V429" i="5"/>
  <c r="X433" i="5"/>
  <c r="W433" i="5"/>
  <c r="V433" i="5"/>
  <c r="X432" i="5"/>
  <c r="W432" i="5"/>
  <c r="V432" i="5"/>
  <c r="X571" i="5"/>
  <c r="W571" i="5"/>
  <c r="V571" i="5"/>
  <c r="X570" i="5"/>
  <c r="W570" i="5"/>
  <c r="V570" i="5"/>
  <c r="X408" i="5"/>
  <c r="W408" i="5"/>
  <c r="V408" i="5"/>
  <c r="X407" i="5"/>
  <c r="W407" i="5"/>
  <c r="V407" i="5"/>
  <c r="X670" i="5"/>
  <c r="W670" i="5"/>
  <c r="V670" i="5"/>
  <c r="X665" i="5"/>
  <c r="W665" i="5"/>
  <c r="V665" i="5"/>
  <c r="X405" i="5"/>
  <c r="W405" i="5"/>
  <c r="V405" i="5"/>
  <c r="X403" i="5"/>
  <c r="W403" i="5"/>
  <c r="V403" i="5"/>
  <c r="X406" i="5"/>
  <c r="W406" i="5"/>
  <c r="V406" i="5"/>
  <c r="X404" i="5"/>
  <c r="W404" i="5"/>
  <c r="V404" i="5"/>
  <c r="Q404" i="5"/>
  <c r="Q666" i="5"/>
  <c r="Q668" i="5"/>
  <c r="Q667" i="5"/>
  <c r="Q669" i="5"/>
  <c r="Q643" i="5"/>
  <c r="Q642" i="5"/>
  <c r="Q644" i="5"/>
  <c r="Q641" i="5"/>
  <c r="Q504" i="5"/>
  <c r="Q503" i="5"/>
  <c r="Q502" i="5"/>
  <c r="Q505" i="5"/>
  <c r="Q501" i="5"/>
  <c r="Q452" i="5"/>
  <c r="Q454" i="5"/>
  <c r="Q455" i="5"/>
  <c r="Q457" i="5"/>
  <c r="Q456" i="5"/>
  <c r="Q453" i="5"/>
  <c r="Q458" i="5"/>
  <c r="Q459" i="5"/>
  <c r="Q444" i="5"/>
  <c r="Q446" i="5"/>
  <c r="Q447" i="5"/>
  <c r="Q449" i="5"/>
  <c r="Q448" i="5"/>
  <c r="Q445" i="5"/>
  <c r="Q450" i="5"/>
  <c r="Q451" i="5"/>
  <c r="Q468" i="5"/>
  <c r="Q470" i="5"/>
  <c r="Q471" i="5"/>
  <c r="Q473" i="5"/>
  <c r="Q472" i="5"/>
  <c r="Q469" i="5"/>
  <c r="Q474" i="5"/>
  <c r="Q475" i="5"/>
  <c r="Q460" i="5"/>
  <c r="Q462" i="5"/>
  <c r="Q463" i="5"/>
  <c r="Q465" i="5"/>
  <c r="Q464" i="5"/>
  <c r="Q461" i="5"/>
  <c r="Q466" i="5"/>
  <c r="Q467" i="5"/>
  <c r="Q487" i="5"/>
  <c r="Q485" i="5"/>
  <c r="Q484" i="5"/>
  <c r="Q483" i="5"/>
  <c r="Q486" i="5"/>
  <c r="Q532" i="5"/>
  <c r="Q530" i="5"/>
  <c r="Q534" i="5"/>
  <c r="Q535" i="5"/>
  <c r="Q537" i="5"/>
  <c r="Q533" i="5"/>
  <c r="Q536" i="5"/>
  <c r="Q531" i="5"/>
  <c r="Q524" i="5"/>
  <c r="Q522" i="5"/>
  <c r="Q526" i="5"/>
  <c r="Q527" i="5"/>
  <c r="Q529" i="5"/>
  <c r="Q525" i="5"/>
  <c r="Q528" i="5"/>
  <c r="Q523" i="5"/>
  <c r="Q508" i="5"/>
  <c r="Q506" i="5"/>
  <c r="Q510" i="5"/>
  <c r="Q511" i="5"/>
  <c r="Q513" i="5"/>
  <c r="Q509" i="5"/>
  <c r="Q512" i="5"/>
  <c r="Q507" i="5"/>
  <c r="Q516" i="5"/>
  <c r="Q514" i="5"/>
  <c r="Q518" i="5"/>
  <c r="Q519" i="5"/>
  <c r="Q521" i="5"/>
  <c r="Q517" i="5"/>
  <c r="Q520" i="5"/>
  <c r="Q515" i="5"/>
  <c r="Q717" i="5"/>
  <c r="Q719" i="5"/>
  <c r="Q718" i="5"/>
  <c r="Q697" i="5"/>
  <c r="Q696" i="5"/>
  <c r="Q695" i="5"/>
  <c r="Q720" i="5"/>
  <c r="Q708" i="5"/>
  <c r="Q648" i="5"/>
  <c r="Q680" i="5"/>
  <c r="Q639" i="5"/>
  <c r="Q637" i="5"/>
  <c r="Q638" i="5"/>
  <c r="Q640" i="5"/>
  <c r="Q655" i="5"/>
  <c r="Q653" i="5"/>
  <c r="Q656" i="5"/>
  <c r="Q654" i="5"/>
  <c r="Q569" i="5"/>
  <c r="Q566" i="5"/>
  <c r="Q568" i="5"/>
  <c r="Q567" i="5"/>
  <c r="Q564" i="5"/>
  <c r="Q565" i="5"/>
  <c r="Q573" i="5"/>
  <c r="Q572" i="5"/>
  <c r="Q646" i="5"/>
  <c r="Q645" i="5"/>
  <c r="Q647" i="5"/>
  <c r="Q562" i="5"/>
  <c r="Q563" i="5"/>
  <c r="Q561" i="5"/>
  <c r="Q608" i="5"/>
  <c r="Q607" i="5"/>
  <c r="Q609" i="5"/>
  <c r="Q610" i="5"/>
  <c r="Q604" i="5"/>
  <c r="Q603" i="5"/>
  <c r="Q605" i="5"/>
  <c r="Q606" i="5"/>
  <c r="Q683" i="5"/>
  <c r="Q681" i="5"/>
  <c r="Q682" i="5"/>
  <c r="Q684" i="5"/>
  <c r="Q411" i="5"/>
  <c r="Q428" i="5"/>
  <c r="Q427" i="5"/>
  <c r="Q552" i="5"/>
  <c r="Q551" i="5"/>
  <c r="Q550" i="5"/>
  <c r="Q663" i="5"/>
  <c r="Q662" i="5"/>
  <c r="Q657" i="5"/>
  <c r="Q661" i="5"/>
  <c r="Q660" i="5"/>
  <c r="Q659" i="5"/>
  <c r="Q664" i="5"/>
  <c r="Q658" i="5"/>
  <c r="Q590" i="5"/>
  <c r="Q589" i="5"/>
  <c r="Q585" i="5"/>
  <c r="Q587" i="5"/>
  <c r="Q588" i="5"/>
  <c r="Q586" i="5"/>
  <c r="Q591" i="5"/>
  <c r="Q702" i="5"/>
  <c r="Q703" i="5"/>
  <c r="Q698" i="5"/>
  <c r="Q699" i="5"/>
  <c r="Q700" i="5"/>
  <c r="Q701" i="5"/>
  <c r="Q692" i="5"/>
  <c r="Q693" i="5"/>
  <c r="Q689" i="5"/>
  <c r="Q690" i="5"/>
  <c r="Q691" i="5"/>
  <c r="Q694" i="5"/>
  <c r="Q579" i="5"/>
  <c r="Q580" i="5"/>
  <c r="Q574" i="5"/>
  <c r="Q578" i="5"/>
  <c r="Q577" i="5"/>
  <c r="Q581" i="5"/>
  <c r="Q576" i="5"/>
  <c r="Q575" i="5"/>
  <c r="Q600" i="5"/>
  <c r="Q601" i="5"/>
  <c r="Q595" i="5"/>
  <c r="Q599" i="5"/>
  <c r="Q598" i="5"/>
  <c r="Q602" i="5"/>
  <c r="Q597" i="5"/>
  <c r="Q596" i="5"/>
  <c r="Q623" i="5"/>
  <c r="Q626" i="5"/>
  <c r="Q625" i="5"/>
  <c r="Q624" i="5"/>
  <c r="Q649" i="5"/>
  <c r="Q651" i="5"/>
  <c r="Q650" i="5"/>
  <c r="Q652" i="5"/>
  <c r="Q482" i="5"/>
  <c r="Q480" i="5"/>
  <c r="Q479" i="5"/>
  <c r="Q481" i="5"/>
  <c r="Q402" i="5"/>
  <c r="Q401" i="5"/>
  <c r="Q400" i="5"/>
  <c r="Q673" i="5"/>
  <c r="Q676" i="5"/>
  <c r="Q674" i="5"/>
  <c r="Q677" i="5"/>
  <c r="Q672" i="5"/>
  <c r="Q675" i="5"/>
  <c r="Q671" i="5"/>
  <c r="Q397" i="5"/>
  <c r="Q396" i="5"/>
  <c r="Q399" i="5"/>
  <c r="Q398" i="5"/>
  <c r="Q679" i="5"/>
  <c r="Q678" i="5"/>
  <c r="Q627" i="5"/>
  <c r="Q628" i="5"/>
  <c r="Q631" i="5"/>
  <c r="Q630" i="5"/>
  <c r="Q629" i="5"/>
  <c r="Q547" i="5"/>
  <c r="Q556" i="5"/>
  <c r="Q545" i="5"/>
  <c r="Q415" i="5"/>
  <c r="Q416" i="5"/>
  <c r="Q417" i="5"/>
  <c r="Q412" i="5"/>
  <c r="Q413" i="5"/>
  <c r="Q414" i="5"/>
  <c r="Q612" i="5"/>
  <c r="Q611" i="5"/>
  <c r="Q622" i="5"/>
  <c r="Q621" i="5"/>
  <c r="Q584" i="5"/>
  <c r="Q583" i="5"/>
  <c r="Q582" i="5"/>
  <c r="Q426" i="5"/>
  <c r="Q423" i="5"/>
  <c r="Q424" i="5"/>
  <c r="Q425" i="5"/>
  <c r="Q418" i="5"/>
  <c r="Q419" i="5"/>
  <c r="Q420" i="5"/>
  <c r="Q422" i="5"/>
  <c r="Q421" i="5"/>
  <c r="Q553" i="5"/>
  <c r="Q554" i="5"/>
  <c r="Q555" i="5"/>
  <c r="Q548" i="5"/>
  <c r="Q549" i="5"/>
  <c r="Q494" i="5"/>
  <c r="Q496" i="5"/>
  <c r="Q495" i="5"/>
  <c r="Q546" i="5"/>
  <c r="Q478" i="5"/>
  <c r="Q476" i="5"/>
  <c r="Q477" i="5"/>
  <c r="Q593" i="5"/>
  <c r="Q594" i="5"/>
  <c r="Q592" i="5"/>
  <c r="Q544" i="5"/>
  <c r="Q559" i="5"/>
  <c r="Q558" i="5"/>
  <c r="Q705" i="5"/>
  <c r="Q706" i="5"/>
  <c r="Q704" i="5"/>
  <c r="Q707" i="5"/>
  <c r="Q709" i="5"/>
  <c r="Q710" i="5"/>
  <c r="Q711" i="5"/>
  <c r="Q712" i="5"/>
  <c r="Q613" i="5"/>
  <c r="Q615" i="5"/>
  <c r="Q614" i="5"/>
  <c r="Q616" i="5"/>
  <c r="Q685" i="5"/>
  <c r="Q686" i="5"/>
  <c r="Q687" i="5"/>
  <c r="Q688" i="5"/>
  <c r="Q617" i="5"/>
  <c r="Q619" i="5"/>
  <c r="Q618" i="5"/>
  <c r="Q620" i="5"/>
  <c r="Q634" i="5"/>
  <c r="Q632" i="5"/>
  <c r="Q635" i="5"/>
  <c r="Q633" i="5"/>
  <c r="Q636" i="5"/>
  <c r="Q715" i="5"/>
  <c r="Q714" i="5"/>
  <c r="Q716" i="5"/>
  <c r="Q713" i="5"/>
  <c r="Q560" i="5"/>
  <c r="Q557" i="5"/>
  <c r="Q500" i="5"/>
  <c r="Q499" i="5"/>
  <c r="Q498" i="5"/>
  <c r="Q497" i="5"/>
  <c r="Q493" i="5"/>
  <c r="Q492" i="5"/>
  <c r="Q491" i="5"/>
  <c r="Q488" i="5"/>
  <c r="Q490" i="5"/>
  <c r="Q489" i="5"/>
  <c r="Q440" i="5"/>
  <c r="Q441" i="5"/>
  <c r="Q439" i="5"/>
  <c r="Q443" i="5"/>
  <c r="Q442" i="5"/>
  <c r="Q436" i="5"/>
  <c r="Q434" i="5"/>
  <c r="Q438" i="5"/>
  <c r="Q437" i="5"/>
  <c r="Q435" i="5"/>
  <c r="Q430" i="5"/>
  <c r="Q431" i="5"/>
  <c r="Q429" i="5"/>
  <c r="Q433" i="5"/>
  <c r="Q432" i="5"/>
  <c r="Q571" i="5"/>
  <c r="Q570" i="5"/>
  <c r="Q408" i="5"/>
  <c r="Q407" i="5"/>
  <c r="Q670" i="5"/>
  <c r="Q665" i="5"/>
  <c r="Q405" i="5"/>
  <c r="Q403" i="5"/>
  <c r="Q406" i="5"/>
  <c r="C3" i="4"/>
  <c r="C5" i="2"/>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3" i="2" s="1"/>
  <c r="C34" i="2" s="1"/>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s="1"/>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s="1"/>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C149" i="2" s="1"/>
  <c r="C150" i="2" s="1"/>
  <c r="C151" i="2" s="1"/>
  <c r="C152" i="2" s="1"/>
  <c r="C153" i="2" s="1"/>
  <c r="C154" i="2" s="1"/>
  <c r="C155" i="2" s="1"/>
  <c r="C156" i="2" s="1"/>
  <c r="C157" i="2" s="1"/>
  <c r="C158" i="2" s="1"/>
  <c r="C159" i="2" s="1"/>
  <c r="C160" i="2" s="1"/>
  <c r="C161" i="2" s="1"/>
  <c r="C162" i="2" s="1"/>
  <c r="C163" i="2" s="1"/>
  <c r="C164" i="2" s="1"/>
  <c r="C165" i="2" s="1"/>
  <c r="C166" i="2" s="1"/>
  <c r="C167" i="2" s="1"/>
  <c r="C168" i="2" s="1"/>
  <c r="C169" i="2" s="1"/>
  <c r="C170" i="2" s="1"/>
  <c r="C171" i="2" s="1"/>
  <c r="C172" i="2" s="1"/>
  <c r="C173" i="2" s="1"/>
  <c r="C174" i="2" s="1"/>
  <c r="C175" i="2" s="1"/>
  <c r="C176" i="2" s="1"/>
  <c r="C177" i="2" s="1"/>
  <c r="C178" i="2" s="1"/>
  <c r="C179" i="2" s="1"/>
  <c r="C180" i="2" s="1"/>
  <c r="C181" i="2" s="1"/>
  <c r="C182" i="2" s="1"/>
  <c r="C183" i="2" s="1"/>
  <c r="C184" i="2" s="1"/>
  <c r="C185" i="2" s="1"/>
  <c r="C186" i="2" s="1"/>
  <c r="C187" i="2" s="1"/>
  <c r="C188" i="2" s="1"/>
  <c r="C189" i="2" s="1"/>
  <c r="C190" i="2" s="1"/>
  <c r="C191" i="2" s="1"/>
  <c r="C192" i="2" s="1"/>
  <c r="C193" i="2" s="1"/>
  <c r="C194" i="2" s="1"/>
  <c r="C195" i="2" s="1"/>
  <c r="C196" i="2" s="1"/>
  <c r="C197" i="2" s="1"/>
  <c r="C198" i="2" s="1"/>
  <c r="C199" i="2" s="1"/>
  <c r="C200" i="2" s="1"/>
  <c r="C201" i="2" s="1"/>
  <c r="C202" i="2" s="1"/>
  <c r="C203" i="2" s="1"/>
  <c r="C204" i="2" s="1"/>
  <c r="C205" i="2" s="1"/>
  <c r="C206" i="2" s="1"/>
  <c r="C207" i="2" s="1"/>
  <c r="C208" i="2" s="1"/>
  <c r="C209" i="2" s="1"/>
  <c r="C210" i="2" s="1"/>
  <c r="C211" i="2" s="1"/>
  <c r="C212" i="2" s="1"/>
  <c r="C213" i="2" s="1"/>
  <c r="C214" i="2" s="1"/>
  <c r="C215" i="2" s="1"/>
  <c r="C216" i="2" s="1"/>
  <c r="C217" i="2" s="1"/>
  <c r="C218" i="2" s="1"/>
  <c r="C219" i="2" s="1"/>
  <c r="C220" i="2" s="1"/>
  <c r="C221" i="2" s="1"/>
  <c r="C222" i="2" s="1"/>
  <c r="C223" i="2" s="1"/>
  <c r="C224" i="2" s="1"/>
  <c r="C225" i="2" s="1"/>
  <c r="C226" i="2" s="1"/>
  <c r="C227" i="2" s="1"/>
  <c r="C228" i="2" s="1"/>
  <c r="C229" i="2" s="1"/>
  <c r="C230" i="2" s="1"/>
  <c r="C231" i="2" s="1"/>
  <c r="C232" i="2" s="1"/>
  <c r="C233" i="2" s="1"/>
  <c r="C234" i="2" s="1"/>
  <c r="C235" i="2" s="1"/>
  <c r="C236" i="2" s="1"/>
  <c r="C237" i="2" s="1"/>
  <c r="C238" i="2" s="1"/>
  <c r="C239" i="2" s="1"/>
  <c r="C240" i="2" s="1"/>
  <c r="C241" i="2" s="1"/>
  <c r="C242" i="2" s="1"/>
  <c r="C243" i="2" s="1"/>
  <c r="C244" i="2" s="1"/>
  <c r="C245" i="2" s="1"/>
  <c r="C246" i="2" s="1"/>
  <c r="C247" i="2" s="1"/>
  <c r="C248" i="2" s="1"/>
  <c r="C249" i="2" s="1"/>
  <c r="C250" i="2" s="1"/>
  <c r="C251" i="2" s="1"/>
  <c r="C252" i="2" s="1"/>
  <c r="C253" i="2" s="1"/>
  <c r="C254" i="2" s="1"/>
  <c r="C255" i="2" s="1"/>
  <c r="C256" i="2" s="1"/>
  <c r="C257" i="2" s="1"/>
  <c r="C258" i="2" s="1"/>
  <c r="C259" i="2" s="1"/>
  <c r="C260" i="2" s="1"/>
  <c r="C261" i="2" s="1"/>
  <c r="C262" i="2" s="1"/>
  <c r="C263" i="2" s="1"/>
  <c r="C264" i="2" s="1"/>
  <c r="C265" i="2" s="1"/>
  <c r="C266" i="2" s="1"/>
  <c r="C267" i="2" s="1"/>
  <c r="C268" i="2" s="1"/>
  <c r="C269" i="2" s="1"/>
  <c r="C270" i="2" s="1"/>
  <c r="C271" i="2" s="1"/>
  <c r="C272" i="2" s="1"/>
  <c r="C273" i="2" s="1"/>
  <c r="C274" i="2" s="1"/>
  <c r="C275" i="2" s="1"/>
  <c r="C276" i="2" s="1"/>
  <c r="C277" i="2" s="1"/>
  <c r="C278" i="2" s="1"/>
  <c r="C279" i="2" s="1"/>
  <c r="C280" i="2" s="1"/>
  <c r="C281" i="2" s="1"/>
  <c r="C282" i="2" s="1"/>
  <c r="C283" i="2" s="1"/>
  <c r="C284" i="2" s="1"/>
  <c r="C285" i="2" s="1"/>
  <c r="C286" i="2" s="1"/>
  <c r="C287" i="2" s="1"/>
  <c r="C288" i="2" s="1"/>
  <c r="C289" i="2" s="1"/>
  <c r="C290" i="2" s="1"/>
  <c r="C291" i="2" s="1"/>
  <c r="C292" i="2" s="1"/>
  <c r="C293" i="2" s="1"/>
  <c r="C294" i="2" s="1"/>
  <c r="C295" i="2" s="1"/>
  <c r="C296" i="2" s="1"/>
  <c r="C297" i="2" s="1"/>
  <c r="C298" i="2" s="1"/>
  <c r="C299" i="2" s="1"/>
  <c r="C300" i="2" s="1"/>
  <c r="C301" i="2" s="1"/>
  <c r="C302" i="2" s="1"/>
  <c r="C303" i="2" s="1"/>
  <c r="C304" i="2" s="1"/>
  <c r="C305" i="2" s="1"/>
  <c r="C306" i="2" s="1"/>
  <c r="C307" i="2" s="1"/>
  <c r="C308" i="2" s="1"/>
  <c r="C309" i="2" s="1"/>
  <c r="C310" i="2" s="1"/>
  <c r="C311" i="2" s="1"/>
  <c r="C312" i="2" s="1"/>
  <c r="C313" i="2" s="1"/>
  <c r="C314" i="2" s="1"/>
  <c r="C315" i="2" s="1"/>
  <c r="C316" i="2" s="1"/>
  <c r="C317" i="2" s="1"/>
  <c r="C318" i="2" s="1"/>
  <c r="C319" i="2" s="1"/>
  <c r="C320" i="2" s="1"/>
  <c r="C321" i="2" s="1"/>
  <c r="C322" i="2" s="1"/>
  <c r="C323" i="2" s="1"/>
  <c r="C324" i="2" s="1"/>
  <c r="C325" i="2" s="1"/>
  <c r="C326" i="2" s="1"/>
  <c r="C327" i="2" s="1"/>
  <c r="C328" i="2" s="1"/>
  <c r="C329" i="2" s="1"/>
  <c r="C330" i="2" s="1"/>
  <c r="C331" i="2" s="1"/>
  <c r="C332" i="2" s="1"/>
  <c r="C333" i="2" s="1"/>
  <c r="C334" i="2" s="1"/>
  <c r="C335" i="2" s="1"/>
  <c r="C336" i="2" s="1"/>
  <c r="C337" i="2" s="1"/>
  <c r="C338" i="2" s="1"/>
  <c r="C339" i="2" s="1"/>
  <c r="C340" i="2" s="1"/>
  <c r="C341" i="2" s="1"/>
  <c r="C342" i="2" s="1"/>
  <c r="C343" i="2" s="1"/>
  <c r="C344" i="2" s="1"/>
  <c r="C345" i="2" s="1"/>
  <c r="C346" i="2" s="1"/>
  <c r="C347" i="2" s="1"/>
  <c r="C348" i="2" s="1"/>
  <c r="C349" i="2" s="1"/>
  <c r="C350" i="2" s="1"/>
  <c r="C351" i="2" s="1"/>
  <c r="C352" i="2" s="1"/>
  <c r="C353" i="2" s="1"/>
  <c r="C354" i="2" s="1"/>
  <c r="C355" i="2" s="1"/>
  <c r="C356" i="2" s="1"/>
  <c r="C357" i="2" s="1"/>
  <c r="C358" i="2" s="1"/>
  <c r="C359" i="2" s="1"/>
  <c r="C360" i="2" s="1"/>
  <c r="C361" i="2" s="1"/>
  <c r="C362" i="2" s="1"/>
  <c r="C363" i="2" s="1"/>
  <c r="C364" i="2" s="1"/>
  <c r="C365" i="2" s="1"/>
  <c r="C366" i="2" s="1"/>
  <c r="C367" i="2" s="1"/>
  <c r="C368" i="2" s="1"/>
  <c r="J3" i="2" l="1"/>
  <c r="L3" i="2"/>
  <c r="I3" i="2"/>
  <c r="N3" i="2"/>
  <c r="I7" i="15"/>
  <c r="N7" i="15"/>
  <c r="AD24" i="2"/>
  <c r="AE24" i="2"/>
  <c r="AC24" i="2"/>
  <c r="AB24" i="2"/>
  <c r="AA25" i="2"/>
  <c r="U26" i="2"/>
  <c r="X25" i="2"/>
  <c r="Z25" i="2"/>
  <c r="Y25" i="2"/>
  <c r="W25" i="2"/>
  <c r="AE25" i="15"/>
  <c r="AD25" i="15"/>
  <c r="X26" i="15"/>
  <c r="W26" i="15"/>
  <c r="Y26" i="15"/>
  <c r="AA26" i="15"/>
  <c r="U27" i="15"/>
  <c r="Z26" i="15"/>
  <c r="AC25" i="15"/>
  <c r="AB25" i="15"/>
  <c r="Q7" i="15"/>
  <c r="Q3" i="2"/>
  <c r="S639" i="5"/>
  <c r="H8" i="15"/>
  <c r="R8" i="15"/>
  <c r="P8" i="15"/>
  <c r="D8" i="15"/>
  <c r="G8" i="15"/>
  <c r="F8" i="15"/>
  <c r="O8" i="15"/>
  <c r="E8" i="15"/>
  <c r="M7" i="15"/>
  <c r="L7" i="15"/>
  <c r="J7" i="15"/>
  <c r="K7" i="15"/>
  <c r="S624" i="5"/>
  <c r="S650" i="5"/>
  <c r="S429" i="5"/>
  <c r="S638" i="5"/>
  <c r="S430" i="5"/>
  <c r="S459" i="5"/>
  <c r="H4" i="2"/>
  <c r="M3" i="2"/>
  <c r="K3" i="2"/>
  <c r="D4" i="2"/>
  <c r="S707" i="5"/>
  <c r="S675" i="5"/>
  <c r="S608" i="5"/>
  <c r="S644" i="5"/>
  <c r="S470" i="5"/>
  <c r="S536" i="5"/>
  <c r="S520" i="5"/>
  <c r="S564" i="5"/>
  <c r="S684" i="5"/>
  <c r="S591" i="5"/>
  <c r="S601" i="5"/>
  <c r="S402" i="5"/>
  <c r="S627" i="5"/>
  <c r="S622" i="5"/>
  <c r="S555" i="5"/>
  <c r="S594" i="5"/>
  <c r="S616" i="5"/>
  <c r="S716" i="5"/>
  <c r="S439" i="5"/>
  <c r="S407" i="5"/>
  <c r="S626" i="5"/>
  <c r="S546" i="5"/>
  <c r="S498" i="5"/>
  <c r="S502" i="5"/>
  <c r="S469" i="5"/>
  <c r="S524" i="5"/>
  <c r="S718" i="5"/>
  <c r="S573" i="5"/>
  <c r="S427" i="5"/>
  <c r="S698" i="5"/>
  <c r="S599" i="5"/>
  <c r="S400" i="5"/>
  <c r="S631" i="5"/>
  <c r="S584" i="5"/>
  <c r="S549" i="5"/>
  <c r="S544" i="5"/>
  <c r="S686" i="5"/>
  <c r="S560" i="5"/>
  <c r="S442" i="5"/>
  <c r="S665" i="5"/>
  <c r="S457" i="5"/>
  <c r="S465" i="5"/>
  <c r="S523" i="5"/>
  <c r="S563" i="5"/>
  <c r="S662" i="5"/>
  <c r="S677" i="5"/>
  <c r="S423" i="5"/>
  <c r="S619" i="5"/>
  <c r="S454" i="5"/>
  <c r="S462" i="5"/>
  <c r="S529" i="5"/>
  <c r="S720" i="5"/>
  <c r="S647" i="5"/>
  <c r="S663" i="5"/>
  <c r="S692" i="5"/>
  <c r="S596" i="5"/>
  <c r="S674" i="5"/>
  <c r="S547" i="5"/>
  <c r="S426" i="5"/>
  <c r="S495" i="5"/>
  <c r="S705" i="5"/>
  <c r="S617" i="5"/>
  <c r="S499" i="5"/>
  <c r="S438" i="5"/>
  <c r="S406" i="5"/>
  <c r="S708" i="5"/>
  <c r="S693" i="5"/>
  <c r="S556" i="5"/>
  <c r="S706" i="5"/>
  <c r="S437" i="5"/>
  <c r="S480" i="5"/>
  <c r="S398" i="5"/>
  <c r="S414" i="5"/>
  <c r="S421" i="5"/>
  <c r="S476" i="5"/>
  <c r="S613" i="5"/>
  <c r="S636" i="5"/>
  <c r="S489" i="5"/>
  <c r="S571" i="5"/>
  <c r="S404" i="5"/>
  <c r="S643" i="5"/>
  <c r="S451" i="5"/>
  <c r="S535" i="5"/>
  <c r="S519" i="5"/>
  <c r="S566" i="5"/>
  <c r="S683" i="5"/>
  <c r="S588" i="5"/>
  <c r="S576" i="5"/>
  <c r="S479" i="5"/>
  <c r="S679" i="5"/>
  <c r="S612" i="5"/>
  <c r="S553" i="5"/>
  <c r="S477" i="5"/>
  <c r="S615" i="5"/>
  <c r="S715" i="5"/>
  <c r="S440" i="5"/>
  <c r="S570" i="5"/>
  <c r="S491" i="5"/>
  <c r="S513" i="5"/>
  <c r="S691" i="5"/>
  <c r="S632" i="5"/>
  <c r="S417" i="5"/>
  <c r="S664" i="5"/>
  <c r="S485" i="5"/>
  <c r="S419" i="5"/>
  <c r="S493" i="5"/>
  <c r="S510" i="5"/>
  <c r="S620" i="5"/>
  <c r="S415" i="5"/>
  <c r="S660" i="5"/>
  <c r="S467" i="5"/>
  <c r="S580" i="5"/>
  <c r="S425" i="5"/>
  <c r="S667" i="5"/>
  <c r="S710" i="5"/>
  <c r="S397" i="5"/>
  <c r="S610" i="5"/>
  <c r="S446" i="5"/>
  <c r="F4" i="2"/>
  <c r="S581" i="5"/>
  <c r="S585" i="5"/>
  <c r="S606" i="5"/>
  <c r="S569" i="5"/>
  <c r="S518" i="5"/>
  <c r="S534" i="5"/>
  <c r="S445" i="5"/>
  <c r="S503" i="5"/>
  <c r="S501" i="5"/>
  <c r="S449" i="5"/>
  <c r="S475" i="5"/>
  <c r="S483" i="5"/>
  <c r="S526" i="5"/>
  <c r="S512" i="5"/>
  <c r="S697" i="5"/>
  <c r="S653" i="5"/>
  <c r="S646" i="5"/>
  <c r="S604" i="5"/>
  <c r="S552" i="5"/>
  <c r="S590" i="5"/>
  <c r="S699" i="5"/>
  <c r="S574" i="5"/>
  <c r="S602" i="5"/>
  <c r="S652" i="5"/>
  <c r="S673" i="5"/>
  <c r="S396" i="5"/>
  <c r="S630" i="5"/>
  <c r="S412" i="5"/>
  <c r="S583" i="5"/>
  <c r="S420" i="5"/>
  <c r="S494" i="5"/>
  <c r="S559" i="5"/>
  <c r="S711" i="5"/>
  <c r="S687" i="5"/>
  <c r="S635" i="5"/>
  <c r="S557" i="5"/>
  <c r="S488" i="5"/>
  <c r="S436" i="5"/>
  <c r="S433" i="5"/>
  <c r="S405" i="5"/>
  <c r="S668" i="5"/>
  <c r="S452" i="5"/>
  <c r="S448" i="5"/>
  <c r="S460" i="5"/>
  <c r="S486" i="5"/>
  <c r="S527" i="5"/>
  <c r="S516" i="5"/>
  <c r="S696" i="5"/>
  <c r="S656" i="5"/>
  <c r="S645" i="5"/>
  <c r="S605" i="5"/>
  <c r="S551" i="5"/>
  <c r="S589" i="5"/>
  <c r="S701" i="5"/>
  <c r="S578" i="5"/>
  <c r="S597" i="5"/>
  <c r="S482" i="5"/>
  <c r="S676" i="5"/>
  <c r="S399" i="5"/>
  <c r="S629" i="5"/>
  <c r="S413" i="5"/>
  <c r="S582" i="5"/>
  <c r="S422" i="5"/>
  <c r="S496" i="5"/>
  <c r="S478" i="5"/>
  <c r="S558" i="5"/>
  <c r="S712" i="5"/>
  <c r="S688" i="5"/>
  <c r="S633" i="5"/>
  <c r="S500" i="5"/>
  <c r="S490" i="5"/>
  <c r="S434" i="5"/>
  <c r="S432" i="5"/>
  <c r="S403" i="5"/>
  <c r="S642" i="5"/>
  <c r="S456" i="5"/>
  <c r="S468" i="5"/>
  <c r="S461" i="5"/>
  <c r="S537" i="5"/>
  <c r="S508" i="5"/>
  <c r="S521" i="5"/>
  <c r="S648" i="5"/>
  <c r="S568" i="5"/>
  <c r="S561" i="5"/>
  <c r="S682" i="5"/>
  <c r="S657" i="5"/>
  <c r="S586" i="5"/>
  <c r="S690" i="5"/>
  <c r="S575" i="5"/>
  <c r="S625" i="5"/>
  <c r="S481" i="5"/>
  <c r="S672" i="5"/>
  <c r="S678" i="5"/>
  <c r="S545" i="5"/>
  <c r="S611" i="5"/>
  <c r="S424" i="5"/>
  <c r="S554" i="5"/>
  <c r="S593" i="5"/>
  <c r="S704" i="5"/>
  <c r="S614" i="5"/>
  <c r="S618" i="5"/>
  <c r="S714" i="5"/>
  <c r="S497" i="5"/>
  <c r="S441" i="5"/>
  <c r="S435" i="5"/>
  <c r="S408" i="5"/>
  <c r="S666" i="5"/>
  <c r="S504" i="5"/>
  <c r="S444" i="5"/>
  <c r="S472" i="5"/>
  <c r="S487" i="5"/>
  <c r="S531" i="5"/>
  <c r="S511" i="5"/>
  <c r="S515" i="5"/>
  <c r="S637" i="5"/>
  <c r="S565" i="5"/>
  <c r="S609" i="5"/>
  <c r="S411" i="5"/>
  <c r="S659" i="5"/>
  <c r="S703" i="5"/>
  <c r="S694" i="5"/>
  <c r="S595" i="5"/>
  <c r="S651" i="5"/>
  <c r="S401" i="5"/>
  <c r="S671" i="5"/>
  <c r="S628" i="5"/>
  <c r="S416" i="5"/>
  <c r="S621" i="5"/>
  <c r="S418" i="5"/>
  <c r="S548" i="5"/>
  <c r="S592" i="5"/>
  <c r="S709" i="5"/>
  <c r="S685" i="5"/>
  <c r="S634" i="5"/>
  <c r="S713" i="5"/>
  <c r="S492" i="5"/>
  <c r="S443" i="5"/>
  <c r="S431" i="5"/>
  <c r="S670" i="5"/>
  <c r="P4" i="2"/>
  <c r="R4" i="2"/>
  <c r="O4" i="2"/>
  <c r="G4" i="2"/>
  <c r="B5" i="2"/>
  <c r="E4" i="2"/>
  <c r="C9" i="4"/>
  <c r="C10" i="4"/>
  <c r="S655" i="5"/>
  <c r="S717" i="5"/>
  <c r="S507" i="5"/>
  <c r="S528" i="5"/>
  <c r="S532" i="5"/>
  <c r="S464" i="5"/>
  <c r="S473" i="5"/>
  <c r="S453" i="5"/>
  <c r="S669" i="5"/>
  <c r="S641" i="5"/>
  <c r="S505" i="5"/>
  <c r="S455" i="5"/>
  <c r="S458" i="5"/>
  <c r="S447" i="5"/>
  <c r="S450" i="5"/>
  <c r="S471" i="5"/>
  <c r="S474" i="5"/>
  <c r="S463" i="5"/>
  <c r="S466" i="5"/>
  <c r="S484" i="5"/>
  <c r="S530" i="5"/>
  <c r="S533" i="5"/>
  <c r="S522" i="5"/>
  <c r="S525" i="5"/>
  <c r="S506" i="5"/>
  <c r="S509" i="5"/>
  <c r="S514" i="5"/>
  <c r="S517" i="5"/>
  <c r="S719" i="5"/>
  <c r="S695" i="5"/>
  <c r="S680" i="5"/>
  <c r="S640" i="5"/>
  <c r="S654" i="5"/>
  <c r="S567" i="5"/>
  <c r="S572" i="5"/>
  <c r="S562" i="5"/>
  <c r="S607" i="5"/>
  <c r="S603" i="5"/>
  <c r="S681" i="5"/>
  <c r="S428" i="5"/>
  <c r="S550" i="5"/>
  <c r="S661" i="5"/>
  <c r="S658" i="5"/>
  <c r="S587" i="5"/>
  <c r="S702" i="5"/>
  <c r="S700" i="5"/>
  <c r="S689" i="5"/>
  <c r="S579" i="5"/>
  <c r="S577" i="5"/>
  <c r="S600" i="5"/>
  <c r="S598" i="5"/>
  <c r="S623" i="5"/>
  <c r="S649" i="5"/>
  <c r="J4" i="2" l="1"/>
  <c r="C17" i="4"/>
  <c r="C16" i="4"/>
  <c r="C19" i="4"/>
  <c r="C15" i="4"/>
  <c r="C18" i="4"/>
  <c r="C14" i="4"/>
  <c r="L4" i="2"/>
  <c r="C26" i="4"/>
  <c r="C25" i="4"/>
  <c r="C28" i="4"/>
  <c r="C24" i="4"/>
  <c r="C27" i="4"/>
  <c r="C23" i="4"/>
  <c r="I4" i="2"/>
  <c r="N4" i="2"/>
  <c r="I8" i="15"/>
  <c r="N8" i="15"/>
  <c r="AC25" i="2"/>
  <c r="AB25" i="2"/>
  <c r="X26" i="2"/>
  <c r="Y26" i="2"/>
  <c r="U27" i="2"/>
  <c r="Z26" i="2"/>
  <c r="AA26" i="2"/>
  <c r="W26" i="2"/>
  <c r="AE25" i="2"/>
  <c r="AD25" i="2"/>
  <c r="AC26" i="15"/>
  <c r="AB26" i="15"/>
  <c r="X27" i="15"/>
  <c r="Z27" i="15"/>
  <c r="Y27" i="15"/>
  <c r="AA27" i="15"/>
  <c r="U28" i="15"/>
  <c r="W27" i="15"/>
  <c r="AE26" i="15"/>
  <c r="AD26" i="15"/>
  <c r="Q8" i="15"/>
  <c r="P9" i="15"/>
  <c r="H9" i="15"/>
  <c r="G9" i="15"/>
  <c r="O9" i="15"/>
  <c r="R9" i="15"/>
  <c r="E9" i="15"/>
  <c r="D9" i="15"/>
  <c r="F9" i="15"/>
  <c r="J8" i="15"/>
  <c r="K8" i="15"/>
  <c r="M8" i="15"/>
  <c r="L8" i="15"/>
  <c r="H5" i="2"/>
  <c r="K4" i="2"/>
  <c r="M4" i="2"/>
  <c r="E5" i="2"/>
  <c r="D5" i="2"/>
  <c r="O5" i="2"/>
  <c r="G5" i="2"/>
  <c r="P5" i="2"/>
  <c r="R5" i="2"/>
  <c r="F5" i="2"/>
  <c r="Q4" i="2"/>
  <c r="B6" i="2"/>
  <c r="L5" i="2" l="1"/>
  <c r="I5" i="2"/>
  <c r="N5" i="2"/>
  <c r="I9" i="15"/>
  <c r="N9" i="15"/>
  <c r="W27" i="2"/>
  <c r="Z27" i="2"/>
  <c r="Y27" i="2"/>
  <c r="X27" i="2"/>
  <c r="AA27" i="2"/>
  <c r="U28" i="2"/>
  <c r="AB26" i="2"/>
  <c r="AC26" i="2"/>
  <c r="AE26" i="2"/>
  <c r="AD26" i="2"/>
  <c r="AE27" i="15"/>
  <c r="AD27" i="15"/>
  <c r="AB27" i="15"/>
  <c r="AC27" i="15"/>
  <c r="Z28" i="15"/>
  <c r="W28" i="15"/>
  <c r="Y28" i="15"/>
  <c r="AA28" i="15"/>
  <c r="X28" i="15"/>
  <c r="U29" i="15"/>
  <c r="Q9" i="15"/>
  <c r="Q5" i="2"/>
  <c r="M9" i="15"/>
  <c r="L9" i="15"/>
  <c r="O10" i="15"/>
  <c r="P10" i="15"/>
  <c r="G10" i="15"/>
  <c r="F10" i="15"/>
  <c r="R10" i="15"/>
  <c r="H10" i="15"/>
  <c r="E10" i="15"/>
  <c r="D10" i="15"/>
  <c r="K9" i="15"/>
  <c r="J9" i="15"/>
  <c r="E6" i="2"/>
  <c r="B7" i="2"/>
  <c r="B8" i="2" s="1"/>
  <c r="D6" i="2"/>
  <c r="H6" i="2"/>
  <c r="G6" i="2"/>
  <c r="M5" i="2"/>
  <c r="P6" i="2"/>
  <c r="R6" i="2"/>
  <c r="F6" i="2"/>
  <c r="O6" i="2"/>
  <c r="J5" i="2"/>
  <c r="K5" i="2"/>
  <c r="I6" i="2" l="1"/>
  <c r="N6" i="2"/>
  <c r="I10" i="15"/>
  <c r="N10" i="15"/>
  <c r="Y28" i="2"/>
  <c r="X28" i="2"/>
  <c r="Z28" i="2"/>
  <c r="W28" i="2"/>
  <c r="AA28" i="2"/>
  <c r="U29" i="2"/>
  <c r="AD27" i="2"/>
  <c r="AE27" i="2"/>
  <c r="AB27" i="2"/>
  <c r="AC27" i="2"/>
  <c r="AE28" i="15"/>
  <c r="AD28" i="15"/>
  <c r="W29" i="15"/>
  <c r="X29" i="15"/>
  <c r="AA29" i="15"/>
  <c r="Y29" i="15"/>
  <c r="Z29" i="15"/>
  <c r="U30" i="15"/>
  <c r="AC28" i="15"/>
  <c r="AB28" i="15"/>
  <c r="E7" i="2"/>
  <c r="Q10" i="15"/>
  <c r="P7" i="2"/>
  <c r="Q6" i="2"/>
  <c r="K10" i="15"/>
  <c r="J10" i="15"/>
  <c r="O11" i="15"/>
  <c r="F11" i="15"/>
  <c r="E11" i="15"/>
  <c r="R11" i="15"/>
  <c r="P11" i="15"/>
  <c r="G11" i="15"/>
  <c r="D11" i="15"/>
  <c r="H11" i="15"/>
  <c r="L10" i="15"/>
  <c r="M10" i="15"/>
  <c r="D7" i="2"/>
  <c r="K6" i="2"/>
  <c r="G7" i="2"/>
  <c r="J6" i="2"/>
  <c r="H7" i="2"/>
  <c r="R7" i="2"/>
  <c r="O7" i="2"/>
  <c r="M6" i="2"/>
  <c r="L6" i="2"/>
  <c r="F7" i="2"/>
  <c r="B9" i="2"/>
  <c r="P8" i="2" l="1"/>
  <c r="D8" i="2"/>
  <c r="E8" i="2"/>
  <c r="G8" i="2"/>
  <c r="I7" i="2"/>
  <c r="N7" i="2"/>
  <c r="I11" i="15"/>
  <c r="N11" i="15"/>
  <c r="AB28" i="2"/>
  <c r="AC28" i="2"/>
  <c r="AE28" i="2"/>
  <c r="AD28" i="2"/>
  <c r="AA29" i="2"/>
  <c r="U30" i="2"/>
  <c r="Y29" i="2"/>
  <c r="X29" i="2"/>
  <c r="Z29" i="2"/>
  <c r="W29" i="2"/>
  <c r="AC29" i="15"/>
  <c r="AB29" i="15"/>
  <c r="X30" i="15"/>
  <c r="Z30" i="15"/>
  <c r="AA30" i="15"/>
  <c r="Y30" i="15"/>
  <c r="U31" i="15"/>
  <c r="W30" i="15"/>
  <c r="AD29" i="15"/>
  <c r="AE29" i="15"/>
  <c r="K7" i="2"/>
  <c r="Q11" i="15"/>
  <c r="R8" i="2"/>
  <c r="R9" i="2" s="1"/>
  <c r="Q7" i="2"/>
  <c r="M11" i="15"/>
  <c r="L11" i="15"/>
  <c r="D12" i="15"/>
  <c r="E12" i="15"/>
  <c r="F12" i="15"/>
  <c r="H12" i="15"/>
  <c r="G12" i="15"/>
  <c r="P12" i="15"/>
  <c r="O12" i="15"/>
  <c r="R12" i="15"/>
  <c r="K11" i="15"/>
  <c r="J11" i="15"/>
  <c r="L7" i="2"/>
  <c r="J7" i="2"/>
  <c r="M7" i="2"/>
  <c r="H8" i="2"/>
  <c r="O8" i="2"/>
  <c r="F8" i="2"/>
  <c r="B10" i="2"/>
  <c r="Q12" i="15" l="1"/>
  <c r="P9" i="2"/>
  <c r="E9" i="2"/>
  <c r="H9" i="2"/>
  <c r="G9" i="2"/>
  <c r="D9" i="2"/>
  <c r="J8" i="2"/>
  <c r="K8" i="2"/>
  <c r="F9" i="2"/>
  <c r="I8" i="2"/>
  <c r="N8" i="2"/>
  <c r="I12" i="15"/>
  <c r="N12" i="15"/>
  <c r="X30" i="2"/>
  <c r="Z30" i="2"/>
  <c r="Y30" i="2"/>
  <c r="AA30" i="2"/>
  <c r="U31" i="2"/>
  <c r="W30" i="2"/>
  <c r="AC29" i="2"/>
  <c r="AB29" i="2"/>
  <c r="AD29" i="2"/>
  <c r="AE29" i="2"/>
  <c r="AE30" i="15"/>
  <c r="AD30" i="15"/>
  <c r="AC30" i="15"/>
  <c r="AB30" i="15"/>
  <c r="X31" i="15"/>
  <c r="Z31" i="15"/>
  <c r="W31" i="15"/>
  <c r="U32" i="15"/>
  <c r="AA31" i="15"/>
  <c r="Y31" i="15"/>
  <c r="M12" i="15"/>
  <c r="L12" i="15"/>
  <c r="J12" i="15"/>
  <c r="K12" i="15"/>
  <c r="R13" i="15"/>
  <c r="D13" i="15"/>
  <c r="G13" i="15"/>
  <c r="P13" i="15"/>
  <c r="F13" i="15"/>
  <c r="Q13" i="15" s="1"/>
  <c r="E13" i="15"/>
  <c r="H13" i="15"/>
  <c r="O13" i="15"/>
  <c r="M8" i="2"/>
  <c r="L8" i="2"/>
  <c r="Q8" i="2"/>
  <c r="O9" i="2"/>
  <c r="B11" i="2"/>
  <c r="E10" i="2"/>
  <c r="P10" i="2"/>
  <c r="R10" i="2"/>
  <c r="M9" i="2" l="1"/>
  <c r="G10" i="2"/>
  <c r="L9" i="2"/>
  <c r="J9" i="2"/>
  <c r="Q9" i="2"/>
  <c r="H10" i="2"/>
  <c r="D10" i="2"/>
  <c r="D11" i="2" s="1"/>
  <c r="K9" i="2"/>
  <c r="F10" i="2"/>
  <c r="I9" i="2"/>
  <c r="N9" i="2"/>
  <c r="I13" i="15"/>
  <c r="N13" i="15"/>
  <c r="AB30" i="2"/>
  <c r="AC30" i="2"/>
  <c r="AE30" i="2"/>
  <c r="AD30" i="2"/>
  <c r="W31" i="2"/>
  <c r="Z31" i="2"/>
  <c r="Y31" i="2"/>
  <c r="AA31" i="2"/>
  <c r="X31" i="2"/>
  <c r="U32" i="2"/>
  <c r="AB31" i="15"/>
  <c r="AC31" i="15"/>
  <c r="AE31" i="15"/>
  <c r="AD31" i="15"/>
  <c r="Z32" i="15"/>
  <c r="W32" i="15"/>
  <c r="AA32" i="15"/>
  <c r="U33" i="15"/>
  <c r="X32" i="15"/>
  <c r="Y32" i="15"/>
  <c r="O10" i="2"/>
  <c r="R14" i="15"/>
  <c r="H14" i="15"/>
  <c r="P14" i="15"/>
  <c r="F14" i="15"/>
  <c r="Q14" i="15" s="1"/>
  <c r="E14" i="15"/>
  <c r="O14" i="15"/>
  <c r="G14" i="15"/>
  <c r="D14" i="15"/>
  <c r="L13" i="15"/>
  <c r="M13" i="15"/>
  <c r="J13" i="15"/>
  <c r="K13" i="15"/>
  <c r="B12" i="2"/>
  <c r="G11" i="2"/>
  <c r="E11" i="2"/>
  <c r="P11" i="2"/>
  <c r="R11" i="2"/>
  <c r="L10" i="2" l="1"/>
  <c r="K10" i="2"/>
  <c r="J10" i="2"/>
  <c r="H11" i="2"/>
  <c r="H12" i="2" s="1"/>
  <c r="M10" i="2"/>
  <c r="Q10" i="2"/>
  <c r="F11" i="2"/>
  <c r="I10" i="2"/>
  <c r="N10" i="2"/>
  <c r="I14" i="15"/>
  <c r="N14" i="15"/>
  <c r="AB31" i="2"/>
  <c r="AC31" i="2"/>
  <c r="Y32" i="2"/>
  <c r="Z32" i="2"/>
  <c r="X32" i="2"/>
  <c r="AA32" i="2"/>
  <c r="U33" i="2"/>
  <c r="W32" i="2"/>
  <c r="AD31" i="2"/>
  <c r="AE31" i="2"/>
  <c r="Z33" i="15"/>
  <c r="AA33" i="15"/>
  <c r="X33" i="15"/>
  <c r="U34" i="15"/>
  <c r="W33" i="15"/>
  <c r="Y33" i="15"/>
  <c r="AD32" i="15"/>
  <c r="AE32" i="15"/>
  <c r="AC32" i="15"/>
  <c r="AB32" i="15"/>
  <c r="O11" i="2"/>
  <c r="K14" i="15"/>
  <c r="J14" i="15"/>
  <c r="H15" i="15"/>
  <c r="P15" i="15"/>
  <c r="G15" i="15"/>
  <c r="R15" i="15"/>
  <c r="F15" i="15"/>
  <c r="Q15" i="15" s="1"/>
  <c r="E15" i="15"/>
  <c r="D15" i="15"/>
  <c r="O15" i="15"/>
  <c r="M14" i="15"/>
  <c r="L14" i="15"/>
  <c r="B13" i="2"/>
  <c r="G12" i="2"/>
  <c r="E12" i="2"/>
  <c r="P12" i="2"/>
  <c r="D12" i="2"/>
  <c r="R12" i="2"/>
  <c r="K11" i="2"/>
  <c r="Q11" i="2" l="1"/>
  <c r="M11" i="2"/>
  <c r="M12" i="2" s="1"/>
  <c r="L11" i="2"/>
  <c r="J11" i="2"/>
  <c r="J12" i="2" s="1"/>
  <c r="F12" i="2"/>
  <c r="Q12" i="2" s="1"/>
  <c r="I11" i="2"/>
  <c r="N11" i="2"/>
  <c r="I15" i="15"/>
  <c r="N15" i="15"/>
  <c r="AD32" i="2"/>
  <c r="AE32" i="2"/>
  <c r="AC32" i="2"/>
  <c r="AB32" i="2"/>
  <c r="AA33" i="2"/>
  <c r="U34" i="2"/>
  <c r="W33" i="2"/>
  <c r="Z33" i="2"/>
  <c r="Y33" i="2"/>
  <c r="X33" i="2"/>
  <c r="AC33" i="15"/>
  <c r="AB33" i="15"/>
  <c r="X34" i="15"/>
  <c r="W34" i="15"/>
  <c r="Y34" i="15"/>
  <c r="U35" i="15"/>
  <c r="AA34" i="15"/>
  <c r="Z34" i="15"/>
  <c r="AD33" i="15"/>
  <c r="AE33" i="15"/>
  <c r="O12" i="2"/>
  <c r="L15" i="15"/>
  <c r="M15" i="15"/>
  <c r="J15" i="15"/>
  <c r="K15" i="15"/>
  <c r="P16" i="15"/>
  <c r="G16" i="15"/>
  <c r="O16" i="15"/>
  <c r="F16" i="15"/>
  <c r="Q16" i="15" s="1"/>
  <c r="R16" i="15"/>
  <c r="H16" i="15"/>
  <c r="D16" i="15"/>
  <c r="E16" i="15"/>
  <c r="B14" i="2"/>
  <c r="G13" i="2"/>
  <c r="H13" i="2"/>
  <c r="F13" i="2"/>
  <c r="P13" i="2"/>
  <c r="D13" i="2"/>
  <c r="E13" i="2"/>
  <c r="R13" i="2"/>
  <c r="K12" i="2"/>
  <c r="L12" i="2"/>
  <c r="I12" i="2" l="1"/>
  <c r="N12" i="2"/>
  <c r="I16" i="15"/>
  <c r="N16" i="15"/>
  <c r="AC33" i="2"/>
  <c r="AB33" i="2"/>
  <c r="X34" i="2"/>
  <c r="W34" i="2"/>
  <c r="Z34" i="2"/>
  <c r="AA34" i="2"/>
  <c r="Y34" i="2"/>
  <c r="U35" i="2"/>
  <c r="AD33" i="2"/>
  <c r="AE33" i="2"/>
  <c r="AC34" i="15"/>
  <c r="AB34" i="15"/>
  <c r="AE34" i="15"/>
  <c r="AD34" i="15"/>
  <c r="X35" i="15"/>
  <c r="Z35" i="15"/>
  <c r="W35" i="15"/>
  <c r="U36" i="15"/>
  <c r="Y35" i="15"/>
  <c r="AA35" i="15"/>
  <c r="O13" i="2"/>
  <c r="K16" i="15"/>
  <c r="J16" i="15"/>
  <c r="P17" i="15"/>
  <c r="O17" i="15"/>
  <c r="F17" i="15"/>
  <c r="Q17" i="15" s="1"/>
  <c r="E17" i="15"/>
  <c r="H17" i="15"/>
  <c r="G17" i="15"/>
  <c r="D17" i="15"/>
  <c r="R17" i="15"/>
  <c r="L16" i="15"/>
  <c r="M16" i="15"/>
  <c r="M13" i="2"/>
  <c r="L13" i="2"/>
  <c r="B15" i="2"/>
  <c r="G14" i="2"/>
  <c r="D14" i="2"/>
  <c r="F14" i="2"/>
  <c r="H14" i="2"/>
  <c r="E14" i="2"/>
  <c r="R14" i="2"/>
  <c r="P14" i="2"/>
  <c r="J13" i="2"/>
  <c r="K13" i="2"/>
  <c r="Q13" i="2"/>
  <c r="Q14" i="2" l="1"/>
  <c r="I13" i="2"/>
  <c r="N13" i="2"/>
  <c r="I17" i="15"/>
  <c r="N17" i="15"/>
  <c r="W35" i="2"/>
  <c r="Z35" i="2"/>
  <c r="AA35" i="2"/>
  <c r="Y35" i="2"/>
  <c r="U36" i="2"/>
  <c r="X35" i="2"/>
  <c r="AE34" i="2"/>
  <c r="AD34" i="2"/>
  <c r="AB34" i="2"/>
  <c r="AC34" i="2"/>
  <c r="Z36" i="15"/>
  <c r="AA36" i="15"/>
  <c r="Y36" i="15"/>
  <c r="X36" i="15"/>
  <c r="U37" i="15"/>
  <c r="W36" i="15"/>
  <c r="AC35" i="15"/>
  <c r="AB35" i="15"/>
  <c r="AE35" i="15"/>
  <c r="AD35" i="15"/>
  <c r="O14" i="2"/>
  <c r="K17" i="15"/>
  <c r="J17" i="15"/>
  <c r="M17" i="15"/>
  <c r="L17" i="15"/>
  <c r="F18" i="15"/>
  <c r="Q18" i="15" s="1"/>
  <c r="E18" i="15"/>
  <c r="D18" i="15"/>
  <c r="P18" i="15"/>
  <c r="G18" i="15"/>
  <c r="O18" i="15"/>
  <c r="R18" i="15"/>
  <c r="H18" i="15"/>
  <c r="J14" i="2"/>
  <c r="K14" i="2"/>
  <c r="B16" i="2"/>
  <c r="G15" i="2"/>
  <c r="D15" i="2"/>
  <c r="F15" i="2"/>
  <c r="Q15" i="2" s="1"/>
  <c r="E15" i="2"/>
  <c r="P15" i="2"/>
  <c r="H15" i="2"/>
  <c r="R15" i="2"/>
  <c r="M14" i="2"/>
  <c r="L14" i="2"/>
  <c r="I14" i="2" l="1"/>
  <c r="N14" i="2"/>
  <c r="I18" i="15"/>
  <c r="N18" i="15"/>
  <c r="O15" i="2"/>
  <c r="Y36" i="2"/>
  <c r="W36" i="2"/>
  <c r="AA36" i="2"/>
  <c r="Z36" i="2"/>
  <c r="X36" i="2"/>
  <c r="U37" i="2"/>
  <c r="AD35" i="2"/>
  <c r="AE35" i="2"/>
  <c r="AC35" i="2"/>
  <c r="AB35" i="2"/>
  <c r="AB36" i="15"/>
  <c r="AC36" i="15"/>
  <c r="X37" i="15"/>
  <c r="Y37" i="15"/>
  <c r="U38" i="15"/>
  <c r="AA37" i="15"/>
  <c r="Z37" i="15"/>
  <c r="W37" i="15"/>
  <c r="AD36" i="15"/>
  <c r="AE36" i="15"/>
  <c r="J18" i="15"/>
  <c r="K18" i="15"/>
  <c r="M18" i="15"/>
  <c r="L18" i="15"/>
  <c r="E19" i="15"/>
  <c r="D19" i="15"/>
  <c r="O19" i="15"/>
  <c r="F19" i="15"/>
  <c r="Q19" i="15" s="1"/>
  <c r="P19" i="15"/>
  <c r="R19" i="15"/>
  <c r="H19" i="15"/>
  <c r="G19" i="15"/>
  <c r="J15" i="2"/>
  <c r="K15" i="2"/>
  <c r="L15" i="2"/>
  <c r="M15" i="2"/>
  <c r="D16" i="2"/>
  <c r="G16" i="2"/>
  <c r="F16" i="2"/>
  <c r="Q16" i="2" s="1"/>
  <c r="H16" i="2"/>
  <c r="R16" i="2"/>
  <c r="B17" i="2"/>
  <c r="P16" i="2"/>
  <c r="E16" i="2"/>
  <c r="I15" i="2" l="1"/>
  <c r="N15" i="2"/>
  <c r="I19" i="15"/>
  <c r="N19" i="15"/>
  <c r="O16" i="2"/>
  <c r="AB36" i="2"/>
  <c r="AC36" i="2"/>
  <c r="AA37" i="2"/>
  <c r="U38" i="2"/>
  <c r="X37" i="2"/>
  <c r="Z37" i="2"/>
  <c r="Y37" i="2"/>
  <c r="W37" i="2"/>
  <c r="AD36" i="2"/>
  <c r="AE36" i="2"/>
  <c r="AD37" i="15"/>
  <c r="AE37" i="15"/>
  <c r="X38" i="15"/>
  <c r="Y38" i="15"/>
  <c r="U39" i="15"/>
  <c r="W38" i="15"/>
  <c r="Z38" i="15"/>
  <c r="AA38" i="15"/>
  <c r="AC37" i="15"/>
  <c r="AB37" i="15"/>
  <c r="D20" i="15"/>
  <c r="E20" i="15"/>
  <c r="R20" i="15"/>
  <c r="H20" i="15"/>
  <c r="G20" i="15"/>
  <c r="P20" i="15"/>
  <c r="O20" i="15"/>
  <c r="F20" i="15"/>
  <c r="Q20" i="15" s="1"/>
  <c r="K19" i="15"/>
  <c r="J19" i="15"/>
  <c r="M19" i="15"/>
  <c r="L19" i="15"/>
  <c r="B18" i="2"/>
  <c r="H17" i="2"/>
  <c r="D17" i="2"/>
  <c r="F17" i="2"/>
  <c r="Q17" i="2" s="1"/>
  <c r="E17" i="2"/>
  <c r="G17" i="2"/>
  <c r="R17" i="2"/>
  <c r="P17" i="2"/>
  <c r="M16" i="2"/>
  <c r="L16" i="2"/>
  <c r="J16" i="2"/>
  <c r="K16" i="2"/>
  <c r="I16" i="2" l="1"/>
  <c r="N16" i="2"/>
  <c r="I20" i="15"/>
  <c r="N20" i="15"/>
  <c r="O17" i="2"/>
  <c r="AC37" i="2"/>
  <c r="AB37" i="2"/>
  <c r="X38" i="2"/>
  <c r="AA38" i="2"/>
  <c r="Z38" i="2"/>
  <c r="U39" i="2"/>
  <c r="Y38" i="2"/>
  <c r="W38" i="2"/>
  <c r="AD37" i="2"/>
  <c r="AE37" i="2"/>
  <c r="AC38" i="15"/>
  <c r="AB38" i="15"/>
  <c r="X39" i="15"/>
  <c r="Z39" i="15"/>
  <c r="Y39" i="15"/>
  <c r="W39" i="15"/>
  <c r="U40" i="15"/>
  <c r="AA39" i="15"/>
  <c r="AE38" i="15"/>
  <c r="AD38" i="15"/>
  <c r="K20" i="15"/>
  <c r="J20" i="15"/>
  <c r="L20" i="15"/>
  <c r="M20" i="15"/>
  <c r="R21" i="15"/>
  <c r="D21" i="15"/>
  <c r="P21" i="15"/>
  <c r="G21" i="15"/>
  <c r="O21" i="15"/>
  <c r="H21" i="15"/>
  <c r="E21" i="15"/>
  <c r="F21" i="15"/>
  <c r="Q21" i="15" s="1"/>
  <c r="J17" i="2"/>
  <c r="K17" i="2"/>
  <c r="M17" i="2"/>
  <c r="L17" i="2"/>
  <c r="B19" i="2"/>
  <c r="G18" i="2"/>
  <c r="D18" i="2"/>
  <c r="H18" i="2"/>
  <c r="F18" i="2"/>
  <c r="Q18" i="2" s="1"/>
  <c r="P18" i="2"/>
  <c r="E18" i="2"/>
  <c r="R18" i="2"/>
  <c r="I17" i="2" l="1"/>
  <c r="N17" i="2"/>
  <c r="O18" i="2"/>
  <c r="O19" i="2" s="1"/>
  <c r="I21" i="15"/>
  <c r="N21" i="15"/>
  <c r="AE38" i="2"/>
  <c r="AD38" i="2"/>
  <c r="W39" i="2"/>
  <c r="Z39" i="2"/>
  <c r="X39" i="2"/>
  <c r="U40" i="2"/>
  <c r="AA39" i="2"/>
  <c r="Y39" i="2"/>
  <c r="AB38" i="2"/>
  <c r="AC38" i="2"/>
  <c r="Z40" i="15"/>
  <c r="X40" i="15"/>
  <c r="U41" i="15"/>
  <c r="Y40" i="15"/>
  <c r="AA40" i="15"/>
  <c r="W40" i="15"/>
  <c r="AB39" i="15"/>
  <c r="AC39" i="15"/>
  <c r="AE39" i="15"/>
  <c r="AD39" i="15"/>
  <c r="L21" i="15"/>
  <c r="M21" i="15"/>
  <c r="K21" i="15"/>
  <c r="J21" i="15"/>
  <c r="R22" i="15"/>
  <c r="H22" i="15"/>
  <c r="G22" i="15"/>
  <c r="E22" i="15"/>
  <c r="O22" i="15"/>
  <c r="F22" i="15"/>
  <c r="Q22" i="15" s="1"/>
  <c r="D22" i="15"/>
  <c r="P22" i="15"/>
  <c r="G19" i="2"/>
  <c r="B20" i="2"/>
  <c r="H19" i="2"/>
  <c r="D19" i="2"/>
  <c r="F19" i="2"/>
  <c r="Q19" i="2" s="1"/>
  <c r="P19" i="2"/>
  <c r="E19" i="2"/>
  <c r="R19" i="2"/>
  <c r="M18" i="2"/>
  <c r="L18" i="2"/>
  <c r="J18" i="2"/>
  <c r="K18" i="2"/>
  <c r="I19" i="2" l="1"/>
  <c r="N19" i="2"/>
  <c r="I18" i="2"/>
  <c r="N18" i="2"/>
  <c r="I22" i="15"/>
  <c r="N22" i="15"/>
  <c r="AD39" i="2"/>
  <c r="AE39" i="2"/>
  <c r="Y40" i="2"/>
  <c r="X40" i="2"/>
  <c r="U41" i="2"/>
  <c r="AA40" i="2"/>
  <c r="W40" i="2"/>
  <c r="Z40" i="2"/>
  <c r="AB39" i="2"/>
  <c r="AC39" i="2"/>
  <c r="AB40" i="15"/>
  <c r="AC40" i="15"/>
  <c r="AD40" i="15"/>
  <c r="AE40" i="15"/>
  <c r="W41" i="15"/>
  <c r="Y41" i="15"/>
  <c r="U42" i="15"/>
  <c r="Z41" i="15"/>
  <c r="X41" i="15"/>
  <c r="AA41" i="15"/>
  <c r="R23" i="15"/>
  <c r="H23" i="15"/>
  <c r="P23" i="15"/>
  <c r="G23" i="15"/>
  <c r="O23" i="15"/>
  <c r="F23" i="15"/>
  <c r="Q23" i="15" s="1"/>
  <c r="E23" i="15"/>
  <c r="D23" i="15"/>
  <c r="L22" i="15"/>
  <c r="M22" i="15"/>
  <c r="J22" i="15"/>
  <c r="K22" i="15"/>
  <c r="J19" i="2"/>
  <c r="K19" i="2"/>
  <c r="M19" i="2"/>
  <c r="L19" i="2"/>
  <c r="B21" i="2"/>
  <c r="O20" i="2"/>
  <c r="G20" i="2"/>
  <c r="H20" i="2"/>
  <c r="D20" i="2"/>
  <c r="F20" i="2"/>
  <c r="Q20" i="2" s="1"/>
  <c r="E20" i="2"/>
  <c r="P20" i="2"/>
  <c r="R20" i="2"/>
  <c r="I20" i="2" l="1"/>
  <c r="N20" i="2"/>
  <c r="I23" i="15"/>
  <c r="N23" i="15"/>
  <c r="AB40" i="2"/>
  <c r="AC40" i="2"/>
  <c r="AD40" i="2"/>
  <c r="AE40" i="2"/>
  <c r="AA41" i="2"/>
  <c r="U42" i="2"/>
  <c r="Z41" i="2"/>
  <c r="X41" i="2"/>
  <c r="Y41" i="2"/>
  <c r="W41" i="2"/>
  <c r="AC41" i="15"/>
  <c r="AB41" i="15"/>
  <c r="X42" i="15"/>
  <c r="AA42" i="15"/>
  <c r="U43" i="15"/>
  <c r="Y42" i="15"/>
  <c r="Z42" i="15"/>
  <c r="W42" i="15"/>
  <c r="AE41" i="15"/>
  <c r="AD41" i="15"/>
  <c r="H24" i="15"/>
  <c r="P24" i="15"/>
  <c r="G24" i="15"/>
  <c r="O24" i="15"/>
  <c r="F24" i="15"/>
  <c r="Q24" i="15" s="1"/>
  <c r="R24" i="15"/>
  <c r="D24" i="15"/>
  <c r="E24" i="15"/>
  <c r="M23" i="15"/>
  <c r="L23" i="15"/>
  <c r="J23" i="15"/>
  <c r="K23" i="15"/>
  <c r="K20" i="2"/>
  <c r="J20" i="2"/>
  <c r="M20" i="2"/>
  <c r="L20" i="2"/>
  <c r="B22" i="2"/>
  <c r="G21" i="2"/>
  <c r="H21" i="2"/>
  <c r="O21" i="2"/>
  <c r="P21" i="2"/>
  <c r="E21" i="2"/>
  <c r="F21" i="2"/>
  <c r="Q21" i="2" s="1"/>
  <c r="R21" i="2"/>
  <c r="D21" i="2"/>
  <c r="I21" i="2" l="1"/>
  <c r="N21" i="2"/>
  <c r="I24" i="15"/>
  <c r="N24" i="15"/>
  <c r="X42" i="2"/>
  <c r="Y42" i="2"/>
  <c r="AA42" i="2"/>
  <c r="Z42" i="2"/>
  <c r="U43" i="2"/>
  <c r="W42" i="2"/>
  <c r="AE41" i="2"/>
  <c r="AD41" i="2"/>
  <c r="AC41" i="2"/>
  <c r="AB41" i="2"/>
  <c r="X43" i="15"/>
  <c r="Z43" i="15"/>
  <c r="Y43" i="15"/>
  <c r="AA43" i="15"/>
  <c r="U44" i="15"/>
  <c r="W43" i="15"/>
  <c r="AE42" i="15"/>
  <c r="AD42" i="15"/>
  <c r="AC42" i="15"/>
  <c r="AB42" i="15"/>
  <c r="M24" i="15"/>
  <c r="L24" i="15"/>
  <c r="K24" i="15"/>
  <c r="J24" i="15"/>
  <c r="P25" i="15"/>
  <c r="G25" i="15"/>
  <c r="O25" i="15"/>
  <c r="F25" i="15"/>
  <c r="Q25" i="15" s="1"/>
  <c r="E25" i="15"/>
  <c r="H25" i="15"/>
  <c r="D25" i="15"/>
  <c r="R25" i="15"/>
  <c r="J21" i="2"/>
  <c r="K21" i="2"/>
  <c r="O22" i="2"/>
  <c r="B23" i="2"/>
  <c r="G22" i="2"/>
  <c r="D22" i="2"/>
  <c r="H22" i="2"/>
  <c r="E22" i="2"/>
  <c r="F22" i="2"/>
  <c r="Q22" i="2" s="1"/>
  <c r="P22" i="2"/>
  <c r="R22" i="2"/>
  <c r="M21" i="2"/>
  <c r="L21" i="2"/>
  <c r="I22" i="2" l="1"/>
  <c r="N22" i="2"/>
  <c r="I25" i="15"/>
  <c r="N25" i="15"/>
  <c r="AB42" i="2"/>
  <c r="AC42" i="2"/>
  <c r="Z43" i="2"/>
  <c r="W43" i="2"/>
  <c r="Y43" i="2"/>
  <c r="AA43" i="2"/>
  <c r="X43" i="2"/>
  <c r="U44" i="2"/>
  <c r="AE42" i="2"/>
  <c r="AD42" i="2"/>
  <c r="AB43" i="15"/>
  <c r="AC43" i="15"/>
  <c r="Z44" i="15"/>
  <c r="W44" i="15"/>
  <c r="Y44" i="15"/>
  <c r="U45" i="15"/>
  <c r="X44" i="15"/>
  <c r="AA44" i="15"/>
  <c r="AE43" i="15"/>
  <c r="AD43" i="15"/>
  <c r="O26" i="15"/>
  <c r="F26" i="15"/>
  <c r="Q26" i="15" s="1"/>
  <c r="E26" i="15"/>
  <c r="D26" i="15"/>
  <c r="P26" i="15"/>
  <c r="G26" i="15"/>
  <c r="R26" i="15"/>
  <c r="H26" i="15"/>
  <c r="K25" i="15"/>
  <c r="J25" i="15"/>
  <c r="M25" i="15"/>
  <c r="L25" i="15"/>
  <c r="M22" i="2"/>
  <c r="L22" i="2"/>
  <c r="J22" i="2"/>
  <c r="K22" i="2"/>
  <c r="O23" i="2"/>
  <c r="G23" i="2"/>
  <c r="H23" i="2"/>
  <c r="B24" i="2"/>
  <c r="D23" i="2"/>
  <c r="F23" i="2"/>
  <c r="Q23" i="2" s="1"/>
  <c r="E23" i="2"/>
  <c r="R23" i="2"/>
  <c r="P23" i="2"/>
  <c r="I23" i="2" l="1"/>
  <c r="N23" i="2"/>
  <c r="I26" i="15"/>
  <c r="N26" i="15"/>
  <c r="AE43" i="2"/>
  <c r="AD43" i="2"/>
  <c r="AB43" i="2"/>
  <c r="AC43" i="2"/>
  <c r="X44" i="2"/>
  <c r="AA44" i="2"/>
  <c r="W44" i="2"/>
  <c r="U45" i="2"/>
  <c r="Y44" i="2"/>
  <c r="Z44" i="2"/>
  <c r="W45" i="15"/>
  <c r="Z45" i="15"/>
  <c r="AA45" i="15"/>
  <c r="U46" i="15"/>
  <c r="X45" i="15"/>
  <c r="Y45" i="15"/>
  <c r="AB44" i="15"/>
  <c r="AC44" i="15"/>
  <c r="AE44" i="15"/>
  <c r="AD44" i="15"/>
  <c r="J26" i="15"/>
  <c r="K26" i="15"/>
  <c r="E27" i="15"/>
  <c r="D27" i="15"/>
  <c r="O27" i="15"/>
  <c r="F27" i="15"/>
  <c r="Q27" i="15" s="1"/>
  <c r="G27" i="15"/>
  <c r="R27" i="15"/>
  <c r="H27" i="15"/>
  <c r="P27" i="15"/>
  <c r="M26" i="15"/>
  <c r="L26" i="15"/>
  <c r="J23" i="2"/>
  <c r="K23" i="2"/>
  <c r="O24" i="2"/>
  <c r="G24" i="2"/>
  <c r="B25" i="2"/>
  <c r="H24" i="2"/>
  <c r="F24" i="2"/>
  <c r="Q24" i="2" s="1"/>
  <c r="D24" i="2"/>
  <c r="E24" i="2"/>
  <c r="P24" i="2"/>
  <c r="R24" i="2"/>
  <c r="M23" i="2"/>
  <c r="L23" i="2"/>
  <c r="I24" i="2" l="1"/>
  <c r="N24" i="2"/>
  <c r="I27" i="15"/>
  <c r="N27" i="15"/>
  <c r="AB44" i="2"/>
  <c r="AC44" i="2"/>
  <c r="AD44" i="2"/>
  <c r="AE44" i="2"/>
  <c r="W45" i="2"/>
  <c r="X45" i="2"/>
  <c r="U46" i="2"/>
  <c r="Z45" i="2"/>
  <c r="Y45" i="2"/>
  <c r="AA45" i="2"/>
  <c r="X46" i="15"/>
  <c r="Z46" i="15"/>
  <c r="AA46" i="15"/>
  <c r="W46" i="15"/>
  <c r="U47" i="15"/>
  <c r="Y46" i="15"/>
  <c r="AD45" i="15"/>
  <c r="AE45" i="15"/>
  <c r="AC45" i="15"/>
  <c r="AB45" i="15"/>
  <c r="D28" i="15"/>
  <c r="E28" i="15"/>
  <c r="H28" i="15"/>
  <c r="G28" i="15"/>
  <c r="F28" i="15"/>
  <c r="Q28" i="15" s="1"/>
  <c r="R28" i="15"/>
  <c r="P28" i="15"/>
  <c r="O28" i="15"/>
  <c r="K27" i="15"/>
  <c r="J27" i="15"/>
  <c r="M27" i="15"/>
  <c r="L27" i="15"/>
  <c r="K24" i="2"/>
  <c r="J24" i="2"/>
  <c r="M24" i="2"/>
  <c r="L24" i="2"/>
  <c r="B26" i="2"/>
  <c r="G25" i="2"/>
  <c r="H25" i="2"/>
  <c r="F25" i="2"/>
  <c r="Q25" i="2" s="1"/>
  <c r="O25" i="2"/>
  <c r="E25" i="2"/>
  <c r="R25" i="2"/>
  <c r="P25" i="2"/>
  <c r="D25" i="2"/>
  <c r="I25" i="2" l="1"/>
  <c r="N25" i="2"/>
  <c r="I28" i="15"/>
  <c r="N28" i="15"/>
  <c r="X46" i="2"/>
  <c r="W46" i="2"/>
  <c r="AA46" i="2"/>
  <c r="Y46" i="2"/>
  <c r="U47" i="2"/>
  <c r="Z46" i="2"/>
  <c r="AC45" i="2"/>
  <c r="AB45" i="2"/>
  <c r="AE45" i="2"/>
  <c r="AD45" i="2"/>
  <c r="X47" i="15"/>
  <c r="Z47" i="15"/>
  <c r="W47" i="15"/>
  <c r="U48" i="15"/>
  <c r="AA47" i="15"/>
  <c r="Y47" i="15"/>
  <c r="AC46" i="15"/>
  <c r="AB46" i="15"/>
  <c r="AE46" i="15"/>
  <c r="AD46" i="15"/>
  <c r="L28" i="15"/>
  <c r="M28" i="15"/>
  <c r="R29" i="15"/>
  <c r="D29" i="15"/>
  <c r="G29" i="15"/>
  <c r="P29" i="15"/>
  <c r="F29" i="15"/>
  <c r="Q29" i="15" s="1"/>
  <c r="H29" i="15"/>
  <c r="E29" i="15"/>
  <c r="O29" i="15"/>
  <c r="K28" i="15"/>
  <c r="J28" i="15"/>
  <c r="L25" i="2"/>
  <c r="M25" i="2"/>
  <c r="J25" i="2"/>
  <c r="K25" i="2"/>
  <c r="B27" i="2"/>
  <c r="O26" i="2"/>
  <c r="D26" i="2"/>
  <c r="G26" i="2"/>
  <c r="F26" i="2"/>
  <c r="Q26" i="2" s="1"/>
  <c r="H26" i="2"/>
  <c r="E26" i="2"/>
  <c r="R26" i="2"/>
  <c r="P26" i="2"/>
  <c r="I26" i="2" l="1"/>
  <c r="N26" i="2"/>
  <c r="I29" i="15"/>
  <c r="N29" i="15"/>
  <c r="Z47" i="2"/>
  <c r="W47" i="2"/>
  <c r="U48" i="2"/>
  <c r="X47" i="2"/>
  <c r="Y47" i="2"/>
  <c r="AA47" i="2"/>
  <c r="AE46" i="2"/>
  <c r="AD46" i="2"/>
  <c r="AB46" i="2"/>
  <c r="AC46" i="2"/>
  <c r="AE47" i="15"/>
  <c r="AD47" i="15"/>
  <c r="Z48" i="15"/>
  <c r="W48" i="15"/>
  <c r="U49" i="15"/>
  <c r="Y48" i="15"/>
  <c r="AA48" i="15"/>
  <c r="X48" i="15"/>
  <c r="AC47" i="15"/>
  <c r="AB47" i="15"/>
  <c r="K29" i="15"/>
  <c r="J29" i="15"/>
  <c r="R30" i="15"/>
  <c r="H30" i="15"/>
  <c r="G30" i="15"/>
  <c r="F30" i="15"/>
  <c r="Q30" i="15" s="1"/>
  <c r="D30" i="15"/>
  <c r="E30" i="15"/>
  <c r="P30" i="15"/>
  <c r="O30" i="15"/>
  <c r="L29" i="15"/>
  <c r="M29" i="15"/>
  <c r="M26" i="2"/>
  <c r="L26" i="2"/>
  <c r="J26" i="2"/>
  <c r="K26" i="2"/>
  <c r="O27" i="2"/>
  <c r="G27" i="2"/>
  <c r="B28" i="2"/>
  <c r="D27" i="2"/>
  <c r="H27" i="2"/>
  <c r="F27" i="2"/>
  <c r="Q27" i="2" s="1"/>
  <c r="E27" i="2"/>
  <c r="P27" i="2"/>
  <c r="R27" i="2"/>
  <c r="I27" i="2" l="1"/>
  <c r="N27" i="2"/>
  <c r="I30" i="15"/>
  <c r="N30" i="15"/>
  <c r="AD47" i="2"/>
  <c r="AE47" i="2"/>
  <c r="AC47" i="2"/>
  <c r="AB47" i="2"/>
  <c r="W48" i="2"/>
  <c r="Z48" i="2"/>
  <c r="U49" i="2"/>
  <c r="Y48" i="2"/>
  <c r="X48" i="2"/>
  <c r="AA48" i="2"/>
  <c r="AD48" i="15"/>
  <c r="AE48" i="15"/>
  <c r="Z49" i="15"/>
  <c r="AA49" i="15"/>
  <c r="W49" i="15"/>
  <c r="Y49" i="15"/>
  <c r="X49" i="15"/>
  <c r="U50" i="15"/>
  <c r="AC48" i="15"/>
  <c r="AB48" i="15"/>
  <c r="J30" i="15"/>
  <c r="K30" i="15"/>
  <c r="R31" i="15"/>
  <c r="H31" i="15"/>
  <c r="P31" i="15"/>
  <c r="G31" i="15"/>
  <c r="E31" i="15"/>
  <c r="O31" i="15"/>
  <c r="D31" i="15"/>
  <c r="F31" i="15"/>
  <c r="Q31" i="15" s="1"/>
  <c r="M30" i="15"/>
  <c r="L30" i="15"/>
  <c r="M27" i="2"/>
  <c r="L27" i="2"/>
  <c r="J27" i="2"/>
  <c r="K27" i="2"/>
  <c r="B29" i="2"/>
  <c r="O28" i="2"/>
  <c r="H28" i="2"/>
  <c r="D28" i="2"/>
  <c r="G28" i="2"/>
  <c r="F28" i="2"/>
  <c r="Q28" i="2" s="1"/>
  <c r="E28" i="2"/>
  <c r="P28" i="2"/>
  <c r="R28" i="2"/>
  <c r="I28" i="2" l="1"/>
  <c r="N28" i="2"/>
  <c r="I31" i="15"/>
  <c r="N31" i="15"/>
  <c r="AA49" i="2"/>
  <c r="Z49" i="2"/>
  <c r="Y49" i="2"/>
  <c r="W49" i="2"/>
  <c r="X49" i="2"/>
  <c r="U50" i="2"/>
  <c r="AB48" i="2"/>
  <c r="AC48" i="2"/>
  <c r="AE48" i="2"/>
  <c r="AD48" i="2"/>
  <c r="AC49" i="15"/>
  <c r="AB49" i="15"/>
  <c r="AD49" i="15"/>
  <c r="AE49" i="15"/>
  <c r="X50" i="15"/>
  <c r="W50" i="15"/>
  <c r="Y50" i="15"/>
  <c r="AA50" i="15"/>
  <c r="U51" i="15"/>
  <c r="Z50" i="15"/>
  <c r="M31" i="15"/>
  <c r="L31" i="15"/>
  <c r="H32" i="15"/>
  <c r="P32" i="15"/>
  <c r="G32" i="15"/>
  <c r="O32" i="15"/>
  <c r="F32" i="15"/>
  <c r="Q32" i="15" s="1"/>
  <c r="R32" i="15"/>
  <c r="D32" i="15"/>
  <c r="E32" i="15"/>
  <c r="J31" i="15"/>
  <c r="K31" i="15"/>
  <c r="J28" i="2"/>
  <c r="K28" i="2"/>
  <c r="M28" i="2"/>
  <c r="L28" i="2"/>
  <c r="B30" i="2"/>
  <c r="G29" i="2"/>
  <c r="O29" i="2"/>
  <c r="H29" i="2"/>
  <c r="D29" i="2"/>
  <c r="F29" i="2"/>
  <c r="Q29" i="2" s="1"/>
  <c r="P29" i="2"/>
  <c r="E29" i="2"/>
  <c r="R29" i="2"/>
  <c r="I29" i="2" l="1"/>
  <c r="N29" i="2"/>
  <c r="I32" i="15"/>
  <c r="N32" i="15"/>
  <c r="X50" i="2"/>
  <c r="Z50" i="2"/>
  <c r="U51" i="2"/>
  <c r="Y50" i="2"/>
  <c r="AA50" i="2"/>
  <c r="W50" i="2"/>
  <c r="AC49" i="2"/>
  <c r="AB49" i="2"/>
  <c r="AD49" i="2"/>
  <c r="AE49" i="2"/>
  <c r="AE50" i="15"/>
  <c r="AD50" i="15"/>
  <c r="AC50" i="15"/>
  <c r="AB50" i="15"/>
  <c r="X51" i="15"/>
  <c r="U52" i="15"/>
  <c r="Z51" i="15"/>
  <c r="W51" i="15"/>
  <c r="Y51" i="15"/>
  <c r="AA51" i="15"/>
  <c r="M32" i="15"/>
  <c r="L32" i="15"/>
  <c r="P33" i="15"/>
  <c r="G33" i="15"/>
  <c r="O33" i="15"/>
  <c r="F33" i="15"/>
  <c r="Q33" i="15" s="1"/>
  <c r="E33" i="15"/>
  <c r="H33" i="15"/>
  <c r="R33" i="15"/>
  <c r="D33" i="15"/>
  <c r="J32" i="15"/>
  <c r="K32" i="15"/>
  <c r="B31" i="2"/>
  <c r="D30" i="2"/>
  <c r="H30" i="2"/>
  <c r="F30" i="2"/>
  <c r="Q30" i="2" s="1"/>
  <c r="E30" i="2"/>
  <c r="G30" i="2"/>
  <c r="P30" i="2"/>
  <c r="R30" i="2"/>
  <c r="O30" i="2"/>
  <c r="J29" i="2"/>
  <c r="K29" i="2"/>
  <c r="M29" i="2"/>
  <c r="L29" i="2"/>
  <c r="I30" i="2" l="1"/>
  <c r="N30" i="2"/>
  <c r="I33" i="15"/>
  <c r="N33" i="15"/>
  <c r="Z51" i="2"/>
  <c r="AA51" i="2"/>
  <c r="W51" i="2"/>
  <c r="U52" i="2"/>
  <c r="X51" i="2"/>
  <c r="Y51" i="2"/>
  <c r="AB50" i="2"/>
  <c r="AC50" i="2"/>
  <c r="AE50" i="2"/>
  <c r="AD50" i="2"/>
  <c r="AB51" i="15"/>
  <c r="AC51" i="15"/>
  <c r="W52" i="15"/>
  <c r="X52" i="15"/>
  <c r="Z52" i="15"/>
  <c r="U53" i="15"/>
  <c r="AA52" i="15"/>
  <c r="Y52" i="15"/>
  <c r="AE51" i="15"/>
  <c r="AD51" i="15"/>
  <c r="M33" i="15"/>
  <c r="L33" i="15"/>
  <c r="K33" i="15"/>
  <c r="J33" i="15"/>
  <c r="O34" i="15"/>
  <c r="F34" i="15"/>
  <c r="Q34" i="15" s="1"/>
  <c r="E34" i="15"/>
  <c r="D34" i="15"/>
  <c r="P34" i="15"/>
  <c r="G34" i="15"/>
  <c r="R34" i="15"/>
  <c r="H34" i="15"/>
  <c r="M30" i="2"/>
  <c r="L30" i="2"/>
  <c r="J30" i="2"/>
  <c r="K30" i="2"/>
  <c r="O31" i="2"/>
  <c r="B32" i="2"/>
  <c r="D31" i="2"/>
  <c r="H31" i="2"/>
  <c r="G31" i="2"/>
  <c r="E31" i="2"/>
  <c r="F31" i="2"/>
  <c r="Q31" i="2" s="1"/>
  <c r="P31" i="2"/>
  <c r="R31" i="2"/>
  <c r="I31" i="2" l="1"/>
  <c r="N31" i="2"/>
  <c r="I34" i="15"/>
  <c r="N34" i="15"/>
  <c r="Y52" i="2"/>
  <c r="W52" i="2"/>
  <c r="U53" i="2"/>
  <c r="Z52" i="2"/>
  <c r="X52" i="2"/>
  <c r="AA52" i="2"/>
  <c r="AC51" i="2"/>
  <c r="AB51" i="2"/>
  <c r="AD51" i="2"/>
  <c r="AE51" i="2"/>
  <c r="AD52" i="15"/>
  <c r="AE52" i="15"/>
  <c r="Y53" i="15"/>
  <c r="Z53" i="15"/>
  <c r="X53" i="15"/>
  <c r="W53" i="15"/>
  <c r="AA53" i="15"/>
  <c r="U54" i="15"/>
  <c r="AB52" i="15"/>
  <c r="AC52" i="15"/>
  <c r="E35" i="15"/>
  <c r="D35" i="15"/>
  <c r="O35" i="15"/>
  <c r="F35" i="15"/>
  <c r="Q35" i="15" s="1"/>
  <c r="R35" i="15"/>
  <c r="P35" i="15"/>
  <c r="G35" i="15"/>
  <c r="H35" i="15"/>
  <c r="K34" i="15"/>
  <c r="J34" i="15"/>
  <c r="M34" i="15"/>
  <c r="L34" i="15"/>
  <c r="M31" i="2"/>
  <c r="L31" i="2"/>
  <c r="J31" i="2"/>
  <c r="K31" i="2"/>
  <c r="O32" i="2"/>
  <c r="G32" i="2"/>
  <c r="B33" i="2"/>
  <c r="F32" i="2"/>
  <c r="Q32" i="2" s="1"/>
  <c r="H32" i="2"/>
  <c r="R32" i="2"/>
  <c r="P32" i="2"/>
  <c r="D32" i="2"/>
  <c r="E32" i="2"/>
  <c r="I32" i="2" l="1"/>
  <c r="N32" i="2"/>
  <c r="I35" i="15"/>
  <c r="N35" i="15"/>
  <c r="AB52" i="2"/>
  <c r="AC52" i="2"/>
  <c r="AD52" i="2"/>
  <c r="AE52" i="2"/>
  <c r="Y53" i="2"/>
  <c r="W53" i="2"/>
  <c r="AA53" i="2"/>
  <c r="X53" i="2"/>
  <c r="U54" i="2"/>
  <c r="Z53" i="2"/>
  <c r="AE53" i="15"/>
  <c r="AD53" i="15"/>
  <c r="AB53" i="15"/>
  <c r="AC53" i="15"/>
  <c r="AA54" i="15"/>
  <c r="U55" i="15"/>
  <c r="X54" i="15"/>
  <c r="Y54" i="15"/>
  <c r="Z54" i="15"/>
  <c r="W54" i="15"/>
  <c r="M35" i="15"/>
  <c r="L35" i="15"/>
  <c r="D36" i="15"/>
  <c r="E36" i="15"/>
  <c r="H36" i="15"/>
  <c r="G36" i="15"/>
  <c r="P36" i="15"/>
  <c r="F36" i="15"/>
  <c r="Q36" i="15" s="1"/>
  <c r="R36" i="15"/>
  <c r="O36" i="15"/>
  <c r="K35" i="15"/>
  <c r="J35" i="15"/>
  <c r="K32" i="2"/>
  <c r="J32" i="2"/>
  <c r="M32" i="2"/>
  <c r="L32" i="2"/>
  <c r="G33" i="2"/>
  <c r="B34" i="2"/>
  <c r="H33" i="2"/>
  <c r="O33" i="2"/>
  <c r="F33" i="2"/>
  <c r="Q33" i="2" s="1"/>
  <c r="E33" i="2"/>
  <c r="D33" i="2"/>
  <c r="P33" i="2"/>
  <c r="R33" i="2"/>
  <c r="I33" i="2" l="1"/>
  <c r="N33" i="2"/>
  <c r="I36" i="15"/>
  <c r="N36" i="15"/>
  <c r="AD53" i="2"/>
  <c r="AE53" i="2"/>
  <c r="AC53" i="2"/>
  <c r="AB53" i="2"/>
  <c r="AA54" i="2"/>
  <c r="U55" i="2"/>
  <c r="Z54" i="2"/>
  <c r="X54" i="2"/>
  <c r="Y54" i="2"/>
  <c r="W54" i="2"/>
  <c r="AA55" i="15"/>
  <c r="Y55" i="15"/>
  <c r="Z55" i="15"/>
  <c r="W55" i="15"/>
  <c r="X55" i="15"/>
  <c r="U56" i="15"/>
  <c r="AD54" i="15"/>
  <c r="AE54" i="15"/>
  <c r="AC54" i="15"/>
  <c r="AB54" i="15"/>
  <c r="L36" i="15"/>
  <c r="M36" i="15"/>
  <c r="R37" i="15"/>
  <c r="D37" i="15"/>
  <c r="P37" i="15"/>
  <c r="G37" i="15"/>
  <c r="O37" i="15"/>
  <c r="F37" i="15"/>
  <c r="Q37" i="15" s="1"/>
  <c r="E37" i="15"/>
  <c r="H37" i="15"/>
  <c r="K36" i="15"/>
  <c r="J36" i="15"/>
  <c r="M33" i="2"/>
  <c r="L33" i="2"/>
  <c r="B35" i="2"/>
  <c r="O34" i="2"/>
  <c r="G34" i="2"/>
  <c r="D34" i="2"/>
  <c r="H34" i="2"/>
  <c r="F34" i="2"/>
  <c r="Q34" i="2" s="1"/>
  <c r="R34" i="2"/>
  <c r="P34" i="2"/>
  <c r="E34" i="2"/>
  <c r="J33" i="2"/>
  <c r="K33" i="2"/>
  <c r="I34" i="2" l="1"/>
  <c r="N34" i="2"/>
  <c r="I37" i="15"/>
  <c r="N37" i="15"/>
  <c r="X55" i="2"/>
  <c r="W55" i="2"/>
  <c r="Y55" i="2"/>
  <c r="U56" i="2"/>
  <c r="AA55" i="2"/>
  <c r="Z55" i="2"/>
  <c r="AC54" i="2"/>
  <c r="AB54" i="2"/>
  <c r="AD54" i="2"/>
  <c r="AE54" i="2"/>
  <c r="W56" i="15"/>
  <c r="X56" i="15"/>
  <c r="Y56" i="15"/>
  <c r="U57" i="15"/>
  <c r="Z56" i="15"/>
  <c r="AA56" i="15"/>
  <c r="AB55" i="15"/>
  <c r="AC55" i="15"/>
  <c r="AE55" i="15"/>
  <c r="AD55" i="15"/>
  <c r="K37" i="15"/>
  <c r="J37" i="15"/>
  <c r="L37" i="15"/>
  <c r="M37" i="15"/>
  <c r="R38" i="15"/>
  <c r="H38" i="15"/>
  <c r="G38" i="15"/>
  <c r="O38" i="15"/>
  <c r="D38" i="15"/>
  <c r="P38" i="15"/>
  <c r="F38" i="15"/>
  <c r="Q38" i="15" s="1"/>
  <c r="E38" i="15"/>
  <c r="O35" i="2"/>
  <c r="G35" i="2"/>
  <c r="B36" i="2"/>
  <c r="D35" i="2"/>
  <c r="F35" i="2"/>
  <c r="Q35" i="2" s="1"/>
  <c r="H35" i="2"/>
  <c r="E35" i="2"/>
  <c r="R35" i="2"/>
  <c r="P35" i="2"/>
  <c r="M34" i="2"/>
  <c r="L34" i="2"/>
  <c r="J34" i="2"/>
  <c r="K34" i="2"/>
  <c r="I35" i="2" l="1"/>
  <c r="N35" i="2"/>
  <c r="I38" i="15"/>
  <c r="N38" i="15"/>
  <c r="AE55" i="2"/>
  <c r="AD55" i="2"/>
  <c r="W56" i="2"/>
  <c r="Z56" i="2"/>
  <c r="X56" i="2"/>
  <c r="U57" i="2"/>
  <c r="Y56" i="2"/>
  <c r="AA56" i="2"/>
  <c r="AB55" i="2"/>
  <c r="AC55" i="2"/>
  <c r="Y57" i="15"/>
  <c r="Z57" i="15"/>
  <c r="X57" i="15"/>
  <c r="AA57" i="15"/>
  <c r="U58" i="15"/>
  <c r="W57" i="15"/>
  <c r="AD56" i="15"/>
  <c r="AE56" i="15"/>
  <c r="AC56" i="15"/>
  <c r="AB56" i="15"/>
  <c r="R39" i="15"/>
  <c r="H39" i="15"/>
  <c r="P39" i="15"/>
  <c r="G39" i="15"/>
  <c r="D39" i="15"/>
  <c r="F39" i="15"/>
  <c r="Q39" i="15" s="1"/>
  <c r="E39" i="15"/>
  <c r="O39" i="15"/>
  <c r="M38" i="15"/>
  <c r="L38" i="15"/>
  <c r="J38" i="15"/>
  <c r="K38" i="15"/>
  <c r="M35" i="2"/>
  <c r="L35" i="2"/>
  <c r="J35" i="2"/>
  <c r="K35" i="2"/>
  <c r="B37" i="2"/>
  <c r="O36" i="2"/>
  <c r="G36" i="2"/>
  <c r="H36" i="2"/>
  <c r="D36" i="2"/>
  <c r="F36" i="2"/>
  <c r="Q36" i="2" s="1"/>
  <c r="E36" i="2"/>
  <c r="R36" i="2"/>
  <c r="P36" i="2"/>
  <c r="I36" i="2" l="1"/>
  <c r="N36" i="2"/>
  <c r="I39" i="15"/>
  <c r="N39" i="15"/>
  <c r="AD56" i="2"/>
  <c r="AE56" i="2"/>
  <c r="Y57" i="2"/>
  <c r="AA57" i="2"/>
  <c r="W57" i="2"/>
  <c r="Z57" i="2"/>
  <c r="U58" i="2"/>
  <c r="X57" i="2"/>
  <c r="AC56" i="2"/>
  <c r="AB56" i="2"/>
  <c r="AC57" i="15"/>
  <c r="AB57" i="15"/>
  <c r="AA58" i="15"/>
  <c r="U59" i="15"/>
  <c r="Y58" i="15"/>
  <c r="Z58" i="15"/>
  <c r="W58" i="15"/>
  <c r="X58" i="15"/>
  <c r="AD57" i="15"/>
  <c r="AE57" i="15"/>
  <c r="H40" i="15"/>
  <c r="P40" i="15"/>
  <c r="G40" i="15"/>
  <c r="O40" i="15"/>
  <c r="F40" i="15"/>
  <c r="Q40" i="15" s="1"/>
  <c r="R40" i="15"/>
  <c r="D40" i="15"/>
  <c r="E40" i="15"/>
  <c r="J39" i="15"/>
  <c r="K39" i="15"/>
  <c r="M39" i="15"/>
  <c r="L39" i="15"/>
  <c r="B38" i="2"/>
  <c r="G37" i="2"/>
  <c r="O37" i="2"/>
  <c r="H37" i="2"/>
  <c r="D37" i="2"/>
  <c r="P37" i="2"/>
  <c r="E37" i="2"/>
  <c r="F37" i="2"/>
  <c r="Q37" i="2" s="1"/>
  <c r="R37" i="2"/>
  <c r="J36" i="2"/>
  <c r="K36" i="2"/>
  <c r="M36" i="2"/>
  <c r="L36" i="2"/>
  <c r="I37" i="2" l="1"/>
  <c r="N37" i="2"/>
  <c r="I40" i="15"/>
  <c r="N40" i="15"/>
  <c r="AA58" i="2"/>
  <c r="U59" i="2"/>
  <c r="X58" i="2"/>
  <c r="Y58" i="2"/>
  <c r="Z58" i="2"/>
  <c r="W58" i="2"/>
  <c r="AD57" i="2"/>
  <c r="AE57" i="2"/>
  <c r="AB57" i="2"/>
  <c r="AC57" i="2"/>
  <c r="Y59" i="15"/>
  <c r="U60" i="15"/>
  <c r="Z59" i="15"/>
  <c r="AA59" i="15"/>
  <c r="W59" i="15"/>
  <c r="X59" i="15"/>
  <c r="AB58" i="15"/>
  <c r="AC58" i="15"/>
  <c r="AE58" i="15"/>
  <c r="AD58" i="15"/>
  <c r="P41" i="15"/>
  <c r="G41" i="15"/>
  <c r="O41" i="15"/>
  <c r="F41" i="15"/>
  <c r="Q41" i="15" s="1"/>
  <c r="E41" i="15"/>
  <c r="H41" i="15"/>
  <c r="R41" i="15"/>
  <c r="D41" i="15"/>
  <c r="K40" i="15"/>
  <c r="J40" i="15"/>
  <c r="M40" i="15"/>
  <c r="L40" i="15"/>
  <c r="J37" i="2"/>
  <c r="K37" i="2"/>
  <c r="M37" i="2"/>
  <c r="L37" i="2"/>
  <c r="B39" i="2"/>
  <c r="O38" i="2"/>
  <c r="H38" i="2"/>
  <c r="D38" i="2"/>
  <c r="E38" i="2"/>
  <c r="G38" i="2"/>
  <c r="R38" i="2"/>
  <c r="F38" i="2"/>
  <c r="Q38" i="2" s="1"/>
  <c r="P38" i="2"/>
  <c r="I38" i="2" l="1"/>
  <c r="N38" i="2"/>
  <c r="I41" i="15"/>
  <c r="N41" i="15"/>
  <c r="AC58" i="2"/>
  <c r="AB58" i="2"/>
  <c r="X59" i="2"/>
  <c r="Y59" i="2"/>
  <c r="U60" i="2"/>
  <c r="W59" i="2"/>
  <c r="Z59" i="2"/>
  <c r="AA59" i="2"/>
  <c r="AD58" i="2"/>
  <c r="AE58" i="2"/>
  <c r="AB59" i="15"/>
  <c r="AC59" i="15"/>
  <c r="AE59" i="15"/>
  <c r="AD59" i="15"/>
  <c r="W60" i="15"/>
  <c r="X60" i="15"/>
  <c r="Z60" i="15"/>
  <c r="AA60" i="15"/>
  <c r="Y60" i="15"/>
  <c r="U61" i="15"/>
  <c r="K41" i="15"/>
  <c r="J41" i="15"/>
  <c r="M41" i="15"/>
  <c r="L41" i="15"/>
  <c r="O42" i="15"/>
  <c r="F42" i="15"/>
  <c r="Q42" i="15" s="1"/>
  <c r="E42" i="15"/>
  <c r="D42" i="15"/>
  <c r="P42" i="15"/>
  <c r="G42" i="15"/>
  <c r="R42" i="15"/>
  <c r="H42" i="15"/>
  <c r="J38" i="2"/>
  <c r="K38" i="2"/>
  <c r="M38" i="2"/>
  <c r="L38" i="2"/>
  <c r="O39" i="2"/>
  <c r="B40" i="2"/>
  <c r="H39" i="2"/>
  <c r="D39" i="2"/>
  <c r="G39" i="2"/>
  <c r="E39" i="2"/>
  <c r="P39" i="2"/>
  <c r="R39" i="2"/>
  <c r="F39" i="2"/>
  <c r="Q39" i="2" s="1"/>
  <c r="I39" i="2" l="1"/>
  <c r="N39" i="2"/>
  <c r="I42" i="15"/>
  <c r="N42" i="15"/>
  <c r="W60" i="2"/>
  <c r="Z60" i="2"/>
  <c r="X60" i="2"/>
  <c r="AA60" i="2"/>
  <c r="U61" i="2"/>
  <c r="Y60" i="2"/>
  <c r="AB59" i="2"/>
  <c r="AC59" i="2"/>
  <c r="AE59" i="2"/>
  <c r="AD59" i="2"/>
  <c r="AC60" i="15"/>
  <c r="AB60" i="15"/>
  <c r="Y61" i="15"/>
  <c r="Z61" i="15"/>
  <c r="AA61" i="15"/>
  <c r="X61" i="15"/>
  <c r="U62" i="15"/>
  <c r="W61" i="15"/>
  <c r="AD60" i="15"/>
  <c r="AE60" i="15"/>
  <c r="J42" i="15"/>
  <c r="K42" i="15"/>
  <c r="M42" i="15"/>
  <c r="L42" i="15"/>
  <c r="E43" i="15"/>
  <c r="D43" i="15"/>
  <c r="O43" i="15"/>
  <c r="F43" i="15"/>
  <c r="Q43" i="15" s="1"/>
  <c r="G43" i="15"/>
  <c r="R43" i="15"/>
  <c r="H43" i="15"/>
  <c r="P43" i="15"/>
  <c r="J39" i="2"/>
  <c r="K39" i="2"/>
  <c r="M39" i="2"/>
  <c r="L39" i="2"/>
  <c r="O40" i="2"/>
  <c r="B41" i="2"/>
  <c r="G40" i="2"/>
  <c r="H40" i="2"/>
  <c r="D40" i="2"/>
  <c r="F40" i="2"/>
  <c r="Q40" i="2" s="1"/>
  <c r="E40" i="2"/>
  <c r="P40" i="2"/>
  <c r="R40" i="2"/>
  <c r="I40" i="2" l="1"/>
  <c r="N40" i="2"/>
  <c r="I43" i="15"/>
  <c r="N43" i="15"/>
  <c r="Y61" i="2"/>
  <c r="X61" i="2"/>
  <c r="U62" i="2"/>
  <c r="Z61" i="2"/>
  <c r="W61" i="2"/>
  <c r="AA61" i="2"/>
  <c r="AD60" i="2"/>
  <c r="AE60" i="2"/>
  <c r="AB60" i="2"/>
  <c r="AC60" i="2"/>
  <c r="AE61" i="15"/>
  <c r="AD61" i="15"/>
  <c r="AA62" i="15"/>
  <c r="U63" i="15"/>
  <c r="Y62" i="15"/>
  <c r="Z62" i="15"/>
  <c r="W62" i="15"/>
  <c r="X62" i="15"/>
  <c r="AB61" i="15"/>
  <c r="AC61" i="15"/>
  <c r="D44" i="15"/>
  <c r="E44" i="15"/>
  <c r="H44" i="15"/>
  <c r="P44" i="15"/>
  <c r="G44" i="15"/>
  <c r="O44" i="15"/>
  <c r="F44" i="15"/>
  <c r="Q44" i="15" s="1"/>
  <c r="R44" i="15"/>
  <c r="K43" i="15"/>
  <c r="J43" i="15"/>
  <c r="M43" i="15"/>
  <c r="L43" i="15"/>
  <c r="K40" i="2"/>
  <c r="J40" i="2"/>
  <c r="L40" i="2"/>
  <c r="M40" i="2"/>
  <c r="H41" i="2"/>
  <c r="O41" i="2"/>
  <c r="G41" i="2"/>
  <c r="D41" i="2"/>
  <c r="F41" i="2"/>
  <c r="Q41" i="2" s="1"/>
  <c r="E41" i="2"/>
  <c r="P41" i="2"/>
  <c r="R41" i="2"/>
  <c r="B42" i="2"/>
  <c r="I41" i="2" l="1"/>
  <c r="N41" i="2"/>
  <c r="I44" i="15"/>
  <c r="N44" i="15"/>
  <c r="AB61" i="2"/>
  <c r="AC61" i="2"/>
  <c r="AA62" i="2"/>
  <c r="U63" i="2"/>
  <c r="W62" i="2"/>
  <c r="Y62" i="2"/>
  <c r="Z62" i="2"/>
  <c r="X62" i="2"/>
  <c r="AD61" i="2"/>
  <c r="AE61" i="2"/>
  <c r="AC62" i="15"/>
  <c r="AB62" i="15"/>
  <c r="W63" i="15"/>
  <c r="Z63" i="15"/>
  <c r="AA63" i="15"/>
  <c r="X63" i="15"/>
  <c r="Y63" i="15"/>
  <c r="U64" i="15"/>
  <c r="AE62" i="15"/>
  <c r="AD62" i="15"/>
  <c r="L44" i="15"/>
  <c r="M44" i="15"/>
  <c r="R45" i="15"/>
  <c r="D45" i="15"/>
  <c r="H45" i="15"/>
  <c r="G45" i="15"/>
  <c r="E45" i="15"/>
  <c r="F45" i="15"/>
  <c r="Q45" i="15" s="1"/>
  <c r="P45" i="15"/>
  <c r="O45" i="15"/>
  <c r="K44" i="15"/>
  <c r="J44" i="15"/>
  <c r="B43" i="2"/>
  <c r="O42" i="2"/>
  <c r="G42" i="2"/>
  <c r="D42" i="2"/>
  <c r="F42" i="2"/>
  <c r="Q42" i="2" s="1"/>
  <c r="P42" i="2"/>
  <c r="H42" i="2"/>
  <c r="E42" i="2"/>
  <c r="R42" i="2"/>
  <c r="J41" i="2"/>
  <c r="K41" i="2"/>
  <c r="M41" i="2"/>
  <c r="L41" i="2"/>
  <c r="I42" i="2" l="1"/>
  <c r="N42" i="2"/>
  <c r="I45" i="15"/>
  <c r="N45" i="15"/>
  <c r="AC62" i="2"/>
  <c r="AB62" i="2"/>
  <c r="X63" i="2"/>
  <c r="Y63" i="2"/>
  <c r="AA63" i="2"/>
  <c r="U64" i="2"/>
  <c r="Z63" i="2"/>
  <c r="W63" i="2"/>
  <c r="AE62" i="2"/>
  <c r="AD62" i="2"/>
  <c r="AE63" i="15"/>
  <c r="AD63" i="15"/>
  <c r="AB63" i="15"/>
  <c r="AC63" i="15"/>
  <c r="X64" i="15"/>
  <c r="Z64" i="15"/>
  <c r="AA64" i="15"/>
  <c r="W64" i="15"/>
  <c r="U65" i="15"/>
  <c r="Y64" i="15"/>
  <c r="L45" i="15"/>
  <c r="M45" i="15"/>
  <c r="K45" i="15"/>
  <c r="J45" i="15"/>
  <c r="R46" i="15"/>
  <c r="H46" i="15"/>
  <c r="P46" i="15"/>
  <c r="F46" i="15"/>
  <c r="Q46" i="15" s="1"/>
  <c r="E46" i="15"/>
  <c r="D46" i="15"/>
  <c r="O46" i="15"/>
  <c r="G46" i="15"/>
  <c r="M42" i="2"/>
  <c r="L42" i="2"/>
  <c r="J42" i="2"/>
  <c r="K42" i="2"/>
  <c r="O43" i="2"/>
  <c r="G43" i="2"/>
  <c r="B44" i="2"/>
  <c r="H43" i="2"/>
  <c r="D43" i="2"/>
  <c r="F43" i="2"/>
  <c r="Q43" i="2" s="1"/>
  <c r="P43" i="2"/>
  <c r="E43" i="2"/>
  <c r="R43" i="2"/>
  <c r="I43" i="2" l="1"/>
  <c r="N43" i="2"/>
  <c r="I46" i="15"/>
  <c r="N46" i="15"/>
  <c r="W64" i="2"/>
  <c r="Z64" i="2"/>
  <c r="Y64" i="2"/>
  <c r="AA64" i="2"/>
  <c r="X64" i="2"/>
  <c r="U65" i="2"/>
  <c r="AE63" i="2"/>
  <c r="AD63" i="2"/>
  <c r="AB63" i="2"/>
  <c r="AC63" i="2"/>
  <c r="AC64" i="15"/>
  <c r="AB64" i="15"/>
  <c r="AD64" i="15"/>
  <c r="AE64" i="15"/>
  <c r="Y65" i="15"/>
  <c r="W65" i="15"/>
  <c r="X65" i="15"/>
  <c r="U66" i="15"/>
  <c r="AA65" i="15"/>
  <c r="Z65" i="15"/>
  <c r="R47" i="15"/>
  <c r="H47" i="15"/>
  <c r="P47" i="15"/>
  <c r="G47" i="15"/>
  <c r="F47" i="15"/>
  <c r="Q47" i="15" s="1"/>
  <c r="E47" i="15"/>
  <c r="D47" i="15"/>
  <c r="O47" i="15"/>
  <c r="M46" i="15"/>
  <c r="L46" i="15"/>
  <c r="J46" i="15"/>
  <c r="K46" i="15"/>
  <c r="J43" i="2"/>
  <c r="K43" i="2"/>
  <c r="M43" i="2"/>
  <c r="L43" i="2"/>
  <c r="B45" i="2"/>
  <c r="O44" i="2"/>
  <c r="G44" i="2"/>
  <c r="H44" i="2"/>
  <c r="F44" i="2"/>
  <c r="Q44" i="2" s="1"/>
  <c r="D44" i="2"/>
  <c r="E44" i="2"/>
  <c r="P44" i="2"/>
  <c r="R44" i="2"/>
  <c r="I44" i="2" l="1"/>
  <c r="N44" i="2"/>
  <c r="I47" i="15"/>
  <c r="N47" i="15"/>
  <c r="W65" i="2"/>
  <c r="Y65" i="2"/>
  <c r="AA65" i="2"/>
  <c r="Z65" i="2"/>
  <c r="X65" i="2"/>
  <c r="U66" i="2"/>
  <c r="AD64" i="2"/>
  <c r="AE64" i="2"/>
  <c r="AB64" i="2"/>
  <c r="AC64" i="2"/>
  <c r="AC65" i="15"/>
  <c r="AB65" i="15"/>
  <c r="AD65" i="15"/>
  <c r="AE65" i="15"/>
  <c r="X66" i="15"/>
  <c r="AA66" i="15"/>
  <c r="U67" i="15"/>
  <c r="W66" i="15"/>
  <c r="Y66" i="15"/>
  <c r="Z66" i="15"/>
  <c r="H48" i="15"/>
  <c r="P48" i="15"/>
  <c r="G48" i="15"/>
  <c r="O48" i="15"/>
  <c r="F48" i="15"/>
  <c r="Q48" i="15" s="1"/>
  <c r="R48" i="15"/>
  <c r="E48" i="15"/>
  <c r="D48" i="15"/>
  <c r="J47" i="15"/>
  <c r="K47" i="15"/>
  <c r="M47" i="15"/>
  <c r="L47" i="15"/>
  <c r="B46" i="2"/>
  <c r="G45" i="2"/>
  <c r="O45" i="2"/>
  <c r="H45" i="2"/>
  <c r="F45" i="2"/>
  <c r="Q45" i="2" s="1"/>
  <c r="P45" i="2"/>
  <c r="E45" i="2"/>
  <c r="D45" i="2"/>
  <c r="R45" i="2"/>
  <c r="K44" i="2"/>
  <c r="J44" i="2"/>
  <c r="M44" i="2"/>
  <c r="L44" i="2"/>
  <c r="I45" i="2" l="1"/>
  <c r="N45" i="2"/>
  <c r="I48" i="15"/>
  <c r="N48" i="15"/>
  <c r="Z66" i="2"/>
  <c r="U67" i="2"/>
  <c r="AA66" i="2"/>
  <c r="W66" i="2"/>
  <c r="Y66" i="2"/>
  <c r="X66" i="2"/>
  <c r="AD65" i="2"/>
  <c r="AE65" i="2"/>
  <c r="AB65" i="2"/>
  <c r="AC65" i="2"/>
  <c r="AC66" i="15"/>
  <c r="AB66" i="15"/>
  <c r="Z67" i="15"/>
  <c r="AA67" i="15"/>
  <c r="W67" i="15"/>
  <c r="Y67" i="15"/>
  <c r="U68" i="15"/>
  <c r="X67" i="15"/>
  <c r="AE66" i="15"/>
  <c r="AD66" i="15"/>
  <c r="P49" i="15"/>
  <c r="G49" i="15"/>
  <c r="O49" i="15"/>
  <c r="F49" i="15"/>
  <c r="Q49" i="15" s="1"/>
  <c r="E49" i="15"/>
  <c r="H49" i="15"/>
  <c r="D49" i="15"/>
  <c r="R49" i="15"/>
  <c r="K48" i="15"/>
  <c r="J48" i="15"/>
  <c r="M48" i="15"/>
  <c r="L48" i="15"/>
  <c r="M45" i="2"/>
  <c r="L45" i="2"/>
  <c r="O46" i="2"/>
  <c r="G46" i="2"/>
  <c r="D46" i="2"/>
  <c r="F46" i="2"/>
  <c r="Q46" i="2" s="1"/>
  <c r="B47" i="2"/>
  <c r="E46" i="2"/>
  <c r="H46" i="2"/>
  <c r="R46" i="2"/>
  <c r="P46" i="2"/>
  <c r="K45" i="2"/>
  <c r="J45" i="2"/>
  <c r="I46" i="2" l="1"/>
  <c r="N46" i="2"/>
  <c r="I49" i="15"/>
  <c r="N49" i="15"/>
  <c r="AC66" i="2"/>
  <c r="AB66" i="2"/>
  <c r="AD66" i="2"/>
  <c r="AE66" i="2"/>
  <c r="X67" i="2"/>
  <c r="Y67" i="2"/>
  <c r="U68" i="2"/>
  <c r="W67" i="2"/>
  <c r="Z67" i="2"/>
  <c r="AA67" i="2"/>
  <c r="W68" i="15"/>
  <c r="X68" i="15"/>
  <c r="Y68" i="15"/>
  <c r="U69" i="15"/>
  <c r="AA68" i="15"/>
  <c r="Z68" i="15"/>
  <c r="AB67" i="15"/>
  <c r="AC67" i="15"/>
  <c r="AD67" i="15"/>
  <c r="AE67" i="15"/>
  <c r="O50" i="15"/>
  <c r="F50" i="15"/>
  <c r="Q50" i="15" s="1"/>
  <c r="E50" i="15"/>
  <c r="D50" i="15"/>
  <c r="P50" i="15"/>
  <c r="G50" i="15"/>
  <c r="R50" i="15"/>
  <c r="H50" i="15"/>
  <c r="K49" i="15"/>
  <c r="J49" i="15"/>
  <c r="M49" i="15"/>
  <c r="L49" i="15"/>
  <c r="J46" i="2"/>
  <c r="K46" i="2"/>
  <c r="L46" i="2"/>
  <c r="M46" i="2"/>
  <c r="O47" i="2"/>
  <c r="B48" i="2"/>
  <c r="G47" i="2"/>
  <c r="H47" i="2"/>
  <c r="D47" i="2"/>
  <c r="E47" i="2"/>
  <c r="F47" i="2"/>
  <c r="Q47" i="2" s="1"/>
  <c r="R47" i="2"/>
  <c r="P47" i="2"/>
  <c r="I47" i="2" l="1"/>
  <c r="N47" i="2"/>
  <c r="I50" i="15"/>
  <c r="N50" i="15"/>
  <c r="AC67" i="2"/>
  <c r="AB67" i="2"/>
  <c r="Z68" i="2"/>
  <c r="Y68" i="2"/>
  <c r="U69" i="2"/>
  <c r="AA68" i="2"/>
  <c r="X68" i="2"/>
  <c r="W68" i="2"/>
  <c r="AE67" i="2"/>
  <c r="AD67" i="2"/>
  <c r="AD68" i="15"/>
  <c r="AE68" i="15"/>
  <c r="Y69" i="15"/>
  <c r="X69" i="15"/>
  <c r="U70" i="15"/>
  <c r="AA69" i="15"/>
  <c r="Z69" i="15"/>
  <c r="W69" i="15"/>
  <c r="AC68" i="15"/>
  <c r="AB68" i="15"/>
  <c r="E51" i="15"/>
  <c r="D51" i="15"/>
  <c r="O51" i="15"/>
  <c r="F51" i="15"/>
  <c r="Q51" i="15" s="1"/>
  <c r="R51" i="15"/>
  <c r="H51" i="15"/>
  <c r="G51" i="15"/>
  <c r="P51" i="15"/>
  <c r="K50" i="15"/>
  <c r="J50" i="15"/>
  <c r="M50" i="15"/>
  <c r="L50" i="15"/>
  <c r="J47" i="2"/>
  <c r="K47" i="2"/>
  <c r="M47" i="2"/>
  <c r="L47" i="2"/>
  <c r="O48" i="2"/>
  <c r="B49" i="2"/>
  <c r="G48" i="2"/>
  <c r="H48" i="2"/>
  <c r="D48" i="2"/>
  <c r="F48" i="2"/>
  <c r="Q48" i="2" s="1"/>
  <c r="E48" i="2"/>
  <c r="R48" i="2"/>
  <c r="P48" i="2"/>
  <c r="I48" i="2" l="1"/>
  <c r="N48" i="2"/>
  <c r="I51" i="15"/>
  <c r="N51" i="15"/>
  <c r="AD68" i="2"/>
  <c r="AE68" i="2"/>
  <c r="X69" i="2"/>
  <c r="U70" i="2"/>
  <c r="Y69" i="2"/>
  <c r="W69" i="2"/>
  <c r="Z69" i="2"/>
  <c r="AA69" i="2"/>
  <c r="AB68" i="2"/>
  <c r="AC68" i="2"/>
  <c r="AD69" i="15"/>
  <c r="AE69" i="15"/>
  <c r="X70" i="15"/>
  <c r="AA70" i="15"/>
  <c r="U71" i="15"/>
  <c r="W70" i="15"/>
  <c r="Z70" i="15"/>
  <c r="Y70" i="15"/>
  <c r="AC69" i="15"/>
  <c r="AB69" i="15"/>
  <c r="M51" i="15"/>
  <c r="L51" i="15"/>
  <c r="D52" i="15"/>
  <c r="E52" i="15"/>
  <c r="O52" i="15"/>
  <c r="P52" i="15"/>
  <c r="F52" i="15"/>
  <c r="Q52" i="15" s="1"/>
  <c r="R52" i="15"/>
  <c r="H52" i="15"/>
  <c r="G52" i="15"/>
  <c r="K51" i="15"/>
  <c r="J51" i="15"/>
  <c r="J48" i="2"/>
  <c r="K48" i="2"/>
  <c r="M48" i="2"/>
  <c r="L48" i="2"/>
  <c r="O49" i="2"/>
  <c r="H49" i="2"/>
  <c r="G49" i="2"/>
  <c r="D49" i="2"/>
  <c r="B50" i="2"/>
  <c r="E49" i="2"/>
  <c r="F49" i="2"/>
  <c r="Q49" i="2" s="1"/>
  <c r="R49" i="2"/>
  <c r="P49" i="2"/>
  <c r="I49" i="2" l="1"/>
  <c r="N49" i="2"/>
  <c r="I52" i="15"/>
  <c r="N52" i="15"/>
  <c r="AC69" i="2"/>
  <c r="AB69" i="2"/>
  <c r="Y70" i="2"/>
  <c r="Z70" i="2"/>
  <c r="U71" i="2"/>
  <c r="X70" i="2"/>
  <c r="AA70" i="2"/>
  <c r="W70" i="2"/>
  <c r="AD69" i="2"/>
  <c r="AE69" i="2"/>
  <c r="Z71" i="15"/>
  <c r="X71" i="15"/>
  <c r="U72" i="15"/>
  <c r="Y71" i="15"/>
  <c r="AA71" i="15"/>
  <c r="W71" i="15"/>
  <c r="AB70" i="15"/>
  <c r="AC70" i="15"/>
  <c r="AE70" i="15"/>
  <c r="AD70" i="15"/>
  <c r="R53" i="15"/>
  <c r="D53" i="15"/>
  <c r="P53" i="15"/>
  <c r="H53" i="15"/>
  <c r="F53" i="15"/>
  <c r="Q53" i="15" s="1"/>
  <c r="O53" i="15"/>
  <c r="G53" i="15"/>
  <c r="E53" i="15"/>
  <c r="K52" i="15"/>
  <c r="J52" i="15"/>
  <c r="L52" i="15"/>
  <c r="M52" i="15"/>
  <c r="B51" i="2"/>
  <c r="O50" i="2"/>
  <c r="D50" i="2"/>
  <c r="F50" i="2"/>
  <c r="Q50" i="2" s="1"/>
  <c r="G50" i="2"/>
  <c r="H50" i="2"/>
  <c r="E50" i="2"/>
  <c r="P50" i="2"/>
  <c r="R50" i="2"/>
  <c r="J49" i="2"/>
  <c r="K49" i="2"/>
  <c r="M49" i="2"/>
  <c r="L49" i="2"/>
  <c r="I50" i="2" l="1"/>
  <c r="N50" i="2"/>
  <c r="I53" i="15"/>
  <c r="N53" i="15"/>
  <c r="AE70" i="2"/>
  <c r="AD70" i="2"/>
  <c r="X71" i="2"/>
  <c r="W71" i="2"/>
  <c r="Y71" i="2"/>
  <c r="U72" i="2"/>
  <c r="AA71" i="2"/>
  <c r="Z71" i="2"/>
  <c r="AC70" i="2"/>
  <c r="AB70" i="2"/>
  <c r="AB71" i="15"/>
  <c r="AC71" i="15"/>
  <c r="AE71" i="15"/>
  <c r="AD71" i="15"/>
  <c r="W72" i="15"/>
  <c r="Y72" i="15"/>
  <c r="U73" i="15"/>
  <c r="Z72" i="15"/>
  <c r="X72" i="15"/>
  <c r="AA72" i="15"/>
  <c r="L53" i="15"/>
  <c r="M53" i="15"/>
  <c r="K53" i="15"/>
  <c r="J53" i="15"/>
  <c r="R54" i="15"/>
  <c r="H54" i="15"/>
  <c r="P54" i="15"/>
  <c r="G54" i="15"/>
  <c r="E54" i="15"/>
  <c r="O54" i="15"/>
  <c r="F54" i="15"/>
  <c r="Q54" i="15" s="1"/>
  <c r="D54" i="15"/>
  <c r="M50" i="2"/>
  <c r="L50" i="2"/>
  <c r="J50" i="2"/>
  <c r="K50" i="2"/>
  <c r="O51" i="2"/>
  <c r="B52" i="2"/>
  <c r="G51" i="2"/>
  <c r="D51" i="2"/>
  <c r="F51" i="2"/>
  <c r="Q51" i="2" s="1"/>
  <c r="H51" i="2"/>
  <c r="E51" i="2"/>
  <c r="P51" i="2"/>
  <c r="R51" i="2"/>
  <c r="I51" i="2" l="1"/>
  <c r="N51" i="2"/>
  <c r="I54" i="15"/>
  <c r="N54" i="15"/>
  <c r="AE71" i="2"/>
  <c r="AD71" i="2"/>
  <c r="AB71" i="2"/>
  <c r="AC71" i="2"/>
  <c r="Z72" i="2"/>
  <c r="X72" i="2"/>
  <c r="Y72" i="2"/>
  <c r="U73" i="2"/>
  <c r="AA72" i="2"/>
  <c r="W72" i="2"/>
  <c r="Y73" i="15"/>
  <c r="W73" i="15"/>
  <c r="X73" i="15"/>
  <c r="AA73" i="15"/>
  <c r="Z73" i="15"/>
  <c r="U74" i="15"/>
  <c r="AC72" i="15"/>
  <c r="AB72" i="15"/>
  <c r="AD72" i="15"/>
  <c r="AE72" i="15"/>
  <c r="M54" i="15"/>
  <c r="L54" i="15"/>
  <c r="J54" i="15"/>
  <c r="K54" i="15"/>
  <c r="R55" i="15"/>
  <c r="H55" i="15"/>
  <c r="P55" i="15"/>
  <c r="G55" i="15"/>
  <c r="O55" i="15"/>
  <c r="E55" i="15"/>
  <c r="F55" i="15"/>
  <c r="Q55" i="15" s="1"/>
  <c r="D55" i="15"/>
  <c r="M51" i="2"/>
  <c r="L51" i="2"/>
  <c r="J51" i="2"/>
  <c r="K51" i="2"/>
  <c r="B53" i="2"/>
  <c r="O52" i="2"/>
  <c r="H52" i="2"/>
  <c r="F52" i="2"/>
  <c r="Q52" i="2" s="1"/>
  <c r="G52" i="2"/>
  <c r="E52" i="2"/>
  <c r="P52" i="2"/>
  <c r="D52" i="2"/>
  <c r="R52" i="2"/>
  <c r="I52" i="2" l="1"/>
  <c r="N52" i="2"/>
  <c r="I55" i="15"/>
  <c r="N55" i="15"/>
  <c r="AB72" i="2"/>
  <c r="AC72" i="2"/>
  <c r="AE72" i="2"/>
  <c r="AD72" i="2"/>
  <c r="W73" i="2"/>
  <c r="X73" i="2"/>
  <c r="Z73" i="2"/>
  <c r="AA73" i="2"/>
  <c r="U74" i="2"/>
  <c r="Y73" i="2"/>
  <c r="X74" i="15"/>
  <c r="AA74" i="15"/>
  <c r="U75" i="15"/>
  <c r="Y74" i="15"/>
  <c r="Z74" i="15"/>
  <c r="W74" i="15"/>
  <c r="AE73" i="15"/>
  <c r="AD73" i="15"/>
  <c r="AC73" i="15"/>
  <c r="AB73" i="15"/>
  <c r="M55" i="15"/>
  <c r="L55" i="15"/>
  <c r="J55" i="15"/>
  <c r="K55" i="15"/>
  <c r="H56" i="15"/>
  <c r="P56" i="15"/>
  <c r="G56" i="15"/>
  <c r="O56" i="15"/>
  <c r="F56" i="15"/>
  <c r="Q56" i="15" s="1"/>
  <c r="R56" i="15"/>
  <c r="E56" i="15"/>
  <c r="D56" i="15"/>
  <c r="B54" i="2"/>
  <c r="G53" i="2"/>
  <c r="O53" i="2"/>
  <c r="H53" i="2"/>
  <c r="F53" i="2"/>
  <c r="Q53" i="2" s="1"/>
  <c r="P53" i="2"/>
  <c r="D53" i="2"/>
  <c r="E53" i="2"/>
  <c r="R53" i="2"/>
  <c r="J52" i="2"/>
  <c r="K52" i="2"/>
  <c r="M52" i="2"/>
  <c r="L52" i="2"/>
  <c r="I53" i="2" l="1"/>
  <c r="N53" i="2"/>
  <c r="I56" i="15"/>
  <c r="N56" i="15"/>
  <c r="AB73" i="2"/>
  <c r="AC73" i="2"/>
  <c r="X74" i="2"/>
  <c r="Y74" i="2"/>
  <c r="AA74" i="2"/>
  <c r="U75" i="2"/>
  <c r="W74" i="2"/>
  <c r="Z74" i="2"/>
  <c r="AE73" i="2"/>
  <c r="AD73" i="2"/>
  <c r="AB74" i="15"/>
  <c r="AC74" i="15"/>
  <c r="Z75" i="15"/>
  <c r="W75" i="15"/>
  <c r="Y75" i="15"/>
  <c r="U76" i="15"/>
  <c r="X75" i="15"/>
  <c r="AA75" i="15"/>
  <c r="AE74" i="15"/>
  <c r="AD74" i="15"/>
  <c r="J56" i="15"/>
  <c r="K56" i="15"/>
  <c r="P57" i="15"/>
  <c r="G57" i="15"/>
  <c r="O57" i="15"/>
  <c r="F57" i="15"/>
  <c r="Q57" i="15" s="1"/>
  <c r="E57" i="15"/>
  <c r="H57" i="15"/>
  <c r="D57" i="15"/>
  <c r="R57" i="15"/>
  <c r="M56" i="15"/>
  <c r="L56" i="15"/>
  <c r="M53" i="2"/>
  <c r="L53" i="2"/>
  <c r="J53" i="2"/>
  <c r="K53" i="2"/>
  <c r="O54" i="2"/>
  <c r="B55" i="2"/>
  <c r="G54" i="2"/>
  <c r="D54" i="2"/>
  <c r="H54" i="2"/>
  <c r="E54" i="2"/>
  <c r="F54" i="2"/>
  <c r="Q54" i="2" s="1"/>
  <c r="P54" i="2"/>
  <c r="R54" i="2"/>
  <c r="I54" i="2" l="1"/>
  <c r="N54" i="2"/>
  <c r="I57" i="15"/>
  <c r="N57" i="15"/>
  <c r="AC74" i="2"/>
  <c r="AB74" i="2"/>
  <c r="AE74" i="2"/>
  <c r="AD74" i="2"/>
  <c r="X75" i="2"/>
  <c r="Y75" i="2"/>
  <c r="Z75" i="2"/>
  <c r="W75" i="2"/>
  <c r="AA75" i="2"/>
  <c r="U76" i="2"/>
  <c r="W76" i="15"/>
  <c r="X76" i="15"/>
  <c r="Y76" i="15"/>
  <c r="Z76" i="15"/>
  <c r="AA76" i="15"/>
  <c r="U77" i="15"/>
  <c r="AB75" i="15"/>
  <c r="AC75" i="15"/>
  <c r="AE75" i="15"/>
  <c r="AD75" i="15"/>
  <c r="O58" i="15"/>
  <c r="F58" i="15"/>
  <c r="Q58" i="15" s="1"/>
  <c r="E58" i="15"/>
  <c r="D58" i="15"/>
  <c r="P58" i="15"/>
  <c r="G58" i="15"/>
  <c r="H58" i="15"/>
  <c r="R58" i="15"/>
  <c r="K57" i="15"/>
  <c r="J57" i="15"/>
  <c r="M57" i="15"/>
  <c r="L57" i="15"/>
  <c r="M54" i="2"/>
  <c r="L54" i="2"/>
  <c r="J54" i="2"/>
  <c r="K54" i="2"/>
  <c r="B56" i="2"/>
  <c r="G55" i="2"/>
  <c r="O55" i="2"/>
  <c r="D55" i="2"/>
  <c r="E55" i="2"/>
  <c r="F55" i="2"/>
  <c r="Q55" i="2" s="1"/>
  <c r="H55" i="2"/>
  <c r="P55" i="2"/>
  <c r="R55" i="2"/>
  <c r="I55" i="2" l="1"/>
  <c r="N55" i="2"/>
  <c r="I58" i="15"/>
  <c r="N58" i="15"/>
  <c r="AB75" i="2"/>
  <c r="AC75" i="2"/>
  <c r="Z76" i="2"/>
  <c r="W76" i="2"/>
  <c r="AA76" i="2"/>
  <c r="U77" i="2"/>
  <c r="Y76" i="2"/>
  <c r="X76" i="2"/>
  <c r="AE75" i="2"/>
  <c r="AD75" i="2"/>
  <c r="AB76" i="15"/>
  <c r="AC76" i="15"/>
  <c r="AD76" i="15"/>
  <c r="AE76" i="15"/>
  <c r="Y77" i="15"/>
  <c r="Z77" i="15"/>
  <c r="AA77" i="15"/>
  <c r="U78" i="15"/>
  <c r="W77" i="15"/>
  <c r="X77" i="15"/>
  <c r="E59" i="15"/>
  <c r="D59" i="15"/>
  <c r="O59" i="15"/>
  <c r="F59" i="15"/>
  <c r="Q59" i="15" s="1"/>
  <c r="G59" i="15"/>
  <c r="H59" i="15"/>
  <c r="P59" i="15"/>
  <c r="R59" i="15"/>
  <c r="K58" i="15"/>
  <c r="J58" i="15"/>
  <c r="M58" i="15"/>
  <c r="L58" i="15"/>
  <c r="J55" i="2"/>
  <c r="K55" i="2"/>
  <c r="M55" i="2"/>
  <c r="L55" i="2"/>
  <c r="O56" i="2"/>
  <c r="B57" i="2"/>
  <c r="G56" i="2"/>
  <c r="H56" i="2"/>
  <c r="D56" i="2"/>
  <c r="R56" i="2"/>
  <c r="E56" i="2"/>
  <c r="P56" i="2"/>
  <c r="F56" i="2"/>
  <c r="Q56" i="2" s="1"/>
  <c r="I56" i="2" l="1"/>
  <c r="N56" i="2"/>
  <c r="I59" i="15"/>
  <c r="N59" i="15"/>
  <c r="AE76" i="2"/>
  <c r="AD76" i="2"/>
  <c r="AB76" i="2"/>
  <c r="AC76" i="2"/>
  <c r="AA77" i="2"/>
  <c r="X77" i="2"/>
  <c r="U78" i="2"/>
  <c r="W77" i="2"/>
  <c r="Z77" i="2"/>
  <c r="Y77" i="2"/>
  <c r="X78" i="15"/>
  <c r="AA78" i="15"/>
  <c r="U79" i="15"/>
  <c r="W78" i="15"/>
  <c r="Z78" i="15"/>
  <c r="Y78" i="15"/>
  <c r="AE77" i="15"/>
  <c r="AD77" i="15"/>
  <c r="AC77" i="15"/>
  <c r="AB77" i="15"/>
  <c r="M59" i="15"/>
  <c r="L59" i="15"/>
  <c r="D60" i="15"/>
  <c r="E60" i="15"/>
  <c r="H60" i="15"/>
  <c r="R60" i="15"/>
  <c r="G60" i="15"/>
  <c r="F60" i="15"/>
  <c r="Q60" i="15" s="1"/>
  <c r="P60" i="15"/>
  <c r="O60" i="15"/>
  <c r="K59" i="15"/>
  <c r="J59" i="15"/>
  <c r="K56" i="2"/>
  <c r="J56" i="2"/>
  <c r="M56" i="2"/>
  <c r="L56" i="2"/>
  <c r="O57" i="2"/>
  <c r="G57" i="2"/>
  <c r="H57" i="2"/>
  <c r="B58" i="2"/>
  <c r="E57" i="2"/>
  <c r="D57" i="2"/>
  <c r="F57" i="2"/>
  <c r="Q57" i="2" s="1"/>
  <c r="R57" i="2"/>
  <c r="P57" i="2"/>
  <c r="I57" i="2" l="1"/>
  <c r="N57" i="2"/>
  <c r="I60" i="15"/>
  <c r="N60" i="15"/>
  <c r="W78" i="2"/>
  <c r="Z78" i="2"/>
  <c r="U79" i="2"/>
  <c r="X78" i="2"/>
  <c r="AA78" i="2"/>
  <c r="Y78" i="2"/>
  <c r="AD77" i="2"/>
  <c r="AE77" i="2"/>
  <c r="AC77" i="2"/>
  <c r="AB77" i="2"/>
  <c r="AB78" i="15"/>
  <c r="AC78" i="15"/>
  <c r="Z79" i="15"/>
  <c r="W79" i="15"/>
  <c r="X79" i="15"/>
  <c r="Y79" i="15"/>
  <c r="AA79" i="15"/>
  <c r="U80" i="15"/>
  <c r="AE78" i="15"/>
  <c r="AD78" i="15"/>
  <c r="K60" i="15"/>
  <c r="J60" i="15"/>
  <c r="L60" i="15"/>
  <c r="M60" i="15"/>
  <c r="R61" i="15"/>
  <c r="D61" i="15"/>
  <c r="H61" i="15"/>
  <c r="G61" i="15"/>
  <c r="E61" i="15"/>
  <c r="O61" i="15"/>
  <c r="F61" i="15"/>
  <c r="Q61" i="15" s="1"/>
  <c r="P61" i="15"/>
  <c r="B59" i="2"/>
  <c r="O58" i="2"/>
  <c r="D58" i="2"/>
  <c r="F58" i="2"/>
  <c r="Q58" i="2" s="1"/>
  <c r="G58" i="2"/>
  <c r="H58" i="2"/>
  <c r="R58" i="2"/>
  <c r="P58" i="2"/>
  <c r="E58" i="2"/>
  <c r="M57" i="2"/>
  <c r="L57" i="2"/>
  <c r="J57" i="2"/>
  <c r="K57" i="2"/>
  <c r="I58" i="2" l="1"/>
  <c r="N58" i="2"/>
  <c r="I61" i="15"/>
  <c r="N61" i="15"/>
  <c r="AE78" i="2"/>
  <c r="AD78" i="2"/>
  <c r="X79" i="2"/>
  <c r="AA79" i="2"/>
  <c r="Z79" i="2"/>
  <c r="W79" i="2"/>
  <c r="Y79" i="2"/>
  <c r="U80" i="2"/>
  <c r="AC78" i="2"/>
  <c r="AB78" i="2"/>
  <c r="AD79" i="15"/>
  <c r="AE79" i="15"/>
  <c r="AB79" i="15"/>
  <c r="AC79" i="15"/>
  <c r="W80" i="15"/>
  <c r="Z80" i="15"/>
  <c r="AA80" i="15"/>
  <c r="Y80" i="15"/>
  <c r="U81" i="15"/>
  <c r="X80" i="15"/>
  <c r="L61" i="15"/>
  <c r="M61" i="15"/>
  <c r="K61" i="15"/>
  <c r="J61" i="15"/>
  <c r="R62" i="15"/>
  <c r="H62" i="15"/>
  <c r="G62" i="15"/>
  <c r="F62" i="15"/>
  <c r="Q62" i="15" s="1"/>
  <c r="E62" i="15"/>
  <c r="P62" i="15"/>
  <c r="D62" i="15"/>
  <c r="O62" i="15"/>
  <c r="O59" i="2"/>
  <c r="G59" i="2"/>
  <c r="B60" i="2"/>
  <c r="D59" i="2"/>
  <c r="H59" i="2"/>
  <c r="F59" i="2"/>
  <c r="Q59" i="2" s="1"/>
  <c r="P59" i="2"/>
  <c r="R59" i="2"/>
  <c r="E59" i="2"/>
  <c r="M58" i="2"/>
  <c r="L58" i="2"/>
  <c r="J58" i="2"/>
  <c r="K58" i="2"/>
  <c r="I59" i="2" l="1"/>
  <c r="N59" i="2"/>
  <c r="I62" i="15"/>
  <c r="N62" i="15"/>
  <c r="AC79" i="2"/>
  <c r="AB79" i="2"/>
  <c r="AE79" i="2"/>
  <c r="AD79" i="2"/>
  <c r="Z80" i="2"/>
  <c r="Y80" i="2"/>
  <c r="U81" i="2"/>
  <c r="X80" i="2"/>
  <c r="AA80" i="2"/>
  <c r="W80" i="2"/>
  <c r="AD80" i="15"/>
  <c r="AE80" i="15"/>
  <c r="AC80" i="15"/>
  <c r="AB80" i="15"/>
  <c r="Y81" i="15"/>
  <c r="W81" i="15"/>
  <c r="X81" i="15"/>
  <c r="AA81" i="15"/>
  <c r="U82" i="15"/>
  <c r="Z81" i="15"/>
  <c r="L62" i="15"/>
  <c r="M62" i="15"/>
  <c r="J62" i="15"/>
  <c r="K62" i="15"/>
  <c r="R63" i="15"/>
  <c r="H63" i="15"/>
  <c r="P63" i="15"/>
  <c r="G63" i="15"/>
  <c r="F63" i="15"/>
  <c r="Q63" i="15" s="1"/>
  <c r="E63" i="15"/>
  <c r="D63" i="15"/>
  <c r="O63" i="15"/>
  <c r="M59" i="2"/>
  <c r="L59" i="2"/>
  <c r="J59" i="2"/>
  <c r="K59" i="2"/>
  <c r="B61" i="2"/>
  <c r="O60" i="2"/>
  <c r="F60" i="2"/>
  <c r="Q60" i="2" s="1"/>
  <c r="G60" i="2"/>
  <c r="D60" i="2"/>
  <c r="E60" i="2"/>
  <c r="H60" i="2"/>
  <c r="P60" i="2"/>
  <c r="R60" i="2"/>
  <c r="I60" i="2" l="1"/>
  <c r="N60" i="2"/>
  <c r="I63" i="15"/>
  <c r="N63" i="15"/>
  <c r="Z81" i="2"/>
  <c r="U82" i="2"/>
  <c r="W81" i="2"/>
  <c r="Y81" i="2"/>
  <c r="AA81" i="2"/>
  <c r="X81" i="2"/>
  <c r="AB80" i="2"/>
  <c r="AC80" i="2"/>
  <c r="AD80" i="2"/>
  <c r="AE80" i="2"/>
  <c r="AC81" i="15"/>
  <c r="AB81" i="15"/>
  <c r="X82" i="15"/>
  <c r="U83" i="15"/>
  <c r="Y82" i="15"/>
  <c r="W82" i="15"/>
  <c r="Z82" i="15"/>
  <c r="AA82" i="15"/>
  <c r="AD81" i="15"/>
  <c r="AE81" i="15"/>
  <c r="M63" i="15"/>
  <c r="L63" i="15"/>
  <c r="J63" i="15"/>
  <c r="K63" i="15"/>
  <c r="H64" i="15"/>
  <c r="P64" i="15"/>
  <c r="G64" i="15"/>
  <c r="O64" i="15"/>
  <c r="F64" i="15"/>
  <c r="Q64" i="15" s="1"/>
  <c r="R64" i="15"/>
  <c r="E64" i="15"/>
  <c r="D64" i="15"/>
  <c r="J60" i="2"/>
  <c r="K60" i="2"/>
  <c r="B62" i="2"/>
  <c r="O61" i="2"/>
  <c r="G61" i="2"/>
  <c r="H61" i="2"/>
  <c r="D61" i="2"/>
  <c r="F61" i="2"/>
  <c r="Q61" i="2" s="1"/>
  <c r="P61" i="2"/>
  <c r="E61" i="2"/>
  <c r="R61" i="2"/>
  <c r="M60" i="2"/>
  <c r="L60" i="2"/>
  <c r="I61" i="2" l="1"/>
  <c r="N61" i="2"/>
  <c r="I64" i="15"/>
  <c r="N64" i="15"/>
  <c r="AD81" i="2"/>
  <c r="AE81" i="2"/>
  <c r="AC81" i="2"/>
  <c r="AB81" i="2"/>
  <c r="Y82" i="2"/>
  <c r="X82" i="2"/>
  <c r="Z82" i="2"/>
  <c r="U83" i="2"/>
  <c r="W82" i="2"/>
  <c r="AA82" i="2"/>
  <c r="AB82" i="15"/>
  <c r="AC82" i="15"/>
  <c r="Z83" i="15"/>
  <c r="W83" i="15"/>
  <c r="X83" i="15"/>
  <c r="AA83" i="15"/>
  <c r="U84" i="15"/>
  <c r="Y83" i="15"/>
  <c r="AE82" i="15"/>
  <c r="AD82" i="15"/>
  <c r="M64" i="15"/>
  <c r="L64" i="15"/>
  <c r="P65" i="15"/>
  <c r="G65" i="15"/>
  <c r="O65" i="15"/>
  <c r="F65" i="15"/>
  <c r="Q65" i="15" s="1"/>
  <c r="E65" i="15"/>
  <c r="H65" i="15"/>
  <c r="D65" i="15"/>
  <c r="R65" i="15"/>
  <c r="K64" i="15"/>
  <c r="J64" i="15"/>
  <c r="M61" i="2"/>
  <c r="L61" i="2"/>
  <c r="O62" i="2"/>
  <c r="B63" i="2"/>
  <c r="G62" i="2"/>
  <c r="D62" i="2"/>
  <c r="H62" i="2"/>
  <c r="F62" i="2"/>
  <c r="Q62" i="2" s="1"/>
  <c r="E62" i="2"/>
  <c r="P62" i="2"/>
  <c r="R62" i="2"/>
  <c r="J61" i="2"/>
  <c r="K61" i="2"/>
  <c r="I62" i="2" l="1"/>
  <c r="N62" i="2"/>
  <c r="I65" i="15"/>
  <c r="N65" i="15"/>
  <c r="AD82" i="2"/>
  <c r="AE82" i="2"/>
  <c r="AC82" i="2"/>
  <c r="AB82" i="2"/>
  <c r="Y83" i="2"/>
  <c r="Z83" i="2"/>
  <c r="W83" i="2"/>
  <c r="AA83" i="2"/>
  <c r="X83" i="2"/>
  <c r="U84" i="2"/>
  <c r="AA84" i="15"/>
  <c r="W84" i="15"/>
  <c r="U85" i="15"/>
  <c r="Z84" i="15"/>
  <c r="X84" i="15"/>
  <c r="Y84" i="15"/>
  <c r="AE83" i="15"/>
  <c r="AD83" i="15"/>
  <c r="AC83" i="15"/>
  <c r="AB83" i="15"/>
  <c r="M65" i="15"/>
  <c r="L65" i="15"/>
  <c r="J65" i="15"/>
  <c r="K65" i="15"/>
  <c r="O66" i="15"/>
  <c r="F66" i="15"/>
  <c r="Q66" i="15" s="1"/>
  <c r="E66" i="15"/>
  <c r="D66" i="15"/>
  <c r="P66" i="15"/>
  <c r="G66" i="15"/>
  <c r="R66" i="15"/>
  <c r="H66" i="15"/>
  <c r="L62" i="2"/>
  <c r="M62" i="2"/>
  <c r="J62" i="2"/>
  <c r="K62" i="2"/>
  <c r="O63" i="2"/>
  <c r="G63" i="2"/>
  <c r="D63" i="2"/>
  <c r="B64" i="2"/>
  <c r="E63" i="2"/>
  <c r="F63" i="2"/>
  <c r="Q63" i="2" s="1"/>
  <c r="H63" i="2"/>
  <c r="P63" i="2"/>
  <c r="R63" i="2"/>
  <c r="I63" i="2" l="1"/>
  <c r="N63" i="2"/>
  <c r="I66" i="15"/>
  <c r="N66" i="15"/>
  <c r="AC83" i="2"/>
  <c r="AB83" i="2"/>
  <c r="AA84" i="2"/>
  <c r="U85" i="2"/>
  <c r="Z84" i="2"/>
  <c r="Y84" i="2"/>
  <c r="W84" i="2"/>
  <c r="X84" i="2"/>
  <c r="AE83" i="2"/>
  <c r="AD83" i="2"/>
  <c r="AB84" i="15"/>
  <c r="AC84" i="15"/>
  <c r="W85" i="15"/>
  <c r="X85" i="15"/>
  <c r="Z85" i="15"/>
  <c r="U86" i="15"/>
  <c r="Y85" i="15"/>
  <c r="AA85" i="15"/>
  <c r="AD84" i="15"/>
  <c r="AE84" i="15"/>
  <c r="K66" i="15"/>
  <c r="J66" i="15"/>
  <c r="M66" i="15"/>
  <c r="L66" i="15"/>
  <c r="E67" i="15"/>
  <c r="D67" i="15"/>
  <c r="O67" i="15"/>
  <c r="F67" i="15"/>
  <c r="Q67" i="15" s="1"/>
  <c r="P67" i="15"/>
  <c r="H67" i="15"/>
  <c r="R67" i="15"/>
  <c r="G67" i="15"/>
  <c r="O64" i="2"/>
  <c r="B65" i="2"/>
  <c r="G64" i="2"/>
  <c r="H64" i="2"/>
  <c r="F64" i="2"/>
  <c r="Q64" i="2" s="1"/>
  <c r="E64" i="2"/>
  <c r="R64" i="2"/>
  <c r="P64" i="2"/>
  <c r="D64" i="2"/>
  <c r="K63" i="2"/>
  <c r="J63" i="2"/>
  <c r="M63" i="2"/>
  <c r="L63" i="2"/>
  <c r="I64" i="2" l="1"/>
  <c r="N64" i="2"/>
  <c r="I67" i="15"/>
  <c r="N67" i="15"/>
  <c r="AC84" i="2"/>
  <c r="AB84" i="2"/>
  <c r="X85" i="2"/>
  <c r="W85" i="2"/>
  <c r="Z85" i="2"/>
  <c r="AA85" i="2"/>
  <c r="Y85" i="2"/>
  <c r="U86" i="2"/>
  <c r="AD84" i="2"/>
  <c r="AE84" i="2"/>
  <c r="AE85" i="15"/>
  <c r="AD85" i="15"/>
  <c r="X86" i="15"/>
  <c r="AA86" i="15"/>
  <c r="U87" i="15"/>
  <c r="W86" i="15"/>
  <c r="Y86" i="15"/>
  <c r="Z86" i="15"/>
  <c r="AC85" i="15"/>
  <c r="AB85" i="15"/>
  <c r="D68" i="15"/>
  <c r="E68" i="15"/>
  <c r="R68" i="15"/>
  <c r="O68" i="15"/>
  <c r="P68" i="15"/>
  <c r="H68" i="15"/>
  <c r="G68" i="15"/>
  <c r="F68" i="15"/>
  <c r="Q68" i="15" s="1"/>
  <c r="K67" i="15"/>
  <c r="J67" i="15"/>
  <c r="M67" i="15"/>
  <c r="L67" i="15"/>
  <c r="O65" i="2"/>
  <c r="B66" i="2"/>
  <c r="G65" i="2"/>
  <c r="H65" i="2"/>
  <c r="E65" i="2"/>
  <c r="R65" i="2"/>
  <c r="D65" i="2"/>
  <c r="P65" i="2"/>
  <c r="F65" i="2"/>
  <c r="Q65" i="2" s="1"/>
  <c r="K64" i="2"/>
  <c r="J64" i="2"/>
  <c r="M64" i="2"/>
  <c r="L64" i="2"/>
  <c r="I65" i="2" l="1"/>
  <c r="N65" i="2"/>
  <c r="I68" i="15"/>
  <c r="N68" i="15"/>
  <c r="AE85" i="2"/>
  <c r="AD85" i="2"/>
  <c r="AB85" i="2"/>
  <c r="AC85" i="2"/>
  <c r="W86" i="2"/>
  <c r="Z86" i="2"/>
  <c r="AA86" i="2"/>
  <c r="U87" i="2"/>
  <c r="Y86" i="2"/>
  <c r="X86" i="2"/>
  <c r="X87" i="15"/>
  <c r="W87" i="15"/>
  <c r="U88" i="15"/>
  <c r="Z87" i="15"/>
  <c r="Y87" i="15"/>
  <c r="AA87" i="15"/>
  <c r="AE86" i="15"/>
  <c r="AD86" i="15"/>
  <c r="AC86" i="15"/>
  <c r="AB86" i="15"/>
  <c r="L68" i="15"/>
  <c r="M68" i="15"/>
  <c r="K68" i="15"/>
  <c r="J68" i="15"/>
  <c r="R69" i="15"/>
  <c r="D69" i="15"/>
  <c r="H69" i="15"/>
  <c r="P69" i="15"/>
  <c r="G69" i="15"/>
  <c r="F69" i="15"/>
  <c r="Q69" i="15" s="1"/>
  <c r="O69" i="15"/>
  <c r="E69" i="15"/>
  <c r="K65" i="2"/>
  <c r="J65" i="2"/>
  <c r="M65" i="2"/>
  <c r="L65" i="2"/>
  <c r="B67" i="2"/>
  <c r="O66" i="2"/>
  <c r="G66" i="2"/>
  <c r="D66" i="2"/>
  <c r="H66" i="2"/>
  <c r="F66" i="2"/>
  <c r="Q66" i="2" s="1"/>
  <c r="E66" i="2"/>
  <c r="P66" i="2"/>
  <c r="R66" i="2"/>
  <c r="I66" i="2" l="1"/>
  <c r="N66" i="2"/>
  <c r="I69" i="15"/>
  <c r="N69" i="15"/>
  <c r="AC86" i="2"/>
  <c r="AB86" i="2"/>
  <c r="AD86" i="2"/>
  <c r="AE86" i="2"/>
  <c r="Y87" i="2"/>
  <c r="AA87" i="2"/>
  <c r="Z87" i="2"/>
  <c r="U88" i="2"/>
  <c r="W87" i="2"/>
  <c r="X87" i="2"/>
  <c r="AE87" i="15"/>
  <c r="AD87" i="15"/>
  <c r="W88" i="15"/>
  <c r="X88" i="15"/>
  <c r="Z88" i="15"/>
  <c r="U89" i="15"/>
  <c r="Y88" i="15"/>
  <c r="AA88" i="15"/>
  <c r="AB87" i="15"/>
  <c r="AC87" i="15"/>
  <c r="L69" i="15"/>
  <c r="M69" i="15"/>
  <c r="R70" i="15"/>
  <c r="H70" i="15"/>
  <c r="P70" i="15"/>
  <c r="O70" i="15"/>
  <c r="D70" i="15"/>
  <c r="G70" i="15"/>
  <c r="F70" i="15"/>
  <c r="Q70" i="15" s="1"/>
  <c r="E70" i="15"/>
  <c r="K69" i="15"/>
  <c r="J69" i="15"/>
  <c r="M66" i="2"/>
  <c r="L66" i="2"/>
  <c r="J66" i="2"/>
  <c r="K66" i="2"/>
  <c r="O67" i="2"/>
  <c r="G67" i="2"/>
  <c r="D67" i="2"/>
  <c r="H67" i="2"/>
  <c r="F67" i="2"/>
  <c r="Q67" i="2" s="1"/>
  <c r="P67" i="2"/>
  <c r="E67" i="2"/>
  <c r="R67" i="2"/>
  <c r="B68" i="2"/>
  <c r="I67" i="2" l="1"/>
  <c r="N67" i="2"/>
  <c r="I70" i="15"/>
  <c r="N70" i="15"/>
  <c r="AE87" i="2"/>
  <c r="AD87" i="2"/>
  <c r="AC87" i="2"/>
  <c r="AB87" i="2"/>
  <c r="AA88" i="2"/>
  <c r="U89" i="2"/>
  <c r="X88" i="2"/>
  <c r="Z88" i="2"/>
  <c r="W88" i="2"/>
  <c r="Y88" i="2"/>
  <c r="Y89" i="15"/>
  <c r="Z89" i="15"/>
  <c r="W89" i="15"/>
  <c r="X89" i="15"/>
  <c r="U90" i="15"/>
  <c r="AA89" i="15"/>
  <c r="AB88" i="15"/>
  <c r="AC88" i="15"/>
  <c r="AD88" i="15"/>
  <c r="AE88" i="15"/>
  <c r="J70" i="15"/>
  <c r="K70" i="15"/>
  <c r="R71" i="15"/>
  <c r="H71" i="15"/>
  <c r="P71" i="15"/>
  <c r="G71" i="15"/>
  <c r="O71" i="15"/>
  <c r="E71" i="15"/>
  <c r="D71" i="15"/>
  <c r="F71" i="15"/>
  <c r="Q71" i="15" s="1"/>
  <c r="M70" i="15"/>
  <c r="L70" i="15"/>
  <c r="B69" i="2"/>
  <c r="G68" i="2"/>
  <c r="O68" i="2"/>
  <c r="D68" i="2"/>
  <c r="H68" i="2"/>
  <c r="F68" i="2"/>
  <c r="Q68" i="2" s="1"/>
  <c r="E68" i="2"/>
  <c r="P68" i="2"/>
  <c r="R68" i="2"/>
  <c r="M67" i="2"/>
  <c r="L67" i="2"/>
  <c r="J67" i="2"/>
  <c r="K67" i="2"/>
  <c r="I68" i="2" l="1"/>
  <c r="N68" i="2"/>
  <c r="I71" i="15"/>
  <c r="N71" i="15"/>
  <c r="X89" i="2"/>
  <c r="W89" i="2"/>
  <c r="AA89" i="2"/>
  <c r="Y89" i="2"/>
  <c r="U90" i="2"/>
  <c r="Z89" i="2"/>
  <c r="AD88" i="2"/>
  <c r="AE88" i="2"/>
  <c r="AC88" i="2"/>
  <c r="AB88" i="2"/>
  <c r="AE89" i="15"/>
  <c r="AD89" i="15"/>
  <c r="AA90" i="15"/>
  <c r="U91" i="15"/>
  <c r="Z90" i="15"/>
  <c r="W90" i="15"/>
  <c r="X90" i="15"/>
  <c r="Y90" i="15"/>
  <c r="AB89" i="15"/>
  <c r="AC89" i="15"/>
  <c r="M71" i="15"/>
  <c r="L71" i="15"/>
  <c r="H72" i="15"/>
  <c r="P72" i="15"/>
  <c r="G72" i="15"/>
  <c r="O72" i="15"/>
  <c r="F72" i="15"/>
  <c r="Q72" i="15" s="1"/>
  <c r="R72" i="15"/>
  <c r="E72" i="15"/>
  <c r="D72" i="15"/>
  <c r="J71" i="15"/>
  <c r="K71" i="15"/>
  <c r="M68" i="2"/>
  <c r="L68" i="2"/>
  <c r="J68" i="2"/>
  <c r="K68" i="2"/>
  <c r="B70" i="2"/>
  <c r="O69" i="2"/>
  <c r="G69" i="2"/>
  <c r="H69" i="2"/>
  <c r="F69" i="2"/>
  <c r="Q69" i="2" s="1"/>
  <c r="D69" i="2"/>
  <c r="P69" i="2"/>
  <c r="E69" i="2"/>
  <c r="R69" i="2"/>
  <c r="I69" i="2" l="1"/>
  <c r="N69" i="2"/>
  <c r="I72" i="15"/>
  <c r="N72" i="15"/>
  <c r="W90" i="2"/>
  <c r="Z90" i="2"/>
  <c r="AA90" i="2"/>
  <c r="Y90" i="2"/>
  <c r="X90" i="2"/>
  <c r="U91" i="2"/>
  <c r="AE89" i="2"/>
  <c r="AD89" i="2"/>
  <c r="AB89" i="2"/>
  <c r="AC89" i="2"/>
  <c r="AC90" i="15"/>
  <c r="AB90" i="15"/>
  <c r="X91" i="15"/>
  <c r="Z91" i="15"/>
  <c r="AA91" i="15"/>
  <c r="U92" i="15"/>
  <c r="W91" i="15"/>
  <c r="Y91" i="15"/>
  <c r="AE90" i="15"/>
  <c r="AD90" i="15"/>
  <c r="P73" i="15"/>
  <c r="G73" i="15"/>
  <c r="O73" i="15"/>
  <c r="F73" i="15"/>
  <c r="Q73" i="15" s="1"/>
  <c r="E73" i="15"/>
  <c r="H73" i="15"/>
  <c r="D73" i="15"/>
  <c r="R73" i="15"/>
  <c r="M72" i="15"/>
  <c r="L72" i="15"/>
  <c r="J72" i="15"/>
  <c r="K72" i="15"/>
  <c r="M69" i="2"/>
  <c r="L69" i="2"/>
  <c r="O70" i="2"/>
  <c r="B71" i="2"/>
  <c r="H70" i="2"/>
  <c r="D70" i="2"/>
  <c r="G70" i="2"/>
  <c r="F70" i="2"/>
  <c r="Q70" i="2" s="1"/>
  <c r="E70" i="2"/>
  <c r="P70" i="2"/>
  <c r="R70" i="2"/>
  <c r="J69" i="2"/>
  <c r="K69" i="2"/>
  <c r="I70" i="2" l="1"/>
  <c r="N70" i="2"/>
  <c r="I73" i="15"/>
  <c r="N73" i="15"/>
  <c r="Y91" i="2"/>
  <c r="X91" i="2"/>
  <c r="U92" i="2"/>
  <c r="AA91" i="2"/>
  <c r="W91" i="2"/>
  <c r="Z91" i="2"/>
  <c r="AD90" i="2"/>
  <c r="AE90" i="2"/>
  <c r="AC90" i="2"/>
  <c r="AB90" i="2"/>
  <c r="AB91" i="15"/>
  <c r="AC91" i="15"/>
  <c r="W92" i="15"/>
  <c r="X92" i="15"/>
  <c r="Z92" i="15"/>
  <c r="Y92" i="15"/>
  <c r="AA92" i="15"/>
  <c r="U93" i="15"/>
  <c r="AE91" i="15"/>
  <c r="AD91" i="15"/>
  <c r="M73" i="15"/>
  <c r="L73" i="15"/>
  <c r="O74" i="15"/>
  <c r="F74" i="15"/>
  <c r="Q74" i="15" s="1"/>
  <c r="E74" i="15"/>
  <c r="D74" i="15"/>
  <c r="P74" i="15"/>
  <c r="G74" i="15"/>
  <c r="R74" i="15"/>
  <c r="H74" i="15"/>
  <c r="K73" i="15"/>
  <c r="J73" i="15"/>
  <c r="M70" i="2"/>
  <c r="L70" i="2"/>
  <c r="O71" i="2"/>
  <c r="B72" i="2"/>
  <c r="H71" i="2"/>
  <c r="D71" i="2"/>
  <c r="F71" i="2"/>
  <c r="Q71" i="2" s="1"/>
  <c r="G71" i="2"/>
  <c r="E71" i="2"/>
  <c r="P71" i="2"/>
  <c r="R71" i="2"/>
  <c r="J70" i="2"/>
  <c r="K70" i="2"/>
  <c r="I71" i="2" l="1"/>
  <c r="N71" i="2"/>
  <c r="I74" i="15"/>
  <c r="N74" i="15"/>
  <c r="AB91" i="2"/>
  <c r="AC91" i="2"/>
  <c r="AE91" i="2"/>
  <c r="AD91" i="2"/>
  <c r="AA92" i="2"/>
  <c r="U93" i="2"/>
  <c r="X92" i="2"/>
  <c r="Z92" i="2"/>
  <c r="W92" i="2"/>
  <c r="Y92" i="2"/>
  <c r="Z93" i="15"/>
  <c r="W93" i="15"/>
  <c r="Y93" i="15"/>
  <c r="AA93" i="15"/>
  <c r="X93" i="15"/>
  <c r="U94" i="15"/>
  <c r="AE92" i="15"/>
  <c r="AD92" i="15"/>
  <c r="AB92" i="15"/>
  <c r="AC92" i="15"/>
  <c r="K74" i="15"/>
  <c r="J74" i="15"/>
  <c r="M74" i="15"/>
  <c r="L74" i="15"/>
  <c r="E75" i="15"/>
  <c r="D75" i="15"/>
  <c r="O75" i="15"/>
  <c r="F75" i="15"/>
  <c r="Q75" i="15" s="1"/>
  <c r="G75" i="15"/>
  <c r="H75" i="15"/>
  <c r="P75" i="15"/>
  <c r="R75" i="15"/>
  <c r="J71" i="2"/>
  <c r="K71" i="2"/>
  <c r="M71" i="2"/>
  <c r="L71" i="2"/>
  <c r="O72" i="2"/>
  <c r="B73" i="2"/>
  <c r="G72" i="2"/>
  <c r="F72" i="2"/>
  <c r="Q72" i="2" s="1"/>
  <c r="E72" i="2"/>
  <c r="P72" i="2"/>
  <c r="R72" i="2"/>
  <c r="D72" i="2"/>
  <c r="H72" i="2"/>
  <c r="I72" i="2" l="1"/>
  <c r="N72" i="2"/>
  <c r="I75" i="15"/>
  <c r="N75" i="15"/>
  <c r="X93" i="2"/>
  <c r="AA93" i="2"/>
  <c r="Y93" i="2"/>
  <c r="W93" i="2"/>
  <c r="Z93" i="2"/>
  <c r="U94" i="2"/>
  <c r="AE92" i="2"/>
  <c r="AD92" i="2"/>
  <c r="AC92" i="2"/>
  <c r="AB92" i="2"/>
  <c r="W94" i="15"/>
  <c r="AA94" i="15"/>
  <c r="U95" i="15"/>
  <c r="X94" i="15"/>
  <c r="Y94" i="15"/>
  <c r="Z94" i="15"/>
  <c r="AE93" i="15"/>
  <c r="AD93" i="15"/>
  <c r="AB93" i="15"/>
  <c r="AC93" i="15"/>
  <c r="D76" i="15"/>
  <c r="E76" i="15"/>
  <c r="R76" i="15"/>
  <c r="H76" i="15"/>
  <c r="F76" i="15"/>
  <c r="Q76" i="15" s="1"/>
  <c r="G76" i="15"/>
  <c r="P76" i="15"/>
  <c r="O76" i="15"/>
  <c r="K75" i="15"/>
  <c r="J75" i="15"/>
  <c r="M75" i="15"/>
  <c r="L75" i="15"/>
  <c r="O73" i="2"/>
  <c r="B74" i="2"/>
  <c r="H73" i="2"/>
  <c r="G73" i="2"/>
  <c r="D73" i="2"/>
  <c r="E73" i="2"/>
  <c r="F73" i="2"/>
  <c r="Q73" i="2" s="1"/>
  <c r="P73" i="2"/>
  <c r="R73" i="2"/>
  <c r="M72" i="2"/>
  <c r="L72" i="2"/>
  <c r="K72" i="2"/>
  <c r="J72" i="2"/>
  <c r="I73" i="2" l="1"/>
  <c r="N73" i="2"/>
  <c r="I76" i="15"/>
  <c r="N76" i="15"/>
  <c r="AB93" i="2"/>
  <c r="AC93" i="2"/>
  <c r="W94" i="2"/>
  <c r="Z94" i="2"/>
  <c r="Y94" i="2"/>
  <c r="U95" i="2"/>
  <c r="X94" i="2"/>
  <c r="AA94" i="2"/>
  <c r="AE93" i="2"/>
  <c r="AD93" i="2"/>
  <c r="X95" i="15"/>
  <c r="Z95" i="15"/>
  <c r="AA95" i="15"/>
  <c r="Y95" i="15"/>
  <c r="U96" i="15"/>
  <c r="W95" i="15"/>
  <c r="AD94" i="15"/>
  <c r="AE94" i="15"/>
  <c r="AC94" i="15"/>
  <c r="AB94" i="15"/>
  <c r="L76" i="15"/>
  <c r="M76" i="15"/>
  <c r="R77" i="15"/>
  <c r="D77" i="15"/>
  <c r="H77" i="15"/>
  <c r="G77" i="15"/>
  <c r="P77" i="15"/>
  <c r="F77" i="15"/>
  <c r="Q77" i="15" s="1"/>
  <c r="E77" i="15"/>
  <c r="O77" i="15"/>
  <c r="K76" i="15"/>
  <c r="J76" i="15"/>
  <c r="J73" i="2"/>
  <c r="K73" i="2"/>
  <c r="M73" i="2"/>
  <c r="L73" i="2"/>
  <c r="B75" i="2"/>
  <c r="O74" i="2"/>
  <c r="G74" i="2"/>
  <c r="D74" i="2"/>
  <c r="F74" i="2"/>
  <c r="Q74" i="2" s="1"/>
  <c r="H74" i="2"/>
  <c r="E74" i="2"/>
  <c r="P74" i="2"/>
  <c r="R74" i="2"/>
  <c r="I74" i="2" l="1"/>
  <c r="N74" i="2"/>
  <c r="I77" i="15"/>
  <c r="N77" i="15"/>
  <c r="Y95" i="2"/>
  <c r="X95" i="2"/>
  <c r="U96" i="2"/>
  <c r="AA95" i="2"/>
  <c r="W95" i="2"/>
  <c r="Z95" i="2"/>
  <c r="AB94" i="2"/>
  <c r="AC94" i="2"/>
  <c r="AD94" i="2"/>
  <c r="AE94" i="2"/>
  <c r="AC95" i="15"/>
  <c r="AB95" i="15"/>
  <c r="X96" i="15"/>
  <c r="Z96" i="15"/>
  <c r="W96" i="15"/>
  <c r="U97" i="15"/>
  <c r="AA96" i="15"/>
  <c r="Y96" i="15"/>
  <c r="AE95" i="15"/>
  <c r="AD95" i="15"/>
  <c r="K77" i="15"/>
  <c r="J77" i="15"/>
  <c r="L77" i="15"/>
  <c r="M77" i="15"/>
  <c r="R78" i="15"/>
  <c r="H78" i="15"/>
  <c r="G78" i="15"/>
  <c r="F78" i="15"/>
  <c r="Q78" i="15" s="1"/>
  <c r="E78" i="15"/>
  <c r="P78" i="15"/>
  <c r="D78" i="15"/>
  <c r="O78" i="15"/>
  <c r="M74" i="2"/>
  <c r="L74" i="2"/>
  <c r="J74" i="2"/>
  <c r="K74" i="2"/>
  <c r="O75" i="2"/>
  <c r="G75" i="2"/>
  <c r="H75" i="2"/>
  <c r="B76" i="2"/>
  <c r="D75" i="2"/>
  <c r="F75" i="2"/>
  <c r="Q75" i="2" s="1"/>
  <c r="E75" i="2"/>
  <c r="P75" i="2"/>
  <c r="R75" i="2"/>
  <c r="I75" i="2" l="1"/>
  <c r="N75" i="2"/>
  <c r="I78" i="15"/>
  <c r="N78" i="15"/>
  <c r="AB95" i="2"/>
  <c r="AC95" i="2"/>
  <c r="AE95" i="2"/>
  <c r="AD95" i="2"/>
  <c r="AA96" i="2"/>
  <c r="U97" i="2"/>
  <c r="X96" i="2"/>
  <c r="W96" i="2"/>
  <c r="Z96" i="2"/>
  <c r="Y96" i="2"/>
  <c r="AE96" i="15"/>
  <c r="AD96" i="15"/>
  <c r="Z97" i="15"/>
  <c r="W97" i="15"/>
  <c r="X97" i="15"/>
  <c r="AA97" i="15"/>
  <c r="Y97" i="15"/>
  <c r="U98" i="15"/>
  <c r="AB96" i="15"/>
  <c r="AC96" i="15"/>
  <c r="R79" i="15"/>
  <c r="H79" i="15"/>
  <c r="P79" i="15"/>
  <c r="G79" i="15"/>
  <c r="F79" i="15"/>
  <c r="Q79" i="15" s="1"/>
  <c r="E79" i="15"/>
  <c r="D79" i="15"/>
  <c r="O79" i="15"/>
  <c r="M78" i="15"/>
  <c r="L78" i="15"/>
  <c r="J78" i="15"/>
  <c r="K78" i="15"/>
  <c r="J75" i="2"/>
  <c r="K75" i="2"/>
  <c r="B77" i="2"/>
  <c r="G76" i="2"/>
  <c r="F76" i="2"/>
  <c r="Q76" i="2" s="1"/>
  <c r="O76" i="2"/>
  <c r="D76" i="2"/>
  <c r="E76" i="2"/>
  <c r="H76" i="2"/>
  <c r="P76" i="2"/>
  <c r="R76" i="2"/>
  <c r="M75" i="2"/>
  <c r="L75" i="2"/>
  <c r="I76" i="2" l="1"/>
  <c r="N76" i="2"/>
  <c r="I79" i="15"/>
  <c r="N79" i="15"/>
  <c r="X97" i="2"/>
  <c r="Z97" i="2"/>
  <c r="Y97" i="2"/>
  <c r="AA97" i="2"/>
  <c r="U98" i="2"/>
  <c r="W97" i="2"/>
  <c r="AE96" i="2"/>
  <c r="AD96" i="2"/>
  <c r="AC96" i="2"/>
  <c r="AB96" i="2"/>
  <c r="AD97" i="15"/>
  <c r="AE97" i="15"/>
  <c r="AC97" i="15"/>
  <c r="AB97" i="15"/>
  <c r="Z98" i="15"/>
  <c r="AA98" i="15"/>
  <c r="X98" i="15"/>
  <c r="Y98" i="15"/>
  <c r="U99" i="15"/>
  <c r="W98" i="15"/>
  <c r="H80" i="15"/>
  <c r="P80" i="15"/>
  <c r="G80" i="15"/>
  <c r="O80" i="15"/>
  <c r="F80" i="15"/>
  <c r="Q80" i="15" s="1"/>
  <c r="R80" i="15"/>
  <c r="E80" i="15"/>
  <c r="D80" i="15"/>
  <c r="J79" i="15"/>
  <c r="K79" i="15"/>
  <c r="M79" i="15"/>
  <c r="L79" i="15"/>
  <c r="K76" i="2"/>
  <c r="J76" i="2"/>
  <c r="B78" i="2"/>
  <c r="O77" i="2"/>
  <c r="G77" i="2"/>
  <c r="H77" i="2"/>
  <c r="F77" i="2"/>
  <c r="Q77" i="2" s="1"/>
  <c r="D77" i="2"/>
  <c r="P77" i="2"/>
  <c r="E77" i="2"/>
  <c r="R77" i="2"/>
  <c r="L76" i="2"/>
  <c r="M76" i="2"/>
  <c r="I77" i="2" l="1"/>
  <c r="N77" i="2"/>
  <c r="I80" i="15"/>
  <c r="N80" i="15"/>
  <c r="AB97" i="2"/>
  <c r="AC97" i="2"/>
  <c r="W98" i="2"/>
  <c r="Z98" i="2"/>
  <c r="Y98" i="2"/>
  <c r="X98" i="2"/>
  <c r="U99" i="2"/>
  <c r="AA98" i="2"/>
  <c r="AE97" i="2"/>
  <c r="AD97" i="2"/>
  <c r="AD98" i="15"/>
  <c r="AE98" i="15"/>
  <c r="AC98" i="15"/>
  <c r="AB98" i="15"/>
  <c r="X99" i="15"/>
  <c r="W99" i="15"/>
  <c r="Y99" i="15"/>
  <c r="U100" i="15"/>
  <c r="AA99" i="15"/>
  <c r="Z99" i="15"/>
  <c r="K80" i="15"/>
  <c r="J80" i="15"/>
  <c r="P81" i="15"/>
  <c r="G81" i="15"/>
  <c r="O81" i="15"/>
  <c r="F81" i="15"/>
  <c r="Q81" i="15" s="1"/>
  <c r="E81" i="15"/>
  <c r="H81" i="15"/>
  <c r="D81" i="15"/>
  <c r="R81" i="15"/>
  <c r="M80" i="15"/>
  <c r="L80" i="15"/>
  <c r="M77" i="2"/>
  <c r="L77" i="2"/>
  <c r="O78" i="2"/>
  <c r="B79" i="2"/>
  <c r="G78" i="2"/>
  <c r="D78" i="2"/>
  <c r="F78" i="2"/>
  <c r="Q78" i="2" s="1"/>
  <c r="H78" i="2"/>
  <c r="E78" i="2"/>
  <c r="R78" i="2"/>
  <c r="P78" i="2"/>
  <c r="J77" i="2"/>
  <c r="K77" i="2"/>
  <c r="I78" i="2" l="1"/>
  <c r="N78" i="2"/>
  <c r="I81" i="15"/>
  <c r="N81" i="15"/>
  <c r="AB98" i="2"/>
  <c r="AC98" i="2"/>
  <c r="Y99" i="2"/>
  <c r="Z99" i="2"/>
  <c r="W99" i="2"/>
  <c r="AA99" i="2"/>
  <c r="U100" i="2"/>
  <c r="X99" i="2"/>
  <c r="AD98" i="2"/>
  <c r="AE98" i="2"/>
  <c r="AC99" i="15"/>
  <c r="AB99" i="15"/>
  <c r="X100" i="15"/>
  <c r="Z100" i="15"/>
  <c r="W100" i="15"/>
  <c r="U101" i="15"/>
  <c r="Y100" i="15"/>
  <c r="AA100" i="15"/>
  <c r="AE99" i="15"/>
  <c r="AD99" i="15"/>
  <c r="M81" i="15"/>
  <c r="L81" i="15"/>
  <c r="O82" i="15"/>
  <c r="F82" i="15"/>
  <c r="Q82" i="15" s="1"/>
  <c r="E82" i="15"/>
  <c r="D82" i="15"/>
  <c r="P82" i="15"/>
  <c r="G82" i="15"/>
  <c r="R82" i="15"/>
  <c r="H82" i="15"/>
  <c r="K81" i="15"/>
  <c r="J81" i="15"/>
  <c r="M78" i="2"/>
  <c r="L78" i="2"/>
  <c r="J78" i="2"/>
  <c r="K78" i="2"/>
  <c r="O79" i="2"/>
  <c r="B80" i="2"/>
  <c r="H79" i="2"/>
  <c r="D79" i="2"/>
  <c r="G79" i="2"/>
  <c r="F79" i="2"/>
  <c r="Q79" i="2" s="1"/>
  <c r="E79" i="2"/>
  <c r="P79" i="2"/>
  <c r="R79" i="2"/>
  <c r="I79" i="2" l="1"/>
  <c r="N79" i="2"/>
  <c r="I82" i="15"/>
  <c r="N82" i="15"/>
  <c r="AA100" i="2"/>
  <c r="U101" i="2"/>
  <c r="Z100" i="2"/>
  <c r="Y100" i="2"/>
  <c r="X100" i="2"/>
  <c r="W100" i="2"/>
  <c r="AE99" i="2"/>
  <c r="AD99" i="2"/>
  <c r="AC99" i="2"/>
  <c r="AB99" i="2"/>
  <c r="Z101" i="15"/>
  <c r="AA101" i="15"/>
  <c r="U102" i="15"/>
  <c r="W101" i="15"/>
  <c r="X101" i="15"/>
  <c r="Y101" i="15"/>
  <c r="AC100" i="15"/>
  <c r="AB100" i="15"/>
  <c r="AE100" i="15"/>
  <c r="AD100" i="15"/>
  <c r="M82" i="15"/>
  <c r="L82" i="15"/>
  <c r="K82" i="15"/>
  <c r="J82" i="15"/>
  <c r="E83" i="15"/>
  <c r="D83" i="15"/>
  <c r="O83" i="15"/>
  <c r="F83" i="15"/>
  <c r="Q83" i="15" s="1"/>
  <c r="P83" i="15"/>
  <c r="R83" i="15"/>
  <c r="H83" i="15"/>
  <c r="G83" i="15"/>
  <c r="J79" i="2"/>
  <c r="K79" i="2"/>
  <c r="M79" i="2"/>
  <c r="L79" i="2"/>
  <c r="O80" i="2"/>
  <c r="B81" i="2"/>
  <c r="H80" i="2"/>
  <c r="D80" i="2"/>
  <c r="G80" i="2"/>
  <c r="F80" i="2"/>
  <c r="Q80" i="2" s="1"/>
  <c r="E80" i="2"/>
  <c r="R80" i="2"/>
  <c r="P80" i="2"/>
  <c r="I80" i="2" l="1"/>
  <c r="N80" i="2"/>
  <c r="I83" i="15"/>
  <c r="N83" i="15"/>
  <c r="AC100" i="2"/>
  <c r="AB100" i="2"/>
  <c r="X101" i="2"/>
  <c r="W101" i="2"/>
  <c r="Z101" i="2"/>
  <c r="U102" i="2"/>
  <c r="Y101" i="2"/>
  <c r="AA101" i="2"/>
  <c r="AD100" i="2"/>
  <c r="AE100" i="2"/>
  <c r="AB101" i="15"/>
  <c r="AC101" i="15"/>
  <c r="X102" i="15"/>
  <c r="Y102" i="15"/>
  <c r="U103" i="15"/>
  <c r="AA102" i="15"/>
  <c r="Z102" i="15"/>
  <c r="W102" i="15"/>
  <c r="AD101" i="15"/>
  <c r="AE101" i="15"/>
  <c r="D84" i="15"/>
  <c r="E84" i="15"/>
  <c r="R84" i="15"/>
  <c r="P84" i="15"/>
  <c r="O84" i="15"/>
  <c r="H84" i="15"/>
  <c r="G84" i="15"/>
  <c r="F84" i="15"/>
  <c r="Q84" i="15" s="1"/>
  <c r="M83" i="15"/>
  <c r="L83" i="15"/>
  <c r="K83" i="15"/>
  <c r="J83" i="15"/>
  <c r="J80" i="2"/>
  <c r="K80" i="2"/>
  <c r="M80" i="2"/>
  <c r="L80" i="2"/>
  <c r="B82" i="2"/>
  <c r="H81" i="2"/>
  <c r="G81" i="2"/>
  <c r="D81" i="2"/>
  <c r="O81" i="2"/>
  <c r="E81" i="2"/>
  <c r="F81" i="2"/>
  <c r="Q81" i="2" s="1"/>
  <c r="R81" i="2"/>
  <c r="P81" i="2"/>
  <c r="I81" i="2" l="1"/>
  <c r="N81" i="2"/>
  <c r="I84" i="15"/>
  <c r="N84" i="15"/>
  <c r="W102" i="2"/>
  <c r="Z102" i="2"/>
  <c r="U103" i="2"/>
  <c r="X102" i="2"/>
  <c r="Y102" i="2"/>
  <c r="AA102" i="2"/>
  <c r="AB101" i="2"/>
  <c r="AC101" i="2"/>
  <c r="AE101" i="2"/>
  <c r="AD101" i="2"/>
  <c r="AD102" i="15"/>
  <c r="AE102" i="15"/>
  <c r="X103" i="15"/>
  <c r="Y103" i="15"/>
  <c r="U104" i="15"/>
  <c r="W103" i="15"/>
  <c r="Z103" i="15"/>
  <c r="AA103" i="15"/>
  <c r="AC102" i="15"/>
  <c r="AB102" i="15"/>
  <c r="L84" i="15"/>
  <c r="M84" i="15"/>
  <c r="R85" i="15"/>
  <c r="D85" i="15"/>
  <c r="H85" i="15"/>
  <c r="P85" i="15"/>
  <c r="G85" i="15"/>
  <c r="O85" i="15"/>
  <c r="E85" i="15"/>
  <c r="F85" i="15"/>
  <c r="Q85" i="15" s="1"/>
  <c r="K84" i="15"/>
  <c r="J84" i="15"/>
  <c r="J81" i="2"/>
  <c r="K81" i="2"/>
  <c r="M81" i="2"/>
  <c r="L81" i="2"/>
  <c r="B83" i="2"/>
  <c r="O82" i="2"/>
  <c r="D82" i="2"/>
  <c r="G82" i="2"/>
  <c r="F82" i="2"/>
  <c r="Q82" i="2" s="1"/>
  <c r="H82" i="2"/>
  <c r="P82" i="2"/>
  <c r="E82" i="2"/>
  <c r="R82" i="2"/>
  <c r="I82" i="2" l="1"/>
  <c r="N82" i="2"/>
  <c r="I85" i="15"/>
  <c r="N85" i="15"/>
  <c r="AD102" i="2"/>
  <c r="AE102" i="2"/>
  <c r="Y103" i="2"/>
  <c r="AA103" i="2"/>
  <c r="U104" i="2"/>
  <c r="W103" i="2"/>
  <c r="X103" i="2"/>
  <c r="Z103" i="2"/>
  <c r="AC102" i="2"/>
  <c r="AB102" i="2"/>
  <c r="X104" i="15"/>
  <c r="Z104" i="15"/>
  <c r="Y104" i="15"/>
  <c r="AA104" i="15"/>
  <c r="U105" i="15"/>
  <c r="W104" i="15"/>
  <c r="AC103" i="15"/>
  <c r="AB103" i="15"/>
  <c r="AE103" i="15"/>
  <c r="AD103" i="15"/>
  <c r="K85" i="15"/>
  <c r="J85" i="15"/>
  <c r="R86" i="15"/>
  <c r="H86" i="15"/>
  <c r="P86" i="15"/>
  <c r="E86" i="15"/>
  <c r="O86" i="15"/>
  <c r="G86" i="15"/>
  <c r="D86" i="15"/>
  <c r="F86" i="15"/>
  <c r="Q86" i="15" s="1"/>
  <c r="L85" i="15"/>
  <c r="M85" i="15"/>
  <c r="M82" i="2"/>
  <c r="L82" i="2"/>
  <c r="J82" i="2"/>
  <c r="K82" i="2"/>
  <c r="O83" i="2"/>
  <c r="G83" i="2"/>
  <c r="D83" i="2"/>
  <c r="H83" i="2"/>
  <c r="B84" i="2"/>
  <c r="F83" i="2"/>
  <c r="Q83" i="2" s="1"/>
  <c r="P83" i="2"/>
  <c r="E83" i="2"/>
  <c r="R83" i="2"/>
  <c r="I83" i="2" l="1"/>
  <c r="N83" i="2"/>
  <c r="I86" i="15"/>
  <c r="N86" i="15"/>
  <c r="AC103" i="2"/>
  <c r="AB103" i="2"/>
  <c r="AD103" i="2"/>
  <c r="AE103" i="2"/>
  <c r="AA104" i="2"/>
  <c r="U105" i="2"/>
  <c r="X104" i="2"/>
  <c r="Z104" i="2"/>
  <c r="Y104" i="2"/>
  <c r="W104" i="2"/>
  <c r="AB104" i="15"/>
  <c r="AC104" i="15"/>
  <c r="AE104" i="15"/>
  <c r="AD104" i="15"/>
  <c r="Z105" i="15"/>
  <c r="X105" i="15"/>
  <c r="U106" i="15"/>
  <c r="Y105" i="15"/>
  <c r="W105" i="15"/>
  <c r="AA105" i="15"/>
  <c r="R87" i="15"/>
  <c r="H87" i="15"/>
  <c r="P87" i="15"/>
  <c r="G87" i="15"/>
  <c r="O87" i="15"/>
  <c r="E87" i="15"/>
  <c r="D87" i="15"/>
  <c r="F87" i="15"/>
  <c r="Q87" i="15" s="1"/>
  <c r="M86" i="15"/>
  <c r="L86" i="15"/>
  <c r="J86" i="15"/>
  <c r="K86" i="15"/>
  <c r="B85" i="2"/>
  <c r="G84" i="2"/>
  <c r="H84" i="2"/>
  <c r="O84" i="2"/>
  <c r="F84" i="2"/>
  <c r="Q84" i="2" s="1"/>
  <c r="D84" i="2"/>
  <c r="P84" i="2"/>
  <c r="R84" i="2"/>
  <c r="E84" i="2"/>
  <c r="M83" i="2"/>
  <c r="L83" i="2"/>
  <c r="K83" i="2"/>
  <c r="J83" i="2"/>
  <c r="I84" i="2" l="1"/>
  <c r="N84" i="2"/>
  <c r="I87" i="15"/>
  <c r="N87" i="15"/>
  <c r="X105" i="2"/>
  <c r="W105" i="2"/>
  <c r="Y105" i="2"/>
  <c r="AA105" i="2"/>
  <c r="Z105" i="2"/>
  <c r="U106" i="2"/>
  <c r="AD104" i="2"/>
  <c r="AE104" i="2"/>
  <c r="AC104" i="2"/>
  <c r="AB104" i="2"/>
  <c r="W106" i="15"/>
  <c r="Y106" i="15"/>
  <c r="U107" i="15"/>
  <c r="X106" i="15"/>
  <c r="Z106" i="15"/>
  <c r="AA106" i="15"/>
  <c r="AD105" i="15"/>
  <c r="AE105" i="15"/>
  <c r="AB105" i="15"/>
  <c r="AC105" i="15"/>
  <c r="J87" i="15"/>
  <c r="K87" i="15"/>
  <c r="H88" i="15"/>
  <c r="P88" i="15"/>
  <c r="G88" i="15"/>
  <c r="O88" i="15"/>
  <c r="F88" i="15"/>
  <c r="Q88" i="15" s="1"/>
  <c r="R88" i="15"/>
  <c r="E88" i="15"/>
  <c r="D88" i="15"/>
  <c r="M87" i="15"/>
  <c r="L87" i="15"/>
  <c r="B86" i="2"/>
  <c r="G85" i="2"/>
  <c r="O85" i="2"/>
  <c r="H85" i="2"/>
  <c r="P85" i="2"/>
  <c r="E85" i="2"/>
  <c r="F85" i="2"/>
  <c r="Q85" i="2" s="1"/>
  <c r="D85" i="2"/>
  <c r="R85" i="2"/>
  <c r="M84" i="2"/>
  <c r="L84" i="2"/>
  <c r="K84" i="2"/>
  <c r="J84" i="2"/>
  <c r="I85" i="2" l="1"/>
  <c r="N85" i="2"/>
  <c r="I88" i="15"/>
  <c r="N88" i="15"/>
  <c r="W106" i="2"/>
  <c r="Z106" i="2"/>
  <c r="X106" i="2"/>
  <c r="AA106" i="2"/>
  <c r="U107" i="2"/>
  <c r="Y106" i="2"/>
  <c r="AE105" i="2"/>
  <c r="AD105" i="2"/>
  <c r="AB105" i="2"/>
  <c r="AC105" i="2"/>
  <c r="AE106" i="15"/>
  <c r="AD106" i="15"/>
  <c r="AA107" i="15"/>
  <c r="X107" i="15"/>
  <c r="W107" i="15"/>
  <c r="Y107" i="15"/>
  <c r="U108" i="15"/>
  <c r="Z107" i="15"/>
  <c r="AC106" i="15"/>
  <c r="AB106" i="15"/>
  <c r="P89" i="15"/>
  <c r="G89" i="15"/>
  <c r="O89" i="15"/>
  <c r="F89" i="15"/>
  <c r="Q89" i="15" s="1"/>
  <c r="E89" i="15"/>
  <c r="H89" i="15"/>
  <c r="R89" i="15"/>
  <c r="D89" i="15"/>
  <c r="M88" i="15"/>
  <c r="L88" i="15"/>
  <c r="K88" i="15"/>
  <c r="J88" i="15"/>
  <c r="L85" i="2"/>
  <c r="M85" i="2"/>
  <c r="O86" i="2"/>
  <c r="B87" i="2"/>
  <c r="G86" i="2"/>
  <c r="D86" i="2"/>
  <c r="H86" i="2"/>
  <c r="F86" i="2"/>
  <c r="Q86" i="2" s="1"/>
  <c r="E86" i="2"/>
  <c r="R86" i="2"/>
  <c r="P86" i="2"/>
  <c r="J85" i="2"/>
  <c r="K85" i="2"/>
  <c r="I86" i="2" l="1"/>
  <c r="N86" i="2"/>
  <c r="I89" i="15"/>
  <c r="N89" i="15"/>
  <c r="Y107" i="2"/>
  <c r="AA107" i="2"/>
  <c r="Z107" i="2"/>
  <c r="W107" i="2"/>
  <c r="X107" i="2"/>
  <c r="U108" i="2"/>
  <c r="AD106" i="2"/>
  <c r="AE106" i="2"/>
  <c r="AC106" i="2"/>
  <c r="AB106" i="2"/>
  <c r="AD107" i="15"/>
  <c r="AE107" i="15"/>
  <c r="AC107" i="15"/>
  <c r="AB107" i="15"/>
  <c r="X108" i="15"/>
  <c r="W108" i="15"/>
  <c r="Z108" i="15"/>
  <c r="U109" i="15"/>
  <c r="Y108" i="15"/>
  <c r="AA108" i="15"/>
  <c r="K89" i="15"/>
  <c r="J89" i="15"/>
  <c r="O90" i="15"/>
  <c r="F90" i="15"/>
  <c r="Q90" i="15" s="1"/>
  <c r="E90" i="15"/>
  <c r="D90" i="15"/>
  <c r="P90" i="15"/>
  <c r="G90" i="15"/>
  <c r="H90" i="15"/>
  <c r="R90" i="15"/>
  <c r="M89" i="15"/>
  <c r="L89" i="15"/>
  <c r="M86" i="2"/>
  <c r="L86" i="2"/>
  <c r="O87" i="2"/>
  <c r="B88" i="2"/>
  <c r="G87" i="2"/>
  <c r="D87" i="2"/>
  <c r="H87" i="2"/>
  <c r="F87" i="2"/>
  <c r="Q87" i="2" s="1"/>
  <c r="E87" i="2"/>
  <c r="R87" i="2"/>
  <c r="P87" i="2"/>
  <c r="J86" i="2"/>
  <c r="K86" i="2"/>
  <c r="I87" i="2" l="1"/>
  <c r="N87" i="2"/>
  <c r="I90" i="15"/>
  <c r="N90" i="15"/>
  <c r="AA108" i="2"/>
  <c r="U109" i="2"/>
  <c r="X108" i="2"/>
  <c r="Y108" i="2"/>
  <c r="W108" i="2"/>
  <c r="Z108" i="2"/>
  <c r="AB107" i="2"/>
  <c r="AC107" i="2"/>
  <c r="AE107" i="2"/>
  <c r="AD107" i="2"/>
  <c r="AB108" i="15"/>
  <c r="AC108" i="15"/>
  <c r="AE108" i="15"/>
  <c r="AD108" i="15"/>
  <c r="Z109" i="15"/>
  <c r="AA109" i="15"/>
  <c r="U110" i="15"/>
  <c r="X109" i="15"/>
  <c r="Y109" i="15"/>
  <c r="W109" i="15"/>
  <c r="K90" i="15"/>
  <c r="J90" i="15"/>
  <c r="E91" i="15"/>
  <c r="D91" i="15"/>
  <c r="O91" i="15"/>
  <c r="F91" i="15"/>
  <c r="Q91" i="15" s="1"/>
  <c r="H91" i="15"/>
  <c r="R91" i="15"/>
  <c r="P91" i="15"/>
  <c r="G91" i="15"/>
  <c r="M90" i="15"/>
  <c r="L90" i="15"/>
  <c r="M87" i="2"/>
  <c r="L87" i="2"/>
  <c r="J87" i="2"/>
  <c r="K87" i="2"/>
  <c r="O88" i="2"/>
  <c r="B89" i="2"/>
  <c r="H88" i="2"/>
  <c r="G88" i="2"/>
  <c r="F88" i="2"/>
  <c r="Q88" i="2" s="1"/>
  <c r="D88" i="2"/>
  <c r="E88" i="2"/>
  <c r="P88" i="2"/>
  <c r="R88" i="2"/>
  <c r="I88" i="2" l="1"/>
  <c r="N88" i="2"/>
  <c r="I91" i="15"/>
  <c r="N91" i="15"/>
  <c r="AC108" i="2"/>
  <c r="AB108" i="2"/>
  <c r="X109" i="2"/>
  <c r="W109" i="2"/>
  <c r="U110" i="2"/>
  <c r="Y109" i="2"/>
  <c r="AA109" i="2"/>
  <c r="Z109" i="2"/>
  <c r="AD108" i="2"/>
  <c r="AE108" i="2"/>
  <c r="AE109" i="15"/>
  <c r="AD109" i="15"/>
  <c r="AC109" i="15"/>
  <c r="AB109" i="15"/>
  <c r="W110" i="15"/>
  <c r="Y110" i="15"/>
  <c r="U111" i="15"/>
  <c r="Z110" i="15"/>
  <c r="AA110" i="15"/>
  <c r="X110" i="15"/>
  <c r="M91" i="15"/>
  <c r="L91" i="15"/>
  <c r="D92" i="15"/>
  <c r="E92" i="15"/>
  <c r="P92" i="15"/>
  <c r="H92" i="15"/>
  <c r="G92" i="15"/>
  <c r="F92" i="15"/>
  <c r="Q92" i="15" s="1"/>
  <c r="O92" i="15"/>
  <c r="R92" i="15"/>
  <c r="K91" i="15"/>
  <c r="J91" i="15"/>
  <c r="K88" i="2"/>
  <c r="J88" i="2"/>
  <c r="M88" i="2"/>
  <c r="L88" i="2"/>
  <c r="B90" i="2"/>
  <c r="O89" i="2"/>
  <c r="H89" i="2"/>
  <c r="F89" i="2"/>
  <c r="Q89" i="2" s="1"/>
  <c r="D89" i="2"/>
  <c r="E89" i="2"/>
  <c r="G89" i="2"/>
  <c r="R89" i="2"/>
  <c r="P89" i="2"/>
  <c r="I89" i="2" l="1"/>
  <c r="N89" i="2"/>
  <c r="I92" i="15"/>
  <c r="N92" i="15"/>
  <c r="W110" i="2"/>
  <c r="Z110" i="2"/>
  <c r="X110" i="2"/>
  <c r="AA110" i="2"/>
  <c r="U111" i="2"/>
  <c r="Y110" i="2"/>
  <c r="AB109" i="2"/>
  <c r="AC109" i="2"/>
  <c r="AE109" i="2"/>
  <c r="AD109" i="2"/>
  <c r="Z111" i="15"/>
  <c r="U112" i="15"/>
  <c r="AA111" i="15"/>
  <c r="W111" i="15"/>
  <c r="Y111" i="15"/>
  <c r="X111" i="15"/>
  <c r="AB110" i="15"/>
  <c r="AC110" i="15"/>
  <c r="AD110" i="15"/>
  <c r="AE110" i="15"/>
  <c r="K92" i="15"/>
  <c r="J92" i="15"/>
  <c r="L92" i="15"/>
  <c r="M92" i="15"/>
  <c r="R93" i="15"/>
  <c r="D93" i="15"/>
  <c r="H93" i="15"/>
  <c r="G93" i="15"/>
  <c r="E93" i="15"/>
  <c r="P93" i="15"/>
  <c r="F93" i="15"/>
  <c r="Q93" i="15" s="1"/>
  <c r="O93" i="15"/>
  <c r="B91" i="2"/>
  <c r="O90" i="2"/>
  <c r="D90" i="2"/>
  <c r="F90" i="2"/>
  <c r="Q90" i="2" s="1"/>
  <c r="H90" i="2"/>
  <c r="E90" i="2"/>
  <c r="G90" i="2"/>
  <c r="P90" i="2"/>
  <c r="R90" i="2"/>
  <c r="J89" i="2"/>
  <c r="K89" i="2"/>
  <c r="M89" i="2"/>
  <c r="L89" i="2"/>
  <c r="I90" i="2" l="1"/>
  <c r="N90" i="2"/>
  <c r="I93" i="15"/>
  <c r="N93" i="15"/>
  <c r="AB110" i="2"/>
  <c r="AC110" i="2"/>
  <c r="Y111" i="2"/>
  <c r="X111" i="2"/>
  <c r="U112" i="2"/>
  <c r="W111" i="2"/>
  <c r="AA111" i="2"/>
  <c r="Z111" i="2"/>
  <c r="AD110" i="2"/>
  <c r="AE110" i="2"/>
  <c r="AC111" i="15"/>
  <c r="AB111" i="15"/>
  <c r="X112" i="15"/>
  <c r="Y112" i="15"/>
  <c r="W112" i="15"/>
  <c r="AA112" i="15"/>
  <c r="Z112" i="15"/>
  <c r="U113" i="15"/>
  <c r="AD111" i="15"/>
  <c r="AE111" i="15"/>
  <c r="K93" i="15"/>
  <c r="J93" i="15"/>
  <c r="R94" i="15"/>
  <c r="H94" i="15"/>
  <c r="G94" i="15"/>
  <c r="D94" i="15"/>
  <c r="F94" i="15"/>
  <c r="Q94" i="15" s="1"/>
  <c r="P94" i="15"/>
  <c r="E94" i="15"/>
  <c r="O94" i="15"/>
  <c r="L93" i="15"/>
  <c r="M93" i="15"/>
  <c r="L90" i="2"/>
  <c r="M90" i="2"/>
  <c r="J90" i="2"/>
  <c r="K90" i="2"/>
  <c r="O91" i="2"/>
  <c r="B92" i="2"/>
  <c r="D91" i="2"/>
  <c r="F91" i="2"/>
  <c r="Q91" i="2" s="1"/>
  <c r="H91" i="2"/>
  <c r="E91" i="2"/>
  <c r="P91" i="2"/>
  <c r="G91" i="2"/>
  <c r="R91" i="2"/>
  <c r="I91" i="2" l="1"/>
  <c r="N91" i="2"/>
  <c r="I94" i="15"/>
  <c r="N94" i="15"/>
  <c r="AD111" i="2"/>
  <c r="AE111" i="2"/>
  <c r="AC111" i="2"/>
  <c r="AB111" i="2"/>
  <c r="AA112" i="2"/>
  <c r="U113" i="2"/>
  <c r="X112" i="2"/>
  <c r="Z112" i="2"/>
  <c r="Y112" i="2"/>
  <c r="W112" i="2"/>
  <c r="Z113" i="15"/>
  <c r="Y113" i="15"/>
  <c r="U114" i="15"/>
  <c r="AA113" i="15"/>
  <c r="W113" i="15"/>
  <c r="X113" i="15"/>
  <c r="AE112" i="15"/>
  <c r="AD112" i="15"/>
  <c r="AC112" i="15"/>
  <c r="AB112" i="15"/>
  <c r="J94" i="15"/>
  <c r="K94" i="15"/>
  <c r="R95" i="15"/>
  <c r="H95" i="15"/>
  <c r="P95" i="15"/>
  <c r="G95" i="15"/>
  <c r="F95" i="15"/>
  <c r="Q95" i="15" s="1"/>
  <c r="E95" i="15"/>
  <c r="D95" i="15"/>
  <c r="O95" i="15"/>
  <c r="M94" i="15"/>
  <c r="L94" i="15"/>
  <c r="L91" i="2"/>
  <c r="M91" i="2"/>
  <c r="K91" i="2"/>
  <c r="J91" i="2"/>
  <c r="B93" i="2"/>
  <c r="G92" i="2"/>
  <c r="O92" i="2"/>
  <c r="H92" i="2"/>
  <c r="F92" i="2"/>
  <c r="Q92" i="2" s="1"/>
  <c r="P92" i="2"/>
  <c r="D92" i="2"/>
  <c r="E92" i="2"/>
  <c r="R92" i="2"/>
  <c r="I92" i="2" l="1"/>
  <c r="N92" i="2"/>
  <c r="I95" i="15"/>
  <c r="N95" i="15"/>
  <c r="AC112" i="2"/>
  <c r="AB112" i="2"/>
  <c r="X113" i="2"/>
  <c r="AA113" i="2"/>
  <c r="W113" i="2"/>
  <c r="Z113" i="2"/>
  <c r="Y113" i="2"/>
  <c r="U114" i="2"/>
  <c r="AE112" i="2"/>
  <c r="AD112" i="2"/>
  <c r="AB113" i="15"/>
  <c r="AC113" i="15"/>
  <c r="AD113" i="15"/>
  <c r="AE113" i="15"/>
  <c r="X114" i="15"/>
  <c r="W114" i="15"/>
  <c r="Y114" i="15"/>
  <c r="AA114" i="15"/>
  <c r="Z114" i="15"/>
  <c r="U115" i="15"/>
  <c r="J95" i="15"/>
  <c r="K95" i="15"/>
  <c r="H96" i="15"/>
  <c r="P96" i="15"/>
  <c r="G96" i="15"/>
  <c r="O96" i="15"/>
  <c r="F96" i="15"/>
  <c r="Q96" i="15" s="1"/>
  <c r="R96" i="15"/>
  <c r="E96" i="15"/>
  <c r="D96" i="15"/>
  <c r="M95" i="15"/>
  <c r="L95" i="15"/>
  <c r="M92" i="2"/>
  <c r="L92" i="2"/>
  <c r="B94" i="2"/>
  <c r="G93" i="2"/>
  <c r="H93" i="2"/>
  <c r="D93" i="2"/>
  <c r="O93" i="2"/>
  <c r="F93" i="2"/>
  <c r="Q93" i="2" s="1"/>
  <c r="P93" i="2"/>
  <c r="E93" i="2"/>
  <c r="R93" i="2"/>
  <c r="J92" i="2"/>
  <c r="K92" i="2"/>
  <c r="I93" i="2" l="1"/>
  <c r="N93" i="2"/>
  <c r="I96" i="15"/>
  <c r="N96" i="15"/>
  <c r="W114" i="2"/>
  <c r="Z114" i="2"/>
  <c r="Y114" i="2"/>
  <c r="AA114" i="2"/>
  <c r="U115" i="2"/>
  <c r="X114" i="2"/>
  <c r="AB113" i="2"/>
  <c r="AC113" i="2"/>
  <c r="AE113" i="2"/>
  <c r="AD113" i="2"/>
  <c r="AC114" i="15"/>
  <c r="AB114" i="15"/>
  <c r="Y115" i="15"/>
  <c r="Z115" i="15"/>
  <c r="U116" i="15"/>
  <c r="W115" i="15"/>
  <c r="X115" i="15"/>
  <c r="AA115" i="15"/>
  <c r="AD114" i="15"/>
  <c r="AE114" i="15"/>
  <c r="P97" i="15"/>
  <c r="G97" i="15"/>
  <c r="O97" i="15"/>
  <c r="F97" i="15"/>
  <c r="Q97" i="15" s="1"/>
  <c r="E97" i="15"/>
  <c r="H97" i="15"/>
  <c r="D97" i="15"/>
  <c r="R97" i="15"/>
  <c r="M96" i="15"/>
  <c r="L96" i="15"/>
  <c r="K96" i="15"/>
  <c r="J96" i="15"/>
  <c r="B95" i="2"/>
  <c r="G94" i="2"/>
  <c r="O94" i="2"/>
  <c r="D94" i="2"/>
  <c r="H94" i="2"/>
  <c r="E94" i="2"/>
  <c r="P94" i="2"/>
  <c r="F94" i="2"/>
  <c r="Q94" i="2" s="1"/>
  <c r="R94" i="2"/>
  <c r="J93" i="2"/>
  <c r="K93" i="2"/>
  <c r="M93" i="2"/>
  <c r="L93" i="2"/>
  <c r="I94" i="2" l="1"/>
  <c r="N94" i="2"/>
  <c r="I97" i="15"/>
  <c r="N97" i="15"/>
  <c r="Y115" i="2"/>
  <c r="X115" i="2"/>
  <c r="W115" i="2"/>
  <c r="AA115" i="2"/>
  <c r="U116" i="2"/>
  <c r="Z115" i="2"/>
  <c r="AD114" i="2"/>
  <c r="AE114" i="2"/>
  <c r="AB114" i="2"/>
  <c r="AC114" i="2"/>
  <c r="AD115" i="15"/>
  <c r="AE115" i="15"/>
  <c r="AC115" i="15"/>
  <c r="AB115" i="15"/>
  <c r="X116" i="15"/>
  <c r="W116" i="15"/>
  <c r="Y116" i="15"/>
  <c r="Z116" i="15"/>
  <c r="U117" i="15"/>
  <c r="AA116" i="15"/>
  <c r="K97" i="15"/>
  <c r="J97" i="15"/>
  <c r="M97" i="15"/>
  <c r="L97" i="15"/>
  <c r="O98" i="15"/>
  <c r="F98" i="15"/>
  <c r="Q98" i="15" s="1"/>
  <c r="E98" i="15"/>
  <c r="D98" i="15"/>
  <c r="P98" i="15"/>
  <c r="G98" i="15"/>
  <c r="R98" i="15"/>
  <c r="H98" i="15"/>
  <c r="M94" i="2"/>
  <c r="L94" i="2"/>
  <c r="J94" i="2"/>
  <c r="K94" i="2"/>
  <c r="O95" i="2"/>
  <c r="B96" i="2"/>
  <c r="G95" i="2"/>
  <c r="D95" i="2"/>
  <c r="H95" i="2"/>
  <c r="E95" i="2"/>
  <c r="P95" i="2"/>
  <c r="F95" i="2"/>
  <c r="Q95" i="2" s="1"/>
  <c r="R95" i="2"/>
  <c r="I95" i="2" l="1"/>
  <c r="N95" i="2"/>
  <c r="I98" i="15"/>
  <c r="N98" i="15"/>
  <c r="AA116" i="2"/>
  <c r="U117" i="2"/>
  <c r="W116" i="2"/>
  <c r="X116" i="2"/>
  <c r="Z116" i="2"/>
  <c r="Y116" i="2"/>
  <c r="AE115" i="2"/>
  <c r="AD115" i="2"/>
  <c r="AB115" i="2"/>
  <c r="AC115" i="2"/>
  <c r="AB116" i="15"/>
  <c r="AC116" i="15"/>
  <c r="AE116" i="15"/>
  <c r="AD116" i="15"/>
  <c r="Z117" i="15"/>
  <c r="X117" i="15"/>
  <c r="Y117" i="15"/>
  <c r="U118" i="15"/>
  <c r="W117" i="15"/>
  <c r="AA117" i="15"/>
  <c r="K98" i="15"/>
  <c r="J98" i="15"/>
  <c r="M98" i="15"/>
  <c r="L98" i="15"/>
  <c r="E99" i="15"/>
  <c r="D99" i="15"/>
  <c r="O99" i="15"/>
  <c r="F99" i="15"/>
  <c r="Q99" i="15" s="1"/>
  <c r="R99" i="15"/>
  <c r="H99" i="15"/>
  <c r="G99" i="15"/>
  <c r="P99" i="15"/>
  <c r="M95" i="2"/>
  <c r="L95" i="2"/>
  <c r="J95" i="2"/>
  <c r="K95" i="2"/>
  <c r="O96" i="2"/>
  <c r="B97" i="2"/>
  <c r="G96" i="2"/>
  <c r="F96" i="2"/>
  <c r="Q96" i="2" s="1"/>
  <c r="H96" i="2"/>
  <c r="D96" i="2"/>
  <c r="R96" i="2"/>
  <c r="E96" i="2"/>
  <c r="P96" i="2"/>
  <c r="I96" i="2" l="1"/>
  <c r="N96" i="2"/>
  <c r="I99" i="15"/>
  <c r="N99" i="15"/>
  <c r="AC116" i="2"/>
  <c r="AB116" i="2"/>
  <c r="X117" i="2"/>
  <c r="Z117" i="2"/>
  <c r="W117" i="2"/>
  <c r="AA117" i="2"/>
  <c r="Y117" i="2"/>
  <c r="U118" i="2"/>
  <c r="AD116" i="2"/>
  <c r="AE116" i="2"/>
  <c r="AD117" i="15"/>
  <c r="AE117" i="15"/>
  <c r="AC117" i="15"/>
  <c r="AB117" i="15"/>
  <c r="W118" i="15"/>
  <c r="Y118" i="15"/>
  <c r="Z118" i="15"/>
  <c r="AA118" i="15"/>
  <c r="U119" i="15"/>
  <c r="X118" i="15"/>
  <c r="D100" i="15"/>
  <c r="E100" i="15"/>
  <c r="R100" i="15"/>
  <c r="O100" i="15"/>
  <c r="G100" i="15"/>
  <c r="P100" i="15"/>
  <c r="F100" i="15"/>
  <c r="Q100" i="15" s="1"/>
  <c r="H100" i="15"/>
  <c r="M99" i="15"/>
  <c r="L99" i="15"/>
  <c r="K99" i="15"/>
  <c r="J99" i="15"/>
  <c r="K96" i="2"/>
  <c r="J96" i="2"/>
  <c r="M96" i="2"/>
  <c r="L96" i="2"/>
  <c r="O97" i="2"/>
  <c r="H97" i="2"/>
  <c r="F97" i="2"/>
  <c r="Q97" i="2" s="1"/>
  <c r="G97" i="2"/>
  <c r="E97" i="2"/>
  <c r="D97" i="2"/>
  <c r="B98" i="2"/>
  <c r="P97" i="2"/>
  <c r="R97" i="2"/>
  <c r="I97" i="2" l="1"/>
  <c r="N97" i="2"/>
  <c r="I100" i="15"/>
  <c r="N100" i="15"/>
  <c r="AE117" i="2"/>
  <c r="AD117" i="2"/>
  <c r="AB117" i="2"/>
  <c r="AC117" i="2"/>
  <c r="W118" i="2"/>
  <c r="Z118" i="2"/>
  <c r="X118" i="2"/>
  <c r="AA118" i="2"/>
  <c r="U119" i="2"/>
  <c r="Y118" i="2"/>
  <c r="AB118" i="15"/>
  <c r="AC118" i="15"/>
  <c r="X119" i="15"/>
  <c r="Y119" i="15"/>
  <c r="AA119" i="15"/>
  <c r="Z119" i="15"/>
  <c r="W119" i="15"/>
  <c r="U120" i="15"/>
  <c r="AE118" i="15"/>
  <c r="AD118" i="15"/>
  <c r="L100" i="15"/>
  <c r="M100" i="15"/>
  <c r="R101" i="15"/>
  <c r="D101" i="15"/>
  <c r="H101" i="15"/>
  <c r="P101" i="15"/>
  <c r="G101" i="15"/>
  <c r="O101" i="15"/>
  <c r="E101" i="15"/>
  <c r="F101" i="15"/>
  <c r="Q101" i="15" s="1"/>
  <c r="K100" i="15"/>
  <c r="J100" i="15"/>
  <c r="M97" i="2"/>
  <c r="L97" i="2"/>
  <c r="B99" i="2"/>
  <c r="O98" i="2"/>
  <c r="D98" i="2"/>
  <c r="H98" i="2"/>
  <c r="F98" i="2"/>
  <c r="Q98" i="2" s="1"/>
  <c r="G98" i="2"/>
  <c r="E98" i="2"/>
  <c r="R98" i="2"/>
  <c r="P98" i="2"/>
  <c r="J97" i="2"/>
  <c r="K97" i="2"/>
  <c r="I98" i="2" l="1"/>
  <c r="N98" i="2"/>
  <c r="I101" i="15"/>
  <c r="N101" i="15"/>
  <c r="AC118" i="2"/>
  <c r="AB118" i="2"/>
  <c r="Y119" i="2"/>
  <c r="W119" i="2"/>
  <c r="Z119" i="2"/>
  <c r="X119" i="2"/>
  <c r="AA119" i="2"/>
  <c r="U120" i="2"/>
  <c r="AD118" i="2"/>
  <c r="AE118" i="2"/>
  <c r="AC119" i="15"/>
  <c r="AB119" i="15"/>
  <c r="AD119" i="15"/>
  <c r="AE119" i="15"/>
  <c r="X120" i="15"/>
  <c r="Z120" i="15"/>
  <c r="AA120" i="15"/>
  <c r="Y120" i="15"/>
  <c r="U121" i="15"/>
  <c r="W120" i="15"/>
  <c r="R102" i="15"/>
  <c r="H102" i="15"/>
  <c r="P102" i="15"/>
  <c r="O102" i="15"/>
  <c r="G102" i="15"/>
  <c r="E102" i="15"/>
  <c r="D102" i="15"/>
  <c r="F102" i="15"/>
  <c r="Q102" i="15" s="1"/>
  <c r="L101" i="15"/>
  <c r="M101" i="15"/>
  <c r="K101" i="15"/>
  <c r="J101" i="15"/>
  <c r="O99" i="2"/>
  <c r="B100" i="2"/>
  <c r="G99" i="2"/>
  <c r="D99" i="2"/>
  <c r="F99" i="2"/>
  <c r="Q99" i="2" s="1"/>
  <c r="H99" i="2"/>
  <c r="E99" i="2"/>
  <c r="R99" i="2"/>
  <c r="P99" i="2"/>
  <c r="M98" i="2"/>
  <c r="L98" i="2"/>
  <c r="J98" i="2"/>
  <c r="K98" i="2"/>
  <c r="I99" i="2" l="1"/>
  <c r="N99" i="2"/>
  <c r="I102" i="15"/>
  <c r="N102" i="15"/>
  <c r="AC119" i="2"/>
  <c r="AB119" i="2"/>
  <c r="AE119" i="2"/>
  <c r="AD119" i="2"/>
  <c r="AA120" i="2"/>
  <c r="U121" i="2"/>
  <c r="Z120" i="2"/>
  <c r="W120" i="2"/>
  <c r="Y120" i="2"/>
  <c r="X120" i="2"/>
  <c r="AE120" i="15"/>
  <c r="AD120" i="15"/>
  <c r="AB120" i="15"/>
  <c r="AC120" i="15"/>
  <c r="Z121" i="15"/>
  <c r="W121" i="15"/>
  <c r="X121" i="15"/>
  <c r="AA121" i="15"/>
  <c r="Y121" i="15"/>
  <c r="U122" i="15"/>
  <c r="R103" i="15"/>
  <c r="H103" i="15"/>
  <c r="P103" i="15"/>
  <c r="G103" i="15"/>
  <c r="O103" i="15"/>
  <c r="E103" i="15"/>
  <c r="D103" i="15"/>
  <c r="F103" i="15"/>
  <c r="Q103" i="15" s="1"/>
  <c r="J102" i="15"/>
  <c r="K102" i="15"/>
  <c r="M102" i="15"/>
  <c r="L102" i="15"/>
  <c r="L99" i="2"/>
  <c r="M99" i="2"/>
  <c r="J99" i="2"/>
  <c r="K99" i="2"/>
  <c r="B101" i="2"/>
  <c r="O100" i="2"/>
  <c r="G100" i="2"/>
  <c r="D100" i="2"/>
  <c r="H100" i="2"/>
  <c r="E100" i="2"/>
  <c r="F100" i="2"/>
  <c r="Q100" i="2" s="1"/>
  <c r="R100" i="2"/>
  <c r="P100" i="2"/>
  <c r="I100" i="2" l="1"/>
  <c r="N100" i="2"/>
  <c r="I103" i="15"/>
  <c r="N103" i="15"/>
  <c r="X121" i="2"/>
  <c r="W121" i="2"/>
  <c r="Z121" i="2"/>
  <c r="AA121" i="2"/>
  <c r="Y121" i="2"/>
  <c r="U122" i="2"/>
  <c r="AD120" i="2"/>
  <c r="AE120" i="2"/>
  <c r="AC120" i="2"/>
  <c r="AB120" i="2"/>
  <c r="AB121" i="15"/>
  <c r="AC121" i="15"/>
  <c r="AA122" i="15"/>
  <c r="Z122" i="15"/>
  <c r="W122" i="15"/>
  <c r="X122" i="15"/>
  <c r="Y122" i="15"/>
  <c r="U123" i="15"/>
  <c r="AE121" i="15"/>
  <c r="AD121" i="15"/>
  <c r="H104" i="15"/>
  <c r="P104" i="15"/>
  <c r="G104" i="15"/>
  <c r="O104" i="15"/>
  <c r="F104" i="15"/>
  <c r="Q104" i="15" s="1"/>
  <c r="R104" i="15"/>
  <c r="D104" i="15"/>
  <c r="E104" i="15"/>
  <c r="J103" i="15"/>
  <c r="K103" i="15"/>
  <c r="M103" i="15"/>
  <c r="L103" i="15"/>
  <c r="L100" i="2"/>
  <c r="M100" i="2"/>
  <c r="J100" i="2"/>
  <c r="K100" i="2"/>
  <c r="B102" i="2"/>
  <c r="G101" i="2"/>
  <c r="H101" i="2"/>
  <c r="O101" i="2"/>
  <c r="D101" i="2"/>
  <c r="P101" i="2"/>
  <c r="F101" i="2"/>
  <c r="Q101" i="2" s="1"/>
  <c r="E101" i="2"/>
  <c r="R101" i="2"/>
  <c r="I101" i="2" l="1"/>
  <c r="N101" i="2"/>
  <c r="I104" i="15"/>
  <c r="N104" i="15"/>
  <c r="W122" i="2"/>
  <c r="Z122" i="2"/>
  <c r="X122" i="2"/>
  <c r="AA122" i="2"/>
  <c r="Y122" i="2"/>
  <c r="U123" i="2"/>
  <c r="AE121" i="2"/>
  <c r="AD121" i="2"/>
  <c r="AB121" i="2"/>
  <c r="AC121" i="2"/>
  <c r="AB122" i="15"/>
  <c r="AC122" i="15"/>
  <c r="AD122" i="15"/>
  <c r="AE122" i="15"/>
  <c r="W123" i="15"/>
  <c r="X123" i="15"/>
  <c r="Z123" i="15"/>
  <c r="U124" i="15"/>
  <c r="AA123" i="15"/>
  <c r="Y123" i="15"/>
  <c r="J104" i="15"/>
  <c r="K104" i="15"/>
  <c r="O105" i="15"/>
  <c r="G105" i="15"/>
  <c r="P105" i="15"/>
  <c r="F105" i="15"/>
  <c r="Q105" i="15" s="1"/>
  <c r="E105" i="15"/>
  <c r="R105" i="15"/>
  <c r="H105" i="15"/>
  <c r="D105" i="15"/>
  <c r="M104" i="15"/>
  <c r="L104" i="15"/>
  <c r="K101" i="2"/>
  <c r="J101" i="2"/>
  <c r="M101" i="2"/>
  <c r="L101" i="2"/>
  <c r="B103" i="2"/>
  <c r="G102" i="2"/>
  <c r="H102" i="2"/>
  <c r="D102" i="2"/>
  <c r="O102" i="2"/>
  <c r="F102" i="2"/>
  <c r="Q102" i="2" s="1"/>
  <c r="E102" i="2"/>
  <c r="P102" i="2"/>
  <c r="R102" i="2"/>
  <c r="I102" i="2" l="1"/>
  <c r="N102" i="2"/>
  <c r="I105" i="15"/>
  <c r="N105" i="15"/>
  <c r="Y123" i="2"/>
  <c r="AA123" i="2"/>
  <c r="W123" i="2"/>
  <c r="Z123" i="2"/>
  <c r="U124" i="2"/>
  <c r="X123" i="2"/>
  <c r="AD122" i="2"/>
  <c r="AE122" i="2"/>
  <c r="AC122" i="2"/>
  <c r="AB122" i="2"/>
  <c r="AC123" i="15"/>
  <c r="AB123" i="15"/>
  <c r="AE123" i="15"/>
  <c r="AD123" i="15"/>
  <c r="X124" i="15"/>
  <c r="AA124" i="15"/>
  <c r="Y124" i="15"/>
  <c r="W124" i="15"/>
  <c r="Z124" i="15"/>
  <c r="U125" i="15"/>
  <c r="K105" i="15"/>
  <c r="J105" i="15"/>
  <c r="M105" i="15"/>
  <c r="L105" i="15"/>
  <c r="E106" i="15"/>
  <c r="R106" i="15"/>
  <c r="H106" i="15"/>
  <c r="G106" i="15"/>
  <c r="P106" i="15"/>
  <c r="F106" i="15"/>
  <c r="Q106" i="15" s="1"/>
  <c r="O106" i="15"/>
  <c r="D106" i="15"/>
  <c r="J102" i="2"/>
  <c r="K102" i="2"/>
  <c r="M102" i="2"/>
  <c r="L102" i="2"/>
  <c r="O103" i="2"/>
  <c r="B104" i="2"/>
  <c r="G103" i="2"/>
  <c r="H103" i="2"/>
  <c r="D103" i="2"/>
  <c r="F103" i="2"/>
  <c r="Q103" i="2" s="1"/>
  <c r="E103" i="2"/>
  <c r="P103" i="2"/>
  <c r="R103" i="2"/>
  <c r="I103" i="2" l="1"/>
  <c r="N103" i="2"/>
  <c r="I106" i="15"/>
  <c r="N106" i="15"/>
  <c r="AD123" i="2"/>
  <c r="AE123" i="2"/>
  <c r="AA124" i="2"/>
  <c r="U125" i="2"/>
  <c r="X124" i="2"/>
  <c r="W124" i="2"/>
  <c r="Z124" i="2"/>
  <c r="Y124" i="2"/>
  <c r="AB123" i="2"/>
  <c r="AC123" i="2"/>
  <c r="AE124" i="15"/>
  <c r="AD124" i="15"/>
  <c r="AC124" i="15"/>
  <c r="AB124" i="15"/>
  <c r="Z125" i="15"/>
  <c r="W125" i="15"/>
  <c r="Y125" i="15"/>
  <c r="U126" i="15"/>
  <c r="AA125" i="15"/>
  <c r="X125" i="15"/>
  <c r="M106" i="15"/>
  <c r="L106" i="15"/>
  <c r="D107" i="15"/>
  <c r="R107" i="15"/>
  <c r="H107" i="15"/>
  <c r="G107" i="15"/>
  <c r="P107" i="15"/>
  <c r="O107" i="15"/>
  <c r="F107" i="15"/>
  <c r="Q107" i="15" s="1"/>
  <c r="E107" i="15"/>
  <c r="K106" i="15"/>
  <c r="J106" i="15"/>
  <c r="J103" i="2"/>
  <c r="K103" i="2"/>
  <c r="M103" i="2"/>
  <c r="L103" i="2"/>
  <c r="O104" i="2"/>
  <c r="B105" i="2"/>
  <c r="G104" i="2"/>
  <c r="H104" i="2"/>
  <c r="F104" i="2"/>
  <c r="Q104" i="2" s="1"/>
  <c r="E104" i="2"/>
  <c r="P104" i="2"/>
  <c r="R104" i="2"/>
  <c r="D104" i="2"/>
  <c r="I104" i="2" l="1"/>
  <c r="N104" i="2"/>
  <c r="I107" i="15"/>
  <c r="N107" i="15"/>
  <c r="AE124" i="2"/>
  <c r="AD124" i="2"/>
  <c r="AC124" i="2"/>
  <c r="AB124" i="2"/>
  <c r="X125" i="2"/>
  <c r="W125" i="2"/>
  <c r="Z125" i="2"/>
  <c r="U126" i="2"/>
  <c r="AA125" i="2"/>
  <c r="Y125" i="2"/>
  <c r="AB125" i="15"/>
  <c r="AC125" i="15"/>
  <c r="Z126" i="15"/>
  <c r="U127" i="15"/>
  <c r="AA126" i="15"/>
  <c r="W126" i="15"/>
  <c r="X126" i="15"/>
  <c r="Y126" i="15"/>
  <c r="AD125" i="15"/>
  <c r="AE125" i="15"/>
  <c r="J107" i="15"/>
  <c r="K107" i="15"/>
  <c r="R108" i="15"/>
  <c r="H108" i="15"/>
  <c r="E108" i="15"/>
  <c r="P108" i="15"/>
  <c r="O108" i="15"/>
  <c r="G108" i="15"/>
  <c r="F108" i="15"/>
  <c r="Q108" i="15" s="1"/>
  <c r="D108" i="15"/>
  <c r="L107" i="15"/>
  <c r="M107" i="15"/>
  <c r="K104" i="2"/>
  <c r="J104" i="2"/>
  <c r="L104" i="2"/>
  <c r="M104" i="2"/>
  <c r="O105" i="2"/>
  <c r="B106" i="2"/>
  <c r="G105" i="2"/>
  <c r="H105" i="2"/>
  <c r="D105" i="2"/>
  <c r="F105" i="2"/>
  <c r="Q105" i="2" s="1"/>
  <c r="E105" i="2"/>
  <c r="P105" i="2"/>
  <c r="R105" i="2"/>
  <c r="I105" i="2" l="1"/>
  <c r="N105" i="2"/>
  <c r="I108" i="15"/>
  <c r="N108" i="15"/>
  <c r="AE125" i="2"/>
  <c r="AD125" i="2"/>
  <c r="W126" i="2"/>
  <c r="Z126" i="2"/>
  <c r="Y126" i="2"/>
  <c r="AA126" i="2"/>
  <c r="X126" i="2"/>
  <c r="U127" i="2"/>
  <c r="AB125" i="2"/>
  <c r="AC125" i="2"/>
  <c r="AC126" i="15"/>
  <c r="AB126" i="15"/>
  <c r="AD126" i="15"/>
  <c r="AE126" i="15"/>
  <c r="W127" i="15"/>
  <c r="Y127" i="15"/>
  <c r="X127" i="15"/>
  <c r="Z127" i="15"/>
  <c r="AA127" i="15"/>
  <c r="U128" i="15"/>
  <c r="L108" i="15"/>
  <c r="M108" i="15"/>
  <c r="K108" i="15"/>
  <c r="J108" i="15"/>
  <c r="D109" i="15"/>
  <c r="R109" i="15"/>
  <c r="G109" i="15"/>
  <c r="O109" i="15"/>
  <c r="H109" i="15"/>
  <c r="P109" i="15"/>
  <c r="E109" i="15"/>
  <c r="F109" i="15"/>
  <c r="Q109" i="15" s="1"/>
  <c r="L105" i="2"/>
  <c r="M105" i="2"/>
  <c r="B107" i="2"/>
  <c r="O106" i="2"/>
  <c r="D106" i="2"/>
  <c r="G106" i="2"/>
  <c r="F106" i="2"/>
  <c r="Q106" i="2" s="1"/>
  <c r="H106" i="2"/>
  <c r="P106" i="2"/>
  <c r="E106" i="2"/>
  <c r="R106" i="2"/>
  <c r="J105" i="2"/>
  <c r="K105" i="2"/>
  <c r="I106" i="2" l="1"/>
  <c r="N106" i="2"/>
  <c r="I109" i="15"/>
  <c r="N109" i="15"/>
  <c r="AB126" i="2"/>
  <c r="AC126" i="2"/>
  <c r="Y127" i="2"/>
  <c r="X127" i="2"/>
  <c r="U128" i="2"/>
  <c r="AA127" i="2"/>
  <c r="Z127" i="2"/>
  <c r="W127" i="2"/>
  <c r="AD126" i="2"/>
  <c r="AE126" i="2"/>
  <c r="AC127" i="15"/>
  <c r="AB127" i="15"/>
  <c r="AD127" i="15"/>
  <c r="AE127" i="15"/>
  <c r="X128" i="15"/>
  <c r="Z128" i="15"/>
  <c r="U129" i="15"/>
  <c r="AA128" i="15"/>
  <c r="W128" i="15"/>
  <c r="Y128" i="15"/>
  <c r="J109" i="15"/>
  <c r="K109" i="15"/>
  <c r="L109" i="15"/>
  <c r="M109" i="15"/>
  <c r="R110" i="15"/>
  <c r="D110" i="15"/>
  <c r="O110" i="15"/>
  <c r="E110" i="15"/>
  <c r="G110" i="15"/>
  <c r="P110" i="15"/>
  <c r="F110" i="15"/>
  <c r="Q110" i="15" s="1"/>
  <c r="H110" i="15"/>
  <c r="M106" i="2"/>
  <c r="L106" i="2"/>
  <c r="J106" i="2"/>
  <c r="K106" i="2"/>
  <c r="O107" i="2"/>
  <c r="B108" i="2"/>
  <c r="H107" i="2"/>
  <c r="D107" i="2"/>
  <c r="G107" i="2"/>
  <c r="F107" i="2"/>
  <c r="Q107" i="2" s="1"/>
  <c r="E107" i="2"/>
  <c r="P107" i="2"/>
  <c r="R107" i="2"/>
  <c r="I107" i="2" l="1"/>
  <c r="N107" i="2"/>
  <c r="I110" i="15"/>
  <c r="N110" i="15"/>
  <c r="AC127" i="2"/>
  <c r="AB127" i="2"/>
  <c r="AD127" i="2"/>
  <c r="AE127" i="2"/>
  <c r="AA128" i="2"/>
  <c r="U129" i="2"/>
  <c r="X128" i="2"/>
  <c r="Y128" i="2"/>
  <c r="W128" i="2"/>
  <c r="Z128" i="2"/>
  <c r="AE128" i="15"/>
  <c r="AD128" i="15"/>
  <c r="Z129" i="15"/>
  <c r="X129" i="15"/>
  <c r="U130" i="15"/>
  <c r="W129" i="15"/>
  <c r="AA129" i="15"/>
  <c r="Y129" i="15"/>
  <c r="AB128" i="15"/>
  <c r="AC128" i="15"/>
  <c r="H111" i="15"/>
  <c r="O111" i="15"/>
  <c r="E111" i="15"/>
  <c r="D111" i="15"/>
  <c r="P111" i="15"/>
  <c r="F111" i="15"/>
  <c r="Q111" i="15" s="1"/>
  <c r="G111" i="15"/>
  <c r="R111" i="15"/>
  <c r="K110" i="15"/>
  <c r="J110" i="15"/>
  <c r="M110" i="15"/>
  <c r="L110" i="15"/>
  <c r="M107" i="2"/>
  <c r="L107" i="2"/>
  <c r="J107" i="2"/>
  <c r="K107" i="2"/>
  <c r="B109" i="2"/>
  <c r="O108" i="2"/>
  <c r="G108" i="2"/>
  <c r="F108" i="2"/>
  <c r="Q108" i="2" s="1"/>
  <c r="H108" i="2"/>
  <c r="E108" i="2"/>
  <c r="P108" i="2"/>
  <c r="R108" i="2"/>
  <c r="D108" i="2"/>
  <c r="I108" i="2" l="1"/>
  <c r="N108" i="2"/>
  <c r="I111" i="15"/>
  <c r="N111" i="15"/>
  <c r="AC128" i="2"/>
  <c r="AB128" i="2"/>
  <c r="Y129" i="2"/>
  <c r="W129" i="2"/>
  <c r="U130" i="2"/>
  <c r="Z129" i="2"/>
  <c r="X129" i="2"/>
  <c r="AA129" i="2"/>
  <c r="AE128" i="2"/>
  <c r="AD128" i="2"/>
  <c r="Y130" i="15"/>
  <c r="Z130" i="15"/>
  <c r="U131" i="15"/>
  <c r="W130" i="15"/>
  <c r="AA130" i="15"/>
  <c r="X130" i="15"/>
  <c r="AD129" i="15"/>
  <c r="AE129" i="15"/>
  <c r="AC129" i="15"/>
  <c r="AB129" i="15"/>
  <c r="M111" i="15"/>
  <c r="L111" i="15"/>
  <c r="P112" i="15"/>
  <c r="G112" i="15"/>
  <c r="F112" i="15"/>
  <c r="Q112" i="15" s="1"/>
  <c r="O112" i="15"/>
  <c r="E112" i="15"/>
  <c r="D112" i="15"/>
  <c r="R112" i="15"/>
  <c r="H112" i="15"/>
  <c r="J111" i="15"/>
  <c r="K111" i="15"/>
  <c r="M108" i="2"/>
  <c r="L108" i="2"/>
  <c r="J108" i="2"/>
  <c r="K108" i="2"/>
  <c r="B110" i="2"/>
  <c r="G109" i="2"/>
  <c r="H109" i="2"/>
  <c r="O109" i="2"/>
  <c r="D109" i="2"/>
  <c r="F109" i="2"/>
  <c r="Q109" i="2" s="1"/>
  <c r="P109" i="2"/>
  <c r="R109" i="2"/>
  <c r="E109" i="2"/>
  <c r="I109" i="2" l="1"/>
  <c r="N109" i="2"/>
  <c r="I112" i="15"/>
  <c r="N112" i="15"/>
  <c r="AD129" i="2"/>
  <c r="AE129" i="2"/>
  <c r="W130" i="2"/>
  <c r="AA130" i="2"/>
  <c r="U131" i="2"/>
  <c r="Z130" i="2"/>
  <c r="X130" i="2"/>
  <c r="Y130" i="2"/>
  <c r="AB129" i="2"/>
  <c r="AC129" i="2"/>
  <c r="AE130" i="15"/>
  <c r="AD130" i="15"/>
  <c r="AB130" i="15"/>
  <c r="AC130" i="15"/>
  <c r="X131" i="15"/>
  <c r="U132" i="15"/>
  <c r="Y131" i="15"/>
  <c r="W131" i="15"/>
  <c r="AA131" i="15"/>
  <c r="Z131" i="15"/>
  <c r="O113" i="15"/>
  <c r="F113" i="15"/>
  <c r="Q113" i="15" s="1"/>
  <c r="R113" i="15"/>
  <c r="H113" i="15"/>
  <c r="G113" i="15"/>
  <c r="P113" i="15"/>
  <c r="E113" i="15"/>
  <c r="D113" i="15"/>
  <c r="J112" i="15"/>
  <c r="K112" i="15"/>
  <c r="M112" i="15"/>
  <c r="L112" i="15"/>
  <c r="B111" i="2"/>
  <c r="D110" i="2"/>
  <c r="O110" i="2"/>
  <c r="H110" i="2"/>
  <c r="G110" i="2"/>
  <c r="E110" i="2"/>
  <c r="F110" i="2"/>
  <c r="Q110" i="2" s="1"/>
  <c r="R110" i="2"/>
  <c r="P110" i="2"/>
  <c r="K109" i="2"/>
  <c r="J109" i="2"/>
  <c r="M109" i="2"/>
  <c r="L109" i="2"/>
  <c r="I110" i="2" l="1"/>
  <c r="N110" i="2"/>
  <c r="I113" i="15"/>
  <c r="N113" i="15"/>
  <c r="AB130" i="2"/>
  <c r="AC130" i="2"/>
  <c r="W131" i="2"/>
  <c r="Z131" i="2"/>
  <c r="U132" i="2"/>
  <c r="AA131" i="2"/>
  <c r="X131" i="2"/>
  <c r="Y131" i="2"/>
  <c r="AE130" i="2"/>
  <c r="AD130" i="2"/>
  <c r="AD131" i="15"/>
  <c r="AE131" i="15"/>
  <c r="X132" i="15"/>
  <c r="Y132" i="15"/>
  <c r="Z132" i="15"/>
  <c r="U133" i="15"/>
  <c r="W132" i="15"/>
  <c r="AA132" i="15"/>
  <c r="AC131" i="15"/>
  <c r="AB131" i="15"/>
  <c r="L113" i="15"/>
  <c r="M113" i="15"/>
  <c r="E114" i="15"/>
  <c r="R114" i="15"/>
  <c r="H114" i="15"/>
  <c r="G114" i="15"/>
  <c r="F114" i="15"/>
  <c r="Q114" i="15" s="1"/>
  <c r="D114" i="15"/>
  <c r="P114" i="15"/>
  <c r="O114" i="15"/>
  <c r="K113" i="15"/>
  <c r="J113" i="15"/>
  <c r="M110" i="2"/>
  <c r="L110" i="2"/>
  <c r="J110" i="2"/>
  <c r="K110" i="2"/>
  <c r="O111" i="2"/>
  <c r="B112" i="2"/>
  <c r="G111" i="2"/>
  <c r="H111" i="2"/>
  <c r="D111" i="2"/>
  <c r="E111" i="2"/>
  <c r="F111" i="2"/>
  <c r="Q111" i="2" s="1"/>
  <c r="P111" i="2"/>
  <c r="R111" i="2"/>
  <c r="I111" i="2" l="1"/>
  <c r="N111" i="2"/>
  <c r="I114" i="15"/>
  <c r="N114" i="15"/>
  <c r="AC131" i="2"/>
  <c r="AB131" i="2"/>
  <c r="AD131" i="2"/>
  <c r="AE131" i="2"/>
  <c r="Y132" i="2"/>
  <c r="AA132" i="2"/>
  <c r="X132" i="2"/>
  <c r="U133" i="2"/>
  <c r="W132" i="2"/>
  <c r="Z132" i="2"/>
  <c r="AC132" i="15"/>
  <c r="AB132" i="15"/>
  <c r="Z133" i="15"/>
  <c r="W133" i="15"/>
  <c r="U134" i="15"/>
  <c r="Y133" i="15"/>
  <c r="X133" i="15"/>
  <c r="AA133" i="15"/>
  <c r="AE132" i="15"/>
  <c r="AD132" i="15"/>
  <c r="J114" i="15"/>
  <c r="K114" i="15"/>
  <c r="M114" i="15"/>
  <c r="L114" i="15"/>
  <c r="D115" i="15"/>
  <c r="R115" i="15"/>
  <c r="H115" i="15"/>
  <c r="G115" i="15"/>
  <c r="F115" i="15"/>
  <c r="Q115" i="15" s="1"/>
  <c r="P115" i="15"/>
  <c r="O115" i="15"/>
  <c r="E115" i="15"/>
  <c r="J111" i="2"/>
  <c r="K111" i="2"/>
  <c r="M111" i="2"/>
  <c r="L111" i="2"/>
  <c r="O112" i="2"/>
  <c r="B113" i="2"/>
  <c r="G112" i="2"/>
  <c r="H112" i="2"/>
  <c r="D112" i="2"/>
  <c r="E112" i="2"/>
  <c r="F112" i="2"/>
  <c r="Q112" i="2" s="1"/>
  <c r="R112" i="2"/>
  <c r="P112" i="2"/>
  <c r="I112" i="2" l="1"/>
  <c r="N112" i="2"/>
  <c r="I115" i="15"/>
  <c r="N115" i="15"/>
  <c r="AB132" i="2"/>
  <c r="AC132" i="2"/>
  <c r="AA133" i="2"/>
  <c r="U134" i="2"/>
  <c r="W133" i="2"/>
  <c r="Z133" i="2"/>
  <c r="Y133" i="2"/>
  <c r="X133" i="2"/>
  <c r="AE132" i="2"/>
  <c r="AD132" i="2"/>
  <c r="X134" i="15"/>
  <c r="Y134" i="15"/>
  <c r="AA134" i="15"/>
  <c r="U135" i="15"/>
  <c r="Z134" i="15"/>
  <c r="W134" i="15"/>
  <c r="AB133" i="15"/>
  <c r="AC133" i="15"/>
  <c r="AE133" i="15"/>
  <c r="AD133" i="15"/>
  <c r="L115" i="15"/>
  <c r="M115" i="15"/>
  <c r="D116" i="15"/>
  <c r="H116" i="15"/>
  <c r="P116" i="15"/>
  <c r="G116" i="15"/>
  <c r="R116" i="15"/>
  <c r="F116" i="15"/>
  <c r="Q116" i="15" s="1"/>
  <c r="O116" i="15"/>
  <c r="E116" i="15"/>
  <c r="J115" i="15"/>
  <c r="K115" i="15"/>
  <c r="O113" i="2"/>
  <c r="B114" i="2"/>
  <c r="G113" i="2"/>
  <c r="H113" i="2"/>
  <c r="D113" i="2"/>
  <c r="E113" i="2"/>
  <c r="P113" i="2"/>
  <c r="R113" i="2"/>
  <c r="F113" i="2"/>
  <c r="Q113" i="2" s="1"/>
  <c r="J112" i="2"/>
  <c r="K112" i="2"/>
  <c r="M112" i="2"/>
  <c r="L112" i="2"/>
  <c r="I113" i="2" l="1"/>
  <c r="N113" i="2"/>
  <c r="I116" i="15"/>
  <c r="N116" i="15"/>
  <c r="AD133" i="2"/>
  <c r="AE133" i="2"/>
  <c r="AB133" i="2"/>
  <c r="AC133" i="2"/>
  <c r="Z134" i="2"/>
  <c r="U135" i="2"/>
  <c r="Y134" i="2"/>
  <c r="AA134" i="2"/>
  <c r="W134" i="2"/>
  <c r="X134" i="2"/>
  <c r="W135" i="15"/>
  <c r="U136" i="15"/>
  <c r="X135" i="15"/>
  <c r="Z135" i="15"/>
  <c r="AA135" i="15"/>
  <c r="Y135" i="15"/>
  <c r="AD134" i="15"/>
  <c r="AE134" i="15"/>
  <c r="AB134" i="15"/>
  <c r="AC134" i="15"/>
  <c r="K116" i="15"/>
  <c r="J116" i="15"/>
  <c r="D117" i="15"/>
  <c r="O117" i="15"/>
  <c r="E117" i="15"/>
  <c r="F117" i="15"/>
  <c r="Q117" i="15" s="1"/>
  <c r="H117" i="15"/>
  <c r="G117" i="15"/>
  <c r="P117" i="15"/>
  <c r="R117" i="15"/>
  <c r="L116" i="15"/>
  <c r="M116" i="15"/>
  <c r="K113" i="2"/>
  <c r="J113" i="2"/>
  <c r="L113" i="2"/>
  <c r="M113" i="2"/>
  <c r="B115" i="2"/>
  <c r="O114" i="2"/>
  <c r="G114" i="2"/>
  <c r="D114" i="2"/>
  <c r="F114" i="2"/>
  <c r="Q114" i="2" s="1"/>
  <c r="E114" i="2"/>
  <c r="P114" i="2"/>
  <c r="H114" i="2"/>
  <c r="R114" i="2"/>
  <c r="I114" i="2" l="1"/>
  <c r="N114" i="2"/>
  <c r="I117" i="15"/>
  <c r="N117" i="15"/>
  <c r="AB134" i="2"/>
  <c r="AC134" i="2"/>
  <c r="AD134" i="2"/>
  <c r="AE134" i="2"/>
  <c r="W135" i="2"/>
  <c r="Y135" i="2"/>
  <c r="U136" i="2"/>
  <c r="AA135" i="2"/>
  <c r="Z135" i="2"/>
  <c r="X135" i="2"/>
  <c r="AE135" i="15"/>
  <c r="AD135" i="15"/>
  <c r="X136" i="15"/>
  <c r="W136" i="15"/>
  <c r="Y136" i="15"/>
  <c r="AA136" i="15"/>
  <c r="U137" i="15"/>
  <c r="Z136" i="15"/>
  <c r="AC135" i="15"/>
  <c r="AB135" i="15"/>
  <c r="M117" i="15"/>
  <c r="L117" i="15"/>
  <c r="J117" i="15"/>
  <c r="K117" i="15"/>
  <c r="R118" i="15"/>
  <c r="O118" i="15"/>
  <c r="E118" i="15"/>
  <c r="D118" i="15"/>
  <c r="P118" i="15"/>
  <c r="F118" i="15"/>
  <c r="Q118" i="15" s="1"/>
  <c r="G118" i="15"/>
  <c r="H118" i="15"/>
  <c r="M114" i="2"/>
  <c r="L114" i="2"/>
  <c r="J114" i="2"/>
  <c r="K114" i="2"/>
  <c r="O115" i="2"/>
  <c r="B116" i="2"/>
  <c r="D115" i="2"/>
  <c r="F115" i="2"/>
  <c r="Q115" i="2" s="1"/>
  <c r="G115" i="2"/>
  <c r="H115" i="2"/>
  <c r="E115" i="2"/>
  <c r="P115" i="2"/>
  <c r="R115" i="2"/>
  <c r="I115" i="2" l="1"/>
  <c r="N115" i="2"/>
  <c r="I118" i="15"/>
  <c r="N118" i="15"/>
  <c r="AD135" i="2"/>
  <c r="AE135" i="2"/>
  <c r="Y136" i="2"/>
  <c r="Z136" i="2"/>
  <c r="U137" i="2"/>
  <c r="AA136" i="2"/>
  <c r="W136" i="2"/>
  <c r="X136" i="2"/>
  <c r="AC135" i="2"/>
  <c r="AB135" i="2"/>
  <c r="Z137" i="15"/>
  <c r="W137" i="15"/>
  <c r="X137" i="15"/>
  <c r="AA137" i="15"/>
  <c r="Y137" i="15"/>
  <c r="U138" i="15"/>
  <c r="AE136" i="15"/>
  <c r="AD136" i="15"/>
  <c r="AB136" i="15"/>
  <c r="AC136" i="15"/>
  <c r="K118" i="15"/>
  <c r="J118" i="15"/>
  <c r="H119" i="15"/>
  <c r="P119" i="15"/>
  <c r="F119" i="15"/>
  <c r="Q119" i="15" s="1"/>
  <c r="O119" i="15"/>
  <c r="E119" i="15"/>
  <c r="D119" i="15"/>
  <c r="R119" i="15"/>
  <c r="G119" i="15"/>
  <c r="M118" i="15"/>
  <c r="L118" i="15"/>
  <c r="J115" i="2"/>
  <c r="K115" i="2"/>
  <c r="B117" i="2"/>
  <c r="O116" i="2"/>
  <c r="H116" i="2"/>
  <c r="F116" i="2"/>
  <c r="Q116" i="2" s="1"/>
  <c r="G116" i="2"/>
  <c r="D116" i="2"/>
  <c r="E116" i="2"/>
  <c r="P116" i="2"/>
  <c r="R116" i="2"/>
  <c r="M115" i="2"/>
  <c r="L115" i="2"/>
  <c r="I116" i="2" l="1"/>
  <c r="N116" i="2"/>
  <c r="I119" i="15"/>
  <c r="N119" i="15"/>
  <c r="AB136" i="2"/>
  <c r="AC136" i="2"/>
  <c r="AD136" i="2"/>
  <c r="AE136" i="2"/>
  <c r="AA137" i="2"/>
  <c r="U138" i="2"/>
  <c r="Y137" i="2"/>
  <c r="Z137" i="2"/>
  <c r="X137" i="2"/>
  <c r="W137" i="2"/>
  <c r="W138" i="15"/>
  <c r="X138" i="15"/>
  <c r="Z138" i="15"/>
  <c r="U139" i="15"/>
  <c r="Y138" i="15"/>
  <c r="AA138" i="15"/>
  <c r="AD137" i="15"/>
  <c r="AE137" i="15"/>
  <c r="AB137" i="15"/>
  <c r="AC137" i="15"/>
  <c r="K119" i="15"/>
  <c r="J119" i="15"/>
  <c r="R120" i="15"/>
  <c r="H120" i="15"/>
  <c r="G120" i="15"/>
  <c r="F120" i="15"/>
  <c r="Q120" i="15" s="1"/>
  <c r="P120" i="15"/>
  <c r="O120" i="15"/>
  <c r="E120" i="15"/>
  <c r="D120" i="15"/>
  <c r="M119" i="15"/>
  <c r="L119" i="15"/>
  <c r="J116" i="2"/>
  <c r="K116" i="2"/>
  <c r="M116" i="2"/>
  <c r="L116" i="2"/>
  <c r="B118" i="2"/>
  <c r="G117" i="2"/>
  <c r="O117" i="2"/>
  <c r="H117" i="2"/>
  <c r="F117" i="2"/>
  <c r="Q117" i="2" s="1"/>
  <c r="D117" i="2"/>
  <c r="P117" i="2"/>
  <c r="E117" i="2"/>
  <c r="R117" i="2"/>
  <c r="I117" i="2" l="1"/>
  <c r="N117" i="2"/>
  <c r="I120" i="15"/>
  <c r="N120" i="15"/>
  <c r="AC137" i="2"/>
  <c r="AB137" i="2"/>
  <c r="Y138" i="2"/>
  <c r="X138" i="2"/>
  <c r="U139" i="2"/>
  <c r="AA138" i="2"/>
  <c r="W138" i="2"/>
  <c r="Z138" i="2"/>
  <c r="AD137" i="2"/>
  <c r="AE137" i="2"/>
  <c r="AA139" i="15"/>
  <c r="X139" i="15"/>
  <c r="Y139" i="15"/>
  <c r="Z139" i="15"/>
  <c r="U140" i="15"/>
  <c r="W139" i="15"/>
  <c r="AE138" i="15"/>
  <c r="AD138" i="15"/>
  <c r="AB138" i="15"/>
  <c r="AC138" i="15"/>
  <c r="J120" i="15"/>
  <c r="K120" i="15"/>
  <c r="H121" i="15"/>
  <c r="O121" i="15"/>
  <c r="D121" i="15"/>
  <c r="P121" i="15"/>
  <c r="G121" i="15"/>
  <c r="F121" i="15"/>
  <c r="Q121" i="15" s="1"/>
  <c r="R121" i="15"/>
  <c r="E121" i="15"/>
  <c r="M120" i="15"/>
  <c r="L120" i="15"/>
  <c r="J117" i="2"/>
  <c r="K117" i="2"/>
  <c r="M117" i="2"/>
  <c r="L117" i="2"/>
  <c r="G118" i="2"/>
  <c r="D118" i="2"/>
  <c r="O118" i="2"/>
  <c r="H118" i="2"/>
  <c r="B119" i="2"/>
  <c r="F118" i="2"/>
  <c r="Q118" i="2" s="1"/>
  <c r="E118" i="2"/>
  <c r="R118" i="2"/>
  <c r="P118" i="2"/>
  <c r="I118" i="2" l="1"/>
  <c r="N118" i="2"/>
  <c r="I121" i="15"/>
  <c r="N121" i="15"/>
  <c r="AB138" i="2"/>
  <c r="AC138" i="2"/>
  <c r="AE138" i="2"/>
  <c r="AD138" i="2"/>
  <c r="W139" i="2"/>
  <c r="U140" i="2"/>
  <c r="Z139" i="2"/>
  <c r="X139" i="2"/>
  <c r="Y139" i="2"/>
  <c r="AA139" i="2"/>
  <c r="X140" i="15"/>
  <c r="W140" i="15"/>
  <c r="Z140" i="15"/>
  <c r="U141" i="15"/>
  <c r="Y140" i="15"/>
  <c r="AA140" i="15"/>
  <c r="AC139" i="15"/>
  <c r="AB139" i="15"/>
  <c r="AD139" i="15"/>
  <c r="AE139" i="15"/>
  <c r="M121" i="15"/>
  <c r="L121" i="15"/>
  <c r="J121" i="15"/>
  <c r="K121" i="15"/>
  <c r="P122" i="15"/>
  <c r="G122" i="15"/>
  <c r="R122" i="15"/>
  <c r="F122" i="15"/>
  <c r="Q122" i="15" s="1"/>
  <c r="E122" i="15"/>
  <c r="O122" i="15"/>
  <c r="D122" i="15"/>
  <c r="H122" i="15"/>
  <c r="M118" i="2"/>
  <c r="L118" i="2"/>
  <c r="J118" i="2"/>
  <c r="K118" i="2"/>
  <c r="B120" i="2"/>
  <c r="O119" i="2"/>
  <c r="G119" i="2"/>
  <c r="D119" i="2"/>
  <c r="F119" i="2"/>
  <c r="Q119" i="2" s="1"/>
  <c r="E119" i="2"/>
  <c r="H119" i="2"/>
  <c r="P119" i="2"/>
  <c r="R119" i="2"/>
  <c r="I119" i="2" l="1"/>
  <c r="N119" i="2"/>
  <c r="I122" i="15"/>
  <c r="N122" i="15"/>
  <c r="AD139" i="2"/>
  <c r="AE139" i="2"/>
  <c r="Y140" i="2"/>
  <c r="X140" i="2"/>
  <c r="Z140" i="2"/>
  <c r="U141" i="2"/>
  <c r="AA140" i="2"/>
  <c r="W140" i="2"/>
  <c r="AB139" i="2"/>
  <c r="AC139" i="2"/>
  <c r="AB140" i="15"/>
  <c r="AC140" i="15"/>
  <c r="AE140" i="15"/>
  <c r="AD140" i="15"/>
  <c r="Z141" i="15"/>
  <c r="AA141" i="15"/>
  <c r="X141" i="15"/>
  <c r="Y141" i="15"/>
  <c r="U142" i="15"/>
  <c r="W141" i="15"/>
  <c r="O123" i="15"/>
  <c r="F123" i="15"/>
  <c r="Q123" i="15" s="1"/>
  <c r="H123" i="15"/>
  <c r="G123" i="15"/>
  <c r="E123" i="15"/>
  <c r="D123" i="15"/>
  <c r="R123" i="15"/>
  <c r="P123" i="15"/>
  <c r="M122" i="15"/>
  <c r="L122" i="15"/>
  <c r="K122" i="15"/>
  <c r="J122" i="15"/>
  <c r="J119" i="2"/>
  <c r="K119" i="2"/>
  <c r="O120" i="2"/>
  <c r="B121" i="2"/>
  <c r="G120" i="2"/>
  <c r="H120" i="2"/>
  <c r="D120" i="2"/>
  <c r="F120" i="2"/>
  <c r="Q120" i="2" s="1"/>
  <c r="R120" i="2"/>
  <c r="E120" i="2"/>
  <c r="P120" i="2"/>
  <c r="M119" i="2"/>
  <c r="L119" i="2"/>
  <c r="I120" i="2" l="1"/>
  <c r="N120" i="2"/>
  <c r="I123" i="15"/>
  <c r="N123" i="15"/>
  <c r="AC140" i="2"/>
  <c r="AB140" i="2"/>
  <c r="AD140" i="2"/>
  <c r="AE140" i="2"/>
  <c r="AA141" i="2"/>
  <c r="U142" i="2"/>
  <c r="X141" i="2"/>
  <c r="Z141" i="2"/>
  <c r="Y141" i="2"/>
  <c r="W141" i="2"/>
  <c r="W142" i="15"/>
  <c r="Y142" i="15"/>
  <c r="Z142" i="15"/>
  <c r="AA142" i="15"/>
  <c r="X142" i="15"/>
  <c r="U143" i="15"/>
  <c r="AD141" i="15"/>
  <c r="AE141" i="15"/>
  <c r="AC141" i="15"/>
  <c r="AB141" i="15"/>
  <c r="L123" i="15"/>
  <c r="M123" i="15"/>
  <c r="E124" i="15"/>
  <c r="O124" i="15"/>
  <c r="D124" i="15"/>
  <c r="P124" i="15"/>
  <c r="F124" i="15"/>
  <c r="Q124" i="15" s="1"/>
  <c r="H124" i="15"/>
  <c r="R124" i="15"/>
  <c r="G124" i="15"/>
  <c r="J123" i="15"/>
  <c r="K123" i="15"/>
  <c r="K120" i="2"/>
  <c r="J120" i="2"/>
  <c r="M120" i="2"/>
  <c r="L120" i="2"/>
  <c r="O121" i="2"/>
  <c r="B122" i="2"/>
  <c r="G121" i="2"/>
  <c r="H121" i="2"/>
  <c r="D121" i="2"/>
  <c r="F121" i="2"/>
  <c r="Q121" i="2" s="1"/>
  <c r="E121" i="2"/>
  <c r="R121" i="2"/>
  <c r="P121" i="2"/>
  <c r="I121" i="2" l="1"/>
  <c r="N121" i="2"/>
  <c r="I124" i="15"/>
  <c r="N124" i="15"/>
  <c r="AB141" i="2"/>
  <c r="AC141" i="2"/>
  <c r="X142" i="2"/>
  <c r="U143" i="2"/>
  <c r="Z142" i="2"/>
  <c r="Y142" i="2"/>
  <c r="AA142" i="2"/>
  <c r="W142" i="2"/>
  <c r="AE141" i="2"/>
  <c r="AD141" i="2"/>
  <c r="Z143" i="15"/>
  <c r="AA143" i="15"/>
  <c r="U144" i="15"/>
  <c r="Y143" i="15"/>
  <c r="X143" i="15"/>
  <c r="W143" i="15"/>
  <c r="AD142" i="15"/>
  <c r="AE142" i="15"/>
  <c r="AC142" i="15"/>
  <c r="AB142" i="15"/>
  <c r="K124" i="15"/>
  <c r="J124" i="15"/>
  <c r="M124" i="15"/>
  <c r="L124" i="15"/>
  <c r="D125" i="15"/>
  <c r="P125" i="15"/>
  <c r="F125" i="15"/>
  <c r="Q125" i="15" s="1"/>
  <c r="H125" i="15"/>
  <c r="R125" i="15"/>
  <c r="G125" i="15"/>
  <c r="E125" i="15"/>
  <c r="O125" i="15"/>
  <c r="J121" i="2"/>
  <c r="K121" i="2"/>
  <c r="M121" i="2"/>
  <c r="L121" i="2"/>
  <c r="B123" i="2"/>
  <c r="O122" i="2"/>
  <c r="G122" i="2"/>
  <c r="D122" i="2"/>
  <c r="F122" i="2"/>
  <c r="Q122" i="2" s="1"/>
  <c r="H122" i="2"/>
  <c r="E122" i="2"/>
  <c r="P122" i="2"/>
  <c r="R122" i="2"/>
  <c r="I122" i="2" l="1"/>
  <c r="N122" i="2"/>
  <c r="I125" i="15"/>
  <c r="N125" i="15"/>
  <c r="AB142" i="2"/>
  <c r="AC142" i="2"/>
  <c r="AD142" i="2"/>
  <c r="AE142" i="2"/>
  <c r="W143" i="2"/>
  <c r="Y143" i="2"/>
  <c r="U144" i="2"/>
  <c r="AA143" i="2"/>
  <c r="Z143" i="2"/>
  <c r="X143" i="2"/>
  <c r="AB143" i="15"/>
  <c r="AC143" i="15"/>
  <c r="W144" i="15"/>
  <c r="Y144" i="15"/>
  <c r="Z144" i="15"/>
  <c r="U145" i="15"/>
  <c r="X144" i="15"/>
  <c r="AA144" i="15"/>
  <c r="AD143" i="15"/>
  <c r="AE143" i="15"/>
  <c r="L125" i="15"/>
  <c r="M125" i="15"/>
  <c r="G126" i="15"/>
  <c r="O126" i="15"/>
  <c r="R126" i="15"/>
  <c r="E126" i="15"/>
  <c r="P126" i="15"/>
  <c r="H126" i="15"/>
  <c r="D126" i="15"/>
  <c r="F126" i="15"/>
  <c r="Q126" i="15" s="1"/>
  <c r="K125" i="15"/>
  <c r="J125" i="15"/>
  <c r="M122" i="2"/>
  <c r="L122" i="2"/>
  <c r="J122" i="2"/>
  <c r="K122" i="2"/>
  <c r="O123" i="2"/>
  <c r="G123" i="2"/>
  <c r="B124" i="2"/>
  <c r="D123" i="2"/>
  <c r="H123" i="2"/>
  <c r="E123" i="2"/>
  <c r="P123" i="2"/>
  <c r="R123" i="2"/>
  <c r="F123" i="2"/>
  <c r="Q123" i="2" s="1"/>
  <c r="I123" i="2" l="1"/>
  <c r="N123" i="2"/>
  <c r="I126" i="15"/>
  <c r="N126" i="15"/>
  <c r="AD143" i="2"/>
  <c r="AE143" i="2"/>
  <c r="Y144" i="2"/>
  <c r="W144" i="2"/>
  <c r="X144" i="2"/>
  <c r="U145" i="2"/>
  <c r="AA144" i="2"/>
  <c r="Z144" i="2"/>
  <c r="AB143" i="2"/>
  <c r="AC143" i="2"/>
  <c r="W145" i="15"/>
  <c r="Y145" i="15"/>
  <c r="X145" i="15"/>
  <c r="Z145" i="15"/>
  <c r="AA145" i="15"/>
  <c r="U146" i="15"/>
  <c r="AB144" i="15"/>
  <c r="AC144" i="15"/>
  <c r="AD144" i="15"/>
  <c r="AE144" i="15"/>
  <c r="R127" i="15"/>
  <c r="H127" i="15"/>
  <c r="P127" i="15"/>
  <c r="E127" i="15"/>
  <c r="O127" i="15"/>
  <c r="D127" i="15"/>
  <c r="F127" i="15"/>
  <c r="Q127" i="15" s="1"/>
  <c r="G127" i="15"/>
  <c r="K126" i="15"/>
  <c r="J126" i="15"/>
  <c r="L126" i="15"/>
  <c r="M126" i="15"/>
  <c r="M123" i="2"/>
  <c r="L123" i="2"/>
  <c r="J123" i="2"/>
  <c r="K123" i="2"/>
  <c r="B125" i="2"/>
  <c r="O124" i="2"/>
  <c r="G124" i="2"/>
  <c r="F124" i="2"/>
  <c r="Q124" i="2" s="1"/>
  <c r="H124" i="2"/>
  <c r="E124" i="2"/>
  <c r="P124" i="2"/>
  <c r="D124" i="2"/>
  <c r="R124" i="2"/>
  <c r="I124" i="2" l="1"/>
  <c r="N124" i="2"/>
  <c r="I127" i="15"/>
  <c r="N127" i="15"/>
  <c r="AE144" i="2"/>
  <c r="AD144" i="2"/>
  <c r="AA145" i="2"/>
  <c r="U146" i="2"/>
  <c r="Y145" i="2"/>
  <c r="X145" i="2"/>
  <c r="Z145" i="2"/>
  <c r="W145" i="2"/>
  <c r="AB144" i="2"/>
  <c r="AC144" i="2"/>
  <c r="X146" i="15"/>
  <c r="Y146" i="15"/>
  <c r="AA146" i="15"/>
  <c r="U147" i="15"/>
  <c r="W146" i="15"/>
  <c r="Z146" i="15"/>
  <c r="AD145" i="15"/>
  <c r="AE145" i="15"/>
  <c r="AC145" i="15"/>
  <c r="AB145" i="15"/>
  <c r="R128" i="15"/>
  <c r="H128" i="15"/>
  <c r="G128" i="15"/>
  <c r="F128" i="15"/>
  <c r="Q128" i="15" s="1"/>
  <c r="E128" i="15"/>
  <c r="D128" i="15"/>
  <c r="P128" i="15"/>
  <c r="O128" i="15"/>
  <c r="J127" i="15"/>
  <c r="K127" i="15"/>
  <c r="M127" i="15"/>
  <c r="L127" i="15"/>
  <c r="B126" i="2"/>
  <c r="O125" i="2"/>
  <c r="G125" i="2"/>
  <c r="H125" i="2"/>
  <c r="D125" i="2"/>
  <c r="E125" i="2"/>
  <c r="P125" i="2"/>
  <c r="F125" i="2"/>
  <c r="Q125" i="2" s="1"/>
  <c r="R125" i="2"/>
  <c r="J124" i="2"/>
  <c r="K124" i="2"/>
  <c r="M124" i="2"/>
  <c r="L124" i="2"/>
  <c r="I125" i="2" l="1"/>
  <c r="N125" i="2"/>
  <c r="I128" i="15"/>
  <c r="N128" i="15"/>
  <c r="AD145" i="2"/>
  <c r="AE145" i="2"/>
  <c r="AB145" i="2"/>
  <c r="AC145" i="2"/>
  <c r="W146" i="2"/>
  <c r="Y146" i="2"/>
  <c r="AA146" i="2"/>
  <c r="Z146" i="2"/>
  <c r="X146" i="2"/>
  <c r="U147" i="2"/>
  <c r="AC146" i="15"/>
  <c r="AB146" i="15"/>
  <c r="Z147" i="15"/>
  <c r="AA147" i="15"/>
  <c r="U148" i="15"/>
  <c r="W147" i="15"/>
  <c r="Y147" i="15"/>
  <c r="X147" i="15"/>
  <c r="AE146" i="15"/>
  <c r="AD146" i="15"/>
  <c r="M128" i="15"/>
  <c r="L128" i="15"/>
  <c r="J128" i="15"/>
  <c r="K128" i="15"/>
  <c r="H129" i="15"/>
  <c r="O129" i="15"/>
  <c r="D129" i="15"/>
  <c r="G129" i="15"/>
  <c r="F129" i="15"/>
  <c r="Q129" i="15" s="1"/>
  <c r="R129" i="15"/>
  <c r="P129" i="15"/>
  <c r="E129" i="15"/>
  <c r="M125" i="2"/>
  <c r="L125" i="2"/>
  <c r="O126" i="2"/>
  <c r="D126" i="2"/>
  <c r="B127" i="2"/>
  <c r="H126" i="2"/>
  <c r="F126" i="2"/>
  <c r="Q126" i="2" s="1"/>
  <c r="G126" i="2"/>
  <c r="E126" i="2"/>
  <c r="P126" i="2"/>
  <c r="R126" i="2"/>
  <c r="J125" i="2"/>
  <c r="K125" i="2"/>
  <c r="I126" i="2" l="1"/>
  <c r="N126" i="2"/>
  <c r="I129" i="15"/>
  <c r="N129" i="15"/>
  <c r="Y147" i="2"/>
  <c r="X147" i="2"/>
  <c r="AA147" i="2"/>
  <c r="U148" i="2"/>
  <c r="Z147" i="2"/>
  <c r="W147" i="2"/>
  <c r="AD146" i="2"/>
  <c r="AE146" i="2"/>
  <c r="AB146" i="2"/>
  <c r="AC146" i="2"/>
  <c r="AB147" i="15"/>
  <c r="AC147" i="15"/>
  <c r="W148" i="15"/>
  <c r="Y148" i="15"/>
  <c r="X148" i="15"/>
  <c r="Z148" i="15"/>
  <c r="AA148" i="15"/>
  <c r="U149" i="15"/>
  <c r="AE147" i="15"/>
  <c r="AD147" i="15"/>
  <c r="P130" i="15"/>
  <c r="G130" i="15"/>
  <c r="R130" i="15"/>
  <c r="F130" i="15"/>
  <c r="Q130" i="15" s="1"/>
  <c r="E130" i="15"/>
  <c r="O130" i="15"/>
  <c r="D130" i="15"/>
  <c r="H130" i="15"/>
  <c r="K129" i="15"/>
  <c r="J129" i="15"/>
  <c r="M129" i="15"/>
  <c r="L129" i="15"/>
  <c r="M126" i="2"/>
  <c r="L126" i="2"/>
  <c r="B128" i="2"/>
  <c r="D127" i="2"/>
  <c r="G127" i="2"/>
  <c r="E127" i="2"/>
  <c r="H127" i="2"/>
  <c r="O127" i="2"/>
  <c r="F127" i="2"/>
  <c r="Q127" i="2" s="1"/>
  <c r="R127" i="2"/>
  <c r="P127" i="2"/>
  <c r="J126" i="2"/>
  <c r="K126" i="2"/>
  <c r="I127" i="2" l="1"/>
  <c r="N127" i="2"/>
  <c r="I130" i="15"/>
  <c r="N130" i="15"/>
  <c r="AB147" i="2"/>
  <c r="AC147" i="2"/>
  <c r="AA148" i="2"/>
  <c r="U149" i="2"/>
  <c r="X148" i="2"/>
  <c r="Z148" i="2"/>
  <c r="W148" i="2"/>
  <c r="Y148" i="2"/>
  <c r="AD147" i="2"/>
  <c r="AE147" i="2"/>
  <c r="AD148" i="15"/>
  <c r="AE148" i="15"/>
  <c r="AB148" i="15"/>
  <c r="AC148" i="15"/>
  <c r="W149" i="15"/>
  <c r="Y149" i="15"/>
  <c r="X149" i="15"/>
  <c r="U150" i="15"/>
  <c r="Z149" i="15"/>
  <c r="AA149" i="15"/>
  <c r="L130" i="15"/>
  <c r="M130" i="15"/>
  <c r="K130" i="15"/>
  <c r="J130" i="15"/>
  <c r="O131" i="15"/>
  <c r="F131" i="15"/>
  <c r="Q131" i="15" s="1"/>
  <c r="D131" i="15"/>
  <c r="H131" i="15"/>
  <c r="R131" i="15"/>
  <c r="P131" i="15"/>
  <c r="G131" i="15"/>
  <c r="E131" i="15"/>
  <c r="M127" i="2"/>
  <c r="L127" i="2"/>
  <c r="K127" i="2"/>
  <c r="J127" i="2"/>
  <c r="O128" i="2"/>
  <c r="B129" i="2"/>
  <c r="G128" i="2"/>
  <c r="F128" i="2"/>
  <c r="Q128" i="2" s="1"/>
  <c r="E128" i="2"/>
  <c r="H128" i="2"/>
  <c r="R128" i="2"/>
  <c r="D128" i="2"/>
  <c r="P128" i="2"/>
  <c r="I128" i="2" l="1"/>
  <c r="N128" i="2"/>
  <c r="I131" i="15"/>
  <c r="N131" i="15"/>
  <c r="AE148" i="2"/>
  <c r="AD148" i="2"/>
  <c r="AC148" i="2"/>
  <c r="AB148" i="2"/>
  <c r="AA149" i="2"/>
  <c r="U150" i="2"/>
  <c r="W149" i="2"/>
  <c r="X149" i="2"/>
  <c r="Y149" i="2"/>
  <c r="Z149" i="2"/>
  <c r="AC149" i="15"/>
  <c r="AB149" i="15"/>
  <c r="AD149" i="15"/>
  <c r="AE149" i="15"/>
  <c r="X150" i="15"/>
  <c r="Y150" i="15"/>
  <c r="AA150" i="15"/>
  <c r="U151" i="15"/>
  <c r="W150" i="15"/>
  <c r="Z150" i="15"/>
  <c r="J131" i="15"/>
  <c r="K131" i="15"/>
  <c r="E132" i="15"/>
  <c r="P132" i="15"/>
  <c r="F132" i="15"/>
  <c r="Q132" i="15" s="1"/>
  <c r="O132" i="15"/>
  <c r="D132" i="15"/>
  <c r="H132" i="15"/>
  <c r="G132" i="15"/>
  <c r="R132" i="15"/>
  <c r="M131" i="15"/>
  <c r="L131" i="15"/>
  <c r="O129" i="2"/>
  <c r="B130" i="2"/>
  <c r="G129" i="2"/>
  <c r="H129" i="2"/>
  <c r="D129" i="2"/>
  <c r="E129" i="2"/>
  <c r="F129" i="2"/>
  <c r="Q129" i="2" s="1"/>
  <c r="R129" i="2"/>
  <c r="P129" i="2"/>
  <c r="M128" i="2"/>
  <c r="L128" i="2"/>
  <c r="K128" i="2"/>
  <c r="J128" i="2"/>
  <c r="I129" i="2" l="1"/>
  <c r="N129" i="2"/>
  <c r="I132" i="15"/>
  <c r="N132" i="15"/>
  <c r="AB149" i="2"/>
  <c r="AC149" i="2"/>
  <c r="W150" i="2"/>
  <c r="X150" i="2"/>
  <c r="Z150" i="2"/>
  <c r="U151" i="2"/>
  <c r="AA150" i="2"/>
  <c r="Y150" i="2"/>
  <c r="AD149" i="2"/>
  <c r="AE149" i="2"/>
  <c r="AC150" i="15"/>
  <c r="AB150" i="15"/>
  <c r="AE150" i="15"/>
  <c r="AD150" i="15"/>
  <c r="Z151" i="15"/>
  <c r="AA151" i="15"/>
  <c r="U152" i="15"/>
  <c r="W151" i="15"/>
  <c r="X151" i="15"/>
  <c r="Y151" i="15"/>
  <c r="D133" i="15"/>
  <c r="G133" i="15"/>
  <c r="H133" i="15"/>
  <c r="R133" i="15"/>
  <c r="F133" i="15"/>
  <c r="Q133" i="15" s="1"/>
  <c r="P133" i="15"/>
  <c r="E133" i="15"/>
  <c r="O133" i="15"/>
  <c r="K132" i="15"/>
  <c r="J132" i="15"/>
  <c r="M132" i="15"/>
  <c r="L132" i="15"/>
  <c r="B131" i="2"/>
  <c r="O130" i="2"/>
  <c r="G130" i="2"/>
  <c r="D130" i="2"/>
  <c r="H130" i="2"/>
  <c r="F130" i="2"/>
  <c r="Q130" i="2" s="1"/>
  <c r="E130" i="2"/>
  <c r="P130" i="2"/>
  <c r="R130" i="2"/>
  <c r="J129" i="2"/>
  <c r="K129" i="2"/>
  <c r="M129" i="2"/>
  <c r="L129" i="2"/>
  <c r="I130" i="2" l="1"/>
  <c r="N130" i="2"/>
  <c r="I133" i="15"/>
  <c r="N133" i="15"/>
  <c r="AC150" i="2"/>
  <c r="AB150" i="2"/>
  <c r="AD150" i="2"/>
  <c r="AE150" i="2"/>
  <c r="Y151" i="2"/>
  <c r="X151" i="2"/>
  <c r="W151" i="2"/>
  <c r="Z151" i="2"/>
  <c r="U152" i="2"/>
  <c r="AA151" i="2"/>
  <c r="AD151" i="15"/>
  <c r="AE151" i="15"/>
  <c r="W152" i="15"/>
  <c r="AA152" i="15"/>
  <c r="Z152" i="15"/>
  <c r="U153" i="15"/>
  <c r="X152" i="15"/>
  <c r="Y152" i="15"/>
  <c r="AB151" i="15"/>
  <c r="AC151" i="15"/>
  <c r="J133" i="15"/>
  <c r="K133" i="15"/>
  <c r="R134" i="15"/>
  <c r="H134" i="15"/>
  <c r="G134" i="15"/>
  <c r="F134" i="15"/>
  <c r="Q134" i="15" s="1"/>
  <c r="E134" i="15"/>
  <c r="D134" i="15"/>
  <c r="P134" i="15"/>
  <c r="O134" i="15"/>
  <c r="L133" i="15"/>
  <c r="M133" i="15"/>
  <c r="O131" i="2"/>
  <c r="G131" i="2"/>
  <c r="B132" i="2"/>
  <c r="D131" i="2"/>
  <c r="F131" i="2"/>
  <c r="Q131" i="2" s="1"/>
  <c r="E131" i="2"/>
  <c r="P131" i="2"/>
  <c r="H131" i="2"/>
  <c r="R131" i="2"/>
  <c r="M130" i="2"/>
  <c r="L130" i="2"/>
  <c r="J130" i="2"/>
  <c r="K130" i="2"/>
  <c r="I131" i="2" l="1"/>
  <c r="N131" i="2"/>
  <c r="I134" i="15"/>
  <c r="N134" i="15"/>
  <c r="AD151" i="2"/>
  <c r="AE151" i="2"/>
  <c r="AA152" i="2"/>
  <c r="U153" i="2"/>
  <c r="W152" i="2"/>
  <c r="Y152" i="2"/>
  <c r="Z152" i="2"/>
  <c r="X152" i="2"/>
  <c r="AC151" i="2"/>
  <c r="AB151" i="2"/>
  <c r="W153" i="15"/>
  <c r="Y153" i="15"/>
  <c r="AA153" i="15"/>
  <c r="U154" i="15"/>
  <c r="X153" i="15"/>
  <c r="Z153" i="15"/>
  <c r="AB152" i="15"/>
  <c r="AC152" i="15"/>
  <c r="AD152" i="15"/>
  <c r="AE152" i="15"/>
  <c r="K134" i="15"/>
  <c r="J134" i="15"/>
  <c r="L134" i="15"/>
  <c r="M134" i="15"/>
  <c r="P135" i="15"/>
  <c r="E135" i="15"/>
  <c r="O135" i="15"/>
  <c r="D135" i="15"/>
  <c r="F135" i="15"/>
  <c r="Q135" i="15" s="1"/>
  <c r="G135" i="15"/>
  <c r="H135" i="15"/>
  <c r="R135" i="15"/>
  <c r="M131" i="2"/>
  <c r="L131" i="2"/>
  <c r="J131" i="2"/>
  <c r="K131" i="2"/>
  <c r="B133" i="2"/>
  <c r="G132" i="2"/>
  <c r="H132" i="2"/>
  <c r="D132" i="2"/>
  <c r="F132" i="2"/>
  <c r="Q132" i="2" s="1"/>
  <c r="P132" i="2"/>
  <c r="E132" i="2"/>
  <c r="O132" i="2"/>
  <c r="R132" i="2"/>
  <c r="I132" i="2" l="1"/>
  <c r="N132" i="2"/>
  <c r="I135" i="15"/>
  <c r="N135" i="15"/>
  <c r="AE152" i="2"/>
  <c r="AD152" i="2"/>
  <c r="AB152" i="2"/>
  <c r="AC152" i="2"/>
  <c r="AA153" i="2"/>
  <c r="Y153" i="2"/>
  <c r="U154" i="2"/>
  <c r="W153" i="2"/>
  <c r="Z153" i="2"/>
  <c r="X153" i="2"/>
  <c r="AD153" i="15"/>
  <c r="AE153" i="15"/>
  <c r="X154" i="15"/>
  <c r="Y154" i="15"/>
  <c r="AA154" i="15"/>
  <c r="U155" i="15"/>
  <c r="Z154" i="15"/>
  <c r="W154" i="15"/>
  <c r="AC153" i="15"/>
  <c r="AB153" i="15"/>
  <c r="J135" i="15"/>
  <c r="K135" i="15"/>
  <c r="R136" i="15"/>
  <c r="H136" i="15"/>
  <c r="G136" i="15"/>
  <c r="F136" i="15"/>
  <c r="Q136" i="15" s="1"/>
  <c r="P136" i="15"/>
  <c r="D136" i="15"/>
  <c r="O136" i="15"/>
  <c r="E136" i="15"/>
  <c r="M135" i="15"/>
  <c r="L135" i="15"/>
  <c r="J132" i="2"/>
  <c r="K132" i="2"/>
  <c r="M132" i="2"/>
  <c r="L132" i="2"/>
  <c r="B134" i="2"/>
  <c r="O133" i="2"/>
  <c r="G133" i="2"/>
  <c r="H133" i="2"/>
  <c r="F133" i="2"/>
  <c r="Q133" i="2" s="1"/>
  <c r="D133" i="2"/>
  <c r="P133" i="2"/>
  <c r="E133" i="2"/>
  <c r="R133" i="2"/>
  <c r="I133" i="2" l="1"/>
  <c r="N133" i="2"/>
  <c r="I136" i="15"/>
  <c r="N136" i="15"/>
  <c r="AB153" i="2"/>
  <c r="AC153" i="2"/>
  <c r="W154" i="2"/>
  <c r="Y154" i="2"/>
  <c r="X154" i="2"/>
  <c r="Z154" i="2"/>
  <c r="AA154" i="2"/>
  <c r="U155" i="2"/>
  <c r="AD153" i="2"/>
  <c r="AE153" i="2"/>
  <c r="AE154" i="15"/>
  <c r="AD154" i="15"/>
  <c r="Z155" i="15"/>
  <c r="AA155" i="15"/>
  <c r="U156" i="15"/>
  <c r="X155" i="15"/>
  <c r="Y155" i="15"/>
  <c r="W155" i="15"/>
  <c r="AC154" i="15"/>
  <c r="AB154" i="15"/>
  <c r="L136" i="15"/>
  <c r="M136" i="15"/>
  <c r="H137" i="15"/>
  <c r="R137" i="15"/>
  <c r="D137" i="15"/>
  <c r="P137" i="15"/>
  <c r="O137" i="15"/>
  <c r="E137" i="15"/>
  <c r="G137" i="15"/>
  <c r="F137" i="15"/>
  <c r="Q137" i="15" s="1"/>
  <c r="K136" i="15"/>
  <c r="J136" i="15"/>
  <c r="K133" i="2"/>
  <c r="J133" i="2"/>
  <c r="L133" i="2"/>
  <c r="M133" i="2"/>
  <c r="O134" i="2"/>
  <c r="H134" i="2"/>
  <c r="D134" i="2"/>
  <c r="G134" i="2"/>
  <c r="B135" i="2"/>
  <c r="F134" i="2"/>
  <c r="Q134" i="2" s="1"/>
  <c r="E134" i="2"/>
  <c r="P134" i="2"/>
  <c r="R134" i="2"/>
  <c r="I134" i="2" l="1"/>
  <c r="N134" i="2"/>
  <c r="I137" i="15"/>
  <c r="N137" i="15"/>
  <c r="AC154" i="2"/>
  <c r="AB154" i="2"/>
  <c r="Y155" i="2"/>
  <c r="AA155" i="2"/>
  <c r="U156" i="2"/>
  <c r="X155" i="2"/>
  <c r="Z155" i="2"/>
  <c r="W155" i="2"/>
  <c r="AD154" i="2"/>
  <c r="AE154" i="2"/>
  <c r="W156" i="15"/>
  <c r="X156" i="15"/>
  <c r="U157" i="15"/>
  <c r="Y156" i="15"/>
  <c r="AA156" i="15"/>
  <c r="Z156" i="15"/>
  <c r="AD155" i="15"/>
  <c r="AE155" i="15"/>
  <c r="AB155" i="15"/>
  <c r="AC155" i="15"/>
  <c r="K137" i="15"/>
  <c r="J137" i="15"/>
  <c r="L137" i="15"/>
  <c r="M137" i="15"/>
  <c r="P138" i="15"/>
  <c r="G138" i="15"/>
  <c r="D138" i="15"/>
  <c r="R138" i="15"/>
  <c r="E138" i="15"/>
  <c r="O138" i="15"/>
  <c r="H138" i="15"/>
  <c r="F138" i="15"/>
  <c r="Q138" i="15" s="1"/>
  <c r="H135" i="2"/>
  <c r="D135" i="2"/>
  <c r="B136" i="2"/>
  <c r="G135" i="2"/>
  <c r="F135" i="2"/>
  <c r="Q135" i="2" s="1"/>
  <c r="E135" i="2"/>
  <c r="O135" i="2"/>
  <c r="P135" i="2"/>
  <c r="R135" i="2"/>
  <c r="J134" i="2"/>
  <c r="K134" i="2"/>
  <c r="M134" i="2"/>
  <c r="L134" i="2"/>
  <c r="I135" i="2" l="1"/>
  <c r="N135" i="2"/>
  <c r="I138" i="15"/>
  <c r="N138" i="15"/>
  <c r="AB155" i="2"/>
  <c r="AC155" i="2"/>
  <c r="AA156" i="2"/>
  <c r="U157" i="2"/>
  <c r="X156" i="2"/>
  <c r="W156" i="2"/>
  <c r="Y156" i="2"/>
  <c r="Z156" i="2"/>
  <c r="AE155" i="2"/>
  <c r="AD155" i="2"/>
  <c r="AD156" i="15"/>
  <c r="AE156" i="15"/>
  <c r="W157" i="15"/>
  <c r="Y157" i="15"/>
  <c r="U158" i="15"/>
  <c r="X157" i="15"/>
  <c r="AA157" i="15"/>
  <c r="Z157" i="15"/>
  <c r="AB156" i="15"/>
  <c r="AC156" i="15"/>
  <c r="O139" i="15"/>
  <c r="F139" i="15"/>
  <c r="Q139" i="15" s="1"/>
  <c r="D139" i="15"/>
  <c r="P139" i="15"/>
  <c r="E139" i="15"/>
  <c r="R139" i="15"/>
  <c r="G139" i="15"/>
  <c r="H139" i="15"/>
  <c r="K138" i="15"/>
  <c r="J138" i="15"/>
  <c r="L138" i="15"/>
  <c r="M138" i="15"/>
  <c r="K135" i="2"/>
  <c r="J135" i="2"/>
  <c r="O136" i="2"/>
  <c r="B137" i="2"/>
  <c r="G136" i="2"/>
  <c r="H136" i="2"/>
  <c r="D136" i="2"/>
  <c r="F136" i="2"/>
  <c r="Q136" i="2" s="1"/>
  <c r="R136" i="2"/>
  <c r="P136" i="2"/>
  <c r="E136" i="2"/>
  <c r="L135" i="2"/>
  <c r="M135" i="2"/>
  <c r="I136" i="2" l="1"/>
  <c r="N136" i="2"/>
  <c r="I139" i="15"/>
  <c r="N139" i="15"/>
  <c r="AD156" i="2"/>
  <c r="AE156" i="2"/>
  <c r="AC156" i="2"/>
  <c r="AB156" i="2"/>
  <c r="Z157" i="2"/>
  <c r="U158" i="2"/>
  <c r="Y157" i="2"/>
  <c r="W157" i="2"/>
  <c r="X157" i="2"/>
  <c r="AA157" i="2"/>
  <c r="AD157" i="15"/>
  <c r="AE157" i="15"/>
  <c r="X158" i="15"/>
  <c r="Y158" i="15"/>
  <c r="AA158" i="15"/>
  <c r="U159" i="15"/>
  <c r="Z158" i="15"/>
  <c r="W158" i="15"/>
  <c r="AC157" i="15"/>
  <c r="AB157" i="15"/>
  <c r="E140" i="15"/>
  <c r="P140" i="15"/>
  <c r="F140" i="15"/>
  <c r="Q140" i="15" s="1"/>
  <c r="O140" i="15"/>
  <c r="D140" i="15"/>
  <c r="G140" i="15"/>
  <c r="H140" i="15"/>
  <c r="R140" i="15"/>
  <c r="K139" i="15"/>
  <c r="J139" i="15"/>
  <c r="M139" i="15"/>
  <c r="L139" i="15"/>
  <c r="K136" i="2"/>
  <c r="J136" i="2"/>
  <c r="M136" i="2"/>
  <c r="L136" i="2"/>
  <c r="O137" i="2"/>
  <c r="B138" i="2"/>
  <c r="H137" i="2"/>
  <c r="G137" i="2"/>
  <c r="D137" i="2"/>
  <c r="E137" i="2"/>
  <c r="F137" i="2"/>
  <c r="Q137" i="2" s="1"/>
  <c r="R137" i="2"/>
  <c r="P137" i="2"/>
  <c r="I137" i="2" l="1"/>
  <c r="N137" i="2"/>
  <c r="I140" i="15"/>
  <c r="N140" i="15"/>
  <c r="AD157" i="2"/>
  <c r="AE157" i="2"/>
  <c r="AB157" i="2"/>
  <c r="AC157" i="2"/>
  <c r="W158" i="2"/>
  <c r="X158" i="2"/>
  <c r="Y158" i="2"/>
  <c r="Z158" i="2"/>
  <c r="AA158" i="2"/>
  <c r="U159" i="2"/>
  <c r="Z159" i="15"/>
  <c r="AA159" i="15"/>
  <c r="U160" i="15"/>
  <c r="X159" i="15"/>
  <c r="Y159" i="15"/>
  <c r="W159" i="15"/>
  <c r="AE158" i="15"/>
  <c r="AD158" i="15"/>
  <c r="AB158" i="15"/>
  <c r="AC158" i="15"/>
  <c r="M140" i="15"/>
  <c r="L140" i="15"/>
  <c r="K140" i="15"/>
  <c r="J140" i="15"/>
  <c r="D141" i="15"/>
  <c r="G141" i="15"/>
  <c r="P141" i="15"/>
  <c r="F141" i="15"/>
  <c r="Q141" i="15" s="1"/>
  <c r="O141" i="15"/>
  <c r="E141" i="15"/>
  <c r="R141" i="15"/>
  <c r="H141" i="15"/>
  <c r="J137" i="2"/>
  <c r="K137" i="2"/>
  <c r="M137" i="2"/>
  <c r="L137" i="2"/>
  <c r="B139" i="2"/>
  <c r="O138" i="2"/>
  <c r="G138" i="2"/>
  <c r="D138" i="2"/>
  <c r="F138" i="2"/>
  <c r="Q138" i="2" s="1"/>
  <c r="H138" i="2"/>
  <c r="E138" i="2"/>
  <c r="R138" i="2"/>
  <c r="P138" i="2"/>
  <c r="I138" i="2" l="1"/>
  <c r="N138" i="2"/>
  <c r="I141" i="15"/>
  <c r="N141" i="15"/>
  <c r="Y159" i="2"/>
  <c r="Z159" i="2"/>
  <c r="U160" i="2"/>
  <c r="AA159" i="2"/>
  <c r="X159" i="2"/>
  <c r="W159" i="2"/>
  <c r="AD158" i="2"/>
  <c r="AE158" i="2"/>
  <c r="AC158" i="2"/>
  <c r="AB158" i="2"/>
  <c r="AB159" i="15"/>
  <c r="AC159" i="15"/>
  <c r="W160" i="15"/>
  <c r="X160" i="15"/>
  <c r="U161" i="15"/>
  <c r="Z160" i="15"/>
  <c r="Y160" i="15"/>
  <c r="AA160" i="15"/>
  <c r="AE159" i="15"/>
  <c r="AD159" i="15"/>
  <c r="K141" i="15"/>
  <c r="J141" i="15"/>
  <c r="R142" i="15"/>
  <c r="H142" i="15"/>
  <c r="G142" i="15"/>
  <c r="P142" i="15"/>
  <c r="F142" i="15"/>
  <c r="Q142" i="15" s="1"/>
  <c r="E142" i="15"/>
  <c r="D142" i="15"/>
  <c r="O142" i="15"/>
  <c r="L141" i="15"/>
  <c r="M141" i="15"/>
  <c r="J138" i="2"/>
  <c r="K138" i="2"/>
  <c r="O139" i="2"/>
  <c r="G139" i="2"/>
  <c r="B140" i="2"/>
  <c r="H139" i="2"/>
  <c r="D139" i="2"/>
  <c r="E139" i="2"/>
  <c r="F139" i="2"/>
  <c r="Q139" i="2" s="1"/>
  <c r="R139" i="2"/>
  <c r="P139" i="2"/>
  <c r="M138" i="2"/>
  <c r="L138" i="2"/>
  <c r="I139" i="2" l="1"/>
  <c r="N139" i="2"/>
  <c r="I142" i="15"/>
  <c r="N142" i="15"/>
  <c r="AB159" i="2"/>
  <c r="AC159" i="2"/>
  <c r="AE159" i="2"/>
  <c r="AD159" i="2"/>
  <c r="AA160" i="2"/>
  <c r="U161" i="2"/>
  <c r="W160" i="2"/>
  <c r="Y160" i="2"/>
  <c r="X160" i="2"/>
  <c r="Z160" i="2"/>
  <c r="W161" i="15"/>
  <c r="Y161" i="15"/>
  <c r="U162" i="15"/>
  <c r="Z161" i="15"/>
  <c r="AA161" i="15"/>
  <c r="X161" i="15"/>
  <c r="AB160" i="15"/>
  <c r="AC160" i="15"/>
  <c r="AD160" i="15"/>
  <c r="AE160" i="15"/>
  <c r="L142" i="15"/>
  <c r="M142" i="15"/>
  <c r="R143" i="15"/>
  <c r="H143" i="15"/>
  <c r="G143" i="15"/>
  <c r="F143" i="15"/>
  <c r="Q143" i="15" s="1"/>
  <c r="E143" i="15"/>
  <c r="D143" i="15"/>
  <c r="P143" i="15"/>
  <c r="O143" i="15"/>
  <c r="K142" i="15"/>
  <c r="J142" i="15"/>
  <c r="J139" i="2"/>
  <c r="K139" i="2"/>
  <c r="M139" i="2"/>
  <c r="L139" i="2"/>
  <c r="B141" i="2"/>
  <c r="G140" i="2"/>
  <c r="O140" i="2"/>
  <c r="H140" i="2"/>
  <c r="D140" i="2"/>
  <c r="E140" i="2"/>
  <c r="P140" i="2"/>
  <c r="F140" i="2"/>
  <c r="Q140" i="2" s="1"/>
  <c r="R140" i="2"/>
  <c r="I140" i="2" l="1"/>
  <c r="N140" i="2"/>
  <c r="I143" i="15"/>
  <c r="N143" i="15"/>
  <c r="AC160" i="2"/>
  <c r="AB160" i="2"/>
  <c r="Y161" i="2"/>
  <c r="AA161" i="2"/>
  <c r="W161" i="2"/>
  <c r="U162" i="2"/>
  <c r="Z161" i="2"/>
  <c r="X161" i="2"/>
  <c r="AE160" i="2"/>
  <c r="AD160" i="2"/>
  <c r="AD161" i="15"/>
  <c r="AE161" i="15"/>
  <c r="X162" i="15"/>
  <c r="Y162" i="15"/>
  <c r="AA162" i="15"/>
  <c r="U163" i="15"/>
  <c r="W162" i="15"/>
  <c r="Z162" i="15"/>
  <c r="AC161" i="15"/>
  <c r="AB161" i="15"/>
  <c r="L143" i="15"/>
  <c r="M143" i="15"/>
  <c r="R144" i="15"/>
  <c r="H144" i="15"/>
  <c r="G144" i="15"/>
  <c r="F144" i="15"/>
  <c r="Q144" i="15" s="1"/>
  <c r="E144" i="15"/>
  <c r="P144" i="15"/>
  <c r="O144" i="15"/>
  <c r="D144" i="15"/>
  <c r="J143" i="15"/>
  <c r="K143" i="15"/>
  <c r="J140" i="2"/>
  <c r="K140" i="2"/>
  <c r="M140" i="2"/>
  <c r="L140" i="2"/>
  <c r="B142" i="2"/>
  <c r="O141" i="2"/>
  <c r="G141" i="2"/>
  <c r="H141" i="2"/>
  <c r="D141" i="2"/>
  <c r="F141" i="2"/>
  <c r="Q141" i="2" s="1"/>
  <c r="E141" i="2"/>
  <c r="P141" i="2"/>
  <c r="R141" i="2"/>
  <c r="I141" i="2" l="1"/>
  <c r="N141" i="2"/>
  <c r="I144" i="15"/>
  <c r="N144" i="15"/>
  <c r="W162" i="2"/>
  <c r="U163" i="2"/>
  <c r="X162" i="2"/>
  <c r="Y162" i="2"/>
  <c r="Z162" i="2"/>
  <c r="AA162" i="2"/>
  <c r="AB161" i="2"/>
  <c r="AC161" i="2"/>
  <c r="AD161" i="2"/>
  <c r="AE161" i="2"/>
  <c r="AE162" i="15"/>
  <c r="AD162" i="15"/>
  <c r="AB162" i="15"/>
  <c r="AC162" i="15"/>
  <c r="Z163" i="15"/>
  <c r="AA163" i="15"/>
  <c r="U164" i="15"/>
  <c r="X163" i="15"/>
  <c r="Y163" i="15"/>
  <c r="W163" i="15"/>
  <c r="K144" i="15"/>
  <c r="J144" i="15"/>
  <c r="L144" i="15"/>
  <c r="M144" i="15"/>
  <c r="H145" i="15"/>
  <c r="D145" i="15"/>
  <c r="G145" i="15"/>
  <c r="F145" i="15"/>
  <c r="Q145" i="15" s="1"/>
  <c r="O145" i="15"/>
  <c r="E145" i="15"/>
  <c r="P145" i="15"/>
  <c r="R145" i="15"/>
  <c r="O142" i="2"/>
  <c r="B143" i="2"/>
  <c r="G142" i="2"/>
  <c r="D142" i="2"/>
  <c r="F142" i="2"/>
  <c r="Q142" i="2" s="1"/>
  <c r="H142" i="2"/>
  <c r="E142" i="2"/>
  <c r="P142" i="2"/>
  <c r="R142" i="2"/>
  <c r="J141" i="2"/>
  <c r="K141" i="2"/>
  <c r="M141" i="2"/>
  <c r="L141" i="2"/>
  <c r="I142" i="2" l="1"/>
  <c r="N142" i="2"/>
  <c r="I145" i="15"/>
  <c r="N145" i="15"/>
  <c r="Y163" i="2"/>
  <c r="X163" i="2"/>
  <c r="AA163" i="2"/>
  <c r="U164" i="2"/>
  <c r="W163" i="2"/>
  <c r="Z163" i="2"/>
  <c r="AB162" i="2"/>
  <c r="AC162" i="2"/>
  <c r="AD162" i="2"/>
  <c r="AE162" i="2"/>
  <c r="AE163" i="15"/>
  <c r="AD163" i="15"/>
  <c r="W164" i="15"/>
  <c r="Z164" i="15"/>
  <c r="AA164" i="15"/>
  <c r="X164" i="15"/>
  <c r="Y164" i="15"/>
  <c r="U165" i="15"/>
  <c r="AB163" i="15"/>
  <c r="AC163" i="15"/>
  <c r="K145" i="15"/>
  <c r="J145" i="15"/>
  <c r="P146" i="15"/>
  <c r="G146" i="15"/>
  <c r="D146" i="15"/>
  <c r="O146" i="15"/>
  <c r="E146" i="15"/>
  <c r="H146" i="15"/>
  <c r="R146" i="15"/>
  <c r="F146" i="15"/>
  <c r="Q146" i="15" s="1"/>
  <c r="L145" i="15"/>
  <c r="M145" i="15"/>
  <c r="L142" i="2"/>
  <c r="M142" i="2"/>
  <c r="J142" i="2"/>
  <c r="K142" i="2"/>
  <c r="H143" i="2"/>
  <c r="O143" i="2"/>
  <c r="B144" i="2"/>
  <c r="G143" i="2"/>
  <c r="D143" i="2"/>
  <c r="E143" i="2"/>
  <c r="F143" i="2"/>
  <c r="Q143" i="2" s="1"/>
  <c r="P143" i="2"/>
  <c r="R143" i="2"/>
  <c r="I143" i="2" l="1"/>
  <c r="N143" i="2"/>
  <c r="I146" i="15"/>
  <c r="N146" i="15"/>
  <c r="AB163" i="2"/>
  <c r="AC163" i="2"/>
  <c r="AA164" i="2"/>
  <c r="U165" i="2"/>
  <c r="Y164" i="2"/>
  <c r="W164" i="2"/>
  <c r="X164" i="2"/>
  <c r="Z164" i="2"/>
  <c r="AD163" i="2"/>
  <c r="AE163" i="2"/>
  <c r="AB164" i="15"/>
  <c r="AC164" i="15"/>
  <c r="AD164" i="15"/>
  <c r="AE164" i="15"/>
  <c r="W165" i="15"/>
  <c r="Y165" i="15"/>
  <c r="Z165" i="15"/>
  <c r="AA165" i="15"/>
  <c r="X165" i="15"/>
  <c r="U166" i="15"/>
  <c r="M146" i="15"/>
  <c r="L146" i="15"/>
  <c r="K146" i="15"/>
  <c r="J146" i="15"/>
  <c r="O147" i="15"/>
  <c r="F147" i="15"/>
  <c r="Q147" i="15" s="1"/>
  <c r="P147" i="15"/>
  <c r="E147" i="15"/>
  <c r="D147" i="15"/>
  <c r="G147" i="15"/>
  <c r="R147" i="15"/>
  <c r="H147" i="15"/>
  <c r="J143" i="2"/>
  <c r="K143" i="2"/>
  <c r="O144" i="2"/>
  <c r="H144" i="2"/>
  <c r="B145" i="2"/>
  <c r="D144" i="2"/>
  <c r="G144" i="2"/>
  <c r="F144" i="2"/>
  <c r="Q144" i="2" s="1"/>
  <c r="P144" i="2"/>
  <c r="E144" i="2"/>
  <c r="R144" i="2"/>
  <c r="M143" i="2"/>
  <c r="L143" i="2"/>
  <c r="I144" i="2" l="1"/>
  <c r="N144" i="2"/>
  <c r="I147" i="15"/>
  <c r="N147" i="15"/>
  <c r="AD164" i="2"/>
  <c r="AE164" i="2"/>
  <c r="AB164" i="2"/>
  <c r="AC164" i="2"/>
  <c r="X165" i="2"/>
  <c r="Z165" i="2"/>
  <c r="U166" i="2"/>
  <c r="W165" i="2"/>
  <c r="Y165" i="2"/>
  <c r="AA165" i="2"/>
  <c r="AC165" i="15"/>
  <c r="AB165" i="15"/>
  <c r="X166" i="15"/>
  <c r="Y166" i="15"/>
  <c r="AA166" i="15"/>
  <c r="U167" i="15"/>
  <c r="W166" i="15"/>
  <c r="Z166" i="15"/>
  <c r="AD165" i="15"/>
  <c r="AE165" i="15"/>
  <c r="K147" i="15"/>
  <c r="J147" i="15"/>
  <c r="E148" i="15"/>
  <c r="R148" i="15"/>
  <c r="G148" i="15"/>
  <c r="F148" i="15"/>
  <c r="Q148" i="15" s="1"/>
  <c r="P148" i="15"/>
  <c r="D148" i="15"/>
  <c r="H148" i="15"/>
  <c r="O148" i="15"/>
  <c r="M147" i="15"/>
  <c r="L147" i="15"/>
  <c r="J144" i="2"/>
  <c r="K144" i="2"/>
  <c r="B146" i="2"/>
  <c r="O145" i="2"/>
  <c r="H145" i="2"/>
  <c r="F145" i="2"/>
  <c r="Q145" i="2" s="1"/>
  <c r="E145" i="2"/>
  <c r="G145" i="2"/>
  <c r="R145" i="2"/>
  <c r="D145" i="2"/>
  <c r="P145" i="2"/>
  <c r="M144" i="2"/>
  <c r="L144" i="2"/>
  <c r="I145" i="2" l="1"/>
  <c r="N145" i="2"/>
  <c r="I148" i="15"/>
  <c r="N148" i="15"/>
  <c r="AE165" i="2"/>
  <c r="AD165" i="2"/>
  <c r="AB165" i="2"/>
  <c r="AC165" i="2"/>
  <c r="W166" i="2"/>
  <c r="Z166" i="2"/>
  <c r="Y166" i="2"/>
  <c r="AA166" i="2"/>
  <c r="X166" i="2"/>
  <c r="U167" i="2"/>
  <c r="Z167" i="15"/>
  <c r="AA167" i="15"/>
  <c r="U168" i="15"/>
  <c r="W167" i="15"/>
  <c r="X167" i="15"/>
  <c r="Y167" i="15"/>
  <c r="AE166" i="15"/>
  <c r="AD166" i="15"/>
  <c r="AB166" i="15"/>
  <c r="AC166" i="15"/>
  <c r="K148" i="15"/>
  <c r="J148" i="15"/>
  <c r="D149" i="15"/>
  <c r="H149" i="15"/>
  <c r="R149" i="15"/>
  <c r="P149" i="15"/>
  <c r="O149" i="15"/>
  <c r="G149" i="15"/>
  <c r="F149" i="15"/>
  <c r="Q149" i="15" s="1"/>
  <c r="E149" i="15"/>
  <c r="M148" i="15"/>
  <c r="L148" i="15"/>
  <c r="B147" i="2"/>
  <c r="O146" i="2"/>
  <c r="F146" i="2"/>
  <c r="Q146" i="2" s="1"/>
  <c r="H146" i="2"/>
  <c r="G146" i="2"/>
  <c r="D146" i="2"/>
  <c r="P146" i="2"/>
  <c r="R146" i="2"/>
  <c r="E146" i="2"/>
  <c r="K145" i="2"/>
  <c r="J145" i="2"/>
  <c r="L145" i="2"/>
  <c r="M145" i="2"/>
  <c r="I146" i="2" l="1"/>
  <c r="N146" i="2"/>
  <c r="I149" i="15"/>
  <c r="N149" i="15"/>
  <c r="Y167" i="2"/>
  <c r="W167" i="2"/>
  <c r="Z167" i="2"/>
  <c r="U168" i="2"/>
  <c r="X167" i="2"/>
  <c r="AA167" i="2"/>
  <c r="AD166" i="2"/>
  <c r="AE166" i="2"/>
  <c r="AC166" i="2"/>
  <c r="AB166" i="2"/>
  <c r="AD167" i="15"/>
  <c r="AE167" i="15"/>
  <c r="W168" i="15"/>
  <c r="X168" i="15"/>
  <c r="Z168" i="15"/>
  <c r="U169" i="15"/>
  <c r="AA168" i="15"/>
  <c r="Y168" i="15"/>
  <c r="AB167" i="15"/>
  <c r="AC167" i="15"/>
  <c r="R150" i="15"/>
  <c r="H150" i="15"/>
  <c r="P150" i="15"/>
  <c r="G150" i="15"/>
  <c r="F150" i="15"/>
  <c r="Q150" i="15" s="1"/>
  <c r="E150" i="15"/>
  <c r="D150" i="15"/>
  <c r="O150" i="15"/>
  <c r="J149" i="15"/>
  <c r="K149" i="15"/>
  <c r="L149" i="15"/>
  <c r="M149" i="15"/>
  <c r="K146" i="2"/>
  <c r="J146" i="2"/>
  <c r="M146" i="2"/>
  <c r="L146" i="2"/>
  <c r="O147" i="2"/>
  <c r="B148" i="2"/>
  <c r="G147" i="2"/>
  <c r="D147" i="2"/>
  <c r="H147" i="2"/>
  <c r="F147" i="2"/>
  <c r="Q147" i="2" s="1"/>
  <c r="E147" i="2"/>
  <c r="R147" i="2"/>
  <c r="P147" i="2"/>
  <c r="I147" i="2" l="1"/>
  <c r="N147" i="2"/>
  <c r="I150" i="15"/>
  <c r="N150" i="15"/>
  <c r="AB167" i="2"/>
  <c r="AC167" i="2"/>
  <c r="AE167" i="2"/>
  <c r="AD167" i="2"/>
  <c r="AA168" i="2"/>
  <c r="U169" i="2"/>
  <c r="W168" i="2"/>
  <c r="X168" i="2"/>
  <c r="Y168" i="2"/>
  <c r="Z168" i="2"/>
  <c r="AD168" i="15"/>
  <c r="AE168" i="15"/>
  <c r="W169" i="15"/>
  <c r="X169" i="15"/>
  <c r="Y169" i="15"/>
  <c r="Z169" i="15"/>
  <c r="U170" i="15"/>
  <c r="AA169" i="15"/>
  <c r="AB168" i="15"/>
  <c r="AC168" i="15"/>
  <c r="K150" i="15"/>
  <c r="J150" i="15"/>
  <c r="H151" i="15"/>
  <c r="P151" i="15"/>
  <c r="G151" i="15"/>
  <c r="O151" i="15"/>
  <c r="F151" i="15"/>
  <c r="Q151" i="15" s="1"/>
  <c r="E151" i="15"/>
  <c r="D151" i="15"/>
  <c r="R151" i="15"/>
  <c r="L150" i="15"/>
  <c r="M150" i="15"/>
  <c r="M147" i="2"/>
  <c r="L147" i="2"/>
  <c r="J147" i="2"/>
  <c r="K147" i="2"/>
  <c r="B149" i="2"/>
  <c r="G148" i="2"/>
  <c r="O148" i="2"/>
  <c r="H148" i="2"/>
  <c r="D148" i="2"/>
  <c r="P148" i="2"/>
  <c r="E148" i="2"/>
  <c r="R148" i="2"/>
  <c r="F148" i="2"/>
  <c r="Q148" i="2" s="1"/>
  <c r="I148" i="2" l="1"/>
  <c r="N148" i="2"/>
  <c r="I151" i="15"/>
  <c r="N151" i="15"/>
  <c r="AC168" i="2"/>
  <c r="AB168" i="2"/>
  <c r="W169" i="2"/>
  <c r="Y169" i="2"/>
  <c r="U170" i="2"/>
  <c r="X169" i="2"/>
  <c r="Z169" i="2"/>
  <c r="AA169" i="2"/>
  <c r="AD168" i="2"/>
  <c r="AE168" i="2"/>
  <c r="AB169" i="15"/>
  <c r="AC169" i="15"/>
  <c r="W170" i="15"/>
  <c r="Y170" i="15"/>
  <c r="X170" i="15"/>
  <c r="Z170" i="15"/>
  <c r="AA170" i="15"/>
  <c r="U171" i="15"/>
  <c r="AD169" i="15"/>
  <c r="AE169" i="15"/>
  <c r="J151" i="15"/>
  <c r="K151" i="15"/>
  <c r="M151" i="15"/>
  <c r="L151" i="15"/>
  <c r="P152" i="15"/>
  <c r="G152" i="15"/>
  <c r="O152" i="15"/>
  <c r="F152" i="15"/>
  <c r="Q152" i="15" s="1"/>
  <c r="E152" i="15"/>
  <c r="R152" i="15"/>
  <c r="D152" i="15"/>
  <c r="H152" i="15"/>
  <c r="J148" i="2"/>
  <c r="K148" i="2"/>
  <c r="M148" i="2"/>
  <c r="L148" i="2"/>
  <c r="B150" i="2"/>
  <c r="G149" i="2"/>
  <c r="H149" i="2"/>
  <c r="O149" i="2"/>
  <c r="D149" i="2"/>
  <c r="E149" i="2"/>
  <c r="P149" i="2"/>
  <c r="R149" i="2"/>
  <c r="F149" i="2"/>
  <c r="Q149" i="2" s="1"/>
  <c r="I149" i="2" l="1"/>
  <c r="N149" i="2"/>
  <c r="I152" i="15"/>
  <c r="N152" i="15"/>
  <c r="AB169" i="2"/>
  <c r="AC169" i="2"/>
  <c r="AE169" i="2"/>
  <c r="AD169" i="2"/>
  <c r="W170" i="2"/>
  <c r="AA170" i="2"/>
  <c r="Z170" i="2"/>
  <c r="U171" i="2"/>
  <c r="X170" i="2"/>
  <c r="Y170" i="2"/>
  <c r="AD170" i="15"/>
  <c r="AE170" i="15"/>
  <c r="AC170" i="15"/>
  <c r="AB170" i="15"/>
  <c r="X171" i="15"/>
  <c r="Y171" i="15"/>
  <c r="AA171" i="15"/>
  <c r="U172" i="15"/>
  <c r="W171" i="15"/>
  <c r="Z171" i="15"/>
  <c r="J152" i="15"/>
  <c r="K152" i="15"/>
  <c r="M152" i="15"/>
  <c r="L152" i="15"/>
  <c r="O153" i="15"/>
  <c r="F153" i="15"/>
  <c r="Q153" i="15" s="1"/>
  <c r="E153" i="15"/>
  <c r="D153" i="15"/>
  <c r="H153" i="15"/>
  <c r="R153" i="15"/>
  <c r="G153" i="15"/>
  <c r="P153" i="15"/>
  <c r="M149" i="2"/>
  <c r="L149" i="2"/>
  <c r="O150" i="2"/>
  <c r="B151" i="2"/>
  <c r="G150" i="2"/>
  <c r="D150" i="2"/>
  <c r="E150" i="2"/>
  <c r="F150" i="2"/>
  <c r="Q150" i="2" s="1"/>
  <c r="H150" i="2"/>
  <c r="P150" i="2"/>
  <c r="R150" i="2"/>
  <c r="J149" i="2"/>
  <c r="K149" i="2"/>
  <c r="I150" i="2" l="1"/>
  <c r="N150" i="2"/>
  <c r="I153" i="15"/>
  <c r="N153" i="15"/>
  <c r="Y171" i="2"/>
  <c r="X171" i="2"/>
  <c r="Z171" i="2"/>
  <c r="U172" i="2"/>
  <c r="W171" i="2"/>
  <c r="AA171" i="2"/>
  <c r="AD170" i="2"/>
  <c r="AE170" i="2"/>
  <c r="AB170" i="2"/>
  <c r="AC170" i="2"/>
  <c r="AE171" i="15"/>
  <c r="AD171" i="15"/>
  <c r="AB171" i="15"/>
  <c r="AC171" i="15"/>
  <c r="Z172" i="15"/>
  <c r="AA172" i="15"/>
  <c r="U173" i="15"/>
  <c r="Y172" i="15"/>
  <c r="W172" i="15"/>
  <c r="X172" i="15"/>
  <c r="M153" i="15"/>
  <c r="L153" i="15"/>
  <c r="K153" i="15"/>
  <c r="J153" i="15"/>
  <c r="E154" i="15"/>
  <c r="D154" i="15"/>
  <c r="P154" i="15"/>
  <c r="G154" i="15"/>
  <c r="R154" i="15"/>
  <c r="F154" i="15"/>
  <c r="Q154" i="15" s="1"/>
  <c r="H154" i="15"/>
  <c r="O154" i="15"/>
  <c r="K150" i="2"/>
  <c r="J150" i="2"/>
  <c r="O151" i="2"/>
  <c r="G151" i="2"/>
  <c r="D151" i="2"/>
  <c r="H151" i="2"/>
  <c r="F151" i="2"/>
  <c r="Q151" i="2" s="1"/>
  <c r="E151" i="2"/>
  <c r="P151" i="2"/>
  <c r="B152" i="2"/>
  <c r="R151" i="2"/>
  <c r="M150" i="2"/>
  <c r="L150" i="2"/>
  <c r="I151" i="2" l="1"/>
  <c r="N151" i="2"/>
  <c r="I154" i="15"/>
  <c r="N154" i="15"/>
  <c r="AE171" i="2"/>
  <c r="AD171" i="2"/>
  <c r="AB171" i="2"/>
  <c r="AC171" i="2"/>
  <c r="AA172" i="2"/>
  <c r="U173" i="2"/>
  <c r="Y172" i="2"/>
  <c r="W172" i="2"/>
  <c r="X172" i="2"/>
  <c r="Z172" i="2"/>
  <c r="W173" i="15"/>
  <c r="Y173" i="15"/>
  <c r="Z173" i="15"/>
  <c r="AA173" i="15"/>
  <c r="X173" i="15"/>
  <c r="U174" i="15"/>
  <c r="AD172" i="15"/>
  <c r="AE172" i="15"/>
  <c r="AB172" i="15"/>
  <c r="AC172" i="15"/>
  <c r="K154" i="15"/>
  <c r="J154" i="15"/>
  <c r="D155" i="15"/>
  <c r="O155" i="15"/>
  <c r="F155" i="15"/>
  <c r="Q155" i="15" s="1"/>
  <c r="R155" i="15"/>
  <c r="P155" i="15"/>
  <c r="E155" i="15"/>
  <c r="H155" i="15"/>
  <c r="G155" i="15"/>
  <c r="M154" i="15"/>
  <c r="L154" i="15"/>
  <c r="O152" i="2"/>
  <c r="H152" i="2"/>
  <c r="F152" i="2"/>
  <c r="Q152" i="2" s="1"/>
  <c r="B153" i="2"/>
  <c r="D152" i="2"/>
  <c r="E152" i="2"/>
  <c r="G152" i="2"/>
  <c r="P152" i="2"/>
  <c r="R152" i="2"/>
  <c r="M151" i="2"/>
  <c r="L151" i="2"/>
  <c r="J151" i="2"/>
  <c r="K151" i="2"/>
  <c r="I152" i="2" l="1"/>
  <c r="N152" i="2"/>
  <c r="I155" i="15"/>
  <c r="N155" i="15"/>
  <c r="AB172" i="2"/>
  <c r="AC172" i="2"/>
  <c r="X173" i="2"/>
  <c r="U174" i="2"/>
  <c r="W173" i="2"/>
  <c r="AA173" i="2"/>
  <c r="Y173" i="2"/>
  <c r="Z173" i="2"/>
  <c r="AE172" i="2"/>
  <c r="AD172" i="2"/>
  <c r="W174" i="15"/>
  <c r="Y174" i="15"/>
  <c r="X174" i="15"/>
  <c r="Z174" i="15"/>
  <c r="U175" i="15"/>
  <c r="AA174" i="15"/>
  <c r="AD173" i="15"/>
  <c r="AE173" i="15"/>
  <c r="AB173" i="15"/>
  <c r="AC173" i="15"/>
  <c r="K155" i="15"/>
  <c r="J155" i="15"/>
  <c r="R156" i="15"/>
  <c r="E156" i="15"/>
  <c r="P156" i="15"/>
  <c r="O156" i="15"/>
  <c r="D156" i="15"/>
  <c r="F156" i="15"/>
  <c r="Q156" i="15" s="1"/>
  <c r="H156" i="15"/>
  <c r="G156" i="15"/>
  <c r="L155" i="15"/>
  <c r="M155" i="15"/>
  <c r="J152" i="2"/>
  <c r="K152" i="2"/>
  <c r="B154" i="2"/>
  <c r="H153" i="2"/>
  <c r="D153" i="2"/>
  <c r="F153" i="2"/>
  <c r="Q153" i="2" s="1"/>
  <c r="G153" i="2"/>
  <c r="O153" i="2"/>
  <c r="E153" i="2"/>
  <c r="P153" i="2"/>
  <c r="R153" i="2"/>
  <c r="M152" i="2"/>
  <c r="L152" i="2"/>
  <c r="I153" i="2" l="1"/>
  <c r="N153" i="2"/>
  <c r="I156" i="15"/>
  <c r="N156" i="15"/>
  <c r="AE173" i="2"/>
  <c r="AD173" i="2"/>
  <c r="AB173" i="2"/>
  <c r="AC173" i="2"/>
  <c r="W174" i="2"/>
  <c r="Y174" i="2"/>
  <c r="U175" i="2"/>
  <c r="X174" i="2"/>
  <c r="Z174" i="2"/>
  <c r="AA174" i="2"/>
  <c r="AD174" i="15"/>
  <c r="AE174" i="15"/>
  <c r="X175" i="15"/>
  <c r="Y175" i="15"/>
  <c r="AA175" i="15"/>
  <c r="U176" i="15"/>
  <c r="W175" i="15"/>
  <c r="Z175" i="15"/>
  <c r="AC174" i="15"/>
  <c r="AB174" i="15"/>
  <c r="K156" i="15"/>
  <c r="J156" i="15"/>
  <c r="R157" i="15"/>
  <c r="H157" i="15"/>
  <c r="D157" i="15"/>
  <c r="P157" i="15"/>
  <c r="O157" i="15"/>
  <c r="G157" i="15"/>
  <c r="F157" i="15"/>
  <c r="Q157" i="15" s="1"/>
  <c r="E157" i="15"/>
  <c r="M156" i="15"/>
  <c r="L156" i="15"/>
  <c r="J153" i="2"/>
  <c r="K153" i="2"/>
  <c r="M153" i="2"/>
  <c r="L153" i="2"/>
  <c r="B155" i="2"/>
  <c r="O154" i="2"/>
  <c r="G154" i="2"/>
  <c r="F154" i="2"/>
  <c r="Q154" i="2" s="1"/>
  <c r="H154" i="2"/>
  <c r="D154" i="2"/>
  <c r="E154" i="2"/>
  <c r="P154" i="2"/>
  <c r="R154" i="2"/>
  <c r="I154" i="2" l="1"/>
  <c r="N154" i="2"/>
  <c r="I157" i="15"/>
  <c r="N157" i="15"/>
  <c r="AD174" i="2"/>
  <c r="AE174" i="2"/>
  <c r="Y175" i="2"/>
  <c r="W175" i="2"/>
  <c r="Z175" i="2"/>
  <c r="U176" i="2"/>
  <c r="X175" i="2"/>
  <c r="AA175" i="2"/>
  <c r="AB174" i="2"/>
  <c r="AC174" i="2"/>
  <c r="AC175" i="15"/>
  <c r="AB175" i="15"/>
  <c r="Z176" i="15"/>
  <c r="AA176" i="15"/>
  <c r="U177" i="15"/>
  <c r="W176" i="15"/>
  <c r="Y176" i="15"/>
  <c r="X176" i="15"/>
  <c r="AE175" i="15"/>
  <c r="AD175" i="15"/>
  <c r="J157" i="15"/>
  <c r="K157" i="15"/>
  <c r="R158" i="15"/>
  <c r="H158" i="15"/>
  <c r="P158" i="15"/>
  <c r="G158" i="15"/>
  <c r="O158" i="15"/>
  <c r="D158" i="15"/>
  <c r="F158" i="15"/>
  <c r="Q158" i="15" s="1"/>
  <c r="E158" i="15"/>
  <c r="L157" i="15"/>
  <c r="M157" i="15"/>
  <c r="O155" i="2"/>
  <c r="B156" i="2"/>
  <c r="G155" i="2"/>
  <c r="D155" i="2"/>
  <c r="H155" i="2"/>
  <c r="F155" i="2"/>
  <c r="Q155" i="2" s="1"/>
  <c r="E155" i="2"/>
  <c r="P155" i="2"/>
  <c r="R155" i="2"/>
  <c r="J154" i="2"/>
  <c r="K154" i="2"/>
  <c r="M154" i="2"/>
  <c r="L154" i="2"/>
  <c r="I155" i="2" l="1"/>
  <c r="N155" i="2"/>
  <c r="I158" i="15"/>
  <c r="N158" i="15"/>
  <c r="AE175" i="2"/>
  <c r="AD175" i="2"/>
  <c r="AA176" i="2"/>
  <c r="U177" i="2"/>
  <c r="W176" i="2"/>
  <c r="X176" i="2"/>
  <c r="Y176" i="2"/>
  <c r="Z176" i="2"/>
  <c r="AB175" i="2"/>
  <c r="AC175" i="2"/>
  <c r="AB176" i="15"/>
  <c r="AC176" i="15"/>
  <c r="W177" i="15"/>
  <c r="Y177" i="15"/>
  <c r="AA177" i="15"/>
  <c r="U178" i="15"/>
  <c r="Z177" i="15"/>
  <c r="X177" i="15"/>
  <c r="AD176" i="15"/>
  <c r="AE176" i="15"/>
  <c r="K158" i="15"/>
  <c r="J158" i="15"/>
  <c r="H159" i="15"/>
  <c r="P159" i="15"/>
  <c r="G159" i="15"/>
  <c r="O159" i="15"/>
  <c r="F159" i="15"/>
  <c r="Q159" i="15" s="1"/>
  <c r="R159" i="15"/>
  <c r="E159" i="15"/>
  <c r="D159" i="15"/>
  <c r="M158" i="15"/>
  <c r="L158" i="15"/>
  <c r="M155" i="2"/>
  <c r="L155" i="2"/>
  <c r="J155" i="2"/>
  <c r="K155" i="2"/>
  <c r="B157" i="2"/>
  <c r="O156" i="2"/>
  <c r="G156" i="2"/>
  <c r="D156" i="2"/>
  <c r="H156" i="2"/>
  <c r="F156" i="2"/>
  <c r="Q156" i="2" s="1"/>
  <c r="P156" i="2"/>
  <c r="E156" i="2"/>
  <c r="R156" i="2"/>
  <c r="I156" i="2" l="1"/>
  <c r="N156" i="2"/>
  <c r="I159" i="15"/>
  <c r="N159" i="15"/>
  <c r="AD176" i="2"/>
  <c r="AE176" i="2"/>
  <c r="AB176" i="2"/>
  <c r="AC176" i="2"/>
  <c r="W177" i="2"/>
  <c r="Z177" i="2"/>
  <c r="U178" i="2"/>
  <c r="Y177" i="2"/>
  <c r="AA177" i="2"/>
  <c r="X177" i="2"/>
  <c r="W178" i="15"/>
  <c r="Y178" i="15"/>
  <c r="X178" i="15"/>
  <c r="U179" i="15"/>
  <c r="Z178" i="15"/>
  <c r="AA178" i="15"/>
  <c r="AD177" i="15"/>
  <c r="AE177" i="15"/>
  <c r="AB177" i="15"/>
  <c r="AC177" i="15"/>
  <c r="P160" i="15"/>
  <c r="G160" i="15"/>
  <c r="O160" i="15"/>
  <c r="F160" i="15"/>
  <c r="Q160" i="15" s="1"/>
  <c r="E160" i="15"/>
  <c r="R160" i="15"/>
  <c r="H160" i="15"/>
  <c r="D160" i="15"/>
  <c r="M159" i="15"/>
  <c r="L159" i="15"/>
  <c r="J159" i="15"/>
  <c r="K159" i="15"/>
  <c r="M156" i="2"/>
  <c r="L156" i="2"/>
  <c r="K156" i="2"/>
  <c r="J156" i="2"/>
  <c r="B158" i="2"/>
  <c r="G157" i="2"/>
  <c r="O157" i="2"/>
  <c r="H157" i="2"/>
  <c r="D157" i="2"/>
  <c r="F157" i="2"/>
  <c r="Q157" i="2" s="1"/>
  <c r="R157" i="2"/>
  <c r="P157" i="2"/>
  <c r="E157" i="2"/>
  <c r="I157" i="2" l="1"/>
  <c r="N157" i="2"/>
  <c r="I160" i="15"/>
  <c r="N160" i="15"/>
  <c r="AE177" i="2"/>
  <c r="AD177" i="2"/>
  <c r="W178" i="2"/>
  <c r="AA178" i="2"/>
  <c r="Z178" i="2"/>
  <c r="U179" i="2"/>
  <c r="Y178" i="2"/>
  <c r="X178" i="2"/>
  <c r="AB177" i="2"/>
  <c r="AC177" i="2"/>
  <c r="AD178" i="15"/>
  <c r="AE178" i="15"/>
  <c r="X179" i="15"/>
  <c r="Y179" i="15"/>
  <c r="AA179" i="15"/>
  <c r="U180" i="15"/>
  <c r="Z179" i="15"/>
  <c r="W179" i="15"/>
  <c r="AC178" i="15"/>
  <c r="AB178" i="15"/>
  <c r="O161" i="15"/>
  <c r="F161" i="15"/>
  <c r="Q161" i="15" s="1"/>
  <c r="E161" i="15"/>
  <c r="D161" i="15"/>
  <c r="H161" i="15"/>
  <c r="P161" i="15"/>
  <c r="G161" i="15"/>
  <c r="R161" i="15"/>
  <c r="M160" i="15"/>
  <c r="L160" i="15"/>
  <c r="K160" i="15"/>
  <c r="J160" i="15"/>
  <c r="J157" i="2"/>
  <c r="K157" i="2"/>
  <c r="M157" i="2"/>
  <c r="L157" i="2"/>
  <c r="B159" i="2"/>
  <c r="G158" i="2"/>
  <c r="O158" i="2"/>
  <c r="H158" i="2"/>
  <c r="D158" i="2"/>
  <c r="E158" i="2"/>
  <c r="F158" i="2"/>
  <c r="Q158" i="2" s="1"/>
  <c r="R158" i="2"/>
  <c r="P158" i="2"/>
  <c r="I158" i="2" l="1"/>
  <c r="N158" i="2"/>
  <c r="I161" i="15"/>
  <c r="N161" i="15"/>
  <c r="AC178" i="2"/>
  <c r="AB178" i="2"/>
  <c r="Y179" i="2"/>
  <c r="Z179" i="2"/>
  <c r="U180" i="2"/>
  <c r="W179" i="2"/>
  <c r="X179" i="2"/>
  <c r="AA179" i="2"/>
  <c r="AD178" i="2"/>
  <c r="AE178" i="2"/>
  <c r="Z180" i="15"/>
  <c r="AA180" i="15"/>
  <c r="U181" i="15"/>
  <c r="Y180" i="15"/>
  <c r="W180" i="15"/>
  <c r="X180" i="15"/>
  <c r="AE179" i="15"/>
  <c r="AD179" i="15"/>
  <c r="AC179" i="15"/>
  <c r="AB179" i="15"/>
  <c r="K161" i="15"/>
  <c r="J161" i="15"/>
  <c r="E162" i="15"/>
  <c r="D162" i="15"/>
  <c r="P162" i="15"/>
  <c r="G162" i="15"/>
  <c r="H162" i="15"/>
  <c r="O162" i="15"/>
  <c r="R162" i="15"/>
  <c r="F162" i="15"/>
  <c r="Q162" i="15" s="1"/>
  <c r="M161" i="15"/>
  <c r="L161" i="15"/>
  <c r="O159" i="2"/>
  <c r="B160" i="2"/>
  <c r="G159" i="2"/>
  <c r="D159" i="2"/>
  <c r="H159" i="2"/>
  <c r="F159" i="2"/>
  <c r="Q159" i="2" s="1"/>
  <c r="P159" i="2"/>
  <c r="R159" i="2"/>
  <c r="E159" i="2"/>
  <c r="J158" i="2"/>
  <c r="K158" i="2"/>
  <c r="L158" i="2"/>
  <c r="M158" i="2"/>
  <c r="I159" i="2" l="1"/>
  <c r="N159" i="2"/>
  <c r="I162" i="15"/>
  <c r="N162" i="15"/>
  <c r="AD179" i="2"/>
  <c r="AE179" i="2"/>
  <c r="AB179" i="2"/>
  <c r="AC179" i="2"/>
  <c r="AA180" i="2"/>
  <c r="U181" i="2"/>
  <c r="Z180" i="2"/>
  <c r="Y180" i="2"/>
  <c r="X180" i="2"/>
  <c r="W180" i="2"/>
  <c r="AB180" i="15"/>
  <c r="AC180" i="15"/>
  <c r="W181" i="15"/>
  <c r="AA181" i="15"/>
  <c r="U182" i="15"/>
  <c r="X181" i="15"/>
  <c r="Z181" i="15"/>
  <c r="Y181" i="15"/>
  <c r="AD180" i="15"/>
  <c r="AE180" i="15"/>
  <c r="M162" i="15"/>
  <c r="L162" i="15"/>
  <c r="D163" i="15"/>
  <c r="O163" i="15"/>
  <c r="F163" i="15"/>
  <c r="Q163" i="15" s="1"/>
  <c r="H163" i="15"/>
  <c r="G163" i="15"/>
  <c r="E163" i="15"/>
  <c r="P163" i="15"/>
  <c r="R163" i="15"/>
  <c r="K162" i="15"/>
  <c r="J162" i="15"/>
  <c r="L159" i="2"/>
  <c r="M159" i="2"/>
  <c r="J159" i="2"/>
  <c r="K159" i="2"/>
  <c r="O160" i="2"/>
  <c r="G160" i="2"/>
  <c r="B161" i="2"/>
  <c r="H160" i="2"/>
  <c r="E160" i="2"/>
  <c r="P160" i="2"/>
  <c r="D160" i="2"/>
  <c r="R160" i="2"/>
  <c r="F160" i="2"/>
  <c r="Q160" i="2" s="1"/>
  <c r="I160" i="2" l="1"/>
  <c r="N160" i="2"/>
  <c r="I163" i="15"/>
  <c r="N163" i="15"/>
  <c r="AC180" i="2"/>
  <c r="AB180" i="2"/>
  <c r="Y181" i="2"/>
  <c r="X181" i="2"/>
  <c r="Z181" i="2"/>
  <c r="U182" i="2"/>
  <c r="W181" i="2"/>
  <c r="AA181" i="2"/>
  <c r="AE180" i="2"/>
  <c r="AD180" i="2"/>
  <c r="W182" i="15"/>
  <c r="Y182" i="15"/>
  <c r="AA182" i="15"/>
  <c r="X182" i="15"/>
  <c r="Z182" i="15"/>
  <c r="U183" i="15"/>
  <c r="AD181" i="15"/>
  <c r="AE181" i="15"/>
  <c r="AB181" i="15"/>
  <c r="AC181" i="15"/>
  <c r="K163" i="15"/>
  <c r="J163" i="15"/>
  <c r="L163" i="15"/>
  <c r="M163" i="15"/>
  <c r="R164" i="15"/>
  <c r="E164" i="15"/>
  <c r="H164" i="15"/>
  <c r="G164" i="15"/>
  <c r="F164" i="15"/>
  <c r="Q164" i="15" s="1"/>
  <c r="P164" i="15"/>
  <c r="O164" i="15"/>
  <c r="D164" i="15"/>
  <c r="M160" i="2"/>
  <c r="L160" i="2"/>
  <c r="B162" i="2"/>
  <c r="H161" i="2"/>
  <c r="O161" i="2"/>
  <c r="G161" i="2"/>
  <c r="E161" i="2"/>
  <c r="D161" i="2"/>
  <c r="F161" i="2"/>
  <c r="Q161" i="2" s="1"/>
  <c r="P161" i="2"/>
  <c r="R161" i="2"/>
  <c r="K160" i="2"/>
  <c r="J160" i="2"/>
  <c r="I161" i="2" l="1"/>
  <c r="N161" i="2"/>
  <c r="I164" i="15"/>
  <c r="N164" i="15"/>
  <c r="AD181" i="2"/>
  <c r="AE181" i="2"/>
  <c r="AB181" i="2"/>
  <c r="AC181" i="2"/>
  <c r="W182" i="2"/>
  <c r="Z182" i="2"/>
  <c r="U183" i="2"/>
  <c r="X182" i="2"/>
  <c r="Y182" i="2"/>
  <c r="AA182" i="2"/>
  <c r="X183" i="15"/>
  <c r="Y183" i="15"/>
  <c r="AA183" i="15"/>
  <c r="U184" i="15"/>
  <c r="Z183" i="15"/>
  <c r="W183" i="15"/>
  <c r="AD182" i="15"/>
  <c r="AE182" i="15"/>
  <c r="AC182" i="15"/>
  <c r="AB182" i="15"/>
  <c r="M164" i="15"/>
  <c r="L164" i="15"/>
  <c r="R165" i="15"/>
  <c r="H165" i="15"/>
  <c r="D165" i="15"/>
  <c r="G165" i="15"/>
  <c r="F165" i="15"/>
  <c r="Q165" i="15" s="1"/>
  <c r="E165" i="15"/>
  <c r="P165" i="15"/>
  <c r="O165" i="15"/>
  <c r="K164" i="15"/>
  <c r="J164" i="15"/>
  <c r="M161" i="2"/>
  <c r="L161" i="2"/>
  <c r="B163" i="2"/>
  <c r="O162" i="2"/>
  <c r="H162" i="2"/>
  <c r="F162" i="2"/>
  <c r="Q162" i="2" s="1"/>
  <c r="D162" i="2"/>
  <c r="E162" i="2"/>
  <c r="P162" i="2"/>
  <c r="G162" i="2"/>
  <c r="R162" i="2"/>
  <c r="J161" i="2"/>
  <c r="K161" i="2"/>
  <c r="I162" i="2" l="1"/>
  <c r="N162" i="2"/>
  <c r="I165" i="15"/>
  <c r="N165" i="15"/>
  <c r="AD182" i="2"/>
  <c r="AE182" i="2"/>
  <c r="Y183" i="2"/>
  <c r="X183" i="2"/>
  <c r="U184" i="2"/>
  <c r="W183" i="2"/>
  <c r="Z183" i="2"/>
  <c r="AA183" i="2"/>
  <c r="AB182" i="2"/>
  <c r="AC182" i="2"/>
  <c r="AC183" i="15"/>
  <c r="AB183" i="15"/>
  <c r="Z184" i="15"/>
  <c r="AA184" i="15"/>
  <c r="U185" i="15"/>
  <c r="X184" i="15"/>
  <c r="Y184" i="15"/>
  <c r="W184" i="15"/>
  <c r="AE183" i="15"/>
  <c r="AD183" i="15"/>
  <c r="R166" i="15"/>
  <c r="H166" i="15"/>
  <c r="P166" i="15"/>
  <c r="G166" i="15"/>
  <c r="F166" i="15"/>
  <c r="Q166" i="15" s="1"/>
  <c r="E166" i="15"/>
  <c r="D166" i="15"/>
  <c r="O166" i="15"/>
  <c r="J165" i="15"/>
  <c r="K165" i="15"/>
  <c r="L165" i="15"/>
  <c r="M165" i="15"/>
  <c r="O163" i="2"/>
  <c r="B164" i="2"/>
  <c r="D163" i="2"/>
  <c r="G163" i="2"/>
  <c r="H163" i="2"/>
  <c r="F163" i="2"/>
  <c r="Q163" i="2" s="1"/>
  <c r="E163" i="2"/>
  <c r="R163" i="2"/>
  <c r="P163" i="2"/>
  <c r="J162" i="2"/>
  <c r="K162" i="2"/>
  <c r="M162" i="2"/>
  <c r="L162" i="2"/>
  <c r="I163" i="2" l="1"/>
  <c r="N163" i="2"/>
  <c r="I166" i="15"/>
  <c r="N166" i="15"/>
  <c r="AE183" i="2"/>
  <c r="AD183" i="2"/>
  <c r="AC183" i="2"/>
  <c r="AB183" i="2"/>
  <c r="AA184" i="2"/>
  <c r="U185" i="2"/>
  <c r="Y184" i="2"/>
  <c r="X184" i="2"/>
  <c r="Z184" i="2"/>
  <c r="W184" i="2"/>
  <c r="W185" i="15"/>
  <c r="X185" i="15"/>
  <c r="U186" i="15"/>
  <c r="Y185" i="15"/>
  <c r="AA185" i="15"/>
  <c r="Z185" i="15"/>
  <c r="AE184" i="15"/>
  <c r="AD184" i="15"/>
  <c r="AB184" i="15"/>
  <c r="AC184" i="15"/>
  <c r="K166" i="15"/>
  <c r="J166" i="15"/>
  <c r="H167" i="15"/>
  <c r="P167" i="15"/>
  <c r="G167" i="15"/>
  <c r="O167" i="15"/>
  <c r="F167" i="15"/>
  <c r="Q167" i="15" s="1"/>
  <c r="E167" i="15"/>
  <c r="D167" i="15"/>
  <c r="R167" i="15"/>
  <c r="M166" i="15"/>
  <c r="L166" i="15"/>
  <c r="B165" i="2"/>
  <c r="O164" i="2"/>
  <c r="G164" i="2"/>
  <c r="F164" i="2"/>
  <c r="Q164" i="2" s="1"/>
  <c r="D164" i="2"/>
  <c r="P164" i="2"/>
  <c r="E164" i="2"/>
  <c r="H164" i="2"/>
  <c r="R164" i="2"/>
  <c r="L163" i="2"/>
  <c r="M163" i="2"/>
  <c r="J163" i="2"/>
  <c r="K163" i="2"/>
  <c r="I164" i="2" l="1"/>
  <c r="N164" i="2"/>
  <c r="I167" i="15"/>
  <c r="N167" i="15"/>
  <c r="AB184" i="2"/>
  <c r="AC184" i="2"/>
  <c r="X185" i="2"/>
  <c r="Z185" i="2"/>
  <c r="AA185" i="2"/>
  <c r="U186" i="2"/>
  <c r="W185" i="2"/>
  <c r="Y185" i="2"/>
  <c r="AD184" i="2"/>
  <c r="AE184" i="2"/>
  <c r="AD185" i="15"/>
  <c r="AE185" i="15"/>
  <c r="W186" i="15"/>
  <c r="Y186" i="15"/>
  <c r="U187" i="15"/>
  <c r="X186" i="15"/>
  <c r="AA186" i="15"/>
  <c r="Z186" i="15"/>
  <c r="AB185" i="15"/>
  <c r="AC185" i="15"/>
  <c r="M167" i="15"/>
  <c r="L167" i="15"/>
  <c r="P168" i="15"/>
  <c r="G168" i="15"/>
  <c r="O168" i="15"/>
  <c r="F168" i="15"/>
  <c r="Q168" i="15" s="1"/>
  <c r="E168" i="15"/>
  <c r="R168" i="15"/>
  <c r="D168" i="15"/>
  <c r="H168" i="15"/>
  <c r="J167" i="15"/>
  <c r="K167" i="15"/>
  <c r="B166" i="2"/>
  <c r="G165" i="2"/>
  <c r="O165" i="2"/>
  <c r="H165" i="2"/>
  <c r="F165" i="2"/>
  <c r="Q165" i="2" s="1"/>
  <c r="D165" i="2"/>
  <c r="E165" i="2"/>
  <c r="R165" i="2"/>
  <c r="P165" i="2"/>
  <c r="M164" i="2"/>
  <c r="L164" i="2"/>
  <c r="K164" i="2"/>
  <c r="J164" i="2"/>
  <c r="I165" i="2" l="1"/>
  <c r="N165" i="2"/>
  <c r="I168" i="15"/>
  <c r="N168" i="15"/>
  <c r="AB185" i="2"/>
  <c r="AC185" i="2"/>
  <c r="W186" i="2"/>
  <c r="Y186" i="2"/>
  <c r="AA186" i="2"/>
  <c r="U187" i="2"/>
  <c r="Z186" i="2"/>
  <c r="X186" i="2"/>
  <c r="AD185" i="2"/>
  <c r="AE185" i="2"/>
  <c r="X187" i="15"/>
  <c r="Y187" i="15"/>
  <c r="AA187" i="15"/>
  <c r="U188" i="15"/>
  <c r="Z187" i="15"/>
  <c r="W187" i="15"/>
  <c r="AD186" i="15"/>
  <c r="AE186" i="15"/>
  <c r="AC186" i="15"/>
  <c r="AB186" i="15"/>
  <c r="K168" i="15"/>
  <c r="J168" i="15"/>
  <c r="M168" i="15"/>
  <c r="L168" i="15"/>
  <c r="O169" i="15"/>
  <c r="F169" i="15"/>
  <c r="Q169" i="15" s="1"/>
  <c r="E169" i="15"/>
  <c r="D169" i="15"/>
  <c r="H169" i="15"/>
  <c r="R169" i="15"/>
  <c r="G169" i="15"/>
  <c r="P169" i="15"/>
  <c r="B167" i="2"/>
  <c r="O166" i="2"/>
  <c r="G166" i="2"/>
  <c r="H166" i="2"/>
  <c r="D166" i="2"/>
  <c r="F166" i="2"/>
  <c r="Q166" i="2" s="1"/>
  <c r="E166" i="2"/>
  <c r="R166" i="2"/>
  <c r="P166" i="2"/>
  <c r="K165" i="2"/>
  <c r="J165" i="2"/>
  <c r="M165" i="2"/>
  <c r="L165" i="2"/>
  <c r="I166" i="2" l="1"/>
  <c r="N166" i="2"/>
  <c r="I169" i="15"/>
  <c r="N169" i="15"/>
  <c r="AB186" i="2"/>
  <c r="AC186" i="2"/>
  <c r="Y187" i="2"/>
  <c r="W187" i="2"/>
  <c r="Z187" i="2"/>
  <c r="AA187" i="2"/>
  <c r="U188" i="2"/>
  <c r="X187" i="2"/>
  <c r="AD186" i="2"/>
  <c r="AE186" i="2"/>
  <c r="AC187" i="15"/>
  <c r="AB187" i="15"/>
  <c r="Z188" i="15"/>
  <c r="AA188" i="15"/>
  <c r="U189" i="15"/>
  <c r="X188" i="15"/>
  <c r="W188" i="15"/>
  <c r="Y188" i="15"/>
  <c r="AE187" i="15"/>
  <c r="AD187" i="15"/>
  <c r="J169" i="15"/>
  <c r="K169" i="15"/>
  <c r="M169" i="15"/>
  <c r="L169" i="15"/>
  <c r="E170" i="15"/>
  <c r="D170" i="15"/>
  <c r="P170" i="15"/>
  <c r="G170" i="15"/>
  <c r="R170" i="15"/>
  <c r="F170" i="15"/>
  <c r="Q170" i="15" s="1"/>
  <c r="O170" i="15"/>
  <c r="H170" i="15"/>
  <c r="J166" i="2"/>
  <c r="K166" i="2"/>
  <c r="M166" i="2"/>
  <c r="L166" i="2"/>
  <c r="O167" i="2"/>
  <c r="B168" i="2"/>
  <c r="G167" i="2"/>
  <c r="H167" i="2"/>
  <c r="D167" i="2"/>
  <c r="E167" i="2"/>
  <c r="P167" i="2"/>
  <c r="R167" i="2"/>
  <c r="F167" i="2"/>
  <c r="Q167" i="2" s="1"/>
  <c r="I167" i="2" l="1"/>
  <c r="N167" i="2"/>
  <c r="I170" i="15"/>
  <c r="N170" i="15"/>
  <c r="AA188" i="2"/>
  <c r="U189" i="2"/>
  <c r="X188" i="2"/>
  <c r="W188" i="2"/>
  <c r="Y188" i="2"/>
  <c r="Z188" i="2"/>
  <c r="AE187" i="2"/>
  <c r="AD187" i="2"/>
  <c r="AB187" i="2"/>
  <c r="AC187" i="2"/>
  <c r="AB188" i="15"/>
  <c r="AC188" i="15"/>
  <c r="W189" i="15"/>
  <c r="X189" i="15"/>
  <c r="U190" i="15"/>
  <c r="Y189" i="15"/>
  <c r="AA189" i="15"/>
  <c r="Z189" i="15"/>
  <c r="AE188" i="15"/>
  <c r="AD188" i="15"/>
  <c r="K170" i="15"/>
  <c r="J170" i="15"/>
  <c r="D171" i="15"/>
  <c r="O171" i="15"/>
  <c r="F171" i="15"/>
  <c r="Q171" i="15" s="1"/>
  <c r="R171" i="15"/>
  <c r="P171" i="15"/>
  <c r="E171" i="15"/>
  <c r="G171" i="15"/>
  <c r="H171" i="15"/>
  <c r="M170" i="15"/>
  <c r="L170" i="15"/>
  <c r="J167" i="2"/>
  <c r="K167" i="2"/>
  <c r="M167" i="2"/>
  <c r="L167" i="2"/>
  <c r="O168" i="2"/>
  <c r="B169" i="2"/>
  <c r="G168" i="2"/>
  <c r="H168" i="2"/>
  <c r="D168" i="2"/>
  <c r="F168" i="2"/>
  <c r="Q168" i="2" s="1"/>
  <c r="E168" i="2"/>
  <c r="P168" i="2"/>
  <c r="R168" i="2"/>
  <c r="I168" i="2" l="1"/>
  <c r="N168" i="2"/>
  <c r="I171" i="15"/>
  <c r="N171" i="15"/>
  <c r="W189" i="2"/>
  <c r="X189" i="2"/>
  <c r="U190" i="2"/>
  <c r="Y189" i="2"/>
  <c r="Z189" i="2"/>
  <c r="AA189" i="2"/>
  <c r="AE188" i="2"/>
  <c r="AD188" i="2"/>
  <c r="AB188" i="2"/>
  <c r="AC188" i="2"/>
  <c r="AD189" i="15"/>
  <c r="AE189" i="15"/>
  <c r="W190" i="15"/>
  <c r="Y190" i="15"/>
  <c r="U191" i="15"/>
  <c r="X190" i="15"/>
  <c r="Z190" i="15"/>
  <c r="AA190" i="15"/>
  <c r="AB189" i="15"/>
  <c r="AC189" i="15"/>
  <c r="L171" i="15"/>
  <c r="M171" i="15"/>
  <c r="K171" i="15"/>
  <c r="J171" i="15"/>
  <c r="R172" i="15"/>
  <c r="E172" i="15"/>
  <c r="P172" i="15"/>
  <c r="O172" i="15"/>
  <c r="D172" i="15"/>
  <c r="H172" i="15"/>
  <c r="G172" i="15"/>
  <c r="F172" i="15"/>
  <c r="Q172" i="15" s="1"/>
  <c r="M168" i="2"/>
  <c r="L168" i="2"/>
  <c r="K168" i="2"/>
  <c r="J168" i="2"/>
  <c r="G169" i="2"/>
  <c r="H169" i="2"/>
  <c r="O169" i="2"/>
  <c r="B170" i="2"/>
  <c r="E169" i="2"/>
  <c r="D169" i="2"/>
  <c r="F169" i="2"/>
  <c r="Q169" i="2" s="1"/>
  <c r="P169" i="2"/>
  <c r="R169" i="2"/>
  <c r="I169" i="2" l="1"/>
  <c r="N169" i="2"/>
  <c r="I172" i="15"/>
  <c r="N172" i="15"/>
  <c r="W190" i="2"/>
  <c r="Z190" i="2"/>
  <c r="X190" i="2"/>
  <c r="Y190" i="2"/>
  <c r="AA190" i="2"/>
  <c r="U191" i="2"/>
  <c r="AB189" i="2"/>
  <c r="AC189" i="2"/>
  <c r="AE189" i="2"/>
  <c r="AD189" i="2"/>
  <c r="AC190" i="15"/>
  <c r="AB190" i="15"/>
  <c r="X191" i="15"/>
  <c r="Y191" i="15"/>
  <c r="AA191" i="15"/>
  <c r="U192" i="15"/>
  <c r="W191" i="15"/>
  <c r="Z191" i="15"/>
  <c r="AD190" i="15"/>
  <c r="AE190" i="15"/>
  <c r="M172" i="15"/>
  <c r="L172" i="15"/>
  <c r="R173" i="15"/>
  <c r="H173" i="15"/>
  <c r="D173" i="15"/>
  <c r="P173" i="15"/>
  <c r="O173" i="15"/>
  <c r="E173" i="15"/>
  <c r="G173" i="15"/>
  <c r="F173" i="15"/>
  <c r="Q173" i="15" s="1"/>
  <c r="K172" i="15"/>
  <c r="J172" i="15"/>
  <c r="M169" i="2"/>
  <c r="L169" i="2"/>
  <c r="B171" i="2"/>
  <c r="O170" i="2"/>
  <c r="G170" i="2"/>
  <c r="H170" i="2"/>
  <c r="D170" i="2"/>
  <c r="F170" i="2"/>
  <c r="Q170" i="2" s="1"/>
  <c r="E170" i="2"/>
  <c r="P170" i="2"/>
  <c r="R170" i="2"/>
  <c r="J169" i="2"/>
  <c r="K169" i="2"/>
  <c r="I170" i="2" l="1"/>
  <c r="N170" i="2"/>
  <c r="I173" i="15"/>
  <c r="N173" i="15"/>
  <c r="AC190" i="2"/>
  <c r="AB190" i="2"/>
  <c r="Y191" i="2"/>
  <c r="AA191" i="2"/>
  <c r="U192" i="2"/>
  <c r="W191" i="2"/>
  <c r="X191" i="2"/>
  <c r="Z191" i="2"/>
  <c r="AD190" i="2"/>
  <c r="AE190" i="2"/>
  <c r="AB191" i="15"/>
  <c r="AC191" i="15"/>
  <c r="Z192" i="15"/>
  <c r="AA192" i="15"/>
  <c r="U193" i="15"/>
  <c r="W192" i="15"/>
  <c r="Y192" i="15"/>
  <c r="X192" i="15"/>
  <c r="AE191" i="15"/>
  <c r="AD191" i="15"/>
  <c r="R174" i="15"/>
  <c r="H174" i="15"/>
  <c r="P174" i="15"/>
  <c r="G174" i="15"/>
  <c r="O174" i="15"/>
  <c r="F174" i="15"/>
  <c r="Q174" i="15" s="1"/>
  <c r="E174" i="15"/>
  <c r="D174" i="15"/>
  <c r="J173" i="15"/>
  <c r="K173" i="15"/>
  <c r="L173" i="15"/>
  <c r="M173" i="15"/>
  <c r="J170" i="2"/>
  <c r="K170" i="2"/>
  <c r="M170" i="2"/>
  <c r="L170" i="2"/>
  <c r="O171" i="2"/>
  <c r="B172" i="2"/>
  <c r="H171" i="2"/>
  <c r="D171" i="2"/>
  <c r="F171" i="2"/>
  <c r="Q171" i="2" s="1"/>
  <c r="G171" i="2"/>
  <c r="E171" i="2"/>
  <c r="P171" i="2"/>
  <c r="R171" i="2"/>
  <c r="I171" i="2" l="1"/>
  <c r="N171" i="2"/>
  <c r="I174" i="15"/>
  <c r="N174" i="15"/>
  <c r="AB191" i="2"/>
  <c r="AC191" i="2"/>
  <c r="AA192" i="2"/>
  <c r="U193" i="2"/>
  <c r="X192" i="2"/>
  <c r="Y192" i="2"/>
  <c r="W192" i="2"/>
  <c r="Z192" i="2"/>
  <c r="AD191" i="2"/>
  <c r="AE191" i="2"/>
  <c r="AB192" i="15"/>
  <c r="AC192" i="15"/>
  <c r="W193" i="15"/>
  <c r="Z193" i="15"/>
  <c r="AA193" i="15"/>
  <c r="U194" i="15"/>
  <c r="Y193" i="15"/>
  <c r="X193" i="15"/>
  <c r="AE192" i="15"/>
  <c r="AD192" i="15"/>
  <c r="K174" i="15"/>
  <c r="J174" i="15"/>
  <c r="H175" i="15"/>
  <c r="P175" i="15"/>
  <c r="G175" i="15"/>
  <c r="O175" i="15"/>
  <c r="F175" i="15"/>
  <c r="Q175" i="15" s="1"/>
  <c r="R175" i="15"/>
  <c r="E175" i="15"/>
  <c r="D175" i="15"/>
  <c r="M174" i="15"/>
  <c r="L174" i="15"/>
  <c r="J171" i="2"/>
  <c r="K171" i="2"/>
  <c r="M171" i="2"/>
  <c r="L171" i="2"/>
  <c r="B173" i="2"/>
  <c r="O172" i="2"/>
  <c r="G172" i="2"/>
  <c r="D172" i="2"/>
  <c r="H172" i="2"/>
  <c r="F172" i="2"/>
  <c r="Q172" i="2" s="1"/>
  <c r="E172" i="2"/>
  <c r="P172" i="2"/>
  <c r="R172" i="2"/>
  <c r="I172" i="2" l="1"/>
  <c r="N172" i="2"/>
  <c r="I175" i="15"/>
  <c r="N175" i="15"/>
  <c r="AD192" i="2"/>
  <c r="AE192" i="2"/>
  <c r="AC192" i="2"/>
  <c r="AB192" i="2"/>
  <c r="X193" i="2"/>
  <c r="W193" i="2"/>
  <c r="Y193" i="2"/>
  <c r="Z193" i="2"/>
  <c r="AA193" i="2"/>
  <c r="U194" i="2"/>
  <c r="W194" i="15"/>
  <c r="Y194" i="15"/>
  <c r="Z194" i="15"/>
  <c r="AA194" i="15"/>
  <c r="U195" i="15"/>
  <c r="X194" i="15"/>
  <c r="AD193" i="15"/>
  <c r="AE193" i="15"/>
  <c r="AB193" i="15"/>
  <c r="AC193" i="15"/>
  <c r="P176" i="15"/>
  <c r="G176" i="15"/>
  <c r="O176" i="15"/>
  <c r="F176" i="15"/>
  <c r="Q176" i="15" s="1"/>
  <c r="E176" i="15"/>
  <c r="R176" i="15"/>
  <c r="H176" i="15"/>
  <c r="D176" i="15"/>
  <c r="J175" i="15"/>
  <c r="K175" i="15"/>
  <c r="M175" i="15"/>
  <c r="L175" i="15"/>
  <c r="B174" i="2"/>
  <c r="G173" i="2"/>
  <c r="O173" i="2"/>
  <c r="H173" i="2"/>
  <c r="F173" i="2"/>
  <c r="Q173" i="2" s="1"/>
  <c r="E173" i="2"/>
  <c r="D173" i="2"/>
  <c r="P173" i="2"/>
  <c r="R173" i="2"/>
  <c r="M172" i="2"/>
  <c r="L172" i="2"/>
  <c r="J172" i="2"/>
  <c r="K172" i="2"/>
  <c r="I173" i="2" l="1"/>
  <c r="N173" i="2"/>
  <c r="I176" i="15"/>
  <c r="N176" i="15"/>
  <c r="W194" i="2"/>
  <c r="Z194" i="2"/>
  <c r="X194" i="2"/>
  <c r="Y194" i="2"/>
  <c r="AA194" i="2"/>
  <c r="U195" i="2"/>
  <c r="AE193" i="2"/>
  <c r="AD193" i="2"/>
  <c r="AB193" i="2"/>
  <c r="AC193" i="2"/>
  <c r="X195" i="15"/>
  <c r="Y195" i="15"/>
  <c r="AA195" i="15"/>
  <c r="U196" i="15"/>
  <c r="W195" i="15"/>
  <c r="Z195" i="15"/>
  <c r="AD194" i="15"/>
  <c r="AE194" i="15"/>
  <c r="AC194" i="15"/>
  <c r="AB194" i="15"/>
  <c r="K176" i="15"/>
  <c r="J176" i="15"/>
  <c r="O177" i="15"/>
  <c r="F177" i="15"/>
  <c r="Q177" i="15" s="1"/>
  <c r="E177" i="15"/>
  <c r="D177" i="15"/>
  <c r="H177" i="15"/>
  <c r="P177" i="15"/>
  <c r="G177" i="15"/>
  <c r="R177" i="15"/>
  <c r="M176" i="15"/>
  <c r="L176" i="15"/>
  <c r="K173" i="2"/>
  <c r="J173" i="2"/>
  <c r="M173" i="2"/>
  <c r="L173" i="2"/>
  <c r="O174" i="2"/>
  <c r="B175" i="2"/>
  <c r="G174" i="2"/>
  <c r="F174" i="2"/>
  <c r="Q174" i="2" s="1"/>
  <c r="E174" i="2"/>
  <c r="H174" i="2"/>
  <c r="R174" i="2"/>
  <c r="P174" i="2"/>
  <c r="D174" i="2"/>
  <c r="I174" i="2" l="1"/>
  <c r="N174" i="2"/>
  <c r="I177" i="15"/>
  <c r="N177" i="15"/>
  <c r="AB194" i="2"/>
  <c r="AC194" i="2"/>
  <c r="Y195" i="2"/>
  <c r="X195" i="2"/>
  <c r="U196" i="2"/>
  <c r="Z195" i="2"/>
  <c r="W195" i="2"/>
  <c r="AA195" i="2"/>
  <c r="AD194" i="2"/>
  <c r="AE194" i="2"/>
  <c r="AB195" i="15"/>
  <c r="AC195" i="15"/>
  <c r="Z196" i="15"/>
  <c r="AA196" i="15"/>
  <c r="U197" i="15"/>
  <c r="W196" i="15"/>
  <c r="X196" i="15"/>
  <c r="Y196" i="15"/>
  <c r="AE195" i="15"/>
  <c r="AD195" i="15"/>
  <c r="E178" i="15"/>
  <c r="D178" i="15"/>
  <c r="P178" i="15"/>
  <c r="G178" i="15"/>
  <c r="H178" i="15"/>
  <c r="O178" i="15"/>
  <c r="F178" i="15"/>
  <c r="Q178" i="15" s="1"/>
  <c r="R178" i="15"/>
  <c r="M177" i="15"/>
  <c r="L177" i="15"/>
  <c r="K177" i="15"/>
  <c r="J177" i="15"/>
  <c r="O175" i="2"/>
  <c r="B176" i="2"/>
  <c r="G175" i="2"/>
  <c r="H175" i="2"/>
  <c r="D175" i="2"/>
  <c r="F175" i="2"/>
  <c r="Q175" i="2" s="1"/>
  <c r="E175" i="2"/>
  <c r="P175" i="2"/>
  <c r="R175" i="2"/>
  <c r="K174" i="2"/>
  <c r="J174" i="2"/>
  <c r="M174" i="2"/>
  <c r="L174" i="2"/>
  <c r="I175" i="2" l="1"/>
  <c r="N175" i="2"/>
  <c r="I178" i="15"/>
  <c r="N178" i="15"/>
  <c r="AD195" i="2"/>
  <c r="AE195" i="2"/>
  <c r="AB195" i="2"/>
  <c r="AC195" i="2"/>
  <c r="AA196" i="2"/>
  <c r="U197" i="2"/>
  <c r="W196" i="2"/>
  <c r="X196" i="2"/>
  <c r="Y196" i="2"/>
  <c r="Z196" i="2"/>
  <c r="AB196" i="15"/>
  <c r="AC196" i="15"/>
  <c r="AD196" i="15"/>
  <c r="AE196" i="15"/>
  <c r="W197" i="15"/>
  <c r="X197" i="15"/>
  <c r="U198" i="15"/>
  <c r="Z197" i="15"/>
  <c r="Y197" i="15"/>
  <c r="AA197" i="15"/>
  <c r="D179" i="15"/>
  <c r="O179" i="15"/>
  <c r="F179" i="15"/>
  <c r="Q179" i="15" s="1"/>
  <c r="H179" i="15"/>
  <c r="G179" i="15"/>
  <c r="R179" i="15"/>
  <c r="P179" i="15"/>
  <c r="E179" i="15"/>
  <c r="M178" i="15"/>
  <c r="L178" i="15"/>
  <c r="K178" i="15"/>
  <c r="J178" i="15"/>
  <c r="M175" i="2"/>
  <c r="L175" i="2"/>
  <c r="O176" i="2"/>
  <c r="B177" i="2"/>
  <c r="G176" i="2"/>
  <c r="H176" i="2"/>
  <c r="D176" i="2"/>
  <c r="F176" i="2"/>
  <c r="Q176" i="2" s="1"/>
  <c r="E176" i="2"/>
  <c r="R176" i="2"/>
  <c r="P176" i="2"/>
  <c r="J175" i="2"/>
  <c r="K175" i="2"/>
  <c r="I176" i="2" l="1"/>
  <c r="N176" i="2"/>
  <c r="I179" i="15"/>
  <c r="N179" i="15"/>
  <c r="AC196" i="2"/>
  <c r="AB196" i="2"/>
  <c r="X197" i="2"/>
  <c r="W197" i="2"/>
  <c r="Y197" i="2"/>
  <c r="Z197" i="2"/>
  <c r="AA197" i="2"/>
  <c r="U198" i="2"/>
  <c r="AE196" i="2"/>
  <c r="AD196" i="2"/>
  <c r="W198" i="15"/>
  <c r="Y198" i="15"/>
  <c r="U199" i="15"/>
  <c r="Z198" i="15"/>
  <c r="AA198" i="15"/>
  <c r="X198" i="15"/>
  <c r="AB197" i="15"/>
  <c r="AC197" i="15"/>
  <c r="AD197" i="15"/>
  <c r="AE197" i="15"/>
  <c r="K179" i="15"/>
  <c r="J179" i="15"/>
  <c r="L179" i="15"/>
  <c r="M179" i="15"/>
  <c r="R180" i="15"/>
  <c r="E180" i="15"/>
  <c r="H180" i="15"/>
  <c r="G180" i="15"/>
  <c r="F180" i="15"/>
  <c r="Q180" i="15" s="1"/>
  <c r="D180" i="15"/>
  <c r="O180" i="15"/>
  <c r="P180" i="15"/>
  <c r="M176" i="2"/>
  <c r="L176" i="2"/>
  <c r="O177" i="2"/>
  <c r="G177" i="2"/>
  <c r="H177" i="2"/>
  <c r="B178" i="2"/>
  <c r="E177" i="2"/>
  <c r="D177" i="2"/>
  <c r="F177" i="2"/>
  <c r="Q177" i="2" s="1"/>
  <c r="R177" i="2"/>
  <c r="P177" i="2"/>
  <c r="J176" i="2"/>
  <c r="K176" i="2"/>
  <c r="I177" i="2" l="1"/>
  <c r="N177" i="2"/>
  <c r="I180" i="15"/>
  <c r="N180" i="15"/>
  <c r="AE197" i="2"/>
  <c r="AD197" i="2"/>
  <c r="AB197" i="2"/>
  <c r="AC197" i="2"/>
  <c r="W198" i="2"/>
  <c r="Z198" i="2"/>
  <c r="Y198" i="2"/>
  <c r="AA198" i="2"/>
  <c r="X198" i="2"/>
  <c r="U199" i="2"/>
  <c r="AD198" i="15"/>
  <c r="AE198" i="15"/>
  <c r="X199" i="15"/>
  <c r="Y199" i="15"/>
  <c r="AA199" i="15"/>
  <c r="U200" i="15"/>
  <c r="W199" i="15"/>
  <c r="Z199" i="15"/>
  <c r="AC198" i="15"/>
  <c r="AB198" i="15"/>
  <c r="M180" i="15"/>
  <c r="L180" i="15"/>
  <c r="K180" i="15"/>
  <c r="J180" i="15"/>
  <c r="R181" i="15"/>
  <c r="H181" i="15"/>
  <c r="D181" i="15"/>
  <c r="G181" i="15"/>
  <c r="F181" i="15"/>
  <c r="Q181" i="15" s="1"/>
  <c r="E181" i="15"/>
  <c r="P181" i="15"/>
  <c r="O181" i="15"/>
  <c r="B179" i="2"/>
  <c r="O178" i="2"/>
  <c r="G178" i="2"/>
  <c r="D178" i="2"/>
  <c r="H178" i="2"/>
  <c r="F178" i="2"/>
  <c r="Q178" i="2" s="1"/>
  <c r="P178" i="2"/>
  <c r="E178" i="2"/>
  <c r="R178" i="2"/>
  <c r="M177" i="2"/>
  <c r="L177" i="2"/>
  <c r="J177" i="2"/>
  <c r="K177" i="2"/>
  <c r="I178" i="2" l="1"/>
  <c r="N178" i="2"/>
  <c r="I181" i="15"/>
  <c r="N181" i="15"/>
  <c r="AD198" i="2"/>
  <c r="AE198" i="2"/>
  <c r="AB198" i="2"/>
  <c r="AC198" i="2"/>
  <c r="Y199" i="2"/>
  <c r="W199" i="2"/>
  <c r="X199" i="2"/>
  <c r="Z199" i="2"/>
  <c r="AA199" i="2"/>
  <c r="U200" i="2"/>
  <c r="AB199" i="15"/>
  <c r="AC199" i="15"/>
  <c r="AE199" i="15"/>
  <c r="AD199" i="15"/>
  <c r="Z200" i="15"/>
  <c r="AA200" i="15"/>
  <c r="U201" i="15"/>
  <c r="W200" i="15"/>
  <c r="X200" i="15"/>
  <c r="Y200" i="15"/>
  <c r="J181" i="15"/>
  <c r="K181" i="15"/>
  <c r="L181" i="15"/>
  <c r="M181" i="15"/>
  <c r="R182" i="15"/>
  <c r="H182" i="15"/>
  <c r="P182" i="15"/>
  <c r="G182" i="15"/>
  <c r="F182" i="15"/>
  <c r="Q182" i="15" s="1"/>
  <c r="E182" i="15"/>
  <c r="D182" i="15"/>
  <c r="O182" i="15"/>
  <c r="L178" i="2"/>
  <c r="M178" i="2"/>
  <c r="J178" i="2"/>
  <c r="K178" i="2"/>
  <c r="O179" i="2"/>
  <c r="B180" i="2"/>
  <c r="G179" i="2"/>
  <c r="D179" i="2"/>
  <c r="F179" i="2"/>
  <c r="Q179" i="2" s="1"/>
  <c r="H179" i="2"/>
  <c r="P179" i="2"/>
  <c r="R179" i="2"/>
  <c r="E179" i="2"/>
  <c r="I179" i="2" l="1"/>
  <c r="N179" i="2"/>
  <c r="I182" i="15"/>
  <c r="N182" i="15"/>
  <c r="AA200" i="2"/>
  <c r="U201" i="2"/>
  <c r="X200" i="2"/>
  <c r="Y200" i="2"/>
  <c r="Z200" i="2"/>
  <c r="W200" i="2"/>
  <c r="AB199" i="2"/>
  <c r="AC199" i="2"/>
  <c r="AE199" i="2"/>
  <c r="AD199" i="2"/>
  <c r="AB200" i="15"/>
  <c r="AC200" i="15"/>
  <c r="AD200" i="15"/>
  <c r="AE200" i="15"/>
  <c r="W201" i="15"/>
  <c r="Y201" i="15"/>
  <c r="X201" i="15"/>
  <c r="Z201" i="15"/>
  <c r="AA201" i="15"/>
  <c r="U202" i="15"/>
  <c r="H183" i="15"/>
  <c r="P183" i="15"/>
  <c r="G183" i="15"/>
  <c r="O183" i="15"/>
  <c r="F183" i="15"/>
  <c r="Q183" i="15" s="1"/>
  <c r="E183" i="15"/>
  <c r="D183" i="15"/>
  <c r="R183" i="15"/>
  <c r="L182" i="15"/>
  <c r="M182" i="15"/>
  <c r="K182" i="15"/>
  <c r="J182" i="15"/>
  <c r="M179" i="2"/>
  <c r="L179" i="2"/>
  <c r="J179" i="2"/>
  <c r="K179" i="2"/>
  <c r="B181" i="2"/>
  <c r="O180" i="2"/>
  <c r="H180" i="2"/>
  <c r="D180" i="2"/>
  <c r="G180" i="2"/>
  <c r="P180" i="2"/>
  <c r="F180" i="2"/>
  <c r="Q180" i="2" s="1"/>
  <c r="R180" i="2"/>
  <c r="E180" i="2"/>
  <c r="I180" i="2" l="1"/>
  <c r="N180" i="2"/>
  <c r="I183" i="15"/>
  <c r="N183" i="15"/>
  <c r="AC200" i="2"/>
  <c r="AB200" i="2"/>
  <c r="X201" i="2"/>
  <c r="Z201" i="2"/>
  <c r="AA201" i="2"/>
  <c r="W201" i="2"/>
  <c r="Y201" i="2"/>
  <c r="U202" i="2"/>
  <c r="AD200" i="2"/>
  <c r="AE200" i="2"/>
  <c r="W202" i="15"/>
  <c r="Y202" i="15"/>
  <c r="Z202" i="15"/>
  <c r="AA202" i="15"/>
  <c r="U203" i="15"/>
  <c r="X202" i="15"/>
  <c r="AB201" i="15"/>
  <c r="AC201" i="15"/>
  <c r="AD201" i="15"/>
  <c r="AE201" i="15"/>
  <c r="M183" i="15"/>
  <c r="L183" i="15"/>
  <c r="P184" i="15"/>
  <c r="G184" i="15"/>
  <c r="O184" i="15"/>
  <c r="F184" i="15"/>
  <c r="Q184" i="15" s="1"/>
  <c r="E184" i="15"/>
  <c r="R184" i="15"/>
  <c r="D184" i="15"/>
  <c r="H184" i="15"/>
  <c r="J183" i="15"/>
  <c r="K183" i="15"/>
  <c r="J180" i="2"/>
  <c r="K180" i="2"/>
  <c r="M180" i="2"/>
  <c r="L180" i="2"/>
  <c r="B182" i="2"/>
  <c r="G181" i="2"/>
  <c r="O181" i="2"/>
  <c r="H181" i="2"/>
  <c r="D181" i="2"/>
  <c r="F181" i="2"/>
  <c r="Q181" i="2" s="1"/>
  <c r="E181" i="2"/>
  <c r="P181" i="2"/>
  <c r="R181" i="2"/>
  <c r="I181" i="2" l="1"/>
  <c r="N181" i="2"/>
  <c r="I184" i="15"/>
  <c r="N184" i="15"/>
  <c r="AB201" i="2"/>
  <c r="AC201" i="2"/>
  <c r="AE201" i="2"/>
  <c r="AD201" i="2"/>
  <c r="W202" i="2"/>
  <c r="Z202" i="2"/>
  <c r="X202" i="2"/>
  <c r="U203" i="2"/>
  <c r="Y202" i="2"/>
  <c r="AA202" i="2"/>
  <c r="X203" i="15"/>
  <c r="Y203" i="15"/>
  <c r="AA203" i="15"/>
  <c r="U204" i="15"/>
  <c r="Z203" i="15"/>
  <c r="W203" i="15"/>
  <c r="AD202" i="15"/>
  <c r="AE202" i="15"/>
  <c r="AC202" i="15"/>
  <c r="AB202" i="15"/>
  <c r="J184" i="15"/>
  <c r="K184" i="15"/>
  <c r="M184" i="15"/>
  <c r="L184" i="15"/>
  <c r="E185" i="15"/>
  <c r="G185" i="15"/>
  <c r="P185" i="15"/>
  <c r="F185" i="15"/>
  <c r="Q185" i="15" s="1"/>
  <c r="O185" i="15"/>
  <c r="D185" i="15"/>
  <c r="H185" i="15"/>
  <c r="R185" i="15"/>
  <c r="K181" i="2"/>
  <c r="J181" i="2"/>
  <c r="M181" i="2"/>
  <c r="L181" i="2"/>
  <c r="O182" i="2"/>
  <c r="B183" i="2"/>
  <c r="H182" i="2"/>
  <c r="F182" i="2"/>
  <c r="Q182" i="2" s="1"/>
  <c r="G182" i="2"/>
  <c r="E182" i="2"/>
  <c r="D182" i="2"/>
  <c r="R182" i="2"/>
  <c r="P182" i="2"/>
  <c r="I182" i="2" l="1"/>
  <c r="N182" i="2"/>
  <c r="I185" i="15"/>
  <c r="N185" i="15"/>
  <c r="AB202" i="2"/>
  <c r="AC202" i="2"/>
  <c r="AD202" i="2"/>
  <c r="AE202" i="2"/>
  <c r="Y203" i="2"/>
  <c r="X203" i="2"/>
  <c r="Z203" i="2"/>
  <c r="AA203" i="2"/>
  <c r="W203" i="2"/>
  <c r="U204" i="2"/>
  <c r="AB203" i="15"/>
  <c r="AC203" i="15"/>
  <c r="Z204" i="15"/>
  <c r="AA204" i="15"/>
  <c r="U205" i="15"/>
  <c r="Y204" i="15"/>
  <c r="W204" i="15"/>
  <c r="X204" i="15"/>
  <c r="AE203" i="15"/>
  <c r="AD203" i="15"/>
  <c r="M185" i="15"/>
  <c r="L185" i="15"/>
  <c r="D186" i="15"/>
  <c r="R186" i="15"/>
  <c r="H186" i="15"/>
  <c r="G186" i="15"/>
  <c r="P186" i="15"/>
  <c r="F186" i="15"/>
  <c r="Q186" i="15" s="1"/>
  <c r="E186" i="15"/>
  <c r="O186" i="15"/>
  <c r="K185" i="15"/>
  <c r="J185" i="15"/>
  <c r="M182" i="2"/>
  <c r="L182" i="2"/>
  <c r="B184" i="2"/>
  <c r="D183" i="2"/>
  <c r="H183" i="2"/>
  <c r="G183" i="2"/>
  <c r="F183" i="2"/>
  <c r="Q183" i="2" s="1"/>
  <c r="E183" i="2"/>
  <c r="O183" i="2"/>
  <c r="R183" i="2"/>
  <c r="P183" i="2"/>
  <c r="K182" i="2"/>
  <c r="J182" i="2"/>
  <c r="I183" i="2" l="1"/>
  <c r="N183" i="2"/>
  <c r="I186" i="15"/>
  <c r="N186" i="15"/>
  <c r="AC203" i="2"/>
  <c r="AB203" i="2"/>
  <c r="AA204" i="2"/>
  <c r="U205" i="2"/>
  <c r="Z204" i="2"/>
  <c r="X204" i="2"/>
  <c r="Y204" i="2"/>
  <c r="W204" i="2"/>
  <c r="AD203" i="2"/>
  <c r="AE203" i="2"/>
  <c r="AB204" i="15"/>
  <c r="AC204" i="15"/>
  <c r="W205" i="15"/>
  <c r="Y205" i="15"/>
  <c r="Z205" i="15"/>
  <c r="X205" i="15"/>
  <c r="AA205" i="15"/>
  <c r="U206" i="15"/>
  <c r="AD204" i="15"/>
  <c r="AE204" i="15"/>
  <c r="L186" i="15"/>
  <c r="M186" i="15"/>
  <c r="J186" i="15"/>
  <c r="K186" i="15"/>
  <c r="R187" i="15"/>
  <c r="H187" i="15"/>
  <c r="G187" i="15"/>
  <c r="F187" i="15"/>
  <c r="Q187" i="15" s="1"/>
  <c r="E187" i="15"/>
  <c r="D187" i="15"/>
  <c r="P187" i="15"/>
  <c r="O187" i="15"/>
  <c r="M183" i="2"/>
  <c r="L183" i="2"/>
  <c r="K183" i="2"/>
  <c r="J183" i="2"/>
  <c r="O184" i="2"/>
  <c r="B185" i="2"/>
  <c r="G184" i="2"/>
  <c r="H184" i="2"/>
  <c r="D184" i="2"/>
  <c r="F184" i="2"/>
  <c r="Q184" i="2" s="1"/>
  <c r="E184" i="2"/>
  <c r="P184" i="2"/>
  <c r="R184" i="2"/>
  <c r="I184" i="2" l="1"/>
  <c r="N184" i="2"/>
  <c r="I187" i="15"/>
  <c r="N187" i="15"/>
  <c r="X205" i="2"/>
  <c r="W205" i="2"/>
  <c r="Y205" i="2"/>
  <c r="U206" i="2"/>
  <c r="Z205" i="2"/>
  <c r="AA205" i="2"/>
  <c r="AD204" i="2"/>
  <c r="AE204" i="2"/>
  <c r="AC204" i="2"/>
  <c r="AB204" i="2"/>
  <c r="AB205" i="15"/>
  <c r="AC205" i="15"/>
  <c r="AD205" i="15"/>
  <c r="AE205" i="15"/>
  <c r="Y206" i="15"/>
  <c r="W206" i="15"/>
  <c r="Z206" i="15"/>
  <c r="U207" i="15"/>
  <c r="AA206" i="15"/>
  <c r="X206" i="15"/>
  <c r="L187" i="15"/>
  <c r="M187" i="15"/>
  <c r="H188" i="15"/>
  <c r="O188" i="15"/>
  <c r="D188" i="15"/>
  <c r="G188" i="15"/>
  <c r="F188" i="15"/>
  <c r="Q188" i="15" s="1"/>
  <c r="E188" i="15"/>
  <c r="P188" i="15"/>
  <c r="R188" i="15"/>
  <c r="K187" i="15"/>
  <c r="J187" i="15"/>
  <c r="J184" i="2"/>
  <c r="K184" i="2"/>
  <c r="M184" i="2"/>
  <c r="L184" i="2"/>
  <c r="O185" i="2"/>
  <c r="G185" i="2"/>
  <c r="H185" i="2"/>
  <c r="D185" i="2"/>
  <c r="B186" i="2"/>
  <c r="E185" i="2"/>
  <c r="F185" i="2"/>
  <c r="Q185" i="2" s="1"/>
  <c r="R185" i="2"/>
  <c r="P185" i="2"/>
  <c r="I185" i="2" l="1"/>
  <c r="N185" i="2"/>
  <c r="I188" i="15"/>
  <c r="N188" i="15"/>
  <c r="AE205" i="2"/>
  <c r="AD205" i="2"/>
  <c r="W206" i="2"/>
  <c r="Z206" i="2"/>
  <c r="Y206" i="2"/>
  <c r="AA206" i="2"/>
  <c r="U207" i="2"/>
  <c r="X206" i="2"/>
  <c r="AB205" i="2"/>
  <c r="AC205" i="2"/>
  <c r="AC206" i="15"/>
  <c r="AB206" i="15"/>
  <c r="AD206" i="15"/>
  <c r="AE206" i="15"/>
  <c r="AA207" i="15"/>
  <c r="U208" i="15"/>
  <c r="Z207" i="15"/>
  <c r="W207" i="15"/>
  <c r="X207" i="15"/>
  <c r="Y207" i="15"/>
  <c r="K188" i="15"/>
  <c r="J188" i="15"/>
  <c r="L188" i="15"/>
  <c r="M188" i="15"/>
  <c r="P189" i="15"/>
  <c r="E189" i="15"/>
  <c r="O189" i="15"/>
  <c r="D189" i="15"/>
  <c r="R189" i="15"/>
  <c r="G189" i="15"/>
  <c r="H189" i="15"/>
  <c r="F189" i="15"/>
  <c r="Q189" i="15" s="1"/>
  <c r="B187" i="2"/>
  <c r="O186" i="2"/>
  <c r="G186" i="2"/>
  <c r="H186" i="2"/>
  <c r="D186" i="2"/>
  <c r="P186" i="2"/>
  <c r="E186" i="2"/>
  <c r="R186" i="2"/>
  <c r="F186" i="2"/>
  <c r="Q186" i="2" s="1"/>
  <c r="J185" i="2"/>
  <c r="K185" i="2"/>
  <c r="M185" i="2"/>
  <c r="L185" i="2"/>
  <c r="I186" i="2" l="1"/>
  <c r="N186" i="2"/>
  <c r="I189" i="15"/>
  <c r="N189" i="15"/>
  <c r="Y207" i="2"/>
  <c r="AA207" i="2"/>
  <c r="X207" i="2"/>
  <c r="Z207" i="2"/>
  <c r="W207" i="2"/>
  <c r="U208" i="2"/>
  <c r="AD206" i="2"/>
  <c r="AE206" i="2"/>
  <c r="AC206" i="2"/>
  <c r="AB206" i="2"/>
  <c r="W208" i="15"/>
  <c r="Y208" i="15"/>
  <c r="U209" i="15"/>
  <c r="Z208" i="15"/>
  <c r="AA208" i="15"/>
  <c r="X208" i="15"/>
  <c r="AC207" i="15"/>
  <c r="AB207" i="15"/>
  <c r="AE207" i="15"/>
  <c r="AD207" i="15"/>
  <c r="J189" i="15"/>
  <c r="K189" i="15"/>
  <c r="L189" i="15"/>
  <c r="M189" i="15"/>
  <c r="R190" i="15"/>
  <c r="D190" i="15"/>
  <c r="H190" i="15"/>
  <c r="G190" i="15"/>
  <c r="F190" i="15"/>
  <c r="Q190" i="15" s="1"/>
  <c r="P190" i="15"/>
  <c r="O190" i="15"/>
  <c r="E190" i="15"/>
  <c r="O187" i="2"/>
  <c r="G187" i="2"/>
  <c r="B188" i="2"/>
  <c r="D187" i="2"/>
  <c r="F187" i="2"/>
  <c r="Q187" i="2" s="1"/>
  <c r="H187" i="2"/>
  <c r="P187" i="2"/>
  <c r="E187" i="2"/>
  <c r="R187" i="2"/>
  <c r="J186" i="2"/>
  <c r="K186" i="2"/>
  <c r="L186" i="2"/>
  <c r="M186" i="2"/>
  <c r="I187" i="2" l="1"/>
  <c r="N187" i="2"/>
  <c r="I190" i="15"/>
  <c r="N190" i="15"/>
  <c r="AA208" i="2"/>
  <c r="U209" i="2"/>
  <c r="X208" i="2"/>
  <c r="Y208" i="2"/>
  <c r="Z208" i="2"/>
  <c r="W208" i="2"/>
  <c r="AB207" i="2"/>
  <c r="AC207" i="2"/>
  <c r="AD207" i="2"/>
  <c r="AE207" i="2"/>
  <c r="AD208" i="15"/>
  <c r="AE208" i="15"/>
  <c r="W209" i="15"/>
  <c r="Z209" i="15"/>
  <c r="U210" i="15"/>
  <c r="AA209" i="15"/>
  <c r="X209" i="15"/>
  <c r="Y209" i="15"/>
  <c r="AB208" i="15"/>
  <c r="AC208" i="15"/>
  <c r="M190" i="15"/>
  <c r="L190" i="15"/>
  <c r="K190" i="15"/>
  <c r="J190" i="15"/>
  <c r="H191" i="15"/>
  <c r="O191" i="15"/>
  <c r="E191" i="15"/>
  <c r="P191" i="15"/>
  <c r="D191" i="15"/>
  <c r="R191" i="15"/>
  <c r="F191" i="15"/>
  <c r="Q191" i="15" s="1"/>
  <c r="G191" i="15"/>
  <c r="M187" i="2"/>
  <c r="L187" i="2"/>
  <c r="K187" i="2"/>
  <c r="J187" i="2"/>
  <c r="B189" i="2"/>
  <c r="O188" i="2"/>
  <c r="G188" i="2"/>
  <c r="P188" i="2"/>
  <c r="D188" i="2"/>
  <c r="E188" i="2"/>
  <c r="F188" i="2"/>
  <c r="Q188" i="2" s="1"/>
  <c r="H188" i="2"/>
  <c r="R188" i="2"/>
  <c r="I188" i="2" l="1"/>
  <c r="N188" i="2"/>
  <c r="I191" i="15"/>
  <c r="N191" i="15"/>
  <c r="AC208" i="2"/>
  <c r="AB208" i="2"/>
  <c r="X209" i="2"/>
  <c r="Z209" i="2"/>
  <c r="AA209" i="2"/>
  <c r="U210" i="2"/>
  <c r="W209" i="2"/>
  <c r="Y209" i="2"/>
  <c r="AD208" i="2"/>
  <c r="AE208" i="2"/>
  <c r="AB209" i="15"/>
  <c r="AC209" i="15"/>
  <c r="AD209" i="15"/>
  <c r="AE209" i="15"/>
  <c r="X210" i="15"/>
  <c r="W210" i="15"/>
  <c r="U211" i="15"/>
  <c r="AA210" i="15"/>
  <c r="Z210" i="15"/>
  <c r="Y210" i="15"/>
  <c r="K191" i="15"/>
  <c r="J191" i="15"/>
  <c r="L191" i="15"/>
  <c r="M191" i="15"/>
  <c r="P192" i="15"/>
  <c r="G192" i="15"/>
  <c r="F192" i="15"/>
  <c r="Q192" i="15" s="1"/>
  <c r="R192" i="15"/>
  <c r="E192" i="15"/>
  <c r="O192" i="15"/>
  <c r="D192" i="15"/>
  <c r="H192" i="15"/>
  <c r="K188" i="2"/>
  <c r="J188" i="2"/>
  <c r="M188" i="2"/>
  <c r="L188" i="2"/>
  <c r="B190" i="2"/>
  <c r="O189" i="2"/>
  <c r="G189" i="2"/>
  <c r="H189" i="2"/>
  <c r="D189" i="2"/>
  <c r="F189" i="2"/>
  <c r="Q189" i="2" s="1"/>
  <c r="E189" i="2"/>
  <c r="P189" i="2"/>
  <c r="R189" i="2"/>
  <c r="I189" i="2" l="1"/>
  <c r="N189" i="2"/>
  <c r="I192" i="15"/>
  <c r="N192" i="15"/>
  <c r="AB209" i="2"/>
  <c r="AC209" i="2"/>
  <c r="W210" i="2"/>
  <c r="Z210" i="2"/>
  <c r="Y210" i="2"/>
  <c r="AA210" i="2"/>
  <c r="U211" i="2"/>
  <c r="X210" i="2"/>
  <c r="AE209" i="2"/>
  <c r="AD209" i="2"/>
  <c r="W211" i="15"/>
  <c r="X211" i="15"/>
  <c r="Z211" i="15"/>
  <c r="U212" i="15"/>
  <c r="Y211" i="15"/>
  <c r="AA211" i="15"/>
  <c r="AB210" i="15"/>
  <c r="AC210" i="15"/>
  <c r="AE210" i="15"/>
  <c r="AD210" i="15"/>
  <c r="M192" i="15"/>
  <c r="L192" i="15"/>
  <c r="O193" i="15"/>
  <c r="F193" i="15"/>
  <c r="Q193" i="15" s="1"/>
  <c r="R193" i="15"/>
  <c r="H193" i="15"/>
  <c r="G193" i="15"/>
  <c r="E193" i="15"/>
  <c r="D193" i="15"/>
  <c r="P193" i="15"/>
  <c r="K192" i="15"/>
  <c r="J192" i="15"/>
  <c r="J189" i="2"/>
  <c r="K189" i="2"/>
  <c r="M189" i="2"/>
  <c r="L189" i="2"/>
  <c r="O190" i="2"/>
  <c r="B191" i="2"/>
  <c r="H190" i="2"/>
  <c r="G190" i="2"/>
  <c r="D190" i="2"/>
  <c r="F190" i="2"/>
  <c r="Q190" i="2" s="1"/>
  <c r="E190" i="2"/>
  <c r="P190" i="2"/>
  <c r="R190" i="2"/>
  <c r="I190" i="2" l="1"/>
  <c r="N190" i="2"/>
  <c r="I193" i="15"/>
  <c r="N193" i="15"/>
  <c r="AB210" i="2"/>
  <c r="AC210" i="2"/>
  <c r="Y211" i="2"/>
  <c r="X211" i="2"/>
  <c r="U212" i="2"/>
  <c r="Z211" i="2"/>
  <c r="AA211" i="2"/>
  <c r="W211" i="2"/>
  <c r="AD210" i="2"/>
  <c r="AE210" i="2"/>
  <c r="AD211" i="15"/>
  <c r="AE211" i="15"/>
  <c r="Y212" i="15"/>
  <c r="Z212" i="15"/>
  <c r="AA212" i="15"/>
  <c r="X212" i="15"/>
  <c r="U213" i="15"/>
  <c r="W212" i="15"/>
  <c r="AC211" i="15"/>
  <c r="AB211" i="15"/>
  <c r="L193" i="15"/>
  <c r="M193" i="15"/>
  <c r="E194" i="15"/>
  <c r="O194" i="15"/>
  <c r="F194" i="15"/>
  <c r="Q194" i="15" s="1"/>
  <c r="H194" i="15"/>
  <c r="G194" i="15"/>
  <c r="P194" i="15"/>
  <c r="D194" i="15"/>
  <c r="R194" i="15"/>
  <c r="J193" i="15"/>
  <c r="K193" i="15"/>
  <c r="K190" i="2"/>
  <c r="J190" i="2"/>
  <c r="M190" i="2"/>
  <c r="L190" i="2"/>
  <c r="O191" i="2"/>
  <c r="B192" i="2"/>
  <c r="G191" i="2"/>
  <c r="D191" i="2"/>
  <c r="H191" i="2"/>
  <c r="F191" i="2"/>
  <c r="Q191" i="2" s="1"/>
  <c r="E191" i="2"/>
  <c r="P191" i="2"/>
  <c r="R191" i="2"/>
  <c r="I191" i="2" l="1"/>
  <c r="N191" i="2"/>
  <c r="I194" i="15"/>
  <c r="N194" i="15"/>
  <c r="AD211" i="2"/>
  <c r="AE211" i="2"/>
  <c r="AA212" i="2"/>
  <c r="U213" i="2"/>
  <c r="W212" i="2"/>
  <c r="Z212" i="2"/>
  <c r="X212" i="2"/>
  <c r="Y212" i="2"/>
  <c r="AB211" i="2"/>
  <c r="AC211" i="2"/>
  <c r="AD212" i="15"/>
  <c r="AE212" i="15"/>
  <c r="AA213" i="15"/>
  <c r="U214" i="15"/>
  <c r="Y213" i="15"/>
  <c r="Z213" i="15"/>
  <c r="X213" i="15"/>
  <c r="W213" i="15"/>
  <c r="AB212" i="15"/>
  <c r="AC212" i="15"/>
  <c r="M194" i="15"/>
  <c r="L194" i="15"/>
  <c r="K194" i="15"/>
  <c r="J194" i="15"/>
  <c r="D195" i="15"/>
  <c r="R195" i="15"/>
  <c r="G195" i="15"/>
  <c r="F195" i="15"/>
  <c r="Q195" i="15" s="1"/>
  <c r="P195" i="15"/>
  <c r="E195" i="15"/>
  <c r="O195" i="15"/>
  <c r="H195" i="15"/>
  <c r="M191" i="2"/>
  <c r="L191" i="2"/>
  <c r="K191" i="2"/>
  <c r="J191" i="2"/>
  <c r="O192" i="2"/>
  <c r="B193" i="2"/>
  <c r="G192" i="2"/>
  <c r="D192" i="2"/>
  <c r="F192" i="2"/>
  <c r="Q192" i="2" s="1"/>
  <c r="E192" i="2"/>
  <c r="H192" i="2"/>
  <c r="P192" i="2"/>
  <c r="R192" i="2"/>
  <c r="I192" i="2" l="1"/>
  <c r="N192" i="2"/>
  <c r="I195" i="15"/>
  <c r="N195" i="15"/>
  <c r="AC212" i="2"/>
  <c r="AB212" i="2"/>
  <c r="X213" i="2"/>
  <c r="Z213" i="2"/>
  <c r="AA213" i="2"/>
  <c r="U214" i="2"/>
  <c r="W213" i="2"/>
  <c r="Y213" i="2"/>
  <c r="AE212" i="2"/>
  <c r="AD212" i="2"/>
  <c r="AD213" i="15"/>
  <c r="AE213" i="15"/>
  <c r="X214" i="15"/>
  <c r="Y214" i="15"/>
  <c r="Z214" i="15"/>
  <c r="AA214" i="15"/>
  <c r="W214" i="15"/>
  <c r="U215" i="15"/>
  <c r="AC213" i="15"/>
  <c r="AB213" i="15"/>
  <c r="L195" i="15"/>
  <c r="M195" i="15"/>
  <c r="H196" i="15"/>
  <c r="O196" i="15"/>
  <c r="D196" i="15"/>
  <c r="R196" i="15"/>
  <c r="P196" i="15"/>
  <c r="E196" i="15"/>
  <c r="F196" i="15"/>
  <c r="Q196" i="15" s="1"/>
  <c r="G196" i="15"/>
  <c r="J195" i="15"/>
  <c r="K195" i="15"/>
  <c r="L192" i="2"/>
  <c r="M192" i="2"/>
  <c r="K192" i="2"/>
  <c r="J192" i="2"/>
  <c r="O193" i="2"/>
  <c r="B194" i="2"/>
  <c r="G193" i="2"/>
  <c r="H193" i="2"/>
  <c r="D193" i="2"/>
  <c r="F193" i="2"/>
  <c r="Q193" i="2" s="1"/>
  <c r="E193" i="2"/>
  <c r="R193" i="2"/>
  <c r="P193" i="2"/>
  <c r="I193" i="2" l="1"/>
  <c r="N193" i="2"/>
  <c r="I196" i="15"/>
  <c r="N196" i="15"/>
  <c r="AB213" i="2"/>
  <c r="AC213" i="2"/>
  <c r="W214" i="2"/>
  <c r="Z214" i="2"/>
  <c r="Y214" i="2"/>
  <c r="AA214" i="2"/>
  <c r="U215" i="2"/>
  <c r="X214" i="2"/>
  <c r="AE213" i="2"/>
  <c r="AD213" i="2"/>
  <c r="AE214" i="15"/>
  <c r="AD214" i="15"/>
  <c r="AB214" i="15"/>
  <c r="AC214" i="15"/>
  <c r="W215" i="15"/>
  <c r="X215" i="15"/>
  <c r="Z215" i="15"/>
  <c r="AA215" i="15"/>
  <c r="Y215" i="15"/>
  <c r="U216" i="15"/>
  <c r="L196" i="15"/>
  <c r="M196" i="15"/>
  <c r="D197" i="15"/>
  <c r="P197" i="15"/>
  <c r="E197" i="15"/>
  <c r="O197" i="15"/>
  <c r="R197" i="15"/>
  <c r="G197" i="15"/>
  <c r="F197" i="15"/>
  <c r="Q197" i="15" s="1"/>
  <c r="H197" i="15"/>
  <c r="K196" i="15"/>
  <c r="J196" i="15"/>
  <c r="J193" i="2"/>
  <c r="K193" i="2"/>
  <c r="M193" i="2"/>
  <c r="L193" i="2"/>
  <c r="B195" i="2"/>
  <c r="O194" i="2"/>
  <c r="G194" i="2"/>
  <c r="H194" i="2"/>
  <c r="D194" i="2"/>
  <c r="F194" i="2"/>
  <c r="Q194" i="2" s="1"/>
  <c r="E194" i="2"/>
  <c r="R194" i="2"/>
  <c r="P194" i="2"/>
  <c r="I194" i="2" l="1"/>
  <c r="N194" i="2"/>
  <c r="I197" i="15"/>
  <c r="N197" i="15"/>
  <c r="Y215" i="2"/>
  <c r="W215" i="2"/>
  <c r="AA215" i="2"/>
  <c r="U216" i="2"/>
  <c r="Z215" i="2"/>
  <c r="X215" i="2"/>
  <c r="AD214" i="2"/>
  <c r="AE214" i="2"/>
  <c r="AB214" i="2"/>
  <c r="AC214" i="2"/>
  <c r="AB215" i="15"/>
  <c r="AC215" i="15"/>
  <c r="AD215" i="15"/>
  <c r="AE215" i="15"/>
  <c r="Y216" i="15"/>
  <c r="Z216" i="15"/>
  <c r="U217" i="15"/>
  <c r="W216" i="15"/>
  <c r="X216" i="15"/>
  <c r="AA216" i="15"/>
  <c r="M197" i="15"/>
  <c r="L197" i="15"/>
  <c r="J197" i="15"/>
  <c r="K197" i="15"/>
  <c r="R198" i="15"/>
  <c r="O198" i="15"/>
  <c r="E198" i="15"/>
  <c r="H198" i="15"/>
  <c r="G198" i="15"/>
  <c r="F198" i="15"/>
  <c r="Q198" i="15" s="1"/>
  <c r="D198" i="15"/>
  <c r="P198" i="15"/>
  <c r="O195" i="2"/>
  <c r="G195" i="2"/>
  <c r="D195" i="2"/>
  <c r="B196" i="2"/>
  <c r="F195" i="2"/>
  <c r="Q195" i="2" s="1"/>
  <c r="H195" i="2"/>
  <c r="E195" i="2"/>
  <c r="P195" i="2"/>
  <c r="R195" i="2"/>
  <c r="J194" i="2"/>
  <c r="K194" i="2"/>
  <c r="M194" i="2"/>
  <c r="L194" i="2"/>
  <c r="I195" i="2" l="1"/>
  <c r="N195" i="2"/>
  <c r="I198" i="15"/>
  <c r="N198" i="15"/>
  <c r="AB215" i="2"/>
  <c r="AC215" i="2"/>
  <c r="AA216" i="2"/>
  <c r="U217" i="2"/>
  <c r="Z216" i="2"/>
  <c r="W216" i="2"/>
  <c r="X216" i="2"/>
  <c r="Y216" i="2"/>
  <c r="AE215" i="2"/>
  <c r="AD215" i="2"/>
  <c r="AA217" i="15"/>
  <c r="U218" i="15"/>
  <c r="X217" i="15"/>
  <c r="W217" i="15"/>
  <c r="Y217" i="15"/>
  <c r="Z217" i="15"/>
  <c r="AE216" i="15"/>
  <c r="AD216" i="15"/>
  <c r="AC216" i="15"/>
  <c r="AB216" i="15"/>
  <c r="L198" i="15"/>
  <c r="M198" i="15"/>
  <c r="H199" i="15"/>
  <c r="P199" i="15"/>
  <c r="F199" i="15"/>
  <c r="Q199" i="15" s="1"/>
  <c r="O199" i="15"/>
  <c r="D199" i="15"/>
  <c r="G199" i="15"/>
  <c r="E199" i="15"/>
  <c r="R199" i="15"/>
  <c r="K198" i="15"/>
  <c r="J198" i="15"/>
  <c r="M195" i="2"/>
  <c r="L195" i="2"/>
  <c r="B197" i="2"/>
  <c r="G196" i="2"/>
  <c r="O196" i="2"/>
  <c r="H196" i="2"/>
  <c r="D196" i="2"/>
  <c r="F196" i="2"/>
  <c r="Q196" i="2" s="1"/>
  <c r="P196" i="2"/>
  <c r="E196" i="2"/>
  <c r="R196" i="2"/>
  <c r="J195" i="2"/>
  <c r="K195" i="2"/>
  <c r="I196" i="2" l="1"/>
  <c r="N196" i="2"/>
  <c r="I199" i="15"/>
  <c r="N199" i="15"/>
  <c r="AC216" i="2"/>
  <c r="AB216" i="2"/>
  <c r="X217" i="2"/>
  <c r="Z217" i="2"/>
  <c r="AA217" i="2"/>
  <c r="U218" i="2"/>
  <c r="W217" i="2"/>
  <c r="Y217" i="2"/>
  <c r="AD216" i="2"/>
  <c r="AE216" i="2"/>
  <c r="AC217" i="15"/>
  <c r="AB217" i="15"/>
  <c r="X218" i="15"/>
  <c r="W218" i="15"/>
  <c r="U219" i="15"/>
  <c r="Y218" i="15"/>
  <c r="Z218" i="15"/>
  <c r="AA218" i="15"/>
  <c r="AD217" i="15"/>
  <c r="AE217" i="15"/>
  <c r="K199" i="15"/>
  <c r="J199" i="15"/>
  <c r="L199" i="15"/>
  <c r="M199" i="15"/>
  <c r="P200" i="15"/>
  <c r="G200" i="15"/>
  <c r="R200" i="15"/>
  <c r="H200" i="15"/>
  <c r="E200" i="15"/>
  <c r="O200" i="15"/>
  <c r="D200" i="15"/>
  <c r="F200" i="15"/>
  <c r="Q200" i="15" s="1"/>
  <c r="B198" i="2"/>
  <c r="O197" i="2"/>
  <c r="G197" i="2"/>
  <c r="H197" i="2"/>
  <c r="D197" i="2"/>
  <c r="F197" i="2"/>
  <c r="Q197" i="2" s="1"/>
  <c r="P197" i="2"/>
  <c r="E197" i="2"/>
  <c r="R197" i="2"/>
  <c r="J196" i="2"/>
  <c r="K196" i="2"/>
  <c r="M196" i="2"/>
  <c r="L196" i="2"/>
  <c r="I197" i="2" l="1"/>
  <c r="N197" i="2"/>
  <c r="I200" i="15"/>
  <c r="N200" i="15"/>
  <c r="AB217" i="2"/>
  <c r="AC217" i="2"/>
  <c r="W218" i="2"/>
  <c r="Z218" i="2"/>
  <c r="X218" i="2"/>
  <c r="U219" i="2"/>
  <c r="Y218" i="2"/>
  <c r="AA218" i="2"/>
  <c r="AE217" i="2"/>
  <c r="AD217" i="2"/>
  <c r="W219" i="15"/>
  <c r="X219" i="15"/>
  <c r="Z219" i="15"/>
  <c r="U220" i="15"/>
  <c r="AA219" i="15"/>
  <c r="Y219" i="15"/>
  <c r="AB218" i="15"/>
  <c r="AC218" i="15"/>
  <c r="AE218" i="15"/>
  <c r="AD218" i="15"/>
  <c r="O201" i="15"/>
  <c r="F201" i="15"/>
  <c r="Q201" i="15" s="1"/>
  <c r="H201" i="15"/>
  <c r="R201" i="15"/>
  <c r="G201" i="15"/>
  <c r="P201" i="15"/>
  <c r="E201" i="15"/>
  <c r="D201" i="15"/>
  <c r="K200" i="15"/>
  <c r="J200" i="15"/>
  <c r="M200" i="15"/>
  <c r="L200" i="15"/>
  <c r="J197" i="2"/>
  <c r="K197" i="2"/>
  <c r="M197" i="2"/>
  <c r="L197" i="2"/>
  <c r="O198" i="2"/>
  <c r="B199" i="2"/>
  <c r="H198" i="2"/>
  <c r="G198" i="2"/>
  <c r="D198" i="2"/>
  <c r="E198" i="2"/>
  <c r="P198" i="2"/>
  <c r="R198" i="2"/>
  <c r="F198" i="2"/>
  <c r="Q198" i="2" s="1"/>
  <c r="I198" i="2" l="1"/>
  <c r="N198" i="2"/>
  <c r="I201" i="15"/>
  <c r="N201" i="15"/>
  <c r="AB218" i="2"/>
  <c r="AC218" i="2"/>
  <c r="Y219" i="2"/>
  <c r="AA219" i="2"/>
  <c r="U220" i="2"/>
  <c r="W219" i="2"/>
  <c r="X219" i="2"/>
  <c r="Z219" i="2"/>
  <c r="AD218" i="2"/>
  <c r="AE218" i="2"/>
  <c r="AD219" i="15"/>
  <c r="AE219" i="15"/>
  <c r="Y220" i="15"/>
  <c r="Z220" i="15"/>
  <c r="U221" i="15"/>
  <c r="W220" i="15"/>
  <c r="X220" i="15"/>
  <c r="AA220" i="15"/>
  <c r="AC219" i="15"/>
  <c r="AB219" i="15"/>
  <c r="J201" i="15"/>
  <c r="K201" i="15"/>
  <c r="L201" i="15"/>
  <c r="M201" i="15"/>
  <c r="E202" i="15"/>
  <c r="O202" i="15"/>
  <c r="F202" i="15"/>
  <c r="Q202" i="15" s="1"/>
  <c r="R202" i="15"/>
  <c r="D202" i="15"/>
  <c r="P202" i="15"/>
  <c r="H202" i="15"/>
  <c r="G202" i="15"/>
  <c r="J198" i="2"/>
  <c r="K198" i="2"/>
  <c r="O199" i="2"/>
  <c r="B200" i="2"/>
  <c r="H199" i="2"/>
  <c r="D199" i="2"/>
  <c r="G199" i="2"/>
  <c r="F199" i="2"/>
  <c r="Q199" i="2" s="1"/>
  <c r="P199" i="2"/>
  <c r="E199" i="2"/>
  <c r="R199" i="2"/>
  <c r="M198" i="2"/>
  <c r="L198" i="2"/>
  <c r="I199" i="2" l="1"/>
  <c r="N199" i="2"/>
  <c r="I202" i="15"/>
  <c r="N202" i="15"/>
  <c r="AD219" i="2"/>
  <c r="AE219" i="2"/>
  <c r="AC219" i="2"/>
  <c r="AB219" i="2"/>
  <c r="AA220" i="2"/>
  <c r="U221" i="2"/>
  <c r="Z220" i="2"/>
  <c r="W220" i="2"/>
  <c r="X220" i="2"/>
  <c r="Y220" i="2"/>
  <c r="AA221" i="15"/>
  <c r="U222" i="15"/>
  <c r="Y221" i="15"/>
  <c r="Z221" i="15"/>
  <c r="X221" i="15"/>
  <c r="W221" i="15"/>
  <c r="AC220" i="15"/>
  <c r="AB220" i="15"/>
  <c r="AD220" i="15"/>
  <c r="AE220" i="15"/>
  <c r="D203" i="15"/>
  <c r="R203" i="15"/>
  <c r="G203" i="15"/>
  <c r="F203" i="15"/>
  <c r="Q203" i="15" s="1"/>
  <c r="P203" i="15"/>
  <c r="E203" i="15"/>
  <c r="H203" i="15"/>
  <c r="O203" i="15"/>
  <c r="M202" i="15"/>
  <c r="L202" i="15"/>
  <c r="J202" i="15"/>
  <c r="K202" i="15"/>
  <c r="J199" i="2"/>
  <c r="K199" i="2"/>
  <c r="M199" i="2"/>
  <c r="L199" i="2"/>
  <c r="O200" i="2"/>
  <c r="B201" i="2"/>
  <c r="G200" i="2"/>
  <c r="D200" i="2"/>
  <c r="F200" i="2"/>
  <c r="Q200" i="2" s="1"/>
  <c r="H200" i="2"/>
  <c r="E200" i="2"/>
  <c r="R200" i="2"/>
  <c r="P200" i="2"/>
  <c r="I200" i="2" l="1"/>
  <c r="N200" i="2"/>
  <c r="I203" i="15"/>
  <c r="N203" i="15"/>
  <c r="AC220" i="2"/>
  <c r="AB220" i="2"/>
  <c r="X221" i="2"/>
  <c r="W221" i="2"/>
  <c r="Y221" i="2"/>
  <c r="U222" i="2"/>
  <c r="Z221" i="2"/>
  <c r="AA221" i="2"/>
  <c r="AD220" i="2"/>
  <c r="AE220" i="2"/>
  <c r="X222" i="15"/>
  <c r="AA222" i="15"/>
  <c r="U223" i="15"/>
  <c r="Y222" i="15"/>
  <c r="Z222" i="15"/>
  <c r="W222" i="15"/>
  <c r="AC221" i="15"/>
  <c r="AB221" i="15"/>
  <c r="AE221" i="15"/>
  <c r="AD221" i="15"/>
  <c r="K203" i="15"/>
  <c r="J203" i="15"/>
  <c r="L203" i="15"/>
  <c r="M203" i="15"/>
  <c r="D204" i="15"/>
  <c r="H204" i="15"/>
  <c r="O204" i="15"/>
  <c r="G204" i="15"/>
  <c r="F204" i="15"/>
  <c r="Q204" i="15" s="1"/>
  <c r="E204" i="15"/>
  <c r="R204" i="15"/>
  <c r="P204" i="15"/>
  <c r="O201" i="2"/>
  <c r="B202" i="2"/>
  <c r="H201" i="2"/>
  <c r="F201" i="2"/>
  <c r="Q201" i="2" s="1"/>
  <c r="D201" i="2"/>
  <c r="E201" i="2"/>
  <c r="R201" i="2"/>
  <c r="G201" i="2"/>
  <c r="P201" i="2"/>
  <c r="M200" i="2"/>
  <c r="L200" i="2"/>
  <c r="K200" i="2"/>
  <c r="J200" i="2"/>
  <c r="I201" i="2" l="1"/>
  <c r="N201" i="2"/>
  <c r="I204" i="15"/>
  <c r="N204" i="15"/>
  <c r="W222" i="2"/>
  <c r="Z222" i="2"/>
  <c r="X222" i="2"/>
  <c r="U223" i="2"/>
  <c r="Y222" i="2"/>
  <c r="AA222" i="2"/>
  <c r="AB221" i="2"/>
  <c r="AC221" i="2"/>
  <c r="AE221" i="2"/>
  <c r="AD221" i="2"/>
  <c r="AB222" i="15"/>
  <c r="AC222" i="15"/>
  <c r="W223" i="15"/>
  <c r="X223" i="15"/>
  <c r="Z223" i="15"/>
  <c r="AA223" i="15"/>
  <c r="Y223" i="15"/>
  <c r="U224" i="15"/>
  <c r="AE222" i="15"/>
  <c r="AD222" i="15"/>
  <c r="K204" i="15"/>
  <c r="J204" i="15"/>
  <c r="H205" i="15"/>
  <c r="P205" i="15"/>
  <c r="G205" i="15"/>
  <c r="E205" i="15"/>
  <c r="D205" i="15"/>
  <c r="R205" i="15"/>
  <c r="O205" i="15"/>
  <c r="F205" i="15"/>
  <c r="Q205" i="15" s="1"/>
  <c r="M204" i="15"/>
  <c r="L204" i="15"/>
  <c r="B203" i="2"/>
  <c r="O202" i="2"/>
  <c r="G202" i="2"/>
  <c r="H202" i="2"/>
  <c r="F202" i="2"/>
  <c r="Q202" i="2" s="1"/>
  <c r="E202" i="2"/>
  <c r="D202" i="2"/>
  <c r="R202" i="2"/>
  <c r="P202" i="2"/>
  <c r="K201" i="2"/>
  <c r="J201" i="2"/>
  <c r="L201" i="2"/>
  <c r="M201" i="2"/>
  <c r="I202" i="2" l="1"/>
  <c r="N202" i="2"/>
  <c r="I205" i="15"/>
  <c r="N205" i="15"/>
  <c r="AD222" i="2"/>
  <c r="AE222" i="2"/>
  <c r="Y223" i="2"/>
  <c r="AA223" i="2"/>
  <c r="U224" i="2"/>
  <c r="W223" i="2"/>
  <c r="Z223" i="2"/>
  <c r="X223" i="2"/>
  <c r="AC222" i="2"/>
  <c r="AB222" i="2"/>
  <c r="AD223" i="15"/>
  <c r="AE223" i="15"/>
  <c r="Y224" i="15"/>
  <c r="Z224" i="15"/>
  <c r="X224" i="15"/>
  <c r="AA224" i="15"/>
  <c r="U225" i="15"/>
  <c r="W224" i="15"/>
  <c r="AB223" i="15"/>
  <c r="AC223" i="15"/>
  <c r="P206" i="15"/>
  <c r="G206" i="15"/>
  <c r="O206" i="15"/>
  <c r="F206" i="15"/>
  <c r="Q206" i="15" s="1"/>
  <c r="R206" i="15"/>
  <c r="E206" i="15"/>
  <c r="D206" i="15"/>
  <c r="H206" i="15"/>
  <c r="J205" i="15"/>
  <c r="K205" i="15"/>
  <c r="M205" i="15"/>
  <c r="L205" i="15"/>
  <c r="M202" i="2"/>
  <c r="L202" i="2"/>
  <c r="O203" i="2"/>
  <c r="G203" i="2"/>
  <c r="H203" i="2"/>
  <c r="D203" i="2"/>
  <c r="F203" i="2"/>
  <c r="Q203" i="2" s="1"/>
  <c r="B204" i="2"/>
  <c r="E203" i="2"/>
  <c r="P203" i="2"/>
  <c r="R203" i="2"/>
  <c r="J202" i="2"/>
  <c r="K202" i="2"/>
  <c r="I203" i="2" l="1"/>
  <c r="N203" i="2"/>
  <c r="I206" i="15"/>
  <c r="N206" i="15"/>
  <c r="AB223" i="2"/>
  <c r="AC223" i="2"/>
  <c r="AA224" i="2"/>
  <c r="U225" i="2"/>
  <c r="X224" i="2"/>
  <c r="Y224" i="2"/>
  <c r="W224" i="2"/>
  <c r="Z224" i="2"/>
  <c r="AD223" i="2"/>
  <c r="AE223" i="2"/>
  <c r="AA225" i="15"/>
  <c r="U226" i="15"/>
  <c r="X225" i="15"/>
  <c r="Z225" i="15"/>
  <c r="Y225" i="15"/>
  <c r="W225" i="15"/>
  <c r="AE224" i="15"/>
  <c r="AD224" i="15"/>
  <c r="AB224" i="15"/>
  <c r="AC224" i="15"/>
  <c r="O207" i="15"/>
  <c r="F207" i="15"/>
  <c r="Q207" i="15" s="1"/>
  <c r="E207" i="15"/>
  <c r="H207" i="15"/>
  <c r="P207" i="15"/>
  <c r="G207" i="15"/>
  <c r="D207" i="15"/>
  <c r="R207" i="15"/>
  <c r="M206" i="15"/>
  <c r="L206" i="15"/>
  <c r="K206" i="15"/>
  <c r="J206" i="15"/>
  <c r="B205" i="2"/>
  <c r="G204" i="2"/>
  <c r="D204" i="2"/>
  <c r="O204" i="2"/>
  <c r="H204" i="2"/>
  <c r="P204" i="2"/>
  <c r="F204" i="2"/>
  <c r="Q204" i="2" s="1"/>
  <c r="R204" i="2"/>
  <c r="E204" i="2"/>
  <c r="J203" i="2"/>
  <c r="K203" i="2"/>
  <c r="M203" i="2"/>
  <c r="L203" i="2"/>
  <c r="I204" i="2" l="1"/>
  <c r="N204" i="2"/>
  <c r="I207" i="15"/>
  <c r="N207" i="15"/>
  <c r="AC224" i="2"/>
  <c r="AB224" i="2"/>
  <c r="X225" i="2"/>
  <c r="U226" i="2"/>
  <c r="W225" i="2"/>
  <c r="Y225" i="2"/>
  <c r="Z225" i="2"/>
  <c r="AA225" i="2"/>
  <c r="AD224" i="2"/>
  <c r="AE224" i="2"/>
  <c r="AC225" i="15"/>
  <c r="AB225" i="15"/>
  <c r="X226" i="15"/>
  <c r="W226" i="15"/>
  <c r="U227" i="15"/>
  <c r="Y226" i="15"/>
  <c r="Z226" i="15"/>
  <c r="AA226" i="15"/>
  <c r="AD225" i="15"/>
  <c r="AE225" i="15"/>
  <c r="E208" i="15"/>
  <c r="D208" i="15"/>
  <c r="P208" i="15"/>
  <c r="G208" i="15"/>
  <c r="F208" i="15"/>
  <c r="Q208" i="15" s="1"/>
  <c r="R208" i="15"/>
  <c r="O208" i="15"/>
  <c r="H208" i="15"/>
  <c r="J207" i="15"/>
  <c r="K207" i="15"/>
  <c r="M207" i="15"/>
  <c r="L207" i="15"/>
  <c r="M204" i="2"/>
  <c r="L204" i="2"/>
  <c r="K204" i="2"/>
  <c r="J204" i="2"/>
  <c r="B206" i="2"/>
  <c r="O205" i="2"/>
  <c r="G205" i="2"/>
  <c r="H205" i="2"/>
  <c r="F205" i="2"/>
  <c r="Q205" i="2" s="1"/>
  <c r="P205" i="2"/>
  <c r="E205" i="2"/>
  <c r="D205" i="2"/>
  <c r="R205" i="2"/>
  <c r="I205" i="2" l="1"/>
  <c r="N205" i="2"/>
  <c r="I208" i="15"/>
  <c r="N208" i="15"/>
  <c r="AB225" i="2"/>
  <c r="AC225" i="2"/>
  <c r="W226" i="2"/>
  <c r="Z226" i="2"/>
  <c r="X226" i="2"/>
  <c r="U227" i="2"/>
  <c r="Y226" i="2"/>
  <c r="AA226" i="2"/>
  <c r="AE225" i="2"/>
  <c r="AD225" i="2"/>
  <c r="AE226" i="15"/>
  <c r="AD226" i="15"/>
  <c r="W227" i="15"/>
  <c r="X227" i="15"/>
  <c r="Z227" i="15"/>
  <c r="U228" i="15"/>
  <c r="Y227" i="15"/>
  <c r="AA227" i="15"/>
  <c r="AB226" i="15"/>
  <c r="AC226" i="15"/>
  <c r="D209" i="15"/>
  <c r="O209" i="15"/>
  <c r="F209" i="15"/>
  <c r="Q209" i="15" s="1"/>
  <c r="P209" i="15"/>
  <c r="H209" i="15"/>
  <c r="G209" i="15"/>
  <c r="E209" i="15"/>
  <c r="R209" i="15"/>
  <c r="M208" i="15"/>
  <c r="L208" i="15"/>
  <c r="K208" i="15"/>
  <c r="J208" i="15"/>
  <c r="J205" i="2"/>
  <c r="K205" i="2"/>
  <c r="M205" i="2"/>
  <c r="L205" i="2"/>
  <c r="O206" i="2"/>
  <c r="B207" i="2"/>
  <c r="G206" i="2"/>
  <c r="H206" i="2"/>
  <c r="D206" i="2"/>
  <c r="E206" i="2"/>
  <c r="F206" i="2"/>
  <c r="Q206" i="2" s="1"/>
  <c r="P206" i="2"/>
  <c r="R206" i="2"/>
  <c r="I206" i="2" l="1"/>
  <c r="N206" i="2"/>
  <c r="I209" i="15"/>
  <c r="N209" i="15"/>
  <c r="AB226" i="2"/>
  <c r="AC226" i="2"/>
  <c r="Y227" i="2"/>
  <c r="X227" i="2"/>
  <c r="U228" i="2"/>
  <c r="Z227" i="2"/>
  <c r="W227" i="2"/>
  <c r="AA227" i="2"/>
  <c r="AD226" i="2"/>
  <c r="AE226" i="2"/>
  <c r="Y228" i="15"/>
  <c r="Z228" i="15"/>
  <c r="U229" i="15"/>
  <c r="W228" i="15"/>
  <c r="X228" i="15"/>
  <c r="AA228" i="15"/>
  <c r="AC227" i="15"/>
  <c r="AB227" i="15"/>
  <c r="AD227" i="15"/>
  <c r="AE227" i="15"/>
  <c r="L209" i="15"/>
  <c r="M209" i="15"/>
  <c r="E210" i="15"/>
  <c r="G210" i="15"/>
  <c r="F210" i="15"/>
  <c r="Q210" i="15" s="1"/>
  <c r="R210" i="15"/>
  <c r="D210" i="15"/>
  <c r="P210" i="15"/>
  <c r="O210" i="15"/>
  <c r="H210" i="15"/>
  <c r="K209" i="15"/>
  <c r="J209" i="15"/>
  <c r="J206" i="2"/>
  <c r="K206" i="2"/>
  <c r="L206" i="2"/>
  <c r="M206" i="2"/>
  <c r="O207" i="2"/>
  <c r="B208" i="2"/>
  <c r="H207" i="2"/>
  <c r="D207" i="2"/>
  <c r="F207" i="2"/>
  <c r="Q207" i="2" s="1"/>
  <c r="P207" i="2"/>
  <c r="E207" i="2"/>
  <c r="G207" i="2"/>
  <c r="R207" i="2"/>
  <c r="I207" i="2" l="1"/>
  <c r="N207" i="2"/>
  <c r="I210" i="15"/>
  <c r="N210" i="15"/>
  <c r="AC227" i="2"/>
  <c r="AB227" i="2"/>
  <c r="AA228" i="2"/>
  <c r="U229" i="2"/>
  <c r="W228" i="2"/>
  <c r="Y228" i="2"/>
  <c r="X228" i="2"/>
  <c r="Z228" i="2"/>
  <c r="AD227" i="2"/>
  <c r="AE227" i="2"/>
  <c r="AC228" i="15"/>
  <c r="AB228" i="15"/>
  <c r="AE228" i="15"/>
  <c r="AD228" i="15"/>
  <c r="AA229" i="15"/>
  <c r="U230" i="15"/>
  <c r="W229" i="15"/>
  <c r="X229" i="15"/>
  <c r="Y229" i="15"/>
  <c r="Z229" i="15"/>
  <c r="K210" i="15"/>
  <c r="J210" i="15"/>
  <c r="M210" i="15"/>
  <c r="L210" i="15"/>
  <c r="R211" i="15"/>
  <c r="D211" i="15"/>
  <c r="F211" i="15"/>
  <c r="Q211" i="15" s="1"/>
  <c r="E211" i="15"/>
  <c r="P211" i="15"/>
  <c r="H211" i="15"/>
  <c r="G211" i="15"/>
  <c r="O211" i="15"/>
  <c r="J207" i="2"/>
  <c r="K207" i="2"/>
  <c r="M207" i="2"/>
  <c r="L207" i="2"/>
  <c r="O208" i="2"/>
  <c r="B209" i="2"/>
  <c r="H208" i="2"/>
  <c r="D208" i="2"/>
  <c r="F208" i="2"/>
  <c r="Q208" i="2" s="1"/>
  <c r="E208" i="2"/>
  <c r="P208" i="2"/>
  <c r="G208" i="2"/>
  <c r="R208" i="2"/>
  <c r="I208" i="2" l="1"/>
  <c r="N208" i="2"/>
  <c r="I211" i="15"/>
  <c r="N211" i="15"/>
  <c r="AC228" i="2"/>
  <c r="AB228" i="2"/>
  <c r="X229" i="2"/>
  <c r="U230" i="2"/>
  <c r="W229" i="2"/>
  <c r="Y229" i="2"/>
  <c r="Z229" i="2"/>
  <c r="AA229" i="2"/>
  <c r="AE228" i="2"/>
  <c r="AD228" i="2"/>
  <c r="AC229" i="15"/>
  <c r="AB229" i="15"/>
  <c r="X230" i="15"/>
  <c r="W230" i="15"/>
  <c r="U231" i="15"/>
  <c r="AA230" i="15"/>
  <c r="Z230" i="15"/>
  <c r="Y230" i="15"/>
  <c r="AE229" i="15"/>
  <c r="AD229" i="15"/>
  <c r="R212" i="15"/>
  <c r="H212" i="15"/>
  <c r="O212" i="15"/>
  <c r="D212" i="15"/>
  <c r="P212" i="15"/>
  <c r="F212" i="15"/>
  <c r="Q212" i="15" s="1"/>
  <c r="G212" i="15"/>
  <c r="E212" i="15"/>
  <c r="J211" i="15"/>
  <c r="K211" i="15"/>
  <c r="L211" i="15"/>
  <c r="M211" i="15"/>
  <c r="J208" i="2"/>
  <c r="K208" i="2"/>
  <c r="L208" i="2"/>
  <c r="M208" i="2"/>
  <c r="B210" i="2"/>
  <c r="H209" i="2"/>
  <c r="O209" i="2"/>
  <c r="G209" i="2"/>
  <c r="F209" i="2"/>
  <c r="Q209" i="2" s="1"/>
  <c r="D209" i="2"/>
  <c r="E209" i="2"/>
  <c r="R209" i="2"/>
  <c r="P209" i="2"/>
  <c r="I209" i="2" l="1"/>
  <c r="N209" i="2"/>
  <c r="I212" i="15"/>
  <c r="N212" i="15"/>
  <c r="W230" i="2"/>
  <c r="Z230" i="2"/>
  <c r="Y230" i="2"/>
  <c r="AA230" i="2"/>
  <c r="X230" i="2"/>
  <c r="U231" i="2"/>
  <c r="AB229" i="2"/>
  <c r="AC229" i="2"/>
  <c r="AE229" i="2"/>
  <c r="AD229" i="2"/>
  <c r="AE230" i="15"/>
  <c r="AD230" i="15"/>
  <c r="W231" i="15"/>
  <c r="X231" i="15"/>
  <c r="Z231" i="15"/>
  <c r="U232" i="15"/>
  <c r="Y231" i="15"/>
  <c r="AA231" i="15"/>
  <c r="AB230" i="15"/>
  <c r="AC230" i="15"/>
  <c r="K212" i="15"/>
  <c r="J212" i="15"/>
  <c r="H213" i="15"/>
  <c r="P213" i="15"/>
  <c r="G213" i="15"/>
  <c r="O213" i="15"/>
  <c r="D213" i="15"/>
  <c r="E213" i="15"/>
  <c r="R213" i="15"/>
  <c r="F213" i="15"/>
  <c r="Q213" i="15" s="1"/>
  <c r="M212" i="15"/>
  <c r="L212" i="15"/>
  <c r="K209" i="2"/>
  <c r="J209" i="2"/>
  <c r="B211" i="2"/>
  <c r="O210" i="2"/>
  <c r="G210" i="2"/>
  <c r="H210" i="2"/>
  <c r="F210" i="2"/>
  <c r="Q210" i="2" s="1"/>
  <c r="D210" i="2"/>
  <c r="E210" i="2"/>
  <c r="P210" i="2"/>
  <c r="R210" i="2"/>
  <c r="L209" i="2"/>
  <c r="M209" i="2"/>
  <c r="I210" i="2" l="1"/>
  <c r="N210" i="2"/>
  <c r="I213" i="15"/>
  <c r="N213" i="15"/>
  <c r="Y231" i="2"/>
  <c r="W231" i="2"/>
  <c r="U232" i="2"/>
  <c r="Z231" i="2"/>
  <c r="X231" i="2"/>
  <c r="AA231" i="2"/>
  <c r="AD230" i="2"/>
  <c r="AE230" i="2"/>
  <c r="AC230" i="2"/>
  <c r="AB230" i="2"/>
  <c r="Y232" i="15"/>
  <c r="Z232" i="15"/>
  <c r="X232" i="15"/>
  <c r="AA232" i="15"/>
  <c r="W232" i="15"/>
  <c r="U233" i="15"/>
  <c r="AB231" i="15"/>
  <c r="AC231" i="15"/>
  <c r="AD231" i="15"/>
  <c r="AE231" i="15"/>
  <c r="J213" i="15"/>
  <c r="K213" i="15"/>
  <c r="M213" i="15"/>
  <c r="L213" i="15"/>
  <c r="P214" i="15"/>
  <c r="G214" i="15"/>
  <c r="O214" i="15"/>
  <c r="F214" i="15"/>
  <c r="Q214" i="15" s="1"/>
  <c r="R214" i="15"/>
  <c r="E214" i="15"/>
  <c r="H214" i="15"/>
  <c r="D214" i="15"/>
  <c r="K210" i="2"/>
  <c r="J210" i="2"/>
  <c r="O211" i="2"/>
  <c r="G211" i="2"/>
  <c r="B212" i="2"/>
  <c r="D211" i="2"/>
  <c r="H211" i="2"/>
  <c r="F211" i="2"/>
  <c r="Q211" i="2" s="1"/>
  <c r="E211" i="2"/>
  <c r="R211" i="2"/>
  <c r="P211" i="2"/>
  <c r="M210" i="2"/>
  <c r="L210" i="2"/>
  <c r="I211" i="2" l="1"/>
  <c r="N211" i="2"/>
  <c r="I214" i="15"/>
  <c r="N214" i="15"/>
  <c r="AE231" i="2"/>
  <c r="AD231" i="2"/>
  <c r="AA232" i="2"/>
  <c r="U233" i="2"/>
  <c r="W232" i="2"/>
  <c r="X232" i="2"/>
  <c r="Y232" i="2"/>
  <c r="Z232" i="2"/>
  <c r="AC231" i="2"/>
  <c r="AB231" i="2"/>
  <c r="AB232" i="15"/>
  <c r="AC232" i="15"/>
  <c r="AA233" i="15"/>
  <c r="U234" i="15"/>
  <c r="Z233" i="15"/>
  <c r="W233" i="15"/>
  <c r="X233" i="15"/>
  <c r="Y233" i="15"/>
  <c r="AD232" i="15"/>
  <c r="AE232" i="15"/>
  <c r="K214" i="15"/>
  <c r="J214" i="15"/>
  <c r="L214" i="15"/>
  <c r="M214" i="15"/>
  <c r="O215" i="15"/>
  <c r="F215" i="15"/>
  <c r="Q215" i="15" s="1"/>
  <c r="E215" i="15"/>
  <c r="H215" i="15"/>
  <c r="P215" i="15"/>
  <c r="G215" i="15"/>
  <c r="R215" i="15"/>
  <c r="D215" i="15"/>
  <c r="M211" i="2"/>
  <c r="L211" i="2"/>
  <c r="K211" i="2"/>
  <c r="J211" i="2"/>
  <c r="B213" i="2"/>
  <c r="G212" i="2"/>
  <c r="H212" i="2"/>
  <c r="O212" i="2"/>
  <c r="D212" i="2"/>
  <c r="F212" i="2"/>
  <c r="Q212" i="2" s="1"/>
  <c r="P212" i="2"/>
  <c r="E212" i="2"/>
  <c r="R212" i="2"/>
  <c r="I212" i="2" l="1"/>
  <c r="N212" i="2"/>
  <c r="I215" i="15"/>
  <c r="N215" i="15"/>
  <c r="X233" i="2"/>
  <c r="Z233" i="2"/>
  <c r="AA233" i="2"/>
  <c r="Y233" i="2"/>
  <c r="U234" i="2"/>
  <c r="W233" i="2"/>
  <c r="AC232" i="2"/>
  <c r="AB232" i="2"/>
  <c r="AD232" i="2"/>
  <c r="AE232" i="2"/>
  <c r="AD233" i="15"/>
  <c r="AE233" i="15"/>
  <c r="AC233" i="15"/>
  <c r="AB233" i="15"/>
  <c r="X234" i="15"/>
  <c r="Z234" i="15"/>
  <c r="AA234" i="15"/>
  <c r="W234" i="15"/>
  <c r="Y234" i="15"/>
  <c r="U235" i="15"/>
  <c r="M215" i="15"/>
  <c r="L215" i="15"/>
  <c r="J215" i="15"/>
  <c r="K215" i="15"/>
  <c r="E216" i="15"/>
  <c r="D216" i="15"/>
  <c r="P216" i="15"/>
  <c r="G216" i="15"/>
  <c r="H216" i="15"/>
  <c r="F216" i="15"/>
  <c r="Q216" i="15" s="1"/>
  <c r="O216" i="15"/>
  <c r="R216" i="15"/>
  <c r="B214" i="2"/>
  <c r="G213" i="2"/>
  <c r="O213" i="2"/>
  <c r="H213" i="2"/>
  <c r="D213" i="2"/>
  <c r="F213" i="2"/>
  <c r="Q213" i="2" s="1"/>
  <c r="E213" i="2"/>
  <c r="R213" i="2"/>
  <c r="P213" i="2"/>
  <c r="J212" i="2"/>
  <c r="K212" i="2"/>
  <c r="M212" i="2"/>
  <c r="L212" i="2"/>
  <c r="I213" i="2" l="1"/>
  <c r="N213" i="2"/>
  <c r="I216" i="15"/>
  <c r="N216" i="15"/>
  <c r="AE233" i="2"/>
  <c r="AD233" i="2"/>
  <c r="AB233" i="2"/>
  <c r="AC233" i="2"/>
  <c r="W234" i="2"/>
  <c r="Z234" i="2"/>
  <c r="X234" i="2"/>
  <c r="U235" i="2"/>
  <c r="Y234" i="2"/>
  <c r="AA234" i="2"/>
  <c r="AE234" i="15"/>
  <c r="AD234" i="15"/>
  <c r="AB234" i="15"/>
  <c r="AC234" i="15"/>
  <c r="W235" i="15"/>
  <c r="X235" i="15"/>
  <c r="Z235" i="15"/>
  <c r="Y235" i="15"/>
  <c r="AA235" i="15"/>
  <c r="U236" i="15"/>
  <c r="J216" i="15"/>
  <c r="K216" i="15"/>
  <c r="D217" i="15"/>
  <c r="O217" i="15"/>
  <c r="F217" i="15"/>
  <c r="Q217" i="15" s="1"/>
  <c r="G217" i="15"/>
  <c r="E217" i="15"/>
  <c r="R217" i="15"/>
  <c r="P217" i="15"/>
  <c r="H217" i="15"/>
  <c r="M216" i="15"/>
  <c r="L216" i="15"/>
  <c r="J213" i="2"/>
  <c r="K213" i="2"/>
  <c r="M213" i="2"/>
  <c r="L213" i="2"/>
  <c r="O214" i="2"/>
  <c r="B215" i="2"/>
  <c r="G214" i="2"/>
  <c r="H214" i="2"/>
  <c r="D214" i="2"/>
  <c r="E214" i="2"/>
  <c r="F214" i="2"/>
  <c r="Q214" i="2" s="1"/>
  <c r="P214" i="2"/>
  <c r="R214" i="2"/>
  <c r="I214" i="2" l="1"/>
  <c r="N214" i="2"/>
  <c r="I217" i="15"/>
  <c r="N217" i="15"/>
  <c r="AC234" i="2"/>
  <c r="AB234" i="2"/>
  <c r="AD234" i="2"/>
  <c r="AE234" i="2"/>
  <c r="Y235" i="2"/>
  <c r="U236" i="2"/>
  <c r="Z235" i="2"/>
  <c r="W235" i="2"/>
  <c r="X235" i="2"/>
  <c r="AA235" i="2"/>
  <c r="AB235" i="15"/>
  <c r="AC235" i="15"/>
  <c r="Y236" i="15"/>
  <c r="Z236" i="15"/>
  <c r="W236" i="15"/>
  <c r="AA236" i="15"/>
  <c r="X236" i="15"/>
  <c r="U237" i="15"/>
  <c r="AD235" i="15"/>
  <c r="AE235" i="15"/>
  <c r="L217" i="15"/>
  <c r="M217" i="15"/>
  <c r="K217" i="15"/>
  <c r="J217" i="15"/>
  <c r="E218" i="15"/>
  <c r="P218" i="15"/>
  <c r="R218" i="15"/>
  <c r="D218" i="15"/>
  <c r="O218" i="15"/>
  <c r="G218" i="15"/>
  <c r="F218" i="15"/>
  <c r="Q218" i="15" s="1"/>
  <c r="H218" i="15"/>
  <c r="J214" i="2"/>
  <c r="K214" i="2"/>
  <c r="M214" i="2"/>
  <c r="L214" i="2"/>
  <c r="O215" i="2"/>
  <c r="B216" i="2"/>
  <c r="G215" i="2"/>
  <c r="D215" i="2"/>
  <c r="H215" i="2"/>
  <c r="F215" i="2"/>
  <c r="Q215" i="2" s="1"/>
  <c r="P215" i="2"/>
  <c r="E215" i="2"/>
  <c r="R215" i="2"/>
  <c r="I215" i="2" l="1"/>
  <c r="N215" i="2"/>
  <c r="I218" i="15"/>
  <c r="N218" i="15"/>
  <c r="AD235" i="2"/>
  <c r="AE235" i="2"/>
  <c r="AA236" i="2"/>
  <c r="U237" i="2"/>
  <c r="Z236" i="2"/>
  <c r="W236" i="2"/>
  <c r="X236" i="2"/>
  <c r="Y236" i="2"/>
  <c r="AC235" i="2"/>
  <c r="AB235" i="2"/>
  <c r="AE236" i="15"/>
  <c r="AD236" i="15"/>
  <c r="AB236" i="15"/>
  <c r="AC236" i="15"/>
  <c r="AA237" i="15"/>
  <c r="U238" i="15"/>
  <c r="W237" i="15"/>
  <c r="X237" i="15"/>
  <c r="Y237" i="15"/>
  <c r="Z237" i="15"/>
  <c r="M218" i="15"/>
  <c r="L218" i="15"/>
  <c r="R219" i="15"/>
  <c r="D219" i="15"/>
  <c r="P219" i="15"/>
  <c r="O219" i="15"/>
  <c r="E219" i="15"/>
  <c r="H219" i="15"/>
  <c r="G219" i="15"/>
  <c r="F219" i="15"/>
  <c r="Q219" i="15" s="1"/>
  <c r="K218" i="15"/>
  <c r="J218" i="15"/>
  <c r="O216" i="2"/>
  <c r="B217" i="2"/>
  <c r="H216" i="2"/>
  <c r="G216" i="2"/>
  <c r="D216" i="2"/>
  <c r="F216" i="2"/>
  <c r="Q216" i="2" s="1"/>
  <c r="P216" i="2"/>
  <c r="E216" i="2"/>
  <c r="R216" i="2"/>
  <c r="M215" i="2"/>
  <c r="L215" i="2"/>
  <c r="J215" i="2"/>
  <c r="K215" i="2"/>
  <c r="I216" i="2" l="1"/>
  <c r="N216" i="2"/>
  <c r="I219" i="15"/>
  <c r="N219" i="15"/>
  <c r="X237" i="2"/>
  <c r="W237" i="2"/>
  <c r="Y237" i="2"/>
  <c r="U238" i="2"/>
  <c r="AA237" i="2"/>
  <c r="Z237" i="2"/>
  <c r="AE236" i="2"/>
  <c r="AD236" i="2"/>
  <c r="AC236" i="2"/>
  <c r="AB236" i="2"/>
  <c r="X238" i="15"/>
  <c r="Y238" i="15"/>
  <c r="W238" i="15"/>
  <c r="U239" i="15"/>
  <c r="Z238" i="15"/>
  <c r="AA238" i="15"/>
  <c r="AE237" i="15"/>
  <c r="AD237" i="15"/>
  <c r="AC237" i="15"/>
  <c r="AB237" i="15"/>
  <c r="R220" i="15"/>
  <c r="H220" i="15"/>
  <c r="F220" i="15"/>
  <c r="Q220" i="15" s="1"/>
  <c r="P220" i="15"/>
  <c r="D220" i="15"/>
  <c r="E220" i="15"/>
  <c r="O220" i="15"/>
  <c r="G220" i="15"/>
  <c r="J219" i="15"/>
  <c r="K219" i="15"/>
  <c r="L219" i="15"/>
  <c r="M219" i="15"/>
  <c r="J216" i="2"/>
  <c r="K216" i="2"/>
  <c r="M216" i="2"/>
  <c r="L216" i="2"/>
  <c r="B218" i="2"/>
  <c r="O217" i="2"/>
  <c r="H217" i="2"/>
  <c r="D217" i="2"/>
  <c r="G217" i="2"/>
  <c r="F217" i="2"/>
  <c r="Q217" i="2" s="1"/>
  <c r="P217" i="2"/>
  <c r="R217" i="2"/>
  <c r="E217" i="2"/>
  <c r="I217" i="2" l="1"/>
  <c r="N217" i="2"/>
  <c r="I220" i="15"/>
  <c r="N220" i="15"/>
  <c r="AE237" i="2"/>
  <c r="AD237" i="2"/>
  <c r="Z238" i="2"/>
  <c r="W238" i="2"/>
  <c r="U239" i="2"/>
  <c r="X238" i="2"/>
  <c r="Y238" i="2"/>
  <c r="AA238" i="2"/>
  <c r="AC237" i="2"/>
  <c r="AB237" i="2"/>
  <c r="W239" i="15"/>
  <c r="X239" i="15"/>
  <c r="Z239" i="15"/>
  <c r="U240" i="15"/>
  <c r="Y239" i="15"/>
  <c r="AA239" i="15"/>
  <c r="AE238" i="15"/>
  <c r="AD238" i="15"/>
  <c r="AB238" i="15"/>
  <c r="AC238" i="15"/>
  <c r="H221" i="15"/>
  <c r="P221" i="15"/>
  <c r="G221" i="15"/>
  <c r="O221" i="15"/>
  <c r="F221" i="15"/>
  <c r="Q221" i="15" s="1"/>
  <c r="E221" i="15"/>
  <c r="D221" i="15"/>
  <c r="R221" i="15"/>
  <c r="K220" i="15"/>
  <c r="J220" i="15"/>
  <c r="M220" i="15"/>
  <c r="L220" i="15"/>
  <c r="B219" i="2"/>
  <c r="O218" i="2"/>
  <c r="H218" i="2"/>
  <c r="F218" i="2"/>
  <c r="Q218" i="2" s="1"/>
  <c r="G218" i="2"/>
  <c r="E218" i="2"/>
  <c r="D218" i="2"/>
  <c r="P218" i="2"/>
  <c r="R218" i="2"/>
  <c r="J217" i="2"/>
  <c r="K217" i="2"/>
  <c r="M217" i="2"/>
  <c r="L217" i="2"/>
  <c r="I218" i="2" l="1"/>
  <c r="N218" i="2"/>
  <c r="I221" i="15"/>
  <c r="N221" i="15"/>
  <c r="W239" i="2"/>
  <c r="X239" i="2"/>
  <c r="AA239" i="2"/>
  <c r="U240" i="2"/>
  <c r="Z239" i="2"/>
  <c r="Y239" i="2"/>
  <c r="AB238" i="2"/>
  <c r="AC238" i="2"/>
  <c r="AD238" i="2"/>
  <c r="AE238" i="2"/>
  <c r="Y240" i="15"/>
  <c r="Z240" i="15"/>
  <c r="U241" i="15"/>
  <c r="W240" i="15"/>
  <c r="X240" i="15"/>
  <c r="AA240" i="15"/>
  <c r="AD239" i="15"/>
  <c r="AE239" i="15"/>
  <c r="AB239" i="15"/>
  <c r="AC239" i="15"/>
  <c r="L221" i="15"/>
  <c r="M221" i="15"/>
  <c r="J221" i="15"/>
  <c r="K221" i="15"/>
  <c r="P222" i="15"/>
  <c r="G222" i="15"/>
  <c r="O222" i="15"/>
  <c r="F222" i="15"/>
  <c r="Q222" i="15" s="1"/>
  <c r="R222" i="15"/>
  <c r="H222" i="15"/>
  <c r="D222" i="15"/>
  <c r="E222" i="15"/>
  <c r="K218" i="2"/>
  <c r="J218" i="2"/>
  <c r="L218" i="2"/>
  <c r="M218" i="2"/>
  <c r="O219" i="2"/>
  <c r="B220" i="2"/>
  <c r="D219" i="2"/>
  <c r="G219" i="2"/>
  <c r="H219" i="2"/>
  <c r="F219" i="2"/>
  <c r="Q219" i="2" s="1"/>
  <c r="E219" i="2"/>
  <c r="R219" i="2"/>
  <c r="P219" i="2"/>
  <c r="I219" i="2" l="1"/>
  <c r="N219" i="2"/>
  <c r="I222" i="15"/>
  <c r="N222" i="15"/>
  <c r="AA240" i="2"/>
  <c r="Y240" i="2"/>
  <c r="Z240" i="2"/>
  <c r="U241" i="2"/>
  <c r="W240" i="2"/>
  <c r="X240" i="2"/>
  <c r="AE239" i="2"/>
  <c r="AD239" i="2"/>
  <c r="AB239" i="2"/>
  <c r="AC239" i="2"/>
  <c r="AD240" i="15"/>
  <c r="AE240" i="15"/>
  <c r="AC240" i="15"/>
  <c r="AB240" i="15"/>
  <c r="AA241" i="15"/>
  <c r="U242" i="15"/>
  <c r="W241" i="15"/>
  <c r="Z241" i="15"/>
  <c r="Y241" i="15"/>
  <c r="X241" i="15"/>
  <c r="K222" i="15"/>
  <c r="J222" i="15"/>
  <c r="O223" i="15"/>
  <c r="F223" i="15"/>
  <c r="Q223" i="15" s="1"/>
  <c r="E223" i="15"/>
  <c r="H223" i="15"/>
  <c r="R223" i="15"/>
  <c r="P223" i="15"/>
  <c r="G223" i="15"/>
  <c r="D223" i="15"/>
  <c r="M222" i="15"/>
  <c r="L222" i="15"/>
  <c r="M219" i="2"/>
  <c r="L219" i="2"/>
  <c r="K219" i="2"/>
  <c r="J219" i="2"/>
  <c r="B221" i="2"/>
  <c r="G220" i="2"/>
  <c r="H220" i="2"/>
  <c r="O220" i="2"/>
  <c r="F220" i="2"/>
  <c r="Q220" i="2" s="1"/>
  <c r="D220" i="2"/>
  <c r="E220" i="2"/>
  <c r="P220" i="2"/>
  <c r="R220" i="2"/>
  <c r="I220" i="2" l="1"/>
  <c r="N220" i="2"/>
  <c r="I223" i="15"/>
  <c r="N223" i="15"/>
  <c r="AC240" i="2"/>
  <c r="AB240" i="2"/>
  <c r="X241" i="2"/>
  <c r="W241" i="2"/>
  <c r="Y241" i="2"/>
  <c r="Z241" i="2"/>
  <c r="AA241" i="2"/>
  <c r="U242" i="2"/>
  <c r="AD240" i="2"/>
  <c r="AE240" i="2"/>
  <c r="AC241" i="15"/>
  <c r="AB241" i="15"/>
  <c r="X242" i="15"/>
  <c r="W242" i="15"/>
  <c r="AA242" i="15"/>
  <c r="Y242" i="15"/>
  <c r="U243" i="15"/>
  <c r="Z242" i="15"/>
  <c r="AD241" i="15"/>
  <c r="AE241" i="15"/>
  <c r="E224" i="15"/>
  <c r="D224" i="15"/>
  <c r="P224" i="15"/>
  <c r="G224" i="15"/>
  <c r="H224" i="15"/>
  <c r="F224" i="15"/>
  <c r="Q224" i="15" s="1"/>
  <c r="R224" i="15"/>
  <c r="O224" i="15"/>
  <c r="M223" i="15"/>
  <c r="L223" i="15"/>
  <c r="K223" i="15"/>
  <c r="J223" i="15"/>
  <c r="M220" i="2"/>
  <c r="L220" i="2"/>
  <c r="B222" i="2"/>
  <c r="G221" i="2"/>
  <c r="H221" i="2"/>
  <c r="D221" i="2"/>
  <c r="O221" i="2"/>
  <c r="F221" i="2"/>
  <c r="Q221" i="2" s="1"/>
  <c r="E221" i="2"/>
  <c r="R221" i="2"/>
  <c r="P221" i="2"/>
  <c r="J220" i="2"/>
  <c r="K220" i="2"/>
  <c r="I221" i="2" l="1"/>
  <c r="N221" i="2"/>
  <c r="I224" i="15"/>
  <c r="N224" i="15"/>
  <c r="AE241" i="2"/>
  <c r="AD241" i="2"/>
  <c r="AC241" i="2"/>
  <c r="AB241" i="2"/>
  <c r="Z242" i="2"/>
  <c r="AA242" i="2"/>
  <c r="W242" i="2"/>
  <c r="U243" i="2"/>
  <c r="X242" i="2"/>
  <c r="Y242" i="2"/>
  <c r="AE242" i="15"/>
  <c r="AD242" i="15"/>
  <c r="AB242" i="15"/>
  <c r="AC242" i="15"/>
  <c r="W243" i="15"/>
  <c r="X243" i="15"/>
  <c r="Z243" i="15"/>
  <c r="Y243" i="15"/>
  <c r="AA243" i="15"/>
  <c r="U244" i="15"/>
  <c r="D225" i="15"/>
  <c r="O225" i="15"/>
  <c r="F225" i="15"/>
  <c r="Q225" i="15" s="1"/>
  <c r="H225" i="15"/>
  <c r="G225" i="15"/>
  <c r="R225" i="15"/>
  <c r="E225" i="15"/>
  <c r="P225" i="15"/>
  <c r="M224" i="15"/>
  <c r="L224" i="15"/>
  <c r="K224" i="15"/>
  <c r="J224" i="15"/>
  <c r="J221" i="2"/>
  <c r="K221" i="2"/>
  <c r="M221" i="2"/>
  <c r="L221" i="2"/>
  <c r="B223" i="2"/>
  <c r="G222" i="2"/>
  <c r="O222" i="2"/>
  <c r="H222" i="2"/>
  <c r="D222" i="2"/>
  <c r="E222" i="2"/>
  <c r="F222" i="2"/>
  <c r="Q222" i="2" s="1"/>
  <c r="R222" i="2"/>
  <c r="P222" i="2"/>
  <c r="I222" i="2" l="1"/>
  <c r="N222" i="2"/>
  <c r="I225" i="15"/>
  <c r="N225" i="15"/>
  <c r="AB242" i="2"/>
  <c r="AC242" i="2"/>
  <c r="AD242" i="2"/>
  <c r="AE242" i="2"/>
  <c r="W243" i="2"/>
  <c r="X243" i="2"/>
  <c r="U244" i="2"/>
  <c r="AA243" i="2"/>
  <c r="Y243" i="2"/>
  <c r="Z243" i="2"/>
  <c r="AB243" i="15"/>
  <c r="AC243" i="15"/>
  <c r="Y244" i="15"/>
  <c r="Z244" i="15"/>
  <c r="AA244" i="15"/>
  <c r="U245" i="15"/>
  <c r="W244" i="15"/>
  <c r="X244" i="15"/>
  <c r="AD243" i="15"/>
  <c r="AE243" i="15"/>
  <c r="L225" i="15"/>
  <c r="M225" i="15"/>
  <c r="E226" i="15"/>
  <c r="D226" i="15"/>
  <c r="P226" i="15"/>
  <c r="O226" i="15"/>
  <c r="G226" i="15"/>
  <c r="H226" i="15"/>
  <c r="R226" i="15"/>
  <c r="F226" i="15"/>
  <c r="Q226" i="15" s="1"/>
  <c r="K225" i="15"/>
  <c r="J225" i="15"/>
  <c r="O223" i="2"/>
  <c r="B224" i="2"/>
  <c r="G223" i="2"/>
  <c r="D223" i="2"/>
  <c r="H223" i="2"/>
  <c r="P223" i="2"/>
  <c r="R223" i="2"/>
  <c r="F223" i="2"/>
  <c r="Q223" i="2" s="1"/>
  <c r="E223" i="2"/>
  <c r="J222" i="2"/>
  <c r="K222" i="2"/>
  <c r="L222" i="2"/>
  <c r="M222" i="2"/>
  <c r="I223" i="2" l="1"/>
  <c r="N223" i="2"/>
  <c r="I226" i="15"/>
  <c r="N226" i="15"/>
  <c r="AB243" i="2"/>
  <c r="AC243" i="2"/>
  <c r="Z244" i="2"/>
  <c r="U245" i="2"/>
  <c r="AA244" i="2"/>
  <c r="W244" i="2"/>
  <c r="X244" i="2"/>
  <c r="Y244" i="2"/>
  <c r="AD243" i="2"/>
  <c r="AE243" i="2"/>
  <c r="AA245" i="15"/>
  <c r="U246" i="15"/>
  <c r="Y245" i="15"/>
  <c r="Z245" i="15"/>
  <c r="W245" i="15"/>
  <c r="X245" i="15"/>
  <c r="AD244" i="15"/>
  <c r="AE244" i="15"/>
  <c r="AC244" i="15"/>
  <c r="AB244" i="15"/>
  <c r="K226" i="15"/>
  <c r="J226" i="15"/>
  <c r="R227" i="15"/>
  <c r="D227" i="15"/>
  <c r="H227" i="15"/>
  <c r="P227" i="15"/>
  <c r="G227" i="15"/>
  <c r="F227" i="15"/>
  <c r="Q227" i="15" s="1"/>
  <c r="E227" i="15"/>
  <c r="O227" i="15"/>
  <c r="M226" i="15"/>
  <c r="L226" i="15"/>
  <c r="M223" i="2"/>
  <c r="L223" i="2"/>
  <c r="J223" i="2"/>
  <c r="K223" i="2"/>
  <c r="O224" i="2"/>
  <c r="B225" i="2"/>
  <c r="G224" i="2"/>
  <c r="H224" i="2"/>
  <c r="P224" i="2"/>
  <c r="R224" i="2"/>
  <c r="D224" i="2"/>
  <c r="F224" i="2"/>
  <c r="Q224" i="2" s="1"/>
  <c r="E224" i="2"/>
  <c r="I224" i="2" l="1"/>
  <c r="N224" i="2"/>
  <c r="I227" i="15"/>
  <c r="N227" i="15"/>
  <c r="AC244" i="2"/>
  <c r="AB244" i="2"/>
  <c r="AD244" i="2"/>
  <c r="AE244" i="2"/>
  <c r="X245" i="2"/>
  <c r="Y245" i="2"/>
  <c r="W245" i="2"/>
  <c r="U246" i="2"/>
  <c r="Z245" i="2"/>
  <c r="AA245" i="2"/>
  <c r="AC245" i="15"/>
  <c r="AB245" i="15"/>
  <c r="X246" i="15"/>
  <c r="Y246" i="15"/>
  <c r="AA246" i="15"/>
  <c r="Z246" i="15"/>
  <c r="U247" i="15"/>
  <c r="W246" i="15"/>
  <c r="AD245" i="15"/>
  <c r="AE245" i="15"/>
  <c r="R228" i="15"/>
  <c r="H228" i="15"/>
  <c r="G228" i="15"/>
  <c r="F228" i="15"/>
  <c r="Q228" i="15" s="1"/>
  <c r="E228" i="15"/>
  <c r="P228" i="15"/>
  <c r="O228" i="15"/>
  <c r="D228" i="15"/>
  <c r="L227" i="15"/>
  <c r="M227" i="15"/>
  <c r="J227" i="15"/>
  <c r="K227" i="15"/>
  <c r="M224" i="2"/>
  <c r="L224" i="2"/>
  <c r="O225" i="2"/>
  <c r="H225" i="2"/>
  <c r="B226" i="2"/>
  <c r="G225" i="2"/>
  <c r="F225" i="2"/>
  <c r="Q225" i="2" s="1"/>
  <c r="D225" i="2"/>
  <c r="P225" i="2"/>
  <c r="R225" i="2"/>
  <c r="E225" i="2"/>
  <c r="K224" i="2"/>
  <c r="J224" i="2"/>
  <c r="I225" i="2" l="1"/>
  <c r="N225" i="2"/>
  <c r="I228" i="15"/>
  <c r="N228" i="15"/>
  <c r="AC245" i="2"/>
  <c r="AB245" i="2"/>
  <c r="AE245" i="2"/>
  <c r="AD245" i="2"/>
  <c r="Z246" i="2"/>
  <c r="Y246" i="2"/>
  <c r="U247" i="2"/>
  <c r="AA246" i="2"/>
  <c r="X246" i="2"/>
  <c r="W246" i="2"/>
  <c r="AE246" i="15"/>
  <c r="AD246" i="15"/>
  <c r="W247" i="15"/>
  <c r="X247" i="15"/>
  <c r="Z247" i="15"/>
  <c r="Y247" i="15"/>
  <c r="AA247" i="15"/>
  <c r="U248" i="15"/>
  <c r="AB246" i="15"/>
  <c r="AC246" i="15"/>
  <c r="K228" i="15"/>
  <c r="J228" i="15"/>
  <c r="H229" i="15"/>
  <c r="P229" i="15"/>
  <c r="G229" i="15"/>
  <c r="R229" i="15"/>
  <c r="D229" i="15"/>
  <c r="O229" i="15"/>
  <c r="F229" i="15"/>
  <c r="Q229" i="15" s="1"/>
  <c r="E229" i="15"/>
  <c r="L228" i="15"/>
  <c r="M228" i="15"/>
  <c r="M225" i="2"/>
  <c r="L225" i="2"/>
  <c r="J225" i="2"/>
  <c r="K225" i="2"/>
  <c r="B227" i="2"/>
  <c r="O226" i="2"/>
  <c r="H226" i="2"/>
  <c r="D226" i="2"/>
  <c r="G226" i="2"/>
  <c r="F226" i="2"/>
  <c r="Q226" i="2" s="1"/>
  <c r="E226" i="2"/>
  <c r="P226" i="2"/>
  <c r="R226" i="2"/>
  <c r="I226" i="2" l="1"/>
  <c r="N226" i="2"/>
  <c r="I229" i="15"/>
  <c r="N229" i="15"/>
  <c r="AD246" i="2"/>
  <c r="AE246" i="2"/>
  <c r="Y247" i="2"/>
  <c r="Z247" i="2"/>
  <c r="AA247" i="2"/>
  <c r="U248" i="2"/>
  <c r="X247" i="2"/>
  <c r="W247" i="2"/>
  <c r="AB246" i="2"/>
  <c r="AC246" i="2"/>
  <c r="AD247" i="15"/>
  <c r="AE247" i="15"/>
  <c r="Y248" i="15"/>
  <c r="Z248" i="15"/>
  <c r="U249" i="15"/>
  <c r="X248" i="15"/>
  <c r="W248" i="15"/>
  <c r="AA248" i="15"/>
  <c r="AB247" i="15"/>
  <c r="AC247" i="15"/>
  <c r="G230" i="15"/>
  <c r="P230" i="15"/>
  <c r="F230" i="15"/>
  <c r="Q230" i="15" s="1"/>
  <c r="R230" i="15"/>
  <c r="H230" i="15"/>
  <c r="E230" i="15"/>
  <c r="D230" i="15"/>
  <c r="O230" i="15"/>
  <c r="J229" i="15"/>
  <c r="K229" i="15"/>
  <c r="M229" i="15"/>
  <c r="L229" i="15"/>
  <c r="J226" i="2"/>
  <c r="K226" i="2"/>
  <c r="M226" i="2"/>
  <c r="L226" i="2"/>
  <c r="O227" i="2"/>
  <c r="B228" i="2"/>
  <c r="G227" i="2"/>
  <c r="D227" i="2"/>
  <c r="H227" i="2"/>
  <c r="F227" i="2"/>
  <c r="Q227" i="2" s="1"/>
  <c r="E227" i="2"/>
  <c r="P227" i="2"/>
  <c r="R227" i="2"/>
  <c r="I227" i="2" l="1"/>
  <c r="N227" i="2"/>
  <c r="I230" i="15"/>
  <c r="N230" i="15"/>
  <c r="Y248" i="2"/>
  <c r="Z248" i="2"/>
  <c r="U249" i="2"/>
  <c r="W248" i="2"/>
  <c r="X248" i="2"/>
  <c r="AA248" i="2"/>
  <c r="AD247" i="2"/>
  <c r="AE247" i="2"/>
  <c r="AC247" i="2"/>
  <c r="AB247" i="2"/>
  <c r="AA249" i="15"/>
  <c r="U250" i="15"/>
  <c r="W249" i="15"/>
  <c r="X249" i="15"/>
  <c r="Y249" i="15"/>
  <c r="Z249" i="15"/>
  <c r="AC248" i="15"/>
  <c r="AB248" i="15"/>
  <c r="AD248" i="15"/>
  <c r="AE248" i="15"/>
  <c r="K230" i="15"/>
  <c r="J230" i="15"/>
  <c r="M230" i="15"/>
  <c r="L230" i="15"/>
  <c r="R231" i="15"/>
  <c r="H231" i="15"/>
  <c r="G231" i="15"/>
  <c r="F231" i="15"/>
  <c r="Q231" i="15" s="1"/>
  <c r="O231" i="15"/>
  <c r="P231" i="15"/>
  <c r="D231" i="15"/>
  <c r="E231" i="15"/>
  <c r="M227" i="2"/>
  <c r="L227" i="2"/>
  <c r="K227" i="2"/>
  <c r="J227" i="2"/>
  <c r="O228" i="2"/>
  <c r="G228" i="2"/>
  <c r="B229" i="2"/>
  <c r="H228" i="2"/>
  <c r="F228" i="2"/>
  <c r="Q228" i="2" s="1"/>
  <c r="D228" i="2"/>
  <c r="E228" i="2"/>
  <c r="P228" i="2"/>
  <c r="R228" i="2"/>
  <c r="I228" i="2" l="1"/>
  <c r="N228" i="2"/>
  <c r="I231" i="15"/>
  <c r="N231" i="15"/>
  <c r="AD248" i="2"/>
  <c r="AE248" i="2"/>
  <c r="AC248" i="2"/>
  <c r="AB248" i="2"/>
  <c r="X249" i="2"/>
  <c r="W249" i="2"/>
  <c r="U250" i="2"/>
  <c r="Y249" i="2"/>
  <c r="Z249" i="2"/>
  <c r="AA249" i="2"/>
  <c r="X250" i="15"/>
  <c r="W250" i="15"/>
  <c r="U251" i="15"/>
  <c r="Y250" i="15"/>
  <c r="AA250" i="15"/>
  <c r="Z250" i="15"/>
  <c r="AC249" i="15"/>
  <c r="AB249" i="15"/>
  <c r="AE249" i="15"/>
  <c r="AD249" i="15"/>
  <c r="L231" i="15"/>
  <c r="M231" i="15"/>
  <c r="J231" i="15"/>
  <c r="K231" i="15"/>
  <c r="R232" i="15"/>
  <c r="H232" i="15"/>
  <c r="G232" i="15"/>
  <c r="F232" i="15"/>
  <c r="Q232" i="15" s="1"/>
  <c r="E232" i="15"/>
  <c r="D232" i="15"/>
  <c r="O232" i="15"/>
  <c r="P232" i="15"/>
  <c r="J228" i="2"/>
  <c r="K228" i="2"/>
  <c r="M228" i="2"/>
  <c r="L228" i="2"/>
  <c r="B230" i="2"/>
  <c r="G229" i="2"/>
  <c r="H229" i="2"/>
  <c r="O229" i="2"/>
  <c r="D229" i="2"/>
  <c r="F229" i="2"/>
  <c r="Q229" i="2" s="1"/>
  <c r="E229" i="2"/>
  <c r="P229" i="2"/>
  <c r="R229" i="2"/>
  <c r="I229" i="2" l="1"/>
  <c r="N229" i="2"/>
  <c r="I232" i="15"/>
  <c r="N232" i="15"/>
  <c r="Z250" i="2"/>
  <c r="X250" i="2"/>
  <c r="Y250" i="2"/>
  <c r="U251" i="2"/>
  <c r="W250" i="2"/>
  <c r="AA250" i="2"/>
  <c r="AB249" i="2"/>
  <c r="AC249" i="2"/>
  <c r="AE249" i="2"/>
  <c r="AD249" i="2"/>
  <c r="AE250" i="15"/>
  <c r="AD250" i="15"/>
  <c r="W251" i="15"/>
  <c r="X251" i="15"/>
  <c r="Z251" i="15"/>
  <c r="U252" i="15"/>
  <c r="AA251" i="15"/>
  <c r="Y251" i="15"/>
  <c r="AB250" i="15"/>
  <c r="AC250" i="15"/>
  <c r="H233" i="15"/>
  <c r="D233" i="15"/>
  <c r="F233" i="15"/>
  <c r="Q233" i="15" s="1"/>
  <c r="E233" i="15"/>
  <c r="R233" i="15"/>
  <c r="P233" i="15"/>
  <c r="O233" i="15"/>
  <c r="G233" i="15"/>
  <c r="L232" i="15"/>
  <c r="M232" i="15"/>
  <c r="J232" i="15"/>
  <c r="K232" i="15"/>
  <c r="K229" i="2"/>
  <c r="J229" i="2"/>
  <c r="M229" i="2"/>
  <c r="L229" i="2"/>
  <c r="O230" i="2"/>
  <c r="B231" i="2"/>
  <c r="G230" i="2"/>
  <c r="H230" i="2"/>
  <c r="D230" i="2"/>
  <c r="F230" i="2"/>
  <c r="Q230" i="2" s="1"/>
  <c r="E230" i="2"/>
  <c r="R230" i="2"/>
  <c r="P230" i="2"/>
  <c r="I230" i="2" l="1"/>
  <c r="N230" i="2"/>
  <c r="I233" i="15"/>
  <c r="N233" i="15"/>
  <c r="W251" i="2"/>
  <c r="X251" i="2"/>
  <c r="U252" i="2"/>
  <c r="Y251" i="2"/>
  <c r="Z251" i="2"/>
  <c r="AA251" i="2"/>
  <c r="AD250" i="2"/>
  <c r="AE250" i="2"/>
  <c r="AB250" i="2"/>
  <c r="AC250" i="2"/>
  <c r="AD251" i="15"/>
  <c r="AE251" i="15"/>
  <c r="Y252" i="15"/>
  <c r="Z252" i="15"/>
  <c r="U253" i="15"/>
  <c r="AA252" i="15"/>
  <c r="X252" i="15"/>
  <c r="W252" i="15"/>
  <c r="AC251" i="15"/>
  <c r="AB251" i="15"/>
  <c r="P234" i="15"/>
  <c r="G234" i="15"/>
  <c r="O234" i="15"/>
  <c r="E234" i="15"/>
  <c r="D234" i="15"/>
  <c r="R234" i="15"/>
  <c r="H234" i="15"/>
  <c r="F234" i="15"/>
  <c r="Q234" i="15" s="1"/>
  <c r="K233" i="15"/>
  <c r="J233" i="15"/>
  <c r="M233" i="15"/>
  <c r="L233" i="15"/>
  <c r="J230" i="2"/>
  <c r="K230" i="2"/>
  <c r="M230" i="2"/>
  <c r="L230" i="2"/>
  <c r="O231" i="2"/>
  <c r="G231" i="2"/>
  <c r="B232" i="2"/>
  <c r="H231" i="2"/>
  <c r="D231" i="2"/>
  <c r="F231" i="2"/>
  <c r="Q231" i="2" s="1"/>
  <c r="E231" i="2"/>
  <c r="P231" i="2"/>
  <c r="R231" i="2"/>
  <c r="I231" i="2" l="1"/>
  <c r="N231" i="2"/>
  <c r="I234" i="15"/>
  <c r="N234" i="15"/>
  <c r="AD251" i="2"/>
  <c r="AE251" i="2"/>
  <c r="AB251" i="2"/>
  <c r="AC251" i="2"/>
  <c r="X252" i="2"/>
  <c r="Y252" i="2"/>
  <c r="W252" i="2"/>
  <c r="U253" i="2"/>
  <c r="Z252" i="2"/>
  <c r="AA252" i="2"/>
  <c r="AA253" i="15"/>
  <c r="U254" i="15"/>
  <c r="X253" i="15"/>
  <c r="Y253" i="15"/>
  <c r="W253" i="15"/>
  <c r="Z253" i="15"/>
  <c r="AD252" i="15"/>
  <c r="AE252" i="15"/>
  <c r="AC252" i="15"/>
  <c r="AB252" i="15"/>
  <c r="L234" i="15"/>
  <c r="M234" i="15"/>
  <c r="K234" i="15"/>
  <c r="J234" i="15"/>
  <c r="O235" i="15"/>
  <c r="F235" i="15"/>
  <c r="Q235" i="15" s="1"/>
  <c r="D235" i="15"/>
  <c r="G235" i="15"/>
  <c r="R235" i="15"/>
  <c r="P235" i="15"/>
  <c r="E235" i="15"/>
  <c r="H235" i="15"/>
  <c r="J231" i="2"/>
  <c r="K231" i="2"/>
  <c r="B233" i="2"/>
  <c r="G232" i="2"/>
  <c r="H232" i="2"/>
  <c r="O232" i="2"/>
  <c r="F232" i="2"/>
  <c r="Q232" i="2" s="1"/>
  <c r="D232" i="2"/>
  <c r="E232" i="2"/>
  <c r="P232" i="2"/>
  <c r="R232" i="2"/>
  <c r="M231" i="2"/>
  <c r="L231" i="2"/>
  <c r="I232" i="2" l="1"/>
  <c r="N232" i="2"/>
  <c r="I235" i="15"/>
  <c r="N235" i="15"/>
  <c r="AD252" i="2"/>
  <c r="AE252" i="2"/>
  <c r="AC252" i="2"/>
  <c r="AB252" i="2"/>
  <c r="X253" i="2"/>
  <c r="Z253" i="2"/>
  <c r="AA253" i="2"/>
  <c r="Y253" i="2"/>
  <c r="W253" i="2"/>
  <c r="U254" i="2"/>
  <c r="AC253" i="15"/>
  <c r="AB253" i="15"/>
  <c r="X254" i="15"/>
  <c r="AA254" i="15"/>
  <c r="Y254" i="15"/>
  <c r="Z254" i="15"/>
  <c r="W254" i="15"/>
  <c r="U255" i="15"/>
  <c r="AE253" i="15"/>
  <c r="AD253" i="15"/>
  <c r="K235" i="15"/>
  <c r="J235" i="15"/>
  <c r="M235" i="15"/>
  <c r="L235" i="15"/>
  <c r="E236" i="15"/>
  <c r="P236" i="15"/>
  <c r="F236" i="15"/>
  <c r="Q236" i="15" s="1"/>
  <c r="O236" i="15"/>
  <c r="D236" i="15"/>
  <c r="R236" i="15"/>
  <c r="H236" i="15"/>
  <c r="G236" i="15"/>
  <c r="K232" i="2"/>
  <c r="J232" i="2"/>
  <c r="L232" i="2"/>
  <c r="M232" i="2"/>
  <c r="O233" i="2"/>
  <c r="G233" i="2"/>
  <c r="H233" i="2"/>
  <c r="B234" i="2"/>
  <c r="F233" i="2"/>
  <c r="Q233" i="2" s="1"/>
  <c r="P233" i="2"/>
  <c r="E233" i="2"/>
  <c r="R233" i="2"/>
  <c r="D233" i="2"/>
  <c r="I233" i="2" l="1"/>
  <c r="N233" i="2"/>
  <c r="I236" i="15"/>
  <c r="N236" i="15"/>
  <c r="Z254" i="2"/>
  <c r="W254" i="2"/>
  <c r="X254" i="2"/>
  <c r="Y254" i="2"/>
  <c r="AA254" i="2"/>
  <c r="U255" i="2"/>
  <c r="AE253" i="2"/>
  <c r="AD253" i="2"/>
  <c r="AB253" i="2"/>
  <c r="AC253" i="2"/>
  <c r="AB254" i="15"/>
  <c r="AC254" i="15"/>
  <c r="AE254" i="15"/>
  <c r="AD254" i="15"/>
  <c r="W255" i="15"/>
  <c r="X255" i="15"/>
  <c r="Z255" i="15"/>
  <c r="AA255" i="15"/>
  <c r="U256" i="15"/>
  <c r="Y255" i="15"/>
  <c r="D237" i="15"/>
  <c r="G237" i="15"/>
  <c r="P237" i="15"/>
  <c r="F237" i="15"/>
  <c r="Q237" i="15" s="1"/>
  <c r="H237" i="15"/>
  <c r="O237" i="15"/>
  <c r="E237" i="15"/>
  <c r="R237" i="15"/>
  <c r="M236" i="15"/>
  <c r="L236" i="15"/>
  <c r="K236" i="15"/>
  <c r="J236" i="15"/>
  <c r="B235" i="2"/>
  <c r="G234" i="2"/>
  <c r="H234" i="2"/>
  <c r="D234" i="2"/>
  <c r="P234" i="2"/>
  <c r="R234" i="2"/>
  <c r="F234" i="2"/>
  <c r="Q234" i="2" s="1"/>
  <c r="E234" i="2"/>
  <c r="O234" i="2"/>
  <c r="M233" i="2"/>
  <c r="L233" i="2"/>
  <c r="K233" i="2"/>
  <c r="J233" i="2"/>
  <c r="I234" i="2" l="1"/>
  <c r="N234" i="2"/>
  <c r="I237" i="15"/>
  <c r="N237" i="15"/>
  <c r="AA255" i="2"/>
  <c r="W255" i="2"/>
  <c r="X255" i="2"/>
  <c r="U256" i="2"/>
  <c r="Y255" i="2"/>
  <c r="Z255" i="2"/>
  <c r="AE254" i="2"/>
  <c r="AD254" i="2"/>
  <c r="AB254" i="2"/>
  <c r="AC254" i="2"/>
  <c r="AB255" i="15"/>
  <c r="AC255" i="15"/>
  <c r="AD255" i="15"/>
  <c r="AE255" i="15"/>
  <c r="Y256" i="15"/>
  <c r="Z256" i="15"/>
  <c r="X256" i="15"/>
  <c r="AA256" i="15"/>
  <c r="W256" i="15"/>
  <c r="U257" i="15"/>
  <c r="L237" i="15"/>
  <c r="M237" i="15"/>
  <c r="R238" i="15"/>
  <c r="H238" i="15"/>
  <c r="G238" i="15"/>
  <c r="F238" i="15"/>
  <c r="Q238" i="15" s="1"/>
  <c r="E238" i="15"/>
  <c r="P238" i="15"/>
  <c r="O238" i="15"/>
  <c r="D238" i="15"/>
  <c r="K237" i="15"/>
  <c r="J237" i="15"/>
  <c r="J234" i="2"/>
  <c r="K234" i="2"/>
  <c r="M234" i="2"/>
  <c r="L234" i="2"/>
  <c r="O235" i="2"/>
  <c r="B236" i="2"/>
  <c r="H235" i="2"/>
  <c r="D235" i="2"/>
  <c r="F235" i="2"/>
  <c r="Q235" i="2" s="1"/>
  <c r="G235" i="2"/>
  <c r="P235" i="2"/>
  <c r="R235" i="2"/>
  <c r="E235" i="2"/>
  <c r="I235" i="2" l="1"/>
  <c r="N235" i="2"/>
  <c r="I238" i="15"/>
  <c r="N238" i="15"/>
  <c r="W256" i="2"/>
  <c r="X256" i="2"/>
  <c r="U257" i="2"/>
  <c r="Y256" i="2"/>
  <c r="Z256" i="2"/>
  <c r="AA256" i="2"/>
  <c r="AB255" i="2"/>
  <c r="AC255" i="2"/>
  <c r="AD255" i="2"/>
  <c r="AE255" i="2"/>
  <c r="AB256" i="15"/>
  <c r="AC256" i="15"/>
  <c r="AA257" i="15"/>
  <c r="U258" i="15"/>
  <c r="X257" i="15"/>
  <c r="Z257" i="15"/>
  <c r="Y257" i="15"/>
  <c r="W257" i="15"/>
  <c r="AD256" i="15"/>
  <c r="AE256" i="15"/>
  <c r="M238" i="15"/>
  <c r="L238" i="15"/>
  <c r="K238" i="15"/>
  <c r="J238" i="15"/>
  <c r="R239" i="15"/>
  <c r="H239" i="15"/>
  <c r="F239" i="15"/>
  <c r="Q239" i="15" s="1"/>
  <c r="E239" i="15"/>
  <c r="D239" i="15"/>
  <c r="P239" i="15"/>
  <c r="O239" i="15"/>
  <c r="G239" i="15"/>
  <c r="J235" i="2"/>
  <c r="K235" i="2"/>
  <c r="M235" i="2"/>
  <c r="L235" i="2"/>
  <c r="O236" i="2"/>
  <c r="B237" i="2"/>
  <c r="H236" i="2"/>
  <c r="D236" i="2"/>
  <c r="G236" i="2"/>
  <c r="F236" i="2"/>
  <c r="Q236" i="2" s="1"/>
  <c r="E236" i="2"/>
  <c r="P236" i="2"/>
  <c r="R236" i="2"/>
  <c r="I236" i="2" l="1"/>
  <c r="N236" i="2"/>
  <c r="I239" i="15"/>
  <c r="N239" i="15"/>
  <c r="AE256" i="2"/>
  <c r="AD256" i="2"/>
  <c r="X257" i="2"/>
  <c r="AA257" i="2"/>
  <c r="W257" i="2"/>
  <c r="U258" i="2"/>
  <c r="Y257" i="2"/>
  <c r="Z257" i="2"/>
  <c r="AC256" i="2"/>
  <c r="AB256" i="2"/>
  <c r="X258" i="15"/>
  <c r="W258" i="15"/>
  <c r="U259" i="15"/>
  <c r="Y258" i="15"/>
  <c r="Z258" i="15"/>
  <c r="AA258" i="15"/>
  <c r="AE257" i="15"/>
  <c r="AD257" i="15"/>
  <c r="AC257" i="15"/>
  <c r="AB257" i="15"/>
  <c r="L239" i="15"/>
  <c r="M239" i="15"/>
  <c r="R240" i="15"/>
  <c r="D240" i="15"/>
  <c r="E240" i="15"/>
  <c r="P240" i="15"/>
  <c r="G240" i="15"/>
  <c r="O240" i="15"/>
  <c r="H240" i="15"/>
  <c r="F240" i="15"/>
  <c r="Q240" i="15" s="1"/>
  <c r="J239" i="15"/>
  <c r="K239" i="15"/>
  <c r="B238" i="2"/>
  <c r="G237" i="2"/>
  <c r="O237" i="2"/>
  <c r="H237" i="2"/>
  <c r="F237" i="2"/>
  <c r="Q237" i="2" s="1"/>
  <c r="D237" i="2"/>
  <c r="E237" i="2"/>
  <c r="P237" i="2"/>
  <c r="R237" i="2"/>
  <c r="J236" i="2"/>
  <c r="K236" i="2"/>
  <c r="M236" i="2"/>
  <c r="L236" i="2"/>
  <c r="I237" i="2" l="1"/>
  <c r="N237" i="2"/>
  <c r="I240" i="15"/>
  <c r="N240" i="15"/>
  <c r="Z258" i="2"/>
  <c r="W258" i="2"/>
  <c r="Y258" i="2"/>
  <c r="U259" i="2"/>
  <c r="X258" i="2"/>
  <c r="AA258" i="2"/>
  <c r="AB257" i="2"/>
  <c r="AC257" i="2"/>
  <c r="AE257" i="2"/>
  <c r="AD257" i="2"/>
  <c r="AE258" i="15"/>
  <c r="AD258" i="15"/>
  <c r="AB258" i="15"/>
  <c r="AC258" i="15"/>
  <c r="W259" i="15"/>
  <c r="X259" i="15"/>
  <c r="Z259" i="15"/>
  <c r="U260" i="15"/>
  <c r="Y259" i="15"/>
  <c r="AA259" i="15"/>
  <c r="K240" i="15"/>
  <c r="J240" i="15"/>
  <c r="H241" i="15"/>
  <c r="O241" i="15"/>
  <c r="E241" i="15"/>
  <c r="R241" i="15"/>
  <c r="P241" i="15"/>
  <c r="F241" i="15"/>
  <c r="Q241" i="15" s="1"/>
  <c r="G241" i="15"/>
  <c r="D241" i="15"/>
  <c r="M240" i="15"/>
  <c r="L240" i="15"/>
  <c r="K237" i="2"/>
  <c r="J237" i="2"/>
  <c r="M237" i="2"/>
  <c r="L237" i="2"/>
  <c r="O238" i="2"/>
  <c r="B239" i="2"/>
  <c r="G238" i="2"/>
  <c r="F238" i="2"/>
  <c r="Q238" i="2" s="1"/>
  <c r="H238" i="2"/>
  <c r="E238" i="2"/>
  <c r="D238" i="2"/>
  <c r="R238" i="2"/>
  <c r="P238" i="2"/>
  <c r="I238" i="2" l="1"/>
  <c r="N238" i="2"/>
  <c r="I241" i="15"/>
  <c r="N241" i="15"/>
  <c r="AD258" i="2"/>
  <c r="AE258" i="2"/>
  <c r="AB258" i="2"/>
  <c r="AC258" i="2"/>
  <c r="Z259" i="2"/>
  <c r="U260" i="2"/>
  <c r="AA259" i="2"/>
  <c r="W259" i="2"/>
  <c r="X259" i="2"/>
  <c r="Y259" i="2"/>
  <c r="Y260" i="15"/>
  <c r="Z260" i="15"/>
  <c r="U261" i="15"/>
  <c r="W260" i="15"/>
  <c r="X260" i="15"/>
  <c r="AA260" i="15"/>
  <c r="AC259" i="15"/>
  <c r="AB259" i="15"/>
  <c r="AD259" i="15"/>
  <c r="AE259" i="15"/>
  <c r="P242" i="15"/>
  <c r="G242" i="15"/>
  <c r="D242" i="15"/>
  <c r="F242" i="15"/>
  <c r="Q242" i="15" s="1"/>
  <c r="O242" i="15"/>
  <c r="H242" i="15"/>
  <c r="E242" i="15"/>
  <c r="R242" i="15"/>
  <c r="L241" i="15"/>
  <c r="M241" i="15"/>
  <c r="K241" i="15"/>
  <c r="J241" i="15"/>
  <c r="M238" i="2"/>
  <c r="L238" i="2"/>
  <c r="G239" i="2"/>
  <c r="H239" i="2"/>
  <c r="O239" i="2"/>
  <c r="D239" i="2"/>
  <c r="F239" i="2"/>
  <c r="Q239" i="2" s="1"/>
  <c r="E239" i="2"/>
  <c r="B240" i="2"/>
  <c r="R239" i="2"/>
  <c r="P239" i="2"/>
  <c r="K238" i="2"/>
  <c r="J238" i="2"/>
  <c r="I239" i="2" l="1"/>
  <c r="N239" i="2"/>
  <c r="I242" i="15"/>
  <c r="N242" i="15"/>
  <c r="AD259" i="2"/>
  <c r="AE259" i="2"/>
  <c r="W260" i="2"/>
  <c r="Z260" i="2"/>
  <c r="AA260" i="2"/>
  <c r="Y260" i="2"/>
  <c r="X260" i="2"/>
  <c r="U261" i="2"/>
  <c r="AB259" i="2"/>
  <c r="AC259" i="2"/>
  <c r="AB260" i="15"/>
  <c r="AC260" i="15"/>
  <c r="AE260" i="15"/>
  <c r="AD260" i="15"/>
  <c r="AA261" i="15"/>
  <c r="U262" i="15"/>
  <c r="W261" i="15"/>
  <c r="X261" i="15"/>
  <c r="Z261" i="15"/>
  <c r="Y261" i="15"/>
  <c r="M242" i="15"/>
  <c r="L242" i="15"/>
  <c r="O243" i="15"/>
  <c r="F243" i="15"/>
  <c r="Q243" i="15" s="1"/>
  <c r="P243" i="15"/>
  <c r="E243" i="15"/>
  <c r="D243" i="15"/>
  <c r="R243" i="15"/>
  <c r="H243" i="15"/>
  <c r="G243" i="15"/>
  <c r="K242" i="15"/>
  <c r="J242" i="15"/>
  <c r="M239" i="2"/>
  <c r="L239" i="2"/>
  <c r="B241" i="2"/>
  <c r="G240" i="2"/>
  <c r="O240" i="2"/>
  <c r="H240" i="2"/>
  <c r="D240" i="2"/>
  <c r="E240" i="2"/>
  <c r="P240" i="2"/>
  <c r="R240" i="2"/>
  <c r="F240" i="2"/>
  <c r="Q240" i="2" s="1"/>
  <c r="J239" i="2"/>
  <c r="K239" i="2"/>
  <c r="I240" i="2" l="1"/>
  <c r="N240" i="2"/>
  <c r="I243" i="15"/>
  <c r="N243" i="15"/>
  <c r="AD260" i="2"/>
  <c r="AE260" i="2"/>
  <c r="AC260" i="2"/>
  <c r="AB260" i="2"/>
  <c r="X261" i="2"/>
  <c r="Z261" i="2"/>
  <c r="U262" i="2"/>
  <c r="AA261" i="2"/>
  <c r="W261" i="2"/>
  <c r="Y261" i="2"/>
  <c r="X262" i="15"/>
  <c r="W262" i="15"/>
  <c r="U263" i="15"/>
  <c r="Y262" i="15"/>
  <c r="Z262" i="15"/>
  <c r="AA262" i="15"/>
  <c r="AC261" i="15"/>
  <c r="AB261" i="15"/>
  <c r="AE261" i="15"/>
  <c r="AD261" i="15"/>
  <c r="K243" i="15"/>
  <c r="J243" i="15"/>
  <c r="E244" i="15"/>
  <c r="G244" i="15"/>
  <c r="P244" i="15"/>
  <c r="F244" i="15"/>
  <c r="Q244" i="15" s="1"/>
  <c r="H244" i="15"/>
  <c r="D244" i="15"/>
  <c r="O244" i="15"/>
  <c r="R244" i="15"/>
  <c r="M243" i="15"/>
  <c r="L243" i="15"/>
  <c r="O241" i="2"/>
  <c r="B242" i="2"/>
  <c r="G241" i="2"/>
  <c r="H241" i="2"/>
  <c r="D241" i="2"/>
  <c r="R241" i="2"/>
  <c r="F241" i="2"/>
  <c r="Q241" i="2" s="1"/>
  <c r="P241" i="2"/>
  <c r="E241" i="2"/>
  <c r="J240" i="2"/>
  <c r="K240" i="2"/>
  <c r="M240" i="2"/>
  <c r="L240" i="2"/>
  <c r="I241" i="2" l="1"/>
  <c r="N241" i="2"/>
  <c r="I244" i="15"/>
  <c r="N244" i="15"/>
  <c r="AE261" i="2"/>
  <c r="AD261" i="2"/>
  <c r="Z262" i="2"/>
  <c r="W262" i="2"/>
  <c r="U263" i="2"/>
  <c r="X262" i="2"/>
  <c r="Y262" i="2"/>
  <c r="AA262" i="2"/>
  <c r="AB261" i="2"/>
  <c r="AC261" i="2"/>
  <c r="AE262" i="15"/>
  <c r="AD262" i="15"/>
  <c r="AB262" i="15"/>
  <c r="AC262" i="15"/>
  <c r="W263" i="15"/>
  <c r="X263" i="15"/>
  <c r="Z263" i="15"/>
  <c r="U264" i="15"/>
  <c r="AA263" i="15"/>
  <c r="Y263" i="15"/>
  <c r="J244" i="15"/>
  <c r="K244" i="15"/>
  <c r="M244" i="15"/>
  <c r="L244" i="15"/>
  <c r="D245" i="15"/>
  <c r="R245" i="15"/>
  <c r="H245" i="15"/>
  <c r="G245" i="15"/>
  <c r="F245" i="15"/>
  <c r="Q245" i="15" s="1"/>
  <c r="E245" i="15"/>
  <c r="P245" i="15"/>
  <c r="O245" i="15"/>
  <c r="K241" i="2"/>
  <c r="J241" i="2"/>
  <c r="M241" i="2"/>
  <c r="L241" i="2"/>
  <c r="O242" i="2"/>
  <c r="G242" i="2"/>
  <c r="B243" i="2"/>
  <c r="H242" i="2"/>
  <c r="D242" i="2"/>
  <c r="F242" i="2"/>
  <c r="Q242" i="2" s="1"/>
  <c r="P242" i="2"/>
  <c r="E242" i="2"/>
  <c r="R242" i="2"/>
  <c r="I242" i="2" l="1"/>
  <c r="N242" i="2"/>
  <c r="I245" i="15"/>
  <c r="N245" i="15"/>
  <c r="AD262" i="2"/>
  <c r="AE262" i="2"/>
  <c r="Y263" i="2"/>
  <c r="Z263" i="2"/>
  <c r="U264" i="2"/>
  <c r="W263" i="2"/>
  <c r="X263" i="2"/>
  <c r="AA263" i="2"/>
  <c r="AC262" i="2"/>
  <c r="AB262" i="2"/>
  <c r="AD263" i="15"/>
  <c r="AE263" i="15"/>
  <c r="AB263" i="15"/>
  <c r="AC263" i="15"/>
  <c r="Y264" i="15"/>
  <c r="Z264" i="15"/>
  <c r="AA264" i="15"/>
  <c r="U265" i="15"/>
  <c r="X264" i="15"/>
  <c r="W264" i="15"/>
  <c r="L245" i="15"/>
  <c r="M245" i="15"/>
  <c r="J245" i="15"/>
  <c r="K245" i="15"/>
  <c r="R246" i="15"/>
  <c r="H246" i="15"/>
  <c r="E246" i="15"/>
  <c r="D246" i="15"/>
  <c r="P246" i="15"/>
  <c r="G246" i="15"/>
  <c r="O246" i="15"/>
  <c r="F246" i="15"/>
  <c r="Q246" i="15" s="1"/>
  <c r="J242" i="2"/>
  <c r="K242" i="2"/>
  <c r="O243" i="2"/>
  <c r="B244" i="2"/>
  <c r="D243" i="2"/>
  <c r="F243" i="2"/>
  <c r="Q243" i="2" s="1"/>
  <c r="G243" i="2"/>
  <c r="H243" i="2"/>
  <c r="P243" i="2"/>
  <c r="E243" i="2"/>
  <c r="R243" i="2"/>
  <c r="M242" i="2"/>
  <c r="L242" i="2"/>
  <c r="I243" i="2" l="1"/>
  <c r="N243" i="2"/>
  <c r="I246" i="15"/>
  <c r="N246" i="15"/>
  <c r="W264" i="2"/>
  <c r="X264" i="2"/>
  <c r="U265" i="2"/>
  <c r="Y264" i="2"/>
  <c r="Z264" i="2"/>
  <c r="AA264" i="2"/>
  <c r="AB263" i="2"/>
  <c r="AC263" i="2"/>
  <c r="AE263" i="2"/>
  <c r="AD263" i="2"/>
  <c r="AB264" i="15"/>
  <c r="AC264" i="15"/>
  <c r="AD264" i="15"/>
  <c r="AE264" i="15"/>
  <c r="AA265" i="15"/>
  <c r="U266" i="15"/>
  <c r="Z265" i="15"/>
  <c r="X265" i="15"/>
  <c r="Y265" i="15"/>
  <c r="W265" i="15"/>
  <c r="K246" i="15"/>
  <c r="J246" i="15"/>
  <c r="L246" i="15"/>
  <c r="M246" i="15"/>
  <c r="D247" i="15"/>
  <c r="P247" i="15"/>
  <c r="O247" i="15"/>
  <c r="F247" i="15"/>
  <c r="Q247" i="15" s="1"/>
  <c r="H247" i="15"/>
  <c r="G247" i="15"/>
  <c r="E247" i="15"/>
  <c r="R247" i="15"/>
  <c r="J243" i="2"/>
  <c r="K243" i="2"/>
  <c r="O244" i="2"/>
  <c r="H244" i="2"/>
  <c r="D244" i="2"/>
  <c r="B245" i="2"/>
  <c r="G244" i="2"/>
  <c r="F244" i="2"/>
  <c r="Q244" i="2" s="1"/>
  <c r="P244" i="2"/>
  <c r="E244" i="2"/>
  <c r="R244" i="2"/>
  <c r="M243" i="2"/>
  <c r="L243" i="2"/>
  <c r="I244" i="2" l="1"/>
  <c r="N244" i="2"/>
  <c r="I247" i="15"/>
  <c r="N247" i="15"/>
  <c r="AD264" i="2"/>
  <c r="AE264" i="2"/>
  <c r="X265" i="2"/>
  <c r="Y265" i="2"/>
  <c r="Z265" i="2"/>
  <c r="U266" i="2"/>
  <c r="W265" i="2"/>
  <c r="AA265" i="2"/>
  <c r="AC264" i="2"/>
  <c r="AB264" i="2"/>
  <c r="X266" i="15"/>
  <c r="Z266" i="15"/>
  <c r="AA266" i="15"/>
  <c r="U267" i="15"/>
  <c r="W266" i="15"/>
  <c r="Y266" i="15"/>
  <c r="AD265" i="15"/>
  <c r="AE265" i="15"/>
  <c r="AC265" i="15"/>
  <c r="AB265" i="15"/>
  <c r="J247" i="15"/>
  <c r="K247" i="15"/>
  <c r="O248" i="15"/>
  <c r="F248" i="15"/>
  <c r="Q248" i="15" s="1"/>
  <c r="R248" i="15"/>
  <c r="E248" i="15"/>
  <c r="P248" i="15"/>
  <c r="D248" i="15"/>
  <c r="G248" i="15"/>
  <c r="H248" i="15"/>
  <c r="M247" i="15"/>
  <c r="L247" i="15"/>
  <c r="B246" i="2"/>
  <c r="G245" i="2"/>
  <c r="H245" i="2"/>
  <c r="D245" i="2"/>
  <c r="F245" i="2"/>
  <c r="Q245" i="2" s="1"/>
  <c r="E245" i="2"/>
  <c r="P245" i="2"/>
  <c r="O245" i="2"/>
  <c r="R245" i="2"/>
  <c r="J244" i="2"/>
  <c r="K244" i="2"/>
  <c r="M244" i="2"/>
  <c r="L244" i="2"/>
  <c r="I245" i="2" l="1"/>
  <c r="N245" i="2"/>
  <c r="I248" i="15"/>
  <c r="N248" i="15"/>
  <c r="AB265" i="2"/>
  <c r="AC265" i="2"/>
  <c r="Z266" i="2"/>
  <c r="AA266" i="2"/>
  <c r="W266" i="2"/>
  <c r="U267" i="2"/>
  <c r="X266" i="2"/>
  <c r="Y266" i="2"/>
  <c r="AE265" i="2"/>
  <c r="AD265" i="2"/>
  <c r="AB266" i="15"/>
  <c r="AC266" i="15"/>
  <c r="W267" i="15"/>
  <c r="X267" i="15"/>
  <c r="Z267" i="15"/>
  <c r="Y267" i="15"/>
  <c r="AA267" i="15"/>
  <c r="U268" i="15"/>
  <c r="AE266" i="15"/>
  <c r="AD266" i="15"/>
  <c r="K248" i="15"/>
  <c r="J248" i="15"/>
  <c r="M248" i="15"/>
  <c r="L248" i="15"/>
  <c r="O249" i="15"/>
  <c r="F249" i="15"/>
  <c r="Q249" i="15" s="1"/>
  <c r="E249" i="15"/>
  <c r="H249" i="15"/>
  <c r="G249" i="15"/>
  <c r="R249" i="15"/>
  <c r="P249" i="15"/>
  <c r="D249" i="15"/>
  <c r="J245" i="2"/>
  <c r="K245" i="2"/>
  <c r="O246" i="2"/>
  <c r="B247" i="2"/>
  <c r="G246" i="2"/>
  <c r="F246" i="2"/>
  <c r="Q246" i="2" s="1"/>
  <c r="E246" i="2"/>
  <c r="H246" i="2"/>
  <c r="D246" i="2"/>
  <c r="R246" i="2"/>
  <c r="P246" i="2"/>
  <c r="M245" i="2"/>
  <c r="L245" i="2"/>
  <c r="I246" i="2" l="1"/>
  <c r="N246" i="2"/>
  <c r="I249" i="15"/>
  <c r="N249" i="15"/>
  <c r="X267" i="2"/>
  <c r="Y267" i="2"/>
  <c r="Z267" i="2"/>
  <c r="AA267" i="2"/>
  <c r="W267" i="2"/>
  <c r="U268" i="2"/>
  <c r="AB266" i="2"/>
  <c r="AC266" i="2"/>
  <c r="AD266" i="2"/>
  <c r="AE266" i="2"/>
  <c r="AB267" i="15"/>
  <c r="AC267" i="15"/>
  <c r="AD267" i="15"/>
  <c r="AE267" i="15"/>
  <c r="Y268" i="15"/>
  <c r="Z268" i="15"/>
  <c r="W268" i="15"/>
  <c r="AA268" i="15"/>
  <c r="X268" i="15"/>
  <c r="U269" i="15"/>
  <c r="M249" i="15"/>
  <c r="L249" i="15"/>
  <c r="K249" i="15"/>
  <c r="J249" i="15"/>
  <c r="E250" i="15"/>
  <c r="D250" i="15"/>
  <c r="P250" i="15"/>
  <c r="G250" i="15"/>
  <c r="R250" i="15"/>
  <c r="H250" i="15"/>
  <c r="O250" i="15"/>
  <c r="F250" i="15"/>
  <c r="Q250" i="15" s="1"/>
  <c r="O247" i="2"/>
  <c r="B248" i="2"/>
  <c r="G247" i="2"/>
  <c r="D247" i="2"/>
  <c r="F247" i="2"/>
  <c r="Q247" i="2" s="1"/>
  <c r="E247" i="2"/>
  <c r="P247" i="2"/>
  <c r="H247" i="2"/>
  <c r="R247" i="2"/>
  <c r="K246" i="2"/>
  <c r="J246" i="2"/>
  <c r="M246" i="2"/>
  <c r="L246" i="2"/>
  <c r="I247" i="2" l="1"/>
  <c r="N247" i="2"/>
  <c r="I250" i="15"/>
  <c r="N250" i="15"/>
  <c r="X268" i="2"/>
  <c r="U269" i="2"/>
  <c r="Y268" i="2"/>
  <c r="Z268" i="2"/>
  <c r="AA268" i="2"/>
  <c r="W268" i="2"/>
  <c r="AB267" i="2"/>
  <c r="AC267" i="2"/>
  <c r="AE267" i="2"/>
  <c r="AD267" i="2"/>
  <c r="AB268" i="15"/>
  <c r="AC268" i="15"/>
  <c r="AA269" i="15"/>
  <c r="U270" i="15"/>
  <c r="W269" i="15"/>
  <c r="X269" i="15"/>
  <c r="Y269" i="15"/>
  <c r="Z269" i="15"/>
  <c r="AE268" i="15"/>
  <c r="AD268" i="15"/>
  <c r="M250" i="15"/>
  <c r="L250" i="15"/>
  <c r="D251" i="15"/>
  <c r="O251" i="15"/>
  <c r="F251" i="15"/>
  <c r="Q251" i="15" s="1"/>
  <c r="G251" i="15"/>
  <c r="E251" i="15"/>
  <c r="R251" i="15"/>
  <c r="P251" i="15"/>
  <c r="H251" i="15"/>
  <c r="J250" i="15"/>
  <c r="K250" i="15"/>
  <c r="M247" i="2"/>
  <c r="L247" i="2"/>
  <c r="K247" i="2"/>
  <c r="J247" i="2"/>
  <c r="B249" i="2"/>
  <c r="G248" i="2"/>
  <c r="O248" i="2"/>
  <c r="H248" i="2"/>
  <c r="F248" i="2"/>
  <c r="Q248" i="2" s="1"/>
  <c r="E248" i="2"/>
  <c r="D248" i="2"/>
  <c r="P248" i="2"/>
  <c r="R248" i="2"/>
  <c r="I248" i="2" l="1"/>
  <c r="N248" i="2"/>
  <c r="I251" i="15"/>
  <c r="N251" i="15"/>
  <c r="AC268" i="2"/>
  <c r="AB268" i="2"/>
  <c r="AD268" i="2"/>
  <c r="AE268" i="2"/>
  <c r="X269" i="2"/>
  <c r="W269" i="2"/>
  <c r="Y269" i="2"/>
  <c r="U270" i="2"/>
  <c r="Z269" i="2"/>
  <c r="AA269" i="2"/>
  <c r="AC269" i="15"/>
  <c r="AB269" i="15"/>
  <c r="X270" i="15"/>
  <c r="Y270" i="15"/>
  <c r="W270" i="15"/>
  <c r="U271" i="15"/>
  <c r="Z270" i="15"/>
  <c r="AA270" i="15"/>
  <c r="AE269" i="15"/>
  <c r="AD269" i="15"/>
  <c r="E252" i="15"/>
  <c r="H252" i="15"/>
  <c r="G252" i="15"/>
  <c r="F252" i="15"/>
  <c r="Q252" i="15" s="1"/>
  <c r="D252" i="15"/>
  <c r="P252" i="15"/>
  <c r="O252" i="15"/>
  <c r="R252" i="15"/>
  <c r="L251" i="15"/>
  <c r="M251" i="15"/>
  <c r="K251" i="15"/>
  <c r="J251" i="15"/>
  <c r="M248" i="2"/>
  <c r="L248" i="2"/>
  <c r="O249" i="2"/>
  <c r="G249" i="2"/>
  <c r="H249" i="2"/>
  <c r="B250" i="2"/>
  <c r="D249" i="2"/>
  <c r="F249" i="2"/>
  <c r="Q249" i="2" s="1"/>
  <c r="E249" i="2"/>
  <c r="R249" i="2"/>
  <c r="P249" i="2"/>
  <c r="J248" i="2"/>
  <c r="K248" i="2"/>
  <c r="I249" i="2" l="1"/>
  <c r="N249" i="2"/>
  <c r="I252" i="15"/>
  <c r="N252" i="15"/>
  <c r="AB269" i="2"/>
  <c r="AC269" i="2"/>
  <c r="AE269" i="2"/>
  <c r="AD269" i="2"/>
  <c r="Z270" i="2"/>
  <c r="W270" i="2"/>
  <c r="U271" i="2"/>
  <c r="X270" i="2"/>
  <c r="Y270" i="2"/>
  <c r="AA270" i="2"/>
  <c r="AB270" i="15"/>
  <c r="AC270" i="15"/>
  <c r="W271" i="15"/>
  <c r="X271" i="15"/>
  <c r="Z271" i="15"/>
  <c r="U272" i="15"/>
  <c r="Y271" i="15"/>
  <c r="AA271" i="15"/>
  <c r="AE270" i="15"/>
  <c r="AD270" i="15"/>
  <c r="M252" i="15"/>
  <c r="L252" i="15"/>
  <c r="R253" i="15"/>
  <c r="D253" i="15"/>
  <c r="E253" i="15"/>
  <c r="P253" i="15"/>
  <c r="G253" i="15"/>
  <c r="H253" i="15"/>
  <c r="O253" i="15"/>
  <c r="F253" i="15"/>
  <c r="Q253" i="15" s="1"/>
  <c r="K252" i="15"/>
  <c r="J252" i="15"/>
  <c r="G250" i="2"/>
  <c r="B251" i="2"/>
  <c r="O250" i="2"/>
  <c r="H250" i="2"/>
  <c r="D250" i="2"/>
  <c r="F250" i="2"/>
  <c r="Q250" i="2" s="1"/>
  <c r="E250" i="2"/>
  <c r="P250" i="2"/>
  <c r="R250" i="2"/>
  <c r="M249" i="2"/>
  <c r="L249" i="2"/>
  <c r="J249" i="2"/>
  <c r="K249" i="2"/>
  <c r="I250" i="2" l="1"/>
  <c r="N250" i="2"/>
  <c r="I253" i="15"/>
  <c r="N253" i="15"/>
  <c r="W271" i="2"/>
  <c r="X271" i="2"/>
  <c r="Z271" i="2"/>
  <c r="U272" i="2"/>
  <c r="Y271" i="2"/>
  <c r="AA271" i="2"/>
  <c r="AB270" i="2"/>
  <c r="AC270" i="2"/>
  <c r="AE270" i="2"/>
  <c r="AD270" i="2"/>
  <c r="AC271" i="15"/>
  <c r="AB271" i="15"/>
  <c r="Y272" i="15"/>
  <c r="Z272" i="15"/>
  <c r="U273" i="15"/>
  <c r="W272" i="15"/>
  <c r="AA272" i="15"/>
  <c r="X272" i="15"/>
  <c r="AD271" i="15"/>
  <c r="AE271" i="15"/>
  <c r="L253" i="15"/>
  <c r="M253" i="15"/>
  <c r="J253" i="15"/>
  <c r="K253" i="15"/>
  <c r="R254" i="15"/>
  <c r="H254" i="15"/>
  <c r="P254" i="15"/>
  <c r="D254" i="15"/>
  <c r="O254" i="15"/>
  <c r="G254" i="15"/>
  <c r="F254" i="15"/>
  <c r="Q254" i="15" s="1"/>
  <c r="E254" i="15"/>
  <c r="J250" i="2"/>
  <c r="K250" i="2"/>
  <c r="M250" i="2"/>
  <c r="L250" i="2"/>
  <c r="O251" i="2"/>
  <c r="B252" i="2"/>
  <c r="G251" i="2"/>
  <c r="D251" i="2"/>
  <c r="F251" i="2"/>
  <c r="Q251" i="2" s="1"/>
  <c r="P251" i="2"/>
  <c r="E251" i="2"/>
  <c r="H251" i="2"/>
  <c r="R251" i="2"/>
  <c r="I251" i="2" l="1"/>
  <c r="N251" i="2"/>
  <c r="I254" i="15"/>
  <c r="N254" i="15"/>
  <c r="AE271" i="2"/>
  <c r="AD271" i="2"/>
  <c r="AA272" i="2"/>
  <c r="U273" i="2"/>
  <c r="W272" i="2"/>
  <c r="X272" i="2"/>
  <c r="Y272" i="2"/>
  <c r="Z272" i="2"/>
  <c r="AC271" i="2"/>
  <c r="AB271" i="2"/>
  <c r="AD272" i="15"/>
  <c r="AE272" i="15"/>
  <c r="AB272" i="15"/>
  <c r="AC272" i="15"/>
  <c r="AA273" i="15"/>
  <c r="U274" i="15"/>
  <c r="W273" i="15"/>
  <c r="Z273" i="15"/>
  <c r="Y273" i="15"/>
  <c r="X273" i="15"/>
  <c r="K254" i="15"/>
  <c r="J254" i="15"/>
  <c r="H255" i="15"/>
  <c r="P255" i="15"/>
  <c r="G255" i="15"/>
  <c r="F255" i="15"/>
  <c r="Q255" i="15" s="1"/>
  <c r="R255" i="15"/>
  <c r="O255" i="15"/>
  <c r="D255" i="15"/>
  <c r="E255" i="15"/>
  <c r="M254" i="15"/>
  <c r="L254" i="15"/>
  <c r="J251" i="2"/>
  <c r="K251" i="2"/>
  <c r="O252" i="2"/>
  <c r="B253" i="2"/>
  <c r="G252" i="2"/>
  <c r="D252" i="2"/>
  <c r="H252" i="2"/>
  <c r="P252" i="2"/>
  <c r="F252" i="2"/>
  <c r="Q252" i="2" s="1"/>
  <c r="E252" i="2"/>
  <c r="R252" i="2"/>
  <c r="L251" i="2"/>
  <c r="M251" i="2"/>
  <c r="I252" i="2" l="1"/>
  <c r="N252" i="2"/>
  <c r="I255" i="15"/>
  <c r="N255" i="15"/>
  <c r="AC272" i="2"/>
  <c r="AB272" i="2"/>
  <c r="X273" i="2"/>
  <c r="W273" i="2"/>
  <c r="AA273" i="2"/>
  <c r="U274" i="2"/>
  <c r="Y273" i="2"/>
  <c r="Z273" i="2"/>
  <c r="AD272" i="2"/>
  <c r="AE272" i="2"/>
  <c r="X274" i="15"/>
  <c r="Z274" i="15"/>
  <c r="AA274" i="15"/>
  <c r="Y274" i="15"/>
  <c r="U275" i="15"/>
  <c r="W274" i="15"/>
  <c r="AD273" i="15"/>
  <c r="AE273" i="15"/>
  <c r="AC273" i="15"/>
  <c r="AB273" i="15"/>
  <c r="P256" i="15"/>
  <c r="G256" i="15"/>
  <c r="O256" i="15"/>
  <c r="F256" i="15"/>
  <c r="Q256" i="15" s="1"/>
  <c r="R256" i="15"/>
  <c r="D256" i="15"/>
  <c r="H256" i="15"/>
  <c r="E256" i="15"/>
  <c r="L255" i="15"/>
  <c r="M255" i="15"/>
  <c r="J255" i="15"/>
  <c r="K255" i="15"/>
  <c r="B254" i="2"/>
  <c r="G253" i="2"/>
  <c r="O253" i="2"/>
  <c r="H253" i="2"/>
  <c r="D253" i="2"/>
  <c r="F253" i="2"/>
  <c r="Q253" i="2" s="1"/>
  <c r="P253" i="2"/>
  <c r="R253" i="2"/>
  <c r="E253" i="2"/>
  <c r="M252" i="2"/>
  <c r="L252" i="2"/>
  <c r="K252" i="2"/>
  <c r="J252" i="2"/>
  <c r="I253" i="2" l="1"/>
  <c r="N253" i="2"/>
  <c r="I256" i="15"/>
  <c r="N256" i="15"/>
  <c r="AB273" i="2"/>
  <c r="AC273" i="2"/>
  <c r="Z274" i="2"/>
  <c r="AA274" i="2"/>
  <c r="X274" i="2"/>
  <c r="Y274" i="2"/>
  <c r="W274" i="2"/>
  <c r="U275" i="2"/>
  <c r="AE273" i="2"/>
  <c r="AD273" i="2"/>
  <c r="W275" i="15"/>
  <c r="X275" i="15"/>
  <c r="Z275" i="15"/>
  <c r="AA275" i="15"/>
  <c r="Y275" i="15"/>
  <c r="U276" i="15"/>
  <c r="AB274" i="15"/>
  <c r="AC274" i="15"/>
  <c r="AE274" i="15"/>
  <c r="AD274" i="15"/>
  <c r="J256" i="15"/>
  <c r="K256" i="15"/>
  <c r="O257" i="15"/>
  <c r="F257" i="15"/>
  <c r="Q257" i="15" s="1"/>
  <c r="E257" i="15"/>
  <c r="H257" i="15"/>
  <c r="R257" i="15"/>
  <c r="G257" i="15"/>
  <c r="D257" i="15"/>
  <c r="P257" i="15"/>
  <c r="M256" i="15"/>
  <c r="L256" i="15"/>
  <c r="J253" i="2"/>
  <c r="K253" i="2"/>
  <c r="M253" i="2"/>
  <c r="L253" i="2"/>
  <c r="O254" i="2"/>
  <c r="B255" i="2"/>
  <c r="H254" i="2"/>
  <c r="G254" i="2"/>
  <c r="D254" i="2"/>
  <c r="F254" i="2"/>
  <c r="Q254" i="2" s="1"/>
  <c r="E254" i="2"/>
  <c r="P254" i="2"/>
  <c r="R254" i="2"/>
  <c r="I254" i="2" l="1"/>
  <c r="N254" i="2"/>
  <c r="I257" i="15"/>
  <c r="N257" i="15"/>
  <c r="AB274" i="2"/>
  <c r="AC274" i="2"/>
  <c r="AE274" i="2"/>
  <c r="AD274" i="2"/>
  <c r="W275" i="2"/>
  <c r="X275" i="2"/>
  <c r="U276" i="2"/>
  <c r="Y275" i="2"/>
  <c r="Z275" i="2"/>
  <c r="AA275" i="2"/>
  <c r="Y276" i="15"/>
  <c r="Z276" i="15"/>
  <c r="AA276" i="15"/>
  <c r="W276" i="15"/>
  <c r="X276" i="15"/>
  <c r="U277" i="15"/>
  <c r="AD275" i="15"/>
  <c r="AE275" i="15"/>
  <c r="AC275" i="15"/>
  <c r="AB275" i="15"/>
  <c r="M257" i="15"/>
  <c r="L257" i="15"/>
  <c r="K257" i="15"/>
  <c r="J257" i="15"/>
  <c r="E258" i="15"/>
  <c r="D258" i="15"/>
  <c r="P258" i="15"/>
  <c r="G258" i="15"/>
  <c r="H258" i="15"/>
  <c r="F258" i="15"/>
  <c r="Q258" i="15" s="1"/>
  <c r="R258" i="15"/>
  <c r="O258" i="15"/>
  <c r="K254" i="2"/>
  <c r="J254" i="2"/>
  <c r="M254" i="2"/>
  <c r="L254" i="2"/>
  <c r="D255" i="2"/>
  <c r="B256" i="2"/>
  <c r="G255" i="2"/>
  <c r="O255" i="2"/>
  <c r="H255" i="2"/>
  <c r="F255" i="2"/>
  <c r="Q255" i="2" s="1"/>
  <c r="E255" i="2"/>
  <c r="R255" i="2"/>
  <c r="P255" i="2"/>
  <c r="I255" i="2" l="1"/>
  <c r="N255" i="2"/>
  <c r="I258" i="15"/>
  <c r="N258" i="15"/>
  <c r="Z276" i="2"/>
  <c r="U277" i="2"/>
  <c r="AA276" i="2"/>
  <c r="W276" i="2"/>
  <c r="X276" i="2"/>
  <c r="Y276" i="2"/>
  <c r="AB275" i="2"/>
  <c r="AC275" i="2"/>
  <c r="AD275" i="2"/>
  <c r="AE275" i="2"/>
  <c r="AA277" i="15"/>
  <c r="U278" i="15"/>
  <c r="Y277" i="15"/>
  <c r="Z277" i="15"/>
  <c r="W277" i="15"/>
  <c r="X277" i="15"/>
  <c r="AB276" i="15"/>
  <c r="AC276" i="15"/>
  <c r="AD276" i="15"/>
  <c r="AE276" i="15"/>
  <c r="K258" i="15"/>
  <c r="J258" i="15"/>
  <c r="D259" i="15"/>
  <c r="O259" i="15"/>
  <c r="F259" i="15"/>
  <c r="Q259" i="15" s="1"/>
  <c r="R259" i="15"/>
  <c r="E259" i="15"/>
  <c r="H259" i="15"/>
  <c r="G259" i="15"/>
  <c r="P259" i="15"/>
  <c r="M258" i="15"/>
  <c r="L258" i="15"/>
  <c r="B257" i="2"/>
  <c r="O256" i="2"/>
  <c r="H256" i="2"/>
  <c r="G256" i="2"/>
  <c r="F256" i="2"/>
  <c r="Q256" i="2" s="1"/>
  <c r="E256" i="2"/>
  <c r="D256" i="2"/>
  <c r="R256" i="2"/>
  <c r="P256" i="2"/>
  <c r="K255" i="2"/>
  <c r="J255" i="2"/>
  <c r="M255" i="2"/>
  <c r="L255" i="2"/>
  <c r="I256" i="2" l="1"/>
  <c r="N256" i="2"/>
  <c r="I259" i="15"/>
  <c r="N259" i="15"/>
  <c r="AC276" i="2"/>
  <c r="AB276" i="2"/>
  <c r="X277" i="2"/>
  <c r="W277" i="2"/>
  <c r="U278" i="2"/>
  <c r="Y277" i="2"/>
  <c r="Z277" i="2"/>
  <c r="AA277" i="2"/>
  <c r="AD276" i="2"/>
  <c r="AE276" i="2"/>
  <c r="AC277" i="15"/>
  <c r="AB277" i="15"/>
  <c r="X278" i="15"/>
  <c r="Y278" i="15"/>
  <c r="Z278" i="15"/>
  <c r="AA278" i="15"/>
  <c r="W278" i="15"/>
  <c r="U279" i="15"/>
  <c r="AD277" i="15"/>
  <c r="AE277" i="15"/>
  <c r="E260" i="15"/>
  <c r="O260" i="15"/>
  <c r="D260" i="15"/>
  <c r="R260" i="15"/>
  <c r="P260" i="15"/>
  <c r="F260" i="15"/>
  <c r="Q260" i="15" s="1"/>
  <c r="H260" i="15"/>
  <c r="G260" i="15"/>
  <c r="K259" i="15"/>
  <c r="J259" i="15"/>
  <c r="L259" i="15"/>
  <c r="M259" i="15"/>
  <c r="K256" i="2"/>
  <c r="J256" i="2"/>
  <c r="M256" i="2"/>
  <c r="L256" i="2"/>
  <c r="O257" i="2"/>
  <c r="B258" i="2"/>
  <c r="G257" i="2"/>
  <c r="H257" i="2"/>
  <c r="D257" i="2"/>
  <c r="F257" i="2"/>
  <c r="Q257" i="2" s="1"/>
  <c r="E257" i="2"/>
  <c r="R257" i="2"/>
  <c r="P257" i="2"/>
  <c r="I257" i="2" l="1"/>
  <c r="N257" i="2"/>
  <c r="I260" i="15"/>
  <c r="N260" i="15"/>
  <c r="Z278" i="2"/>
  <c r="Y278" i="2"/>
  <c r="U279" i="2"/>
  <c r="AA278" i="2"/>
  <c r="W278" i="2"/>
  <c r="X278" i="2"/>
  <c r="AC277" i="2"/>
  <c r="AB277" i="2"/>
  <c r="AE277" i="2"/>
  <c r="AD277" i="2"/>
  <c r="AB278" i="15"/>
  <c r="AC278" i="15"/>
  <c r="AE278" i="15"/>
  <c r="AD278" i="15"/>
  <c r="W279" i="15"/>
  <c r="X279" i="15"/>
  <c r="Z279" i="15"/>
  <c r="AA279" i="15"/>
  <c r="Y279" i="15"/>
  <c r="U280" i="15"/>
  <c r="M260" i="15"/>
  <c r="L260" i="15"/>
  <c r="K260" i="15"/>
  <c r="J260" i="15"/>
  <c r="R261" i="15"/>
  <c r="D261" i="15"/>
  <c r="H261" i="15"/>
  <c r="G261" i="15"/>
  <c r="P261" i="15"/>
  <c r="E261" i="15"/>
  <c r="O261" i="15"/>
  <c r="F261" i="15"/>
  <c r="Q261" i="15" s="1"/>
  <c r="J257" i="2"/>
  <c r="K257" i="2"/>
  <c r="M257" i="2"/>
  <c r="L257" i="2"/>
  <c r="G258" i="2"/>
  <c r="O258" i="2"/>
  <c r="B259" i="2"/>
  <c r="H258" i="2"/>
  <c r="D258" i="2"/>
  <c r="E258" i="2"/>
  <c r="F258" i="2"/>
  <c r="Q258" i="2" s="1"/>
  <c r="P258" i="2"/>
  <c r="R258" i="2"/>
  <c r="I258" i="2" l="1"/>
  <c r="N258" i="2"/>
  <c r="I261" i="15"/>
  <c r="N261" i="15"/>
  <c r="AC278" i="2"/>
  <c r="AB278" i="2"/>
  <c r="AD278" i="2"/>
  <c r="AE278" i="2"/>
  <c r="AA279" i="2"/>
  <c r="X279" i="2"/>
  <c r="W279" i="2"/>
  <c r="U280" i="2"/>
  <c r="Y279" i="2"/>
  <c r="Z279" i="2"/>
  <c r="AC279" i="15"/>
  <c r="AB279" i="15"/>
  <c r="AD279" i="15"/>
  <c r="AE279" i="15"/>
  <c r="Y280" i="15"/>
  <c r="Z280" i="15"/>
  <c r="U281" i="15"/>
  <c r="W280" i="15"/>
  <c r="X280" i="15"/>
  <c r="AA280" i="15"/>
  <c r="L261" i="15"/>
  <c r="M261" i="15"/>
  <c r="J261" i="15"/>
  <c r="K261" i="15"/>
  <c r="R262" i="15"/>
  <c r="H262" i="15"/>
  <c r="E262" i="15"/>
  <c r="P262" i="15"/>
  <c r="D262" i="15"/>
  <c r="G262" i="15"/>
  <c r="F262" i="15"/>
  <c r="Q262" i="15" s="1"/>
  <c r="O262" i="15"/>
  <c r="M258" i="2"/>
  <c r="L258" i="2"/>
  <c r="J258" i="2"/>
  <c r="K258" i="2"/>
  <c r="O259" i="2"/>
  <c r="B260" i="2"/>
  <c r="G259" i="2"/>
  <c r="D259" i="2"/>
  <c r="F259" i="2"/>
  <c r="Q259" i="2" s="1"/>
  <c r="H259" i="2"/>
  <c r="P259" i="2"/>
  <c r="E259" i="2"/>
  <c r="R259" i="2"/>
  <c r="I259" i="2" l="1"/>
  <c r="N259" i="2"/>
  <c r="I262" i="15"/>
  <c r="N262" i="15"/>
  <c r="AC279" i="2"/>
  <c r="AB279" i="2"/>
  <c r="AD279" i="2"/>
  <c r="AE279" i="2"/>
  <c r="Y280" i="2"/>
  <c r="Z280" i="2"/>
  <c r="U281" i="2"/>
  <c r="AA280" i="2"/>
  <c r="W280" i="2"/>
  <c r="X280" i="2"/>
  <c r="AD280" i="15"/>
  <c r="AE280" i="15"/>
  <c r="AA281" i="15"/>
  <c r="U282" i="15"/>
  <c r="X281" i="15"/>
  <c r="W281" i="15"/>
  <c r="Y281" i="15"/>
  <c r="Z281" i="15"/>
  <c r="AB280" i="15"/>
  <c r="AC280" i="15"/>
  <c r="H263" i="15"/>
  <c r="P263" i="15"/>
  <c r="G263" i="15"/>
  <c r="R263" i="15"/>
  <c r="D263" i="15"/>
  <c r="F263" i="15"/>
  <c r="Q263" i="15" s="1"/>
  <c r="E263" i="15"/>
  <c r="O263" i="15"/>
  <c r="L262" i="15"/>
  <c r="M262" i="15"/>
  <c r="K262" i="15"/>
  <c r="J262" i="15"/>
  <c r="J259" i="2"/>
  <c r="K259" i="2"/>
  <c r="O260" i="2"/>
  <c r="G260" i="2"/>
  <c r="B261" i="2"/>
  <c r="D260" i="2"/>
  <c r="P260" i="2"/>
  <c r="F260" i="2"/>
  <c r="Q260" i="2" s="1"/>
  <c r="E260" i="2"/>
  <c r="R260" i="2"/>
  <c r="H260" i="2"/>
  <c r="M259" i="2"/>
  <c r="L259" i="2"/>
  <c r="I260" i="2" l="1"/>
  <c r="N260" i="2"/>
  <c r="I263" i="15"/>
  <c r="N263" i="15"/>
  <c r="AD280" i="2"/>
  <c r="AE280" i="2"/>
  <c r="X281" i="2"/>
  <c r="Y281" i="2"/>
  <c r="Z281" i="2"/>
  <c r="AA281" i="2"/>
  <c r="W281" i="2"/>
  <c r="U282" i="2"/>
  <c r="AC280" i="2"/>
  <c r="AB280" i="2"/>
  <c r="AC281" i="15"/>
  <c r="AB281" i="15"/>
  <c r="X282" i="15"/>
  <c r="U283" i="15"/>
  <c r="W282" i="15"/>
  <c r="Y282" i="15"/>
  <c r="AA282" i="15"/>
  <c r="Z282" i="15"/>
  <c r="AD281" i="15"/>
  <c r="AE281" i="15"/>
  <c r="P264" i="15"/>
  <c r="G264" i="15"/>
  <c r="O264" i="15"/>
  <c r="F264" i="15"/>
  <c r="Q264" i="15" s="1"/>
  <c r="R264" i="15"/>
  <c r="H264" i="15"/>
  <c r="E264" i="15"/>
  <c r="D264" i="15"/>
  <c r="J263" i="15"/>
  <c r="K263" i="15"/>
  <c r="M263" i="15"/>
  <c r="L263" i="15"/>
  <c r="K260" i="2"/>
  <c r="J260" i="2"/>
  <c r="B262" i="2"/>
  <c r="G261" i="2"/>
  <c r="H261" i="2"/>
  <c r="O261" i="2"/>
  <c r="P261" i="2"/>
  <c r="E261" i="2"/>
  <c r="D261" i="2"/>
  <c r="F261" i="2"/>
  <c r="Q261" i="2" s="1"/>
  <c r="R261" i="2"/>
  <c r="M260" i="2"/>
  <c r="L260" i="2"/>
  <c r="I261" i="2" l="1"/>
  <c r="N261" i="2"/>
  <c r="I264" i="15"/>
  <c r="N264" i="15"/>
  <c r="AB281" i="2"/>
  <c r="AC281" i="2"/>
  <c r="AE281" i="2"/>
  <c r="AD281" i="2"/>
  <c r="Z282" i="2"/>
  <c r="X282" i="2"/>
  <c r="Y282" i="2"/>
  <c r="U283" i="2"/>
  <c r="W282" i="2"/>
  <c r="AA282" i="2"/>
  <c r="AB282" i="15"/>
  <c r="AC282" i="15"/>
  <c r="AE282" i="15"/>
  <c r="AD282" i="15"/>
  <c r="W283" i="15"/>
  <c r="X283" i="15"/>
  <c r="Z283" i="15"/>
  <c r="AA283" i="15"/>
  <c r="U284" i="15"/>
  <c r="Y283" i="15"/>
  <c r="J264" i="15"/>
  <c r="K264" i="15"/>
  <c r="L264" i="15"/>
  <c r="M264" i="15"/>
  <c r="O265" i="15"/>
  <c r="F265" i="15"/>
  <c r="Q265" i="15" s="1"/>
  <c r="E265" i="15"/>
  <c r="H265" i="15"/>
  <c r="D265" i="15"/>
  <c r="R265" i="15"/>
  <c r="P265" i="15"/>
  <c r="G265" i="15"/>
  <c r="M261" i="2"/>
  <c r="L261" i="2"/>
  <c r="O262" i="2"/>
  <c r="B263" i="2"/>
  <c r="H262" i="2"/>
  <c r="D262" i="2"/>
  <c r="E262" i="2"/>
  <c r="F262" i="2"/>
  <c r="Q262" i="2" s="1"/>
  <c r="G262" i="2"/>
  <c r="P262" i="2"/>
  <c r="R262" i="2"/>
  <c r="K261" i="2"/>
  <c r="J261" i="2"/>
  <c r="I262" i="2" l="1"/>
  <c r="N262" i="2"/>
  <c r="I265" i="15"/>
  <c r="N265" i="15"/>
  <c r="AD282" i="2"/>
  <c r="AE282" i="2"/>
  <c r="AC282" i="2"/>
  <c r="AB282" i="2"/>
  <c r="W283" i="2"/>
  <c r="X283" i="2"/>
  <c r="U284" i="2"/>
  <c r="Y283" i="2"/>
  <c r="Z283" i="2"/>
  <c r="AA283" i="2"/>
  <c r="AC283" i="15"/>
  <c r="AB283" i="15"/>
  <c r="Y284" i="15"/>
  <c r="Z284" i="15"/>
  <c r="U285" i="15"/>
  <c r="W284" i="15"/>
  <c r="X284" i="15"/>
  <c r="AA284" i="15"/>
  <c r="AD283" i="15"/>
  <c r="AE283" i="15"/>
  <c r="M265" i="15"/>
  <c r="L265" i="15"/>
  <c r="E266" i="15"/>
  <c r="D266" i="15"/>
  <c r="P266" i="15"/>
  <c r="G266" i="15"/>
  <c r="O266" i="15"/>
  <c r="R266" i="15"/>
  <c r="H266" i="15"/>
  <c r="F266" i="15"/>
  <c r="Q266" i="15" s="1"/>
  <c r="K265" i="15"/>
  <c r="J265" i="15"/>
  <c r="J262" i="2"/>
  <c r="K262" i="2"/>
  <c r="M262" i="2"/>
  <c r="L262" i="2"/>
  <c r="O263" i="2"/>
  <c r="B264" i="2"/>
  <c r="H263" i="2"/>
  <c r="D263" i="2"/>
  <c r="F263" i="2"/>
  <c r="Q263" i="2" s="1"/>
  <c r="G263" i="2"/>
  <c r="E263" i="2"/>
  <c r="P263" i="2"/>
  <c r="R263" i="2"/>
  <c r="I263" i="2" l="1"/>
  <c r="N263" i="2"/>
  <c r="I266" i="15"/>
  <c r="N266" i="15"/>
  <c r="X284" i="2"/>
  <c r="Y284" i="2"/>
  <c r="U285" i="2"/>
  <c r="W284" i="2"/>
  <c r="Z284" i="2"/>
  <c r="AA284" i="2"/>
  <c r="AB283" i="2"/>
  <c r="AC283" i="2"/>
  <c r="AD283" i="2"/>
  <c r="AE283" i="2"/>
  <c r="AC284" i="15"/>
  <c r="AB284" i="15"/>
  <c r="AA285" i="15"/>
  <c r="U286" i="15"/>
  <c r="W285" i="15"/>
  <c r="X285" i="15"/>
  <c r="Y285" i="15"/>
  <c r="Z285" i="15"/>
  <c r="AD284" i="15"/>
  <c r="AE284" i="15"/>
  <c r="K266" i="15"/>
  <c r="J266" i="15"/>
  <c r="D267" i="15"/>
  <c r="O267" i="15"/>
  <c r="F267" i="15"/>
  <c r="Q267" i="15" s="1"/>
  <c r="H267" i="15"/>
  <c r="R267" i="15"/>
  <c r="E267" i="15"/>
  <c r="G267" i="15"/>
  <c r="P267" i="15"/>
  <c r="M266" i="15"/>
  <c r="L266" i="15"/>
  <c r="J263" i="2"/>
  <c r="K263" i="2"/>
  <c r="M263" i="2"/>
  <c r="L263" i="2"/>
  <c r="B265" i="2"/>
  <c r="G264" i="2"/>
  <c r="H264" i="2"/>
  <c r="O264" i="2"/>
  <c r="F264" i="2"/>
  <c r="Q264" i="2" s="1"/>
  <c r="E264" i="2"/>
  <c r="R264" i="2"/>
  <c r="P264" i="2"/>
  <c r="D264" i="2"/>
  <c r="I264" i="2" l="1"/>
  <c r="N264" i="2"/>
  <c r="I267" i="15"/>
  <c r="N267" i="15"/>
  <c r="AD284" i="2"/>
  <c r="AE284" i="2"/>
  <c r="AC284" i="2"/>
  <c r="AB284" i="2"/>
  <c r="X285" i="2"/>
  <c r="W285" i="2"/>
  <c r="U286" i="2"/>
  <c r="Y285" i="2"/>
  <c r="Z285" i="2"/>
  <c r="AA285" i="2"/>
  <c r="AD285" i="15"/>
  <c r="AE285" i="15"/>
  <c r="AC285" i="15"/>
  <c r="AB285" i="15"/>
  <c r="X286" i="15"/>
  <c r="AA286" i="15"/>
  <c r="Z286" i="15"/>
  <c r="Y286" i="15"/>
  <c r="U287" i="15"/>
  <c r="W286" i="15"/>
  <c r="L267" i="15"/>
  <c r="M267" i="15"/>
  <c r="O268" i="15"/>
  <c r="E268" i="15"/>
  <c r="F268" i="15"/>
  <c r="Q268" i="15" s="1"/>
  <c r="R268" i="15"/>
  <c r="D268" i="15"/>
  <c r="H268" i="15"/>
  <c r="P268" i="15"/>
  <c r="G268" i="15"/>
  <c r="K267" i="15"/>
  <c r="J267" i="15"/>
  <c r="M264" i="2"/>
  <c r="L264" i="2"/>
  <c r="K264" i="2"/>
  <c r="J264" i="2"/>
  <c r="O265" i="2"/>
  <c r="H265" i="2"/>
  <c r="G265" i="2"/>
  <c r="D265" i="2"/>
  <c r="F265" i="2"/>
  <c r="Q265" i="2" s="1"/>
  <c r="B266" i="2"/>
  <c r="E265" i="2"/>
  <c r="R265" i="2"/>
  <c r="P265" i="2"/>
  <c r="I265" i="2" l="1"/>
  <c r="N265" i="2"/>
  <c r="I268" i="15"/>
  <c r="N268" i="15"/>
  <c r="Z286" i="2"/>
  <c r="W286" i="2"/>
  <c r="X286" i="2"/>
  <c r="U287" i="2"/>
  <c r="AA286" i="2"/>
  <c r="Y286" i="2"/>
  <c r="AB285" i="2"/>
  <c r="AC285" i="2"/>
  <c r="AE285" i="2"/>
  <c r="AD285" i="2"/>
  <c r="AE286" i="15"/>
  <c r="AD286" i="15"/>
  <c r="AB286" i="15"/>
  <c r="AC286" i="15"/>
  <c r="W287" i="15"/>
  <c r="X287" i="15"/>
  <c r="Z287" i="15"/>
  <c r="AA287" i="15"/>
  <c r="U288" i="15"/>
  <c r="Y287" i="15"/>
  <c r="M268" i="15"/>
  <c r="L268" i="15"/>
  <c r="K268" i="15"/>
  <c r="J268" i="15"/>
  <c r="E269" i="15"/>
  <c r="P269" i="15"/>
  <c r="F269" i="15"/>
  <c r="Q269" i="15" s="1"/>
  <c r="R269" i="15"/>
  <c r="G269" i="15"/>
  <c r="H269" i="15"/>
  <c r="D269" i="15"/>
  <c r="O269" i="15"/>
  <c r="K265" i="2"/>
  <c r="J265" i="2"/>
  <c r="L265" i="2"/>
  <c r="M265" i="2"/>
  <c r="B267" i="2"/>
  <c r="G266" i="2"/>
  <c r="D266" i="2"/>
  <c r="F266" i="2"/>
  <c r="Q266" i="2" s="1"/>
  <c r="H266" i="2"/>
  <c r="E266" i="2"/>
  <c r="R266" i="2"/>
  <c r="O266" i="2"/>
  <c r="P266" i="2"/>
  <c r="I266" i="2" l="1"/>
  <c r="N266" i="2"/>
  <c r="I269" i="15"/>
  <c r="N269" i="15"/>
  <c r="AE286" i="2"/>
  <c r="AD286" i="2"/>
  <c r="AA287" i="2"/>
  <c r="Y287" i="2"/>
  <c r="Z287" i="2"/>
  <c r="X287" i="2"/>
  <c r="U288" i="2"/>
  <c r="W287" i="2"/>
  <c r="AB286" i="2"/>
  <c r="AC286" i="2"/>
  <c r="AD287" i="15"/>
  <c r="AE287" i="15"/>
  <c r="AC287" i="15"/>
  <c r="AB287" i="15"/>
  <c r="Y288" i="15"/>
  <c r="Z288" i="15"/>
  <c r="X288" i="15"/>
  <c r="AA288" i="15"/>
  <c r="W288" i="15"/>
  <c r="U289" i="15"/>
  <c r="K269" i="15"/>
  <c r="J269" i="15"/>
  <c r="M269" i="15"/>
  <c r="L269" i="15"/>
  <c r="D270" i="15"/>
  <c r="O270" i="15"/>
  <c r="E270" i="15"/>
  <c r="G270" i="15"/>
  <c r="P270" i="15"/>
  <c r="R270" i="15"/>
  <c r="H270" i="15"/>
  <c r="F270" i="15"/>
  <c r="Q270" i="15" s="1"/>
  <c r="J266" i="2"/>
  <c r="K266" i="2"/>
  <c r="M266" i="2"/>
  <c r="L266" i="2"/>
  <c r="O267" i="2"/>
  <c r="B268" i="2"/>
  <c r="G267" i="2"/>
  <c r="H267" i="2"/>
  <c r="D267" i="2"/>
  <c r="F267" i="2"/>
  <c r="Q267" i="2" s="1"/>
  <c r="E267" i="2"/>
  <c r="R267" i="2"/>
  <c r="P267" i="2"/>
  <c r="I267" i="2" l="1"/>
  <c r="N267" i="2"/>
  <c r="I270" i="15"/>
  <c r="N270" i="15"/>
  <c r="W288" i="2"/>
  <c r="X288" i="2"/>
  <c r="Y288" i="2"/>
  <c r="Z288" i="2"/>
  <c r="AA288" i="2"/>
  <c r="U289" i="2"/>
  <c r="AD287" i="2"/>
  <c r="AE287" i="2"/>
  <c r="AB287" i="2"/>
  <c r="AC287" i="2"/>
  <c r="AA289" i="15"/>
  <c r="U290" i="15"/>
  <c r="X289" i="15"/>
  <c r="Y289" i="15"/>
  <c r="Z289" i="15"/>
  <c r="W289" i="15"/>
  <c r="AC288" i="15"/>
  <c r="AB288" i="15"/>
  <c r="AD288" i="15"/>
  <c r="AE288" i="15"/>
  <c r="K270" i="15"/>
  <c r="J270" i="15"/>
  <c r="L270" i="15"/>
  <c r="M270" i="15"/>
  <c r="P271" i="15"/>
  <c r="F271" i="15"/>
  <c r="Q271" i="15" s="1"/>
  <c r="O271" i="15"/>
  <c r="E271" i="15"/>
  <c r="R271" i="15"/>
  <c r="H271" i="15"/>
  <c r="D271" i="15"/>
  <c r="G271" i="15"/>
  <c r="J267" i="2"/>
  <c r="K267" i="2"/>
  <c r="M267" i="2"/>
  <c r="L267" i="2"/>
  <c r="O268" i="2"/>
  <c r="B269" i="2"/>
  <c r="G268" i="2"/>
  <c r="D268" i="2"/>
  <c r="H268" i="2"/>
  <c r="F268" i="2"/>
  <c r="Q268" i="2" s="1"/>
  <c r="P268" i="2"/>
  <c r="E268" i="2"/>
  <c r="R268" i="2"/>
  <c r="I268" i="2" l="1"/>
  <c r="N268" i="2"/>
  <c r="I271" i="15"/>
  <c r="N271" i="15"/>
  <c r="X289" i="2"/>
  <c r="AA289" i="2"/>
  <c r="W289" i="2"/>
  <c r="U290" i="2"/>
  <c r="Y289" i="2"/>
  <c r="Z289" i="2"/>
  <c r="AE288" i="2"/>
  <c r="AD288" i="2"/>
  <c r="AC288" i="2"/>
  <c r="AB288" i="2"/>
  <c r="AC289" i="15"/>
  <c r="AB289" i="15"/>
  <c r="X290" i="15"/>
  <c r="W290" i="15"/>
  <c r="U291" i="15"/>
  <c r="Y290" i="15"/>
  <c r="AA290" i="15"/>
  <c r="Z290" i="15"/>
  <c r="AD289" i="15"/>
  <c r="AE289" i="15"/>
  <c r="K271" i="15"/>
  <c r="J271" i="15"/>
  <c r="L271" i="15"/>
  <c r="M271" i="15"/>
  <c r="G272" i="15"/>
  <c r="P272" i="15"/>
  <c r="F272" i="15"/>
  <c r="Q272" i="15" s="1"/>
  <c r="H272" i="15"/>
  <c r="D272" i="15"/>
  <c r="O272" i="15"/>
  <c r="E272" i="15"/>
  <c r="R272" i="15"/>
  <c r="B270" i="2"/>
  <c r="G269" i="2"/>
  <c r="O269" i="2"/>
  <c r="H269" i="2"/>
  <c r="D269" i="2"/>
  <c r="F269" i="2"/>
  <c r="Q269" i="2" s="1"/>
  <c r="E269" i="2"/>
  <c r="P269" i="2"/>
  <c r="R269" i="2"/>
  <c r="M268" i="2"/>
  <c r="L268" i="2"/>
  <c r="J268" i="2"/>
  <c r="K268" i="2"/>
  <c r="I269" i="2" l="1"/>
  <c r="N269" i="2"/>
  <c r="I272" i="15"/>
  <c r="N272" i="15"/>
  <c r="Z290" i="2"/>
  <c r="W290" i="2"/>
  <c r="U291" i="2"/>
  <c r="X290" i="2"/>
  <c r="Y290" i="2"/>
  <c r="AA290" i="2"/>
  <c r="AB289" i="2"/>
  <c r="AC289" i="2"/>
  <c r="AE289" i="2"/>
  <c r="AD289" i="2"/>
  <c r="AE290" i="15"/>
  <c r="AD290" i="15"/>
  <c r="W291" i="15"/>
  <c r="X291" i="15"/>
  <c r="Z291" i="15"/>
  <c r="U292" i="15"/>
  <c r="AA291" i="15"/>
  <c r="Y291" i="15"/>
  <c r="AB290" i="15"/>
  <c r="AC290" i="15"/>
  <c r="M272" i="15"/>
  <c r="L272" i="15"/>
  <c r="R273" i="15"/>
  <c r="H273" i="15"/>
  <c r="G273" i="15"/>
  <c r="F273" i="15"/>
  <c r="Q273" i="15" s="1"/>
  <c r="E273" i="15"/>
  <c r="D273" i="15"/>
  <c r="P273" i="15"/>
  <c r="O273" i="15"/>
  <c r="J272" i="15"/>
  <c r="K272" i="15"/>
  <c r="J269" i="2"/>
  <c r="K269" i="2"/>
  <c r="M269" i="2"/>
  <c r="L269" i="2"/>
  <c r="O270" i="2"/>
  <c r="B271" i="2"/>
  <c r="G270" i="2"/>
  <c r="H270" i="2"/>
  <c r="E270" i="2"/>
  <c r="D270" i="2"/>
  <c r="F270" i="2"/>
  <c r="Q270" i="2" s="1"/>
  <c r="P270" i="2"/>
  <c r="R270" i="2"/>
  <c r="I270" i="2" l="1"/>
  <c r="N270" i="2"/>
  <c r="I273" i="15"/>
  <c r="N273" i="15"/>
  <c r="AB290" i="2"/>
  <c r="AC290" i="2"/>
  <c r="AD290" i="2"/>
  <c r="AE290" i="2"/>
  <c r="Z291" i="2"/>
  <c r="U292" i="2"/>
  <c r="AA291" i="2"/>
  <c r="W291" i="2"/>
  <c r="X291" i="2"/>
  <c r="Y291" i="2"/>
  <c r="AD291" i="15"/>
  <c r="AE291" i="15"/>
  <c r="Y292" i="15"/>
  <c r="Z292" i="15"/>
  <c r="U293" i="15"/>
  <c r="X292" i="15"/>
  <c r="AA292" i="15"/>
  <c r="W292" i="15"/>
  <c r="AC291" i="15"/>
  <c r="AB291" i="15"/>
  <c r="K273" i="15"/>
  <c r="J273" i="15"/>
  <c r="L273" i="15"/>
  <c r="M273" i="15"/>
  <c r="H274" i="15"/>
  <c r="E274" i="15"/>
  <c r="R274" i="15"/>
  <c r="D274" i="15"/>
  <c r="G274" i="15"/>
  <c r="P274" i="15"/>
  <c r="O274" i="15"/>
  <c r="F274" i="15"/>
  <c r="Q274" i="15" s="1"/>
  <c r="H271" i="2"/>
  <c r="O271" i="2"/>
  <c r="G271" i="2"/>
  <c r="D271" i="2"/>
  <c r="B272" i="2"/>
  <c r="P271" i="2"/>
  <c r="F271" i="2"/>
  <c r="Q271" i="2" s="1"/>
  <c r="E271" i="2"/>
  <c r="R271" i="2"/>
  <c r="J270" i="2"/>
  <c r="K270" i="2"/>
  <c r="M270" i="2"/>
  <c r="L270" i="2"/>
  <c r="I271" i="2" l="1"/>
  <c r="N271" i="2"/>
  <c r="I274" i="15"/>
  <c r="N274" i="15"/>
  <c r="AD291" i="2"/>
  <c r="AE291" i="2"/>
  <c r="W292" i="2"/>
  <c r="X292" i="2"/>
  <c r="U293" i="2"/>
  <c r="Y292" i="2"/>
  <c r="AA292" i="2"/>
  <c r="Z292" i="2"/>
  <c r="AB291" i="2"/>
  <c r="AC291" i="2"/>
  <c r="AE292" i="15"/>
  <c r="AD292" i="15"/>
  <c r="AA293" i="15"/>
  <c r="U294" i="15"/>
  <c r="X293" i="15"/>
  <c r="W293" i="15"/>
  <c r="Z293" i="15"/>
  <c r="Y293" i="15"/>
  <c r="AB292" i="15"/>
  <c r="AC292" i="15"/>
  <c r="P275" i="15"/>
  <c r="G275" i="15"/>
  <c r="D275" i="15"/>
  <c r="R275" i="15"/>
  <c r="F275" i="15"/>
  <c r="Q275" i="15" s="1"/>
  <c r="H275" i="15"/>
  <c r="O275" i="15"/>
  <c r="E275" i="15"/>
  <c r="L274" i="15"/>
  <c r="M274" i="15"/>
  <c r="J274" i="15"/>
  <c r="K274" i="15"/>
  <c r="M271" i="2"/>
  <c r="L271" i="2"/>
  <c r="J271" i="2"/>
  <c r="K271" i="2"/>
  <c r="B273" i="2"/>
  <c r="O272" i="2"/>
  <c r="H272" i="2"/>
  <c r="D272" i="2"/>
  <c r="F272" i="2"/>
  <c r="Q272" i="2" s="1"/>
  <c r="G272" i="2"/>
  <c r="P272" i="2"/>
  <c r="E272" i="2"/>
  <c r="R272" i="2"/>
  <c r="I272" i="2" l="1"/>
  <c r="N272" i="2"/>
  <c r="I275" i="15"/>
  <c r="N275" i="15"/>
  <c r="AC292" i="2"/>
  <c r="AB292" i="2"/>
  <c r="AD292" i="2"/>
  <c r="AE292" i="2"/>
  <c r="X293" i="2"/>
  <c r="Z293" i="2"/>
  <c r="U294" i="2"/>
  <c r="AA293" i="2"/>
  <c r="W293" i="2"/>
  <c r="Y293" i="2"/>
  <c r="AC293" i="15"/>
  <c r="AB293" i="15"/>
  <c r="X294" i="15"/>
  <c r="W294" i="15"/>
  <c r="U295" i="15"/>
  <c r="Z294" i="15"/>
  <c r="AA294" i="15"/>
  <c r="Y294" i="15"/>
  <c r="AE293" i="15"/>
  <c r="AD293" i="15"/>
  <c r="M275" i="15"/>
  <c r="L275" i="15"/>
  <c r="K275" i="15"/>
  <c r="J275" i="15"/>
  <c r="O276" i="15"/>
  <c r="F276" i="15"/>
  <c r="Q276" i="15" s="1"/>
  <c r="P276" i="15"/>
  <c r="E276" i="15"/>
  <c r="D276" i="15"/>
  <c r="H276" i="15"/>
  <c r="G276" i="15"/>
  <c r="R276" i="15"/>
  <c r="J272" i="2"/>
  <c r="K272" i="2"/>
  <c r="M272" i="2"/>
  <c r="L272" i="2"/>
  <c r="O273" i="2"/>
  <c r="B274" i="2"/>
  <c r="H273" i="2"/>
  <c r="G273" i="2"/>
  <c r="D273" i="2"/>
  <c r="F273" i="2"/>
  <c r="Q273" i="2" s="1"/>
  <c r="E273" i="2"/>
  <c r="R273" i="2"/>
  <c r="P273" i="2"/>
  <c r="I273" i="2" l="1"/>
  <c r="N273" i="2"/>
  <c r="I276" i="15"/>
  <c r="N276" i="15"/>
  <c r="AE293" i="2"/>
  <c r="AD293" i="2"/>
  <c r="Z294" i="2"/>
  <c r="Y294" i="2"/>
  <c r="AA294" i="2"/>
  <c r="X294" i="2"/>
  <c r="U295" i="2"/>
  <c r="W294" i="2"/>
  <c r="AB293" i="2"/>
  <c r="AC293" i="2"/>
  <c r="AE294" i="15"/>
  <c r="AD294" i="15"/>
  <c r="W295" i="15"/>
  <c r="X295" i="15"/>
  <c r="Z295" i="15"/>
  <c r="U296" i="15"/>
  <c r="Y295" i="15"/>
  <c r="AA295" i="15"/>
  <c r="AB294" i="15"/>
  <c r="AC294" i="15"/>
  <c r="E277" i="15"/>
  <c r="O277" i="15"/>
  <c r="D277" i="15"/>
  <c r="G277" i="15"/>
  <c r="R277" i="15"/>
  <c r="P277" i="15"/>
  <c r="H277" i="15"/>
  <c r="F277" i="15"/>
  <c r="Q277" i="15" s="1"/>
  <c r="L276" i="15"/>
  <c r="M276" i="15"/>
  <c r="K276" i="15"/>
  <c r="J276" i="15"/>
  <c r="J273" i="2"/>
  <c r="K273" i="2"/>
  <c r="L273" i="2"/>
  <c r="M273" i="2"/>
  <c r="O274" i="2"/>
  <c r="F274" i="2"/>
  <c r="Q274" i="2" s="1"/>
  <c r="H274" i="2"/>
  <c r="D274" i="2"/>
  <c r="B275" i="2"/>
  <c r="E274" i="2"/>
  <c r="G274" i="2"/>
  <c r="R274" i="2"/>
  <c r="P274" i="2"/>
  <c r="I274" i="2" l="1"/>
  <c r="N274" i="2"/>
  <c r="I277" i="15"/>
  <c r="N277" i="15"/>
  <c r="Y295" i="2"/>
  <c r="Z295" i="2"/>
  <c r="U296" i="2"/>
  <c r="W295" i="2"/>
  <c r="X295" i="2"/>
  <c r="AA295" i="2"/>
  <c r="AD294" i="2"/>
  <c r="AE294" i="2"/>
  <c r="AC294" i="2"/>
  <c r="AB294" i="2"/>
  <c r="Y296" i="15"/>
  <c r="Z296" i="15"/>
  <c r="U297" i="15"/>
  <c r="AA296" i="15"/>
  <c r="X296" i="15"/>
  <c r="W296" i="15"/>
  <c r="AD295" i="15"/>
  <c r="AE295" i="15"/>
  <c r="AB295" i="15"/>
  <c r="AC295" i="15"/>
  <c r="D278" i="15"/>
  <c r="P278" i="15"/>
  <c r="F278" i="15"/>
  <c r="Q278" i="15" s="1"/>
  <c r="O278" i="15"/>
  <c r="E278" i="15"/>
  <c r="R278" i="15"/>
  <c r="H278" i="15"/>
  <c r="G278" i="15"/>
  <c r="K277" i="15"/>
  <c r="J277" i="15"/>
  <c r="M277" i="15"/>
  <c r="L277" i="15"/>
  <c r="O275" i="2"/>
  <c r="B276" i="2"/>
  <c r="G275" i="2"/>
  <c r="D275" i="2"/>
  <c r="F275" i="2"/>
  <c r="Q275" i="2" s="1"/>
  <c r="H275" i="2"/>
  <c r="E275" i="2"/>
  <c r="R275" i="2"/>
  <c r="P275" i="2"/>
  <c r="K274" i="2"/>
  <c r="J274" i="2"/>
  <c r="L274" i="2"/>
  <c r="M274" i="2"/>
  <c r="I275" i="2" l="1"/>
  <c r="N275" i="2"/>
  <c r="I278" i="15"/>
  <c r="N278" i="15"/>
  <c r="AE295" i="2"/>
  <c r="AD295" i="2"/>
  <c r="AB295" i="2"/>
  <c r="AC295" i="2"/>
  <c r="W296" i="2"/>
  <c r="X296" i="2"/>
  <c r="U297" i="2"/>
  <c r="Y296" i="2"/>
  <c r="Z296" i="2"/>
  <c r="AA296" i="2"/>
  <c r="AE296" i="15"/>
  <c r="AD296" i="15"/>
  <c r="AB296" i="15"/>
  <c r="AC296" i="15"/>
  <c r="AA297" i="15"/>
  <c r="U298" i="15"/>
  <c r="Z297" i="15"/>
  <c r="W297" i="15"/>
  <c r="X297" i="15"/>
  <c r="Y297" i="15"/>
  <c r="G279" i="15"/>
  <c r="P279" i="15"/>
  <c r="F279" i="15"/>
  <c r="Q279" i="15" s="1"/>
  <c r="H279" i="15"/>
  <c r="E279" i="15"/>
  <c r="R279" i="15"/>
  <c r="O279" i="15"/>
  <c r="D279" i="15"/>
  <c r="L278" i="15"/>
  <c r="M278" i="15"/>
  <c r="J278" i="15"/>
  <c r="K278" i="15"/>
  <c r="M275" i="2"/>
  <c r="L275" i="2"/>
  <c r="K275" i="2"/>
  <c r="J275" i="2"/>
  <c r="O276" i="2"/>
  <c r="G276" i="2"/>
  <c r="H276" i="2"/>
  <c r="D276" i="2"/>
  <c r="B277" i="2"/>
  <c r="F276" i="2"/>
  <c r="Q276" i="2" s="1"/>
  <c r="P276" i="2"/>
  <c r="E276" i="2"/>
  <c r="R276" i="2"/>
  <c r="I276" i="2" l="1"/>
  <c r="N276" i="2"/>
  <c r="I279" i="15"/>
  <c r="N279" i="15"/>
  <c r="AC296" i="2"/>
  <c r="AB296" i="2"/>
  <c r="X297" i="2"/>
  <c r="Y297" i="2"/>
  <c r="Z297" i="2"/>
  <c r="U298" i="2"/>
  <c r="W297" i="2"/>
  <c r="AA297" i="2"/>
  <c r="AD296" i="2"/>
  <c r="AE296" i="2"/>
  <c r="AC297" i="15"/>
  <c r="AB297" i="15"/>
  <c r="X298" i="15"/>
  <c r="Z298" i="15"/>
  <c r="AA298" i="15"/>
  <c r="W298" i="15"/>
  <c r="Y298" i="15"/>
  <c r="U299" i="15"/>
  <c r="AE297" i="15"/>
  <c r="AD297" i="15"/>
  <c r="L279" i="15"/>
  <c r="M279" i="15"/>
  <c r="K279" i="15"/>
  <c r="J279" i="15"/>
  <c r="R280" i="15"/>
  <c r="H280" i="15"/>
  <c r="G280" i="15"/>
  <c r="E280" i="15"/>
  <c r="D280" i="15"/>
  <c r="F280" i="15"/>
  <c r="Q280" i="15" s="1"/>
  <c r="O280" i="15"/>
  <c r="P280" i="15"/>
  <c r="B278" i="2"/>
  <c r="G277" i="2"/>
  <c r="H277" i="2"/>
  <c r="O277" i="2"/>
  <c r="D277" i="2"/>
  <c r="P277" i="2"/>
  <c r="F277" i="2"/>
  <c r="Q277" i="2" s="1"/>
  <c r="R277" i="2"/>
  <c r="E277" i="2"/>
  <c r="J276" i="2"/>
  <c r="K276" i="2"/>
  <c r="M276" i="2"/>
  <c r="L276" i="2"/>
  <c r="I277" i="2" l="1"/>
  <c r="N277" i="2"/>
  <c r="I280" i="15"/>
  <c r="N280" i="15"/>
  <c r="AB297" i="2"/>
  <c r="AC297" i="2"/>
  <c r="Z298" i="2"/>
  <c r="W298" i="2"/>
  <c r="U299" i="2"/>
  <c r="X298" i="2"/>
  <c r="AA298" i="2"/>
  <c r="Y298" i="2"/>
  <c r="AE297" i="2"/>
  <c r="AD297" i="2"/>
  <c r="AB298" i="15"/>
  <c r="AC298" i="15"/>
  <c r="W299" i="15"/>
  <c r="X299" i="15"/>
  <c r="Z299" i="15"/>
  <c r="Y299" i="15"/>
  <c r="AA299" i="15"/>
  <c r="U300" i="15"/>
  <c r="AE298" i="15"/>
  <c r="AD298" i="15"/>
  <c r="R281" i="15"/>
  <c r="H281" i="15"/>
  <c r="D281" i="15"/>
  <c r="P281" i="15"/>
  <c r="F281" i="15"/>
  <c r="Q281" i="15" s="1"/>
  <c r="O281" i="15"/>
  <c r="G281" i="15"/>
  <c r="E281" i="15"/>
  <c r="L280" i="15"/>
  <c r="M280" i="15"/>
  <c r="J280" i="15"/>
  <c r="K280" i="15"/>
  <c r="L277" i="2"/>
  <c r="M277" i="2"/>
  <c r="O278" i="2"/>
  <c r="B279" i="2"/>
  <c r="G278" i="2"/>
  <c r="H278" i="2"/>
  <c r="E278" i="2"/>
  <c r="D278" i="2"/>
  <c r="F278" i="2"/>
  <c r="Q278" i="2" s="1"/>
  <c r="P278" i="2"/>
  <c r="R278" i="2"/>
  <c r="K277" i="2"/>
  <c r="J277" i="2"/>
  <c r="I278" i="2" l="1"/>
  <c r="N278" i="2"/>
  <c r="I281" i="15"/>
  <c r="N281" i="15"/>
  <c r="AD298" i="2"/>
  <c r="AE298" i="2"/>
  <c r="X299" i="2"/>
  <c r="Y299" i="2"/>
  <c r="U300" i="2"/>
  <c r="W299" i="2"/>
  <c r="Z299" i="2"/>
  <c r="AA299" i="2"/>
  <c r="AB298" i="2"/>
  <c r="AC298" i="2"/>
  <c r="AB299" i="15"/>
  <c r="AC299" i="15"/>
  <c r="AD299" i="15"/>
  <c r="AE299" i="15"/>
  <c r="Y300" i="15"/>
  <c r="Z300" i="15"/>
  <c r="W300" i="15"/>
  <c r="X300" i="15"/>
  <c r="U301" i="15"/>
  <c r="AA300" i="15"/>
  <c r="L281" i="15"/>
  <c r="M281" i="15"/>
  <c r="J281" i="15"/>
  <c r="K281" i="15"/>
  <c r="H282" i="15"/>
  <c r="D282" i="15"/>
  <c r="P282" i="15"/>
  <c r="O282" i="15"/>
  <c r="E282" i="15"/>
  <c r="R282" i="15"/>
  <c r="F282" i="15"/>
  <c r="Q282" i="15" s="1"/>
  <c r="G282" i="15"/>
  <c r="J278" i="2"/>
  <c r="K278" i="2"/>
  <c r="M278" i="2"/>
  <c r="L278" i="2"/>
  <c r="O279" i="2"/>
  <c r="B280" i="2"/>
  <c r="D279" i="2"/>
  <c r="G279" i="2"/>
  <c r="H279" i="2"/>
  <c r="F279" i="2"/>
  <c r="Q279" i="2" s="1"/>
  <c r="P279" i="2"/>
  <c r="E279" i="2"/>
  <c r="R279" i="2"/>
  <c r="I279" i="2" l="1"/>
  <c r="N279" i="2"/>
  <c r="I282" i="15"/>
  <c r="N282" i="15"/>
  <c r="AB299" i="2"/>
  <c r="AC299" i="2"/>
  <c r="Z300" i="2"/>
  <c r="AA300" i="2"/>
  <c r="Y300" i="2"/>
  <c r="W300" i="2"/>
  <c r="X300" i="2"/>
  <c r="U301" i="2"/>
  <c r="AD299" i="2"/>
  <c r="AE299" i="2"/>
  <c r="AB300" i="15"/>
  <c r="AC300" i="15"/>
  <c r="AE300" i="15"/>
  <c r="AD300" i="15"/>
  <c r="AA301" i="15"/>
  <c r="U302" i="15"/>
  <c r="W301" i="15"/>
  <c r="X301" i="15"/>
  <c r="Z301" i="15"/>
  <c r="Y301" i="15"/>
  <c r="P283" i="15"/>
  <c r="G283" i="15"/>
  <c r="O283" i="15"/>
  <c r="E283" i="15"/>
  <c r="R283" i="15"/>
  <c r="F283" i="15"/>
  <c r="Q283" i="15" s="1"/>
  <c r="D283" i="15"/>
  <c r="H283" i="15"/>
  <c r="K282" i="15"/>
  <c r="J282" i="15"/>
  <c r="M282" i="15"/>
  <c r="L282" i="15"/>
  <c r="M279" i="2"/>
  <c r="L279" i="2"/>
  <c r="J279" i="2"/>
  <c r="K279" i="2"/>
  <c r="B281" i="2"/>
  <c r="O280" i="2"/>
  <c r="H280" i="2"/>
  <c r="G280" i="2"/>
  <c r="D280" i="2"/>
  <c r="F280" i="2"/>
  <c r="Q280" i="2" s="1"/>
  <c r="P280" i="2"/>
  <c r="E280" i="2"/>
  <c r="R280" i="2"/>
  <c r="I280" i="2" l="1"/>
  <c r="N280" i="2"/>
  <c r="I283" i="15"/>
  <c r="N283" i="15"/>
  <c r="AC300" i="2"/>
  <c r="AB300" i="2"/>
  <c r="AD300" i="2"/>
  <c r="AE300" i="2"/>
  <c r="X301" i="2"/>
  <c r="W301" i="2"/>
  <c r="Y301" i="2"/>
  <c r="Z301" i="2"/>
  <c r="AA301" i="2"/>
  <c r="U302" i="2"/>
  <c r="AC301" i="15"/>
  <c r="AB301" i="15"/>
  <c r="X302" i="15"/>
  <c r="W302" i="15"/>
  <c r="U303" i="15"/>
  <c r="Z302" i="15"/>
  <c r="AA302" i="15"/>
  <c r="Y302" i="15"/>
  <c r="AD301" i="15"/>
  <c r="AE301" i="15"/>
  <c r="O284" i="15"/>
  <c r="F284" i="15"/>
  <c r="Q284" i="15" s="1"/>
  <c r="D284" i="15"/>
  <c r="G284" i="15"/>
  <c r="P284" i="15"/>
  <c r="H284" i="15"/>
  <c r="E284" i="15"/>
  <c r="R284" i="15"/>
  <c r="L283" i="15"/>
  <c r="M283" i="15"/>
  <c r="K283" i="15"/>
  <c r="J283" i="15"/>
  <c r="J280" i="2"/>
  <c r="K280" i="2"/>
  <c r="M280" i="2"/>
  <c r="L280" i="2"/>
  <c r="O281" i="2"/>
  <c r="H281" i="2"/>
  <c r="G281" i="2"/>
  <c r="B282" i="2"/>
  <c r="D281" i="2"/>
  <c r="F281" i="2"/>
  <c r="Q281" i="2" s="1"/>
  <c r="E281" i="2"/>
  <c r="P281" i="2"/>
  <c r="R281" i="2"/>
  <c r="I281" i="2" l="1"/>
  <c r="N281" i="2"/>
  <c r="I284" i="15"/>
  <c r="N284" i="15"/>
  <c r="AB301" i="2"/>
  <c r="AC301" i="2"/>
  <c r="Z302" i="2"/>
  <c r="W302" i="2"/>
  <c r="U303" i="2"/>
  <c r="X302" i="2"/>
  <c r="Y302" i="2"/>
  <c r="AA302" i="2"/>
  <c r="AE301" i="2"/>
  <c r="AD301" i="2"/>
  <c r="AE302" i="15"/>
  <c r="AD302" i="15"/>
  <c r="W303" i="15"/>
  <c r="X303" i="15"/>
  <c r="Z303" i="15"/>
  <c r="U304" i="15"/>
  <c r="Y303" i="15"/>
  <c r="AA303" i="15"/>
  <c r="AB302" i="15"/>
  <c r="AC302" i="15"/>
  <c r="M284" i="15"/>
  <c r="L284" i="15"/>
  <c r="E285" i="15"/>
  <c r="P285" i="15"/>
  <c r="F285" i="15"/>
  <c r="Q285" i="15" s="1"/>
  <c r="O285" i="15"/>
  <c r="D285" i="15"/>
  <c r="R285" i="15"/>
  <c r="H285" i="15"/>
  <c r="G285" i="15"/>
  <c r="J284" i="15"/>
  <c r="K284" i="15"/>
  <c r="M281" i="2"/>
  <c r="L281" i="2"/>
  <c r="J281" i="2"/>
  <c r="K281" i="2"/>
  <c r="B283" i="2"/>
  <c r="G282" i="2"/>
  <c r="O282" i="2"/>
  <c r="F282" i="2"/>
  <c r="Q282" i="2" s="1"/>
  <c r="D282" i="2"/>
  <c r="E282" i="2"/>
  <c r="H282" i="2"/>
  <c r="P282" i="2"/>
  <c r="R282" i="2"/>
  <c r="I282" i="2" l="1"/>
  <c r="N282" i="2"/>
  <c r="I285" i="15"/>
  <c r="N285" i="15"/>
  <c r="W303" i="2"/>
  <c r="X303" i="2"/>
  <c r="U304" i="2"/>
  <c r="Y303" i="2"/>
  <c r="Z303" i="2"/>
  <c r="AA303" i="2"/>
  <c r="AB302" i="2"/>
  <c r="AC302" i="2"/>
  <c r="AD302" i="2"/>
  <c r="AE302" i="2"/>
  <c r="AC303" i="15"/>
  <c r="AB303" i="15"/>
  <c r="Y304" i="15"/>
  <c r="Z304" i="15"/>
  <c r="W304" i="15"/>
  <c r="X304" i="15"/>
  <c r="AA304" i="15"/>
  <c r="U305" i="15"/>
  <c r="AD303" i="15"/>
  <c r="AE303" i="15"/>
  <c r="M285" i="15"/>
  <c r="L285" i="15"/>
  <c r="K285" i="15"/>
  <c r="J285" i="15"/>
  <c r="D286" i="15"/>
  <c r="G286" i="15"/>
  <c r="P286" i="15"/>
  <c r="F286" i="15"/>
  <c r="Q286" i="15" s="1"/>
  <c r="E286" i="15"/>
  <c r="R286" i="15"/>
  <c r="H286" i="15"/>
  <c r="O286" i="15"/>
  <c r="O283" i="2"/>
  <c r="B284" i="2"/>
  <c r="G283" i="2"/>
  <c r="D283" i="2"/>
  <c r="F283" i="2"/>
  <c r="Q283" i="2" s="1"/>
  <c r="H283" i="2"/>
  <c r="E283" i="2"/>
  <c r="R283" i="2"/>
  <c r="P283" i="2"/>
  <c r="K282" i="2"/>
  <c r="J282" i="2"/>
  <c r="L282" i="2"/>
  <c r="M282" i="2"/>
  <c r="I283" i="2" l="1"/>
  <c r="N283" i="2"/>
  <c r="I286" i="15"/>
  <c r="N286" i="15"/>
  <c r="AE303" i="2"/>
  <c r="AD303" i="2"/>
  <c r="AA304" i="2"/>
  <c r="W304" i="2"/>
  <c r="X304" i="2"/>
  <c r="U305" i="2"/>
  <c r="Y304" i="2"/>
  <c r="Z304" i="2"/>
  <c r="AC303" i="2"/>
  <c r="AB303" i="2"/>
  <c r="AC304" i="15"/>
  <c r="AB304" i="15"/>
  <c r="AD304" i="15"/>
  <c r="AE304" i="15"/>
  <c r="AA305" i="15"/>
  <c r="U306" i="15"/>
  <c r="W305" i="15"/>
  <c r="Z305" i="15"/>
  <c r="Y305" i="15"/>
  <c r="X305" i="15"/>
  <c r="J286" i="15"/>
  <c r="K286" i="15"/>
  <c r="L286" i="15"/>
  <c r="M286" i="15"/>
  <c r="H287" i="15"/>
  <c r="R287" i="15"/>
  <c r="G287" i="15"/>
  <c r="D287" i="15"/>
  <c r="P287" i="15"/>
  <c r="F287" i="15"/>
  <c r="Q287" i="15" s="1"/>
  <c r="E287" i="15"/>
  <c r="O287" i="15"/>
  <c r="M283" i="2"/>
  <c r="L283" i="2"/>
  <c r="K283" i="2"/>
  <c r="J283" i="2"/>
  <c r="O284" i="2"/>
  <c r="G284" i="2"/>
  <c r="B285" i="2"/>
  <c r="H284" i="2"/>
  <c r="F284" i="2"/>
  <c r="Q284" i="2" s="1"/>
  <c r="D284" i="2"/>
  <c r="E284" i="2"/>
  <c r="P284" i="2"/>
  <c r="R284" i="2"/>
  <c r="I284" i="2" l="1"/>
  <c r="N284" i="2"/>
  <c r="I287" i="15"/>
  <c r="N287" i="15"/>
  <c r="X305" i="2"/>
  <c r="W305" i="2"/>
  <c r="U306" i="2"/>
  <c r="Y305" i="2"/>
  <c r="Z305" i="2"/>
  <c r="AA305" i="2"/>
  <c r="AC304" i="2"/>
  <c r="AB304" i="2"/>
  <c r="AE304" i="2"/>
  <c r="AD304" i="2"/>
  <c r="X306" i="15"/>
  <c r="W306" i="15"/>
  <c r="Y306" i="15"/>
  <c r="U307" i="15"/>
  <c r="Z306" i="15"/>
  <c r="AA306" i="15"/>
  <c r="AD305" i="15"/>
  <c r="AE305" i="15"/>
  <c r="AC305" i="15"/>
  <c r="AB305" i="15"/>
  <c r="M287" i="15"/>
  <c r="L287" i="15"/>
  <c r="H288" i="15"/>
  <c r="P288" i="15"/>
  <c r="G288" i="15"/>
  <c r="R288" i="15"/>
  <c r="D288" i="15"/>
  <c r="F288" i="15"/>
  <c r="Q288" i="15" s="1"/>
  <c r="O288" i="15"/>
  <c r="E288" i="15"/>
  <c r="K287" i="15"/>
  <c r="J287" i="15"/>
  <c r="K284" i="2"/>
  <c r="J284" i="2"/>
  <c r="M284" i="2"/>
  <c r="L284" i="2"/>
  <c r="B286" i="2"/>
  <c r="G285" i="2"/>
  <c r="O285" i="2"/>
  <c r="H285" i="2"/>
  <c r="D285" i="2"/>
  <c r="F285" i="2"/>
  <c r="Q285" i="2" s="1"/>
  <c r="E285" i="2"/>
  <c r="R285" i="2"/>
  <c r="P285" i="2"/>
  <c r="I285" i="2" l="1"/>
  <c r="N285" i="2"/>
  <c r="I288" i="15"/>
  <c r="N288" i="15"/>
  <c r="Z306" i="2"/>
  <c r="X306" i="2"/>
  <c r="U307" i="2"/>
  <c r="Y306" i="2"/>
  <c r="AA306" i="2"/>
  <c r="W306" i="2"/>
  <c r="AE305" i="2"/>
  <c r="AD305" i="2"/>
  <c r="AB305" i="2"/>
  <c r="AC305" i="2"/>
  <c r="AB306" i="15"/>
  <c r="AC306" i="15"/>
  <c r="W307" i="15"/>
  <c r="X307" i="15"/>
  <c r="Z307" i="15"/>
  <c r="U308" i="15"/>
  <c r="Y307" i="15"/>
  <c r="AA307" i="15"/>
  <c r="AE306" i="15"/>
  <c r="AD306" i="15"/>
  <c r="M288" i="15"/>
  <c r="L288" i="15"/>
  <c r="P289" i="15"/>
  <c r="G289" i="15"/>
  <c r="O289" i="15"/>
  <c r="F289" i="15"/>
  <c r="Q289" i="15" s="1"/>
  <c r="H289" i="15"/>
  <c r="D289" i="15"/>
  <c r="R289" i="15"/>
  <c r="E289" i="15"/>
  <c r="J288" i="15"/>
  <c r="K288" i="15"/>
  <c r="J285" i="2"/>
  <c r="K285" i="2"/>
  <c r="M285" i="2"/>
  <c r="L285" i="2"/>
  <c r="O286" i="2"/>
  <c r="B287" i="2"/>
  <c r="G286" i="2"/>
  <c r="H286" i="2"/>
  <c r="D286" i="2"/>
  <c r="E286" i="2"/>
  <c r="F286" i="2"/>
  <c r="Q286" i="2" s="1"/>
  <c r="R286" i="2"/>
  <c r="P286" i="2"/>
  <c r="I286" i="2" l="1"/>
  <c r="N286" i="2"/>
  <c r="I289" i="15"/>
  <c r="N289" i="15"/>
  <c r="AB306" i="2"/>
  <c r="AC306" i="2"/>
  <c r="AD306" i="2"/>
  <c r="AE306" i="2"/>
  <c r="W307" i="2"/>
  <c r="X307" i="2"/>
  <c r="Y307" i="2"/>
  <c r="U308" i="2"/>
  <c r="Z307" i="2"/>
  <c r="AA307" i="2"/>
  <c r="Y308" i="15"/>
  <c r="Z308" i="15"/>
  <c r="AA308" i="15"/>
  <c r="W308" i="15"/>
  <c r="U309" i="15"/>
  <c r="X308" i="15"/>
  <c r="AB307" i="15"/>
  <c r="AC307" i="15"/>
  <c r="AD307" i="15"/>
  <c r="AE307" i="15"/>
  <c r="J289" i="15"/>
  <c r="K289" i="15"/>
  <c r="L289" i="15"/>
  <c r="M289" i="15"/>
  <c r="O290" i="15"/>
  <c r="F290" i="15"/>
  <c r="Q290" i="15" s="1"/>
  <c r="R290" i="15"/>
  <c r="H290" i="15"/>
  <c r="G290" i="15"/>
  <c r="E290" i="15"/>
  <c r="D290" i="15"/>
  <c r="P290" i="15"/>
  <c r="G287" i="2"/>
  <c r="D287" i="2"/>
  <c r="H287" i="2"/>
  <c r="O287" i="2"/>
  <c r="B288" i="2"/>
  <c r="F287" i="2"/>
  <c r="Q287" i="2" s="1"/>
  <c r="E287" i="2"/>
  <c r="P287" i="2"/>
  <c r="R287" i="2"/>
  <c r="J286" i="2"/>
  <c r="K286" i="2"/>
  <c r="M286" i="2"/>
  <c r="L286" i="2"/>
  <c r="I287" i="2" l="1"/>
  <c r="N287" i="2"/>
  <c r="I290" i="15"/>
  <c r="N290" i="15"/>
  <c r="AC307" i="2"/>
  <c r="AB307" i="2"/>
  <c r="AE307" i="2"/>
  <c r="AD307" i="2"/>
  <c r="AA308" i="2"/>
  <c r="W308" i="2"/>
  <c r="X308" i="2"/>
  <c r="Y308" i="2"/>
  <c r="U309" i="2"/>
  <c r="Z308" i="2"/>
  <c r="AB308" i="15"/>
  <c r="AC308" i="15"/>
  <c r="AD308" i="15"/>
  <c r="AE308" i="15"/>
  <c r="AA309" i="15"/>
  <c r="U310" i="15"/>
  <c r="Y309" i="15"/>
  <c r="Z309" i="15"/>
  <c r="X309" i="15"/>
  <c r="W309" i="15"/>
  <c r="L290" i="15"/>
  <c r="M290" i="15"/>
  <c r="J290" i="15"/>
  <c r="K290" i="15"/>
  <c r="E291" i="15"/>
  <c r="R291" i="15"/>
  <c r="H291" i="15"/>
  <c r="D291" i="15"/>
  <c r="G291" i="15"/>
  <c r="P291" i="15"/>
  <c r="O291" i="15"/>
  <c r="F291" i="15"/>
  <c r="Q291" i="15" s="1"/>
  <c r="B289" i="2"/>
  <c r="O288" i="2"/>
  <c r="G288" i="2"/>
  <c r="D288" i="2"/>
  <c r="H288" i="2"/>
  <c r="F288" i="2"/>
  <c r="Q288" i="2" s="1"/>
  <c r="P288" i="2"/>
  <c r="E288" i="2"/>
  <c r="R288" i="2"/>
  <c r="M287" i="2"/>
  <c r="L287" i="2"/>
  <c r="J287" i="2"/>
  <c r="K287" i="2"/>
  <c r="I288" i="2" l="1"/>
  <c r="N288" i="2"/>
  <c r="I291" i="15"/>
  <c r="N291" i="15"/>
  <c r="AC308" i="2"/>
  <c r="AB308" i="2"/>
  <c r="AD308" i="2"/>
  <c r="AE308" i="2"/>
  <c r="X309" i="2"/>
  <c r="Y309" i="2"/>
  <c r="U310" i="2"/>
  <c r="Z309" i="2"/>
  <c r="AA309" i="2"/>
  <c r="W309" i="2"/>
  <c r="X310" i="15"/>
  <c r="Y310" i="15"/>
  <c r="Z310" i="15"/>
  <c r="U311" i="15"/>
  <c r="W310" i="15"/>
  <c r="AA310" i="15"/>
  <c r="AD309" i="15"/>
  <c r="AE309" i="15"/>
  <c r="AC309" i="15"/>
  <c r="AB309" i="15"/>
  <c r="D292" i="15"/>
  <c r="P292" i="15"/>
  <c r="F292" i="15"/>
  <c r="Q292" i="15" s="1"/>
  <c r="G292" i="15"/>
  <c r="R292" i="15"/>
  <c r="O292" i="15"/>
  <c r="H292" i="15"/>
  <c r="E292" i="15"/>
  <c r="M291" i="15"/>
  <c r="L291" i="15"/>
  <c r="K291" i="15"/>
  <c r="J291" i="15"/>
  <c r="L288" i="2"/>
  <c r="M288" i="2"/>
  <c r="K288" i="2"/>
  <c r="J288" i="2"/>
  <c r="O289" i="2"/>
  <c r="B290" i="2"/>
  <c r="H289" i="2"/>
  <c r="G289" i="2"/>
  <c r="D289" i="2"/>
  <c r="F289" i="2"/>
  <c r="Q289" i="2" s="1"/>
  <c r="P289" i="2"/>
  <c r="E289" i="2"/>
  <c r="R289" i="2"/>
  <c r="I289" i="2" l="1"/>
  <c r="N289" i="2"/>
  <c r="I292" i="15"/>
  <c r="N292" i="15"/>
  <c r="Z310" i="2"/>
  <c r="AA310" i="2"/>
  <c r="W310" i="2"/>
  <c r="X310" i="2"/>
  <c r="U311" i="2"/>
  <c r="Y310" i="2"/>
  <c r="AB309" i="2"/>
  <c r="AC309" i="2"/>
  <c r="AE309" i="2"/>
  <c r="AD309" i="2"/>
  <c r="AE310" i="15"/>
  <c r="AD310" i="15"/>
  <c r="AB310" i="15"/>
  <c r="AC310" i="15"/>
  <c r="W311" i="15"/>
  <c r="X311" i="15"/>
  <c r="Z311" i="15"/>
  <c r="Y311" i="15"/>
  <c r="AA311" i="15"/>
  <c r="U312" i="15"/>
  <c r="J292" i="15"/>
  <c r="K292" i="15"/>
  <c r="L292" i="15"/>
  <c r="M292" i="15"/>
  <c r="O293" i="15"/>
  <c r="E293" i="15"/>
  <c r="P293" i="15"/>
  <c r="R293" i="15"/>
  <c r="D293" i="15"/>
  <c r="G293" i="15"/>
  <c r="F293" i="15"/>
  <c r="Q293" i="15" s="1"/>
  <c r="H293" i="15"/>
  <c r="J289" i="2"/>
  <c r="K289" i="2"/>
  <c r="M289" i="2"/>
  <c r="L289" i="2"/>
  <c r="O290" i="2"/>
  <c r="B291" i="2"/>
  <c r="H290" i="2"/>
  <c r="D290" i="2"/>
  <c r="G290" i="2"/>
  <c r="F290" i="2"/>
  <c r="Q290" i="2" s="1"/>
  <c r="P290" i="2"/>
  <c r="E290" i="2"/>
  <c r="R290" i="2"/>
  <c r="I290" i="2" l="1"/>
  <c r="N290" i="2"/>
  <c r="I293" i="15"/>
  <c r="N293" i="15"/>
  <c r="AA311" i="2"/>
  <c r="W311" i="2"/>
  <c r="U312" i="2"/>
  <c r="Z311" i="2"/>
  <c r="X311" i="2"/>
  <c r="Y311" i="2"/>
  <c r="AB310" i="2"/>
  <c r="AC310" i="2"/>
  <c r="AD310" i="2"/>
  <c r="AE310" i="2"/>
  <c r="Y312" i="15"/>
  <c r="Z312" i="15"/>
  <c r="U313" i="15"/>
  <c r="W312" i="15"/>
  <c r="AA312" i="15"/>
  <c r="X312" i="15"/>
  <c r="AC311" i="15"/>
  <c r="AB311" i="15"/>
  <c r="AD311" i="15"/>
  <c r="AE311" i="15"/>
  <c r="L293" i="15"/>
  <c r="M293" i="15"/>
  <c r="D294" i="15"/>
  <c r="P294" i="15"/>
  <c r="F294" i="15"/>
  <c r="Q294" i="15" s="1"/>
  <c r="O294" i="15"/>
  <c r="H294" i="15"/>
  <c r="E294" i="15"/>
  <c r="R294" i="15"/>
  <c r="G294" i="15"/>
  <c r="K293" i="15"/>
  <c r="J293" i="15"/>
  <c r="J290" i="2"/>
  <c r="K290" i="2"/>
  <c r="M290" i="2"/>
  <c r="L290" i="2"/>
  <c r="O291" i="2"/>
  <c r="B292" i="2"/>
  <c r="G291" i="2"/>
  <c r="D291" i="2"/>
  <c r="F291" i="2"/>
  <c r="Q291" i="2" s="1"/>
  <c r="H291" i="2"/>
  <c r="E291" i="2"/>
  <c r="P291" i="2"/>
  <c r="R291" i="2"/>
  <c r="I291" i="2" l="1"/>
  <c r="N291" i="2"/>
  <c r="I294" i="15"/>
  <c r="N294" i="15"/>
  <c r="Y312" i="2"/>
  <c r="W312" i="2"/>
  <c r="X312" i="2"/>
  <c r="Z312" i="2"/>
  <c r="U313" i="2"/>
  <c r="AA312" i="2"/>
  <c r="AB311" i="2"/>
  <c r="AC311" i="2"/>
  <c r="AD311" i="2"/>
  <c r="AE311" i="2"/>
  <c r="AD312" i="15"/>
  <c r="AE312" i="15"/>
  <c r="AC312" i="15"/>
  <c r="AB312" i="15"/>
  <c r="AA313" i="15"/>
  <c r="U314" i="15"/>
  <c r="W313" i="15"/>
  <c r="Y313" i="15"/>
  <c r="Z313" i="15"/>
  <c r="X313" i="15"/>
  <c r="M294" i="15"/>
  <c r="L294" i="15"/>
  <c r="R295" i="15"/>
  <c r="O295" i="15"/>
  <c r="E295" i="15"/>
  <c r="D295" i="15"/>
  <c r="G295" i="15"/>
  <c r="H295" i="15"/>
  <c r="F295" i="15"/>
  <c r="Q295" i="15" s="1"/>
  <c r="P295" i="15"/>
  <c r="J294" i="15"/>
  <c r="K294" i="15"/>
  <c r="O292" i="2"/>
  <c r="G292" i="2"/>
  <c r="B293" i="2"/>
  <c r="H292" i="2"/>
  <c r="F292" i="2"/>
  <c r="Q292" i="2" s="1"/>
  <c r="E292" i="2"/>
  <c r="P292" i="2"/>
  <c r="R292" i="2"/>
  <c r="D292" i="2"/>
  <c r="M291" i="2"/>
  <c r="L291" i="2"/>
  <c r="K291" i="2"/>
  <c r="J291" i="2"/>
  <c r="I292" i="2" l="1"/>
  <c r="N292" i="2"/>
  <c r="I295" i="15"/>
  <c r="N295" i="15"/>
  <c r="AE312" i="2"/>
  <c r="AD312" i="2"/>
  <c r="AA313" i="2"/>
  <c r="U314" i="2"/>
  <c r="W313" i="2"/>
  <c r="Z313" i="2"/>
  <c r="X313" i="2"/>
  <c r="Y313" i="2"/>
  <c r="AB312" i="2"/>
  <c r="AC312" i="2"/>
  <c r="AC313" i="15"/>
  <c r="AB313" i="15"/>
  <c r="X314" i="15"/>
  <c r="Y314" i="15"/>
  <c r="W314" i="15"/>
  <c r="Z314" i="15"/>
  <c r="AA314" i="15"/>
  <c r="U315" i="15"/>
  <c r="AE313" i="15"/>
  <c r="AD313" i="15"/>
  <c r="M295" i="15"/>
  <c r="L295" i="15"/>
  <c r="H296" i="15"/>
  <c r="P296" i="15"/>
  <c r="F296" i="15"/>
  <c r="Q296" i="15" s="1"/>
  <c r="O296" i="15"/>
  <c r="E296" i="15"/>
  <c r="G296" i="15"/>
  <c r="D296" i="15"/>
  <c r="R296" i="15"/>
  <c r="J295" i="15"/>
  <c r="K295" i="15"/>
  <c r="M292" i="2"/>
  <c r="L292" i="2"/>
  <c r="B294" i="2"/>
  <c r="G293" i="2"/>
  <c r="H293" i="2"/>
  <c r="O293" i="2"/>
  <c r="F293" i="2"/>
  <c r="Q293" i="2" s="1"/>
  <c r="D293" i="2"/>
  <c r="E293" i="2"/>
  <c r="R293" i="2"/>
  <c r="P293" i="2"/>
  <c r="K292" i="2"/>
  <c r="J292" i="2"/>
  <c r="I293" i="2" l="1"/>
  <c r="N293" i="2"/>
  <c r="I296" i="15"/>
  <c r="N296" i="15"/>
  <c r="AB313" i="2"/>
  <c r="AC313" i="2"/>
  <c r="W314" i="2"/>
  <c r="X314" i="2"/>
  <c r="Y314" i="2"/>
  <c r="Z314" i="2"/>
  <c r="U315" i="2"/>
  <c r="AA314" i="2"/>
  <c r="AD313" i="2"/>
  <c r="AE313" i="2"/>
  <c r="AE314" i="15"/>
  <c r="AD314" i="15"/>
  <c r="AB314" i="15"/>
  <c r="AC314" i="15"/>
  <c r="W315" i="15"/>
  <c r="X315" i="15"/>
  <c r="Z315" i="15"/>
  <c r="U316" i="15"/>
  <c r="Y315" i="15"/>
  <c r="AA315" i="15"/>
  <c r="M296" i="15"/>
  <c r="L296" i="15"/>
  <c r="P297" i="15"/>
  <c r="G297" i="15"/>
  <c r="R297" i="15"/>
  <c r="H297" i="15"/>
  <c r="F297" i="15"/>
  <c r="Q297" i="15" s="1"/>
  <c r="D297" i="15"/>
  <c r="E297" i="15"/>
  <c r="O297" i="15"/>
  <c r="K296" i="15"/>
  <c r="J296" i="15"/>
  <c r="M293" i="2"/>
  <c r="L293" i="2"/>
  <c r="J293" i="2"/>
  <c r="K293" i="2"/>
  <c r="O294" i="2"/>
  <c r="B295" i="2"/>
  <c r="G294" i="2"/>
  <c r="H294" i="2"/>
  <c r="D294" i="2"/>
  <c r="F294" i="2"/>
  <c r="Q294" i="2" s="1"/>
  <c r="E294" i="2"/>
  <c r="R294" i="2"/>
  <c r="P294" i="2"/>
  <c r="I294" i="2" l="1"/>
  <c r="N294" i="2"/>
  <c r="I297" i="15"/>
  <c r="N297" i="15"/>
  <c r="AB314" i="2"/>
  <c r="AC314" i="2"/>
  <c r="W315" i="2"/>
  <c r="AA315" i="2"/>
  <c r="Y315" i="2"/>
  <c r="Z315" i="2"/>
  <c r="X315" i="2"/>
  <c r="U316" i="2"/>
  <c r="AE314" i="2"/>
  <c r="AD314" i="2"/>
  <c r="AC315" i="15"/>
  <c r="AB315" i="15"/>
  <c r="AD315" i="15"/>
  <c r="AE315" i="15"/>
  <c r="Y316" i="15"/>
  <c r="Z316" i="15"/>
  <c r="U317" i="15"/>
  <c r="X316" i="15"/>
  <c r="AA316" i="15"/>
  <c r="W316" i="15"/>
  <c r="M297" i="15"/>
  <c r="L297" i="15"/>
  <c r="O298" i="15"/>
  <c r="F298" i="15"/>
  <c r="Q298" i="15" s="1"/>
  <c r="R298" i="15"/>
  <c r="H298" i="15"/>
  <c r="P298" i="15"/>
  <c r="E298" i="15"/>
  <c r="G298" i="15"/>
  <c r="D298" i="15"/>
  <c r="J297" i="15"/>
  <c r="K297" i="15"/>
  <c r="J294" i="2"/>
  <c r="K294" i="2"/>
  <c r="M294" i="2"/>
  <c r="L294" i="2"/>
  <c r="O295" i="2"/>
  <c r="B296" i="2"/>
  <c r="D295" i="2"/>
  <c r="G295" i="2"/>
  <c r="H295" i="2"/>
  <c r="E295" i="2"/>
  <c r="F295" i="2"/>
  <c r="Q295" i="2" s="1"/>
  <c r="P295" i="2"/>
  <c r="R295" i="2"/>
  <c r="I295" i="2" l="1"/>
  <c r="N295" i="2"/>
  <c r="I298" i="15"/>
  <c r="N298" i="15"/>
  <c r="Y316" i="2"/>
  <c r="W316" i="2"/>
  <c r="X316" i="2"/>
  <c r="Z316" i="2"/>
  <c r="U317" i="2"/>
  <c r="AA316" i="2"/>
  <c r="AD315" i="2"/>
  <c r="AE315" i="2"/>
  <c r="AB315" i="2"/>
  <c r="AC315" i="2"/>
  <c r="AA317" i="15"/>
  <c r="U318" i="15"/>
  <c r="W317" i="15"/>
  <c r="X317" i="15"/>
  <c r="Y317" i="15"/>
  <c r="Z317" i="15"/>
  <c r="AC316" i="15"/>
  <c r="AB316" i="15"/>
  <c r="AD316" i="15"/>
  <c r="AE316" i="15"/>
  <c r="M298" i="15"/>
  <c r="L298" i="15"/>
  <c r="E299" i="15"/>
  <c r="P299" i="15"/>
  <c r="O299" i="15"/>
  <c r="R299" i="15"/>
  <c r="D299" i="15"/>
  <c r="F299" i="15"/>
  <c r="Q299" i="15" s="1"/>
  <c r="H299" i="15"/>
  <c r="G299" i="15"/>
  <c r="K298" i="15"/>
  <c r="J298" i="15"/>
  <c r="B297" i="2"/>
  <c r="O296" i="2"/>
  <c r="G296" i="2"/>
  <c r="H296" i="2"/>
  <c r="D296" i="2"/>
  <c r="P296" i="2"/>
  <c r="F296" i="2"/>
  <c r="Q296" i="2" s="1"/>
  <c r="E296" i="2"/>
  <c r="R296" i="2"/>
  <c r="M295" i="2"/>
  <c r="L295" i="2"/>
  <c r="J295" i="2"/>
  <c r="K295" i="2"/>
  <c r="I296" i="2" l="1"/>
  <c r="N296" i="2"/>
  <c r="I299" i="15"/>
  <c r="N299" i="15"/>
  <c r="AD316" i="2"/>
  <c r="AE316" i="2"/>
  <c r="AA317" i="2"/>
  <c r="U318" i="2"/>
  <c r="Z317" i="2"/>
  <c r="W317" i="2"/>
  <c r="Y317" i="2"/>
  <c r="X317" i="2"/>
  <c r="AB316" i="2"/>
  <c r="AC316" i="2"/>
  <c r="X318" i="15"/>
  <c r="AA318" i="15"/>
  <c r="Z318" i="15"/>
  <c r="U319" i="15"/>
  <c r="Y318" i="15"/>
  <c r="W318" i="15"/>
  <c r="AC317" i="15"/>
  <c r="AB317" i="15"/>
  <c r="AD317" i="15"/>
  <c r="AE317" i="15"/>
  <c r="J299" i="15"/>
  <c r="K299" i="15"/>
  <c r="D300" i="15"/>
  <c r="O300" i="15"/>
  <c r="E300" i="15"/>
  <c r="F300" i="15"/>
  <c r="Q300" i="15" s="1"/>
  <c r="H300" i="15"/>
  <c r="P300" i="15"/>
  <c r="R300" i="15"/>
  <c r="G300" i="15"/>
  <c r="M299" i="15"/>
  <c r="L299" i="15"/>
  <c r="J296" i="2"/>
  <c r="K296" i="2"/>
  <c r="M296" i="2"/>
  <c r="L296" i="2"/>
  <c r="O297" i="2"/>
  <c r="G297" i="2"/>
  <c r="H297" i="2"/>
  <c r="B298" i="2"/>
  <c r="P297" i="2"/>
  <c r="D297" i="2"/>
  <c r="R297" i="2"/>
  <c r="F297" i="2"/>
  <c r="Q297" i="2" s="1"/>
  <c r="E297" i="2"/>
  <c r="I297" i="2" l="1"/>
  <c r="N297" i="2"/>
  <c r="I300" i="15"/>
  <c r="N300" i="15"/>
  <c r="AB317" i="2"/>
  <c r="AC317" i="2"/>
  <c r="W318" i="2"/>
  <c r="X318" i="2"/>
  <c r="Y318" i="2"/>
  <c r="Z318" i="2"/>
  <c r="U319" i="2"/>
  <c r="AA318" i="2"/>
  <c r="AD317" i="2"/>
  <c r="AE317" i="2"/>
  <c r="AB318" i="15"/>
  <c r="AC318" i="15"/>
  <c r="AE318" i="15"/>
  <c r="AD318" i="15"/>
  <c r="W319" i="15"/>
  <c r="X319" i="15"/>
  <c r="Z319" i="15"/>
  <c r="AA319" i="15"/>
  <c r="U320" i="15"/>
  <c r="Y319" i="15"/>
  <c r="L300" i="15"/>
  <c r="M300" i="15"/>
  <c r="K300" i="15"/>
  <c r="J300" i="15"/>
  <c r="D301" i="15"/>
  <c r="P301" i="15"/>
  <c r="F301" i="15"/>
  <c r="Q301" i="15" s="1"/>
  <c r="H301" i="15"/>
  <c r="O301" i="15"/>
  <c r="G301" i="15"/>
  <c r="R301" i="15"/>
  <c r="E301" i="15"/>
  <c r="J297" i="2"/>
  <c r="K297" i="2"/>
  <c r="B299" i="2"/>
  <c r="G298" i="2"/>
  <c r="H298" i="2"/>
  <c r="O298" i="2"/>
  <c r="F298" i="2"/>
  <c r="Q298" i="2" s="1"/>
  <c r="D298" i="2"/>
  <c r="P298" i="2"/>
  <c r="E298" i="2"/>
  <c r="R298" i="2"/>
  <c r="M297" i="2"/>
  <c r="L297" i="2"/>
  <c r="I298" i="2" l="1"/>
  <c r="N298" i="2"/>
  <c r="I301" i="15"/>
  <c r="N301" i="15"/>
  <c r="AD318" i="2"/>
  <c r="AE318" i="2"/>
  <c r="W319" i="2"/>
  <c r="Z319" i="2"/>
  <c r="U320" i="2"/>
  <c r="AA319" i="2"/>
  <c r="X319" i="2"/>
  <c r="Y319" i="2"/>
  <c r="AB318" i="2"/>
  <c r="AC318" i="2"/>
  <c r="AD319" i="15"/>
  <c r="AE319" i="15"/>
  <c r="AC319" i="15"/>
  <c r="AB319" i="15"/>
  <c r="Y320" i="15"/>
  <c r="Z320" i="15"/>
  <c r="X320" i="15"/>
  <c r="AA320" i="15"/>
  <c r="U321" i="15"/>
  <c r="W320" i="15"/>
  <c r="M301" i="15"/>
  <c r="L301" i="15"/>
  <c r="K301" i="15"/>
  <c r="J301" i="15"/>
  <c r="O302" i="15"/>
  <c r="E302" i="15"/>
  <c r="D302" i="15"/>
  <c r="G302" i="15"/>
  <c r="H302" i="15"/>
  <c r="F302" i="15"/>
  <c r="Q302" i="15" s="1"/>
  <c r="R302" i="15"/>
  <c r="P302" i="15"/>
  <c r="J298" i="2"/>
  <c r="K298" i="2"/>
  <c r="M298" i="2"/>
  <c r="L298" i="2"/>
  <c r="O299" i="2"/>
  <c r="B300" i="2"/>
  <c r="G299" i="2"/>
  <c r="D299" i="2"/>
  <c r="H299" i="2"/>
  <c r="F299" i="2"/>
  <c r="Q299" i="2" s="1"/>
  <c r="E299" i="2"/>
  <c r="P299" i="2"/>
  <c r="R299" i="2"/>
  <c r="I299" i="2" l="1"/>
  <c r="N299" i="2"/>
  <c r="I302" i="15"/>
  <c r="N302" i="15"/>
  <c r="AD319" i="2"/>
  <c r="AE319" i="2"/>
  <c r="Y320" i="2"/>
  <c r="W320" i="2"/>
  <c r="X320" i="2"/>
  <c r="Z320" i="2"/>
  <c r="U321" i="2"/>
  <c r="AA320" i="2"/>
  <c r="AB319" i="2"/>
  <c r="AC319" i="2"/>
  <c r="AC320" i="15"/>
  <c r="AB320" i="15"/>
  <c r="AA321" i="15"/>
  <c r="U322" i="15"/>
  <c r="X321" i="15"/>
  <c r="Y321" i="15"/>
  <c r="Z321" i="15"/>
  <c r="W321" i="15"/>
  <c r="AD320" i="15"/>
  <c r="AE320" i="15"/>
  <c r="J302" i="15"/>
  <c r="K302" i="15"/>
  <c r="R303" i="15"/>
  <c r="P303" i="15"/>
  <c r="F303" i="15"/>
  <c r="Q303" i="15" s="1"/>
  <c r="O303" i="15"/>
  <c r="E303" i="15"/>
  <c r="H303" i="15"/>
  <c r="D303" i="15"/>
  <c r="G303" i="15"/>
  <c r="M302" i="15"/>
  <c r="L302" i="15"/>
  <c r="M299" i="2"/>
  <c r="L299" i="2"/>
  <c r="J299" i="2"/>
  <c r="K299" i="2"/>
  <c r="O300" i="2"/>
  <c r="B301" i="2"/>
  <c r="G300" i="2"/>
  <c r="D300" i="2"/>
  <c r="H300" i="2"/>
  <c r="F300" i="2"/>
  <c r="Q300" i="2" s="1"/>
  <c r="E300" i="2"/>
  <c r="P300" i="2"/>
  <c r="R300" i="2"/>
  <c r="I300" i="2" l="1"/>
  <c r="N300" i="2"/>
  <c r="I303" i="15"/>
  <c r="N303" i="15"/>
  <c r="AD320" i="2"/>
  <c r="AE320" i="2"/>
  <c r="AA321" i="2"/>
  <c r="U322" i="2"/>
  <c r="Y321" i="2"/>
  <c r="Z321" i="2"/>
  <c r="W321" i="2"/>
  <c r="X321" i="2"/>
  <c r="AC320" i="2"/>
  <c r="AB320" i="2"/>
  <c r="AC321" i="15"/>
  <c r="AB321" i="15"/>
  <c r="AD321" i="15"/>
  <c r="AE321" i="15"/>
  <c r="X322" i="15"/>
  <c r="W322" i="15"/>
  <c r="U323" i="15"/>
  <c r="Y322" i="15"/>
  <c r="AA322" i="15"/>
  <c r="Z322" i="15"/>
  <c r="M303" i="15"/>
  <c r="L303" i="15"/>
  <c r="H304" i="15"/>
  <c r="R304" i="15"/>
  <c r="G304" i="15"/>
  <c r="P304" i="15"/>
  <c r="F304" i="15"/>
  <c r="Q304" i="15" s="1"/>
  <c r="O304" i="15"/>
  <c r="E304" i="15"/>
  <c r="D304" i="15"/>
  <c r="J303" i="15"/>
  <c r="K303" i="15"/>
  <c r="M300" i="2"/>
  <c r="L300" i="2"/>
  <c r="K300" i="2"/>
  <c r="J300" i="2"/>
  <c r="B302" i="2"/>
  <c r="G301" i="2"/>
  <c r="O301" i="2"/>
  <c r="H301" i="2"/>
  <c r="F301" i="2"/>
  <c r="Q301" i="2" s="1"/>
  <c r="D301" i="2"/>
  <c r="E301" i="2"/>
  <c r="R301" i="2"/>
  <c r="P301" i="2"/>
  <c r="I301" i="2" l="1"/>
  <c r="N301" i="2"/>
  <c r="I304" i="15"/>
  <c r="N304" i="15"/>
  <c r="AB321" i="2"/>
  <c r="AC321" i="2"/>
  <c r="W322" i="2"/>
  <c r="X322" i="2"/>
  <c r="Y322" i="2"/>
  <c r="Z322" i="2"/>
  <c r="AA322" i="2"/>
  <c r="U323" i="2"/>
  <c r="AD321" i="2"/>
  <c r="AE321" i="2"/>
  <c r="AB322" i="15"/>
  <c r="AC322" i="15"/>
  <c r="W323" i="15"/>
  <c r="X323" i="15"/>
  <c r="Z323" i="15"/>
  <c r="U324" i="15"/>
  <c r="AA323" i="15"/>
  <c r="Y323" i="15"/>
  <c r="AE322" i="15"/>
  <c r="AD322" i="15"/>
  <c r="D305" i="15"/>
  <c r="P305" i="15"/>
  <c r="G305" i="15"/>
  <c r="O305" i="15"/>
  <c r="R305" i="15"/>
  <c r="E305" i="15"/>
  <c r="H305" i="15"/>
  <c r="F305" i="15"/>
  <c r="Q305" i="15" s="1"/>
  <c r="J304" i="15"/>
  <c r="K304" i="15"/>
  <c r="L304" i="15"/>
  <c r="M304" i="15"/>
  <c r="M301" i="2"/>
  <c r="L301" i="2"/>
  <c r="O302" i="2"/>
  <c r="B303" i="2"/>
  <c r="G302" i="2"/>
  <c r="H302" i="2"/>
  <c r="D302" i="2"/>
  <c r="F302" i="2"/>
  <c r="Q302" i="2" s="1"/>
  <c r="E302" i="2"/>
  <c r="R302" i="2"/>
  <c r="P302" i="2"/>
  <c r="J301" i="2"/>
  <c r="K301" i="2"/>
  <c r="I302" i="2" l="1"/>
  <c r="N302" i="2"/>
  <c r="I305" i="15"/>
  <c r="N305" i="15"/>
  <c r="AD322" i="2"/>
  <c r="AE322" i="2"/>
  <c r="AB322" i="2"/>
  <c r="AC322" i="2"/>
  <c r="W323" i="2"/>
  <c r="Y323" i="2"/>
  <c r="Z323" i="2"/>
  <c r="U324" i="2"/>
  <c r="AA323" i="2"/>
  <c r="X323" i="2"/>
  <c r="Y324" i="15"/>
  <c r="Z324" i="15"/>
  <c r="U325" i="15"/>
  <c r="X324" i="15"/>
  <c r="AA324" i="15"/>
  <c r="W324" i="15"/>
  <c r="AB323" i="15"/>
  <c r="AC323" i="15"/>
  <c r="AD323" i="15"/>
  <c r="AE323" i="15"/>
  <c r="J305" i="15"/>
  <c r="K305" i="15"/>
  <c r="M305" i="15"/>
  <c r="L305" i="15"/>
  <c r="D306" i="15"/>
  <c r="O306" i="15"/>
  <c r="F306" i="15"/>
  <c r="Q306" i="15" s="1"/>
  <c r="G306" i="15"/>
  <c r="R306" i="15"/>
  <c r="E306" i="15"/>
  <c r="H306" i="15"/>
  <c r="P306" i="15"/>
  <c r="O303" i="2"/>
  <c r="D303" i="2"/>
  <c r="H303" i="2"/>
  <c r="G303" i="2"/>
  <c r="F303" i="2"/>
  <c r="Q303" i="2" s="1"/>
  <c r="E303" i="2"/>
  <c r="B304" i="2"/>
  <c r="R303" i="2"/>
  <c r="P303" i="2"/>
  <c r="L302" i="2"/>
  <c r="M302" i="2"/>
  <c r="J302" i="2"/>
  <c r="K302" i="2"/>
  <c r="I303" i="2" l="1"/>
  <c r="N303" i="2"/>
  <c r="I306" i="15"/>
  <c r="N306" i="15"/>
  <c r="AD323" i="2"/>
  <c r="AE323" i="2"/>
  <c r="Y324" i="2"/>
  <c r="W324" i="2"/>
  <c r="X324" i="2"/>
  <c r="AA324" i="2"/>
  <c r="Z324" i="2"/>
  <c r="U325" i="2"/>
  <c r="AB323" i="2"/>
  <c r="AC323" i="2"/>
  <c r="AE324" i="15"/>
  <c r="AD324" i="15"/>
  <c r="AB324" i="15"/>
  <c r="AC324" i="15"/>
  <c r="AA325" i="15"/>
  <c r="U326" i="15"/>
  <c r="X325" i="15"/>
  <c r="W325" i="15"/>
  <c r="Z325" i="15"/>
  <c r="Y325" i="15"/>
  <c r="L306" i="15"/>
  <c r="M306" i="15"/>
  <c r="E307" i="15"/>
  <c r="P307" i="15"/>
  <c r="O307" i="15"/>
  <c r="R307" i="15"/>
  <c r="F307" i="15"/>
  <c r="Q307" i="15" s="1"/>
  <c r="G307" i="15"/>
  <c r="D307" i="15"/>
  <c r="H307" i="15"/>
  <c r="K306" i="15"/>
  <c r="J306" i="15"/>
  <c r="L303" i="2"/>
  <c r="M303" i="2"/>
  <c r="J303" i="2"/>
  <c r="K303" i="2"/>
  <c r="B305" i="2"/>
  <c r="O304" i="2"/>
  <c r="G304" i="2"/>
  <c r="H304" i="2"/>
  <c r="D304" i="2"/>
  <c r="F304" i="2"/>
  <c r="Q304" i="2" s="1"/>
  <c r="E304" i="2"/>
  <c r="R304" i="2"/>
  <c r="P304" i="2"/>
  <c r="I304" i="2" l="1"/>
  <c r="N304" i="2"/>
  <c r="I307" i="15"/>
  <c r="N307" i="15"/>
  <c r="AD324" i="2"/>
  <c r="AE324" i="2"/>
  <c r="AB324" i="2"/>
  <c r="AC324" i="2"/>
  <c r="AA325" i="2"/>
  <c r="U326" i="2"/>
  <c r="X325" i="2"/>
  <c r="Y325" i="2"/>
  <c r="Z325" i="2"/>
  <c r="W325" i="2"/>
  <c r="X326" i="15"/>
  <c r="W326" i="15"/>
  <c r="U327" i="15"/>
  <c r="AA326" i="15"/>
  <c r="Z326" i="15"/>
  <c r="Y326" i="15"/>
  <c r="AE325" i="15"/>
  <c r="AD325" i="15"/>
  <c r="AC325" i="15"/>
  <c r="AB325" i="15"/>
  <c r="M307" i="15"/>
  <c r="L307" i="15"/>
  <c r="K307" i="15"/>
  <c r="J307" i="15"/>
  <c r="R308" i="15"/>
  <c r="D308" i="15"/>
  <c r="H308" i="15"/>
  <c r="O308" i="15"/>
  <c r="G308" i="15"/>
  <c r="F308" i="15"/>
  <c r="Q308" i="15" s="1"/>
  <c r="P308" i="15"/>
  <c r="E308" i="15"/>
  <c r="J304" i="2"/>
  <c r="K304" i="2"/>
  <c r="M304" i="2"/>
  <c r="L304" i="2"/>
  <c r="O305" i="2"/>
  <c r="B306" i="2"/>
  <c r="H305" i="2"/>
  <c r="G305" i="2"/>
  <c r="F305" i="2"/>
  <c r="Q305" i="2" s="1"/>
  <c r="D305" i="2"/>
  <c r="E305" i="2"/>
  <c r="P305" i="2"/>
  <c r="R305" i="2"/>
  <c r="I305" i="2" l="1"/>
  <c r="N305" i="2"/>
  <c r="I308" i="15"/>
  <c r="N308" i="15"/>
  <c r="W326" i="2"/>
  <c r="X326" i="2"/>
  <c r="Y326" i="2"/>
  <c r="U327" i="2"/>
  <c r="Z326" i="2"/>
  <c r="AA326" i="2"/>
  <c r="AD325" i="2"/>
  <c r="AE325" i="2"/>
  <c r="AB325" i="2"/>
  <c r="AC325" i="2"/>
  <c r="AB326" i="15"/>
  <c r="AC326" i="15"/>
  <c r="AE326" i="15"/>
  <c r="AD326" i="15"/>
  <c r="W327" i="15"/>
  <c r="X327" i="15"/>
  <c r="Z327" i="15"/>
  <c r="U328" i="15"/>
  <c r="Y327" i="15"/>
  <c r="AA327" i="15"/>
  <c r="J308" i="15"/>
  <c r="K308" i="15"/>
  <c r="L308" i="15"/>
  <c r="M308" i="15"/>
  <c r="R309" i="15"/>
  <c r="H309" i="15"/>
  <c r="F309" i="15"/>
  <c r="Q309" i="15" s="1"/>
  <c r="E309" i="15"/>
  <c r="P309" i="15"/>
  <c r="O309" i="15"/>
  <c r="G309" i="15"/>
  <c r="D309" i="15"/>
  <c r="O306" i="2"/>
  <c r="H306" i="2"/>
  <c r="G306" i="2"/>
  <c r="B307" i="2"/>
  <c r="F306" i="2"/>
  <c r="Q306" i="2" s="1"/>
  <c r="P306" i="2"/>
  <c r="D306" i="2"/>
  <c r="E306" i="2"/>
  <c r="R306" i="2"/>
  <c r="J305" i="2"/>
  <c r="K305" i="2"/>
  <c r="M305" i="2"/>
  <c r="L305" i="2"/>
  <c r="I306" i="2" l="1"/>
  <c r="N306" i="2"/>
  <c r="I309" i="15"/>
  <c r="N309" i="15"/>
  <c r="AD326" i="2"/>
  <c r="AE326" i="2"/>
  <c r="W327" i="2"/>
  <c r="X327" i="2"/>
  <c r="Y327" i="2"/>
  <c r="Z327" i="2"/>
  <c r="U328" i="2"/>
  <c r="AA327" i="2"/>
  <c r="AB326" i="2"/>
  <c r="AC326" i="2"/>
  <c r="AD327" i="15"/>
  <c r="AE327" i="15"/>
  <c r="Y328" i="15"/>
  <c r="Z328" i="15"/>
  <c r="U329" i="15"/>
  <c r="W328" i="15"/>
  <c r="X328" i="15"/>
  <c r="AA328" i="15"/>
  <c r="AB327" i="15"/>
  <c r="AC327" i="15"/>
  <c r="H310" i="15"/>
  <c r="P310" i="15"/>
  <c r="G310" i="15"/>
  <c r="O310" i="15"/>
  <c r="E310" i="15"/>
  <c r="R310" i="15"/>
  <c r="F310" i="15"/>
  <c r="Q310" i="15" s="1"/>
  <c r="D310" i="15"/>
  <c r="K309" i="15"/>
  <c r="J309" i="15"/>
  <c r="M309" i="15"/>
  <c r="L309" i="15"/>
  <c r="O307" i="2"/>
  <c r="B308" i="2"/>
  <c r="G307" i="2"/>
  <c r="D307" i="2"/>
  <c r="F307" i="2"/>
  <c r="Q307" i="2" s="1"/>
  <c r="P307" i="2"/>
  <c r="H307" i="2"/>
  <c r="R307" i="2"/>
  <c r="E307" i="2"/>
  <c r="M306" i="2"/>
  <c r="L306" i="2"/>
  <c r="K306" i="2"/>
  <c r="J306" i="2"/>
  <c r="I307" i="2" l="1"/>
  <c r="N307" i="2"/>
  <c r="I310" i="15"/>
  <c r="N310" i="15"/>
  <c r="Y328" i="2"/>
  <c r="W328" i="2"/>
  <c r="AA328" i="2"/>
  <c r="U329" i="2"/>
  <c r="X328" i="2"/>
  <c r="Z328" i="2"/>
  <c r="AB327" i="2"/>
  <c r="AC327" i="2"/>
  <c r="AD327" i="2"/>
  <c r="AE327" i="2"/>
  <c r="AB328" i="15"/>
  <c r="AC328" i="15"/>
  <c r="AA329" i="15"/>
  <c r="U330" i="15"/>
  <c r="Z329" i="15"/>
  <c r="Y329" i="15"/>
  <c r="W329" i="15"/>
  <c r="X329" i="15"/>
  <c r="AE328" i="15"/>
  <c r="AD328" i="15"/>
  <c r="J310" i="15"/>
  <c r="K310" i="15"/>
  <c r="P311" i="15"/>
  <c r="G311" i="15"/>
  <c r="O311" i="15"/>
  <c r="F311" i="15"/>
  <c r="Q311" i="15" s="1"/>
  <c r="R311" i="15"/>
  <c r="D311" i="15"/>
  <c r="H311" i="15"/>
  <c r="E311" i="15"/>
  <c r="M310" i="15"/>
  <c r="L310" i="15"/>
  <c r="J307" i="2"/>
  <c r="K307" i="2"/>
  <c r="O308" i="2"/>
  <c r="B309" i="2"/>
  <c r="D308" i="2"/>
  <c r="H308" i="2"/>
  <c r="P308" i="2"/>
  <c r="G308" i="2"/>
  <c r="F308" i="2"/>
  <c r="Q308" i="2" s="1"/>
  <c r="E308" i="2"/>
  <c r="R308" i="2"/>
  <c r="L307" i="2"/>
  <c r="M307" i="2"/>
  <c r="I308" i="2" l="1"/>
  <c r="N308" i="2"/>
  <c r="I311" i="15"/>
  <c r="N311" i="15"/>
  <c r="AA329" i="2"/>
  <c r="U330" i="2"/>
  <c r="W329" i="2"/>
  <c r="X329" i="2"/>
  <c r="Y329" i="2"/>
  <c r="Z329" i="2"/>
  <c r="AD328" i="2"/>
  <c r="AE328" i="2"/>
  <c r="AB328" i="2"/>
  <c r="AC328" i="2"/>
  <c r="AC329" i="15"/>
  <c r="AB329" i="15"/>
  <c r="X330" i="15"/>
  <c r="Z330" i="15"/>
  <c r="AA330" i="15"/>
  <c r="W330" i="15"/>
  <c r="Y330" i="15"/>
  <c r="U331" i="15"/>
  <c r="AE329" i="15"/>
  <c r="AD329" i="15"/>
  <c r="K311" i="15"/>
  <c r="J311" i="15"/>
  <c r="O312" i="15"/>
  <c r="F312" i="15"/>
  <c r="Q312" i="15" s="1"/>
  <c r="E312" i="15"/>
  <c r="H312" i="15"/>
  <c r="G312" i="15"/>
  <c r="D312" i="15"/>
  <c r="R312" i="15"/>
  <c r="P312" i="15"/>
  <c r="M311" i="15"/>
  <c r="L311" i="15"/>
  <c r="M308" i="2"/>
  <c r="L308" i="2"/>
  <c r="J308" i="2"/>
  <c r="K308" i="2"/>
  <c r="B310" i="2"/>
  <c r="G309" i="2"/>
  <c r="H309" i="2"/>
  <c r="O309" i="2"/>
  <c r="D309" i="2"/>
  <c r="F309" i="2"/>
  <c r="Q309" i="2" s="1"/>
  <c r="E309" i="2"/>
  <c r="P309" i="2"/>
  <c r="R309" i="2"/>
  <c r="I309" i="2" l="1"/>
  <c r="N309" i="2"/>
  <c r="I312" i="15"/>
  <c r="N312" i="15"/>
  <c r="AB329" i="2"/>
  <c r="AC329" i="2"/>
  <c r="AA330" i="2"/>
  <c r="W330" i="2"/>
  <c r="U331" i="2"/>
  <c r="Z330" i="2"/>
  <c r="X330" i="2"/>
  <c r="Y330" i="2"/>
  <c r="AE329" i="2"/>
  <c r="AD329" i="2"/>
  <c r="AB330" i="15"/>
  <c r="AC330" i="15"/>
  <c r="AE330" i="15"/>
  <c r="AD330" i="15"/>
  <c r="W331" i="15"/>
  <c r="X331" i="15"/>
  <c r="Z331" i="15"/>
  <c r="Y331" i="15"/>
  <c r="AA331" i="15"/>
  <c r="U332" i="15"/>
  <c r="E313" i="15"/>
  <c r="D313" i="15"/>
  <c r="P313" i="15"/>
  <c r="G313" i="15"/>
  <c r="O313" i="15"/>
  <c r="F313" i="15"/>
  <c r="Q313" i="15" s="1"/>
  <c r="H313" i="15"/>
  <c r="R313" i="15"/>
  <c r="M312" i="15"/>
  <c r="L312" i="15"/>
  <c r="J312" i="15"/>
  <c r="K312" i="15"/>
  <c r="M309" i="2"/>
  <c r="L309" i="2"/>
  <c r="O310" i="2"/>
  <c r="B311" i="2"/>
  <c r="G310" i="2"/>
  <c r="H310" i="2"/>
  <c r="F310" i="2"/>
  <c r="Q310" i="2" s="1"/>
  <c r="D310" i="2"/>
  <c r="E310" i="2"/>
  <c r="R310" i="2"/>
  <c r="P310" i="2"/>
  <c r="J309" i="2"/>
  <c r="K309" i="2"/>
  <c r="I310" i="2" l="1"/>
  <c r="N310" i="2"/>
  <c r="I313" i="15"/>
  <c r="N313" i="15"/>
  <c r="W331" i="2"/>
  <c r="X331" i="2"/>
  <c r="Y331" i="2"/>
  <c r="Z331" i="2"/>
  <c r="U332" i="2"/>
  <c r="AA331" i="2"/>
  <c r="AD330" i="2"/>
  <c r="AE330" i="2"/>
  <c r="AB330" i="2"/>
  <c r="AC330" i="2"/>
  <c r="AD331" i="15"/>
  <c r="AE331" i="15"/>
  <c r="AB331" i="15"/>
  <c r="AC331" i="15"/>
  <c r="Y332" i="15"/>
  <c r="Z332" i="15"/>
  <c r="W332" i="15"/>
  <c r="X332" i="15"/>
  <c r="U333" i="15"/>
  <c r="AA332" i="15"/>
  <c r="D314" i="15"/>
  <c r="O314" i="15"/>
  <c r="F314" i="15"/>
  <c r="Q314" i="15" s="1"/>
  <c r="P314" i="15"/>
  <c r="H314" i="15"/>
  <c r="G314" i="15"/>
  <c r="E314" i="15"/>
  <c r="R314" i="15"/>
  <c r="M313" i="15"/>
  <c r="L313" i="15"/>
  <c r="J313" i="15"/>
  <c r="K313" i="15"/>
  <c r="M310" i="2"/>
  <c r="L310" i="2"/>
  <c r="O311" i="2"/>
  <c r="B312" i="2"/>
  <c r="G311" i="2"/>
  <c r="D311" i="2"/>
  <c r="H311" i="2"/>
  <c r="F311" i="2"/>
  <c r="Q311" i="2" s="1"/>
  <c r="E311" i="2"/>
  <c r="R311" i="2"/>
  <c r="P311" i="2"/>
  <c r="J310" i="2"/>
  <c r="K310" i="2"/>
  <c r="I311" i="2" l="1"/>
  <c r="N311" i="2"/>
  <c r="I314" i="15"/>
  <c r="N314" i="15"/>
  <c r="AD331" i="2"/>
  <c r="AE331" i="2"/>
  <c r="Y332" i="2"/>
  <c r="AA332" i="2"/>
  <c r="U333" i="2"/>
  <c r="W332" i="2"/>
  <c r="X332" i="2"/>
  <c r="Z332" i="2"/>
  <c r="AB331" i="2"/>
  <c r="AC331" i="2"/>
  <c r="AB332" i="15"/>
  <c r="AC332" i="15"/>
  <c r="AD332" i="15"/>
  <c r="AE332" i="15"/>
  <c r="AA333" i="15"/>
  <c r="U334" i="15"/>
  <c r="W333" i="15"/>
  <c r="X333" i="15"/>
  <c r="Z333" i="15"/>
  <c r="Y333" i="15"/>
  <c r="K314" i="15"/>
  <c r="J314" i="15"/>
  <c r="L314" i="15"/>
  <c r="M314" i="15"/>
  <c r="O315" i="15"/>
  <c r="E315" i="15"/>
  <c r="G315" i="15"/>
  <c r="F315" i="15"/>
  <c r="Q315" i="15" s="1"/>
  <c r="P315" i="15"/>
  <c r="R315" i="15"/>
  <c r="H315" i="15"/>
  <c r="D315" i="15"/>
  <c r="B313" i="2"/>
  <c r="O312" i="2"/>
  <c r="G312" i="2"/>
  <c r="H312" i="2"/>
  <c r="F312" i="2"/>
  <c r="Q312" i="2" s="1"/>
  <c r="D312" i="2"/>
  <c r="E312" i="2"/>
  <c r="R312" i="2"/>
  <c r="P312" i="2"/>
  <c r="M311" i="2"/>
  <c r="L311" i="2"/>
  <c r="K311" i="2"/>
  <c r="J311" i="2"/>
  <c r="I312" i="2" l="1"/>
  <c r="N312" i="2"/>
  <c r="I315" i="15"/>
  <c r="N315" i="15"/>
  <c r="AB332" i="2"/>
  <c r="AC332" i="2"/>
  <c r="AA333" i="2"/>
  <c r="U334" i="2"/>
  <c r="W333" i="2"/>
  <c r="X333" i="2"/>
  <c r="Y333" i="2"/>
  <c r="Z333" i="2"/>
  <c r="AD332" i="2"/>
  <c r="AE332" i="2"/>
  <c r="X334" i="15"/>
  <c r="W334" i="15"/>
  <c r="U335" i="15"/>
  <c r="Z334" i="15"/>
  <c r="AA334" i="15"/>
  <c r="Y334" i="15"/>
  <c r="AC333" i="15"/>
  <c r="AB333" i="15"/>
  <c r="AE333" i="15"/>
  <c r="AD333" i="15"/>
  <c r="K315" i="15"/>
  <c r="J315" i="15"/>
  <c r="D316" i="15"/>
  <c r="P316" i="15"/>
  <c r="F316" i="15"/>
  <c r="Q316" i="15" s="1"/>
  <c r="E316" i="15"/>
  <c r="R316" i="15"/>
  <c r="H316" i="15"/>
  <c r="G316" i="15"/>
  <c r="O316" i="15"/>
  <c r="M315" i="15"/>
  <c r="L315" i="15"/>
  <c r="J312" i="2"/>
  <c r="K312" i="2"/>
  <c r="M312" i="2"/>
  <c r="L312" i="2"/>
  <c r="O313" i="2"/>
  <c r="H313" i="2"/>
  <c r="B314" i="2"/>
  <c r="G313" i="2"/>
  <c r="D313" i="2"/>
  <c r="E313" i="2"/>
  <c r="P313" i="2"/>
  <c r="R313" i="2"/>
  <c r="F313" i="2"/>
  <c r="Q313" i="2" s="1"/>
  <c r="I313" i="2" l="1"/>
  <c r="N313" i="2"/>
  <c r="I316" i="15"/>
  <c r="N316" i="15"/>
  <c r="AB333" i="2"/>
  <c r="AC333" i="2"/>
  <c r="Z334" i="2"/>
  <c r="U335" i="2"/>
  <c r="AA334" i="2"/>
  <c r="Y334" i="2"/>
  <c r="W334" i="2"/>
  <c r="X334" i="2"/>
  <c r="AD333" i="2"/>
  <c r="AE333" i="2"/>
  <c r="AE334" i="15"/>
  <c r="AD334" i="15"/>
  <c r="W335" i="15"/>
  <c r="X335" i="15"/>
  <c r="Z335" i="15"/>
  <c r="U336" i="15"/>
  <c r="Y335" i="15"/>
  <c r="AA335" i="15"/>
  <c r="AB334" i="15"/>
  <c r="AC334" i="15"/>
  <c r="O317" i="15"/>
  <c r="E317" i="15"/>
  <c r="D317" i="15"/>
  <c r="G317" i="15"/>
  <c r="R317" i="15"/>
  <c r="P317" i="15"/>
  <c r="F317" i="15"/>
  <c r="Q317" i="15" s="1"/>
  <c r="H317" i="15"/>
  <c r="L316" i="15"/>
  <c r="M316" i="15"/>
  <c r="K316" i="15"/>
  <c r="J316" i="15"/>
  <c r="B315" i="2"/>
  <c r="O314" i="2"/>
  <c r="H314" i="2"/>
  <c r="D314" i="2"/>
  <c r="G314" i="2"/>
  <c r="F314" i="2"/>
  <c r="Q314" i="2" s="1"/>
  <c r="P314" i="2"/>
  <c r="R314" i="2"/>
  <c r="E314" i="2"/>
  <c r="M313" i="2"/>
  <c r="L313" i="2"/>
  <c r="J313" i="2"/>
  <c r="K313" i="2"/>
  <c r="I314" i="2" l="1"/>
  <c r="N314" i="2"/>
  <c r="I317" i="15"/>
  <c r="N317" i="15"/>
  <c r="AB334" i="2"/>
  <c r="AC334" i="2"/>
  <c r="AD334" i="2"/>
  <c r="AE334" i="2"/>
  <c r="W335" i="2"/>
  <c r="X335" i="2"/>
  <c r="Y335" i="2"/>
  <c r="Z335" i="2"/>
  <c r="U336" i="2"/>
  <c r="AA335" i="2"/>
  <c r="Y336" i="15"/>
  <c r="Z336" i="15"/>
  <c r="W336" i="15"/>
  <c r="U337" i="15"/>
  <c r="X336" i="15"/>
  <c r="AA336" i="15"/>
  <c r="AB335" i="15"/>
  <c r="AC335" i="15"/>
  <c r="AD335" i="15"/>
  <c r="AE335" i="15"/>
  <c r="P318" i="15"/>
  <c r="F318" i="15"/>
  <c r="Q318" i="15" s="1"/>
  <c r="O318" i="15"/>
  <c r="E318" i="15"/>
  <c r="R318" i="15"/>
  <c r="H318" i="15"/>
  <c r="G318" i="15"/>
  <c r="D318" i="15"/>
  <c r="K317" i="15"/>
  <c r="J317" i="15"/>
  <c r="M317" i="15"/>
  <c r="L317" i="15"/>
  <c r="J314" i="2"/>
  <c r="K314" i="2"/>
  <c r="L314" i="2"/>
  <c r="M314" i="2"/>
  <c r="O315" i="2"/>
  <c r="B316" i="2"/>
  <c r="G315" i="2"/>
  <c r="D315" i="2"/>
  <c r="F315" i="2"/>
  <c r="Q315" i="2" s="1"/>
  <c r="P315" i="2"/>
  <c r="E315" i="2"/>
  <c r="H315" i="2"/>
  <c r="R315" i="2"/>
  <c r="I315" i="2" l="1"/>
  <c r="N315" i="2"/>
  <c r="I318" i="15"/>
  <c r="N318" i="15"/>
  <c r="AC335" i="2"/>
  <c r="AB335" i="2"/>
  <c r="AD335" i="2"/>
  <c r="AE335" i="2"/>
  <c r="Y336" i="2"/>
  <c r="Z336" i="2"/>
  <c r="U337" i="2"/>
  <c r="AA336" i="2"/>
  <c r="W336" i="2"/>
  <c r="X336" i="2"/>
  <c r="AD336" i="15"/>
  <c r="AE336" i="15"/>
  <c r="AA337" i="15"/>
  <c r="U338" i="15"/>
  <c r="W337" i="15"/>
  <c r="X337" i="15"/>
  <c r="Z337" i="15"/>
  <c r="Y337" i="15"/>
  <c r="AC336" i="15"/>
  <c r="AB336" i="15"/>
  <c r="M318" i="15"/>
  <c r="L318" i="15"/>
  <c r="J318" i="15"/>
  <c r="K318" i="15"/>
  <c r="R319" i="15"/>
  <c r="G319" i="15"/>
  <c r="P319" i="15"/>
  <c r="F319" i="15"/>
  <c r="Q319" i="15" s="1"/>
  <c r="O319" i="15"/>
  <c r="H319" i="15"/>
  <c r="E319" i="15"/>
  <c r="D319" i="15"/>
  <c r="J315" i="2"/>
  <c r="K315" i="2"/>
  <c r="O316" i="2"/>
  <c r="B317" i="2"/>
  <c r="D316" i="2"/>
  <c r="H316" i="2"/>
  <c r="P316" i="2"/>
  <c r="F316" i="2"/>
  <c r="Q316" i="2" s="1"/>
  <c r="E316" i="2"/>
  <c r="R316" i="2"/>
  <c r="G316" i="2"/>
  <c r="M315" i="2"/>
  <c r="L315" i="2"/>
  <c r="I316" i="2" l="1"/>
  <c r="N316" i="2"/>
  <c r="I319" i="15"/>
  <c r="N319" i="15"/>
  <c r="AB336" i="2"/>
  <c r="AC336" i="2"/>
  <c r="AA337" i="2"/>
  <c r="U338" i="2"/>
  <c r="W337" i="2"/>
  <c r="X337" i="2"/>
  <c r="Y337" i="2"/>
  <c r="Z337" i="2"/>
  <c r="AD336" i="2"/>
  <c r="AE336" i="2"/>
  <c r="X338" i="15"/>
  <c r="Y338" i="15"/>
  <c r="AA338" i="15"/>
  <c r="U339" i="15"/>
  <c r="Z338" i="15"/>
  <c r="W338" i="15"/>
  <c r="AC337" i="15"/>
  <c r="AB337" i="15"/>
  <c r="AD337" i="15"/>
  <c r="AE337" i="15"/>
  <c r="H320" i="15"/>
  <c r="R320" i="15"/>
  <c r="G320" i="15"/>
  <c r="F320" i="15"/>
  <c r="Q320" i="15" s="1"/>
  <c r="D320" i="15"/>
  <c r="E320" i="15"/>
  <c r="P320" i="15"/>
  <c r="O320" i="15"/>
  <c r="J319" i="15"/>
  <c r="K319" i="15"/>
  <c r="L319" i="15"/>
  <c r="M319" i="15"/>
  <c r="K316" i="2"/>
  <c r="J316" i="2"/>
  <c r="B318" i="2"/>
  <c r="G317" i="2"/>
  <c r="H317" i="2"/>
  <c r="D317" i="2"/>
  <c r="F317" i="2"/>
  <c r="Q317" i="2" s="1"/>
  <c r="E317" i="2"/>
  <c r="O317" i="2"/>
  <c r="P317" i="2"/>
  <c r="R317" i="2"/>
  <c r="M316" i="2"/>
  <c r="L316" i="2"/>
  <c r="I317" i="2" l="1"/>
  <c r="N317" i="2"/>
  <c r="I320" i="15"/>
  <c r="N320" i="15"/>
  <c r="AC337" i="2"/>
  <c r="AB337" i="2"/>
  <c r="Y338" i="2"/>
  <c r="Z338" i="2"/>
  <c r="U339" i="2"/>
  <c r="AA338" i="2"/>
  <c r="X338" i="2"/>
  <c r="W338" i="2"/>
  <c r="AD337" i="2"/>
  <c r="AE337" i="2"/>
  <c r="AB338" i="15"/>
  <c r="AC338" i="15"/>
  <c r="AE338" i="15"/>
  <c r="AD338" i="15"/>
  <c r="W339" i="15"/>
  <c r="X339" i="15"/>
  <c r="Z339" i="15"/>
  <c r="U340" i="15"/>
  <c r="AA339" i="15"/>
  <c r="Y339" i="15"/>
  <c r="M320" i="15"/>
  <c r="L320" i="15"/>
  <c r="K320" i="15"/>
  <c r="J320" i="15"/>
  <c r="P321" i="15"/>
  <c r="G321" i="15"/>
  <c r="F321" i="15"/>
  <c r="Q321" i="15" s="1"/>
  <c r="E321" i="15"/>
  <c r="D321" i="15"/>
  <c r="R321" i="15"/>
  <c r="H321" i="15"/>
  <c r="O321" i="15"/>
  <c r="J317" i="2"/>
  <c r="K317" i="2"/>
  <c r="M317" i="2"/>
  <c r="L317" i="2"/>
  <c r="O318" i="2"/>
  <c r="G318" i="2"/>
  <c r="H318" i="2"/>
  <c r="D318" i="2"/>
  <c r="B319" i="2"/>
  <c r="F318" i="2"/>
  <c r="Q318" i="2" s="1"/>
  <c r="E318" i="2"/>
  <c r="P318" i="2"/>
  <c r="R318" i="2"/>
  <c r="I318" i="2" l="1"/>
  <c r="N318" i="2"/>
  <c r="I321" i="15"/>
  <c r="N321" i="15"/>
  <c r="AD338" i="2"/>
  <c r="AE338" i="2"/>
  <c r="W339" i="2"/>
  <c r="X339" i="2"/>
  <c r="Y339" i="2"/>
  <c r="U340" i="2"/>
  <c r="Z339" i="2"/>
  <c r="AA339" i="2"/>
  <c r="AB338" i="2"/>
  <c r="AC338" i="2"/>
  <c r="AD339" i="15"/>
  <c r="AE339" i="15"/>
  <c r="AB339" i="15"/>
  <c r="AC339" i="15"/>
  <c r="X340" i="15"/>
  <c r="Y340" i="15"/>
  <c r="AA340" i="15"/>
  <c r="U341" i="15"/>
  <c r="W340" i="15"/>
  <c r="Z340" i="15"/>
  <c r="O322" i="15"/>
  <c r="F322" i="15"/>
  <c r="Q322" i="15" s="1"/>
  <c r="D322" i="15"/>
  <c r="E322" i="15"/>
  <c r="R322" i="15"/>
  <c r="H322" i="15"/>
  <c r="P322" i="15"/>
  <c r="G322" i="15"/>
  <c r="L321" i="15"/>
  <c r="M321" i="15"/>
  <c r="J321" i="15"/>
  <c r="K321" i="15"/>
  <c r="B320" i="2"/>
  <c r="D319" i="2"/>
  <c r="H319" i="2"/>
  <c r="O319" i="2"/>
  <c r="G319" i="2"/>
  <c r="F319" i="2"/>
  <c r="Q319" i="2" s="1"/>
  <c r="E319" i="2"/>
  <c r="P319" i="2"/>
  <c r="R319" i="2"/>
  <c r="J318" i="2"/>
  <c r="K318" i="2"/>
  <c r="M318" i="2"/>
  <c r="L318" i="2"/>
  <c r="I319" i="2" l="1"/>
  <c r="N319" i="2"/>
  <c r="I322" i="15"/>
  <c r="N322" i="15"/>
  <c r="Y340" i="2"/>
  <c r="X340" i="2"/>
  <c r="Z340" i="2"/>
  <c r="U341" i="2"/>
  <c r="AA340" i="2"/>
  <c r="W340" i="2"/>
  <c r="AB339" i="2"/>
  <c r="AC339" i="2"/>
  <c r="AD339" i="2"/>
  <c r="AE339" i="2"/>
  <c r="AE340" i="15"/>
  <c r="AD340" i="15"/>
  <c r="AC340" i="15"/>
  <c r="AB340" i="15"/>
  <c r="Z341" i="15"/>
  <c r="AA341" i="15"/>
  <c r="U342" i="15"/>
  <c r="W341" i="15"/>
  <c r="X341" i="15"/>
  <c r="Y341" i="15"/>
  <c r="M322" i="15"/>
  <c r="L322" i="15"/>
  <c r="K322" i="15"/>
  <c r="J322" i="15"/>
  <c r="E323" i="15"/>
  <c r="P323" i="15"/>
  <c r="F323" i="15"/>
  <c r="Q323" i="15" s="1"/>
  <c r="R323" i="15"/>
  <c r="G323" i="15"/>
  <c r="O323" i="15"/>
  <c r="H323" i="15"/>
  <c r="D323" i="15"/>
  <c r="M319" i="2"/>
  <c r="L319" i="2"/>
  <c r="J319" i="2"/>
  <c r="K319" i="2"/>
  <c r="B321" i="2"/>
  <c r="O320" i="2"/>
  <c r="F320" i="2"/>
  <c r="Q320" i="2" s="1"/>
  <c r="G320" i="2"/>
  <c r="E320" i="2"/>
  <c r="H320" i="2"/>
  <c r="D320" i="2"/>
  <c r="R320" i="2"/>
  <c r="P320" i="2"/>
  <c r="I320" i="2" l="1"/>
  <c r="N320" i="2"/>
  <c r="I323" i="15"/>
  <c r="N323" i="15"/>
  <c r="AB340" i="2"/>
  <c r="AC340" i="2"/>
  <c r="AE340" i="2"/>
  <c r="AD340" i="2"/>
  <c r="AA341" i="2"/>
  <c r="U342" i="2"/>
  <c r="W341" i="2"/>
  <c r="X341" i="2"/>
  <c r="Z341" i="2"/>
  <c r="Y341" i="2"/>
  <c r="W342" i="15"/>
  <c r="AA342" i="15"/>
  <c r="X342" i="15"/>
  <c r="Y342" i="15"/>
  <c r="Z342" i="15"/>
  <c r="U343" i="15"/>
  <c r="AD341" i="15"/>
  <c r="AE341" i="15"/>
  <c r="AB341" i="15"/>
  <c r="AC341" i="15"/>
  <c r="D324" i="15"/>
  <c r="O324" i="15"/>
  <c r="E324" i="15"/>
  <c r="G324" i="15"/>
  <c r="P324" i="15"/>
  <c r="H324" i="15"/>
  <c r="F324" i="15"/>
  <c r="Q324" i="15" s="1"/>
  <c r="R324" i="15"/>
  <c r="M323" i="15"/>
  <c r="L323" i="15"/>
  <c r="K323" i="15"/>
  <c r="J323" i="15"/>
  <c r="O321" i="2"/>
  <c r="B322" i="2"/>
  <c r="H321" i="2"/>
  <c r="G321" i="2"/>
  <c r="F321" i="2"/>
  <c r="Q321" i="2" s="1"/>
  <c r="E321" i="2"/>
  <c r="R321" i="2"/>
  <c r="D321" i="2"/>
  <c r="P321" i="2"/>
  <c r="K320" i="2"/>
  <c r="J320" i="2"/>
  <c r="M320" i="2"/>
  <c r="L320" i="2"/>
  <c r="I321" i="2" l="1"/>
  <c r="N321" i="2"/>
  <c r="I324" i="15"/>
  <c r="N324" i="15"/>
  <c r="AB341" i="2"/>
  <c r="AC341" i="2"/>
  <c r="X342" i="2"/>
  <c r="Y342" i="2"/>
  <c r="Z342" i="2"/>
  <c r="U343" i="2"/>
  <c r="AA342" i="2"/>
  <c r="W342" i="2"/>
  <c r="AD341" i="2"/>
  <c r="AE341" i="2"/>
  <c r="W343" i="15"/>
  <c r="Y343" i="15"/>
  <c r="AA343" i="15"/>
  <c r="X343" i="15"/>
  <c r="Z343" i="15"/>
  <c r="U344" i="15"/>
  <c r="AD342" i="15"/>
  <c r="AE342" i="15"/>
  <c r="AB342" i="15"/>
  <c r="AC342" i="15"/>
  <c r="P325" i="15"/>
  <c r="F325" i="15"/>
  <c r="Q325" i="15" s="1"/>
  <c r="O325" i="15"/>
  <c r="E325" i="15"/>
  <c r="R325" i="15"/>
  <c r="H325" i="15"/>
  <c r="G325" i="15"/>
  <c r="D325" i="15"/>
  <c r="K324" i="15"/>
  <c r="J324" i="15"/>
  <c r="L324" i="15"/>
  <c r="M324" i="15"/>
  <c r="J321" i="2"/>
  <c r="K321" i="2"/>
  <c r="M321" i="2"/>
  <c r="L321" i="2"/>
  <c r="G322" i="2"/>
  <c r="O322" i="2"/>
  <c r="H322" i="2"/>
  <c r="D322" i="2"/>
  <c r="B323" i="2"/>
  <c r="F322" i="2"/>
  <c r="Q322" i="2" s="1"/>
  <c r="E322" i="2"/>
  <c r="R322" i="2"/>
  <c r="P322" i="2"/>
  <c r="I322" i="2" l="1"/>
  <c r="N322" i="2"/>
  <c r="I325" i="15"/>
  <c r="N325" i="15"/>
  <c r="AE342" i="2"/>
  <c r="AD342" i="2"/>
  <c r="W343" i="2"/>
  <c r="X343" i="2"/>
  <c r="Y343" i="2"/>
  <c r="Z343" i="2"/>
  <c r="AA343" i="2"/>
  <c r="U344" i="2"/>
  <c r="AB342" i="2"/>
  <c r="AC342" i="2"/>
  <c r="X344" i="15"/>
  <c r="Y344" i="15"/>
  <c r="AA344" i="15"/>
  <c r="U345" i="15"/>
  <c r="Z344" i="15"/>
  <c r="W344" i="15"/>
  <c r="AD343" i="15"/>
  <c r="AE343" i="15"/>
  <c r="AC343" i="15"/>
  <c r="AB343" i="15"/>
  <c r="L325" i="15"/>
  <c r="M325" i="15"/>
  <c r="K325" i="15"/>
  <c r="J325" i="15"/>
  <c r="G326" i="15"/>
  <c r="P326" i="15"/>
  <c r="F326" i="15"/>
  <c r="Q326" i="15" s="1"/>
  <c r="H326" i="15"/>
  <c r="O326" i="15"/>
  <c r="E326" i="15"/>
  <c r="D326" i="15"/>
  <c r="R326" i="15"/>
  <c r="O323" i="2"/>
  <c r="B324" i="2"/>
  <c r="G323" i="2"/>
  <c r="D323" i="2"/>
  <c r="F323" i="2"/>
  <c r="Q323" i="2" s="1"/>
  <c r="H323" i="2"/>
  <c r="E323" i="2"/>
  <c r="P323" i="2"/>
  <c r="R323" i="2"/>
  <c r="J322" i="2"/>
  <c r="K322" i="2"/>
  <c r="M322" i="2"/>
  <c r="L322" i="2"/>
  <c r="I323" i="2" l="1"/>
  <c r="N323" i="2"/>
  <c r="I326" i="15"/>
  <c r="N326" i="15"/>
  <c r="AD343" i="2"/>
  <c r="AE343" i="2"/>
  <c r="AB343" i="2"/>
  <c r="AC343" i="2"/>
  <c r="Y344" i="2"/>
  <c r="W344" i="2"/>
  <c r="X344" i="2"/>
  <c r="Z344" i="2"/>
  <c r="U345" i="2"/>
  <c r="AA344" i="2"/>
  <c r="AC344" i="15"/>
  <c r="AB344" i="15"/>
  <c r="Z345" i="15"/>
  <c r="AA345" i="15"/>
  <c r="U346" i="15"/>
  <c r="X345" i="15"/>
  <c r="Y345" i="15"/>
  <c r="W345" i="15"/>
  <c r="AE344" i="15"/>
  <c r="AD344" i="15"/>
  <c r="R327" i="15"/>
  <c r="H327" i="15"/>
  <c r="G327" i="15"/>
  <c r="F327" i="15"/>
  <c r="Q327" i="15" s="1"/>
  <c r="E327" i="15"/>
  <c r="P327" i="15"/>
  <c r="D327" i="15"/>
  <c r="O327" i="15"/>
  <c r="J326" i="15"/>
  <c r="K326" i="15"/>
  <c r="M326" i="15"/>
  <c r="L326" i="15"/>
  <c r="J323" i="2"/>
  <c r="K323" i="2"/>
  <c r="B325" i="2"/>
  <c r="O324" i="2"/>
  <c r="G324" i="2"/>
  <c r="H324" i="2"/>
  <c r="D324" i="2"/>
  <c r="F324" i="2"/>
  <c r="Q324" i="2" s="1"/>
  <c r="P324" i="2"/>
  <c r="E324" i="2"/>
  <c r="R324" i="2"/>
  <c r="M323" i="2"/>
  <c r="L323" i="2"/>
  <c r="I324" i="2" l="1"/>
  <c r="N324" i="2"/>
  <c r="I327" i="15"/>
  <c r="N327" i="15"/>
  <c r="AB344" i="2"/>
  <c r="AC344" i="2"/>
  <c r="AE344" i="2"/>
  <c r="AD344" i="2"/>
  <c r="AA345" i="2"/>
  <c r="U346" i="2"/>
  <c r="W345" i="2"/>
  <c r="Y345" i="2"/>
  <c r="X345" i="2"/>
  <c r="Z345" i="2"/>
  <c r="W346" i="15"/>
  <c r="X346" i="15"/>
  <c r="U347" i="15"/>
  <c r="Z346" i="15"/>
  <c r="AA346" i="15"/>
  <c r="Y346" i="15"/>
  <c r="AB345" i="15"/>
  <c r="AC345" i="15"/>
  <c r="AD345" i="15"/>
  <c r="AE345" i="15"/>
  <c r="K327" i="15"/>
  <c r="J327" i="15"/>
  <c r="H328" i="15"/>
  <c r="E328" i="15"/>
  <c r="R328" i="15"/>
  <c r="D328" i="15"/>
  <c r="G328" i="15"/>
  <c r="O328" i="15"/>
  <c r="F328" i="15"/>
  <c r="Q328" i="15" s="1"/>
  <c r="P328" i="15"/>
  <c r="L327" i="15"/>
  <c r="M327" i="15"/>
  <c r="B326" i="2"/>
  <c r="G325" i="2"/>
  <c r="O325" i="2"/>
  <c r="H325" i="2"/>
  <c r="D325" i="2"/>
  <c r="F325" i="2"/>
  <c r="Q325" i="2" s="1"/>
  <c r="P325" i="2"/>
  <c r="E325" i="2"/>
  <c r="R325" i="2"/>
  <c r="K324" i="2"/>
  <c r="J324" i="2"/>
  <c r="M324" i="2"/>
  <c r="L324" i="2"/>
  <c r="I325" i="2" l="1"/>
  <c r="N325" i="2"/>
  <c r="I328" i="15"/>
  <c r="N328" i="15"/>
  <c r="AB345" i="2"/>
  <c r="AC345" i="2"/>
  <c r="W346" i="2"/>
  <c r="X346" i="2"/>
  <c r="Y346" i="2"/>
  <c r="Z346" i="2"/>
  <c r="U347" i="2"/>
  <c r="AA346" i="2"/>
  <c r="AD345" i="2"/>
  <c r="AE345" i="2"/>
  <c r="AD346" i="15"/>
  <c r="AE346" i="15"/>
  <c r="W347" i="15"/>
  <c r="Y347" i="15"/>
  <c r="U348" i="15"/>
  <c r="AA347" i="15"/>
  <c r="Z347" i="15"/>
  <c r="X347" i="15"/>
  <c r="AB346" i="15"/>
  <c r="AC346" i="15"/>
  <c r="J328" i="15"/>
  <c r="K328" i="15"/>
  <c r="R329" i="15"/>
  <c r="H329" i="15"/>
  <c r="P329" i="15"/>
  <c r="E329" i="15"/>
  <c r="D329" i="15"/>
  <c r="G329" i="15"/>
  <c r="F329" i="15"/>
  <c r="Q329" i="15" s="1"/>
  <c r="O329" i="15"/>
  <c r="L328" i="15"/>
  <c r="M328" i="15"/>
  <c r="K325" i="2"/>
  <c r="J325" i="2"/>
  <c r="M325" i="2"/>
  <c r="L325" i="2"/>
  <c r="O326" i="2"/>
  <c r="G326" i="2"/>
  <c r="H326" i="2"/>
  <c r="D326" i="2"/>
  <c r="B327" i="2"/>
  <c r="E326" i="2"/>
  <c r="F326" i="2"/>
  <c r="Q326" i="2" s="1"/>
  <c r="P326" i="2"/>
  <c r="R326" i="2"/>
  <c r="I326" i="2" l="1"/>
  <c r="N326" i="2"/>
  <c r="I329" i="15"/>
  <c r="N329" i="15"/>
  <c r="W347" i="2"/>
  <c r="AA347" i="2"/>
  <c r="X347" i="2"/>
  <c r="Y347" i="2"/>
  <c r="Z347" i="2"/>
  <c r="U348" i="2"/>
  <c r="AB346" i="2"/>
  <c r="AC346" i="2"/>
  <c r="AE346" i="2"/>
  <c r="AD346" i="2"/>
  <c r="AD347" i="15"/>
  <c r="AE347" i="15"/>
  <c r="X348" i="15"/>
  <c r="Y348" i="15"/>
  <c r="AA348" i="15"/>
  <c r="U349" i="15"/>
  <c r="Z348" i="15"/>
  <c r="W348" i="15"/>
  <c r="AC347" i="15"/>
  <c r="AB347" i="15"/>
  <c r="K329" i="15"/>
  <c r="J329" i="15"/>
  <c r="M329" i="15"/>
  <c r="L329" i="15"/>
  <c r="H330" i="15"/>
  <c r="R330" i="15"/>
  <c r="F330" i="15"/>
  <c r="Q330" i="15" s="1"/>
  <c r="P330" i="15"/>
  <c r="E330" i="15"/>
  <c r="G330" i="15"/>
  <c r="O330" i="15"/>
  <c r="D330" i="15"/>
  <c r="B328" i="2"/>
  <c r="G327" i="2"/>
  <c r="D327" i="2"/>
  <c r="O327" i="2"/>
  <c r="H327" i="2"/>
  <c r="F327" i="2"/>
  <c r="Q327" i="2" s="1"/>
  <c r="P327" i="2"/>
  <c r="E327" i="2"/>
  <c r="R327" i="2"/>
  <c r="J326" i="2"/>
  <c r="K326" i="2"/>
  <c r="M326" i="2"/>
  <c r="L326" i="2"/>
  <c r="I327" i="2" l="1"/>
  <c r="N327" i="2"/>
  <c r="I330" i="15"/>
  <c r="N330" i="15"/>
  <c r="AB347" i="2"/>
  <c r="AC347" i="2"/>
  <c r="Y348" i="2"/>
  <c r="W348" i="2"/>
  <c r="X348" i="2"/>
  <c r="Z348" i="2"/>
  <c r="U349" i="2"/>
  <c r="AA348" i="2"/>
  <c r="AD347" i="2"/>
  <c r="AE347" i="2"/>
  <c r="Z349" i="15"/>
  <c r="AA349" i="15"/>
  <c r="U350" i="15"/>
  <c r="Y349" i="15"/>
  <c r="X349" i="15"/>
  <c r="W349" i="15"/>
  <c r="AE348" i="15"/>
  <c r="AD348" i="15"/>
  <c r="AB348" i="15"/>
  <c r="AC348" i="15"/>
  <c r="P331" i="15"/>
  <c r="G331" i="15"/>
  <c r="D331" i="15"/>
  <c r="R331" i="15"/>
  <c r="F331" i="15"/>
  <c r="Q331" i="15" s="1"/>
  <c r="E331" i="15"/>
  <c r="H331" i="15"/>
  <c r="O331" i="15"/>
  <c r="J330" i="15"/>
  <c r="K330" i="15"/>
  <c r="M330" i="15"/>
  <c r="L330" i="15"/>
  <c r="M327" i="2"/>
  <c r="L327" i="2"/>
  <c r="J327" i="2"/>
  <c r="K327" i="2"/>
  <c r="B329" i="2"/>
  <c r="O328" i="2"/>
  <c r="G328" i="2"/>
  <c r="H328" i="2"/>
  <c r="F328" i="2"/>
  <c r="Q328" i="2" s="1"/>
  <c r="D328" i="2"/>
  <c r="E328" i="2"/>
  <c r="P328" i="2"/>
  <c r="R328" i="2"/>
  <c r="I328" i="2" l="1"/>
  <c r="N328" i="2"/>
  <c r="I331" i="15"/>
  <c r="N331" i="15"/>
  <c r="AA349" i="2"/>
  <c r="U350" i="2"/>
  <c r="Z349" i="2"/>
  <c r="Y349" i="2"/>
  <c r="W349" i="2"/>
  <c r="X349" i="2"/>
  <c r="AC348" i="2"/>
  <c r="AB348" i="2"/>
  <c r="AD348" i="2"/>
  <c r="AE348" i="2"/>
  <c r="W350" i="15"/>
  <c r="AA350" i="15"/>
  <c r="Z350" i="15"/>
  <c r="U351" i="15"/>
  <c r="X350" i="15"/>
  <c r="Y350" i="15"/>
  <c r="AE349" i="15"/>
  <c r="AD349" i="15"/>
  <c r="AB349" i="15"/>
  <c r="AC349" i="15"/>
  <c r="M331" i="15"/>
  <c r="L331" i="15"/>
  <c r="K331" i="15"/>
  <c r="J331" i="15"/>
  <c r="O332" i="15"/>
  <c r="F332" i="15"/>
  <c r="Q332" i="15" s="1"/>
  <c r="D332" i="15"/>
  <c r="P332" i="15"/>
  <c r="G332" i="15"/>
  <c r="H332" i="15"/>
  <c r="E332" i="15"/>
  <c r="R332" i="15"/>
  <c r="L328" i="2"/>
  <c r="M328" i="2"/>
  <c r="O329" i="2"/>
  <c r="B330" i="2"/>
  <c r="H329" i="2"/>
  <c r="G329" i="2"/>
  <c r="F329" i="2"/>
  <c r="Q329" i="2" s="1"/>
  <c r="E329" i="2"/>
  <c r="D329" i="2"/>
  <c r="R329" i="2"/>
  <c r="P329" i="2"/>
  <c r="J328" i="2"/>
  <c r="K328" i="2"/>
  <c r="I329" i="2" l="1"/>
  <c r="N329" i="2"/>
  <c r="I332" i="15"/>
  <c r="N332" i="15"/>
  <c r="AB349" i="2"/>
  <c r="AC349" i="2"/>
  <c r="W350" i="2"/>
  <c r="X350" i="2"/>
  <c r="Y350" i="2"/>
  <c r="Z350" i="2"/>
  <c r="U351" i="2"/>
  <c r="AA350" i="2"/>
  <c r="AD349" i="2"/>
  <c r="AE349" i="2"/>
  <c r="W351" i="15"/>
  <c r="Y351" i="15"/>
  <c r="Z351" i="15"/>
  <c r="AA351" i="15"/>
  <c r="X351" i="15"/>
  <c r="U352" i="15"/>
  <c r="AD350" i="15"/>
  <c r="AE350" i="15"/>
  <c r="AB350" i="15"/>
  <c r="AC350" i="15"/>
  <c r="J332" i="15"/>
  <c r="K332" i="15"/>
  <c r="E333" i="15"/>
  <c r="O333" i="15"/>
  <c r="D333" i="15"/>
  <c r="P333" i="15"/>
  <c r="F333" i="15"/>
  <c r="Q333" i="15" s="1"/>
  <c r="H333" i="15"/>
  <c r="G333" i="15"/>
  <c r="R333" i="15"/>
  <c r="L332" i="15"/>
  <c r="M332" i="15"/>
  <c r="O330" i="2"/>
  <c r="B331" i="2"/>
  <c r="H330" i="2"/>
  <c r="D330" i="2"/>
  <c r="F330" i="2"/>
  <c r="Q330" i="2" s="1"/>
  <c r="G330" i="2"/>
  <c r="E330" i="2"/>
  <c r="R330" i="2"/>
  <c r="P330" i="2"/>
  <c r="J329" i="2"/>
  <c r="K329" i="2"/>
  <c r="M329" i="2"/>
  <c r="L329" i="2"/>
  <c r="I330" i="2" l="1"/>
  <c r="N330" i="2"/>
  <c r="I333" i="15"/>
  <c r="N333" i="15"/>
  <c r="W351" i="2"/>
  <c r="Z351" i="2"/>
  <c r="U352" i="2"/>
  <c r="AA351" i="2"/>
  <c r="X351" i="2"/>
  <c r="Y351" i="2"/>
  <c r="AB350" i="2"/>
  <c r="AC350" i="2"/>
  <c r="AD350" i="2"/>
  <c r="AE350" i="2"/>
  <c r="X352" i="15"/>
  <c r="Y352" i="15"/>
  <c r="AA352" i="15"/>
  <c r="U353" i="15"/>
  <c r="W352" i="15"/>
  <c r="Z352" i="15"/>
  <c r="AD351" i="15"/>
  <c r="AE351" i="15"/>
  <c r="AC351" i="15"/>
  <c r="AB351" i="15"/>
  <c r="D334" i="15"/>
  <c r="P334" i="15"/>
  <c r="F334" i="15"/>
  <c r="Q334" i="15" s="1"/>
  <c r="H334" i="15"/>
  <c r="G334" i="15"/>
  <c r="E334" i="15"/>
  <c r="R334" i="15"/>
  <c r="O334" i="15"/>
  <c r="K333" i="15"/>
  <c r="J333" i="15"/>
  <c r="M333" i="15"/>
  <c r="L333" i="15"/>
  <c r="J330" i="2"/>
  <c r="K330" i="2"/>
  <c r="M330" i="2"/>
  <c r="L330" i="2"/>
  <c r="O331" i="2"/>
  <c r="B332" i="2"/>
  <c r="G331" i="2"/>
  <c r="D331" i="2"/>
  <c r="H331" i="2"/>
  <c r="F331" i="2"/>
  <c r="Q331" i="2" s="1"/>
  <c r="E331" i="2"/>
  <c r="P331" i="2"/>
  <c r="R331" i="2"/>
  <c r="I331" i="2" l="1"/>
  <c r="N331" i="2"/>
  <c r="I334" i="15"/>
  <c r="N334" i="15"/>
  <c r="AD351" i="2"/>
  <c r="AE351" i="2"/>
  <c r="Y352" i="2"/>
  <c r="W352" i="2"/>
  <c r="X352" i="2"/>
  <c r="Z352" i="2"/>
  <c r="U353" i="2"/>
  <c r="AA352" i="2"/>
  <c r="AB351" i="2"/>
  <c r="AC351" i="2"/>
  <c r="AB352" i="15"/>
  <c r="AC352" i="15"/>
  <c r="Z353" i="15"/>
  <c r="AA353" i="15"/>
  <c r="U354" i="15"/>
  <c r="X353" i="15"/>
  <c r="Y353" i="15"/>
  <c r="W353" i="15"/>
  <c r="AE352" i="15"/>
  <c r="AD352" i="15"/>
  <c r="D335" i="15"/>
  <c r="F335" i="15"/>
  <c r="Q335" i="15" s="1"/>
  <c r="P335" i="15"/>
  <c r="E335" i="15"/>
  <c r="H335" i="15"/>
  <c r="G335" i="15"/>
  <c r="R335" i="15"/>
  <c r="O335" i="15"/>
  <c r="L334" i="15"/>
  <c r="M334" i="15"/>
  <c r="K334" i="15"/>
  <c r="J334" i="15"/>
  <c r="B333" i="2"/>
  <c r="D332" i="2"/>
  <c r="G332" i="2"/>
  <c r="P332" i="2"/>
  <c r="H332" i="2"/>
  <c r="O332" i="2"/>
  <c r="F332" i="2"/>
  <c r="Q332" i="2" s="1"/>
  <c r="E332" i="2"/>
  <c r="R332" i="2"/>
  <c r="M331" i="2"/>
  <c r="L331" i="2"/>
  <c r="J331" i="2"/>
  <c r="K331" i="2"/>
  <c r="I332" i="2" l="1"/>
  <c r="N332" i="2"/>
  <c r="I335" i="15"/>
  <c r="N335" i="15"/>
  <c r="AA353" i="2"/>
  <c r="U354" i="2"/>
  <c r="Y353" i="2"/>
  <c r="Z353" i="2"/>
  <c r="W353" i="2"/>
  <c r="X353" i="2"/>
  <c r="AC352" i="2"/>
  <c r="AB352" i="2"/>
  <c r="AD352" i="2"/>
  <c r="AE352" i="2"/>
  <c r="AB353" i="15"/>
  <c r="AC353" i="15"/>
  <c r="W354" i="15"/>
  <c r="Y354" i="15"/>
  <c r="Z354" i="15"/>
  <c r="X354" i="15"/>
  <c r="U355" i="15"/>
  <c r="AA354" i="15"/>
  <c r="AE353" i="15"/>
  <c r="AD353" i="15"/>
  <c r="L335" i="15"/>
  <c r="M335" i="15"/>
  <c r="O336" i="15"/>
  <c r="F336" i="15"/>
  <c r="Q336" i="15" s="1"/>
  <c r="P336" i="15"/>
  <c r="G336" i="15"/>
  <c r="E336" i="15"/>
  <c r="H336" i="15"/>
  <c r="D336" i="15"/>
  <c r="R336" i="15"/>
  <c r="K335" i="15"/>
  <c r="J335" i="15"/>
  <c r="M332" i="2"/>
  <c r="L332" i="2"/>
  <c r="K332" i="2"/>
  <c r="J332" i="2"/>
  <c r="B334" i="2"/>
  <c r="O333" i="2"/>
  <c r="H333" i="2"/>
  <c r="G333" i="2"/>
  <c r="D333" i="2"/>
  <c r="P333" i="2"/>
  <c r="E333" i="2"/>
  <c r="F333" i="2"/>
  <c r="Q333" i="2" s="1"/>
  <c r="R333" i="2"/>
  <c r="I333" i="2" l="1"/>
  <c r="N333" i="2"/>
  <c r="I336" i="15"/>
  <c r="N336" i="15"/>
  <c r="AB353" i="2"/>
  <c r="AC353" i="2"/>
  <c r="W354" i="2"/>
  <c r="X354" i="2"/>
  <c r="Y354" i="2"/>
  <c r="Z354" i="2"/>
  <c r="AA354" i="2"/>
  <c r="U355" i="2"/>
  <c r="AD353" i="2"/>
  <c r="AE353" i="2"/>
  <c r="AD354" i="15"/>
  <c r="AE354" i="15"/>
  <c r="W355" i="15"/>
  <c r="Y355" i="15"/>
  <c r="U356" i="15"/>
  <c r="Z355" i="15"/>
  <c r="X355" i="15"/>
  <c r="AA355" i="15"/>
  <c r="AB354" i="15"/>
  <c r="AC354" i="15"/>
  <c r="L336" i="15"/>
  <c r="M336" i="15"/>
  <c r="E337" i="15"/>
  <c r="R337" i="15"/>
  <c r="G337" i="15"/>
  <c r="F337" i="15"/>
  <c r="Q337" i="15" s="1"/>
  <c r="H337" i="15"/>
  <c r="P337" i="15"/>
  <c r="O337" i="15"/>
  <c r="D337" i="15"/>
  <c r="K336" i="15"/>
  <c r="J336" i="15"/>
  <c r="M333" i="2"/>
  <c r="L333" i="2"/>
  <c r="K333" i="2"/>
  <c r="J333" i="2"/>
  <c r="O334" i="2"/>
  <c r="G334" i="2"/>
  <c r="H334" i="2"/>
  <c r="E334" i="2"/>
  <c r="B335" i="2"/>
  <c r="D334" i="2"/>
  <c r="P334" i="2"/>
  <c r="R334" i="2"/>
  <c r="F334" i="2"/>
  <c r="Q334" i="2" s="1"/>
  <c r="I334" i="2" l="1"/>
  <c r="N334" i="2"/>
  <c r="I337" i="15"/>
  <c r="N337" i="15"/>
  <c r="AD354" i="2"/>
  <c r="AE354" i="2"/>
  <c r="AB354" i="2"/>
  <c r="AC354" i="2"/>
  <c r="W355" i="2"/>
  <c r="Y355" i="2"/>
  <c r="Z355" i="2"/>
  <c r="U356" i="2"/>
  <c r="AA355" i="2"/>
  <c r="X355" i="2"/>
  <c r="AC355" i="15"/>
  <c r="AB355" i="15"/>
  <c r="X356" i="15"/>
  <c r="Y356" i="15"/>
  <c r="AA356" i="15"/>
  <c r="U357" i="15"/>
  <c r="W356" i="15"/>
  <c r="Z356" i="15"/>
  <c r="AD355" i="15"/>
  <c r="AE355" i="15"/>
  <c r="M337" i="15"/>
  <c r="L337" i="15"/>
  <c r="J337" i="15"/>
  <c r="K337" i="15"/>
  <c r="D338" i="15"/>
  <c r="R338" i="15"/>
  <c r="H338" i="15"/>
  <c r="P338" i="15"/>
  <c r="O338" i="15"/>
  <c r="F338" i="15"/>
  <c r="Q338" i="15" s="1"/>
  <c r="G338" i="15"/>
  <c r="E338" i="15"/>
  <c r="M334" i="2"/>
  <c r="L334" i="2"/>
  <c r="K334" i="2"/>
  <c r="J334" i="2"/>
  <c r="G335" i="2"/>
  <c r="D335" i="2"/>
  <c r="B336" i="2"/>
  <c r="O335" i="2"/>
  <c r="H335" i="2"/>
  <c r="F335" i="2"/>
  <c r="Q335" i="2" s="1"/>
  <c r="P335" i="2"/>
  <c r="E335" i="2"/>
  <c r="R335" i="2"/>
  <c r="I335" i="2" l="1"/>
  <c r="N335" i="2"/>
  <c r="I338" i="15"/>
  <c r="N338" i="15"/>
  <c r="AB355" i="2"/>
  <c r="AC355" i="2"/>
  <c r="W356" i="2"/>
  <c r="X356" i="2"/>
  <c r="U357" i="2"/>
  <c r="Z356" i="2"/>
  <c r="AA356" i="2"/>
  <c r="Y356" i="2"/>
  <c r="AD355" i="2"/>
  <c r="AE355" i="2"/>
  <c r="AB356" i="15"/>
  <c r="AC356" i="15"/>
  <c r="Z357" i="15"/>
  <c r="AA357" i="15"/>
  <c r="U358" i="15"/>
  <c r="W357" i="15"/>
  <c r="X357" i="15"/>
  <c r="Y357" i="15"/>
  <c r="AE356" i="15"/>
  <c r="AD356" i="15"/>
  <c r="L338" i="15"/>
  <c r="M338" i="15"/>
  <c r="K338" i="15"/>
  <c r="J338" i="15"/>
  <c r="H339" i="15"/>
  <c r="P339" i="15"/>
  <c r="G339" i="15"/>
  <c r="O339" i="15"/>
  <c r="R339" i="15"/>
  <c r="D339" i="15"/>
  <c r="F339" i="15"/>
  <c r="Q339" i="15" s="1"/>
  <c r="E339" i="15"/>
  <c r="M335" i="2"/>
  <c r="L335" i="2"/>
  <c r="B337" i="2"/>
  <c r="O336" i="2"/>
  <c r="G336" i="2"/>
  <c r="H336" i="2"/>
  <c r="D336" i="2"/>
  <c r="F336" i="2"/>
  <c r="Q336" i="2" s="1"/>
  <c r="E336" i="2"/>
  <c r="P336" i="2"/>
  <c r="R336" i="2"/>
  <c r="J335" i="2"/>
  <c r="K335" i="2"/>
  <c r="I336" i="2" l="1"/>
  <c r="N336" i="2"/>
  <c r="I339" i="15"/>
  <c r="N339" i="15"/>
  <c r="W357" i="2"/>
  <c r="X357" i="2"/>
  <c r="Y357" i="2"/>
  <c r="Z357" i="2"/>
  <c r="AA357" i="2"/>
  <c r="U358" i="2"/>
  <c r="AB356" i="2"/>
  <c r="AC356" i="2"/>
  <c r="AD356" i="2"/>
  <c r="AE356" i="2"/>
  <c r="AB357" i="15"/>
  <c r="AC357" i="15"/>
  <c r="W358" i="15"/>
  <c r="U359" i="15"/>
  <c r="X358" i="15"/>
  <c r="AA358" i="15"/>
  <c r="Y358" i="15"/>
  <c r="Z358" i="15"/>
  <c r="AD357" i="15"/>
  <c r="AE357" i="15"/>
  <c r="L339" i="15"/>
  <c r="M339" i="15"/>
  <c r="K339" i="15"/>
  <c r="J339" i="15"/>
  <c r="P340" i="15"/>
  <c r="G340" i="15"/>
  <c r="O340" i="15"/>
  <c r="F340" i="15"/>
  <c r="Q340" i="15" s="1"/>
  <c r="H340" i="15"/>
  <c r="E340" i="15"/>
  <c r="R340" i="15"/>
  <c r="D340" i="15"/>
  <c r="M336" i="2"/>
  <c r="L336" i="2"/>
  <c r="O337" i="2"/>
  <c r="B338" i="2"/>
  <c r="H337" i="2"/>
  <c r="G337" i="2"/>
  <c r="F337" i="2"/>
  <c r="Q337" i="2" s="1"/>
  <c r="E337" i="2"/>
  <c r="D337" i="2"/>
  <c r="P337" i="2"/>
  <c r="R337" i="2"/>
  <c r="J336" i="2"/>
  <c r="K336" i="2"/>
  <c r="I337" i="2" l="1"/>
  <c r="N337" i="2"/>
  <c r="I340" i="15"/>
  <c r="N340" i="15"/>
  <c r="X358" i="2"/>
  <c r="Y358" i="2"/>
  <c r="Z358" i="2"/>
  <c r="AA358" i="2"/>
  <c r="U359" i="2"/>
  <c r="W358" i="2"/>
  <c r="AD357" i="2"/>
  <c r="AE357" i="2"/>
  <c r="AC357" i="2"/>
  <c r="AB357" i="2"/>
  <c r="W359" i="15"/>
  <c r="Y359" i="15"/>
  <c r="U360" i="15"/>
  <c r="Z359" i="15"/>
  <c r="X359" i="15"/>
  <c r="AA359" i="15"/>
  <c r="AD358" i="15"/>
  <c r="AE358" i="15"/>
  <c r="AB358" i="15"/>
  <c r="AC358" i="15"/>
  <c r="R341" i="15"/>
  <c r="O341" i="15"/>
  <c r="F341" i="15"/>
  <c r="Q341" i="15" s="1"/>
  <c r="E341" i="15"/>
  <c r="P341" i="15"/>
  <c r="G341" i="15"/>
  <c r="D341" i="15"/>
  <c r="H341" i="15"/>
  <c r="J340" i="15"/>
  <c r="K340" i="15"/>
  <c r="M340" i="15"/>
  <c r="L340" i="15"/>
  <c r="J337" i="2"/>
  <c r="K337" i="2"/>
  <c r="M337" i="2"/>
  <c r="L337" i="2"/>
  <c r="O338" i="2"/>
  <c r="B339" i="2"/>
  <c r="H338" i="2"/>
  <c r="G338" i="2"/>
  <c r="D338" i="2"/>
  <c r="F338" i="2"/>
  <c r="Q338" i="2" s="1"/>
  <c r="E338" i="2"/>
  <c r="R338" i="2"/>
  <c r="P338" i="2"/>
  <c r="I338" i="2" l="1"/>
  <c r="N338" i="2"/>
  <c r="I341" i="15"/>
  <c r="N341" i="15"/>
  <c r="AB358" i="2"/>
  <c r="AC358" i="2"/>
  <c r="Z359" i="2"/>
  <c r="AA359" i="2"/>
  <c r="U360" i="2"/>
  <c r="Y359" i="2"/>
  <c r="W359" i="2"/>
  <c r="X359" i="2"/>
  <c r="AE358" i="2"/>
  <c r="AD358" i="2"/>
  <c r="AD359" i="15"/>
  <c r="AE359" i="15"/>
  <c r="X360" i="15"/>
  <c r="Y360" i="15"/>
  <c r="AA360" i="15"/>
  <c r="U361" i="15"/>
  <c r="Z360" i="15"/>
  <c r="W360" i="15"/>
  <c r="AC359" i="15"/>
  <c r="AB359" i="15"/>
  <c r="J341" i="15"/>
  <c r="K341" i="15"/>
  <c r="H342" i="15"/>
  <c r="E342" i="15"/>
  <c r="D342" i="15"/>
  <c r="P342" i="15"/>
  <c r="G342" i="15"/>
  <c r="F342" i="15"/>
  <c r="Q342" i="15" s="1"/>
  <c r="O342" i="15"/>
  <c r="R342" i="15"/>
  <c r="M341" i="15"/>
  <c r="L341" i="15"/>
  <c r="J338" i="2"/>
  <c r="K338" i="2"/>
  <c r="M338" i="2"/>
  <c r="L338" i="2"/>
  <c r="O339" i="2"/>
  <c r="B340" i="2"/>
  <c r="G339" i="2"/>
  <c r="D339" i="2"/>
  <c r="F339" i="2"/>
  <c r="Q339" i="2" s="1"/>
  <c r="H339" i="2"/>
  <c r="E339" i="2"/>
  <c r="R339" i="2"/>
  <c r="P339" i="2"/>
  <c r="I339" i="2" l="1"/>
  <c r="N339" i="2"/>
  <c r="I342" i="15"/>
  <c r="N342" i="15"/>
  <c r="W360" i="2"/>
  <c r="X360" i="2"/>
  <c r="Z360" i="2"/>
  <c r="Y360" i="2"/>
  <c r="AA360" i="2"/>
  <c r="U361" i="2"/>
  <c r="AD359" i="2"/>
  <c r="AE359" i="2"/>
  <c r="AB359" i="2"/>
  <c r="AC359" i="2"/>
  <c r="AE360" i="15"/>
  <c r="AD360" i="15"/>
  <c r="Z361" i="15"/>
  <c r="AA361" i="15"/>
  <c r="U362" i="15"/>
  <c r="Y361" i="15"/>
  <c r="W361" i="15"/>
  <c r="X361" i="15"/>
  <c r="AC360" i="15"/>
  <c r="AB360" i="15"/>
  <c r="K342" i="15"/>
  <c r="J342" i="15"/>
  <c r="M342" i="15"/>
  <c r="L342" i="15"/>
  <c r="P343" i="15"/>
  <c r="G343" i="15"/>
  <c r="D343" i="15"/>
  <c r="H343" i="15"/>
  <c r="F343" i="15"/>
  <c r="Q343" i="15" s="1"/>
  <c r="O343" i="15"/>
  <c r="E343" i="15"/>
  <c r="R343" i="15"/>
  <c r="M339" i="2"/>
  <c r="L339" i="2"/>
  <c r="J339" i="2"/>
  <c r="K339" i="2"/>
  <c r="B341" i="2"/>
  <c r="O340" i="2"/>
  <c r="D340" i="2"/>
  <c r="G340" i="2"/>
  <c r="F340" i="2"/>
  <c r="Q340" i="2" s="1"/>
  <c r="P340" i="2"/>
  <c r="E340" i="2"/>
  <c r="H340" i="2"/>
  <c r="R340" i="2"/>
  <c r="I340" i="2" l="1"/>
  <c r="N340" i="2"/>
  <c r="I343" i="15"/>
  <c r="N343" i="15"/>
  <c r="AD360" i="2"/>
  <c r="AE360" i="2"/>
  <c r="W361" i="2"/>
  <c r="X361" i="2"/>
  <c r="Y361" i="2"/>
  <c r="Z361" i="2"/>
  <c r="U362" i="2"/>
  <c r="AA361" i="2"/>
  <c r="AB360" i="2"/>
  <c r="AC360" i="2"/>
  <c r="AB361" i="15"/>
  <c r="AC361" i="15"/>
  <c r="W362" i="15"/>
  <c r="AA362" i="15"/>
  <c r="Y362" i="15"/>
  <c r="Z362" i="15"/>
  <c r="X362" i="15"/>
  <c r="U363" i="15"/>
  <c r="AD361" i="15"/>
  <c r="AE361" i="15"/>
  <c r="L343" i="15"/>
  <c r="M343" i="15"/>
  <c r="O344" i="15"/>
  <c r="F344" i="15"/>
  <c r="Q344" i="15" s="1"/>
  <c r="D344" i="15"/>
  <c r="P344" i="15"/>
  <c r="G344" i="15"/>
  <c r="E344" i="15"/>
  <c r="R344" i="15"/>
  <c r="H344" i="15"/>
  <c r="K343" i="15"/>
  <c r="J343" i="15"/>
  <c r="J340" i="2"/>
  <c r="K340" i="2"/>
  <c r="B342" i="2"/>
  <c r="O341" i="2"/>
  <c r="H341" i="2"/>
  <c r="G341" i="2"/>
  <c r="D341" i="2"/>
  <c r="F341" i="2"/>
  <c r="Q341" i="2" s="1"/>
  <c r="E341" i="2"/>
  <c r="R341" i="2"/>
  <c r="P341" i="2"/>
  <c r="M340" i="2"/>
  <c r="L340" i="2"/>
  <c r="I341" i="2" l="1"/>
  <c r="N341" i="2"/>
  <c r="I344" i="15"/>
  <c r="N344" i="15"/>
  <c r="X362" i="2"/>
  <c r="Y362" i="2"/>
  <c r="Z362" i="2"/>
  <c r="AA362" i="2"/>
  <c r="U363" i="2"/>
  <c r="W362" i="2"/>
  <c r="AC361" i="2"/>
  <c r="AB361" i="2"/>
  <c r="AD361" i="2"/>
  <c r="AE361" i="2"/>
  <c r="AD362" i="15"/>
  <c r="AE362" i="15"/>
  <c r="AB362" i="15"/>
  <c r="AC362" i="15"/>
  <c r="W363" i="15"/>
  <c r="Y363" i="15"/>
  <c r="Z363" i="15"/>
  <c r="AA363" i="15"/>
  <c r="X363" i="15"/>
  <c r="U364" i="15"/>
  <c r="K344" i="15"/>
  <c r="J344" i="15"/>
  <c r="E345" i="15"/>
  <c r="R345" i="15"/>
  <c r="P345" i="15"/>
  <c r="D345" i="15"/>
  <c r="H345" i="15"/>
  <c r="G345" i="15"/>
  <c r="O345" i="15"/>
  <c r="F345" i="15"/>
  <c r="Q345" i="15" s="1"/>
  <c r="M344" i="15"/>
  <c r="L344" i="15"/>
  <c r="O342" i="2"/>
  <c r="B343" i="2"/>
  <c r="G342" i="2"/>
  <c r="H342" i="2"/>
  <c r="E342" i="2"/>
  <c r="D342" i="2"/>
  <c r="F342" i="2"/>
  <c r="Q342" i="2" s="1"/>
  <c r="P342" i="2"/>
  <c r="R342" i="2"/>
  <c r="K341" i="2"/>
  <c r="J341" i="2"/>
  <c r="M341" i="2"/>
  <c r="L341" i="2"/>
  <c r="I342" i="2" l="1"/>
  <c r="N342" i="2"/>
  <c r="I345" i="15"/>
  <c r="N345" i="15"/>
  <c r="AA363" i="2"/>
  <c r="U364" i="2"/>
  <c r="W363" i="2"/>
  <c r="Y363" i="2"/>
  <c r="X363" i="2"/>
  <c r="Z363" i="2"/>
  <c r="AE362" i="2"/>
  <c r="AD362" i="2"/>
  <c r="AB362" i="2"/>
  <c r="AC362" i="2"/>
  <c r="AC363" i="15"/>
  <c r="AB363" i="15"/>
  <c r="X364" i="15"/>
  <c r="Y364" i="15"/>
  <c r="AA364" i="15"/>
  <c r="U365" i="15"/>
  <c r="W364" i="15"/>
  <c r="Z364" i="15"/>
  <c r="AD363" i="15"/>
  <c r="AE363" i="15"/>
  <c r="M345" i="15"/>
  <c r="L345" i="15"/>
  <c r="D346" i="15"/>
  <c r="R346" i="15"/>
  <c r="H346" i="15"/>
  <c r="G346" i="15"/>
  <c r="F346" i="15"/>
  <c r="Q346" i="15" s="1"/>
  <c r="E346" i="15"/>
  <c r="O346" i="15"/>
  <c r="P346" i="15"/>
  <c r="J345" i="15"/>
  <c r="K345" i="15"/>
  <c r="K342" i="2"/>
  <c r="J342" i="2"/>
  <c r="M342" i="2"/>
  <c r="L342" i="2"/>
  <c r="D343" i="2"/>
  <c r="H343" i="2"/>
  <c r="G343" i="2"/>
  <c r="O343" i="2"/>
  <c r="B344" i="2"/>
  <c r="F343" i="2"/>
  <c r="Q343" i="2" s="1"/>
  <c r="P343" i="2"/>
  <c r="E343" i="2"/>
  <c r="R343" i="2"/>
  <c r="I343" i="2" l="1"/>
  <c r="N343" i="2"/>
  <c r="I346" i="15"/>
  <c r="N346" i="15"/>
  <c r="W364" i="2"/>
  <c r="X364" i="2"/>
  <c r="Y364" i="2"/>
  <c r="Z364" i="2"/>
  <c r="AA364" i="2"/>
  <c r="U365" i="2"/>
  <c r="AB363" i="2"/>
  <c r="AC363" i="2"/>
  <c r="AD363" i="2"/>
  <c r="AE363" i="2"/>
  <c r="AB364" i="15"/>
  <c r="AC364" i="15"/>
  <c r="Z365" i="15"/>
  <c r="AA365" i="15"/>
  <c r="U366" i="15"/>
  <c r="X365" i="15"/>
  <c r="Y365" i="15"/>
  <c r="W365" i="15"/>
  <c r="AE364" i="15"/>
  <c r="AD364" i="15"/>
  <c r="H347" i="15"/>
  <c r="P347" i="15"/>
  <c r="G347" i="15"/>
  <c r="R347" i="15"/>
  <c r="D347" i="15"/>
  <c r="O347" i="15"/>
  <c r="F347" i="15"/>
  <c r="Q347" i="15" s="1"/>
  <c r="E347" i="15"/>
  <c r="L346" i="15"/>
  <c r="M346" i="15"/>
  <c r="K346" i="15"/>
  <c r="J346" i="15"/>
  <c r="B345" i="2"/>
  <c r="G344" i="2"/>
  <c r="H344" i="2"/>
  <c r="O344" i="2"/>
  <c r="D344" i="2"/>
  <c r="P344" i="2"/>
  <c r="F344" i="2"/>
  <c r="Q344" i="2" s="1"/>
  <c r="E344" i="2"/>
  <c r="R344" i="2"/>
  <c r="M343" i="2"/>
  <c r="L343" i="2"/>
  <c r="K343" i="2"/>
  <c r="J343" i="2"/>
  <c r="I344" i="2" l="1"/>
  <c r="N344" i="2"/>
  <c r="I347" i="15"/>
  <c r="N347" i="15"/>
  <c r="W365" i="2"/>
  <c r="X365" i="2"/>
  <c r="Y365" i="2"/>
  <c r="Z365" i="2"/>
  <c r="AA365" i="2"/>
  <c r="U366" i="2"/>
  <c r="AD364" i="2"/>
  <c r="AE364" i="2"/>
  <c r="AB364" i="2"/>
  <c r="AC364" i="2"/>
  <c r="W366" i="15"/>
  <c r="Z366" i="15"/>
  <c r="X366" i="15"/>
  <c r="U367" i="15"/>
  <c r="Y366" i="15"/>
  <c r="AA366" i="15"/>
  <c r="AE365" i="15"/>
  <c r="AD365" i="15"/>
  <c r="AB365" i="15"/>
  <c r="AC365" i="15"/>
  <c r="K347" i="15"/>
  <c r="J347" i="15"/>
  <c r="L347" i="15"/>
  <c r="M347" i="15"/>
  <c r="P348" i="15"/>
  <c r="G348" i="15"/>
  <c r="O348" i="15"/>
  <c r="F348" i="15"/>
  <c r="Q348" i="15" s="1"/>
  <c r="H348" i="15"/>
  <c r="E348" i="15"/>
  <c r="D348" i="15"/>
  <c r="R348" i="15"/>
  <c r="L344" i="2"/>
  <c r="M344" i="2"/>
  <c r="J344" i="2"/>
  <c r="K344" i="2"/>
  <c r="O345" i="2"/>
  <c r="B346" i="2"/>
  <c r="G345" i="2"/>
  <c r="H345" i="2"/>
  <c r="D345" i="2"/>
  <c r="F345" i="2"/>
  <c r="Q345" i="2" s="1"/>
  <c r="P345" i="2"/>
  <c r="E345" i="2"/>
  <c r="R345" i="2"/>
  <c r="I345" i="2" l="1"/>
  <c r="N345" i="2"/>
  <c r="I348" i="15"/>
  <c r="N348" i="15"/>
  <c r="AD365" i="2"/>
  <c r="AE365" i="2"/>
  <c r="Y366" i="2"/>
  <c r="Z366" i="2"/>
  <c r="AA366" i="2"/>
  <c r="U367" i="2"/>
  <c r="X366" i="2"/>
  <c r="W366" i="2"/>
  <c r="AB365" i="2"/>
  <c r="AC365" i="2"/>
  <c r="AD366" i="15"/>
  <c r="AE366" i="15"/>
  <c r="W367" i="15"/>
  <c r="Y367" i="15"/>
  <c r="X367" i="15"/>
  <c r="U368" i="15"/>
  <c r="Z367" i="15"/>
  <c r="AA367" i="15"/>
  <c r="AB366" i="15"/>
  <c r="AC366" i="15"/>
  <c r="L348" i="15"/>
  <c r="M348" i="15"/>
  <c r="R349" i="15"/>
  <c r="O349" i="15"/>
  <c r="F349" i="15"/>
  <c r="Q349" i="15" s="1"/>
  <c r="E349" i="15"/>
  <c r="H349" i="15"/>
  <c r="G349" i="15"/>
  <c r="D349" i="15"/>
  <c r="P349" i="15"/>
  <c r="J348" i="15"/>
  <c r="K348" i="15"/>
  <c r="J345" i="2"/>
  <c r="K345" i="2"/>
  <c r="M345" i="2"/>
  <c r="L345" i="2"/>
  <c r="O346" i="2"/>
  <c r="B347" i="2"/>
  <c r="G346" i="2"/>
  <c r="H346" i="2"/>
  <c r="D346" i="2"/>
  <c r="F346" i="2"/>
  <c r="Q346" i="2" s="1"/>
  <c r="E346" i="2"/>
  <c r="R346" i="2"/>
  <c r="P346" i="2"/>
  <c r="I346" i="2" l="1"/>
  <c r="N346" i="2"/>
  <c r="I349" i="15"/>
  <c r="N349" i="15"/>
  <c r="AD366" i="2"/>
  <c r="AE366" i="2"/>
  <c r="AA367" i="2"/>
  <c r="U368" i="2"/>
  <c r="X367" i="2"/>
  <c r="Y367" i="2"/>
  <c r="W367" i="2"/>
  <c r="Z367" i="2"/>
  <c r="AB366" i="2"/>
  <c r="AC366" i="2"/>
  <c r="X368" i="15"/>
  <c r="Y368" i="15"/>
  <c r="AA368" i="15"/>
  <c r="W368" i="15"/>
  <c r="Z368" i="15"/>
  <c r="J539" i="18" s="1"/>
  <c r="L539" i="18" s="1"/>
  <c r="AC367" i="15"/>
  <c r="AB367" i="15"/>
  <c r="AD367" i="15"/>
  <c r="AE367" i="15"/>
  <c r="H350" i="15"/>
  <c r="E350" i="15"/>
  <c r="D350" i="15"/>
  <c r="R350" i="15"/>
  <c r="P350" i="15"/>
  <c r="G350" i="15"/>
  <c r="O350" i="15"/>
  <c r="F350" i="15"/>
  <c r="Q350" i="15" s="1"/>
  <c r="M349" i="15"/>
  <c r="L349" i="15"/>
  <c r="K349" i="15"/>
  <c r="J349" i="15"/>
  <c r="O347" i="2"/>
  <c r="B348" i="2"/>
  <c r="G347" i="2"/>
  <c r="D347" i="2"/>
  <c r="F347" i="2"/>
  <c r="Q347" i="2" s="1"/>
  <c r="H347" i="2"/>
  <c r="E347" i="2"/>
  <c r="R347" i="2"/>
  <c r="P347" i="2"/>
  <c r="J346" i="2"/>
  <c r="K346" i="2"/>
  <c r="L346" i="2"/>
  <c r="M346" i="2"/>
  <c r="J303" i="18" l="1"/>
  <c r="L303" i="18" s="1"/>
  <c r="J325" i="18"/>
  <c r="L325" i="18" s="1"/>
  <c r="J409" i="18"/>
  <c r="L409" i="18" s="1"/>
  <c r="J542" i="18"/>
  <c r="L542" i="18" s="1"/>
  <c r="P187" i="18"/>
  <c r="P204" i="18"/>
  <c r="P166" i="18"/>
  <c r="P259" i="18"/>
  <c r="P186" i="18"/>
  <c r="P308" i="18"/>
  <c r="P112" i="18"/>
  <c r="P174" i="18"/>
  <c r="P334" i="18"/>
  <c r="P372" i="18"/>
  <c r="P193" i="18"/>
  <c r="P136" i="18"/>
  <c r="P538" i="18"/>
  <c r="P381" i="18"/>
  <c r="P228" i="18"/>
  <c r="P276" i="18"/>
  <c r="P211" i="18"/>
  <c r="P324" i="18"/>
  <c r="P71" i="18"/>
  <c r="P243" i="18"/>
  <c r="P149" i="18"/>
  <c r="P183" i="18"/>
  <c r="P103" i="18"/>
  <c r="P394" i="18"/>
  <c r="P321" i="18"/>
  <c r="P188" i="18"/>
  <c r="P266" i="18"/>
  <c r="P250" i="18"/>
  <c r="P177" i="18"/>
  <c r="P371" i="18"/>
  <c r="P249" i="18"/>
  <c r="P329" i="18"/>
  <c r="P357" i="18"/>
  <c r="P201" i="18"/>
  <c r="P84" i="18"/>
  <c r="P91" i="18"/>
  <c r="P303" i="18"/>
  <c r="P113" i="18"/>
  <c r="P126" i="18"/>
  <c r="P298" i="18"/>
  <c r="P218" i="18"/>
  <c r="P199" i="18"/>
  <c r="P385" i="18"/>
  <c r="P115" i="18"/>
  <c r="P367" i="18"/>
  <c r="P245" i="18"/>
  <c r="P110" i="18"/>
  <c r="P348" i="18"/>
  <c r="P320" i="18"/>
  <c r="P158" i="18"/>
  <c r="P232" i="18"/>
  <c r="P300" i="18"/>
  <c r="P133" i="18"/>
  <c r="P374" i="18"/>
  <c r="P189" i="18"/>
  <c r="P138" i="18"/>
  <c r="P76" i="18"/>
  <c r="P205" i="18"/>
  <c r="P313" i="18"/>
  <c r="P263" i="18"/>
  <c r="P157" i="18"/>
  <c r="P387" i="18"/>
  <c r="P214" i="18"/>
  <c r="P226" i="18"/>
  <c r="P213" i="18"/>
  <c r="P392" i="18"/>
  <c r="P96" i="18"/>
  <c r="P221" i="18"/>
  <c r="P196" i="18"/>
  <c r="P142" i="18"/>
  <c r="P132" i="18"/>
  <c r="P311" i="18"/>
  <c r="P359" i="18"/>
  <c r="P98" i="18"/>
  <c r="P105" i="18"/>
  <c r="P79" i="18"/>
  <c r="P101" i="18"/>
  <c r="P227" i="18"/>
  <c r="P89" i="18"/>
  <c r="P341" i="18"/>
  <c r="P246" i="18"/>
  <c r="P234" i="18"/>
  <c r="P296" i="18"/>
  <c r="P150" i="18"/>
  <c r="P163" i="18"/>
  <c r="P270" i="18"/>
  <c r="P305" i="18"/>
  <c r="P373" i="18"/>
  <c r="P271" i="18"/>
  <c r="P393" i="18"/>
  <c r="P541" i="18"/>
  <c r="P280" i="18"/>
  <c r="P390" i="18"/>
  <c r="P148" i="18"/>
  <c r="P241" i="18"/>
  <c r="P295" i="18"/>
  <c r="P66" i="18"/>
  <c r="P369" i="18"/>
  <c r="P152" i="18"/>
  <c r="P192" i="18"/>
  <c r="P87" i="18"/>
  <c r="P239" i="18"/>
  <c r="P361" i="18"/>
  <c r="P135" i="18"/>
  <c r="P94" i="18"/>
  <c r="P119" i="18"/>
  <c r="P336" i="18"/>
  <c r="P145" i="18"/>
  <c r="P252" i="18"/>
  <c r="P123" i="18"/>
  <c r="P368" i="18"/>
  <c r="P160" i="18"/>
  <c r="P344" i="18"/>
  <c r="P182" i="18"/>
  <c r="P284" i="18"/>
  <c r="P200" i="18"/>
  <c r="P251" i="18"/>
  <c r="P224" i="18"/>
  <c r="P306" i="18"/>
  <c r="P92" i="18"/>
  <c r="P278" i="18"/>
  <c r="P383" i="18"/>
  <c r="P290" i="18"/>
  <c r="P539" i="18"/>
  <c r="P165" i="18"/>
  <c r="P347" i="18"/>
  <c r="P104" i="18"/>
  <c r="P366" i="18"/>
  <c r="P293" i="18"/>
  <c r="P70" i="18"/>
  <c r="P265" i="18"/>
  <c r="P170" i="18"/>
  <c r="P269" i="18"/>
  <c r="P326" i="18"/>
  <c r="P240" i="18"/>
  <c r="P410" i="18"/>
  <c r="P323" i="18"/>
  <c r="P131" i="18"/>
  <c r="P121" i="18"/>
  <c r="P289" i="18"/>
  <c r="P247" i="18"/>
  <c r="P236" i="18"/>
  <c r="P90" i="18"/>
  <c r="P130" i="18"/>
  <c r="P75" i="18"/>
  <c r="P208" i="18"/>
  <c r="P68" i="18"/>
  <c r="P248" i="18"/>
  <c r="P144" i="18"/>
  <c r="P220" i="18"/>
  <c r="P159" i="18"/>
  <c r="P109" i="18"/>
  <c r="P288" i="18"/>
  <c r="P262" i="18"/>
  <c r="P279" i="18"/>
  <c r="P327" i="18"/>
  <c r="P322" i="18"/>
  <c r="P216" i="18"/>
  <c r="P173" i="18"/>
  <c r="P409" i="18"/>
  <c r="P219" i="18"/>
  <c r="P354" i="18"/>
  <c r="P351" i="18"/>
  <c r="P207" i="18"/>
  <c r="P81" i="18"/>
  <c r="P194" i="18"/>
  <c r="P120" i="18"/>
  <c r="P363" i="18"/>
  <c r="P377" i="18"/>
  <c r="P332" i="18"/>
  <c r="P230" i="18"/>
  <c r="P88" i="18"/>
  <c r="P197" i="18"/>
  <c r="P155" i="18"/>
  <c r="P175" i="18"/>
  <c r="P375" i="18"/>
  <c r="P352" i="18"/>
  <c r="P331" i="18"/>
  <c r="P256" i="18"/>
  <c r="P185" i="18"/>
  <c r="P378" i="18"/>
  <c r="P156" i="18"/>
  <c r="P299" i="18"/>
  <c r="P376" i="18"/>
  <c r="P72" i="18"/>
  <c r="P364" i="18"/>
  <c r="P82" i="18"/>
  <c r="P339" i="18"/>
  <c r="P386" i="18"/>
  <c r="P330" i="18"/>
  <c r="P78" i="18"/>
  <c r="P343" i="18"/>
  <c r="P83" i="18"/>
  <c r="P169" i="18"/>
  <c r="P349" i="18"/>
  <c r="P146" i="18"/>
  <c r="P147" i="18"/>
  <c r="P134" i="18"/>
  <c r="P118" i="18"/>
  <c r="P342" i="18"/>
  <c r="P161" i="18"/>
  <c r="P253" i="18"/>
  <c r="P302" i="18"/>
  <c r="P164" i="18"/>
  <c r="P382" i="18"/>
  <c r="P312" i="18"/>
  <c r="P62" i="18"/>
  <c r="P297" i="18"/>
  <c r="P202" i="18"/>
  <c r="P99" i="18"/>
  <c r="P180" i="18"/>
  <c r="P282" i="18"/>
  <c r="P267" i="18"/>
  <c r="P176" i="18"/>
  <c r="P93" i="18"/>
  <c r="P353" i="18"/>
  <c r="P309" i="18"/>
  <c r="P356" i="18"/>
  <c r="P317" i="18"/>
  <c r="P111" i="18"/>
  <c r="P222" i="18"/>
  <c r="P171" i="18"/>
  <c r="P125" i="18"/>
  <c r="P97" i="18"/>
  <c r="P338" i="18"/>
  <c r="P345" i="18"/>
  <c r="P258" i="18"/>
  <c r="P370" i="18"/>
  <c r="P235" i="18"/>
  <c r="P191" i="18"/>
  <c r="P264" i="18"/>
  <c r="P77" i="18"/>
  <c r="P217" i="18"/>
  <c r="P325" i="18"/>
  <c r="P117" i="18"/>
  <c r="P275" i="18"/>
  <c r="P384" i="18"/>
  <c r="P314" i="18"/>
  <c r="P122" i="18"/>
  <c r="P140" i="18"/>
  <c r="P64" i="18"/>
  <c r="P380" i="18"/>
  <c r="P350" i="18"/>
  <c r="P360" i="18"/>
  <c r="P184" i="18"/>
  <c r="P540" i="18"/>
  <c r="P285" i="18"/>
  <c r="P268" i="18"/>
  <c r="P172" i="18"/>
  <c r="P294" i="18"/>
  <c r="P337" i="18"/>
  <c r="P102" i="18"/>
  <c r="P114" i="18"/>
  <c r="P73" i="18"/>
  <c r="P167" i="18"/>
  <c r="P124" i="18"/>
  <c r="P272" i="18"/>
  <c r="P128" i="18"/>
  <c r="P181" i="18"/>
  <c r="P223" i="18"/>
  <c r="P85" i="18"/>
  <c r="P215" i="18"/>
  <c r="P137" i="18"/>
  <c r="P260" i="18"/>
  <c r="P143" i="18"/>
  <c r="P315" i="18"/>
  <c r="J410" i="18"/>
  <c r="L410" i="18" s="1"/>
  <c r="P237" i="18"/>
  <c r="P287" i="18"/>
  <c r="P388" i="18"/>
  <c r="P67" i="18"/>
  <c r="P542" i="18"/>
  <c r="P209" i="18"/>
  <c r="P379" i="18"/>
  <c r="P286" i="18"/>
  <c r="P162" i="18"/>
  <c r="P212" i="18"/>
  <c r="P277" i="18"/>
  <c r="P233" i="18"/>
  <c r="P261" i="18"/>
  <c r="P74" i="18"/>
  <c r="P291" i="18"/>
  <c r="P229" i="18"/>
  <c r="P153" i="18"/>
  <c r="P179" i="18"/>
  <c r="P257" i="18"/>
  <c r="P355" i="18"/>
  <c r="P178" i="18"/>
  <c r="P283" i="18"/>
  <c r="P69" i="18"/>
  <c r="P318" i="18"/>
  <c r="P95" i="18"/>
  <c r="P116" i="18"/>
  <c r="P242" i="18"/>
  <c r="P391" i="18"/>
  <c r="P328" i="18"/>
  <c r="P63" i="18"/>
  <c r="P304" i="18"/>
  <c r="P365" i="18"/>
  <c r="P254" i="18"/>
  <c r="P80" i="18"/>
  <c r="P395" i="18"/>
  <c r="P362" i="18"/>
  <c r="P238" i="18"/>
  <c r="P190" i="18"/>
  <c r="P273" i="18"/>
  <c r="P139" i="18"/>
  <c r="P281" i="18"/>
  <c r="P292" i="18"/>
  <c r="P543" i="18"/>
  <c r="P310" i="18"/>
  <c r="P108" i="18"/>
  <c r="P65" i="18"/>
  <c r="P100" i="18"/>
  <c r="P141" i="18"/>
  <c r="P316" i="18"/>
  <c r="P346" i="18"/>
  <c r="P255" i="18"/>
  <c r="P129" i="18"/>
  <c r="P389" i="18"/>
  <c r="P203" i="18"/>
  <c r="P206" i="18"/>
  <c r="P127" i="18"/>
  <c r="P333" i="18"/>
  <c r="P151" i="18"/>
  <c r="P154" i="18"/>
  <c r="P335" i="18"/>
  <c r="P358" i="18"/>
  <c r="P307" i="18"/>
  <c r="P195" i="18"/>
  <c r="P231" i="18"/>
  <c r="P274" i="18"/>
  <c r="P301" i="18"/>
  <c r="P86" i="18"/>
  <c r="P244" i="18"/>
  <c r="P106" i="18"/>
  <c r="P225" i="18"/>
  <c r="P210" i="18"/>
  <c r="P198" i="18"/>
  <c r="P168" i="18"/>
  <c r="P340" i="18"/>
  <c r="P107" i="18"/>
  <c r="P319" i="18"/>
  <c r="J324" i="18"/>
  <c r="L324" i="18" s="1"/>
  <c r="J784" i="18"/>
  <c r="L784" i="18" s="1"/>
  <c r="J302" i="18"/>
  <c r="L302" i="18" s="1"/>
  <c r="J543" i="18"/>
  <c r="L543" i="18" s="1"/>
  <c r="F101" i="16"/>
  <c r="F104" i="16"/>
  <c r="F108" i="16"/>
  <c r="F100" i="16"/>
  <c r="F102" i="16"/>
  <c r="F103" i="16"/>
  <c r="F98" i="16"/>
  <c r="F106" i="16"/>
  <c r="F97" i="16"/>
  <c r="F107" i="16"/>
  <c r="F105" i="16"/>
  <c r="F99" i="16"/>
  <c r="F109" i="16"/>
  <c r="G103" i="16"/>
  <c r="G101" i="16"/>
  <c r="G98" i="16"/>
  <c r="G97" i="16"/>
  <c r="G109" i="16"/>
  <c r="G108" i="16"/>
  <c r="G99" i="16"/>
  <c r="G100" i="16"/>
  <c r="G102" i="16"/>
  <c r="G106" i="16"/>
  <c r="G105" i="16"/>
  <c r="G104" i="16"/>
  <c r="G107" i="16"/>
  <c r="D98" i="16"/>
  <c r="D103" i="16"/>
  <c r="D105" i="16"/>
  <c r="D97" i="16"/>
  <c r="D107" i="16"/>
  <c r="D106" i="16"/>
  <c r="D109" i="16"/>
  <c r="D99" i="16"/>
  <c r="D104" i="16"/>
  <c r="D102" i="16"/>
  <c r="D101" i="16"/>
  <c r="D108" i="16"/>
  <c r="D100" i="16"/>
  <c r="E103" i="16"/>
  <c r="E109" i="16"/>
  <c r="E108" i="16"/>
  <c r="E98" i="16"/>
  <c r="E104" i="16"/>
  <c r="E107" i="16"/>
  <c r="E99" i="16"/>
  <c r="E102" i="16"/>
  <c r="E101" i="16"/>
  <c r="E106" i="16"/>
  <c r="E105" i="16"/>
  <c r="E100" i="16"/>
  <c r="E97" i="16"/>
  <c r="H98" i="16"/>
  <c r="H101" i="16"/>
  <c r="H109" i="16"/>
  <c r="H107" i="16"/>
  <c r="H97" i="16"/>
  <c r="H106" i="16"/>
  <c r="H100" i="16"/>
  <c r="H102" i="16"/>
  <c r="H103" i="16"/>
  <c r="H105" i="16"/>
  <c r="H108" i="16"/>
  <c r="H104" i="16"/>
  <c r="H99" i="16"/>
  <c r="I347" i="2"/>
  <c r="N347" i="2"/>
  <c r="I350" i="15"/>
  <c r="N350" i="15"/>
  <c r="J691" i="18"/>
  <c r="L691" i="18" s="1"/>
  <c r="J396" i="18"/>
  <c r="L396" i="18" s="1"/>
  <c r="J570" i="18"/>
  <c r="L570" i="18" s="1"/>
  <c r="J402" i="18"/>
  <c r="L402" i="18" s="1"/>
  <c r="J686" i="18"/>
  <c r="L686" i="18" s="1"/>
  <c r="J527" i="18"/>
  <c r="L527" i="18" s="1"/>
  <c r="J519" i="18"/>
  <c r="L519" i="18" s="1"/>
  <c r="J567" i="18"/>
  <c r="L567" i="18" s="1"/>
  <c r="J645" i="18"/>
  <c r="L645" i="18" s="1"/>
  <c r="J814" i="18"/>
  <c r="L814" i="18" s="1"/>
  <c r="J701" i="18"/>
  <c r="L701" i="18" s="1"/>
  <c r="J171" i="18"/>
  <c r="L171" i="18" s="1"/>
  <c r="J611" i="18"/>
  <c r="L611" i="18" s="1"/>
  <c r="J155" i="18"/>
  <c r="L155" i="18" s="1"/>
  <c r="J535" i="18"/>
  <c r="L535" i="18" s="1"/>
  <c r="J598" i="18"/>
  <c r="L598" i="18" s="1"/>
  <c r="J625" i="18"/>
  <c r="L625" i="18" s="1"/>
  <c r="J503" i="18"/>
  <c r="L503" i="18" s="1"/>
  <c r="J203" i="18"/>
  <c r="L203" i="18" s="1"/>
  <c r="J588" i="18"/>
  <c r="L588" i="18" s="1"/>
  <c r="J192" i="18"/>
  <c r="L192" i="18" s="1"/>
  <c r="J682" i="18"/>
  <c r="L682" i="18" s="1"/>
  <c r="J660" i="18"/>
  <c r="L660" i="18" s="1"/>
  <c r="J166" i="18"/>
  <c r="L166" i="18" s="1"/>
  <c r="J407" i="18"/>
  <c r="L407" i="18" s="1"/>
  <c r="J448" i="18"/>
  <c r="L448" i="18" s="1"/>
  <c r="J79" i="18"/>
  <c r="L79" i="18" s="1"/>
  <c r="J74" i="18"/>
  <c r="L74" i="18" s="1"/>
  <c r="J464" i="18"/>
  <c r="L464" i="18" s="1"/>
  <c r="J472" i="18"/>
  <c r="L472" i="18" s="1"/>
  <c r="J400" i="18"/>
  <c r="L400" i="18" s="1"/>
  <c r="J710" i="18"/>
  <c r="L710" i="18" s="1"/>
  <c r="J577" i="18"/>
  <c r="L577" i="18" s="1"/>
  <c r="J456" i="18"/>
  <c r="L456" i="18" s="1"/>
  <c r="J398" i="18"/>
  <c r="L398" i="18" s="1"/>
  <c r="J798" i="18"/>
  <c r="L798" i="18" s="1"/>
  <c r="J670" i="18"/>
  <c r="L670" i="18" s="1"/>
  <c r="J511" i="18"/>
  <c r="L511" i="18" s="1"/>
  <c r="J695" i="18"/>
  <c r="L695" i="18" s="1"/>
  <c r="J714" i="18"/>
  <c r="L714" i="18" s="1"/>
  <c r="J317" i="18"/>
  <c r="L317" i="18" s="1"/>
  <c r="J650" i="18"/>
  <c r="L650" i="18" s="1"/>
  <c r="J564" i="18"/>
  <c r="L564" i="18" s="1"/>
  <c r="J614" i="18"/>
  <c r="L614" i="18" s="1"/>
  <c r="J84" i="18"/>
  <c r="L84" i="18" s="1"/>
  <c r="J311" i="18"/>
  <c r="L311" i="18" s="1"/>
  <c r="J803" i="18"/>
  <c r="J572" i="18"/>
  <c r="L572" i="18" s="1"/>
  <c r="J634" i="18"/>
  <c r="L634" i="18" s="1"/>
  <c r="J486" i="18"/>
  <c r="L486" i="18" s="1"/>
  <c r="J618" i="18"/>
  <c r="L618" i="18" s="1"/>
  <c r="J210" i="18"/>
  <c r="J806" i="18"/>
  <c r="L806" i="18" s="1"/>
  <c r="J629" i="18"/>
  <c r="L629" i="18" s="1"/>
  <c r="J355" i="18"/>
  <c r="L355" i="18" s="1"/>
  <c r="J705" i="18"/>
  <c r="L705" i="18" s="1"/>
  <c r="J621" i="18"/>
  <c r="L621" i="18" s="1"/>
  <c r="J582" i="18"/>
  <c r="L582" i="18" s="1"/>
  <c r="J272" i="18"/>
  <c r="L272" i="18" s="1"/>
  <c r="J603" i="18"/>
  <c r="L603" i="18" s="1"/>
  <c r="J560" i="18"/>
  <c r="L560" i="18" s="1"/>
  <c r="J717" i="18"/>
  <c r="L717" i="18" s="1"/>
  <c r="J632" i="18"/>
  <c r="L632" i="18" s="1"/>
  <c r="J328" i="18"/>
  <c r="L328" i="18" s="1"/>
  <c r="J358" i="18"/>
  <c r="L358" i="18" s="1"/>
  <c r="J94" i="18"/>
  <c r="L94" i="18" s="1"/>
  <c r="J389" i="18"/>
  <c r="L389" i="18" s="1"/>
  <c r="J373" i="18"/>
  <c r="L373" i="18" s="1"/>
  <c r="J257" i="18"/>
  <c r="L257" i="18" s="1"/>
  <c r="J515" i="18"/>
  <c r="L515" i="18" s="1"/>
  <c r="J268" i="18"/>
  <c r="L268" i="18" s="1"/>
  <c r="J649" i="18"/>
  <c r="L649" i="18" s="1"/>
  <c r="J362" i="18"/>
  <c r="L362" i="18" s="1"/>
  <c r="J26" i="18"/>
  <c r="L26" i="18" s="1"/>
  <c r="J105" i="18"/>
  <c r="L105" i="18" s="1"/>
  <c r="J653" i="18"/>
  <c r="L653" i="18" s="1"/>
  <c r="J658" i="18"/>
  <c r="L658" i="18" s="1"/>
  <c r="J314" i="18"/>
  <c r="L314" i="18" s="1"/>
  <c r="J59" i="18"/>
  <c r="L59" i="18" s="1"/>
  <c r="J67" i="18"/>
  <c r="L67" i="18" s="1"/>
  <c r="J704" i="18"/>
  <c r="L704" i="18" s="1"/>
  <c r="J32" i="18"/>
  <c r="L32" i="18" s="1"/>
  <c r="J196" i="18"/>
  <c r="L196" i="18" s="1"/>
  <c r="J275" i="18"/>
  <c r="L275" i="18" s="1"/>
  <c r="J735" i="18"/>
  <c r="L735" i="18" s="1"/>
  <c r="J163" i="18"/>
  <c r="L163" i="18" s="1"/>
  <c r="J21" i="18"/>
  <c r="L21" i="18" s="1"/>
  <c r="J366" i="18"/>
  <c r="L366" i="18" s="1"/>
  <c r="J727" i="18"/>
  <c r="L727" i="18" s="1"/>
  <c r="J293" i="18"/>
  <c r="L293" i="18" s="1"/>
  <c r="J8" i="18"/>
  <c r="L8" i="18" s="1"/>
  <c r="J792" i="18"/>
  <c r="L792" i="18" s="1"/>
  <c r="J2" i="18"/>
  <c r="L2" i="18" s="1"/>
  <c r="J330" i="18"/>
  <c r="L330" i="18" s="1"/>
  <c r="J239" i="18"/>
  <c r="L239" i="18" s="1"/>
  <c r="J531" i="18"/>
  <c r="L531" i="18" s="1"/>
  <c r="J483" i="18"/>
  <c r="L483" i="18" s="1"/>
  <c r="J337" i="18"/>
  <c r="L337" i="18" s="1"/>
  <c r="J364" i="18"/>
  <c r="L364" i="18" s="1"/>
  <c r="J546" i="18"/>
  <c r="L546" i="18" s="1"/>
  <c r="J56" i="18"/>
  <c r="L56" i="18" s="1"/>
  <c r="J16" i="18"/>
  <c r="L16" i="18" s="1"/>
  <c r="J4" i="18"/>
  <c r="L4" i="18" s="1"/>
  <c r="J267" i="18"/>
  <c r="L267" i="18" s="1"/>
  <c r="J460" i="18"/>
  <c r="L460" i="18" s="1"/>
  <c r="J57" i="18"/>
  <c r="L57" i="18" s="1"/>
  <c r="J501" i="18"/>
  <c r="L501" i="18" s="1"/>
  <c r="J393" i="18"/>
  <c r="L393" i="18" s="1"/>
  <c r="J553" i="18"/>
  <c r="L553" i="18" s="1"/>
  <c r="J115" i="18"/>
  <c r="L115" i="18" s="1"/>
  <c r="J327" i="18"/>
  <c r="L327" i="18" s="1"/>
  <c r="J681" i="18"/>
  <c r="L681" i="18" s="1"/>
  <c r="J613" i="18"/>
  <c r="L613" i="18" s="1"/>
  <c r="J623" i="18"/>
  <c r="L623" i="18" s="1"/>
  <c r="J223" i="18"/>
  <c r="L223" i="18" s="1"/>
  <c r="J690" i="18"/>
  <c r="L690" i="18" s="1"/>
  <c r="J44" i="18"/>
  <c r="L44" i="18" s="1"/>
  <c r="J157" i="18"/>
  <c r="L157" i="18" s="1"/>
  <c r="J452" i="18"/>
  <c r="L452" i="18" s="1"/>
  <c r="J671" i="18"/>
  <c r="L671" i="18" s="1"/>
  <c r="J811" i="18"/>
  <c r="L811" i="18" s="1"/>
  <c r="J278" i="18"/>
  <c r="L278" i="18" s="1"/>
  <c r="J338" i="18"/>
  <c r="L338" i="18" s="1"/>
  <c r="J738" i="18"/>
  <c r="L738" i="18" s="1"/>
  <c r="J83" i="18"/>
  <c r="L83" i="18" s="1"/>
  <c r="J136" i="18"/>
  <c r="L136" i="18" s="1"/>
  <c r="J288" i="18"/>
  <c r="L288" i="18" s="1"/>
  <c r="J33" i="18"/>
  <c r="L33" i="18" s="1"/>
  <c r="J415" i="18"/>
  <c r="L415" i="18" s="1"/>
  <c r="J304" i="18"/>
  <c r="L304" i="18" s="1"/>
  <c r="J50" i="18"/>
  <c r="L50" i="18" s="1"/>
  <c r="J63" i="18"/>
  <c r="L63" i="18" s="1"/>
  <c r="J734" i="18"/>
  <c r="L734" i="18" s="1"/>
  <c r="J264" i="18"/>
  <c r="L264" i="18" s="1"/>
  <c r="J47" i="18"/>
  <c r="L47" i="18" s="1"/>
  <c r="J176" i="18"/>
  <c r="L176" i="18" s="1"/>
  <c r="J49" i="18"/>
  <c r="L49" i="18" s="1"/>
  <c r="J544" i="18"/>
  <c r="L544" i="18" s="1"/>
  <c r="J545" i="18"/>
  <c r="L545" i="18" s="1"/>
  <c r="J22" i="18"/>
  <c r="L22" i="18" s="1"/>
  <c r="J300" i="18"/>
  <c r="L300" i="18" s="1"/>
  <c r="J154" i="18"/>
  <c r="L154" i="18" s="1"/>
  <c r="J281" i="18"/>
  <c r="L281" i="18" s="1"/>
  <c r="J743" i="18"/>
  <c r="L743" i="18" s="1"/>
  <c r="J783" i="18"/>
  <c r="L783" i="18" s="1"/>
  <c r="J339" i="18"/>
  <c r="L339" i="18" s="1"/>
  <c r="J146" i="18"/>
  <c r="L146" i="18" s="1"/>
  <c r="J322" i="18"/>
  <c r="L322" i="18" s="1"/>
  <c r="J261" i="18"/>
  <c r="L261" i="18" s="1"/>
  <c r="J336" i="18"/>
  <c r="L336" i="18" s="1"/>
  <c r="J201" i="18"/>
  <c r="L201" i="18" s="1"/>
  <c r="J685" i="18"/>
  <c r="L685" i="18" s="1"/>
  <c r="J468" i="18"/>
  <c r="L468" i="18" s="1"/>
  <c r="J353" i="18"/>
  <c r="L353" i="18" s="1"/>
  <c r="J507" i="18"/>
  <c r="L507" i="18" s="1"/>
  <c r="J19" i="18"/>
  <c r="L19" i="18" s="1"/>
  <c r="J292" i="18"/>
  <c r="L292" i="18" s="1"/>
  <c r="J93" i="18"/>
  <c r="L93" i="18" s="1"/>
  <c r="J38" i="18"/>
  <c r="L38" i="18" s="1"/>
  <c r="J326" i="18"/>
  <c r="L326" i="18" s="1"/>
  <c r="J217" i="18"/>
  <c r="L217" i="18" s="1"/>
  <c r="J765" i="18"/>
  <c r="L765" i="18" s="1"/>
  <c r="J231" i="18"/>
  <c r="L231" i="18" s="1"/>
  <c r="J296" i="18"/>
  <c r="L296" i="18" s="1"/>
  <c r="J29" i="18"/>
  <c r="L29" i="18" s="1"/>
  <c r="J709" i="18"/>
  <c r="L709" i="18" s="1"/>
  <c r="J556" i="18"/>
  <c r="L556" i="18" s="1"/>
  <c r="J349" i="18"/>
  <c r="L349" i="18" s="1"/>
  <c r="J160" i="18"/>
  <c r="L160" i="18" s="1"/>
  <c r="J762" i="18"/>
  <c r="L762" i="18" s="1"/>
  <c r="J41" i="18"/>
  <c r="L41" i="18" s="1"/>
  <c r="J617" i="18"/>
  <c r="L617" i="18" s="1"/>
  <c r="J785" i="18"/>
  <c r="L785" i="18" s="1"/>
  <c r="J412" i="18"/>
  <c r="L412" i="18" s="1"/>
  <c r="J103" i="18"/>
  <c r="L103" i="18" s="1"/>
  <c r="J575" i="18"/>
  <c r="L575" i="18" s="1"/>
  <c r="J713" i="18"/>
  <c r="L713" i="18" s="1"/>
  <c r="J775" i="18"/>
  <c r="L775" i="18" s="1"/>
  <c r="J315" i="18"/>
  <c r="L315" i="18" s="1"/>
  <c r="J345" i="18"/>
  <c r="L345" i="18" s="1"/>
  <c r="J699" i="18"/>
  <c r="L699" i="18" s="1"/>
  <c r="J129" i="18"/>
  <c r="L129" i="18" s="1"/>
  <c r="J111" i="18"/>
  <c r="L111" i="18" s="1"/>
  <c r="J262" i="18"/>
  <c r="L262" i="18" s="1"/>
  <c r="J150" i="18"/>
  <c r="L150" i="18" s="1"/>
  <c r="J35" i="18"/>
  <c r="L35" i="18" s="1"/>
  <c r="J607" i="18"/>
  <c r="L607" i="18" s="1"/>
  <c r="J547" i="18"/>
  <c r="L547" i="18" s="1"/>
  <c r="J309" i="18"/>
  <c r="L309" i="18" s="1"/>
  <c r="J36" i="18"/>
  <c r="J121" i="18"/>
  <c r="L121" i="18" s="1"/>
  <c r="J559" i="18"/>
  <c r="L559" i="18" s="1"/>
  <c r="J561" i="18"/>
  <c r="L561" i="18" s="1"/>
  <c r="J174" i="18"/>
  <c r="L174" i="18" s="1"/>
  <c r="J306" i="18"/>
  <c r="L306" i="18" s="1"/>
  <c r="J13" i="18"/>
  <c r="L13" i="18" s="1"/>
  <c r="J46" i="18"/>
  <c r="L46" i="18" s="1"/>
  <c r="J206" i="18"/>
  <c r="L206" i="18" s="1"/>
  <c r="J247" i="18"/>
  <c r="L247" i="18" s="1"/>
  <c r="J96" i="18"/>
  <c r="L96" i="18" s="1"/>
  <c r="J169" i="18"/>
  <c r="L169" i="18" s="1"/>
  <c r="J30" i="18"/>
  <c r="L30" i="18" s="1"/>
  <c r="J287" i="18"/>
  <c r="L287" i="18" s="1"/>
  <c r="J18" i="18"/>
  <c r="L18" i="18" s="1"/>
  <c r="J523" i="18"/>
  <c r="L523" i="18" s="1"/>
  <c r="J423" i="18"/>
  <c r="L423" i="18" s="1"/>
  <c r="J627" i="18"/>
  <c r="L627" i="18" s="1"/>
  <c r="J54" i="18"/>
  <c r="L54" i="18" s="1"/>
  <c r="J557" i="18"/>
  <c r="L557" i="18" s="1"/>
  <c r="J24" i="18"/>
  <c r="L24" i="18" s="1"/>
  <c r="J343" i="18"/>
  <c r="L343" i="18" s="1"/>
  <c r="J641" i="18"/>
  <c r="L641" i="18" s="1"/>
  <c r="J269" i="18"/>
  <c r="L269" i="18" s="1"/>
  <c r="J666" i="18"/>
  <c r="L666" i="18" s="1"/>
  <c r="J370" i="18"/>
  <c r="L370" i="18" s="1"/>
  <c r="J759" i="18"/>
  <c r="L759" i="18" s="1"/>
  <c r="J596" i="18"/>
  <c r="L596" i="18" s="1"/>
  <c r="J165" i="18"/>
  <c r="L165" i="18" s="1"/>
  <c r="J444" i="18"/>
  <c r="L444" i="18" s="1"/>
  <c r="J558" i="18"/>
  <c r="L558" i="18" s="1"/>
  <c r="J747" i="18"/>
  <c r="L747" i="18" s="1"/>
  <c r="J277" i="18"/>
  <c r="L277" i="18" s="1"/>
  <c r="J586" i="18"/>
  <c r="L586" i="18" s="1"/>
  <c r="J361" i="18"/>
  <c r="L361" i="18" s="1"/>
  <c r="J6" i="18"/>
  <c r="L6" i="18" s="1"/>
  <c r="J333" i="18"/>
  <c r="L333" i="18" s="1"/>
  <c r="P633" i="18"/>
  <c r="J573" i="18"/>
  <c r="L573" i="18" s="1"/>
  <c r="P492" i="18"/>
  <c r="P563" i="18"/>
  <c r="P705" i="18"/>
  <c r="P651" i="18"/>
  <c r="J696" i="18"/>
  <c r="L696" i="18" s="1"/>
  <c r="P632" i="18"/>
  <c r="P602" i="18"/>
  <c r="P698" i="18"/>
  <c r="P653" i="18"/>
  <c r="J739" i="18"/>
  <c r="L739" i="18" s="1"/>
  <c r="P424" i="18"/>
  <c r="P692" i="18"/>
  <c r="P547" i="18"/>
  <c r="J651" i="18"/>
  <c r="L651" i="18" s="1"/>
  <c r="P476" i="18"/>
  <c r="P449" i="18"/>
  <c r="P587" i="18"/>
  <c r="P568" i="18"/>
  <c r="P674" i="18"/>
  <c r="P461" i="18"/>
  <c r="P577" i="18"/>
  <c r="J687" i="18"/>
  <c r="L687" i="18" s="1"/>
  <c r="P527" i="18"/>
  <c r="J706" i="18"/>
  <c r="L706" i="18" s="1"/>
  <c r="P625" i="18"/>
  <c r="P604" i="18"/>
  <c r="J683" i="18"/>
  <c r="L683" i="18" s="1"/>
  <c r="P499" i="18"/>
  <c r="J583" i="18"/>
  <c r="L583" i="18" s="1"/>
  <c r="P599" i="18"/>
  <c r="P636" i="18"/>
  <c r="J680" i="18"/>
  <c r="L680" i="18" s="1"/>
  <c r="P610" i="18"/>
  <c r="P594" i="18"/>
  <c r="P678" i="18"/>
  <c r="P675" i="18"/>
  <c r="P537" i="18"/>
  <c r="J387" i="18"/>
  <c r="L387" i="18" s="1"/>
  <c r="P440" i="18"/>
  <c r="P402" i="18"/>
  <c r="J117" i="18"/>
  <c r="L117" i="18" s="1"/>
  <c r="P666" i="18"/>
  <c r="P519" i="18"/>
  <c r="J334" i="18"/>
  <c r="L334" i="18" s="1"/>
  <c r="P553" i="18"/>
  <c r="P631" i="18"/>
  <c r="P706" i="18"/>
  <c r="P643" i="18"/>
  <c r="P606" i="18"/>
  <c r="J565" i="18"/>
  <c r="L565" i="18" s="1"/>
  <c r="P567" i="18"/>
  <c r="P399" i="18"/>
  <c r="P464" i="18"/>
  <c r="P434" i="18"/>
  <c r="P685" i="18"/>
  <c r="P714" i="18"/>
  <c r="P561" i="18"/>
  <c r="P425" i="18"/>
  <c r="P704" i="18"/>
  <c r="P448" i="18"/>
  <c r="P488" i="18"/>
  <c r="P447" i="18"/>
  <c r="P579" i="18"/>
  <c r="P473" i="18"/>
  <c r="J211" i="18"/>
  <c r="J397" i="18"/>
  <c r="L397" i="18" s="1"/>
  <c r="J457" i="18"/>
  <c r="L457" i="18" s="1"/>
  <c r="P517" i="18"/>
  <c r="P421" i="18"/>
  <c r="P691" i="18"/>
  <c r="P668" i="18"/>
  <c r="P503" i="18"/>
  <c r="P627" i="18"/>
  <c r="P654" i="18"/>
  <c r="P575" i="18"/>
  <c r="P546" i="18"/>
  <c r="P500" i="18"/>
  <c r="P709" i="18"/>
  <c r="P564" i="18"/>
  <c r="P444" i="18"/>
  <c r="J204" i="18"/>
  <c r="L204" i="18" s="1"/>
  <c r="J318" i="18"/>
  <c r="L318" i="18" s="1"/>
  <c r="P613" i="18"/>
  <c r="J473" i="18"/>
  <c r="L473" i="18" s="1"/>
  <c r="P469" i="18"/>
  <c r="P472" i="18"/>
  <c r="P688" i="18"/>
  <c r="J75" i="18"/>
  <c r="L75" i="18" s="1"/>
  <c r="J80" i="18"/>
  <c r="L80" i="18" s="1"/>
  <c r="P536" i="18"/>
  <c r="P616" i="18"/>
  <c r="J609" i="18"/>
  <c r="L609" i="18" s="1"/>
  <c r="P495" i="18"/>
  <c r="P512" i="18"/>
  <c r="P427" i="18"/>
  <c r="P680" i="18"/>
  <c r="P493" i="18"/>
  <c r="J568" i="18"/>
  <c r="L568" i="18" s="1"/>
  <c r="P453" i="18"/>
  <c r="P712" i="18"/>
  <c r="P525" i="18"/>
  <c r="P480" i="18"/>
  <c r="P502" i="18"/>
  <c r="J622" i="18"/>
  <c r="L622" i="18" s="1"/>
  <c r="J715" i="18"/>
  <c r="L715" i="18" s="1"/>
  <c r="P716" i="18"/>
  <c r="P403" i="18"/>
  <c r="P429" i="18"/>
  <c r="J172" i="18"/>
  <c r="L172" i="18" s="1"/>
  <c r="P533" i="18"/>
  <c r="P707" i="18"/>
  <c r="P462" i="18"/>
  <c r="J184" i="18"/>
  <c r="L184" i="18" s="1"/>
  <c r="P514" i="18"/>
  <c r="P504" i="18"/>
  <c r="P404" i="18"/>
  <c r="J615" i="18"/>
  <c r="L615" i="18" s="1"/>
  <c r="P411" i="18"/>
  <c r="J708" i="18"/>
  <c r="L708" i="18" s="1"/>
  <c r="P467" i="18"/>
  <c r="P689" i="18"/>
  <c r="P683" i="18"/>
  <c r="J578" i="18"/>
  <c r="L578" i="18" s="1"/>
  <c r="P530" i="18"/>
  <c r="P454" i="18"/>
  <c r="P572" i="18"/>
  <c r="P446" i="18"/>
  <c r="P419" i="18"/>
  <c r="P456" i="18"/>
  <c r="J736" i="18"/>
  <c r="L736" i="18" s="1"/>
  <c r="P522" i="18"/>
  <c r="P650" i="18"/>
  <c r="J119" i="18"/>
  <c r="L119" i="18" s="1"/>
  <c r="P697" i="18"/>
  <c r="P686" i="18"/>
  <c r="P581" i="18"/>
  <c r="P690" i="18"/>
  <c r="P426" i="18"/>
  <c r="P554" i="18"/>
  <c r="P693" i="18"/>
  <c r="J159" i="18"/>
  <c r="L159" i="18" s="1"/>
  <c r="J401" i="18"/>
  <c r="L401" i="18" s="1"/>
  <c r="P669" i="18"/>
  <c r="J406" i="18"/>
  <c r="L406" i="18" s="1"/>
  <c r="P516" i="18"/>
  <c r="P662" i="18"/>
  <c r="P672" i="18"/>
  <c r="P524" i="18"/>
  <c r="P629" i="18"/>
  <c r="P398" i="18"/>
  <c r="J799" i="18"/>
  <c r="L799" i="18" s="1"/>
  <c r="P532" i="18"/>
  <c r="J179" i="18"/>
  <c r="L179" i="18" s="1"/>
  <c r="P628" i="18"/>
  <c r="P648" i="18"/>
  <c r="P396" i="18"/>
  <c r="J718" i="18"/>
  <c r="L718" i="18" s="1"/>
  <c r="P661" i="18"/>
  <c r="J85" i="18"/>
  <c r="L85" i="18" s="1"/>
  <c r="P534" i="18"/>
  <c r="P663" i="18"/>
  <c r="J449" i="18"/>
  <c r="L449" i="18" s="1"/>
  <c r="P598" i="18"/>
  <c r="J408" i="18"/>
  <c r="L408" i="18" s="1"/>
  <c r="P621" i="18"/>
  <c r="P593" i="18"/>
  <c r="P694" i="18"/>
  <c r="P412" i="18"/>
  <c r="J665" i="18"/>
  <c r="L665" i="18" s="1"/>
  <c r="P507" i="18"/>
  <c r="P443" i="18"/>
  <c r="J761" i="18"/>
  <c r="L761" i="18" s="1"/>
  <c r="J635" i="18"/>
  <c r="L635" i="18" s="1"/>
  <c r="P431" i="18"/>
  <c r="P649" i="18"/>
  <c r="P667" i="18"/>
  <c r="P609" i="18"/>
  <c r="P450" i="18"/>
  <c r="P515" i="18"/>
  <c r="P510" i="18"/>
  <c r="P555" i="18"/>
  <c r="J312" i="18"/>
  <c r="L312" i="18" s="1"/>
  <c r="P642" i="18"/>
  <c r="P641" i="18"/>
  <c r="P682" i="18"/>
  <c r="J167" i="18"/>
  <c r="L167" i="18" s="1"/>
  <c r="P528" i="18"/>
  <c r="J679" i="18"/>
  <c r="L679" i="18" s="1"/>
  <c r="P637" i="18"/>
  <c r="P565" i="18"/>
  <c r="J504" i="18"/>
  <c r="L504" i="18" s="1"/>
  <c r="P717" i="18"/>
  <c r="P535" i="18"/>
  <c r="P718" i="18"/>
  <c r="P529" i="18"/>
  <c r="J411" i="18"/>
  <c r="L411" i="18" s="1"/>
  <c r="P406" i="18"/>
  <c r="P442" i="18"/>
  <c r="P475" i="18"/>
  <c r="P545" i="18"/>
  <c r="J661" i="18"/>
  <c r="L661" i="18" s="1"/>
  <c r="P652" i="18"/>
  <c r="P573" i="18"/>
  <c r="P656" i="18"/>
  <c r="P549" i="18"/>
  <c r="J605" i="18"/>
  <c r="L605" i="18" s="1"/>
  <c r="P463" i="18"/>
  <c r="J259" i="18"/>
  <c r="L259" i="18" s="1"/>
  <c r="P465" i="18"/>
  <c r="P548" i="18"/>
  <c r="P585" i="18"/>
  <c r="P597" i="18"/>
  <c r="P556" i="18"/>
  <c r="P611" i="18"/>
  <c r="P630" i="18"/>
  <c r="P614" i="18"/>
  <c r="P684" i="18"/>
  <c r="P441" i="18"/>
  <c r="J668" i="18"/>
  <c r="L668" i="18" s="1"/>
  <c r="P478" i="18"/>
  <c r="P589" i="18"/>
  <c r="P634" i="18"/>
  <c r="P646" i="18"/>
  <c r="P477" i="18"/>
  <c r="P521" i="18"/>
  <c r="P422" i="18"/>
  <c r="P458" i="18"/>
  <c r="P569" i="18"/>
  <c r="P623" i="18"/>
  <c r="P596" i="18"/>
  <c r="J399" i="18"/>
  <c r="L399" i="18" s="1"/>
  <c r="P544" i="18"/>
  <c r="P460" i="18"/>
  <c r="J384" i="18"/>
  <c r="L384" i="18" s="1"/>
  <c r="P622" i="18"/>
  <c r="P608" i="18"/>
  <c r="J356" i="18"/>
  <c r="L356" i="18" s="1"/>
  <c r="P711" i="18"/>
  <c r="J290" i="18"/>
  <c r="L290" i="18" s="1"/>
  <c r="P660" i="18"/>
  <c r="P635" i="18"/>
  <c r="P435" i="18"/>
  <c r="P523" i="18"/>
  <c r="P644" i="18"/>
  <c r="P592" i="18"/>
  <c r="P558" i="18"/>
  <c r="P600" i="18"/>
  <c r="P560" i="18"/>
  <c r="P624" i="18"/>
  <c r="P407" i="18"/>
  <c r="P490" i="18"/>
  <c r="P506" i="18"/>
  <c r="P457" i="18"/>
  <c r="P562" i="18"/>
  <c r="P719" i="18"/>
  <c r="P639" i="18"/>
  <c r="P580" i="18"/>
  <c r="P483" i="18"/>
  <c r="P607" i="18"/>
  <c r="P445" i="18"/>
  <c r="P605" i="18"/>
  <c r="J638" i="18"/>
  <c r="L638" i="18" s="1"/>
  <c r="P413" i="18"/>
  <c r="P588" i="18"/>
  <c r="P433" i="18"/>
  <c r="P509" i="18"/>
  <c r="P430" i="18"/>
  <c r="J90" i="18"/>
  <c r="L90" i="18" s="1"/>
  <c r="J619" i="18"/>
  <c r="L619" i="18" s="1"/>
  <c r="P459" i="18"/>
  <c r="P432" i="18"/>
  <c r="P676" i="18"/>
  <c r="J720" i="18"/>
  <c r="L720" i="18" s="1"/>
  <c r="P591" i="18"/>
  <c r="P400" i="18"/>
  <c r="P687" i="18"/>
  <c r="P671" i="18"/>
  <c r="J626" i="18"/>
  <c r="L626" i="18" s="1"/>
  <c r="P498" i="18"/>
  <c r="P657" i="18"/>
  <c r="P520" i="18"/>
  <c r="P640" i="18"/>
  <c r="P679" i="18"/>
  <c r="P618" i="18"/>
  <c r="P699" i="18"/>
  <c r="P708" i="18"/>
  <c r="P645" i="18"/>
  <c r="P415" i="18"/>
  <c r="P582" i="18"/>
  <c r="P612" i="18"/>
  <c r="P518" i="18"/>
  <c r="P566" i="18"/>
  <c r="P702" i="18"/>
  <c r="P428" i="18"/>
  <c r="P497" i="18"/>
  <c r="P505" i="18"/>
  <c r="P615" i="18"/>
  <c r="J404" i="18"/>
  <c r="L404" i="18" s="1"/>
  <c r="J807" i="18"/>
  <c r="L807" i="18" s="1"/>
  <c r="P655" i="18"/>
  <c r="P494" i="18"/>
  <c r="P574" i="18"/>
  <c r="P479" i="18"/>
  <c r="P713" i="18"/>
  <c r="P664" i="18"/>
  <c r="P397" i="18"/>
  <c r="P496" i="18"/>
  <c r="P486" i="18"/>
  <c r="P451" i="18"/>
  <c r="J593" i="18"/>
  <c r="L593" i="18" s="1"/>
  <c r="J804" i="18"/>
  <c r="L804" i="18" s="1"/>
  <c r="P417" i="18"/>
  <c r="P468" i="18"/>
  <c r="P677" i="18"/>
  <c r="J465" i="18"/>
  <c r="L465" i="18" s="1"/>
  <c r="P695" i="18"/>
  <c r="P571" i="18"/>
  <c r="J341" i="18"/>
  <c r="L341" i="18" s="1"/>
  <c r="P471" i="18"/>
  <c r="P436" i="18"/>
  <c r="P423" i="18"/>
  <c r="J193" i="18"/>
  <c r="L193" i="18" s="1"/>
  <c r="P414" i="18"/>
  <c r="J156" i="18"/>
  <c r="L156" i="18" s="1"/>
  <c r="P501" i="18"/>
  <c r="P551" i="18"/>
  <c r="P511" i="18"/>
  <c r="P474" i="18"/>
  <c r="P681" i="18"/>
  <c r="P576" i="18"/>
  <c r="P452" i="18"/>
  <c r="J815" i="18"/>
  <c r="L815" i="18" s="1"/>
  <c r="P401" i="18"/>
  <c r="P673" i="18"/>
  <c r="P513" i="18"/>
  <c r="P485" i="18"/>
  <c r="P603" i="18"/>
  <c r="P700" i="18"/>
  <c r="P715" i="18"/>
  <c r="P595" i="18"/>
  <c r="P584" i="18"/>
  <c r="P626" i="18"/>
  <c r="P586" i="18"/>
  <c r="P619" i="18"/>
  <c r="P550" i="18"/>
  <c r="P405" i="18"/>
  <c r="P408" i="18"/>
  <c r="J599" i="18"/>
  <c r="L599" i="18" s="1"/>
  <c r="P552" i="18"/>
  <c r="J655" i="18"/>
  <c r="L655" i="18" s="1"/>
  <c r="P710" i="18"/>
  <c r="P590" i="18"/>
  <c r="J643" i="18"/>
  <c r="L643" i="18" s="1"/>
  <c r="J571" i="18"/>
  <c r="L571" i="18" s="1"/>
  <c r="P638" i="18"/>
  <c r="P526" i="18"/>
  <c r="J646" i="18"/>
  <c r="L646" i="18" s="1"/>
  <c r="P670" i="18"/>
  <c r="P489" i="18"/>
  <c r="P647" i="18"/>
  <c r="P487" i="18"/>
  <c r="P620" i="18"/>
  <c r="J711" i="18"/>
  <c r="L711" i="18" s="1"/>
  <c r="P583" i="18"/>
  <c r="P665" i="18"/>
  <c r="P466" i="18"/>
  <c r="P658" i="18"/>
  <c r="P438" i="18"/>
  <c r="P601" i="18"/>
  <c r="P720" i="18"/>
  <c r="P508" i="18"/>
  <c r="J795" i="18"/>
  <c r="L795" i="18" s="1"/>
  <c r="P470" i="18"/>
  <c r="P437" i="18"/>
  <c r="J630" i="18"/>
  <c r="L630" i="18" s="1"/>
  <c r="J648" i="18"/>
  <c r="L648" i="18" s="1"/>
  <c r="P703" i="18"/>
  <c r="P455" i="18"/>
  <c r="P481" i="18"/>
  <c r="P559" i="18"/>
  <c r="P416" i="18"/>
  <c r="P482" i="18"/>
  <c r="P659" i="18"/>
  <c r="P557" i="18"/>
  <c r="P484" i="18"/>
  <c r="J162" i="18"/>
  <c r="L162" i="18" s="1"/>
  <c r="P578" i="18"/>
  <c r="P420" i="18"/>
  <c r="P418" i="18"/>
  <c r="P491" i="18"/>
  <c r="J164" i="18"/>
  <c r="L164" i="18" s="1"/>
  <c r="P617" i="18"/>
  <c r="P570" i="18"/>
  <c r="P531" i="18"/>
  <c r="P439" i="18"/>
  <c r="P696" i="18"/>
  <c r="J551" i="18"/>
  <c r="L551" i="18" s="1"/>
  <c r="P701" i="18"/>
  <c r="J555" i="18"/>
  <c r="L555" i="18" s="1"/>
  <c r="J298" i="18"/>
  <c r="L298" i="18" s="1"/>
  <c r="J552" i="18"/>
  <c r="L552" i="18" s="1"/>
  <c r="J260" i="18"/>
  <c r="L260" i="18" s="1"/>
  <c r="J301" i="18"/>
  <c r="L301" i="18" s="1"/>
  <c r="J276" i="18"/>
  <c r="L276" i="18" s="1"/>
  <c r="J639" i="18"/>
  <c r="L639" i="18" s="1"/>
  <c r="J266" i="18"/>
  <c r="L266" i="18" s="1"/>
  <c r="J347" i="18"/>
  <c r="L347" i="18" s="1"/>
  <c r="J263" i="18"/>
  <c r="L263" i="18" s="1"/>
  <c r="J323" i="18"/>
  <c r="L323" i="18" s="1"/>
  <c r="J291" i="18"/>
  <c r="L291" i="18" s="1"/>
  <c r="J368" i="18"/>
  <c r="L368" i="18" s="1"/>
  <c r="J549" i="18"/>
  <c r="L549" i="18" s="1"/>
  <c r="J431" i="18"/>
  <c r="L431" i="18" s="1"/>
  <c r="J684" i="18"/>
  <c r="L684" i="18" s="1"/>
  <c r="J667" i="18"/>
  <c r="L667" i="18" s="1"/>
  <c r="J594" i="18"/>
  <c r="L594" i="18" s="1"/>
  <c r="J688" i="18"/>
  <c r="L688" i="18" s="1"/>
  <c r="J219" i="18"/>
  <c r="L219" i="18" s="1"/>
  <c r="J186" i="18"/>
  <c r="L186" i="18" s="1"/>
  <c r="J235" i="18"/>
  <c r="L235" i="18" s="1"/>
  <c r="J697" i="18"/>
  <c r="L697" i="18" s="1"/>
  <c r="J118" i="18"/>
  <c r="L118" i="18" s="1"/>
  <c r="J471" i="18"/>
  <c r="L471" i="18" s="1"/>
  <c r="J636" i="18"/>
  <c r="L636" i="18" s="1"/>
  <c r="J295" i="18"/>
  <c r="L295" i="18" s="1"/>
  <c r="J134" i="18"/>
  <c r="L134" i="18" s="1"/>
  <c r="J386" i="18"/>
  <c r="L386" i="18" s="1"/>
  <c r="J654" i="18"/>
  <c r="L654" i="18" s="1"/>
  <c r="J534" i="18"/>
  <c r="L534" i="18" s="1"/>
  <c r="J694" i="18"/>
  <c r="L694" i="18" s="1"/>
  <c r="J550" i="18"/>
  <c r="L550" i="18" s="1"/>
  <c r="J597" i="18"/>
  <c r="L597" i="18" s="1"/>
  <c r="J548" i="18"/>
  <c r="L548" i="18" s="1"/>
  <c r="J173" i="18"/>
  <c r="L173" i="18" s="1"/>
  <c r="J346" i="18"/>
  <c r="L346" i="18" s="1"/>
  <c r="J313" i="18"/>
  <c r="L313" i="18" s="1"/>
  <c r="J305" i="18"/>
  <c r="L305" i="18" s="1"/>
  <c r="J158" i="18"/>
  <c r="L158" i="18" s="1"/>
  <c r="J388" i="18"/>
  <c r="L388" i="18" s="1"/>
  <c r="J81" i="18"/>
  <c r="L81" i="18" s="1"/>
  <c r="J592" i="18"/>
  <c r="L592" i="18" s="1"/>
  <c r="J374" i="18"/>
  <c r="L374" i="18" s="1"/>
  <c r="J712" i="18"/>
  <c r="L712" i="18" s="1"/>
  <c r="J612" i="18"/>
  <c r="L612" i="18" s="1"/>
  <c r="J161" i="18"/>
  <c r="L161" i="18" s="1"/>
  <c r="J633" i="18"/>
  <c r="L633" i="18" s="1"/>
  <c r="J620" i="18"/>
  <c r="L620" i="18" s="1"/>
  <c r="J591" i="18"/>
  <c r="L591" i="18" s="1"/>
  <c r="J652" i="18"/>
  <c r="L652" i="18" s="1"/>
  <c r="J363" i="18"/>
  <c r="L363" i="18" s="1"/>
  <c r="J587" i="18"/>
  <c r="L587" i="18" s="1"/>
  <c r="J97" i="18"/>
  <c r="L97" i="18" s="1"/>
  <c r="J744" i="18"/>
  <c r="L744" i="18" s="1"/>
  <c r="J631" i="18"/>
  <c r="L631" i="18" s="1"/>
  <c r="J405" i="18"/>
  <c r="L405" i="18" s="1"/>
  <c r="J569" i="18"/>
  <c r="L569" i="18" s="1"/>
  <c r="J116" i="18"/>
  <c r="L116" i="18" s="1"/>
  <c r="J170" i="18"/>
  <c r="L170" i="18" s="1"/>
  <c r="J274" i="18"/>
  <c r="L274" i="18" s="1"/>
  <c r="J120" i="18"/>
  <c r="L120" i="18" s="1"/>
  <c r="J510" i="18"/>
  <c r="L510" i="18" s="1"/>
  <c r="J441" i="18"/>
  <c r="L441" i="18" s="1"/>
  <c r="J647" i="18"/>
  <c r="L647" i="18" s="1"/>
  <c r="J640" i="18"/>
  <c r="L640" i="18" s="1"/>
  <c r="J329" i="18"/>
  <c r="L329" i="18" s="1"/>
  <c r="J644" i="18"/>
  <c r="L644" i="18" s="1"/>
  <c r="J348" i="18"/>
  <c r="L348" i="18" s="1"/>
  <c r="J76" i="18"/>
  <c r="L76" i="18" s="1"/>
  <c r="J436" i="18"/>
  <c r="L436" i="18" s="1"/>
  <c r="J628" i="18"/>
  <c r="L628" i="18" s="1"/>
  <c r="J297" i="18"/>
  <c r="L297" i="18" s="1"/>
  <c r="J273" i="18"/>
  <c r="L273" i="18" s="1"/>
  <c r="J168" i="18"/>
  <c r="L168" i="18" s="1"/>
  <c r="J294" i="18"/>
  <c r="L294" i="18" s="1"/>
  <c r="J700" i="18"/>
  <c r="L700" i="18" s="1"/>
  <c r="J220" i="18"/>
  <c r="L220" i="18" s="1"/>
  <c r="J191" i="18"/>
  <c r="L191" i="18" s="1"/>
  <c r="J656" i="18"/>
  <c r="L656" i="18" s="1"/>
  <c r="J375" i="18"/>
  <c r="L375" i="18" s="1"/>
  <c r="J566" i="18"/>
  <c r="L566" i="18" s="1"/>
  <c r="J602" i="18"/>
  <c r="L602" i="18" s="1"/>
  <c r="J354" i="18"/>
  <c r="L354" i="18" s="1"/>
  <c r="J385" i="18"/>
  <c r="L385" i="18" s="1"/>
  <c r="J227" i="18"/>
  <c r="L227" i="18" s="1"/>
  <c r="J485" i="18"/>
  <c r="L485" i="18" s="1"/>
  <c r="J455" i="18"/>
  <c r="L455" i="18" s="1"/>
  <c r="J342" i="18"/>
  <c r="L342" i="18" s="1"/>
  <c r="J463" i="18"/>
  <c r="L463" i="18" s="1"/>
  <c r="J237" i="18"/>
  <c r="L237" i="18" s="1"/>
  <c r="J194" i="18"/>
  <c r="L194" i="18" s="1"/>
  <c r="J367" i="18"/>
  <c r="L367" i="18" s="1"/>
  <c r="J610" i="18"/>
  <c r="L610" i="18" s="1"/>
  <c r="J335" i="18"/>
  <c r="L335" i="18" s="1"/>
  <c r="J624" i="18"/>
  <c r="L624" i="18" s="1"/>
  <c r="J487" i="18"/>
  <c r="L487" i="18" s="1"/>
  <c r="J371" i="18"/>
  <c r="L371" i="18" s="1"/>
  <c r="J664" i="18"/>
  <c r="L664" i="18" s="1"/>
  <c r="J283" i="18"/>
  <c r="L283" i="18" s="1"/>
  <c r="J286" i="18"/>
  <c r="L286" i="18" s="1"/>
  <c r="J340" i="18"/>
  <c r="L340" i="18" s="1"/>
  <c r="J251" i="18"/>
  <c r="L251" i="18" s="1"/>
  <c r="J716" i="18"/>
  <c r="L716" i="18" s="1"/>
  <c r="J584" i="18"/>
  <c r="L584" i="18" s="1"/>
  <c r="J659" i="18"/>
  <c r="L659" i="18" s="1"/>
  <c r="J289" i="18"/>
  <c r="L289" i="18" s="1"/>
  <c r="J760" i="18"/>
  <c r="L760" i="18" s="1"/>
  <c r="J321" i="18"/>
  <c r="L321" i="18" s="1"/>
  <c r="J719" i="18"/>
  <c r="L719" i="18" s="1"/>
  <c r="J554" i="18"/>
  <c r="L554" i="18" s="1"/>
  <c r="J403" i="18"/>
  <c r="L403" i="18" s="1"/>
  <c r="J229" i="18"/>
  <c r="L229" i="18" s="1"/>
  <c r="J526" i="18"/>
  <c r="L526" i="18" s="1"/>
  <c r="J316" i="18"/>
  <c r="L316" i="18" s="1"/>
  <c r="J181" i="18"/>
  <c r="L181" i="18" s="1"/>
  <c r="J307" i="18"/>
  <c r="L307" i="18" s="1"/>
  <c r="J576" i="18"/>
  <c r="L576" i="18" s="1"/>
  <c r="J637" i="18"/>
  <c r="L637" i="18" s="1"/>
  <c r="J132" i="18"/>
  <c r="L132" i="18" s="1"/>
  <c r="J802" i="18"/>
  <c r="L802" i="18" s="1"/>
  <c r="J581" i="18"/>
  <c r="L581" i="18" s="1"/>
  <c r="J359" i="18"/>
  <c r="L359" i="18" s="1"/>
  <c r="J265" i="18"/>
  <c r="L265" i="18" s="1"/>
  <c r="J214" i="18"/>
  <c r="J606" i="18"/>
  <c r="L606" i="18" s="1"/>
  <c r="J616" i="18"/>
  <c r="L616" i="18" s="1"/>
  <c r="J243" i="18"/>
  <c r="L243" i="18" s="1"/>
  <c r="J175" i="18"/>
  <c r="L175" i="18" s="1"/>
  <c r="J805" i="18"/>
  <c r="L805" i="18" s="1"/>
  <c r="J253" i="18"/>
  <c r="L253" i="18" s="1"/>
  <c r="J271" i="18"/>
  <c r="L271" i="18" s="1"/>
  <c r="J258" i="18"/>
  <c r="L258" i="18" s="1"/>
  <c r="J678" i="18"/>
  <c r="L678" i="18" s="1"/>
  <c r="J447" i="18"/>
  <c r="L447" i="18" s="1"/>
  <c r="J365" i="18"/>
  <c r="L365" i="18" s="1"/>
  <c r="J369" i="18"/>
  <c r="L369" i="18" s="1"/>
  <c r="J245" i="18"/>
  <c r="L245" i="18" s="1"/>
  <c r="J279" i="18"/>
  <c r="L279" i="18" s="1"/>
  <c r="J357" i="18"/>
  <c r="L357" i="18" s="1"/>
  <c r="J372" i="18"/>
  <c r="L372" i="18" s="1"/>
  <c r="J518" i="18"/>
  <c r="L518" i="18" s="1"/>
  <c r="J642" i="18"/>
  <c r="L642" i="18" s="1"/>
  <c r="J383" i="18"/>
  <c r="L383" i="18" s="1"/>
  <c r="J78" i="18"/>
  <c r="L78" i="18" s="1"/>
  <c r="J669" i="18"/>
  <c r="L669" i="18" s="1"/>
  <c r="J86" i="18"/>
  <c r="L86" i="18" s="1"/>
  <c r="J209" i="18"/>
  <c r="L209" i="18" s="1"/>
  <c r="J707" i="18"/>
  <c r="L707" i="18" s="1"/>
  <c r="AD367" i="2"/>
  <c r="AE367" i="2"/>
  <c r="AB367" i="2"/>
  <c r="AC367" i="2"/>
  <c r="W368" i="2"/>
  <c r="X368" i="2"/>
  <c r="Y368" i="2"/>
  <c r="Z368" i="2"/>
  <c r="J539" i="5" s="1"/>
  <c r="L539" i="5" s="1"/>
  <c r="AA368" i="2"/>
  <c r="AC368" i="15"/>
  <c r="J540" i="18" s="1"/>
  <c r="L540" i="18" s="1"/>
  <c r="AB368" i="15"/>
  <c r="AE368" i="15"/>
  <c r="M97" i="16" s="1"/>
  <c r="AD368" i="15"/>
  <c r="P351" i="15"/>
  <c r="G351" i="15"/>
  <c r="D351" i="15"/>
  <c r="R351" i="15"/>
  <c r="E351" i="15"/>
  <c r="H351" i="15"/>
  <c r="F351" i="15"/>
  <c r="Q351" i="15" s="1"/>
  <c r="O351" i="15"/>
  <c r="K350" i="15"/>
  <c r="J350" i="15"/>
  <c r="M350" i="15"/>
  <c r="L350" i="15"/>
  <c r="J347" i="2"/>
  <c r="K347" i="2"/>
  <c r="O348" i="2"/>
  <c r="G348" i="2"/>
  <c r="B349" i="2"/>
  <c r="H348" i="2"/>
  <c r="F348" i="2"/>
  <c r="Q348" i="2" s="1"/>
  <c r="E348" i="2"/>
  <c r="P348" i="2"/>
  <c r="D348" i="2"/>
  <c r="R348" i="2"/>
  <c r="M347" i="2"/>
  <c r="L347" i="2"/>
  <c r="L97" i="16" l="1"/>
  <c r="J541" i="18"/>
  <c r="L541" i="18" s="1"/>
  <c r="J324" i="5"/>
  <c r="L324" i="5" s="1"/>
  <c r="J784" i="5"/>
  <c r="L784" i="5" s="1"/>
  <c r="J302" i="5"/>
  <c r="L302" i="5" s="1"/>
  <c r="J542" i="5"/>
  <c r="L542" i="5" s="1"/>
  <c r="J409" i="5"/>
  <c r="L409" i="5" s="1"/>
  <c r="J543" i="5"/>
  <c r="L543" i="5" s="1"/>
  <c r="J97" i="16"/>
  <c r="J538" i="18"/>
  <c r="L538" i="18" s="1"/>
  <c r="P539" i="5"/>
  <c r="P328" i="5"/>
  <c r="P113" i="5"/>
  <c r="P384" i="5"/>
  <c r="P203" i="5"/>
  <c r="P350" i="5"/>
  <c r="P330" i="5"/>
  <c r="P261" i="5"/>
  <c r="P105" i="5"/>
  <c r="P247" i="5"/>
  <c r="P224" i="5"/>
  <c r="P139" i="5"/>
  <c r="P309" i="5"/>
  <c r="P162" i="5"/>
  <c r="P117" i="5"/>
  <c r="P347" i="5"/>
  <c r="P395" i="5"/>
  <c r="P130" i="5"/>
  <c r="P278" i="5"/>
  <c r="P191" i="5"/>
  <c r="P297" i="5"/>
  <c r="P146" i="5"/>
  <c r="P332" i="5"/>
  <c r="P82" i="5"/>
  <c r="P346" i="5"/>
  <c r="P186" i="5"/>
  <c r="P121" i="5"/>
  <c r="P166" i="5"/>
  <c r="P317" i="5"/>
  <c r="P93" i="5"/>
  <c r="P360" i="5"/>
  <c r="P187" i="5"/>
  <c r="P189" i="5"/>
  <c r="P538" i="5"/>
  <c r="P69" i="5"/>
  <c r="P358" i="5"/>
  <c r="P300" i="5"/>
  <c r="P354" i="5"/>
  <c r="P394" i="5"/>
  <c r="P73" i="5"/>
  <c r="P249" i="5"/>
  <c r="P318" i="5"/>
  <c r="P134" i="5"/>
  <c r="P83" i="5"/>
  <c r="P542" i="5"/>
  <c r="P78" i="5"/>
  <c r="P123" i="5"/>
  <c r="P120" i="5"/>
  <c r="P377" i="5"/>
  <c r="P268" i="5"/>
  <c r="P133" i="5"/>
  <c r="P234" i="5"/>
  <c r="P238" i="5"/>
  <c r="P206" i="5"/>
  <c r="P207" i="5"/>
  <c r="P370" i="5"/>
  <c r="P220" i="5"/>
  <c r="P140" i="5"/>
  <c r="P294" i="5"/>
  <c r="P213" i="5"/>
  <c r="P359" i="5"/>
  <c r="P183" i="5"/>
  <c r="P296" i="5"/>
  <c r="P110" i="5"/>
  <c r="P216" i="5"/>
  <c r="P286" i="5"/>
  <c r="P157" i="5"/>
  <c r="P163" i="5"/>
  <c r="P248" i="5"/>
  <c r="P236" i="5"/>
  <c r="P280" i="5"/>
  <c r="P64" i="5"/>
  <c r="P339" i="5"/>
  <c r="P188" i="5"/>
  <c r="P285" i="5"/>
  <c r="P81" i="5"/>
  <c r="P136" i="5"/>
  <c r="P80" i="5"/>
  <c r="P226" i="5"/>
  <c r="P242" i="5"/>
  <c r="P277" i="5"/>
  <c r="P263" i="5"/>
  <c r="P345" i="5"/>
  <c r="P70" i="5"/>
  <c r="P282" i="5"/>
  <c r="P348" i="5"/>
  <c r="P379" i="5"/>
  <c r="P65" i="5"/>
  <c r="P378" i="5"/>
  <c r="P107" i="5"/>
  <c r="P391" i="5"/>
  <c r="P153" i="5"/>
  <c r="P362" i="5"/>
  <c r="P211" i="5"/>
  <c r="P363" i="5"/>
  <c r="P182" i="5"/>
  <c r="P269" i="5"/>
  <c r="P119" i="5"/>
  <c r="P237" i="5"/>
  <c r="P154" i="5"/>
  <c r="P174" i="5"/>
  <c r="P349" i="5"/>
  <c r="P387" i="5"/>
  <c r="P298" i="5"/>
  <c r="P91" i="5"/>
  <c r="P131" i="5"/>
  <c r="P66" i="5"/>
  <c r="P145" i="5"/>
  <c r="P250" i="5"/>
  <c r="P311" i="5"/>
  <c r="P138" i="5"/>
  <c r="P85" i="5"/>
  <c r="P169" i="5"/>
  <c r="P326" i="5"/>
  <c r="P344" i="5"/>
  <c r="P251" i="5"/>
  <c r="P383" i="5"/>
  <c r="P353" i="5"/>
  <c r="P289" i="5"/>
  <c r="P312" i="5"/>
  <c r="P351" i="5"/>
  <c r="P231" i="5"/>
  <c r="P228" i="5"/>
  <c r="P293" i="5"/>
  <c r="P323" i="5"/>
  <c r="P221" i="5"/>
  <c r="P329" i="5"/>
  <c r="P322" i="5"/>
  <c r="P62" i="5"/>
  <c r="P96" i="5"/>
  <c r="P198" i="5"/>
  <c r="P112" i="5"/>
  <c r="P178" i="5"/>
  <c r="P273" i="5"/>
  <c r="P100" i="5"/>
  <c r="P305" i="5"/>
  <c r="P128" i="5"/>
  <c r="P338" i="5"/>
  <c r="P114" i="5"/>
  <c r="P235" i="5"/>
  <c r="P129" i="5"/>
  <c r="P170" i="5"/>
  <c r="P192" i="5"/>
  <c r="P361" i="5"/>
  <c r="P385" i="5"/>
  <c r="P335" i="5"/>
  <c r="P303" i="5"/>
  <c r="P127" i="5"/>
  <c r="P241" i="5"/>
  <c r="P190" i="5"/>
  <c r="P171" i="5"/>
  <c r="P179" i="5"/>
  <c r="P223" i="5"/>
  <c r="P267" i="5"/>
  <c r="P320" i="5"/>
  <c r="P135" i="5"/>
  <c r="P72" i="5"/>
  <c r="P380" i="5"/>
  <c r="P175" i="5"/>
  <c r="P313" i="5"/>
  <c r="P219" i="5"/>
  <c r="P341" i="5"/>
  <c r="P306" i="5"/>
  <c r="P79" i="5"/>
  <c r="P343" i="5"/>
  <c r="P371" i="5"/>
  <c r="P543" i="5"/>
  <c r="P366" i="5"/>
  <c r="P204" i="5"/>
  <c r="P63" i="5"/>
  <c r="P262" i="5"/>
  <c r="P256" i="5"/>
  <c r="P253" i="5"/>
  <c r="P75" i="5"/>
  <c r="P125" i="5"/>
  <c r="P76" i="5"/>
  <c r="P99" i="5"/>
  <c r="P337" i="5"/>
  <c r="P158" i="5"/>
  <c r="P137" i="5"/>
  <c r="P239" i="5"/>
  <c r="P74" i="5"/>
  <c r="P264" i="5"/>
  <c r="P270" i="5"/>
  <c r="P257" i="5"/>
  <c r="P126" i="5"/>
  <c r="P364" i="5"/>
  <c r="P176" i="5"/>
  <c r="P266" i="5"/>
  <c r="P240" i="5"/>
  <c r="P260" i="5"/>
  <c r="P388" i="5"/>
  <c r="P302" i="5"/>
  <c r="P340" i="5"/>
  <c r="P172" i="5"/>
  <c r="P217" i="5"/>
  <c r="P373" i="5"/>
  <c r="P98" i="5"/>
  <c r="P102" i="5"/>
  <c r="P101" i="5"/>
  <c r="P288" i="5"/>
  <c r="P95" i="5"/>
  <c r="P181" i="5"/>
  <c r="P185" i="5"/>
  <c r="P279" i="5"/>
  <c r="P327" i="5"/>
  <c r="P118" i="5"/>
  <c r="P168" i="5"/>
  <c r="P199" i="5"/>
  <c r="P152" i="5"/>
  <c r="P276" i="5"/>
  <c r="P374" i="5"/>
  <c r="P180" i="5"/>
  <c r="P142" i="5"/>
  <c r="P97" i="5"/>
  <c r="P148" i="5"/>
  <c r="P222" i="5"/>
  <c r="P197" i="5"/>
  <c r="P200" i="5"/>
  <c r="P244" i="5"/>
  <c r="P324" i="5"/>
  <c r="P319" i="5"/>
  <c r="P291" i="5"/>
  <c r="P193" i="5"/>
  <c r="P334" i="5"/>
  <c r="P281" i="5"/>
  <c r="P368" i="5"/>
  <c r="P325" i="5"/>
  <c r="P272" i="5"/>
  <c r="P254" i="5"/>
  <c r="P87" i="5"/>
  <c r="P381" i="5"/>
  <c r="P71" i="5"/>
  <c r="P132" i="5"/>
  <c r="P106" i="5"/>
  <c r="P390" i="5"/>
  <c r="P214" i="5"/>
  <c r="P212" i="5"/>
  <c r="P333" i="5"/>
  <c r="P252" i="5"/>
  <c r="P316" i="5"/>
  <c r="P259" i="5"/>
  <c r="P177" i="5"/>
  <c r="P108" i="5"/>
  <c r="P233" i="5"/>
  <c r="P149" i="5"/>
  <c r="P229" i="5"/>
  <c r="P258" i="5"/>
  <c r="P393" i="5"/>
  <c r="P283" i="5"/>
  <c r="P392" i="5"/>
  <c r="P104" i="5"/>
  <c r="P202" i="5"/>
  <c r="P194" i="5"/>
  <c r="P160" i="5"/>
  <c r="P301" i="5"/>
  <c r="P167" i="5"/>
  <c r="P151" i="5"/>
  <c r="P389" i="5"/>
  <c r="P284" i="5"/>
  <c r="P227" i="5"/>
  <c r="P94" i="5"/>
  <c r="P111" i="5"/>
  <c r="P246" i="5"/>
  <c r="J410" i="5"/>
  <c r="L410" i="5" s="1"/>
  <c r="P342" i="5"/>
  <c r="P245" i="5"/>
  <c r="P184" i="5"/>
  <c r="P315" i="5"/>
  <c r="P84" i="5"/>
  <c r="P372" i="5"/>
  <c r="P196" i="5"/>
  <c r="P86" i="5"/>
  <c r="P357" i="5"/>
  <c r="P143" i="5"/>
  <c r="P410" i="5"/>
  <c r="P308" i="5"/>
  <c r="P369" i="5"/>
  <c r="P287" i="5"/>
  <c r="P218" i="5"/>
  <c r="P331" i="5"/>
  <c r="P299" i="5"/>
  <c r="P144" i="5"/>
  <c r="P89" i="5"/>
  <c r="P352" i="5"/>
  <c r="P161" i="5"/>
  <c r="P116" i="5"/>
  <c r="P141" i="5"/>
  <c r="P208" i="5"/>
  <c r="P295" i="5"/>
  <c r="P275" i="5"/>
  <c r="P122" i="5"/>
  <c r="P232" i="5"/>
  <c r="P159" i="5"/>
  <c r="P88" i="5"/>
  <c r="P336" i="5"/>
  <c r="P90" i="5"/>
  <c r="P540" i="5"/>
  <c r="P173" i="5"/>
  <c r="P382" i="5"/>
  <c r="P210" i="5"/>
  <c r="P201" i="5"/>
  <c r="P68" i="5"/>
  <c r="P115" i="5"/>
  <c r="P367" i="5"/>
  <c r="P195" i="5"/>
  <c r="P77" i="5"/>
  <c r="P355" i="5"/>
  <c r="P215" i="5"/>
  <c r="P290" i="5"/>
  <c r="P356" i="5"/>
  <c r="P375" i="5"/>
  <c r="P307" i="5"/>
  <c r="P230" i="5"/>
  <c r="P165" i="5"/>
  <c r="P205" i="5"/>
  <c r="P255" i="5"/>
  <c r="P310" i="5"/>
  <c r="P103" i="5"/>
  <c r="P109" i="5"/>
  <c r="P365" i="5"/>
  <c r="P67" i="5"/>
  <c r="P150" i="5"/>
  <c r="P209" i="5"/>
  <c r="P314" i="5"/>
  <c r="P321" i="5"/>
  <c r="P541" i="5"/>
  <c r="P386" i="5"/>
  <c r="P274" i="5"/>
  <c r="P147" i="5"/>
  <c r="P265" i="5"/>
  <c r="P243" i="5"/>
  <c r="P409" i="5"/>
  <c r="P156" i="5"/>
  <c r="P225" i="5"/>
  <c r="P155" i="5"/>
  <c r="P271" i="5"/>
  <c r="P124" i="5"/>
  <c r="P164" i="5"/>
  <c r="P92" i="5"/>
  <c r="P376" i="5"/>
  <c r="P304" i="5"/>
  <c r="P292" i="5"/>
  <c r="J325" i="5"/>
  <c r="L325" i="5" s="1"/>
  <c r="J303" i="5"/>
  <c r="L303" i="5" s="1"/>
  <c r="F101" i="9"/>
  <c r="F98" i="9"/>
  <c r="F107" i="9"/>
  <c r="F103" i="9"/>
  <c r="F102" i="9"/>
  <c r="F100" i="9"/>
  <c r="F109" i="9"/>
  <c r="F108" i="9"/>
  <c r="F105" i="9"/>
  <c r="F106" i="9"/>
  <c r="F97" i="9"/>
  <c r="F104" i="9"/>
  <c r="F99" i="9"/>
  <c r="L211" i="18"/>
  <c r="K97" i="16"/>
  <c r="K99" i="16"/>
  <c r="K108" i="16"/>
  <c r="K98" i="16"/>
  <c r="K107" i="16"/>
  <c r="K104" i="16"/>
  <c r="K109" i="16"/>
  <c r="K106" i="16"/>
  <c r="K105" i="16"/>
  <c r="K103" i="16"/>
  <c r="K101" i="16"/>
  <c r="K100" i="16"/>
  <c r="K102" i="16"/>
  <c r="E103" i="9"/>
  <c r="E98" i="9"/>
  <c r="E105" i="9"/>
  <c r="E101" i="9"/>
  <c r="E99" i="9"/>
  <c r="E100" i="9"/>
  <c r="E108" i="9"/>
  <c r="E97" i="9"/>
  <c r="E102" i="9"/>
  <c r="E107" i="9"/>
  <c r="E104" i="9"/>
  <c r="E106" i="9"/>
  <c r="E109" i="9"/>
  <c r="H103" i="9"/>
  <c r="H99" i="9"/>
  <c r="H100" i="9"/>
  <c r="H105" i="9"/>
  <c r="H101" i="9"/>
  <c r="H98" i="9"/>
  <c r="H106" i="9"/>
  <c r="H109" i="9"/>
  <c r="H104" i="9"/>
  <c r="H107" i="9"/>
  <c r="H108" i="9"/>
  <c r="H102" i="9"/>
  <c r="H97" i="9"/>
  <c r="D106" i="9"/>
  <c r="D100" i="9"/>
  <c r="D102" i="9"/>
  <c r="D99" i="9"/>
  <c r="D105" i="9"/>
  <c r="D101" i="9"/>
  <c r="D109" i="9"/>
  <c r="D108" i="9"/>
  <c r="D98" i="9"/>
  <c r="D97" i="9"/>
  <c r="D103" i="9"/>
  <c r="D107" i="9"/>
  <c r="D104" i="9"/>
  <c r="G100" i="9"/>
  <c r="G107" i="9"/>
  <c r="G104" i="9"/>
  <c r="G108" i="9"/>
  <c r="G97" i="9"/>
  <c r="G102" i="9"/>
  <c r="G103" i="9"/>
  <c r="G109" i="9"/>
  <c r="G105" i="9"/>
  <c r="G98" i="9"/>
  <c r="G101" i="9"/>
  <c r="G106" i="9"/>
  <c r="G99" i="9"/>
  <c r="L214" i="18"/>
  <c r="L210" i="18"/>
  <c r="L803" i="18"/>
  <c r="I348" i="2"/>
  <c r="N348" i="2"/>
  <c r="I351" i="15"/>
  <c r="N351" i="15"/>
  <c r="L36" i="18"/>
  <c r="J438" i="18"/>
  <c r="L438" i="18" s="1"/>
  <c r="J750" i="18"/>
  <c r="L750" i="18" s="1"/>
  <c r="J284" i="18"/>
  <c r="L284" i="18" s="1"/>
  <c r="J753" i="18"/>
  <c r="L753" i="18" s="1"/>
  <c r="J417" i="18"/>
  <c r="L417" i="18" s="1"/>
  <c r="J443" i="18"/>
  <c r="L443" i="18" s="1"/>
  <c r="J505" i="18"/>
  <c r="L505" i="18" s="1"/>
  <c r="J778" i="18"/>
  <c r="L778" i="18" s="1"/>
  <c r="J493" i="18"/>
  <c r="L493" i="18" s="1"/>
  <c r="J729" i="18"/>
  <c r="L729" i="18" s="1"/>
  <c r="J212" i="18"/>
  <c r="J433" i="18"/>
  <c r="L433" i="18" s="1"/>
  <c r="J692" i="18"/>
  <c r="L692" i="18" s="1"/>
  <c r="J767" i="18"/>
  <c r="L767" i="18" s="1"/>
  <c r="J528" i="18"/>
  <c r="L528" i="18" s="1"/>
  <c r="J676" i="18"/>
  <c r="L676" i="18" s="1"/>
  <c r="J536" i="18"/>
  <c r="L536" i="18" s="1"/>
  <c r="J319" i="18"/>
  <c r="L319" i="18" s="1"/>
  <c r="J600" i="18"/>
  <c r="L600" i="18" s="1"/>
  <c r="J244" i="18"/>
  <c r="L244" i="18" s="1"/>
  <c r="J414" i="18"/>
  <c r="L414" i="18" s="1"/>
  <c r="J589" i="18"/>
  <c r="L589" i="18" s="1"/>
  <c r="J477" i="18"/>
  <c r="L477" i="18" s="1"/>
  <c r="J724" i="18"/>
  <c r="L724" i="18" s="1"/>
  <c r="J500" i="18"/>
  <c r="L500" i="18" s="1"/>
  <c r="J422" i="18"/>
  <c r="L422" i="18" s="1"/>
  <c r="J702" i="18"/>
  <c r="L702" i="18" s="1"/>
  <c r="J788" i="18"/>
  <c r="L788" i="18" s="1"/>
  <c r="J65" i="18"/>
  <c r="L65" i="18" s="1"/>
  <c r="J141" i="18"/>
  <c r="L141" i="18" s="1"/>
  <c r="J579" i="18"/>
  <c r="L579" i="18" s="1"/>
  <c r="J395" i="18"/>
  <c r="L395" i="18" s="1"/>
  <c r="J252" i="18"/>
  <c r="L252" i="18" s="1"/>
  <c r="J756" i="18"/>
  <c r="L756" i="18" s="1"/>
  <c r="J733" i="18"/>
  <c r="L733" i="18" s="1"/>
  <c r="J490" i="18"/>
  <c r="L490" i="18" s="1"/>
  <c r="J481" i="18"/>
  <c r="L481" i="18" s="1"/>
  <c r="J475" i="18"/>
  <c r="L475" i="18" s="1"/>
  <c r="J782" i="18"/>
  <c r="L782" i="18" s="1"/>
  <c r="J228" i="18"/>
  <c r="L228" i="18" s="1"/>
  <c r="J152" i="18"/>
  <c r="L152" i="18" s="1"/>
  <c r="J662" i="18"/>
  <c r="L662" i="18" s="1"/>
  <c r="J425" i="18"/>
  <c r="L425" i="18" s="1"/>
  <c r="J236" i="18"/>
  <c r="L236" i="18" s="1"/>
  <c r="J459" i="18"/>
  <c r="L459" i="18" s="1"/>
  <c r="J512" i="18"/>
  <c r="L512" i="18" s="1"/>
  <c r="J351" i="18"/>
  <c r="L351" i="18" s="1"/>
  <c r="J757" i="18"/>
  <c r="L757" i="18" s="1"/>
  <c r="J520" i="18"/>
  <c r="L520" i="18" s="1"/>
  <c r="J495" i="18"/>
  <c r="L495" i="18" s="1"/>
  <c r="J391" i="18"/>
  <c r="L391" i="18" s="1"/>
  <c r="J467" i="18"/>
  <c r="L467" i="18" s="1"/>
  <c r="J148" i="18"/>
  <c r="L148" i="18" s="1"/>
  <c r="J69" i="18"/>
  <c r="L69" i="18" s="1"/>
  <c r="J7" i="18"/>
  <c r="L7" i="18" s="1"/>
  <c r="J498" i="18"/>
  <c r="L498" i="18" s="1"/>
  <c r="J772" i="18"/>
  <c r="L772" i="18" s="1"/>
  <c r="J125" i="18"/>
  <c r="L125" i="18" s="1"/>
  <c r="J451" i="18"/>
  <c r="L451" i="18" s="1"/>
  <c r="J281" i="5"/>
  <c r="J553" i="5"/>
  <c r="L553" i="5" s="1"/>
  <c r="J29" i="5"/>
  <c r="L29" i="5" s="1"/>
  <c r="J2" i="5"/>
  <c r="L2" i="5" s="1"/>
  <c r="J300" i="5"/>
  <c r="L300" i="5" s="1"/>
  <c r="J154" i="5"/>
  <c r="L154" i="5" s="1"/>
  <c r="J333" i="5"/>
  <c r="L333" i="5" s="1"/>
  <c r="J269" i="5"/>
  <c r="L269" i="5" s="1"/>
  <c r="J36" i="5"/>
  <c r="J278" i="5"/>
  <c r="L278" i="5" s="1"/>
  <c r="J169" i="5"/>
  <c r="L169" i="5" s="1"/>
  <c r="J423" i="5"/>
  <c r="L423" i="5" s="1"/>
  <c r="J96" i="5"/>
  <c r="L96" i="5" s="1"/>
  <c r="J63" i="5"/>
  <c r="L63" i="5" s="1"/>
  <c r="J304" i="5"/>
  <c r="L304" i="5" s="1"/>
  <c r="J121" i="5"/>
  <c r="L121" i="5" s="1"/>
  <c r="J196" i="5"/>
  <c r="L196" i="5" s="1"/>
  <c r="J67" i="5"/>
  <c r="L67" i="5" s="1"/>
  <c r="J561" i="5"/>
  <c r="L561" i="5" s="1"/>
  <c r="J586" i="5"/>
  <c r="L586" i="5" s="1"/>
  <c r="J483" i="5"/>
  <c r="L483" i="5" s="1"/>
  <c r="J176" i="5"/>
  <c r="L176" i="5" s="1"/>
  <c r="J19" i="5"/>
  <c r="L19" i="5" s="1"/>
  <c r="J327" i="5"/>
  <c r="L327" i="5" s="1"/>
  <c r="J163" i="5"/>
  <c r="L163" i="5" s="1"/>
  <c r="J747" i="5"/>
  <c r="L747" i="5" s="1"/>
  <c r="J641" i="5"/>
  <c r="L641" i="5" s="1"/>
  <c r="J412" i="5"/>
  <c r="L412" i="5" s="1"/>
  <c r="J136" i="5"/>
  <c r="L136" i="5" s="1"/>
  <c r="J50" i="5"/>
  <c r="L50" i="5" s="1"/>
  <c r="J257" i="5"/>
  <c r="L257" i="5" s="1"/>
  <c r="J268" i="5"/>
  <c r="L268" i="5" s="1"/>
  <c r="J174" i="5"/>
  <c r="L174" i="5" s="1"/>
  <c r="J157" i="5"/>
  <c r="L157" i="5" s="1"/>
  <c r="J545" i="5"/>
  <c r="L545" i="5" s="1"/>
  <c r="J160" i="5"/>
  <c r="L160" i="5" s="1"/>
  <c r="J704" i="5"/>
  <c r="L704" i="5" s="1"/>
  <c r="J24" i="5"/>
  <c r="L24" i="5" s="1"/>
  <c r="J460" i="5"/>
  <c r="L460" i="5" s="1"/>
  <c r="J785" i="5"/>
  <c r="L785" i="5" s="1"/>
  <c r="J231" i="5"/>
  <c r="L231" i="5" s="1"/>
  <c r="J18" i="5"/>
  <c r="L18" i="5" s="1"/>
  <c r="J353" i="5"/>
  <c r="L353" i="5" s="1"/>
  <c r="J247" i="5"/>
  <c r="L247" i="5" s="1"/>
  <c r="J632" i="5"/>
  <c r="L632" i="5" s="1"/>
  <c r="J762" i="5"/>
  <c r="L762" i="5" s="1"/>
  <c r="J653" i="5"/>
  <c r="L653" i="5" s="1"/>
  <c r="J607" i="5"/>
  <c r="L607" i="5" s="1"/>
  <c r="J330" i="5"/>
  <c r="L330" i="5" s="1"/>
  <c r="J468" i="5"/>
  <c r="L468" i="5" s="1"/>
  <c r="J361" i="5"/>
  <c r="L361" i="5" s="1"/>
  <c r="J783" i="5"/>
  <c r="L783" i="5" s="1"/>
  <c r="J4" i="5"/>
  <c r="L4" i="5" s="1"/>
  <c r="J54" i="5"/>
  <c r="L54" i="5" s="1"/>
  <c r="J362" i="5"/>
  <c r="L362" i="5" s="1"/>
  <c r="J557" i="5"/>
  <c r="L557" i="5" s="1"/>
  <c r="J658" i="5"/>
  <c r="L658" i="5" s="1"/>
  <c r="J709" i="5"/>
  <c r="L709" i="5" s="1"/>
  <c r="J531" i="5"/>
  <c r="L531" i="5" s="1"/>
  <c r="J389" i="5"/>
  <c r="L389" i="5" s="1"/>
  <c r="J544" i="5"/>
  <c r="L544" i="5" s="1"/>
  <c r="J272" i="5"/>
  <c r="L272" i="5" s="1"/>
  <c r="J713" i="5"/>
  <c r="L713" i="5" s="1"/>
  <c r="J596" i="5"/>
  <c r="L596" i="5" s="1"/>
  <c r="J649" i="5"/>
  <c r="L649" i="5" s="1"/>
  <c r="J523" i="5"/>
  <c r="L523" i="5" s="1"/>
  <c r="J364" i="5"/>
  <c r="L364" i="5" s="1"/>
  <c r="J287" i="5"/>
  <c r="L287" i="5" s="1"/>
  <c r="J617" i="5"/>
  <c r="L617" i="5" s="1"/>
  <c r="J22" i="5"/>
  <c r="L22" i="5" s="1"/>
  <c r="J765" i="5"/>
  <c r="L765" i="5" s="1"/>
  <c r="J339" i="5"/>
  <c r="L339" i="5" s="1"/>
  <c r="J314" i="5"/>
  <c r="L314" i="5" s="1"/>
  <c r="J41" i="5"/>
  <c r="L41" i="5" s="1"/>
  <c r="J666" i="5"/>
  <c r="L666" i="5" s="1"/>
  <c r="J515" i="5"/>
  <c r="L515" i="5" s="1"/>
  <c r="J165" i="5"/>
  <c r="L165" i="5" s="1"/>
  <c r="J575" i="5"/>
  <c r="L575" i="5" s="1"/>
  <c r="J671" i="5"/>
  <c r="L671" i="5" s="1"/>
  <c r="J613" i="5"/>
  <c r="L613" i="5" s="1"/>
  <c r="J690" i="5"/>
  <c r="L690" i="5" s="1"/>
  <c r="J370" i="5"/>
  <c r="L370" i="5" s="1"/>
  <c r="J150" i="5"/>
  <c r="L150" i="5" s="1"/>
  <c r="J373" i="5"/>
  <c r="L373" i="5" s="1"/>
  <c r="J685" i="5"/>
  <c r="L685" i="5" s="1"/>
  <c r="J738" i="5"/>
  <c r="L738" i="5" s="1"/>
  <c r="J681" i="5"/>
  <c r="L681" i="5" s="1"/>
  <c r="J103" i="5"/>
  <c r="L103" i="5" s="1"/>
  <c r="J452" i="5"/>
  <c r="L452" i="5" s="1"/>
  <c r="J309" i="5"/>
  <c r="L309" i="5" s="1"/>
  <c r="J507" i="5"/>
  <c r="L507" i="5" s="1"/>
  <c r="J792" i="5"/>
  <c r="L792" i="5" s="1"/>
  <c r="J115" i="5"/>
  <c r="L115" i="5" s="1"/>
  <c r="J759" i="5"/>
  <c r="L759" i="5" s="1"/>
  <c r="J501" i="5"/>
  <c r="L501" i="5" s="1"/>
  <c r="J735" i="5"/>
  <c r="L735" i="5" s="1"/>
  <c r="J111" i="5"/>
  <c r="L111" i="5" s="1"/>
  <c r="J743" i="5"/>
  <c r="L743" i="5" s="1"/>
  <c r="J699" i="5"/>
  <c r="L699" i="5" s="1"/>
  <c r="J558" i="5"/>
  <c r="L558" i="5" s="1"/>
  <c r="J306" i="5"/>
  <c r="L306" i="5" s="1"/>
  <c r="J35" i="5"/>
  <c r="L35" i="5" s="1"/>
  <c r="J105" i="5"/>
  <c r="L105" i="5" s="1"/>
  <c r="J326" i="5"/>
  <c r="L326" i="5" s="1"/>
  <c r="J223" i="5"/>
  <c r="L223" i="5" s="1"/>
  <c r="J358" i="5"/>
  <c r="L358" i="5" s="1"/>
  <c r="J26" i="5"/>
  <c r="L26" i="5" s="1"/>
  <c r="J239" i="5"/>
  <c r="L239" i="5" s="1"/>
  <c r="J16" i="5"/>
  <c r="L16" i="5" s="1"/>
  <c r="J59" i="5"/>
  <c r="L59" i="5" s="1"/>
  <c r="J94" i="5"/>
  <c r="L94" i="5" s="1"/>
  <c r="J366" i="5"/>
  <c r="L366" i="5" s="1"/>
  <c r="J293" i="5"/>
  <c r="L293" i="5" s="1"/>
  <c r="J393" i="5"/>
  <c r="L393" i="5" s="1"/>
  <c r="J277" i="5"/>
  <c r="L277" i="5" s="1"/>
  <c r="J315" i="5"/>
  <c r="L315" i="5" s="1"/>
  <c r="J556" i="5"/>
  <c r="L556" i="5" s="1"/>
  <c r="J6" i="5"/>
  <c r="L6" i="5" s="1"/>
  <c r="J734" i="5"/>
  <c r="L734" i="5" s="1"/>
  <c r="J44" i="5"/>
  <c r="L44" i="5" s="1"/>
  <c r="J559" i="5"/>
  <c r="L559" i="5" s="1"/>
  <c r="J57" i="5"/>
  <c r="L57" i="5" s="1"/>
  <c r="J83" i="5"/>
  <c r="L83" i="5" s="1"/>
  <c r="J547" i="5"/>
  <c r="L547" i="5" s="1"/>
  <c r="J560" i="5"/>
  <c r="L560" i="5" s="1"/>
  <c r="J47" i="5"/>
  <c r="L47" i="5" s="1"/>
  <c r="J717" i="5"/>
  <c r="L717" i="5" s="1"/>
  <c r="J338" i="5"/>
  <c r="L338" i="5" s="1"/>
  <c r="J261" i="5"/>
  <c r="L261" i="5" s="1"/>
  <c r="J627" i="5"/>
  <c r="L627" i="5" s="1"/>
  <c r="J288" i="5"/>
  <c r="L288" i="5" s="1"/>
  <c r="J146" i="5"/>
  <c r="L146" i="5" s="1"/>
  <c r="J546" i="5"/>
  <c r="L546" i="5" s="1"/>
  <c r="J46" i="5"/>
  <c r="L46" i="5" s="1"/>
  <c r="J345" i="5"/>
  <c r="L345" i="5" s="1"/>
  <c r="J727" i="5"/>
  <c r="L727" i="5" s="1"/>
  <c r="J8" i="5"/>
  <c r="L8" i="5" s="1"/>
  <c r="J129" i="5"/>
  <c r="L129" i="5" s="1"/>
  <c r="J21" i="5"/>
  <c r="L21" i="5" s="1"/>
  <c r="J13" i="5"/>
  <c r="L13" i="5" s="1"/>
  <c r="J275" i="5"/>
  <c r="L275" i="5" s="1"/>
  <c r="J206" i="5"/>
  <c r="L206" i="5" s="1"/>
  <c r="J38" i="5"/>
  <c r="L38" i="5" s="1"/>
  <c r="J217" i="5"/>
  <c r="L217" i="5" s="1"/>
  <c r="J811" i="5"/>
  <c r="L811" i="5" s="1"/>
  <c r="J49" i="5"/>
  <c r="L49" i="5" s="1"/>
  <c r="J262" i="5"/>
  <c r="L262" i="5" s="1"/>
  <c r="J267" i="5"/>
  <c r="L267" i="5" s="1"/>
  <c r="J32" i="5"/>
  <c r="L32" i="5" s="1"/>
  <c r="J296" i="5"/>
  <c r="L296" i="5" s="1"/>
  <c r="J603" i="5"/>
  <c r="L603" i="5" s="1"/>
  <c r="J264" i="5"/>
  <c r="L264" i="5" s="1"/>
  <c r="J93" i="5"/>
  <c r="L93" i="5" s="1"/>
  <c r="J336" i="5"/>
  <c r="L336" i="5" s="1"/>
  <c r="J56" i="5"/>
  <c r="L56" i="5" s="1"/>
  <c r="J33" i="5"/>
  <c r="L33" i="5" s="1"/>
  <c r="J415" i="5"/>
  <c r="L415" i="5" s="1"/>
  <c r="J322" i="5"/>
  <c r="L322" i="5" s="1"/>
  <c r="J337" i="5"/>
  <c r="L337" i="5" s="1"/>
  <c r="J775" i="5"/>
  <c r="L775" i="5" s="1"/>
  <c r="J343" i="5"/>
  <c r="L343" i="5" s="1"/>
  <c r="J201" i="5"/>
  <c r="L201" i="5" s="1"/>
  <c r="J623" i="5"/>
  <c r="L623" i="5" s="1"/>
  <c r="J292" i="5"/>
  <c r="L292" i="5" s="1"/>
  <c r="J444" i="5"/>
  <c r="L444" i="5" s="1"/>
  <c r="J328" i="5"/>
  <c r="L328" i="5" s="1"/>
  <c r="J349" i="5"/>
  <c r="L349" i="5" s="1"/>
  <c r="J30" i="5"/>
  <c r="L30" i="5" s="1"/>
  <c r="J612" i="5"/>
  <c r="J170" i="5"/>
  <c r="L170" i="5" s="1"/>
  <c r="J712" i="5"/>
  <c r="J265" i="5"/>
  <c r="L265" i="5" s="1"/>
  <c r="J659" i="5"/>
  <c r="L659" i="5" s="1"/>
  <c r="J631" i="5"/>
  <c r="J647" i="5"/>
  <c r="J329" i="5"/>
  <c r="L329" i="5" s="1"/>
  <c r="J569" i="5"/>
  <c r="J132" i="5"/>
  <c r="L132" i="5" s="1"/>
  <c r="J243" i="5"/>
  <c r="L243" i="5" s="1"/>
  <c r="J283" i="5"/>
  <c r="J760" i="5"/>
  <c r="L760" i="5" s="1"/>
  <c r="J624" i="5"/>
  <c r="L624" i="5" s="1"/>
  <c r="J307" i="5"/>
  <c r="L307" i="5" s="1"/>
  <c r="J191" i="5"/>
  <c r="L191" i="5" s="1"/>
  <c r="J359" i="5"/>
  <c r="L359" i="5" s="1"/>
  <c r="J697" i="5"/>
  <c r="J209" i="5"/>
  <c r="L209" i="5" s="1"/>
  <c r="J610" i="5"/>
  <c r="J694" i="5"/>
  <c r="J229" i="5"/>
  <c r="J175" i="5"/>
  <c r="J554" i="5"/>
  <c r="L554" i="5" s="1"/>
  <c r="J487" i="5"/>
  <c r="J744" i="5"/>
  <c r="L744" i="5" s="1"/>
  <c r="J279" i="5"/>
  <c r="J716" i="5"/>
  <c r="J594" i="5"/>
  <c r="J369" i="5"/>
  <c r="J363" i="5"/>
  <c r="J431" i="5"/>
  <c r="L431" i="5" s="1"/>
  <c r="J245" i="5"/>
  <c r="J436" i="5"/>
  <c r="L436" i="5" s="1"/>
  <c r="J305" i="5"/>
  <c r="L305" i="5" s="1"/>
  <c r="J316" i="5"/>
  <c r="L316" i="5" s="1"/>
  <c r="J116" i="5"/>
  <c r="L116" i="5" s="1"/>
  <c r="J161" i="5"/>
  <c r="L161" i="5" s="1"/>
  <c r="J286" i="5"/>
  <c r="J463" i="5"/>
  <c r="L463" i="5" s="1"/>
  <c r="J348" i="5"/>
  <c r="J591" i="5"/>
  <c r="J220" i="5"/>
  <c r="J640" i="5"/>
  <c r="J667" i="5"/>
  <c r="L667" i="5" s="1"/>
  <c r="J372" i="5"/>
  <c r="J656" i="5"/>
  <c r="J471" i="5"/>
  <c r="L471" i="5" s="1"/>
  <c r="J367" i="5"/>
  <c r="L367" i="5" s="1"/>
  <c r="J181" i="5"/>
  <c r="J485" i="5"/>
  <c r="L485" i="5" s="1"/>
  <c r="J447" i="5"/>
  <c r="L447" i="5" s="1"/>
  <c r="J592" i="5"/>
  <c r="L592" i="5" s="1"/>
  <c r="J186" i="5"/>
  <c r="J669" i="5"/>
  <c r="J86" i="5"/>
  <c r="J403" i="5"/>
  <c r="L403" i="5" s="1"/>
  <c r="J120" i="5"/>
  <c r="J313" i="5"/>
  <c r="J134" i="5"/>
  <c r="J688" i="5"/>
  <c r="J321" i="5"/>
  <c r="J664" i="5"/>
  <c r="J628" i="5"/>
  <c r="L628" i="5" s="1"/>
  <c r="J616" i="5"/>
  <c r="J194" i="5"/>
  <c r="J606" i="5"/>
  <c r="J168" i="5"/>
  <c r="J584" i="5"/>
  <c r="J405" i="5"/>
  <c r="L405" i="5" s="1"/>
  <c r="J719" i="5"/>
  <c r="J642" i="5"/>
  <c r="L642" i="5" s="1"/>
  <c r="J97" i="5"/>
  <c r="L97" i="5" s="1"/>
  <c r="J548" i="5"/>
  <c r="L548" i="5" s="1"/>
  <c r="J342" i="5"/>
  <c r="J587" i="5"/>
  <c r="L587" i="5" s="1"/>
  <c r="J636" i="5"/>
  <c r="J346" i="5"/>
  <c r="L346" i="5" s="1"/>
  <c r="J388" i="5"/>
  <c r="J271" i="5"/>
  <c r="J455" i="5"/>
  <c r="L455" i="5" s="1"/>
  <c r="J340" i="5"/>
  <c r="L340" i="5" s="1"/>
  <c r="J297" i="5"/>
  <c r="L297" i="5" s="1"/>
  <c r="J526" i="5"/>
  <c r="L526" i="5" s="1"/>
  <c r="J602" i="5"/>
  <c r="J219" i="5"/>
  <c r="L219" i="5" s="1"/>
  <c r="J644" i="5"/>
  <c r="J251" i="5"/>
  <c r="L251" i="5" s="1"/>
  <c r="J385" i="5"/>
  <c r="J652" i="5"/>
  <c r="J633" i="5"/>
  <c r="L633" i="5" s="1"/>
  <c r="J383" i="5"/>
  <c r="L383" i="5" s="1"/>
  <c r="J78" i="5"/>
  <c r="L78" i="5" s="1"/>
  <c r="J576" i="5"/>
  <c r="L576" i="5" s="1"/>
  <c r="J289" i="5"/>
  <c r="L289" i="5" s="1"/>
  <c r="J158" i="5"/>
  <c r="L158" i="5" s="1"/>
  <c r="J173" i="5"/>
  <c r="J374" i="5"/>
  <c r="L374" i="5" s="1"/>
  <c r="J274" i="5"/>
  <c r="J214" i="5"/>
  <c r="J76" i="5"/>
  <c r="J295" i="5"/>
  <c r="J371" i="5"/>
  <c r="L371" i="5" s="1"/>
  <c r="J253" i="5"/>
  <c r="J700" i="5"/>
  <c r="L700" i="5" s="1"/>
  <c r="J707" i="5"/>
  <c r="J510" i="5"/>
  <c r="L510" i="5" s="1"/>
  <c r="J534" i="5"/>
  <c r="L534" i="5" s="1"/>
  <c r="J620" i="5"/>
  <c r="J805" i="5"/>
  <c r="L805" i="5" s="1"/>
  <c r="J518" i="5"/>
  <c r="L518" i="5" s="1"/>
  <c r="J237" i="5"/>
  <c r="J654" i="5"/>
  <c r="L654" i="5" s="1"/>
  <c r="J118" i="5"/>
  <c r="J637" i="5"/>
  <c r="L637" i="5" s="1"/>
  <c r="J365" i="5"/>
  <c r="J684" i="5"/>
  <c r="J354" i="5"/>
  <c r="L354" i="5" s="1"/>
  <c r="J375" i="5"/>
  <c r="J227" i="5"/>
  <c r="L227" i="5" s="1"/>
  <c r="J802" i="5"/>
  <c r="L802" i="5" s="1"/>
  <c r="J678" i="5"/>
  <c r="L678" i="5" s="1"/>
  <c r="J386" i="5"/>
  <c r="L386" i="5" s="1"/>
  <c r="J550" i="5"/>
  <c r="L550" i="5" s="1"/>
  <c r="J335" i="5"/>
  <c r="J81" i="5"/>
  <c r="J566" i="5"/>
  <c r="L566" i="5" s="1"/>
  <c r="J258" i="5"/>
  <c r="L258" i="5" s="1"/>
  <c r="J357" i="5"/>
  <c r="J273" i="5"/>
  <c r="L273" i="5" s="1"/>
  <c r="J294" i="5"/>
  <c r="L294" i="5" s="1"/>
  <c r="J441" i="5"/>
  <c r="L441" i="5" s="1"/>
  <c r="J235" i="5"/>
  <c r="L235" i="5" s="1"/>
  <c r="J597" i="5"/>
  <c r="L597" i="5" s="1"/>
  <c r="J581" i="5"/>
  <c r="J208" i="18"/>
  <c r="L208" i="18" s="1"/>
  <c r="J64" i="18"/>
  <c r="L64" i="18" s="1"/>
  <c r="J130" i="18"/>
  <c r="L130" i="18" s="1"/>
  <c r="J418" i="18"/>
  <c r="L418" i="18" s="1"/>
  <c r="J748" i="18"/>
  <c r="L748" i="18" s="1"/>
  <c r="J225" i="18"/>
  <c r="L225" i="18" s="1"/>
  <c r="J434" i="18"/>
  <c r="L434" i="18" s="1"/>
  <c r="J424" i="18"/>
  <c r="L424" i="18" s="1"/>
  <c r="J488" i="18"/>
  <c r="L488" i="18" s="1"/>
  <c r="J123" i="18"/>
  <c r="L123" i="18" s="1"/>
  <c r="J604" i="18"/>
  <c r="L604" i="18" s="1"/>
  <c r="J502" i="18"/>
  <c r="L502" i="18" s="1"/>
  <c r="J10" i="18"/>
  <c r="L10" i="18" s="1"/>
  <c r="J722" i="18"/>
  <c r="L722" i="18" s="1"/>
  <c r="J787" i="18"/>
  <c r="L787" i="18" s="1"/>
  <c r="J233" i="18"/>
  <c r="L233" i="18" s="1"/>
  <c r="J429" i="18"/>
  <c r="L429" i="18" s="1"/>
  <c r="J517" i="18"/>
  <c r="L517" i="18" s="1"/>
  <c r="J249" i="18"/>
  <c r="L249" i="18" s="1"/>
  <c r="J494" i="18"/>
  <c r="L494" i="18" s="1"/>
  <c r="J673" i="18"/>
  <c r="L673" i="18" s="1"/>
  <c r="J68" i="18"/>
  <c r="L68" i="18" s="1"/>
  <c r="J728" i="18"/>
  <c r="L728" i="18" s="1"/>
  <c r="J138" i="18"/>
  <c r="L138" i="18" s="1"/>
  <c r="J413" i="18"/>
  <c r="L413" i="18" s="1"/>
  <c r="J282" i="18"/>
  <c r="L282" i="18" s="1"/>
  <c r="J525" i="18"/>
  <c r="L525" i="18" s="1"/>
  <c r="J476" i="18"/>
  <c r="L476" i="18" s="1"/>
  <c r="J151" i="18"/>
  <c r="L151" i="18" s="1"/>
  <c r="J776" i="18"/>
  <c r="L776" i="18" s="1"/>
  <c r="J533" i="18"/>
  <c r="L533" i="18" s="1"/>
  <c r="J350" i="18"/>
  <c r="L350" i="18" s="1"/>
  <c r="J479" i="18"/>
  <c r="L479" i="18" s="1"/>
  <c r="J416" i="18"/>
  <c r="L416" i="18" s="1"/>
  <c r="J390" i="18"/>
  <c r="L390" i="18" s="1"/>
  <c r="J766" i="18"/>
  <c r="L766" i="18" s="1"/>
  <c r="J608" i="18"/>
  <c r="L608" i="18" s="1"/>
  <c r="J71" i="18"/>
  <c r="L71" i="18" s="1"/>
  <c r="J241" i="18"/>
  <c r="L241" i="18" s="1"/>
  <c r="J732" i="18"/>
  <c r="L732" i="18" s="1"/>
  <c r="J147" i="18"/>
  <c r="L147" i="18" s="1"/>
  <c r="J394" i="18"/>
  <c r="L394" i="18" s="1"/>
  <c r="J509" i="18"/>
  <c r="L509" i="18" s="1"/>
  <c r="J491" i="18"/>
  <c r="L491" i="18" s="1"/>
  <c r="J439" i="18"/>
  <c r="L439" i="18" s="1"/>
  <c r="J266" i="5"/>
  <c r="J276" i="5"/>
  <c r="J549" i="5"/>
  <c r="J291" i="5"/>
  <c r="J347" i="5"/>
  <c r="J552" i="5"/>
  <c r="J263" i="5"/>
  <c r="J301" i="5"/>
  <c r="J323" i="5"/>
  <c r="J298" i="5"/>
  <c r="J260" i="5"/>
  <c r="J555" i="5"/>
  <c r="J639" i="5"/>
  <c r="J368" i="5"/>
  <c r="J497" i="18"/>
  <c r="L497" i="18" s="1"/>
  <c r="J427" i="18"/>
  <c r="L427" i="18" s="1"/>
  <c r="J461" i="18"/>
  <c r="L461" i="18" s="1"/>
  <c r="J450" i="18"/>
  <c r="L450" i="18" s="1"/>
  <c r="J437" i="18"/>
  <c r="L437" i="18" s="1"/>
  <c r="J466" i="18"/>
  <c r="L466" i="18" s="1"/>
  <c r="J139" i="18"/>
  <c r="L139" i="18" s="1"/>
  <c r="J777" i="18"/>
  <c r="L777" i="18" s="1"/>
  <c r="J144" i="18"/>
  <c r="L144" i="18" s="1"/>
  <c r="J421" i="18"/>
  <c r="L421" i="18" s="1"/>
  <c r="J458" i="18"/>
  <c r="L458" i="18" s="1"/>
  <c r="J442" i="18"/>
  <c r="L442" i="18" s="1"/>
  <c r="J474" i="18"/>
  <c r="L474" i="18" s="1"/>
  <c r="J178" i="18"/>
  <c r="L178" i="18" s="1"/>
  <c r="J453" i="18"/>
  <c r="L453" i="18" s="1"/>
  <c r="J131" i="18"/>
  <c r="L131" i="18" s="1"/>
  <c r="J145" i="18"/>
  <c r="L145" i="18" s="1"/>
  <c r="J674" i="18"/>
  <c r="L674" i="18" s="1"/>
  <c r="J445" i="18"/>
  <c r="L445" i="18" s="1"/>
  <c r="J310" i="18"/>
  <c r="L310" i="18" s="1"/>
  <c r="J432" i="18"/>
  <c r="L432" i="18" s="1"/>
  <c r="J484" i="18"/>
  <c r="L484" i="18" s="1"/>
  <c r="J183" i="18"/>
  <c r="L183" i="18" s="1"/>
  <c r="J489" i="18"/>
  <c r="L489" i="18" s="1"/>
  <c r="J419" i="18"/>
  <c r="L419" i="18" s="1"/>
  <c r="J794" i="18"/>
  <c r="L794" i="18" s="1"/>
  <c r="J492" i="18"/>
  <c r="L492" i="18" s="1"/>
  <c r="J469" i="18"/>
  <c r="L469" i="18" s="1"/>
  <c r="J499" i="18"/>
  <c r="L499" i="18" s="1"/>
  <c r="J599" i="5"/>
  <c r="L599" i="5" s="1"/>
  <c r="P476" i="5"/>
  <c r="J312" i="5"/>
  <c r="L312" i="5" s="1"/>
  <c r="J668" i="5"/>
  <c r="P714" i="5"/>
  <c r="J408" i="5"/>
  <c r="L408" i="5" s="1"/>
  <c r="P439" i="5"/>
  <c r="P493" i="5"/>
  <c r="J739" i="5"/>
  <c r="L739" i="5" s="1"/>
  <c r="P629" i="5"/>
  <c r="P478" i="5"/>
  <c r="P598" i="5"/>
  <c r="P447" i="5"/>
  <c r="P624" i="5"/>
  <c r="J708" i="5"/>
  <c r="L708" i="5" s="1"/>
  <c r="J318" i="5"/>
  <c r="L318" i="5" s="1"/>
  <c r="P633" i="5"/>
  <c r="P705" i="5"/>
  <c r="P510" i="5"/>
  <c r="P532" i="5"/>
  <c r="P461" i="5"/>
  <c r="P658" i="5"/>
  <c r="P578" i="5"/>
  <c r="P468" i="5"/>
  <c r="P649" i="5"/>
  <c r="P469" i="5"/>
  <c r="J622" i="5"/>
  <c r="L622" i="5" s="1"/>
  <c r="P687" i="5"/>
  <c r="P666" i="5"/>
  <c r="P512" i="5"/>
  <c r="P595" i="5"/>
  <c r="P516" i="5"/>
  <c r="P459" i="5"/>
  <c r="J643" i="5"/>
  <c r="P513" i="5"/>
  <c r="P674" i="5"/>
  <c r="J619" i="5"/>
  <c r="L619" i="5" s="1"/>
  <c r="P553" i="5"/>
  <c r="P571" i="5"/>
  <c r="P428" i="5"/>
  <c r="P677" i="5"/>
  <c r="J715" i="5"/>
  <c r="L715" i="5" s="1"/>
  <c r="P501" i="5"/>
  <c r="P558" i="5"/>
  <c r="P655" i="5"/>
  <c r="P535" i="5"/>
  <c r="J680" i="5"/>
  <c r="L680" i="5" s="1"/>
  <c r="P522" i="5"/>
  <c r="P710" i="5"/>
  <c r="P444" i="5"/>
  <c r="P611" i="5"/>
  <c r="P494" i="5"/>
  <c r="P718" i="5"/>
  <c r="J211" i="5"/>
  <c r="L211" i="5" s="1"/>
  <c r="P559" i="5"/>
  <c r="J117" i="5"/>
  <c r="L117" i="5" s="1"/>
  <c r="J184" i="5"/>
  <c r="L184" i="5" s="1"/>
  <c r="P576" i="5"/>
  <c r="P506" i="5"/>
  <c r="J290" i="5"/>
  <c r="L290" i="5" s="1"/>
  <c r="P418" i="5"/>
  <c r="P445" i="5"/>
  <c r="P662" i="5"/>
  <c r="J679" i="5"/>
  <c r="P622" i="5"/>
  <c r="P645" i="5"/>
  <c r="P635" i="5"/>
  <c r="P430" i="5"/>
  <c r="P607" i="5"/>
  <c r="P433" i="5"/>
  <c r="P414" i="5"/>
  <c r="P713" i="5"/>
  <c r="P588" i="5"/>
  <c r="J651" i="5"/>
  <c r="L651" i="5" s="1"/>
  <c r="P560" i="5"/>
  <c r="P706" i="5"/>
  <c r="P619" i="5"/>
  <c r="J626" i="5"/>
  <c r="L626" i="5" s="1"/>
  <c r="J795" i="5"/>
  <c r="L795" i="5" s="1"/>
  <c r="P464" i="5"/>
  <c r="J635" i="5"/>
  <c r="L635" i="5" s="1"/>
  <c r="P529" i="5"/>
  <c r="P530" i="5"/>
  <c r="P613" i="5"/>
  <c r="P401" i="5"/>
  <c r="J551" i="5"/>
  <c r="L551" i="5" s="1"/>
  <c r="P665" i="5"/>
  <c r="P518" i="5"/>
  <c r="P685" i="5"/>
  <c r="J736" i="5"/>
  <c r="L736" i="5" s="1"/>
  <c r="J720" i="5"/>
  <c r="L720" i="5" s="1"/>
  <c r="P702" i="5"/>
  <c r="P691" i="5"/>
  <c r="P509" i="5"/>
  <c r="P605" i="5"/>
  <c r="P456" i="5"/>
  <c r="P587" i="5"/>
  <c r="J473" i="5"/>
  <c r="P586" i="5"/>
  <c r="P692" i="5"/>
  <c r="P424" i="5"/>
  <c r="P660" i="5"/>
  <c r="P570" i="5"/>
  <c r="P600" i="5"/>
  <c r="P634" i="5"/>
  <c r="P416" i="5"/>
  <c r="P495" i="5"/>
  <c r="P412" i="5"/>
  <c r="J687" i="5"/>
  <c r="L687" i="5" s="1"/>
  <c r="P630" i="5"/>
  <c r="J571" i="5"/>
  <c r="L571" i="5" s="1"/>
  <c r="P704" i="5"/>
  <c r="P572" i="5"/>
  <c r="J696" i="5"/>
  <c r="L696" i="5" s="1"/>
  <c r="P396" i="5"/>
  <c r="P661" i="5"/>
  <c r="J465" i="5"/>
  <c r="P554" i="5"/>
  <c r="P573" i="5"/>
  <c r="P632" i="5"/>
  <c r="P417" i="5"/>
  <c r="P556" i="5"/>
  <c r="P536" i="5"/>
  <c r="P463" i="5"/>
  <c r="P454" i="5"/>
  <c r="P475" i="5"/>
  <c r="J504" i="5"/>
  <c r="L504" i="5" s="1"/>
  <c r="P406" i="5"/>
  <c r="P477" i="5"/>
  <c r="P701" i="5"/>
  <c r="J90" i="5"/>
  <c r="L90" i="5" s="1"/>
  <c r="P411" i="5"/>
  <c r="P592" i="5"/>
  <c r="J387" i="5"/>
  <c r="L387" i="5" s="1"/>
  <c r="P488" i="5"/>
  <c r="P398" i="5"/>
  <c r="P403" i="5"/>
  <c r="P651" i="5"/>
  <c r="P623" i="5"/>
  <c r="P672" i="5"/>
  <c r="P682" i="5"/>
  <c r="P579" i="5"/>
  <c r="P517" i="5"/>
  <c r="J85" i="5"/>
  <c r="L85" i="5" s="1"/>
  <c r="P615" i="5"/>
  <c r="J406" i="5"/>
  <c r="L406" i="5" s="1"/>
  <c r="P402" i="5"/>
  <c r="P577" i="5"/>
  <c r="J172" i="5"/>
  <c r="L172" i="5" s="1"/>
  <c r="J384" i="5"/>
  <c r="L384" i="5" s="1"/>
  <c r="P708" i="5"/>
  <c r="P470" i="5"/>
  <c r="J573" i="5"/>
  <c r="L573" i="5" s="1"/>
  <c r="J404" i="5"/>
  <c r="L404" i="5" s="1"/>
  <c r="P696" i="5"/>
  <c r="P472" i="5"/>
  <c r="P689" i="5"/>
  <c r="P482" i="5"/>
  <c r="P568" i="5"/>
  <c r="J341" i="5"/>
  <c r="L341" i="5" s="1"/>
  <c r="P596" i="5"/>
  <c r="J804" i="5"/>
  <c r="L804" i="5" s="1"/>
  <c r="P399" i="5"/>
  <c r="P443" i="5"/>
  <c r="P422" i="5"/>
  <c r="P667" i="5"/>
  <c r="P453" i="5"/>
  <c r="P582" i="5"/>
  <c r="P590" i="5"/>
  <c r="P528" i="5"/>
  <c r="P435" i="5"/>
  <c r="J661" i="5"/>
  <c r="L661" i="5" s="1"/>
  <c r="P400" i="5"/>
  <c r="P429" i="5"/>
  <c r="J718" i="5"/>
  <c r="L718" i="5" s="1"/>
  <c r="J630" i="5"/>
  <c r="L630" i="5" s="1"/>
  <c r="P446" i="5"/>
  <c r="J638" i="5"/>
  <c r="J711" i="5"/>
  <c r="L711" i="5" s="1"/>
  <c r="P617" i="5"/>
  <c r="P502" i="5"/>
  <c r="J75" i="5"/>
  <c r="L75" i="5" s="1"/>
  <c r="P637" i="5"/>
  <c r="P531" i="5"/>
  <c r="P479" i="5"/>
  <c r="P618" i="5"/>
  <c r="P503" i="5"/>
  <c r="P498" i="5"/>
  <c r="J164" i="5"/>
  <c r="L164" i="5" s="1"/>
  <c r="P514" i="5"/>
  <c r="P678" i="5"/>
  <c r="P695" i="5"/>
  <c r="P659" i="5"/>
  <c r="J761" i="5"/>
  <c r="L761" i="5" s="1"/>
  <c r="P504" i="5"/>
  <c r="J655" i="5"/>
  <c r="L655" i="5" s="1"/>
  <c r="P650" i="5"/>
  <c r="J167" i="5"/>
  <c r="L167" i="5" s="1"/>
  <c r="P562" i="5"/>
  <c r="J156" i="5"/>
  <c r="L156" i="5" s="1"/>
  <c r="P471" i="5"/>
  <c r="P709" i="5"/>
  <c r="P490" i="5"/>
  <c r="P575" i="5"/>
  <c r="P646" i="5"/>
  <c r="J706" i="5"/>
  <c r="L706" i="5" s="1"/>
  <c r="P676" i="5"/>
  <c r="P426" i="5"/>
  <c r="P601" i="5"/>
  <c r="P673" i="5"/>
  <c r="P452" i="5"/>
  <c r="J568" i="5"/>
  <c r="L568" i="5" s="1"/>
  <c r="J683" i="5"/>
  <c r="L683" i="5" s="1"/>
  <c r="J162" i="5"/>
  <c r="L162" i="5" s="1"/>
  <c r="P519" i="5"/>
  <c r="P626" i="5"/>
  <c r="P693" i="5"/>
  <c r="P580" i="5"/>
  <c r="P604" i="5"/>
  <c r="P703" i="5"/>
  <c r="P711" i="5"/>
  <c r="P484" i="5"/>
  <c r="P467" i="5"/>
  <c r="P564" i="5"/>
  <c r="P625" i="5"/>
  <c r="P603" i="5"/>
  <c r="P515" i="5"/>
  <c r="J605" i="5"/>
  <c r="L605" i="5" s="1"/>
  <c r="J397" i="5"/>
  <c r="L397" i="5" s="1"/>
  <c r="P583" i="5"/>
  <c r="P434" i="5"/>
  <c r="P545" i="5"/>
  <c r="P642" i="5"/>
  <c r="P527" i="5"/>
  <c r="J119" i="5"/>
  <c r="L119" i="5" s="1"/>
  <c r="J583" i="5"/>
  <c r="L583" i="5" s="1"/>
  <c r="P533" i="5"/>
  <c r="P717" i="5"/>
  <c r="J799" i="5"/>
  <c r="L799" i="5" s="1"/>
  <c r="P511" i="5"/>
  <c r="P681" i="5"/>
  <c r="J565" i="5"/>
  <c r="L565" i="5" s="1"/>
  <c r="J615" i="5"/>
  <c r="L615" i="5" s="1"/>
  <c r="J399" i="5"/>
  <c r="L399" i="5" s="1"/>
  <c r="J411" i="5"/>
  <c r="L411" i="5" s="1"/>
  <c r="P436" i="5"/>
  <c r="P413" i="5"/>
  <c r="P408" i="5"/>
  <c r="P551" i="5"/>
  <c r="P574" i="5"/>
  <c r="J807" i="5"/>
  <c r="L807" i="5" s="1"/>
  <c r="P699" i="5"/>
  <c r="P526" i="5"/>
  <c r="J665" i="5"/>
  <c r="L665" i="5" s="1"/>
  <c r="J159" i="5"/>
  <c r="L159" i="5" s="1"/>
  <c r="P653" i="5"/>
  <c r="P648" i="5"/>
  <c r="P550" i="5"/>
  <c r="P589" i="5"/>
  <c r="P480" i="5"/>
  <c r="P675" i="5"/>
  <c r="P715" i="5"/>
  <c r="P508" i="5"/>
  <c r="P680" i="5"/>
  <c r="P462" i="5"/>
  <c r="J457" i="5"/>
  <c r="J259" i="5"/>
  <c r="L259" i="5" s="1"/>
  <c r="P614" i="5"/>
  <c r="J193" i="5"/>
  <c r="L193" i="5" s="1"/>
  <c r="P599" i="5"/>
  <c r="P657" i="5"/>
  <c r="P547" i="5"/>
  <c r="P507" i="5"/>
  <c r="J609" i="5"/>
  <c r="L609" i="5" s="1"/>
  <c r="P567" i="5"/>
  <c r="P441" i="5"/>
  <c r="P438" i="5"/>
  <c r="J815" i="5"/>
  <c r="L815" i="5" s="1"/>
  <c r="P460" i="5"/>
  <c r="J80" i="5"/>
  <c r="L80" i="5" s="1"/>
  <c r="J593" i="5"/>
  <c r="P455" i="5"/>
  <c r="P425" i="5"/>
  <c r="P404" i="5"/>
  <c r="P683" i="5"/>
  <c r="J356" i="5"/>
  <c r="L356" i="5" s="1"/>
  <c r="P537" i="5"/>
  <c r="P500" i="5"/>
  <c r="P608" i="5"/>
  <c r="P700" i="5"/>
  <c r="P524" i="5"/>
  <c r="P557" i="5"/>
  <c r="P566" i="5"/>
  <c r="P561" i="5"/>
  <c r="P534" i="5"/>
  <c r="P405" i="5"/>
  <c r="P698" i="5"/>
  <c r="J179" i="5"/>
  <c r="L179" i="5" s="1"/>
  <c r="P491" i="5"/>
  <c r="P597" i="5"/>
  <c r="P686" i="5"/>
  <c r="P621" i="5"/>
  <c r="P609" i="5"/>
  <c r="P448" i="5"/>
  <c r="P671" i="5"/>
  <c r="P419" i="5"/>
  <c r="P585" i="5"/>
  <c r="P548" i="5"/>
  <c r="P641" i="5"/>
  <c r="P423" i="5"/>
  <c r="P486" i="5"/>
  <c r="J334" i="5"/>
  <c r="P627" i="5"/>
  <c r="P565" i="5"/>
  <c r="P546" i="5"/>
  <c r="P440" i="5"/>
  <c r="J449" i="5"/>
  <c r="P481" i="5"/>
  <c r="P407" i="5"/>
  <c r="P496" i="5"/>
  <c r="P415" i="5"/>
  <c r="P420" i="5"/>
  <c r="P525" i="5"/>
  <c r="P431" i="5"/>
  <c r="P451" i="5"/>
  <c r="P544" i="5"/>
  <c r="P521" i="5"/>
  <c r="P523" i="5"/>
  <c r="J646" i="5"/>
  <c r="L646" i="5" s="1"/>
  <c r="P654" i="5"/>
  <c r="J648" i="5"/>
  <c r="L648" i="5" s="1"/>
  <c r="P628" i="5"/>
  <c r="P505" i="5"/>
  <c r="P397" i="5"/>
  <c r="P520" i="5"/>
  <c r="P483" i="5"/>
  <c r="J401" i="5"/>
  <c r="L401" i="5" s="1"/>
  <c r="P720" i="5"/>
  <c r="P485" i="5"/>
  <c r="J578" i="5"/>
  <c r="L578" i="5" s="1"/>
  <c r="P663" i="5"/>
  <c r="J204" i="5"/>
  <c r="L204" i="5" s="1"/>
  <c r="P690" i="5"/>
  <c r="J657" i="18"/>
  <c r="L657" i="18" s="1"/>
  <c r="J663" i="18"/>
  <c r="L663" i="18" s="1"/>
  <c r="J506" i="18"/>
  <c r="L506" i="18" s="1"/>
  <c r="J580" i="18"/>
  <c r="L580" i="18" s="1"/>
  <c r="J769" i="18"/>
  <c r="L769" i="18" s="1"/>
  <c r="J426" i="18"/>
  <c r="L426" i="18" s="1"/>
  <c r="J751" i="18"/>
  <c r="L751" i="18" s="1"/>
  <c r="J205" i="18"/>
  <c r="L205" i="18" s="1"/>
  <c r="J773" i="18"/>
  <c r="L773" i="18" s="1"/>
  <c r="J522" i="18"/>
  <c r="L522" i="18" s="1"/>
  <c r="J133" i="18"/>
  <c r="L133" i="18" s="1"/>
  <c r="J693" i="18"/>
  <c r="L693" i="18" s="1"/>
  <c r="J37" i="18"/>
  <c r="L37" i="18" s="1"/>
  <c r="J513" i="18"/>
  <c r="L513" i="18" s="1"/>
  <c r="J392" i="18"/>
  <c r="L392" i="18" s="1"/>
  <c r="J689" i="18"/>
  <c r="L689" i="18" s="1"/>
  <c r="J758" i="18"/>
  <c r="L758" i="18" s="1"/>
  <c r="J213" i="18"/>
  <c r="J478" i="18"/>
  <c r="L478" i="18" s="1"/>
  <c r="J752" i="18"/>
  <c r="L752" i="18" s="1"/>
  <c r="J745" i="18"/>
  <c r="L745" i="18" s="1"/>
  <c r="J222" i="18"/>
  <c r="L222" i="18" s="1"/>
  <c r="J12" i="18"/>
  <c r="L12" i="18" s="1"/>
  <c r="J246" i="18"/>
  <c r="L246" i="18" s="1"/>
  <c r="J185" i="18"/>
  <c r="L185" i="18" s="1"/>
  <c r="J153" i="18"/>
  <c r="L153" i="18" s="1"/>
  <c r="J737" i="18"/>
  <c r="L737" i="18" s="1"/>
  <c r="J280" i="18"/>
  <c r="L280" i="18" s="1"/>
  <c r="J595" i="18"/>
  <c r="L595" i="18" s="1"/>
  <c r="J746" i="18"/>
  <c r="L746" i="18" s="1"/>
  <c r="J703" i="18"/>
  <c r="L703" i="18" s="1"/>
  <c r="J514" i="18"/>
  <c r="L514" i="18" s="1"/>
  <c r="J754" i="18"/>
  <c r="L754" i="18" s="1"/>
  <c r="J43" i="18"/>
  <c r="L43" i="18" s="1"/>
  <c r="J230" i="18"/>
  <c r="L230" i="18" s="1"/>
  <c r="J20" i="18"/>
  <c r="L20" i="18" s="1"/>
  <c r="J780" i="18"/>
  <c r="L780" i="18" s="1"/>
  <c r="J496" i="18"/>
  <c r="L496" i="18" s="1"/>
  <c r="J779" i="18"/>
  <c r="L779" i="18" s="1"/>
  <c r="J482" i="18"/>
  <c r="L482" i="18" s="1"/>
  <c r="J574" i="18"/>
  <c r="L574" i="18" s="1"/>
  <c r="J40" i="18"/>
  <c r="L40" i="18" s="1"/>
  <c r="J238" i="18"/>
  <c r="L238" i="18" s="1"/>
  <c r="J320" i="18"/>
  <c r="L320" i="18" s="1"/>
  <c r="J428" i="18"/>
  <c r="L428" i="18" s="1"/>
  <c r="J135" i="18"/>
  <c r="L135" i="18" s="1"/>
  <c r="J521" i="18"/>
  <c r="L521" i="18" s="1"/>
  <c r="J726" i="18"/>
  <c r="L726" i="18" s="1"/>
  <c r="J149" i="18"/>
  <c r="L149" i="18" s="1"/>
  <c r="J740" i="18"/>
  <c r="L740" i="18" s="1"/>
  <c r="J15" i="18"/>
  <c r="L15" i="18" s="1"/>
  <c r="J677" i="18"/>
  <c r="L677" i="18" s="1"/>
  <c r="J66" i="18"/>
  <c r="L66" i="18" s="1"/>
  <c r="J789" i="18"/>
  <c r="L789" i="18" s="1"/>
  <c r="J601" i="18"/>
  <c r="L601" i="18" s="1"/>
  <c r="J585" i="18"/>
  <c r="L585" i="18" s="1"/>
  <c r="J142" i="18"/>
  <c r="L142" i="18" s="1"/>
  <c r="J768" i="18"/>
  <c r="L768" i="18" s="1"/>
  <c r="J285" i="18"/>
  <c r="L285" i="18" s="1"/>
  <c r="J537" i="18"/>
  <c r="L537" i="18" s="1"/>
  <c r="J352" i="18"/>
  <c r="L352" i="18" s="1"/>
  <c r="J530" i="18"/>
  <c r="L530" i="18" s="1"/>
  <c r="J730" i="18"/>
  <c r="L730" i="18" s="1"/>
  <c r="J331" i="18"/>
  <c r="L331" i="18" s="1"/>
  <c r="J529" i="18"/>
  <c r="L529" i="18" s="1"/>
  <c r="J128" i="18"/>
  <c r="L128" i="18" s="1"/>
  <c r="J590" i="18"/>
  <c r="L590" i="18" s="1"/>
  <c r="J698" i="18"/>
  <c r="L698" i="18" s="1"/>
  <c r="J28" i="18"/>
  <c r="L28" i="18" s="1"/>
  <c r="J70" i="18"/>
  <c r="L70" i="18" s="1"/>
  <c r="J763" i="18"/>
  <c r="L763" i="18" s="1"/>
  <c r="J791" i="18"/>
  <c r="L791" i="18" s="1"/>
  <c r="J796" i="18"/>
  <c r="L796" i="18" s="1"/>
  <c r="J5" i="18"/>
  <c r="L5" i="18" s="1"/>
  <c r="J126" i="18"/>
  <c r="L126" i="18" s="1"/>
  <c r="J180" i="18"/>
  <c r="L180" i="18" s="1"/>
  <c r="J725" i="18"/>
  <c r="L725" i="18" s="1"/>
  <c r="J618" i="5"/>
  <c r="L618" i="5" s="1"/>
  <c r="J714" i="5"/>
  <c r="L714" i="5" s="1"/>
  <c r="J570" i="5"/>
  <c r="L570" i="5" s="1"/>
  <c r="J564" i="5"/>
  <c r="L564" i="5" s="1"/>
  <c r="J396" i="5"/>
  <c r="L396" i="5" s="1"/>
  <c r="J472" i="5"/>
  <c r="L472" i="5" s="1"/>
  <c r="J670" i="5"/>
  <c r="J535" i="5"/>
  <c r="L535" i="5" s="1"/>
  <c r="J814" i="5"/>
  <c r="L814" i="5" s="1"/>
  <c r="J629" i="5"/>
  <c r="L629" i="5" s="1"/>
  <c r="J598" i="5"/>
  <c r="L598" i="5" s="1"/>
  <c r="J166" i="5"/>
  <c r="L166" i="5" s="1"/>
  <c r="J577" i="5"/>
  <c r="L577" i="5" s="1"/>
  <c r="J171" i="5"/>
  <c r="L171" i="5" s="1"/>
  <c r="J402" i="5"/>
  <c r="L402" i="5" s="1"/>
  <c r="J407" i="5"/>
  <c r="L407" i="5" s="1"/>
  <c r="J798" i="5"/>
  <c r="L798" i="5" s="1"/>
  <c r="J691" i="5"/>
  <c r="L691" i="5" s="1"/>
  <c r="J84" i="5"/>
  <c r="L84" i="5" s="1"/>
  <c r="J567" i="5"/>
  <c r="L567" i="5" s="1"/>
  <c r="J317" i="5"/>
  <c r="L317" i="5" s="1"/>
  <c r="J686" i="5"/>
  <c r="L686" i="5" s="1"/>
  <c r="J621" i="5"/>
  <c r="L621" i="5" s="1"/>
  <c r="J660" i="5"/>
  <c r="L660" i="5" s="1"/>
  <c r="J155" i="5"/>
  <c r="L155" i="5" s="1"/>
  <c r="J527" i="5"/>
  <c r="L527" i="5" s="1"/>
  <c r="J511" i="5"/>
  <c r="L511" i="5" s="1"/>
  <c r="J210" i="5"/>
  <c r="L210" i="5" s="1"/>
  <c r="J705" i="5"/>
  <c r="L705" i="5" s="1"/>
  <c r="J486" i="5"/>
  <c r="L486" i="5" s="1"/>
  <c r="J695" i="5"/>
  <c r="L695" i="5" s="1"/>
  <c r="J625" i="5"/>
  <c r="L625" i="5" s="1"/>
  <c r="J448" i="5"/>
  <c r="L448" i="5" s="1"/>
  <c r="J400" i="5"/>
  <c r="L400" i="5" s="1"/>
  <c r="J682" i="5"/>
  <c r="L682" i="5" s="1"/>
  <c r="J650" i="5"/>
  <c r="L650" i="5" s="1"/>
  <c r="J503" i="5"/>
  <c r="L503" i="5" s="1"/>
  <c r="J614" i="5"/>
  <c r="L614" i="5" s="1"/>
  <c r="J806" i="5"/>
  <c r="L806" i="5" s="1"/>
  <c r="J456" i="5"/>
  <c r="L456" i="5" s="1"/>
  <c r="J582" i="5"/>
  <c r="L582" i="5" s="1"/>
  <c r="J74" i="5"/>
  <c r="L74" i="5" s="1"/>
  <c r="J192" i="5"/>
  <c r="L192" i="5" s="1"/>
  <c r="J803" i="5"/>
  <c r="L803" i="5" s="1"/>
  <c r="J701" i="5"/>
  <c r="L701" i="5" s="1"/>
  <c r="J611" i="5"/>
  <c r="L611" i="5" s="1"/>
  <c r="J572" i="5"/>
  <c r="L572" i="5" s="1"/>
  <c r="J79" i="5"/>
  <c r="L79" i="5" s="1"/>
  <c r="J710" i="5"/>
  <c r="L710" i="5" s="1"/>
  <c r="J355" i="5"/>
  <c r="L355" i="5" s="1"/>
  <c r="J519" i="5"/>
  <c r="L519" i="5" s="1"/>
  <c r="J588" i="5"/>
  <c r="L588" i="5" s="1"/>
  <c r="J645" i="5"/>
  <c r="L645" i="5" s="1"/>
  <c r="J398" i="5"/>
  <c r="L398" i="5" s="1"/>
  <c r="J464" i="5"/>
  <c r="L464" i="5" s="1"/>
  <c r="J634" i="5"/>
  <c r="L634" i="5" s="1"/>
  <c r="J311" i="5"/>
  <c r="L311" i="5" s="1"/>
  <c r="J203" i="5"/>
  <c r="L203" i="5" s="1"/>
  <c r="AB368" i="2"/>
  <c r="J538" i="5" s="1"/>
  <c r="L538" i="5" s="1"/>
  <c r="AC368" i="2"/>
  <c r="J540" i="5" s="1"/>
  <c r="L540" i="5" s="1"/>
  <c r="AD368" i="2"/>
  <c r="J541" i="5" s="1"/>
  <c r="L541" i="5" s="1"/>
  <c r="AE368" i="2"/>
  <c r="L351" i="15"/>
  <c r="M351" i="15"/>
  <c r="K351" i="15"/>
  <c r="J351" i="15"/>
  <c r="O352" i="15"/>
  <c r="F352" i="15"/>
  <c r="Q352" i="15" s="1"/>
  <c r="H352" i="15"/>
  <c r="G352" i="15"/>
  <c r="R352" i="15"/>
  <c r="E352" i="15"/>
  <c r="P352" i="15"/>
  <c r="D352" i="15"/>
  <c r="K348" i="2"/>
  <c r="J348" i="2"/>
  <c r="M348" i="2"/>
  <c r="L348" i="2"/>
  <c r="B350" i="2"/>
  <c r="O349" i="2"/>
  <c r="H349" i="2"/>
  <c r="D349" i="2"/>
  <c r="F349" i="2"/>
  <c r="Q349" i="2" s="1"/>
  <c r="G349" i="2"/>
  <c r="E349" i="2"/>
  <c r="R349" i="2"/>
  <c r="P349" i="2"/>
  <c r="L212" i="18" l="1"/>
  <c r="K107" i="9"/>
  <c r="K105" i="9"/>
  <c r="K102" i="9"/>
  <c r="K98" i="9"/>
  <c r="K103" i="9"/>
  <c r="K108" i="9"/>
  <c r="K99" i="9"/>
  <c r="K106" i="9"/>
  <c r="K100" i="9"/>
  <c r="K104" i="9"/>
  <c r="K101" i="9"/>
  <c r="K109" i="9"/>
  <c r="K97" i="9"/>
  <c r="L213" i="18"/>
  <c r="I349" i="2"/>
  <c r="N349" i="2"/>
  <c r="I352" i="15"/>
  <c r="N352" i="15"/>
  <c r="L281" i="5"/>
  <c r="L283" i="5"/>
  <c r="L36" i="5"/>
  <c r="J350" i="5"/>
  <c r="L350" i="5" s="1"/>
  <c r="J424" i="5"/>
  <c r="L424" i="5" s="1"/>
  <c r="J604" i="5"/>
  <c r="L604" i="5" s="1"/>
  <c r="J123" i="5"/>
  <c r="L123" i="5" s="1"/>
  <c r="J476" i="5"/>
  <c r="L476" i="5" s="1"/>
  <c r="J434" i="5"/>
  <c r="L434" i="5" s="1"/>
  <c r="J208" i="5"/>
  <c r="L208" i="5" s="1"/>
  <c r="J413" i="5"/>
  <c r="L413" i="5" s="1"/>
  <c r="J494" i="5"/>
  <c r="L494" i="5" s="1"/>
  <c r="J439" i="5"/>
  <c r="L439" i="5" s="1"/>
  <c r="J71" i="5"/>
  <c r="L71" i="5" s="1"/>
  <c r="J673" i="5"/>
  <c r="L673" i="5" s="1"/>
  <c r="J10" i="5"/>
  <c r="L10" i="5" s="1"/>
  <c r="J766" i="5"/>
  <c r="L766" i="5" s="1"/>
  <c r="J151" i="5"/>
  <c r="L151" i="5" s="1"/>
  <c r="J509" i="5"/>
  <c r="L509" i="5" s="1"/>
  <c r="J282" i="5"/>
  <c r="J64" i="5"/>
  <c r="L64" i="5" s="1"/>
  <c r="J394" i="5"/>
  <c r="L394" i="5" s="1"/>
  <c r="J241" i="5"/>
  <c r="L241" i="5" s="1"/>
  <c r="J147" i="5"/>
  <c r="L147" i="5" s="1"/>
  <c r="J722" i="5"/>
  <c r="L722" i="5" s="1"/>
  <c r="J249" i="5"/>
  <c r="L249" i="5" s="1"/>
  <c r="J728" i="5"/>
  <c r="L728" i="5" s="1"/>
  <c r="J68" i="5"/>
  <c r="L68" i="5" s="1"/>
  <c r="J130" i="5"/>
  <c r="L130" i="5" s="1"/>
  <c r="J488" i="5"/>
  <c r="L488" i="5" s="1"/>
  <c r="J416" i="5"/>
  <c r="L416" i="5" s="1"/>
  <c r="J608" i="5"/>
  <c r="L608" i="5" s="1"/>
  <c r="J776" i="5"/>
  <c r="L776" i="5" s="1"/>
  <c r="J225" i="5"/>
  <c r="L225" i="5" s="1"/>
  <c r="J517" i="5"/>
  <c r="L517" i="5" s="1"/>
  <c r="J787" i="5"/>
  <c r="L787" i="5" s="1"/>
  <c r="J138" i="5"/>
  <c r="L138" i="5" s="1"/>
  <c r="J233" i="5"/>
  <c r="L233" i="5" s="1"/>
  <c r="J418" i="5"/>
  <c r="L418" i="5" s="1"/>
  <c r="J390" i="5"/>
  <c r="L390" i="5" s="1"/>
  <c r="J525" i="5"/>
  <c r="L525" i="5" s="1"/>
  <c r="J429" i="5"/>
  <c r="L429" i="5" s="1"/>
  <c r="J533" i="5"/>
  <c r="L533" i="5" s="1"/>
  <c r="J732" i="5"/>
  <c r="L732" i="5" s="1"/>
  <c r="J479" i="5"/>
  <c r="L479" i="5" s="1"/>
  <c r="J748" i="5"/>
  <c r="L748" i="5" s="1"/>
  <c r="J502" i="5"/>
  <c r="L502" i="5" s="1"/>
  <c r="J491" i="5"/>
  <c r="L491" i="5" s="1"/>
  <c r="J489" i="5"/>
  <c r="J453" i="5"/>
  <c r="L453" i="5" s="1"/>
  <c r="J178" i="5"/>
  <c r="L178" i="5" s="1"/>
  <c r="J474" i="5"/>
  <c r="J432" i="5"/>
  <c r="J437" i="5"/>
  <c r="J131" i="5"/>
  <c r="L131" i="5" s="1"/>
  <c r="J450" i="5"/>
  <c r="J183" i="5"/>
  <c r="L183" i="5" s="1"/>
  <c r="J484" i="5"/>
  <c r="L484" i="5" s="1"/>
  <c r="J144" i="5"/>
  <c r="L144" i="5" s="1"/>
  <c r="J461" i="5"/>
  <c r="L461" i="5" s="1"/>
  <c r="J442" i="5"/>
  <c r="J466" i="5"/>
  <c r="J469" i="5"/>
  <c r="L469" i="5" s="1"/>
  <c r="J458" i="5"/>
  <c r="J310" i="5"/>
  <c r="L310" i="5" s="1"/>
  <c r="J421" i="5"/>
  <c r="J674" i="5"/>
  <c r="L674" i="5" s="1"/>
  <c r="J777" i="5"/>
  <c r="L777" i="5" s="1"/>
  <c r="J427" i="5"/>
  <c r="J497" i="5"/>
  <c r="J145" i="5"/>
  <c r="L145" i="5" s="1"/>
  <c r="J419" i="5"/>
  <c r="L419" i="5" s="1"/>
  <c r="J794" i="5"/>
  <c r="L794" i="5" s="1"/>
  <c r="J445" i="5"/>
  <c r="L445" i="5" s="1"/>
  <c r="J492" i="5"/>
  <c r="J139" i="5"/>
  <c r="L139" i="5" s="1"/>
  <c r="J499" i="5"/>
  <c r="J763" i="5"/>
  <c r="L763" i="5" s="1"/>
  <c r="J522" i="5"/>
  <c r="L522" i="5" s="1"/>
  <c r="J752" i="5"/>
  <c r="L752" i="5" s="1"/>
  <c r="J40" i="5"/>
  <c r="L40" i="5" s="1"/>
  <c r="J789" i="5"/>
  <c r="L789" i="5" s="1"/>
  <c r="J730" i="5"/>
  <c r="L730" i="5" s="1"/>
  <c r="J352" i="5"/>
  <c r="L352" i="5" s="1"/>
  <c r="J230" i="5"/>
  <c r="L230" i="5" s="1"/>
  <c r="J780" i="5"/>
  <c r="L780" i="5" s="1"/>
  <c r="J689" i="5"/>
  <c r="L689" i="5" s="1"/>
  <c r="J595" i="5"/>
  <c r="L595" i="5" s="1"/>
  <c r="J751" i="5"/>
  <c r="L751" i="5" s="1"/>
  <c r="J663" i="5"/>
  <c r="L663" i="5" s="1"/>
  <c r="J43" i="5"/>
  <c r="L43" i="5" s="1"/>
  <c r="J428" i="5"/>
  <c r="L428" i="5" s="1"/>
  <c r="J70" i="5"/>
  <c r="L70" i="5" s="1"/>
  <c r="J703" i="5"/>
  <c r="L703" i="5" s="1"/>
  <c r="J426" i="5"/>
  <c r="L426" i="5" s="1"/>
  <c r="J20" i="5"/>
  <c r="L20" i="5" s="1"/>
  <c r="J142" i="5"/>
  <c r="L142" i="5" s="1"/>
  <c r="J529" i="5"/>
  <c r="L529" i="5" s="1"/>
  <c r="J698" i="5"/>
  <c r="L698" i="5" s="1"/>
  <c r="J537" i="5"/>
  <c r="L537" i="5" s="1"/>
  <c r="J725" i="5"/>
  <c r="L725" i="5" s="1"/>
  <c r="J657" i="5"/>
  <c r="L657" i="5" s="1"/>
  <c r="J185" i="5"/>
  <c r="L185" i="5" s="1"/>
  <c r="J238" i="5"/>
  <c r="L238" i="5" s="1"/>
  <c r="J530" i="5"/>
  <c r="L530" i="5" s="1"/>
  <c r="J331" i="5"/>
  <c r="L331" i="5" s="1"/>
  <c r="J779" i="5"/>
  <c r="L779" i="5" s="1"/>
  <c r="J28" i="5"/>
  <c r="L28" i="5" s="1"/>
  <c r="J482" i="5"/>
  <c r="L482" i="5" s="1"/>
  <c r="J128" i="5"/>
  <c r="L128" i="5" s="1"/>
  <c r="J12" i="5"/>
  <c r="L12" i="5" s="1"/>
  <c r="J213" i="5"/>
  <c r="J746" i="5"/>
  <c r="L746" i="5" s="1"/>
  <c r="J513" i="5"/>
  <c r="L513" i="5" s="1"/>
  <c r="J285" i="5"/>
  <c r="J135" i="5"/>
  <c r="L135" i="5" s="1"/>
  <c r="J585" i="5"/>
  <c r="L585" i="5" s="1"/>
  <c r="J791" i="5"/>
  <c r="L791" i="5" s="1"/>
  <c r="J506" i="5"/>
  <c r="L506" i="5" s="1"/>
  <c r="J222" i="5"/>
  <c r="L222" i="5" s="1"/>
  <c r="J521" i="5"/>
  <c r="L521" i="5" s="1"/>
  <c r="J133" i="5"/>
  <c r="L133" i="5" s="1"/>
  <c r="J66" i="5"/>
  <c r="L66" i="5" s="1"/>
  <c r="J754" i="5"/>
  <c r="L754" i="5" s="1"/>
  <c r="J320" i="5"/>
  <c r="L320" i="5" s="1"/>
  <c r="J740" i="5"/>
  <c r="L740" i="5" s="1"/>
  <c r="J496" i="5"/>
  <c r="L496" i="5" s="1"/>
  <c r="J745" i="5"/>
  <c r="L745" i="5" s="1"/>
  <c r="J737" i="5"/>
  <c r="L737" i="5" s="1"/>
  <c r="J768" i="5"/>
  <c r="L768" i="5" s="1"/>
  <c r="J580" i="5"/>
  <c r="L580" i="5" s="1"/>
  <c r="J37" i="5"/>
  <c r="L37" i="5" s="1"/>
  <c r="J769" i="5"/>
  <c r="L769" i="5" s="1"/>
  <c r="J693" i="5"/>
  <c r="L693" i="5" s="1"/>
  <c r="J15" i="5"/>
  <c r="L15" i="5" s="1"/>
  <c r="J796" i="5"/>
  <c r="L796" i="5" s="1"/>
  <c r="J180" i="5"/>
  <c r="L180" i="5" s="1"/>
  <c r="J758" i="5"/>
  <c r="L758" i="5" s="1"/>
  <c r="J149" i="5"/>
  <c r="L149" i="5" s="1"/>
  <c r="J478" i="5"/>
  <c r="L478" i="5" s="1"/>
  <c r="J601" i="5"/>
  <c r="L601" i="5" s="1"/>
  <c r="J392" i="5"/>
  <c r="L392" i="5" s="1"/>
  <c r="J280" i="5"/>
  <c r="L280" i="5" s="1"/>
  <c r="J153" i="5"/>
  <c r="L153" i="5" s="1"/>
  <c r="J514" i="5"/>
  <c r="L514" i="5" s="1"/>
  <c r="J677" i="5"/>
  <c r="L677" i="5" s="1"/>
  <c r="J5" i="5"/>
  <c r="L5" i="5" s="1"/>
  <c r="J126" i="5"/>
  <c r="L126" i="5" s="1"/>
  <c r="J590" i="5"/>
  <c r="L590" i="5" s="1"/>
  <c r="J726" i="5"/>
  <c r="L726" i="5" s="1"/>
  <c r="J246" i="5"/>
  <c r="L246" i="5" s="1"/>
  <c r="J205" i="5"/>
  <c r="L205" i="5" s="1"/>
  <c r="J574" i="5"/>
  <c r="L574" i="5" s="1"/>
  <c r="J773" i="5"/>
  <c r="L773" i="5" s="1"/>
  <c r="J451" i="5"/>
  <c r="L451" i="5" s="1"/>
  <c r="J702" i="5"/>
  <c r="L702" i="5" s="1"/>
  <c r="J7" i="5"/>
  <c r="L7" i="5" s="1"/>
  <c r="J148" i="5"/>
  <c r="L148" i="5" s="1"/>
  <c r="J252" i="5"/>
  <c r="L252" i="5" s="1"/>
  <c r="J753" i="5"/>
  <c r="L753" i="5" s="1"/>
  <c r="J493" i="5"/>
  <c r="L493" i="5" s="1"/>
  <c r="J152" i="5"/>
  <c r="L152" i="5" s="1"/>
  <c r="J141" i="5"/>
  <c r="L141" i="5" s="1"/>
  <c r="J284" i="5"/>
  <c r="J579" i="5"/>
  <c r="L579" i="5" s="1"/>
  <c r="J520" i="5"/>
  <c r="L520" i="5" s="1"/>
  <c r="J662" i="5"/>
  <c r="L662" i="5" s="1"/>
  <c r="J490" i="5"/>
  <c r="L490" i="5" s="1"/>
  <c r="J319" i="5"/>
  <c r="L319" i="5" s="1"/>
  <c r="J477" i="5"/>
  <c r="L477" i="5" s="1"/>
  <c r="J724" i="5"/>
  <c r="L724" i="5" s="1"/>
  <c r="J528" i="5"/>
  <c r="L528" i="5" s="1"/>
  <c r="J778" i="5"/>
  <c r="L778" i="5" s="1"/>
  <c r="J729" i="5"/>
  <c r="L729" i="5" s="1"/>
  <c r="J69" i="5"/>
  <c r="L69" i="5" s="1"/>
  <c r="J236" i="5"/>
  <c r="L236" i="5" s="1"/>
  <c r="J733" i="5"/>
  <c r="L733" i="5" s="1"/>
  <c r="J498" i="5"/>
  <c r="L498" i="5" s="1"/>
  <c r="J65" i="5"/>
  <c r="L65" i="5" s="1"/>
  <c r="J500" i="5"/>
  <c r="L500" i="5" s="1"/>
  <c r="J676" i="5"/>
  <c r="L676" i="5" s="1"/>
  <c r="J467" i="5"/>
  <c r="L467" i="5" s="1"/>
  <c r="J589" i="5"/>
  <c r="L589" i="5" s="1"/>
  <c r="J772" i="5"/>
  <c r="L772" i="5" s="1"/>
  <c r="J125" i="5"/>
  <c r="L125" i="5" s="1"/>
  <c r="J391" i="5"/>
  <c r="L391" i="5" s="1"/>
  <c r="J212" i="5"/>
  <c r="J536" i="5"/>
  <c r="L536" i="5" s="1"/>
  <c r="J443" i="5"/>
  <c r="L443" i="5" s="1"/>
  <c r="J422" i="5"/>
  <c r="L422" i="5" s="1"/>
  <c r="J351" i="5"/>
  <c r="L351" i="5" s="1"/>
  <c r="J692" i="5"/>
  <c r="L692" i="5" s="1"/>
  <c r="J438" i="5"/>
  <c r="L438" i="5" s="1"/>
  <c r="J475" i="5"/>
  <c r="L475" i="5" s="1"/>
  <c r="J600" i="5"/>
  <c r="L600" i="5" s="1"/>
  <c r="J756" i="5"/>
  <c r="L756" i="5" s="1"/>
  <c r="J481" i="5"/>
  <c r="L481" i="5" s="1"/>
  <c r="J414" i="5"/>
  <c r="L414" i="5" s="1"/>
  <c r="J767" i="5"/>
  <c r="L767" i="5" s="1"/>
  <c r="J512" i="5"/>
  <c r="L512" i="5" s="1"/>
  <c r="J505" i="5"/>
  <c r="L505" i="5" s="1"/>
  <c r="J395" i="5"/>
  <c r="L395" i="5" s="1"/>
  <c r="J425" i="5"/>
  <c r="L425" i="5" s="1"/>
  <c r="J459" i="5"/>
  <c r="L459" i="5" s="1"/>
  <c r="J433" i="5"/>
  <c r="L433" i="5" s="1"/>
  <c r="J228" i="5"/>
  <c r="L228" i="5" s="1"/>
  <c r="J750" i="5"/>
  <c r="L750" i="5" s="1"/>
  <c r="J417" i="5"/>
  <c r="L417" i="5" s="1"/>
  <c r="J782" i="5"/>
  <c r="L782" i="5" s="1"/>
  <c r="J788" i="5"/>
  <c r="L788" i="5" s="1"/>
  <c r="J244" i="5"/>
  <c r="L244" i="5" s="1"/>
  <c r="J757" i="5"/>
  <c r="L757" i="5" s="1"/>
  <c r="J495" i="5"/>
  <c r="L495" i="5" s="1"/>
  <c r="L352" i="15"/>
  <c r="M352" i="15"/>
  <c r="E353" i="15"/>
  <c r="R353" i="15"/>
  <c r="D353" i="15"/>
  <c r="P353" i="15"/>
  <c r="G353" i="15"/>
  <c r="F353" i="15"/>
  <c r="Q353" i="15" s="1"/>
  <c r="H353" i="15"/>
  <c r="O353" i="15"/>
  <c r="K352" i="15"/>
  <c r="J352" i="15"/>
  <c r="M349" i="2"/>
  <c r="L349" i="2"/>
  <c r="O350" i="2"/>
  <c r="B351" i="2"/>
  <c r="G350" i="2"/>
  <c r="H350" i="2"/>
  <c r="D350" i="2"/>
  <c r="E350" i="2"/>
  <c r="R350" i="2"/>
  <c r="P350" i="2"/>
  <c r="F350" i="2"/>
  <c r="Q350" i="2" s="1"/>
  <c r="J349" i="2"/>
  <c r="K349" i="2"/>
  <c r="L212" i="5" l="1"/>
  <c r="L213" i="5"/>
  <c r="I350" i="2"/>
  <c r="N350" i="2"/>
  <c r="I353" i="15"/>
  <c r="N353" i="15"/>
  <c r="L285" i="5"/>
  <c r="L282" i="5"/>
  <c r="L284" i="5"/>
  <c r="M353" i="15"/>
  <c r="L353" i="15"/>
  <c r="J353" i="15"/>
  <c r="K353" i="15"/>
  <c r="D354" i="15"/>
  <c r="R354" i="15"/>
  <c r="H354" i="15"/>
  <c r="P354" i="15"/>
  <c r="G354" i="15"/>
  <c r="F354" i="15"/>
  <c r="Q354" i="15" s="1"/>
  <c r="O354" i="15"/>
  <c r="E354" i="15"/>
  <c r="O351" i="2"/>
  <c r="D351" i="2"/>
  <c r="B352" i="2"/>
  <c r="H351" i="2"/>
  <c r="G351" i="2"/>
  <c r="F351" i="2"/>
  <c r="Q351" i="2" s="1"/>
  <c r="P351" i="2"/>
  <c r="R351" i="2"/>
  <c r="E351" i="2"/>
  <c r="K350" i="2"/>
  <c r="J350" i="2"/>
  <c r="M350" i="2"/>
  <c r="L350" i="2"/>
  <c r="I351" i="2" l="1"/>
  <c r="N351" i="2"/>
  <c r="I354" i="15"/>
  <c r="N354" i="15"/>
  <c r="L354" i="15"/>
  <c r="M354" i="15"/>
  <c r="K354" i="15"/>
  <c r="J354" i="15"/>
  <c r="H355" i="15"/>
  <c r="P355" i="15"/>
  <c r="G355" i="15"/>
  <c r="F355" i="15"/>
  <c r="Q355" i="15" s="1"/>
  <c r="R355" i="15"/>
  <c r="D355" i="15"/>
  <c r="O355" i="15"/>
  <c r="E355" i="15"/>
  <c r="M351" i="2"/>
  <c r="L351" i="2"/>
  <c r="B353" i="2"/>
  <c r="O352" i="2"/>
  <c r="H352" i="2"/>
  <c r="D352" i="2"/>
  <c r="G352" i="2"/>
  <c r="F352" i="2"/>
  <c r="Q352" i="2" s="1"/>
  <c r="P352" i="2"/>
  <c r="E352" i="2"/>
  <c r="R352" i="2"/>
  <c r="K351" i="2"/>
  <c r="J351" i="2"/>
  <c r="I352" i="2" l="1"/>
  <c r="N352" i="2"/>
  <c r="I355" i="15"/>
  <c r="N355" i="15"/>
  <c r="L355" i="15"/>
  <c r="M355" i="15"/>
  <c r="P356" i="15"/>
  <c r="G356" i="15"/>
  <c r="O356" i="15"/>
  <c r="F356" i="15"/>
  <c r="Q356" i="15" s="1"/>
  <c r="R356" i="15"/>
  <c r="D356" i="15"/>
  <c r="H356" i="15"/>
  <c r="E356" i="15"/>
  <c r="K355" i="15"/>
  <c r="J355" i="15"/>
  <c r="O353" i="2"/>
  <c r="B354" i="2"/>
  <c r="H353" i="2"/>
  <c r="G353" i="2"/>
  <c r="D353" i="2"/>
  <c r="F353" i="2"/>
  <c r="Q353" i="2" s="1"/>
  <c r="P353" i="2"/>
  <c r="E353" i="2"/>
  <c r="R353" i="2"/>
  <c r="J352" i="2"/>
  <c r="K352" i="2"/>
  <c r="L352" i="2"/>
  <c r="M352" i="2"/>
  <c r="I353" i="2" l="1"/>
  <c r="N353" i="2"/>
  <c r="I356" i="15"/>
  <c r="N356" i="15"/>
  <c r="J356" i="15"/>
  <c r="K356" i="15"/>
  <c r="R357" i="15"/>
  <c r="O357" i="15"/>
  <c r="F357" i="15"/>
  <c r="Q357" i="15" s="1"/>
  <c r="E357" i="15"/>
  <c r="D357" i="15"/>
  <c r="G357" i="15"/>
  <c r="P357" i="15"/>
  <c r="H357" i="15"/>
  <c r="M356" i="15"/>
  <c r="L356" i="15"/>
  <c r="M353" i="2"/>
  <c r="L353" i="2"/>
  <c r="O354" i="2"/>
  <c r="B355" i="2"/>
  <c r="H354" i="2"/>
  <c r="D354" i="2"/>
  <c r="F354" i="2"/>
  <c r="Q354" i="2" s="1"/>
  <c r="E354" i="2"/>
  <c r="P354" i="2"/>
  <c r="R354" i="2"/>
  <c r="G354" i="2"/>
  <c r="J353" i="2"/>
  <c r="K353" i="2"/>
  <c r="I354" i="2" l="1"/>
  <c r="N354" i="2"/>
  <c r="I357" i="15"/>
  <c r="N357" i="15"/>
  <c r="H358" i="15"/>
  <c r="E358" i="15"/>
  <c r="D358" i="15"/>
  <c r="G358" i="15"/>
  <c r="F358" i="15"/>
  <c r="Q358" i="15" s="1"/>
  <c r="R358" i="15"/>
  <c r="P358" i="15"/>
  <c r="O358" i="15"/>
  <c r="K357" i="15"/>
  <c r="J357" i="15"/>
  <c r="M357" i="15"/>
  <c r="L357" i="15"/>
  <c r="J354" i="2"/>
  <c r="K354" i="2"/>
  <c r="M354" i="2"/>
  <c r="L354" i="2"/>
  <c r="O355" i="2"/>
  <c r="B356" i="2"/>
  <c r="G355" i="2"/>
  <c r="D355" i="2"/>
  <c r="F355" i="2"/>
  <c r="Q355" i="2" s="1"/>
  <c r="E355" i="2"/>
  <c r="P355" i="2"/>
  <c r="H355" i="2"/>
  <c r="R355" i="2"/>
  <c r="I355" i="2" l="1"/>
  <c r="N355" i="2"/>
  <c r="I358" i="15"/>
  <c r="N358" i="15"/>
  <c r="M358" i="15"/>
  <c r="L358" i="15"/>
  <c r="K358" i="15"/>
  <c r="J358" i="15"/>
  <c r="P359" i="15"/>
  <c r="G359" i="15"/>
  <c r="D359" i="15"/>
  <c r="R359" i="15"/>
  <c r="E359" i="15"/>
  <c r="H359" i="15"/>
  <c r="F359" i="15"/>
  <c r="Q359" i="15" s="1"/>
  <c r="O359" i="15"/>
  <c r="M355" i="2"/>
  <c r="L355" i="2"/>
  <c r="J355" i="2"/>
  <c r="K355" i="2"/>
  <c r="O356" i="2"/>
  <c r="G356" i="2"/>
  <c r="B357" i="2"/>
  <c r="H356" i="2"/>
  <c r="F356" i="2"/>
  <c r="Q356" i="2" s="1"/>
  <c r="E356" i="2"/>
  <c r="P356" i="2"/>
  <c r="D356" i="2"/>
  <c r="R356" i="2"/>
  <c r="I356" i="2" l="1"/>
  <c r="N356" i="2"/>
  <c r="I359" i="15"/>
  <c r="N359" i="15"/>
  <c r="O360" i="15"/>
  <c r="F360" i="15"/>
  <c r="Q360" i="15" s="1"/>
  <c r="D360" i="15"/>
  <c r="H360" i="15"/>
  <c r="G360" i="15"/>
  <c r="P360" i="15"/>
  <c r="R360" i="15"/>
  <c r="E360" i="15"/>
  <c r="L359" i="15"/>
  <c r="M359" i="15"/>
  <c r="K359" i="15"/>
  <c r="J359" i="15"/>
  <c r="M356" i="2"/>
  <c r="L356" i="2"/>
  <c r="B358" i="2"/>
  <c r="H357" i="2"/>
  <c r="G357" i="2"/>
  <c r="F357" i="2"/>
  <c r="Q357" i="2" s="1"/>
  <c r="O357" i="2"/>
  <c r="D357" i="2"/>
  <c r="E357" i="2"/>
  <c r="R357" i="2"/>
  <c r="P357" i="2"/>
  <c r="K356" i="2"/>
  <c r="J356" i="2"/>
  <c r="I357" i="2" l="1"/>
  <c r="N357" i="2"/>
  <c r="I360" i="15"/>
  <c r="N360" i="15"/>
  <c r="E361" i="15"/>
  <c r="R361" i="15"/>
  <c r="H361" i="15"/>
  <c r="G361" i="15"/>
  <c r="O361" i="15"/>
  <c r="F361" i="15"/>
  <c r="Q361" i="15" s="1"/>
  <c r="D361" i="15"/>
  <c r="P361" i="15"/>
  <c r="M360" i="15"/>
  <c r="L360" i="15"/>
  <c r="K360" i="15"/>
  <c r="J360" i="15"/>
  <c r="M357" i="2"/>
  <c r="L357" i="2"/>
  <c r="O358" i="2"/>
  <c r="B359" i="2"/>
  <c r="G358" i="2"/>
  <c r="H358" i="2"/>
  <c r="D358" i="2"/>
  <c r="F358" i="2"/>
  <c r="Q358" i="2" s="1"/>
  <c r="E358" i="2"/>
  <c r="R358" i="2"/>
  <c r="P358" i="2"/>
  <c r="K357" i="2"/>
  <c r="J357" i="2"/>
  <c r="I358" i="2" l="1"/>
  <c r="N358" i="2"/>
  <c r="I361" i="15"/>
  <c r="N361" i="15"/>
  <c r="J361" i="15"/>
  <c r="K361" i="15"/>
  <c r="D362" i="15"/>
  <c r="R362" i="15"/>
  <c r="H362" i="15"/>
  <c r="E362" i="15"/>
  <c r="P362" i="15"/>
  <c r="G362" i="15"/>
  <c r="O362" i="15"/>
  <c r="F362" i="15"/>
  <c r="Q362" i="15" s="1"/>
  <c r="M361" i="15"/>
  <c r="L361" i="15"/>
  <c r="J358" i="2"/>
  <c r="K358" i="2"/>
  <c r="L358" i="2"/>
  <c r="M358" i="2"/>
  <c r="O359" i="2"/>
  <c r="G359" i="2"/>
  <c r="D359" i="2"/>
  <c r="F359" i="2"/>
  <c r="Q359" i="2" s="1"/>
  <c r="B360" i="2"/>
  <c r="E359" i="2"/>
  <c r="R359" i="2"/>
  <c r="H359" i="2"/>
  <c r="P359" i="2"/>
  <c r="I359" i="2" l="1"/>
  <c r="N359" i="2"/>
  <c r="I362" i="15"/>
  <c r="N362" i="15"/>
  <c r="K362" i="15"/>
  <c r="J362" i="15"/>
  <c r="H363" i="15"/>
  <c r="P363" i="15"/>
  <c r="G363" i="15"/>
  <c r="R363" i="15"/>
  <c r="D363" i="15"/>
  <c r="E363" i="15"/>
  <c r="F363" i="15"/>
  <c r="Q363" i="15" s="1"/>
  <c r="O363" i="15"/>
  <c r="L362" i="15"/>
  <c r="M362" i="15"/>
  <c r="J359" i="2"/>
  <c r="K359" i="2"/>
  <c r="M359" i="2"/>
  <c r="L359" i="2"/>
  <c r="B361" i="2"/>
  <c r="G360" i="2"/>
  <c r="H360" i="2"/>
  <c r="D360" i="2"/>
  <c r="F360" i="2"/>
  <c r="Q360" i="2" s="1"/>
  <c r="E360" i="2"/>
  <c r="P360" i="2"/>
  <c r="O360" i="2"/>
  <c r="R360" i="2"/>
  <c r="I360" i="2" l="1"/>
  <c r="N360" i="2"/>
  <c r="I363" i="15"/>
  <c r="N363" i="15"/>
  <c r="M363" i="15"/>
  <c r="L363" i="15"/>
  <c r="K363" i="15"/>
  <c r="J363" i="15"/>
  <c r="P364" i="15"/>
  <c r="G364" i="15"/>
  <c r="O364" i="15"/>
  <c r="F364" i="15"/>
  <c r="Q364" i="15" s="1"/>
  <c r="H364" i="15"/>
  <c r="E364" i="15"/>
  <c r="R364" i="15"/>
  <c r="D364" i="15"/>
  <c r="J360" i="2"/>
  <c r="K360" i="2"/>
  <c r="M360" i="2"/>
  <c r="L360" i="2"/>
  <c r="O361" i="2"/>
  <c r="H361" i="2"/>
  <c r="G361" i="2"/>
  <c r="D361" i="2"/>
  <c r="F361" i="2"/>
  <c r="Q361" i="2" s="1"/>
  <c r="P361" i="2"/>
  <c r="E361" i="2"/>
  <c r="R361" i="2"/>
  <c r="B362" i="2"/>
  <c r="I361" i="2" l="1"/>
  <c r="N361" i="2"/>
  <c r="I364" i="15"/>
  <c r="N364" i="15"/>
  <c r="J364" i="15"/>
  <c r="K364" i="15"/>
  <c r="R365" i="15"/>
  <c r="O365" i="15"/>
  <c r="F365" i="15"/>
  <c r="Q365" i="15" s="1"/>
  <c r="E365" i="15"/>
  <c r="D365" i="15"/>
  <c r="H365" i="15"/>
  <c r="G365" i="15"/>
  <c r="P365" i="15"/>
  <c r="L364" i="15"/>
  <c r="M364" i="15"/>
  <c r="M361" i="2"/>
  <c r="L361" i="2"/>
  <c r="B363" i="2"/>
  <c r="O362" i="2"/>
  <c r="H362" i="2"/>
  <c r="G362" i="2"/>
  <c r="D362" i="2"/>
  <c r="F362" i="2"/>
  <c r="Q362" i="2" s="1"/>
  <c r="P362" i="2"/>
  <c r="E362" i="2"/>
  <c r="R362" i="2"/>
  <c r="J361" i="2"/>
  <c r="K361" i="2"/>
  <c r="I362" i="2" l="1"/>
  <c r="N362" i="2"/>
  <c r="I365" i="15"/>
  <c r="N365" i="15"/>
  <c r="M365" i="15"/>
  <c r="L365" i="15"/>
  <c r="K365" i="15"/>
  <c r="J365" i="15"/>
  <c r="H366" i="15"/>
  <c r="E366" i="15"/>
  <c r="D366" i="15"/>
  <c r="O366" i="15"/>
  <c r="R366" i="15"/>
  <c r="G366" i="15"/>
  <c r="P366" i="15"/>
  <c r="F366" i="15"/>
  <c r="Q366" i="15" s="1"/>
  <c r="M362" i="2"/>
  <c r="L362" i="2"/>
  <c r="O363" i="2"/>
  <c r="B364" i="2"/>
  <c r="G363" i="2"/>
  <c r="D363" i="2"/>
  <c r="H363" i="2"/>
  <c r="F363" i="2"/>
  <c r="Q363" i="2" s="1"/>
  <c r="P363" i="2"/>
  <c r="E363" i="2"/>
  <c r="R363" i="2"/>
  <c r="J362" i="2"/>
  <c r="K362" i="2"/>
  <c r="I363" i="2" l="1"/>
  <c r="N363" i="2"/>
  <c r="I366" i="15"/>
  <c r="N366" i="15"/>
  <c r="G94" i="16"/>
  <c r="G59" i="16"/>
  <c r="G69" i="16"/>
  <c r="G80" i="16"/>
  <c r="G89" i="16"/>
  <c r="G86" i="16"/>
  <c r="G72" i="16"/>
  <c r="G73" i="16"/>
  <c r="G88" i="16"/>
  <c r="G79" i="16"/>
  <c r="G81" i="16"/>
  <c r="G58" i="16"/>
  <c r="G61" i="16"/>
  <c r="G87" i="16"/>
  <c r="G95" i="16"/>
  <c r="G67" i="16"/>
  <c r="G62" i="16"/>
  <c r="G74" i="16"/>
  <c r="G70" i="16"/>
  <c r="G75" i="16"/>
  <c r="G77" i="16"/>
  <c r="G85" i="16"/>
  <c r="G84" i="16"/>
  <c r="G96" i="16"/>
  <c r="G93" i="16"/>
  <c r="G82" i="16"/>
  <c r="G64" i="16"/>
  <c r="G91" i="16"/>
  <c r="G78" i="16"/>
  <c r="G92" i="16"/>
  <c r="G65" i="16"/>
  <c r="G66" i="16"/>
  <c r="G71" i="16"/>
  <c r="G90" i="16"/>
  <c r="G76" i="16"/>
  <c r="G68" i="16"/>
  <c r="G63" i="16"/>
  <c r="G60" i="16"/>
  <c r="G83" i="16"/>
  <c r="H92" i="16"/>
  <c r="H79" i="16"/>
  <c r="H83" i="16"/>
  <c r="H63" i="16"/>
  <c r="H73" i="16"/>
  <c r="H87" i="16"/>
  <c r="H82" i="16"/>
  <c r="H70" i="16"/>
  <c r="H58" i="16"/>
  <c r="H88" i="16"/>
  <c r="H90" i="16"/>
  <c r="H66" i="16"/>
  <c r="H62" i="16"/>
  <c r="H71" i="16"/>
  <c r="H72" i="16"/>
  <c r="H78" i="16"/>
  <c r="H67" i="16"/>
  <c r="H74" i="16"/>
  <c r="H69" i="16"/>
  <c r="H64" i="16"/>
  <c r="H80" i="16"/>
  <c r="H85" i="16"/>
  <c r="H93" i="16"/>
  <c r="H81" i="16"/>
  <c r="H95" i="16"/>
  <c r="H91" i="16"/>
  <c r="H68" i="16"/>
  <c r="H86" i="16"/>
  <c r="H60" i="16"/>
  <c r="H96" i="16"/>
  <c r="H89" i="16"/>
  <c r="H59" i="16"/>
  <c r="H65" i="16"/>
  <c r="H77" i="16"/>
  <c r="H94" i="16"/>
  <c r="H84" i="16"/>
  <c r="H75" i="16"/>
  <c r="H76" i="16"/>
  <c r="H61" i="16"/>
  <c r="F89" i="16"/>
  <c r="F63" i="16"/>
  <c r="F61" i="16"/>
  <c r="F91" i="16"/>
  <c r="F90" i="16"/>
  <c r="F80" i="16"/>
  <c r="F64" i="16"/>
  <c r="F74" i="16"/>
  <c r="F78" i="16"/>
  <c r="F66" i="16"/>
  <c r="F59" i="16"/>
  <c r="F62" i="16"/>
  <c r="F96" i="16"/>
  <c r="F65" i="16"/>
  <c r="F73" i="16"/>
  <c r="F71" i="16"/>
  <c r="F72" i="16"/>
  <c r="F75" i="16"/>
  <c r="F94" i="16"/>
  <c r="F87" i="16"/>
  <c r="F82" i="16"/>
  <c r="F70" i="16"/>
  <c r="F76" i="16"/>
  <c r="F69" i="16"/>
  <c r="F77" i="16"/>
  <c r="F67" i="16"/>
  <c r="F86" i="16"/>
  <c r="F88" i="16"/>
  <c r="F85" i="16"/>
  <c r="F83" i="16"/>
  <c r="F79" i="16"/>
  <c r="F92" i="16"/>
  <c r="F58" i="16"/>
  <c r="F60" i="16"/>
  <c r="F84" i="16"/>
  <c r="F68" i="16"/>
  <c r="F93" i="16"/>
  <c r="F81" i="16"/>
  <c r="F95" i="16"/>
  <c r="E95" i="16"/>
  <c r="E84" i="16"/>
  <c r="E92" i="16"/>
  <c r="E69" i="16"/>
  <c r="E91" i="16"/>
  <c r="E71" i="16"/>
  <c r="E68" i="16"/>
  <c r="E79" i="16"/>
  <c r="E76" i="16"/>
  <c r="E81" i="16"/>
  <c r="E67" i="16"/>
  <c r="E62" i="16"/>
  <c r="E78" i="16"/>
  <c r="E86" i="16"/>
  <c r="E59" i="16"/>
  <c r="E77" i="16"/>
  <c r="E88" i="16"/>
  <c r="E64" i="16"/>
  <c r="E85" i="16"/>
  <c r="E80" i="16"/>
  <c r="E83" i="16"/>
  <c r="E63" i="16"/>
  <c r="E82" i="16"/>
  <c r="E96" i="16"/>
  <c r="E65" i="16"/>
  <c r="E66" i="16"/>
  <c r="E93" i="16"/>
  <c r="E58" i="16"/>
  <c r="E87" i="16"/>
  <c r="E74" i="16"/>
  <c r="E94" i="16"/>
  <c r="E90" i="16"/>
  <c r="E61" i="16"/>
  <c r="E72" i="16"/>
  <c r="E73" i="16"/>
  <c r="E60" i="16"/>
  <c r="E75" i="16"/>
  <c r="E70" i="16"/>
  <c r="E89" i="16"/>
  <c r="D91" i="16"/>
  <c r="D73" i="16"/>
  <c r="D85" i="16"/>
  <c r="D74" i="16"/>
  <c r="D63" i="16"/>
  <c r="D67" i="16"/>
  <c r="D92" i="16"/>
  <c r="D79" i="16"/>
  <c r="D58" i="16"/>
  <c r="D90" i="16"/>
  <c r="D71" i="16"/>
  <c r="D82" i="16"/>
  <c r="D60" i="16"/>
  <c r="D68" i="16"/>
  <c r="D84" i="16"/>
  <c r="D83" i="16"/>
  <c r="D93" i="16"/>
  <c r="D76" i="16"/>
  <c r="D66" i="16"/>
  <c r="D86" i="16"/>
  <c r="D89" i="16"/>
  <c r="D61" i="16"/>
  <c r="D69" i="16"/>
  <c r="D72" i="16"/>
  <c r="D96" i="16"/>
  <c r="D94" i="16"/>
  <c r="D78" i="16"/>
  <c r="D95" i="16"/>
  <c r="D62" i="16"/>
  <c r="D88" i="16"/>
  <c r="D64" i="16"/>
  <c r="D77" i="16"/>
  <c r="D70" i="16"/>
  <c r="D65" i="16"/>
  <c r="D75" i="16"/>
  <c r="D87" i="16"/>
  <c r="D81" i="16"/>
  <c r="D59" i="16"/>
  <c r="D80" i="16"/>
  <c r="K366" i="15"/>
  <c r="J366" i="15"/>
  <c r="M366" i="15"/>
  <c r="L366" i="15"/>
  <c r="P367" i="15"/>
  <c r="G367" i="15"/>
  <c r="D367" i="15"/>
  <c r="H367" i="15"/>
  <c r="O367" i="15"/>
  <c r="R367" i="15"/>
  <c r="E367" i="15"/>
  <c r="F367" i="15"/>
  <c r="Q367" i="15" s="1"/>
  <c r="O364" i="2"/>
  <c r="B365" i="2"/>
  <c r="D364" i="2"/>
  <c r="H364" i="2"/>
  <c r="G364" i="2"/>
  <c r="F364" i="2"/>
  <c r="Q364" i="2" s="1"/>
  <c r="E364" i="2"/>
  <c r="P364" i="2"/>
  <c r="R364" i="2"/>
  <c r="M363" i="2"/>
  <c r="L363" i="2"/>
  <c r="J363" i="2"/>
  <c r="K363" i="2"/>
  <c r="I364" i="2" l="1"/>
  <c r="N364" i="2"/>
  <c r="I367" i="15"/>
  <c r="N367" i="15"/>
  <c r="M64" i="16"/>
  <c r="M92" i="16"/>
  <c r="M63" i="16"/>
  <c r="M78" i="16"/>
  <c r="M70" i="16"/>
  <c r="M83" i="16"/>
  <c r="M65" i="16"/>
  <c r="M59" i="16"/>
  <c r="M90" i="16"/>
  <c r="M60" i="16"/>
  <c r="M62" i="16"/>
  <c r="M72" i="16"/>
  <c r="M66" i="16"/>
  <c r="M91" i="16"/>
  <c r="M76" i="16"/>
  <c r="M95" i="16"/>
  <c r="M86" i="16"/>
  <c r="M79" i="16"/>
  <c r="M77" i="16"/>
  <c r="M67" i="16"/>
  <c r="M93" i="16"/>
  <c r="M84" i="16"/>
  <c r="M71" i="16"/>
  <c r="M85" i="16"/>
  <c r="M81" i="16"/>
  <c r="M87" i="16"/>
  <c r="M69" i="16"/>
  <c r="M75" i="16"/>
  <c r="M61" i="16"/>
  <c r="M96" i="16"/>
  <c r="M94" i="16"/>
  <c r="M73" i="16"/>
  <c r="M68" i="16"/>
  <c r="M89" i="16"/>
  <c r="M58" i="16"/>
  <c r="M82" i="16"/>
  <c r="M80" i="16"/>
  <c r="M74" i="16"/>
  <c r="M88" i="16"/>
  <c r="K73" i="16"/>
  <c r="K89" i="16"/>
  <c r="K95" i="16"/>
  <c r="K84" i="16"/>
  <c r="K96" i="16"/>
  <c r="K77" i="16"/>
  <c r="K64" i="16"/>
  <c r="K62" i="16"/>
  <c r="K82" i="16"/>
  <c r="K65" i="16"/>
  <c r="K76" i="16"/>
  <c r="K66" i="16"/>
  <c r="K67" i="16"/>
  <c r="K75" i="16"/>
  <c r="K83" i="16"/>
  <c r="K94" i="16"/>
  <c r="K61" i="16"/>
  <c r="K70" i="16"/>
  <c r="K60" i="16"/>
  <c r="K69" i="16"/>
  <c r="K81" i="16"/>
  <c r="K68" i="16"/>
  <c r="K85" i="16"/>
  <c r="K91" i="16"/>
  <c r="K90" i="16"/>
  <c r="K72" i="16"/>
  <c r="K58" i="16"/>
  <c r="K59" i="16"/>
  <c r="K86" i="16"/>
  <c r="K87" i="16"/>
  <c r="K93" i="16"/>
  <c r="K80" i="16"/>
  <c r="K78" i="16"/>
  <c r="K74" i="16"/>
  <c r="K79" i="16"/>
  <c r="K88" i="16"/>
  <c r="K71" i="16"/>
  <c r="K92" i="16"/>
  <c r="K63" i="16"/>
  <c r="L58" i="16"/>
  <c r="L69" i="16"/>
  <c r="L87" i="16"/>
  <c r="L88" i="16"/>
  <c r="L94" i="16"/>
  <c r="L89" i="16"/>
  <c r="L91" i="16"/>
  <c r="L76" i="16"/>
  <c r="L95" i="16"/>
  <c r="L71" i="16"/>
  <c r="L73" i="16"/>
  <c r="L63" i="16"/>
  <c r="L68" i="16"/>
  <c r="L67" i="16"/>
  <c r="L96" i="16"/>
  <c r="L84" i="16"/>
  <c r="L80" i="16"/>
  <c r="L70" i="16"/>
  <c r="L93" i="16"/>
  <c r="L79" i="16"/>
  <c r="L66" i="16"/>
  <c r="L74" i="16"/>
  <c r="L60" i="16"/>
  <c r="L75" i="16"/>
  <c r="L85" i="16"/>
  <c r="L78" i="16"/>
  <c r="L82" i="16"/>
  <c r="L65" i="16"/>
  <c r="L81" i="16"/>
  <c r="L90" i="16"/>
  <c r="L77" i="16"/>
  <c r="L83" i="16"/>
  <c r="L92" i="16"/>
  <c r="L61" i="16"/>
  <c r="L59" i="16"/>
  <c r="L64" i="16"/>
  <c r="L62" i="16"/>
  <c r="L86" i="16"/>
  <c r="L72" i="16"/>
  <c r="J91" i="16"/>
  <c r="J84" i="16"/>
  <c r="J81" i="16"/>
  <c r="J95" i="16"/>
  <c r="J96" i="16"/>
  <c r="J83" i="16"/>
  <c r="J73" i="16"/>
  <c r="J69" i="16"/>
  <c r="J87" i="16"/>
  <c r="J68" i="16"/>
  <c r="J67" i="16"/>
  <c r="J64" i="16"/>
  <c r="J62" i="16"/>
  <c r="J88" i="16"/>
  <c r="J89" i="16"/>
  <c r="J94" i="16"/>
  <c r="J90" i="16"/>
  <c r="J75" i="16"/>
  <c r="J74" i="16"/>
  <c r="J60" i="16"/>
  <c r="J72" i="16"/>
  <c r="J63" i="16"/>
  <c r="J82" i="16"/>
  <c r="J66" i="16"/>
  <c r="J59" i="16"/>
  <c r="J92" i="16"/>
  <c r="J77" i="16"/>
  <c r="J78" i="16"/>
  <c r="J86" i="16"/>
  <c r="J70" i="16"/>
  <c r="J79" i="16"/>
  <c r="J65" i="16"/>
  <c r="J58" i="16"/>
  <c r="J71" i="16"/>
  <c r="J93" i="16"/>
  <c r="J61" i="16"/>
  <c r="J76" i="16"/>
  <c r="J85" i="16"/>
  <c r="J80" i="16"/>
  <c r="K367" i="15"/>
  <c r="J367" i="15"/>
  <c r="O368" i="15"/>
  <c r="F368" i="15"/>
  <c r="R368" i="15"/>
  <c r="E368" i="15"/>
  <c r="D368" i="15"/>
  <c r="H368" i="15"/>
  <c r="P368" i="15"/>
  <c r="G368" i="15"/>
  <c r="I539" i="18" s="1"/>
  <c r="K539" i="18" s="1"/>
  <c r="L367" i="15"/>
  <c r="M367" i="15"/>
  <c r="M364" i="2"/>
  <c r="L364" i="2"/>
  <c r="K364" i="2"/>
  <c r="J364" i="2"/>
  <c r="B366" i="2"/>
  <c r="H365" i="2"/>
  <c r="O365" i="2"/>
  <c r="G365" i="2"/>
  <c r="F365" i="2"/>
  <c r="Q365" i="2" s="1"/>
  <c r="E365" i="2"/>
  <c r="D365" i="2"/>
  <c r="R365" i="2"/>
  <c r="P365" i="2"/>
  <c r="I784" i="18" l="1"/>
  <c r="K784" i="18" s="1"/>
  <c r="I324" i="18"/>
  <c r="K324" i="18" s="1"/>
  <c r="I543" i="18"/>
  <c r="K543" i="18" s="1"/>
  <c r="I302" i="18"/>
  <c r="K302" i="18" s="1"/>
  <c r="O190" i="18"/>
  <c r="O355" i="18"/>
  <c r="I410" i="18"/>
  <c r="K410" i="18" s="1"/>
  <c r="O258" i="18"/>
  <c r="O169" i="18"/>
  <c r="O77" i="18"/>
  <c r="O140" i="18"/>
  <c r="O187" i="18"/>
  <c r="O158" i="18"/>
  <c r="O254" i="18"/>
  <c r="O118" i="18"/>
  <c r="O241" i="18"/>
  <c r="O115" i="18"/>
  <c r="O381" i="18"/>
  <c r="O377" i="18"/>
  <c r="O188" i="18"/>
  <c r="O167" i="18"/>
  <c r="O76" i="18"/>
  <c r="O182" i="18"/>
  <c r="O314" i="18"/>
  <c r="O338" i="18"/>
  <c r="O270" i="18"/>
  <c r="O253" i="18"/>
  <c r="O313" i="18"/>
  <c r="O319" i="18"/>
  <c r="O376" i="18"/>
  <c r="O144" i="18"/>
  <c r="O375" i="18"/>
  <c r="O298" i="18"/>
  <c r="O360" i="18"/>
  <c r="O219" i="18"/>
  <c r="O138" i="18"/>
  <c r="O91" i="18"/>
  <c r="O126" i="18"/>
  <c r="O168" i="18"/>
  <c r="O372" i="18"/>
  <c r="O119" i="18"/>
  <c r="O392" i="18"/>
  <c r="O302" i="18"/>
  <c r="O178" i="18"/>
  <c r="O174" i="18"/>
  <c r="O395" i="18"/>
  <c r="O543" i="18"/>
  <c r="O173" i="18"/>
  <c r="O327" i="18"/>
  <c r="O159" i="18"/>
  <c r="O317" i="18"/>
  <c r="O374" i="18"/>
  <c r="O243" i="18"/>
  <c r="O220" i="18"/>
  <c r="O64" i="18"/>
  <c r="O265" i="18"/>
  <c r="O171" i="18"/>
  <c r="O147" i="18"/>
  <c r="O236" i="18"/>
  <c r="O240" i="18"/>
  <c r="O208" i="18"/>
  <c r="O542" i="18"/>
  <c r="O223" i="18"/>
  <c r="O269" i="18"/>
  <c r="O310" i="18"/>
  <c r="O320" i="18"/>
  <c r="O175" i="18"/>
  <c r="O132" i="18"/>
  <c r="O218" i="18"/>
  <c r="O251" i="18"/>
  <c r="O95" i="18"/>
  <c r="O380" i="18"/>
  <c r="O249" i="18"/>
  <c r="O183" i="18"/>
  <c r="O539" i="18"/>
  <c r="O135" i="18"/>
  <c r="O267" i="18"/>
  <c r="O256" i="18"/>
  <c r="O367" i="18"/>
  <c r="O78" i="18"/>
  <c r="O358" i="18"/>
  <c r="O336" i="18"/>
  <c r="O97" i="18"/>
  <c r="O290" i="18"/>
  <c r="O541" i="18"/>
  <c r="O295" i="18"/>
  <c r="O157" i="18"/>
  <c r="O104" i="18"/>
  <c r="O213" i="18"/>
  <c r="O164" i="18"/>
  <c r="O288" i="18"/>
  <c r="O268" i="18"/>
  <c r="O156" i="18"/>
  <c r="O389" i="18"/>
  <c r="O102" i="18"/>
  <c r="O217" i="18"/>
  <c r="O311" i="18"/>
  <c r="O257" i="18"/>
  <c r="O283" i="18"/>
  <c r="O259" i="18"/>
  <c r="O224" i="18"/>
  <c r="O149" i="18"/>
  <c r="O233" i="18"/>
  <c r="O307" i="18"/>
  <c r="O354" i="18"/>
  <c r="O356" i="18"/>
  <c r="O361" i="18"/>
  <c r="O379" i="18"/>
  <c r="O139" i="18"/>
  <c r="O234" i="18"/>
  <c r="O278" i="18"/>
  <c r="O181" i="18"/>
  <c r="O272" i="18"/>
  <c r="O162" i="18"/>
  <c r="O282" i="18"/>
  <c r="O378" i="18"/>
  <c r="O271" i="18"/>
  <c r="O94" i="18"/>
  <c r="O369" i="18"/>
  <c r="O108" i="18"/>
  <c r="O340" i="18"/>
  <c r="O339" i="18"/>
  <c r="O287" i="18"/>
  <c r="O161" i="18"/>
  <c r="O80" i="18"/>
  <c r="O160" i="18"/>
  <c r="O228" i="18"/>
  <c r="O349" i="18"/>
  <c r="O165" i="18"/>
  <c r="O202" i="18"/>
  <c r="O328" i="18"/>
  <c r="O206" i="18"/>
  <c r="O385" i="18"/>
  <c r="O237" i="18"/>
  <c r="O293" i="18"/>
  <c r="O117" i="18"/>
  <c r="O331" i="18"/>
  <c r="O232" i="18"/>
  <c r="O410" i="18"/>
  <c r="O222" i="18"/>
  <c r="O366" i="18"/>
  <c r="O409" i="18"/>
  <c r="O101" i="18"/>
  <c r="O79" i="18"/>
  <c r="O277" i="18"/>
  <c r="O211" i="18"/>
  <c r="O350" i="18"/>
  <c r="O193" i="18"/>
  <c r="O195" i="18"/>
  <c r="O305" i="18"/>
  <c r="O230" i="18"/>
  <c r="O332" i="18"/>
  <c r="O306" i="18"/>
  <c r="O141" i="18"/>
  <c r="O299" i="18"/>
  <c r="O205" i="18"/>
  <c r="O106" i="18"/>
  <c r="O231" i="18"/>
  <c r="O296" i="18"/>
  <c r="O127" i="18"/>
  <c r="O189" i="18"/>
  <c r="O210" i="18"/>
  <c r="O345" i="18"/>
  <c r="O121" i="18"/>
  <c r="O538" i="18"/>
  <c r="O226" i="18"/>
  <c r="O207" i="18"/>
  <c r="O212" i="18"/>
  <c r="O67" i="18"/>
  <c r="O88" i="18"/>
  <c r="O163" i="18"/>
  <c r="O153" i="18"/>
  <c r="O116" i="18"/>
  <c r="O235" i="18"/>
  <c r="O100" i="18"/>
  <c r="O184" i="18"/>
  <c r="O68" i="18"/>
  <c r="O98" i="18"/>
  <c r="O82" i="18"/>
  <c r="O371" i="18"/>
  <c r="O150" i="18"/>
  <c r="O87" i="18"/>
  <c r="O148" i="18"/>
  <c r="O308" i="18"/>
  <c r="O194" i="18"/>
  <c r="O136" i="18"/>
  <c r="O346" i="18"/>
  <c r="O386" i="18"/>
  <c r="O264" i="18"/>
  <c r="O247" i="18"/>
  <c r="O391" i="18"/>
  <c r="O110" i="18"/>
  <c r="O112" i="18"/>
  <c r="O66" i="18"/>
  <c r="O152" i="18"/>
  <c r="O179" i="18"/>
  <c r="O81" i="18"/>
  <c r="O357" i="18"/>
  <c r="O86" i="18"/>
  <c r="O275" i="18"/>
  <c r="O353" i="18"/>
  <c r="O201" i="18"/>
  <c r="O266" i="18"/>
  <c r="O321" i="18"/>
  <c r="O103" i="18"/>
  <c r="O72" i="18"/>
  <c r="O180" i="18"/>
  <c r="O177" i="18"/>
  <c r="O107" i="18"/>
  <c r="O196" i="18"/>
  <c r="O242" i="18"/>
  <c r="O203" i="18"/>
  <c r="O96" i="18"/>
  <c r="O73" i="18"/>
  <c r="O359" i="18"/>
  <c r="O335" i="18"/>
  <c r="O192" i="18"/>
  <c r="O263" i="18"/>
  <c r="O129" i="18"/>
  <c r="O244" i="18"/>
  <c r="O326" i="18"/>
  <c r="O394" i="18"/>
  <c r="O286" i="18"/>
  <c r="O137" i="18"/>
  <c r="O123" i="18"/>
  <c r="O291" i="18"/>
  <c r="O62" i="18"/>
  <c r="O303" i="18"/>
  <c r="O166" i="18"/>
  <c r="O143" i="18"/>
  <c r="O351" i="18"/>
  <c r="O245" i="18"/>
  <c r="O316" i="18"/>
  <c r="O343" i="18"/>
  <c r="O145" i="18"/>
  <c r="O84" i="18"/>
  <c r="O342" i="18"/>
  <c r="O309" i="18"/>
  <c r="O334" i="18"/>
  <c r="O191" i="18"/>
  <c r="O204" i="18"/>
  <c r="O83" i="18"/>
  <c r="O198" i="18"/>
  <c r="O93" i="18"/>
  <c r="O199" i="18"/>
  <c r="O71" i="18"/>
  <c r="O216" i="18"/>
  <c r="O348" i="18"/>
  <c r="O227" i="18"/>
  <c r="O384" i="18"/>
  <c r="O333" i="18"/>
  <c r="O252" i="18"/>
  <c r="O92" i="18"/>
  <c r="O151" i="18"/>
  <c r="O70" i="18"/>
  <c r="O352" i="18"/>
  <c r="O297" i="18"/>
  <c r="O383" i="18"/>
  <c r="O312" i="18"/>
  <c r="O238" i="18"/>
  <c r="O221" i="18"/>
  <c r="O142" i="18"/>
  <c r="O341" i="18"/>
  <c r="O330" i="18"/>
  <c r="O325" i="18"/>
  <c r="O304" i="18"/>
  <c r="O114" i="18"/>
  <c r="O246" i="18"/>
  <c r="O214" i="18"/>
  <c r="O155" i="18"/>
  <c r="O113" i="18"/>
  <c r="O274" i="18"/>
  <c r="O154" i="18"/>
  <c r="O215" i="18"/>
  <c r="O281" i="18"/>
  <c r="O176" i="18"/>
  <c r="O74" i="18"/>
  <c r="O172" i="18"/>
  <c r="O368" i="18"/>
  <c r="O329" i="18"/>
  <c r="O301" i="18"/>
  <c r="O170" i="18"/>
  <c r="O323" i="18"/>
  <c r="O125" i="18"/>
  <c r="O365" i="18"/>
  <c r="O134" i="18"/>
  <c r="O289" i="18"/>
  <c r="O276" i="18"/>
  <c r="O124" i="18"/>
  <c r="O382" i="18"/>
  <c r="O99" i="18"/>
  <c r="O128" i="18"/>
  <c r="O393" i="18"/>
  <c r="O324" i="18"/>
  <c r="O370" i="18"/>
  <c r="O363" i="18"/>
  <c r="O120" i="18"/>
  <c r="O292" i="18"/>
  <c r="O279" i="18"/>
  <c r="O131" i="18"/>
  <c r="O248" i="18"/>
  <c r="O344" i="18"/>
  <c r="O185" i="18"/>
  <c r="O209" i="18"/>
  <c r="O200" i="18"/>
  <c r="O65" i="18"/>
  <c r="O133" i="18"/>
  <c r="O300" i="18"/>
  <c r="O255" i="18"/>
  <c r="O284" i="18"/>
  <c r="O69" i="18"/>
  <c r="O390" i="18"/>
  <c r="O387" i="18"/>
  <c r="O89" i="18"/>
  <c r="O229" i="18"/>
  <c r="O540" i="18"/>
  <c r="O362" i="18"/>
  <c r="O225" i="18"/>
  <c r="O260" i="18"/>
  <c r="O373" i="18"/>
  <c r="O90" i="18"/>
  <c r="O262" i="18"/>
  <c r="O364" i="18"/>
  <c r="O105" i="18"/>
  <c r="O261" i="18"/>
  <c r="O280" i="18"/>
  <c r="O146" i="18"/>
  <c r="O337" i="18"/>
  <c r="O285" i="18"/>
  <c r="O250" i="18"/>
  <c r="O347" i="18"/>
  <c r="O388" i="18"/>
  <c r="O322" i="18"/>
  <c r="O109" i="18"/>
  <c r="O63" i="18"/>
  <c r="O85" i="18"/>
  <c r="O197" i="18"/>
  <c r="O239" i="18"/>
  <c r="O75" i="18"/>
  <c r="O294" i="18"/>
  <c r="O130" i="18"/>
  <c r="O315" i="18"/>
  <c r="O111" i="18"/>
  <c r="O186" i="18"/>
  <c r="O122" i="18"/>
  <c r="O273" i="18"/>
  <c r="O318" i="18"/>
  <c r="I542" i="18"/>
  <c r="K542" i="18" s="1"/>
  <c r="I409" i="18"/>
  <c r="K409" i="18" s="1"/>
  <c r="I325" i="18"/>
  <c r="K325" i="18" s="1"/>
  <c r="I303" i="18"/>
  <c r="K303" i="18" s="1"/>
  <c r="M784" i="18"/>
  <c r="M410" i="18"/>
  <c r="M543" i="18"/>
  <c r="M541" i="18"/>
  <c r="M325" i="18"/>
  <c r="M303" i="18"/>
  <c r="M302" i="18"/>
  <c r="M409" i="18"/>
  <c r="M540" i="18"/>
  <c r="M542" i="18"/>
  <c r="M538" i="18"/>
  <c r="M324" i="18"/>
  <c r="M539" i="18"/>
  <c r="R236" i="18"/>
  <c r="R370" i="18"/>
  <c r="R297" i="18"/>
  <c r="R796" i="18"/>
  <c r="R87" i="18"/>
  <c r="R725" i="18"/>
  <c r="R308" i="18"/>
  <c r="R296" i="18"/>
  <c r="R164" i="18"/>
  <c r="R793" i="18"/>
  <c r="R31" i="18"/>
  <c r="R249" i="18"/>
  <c r="R306" i="18"/>
  <c r="R230" i="18"/>
  <c r="R114" i="18"/>
  <c r="R112" i="18"/>
  <c r="R382" i="18"/>
  <c r="R151" i="18"/>
  <c r="R122" i="18"/>
  <c r="R347" i="18"/>
  <c r="R303" i="18"/>
  <c r="R309" i="18"/>
  <c r="R2" i="18"/>
  <c r="R20" i="18"/>
  <c r="R410" i="18"/>
  <c r="R726" i="18"/>
  <c r="R16" i="18"/>
  <c r="R43" i="18"/>
  <c r="R318" i="18"/>
  <c r="R270" i="18"/>
  <c r="R227" i="18"/>
  <c r="R816" i="18"/>
  <c r="R200" i="18"/>
  <c r="R277" i="18"/>
  <c r="R181" i="18"/>
  <c r="R144" i="18"/>
  <c r="R340" i="18"/>
  <c r="R812" i="18"/>
  <c r="R310" i="18"/>
  <c r="R722" i="18"/>
  <c r="R62" i="18"/>
  <c r="R738" i="18"/>
  <c r="R250" i="18"/>
  <c r="R322" i="18"/>
  <c r="R212" i="18"/>
  <c r="R352" i="18"/>
  <c r="R81" i="18"/>
  <c r="R165" i="18"/>
  <c r="R58" i="18"/>
  <c r="R70" i="18"/>
  <c r="R49" i="18"/>
  <c r="R313" i="18"/>
  <c r="R724" i="18"/>
  <c r="R17" i="18"/>
  <c r="R179" i="18"/>
  <c r="R301" i="18"/>
  <c r="R295" i="18"/>
  <c r="R129" i="18"/>
  <c r="R25" i="18"/>
  <c r="R358" i="18"/>
  <c r="R85" i="18"/>
  <c r="R145" i="18"/>
  <c r="R76" i="18"/>
  <c r="R803" i="18"/>
  <c r="R246" i="18"/>
  <c r="R741" i="18"/>
  <c r="R766" i="18"/>
  <c r="R82" i="18"/>
  <c r="R173" i="18"/>
  <c r="R126" i="18"/>
  <c r="R128" i="18"/>
  <c r="R66" i="18"/>
  <c r="R42" i="18"/>
  <c r="R723" i="18"/>
  <c r="R44" i="18"/>
  <c r="R262" i="18"/>
  <c r="R331" i="18"/>
  <c r="R50" i="18"/>
  <c r="R338" i="18"/>
  <c r="R755" i="18"/>
  <c r="R323" i="18"/>
  <c r="R730" i="18"/>
  <c r="R104" i="18"/>
  <c r="R801" i="18"/>
  <c r="R99" i="18"/>
  <c r="R26" i="18"/>
  <c r="R810" i="18"/>
  <c r="R123" i="18"/>
  <c r="R751" i="18"/>
  <c r="R245" i="18"/>
  <c r="R543" i="18"/>
  <c r="R98" i="18"/>
  <c r="R6" i="18"/>
  <c r="R55" i="18"/>
  <c r="R362" i="18"/>
  <c r="R729" i="18"/>
  <c r="R83" i="18"/>
  <c r="R110" i="18"/>
  <c r="R252" i="18"/>
  <c r="R291" i="18"/>
  <c r="R284" i="18"/>
  <c r="R332" i="18"/>
  <c r="R721" i="18"/>
  <c r="R263" i="18"/>
  <c r="R182" i="18"/>
  <c r="R369" i="18"/>
  <c r="R290" i="18"/>
  <c r="R228" i="18"/>
  <c r="R780" i="18"/>
  <c r="R333" i="18"/>
  <c r="R174" i="18"/>
  <c r="R116" i="18"/>
  <c r="R282" i="18"/>
  <c r="R224" i="18"/>
  <c r="R324" i="18"/>
  <c r="R57" i="18"/>
  <c r="R86" i="18"/>
  <c r="R137" i="18"/>
  <c r="R75" i="18"/>
  <c r="R14" i="18"/>
  <c r="R202" i="18"/>
  <c r="R34" i="18"/>
  <c r="R373" i="18"/>
  <c r="R274" i="18"/>
  <c r="R756" i="18"/>
  <c r="R209" i="18"/>
  <c r="R366" i="18"/>
  <c r="R219" i="18"/>
  <c r="R103" i="18"/>
  <c r="R177" i="18"/>
  <c r="R361" i="18"/>
  <c r="R269" i="18"/>
  <c r="R393" i="18"/>
  <c r="R409" i="18"/>
  <c r="R118" i="18"/>
  <c r="R819" i="18"/>
  <c r="R56" i="18"/>
  <c r="R124" i="18"/>
  <c r="R538" i="18"/>
  <c r="R774" i="18"/>
  <c r="R744" i="18"/>
  <c r="R32" i="18"/>
  <c r="R178" i="18"/>
  <c r="R799" i="18"/>
  <c r="R193" i="18"/>
  <c r="R319" i="18"/>
  <c r="R350" i="18"/>
  <c r="R351" i="18"/>
  <c r="R108" i="18"/>
  <c r="R326" i="18"/>
  <c r="R805" i="18"/>
  <c r="R368" i="18"/>
  <c r="R198" i="18"/>
  <c r="R808" i="18"/>
  <c r="R203" i="18"/>
  <c r="R342" i="18"/>
  <c r="R237" i="18"/>
  <c r="R139" i="18"/>
  <c r="R804" i="18"/>
  <c r="R140" i="18"/>
  <c r="R53" i="18"/>
  <c r="R283" i="18"/>
  <c r="R346" i="18"/>
  <c r="R197" i="18"/>
  <c r="R384" i="18"/>
  <c r="R777" i="18"/>
  <c r="R154" i="18"/>
  <c r="R294" i="18"/>
  <c r="R388" i="18"/>
  <c r="R80" i="18"/>
  <c r="R320" i="18"/>
  <c r="R747" i="18"/>
  <c r="R150" i="18"/>
  <c r="R272" i="18"/>
  <c r="R394" i="18"/>
  <c r="R147" i="18"/>
  <c r="R734" i="18"/>
  <c r="R242" i="18"/>
  <c r="R13" i="18"/>
  <c r="R51" i="18"/>
  <c r="R63" i="18"/>
  <c r="R293" i="18"/>
  <c r="R273" i="18"/>
  <c r="R395" i="18"/>
  <c r="R387" i="18"/>
  <c r="R776" i="18"/>
  <c r="R201" i="18"/>
  <c r="R233" i="18"/>
  <c r="R167" i="18"/>
  <c r="R91" i="18"/>
  <c r="R163" i="18"/>
  <c r="R47" i="18"/>
  <c r="R229" i="18"/>
  <c r="R341" i="18"/>
  <c r="R344" i="18"/>
  <c r="R24" i="18"/>
  <c r="R30" i="18"/>
  <c r="R772" i="18"/>
  <c r="R71" i="18"/>
  <c r="R392" i="18"/>
  <c r="R356" i="18"/>
  <c r="R64" i="18"/>
  <c r="R278" i="18"/>
  <c r="R8" i="18"/>
  <c r="R300" i="18"/>
  <c r="R752" i="18"/>
  <c r="R771" i="18"/>
  <c r="R127" i="18"/>
  <c r="R381" i="18"/>
  <c r="R117" i="18"/>
  <c r="R732" i="18"/>
  <c r="R781" i="18"/>
  <c r="R186" i="18"/>
  <c r="R18" i="18"/>
  <c r="R281" i="18"/>
  <c r="R268" i="18"/>
  <c r="R52" i="18"/>
  <c r="R790" i="18"/>
  <c r="R59" i="18"/>
  <c r="R138" i="18"/>
  <c r="R180" i="18"/>
  <c r="R376" i="18"/>
  <c r="R311" i="18"/>
  <c r="R783" i="18"/>
  <c r="R36" i="18"/>
  <c r="R185" i="18"/>
  <c r="R135" i="18"/>
  <c r="R354" i="18"/>
  <c r="R794" i="18"/>
  <c r="R188" i="18"/>
  <c r="R169" i="18"/>
  <c r="R191" i="18"/>
  <c r="R65" i="18"/>
  <c r="R7" i="18"/>
  <c r="R795" i="18"/>
  <c r="R216" i="18"/>
  <c r="R206" i="18"/>
  <c r="R45" i="18"/>
  <c r="R820" i="18"/>
  <c r="R106" i="18"/>
  <c r="R119" i="18"/>
  <c r="R256" i="18"/>
  <c r="R357" i="18"/>
  <c r="R791" i="18"/>
  <c r="R727" i="18"/>
  <c r="R115" i="18"/>
  <c r="R102" i="18"/>
  <c r="R757" i="18"/>
  <c r="R345" i="18"/>
  <c r="R305" i="18"/>
  <c r="R749" i="18"/>
  <c r="R231" i="18"/>
  <c r="R208" i="18"/>
  <c r="R768" i="18"/>
  <c r="R792" i="18"/>
  <c r="R146" i="18"/>
  <c r="R374" i="18"/>
  <c r="R818" i="18"/>
  <c r="R93" i="18"/>
  <c r="R782" i="18"/>
  <c r="R225" i="18"/>
  <c r="R742" i="18"/>
  <c r="R74" i="18"/>
  <c r="R160" i="18"/>
  <c r="R386" i="18"/>
  <c r="R335" i="18"/>
  <c r="R299" i="18"/>
  <c r="R89" i="18"/>
  <c r="R750" i="18"/>
  <c r="R800" i="18"/>
  <c r="R141" i="18"/>
  <c r="R166" i="18"/>
  <c r="R159" i="18"/>
  <c r="R770" i="18"/>
  <c r="R745" i="18"/>
  <c r="R22" i="18"/>
  <c r="R100" i="18"/>
  <c r="R214" i="18"/>
  <c r="R258" i="18"/>
  <c r="R359" i="18"/>
  <c r="R149" i="18"/>
  <c r="R96" i="18"/>
  <c r="R540" i="18"/>
  <c r="R10" i="18"/>
  <c r="R378" i="18"/>
  <c r="R298" i="18"/>
  <c r="R288" i="18"/>
  <c r="R183" i="18"/>
  <c r="R111" i="18"/>
  <c r="R817" i="18"/>
  <c r="R541" i="18"/>
  <c r="R78" i="18"/>
  <c r="R259" i="18"/>
  <c r="R28" i="18"/>
  <c r="R215" i="18"/>
  <c r="R204" i="18"/>
  <c r="R221" i="18"/>
  <c r="R275" i="18"/>
  <c r="R187" i="18"/>
  <c r="R367" i="18"/>
  <c r="R266" i="18"/>
  <c r="R69" i="18"/>
  <c r="R334" i="18"/>
  <c r="R809" i="18"/>
  <c r="R758" i="18"/>
  <c r="R787" i="18"/>
  <c r="R807" i="18"/>
  <c r="R226" i="18"/>
  <c r="R371" i="18"/>
  <c r="R113" i="18"/>
  <c r="R38" i="18"/>
  <c r="R217" i="18"/>
  <c r="R120" i="18"/>
  <c r="R775" i="18"/>
  <c r="R131" i="18"/>
  <c r="R343" i="18"/>
  <c r="R736" i="18"/>
  <c r="R88" i="18"/>
  <c r="R276" i="18"/>
  <c r="R21" i="18"/>
  <c r="R205" i="18"/>
  <c r="R239" i="18"/>
  <c r="R41" i="18"/>
  <c r="R379" i="18"/>
  <c r="R189" i="18"/>
  <c r="R542" i="18"/>
  <c r="R136" i="18"/>
  <c r="R728" i="18"/>
  <c r="R73" i="18"/>
  <c r="R194" i="18"/>
  <c r="R798" i="18"/>
  <c r="R353" i="18"/>
  <c r="R251" i="18"/>
  <c r="R786" i="18"/>
  <c r="R210" i="18"/>
  <c r="R213" i="18"/>
  <c r="R101" i="18"/>
  <c r="R170" i="18"/>
  <c r="R107" i="18"/>
  <c r="R4" i="18"/>
  <c r="R390" i="18"/>
  <c r="R380" i="18"/>
  <c r="R125" i="18"/>
  <c r="R779" i="18"/>
  <c r="R247" i="18"/>
  <c r="R192" i="18"/>
  <c r="R765" i="18"/>
  <c r="R267" i="18"/>
  <c r="R302" i="18"/>
  <c r="R763" i="18"/>
  <c r="R175" i="18"/>
  <c r="R255" i="18"/>
  <c r="R539" i="18"/>
  <c r="R264" i="18"/>
  <c r="R95" i="18"/>
  <c r="R195" i="18"/>
  <c r="R785" i="18"/>
  <c r="R133" i="18"/>
  <c r="R234" i="18"/>
  <c r="R61" i="18"/>
  <c r="R152" i="18"/>
  <c r="R760" i="18"/>
  <c r="R176" i="18"/>
  <c r="R748" i="18"/>
  <c r="R60" i="18"/>
  <c r="R130" i="18"/>
  <c r="R337" i="18"/>
  <c r="R3" i="18"/>
  <c r="R292" i="18"/>
  <c r="R743" i="18"/>
  <c r="R5" i="18"/>
  <c r="R383" i="18"/>
  <c r="R330" i="18"/>
  <c r="R289" i="18"/>
  <c r="R316" i="18"/>
  <c r="R218" i="18"/>
  <c r="R764" i="18"/>
  <c r="R802" i="18"/>
  <c r="R244" i="18"/>
  <c r="R740" i="18"/>
  <c r="R54" i="18"/>
  <c r="R196" i="18"/>
  <c r="R238" i="18"/>
  <c r="R754" i="18"/>
  <c r="R363" i="18"/>
  <c r="R184" i="18"/>
  <c r="R97" i="18"/>
  <c r="R211" i="18"/>
  <c r="R304" i="18"/>
  <c r="R348" i="18"/>
  <c r="R232" i="18"/>
  <c r="R142" i="18"/>
  <c r="R11" i="18"/>
  <c r="R265" i="18"/>
  <c r="R759" i="18"/>
  <c r="R375" i="18"/>
  <c r="R134" i="18"/>
  <c r="R155" i="18"/>
  <c r="R105" i="18"/>
  <c r="R349" i="18"/>
  <c r="R731" i="18"/>
  <c r="R168" i="18"/>
  <c r="R84" i="18"/>
  <c r="R761" i="18"/>
  <c r="R157" i="18"/>
  <c r="R260" i="18"/>
  <c r="R220" i="18"/>
  <c r="R19" i="18"/>
  <c r="R364" i="18"/>
  <c r="R737" i="18"/>
  <c r="R240" i="18"/>
  <c r="R739" i="18"/>
  <c r="R153" i="18"/>
  <c r="R248" i="18"/>
  <c r="R12" i="18"/>
  <c r="R158" i="18"/>
  <c r="R40" i="18"/>
  <c r="R171" i="18"/>
  <c r="R733" i="18"/>
  <c r="R162" i="18"/>
  <c r="R29" i="18"/>
  <c r="R68" i="18"/>
  <c r="R769" i="18"/>
  <c r="R814" i="18"/>
  <c r="R329" i="18"/>
  <c r="R271" i="18"/>
  <c r="R148" i="18"/>
  <c r="R46" i="18"/>
  <c r="R199" i="18"/>
  <c r="R235" i="18"/>
  <c r="R327" i="18"/>
  <c r="R314" i="18"/>
  <c r="R253" i="18"/>
  <c r="R377" i="18"/>
  <c r="R789" i="18"/>
  <c r="R109" i="18"/>
  <c r="R77" i="18"/>
  <c r="R355" i="18"/>
  <c r="R92" i="18"/>
  <c r="R243" i="18"/>
  <c r="R797" i="18"/>
  <c r="R257" i="18"/>
  <c r="R773" i="18"/>
  <c r="R391" i="18"/>
  <c r="R67" i="18"/>
  <c r="R328" i="18"/>
  <c r="R372" i="18"/>
  <c r="R9" i="18"/>
  <c r="R813" i="18"/>
  <c r="R241" i="18"/>
  <c r="R23" i="18"/>
  <c r="R223" i="18"/>
  <c r="R788" i="18"/>
  <c r="R280" i="18"/>
  <c r="R207" i="18"/>
  <c r="R156" i="18"/>
  <c r="R35" i="18"/>
  <c r="R811" i="18"/>
  <c r="R261" i="18"/>
  <c r="R172" i="18"/>
  <c r="R15" i="18"/>
  <c r="R287" i="18"/>
  <c r="R94" i="18"/>
  <c r="R385" i="18"/>
  <c r="R27" i="18"/>
  <c r="R735" i="18"/>
  <c r="R325" i="18"/>
  <c r="R312" i="18"/>
  <c r="R762" i="18"/>
  <c r="R33" i="18"/>
  <c r="R37" i="18"/>
  <c r="R339" i="18"/>
  <c r="R806" i="18"/>
  <c r="R90" i="18"/>
  <c r="R48" i="18"/>
  <c r="R360" i="18"/>
  <c r="R39" i="18"/>
  <c r="R132" i="18"/>
  <c r="R753" i="18"/>
  <c r="R365" i="18"/>
  <c r="R746" i="18"/>
  <c r="R143" i="18"/>
  <c r="R279" i="18"/>
  <c r="R778" i="18"/>
  <c r="R317" i="18"/>
  <c r="R190" i="18"/>
  <c r="R286" i="18"/>
  <c r="R389" i="18"/>
  <c r="R285" i="18"/>
  <c r="R121" i="18"/>
  <c r="R161" i="18"/>
  <c r="R72" i="18"/>
  <c r="R815" i="18"/>
  <c r="R79" i="18"/>
  <c r="R784" i="18"/>
  <c r="R222" i="18"/>
  <c r="R336" i="18"/>
  <c r="R307" i="18"/>
  <c r="R321" i="18"/>
  <c r="R767" i="18"/>
  <c r="R315" i="18"/>
  <c r="R254" i="18"/>
  <c r="H154" i="16"/>
  <c r="H141" i="16"/>
  <c r="H163" i="16"/>
  <c r="H113" i="16"/>
  <c r="H120" i="16"/>
  <c r="H133" i="16"/>
  <c r="H143" i="16"/>
  <c r="H135" i="16"/>
  <c r="H149" i="16"/>
  <c r="H134" i="16"/>
  <c r="H159" i="16"/>
  <c r="H151" i="16"/>
  <c r="H157" i="16"/>
  <c r="H136" i="16"/>
  <c r="H161" i="16"/>
  <c r="H164" i="16"/>
  <c r="H126" i="16"/>
  <c r="H123" i="16"/>
  <c r="H153" i="16"/>
  <c r="H144" i="16"/>
  <c r="H142" i="16"/>
  <c r="H156" i="16"/>
  <c r="H158" i="16"/>
  <c r="H128" i="16"/>
  <c r="H117" i="16"/>
  <c r="H132" i="16"/>
  <c r="H125" i="16"/>
  <c r="H139" i="16"/>
  <c r="H131" i="16"/>
  <c r="H137" i="16"/>
  <c r="H148" i="16"/>
  <c r="H146" i="16"/>
  <c r="H145" i="16"/>
  <c r="H162" i="16"/>
  <c r="H130" i="16"/>
  <c r="H118" i="16"/>
  <c r="H127" i="16"/>
  <c r="H116" i="16"/>
  <c r="H160" i="16"/>
  <c r="H119" i="16"/>
  <c r="H124" i="16"/>
  <c r="H138" i="16"/>
  <c r="H114" i="16"/>
  <c r="H129" i="16"/>
  <c r="H150" i="16"/>
  <c r="H152" i="16"/>
  <c r="H147" i="16"/>
  <c r="H115" i="16"/>
  <c r="H140" i="16"/>
  <c r="H122" i="16"/>
  <c r="H155" i="16"/>
  <c r="H121" i="16"/>
  <c r="D113" i="16"/>
  <c r="D133" i="16"/>
  <c r="D161" i="16"/>
  <c r="D121" i="16"/>
  <c r="D159" i="16"/>
  <c r="D148" i="16"/>
  <c r="D138" i="16"/>
  <c r="D146" i="16"/>
  <c r="D151" i="16"/>
  <c r="D132" i="16"/>
  <c r="D118" i="16"/>
  <c r="D128" i="16"/>
  <c r="D143" i="16"/>
  <c r="D162" i="16"/>
  <c r="D152" i="16"/>
  <c r="D144" i="16"/>
  <c r="D142" i="16"/>
  <c r="D117" i="16"/>
  <c r="D139" i="16"/>
  <c r="D153" i="16"/>
  <c r="D155" i="16"/>
  <c r="D135" i="16"/>
  <c r="D158" i="16"/>
  <c r="D123" i="16"/>
  <c r="D141" i="16"/>
  <c r="D124" i="16"/>
  <c r="D114" i="16"/>
  <c r="D120" i="16"/>
  <c r="D125" i="16"/>
  <c r="D131" i="16"/>
  <c r="D119" i="16"/>
  <c r="D140" i="16"/>
  <c r="D145" i="16"/>
  <c r="D149" i="16"/>
  <c r="D122" i="16"/>
  <c r="D150" i="16"/>
  <c r="D156" i="16"/>
  <c r="D136" i="16"/>
  <c r="D137" i="16"/>
  <c r="D157" i="16"/>
  <c r="D115" i="16"/>
  <c r="D160" i="16"/>
  <c r="D130" i="16"/>
  <c r="D154" i="16"/>
  <c r="D129" i="16"/>
  <c r="D147" i="16"/>
  <c r="D164" i="16"/>
  <c r="D163" i="16"/>
  <c r="D116" i="16"/>
  <c r="D127" i="16"/>
  <c r="D126" i="16"/>
  <c r="D134" i="16"/>
  <c r="E162" i="16"/>
  <c r="E156" i="16"/>
  <c r="E121" i="16"/>
  <c r="E136" i="16"/>
  <c r="E131" i="16"/>
  <c r="E124" i="16"/>
  <c r="E159" i="16"/>
  <c r="E135" i="16"/>
  <c r="E144" i="16"/>
  <c r="E128" i="16"/>
  <c r="E117" i="16"/>
  <c r="E164" i="16"/>
  <c r="E115" i="16"/>
  <c r="E126" i="16"/>
  <c r="E113" i="16"/>
  <c r="E161" i="16"/>
  <c r="E157" i="16"/>
  <c r="E119" i="16"/>
  <c r="E137" i="16"/>
  <c r="E120" i="16"/>
  <c r="E158" i="16"/>
  <c r="E140" i="16"/>
  <c r="E151" i="16"/>
  <c r="E154" i="16"/>
  <c r="E152" i="16"/>
  <c r="E123" i="16"/>
  <c r="E118" i="16"/>
  <c r="E163" i="16"/>
  <c r="E149" i="16"/>
  <c r="E129" i="16"/>
  <c r="E133" i="16"/>
  <c r="E130" i="16"/>
  <c r="E139" i="16"/>
  <c r="E150" i="16"/>
  <c r="E116" i="16"/>
  <c r="E146" i="16"/>
  <c r="E148" i="16"/>
  <c r="E153" i="16"/>
  <c r="E141" i="16"/>
  <c r="E125" i="16"/>
  <c r="E142" i="16"/>
  <c r="E134" i="16"/>
  <c r="E127" i="16"/>
  <c r="E114" i="16"/>
  <c r="E145" i="16"/>
  <c r="E138" i="16"/>
  <c r="E160" i="16"/>
  <c r="E143" i="16"/>
  <c r="E132" i="16"/>
  <c r="E155" i="16"/>
  <c r="E147" i="16"/>
  <c r="E122" i="16"/>
  <c r="F153" i="16"/>
  <c r="F131" i="16"/>
  <c r="F148" i="16"/>
  <c r="F132" i="16"/>
  <c r="F116" i="16"/>
  <c r="F121" i="16"/>
  <c r="F120" i="16"/>
  <c r="F115" i="16"/>
  <c r="F155" i="16"/>
  <c r="F157" i="16"/>
  <c r="F136" i="16"/>
  <c r="F133" i="16"/>
  <c r="F140" i="16"/>
  <c r="F142" i="16"/>
  <c r="F128" i="16"/>
  <c r="F147" i="16"/>
  <c r="F159" i="16"/>
  <c r="F124" i="16"/>
  <c r="F137" i="16"/>
  <c r="F158" i="16"/>
  <c r="F119" i="16"/>
  <c r="F162" i="16"/>
  <c r="F118" i="16"/>
  <c r="F134" i="16"/>
  <c r="F127" i="16"/>
  <c r="F126" i="16"/>
  <c r="F117" i="16"/>
  <c r="F113" i="16"/>
  <c r="F163" i="16"/>
  <c r="F146" i="16"/>
  <c r="F144" i="16"/>
  <c r="F130" i="16"/>
  <c r="F164" i="16"/>
  <c r="F161" i="16"/>
  <c r="F138" i="16"/>
  <c r="F139" i="16"/>
  <c r="F129" i="16"/>
  <c r="F150" i="16"/>
  <c r="F145" i="16"/>
  <c r="F152" i="16"/>
  <c r="F125" i="16"/>
  <c r="F122" i="16"/>
  <c r="F135" i="16"/>
  <c r="F154" i="16"/>
  <c r="F141" i="16"/>
  <c r="F114" i="16"/>
  <c r="F123" i="16"/>
  <c r="F143" i="16"/>
  <c r="F160" i="16"/>
  <c r="F156" i="16"/>
  <c r="F149" i="16"/>
  <c r="F151" i="16"/>
  <c r="G119" i="16"/>
  <c r="G126" i="16"/>
  <c r="G116" i="16"/>
  <c r="G118" i="16"/>
  <c r="G149" i="16"/>
  <c r="G161" i="16"/>
  <c r="G153" i="16"/>
  <c r="G140" i="16"/>
  <c r="G125" i="16"/>
  <c r="G137" i="16"/>
  <c r="G122" i="16"/>
  <c r="G145" i="16"/>
  <c r="G139" i="16"/>
  <c r="G160" i="16"/>
  <c r="G164" i="16"/>
  <c r="G121" i="16"/>
  <c r="G159" i="16"/>
  <c r="G163" i="16"/>
  <c r="G158" i="16"/>
  <c r="G113" i="16"/>
  <c r="G133" i="16"/>
  <c r="G130" i="16"/>
  <c r="G156" i="16"/>
  <c r="G152" i="16"/>
  <c r="G128" i="16"/>
  <c r="G120" i="16"/>
  <c r="G134" i="16"/>
  <c r="G135" i="16"/>
  <c r="G117" i="16"/>
  <c r="G123" i="16"/>
  <c r="G131" i="16"/>
  <c r="G124" i="16"/>
  <c r="G143" i="16"/>
  <c r="G138" i="16"/>
  <c r="G146" i="16"/>
  <c r="G141" i="16"/>
  <c r="G162" i="16"/>
  <c r="G127" i="16"/>
  <c r="G150" i="16"/>
  <c r="G144" i="16"/>
  <c r="G154" i="16"/>
  <c r="G129" i="16"/>
  <c r="G114" i="16"/>
  <c r="G142" i="16"/>
  <c r="G147" i="16"/>
  <c r="G151" i="16"/>
  <c r="G115" i="16"/>
  <c r="G136" i="16"/>
  <c r="G132" i="16"/>
  <c r="G155" i="16"/>
  <c r="G148" i="16"/>
  <c r="G157" i="16"/>
  <c r="I365" i="2"/>
  <c r="N365" i="2"/>
  <c r="H48" i="16"/>
  <c r="H52" i="16"/>
  <c r="H45" i="16"/>
  <c r="H51" i="16"/>
  <c r="H47" i="16"/>
  <c r="H46" i="16"/>
  <c r="H49" i="16"/>
  <c r="H53" i="16"/>
  <c r="H43" i="16"/>
  <c r="H54" i="16"/>
  <c r="H44" i="16"/>
  <c r="H50" i="16"/>
  <c r="H42" i="16"/>
  <c r="D49" i="16"/>
  <c r="D45" i="16"/>
  <c r="D51" i="16"/>
  <c r="D54" i="16"/>
  <c r="D41" i="16"/>
  <c r="D52" i="16"/>
  <c r="D53" i="16"/>
  <c r="D48" i="16"/>
  <c r="D50" i="16"/>
  <c r="D44" i="16"/>
  <c r="D42" i="16"/>
  <c r="D47" i="16"/>
  <c r="D43" i="16"/>
  <c r="D46" i="16"/>
  <c r="F53" i="16"/>
  <c r="F52" i="16"/>
  <c r="F54" i="16"/>
  <c r="F48" i="16"/>
  <c r="F45" i="16"/>
  <c r="F49" i="16"/>
  <c r="F50" i="16"/>
  <c r="F42" i="16"/>
  <c r="F44" i="16"/>
  <c r="F46" i="16"/>
  <c r="F47" i="16"/>
  <c r="F51" i="16"/>
  <c r="F43" i="16"/>
  <c r="G54" i="16"/>
  <c r="G44" i="16"/>
  <c r="G46" i="16"/>
  <c r="G53" i="16"/>
  <c r="G42" i="16"/>
  <c r="G47" i="16"/>
  <c r="G48" i="16"/>
  <c r="G50" i="16"/>
  <c r="G52" i="16"/>
  <c r="G43" i="16"/>
  <c r="G45" i="16"/>
  <c r="G49" i="16"/>
  <c r="G51" i="16"/>
  <c r="E46" i="16"/>
  <c r="E44" i="16"/>
  <c r="E47" i="16"/>
  <c r="E53" i="16"/>
  <c r="E49" i="16"/>
  <c r="E51" i="16"/>
  <c r="E52" i="16"/>
  <c r="E42" i="16"/>
  <c r="E48" i="16"/>
  <c r="E43" i="16"/>
  <c r="E54" i="16"/>
  <c r="E45" i="16"/>
  <c r="E50" i="16"/>
  <c r="I368" i="15"/>
  <c r="N368" i="15"/>
  <c r="M8" i="18"/>
  <c r="M775" i="18"/>
  <c r="M429" i="18"/>
  <c r="M253" i="18"/>
  <c r="M225" i="18"/>
  <c r="M322" i="18"/>
  <c r="M523" i="18"/>
  <c r="M801" i="18"/>
  <c r="M666" i="18"/>
  <c r="M69" i="18"/>
  <c r="M204" i="18"/>
  <c r="M166" i="18"/>
  <c r="M743" i="18"/>
  <c r="M228" i="18"/>
  <c r="M524" i="18"/>
  <c r="M764" i="18"/>
  <c r="M667" i="18"/>
  <c r="M795" i="18"/>
  <c r="M798" i="18"/>
  <c r="M315" i="18"/>
  <c r="M220" i="18"/>
  <c r="M717" i="18"/>
  <c r="M121" i="18"/>
  <c r="M630" i="18"/>
  <c r="M205" i="18"/>
  <c r="M565" i="18"/>
  <c r="M476" i="18"/>
  <c r="M53" i="18"/>
  <c r="M597" i="18"/>
  <c r="M72" i="18"/>
  <c r="M469" i="18"/>
  <c r="M555" i="18"/>
  <c r="M685" i="18"/>
  <c r="M387" i="18"/>
  <c r="M774" i="18"/>
  <c r="M23" i="18"/>
  <c r="M650" i="18"/>
  <c r="M421" i="18"/>
  <c r="M174" i="18"/>
  <c r="M553" i="18"/>
  <c r="M407" i="18"/>
  <c r="M286" i="18"/>
  <c r="M259" i="18"/>
  <c r="M127" i="18"/>
  <c r="M274" i="18"/>
  <c r="M197" i="18"/>
  <c r="M177" i="18"/>
  <c r="M380" i="18"/>
  <c r="M763" i="18"/>
  <c r="M375" i="18"/>
  <c r="M761" i="18"/>
  <c r="M520" i="18"/>
  <c r="M531" i="18"/>
  <c r="M548" i="18"/>
  <c r="M711" i="18"/>
  <c r="M311" i="18"/>
  <c r="M203" i="18"/>
  <c r="M149" i="18"/>
  <c r="M470" i="18"/>
  <c r="M369" i="18"/>
  <c r="M738" i="18"/>
  <c r="M511" i="18"/>
  <c r="M98" i="18"/>
  <c r="M475" i="18"/>
  <c r="M290" i="18"/>
  <c r="M606" i="18"/>
  <c r="M629" i="18"/>
  <c r="M431" i="18"/>
  <c r="M518" i="18"/>
  <c r="M242" i="18"/>
  <c r="M516" i="18"/>
  <c r="M669" i="18"/>
  <c r="M265" i="18"/>
  <c r="M647" i="18"/>
  <c r="M124" i="18"/>
  <c r="M194" i="18"/>
  <c r="M3" i="18"/>
  <c r="M266" i="18"/>
  <c r="M210" i="18"/>
  <c r="M90" i="18"/>
  <c r="M40" i="18"/>
  <c r="M601" i="18"/>
  <c r="M243" i="18"/>
  <c r="M636" i="18"/>
  <c r="M681" i="18"/>
  <c r="M374" i="18"/>
  <c r="M573" i="18"/>
  <c r="M449" i="18"/>
  <c r="M190" i="18"/>
  <c r="M236" i="18"/>
  <c r="M211" i="18"/>
  <c r="M65" i="18"/>
  <c r="M354" i="18"/>
  <c r="M55" i="18"/>
  <c r="M796" i="18"/>
  <c r="M155" i="18"/>
  <c r="M200" i="18"/>
  <c r="M613" i="18"/>
  <c r="M388" i="18"/>
  <c r="M138" i="18"/>
  <c r="M356" i="18"/>
  <c r="M413" i="18"/>
  <c r="M755" i="18"/>
  <c r="M704" i="18"/>
  <c r="M366" i="18"/>
  <c r="M745" i="18"/>
  <c r="M248" i="18"/>
  <c r="M357" i="18"/>
  <c r="M418" i="18"/>
  <c r="M698" i="18"/>
  <c r="M608" i="18"/>
  <c r="M592" i="18"/>
  <c r="M659" i="18"/>
  <c r="M570" i="18"/>
  <c r="M7" i="18"/>
  <c r="M281" i="18"/>
  <c r="M528" i="18"/>
  <c r="M718" i="18"/>
  <c r="M337" i="18"/>
  <c r="M720" i="18"/>
  <c r="M772" i="18"/>
  <c r="M464" i="18"/>
  <c r="M19" i="18"/>
  <c r="M747" i="18"/>
  <c r="M284" i="18"/>
  <c r="M662" i="18"/>
  <c r="M108" i="18"/>
  <c r="M500" i="18"/>
  <c r="M394" i="18"/>
  <c r="M527" i="18"/>
  <c r="M759" i="18"/>
  <c r="M312" i="18"/>
  <c r="M794" i="18"/>
  <c r="M355" i="18"/>
  <c r="M213" i="18"/>
  <c r="M304" i="18"/>
  <c r="M492" i="18"/>
  <c r="M575" i="18"/>
  <c r="M352" i="18"/>
  <c r="M521" i="18"/>
  <c r="M316" i="18"/>
  <c r="M99" i="18"/>
  <c r="M323" i="18"/>
  <c r="M67" i="18"/>
  <c r="M289" i="18"/>
  <c r="M158" i="18"/>
  <c r="M219" i="18"/>
  <c r="M778" i="18"/>
  <c r="M788" i="18"/>
  <c r="M168" i="18"/>
  <c r="M442" i="18"/>
  <c r="M813" i="18"/>
  <c r="M27" i="18"/>
  <c r="M198" i="18"/>
  <c r="M408" i="18"/>
  <c r="M721" i="18"/>
  <c r="M92" i="18"/>
  <c r="M132" i="18"/>
  <c r="M9" i="18"/>
  <c r="M328" i="18"/>
  <c r="M129" i="18"/>
  <c r="M439" i="18"/>
  <c r="M526" i="18"/>
  <c r="M688" i="18"/>
  <c r="M143" i="18"/>
  <c r="M534" i="18"/>
  <c r="M766" i="18"/>
  <c r="M358" i="18"/>
  <c r="M95" i="18"/>
  <c r="M238" i="18"/>
  <c r="M45" i="18"/>
  <c r="M728" i="18"/>
  <c r="M744" i="18"/>
  <c r="M708" i="18"/>
  <c r="M605" i="18"/>
  <c r="M434" i="18"/>
  <c r="M232" i="18"/>
  <c r="M752" i="18"/>
  <c r="M292" i="18"/>
  <c r="M405" i="18"/>
  <c r="M596" i="18"/>
  <c r="M246" i="18"/>
  <c r="M643" i="18"/>
  <c r="M256" i="18"/>
  <c r="M395" i="18"/>
  <c r="M46" i="18"/>
  <c r="M330" i="18"/>
  <c r="M656" i="18"/>
  <c r="M102" i="18"/>
  <c r="M378" i="18"/>
  <c r="M351" i="18"/>
  <c r="M6" i="18"/>
  <c r="M732" i="18"/>
  <c r="M287" i="18"/>
  <c r="M591" i="18"/>
  <c r="M142" i="18"/>
  <c r="M707" i="18"/>
  <c r="M299" i="18"/>
  <c r="M716" i="18"/>
  <c r="M52" i="18"/>
  <c r="M295" i="18"/>
  <c r="M446" i="18"/>
  <c r="M722" i="18"/>
  <c r="M126" i="18"/>
  <c r="M182" i="18"/>
  <c r="M488" i="18"/>
  <c r="M326" i="18"/>
  <c r="M251" i="18"/>
  <c r="M297" i="18"/>
  <c r="M84" i="18"/>
  <c r="M660" i="18"/>
  <c r="M502" i="18"/>
  <c r="M803" i="18"/>
  <c r="M451" i="18"/>
  <c r="M489" i="18"/>
  <c r="M599" i="18"/>
  <c r="M350" i="18"/>
  <c r="M425" i="18"/>
  <c r="M300" i="18"/>
  <c r="M255" i="18"/>
  <c r="M385" i="18"/>
  <c r="M422" i="18"/>
  <c r="M734" i="18"/>
  <c r="M16" i="18"/>
  <c r="M640" i="18"/>
  <c r="M372" i="18"/>
  <c r="M641" i="18"/>
  <c r="M725" i="18"/>
  <c r="M152" i="18"/>
  <c r="M461" i="18"/>
  <c r="M44" i="18"/>
  <c r="M497" i="18"/>
  <c r="M282" i="18"/>
  <c r="M566" i="18"/>
  <c r="M506" i="18"/>
  <c r="M347" i="18"/>
  <c r="M547" i="18"/>
  <c r="M80" i="18"/>
  <c r="M234" i="18"/>
  <c r="M624" i="18"/>
  <c r="M393" i="18"/>
  <c r="M24" i="18"/>
  <c r="M188" i="18"/>
  <c r="M583" i="18"/>
  <c r="M191" i="18"/>
  <c r="M454" i="18"/>
  <c r="M400" i="18"/>
  <c r="M101" i="18"/>
  <c r="M187" i="18"/>
  <c r="M537" i="18"/>
  <c r="M811" i="18"/>
  <c r="M440" i="18"/>
  <c r="M564" i="18"/>
  <c r="M208" i="18"/>
  <c r="M571" i="18"/>
  <c r="M816" i="18"/>
  <c r="M580" i="18"/>
  <c r="M727" i="18"/>
  <c r="M202" i="18"/>
  <c r="M617" i="18"/>
  <c r="M450" i="18"/>
  <c r="M227" i="18"/>
  <c r="M139" i="18"/>
  <c r="M536" i="18"/>
  <c r="M112" i="18"/>
  <c r="M632" i="18"/>
  <c r="M397" i="18"/>
  <c r="M237" i="18"/>
  <c r="M498" i="18"/>
  <c r="M736" i="18"/>
  <c r="M97" i="18"/>
  <c r="M26" i="18"/>
  <c r="M235" i="18"/>
  <c r="M381" i="18"/>
  <c r="M20" i="18"/>
  <c r="M584" i="18"/>
  <c r="M411" i="18"/>
  <c r="M567" i="18"/>
  <c r="M762" i="18"/>
  <c r="M306" i="18"/>
  <c r="M678" i="18"/>
  <c r="M453" i="18"/>
  <c r="M239" i="18"/>
  <c r="M769" i="18"/>
  <c r="M416" i="18"/>
  <c r="M118" i="18"/>
  <c r="M427" i="18"/>
  <c r="M638" i="18"/>
  <c r="M333" i="18"/>
  <c r="M82" i="18"/>
  <c r="M294" i="18"/>
  <c r="M420" i="18"/>
  <c r="M224" i="18"/>
  <c r="M29" i="18"/>
  <c r="M30" i="18"/>
  <c r="M283" i="18"/>
  <c r="M31" i="18"/>
  <c r="M515" i="18"/>
  <c r="M576" i="18"/>
  <c r="M577" i="18"/>
  <c r="M32" i="18"/>
  <c r="M478" i="18"/>
  <c r="M329" i="18"/>
  <c r="M742" i="18"/>
  <c r="M457" i="18"/>
  <c r="M136" i="18"/>
  <c r="M595" i="18"/>
  <c r="M252" i="18"/>
  <c r="M423" i="18"/>
  <c r="M93" i="18"/>
  <c r="M741" i="18"/>
  <c r="M349" i="18"/>
  <c r="M270" i="18"/>
  <c r="M104" i="18"/>
  <c r="M810" i="18"/>
  <c r="M600" i="18"/>
  <c r="M563" i="18"/>
  <c r="M642" i="18"/>
  <c r="M560" i="18"/>
  <c r="M818" i="18"/>
  <c r="M610" i="18"/>
  <c r="M466" i="18"/>
  <c r="M481" i="18"/>
  <c r="M230" i="18"/>
  <c r="M390" i="18"/>
  <c r="M758" i="18"/>
  <c r="M648" i="18"/>
  <c r="M751" i="18"/>
  <c r="M56" i="18"/>
  <c r="M114" i="18"/>
  <c r="M310" i="18"/>
  <c r="M348" i="18"/>
  <c r="M64" i="18"/>
  <c r="M25" i="18"/>
  <c r="M533" i="18"/>
  <c r="M676" i="18"/>
  <c r="M448" i="18"/>
  <c r="M122" i="18"/>
  <c r="M770" i="18"/>
  <c r="M673" i="18"/>
  <c r="M189" i="18"/>
  <c r="M430" i="18"/>
  <c r="M331" i="18"/>
  <c r="M233" i="18"/>
  <c r="M505" i="18"/>
  <c r="M510" i="18"/>
  <c r="M36" i="18"/>
  <c r="M296" i="18"/>
  <c r="M262" i="18"/>
  <c r="M226" i="18"/>
  <c r="M602" i="18"/>
  <c r="M363" i="18"/>
  <c r="M107" i="18"/>
  <c r="M245" i="18"/>
  <c r="M657" i="18"/>
  <c r="M116" i="18"/>
  <c r="M652" i="18"/>
  <c r="M28" i="18"/>
  <c r="M779" i="18"/>
  <c r="M201" i="18"/>
  <c r="M512" i="18"/>
  <c r="M70" i="18"/>
  <c r="M192" i="18"/>
  <c r="M134" i="18"/>
  <c r="M332" i="18"/>
  <c r="M473" i="18"/>
  <c r="M546" i="18"/>
  <c r="M690" i="18"/>
  <c r="M275" i="18"/>
  <c r="M693" i="18"/>
  <c r="M483" i="18"/>
  <c r="M544" i="18"/>
  <c r="M463" i="18"/>
  <c r="M587" i="18"/>
  <c r="M441" i="18"/>
  <c r="M5" i="18"/>
  <c r="M616" i="18"/>
  <c r="M773" i="18"/>
  <c r="M341" i="18"/>
  <c r="M760" i="18"/>
  <c r="M477" i="18"/>
  <c r="M594" i="18"/>
  <c r="M586" i="18"/>
  <c r="M631" i="18"/>
  <c r="M175" i="18"/>
  <c r="M435" i="18"/>
  <c r="M339" i="18"/>
  <c r="M279" i="18"/>
  <c r="M622" i="18"/>
  <c r="M314" i="18"/>
  <c r="M109" i="18"/>
  <c r="M35" i="18"/>
  <c r="M455" i="18"/>
  <c r="M674" i="18"/>
  <c r="M173" i="18"/>
  <c r="M305" i="18"/>
  <c r="M686" i="18"/>
  <c r="M217" i="18"/>
  <c r="M579" i="18"/>
  <c r="M615" i="18"/>
  <c r="M623" i="18"/>
  <c r="M655" i="18"/>
  <c r="M712" i="18"/>
  <c r="M96" i="18"/>
  <c r="M209" i="18"/>
  <c r="M140" i="18"/>
  <c r="M671" i="18"/>
  <c r="M100" i="18"/>
  <c r="M444" i="18"/>
  <c r="M133" i="18"/>
  <c r="M128" i="18"/>
  <c r="M802" i="18"/>
  <c r="M66" i="18"/>
  <c r="M438" i="18"/>
  <c r="M559" i="18"/>
  <c r="M793" i="18"/>
  <c r="M753" i="18"/>
  <c r="M57" i="18"/>
  <c r="M167" i="18"/>
  <c r="M487" i="18"/>
  <c r="M639" i="18"/>
  <c r="M733" i="18"/>
  <c r="M588" i="18"/>
  <c r="M620" i="18"/>
  <c r="M645" i="18"/>
  <c r="M672" i="18"/>
  <c r="M60" i="18"/>
  <c r="M604" i="18"/>
  <c r="M522" i="18"/>
  <c r="M317" i="18"/>
  <c r="M621" i="18"/>
  <c r="M402" i="18"/>
  <c r="M151" i="18"/>
  <c r="M150" i="18"/>
  <c r="M360" i="18"/>
  <c r="M263" i="18"/>
  <c r="M692" i="18"/>
  <c r="M38" i="18"/>
  <c r="M63" i="18"/>
  <c r="M50" i="18"/>
  <c r="M730" i="18"/>
  <c r="M94" i="18"/>
  <c r="M494" i="18"/>
  <c r="M272" i="18"/>
  <c r="M471" i="18"/>
  <c r="M335" i="18"/>
  <c r="M157" i="18"/>
  <c r="M144" i="18"/>
  <c r="M43" i="18"/>
  <c r="M273" i="18"/>
  <c r="M4" i="18"/>
  <c r="M321" i="18"/>
  <c r="M740" i="18"/>
  <c r="M250" i="18"/>
  <c r="M814" i="18"/>
  <c r="M125" i="18"/>
  <c r="M199" i="18"/>
  <c r="M452" i="18"/>
  <c r="M590" i="18"/>
  <c r="M276" i="18"/>
  <c r="M22" i="18"/>
  <c r="M628" i="18"/>
  <c r="M731" i="18"/>
  <c r="M612" i="18"/>
  <c r="M163" i="18"/>
  <c r="M85" i="18"/>
  <c r="M153" i="18"/>
  <c r="M713" i="18"/>
  <c r="M181" i="18"/>
  <c r="M465" i="18"/>
  <c r="M117" i="18"/>
  <c r="M480" i="18"/>
  <c r="M179" i="18"/>
  <c r="M264" i="18"/>
  <c r="M750" i="18"/>
  <c r="M345" i="18"/>
  <c r="M436" i="18"/>
  <c r="M2" i="18"/>
  <c r="M87" i="18"/>
  <c r="M271" i="18"/>
  <c r="M77" i="18"/>
  <c r="M258" i="18"/>
  <c r="M715" i="18"/>
  <c r="M817" i="18"/>
  <c r="M368" i="18"/>
  <c r="M334" i="18"/>
  <c r="M172" i="18"/>
  <c r="M530" i="18"/>
  <c r="M519" i="18"/>
  <c r="M746" i="18"/>
  <c r="M160" i="18"/>
  <c r="M771" i="18"/>
  <c r="M687" i="18"/>
  <c r="M581" i="18"/>
  <c r="M679" i="18"/>
  <c r="M609" i="18"/>
  <c r="M768" i="18"/>
  <c r="M781" i="18"/>
  <c r="M633" i="18"/>
  <c r="M103" i="18"/>
  <c r="M618" i="18"/>
  <c r="M39" i="18"/>
  <c r="M508" i="18"/>
  <c r="M340" i="18"/>
  <c r="M646" i="18"/>
  <c r="M561" i="18"/>
  <c r="M710" i="18"/>
  <c r="M551" i="18"/>
  <c r="M377" i="18"/>
  <c r="M739" i="18"/>
  <c r="M654" i="18"/>
  <c r="M737" i="18"/>
  <c r="M532" i="18"/>
  <c r="M240" i="18"/>
  <c r="M426" i="18"/>
  <c r="M404" i="18"/>
  <c r="M131" i="18"/>
  <c r="M569" i="18"/>
  <c r="M34" i="18"/>
  <c r="M216" i="18"/>
  <c r="M468" i="18"/>
  <c r="M696" i="18"/>
  <c r="M557" i="18"/>
  <c r="M291" i="18"/>
  <c r="M327" i="18"/>
  <c r="M619" i="18"/>
  <c r="M493" i="18"/>
  <c r="M383" i="18"/>
  <c r="M714" i="18"/>
  <c r="M120" i="18"/>
  <c r="M447" i="18"/>
  <c r="M699" i="18"/>
  <c r="M558" i="18"/>
  <c r="M549" i="18"/>
  <c r="M723" i="18"/>
  <c r="M709" i="18"/>
  <c r="M703" i="18"/>
  <c r="M74" i="18"/>
  <c r="M267" i="18"/>
  <c r="M76" i="18"/>
  <c r="M119" i="18"/>
  <c r="M269" i="18"/>
  <c r="M344" i="18"/>
  <c r="M161" i="18"/>
  <c r="M81" i="18"/>
  <c r="M809" i="18"/>
  <c r="M670" i="18"/>
  <c r="M585" i="18"/>
  <c r="M525" i="18"/>
  <c r="M162" i="18"/>
  <c r="M637" i="18"/>
  <c r="M458" i="18"/>
  <c r="M644" i="18"/>
  <c r="M391" i="18"/>
  <c r="M529" i="18"/>
  <c r="M176" i="18"/>
  <c r="M482" i="18"/>
  <c r="M787" i="18"/>
  <c r="M362" i="18"/>
  <c r="M111" i="18"/>
  <c r="M513" i="18"/>
  <c r="M83" i="18"/>
  <c r="M11" i="18"/>
  <c r="M343" i="18"/>
  <c r="M14" i="18"/>
  <c r="M89" i="18"/>
  <c r="M365" i="18"/>
  <c r="M336" i="18"/>
  <c r="M71" i="18"/>
  <c r="M195" i="18"/>
  <c r="M18" i="18"/>
  <c r="M241" i="18"/>
  <c r="M572" i="18"/>
  <c r="M147" i="18"/>
  <c r="M277" i="18"/>
  <c r="M367" i="18"/>
  <c r="M42" i="18"/>
  <c r="M437" i="18"/>
  <c r="M663" i="18"/>
  <c r="M443" i="18"/>
  <c r="M598" i="18"/>
  <c r="M757" i="18"/>
  <c r="M820" i="18"/>
  <c r="M288" i="18"/>
  <c r="M384" i="18"/>
  <c r="M58" i="18"/>
  <c r="M260" i="18"/>
  <c r="M499" i="18"/>
  <c r="M165" i="18"/>
  <c r="M504" i="18"/>
  <c r="M786" i="18"/>
  <c r="M514" i="18"/>
  <c r="M169" i="18"/>
  <c r="M545" i="18"/>
  <c r="M59" i="18"/>
  <c r="M105" i="18"/>
  <c r="M247" i="18"/>
  <c r="M695" i="18"/>
  <c r="M568" i="18"/>
  <c r="M419" i="18"/>
  <c r="M800" i="18"/>
  <c r="M780" i="18"/>
  <c r="M792" i="18"/>
  <c r="M373" i="18"/>
  <c r="M257" i="18"/>
  <c r="M501" i="18"/>
  <c r="M562" i="18"/>
  <c r="M658" i="18"/>
  <c r="M486" i="18"/>
  <c r="M729" i="18"/>
  <c r="M627" i="18"/>
  <c r="M777" i="18"/>
  <c r="M664" i="18"/>
  <c r="M677" i="18"/>
  <c r="M607" i="18"/>
  <c r="M231" i="18"/>
  <c r="M48" i="18"/>
  <c r="M554" i="18"/>
  <c r="M159" i="18"/>
  <c r="M254" i="18"/>
  <c r="M517" i="18"/>
  <c r="M754" i="18"/>
  <c r="M614" i="18"/>
  <c r="M268" i="18"/>
  <c r="M700" i="18"/>
  <c r="M507" i="18"/>
  <c r="M137" i="18"/>
  <c r="M509" i="18"/>
  <c r="M791" i="18"/>
  <c r="M229" i="18"/>
  <c r="M789" i="18"/>
  <c r="M625" i="18"/>
  <c r="M376" i="18"/>
  <c r="M371" i="18"/>
  <c r="M61" i="18"/>
  <c r="M382" i="18"/>
  <c r="M73" i="18"/>
  <c r="M207" i="18"/>
  <c r="M244" i="18"/>
  <c r="M651" i="18"/>
  <c r="M783" i="18"/>
  <c r="M49" i="18"/>
  <c r="M12" i="18"/>
  <c r="M130" i="18"/>
  <c r="M171" i="18"/>
  <c r="M748" i="18"/>
  <c r="M649" i="18"/>
  <c r="M307" i="18"/>
  <c r="M309" i="18"/>
  <c r="M313" i="18"/>
  <c r="M782" i="18"/>
  <c r="M280" i="18"/>
  <c r="M141" i="18"/>
  <c r="M338" i="18"/>
  <c r="M370" i="18"/>
  <c r="M37" i="18"/>
  <c r="M691" i="18"/>
  <c r="M359" i="18"/>
  <c r="M364" i="18"/>
  <c r="M603" i="18"/>
  <c r="M51" i="18"/>
  <c r="M186" i="18"/>
  <c r="M214" i="18"/>
  <c r="M765" i="18"/>
  <c r="M472" i="18"/>
  <c r="M582" i="18"/>
  <c r="M697" i="18"/>
  <c r="M389" i="18"/>
  <c r="M196" i="18"/>
  <c r="M459" i="18"/>
  <c r="M484" i="18"/>
  <c r="M776" i="18"/>
  <c r="M47" i="18"/>
  <c r="M185" i="18"/>
  <c r="M767" i="18"/>
  <c r="M682" i="18"/>
  <c r="M694" i="18"/>
  <c r="M221" i="18"/>
  <c r="M706" i="18"/>
  <c r="M146" i="18"/>
  <c r="M462" i="18"/>
  <c r="M401" i="18"/>
  <c r="M342" i="18"/>
  <c r="M495" i="18"/>
  <c r="M705" i="18"/>
  <c r="M653" i="18"/>
  <c r="M790" i="18"/>
  <c r="M799" i="18"/>
  <c r="M550" i="18"/>
  <c r="M432" i="18"/>
  <c r="M689" i="18"/>
  <c r="M804" i="18"/>
  <c r="M491" i="18"/>
  <c r="M293" i="18"/>
  <c r="M665" i="18"/>
  <c r="M91" i="18"/>
  <c r="M680" i="18"/>
  <c r="M433" i="18"/>
  <c r="M719" i="18"/>
  <c r="M320" i="18"/>
  <c r="M702" i="18"/>
  <c r="M184" i="18"/>
  <c r="M414" i="18"/>
  <c r="M212" i="18"/>
  <c r="M456" i="18"/>
  <c r="M684" i="18"/>
  <c r="M675" i="18"/>
  <c r="M428" i="18"/>
  <c r="M399" i="18"/>
  <c r="M503" i="18"/>
  <c r="M552" i="18"/>
  <c r="M215" i="18"/>
  <c r="M683" i="18"/>
  <c r="M496" i="18"/>
  <c r="M249" i="18"/>
  <c r="M415" i="18"/>
  <c r="M10" i="18"/>
  <c r="M319" i="18"/>
  <c r="M17" i="18"/>
  <c r="M110" i="18"/>
  <c r="M298" i="18"/>
  <c r="M807" i="18"/>
  <c r="M148" i="18"/>
  <c r="M661" i="18"/>
  <c r="M164" i="18"/>
  <c r="M75" i="18"/>
  <c r="M535" i="18"/>
  <c r="M78" i="18"/>
  <c r="M123" i="18"/>
  <c r="M79" i="18"/>
  <c r="M445" i="18"/>
  <c r="M68" i="18"/>
  <c r="M635" i="18"/>
  <c r="M33" i="18"/>
  <c r="M145" i="18"/>
  <c r="M815" i="18"/>
  <c r="M668" i="18"/>
  <c r="M308" i="18"/>
  <c r="M156" i="18"/>
  <c r="M490" i="18"/>
  <c r="M724" i="18"/>
  <c r="M115" i="18"/>
  <c r="M88" i="18"/>
  <c r="M222" i="18"/>
  <c r="M193" i="18"/>
  <c r="M396" i="18"/>
  <c r="M113" i="18"/>
  <c r="M417" i="18"/>
  <c r="M180" i="18"/>
  <c r="M819" i="18"/>
  <c r="M785" i="18"/>
  <c r="M41" i="18"/>
  <c r="M386" i="18"/>
  <c r="M301" i="18"/>
  <c r="M756" i="18"/>
  <c r="M398" i="18"/>
  <c r="M735" i="18"/>
  <c r="M403" i="18"/>
  <c r="M392" i="18"/>
  <c r="M218" i="18"/>
  <c r="M178" i="18"/>
  <c r="M726" i="18"/>
  <c r="M15" i="18"/>
  <c r="M406" i="18"/>
  <c r="M261" i="18"/>
  <c r="M346" i="18"/>
  <c r="M485" i="18"/>
  <c r="M21" i="18"/>
  <c r="M749" i="18"/>
  <c r="M578" i="18"/>
  <c r="M797" i="18"/>
  <c r="M701" i="18"/>
  <c r="M106" i="18"/>
  <c r="M424" i="18"/>
  <c r="M812" i="18"/>
  <c r="M626" i="18"/>
  <c r="M170" i="18"/>
  <c r="M361" i="18"/>
  <c r="M806" i="18"/>
  <c r="M285" i="18"/>
  <c r="M86" i="18"/>
  <c r="M318" i="18"/>
  <c r="M593" i="18"/>
  <c r="M13" i="18"/>
  <c r="M479" i="18"/>
  <c r="M223" i="18"/>
  <c r="M474" i="18"/>
  <c r="M556" i="18"/>
  <c r="M379" i="18"/>
  <c r="M589" i="18"/>
  <c r="M467" i="18"/>
  <c r="M634" i="18"/>
  <c r="M353" i="18"/>
  <c r="M611" i="18"/>
  <c r="M135" i="18"/>
  <c r="M460" i="18"/>
  <c r="M808" i="18"/>
  <c r="M183" i="18"/>
  <c r="M62" i="18"/>
  <c r="M206" i="18"/>
  <c r="M278" i="18"/>
  <c r="M805" i="18"/>
  <c r="R681" i="18"/>
  <c r="R511" i="18"/>
  <c r="R599" i="18"/>
  <c r="R531" i="18"/>
  <c r="R565" i="18"/>
  <c r="R491" i="18"/>
  <c r="R673" i="18"/>
  <c r="R651" i="18"/>
  <c r="R716" i="18"/>
  <c r="R649" i="18"/>
  <c r="R522" i="18"/>
  <c r="R621" i="18"/>
  <c r="R564" i="18"/>
  <c r="R676" i="18"/>
  <c r="R437" i="18"/>
  <c r="R625" i="18"/>
  <c r="R594" i="18"/>
  <c r="R558" i="18"/>
  <c r="R670" i="18"/>
  <c r="R422" i="18"/>
  <c r="R501" i="18"/>
  <c r="R664" i="18"/>
  <c r="R678" i="18"/>
  <c r="R569" i="18"/>
  <c r="R609" i="18"/>
  <c r="R443" i="18"/>
  <c r="R697" i="18"/>
  <c r="R575" i="18"/>
  <c r="R596" i="18"/>
  <c r="R610" i="18"/>
  <c r="R620" i="18"/>
  <c r="R719" i="18"/>
  <c r="R406" i="18"/>
  <c r="R549" i="18"/>
  <c r="R402" i="18"/>
  <c r="R644" i="18"/>
  <c r="R588" i="18"/>
  <c r="R619" i="18"/>
  <c r="R623" i="18"/>
  <c r="R474" i="18"/>
  <c r="R602" i="18"/>
  <c r="R604" i="18"/>
  <c r="R492" i="18"/>
  <c r="R603" i="18"/>
  <c r="R674" i="18"/>
  <c r="R694" i="18"/>
  <c r="R475" i="18"/>
  <c r="R662" i="18"/>
  <c r="R476" i="18"/>
  <c r="R630" i="18"/>
  <c r="R484" i="18"/>
  <c r="R411" i="18"/>
  <c r="R417" i="18"/>
  <c r="R597" i="18"/>
  <c r="R613" i="18"/>
  <c r="R566" i="18"/>
  <c r="R677" i="18"/>
  <c r="R489" i="18"/>
  <c r="R553" i="18"/>
  <c r="R548" i="18"/>
  <c r="R631" i="18"/>
  <c r="R441" i="18"/>
  <c r="R701" i="18"/>
  <c r="R447" i="18"/>
  <c r="R397" i="18"/>
  <c r="R693" i="18"/>
  <c r="R494" i="18"/>
  <c r="R440" i="18"/>
  <c r="R479" i="18"/>
  <c r="R500" i="18"/>
  <c r="R557" i="18"/>
  <c r="R508" i="18"/>
  <c r="R530" i="18"/>
  <c r="R668" i="18"/>
  <c r="R551" i="18"/>
  <c r="R608" i="18"/>
  <c r="R427" i="18"/>
  <c r="R666" i="18"/>
  <c r="R470" i="18"/>
  <c r="R486" i="18"/>
  <c r="R448" i="18"/>
  <c r="R428" i="18"/>
  <c r="R671" i="18"/>
  <c r="R622" i="18"/>
  <c r="R517" i="18"/>
  <c r="R480" i="18"/>
  <c r="R512" i="18"/>
  <c r="R420" i="18"/>
  <c r="R656" i="18"/>
  <c r="R414" i="18"/>
  <c r="R659" i="18"/>
  <c r="R614" i="18"/>
  <c r="R699" i="18"/>
  <c r="R526" i="18"/>
  <c r="R704" i="18"/>
  <c r="R585" i="18"/>
  <c r="R687" i="18"/>
  <c r="R647" i="18"/>
  <c r="R705" i="18"/>
  <c r="R581" i="18"/>
  <c r="R459" i="18"/>
  <c r="R639" i="18"/>
  <c r="R715" i="18"/>
  <c r="R617" i="18"/>
  <c r="R445" i="18"/>
  <c r="R477" i="18"/>
  <c r="R545" i="18"/>
  <c r="R487" i="18"/>
  <c r="R503" i="18"/>
  <c r="R461" i="18"/>
  <c r="R444" i="18"/>
  <c r="R429" i="18"/>
  <c r="R505" i="18"/>
  <c r="R493" i="18"/>
  <c r="R568" i="18"/>
  <c r="R606" i="18"/>
  <c r="R446" i="18"/>
  <c r="R434" i="18"/>
  <c r="R449" i="18"/>
  <c r="R584" i="18"/>
  <c r="R591" i="18"/>
  <c r="R698" i="18"/>
  <c r="R490" i="18"/>
  <c r="R607" i="18"/>
  <c r="R612" i="18"/>
  <c r="R485" i="18"/>
  <c r="R675" i="18"/>
  <c r="R520" i="18"/>
  <c r="R550" i="18"/>
  <c r="R601" i="18"/>
  <c r="R468" i="18"/>
  <c r="R636" i="18"/>
  <c r="R638" i="18"/>
  <c r="R472" i="18"/>
  <c r="R657" i="18"/>
  <c r="R618" i="18"/>
  <c r="R457" i="18"/>
  <c r="R696" i="18"/>
  <c r="R691" i="18"/>
  <c r="R555" i="18"/>
  <c r="R399" i="18"/>
  <c r="R573" i="18"/>
  <c r="R488" i="18"/>
  <c r="R563" i="18"/>
  <c r="R679" i="18"/>
  <c r="R537" i="18"/>
  <c r="R528" i="18"/>
  <c r="R405" i="18"/>
  <c r="R515" i="18"/>
  <c r="R467" i="18"/>
  <c r="R465" i="18"/>
  <c r="R425" i="18"/>
  <c r="R521" i="18"/>
  <c r="R700" i="18"/>
  <c r="R627" i="18"/>
  <c r="R398" i="18"/>
  <c r="R703" i="18"/>
  <c r="R532" i="18"/>
  <c r="R546" i="18"/>
  <c r="R560" i="18"/>
  <c r="R652" i="18"/>
  <c r="R436" i="18"/>
  <c r="R578" i="18"/>
  <c r="R496" i="18"/>
  <c r="R600" i="18"/>
  <c r="R615" i="18"/>
  <c r="R509" i="18"/>
  <c r="R579" i="18"/>
  <c r="R506" i="18"/>
  <c r="R401" i="18"/>
  <c r="R595" i="18"/>
  <c r="R683" i="18"/>
  <c r="R416" i="18"/>
  <c r="R635" i="18"/>
  <c r="R583" i="18"/>
  <c r="R707" i="18"/>
  <c r="R592" i="18"/>
  <c r="R665" i="18"/>
  <c r="R587" i="18"/>
  <c r="R432" i="18"/>
  <c r="R504" i="18"/>
  <c r="R611" i="18"/>
  <c r="R582" i="18"/>
  <c r="R718" i="18"/>
  <c r="R570" i="18"/>
  <c r="R451" i="18"/>
  <c r="R514" i="18"/>
  <c r="R642" i="18"/>
  <c r="R523" i="18"/>
  <c r="R660" i="18"/>
  <c r="R498" i="18"/>
  <c r="R408" i="18"/>
  <c r="R524" i="18"/>
  <c r="R423" i="18"/>
  <c r="R415" i="18"/>
  <c r="R456" i="18"/>
  <c r="R404" i="18"/>
  <c r="R692" i="18"/>
  <c r="R482" i="18"/>
  <c r="R684" i="18"/>
  <c r="R669" i="18"/>
  <c r="R556" i="18"/>
  <c r="R641" i="18"/>
  <c r="R650" i="18"/>
  <c r="R661" i="18"/>
  <c r="R593" i="18"/>
  <c r="R654" i="18"/>
  <c r="R419" i="18"/>
  <c r="R686" i="18"/>
  <c r="R663" i="18"/>
  <c r="R688" i="18"/>
  <c r="R431" i="18"/>
  <c r="R421" i="18"/>
  <c r="R430" i="18"/>
  <c r="R552" i="18"/>
  <c r="R646" i="18"/>
  <c r="R442" i="18"/>
  <c r="R507" i="18"/>
  <c r="R616" i="18"/>
  <c r="R513" i="18"/>
  <c r="R685" i="18"/>
  <c r="R658" i="18"/>
  <c r="R533" i="18"/>
  <c r="R672" i="18"/>
  <c r="R529" i="18"/>
  <c r="R460" i="18"/>
  <c r="R559" i="18"/>
  <c r="R453" i="18"/>
  <c r="R499" i="18"/>
  <c r="R598" i="18"/>
  <c r="R643" i="18"/>
  <c r="R655" i="18"/>
  <c r="R572" i="18"/>
  <c r="R629" i="18"/>
  <c r="R710" i="18"/>
  <c r="R413" i="18"/>
  <c r="R626" i="18"/>
  <c r="R680" i="18"/>
  <c r="R708" i="18"/>
  <c r="R702" i="18"/>
  <c r="R682" i="18"/>
  <c r="R483" i="18"/>
  <c r="R653" i="18"/>
  <c r="R709" i="18"/>
  <c r="R435" i="18"/>
  <c r="R424" i="18"/>
  <c r="R628" i="18"/>
  <c r="R554" i="18"/>
  <c r="R534" i="18"/>
  <c r="R589" i="18"/>
  <c r="R590" i="18"/>
  <c r="R396" i="18"/>
  <c r="R518" i="18"/>
  <c r="R624" i="18"/>
  <c r="R400" i="18"/>
  <c r="R706" i="18"/>
  <c r="R473" i="18"/>
  <c r="R695" i="18"/>
  <c r="R462" i="18"/>
  <c r="R495" i="18"/>
  <c r="R527" i="18"/>
  <c r="R571" i="18"/>
  <c r="R481" i="18"/>
  <c r="R466" i="18"/>
  <c r="R433" i="18"/>
  <c r="R407" i="18"/>
  <c r="R502" i="18"/>
  <c r="R510" i="18"/>
  <c r="R577" i="18"/>
  <c r="R458" i="18"/>
  <c r="R561" i="18"/>
  <c r="R580" i="18"/>
  <c r="R586" i="18"/>
  <c r="R519" i="18"/>
  <c r="R567" i="18"/>
  <c r="R454" i="18"/>
  <c r="R711" i="18"/>
  <c r="R438" i="18"/>
  <c r="R562" i="18"/>
  <c r="R717" i="18"/>
  <c r="R544" i="18"/>
  <c r="R418" i="18"/>
  <c r="R634" i="18"/>
  <c r="R667" i="18"/>
  <c r="R471" i="18"/>
  <c r="R497" i="18"/>
  <c r="R713" i="18"/>
  <c r="R605" i="18"/>
  <c r="R714" i="18"/>
  <c r="R426" i="18"/>
  <c r="R463" i="18"/>
  <c r="R525" i="18"/>
  <c r="R637" i="18"/>
  <c r="R712" i="18"/>
  <c r="R689" i="18"/>
  <c r="R648" i="18"/>
  <c r="R464" i="18"/>
  <c r="R633" i="18"/>
  <c r="R469" i="18"/>
  <c r="R576" i="18"/>
  <c r="R452" i="18"/>
  <c r="R439" i="18"/>
  <c r="R516" i="18"/>
  <c r="R720" i="18"/>
  <c r="R632" i="18"/>
  <c r="R478" i="18"/>
  <c r="R535" i="18"/>
  <c r="R690" i="18"/>
  <c r="R536" i="18"/>
  <c r="R403" i="18"/>
  <c r="R450" i="18"/>
  <c r="R640" i="18"/>
  <c r="R547" i="18"/>
  <c r="R455" i="18"/>
  <c r="R645" i="18"/>
  <c r="O607" i="18"/>
  <c r="O515" i="18"/>
  <c r="O657" i="18"/>
  <c r="O506" i="18"/>
  <c r="O533" i="18"/>
  <c r="O564" i="18"/>
  <c r="O636" i="18"/>
  <c r="O426" i="18"/>
  <c r="O622" i="18"/>
  <c r="O421" i="18"/>
  <c r="O408" i="18"/>
  <c r="O686" i="18"/>
  <c r="O649" i="18"/>
  <c r="O615" i="18"/>
  <c r="O484" i="18"/>
  <c r="O534" i="18"/>
  <c r="O474" i="18"/>
  <c r="O582" i="18"/>
  <c r="O693" i="18"/>
  <c r="O501" i="18"/>
  <c r="O523" i="18"/>
  <c r="O570" i="18"/>
  <c r="O642" i="18"/>
  <c r="O595" i="18"/>
  <c r="O404" i="18"/>
  <c r="O437" i="18"/>
  <c r="O676" i="18"/>
  <c r="O714" i="18"/>
  <c r="O640" i="18"/>
  <c r="O597" i="18"/>
  <c r="O645" i="18"/>
  <c r="O519" i="18"/>
  <c r="O531" i="18"/>
  <c r="O513" i="18"/>
  <c r="O552" i="18"/>
  <c r="O641" i="18"/>
  <c r="O463" i="18"/>
  <c r="O470" i="18"/>
  <c r="O396" i="18"/>
  <c r="O648" i="18"/>
  <c r="O682" i="18"/>
  <c r="O584" i="18"/>
  <c r="O475" i="18"/>
  <c r="O593" i="18"/>
  <c r="O422" i="18"/>
  <c r="O516" i="18"/>
  <c r="O517" i="18"/>
  <c r="O556" i="18"/>
  <c r="O678" i="18"/>
  <c r="O654" i="18"/>
  <c r="O406" i="18"/>
  <c r="O430" i="18"/>
  <c r="O680" i="18"/>
  <c r="O423" i="18"/>
  <c r="O403" i="18"/>
  <c r="O673" i="18"/>
  <c r="O472" i="18"/>
  <c r="O591" i="18"/>
  <c r="O674" i="18"/>
  <c r="O707" i="18"/>
  <c r="O481" i="18"/>
  <c r="O613" i="18"/>
  <c r="O495" i="18"/>
  <c r="O547" i="18"/>
  <c r="O536" i="18"/>
  <c r="O590" i="18"/>
  <c r="O416" i="18"/>
  <c r="O652" i="18"/>
  <c r="O467" i="18"/>
  <c r="O480" i="18"/>
  <c r="O703" i="18"/>
  <c r="O611" i="18"/>
  <c r="O651" i="18"/>
  <c r="O600" i="18"/>
  <c r="O451" i="18"/>
  <c r="O666" i="18"/>
  <c r="O494" i="18"/>
  <c r="O658" i="18"/>
  <c r="O502" i="18"/>
  <c r="O398" i="18"/>
  <c r="O679" i="18"/>
  <c r="O442" i="18"/>
  <c r="O705" i="18"/>
  <c r="O487" i="18"/>
  <c r="O500" i="18"/>
  <c r="O425" i="18"/>
  <c r="O558" i="18"/>
  <c r="O701" i="18"/>
  <c r="O604" i="18"/>
  <c r="O565" i="18"/>
  <c r="O643" i="18"/>
  <c r="O644" i="18"/>
  <c r="O497" i="18"/>
  <c r="O675" i="18"/>
  <c r="O525" i="18"/>
  <c r="O594" i="18"/>
  <c r="O719" i="18"/>
  <c r="O581" i="18"/>
  <c r="O438" i="18"/>
  <c r="O629" i="18"/>
  <c r="O711" i="18"/>
  <c r="O414" i="18"/>
  <c r="O563" i="18"/>
  <c r="O614" i="18"/>
  <c r="O514" i="18"/>
  <c r="O692" i="18"/>
  <c r="O439" i="18"/>
  <c r="O596" i="18"/>
  <c r="O619" i="18"/>
  <c r="O490" i="18"/>
  <c r="O668" i="18"/>
  <c r="O660" i="18"/>
  <c r="O526" i="18"/>
  <c r="O695" i="18"/>
  <c r="O708" i="18"/>
  <c r="O482" i="18"/>
  <c r="O663" i="18"/>
  <c r="O557" i="18"/>
  <c r="O466" i="18"/>
  <c r="O485" i="18"/>
  <c r="O461" i="18"/>
  <c r="O575" i="18"/>
  <c r="O505" i="18"/>
  <c r="O507" i="18"/>
  <c r="O620" i="18"/>
  <c r="O700" i="18"/>
  <c r="O638" i="18"/>
  <c r="O653" i="18"/>
  <c r="O522" i="18"/>
  <c r="O646" i="18"/>
  <c r="O554" i="18"/>
  <c r="O518" i="18"/>
  <c r="O681" i="18"/>
  <c r="O669" i="18"/>
  <c r="O698" i="18"/>
  <c r="O684" i="18"/>
  <c r="O443" i="18"/>
  <c r="O483" i="18"/>
  <c r="O510" i="18"/>
  <c r="O718" i="18"/>
  <c r="O704" i="18"/>
  <c r="O405" i="18"/>
  <c r="O656" i="18"/>
  <c r="O706" i="18"/>
  <c r="O694" i="18"/>
  <c r="O580" i="18"/>
  <c r="O574" i="18"/>
  <c r="O458" i="18"/>
  <c r="O624" i="18"/>
  <c r="O664" i="18"/>
  <c r="O512" i="18"/>
  <c r="O690" i="18"/>
  <c r="O634" i="18"/>
  <c r="O577" i="18"/>
  <c r="O459" i="18"/>
  <c r="O710" i="18"/>
  <c r="O616" i="18"/>
  <c r="O571" i="18"/>
  <c r="O637" i="18"/>
  <c r="O609" i="18"/>
  <c r="O446" i="18"/>
  <c r="O576" i="18"/>
  <c r="O627" i="18"/>
  <c r="O535" i="18"/>
  <c r="O428" i="18"/>
  <c r="O454" i="18"/>
  <c r="O633" i="18"/>
  <c r="O662" i="18"/>
  <c r="O524" i="18"/>
  <c r="O468" i="18"/>
  <c r="O399" i="18"/>
  <c r="O560" i="18"/>
  <c r="O602" i="18"/>
  <c r="O441" i="18"/>
  <c r="O621" i="18"/>
  <c r="O478" i="18"/>
  <c r="O573" i="18"/>
  <c r="O462" i="18"/>
  <c r="O685" i="18"/>
  <c r="O401" i="18"/>
  <c r="O471" i="18"/>
  <c r="O553" i="18"/>
  <c r="O499" i="18"/>
  <c r="O569" i="18"/>
  <c r="O687" i="18"/>
  <c r="O717" i="18"/>
  <c r="O603" i="18"/>
  <c r="O496" i="18"/>
  <c r="O691" i="18"/>
  <c r="O532" i="18"/>
  <c r="O625" i="18"/>
  <c r="O397" i="18"/>
  <c r="O626" i="18"/>
  <c r="O411" i="18"/>
  <c r="O548" i="18"/>
  <c r="O632" i="18"/>
  <c r="O628" i="18"/>
  <c r="O586" i="18"/>
  <c r="O424" i="18"/>
  <c r="O477" i="18"/>
  <c r="O444" i="18"/>
  <c r="O589" i="18"/>
  <c r="O465" i="18"/>
  <c r="O702" i="18"/>
  <c r="O601" i="18"/>
  <c r="O562" i="18"/>
  <c r="O429" i="18"/>
  <c r="O486" i="18"/>
  <c r="O434" i="18"/>
  <c r="O617" i="18"/>
  <c r="O415" i="18"/>
  <c r="O436" i="18"/>
  <c r="O431" i="18"/>
  <c r="O635" i="18"/>
  <c r="O521" i="18"/>
  <c r="O647" i="18"/>
  <c r="O561" i="18"/>
  <c r="O715" i="18"/>
  <c r="O464" i="18"/>
  <c r="O549" i="18"/>
  <c r="O550" i="18"/>
  <c r="O412" i="18"/>
  <c r="O469" i="18"/>
  <c r="O453" i="18"/>
  <c r="O665" i="18"/>
  <c r="O599" i="18"/>
  <c r="O587" i="18"/>
  <c r="O402" i="18"/>
  <c r="O585" i="18"/>
  <c r="O566" i="18"/>
  <c r="O448" i="18"/>
  <c r="O504" i="18"/>
  <c r="O588" i="18"/>
  <c r="O418" i="18"/>
  <c r="O545" i="18"/>
  <c r="O450" i="18"/>
  <c r="O419" i="18"/>
  <c r="O578" i="18"/>
  <c r="O529" i="18"/>
  <c r="O572" i="18"/>
  <c r="O610" i="18"/>
  <c r="O440" i="18"/>
  <c r="O659" i="18"/>
  <c r="O400" i="18"/>
  <c r="O427" i="18"/>
  <c r="O544" i="18"/>
  <c r="O520" i="18"/>
  <c r="O491" i="18"/>
  <c r="O555" i="18"/>
  <c r="O527" i="18"/>
  <c r="O592" i="18"/>
  <c r="O530" i="18"/>
  <c r="O473" i="18"/>
  <c r="O623" i="18"/>
  <c r="O456" i="18"/>
  <c r="O661" i="18"/>
  <c r="O433" i="18"/>
  <c r="O639" i="18"/>
  <c r="O509" i="18"/>
  <c r="O677" i="18"/>
  <c r="O447" i="18"/>
  <c r="O605" i="18"/>
  <c r="O579" i="18"/>
  <c r="O455" i="18"/>
  <c r="O689" i="18"/>
  <c r="O606" i="18"/>
  <c r="O696" i="18"/>
  <c r="O432" i="18"/>
  <c r="O488" i="18"/>
  <c r="O457" i="18"/>
  <c r="O667" i="18"/>
  <c r="O568" i="18"/>
  <c r="O697" i="18"/>
  <c r="O498" i="18"/>
  <c r="O435" i="18"/>
  <c r="O537" i="18"/>
  <c r="O460" i="18"/>
  <c r="O631" i="18"/>
  <c r="O479" i="18"/>
  <c r="O672" i="18"/>
  <c r="O445" i="18"/>
  <c r="O546" i="18"/>
  <c r="O712" i="18"/>
  <c r="O559" i="18"/>
  <c r="O583" i="18"/>
  <c r="O493" i="18"/>
  <c r="O716" i="18"/>
  <c r="O492" i="18"/>
  <c r="O508" i="18"/>
  <c r="O650" i="18"/>
  <c r="O683" i="18"/>
  <c r="O489" i="18"/>
  <c r="O630" i="18"/>
  <c r="O476" i="18"/>
  <c r="O452" i="18"/>
  <c r="O688" i="18"/>
  <c r="O417" i="18"/>
  <c r="O713" i="18"/>
  <c r="O608" i="18"/>
  <c r="O567" i="18"/>
  <c r="O618" i="18"/>
  <c r="O413" i="18"/>
  <c r="O655" i="18"/>
  <c r="O449" i="18"/>
  <c r="O511" i="18"/>
  <c r="O503" i="18"/>
  <c r="O670" i="18"/>
  <c r="O612" i="18"/>
  <c r="O528" i="18"/>
  <c r="O407" i="18"/>
  <c r="O598" i="18"/>
  <c r="O709" i="18"/>
  <c r="O551" i="18"/>
  <c r="O699" i="18"/>
  <c r="O420" i="18"/>
  <c r="O671" i="18"/>
  <c r="O720" i="18"/>
  <c r="M54" i="18"/>
  <c r="M412" i="18"/>
  <c r="M154" i="18"/>
  <c r="M574" i="18"/>
  <c r="R574" i="18"/>
  <c r="R412" i="18"/>
  <c r="I691" i="18"/>
  <c r="K691" i="18" s="1"/>
  <c r="I564" i="18"/>
  <c r="K564" i="18" s="1"/>
  <c r="D30" i="16"/>
  <c r="D5" i="16"/>
  <c r="I582" i="18"/>
  <c r="K582" i="18" s="1"/>
  <c r="D22" i="16"/>
  <c r="I472" i="18"/>
  <c r="K472" i="18" s="1"/>
  <c r="D17" i="16"/>
  <c r="I402" i="18"/>
  <c r="K402" i="18" s="1"/>
  <c r="D25" i="16"/>
  <c r="I577" i="18"/>
  <c r="K577" i="18" s="1"/>
  <c r="I614" i="18"/>
  <c r="K614" i="18" s="1"/>
  <c r="I456" i="18"/>
  <c r="K456" i="18" s="1"/>
  <c r="D4" i="16"/>
  <c r="I400" i="18"/>
  <c r="K400" i="18" s="1"/>
  <c r="I192" i="18"/>
  <c r="K192" i="18" s="1"/>
  <c r="I464" i="18"/>
  <c r="K464" i="18" s="1"/>
  <c r="I625" i="18"/>
  <c r="K625" i="18" s="1"/>
  <c r="D13" i="16"/>
  <c r="D12" i="16"/>
  <c r="I650" i="18"/>
  <c r="K650" i="18" s="1"/>
  <c r="I567" i="18"/>
  <c r="K567" i="18" s="1"/>
  <c r="D10" i="16"/>
  <c r="I84" i="18"/>
  <c r="K84" i="18" s="1"/>
  <c r="I407" i="18"/>
  <c r="K407" i="18" s="1"/>
  <c r="D19" i="16"/>
  <c r="I803" i="18"/>
  <c r="I670" i="18"/>
  <c r="K670" i="18" s="1"/>
  <c r="I814" i="18"/>
  <c r="K814" i="18" s="1"/>
  <c r="I714" i="18"/>
  <c r="K714" i="18" s="1"/>
  <c r="D34" i="16"/>
  <c r="D36" i="16"/>
  <c r="D27" i="16"/>
  <c r="I598" i="18"/>
  <c r="K598" i="18" s="1"/>
  <c r="I705" i="18"/>
  <c r="K705" i="18" s="1"/>
  <c r="D14" i="16"/>
  <c r="D37" i="16"/>
  <c r="D26" i="16"/>
  <c r="I645" i="18"/>
  <c r="K645" i="18" s="1"/>
  <c r="D20" i="16"/>
  <c r="I398" i="18"/>
  <c r="K398" i="18" s="1"/>
  <c r="I486" i="18"/>
  <c r="K486" i="18" s="1"/>
  <c r="D16" i="16"/>
  <c r="D38" i="16"/>
  <c r="I166" i="18"/>
  <c r="K166" i="18" s="1"/>
  <c r="D40" i="16"/>
  <c r="I629" i="18"/>
  <c r="K629" i="18" s="1"/>
  <c r="I527" i="18"/>
  <c r="K527" i="18" s="1"/>
  <c r="D8" i="16"/>
  <c r="I503" i="18"/>
  <c r="K503" i="18" s="1"/>
  <c r="I311" i="18"/>
  <c r="K311" i="18" s="1"/>
  <c r="D35" i="16"/>
  <c r="I210" i="18"/>
  <c r="D31" i="16"/>
  <c r="I618" i="18"/>
  <c r="K618" i="18" s="1"/>
  <c r="I710" i="18"/>
  <c r="K710" i="18" s="1"/>
  <c r="D6" i="16"/>
  <c r="D21" i="16"/>
  <c r="D7" i="16"/>
  <c r="D28" i="16"/>
  <c r="D18" i="16"/>
  <c r="D23" i="16"/>
  <c r="I621" i="18"/>
  <c r="K621" i="18" s="1"/>
  <c r="D33" i="16"/>
  <c r="I355" i="18"/>
  <c r="K355" i="18" s="1"/>
  <c r="I588" i="18"/>
  <c r="K588" i="18" s="1"/>
  <c r="D9" i="16"/>
  <c r="I519" i="18"/>
  <c r="K519" i="18" s="1"/>
  <c r="I634" i="18"/>
  <c r="K634" i="18" s="1"/>
  <c r="I701" i="18"/>
  <c r="K701" i="18" s="1"/>
  <c r="I79" i="18"/>
  <c r="K79" i="18" s="1"/>
  <c r="I695" i="18"/>
  <c r="K695" i="18" s="1"/>
  <c r="I396" i="18"/>
  <c r="K396" i="18" s="1"/>
  <c r="I660" i="18"/>
  <c r="K660" i="18" s="1"/>
  <c r="D24" i="16"/>
  <c r="I611" i="18"/>
  <c r="K611" i="18" s="1"/>
  <c r="I570" i="18"/>
  <c r="K570" i="18" s="1"/>
  <c r="D15" i="16"/>
  <c r="D3" i="16"/>
  <c r="I682" i="18"/>
  <c r="K682" i="18" s="1"/>
  <c r="D32" i="16"/>
  <c r="I171" i="18"/>
  <c r="K171" i="18" s="1"/>
  <c r="I511" i="18"/>
  <c r="K511" i="18" s="1"/>
  <c r="I448" i="18"/>
  <c r="K448" i="18" s="1"/>
  <c r="D11" i="16"/>
  <c r="I806" i="18"/>
  <c r="K806" i="18" s="1"/>
  <c r="I74" i="18"/>
  <c r="K74" i="18" s="1"/>
  <c r="I155" i="18"/>
  <c r="K155" i="18" s="1"/>
  <c r="I686" i="18"/>
  <c r="K686" i="18" s="1"/>
  <c r="I535" i="18"/>
  <c r="K535" i="18" s="1"/>
  <c r="I317" i="18"/>
  <c r="K317" i="18" s="1"/>
  <c r="I572" i="18"/>
  <c r="K572" i="18" s="1"/>
  <c r="I203" i="18"/>
  <c r="K203" i="18" s="1"/>
  <c r="I798" i="18"/>
  <c r="K798" i="18" s="1"/>
  <c r="D29" i="16"/>
  <c r="D39" i="16"/>
  <c r="I13" i="18"/>
  <c r="K13" i="18" s="1"/>
  <c r="I553" i="18"/>
  <c r="K553" i="18" s="1"/>
  <c r="I412" i="18"/>
  <c r="K412" i="18" s="1"/>
  <c r="I269" i="18"/>
  <c r="K269" i="18" s="1"/>
  <c r="I36" i="18"/>
  <c r="I709" i="18"/>
  <c r="K709" i="18" s="1"/>
  <c r="I765" i="18"/>
  <c r="K765" i="18" s="1"/>
  <c r="I632" i="18"/>
  <c r="K632" i="18" s="1"/>
  <c r="H19" i="16"/>
  <c r="I326" i="18"/>
  <c r="K326" i="18" s="1"/>
  <c r="I105" i="18"/>
  <c r="K105" i="18" s="1"/>
  <c r="I343" i="18"/>
  <c r="K343" i="18" s="1"/>
  <c r="I468" i="18"/>
  <c r="K468" i="18" s="1"/>
  <c r="H26" i="16"/>
  <c r="H8" i="16"/>
  <c r="I785" i="18"/>
  <c r="K785" i="18" s="1"/>
  <c r="I560" i="18"/>
  <c r="K560" i="18" s="1"/>
  <c r="I115" i="18"/>
  <c r="K115" i="18" s="1"/>
  <c r="I717" i="18"/>
  <c r="K717" i="18" s="1"/>
  <c r="I267" i="18"/>
  <c r="K267" i="18" s="1"/>
  <c r="I247" i="18"/>
  <c r="K247" i="18" s="1"/>
  <c r="I154" i="18"/>
  <c r="K154" i="18" s="1"/>
  <c r="I315" i="18"/>
  <c r="K315" i="18" s="1"/>
  <c r="I327" i="18"/>
  <c r="K327" i="18" s="1"/>
  <c r="I38" i="18"/>
  <c r="K38" i="18" s="1"/>
  <c r="H30" i="16"/>
  <c r="I292" i="18"/>
  <c r="K292" i="18" s="1"/>
  <c r="I30" i="18"/>
  <c r="K30" i="18" s="1"/>
  <c r="I24" i="18"/>
  <c r="K24" i="18" s="1"/>
  <c r="H15" i="16"/>
  <c r="I32" i="18"/>
  <c r="K32" i="18" s="1"/>
  <c r="I649" i="18"/>
  <c r="K649" i="18" s="1"/>
  <c r="I174" i="18"/>
  <c r="K174" i="18" s="1"/>
  <c r="I623" i="18"/>
  <c r="K623" i="18" s="1"/>
  <c r="I460" i="18"/>
  <c r="K460" i="18" s="1"/>
  <c r="I607" i="18"/>
  <c r="K607" i="18" s="1"/>
  <c r="I63" i="18"/>
  <c r="K63" i="18" s="1"/>
  <c r="I613" i="18"/>
  <c r="K613" i="18" s="1"/>
  <c r="H22" i="16"/>
  <c r="I658" i="18"/>
  <c r="K658" i="18" s="1"/>
  <c r="I56" i="18"/>
  <c r="K56" i="18" s="1"/>
  <c r="I362" i="18"/>
  <c r="K362" i="18" s="1"/>
  <c r="H14" i="16"/>
  <c r="I559" i="18"/>
  <c r="K559" i="18" s="1"/>
  <c r="I83" i="18"/>
  <c r="K83" i="18" s="1"/>
  <c r="I617" i="18"/>
  <c r="K617" i="18" s="1"/>
  <c r="H6" i="16"/>
  <c r="H16" i="16"/>
  <c r="I515" i="18"/>
  <c r="K515" i="18" s="1"/>
  <c r="I206" i="18"/>
  <c r="K206" i="18" s="1"/>
  <c r="I671" i="18"/>
  <c r="K671" i="18" s="1"/>
  <c r="I531" i="18"/>
  <c r="K531" i="18" s="1"/>
  <c r="I41" i="18"/>
  <c r="K41" i="18" s="1"/>
  <c r="I93" i="18"/>
  <c r="K93" i="18" s="1"/>
  <c r="I792" i="18"/>
  <c r="K792" i="18" s="1"/>
  <c r="I336" i="18"/>
  <c r="K336" i="18" s="1"/>
  <c r="H5" i="16"/>
  <c r="I57" i="18"/>
  <c r="K57" i="18" s="1"/>
  <c r="I21" i="18"/>
  <c r="K21" i="18" s="1"/>
  <c r="H36" i="16"/>
  <c r="I811" i="18"/>
  <c r="K811" i="18" s="1"/>
  <c r="I309" i="18"/>
  <c r="K309" i="18" s="1"/>
  <c r="H28" i="16"/>
  <c r="I370" i="18"/>
  <c r="K370" i="18" s="1"/>
  <c r="I103" i="18"/>
  <c r="K103" i="18" s="1"/>
  <c r="I4" i="18"/>
  <c r="K4" i="18" s="1"/>
  <c r="I330" i="18"/>
  <c r="K330" i="18" s="1"/>
  <c r="I306" i="18"/>
  <c r="K306" i="18" s="1"/>
  <c r="I561" i="18"/>
  <c r="K561" i="18" s="1"/>
  <c r="I304" i="18"/>
  <c r="K304" i="18" s="1"/>
  <c r="I641" i="18"/>
  <c r="K641" i="18" s="1"/>
  <c r="I18" i="18"/>
  <c r="K18" i="18" s="1"/>
  <c r="I49" i="18"/>
  <c r="K49" i="18" s="1"/>
  <c r="H12" i="16"/>
  <c r="I743" i="18"/>
  <c r="K743" i="18" s="1"/>
  <c r="H29" i="16"/>
  <c r="I278" i="18"/>
  <c r="K278" i="18" s="1"/>
  <c r="I26" i="18"/>
  <c r="K26" i="18" s="1"/>
  <c r="I111" i="18"/>
  <c r="K111" i="18" s="1"/>
  <c r="H34" i="16"/>
  <c r="I735" i="18"/>
  <c r="K735" i="18" s="1"/>
  <c r="I2" i="18"/>
  <c r="K2" i="18" s="1"/>
  <c r="I22" i="18"/>
  <c r="K22" i="18" s="1"/>
  <c r="I136" i="18"/>
  <c r="K136" i="18" s="1"/>
  <c r="I545" i="18"/>
  <c r="K545" i="18" s="1"/>
  <c r="I713" i="18"/>
  <c r="K713" i="18" s="1"/>
  <c r="I217" i="18"/>
  <c r="K217" i="18" s="1"/>
  <c r="H37" i="16"/>
  <c r="I201" i="18"/>
  <c r="K201" i="18" s="1"/>
  <c r="I300" i="18"/>
  <c r="K300" i="18" s="1"/>
  <c r="I338" i="18"/>
  <c r="K338" i="18" s="1"/>
  <c r="I337" i="18"/>
  <c r="K337" i="18" s="1"/>
  <c r="I165" i="18"/>
  <c r="K165" i="18" s="1"/>
  <c r="I558" i="18"/>
  <c r="K558" i="18" s="1"/>
  <c r="H3" i="16"/>
  <c r="I54" i="18"/>
  <c r="K54" i="18" s="1"/>
  <c r="I627" i="18"/>
  <c r="K627" i="18" s="1"/>
  <c r="I775" i="18"/>
  <c r="K775" i="18" s="1"/>
  <c r="I734" i="18"/>
  <c r="K734" i="18" s="1"/>
  <c r="I46" i="18"/>
  <c r="K46" i="18" s="1"/>
  <c r="I575" i="18"/>
  <c r="K575" i="18" s="1"/>
  <c r="I272" i="18"/>
  <c r="K272" i="18" s="1"/>
  <c r="H41" i="16"/>
  <c r="I690" i="18"/>
  <c r="K690" i="18" s="1"/>
  <c r="I681" i="18"/>
  <c r="K681" i="18" s="1"/>
  <c r="H11" i="16"/>
  <c r="I393" i="18"/>
  <c r="K393" i="18" s="1"/>
  <c r="H21" i="16"/>
  <c r="I6" i="18"/>
  <c r="K6" i="18" s="1"/>
  <c r="I146" i="18"/>
  <c r="K146" i="18" s="1"/>
  <c r="I345" i="18"/>
  <c r="K345" i="18" s="1"/>
  <c r="I783" i="18"/>
  <c r="K783" i="18" s="1"/>
  <c r="H20" i="16"/>
  <c r="I50" i="18"/>
  <c r="K50" i="18" s="1"/>
  <c r="I44" i="18"/>
  <c r="K44" i="18" s="1"/>
  <c r="I196" i="18"/>
  <c r="K196" i="18" s="1"/>
  <c r="I19" i="18"/>
  <c r="K19" i="18" s="1"/>
  <c r="I322" i="18"/>
  <c r="K322" i="18" s="1"/>
  <c r="I415" i="18"/>
  <c r="K415" i="18" s="1"/>
  <c r="I759" i="18"/>
  <c r="K759" i="18" s="1"/>
  <c r="H35" i="16"/>
  <c r="I129" i="18"/>
  <c r="K129" i="18" s="1"/>
  <c r="I257" i="18"/>
  <c r="K257" i="18" s="1"/>
  <c r="H39" i="16"/>
  <c r="I296" i="18"/>
  <c r="K296" i="18" s="1"/>
  <c r="I281" i="18"/>
  <c r="K281" i="18" s="1"/>
  <c r="H27" i="16"/>
  <c r="I96" i="18"/>
  <c r="K96" i="18" s="1"/>
  <c r="I121" i="18"/>
  <c r="K121" i="18" s="1"/>
  <c r="H38" i="16"/>
  <c r="I47" i="18"/>
  <c r="K47" i="18" s="1"/>
  <c r="I353" i="18"/>
  <c r="K353" i="18" s="1"/>
  <c r="I33" i="18"/>
  <c r="K33" i="18" s="1"/>
  <c r="I653" i="18"/>
  <c r="K653" i="18" s="1"/>
  <c r="I361" i="18"/>
  <c r="K361" i="18" s="1"/>
  <c r="I547" i="18"/>
  <c r="K547" i="18" s="1"/>
  <c r="I275" i="18"/>
  <c r="K275" i="18" s="1"/>
  <c r="I160" i="18"/>
  <c r="K160" i="18" s="1"/>
  <c r="I239" i="18"/>
  <c r="K239" i="18" s="1"/>
  <c r="I556" i="18"/>
  <c r="K556" i="18" s="1"/>
  <c r="H40" i="16"/>
  <c r="H33" i="16"/>
  <c r="I150" i="18"/>
  <c r="K150" i="18" s="1"/>
  <c r="I546" i="18"/>
  <c r="K546" i="18" s="1"/>
  <c r="I231" i="18"/>
  <c r="K231" i="18" s="1"/>
  <c r="I685" i="18"/>
  <c r="K685" i="18" s="1"/>
  <c r="H9" i="16"/>
  <c r="I157" i="18"/>
  <c r="K157" i="18" s="1"/>
  <c r="I277" i="18"/>
  <c r="K277" i="18" s="1"/>
  <c r="I586" i="18"/>
  <c r="K586" i="18" s="1"/>
  <c r="I501" i="18"/>
  <c r="K501" i="18" s="1"/>
  <c r="I176" i="18"/>
  <c r="K176" i="18" s="1"/>
  <c r="I262" i="18"/>
  <c r="K262" i="18" s="1"/>
  <c r="H25" i="16"/>
  <c r="I314" i="18"/>
  <c r="K314" i="18" s="1"/>
  <c r="H13" i="16"/>
  <c r="I483" i="18"/>
  <c r="K483" i="18" s="1"/>
  <c r="I288" i="18"/>
  <c r="K288" i="18" s="1"/>
  <c r="I738" i="18"/>
  <c r="K738" i="18" s="1"/>
  <c r="I452" i="18"/>
  <c r="K452" i="18" s="1"/>
  <c r="I59" i="18"/>
  <c r="K59" i="18" s="1"/>
  <c r="I666" i="18"/>
  <c r="K666" i="18" s="1"/>
  <c r="I163" i="18"/>
  <c r="K163" i="18" s="1"/>
  <c r="I261" i="18"/>
  <c r="K261" i="18" s="1"/>
  <c r="H18" i="16"/>
  <c r="I423" i="18"/>
  <c r="K423" i="18" s="1"/>
  <c r="I699" i="18"/>
  <c r="K699" i="18" s="1"/>
  <c r="H31" i="16"/>
  <c r="I704" i="18"/>
  <c r="K704" i="18" s="1"/>
  <c r="I8" i="18"/>
  <c r="K8" i="18" s="1"/>
  <c r="H32" i="16"/>
  <c r="I364" i="18"/>
  <c r="K364" i="18" s="1"/>
  <c r="I557" i="18"/>
  <c r="K557" i="18" s="1"/>
  <c r="I389" i="18"/>
  <c r="K389" i="18" s="1"/>
  <c r="I358" i="18"/>
  <c r="K358" i="18" s="1"/>
  <c r="I727" i="18"/>
  <c r="K727" i="18" s="1"/>
  <c r="I366" i="18"/>
  <c r="K366" i="18" s="1"/>
  <c r="I67" i="18"/>
  <c r="K67" i="18" s="1"/>
  <c r="H17" i="16"/>
  <c r="I328" i="18"/>
  <c r="K328" i="18" s="1"/>
  <c r="I349" i="18"/>
  <c r="K349" i="18" s="1"/>
  <c r="H24" i="16"/>
  <c r="H7" i="16"/>
  <c r="I603" i="18"/>
  <c r="K603" i="18" s="1"/>
  <c r="I747" i="18"/>
  <c r="K747" i="18" s="1"/>
  <c r="I596" i="18"/>
  <c r="K596" i="18" s="1"/>
  <c r="I762" i="18"/>
  <c r="K762" i="18" s="1"/>
  <c r="I444" i="18"/>
  <c r="K444" i="18" s="1"/>
  <c r="I94" i="18"/>
  <c r="K94" i="18" s="1"/>
  <c r="I293" i="18"/>
  <c r="K293" i="18" s="1"/>
  <c r="I373" i="18"/>
  <c r="K373" i="18" s="1"/>
  <c r="I169" i="18"/>
  <c r="K169" i="18" s="1"/>
  <c r="I523" i="18"/>
  <c r="K523" i="18" s="1"/>
  <c r="I29" i="18"/>
  <c r="K29" i="18" s="1"/>
  <c r="H4" i="16"/>
  <c r="I333" i="18"/>
  <c r="K333" i="18" s="1"/>
  <c r="I339" i="18"/>
  <c r="K339" i="18" s="1"/>
  <c r="I507" i="18"/>
  <c r="K507" i="18" s="1"/>
  <c r="I35" i="18"/>
  <c r="K35" i="18" s="1"/>
  <c r="I287" i="18"/>
  <c r="K287" i="18" s="1"/>
  <c r="H10" i="16"/>
  <c r="I544" i="18"/>
  <c r="K544" i="18" s="1"/>
  <c r="I268" i="18"/>
  <c r="K268" i="18" s="1"/>
  <c r="I16" i="18"/>
  <c r="K16" i="18" s="1"/>
  <c r="H23" i="16"/>
  <c r="I264" i="18"/>
  <c r="K264" i="18" s="1"/>
  <c r="I223" i="18"/>
  <c r="K223" i="18" s="1"/>
  <c r="Q368" i="15"/>
  <c r="F28" i="16"/>
  <c r="I635" i="18"/>
  <c r="K635" i="18" s="1"/>
  <c r="F22" i="16"/>
  <c r="I312" i="18"/>
  <c r="K312" i="18" s="1"/>
  <c r="I683" i="18"/>
  <c r="K683" i="18" s="1"/>
  <c r="I290" i="18"/>
  <c r="K290" i="18" s="1"/>
  <c r="F20" i="16"/>
  <c r="I696" i="18"/>
  <c r="K696" i="18" s="1"/>
  <c r="I179" i="18"/>
  <c r="K179" i="18" s="1"/>
  <c r="I117" i="18"/>
  <c r="K117" i="18" s="1"/>
  <c r="I661" i="18"/>
  <c r="K661" i="18" s="1"/>
  <c r="I397" i="18"/>
  <c r="K397" i="18" s="1"/>
  <c r="F4" i="16"/>
  <c r="I85" i="18"/>
  <c r="K85" i="18" s="1"/>
  <c r="I167" i="18"/>
  <c r="K167" i="18" s="1"/>
  <c r="I341" i="18"/>
  <c r="K341" i="18" s="1"/>
  <c r="F36" i="16"/>
  <c r="I318" i="18"/>
  <c r="K318" i="18" s="1"/>
  <c r="I156" i="18"/>
  <c r="K156" i="18" s="1"/>
  <c r="F37" i="16"/>
  <c r="I609" i="18"/>
  <c r="K609" i="18" s="1"/>
  <c r="I583" i="18"/>
  <c r="K583" i="18" s="1"/>
  <c r="I593" i="18"/>
  <c r="K593" i="18" s="1"/>
  <c r="I795" i="18"/>
  <c r="K795" i="18" s="1"/>
  <c r="F19" i="16"/>
  <c r="F17" i="16"/>
  <c r="I162" i="18"/>
  <c r="K162" i="18" s="1"/>
  <c r="I615" i="18"/>
  <c r="K615" i="18" s="1"/>
  <c r="F10" i="16"/>
  <c r="I406" i="18"/>
  <c r="K406" i="18" s="1"/>
  <c r="F30" i="16"/>
  <c r="I75" i="18"/>
  <c r="K75" i="18" s="1"/>
  <c r="F24" i="16"/>
  <c r="I384" i="18"/>
  <c r="K384" i="18" s="1"/>
  <c r="I334" i="18"/>
  <c r="K334" i="18" s="1"/>
  <c r="I408" i="18"/>
  <c r="K408" i="18" s="1"/>
  <c r="F31" i="16"/>
  <c r="F33" i="16"/>
  <c r="F13" i="16"/>
  <c r="I807" i="18"/>
  <c r="K807" i="18" s="1"/>
  <c r="I708" i="18"/>
  <c r="K708" i="18" s="1"/>
  <c r="I680" i="18"/>
  <c r="K680" i="18" s="1"/>
  <c r="F15" i="16"/>
  <c r="F9" i="16"/>
  <c r="I665" i="18"/>
  <c r="K665" i="18" s="1"/>
  <c r="I204" i="18"/>
  <c r="K204" i="18" s="1"/>
  <c r="I159" i="18"/>
  <c r="K159" i="18" s="1"/>
  <c r="I172" i="18"/>
  <c r="K172" i="18" s="1"/>
  <c r="I411" i="18"/>
  <c r="K411" i="18" s="1"/>
  <c r="F14" i="16"/>
  <c r="I804" i="18"/>
  <c r="K804" i="18" s="1"/>
  <c r="F21" i="16"/>
  <c r="F41" i="16"/>
  <c r="I551" i="18"/>
  <c r="K551" i="18" s="1"/>
  <c r="F16" i="16"/>
  <c r="I718" i="18"/>
  <c r="K718" i="18" s="1"/>
  <c r="I736" i="18"/>
  <c r="K736" i="18" s="1"/>
  <c r="I799" i="18"/>
  <c r="K799" i="18" s="1"/>
  <c r="I457" i="18"/>
  <c r="K457" i="18" s="1"/>
  <c r="I578" i="18"/>
  <c r="K578" i="18" s="1"/>
  <c r="I668" i="18"/>
  <c r="K668" i="18" s="1"/>
  <c r="I605" i="18"/>
  <c r="K605" i="18" s="1"/>
  <c r="I599" i="18"/>
  <c r="K599" i="18" s="1"/>
  <c r="I259" i="18"/>
  <c r="K259" i="18" s="1"/>
  <c r="I720" i="18"/>
  <c r="K720" i="18" s="1"/>
  <c r="I573" i="18"/>
  <c r="K573" i="18" s="1"/>
  <c r="I638" i="18"/>
  <c r="K638" i="18" s="1"/>
  <c r="F3" i="16"/>
  <c r="I815" i="18"/>
  <c r="K815" i="18" s="1"/>
  <c r="F23" i="16"/>
  <c r="F18" i="16"/>
  <c r="I679" i="18"/>
  <c r="K679" i="18" s="1"/>
  <c r="I571" i="18"/>
  <c r="K571" i="18" s="1"/>
  <c r="I643" i="18"/>
  <c r="K643" i="18" s="1"/>
  <c r="I761" i="18"/>
  <c r="K761" i="18" s="1"/>
  <c r="I184" i="18"/>
  <c r="K184" i="18" s="1"/>
  <c r="I356" i="18"/>
  <c r="K356" i="18" s="1"/>
  <c r="F12" i="16"/>
  <c r="F32" i="16"/>
  <c r="I630" i="18"/>
  <c r="K630" i="18" s="1"/>
  <c r="I473" i="18"/>
  <c r="K473" i="18" s="1"/>
  <c r="F7" i="16"/>
  <c r="F6" i="16"/>
  <c r="I465" i="18"/>
  <c r="K465" i="18" s="1"/>
  <c r="I651" i="18"/>
  <c r="K651" i="18" s="1"/>
  <c r="I655" i="18"/>
  <c r="K655" i="18" s="1"/>
  <c r="I449" i="18"/>
  <c r="K449" i="18" s="1"/>
  <c r="I622" i="18"/>
  <c r="K622" i="18" s="1"/>
  <c r="I211" i="18"/>
  <c r="I404" i="18"/>
  <c r="K404" i="18" s="1"/>
  <c r="I80" i="18"/>
  <c r="K80" i="18" s="1"/>
  <c r="I715" i="18"/>
  <c r="K715" i="18" s="1"/>
  <c r="F26" i="16"/>
  <c r="F11" i="16"/>
  <c r="F5" i="16"/>
  <c r="I706" i="18"/>
  <c r="K706" i="18" s="1"/>
  <c r="I646" i="18"/>
  <c r="K646" i="18" s="1"/>
  <c r="I401" i="18"/>
  <c r="K401" i="18" s="1"/>
  <c r="F29" i="16"/>
  <c r="F34" i="16"/>
  <c r="I164" i="18"/>
  <c r="K164" i="18" s="1"/>
  <c r="I626" i="18"/>
  <c r="K626" i="18" s="1"/>
  <c r="I119" i="18"/>
  <c r="K119" i="18" s="1"/>
  <c r="F8" i="16"/>
  <c r="I90" i="18"/>
  <c r="K90" i="18" s="1"/>
  <c r="F40" i="16"/>
  <c r="I619" i="18"/>
  <c r="K619" i="18" s="1"/>
  <c r="F38" i="16"/>
  <c r="I504" i="18"/>
  <c r="K504" i="18" s="1"/>
  <c r="F25" i="16"/>
  <c r="I193" i="18"/>
  <c r="K193" i="18" s="1"/>
  <c r="I687" i="18"/>
  <c r="K687" i="18" s="1"/>
  <c r="F27" i="16"/>
  <c r="F35" i="16"/>
  <c r="I568" i="18"/>
  <c r="K568" i="18" s="1"/>
  <c r="I711" i="18"/>
  <c r="K711" i="18" s="1"/>
  <c r="I399" i="18"/>
  <c r="K399" i="18" s="1"/>
  <c r="I565" i="18"/>
  <c r="K565" i="18" s="1"/>
  <c r="I648" i="18"/>
  <c r="K648" i="18" s="1"/>
  <c r="F39" i="16"/>
  <c r="I739" i="18"/>
  <c r="K739" i="18" s="1"/>
  <c r="I387" i="18"/>
  <c r="K387" i="18" s="1"/>
  <c r="G17" i="16"/>
  <c r="I610" i="18"/>
  <c r="K610" i="18" s="1"/>
  <c r="I120" i="18"/>
  <c r="K120" i="18" s="1"/>
  <c r="I612" i="18"/>
  <c r="K612" i="18" s="1"/>
  <c r="I385" i="18"/>
  <c r="K385" i="18" s="1"/>
  <c r="G18" i="16"/>
  <c r="I805" i="18"/>
  <c r="K805" i="18" s="1"/>
  <c r="G27" i="16"/>
  <c r="I279" i="18"/>
  <c r="K279" i="18" s="1"/>
  <c r="I697" i="18"/>
  <c r="K697" i="18" s="1"/>
  <c r="I659" i="18"/>
  <c r="K659" i="18" s="1"/>
  <c r="I97" i="18"/>
  <c r="K97" i="18" s="1"/>
  <c r="I158" i="18"/>
  <c r="K158" i="18" s="1"/>
  <c r="I348" i="18"/>
  <c r="K348" i="18" s="1"/>
  <c r="I78" i="18"/>
  <c r="K78" i="18" s="1"/>
  <c r="I628" i="18"/>
  <c r="K628" i="18" s="1"/>
  <c r="G32" i="16"/>
  <c r="I802" i="18"/>
  <c r="K802" i="18" s="1"/>
  <c r="I526" i="18"/>
  <c r="K526" i="18" s="1"/>
  <c r="G36" i="16"/>
  <c r="G41" i="16"/>
  <c r="I591" i="18"/>
  <c r="K591" i="18" s="1"/>
  <c r="I436" i="18"/>
  <c r="K436" i="18" s="1"/>
  <c r="G24" i="16"/>
  <c r="G9" i="16"/>
  <c r="I274" i="18"/>
  <c r="K274" i="18" s="1"/>
  <c r="I81" i="18"/>
  <c r="K81" i="18" s="1"/>
  <c r="G20" i="16"/>
  <c r="I342" i="18"/>
  <c r="K342" i="18" s="1"/>
  <c r="I700" i="18"/>
  <c r="K700" i="18" s="1"/>
  <c r="I363" i="18"/>
  <c r="K363" i="18" s="1"/>
  <c r="I307" i="18"/>
  <c r="K307" i="18" s="1"/>
  <c r="I191" i="18"/>
  <c r="K191" i="18" s="1"/>
  <c r="I329" i="18"/>
  <c r="K329" i="18" s="1"/>
  <c r="I340" i="18"/>
  <c r="K340" i="18" s="1"/>
  <c r="I744" i="18"/>
  <c r="K744" i="18" s="1"/>
  <c r="I716" i="18"/>
  <c r="K716" i="18" s="1"/>
  <c r="I485" i="18"/>
  <c r="K485" i="18" s="1"/>
  <c r="I606" i="18"/>
  <c r="K606" i="18" s="1"/>
  <c r="I624" i="18"/>
  <c r="K624" i="18" s="1"/>
  <c r="I576" i="18"/>
  <c r="K576" i="18" s="1"/>
  <c r="G38" i="16"/>
  <c r="G15" i="16"/>
  <c r="I620" i="18"/>
  <c r="K620" i="18" s="1"/>
  <c r="I510" i="18"/>
  <c r="K510" i="18" s="1"/>
  <c r="I173" i="18"/>
  <c r="K173" i="18" s="1"/>
  <c r="I132" i="18"/>
  <c r="K132" i="18" s="1"/>
  <c r="I214" i="18"/>
  <c r="I369" i="18"/>
  <c r="K369" i="18" s="1"/>
  <c r="I455" i="18"/>
  <c r="K455" i="18" s="1"/>
  <c r="G25" i="16"/>
  <c r="G23" i="16"/>
  <c r="I587" i="18"/>
  <c r="K587" i="18" s="1"/>
  <c r="I640" i="18"/>
  <c r="K640" i="18" s="1"/>
  <c r="I245" i="18"/>
  <c r="K245" i="18" s="1"/>
  <c r="I286" i="18"/>
  <c r="K286" i="18" s="1"/>
  <c r="I170" i="18"/>
  <c r="K170" i="18" s="1"/>
  <c r="I251" i="18"/>
  <c r="K251" i="18" s="1"/>
  <c r="I273" i="18"/>
  <c r="K273" i="18" s="1"/>
  <c r="I235" i="18"/>
  <c r="K235" i="18" s="1"/>
  <c r="I175" i="18"/>
  <c r="K175" i="18" s="1"/>
  <c r="I359" i="18"/>
  <c r="K359" i="18" s="1"/>
  <c r="I636" i="18"/>
  <c r="K636" i="18" s="1"/>
  <c r="I219" i="18"/>
  <c r="K219" i="18" s="1"/>
  <c r="I652" i="18"/>
  <c r="K652" i="18" s="1"/>
  <c r="I271" i="18"/>
  <c r="K271" i="18" s="1"/>
  <c r="G10" i="16"/>
  <c r="I383" i="18"/>
  <c r="K383" i="18" s="1"/>
  <c r="I118" i="18"/>
  <c r="K118" i="18" s="1"/>
  <c r="I253" i="18"/>
  <c r="K253" i="18" s="1"/>
  <c r="I297" i="18"/>
  <c r="K297" i="18" s="1"/>
  <c r="I669" i="18"/>
  <c r="K669" i="18" s="1"/>
  <c r="I597" i="18"/>
  <c r="K597" i="18" s="1"/>
  <c r="I463" i="18"/>
  <c r="K463" i="18" s="1"/>
  <c r="I346" i="18"/>
  <c r="K346" i="18" s="1"/>
  <c r="I357" i="18"/>
  <c r="K357" i="18" s="1"/>
  <c r="I161" i="18"/>
  <c r="K161" i="18" s="1"/>
  <c r="G12" i="16"/>
  <c r="G39" i="16"/>
  <c r="I181" i="18"/>
  <c r="K181" i="18" s="1"/>
  <c r="G13" i="16"/>
  <c r="I678" i="18"/>
  <c r="K678" i="18" s="1"/>
  <c r="G29" i="16"/>
  <c r="I283" i="18"/>
  <c r="K283" i="18" s="1"/>
  <c r="I186" i="18"/>
  <c r="K186" i="18" s="1"/>
  <c r="I388" i="18"/>
  <c r="K388" i="18" s="1"/>
  <c r="G11" i="16"/>
  <c r="I86" i="18"/>
  <c r="K86" i="18" s="1"/>
  <c r="I365" i="18"/>
  <c r="K365" i="18" s="1"/>
  <c r="G33" i="16"/>
  <c r="I594" i="18"/>
  <c r="K594" i="18" s="1"/>
  <c r="I644" i="18"/>
  <c r="K644" i="18" s="1"/>
  <c r="I688" i="18"/>
  <c r="K688" i="18" s="1"/>
  <c r="I220" i="18"/>
  <c r="K220" i="18" s="1"/>
  <c r="I209" i="18"/>
  <c r="K209" i="18" s="1"/>
  <c r="G6" i="16"/>
  <c r="I168" i="18"/>
  <c r="K168" i="18" s="1"/>
  <c r="G8" i="16"/>
  <c r="I471" i="18"/>
  <c r="K471" i="18" s="1"/>
  <c r="I760" i="18"/>
  <c r="K760" i="18" s="1"/>
  <c r="I719" i="18"/>
  <c r="K719" i="18" s="1"/>
  <c r="G28" i="16"/>
  <c r="I712" i="18"/>
  <c r="K712" i="18" s="1"/>
  <c r="I243" i="18"/>
  <c r="K243" i="18" s="1"/>
  <c r="I237" i="18"/>
  <c r="K237" i="18" s="1"/>
  <c r="G30" i="16"/>
  <c r="I321" i="18"/>
  <c r="K321" i="18" s="1"/>
  <c r="I405" i="18"/>
  <c r="K405" i="18" s="1"/>
  <c r="G35" i="16"/>
  <c r="I566" i="18"/>
  <c r="K566" i="18" s="1"/>
  <c r="I371" i="18"/>
  <c r="K371" i="18" s="1"/>
  <c r="I134" i="18"/>
  <c r="K134" i="18" s="1"/>
  <c r="I229" i="18"/>
  <c r="K229" i="18" s="1"/>
  <c r="I227" i="18"/>
  <c r="K227" i="18" s="1"/>
  <c r="I367" i="18"/>
  <c r="K367" i="18" s="1"/>
  <c r="I647" i="18"/>
  <c r="K647" i="18" s="1"/>
  <c r="I548" i="18"/>
  <c r="K548" i="18" s="1"/>
  <c r="G22" i="16"/>
  <c r="I694" i="18"/>
  <c r="K694" i="18" s="1"/>
  <c r="I633" i="18"/>
  <c r="K633" i="18" s="1"/>
  <c r="I403" i="18"/>
  <c r="K403" i="18" s="1"/>
  <c r="I194" i="18"/>
  <c r="K194" i="18" s="1"/>
  <c r="G37" i="16"/>
  <c r="I305" i="18"/>
  <c r="K305" i="18" s="1"/>
  <c r="I684" i="18"/>
  <c r="K684" i="18" s="1"/>
  <c r="I375" i="18"/>
  <c r="K375" i="18" s="1"/>
  <c r="I654" i="18"/>
  <c r="K654" i="18" s="1"/>
  <c r="G5" i="16"/>
  <c r="G3" i="16"/>
  <c r="I258" i="18"/>
  <c r="K258" i="18" s="1"/>
  <c r="I431" i="18"/>
  <c r="K431" i="18" s="1"/>
  <c r="I602" i="18"/>
  <c r="K602" i="18" s="1"/>
  <c r="I294" i="18"/>
  <c r="K294" i="18" s="1"/>
  <c r="I487" i="18"/>
  <c r="K487" i="18" s="1"/>
  <c r="I386" i="18"/>
  <c r="K386" i="18" s="1"/>
  <c r="G7" i="16"/>
  <c r="I637" i="18"/>
  <c r="K637" i="18" s="1"/>
  <c r="G31" i="16"/>
  <c r="I372" i="18"/>
  <c r="K372" i="18" s="1"/>
  <c r="I656" i="18"/>
  <c r="K656" i="18" s="1"/>
  <c r="I335" i="18"/>
  <c r="K335" i="18" s="1"/>
  <c r="G40" i="16"/>
  <c r="G26" i="16"/>
  <c r="I265" i="18"/>
  <c r="K265" i="18" s="1"/>
  <c r="G21" i="16"/>
  <c r="I447" i="18"/>
  <c r="K447" i="18" s="1"/>
  <c r="I316" i="18"/>
  <c r="K316" i="18" s="1"/>
  <c r="I289" i="18"/>
  <c r="K289" i="18" s="1"/>
  <c r="I313" i="18"/>
  <c r="K313" i="18" s="1"/>
  <c r="I581" i="18"/>
  <c r="K581" i="18" s="1"/>
  <c r="I592" i="18"/>
  <c r="K592" i="18" s="1"/>
  <c r="I642" i="18"/>
  <c r="K642" i="18" s="1"/>
  <c r="I534" i="18"/>
  <c r="K534" i="18" s="1"/>
  <c r="I116" i="18"/>
  <c r="K116" i="18" s="1"/>
  <c r="I569" i="18"/>
  <c r="K569" i="18" s="1"/>
  <c r="I584" i="18"/>
  <c r="K584" i="18" s="1"/>
  <c r="I441" i="18"/>
  <c r="K441" i="18" s="1"/>
  <c r="G19" i="16"/>
  <c r="G14" i="16"/>
  <c r="I616" i="18"/>
  <c r="K616" i="18" s="1"/>
  <c r="I76" i="18"/>
  <c r="K76" i="18" s="1"/>
  <c r="I554" i="18"/>
  <c r="K554" i="18" s="1"/>
  <c r="I295" i="18"/>
  <c r="K295" i="18" s="1"/>
  <c r="I550" i="18"/>
  <c r="K550" i="18" s="1"/>
  <c r="G4" i="16"/>
  <c r="I664" i="18"/>
  <c r="K664" i="18" s="1"/>
  <c r="I631" i="18"/>
  <c r="K631" i="18" s="1"/>
  <c r="G16" i="16"/>
  <c r="I374" i="18"/>
  <c r="K374" i="18" s="1"/>
  <c r="I707" i="18"/>
  <c r="K707" i="18" s="1"/>
  <c r="I354" i="18"/>
  <c r="K354" i="18" s="1"/>
  <c r="G34" i="16"/>
  <c r="I518" i="18"/>
  <c r="K518" i="18" s="1"/>
  <c r="I667" i="18"/>
  <c r="K667" i="18" s="1"/>
  <c r="I549" i="18"/>
  <c r="K549" i="18" s="1"/>
  <c r="E28" i="16"/>
  <c r="E27" i="16"/>
  <c r="E4" i="16"/>
  <c r="E16" i="16"/>
  <c r="E40" i="16"/>
  <c r="I266" i="18"/>
  <c r="K266" i="18" s="1"/>
  <c r="E34" i="16"/>
  <c r="E35" i="16"/>
  <c r="I552" i="18"/>
  <c r="K552" i="18" s="1"/>
  <c r="E5" i="16"/>
  <c r="E9" i="16"/>
  <c r="E10" i="16"/>
  <c r="E17" i="16"/>
  <c r="I301" i="18"/>
  <c r="K301" i="18" s="1"/>
  <c r="E19" i="16"/>
  <c r="E31" i="16"/>
  <c r="I347" i="18"/>
  <c r="K347" i="18" s="1"/>
  <c r="E37" i="16"/>
  <c r="E32" i="16"/>
  <c r="E41" i="16"/>
  <c r="E18" i="16"/>
  <c r="E21" i="16"/>
  <c r="E23" i="16"/>
  <c r="E3" i="16"/>
  <c r="I298" i="18"/>
  <c r="K298" i="18" s="1"/>
  <c r="E7" i="16"/>
  <c r="E11" i="16"/>
  <c r="E8" i="16"/>
  <c r="E36" i="16"/>
  <c r="E25" i="16"/>
  <c r="E33" i="16"/>
  <c r="E26" i="16"/>
  <c r="E24" i="16"/>
  <c r="I555" i="18"/>
  <c r="K555" i="18" s="1"/>
  <c r="E14" i="16"/>
  <c r="I368" i="18"/>
  <c r="K368" i="18" s="1"/>
  <c r="E12" i="16"/>
  <c r="I276" i="18"/>
  <c r="K276" i="18" s="1"/>
  <c r="E15" i="16"/>
  <c r="E39" i="16"/>
  <c r="E38" i="16"/>
  <c r="E6" i="16"/>
  <c r="I291" i="18"/>
  <c r="K291" i="18" s="1"/>
  <c r="E13" i="16"/>
  <c r="I639" i="18"/>
  <c r="K639" i="18" s="1"/>
  <c r="E30" i="16"/>
  <c r="E20" i="16"/>
  <c r="I263" i="18"/>
  <c r="K263" i="18" s="1"/>
  <c r="I323" i="18"/>
  <c r="K323" i="18" s="1"/>
  <c r="E22" i="16"/>
  <c r="E29" i="16"/>
  <c r="I260" i="18"/>
  <c r="K260" i="18" s="1"/>
  <c r="M368" i="15"/>
  <c r="L368" i="15"/>
  <c r="I541" i="18" s="1"/>
  <c r="K541" i="18" s="1"/>
  <c r="K368" i="15"/>
  <c r="J368" i="15"/>
  <c r="I538" i="18" s="1"/>
  <c r="K538" i="18" s="1"/>
  <c r="M365" i="2"/>
  <c r="L365" i="2"/>
  <c r="O366" i="2"/>
  <c r="G366" i="2"/>
  <c r="B367" i="2"/>
  <c r="H366" i="2"/>
  <c r="F366" i="2"/>
  <c r="Q366" i="2" s="1"/>
  <c r="D366" i="2"/>
  <c r="E366" i="2"/>
  <c r="R366" i="2"/>
  <c r="P366" i="2"/>
  <c r="K365" i="2"/>
  <c r="J365" i="2"/>
  <c r="T324" i="18" l="1"/>
  <c r="N542" i="18"/>
  <c r="U542" i="18" s="1"/>
  <c r="N302" i="18"/>
  <c r="AA302" i="18" s="1"/>
  <c r="N410" i="18"/>
  <c r="AA410" i="18" s="1"/>
  <c r="N303" i="18"/>
  <c r="Z303" i="18" s="1"/>
  <c r="N539" i="18"/>
  <c r="T539" i="18" s="1"/>
  <c r="N541" i="18"/>
  <c r="Z541" i="18" s="1"/>
  <c r="N784" i="18"/>
  <c r="AA784" i="18" s="1"/>
  <c r="N409" i="18"/>
  <c r="AA409" i="18" s="1"/>
  <c r="N324" i="18"/>
  <c r="Z324" i="18" s="1"/>
  <c r="N540" i="18"/>
  <c r="N538" i="18"/>
  <c r="AA538" i="18" s="1"/>
  <c r="N543" i="18"/>
  <c r="AA543" i="18" s="1"/>
  <c r="N325" i="18"/>
  <c r="U325" i="18" s="1"/>
  <c r="I497" i="18"/>
  <c r="K497" i="18" s="1"/>
  <c r="I427" i="18"/>
  <c r="K427" i="18" s="1"/>
  <c r="I489" i="18"/>
  <c r="K489" i="18" s="1"/>
  <c r="I421" i="18"/>
  <c r="K421" i="18" s="1"/>
  <c r="I437" i="18"/>
  <c r="K437" i="18" s="1"/>
  <c r="I540" i="18"/>
  <c r="K540" i="18" s="1"/>
  <c r="I432" i="18"/>
  <c r="K432" i="18" s="1"/>
  <c r="I450" i="18"/>
  <c r="K450" i="18" s="1"/>
  <c r="I466" i="18"/>
  <c r="K466" i="18" s="1"/>
  <c r="I442" i="18"/>
  <c r="K442" i="18" s="1"/>
  <c r="I499" i="18"/>
  <c r="K499" i="18" s="1"/>
  <c r="I474" i="18"/>
  <c r="K474" i="18" s="1"/>
  <c r="I492" i="18"/>
  <c r="K492" i="18" s="1"/>
  <c r="I458" i="18"/>
  <c r="K458" i="18" s="1"/>
  <c r="T409" i="18"/>
  <c r="T784" i="18"/>
  <c r="Z784" i="18"/>
  <c r="M145" i="16"/>
  <c r="M115" i="16"/>
  <c r="M120" i="16"/>
  <c r="M141" i="16"/>
  <c r="M133" i="16"/>
  <c r="M131" i="16"/>
  <c r="M128" i="16"/>
  <c r="M137" i="16"/>
  <c r="M143" i="16"/>
  <c r="M125" i="16"/>
  <c r="M144" i="16"/>
  <c r="M149" i="16"/>
  <c r="M147" i="16"/>
  <c r="M150" i="16"/>
  <c r="M114" i="16"/>
  <c r="M134" i="16"/>
  <c r="M130" i="16"/>
  <c r="M142" i="16"/>
  <c r="M126" i="16"/>
  <c r="M123" i="16"/>
  <c r="M122" i="16"/>
  <c r="M121" i="16"/>
  <c r="M146" i="16"/>
  <c r="M151" i="16"/>
  <c r="M116" i="16"/>
  <c r="M124" i="16"/>
  <c r="M135" i="16"/>
  <c r="M129" i="16"/>
  <c r="M118" i="16"/>
  <c r="M136" i="16"/>
  <c r="M127" i="16"/>
  <c r="M132" i="16"/>
  <c r="M140" i="16"/>
  <c r="M138" i="16"/>
  <c r="M113" i="16"/>
  <c r="M119" i="16"/>
  <c r="M139" i="16"/>
  <c r="M117" i="16"/>
  <c r="M148" i="16"/>
  <c r="K160" i="16"/>
  <c r="K146" i="16"/>
  <c r="K140" i="16"/>
  <c r="K149" i="16"/>
  <c r="K145" i="16"/>
  <c r="K131" i="16"/>
  <c r="K114" i="16"/>
  <c r="K121" i="16"/>
  <c r="K163" i="16"/>
  <c r="K158" i="16"/>
  <c r="K150" i="16"/>
  <c r="K148" i="16"/>
  <c r="K164" i="16"/>
  <c r="K124" i="16"/>
  <c r="K119" i="16"/>
  <c r="K151" i="16"/>
  <c r="K162" i="16"/>
  <c r="K138" i="16"/>
  <c r="K125" i="16"/>
  <c r="K134" i="16"/>
  <c r="K118" i="16"/>
  <c r="K126" i="16"/>
  <c r="K135" i="16"/>
  <c r="K141" i="16"/>
  <c r="K152" i="16"/>
  <c r="K127" i="16"/>
  <c r="K139" i="16"/>
  <c r="K115" i="16"/>
  <c r="K161" i="16"/>
  <c r="K130" i="16"/>
  <c r="K122" i="16"/>
  <c r="K156" i="16"/>
  <c r="K117" i="16"/>
  <c r="K120" i="16"/>
  <c r="K137" i="16"/>
  <c r="K157" i="16"/>
  <c r="K129" i="16"/>
  <c r="K153" i="16"/>
  <c r="K144" i="16"/>
  <c r="K132" i="16"/>
  <c r="K123" i="16"/>
  <c r="K155" i="16"/>
  <c r="K133" i="16"/>
  <c r="K128" i="16"/>
  <c r="K116" i="16"/>
  <c r="K159" i="16"/>
  <c r="K143" i="16"/>
  <c r="K142" i="16"/>
  <c r="K113" i="16"/>
  <c r="K136" i="16"/>
  <c r="K154" i="16"/>
  <c r="K147" i="16"/>
  <c r="N52" i="16"/>
  <c r="N152" i="16"/>
  <c r="N162" i="16"/>
  <c r="N157" i="16"/>
  <c r="N51" i="16"/>
  <c r="N42" i="16"/>
  <c r="N154" i="16"/>
  <c r="N153" i="16"/>
  <c r="N43" i="16"/>
  <c r="N48" i="16"/>
  <c r="N47" i="16"/>
  <c r="N161" i="16"/>
  <c r="N156" i="16"/>
  <c r="N160" i="16"/>
  <c r="N44" i="16"/>
  <c r="N46" i="16"/>
  <c r="N159" i="16"/>
  <c r="N49" i="16"/>
  <c r="N163" i="16"/>
  <c r="N164" i="16"/>
  <c r="N53" i="16"/>
  <c r="N54" i="16"/>
  <c r="N50" i="16"/>
  <c r="N155" i="16"/>
  <c r="N158" i="16"/>
  <c r="N45" i="16"/>
  <c r="J145" i="16"/>
  <c r="J122" i="16"/>
  <c r="J120" i="16"/>
  <c r="J127" i="16"/>
  <c r="J132" i="16"/>
  <c r="J128" i="16"/>
  <c r="J150" i="16"/>
  <c r="J147" i="16"/>
  <c r="J117" i="16"/>
  <c r="J129" i="16"/>
  <c r="J124" i="16"/>
  <c r="J134" i="16"/>
  <c r="J133" i="16"/>
  <c r="J139" i="16"/>
  <c r="J115" i="16"/>
  <c r="J114" i="16"/>
  <c r="J140" i="16"/>
  <c r="J148" i="16"/>
  <c r="J130" i="16"/>
  <c r="J135" i="16"/>
  <c r="J142" i="16"/>
  <c r="J125" i="16"/>
  <c r="J141" i="16"/>
  <c r="J119" i="16"/>
  <c r="J149" i="16"/>
  <c r="J137" i="16"/>
  <c r="J144" i="16"/>
  <c r="J118" i="16"/>
  <c r="J143" i="16"/>
  <c r="J131" i="16"/>
  <c r="J116" i="16"/>
  <c r="J136" i="16"/>
  <c r="J138" i="16"/>
  <c r="J113" i="16"/>
  <c r="J146" i="16"/>
  <c r="J151" i="16"/>
  <c r="J123" i="16"/>
  <c r="J126" i="16"/>
  <c r="J121" i="16"/>
  <c r="L146" i="16"/>
  <c r="L119" i="16"/>
  <c r="L128" i="16"/>
  <c r="L129" i="16"/>
  <c r="L137" i="16"/>
  <c r="L132" i="16"/>
  <c r="L131" i="16"/>
  <c r="L150" i="16"/>
  <c r="L143" i="16"/>
  <c r="L145" i="16"/>
  <c r="L125" i="16"/>
  <c r="L133" i="16"/>
  <c r="L147" i="16"/>
  <c r="L127" i="16"/>
  <c r="L126" i="16"/>
  <c r="L134" i="16"/>
  <c r="L121" i="16"/>
  <c r="L139" i="16"/>
  <c r="L116" i="16"/>
  <c r="L113" i="16"/>
  <c r="L123" i="16"/>
  <c r="L149" i="16"/>
  <c r="L142" i="16"/>
  <c r="L115" i="16"/>
  <c r="L138" i="16"/>
  <c r="L120" i="16"/>
  <c r="L117" i="16"/>
  <c r="L122" i="16"/>
  <c r="L148" i="16"/>
  <c r="L114" i="16"/>
  <c r="L124" i="16"/>
  <c r="L144" i="16"/>
  <c r="L130" i="16"/>
  <c r="L151" i="16"/>
  <c r="L136" i="16"/>
  <c r="L140" i="16"/>
  <c r="L118" i="16"/>
  <c r="L135" i="16"/>
  <c r="L141" i="16"/>
  <c r="I113" i="16"/>
  <c r="I136" i="16"/>
  <c r="I133" i="16"/>
  <c r="I146" i="16"/>
  <c r="I116" i="16"/>
  <c r="I127" i="16"/>
  <c r="I134" i="16"/>
  <c r="I119" i="16"/>
  <c r="I157" i="16"/>
  <c r="I132" i="16"/>
  <c r="I152" i="16"/>
  <c r="I151" i="16"/>
  <c r="I144" i="16"/>
  <c r="I123" i="16"/>
  <c r="I163" i="16"/>
  <c r="I117" i="16"/>
  <c r="I155" i="16"/>
  <c r="I118" i="16"/>
  <c r="I124" i="16"/>
  <c r="I115" i="16"/>
  <c r="I162" i="16"/>
  <c r="I130" i="16"/>
  <c r="I121" i="16"/>
  <c r="I128" i="16"/>
  <c r="I140" i="16"/>
  <c r="I137" i="16"/>
  <c r="I150" i="16"/>
  <c r="I161" i="16"/>
  <c r="I139" i="16"/>
  <c r="I131" i="16"/>
  <c r="I135" i="16"/>
  <c r="I156" i="16"/>
  <c r="I164" i="16"/>
  <c r="I148" i="16"/>
  <c r="I159" i="16"/>
  <c r="I129" i="16"/>
  <c r="I145" i="16"/>
  <c r="I114" i="16"/>
  <c r="I149" i="16"/>
  <c r="I125" i="16"/>
  <c r="I160" i="16"/>
  <c r="I138" i="16"/>
  <c r="I126" i="16"/>
  <c r="I158" i="16"/>
  <c r="I120" i="16"/>
  <c r="I143" i="16"/>
  <c r="I142" i="16"/>
  <c r="I154" i="16"/>
  <c r="I141" i="16"/>
  <c r="I147" i="16"/>
  <c r="I122" i="16"/>
  <c r="I153" i="16"/>
  <c r="I308" i="18"/>
  <c r="K308" i="18" s="1"/>
  <c r="I563" i="18"/>
  <c r="K563" i="18" s="1"/>
  <c r="I55" i="18"/>
  <c r="K55" i="18" s="1"/>
  <c r="I48" i="18"/>
  <c r="K48" i="18" s="1"/>
  <c r="I187" i="18"/>
  <c r="K187" i="18" s="1"/>
  <c r="I18" i="16"/>
  <c r="I28" i="16"/>
  <c r="I29" i="16"/>
  <c r="I42" i="18"/>
  <c r="K42" i="18" s="1"/>
  <c r="I774" i="18"/>
  <c r="K774" i="18" s="1"/>
  <c r="I786" i="18"/>
  <c r="K786" i="18" s="1"/>
  <c r="I19" i="16"/>
  <c r="I38" i="16"/>
  <c r="I45" i="18"/>
  <c r="K45" i="18" s="1"/>
  <c r="I9" i="16"/>
  <c r="I10" i="16"/>
  <c r="I16" i="16"/>
  <c r="I53" i="18"/>
  <c r="K53" i="18" s="1"/>
  <c r="I33" i="16"/>
  <c r="I5" i="16"/>
  <c r="I61" i="18"/>
  <c r="K61" i="18" s="1"/>
  <c r="I39" i="18"/>
  <c r="K39" i="18" s="1"/>
  <c r="I31" i="16"/>
  <c r="I3" i="16"/>
  <c r="I26" i="16"/>
  <c r="K211" i="18"/>
  <c r="K210" i="18"/>
  <c r="I23" i="16"/>
  <c r="I7" i="16"/>
  <c r="I37" i="16"/>
  <c r="I221" i="18"/>
  <c r="K221" i="18" s="1"/>
  <c r="I13" i="16"/>
  <c r="I20" i="16"/>
  <c r="I41" i="16"/>
  <c r="I31" i="18"/>
  <c r="K31" i="18" s="1"/>
  <c r="I27" i="16"/>
  <c r="I797" i="18"/>
  <c r="K797" i="18" s="1"/>
  <c r="I15" i="16"/>
  <c r="I813" i="18"/>
  <c r="K813" i="18" s="1"/>
  <c r="I332" i="18"/>
  <c r="K332" i="18" s="1"/>
  <c r="I24" i="16"/>
  <c r="I30" i="16"/>
  <c r="I11" i="16"/>
  <c r="I21" i="16"/>
  <c r="I360" i="18"/>
  <c r="K360" i="18" s="1"/>
  <c r="I182" i="18"/>
  <c r="K182" i="18" s="1"/>
  <c r="K214" i="18"/>
  <c r="K803" i="18"/>
  <c r="I366" i="2"/>
  <c r="N366" i="2"/>
  <c r="I22" i="16"/>
  <c r="I25" i="16"/>
  <c r="I6" i="16"/>
  <c r="I299" i="18"/>
  <c r="K299" i="18" s="1"/>
  <c r="I17" i="16"/>
  <c r="I344" i="18"/>
  <c r="K344" i="18" s="1"/>
  <c r="I215" i="18"/>
  <c r="I14" i="16"/>
  <c r="I17" i="18"/>
  <c r="K17" i="18" s="1"/>
  <c r="I12" i="16"/>
  <c r="I4" i="16"/>
  <c r="I77" i="18"/>
  <c r="K77" i="18" s="1"/>
  <c r="I35" i="16"/>
  <c r="I32" i="16"/>
  <c r="I36" i="16"/>
  <c r="I34" i="16"/>
  <c r="K49" i="16"/>
  <c r="K42" i="16"/>
  <c r="K51" i="16"/>
  <c r="K44" i="16"/>
  <c r="K53" i="16"/>
  <c r="K46" i="16"/>
  <c r="K52" i="16"/>
  <c r="K47" i="16"/>
  <c r="K50" i="16"/>
  <c r="K43" i="16"/>
  <c r="K54" i="16"/>
  <c r="K45" i="16"/>
  <c r="K48" i="16"/>
  <c r="I43" i="16"/>
  <c r="I52" i="16"/>
  <c r="I51" i="16"/>
  <c r="I44" i="16"/>
  <c r="I49" i="16"/>
  <c r="I50" i="16"/>
  <c r="I47" i="16"/>
  <c r="I48" i="16"/>
  <c r="I54" i="16"/>
  <c r="I45" i="16"/>
  <c r="I53" i="16"/>
  <c r="I46" i="16"/>
  <c r="I42" i="16"/>
  <c r="I127" i="18"/>
  <c r="K127" i="18" s="1"/>
  <c r="I8" i="16"/>
  <c r="I40" i="16"/>
  <c r="I3" i="18"/>
  <c r="K3" i="18" s="1"/>
  <c r="I143" i="18"/>
  <c r="K143" i="18" s="1"/>
  <c r="I39" i="16"/>
  <c r="K36" i="18"/>
  <c r="N255" i="18"/>
  <c r="N697" i="18"/>
  <c r="U697" i="18" s="1"/>
  <c r="N430" i="18"/>
  <c r="U430" i="18" s="1"/>
  <c r="N694" i="18"/>
  <c r="N84" i="18"/>
  <c r="T84" i="18" s="1"/>
  <c r="N691" i="18"/>
  <c r="T691" i="18" s="1"/>
  <c r="N686" i="18"/>
  <c r="T686" i="18" s="1"/>
  <c r="N682" i="18"/>
  <c r="T682" i="18" s="1"/>
  <c r="N44" i="18"/>
  <c r="T44" i="18" s="1"/>
  <c r="N811" i="18"/>
  <c r="T811" i="18" s="1"/>
  <c r="N75" i="18"/>
  <c r="T75" i="18" s="1"/>
  <c r="N573" i="18"/>
  <c r="U573" i="18" s="1"/>
  <c r="N816" i="18"/>
  <c r="T816" i="18" s="1"/>
  <c r="N690" i="18"/>
  <c r="T690" i="18" s="1"/>
  <c r="N407" i="18"/>
  <c r="U407" i="18" s="1"/>
  <c r="N529" i="18"/>
  <c r="N562" i="18"/>
  <c r="N104" i="18"/>
  <c r="T104" i="18" s="1"/>
  <c r="N452" i="18"/>
  <c r="T452" i="18" s="1"/>
  <c r="N18" i="18"/>
  <c r="U18" i="18" s="1"/>
  <c r="N449" i="18"/>
  <c r="N64" i="18"/>
  <c r="N61" i="18"/>
  <c r="N533" i="18"/>
  <c r="N251" i="18"/>
  <c r="N636" i="18"/>
  <c r="N372" i="18"/>
  <c r="U372" i="18" s="1"/>
  <c r="N67" i="18"/>
  <c r="U67" i="18" s="1"/>
  <c r="N158" i="18"/>
  <c r="N649" i="18"/>
  <c r="U649" i="18" s="1"/>
  <c r="N808" i="18"/>
  <c r="T808" i="18" s="1"/>
  <c r="N698" i="18"/>
  <c r="N640" i="18"/>
  <c r="T640" i="18" s="1"/>
  <c r="N205" i="18"/>
  <c r="N454" i="18"/>
  <c r="T454" i="18" s="1"/>
  <c r="N492" i="18"/>
  <c r="N760" i="18"/>
  <c r="U760" i="18" s="1"/>
  <c r="N651" i="18"/>
  <c r="N439" i="18"/>
  <c r="N152" i="18"/>
  <c r="N12" i="18"/>
  <c r="N493" i="18"/>
  <c r="N664" i="18"/>
  <c r="N26" i="18"/>
  <c r="T26" i="18" s="1"/>
  <c r="N273" i="18"/>
  <c r="T273" i="18" s="1"/>
  <c r="N774" i="18"/>
  <c r="N553" i="18"/>
  <c r="U553" i="18" s="1"/>
  <c r="N581" i="18"/>
  <c r="U581" i="18" s="1"/>
  <c r="N781" i="18"/>
  <c r="N799" i="18"/>
  <c r="N406" i="18"/>
  <c r="N296" i="18"/>
  <c r="U296" i="18" s="1"/>
  <c r="N120" i="18"/>
  <c r="U120" i="18" s="1"/>
  <c r="N219" i="18"/>
  <c r="T219" i="18" s="1"/>
  <c r="N87" i="18"/>
  <c r="N819" i="18"/>
  <c r="N447" i="18"/>
  <c r="U447" i="18" s="1"/>
  <c r="N711" i="18"/>
  <c r="N613" i="18"/>
  <c r="U613" i="18" s="1"/>
  <c r="N81" i="18"/>
  <c r="T81" i="18" s="1"/>
  <c r="N180" i="18"/>
  <c r="N31" i="18"/>
  <c r="N241" i="18"/>
  <c r="N298" i="18"/>
  <c r="T298" i="18" s="1"/>
  <c r="N388" i="18"/>
  <c r="U388" i="18" s="1"/>
  <c r="N624" i="18"/>
  <c r="N297" i="18"/>
  <c r="T297" i="18" s="1"/>
  <c r="N213" i="18"/>
  <c r="N361" i="18"/>
  <c r="T361" i="18" s="1"/>
  <c r="N208" i="18"/>
  <c r="N748" i="18"/>
  <c r="N692" i="18"/>
  <c r="N820" i="18"/>
  <c r="T820" i="18" s="1"/>
  <c r="N486" i="18"/>
  <c r="N777" i="18"/>
  <c r="N346" i="18"/>
  <c r="U346" i="18" s="1"/>
  <c r="N495" i="18"/>
  <c r="N535" i="18"/>
  <c r="U535" i="18" s="1"/>
  <c r="N475" i="18"/>
  <c r="N227" i="18"/>
  <c r="U227" i="18" s="1"/>
  <c r="N815" i="18"/>
  <c r="N188" i="18"/>
  <c r="U188" i="18" s="1"/>
  <c r="N248" i="18"/>
  <c r="T248" i="18" s="1"/>
  <c r="N42" i="18"/>
  <c r="N353" i="18"/>
  <c r="T353" i="18" s="1"/>
  <c r="N331" i="18"/>
  <c r="N516" i="18"/>
  <c r="U516" i="18" s="1"/>
  <c r="N286" i="18"/>
  <c r="U286" i="18" s="1"/>
  <c r="N306" i="18"/>
  <c r="N82" i="18"/>
  <c r="T82" i="18" s="1"/>
  <c r="N805" i="18"/>
  <c r="T805" i="18" s="1"/>
  <c r="N671" i="18"/>
  <c r="T671" i="18" s="1"/>
  <c r="N184" i="18"/>
  <c r="U184" i="18" s="1"/>
  <c r="N9" i="18"/>
  <c r="T9" i="18" s="1"/>
  <c r="N127" i="18"/>
  <c r="N182" i="18"/>
  <c r="N327" i="18"/>
  <c r="N722" i="18"/>
  <c r="N460" i="18"/>
  <c r="U460" i="18" s="1"/>
  <c r="N689" i="18"/>
  <c r="N185" i="18"/>
  <c r="N478" i="18"/>
  <c r="N371" i="18"/>
  <c r="T371" i="18" s="1"/>
  <c r="N83" i="18"/>
  <c r="T83" i="18" s="1"/>
  <c r="N134" i="18"/>
  <c r="N596" i="18"/>
  <c r="N606" i="18"/>
  <c r="N645" i="18"/>
  <c r="T645" i="18" s="1"/>
  <c r="N818" i="18"/>
  <c r="U818" i="18" s="1"/>
  <c r="N436" i="18"/>
  <c r="T436" i="18" s="1"/>
  <c r="N307" i="18"/>
  <c r="N637" i="18"/>
  <c r="U637" i="18" s="1"/>
  <c r="N639" i="18"/>
  <c r="N285" i="18"/>
  <c r="N313" i="18"/>
  <c r="N589" i="18"/>
  <c r="N467" i="18"/>
  <c r="N411" i="18"/>
  <c r="T411" i="18" s="1"/>
  <c r="N726" i="18"/>
  <c r="N196" i="18"/>
  <c r="T196" i="18" s="1"/>
  <c r="N568" i="18"/>
  <c r="T568" i="18" s="1"/>
  <c r="N78" i="18"/>
  <c r="N531" i="18"/>
  <c r="N796" i="18"/>
  <c r="N440" i="18"/>
  <c r="T440" i="18" s="1"/>
  <c r="N268" i="18"/>
  <c r="U268" i="18" s="1"/>
  <c r="N105" i="18"/>
  <c r="T105" i="18" s="1"/>
  <c r="N620" i="18"/>
  <c r="N434" i="18"/>
  <c r="N385" i="18"/>
  <c r="N384" i="18"/>
  <c r="U384" i="18" s="1"/>
  <c r="N287" i="18"/>
  <c r="U287" i="18" s="1"/>
  <c r="N485" i="18"/>
  <c r="N665" i="18"/>
  <c r="U665" i="18" s="1"/>
  <c r="N785" i="18"/>
  <c r="T785" i="18" s="1"/>
  <c r="N801" i="18"/>
  <c r="T801" i="18" s="1"/>
  <c r="N705" i="18"/>
  <c r="T705" i="18" s="1"/>
  <c r="N156" i="18"/>
  <c r="N7" i="18"/>
  <c r="N278" i="18"/>
  <c r="T278" i="18" s="1"/>
  <c r="N734" i="18"/>
  <c r="U734" i="18" s="1"/>
  <c r="N326" i="18"/>
  <c r="N414" i="18"/>
  <c r="N804" i="18"/>
  <c r="T804" i="18" s="1"/>
  <c r="N615" i="18"/>
  <c r="T615" i="18" s="1"/>
  <c r="N508" i="18"/>
  <c r="T508" i="18" s="1"/>
  <c r="N43" i="18"/>
  <c r="N76" i="18"/>
  <c r="N767" i="18"/>
  <c r="N437" i="18"/>
  <c r="N510" i="18"/>
  <c r="T510" i="18" s="1"/>
  <c r="N457" i="18"/>
  <c r="U457" i="18" s="1"/>
  <c r="N468" i="18"/>
  <c r="T468" i="18" s="1"/>
  <c r="N616" i="18"/>
  <c r="U616" i="18" s="1"/>
  <c r="N97" i="18"/>
  <c r="N221" i="18"/>
  <c r="N233" i="18"/>
  <c r="N806" i="18"/>
  <c r="U806" i="18" s="1"/>
  <c r="N6" i="18"/>
  <c r="U6" i="18" s="1"/>
  <c r="N472" i="18"/>
  <c r="T472" i="18" s="1"/>
  <c r="N356" i="18"/>
  <c r="N402" i="18"/>
  <c r="N358" i="18"/>
  <c r="N103" i="18"/>
  <c r="U103" i="18" s="1"/>
  <c r="N48" i="18"/>
  <c r="N210" i="18"/>
  <c r="N93" i="18"/>
  <c r="N549" i="18"/>
  <c r="N3" i="18"/>
  <c r="N431" i="18"/>
  <c r="N563" i="18"/>
  <c r="N218" i="18"/>
  <c r="U218" i="18" s="1"/>
  <c r="N459" i="18"/>
  <c r="N702" i="18"/>
  <c r="N281" i="18"/>
  <c r="U281" i="18" s="1"/>
  <c r="N610" i="18"/>
  <c r="T610" i="18" s="1"/>
  <c r="N216" i="18"/>
  <c r="N301" i="18"/>
  <c r="U301" i="18" s="1"/>
  <c r="N415" i="18"/>
  <c r="N770" i="18"/>
  <c r="N482" i="18"/>
  <c r="N455" i="18"/>
  <c r="T455" i="18" s="1"/>
  <c r="N258" i="18"/>
  <c r="U258" i="18" s="1"/>
  <c r="N376" i="18"/>
  <c r="N600" i="18"/>
  <c r="N617" i="18"/>
  <c r="U617" i="18" s="1"/>
  <c r="N194" i="18"/>
  <c r="U194" i="18" s="1"/>
  <c r="N153" i="18"/>
  <c r="N727" i="18"/>
  <c r="N283" i="18"/>
  <c r="T283" i="18" s="1"/>
  <c r="N200" i="18"/>
  <c r="N209" i="18"/>
  <c r="N630" i="18"/>
  <c r="U630" i="18" s="1"/>
  <c r="N374" i="18"/>
  <c r="T374" i="18" s="1"/>
  <c r="N408" i="18"/>
  <c r="U408" i="18" s="1"/>
  <c r="N464" i="18"/>
  <c r="T464" i="18" s="1"/>
  <c r="N642" i="18"/>
  <c r="U642" i="18" s="1"/>
  <c r="N733" i="18"/>
  <c r="N246" i="18"/>
  <c r="N253" i="18"/>
  <c r="T253" i="18" s="1"/>
  <c r="N28" i="18"/>
  <c r="N308" i="18"/>
  <c r="N673" i="18"/>
  <c r="N336" i="18"/>
  <c r="U336" i="18" s="1"/>
  <c r="N746" i="18"/>
  <c r="N189" i="18"/>
  <c r="N136" i="18"/>
  <c r="T136" i="18" s="1"/>
  <c r="N317" i="18"/>
  <c r="U317" i="18" s="1"/>
  <c r="N161" i="18"/>
  <c r="U161" i="18" s="1"/>
  <c r="N226" i="18"/>
  <c r="N771" i="18"/>
  <c r="T771" i="18" s="1"/>
  <c r="N62" i="18"/>
  <c r="U62" i="18" s="1"/>
  <c r="N30" i="18"/>
  <c r="T30" i="18" s="1"/>
  <c r="N597" i="18"/>
  <c r="T597" i="18" s="1"/>
  <c r="N521" i="18"/>
  <c r="N314" i="18"/>
  <c r="U314" i="18" s="1"/>
  <c r="N270" i="18"/>
  <c r="U270" i="18" s="1"/>
  <c r="N618" i="18"/>
  <c r="N685" i="18"/>
  <c r="U685" i="18" s="1"/>
  <c r="N5" i="18"/>
  <c r="N160" i="18"/>
  <c r="U160" i="18" s="1"/>
  <c r="N646" i="18"/>
  <c r="U646" i="18" s="1"/>
  <c r="N347" i="18"/>
  <c r="U347" i="18" s="1"/>
  <c r="N751" i="18"/>
  <c r="N471" i="18"/>
  <c r="T471" i="18" s="1"/>
  <c r="N403" i="18"/>
  <c r="T403" i="18" s="1"/>
  <c r="N269" i="18"/>
  <c r="U269" i="18" s="1"/>
  <c r="N140" i="18"/>
  <c r="T140" i="18" s="1"/>
  <c r="N809" i="18"/>
  <c r="N378" i="18"/>
  <c r="U378" i="18" s="1"/>
  <c r="N214" i="18"/>
  <c r="N114" i="18"/>
  <c r="N578" i="18"/>
  <c r="U578" i="18" s="1"/>
  <c r="N647" i="18"/>
  <c r="U647" i="18" s="1"/>
  <c r="N155" i="18"/>
  <c r="T155" i="18" s="1"/>
  <c r="N68" i="18"/>
  <c r="N66" i="18"/>
  <c r="N126" i="18"/>
  <c r="N479" i="18"/>
  <c r="N280" i="18"/>
  <c r="N555" i="18"/>
  <c r="U555" i="18" s="1"/>
  <c r="N498" i="18"/>
  <c r="N143" i="18"/>
  <c r="N802" i="18"/>
  <c r="N699" i="18"/>
  <c r="U699" i="18" s="1"/>
  <c r="N764" i="18"/>
  <c r="U764" i="18" s="1"/>
  <c r="N125" i="18"/>
  <c r="N14" i="18"/>
  <c r="N683" i="18"/>
  <c r="N144" i="18"/>
  <c r="N50" i="18"/>
  <c r="N70" i="18"/>
  <c r="N643" i="18"/>
  <c r="U643" i="18" s="1"/>
  <c r="N300" i="18"/>
  <c r="U300" i="18" s="1"/>
  <c r="N177" i="18"/>
  <c r="U177" i="18" s="1"/>
  <c r="N425" i="18"/>
  <c r="N565" i="18"/>
  <c r="T565" i="18" s="1"/>
  <c r="N207" i="18"/>
  <c r="T207" i="18" s="1"/>
  <c r="N34" i="18"/>
  <c r="N256" i="18"/>
  <c r="T256" i="18" s="1"/>
  <c r="N244" i="18"/>
  <c r="N443" i="18"/>
  <c r="N312" i="18"/>
  <c r="T312" i="18" s="1"/>
  <c r="N267" i="18"/>
  <c r="N810" i="18"/>
  <c r="N418" i="18"/>
  <c r="N477" i="18"/>
  <c r="N494" i="18"/>
  <c r="N721" i="18"/>
  <c r="U721" i="18" s="1"/>
  <c r="N813" i="18"/>
  <c r="N772" i="18"/>
  <c r="N116" i="18"/>
  <c r="N334" i="18"/>
  <c r="U334" i="18" s="1"/>
  <c r="N128" i="18"/>
  <c r="N571" i="18"/>
  <c r="U571" i="18" s="1"/>
  <c r="N527" i="18"/>
  <c r="U527" i="18" s="1"/>
  <c r="N382" i="18"/>
  <c r="T382" i="18" s="1"/>
  <c r="N368" i="18"/>
  <c r="N387" i="18"/>
  <c r="U387" i="18" s="1"/>
  <c r="N817" i="18"/>
  <c r="T817" i="18" s="1"/>
  <c r="N607" i="18"/>
  <c r="N399" i="18"/>
  <c r="N115" i="18"/>
  <c r="U115" i="18" s="1"/>
  <c r="N725" i="18"/>
  <c r="N675" i="18"/>
  <c r="T675" i="18" s="1"/>
  <c r="N55" i="18"/>
  <c r="N231" i="18"/>
  <c r="U231" i="18" s="1"/>
  <c r="N328" i="18"/>
  <c r="N547" i="18"/>
  <c r="T547" i="18" s="1"/>
  <c r="N515" i="18"/>
  <c r="N220" i="18"/>
  <c r="U220" i="18" s="1"/>
  <c r="N223" i="18"/>
  <c r="U223" i="18" s="1"/>
  <c r="N657" i="18"/>
  <c r="N812" i="18"/>
  <c r="U812" i="18" s="1"/>
  <c r="N512" i="18"/>
  <c r="N170" i="18"/>
  <c r="U170" i="18" s="1"/>
  <c r="N499" i="18"/>
  <c r="N626" i="18"/>
  <c r="U626" i="18" s="1"/>
  <c r="N236" i="18"/>
  <c r="N145" i="18"/>
  <c r="N349" i="18"/>
  <c r="U349" i="18" s="1"/>
  <c r="N33" i="18"/>
  <c r="T33" i="18" s="1"/>
  <c r="N504" i="18"/>
  <c r="N192" i="18"/>
  <c r="U192" i="18" s="1"/>
  <c r="N458" i="18"/>
  <c r="N780" i="18"/>
  <c r="N57" i="18"/>
  <c r="U57" i="18" s="1"/>
  <c r="N243" i="18"/>
  <c r="U243" i="18" s="1"/>
  <c r="N10" i="18"/>
  <c r="N604" i="18"/>
  <c r="N420" i="18"/>
  <c r="T420" i="18" s="1"/>
  <c r="N629" i="18"/>
  <c r="U629" i="18" s="1"/>
  <c r="N656" i="18"/>
  <c r="N239" i="18"/>
  <c r="U239" i="18" s="1"/>
  <c r="N240" i="18"/>
  <c r="T240" i="18" s="1"/>
  <c r="N465" i="18"/>
  <c r="N224" i="18"/>
  <c r="N123" i="18"/>
  <c r="N537" i="18"/>
  <c r="N359" i="18"/>
  <c r="T359" i="18" s="1"/>
  <c r="N559" i="18"/>
  <c r="U559" i="18" s="1"/>
  <c r="N393" i="18"/>
  <c r="T393" i="18" s="1"/>
  <c r="N133" i="18"/>
  <c r="N190" i="18"/>
  <c r="T190" i="18" s="1"/>
  <c r="N625" i="18"/>
  <c r="U625" i="18" s="1"/>
  <c r="N758" i="18"/>
  <c r="N500" i="18"/>
  <c r="N274" i="18"/>
  <c r="T274" i="18" s="1"/>
  <c r="N73" i="18"/>
  <c r="T73" i="18" s="1"/>
  <c r="N311" i="18"/>
  <c r="U311" i="18" s="1"/>
  <c r="N357" i="18"/>
  <c r="N257" i="18"/>
  <c r="T257" i="18" s="1"/>
  <c r="N788" i="18"/>
  <c r="N614" i="18"/>
  <c r="T614" i="18" s="1"/>
  <c r="N101" i="18"/>
  <c r="N561" i="18"/>
  <c r="U561" i="18" s="1"/>
  <c r="N366" i="18"/>
  <c r="N611" i="18"/>
  <c r="T611" i="18" s="1"/>
  <c r="N367" i="18"/>
  <c r="N163" i="18"/>
  <c r="U163" i="18" s="1"/>
  <c r="N16" i="18"/>
  <c r="U16" i="18" s="1"/>
  <c r="N710" i="18"/>
  <c r="U710" i="18" s="1"/>
  <c r="N294" i="18"/>
  <c r="T294" i="18" s="1"/>
  <c r="N566" i="18"/>
  <c r="T566" i="18" s="1"/>
  <c r="N450" i="18"/>
  <c r="N583" i="18"/>
  <c r="U583" i="18" s="1"/>
  <c r="N242" i="18"/>
  <c r="N595" i="18"/>
  <c r="N215" i="18"/>
  <c r="N15" i="18"/>
  <c r="N762" i="18"/>
  <c r="U762" i="18" s="1"/>
  <c r="N293" i="18"/>
  <c r="T293" i="18" s="1"/>
  <c r="N85" i="18"/>
  <c r="T85" i="18" s="1"/>
  <c r="N386" i="18"/>
  <c r="N756" i="18"/>
  <c r="N364" i="18"/>
  <c r="U364" i="18" s="1"/>
  <c r="N438" i="18"/>
  <c r="N394" i="18"/>
  <c r="N159" i="18"/>
  <c r="T159" i="18" s="1"/>
  <c r="N141" i="18"/>
  <c r="N39" i="18"/>
  <c r="N761" i="18"/>
  <c r="T761" i="18" s="1"/>
  <c r="N567" i="18"/>
  <c r="U567" i="18" s="1"/>
  <c r="N778" i="18"/>
  <c r="N247" i="18"/>
  <c r="U247" i="18" s="1"/>
  <c r="N166" i="18"/>
  <c r="N422" i="18"/>
  <c r="N139" i="18"/>
  <c r="N709" i="18"/>
  <c r="U709" i="18" s="1"/>
  <c r="N259" i="18"/>
  <c r="T259" i="18" s="1"/>
  <c r="N135" i="18"/>
  <c r="N405" i="18"/>
  <c r="U405" i="18" s="1"/>
  <c r="N59" i="18"/>
  <c r="N579" i="18"/>
  <c r="N176" i="18"/>
  <c r="N332" i="18"/>
  <c r="N191" i="18"/>
  <c r="U191" i="18" s="1"/>
  <c r="N178" i="18"/>
  <c r="N528" i="18"/>
  <c r="N631" i="18"/>
  <c r="U631" i="18" s="1"/>
  <c r="N203" i="18"/>
  <c r="T203" i="18" s="1"/>
  <c r="N732" i="18"/>
  <c r="N522" i="18"/>
  <c r="N502" i="18"/>
  <c r="N264" i="18"/>
  <c r="T264" i="18" s="1"/>
  <c r="N333" i="18"/>
  <c r="U333" i="18" s="1"/>
  <c r="N265" i="18"/>
  <c r="T265" i="18" s="1"/>
  <c r="N674" i="18"/>
  <c r="N381" i="18"/>
  <c r="U381" i="18" s="1"/>
  <c r="N398" i="18"/>
  <c r="T398" i="18" s="1"/>
  <c r="N305" i="18"/>
  <c r="T305" i="18" s="1"/>
  <c r="N175" i="18"/>
  <c r="N432" i="18"/>
  <c r="N497" i="18"/>
  <c r="U497" i="18" s="1"/>
  <c r="N56" i="18"/>
  <c r="T56" i="18" s="1"/>
  <c r="N514" i="18"/>
  <c r="N511" i="18"/>
  <c r="T511" i="18" s="1"/>
  <c r="N151" i="18"/>
  <c r="N148" i="18"/>
  <c r="N193" i="18"/>
  <c r="U193" i="18" s="1"/>
  <c r="N759" i="18"/>
  <c r="N728" i="18"/>
  <c r="N556" i="18"/>
  <c r="N379" i="18"/>
  <c r="N644" i="18"/>
  <c r="U644" i="18" s="1"/>
  <c r="N708" i="18"/>
  <c r="U708" i="18" s="1"/>
  <c r="N633" i="18"/>
  <c r="T633" i="18" s="1"/>
  <c r="N341" i="18"/>
  <c r="T341" i="18" s="1"/>
  <c r="N262" i="18"/>
  <c r="U262" i="18" s="1"/>
  <c r="N249" i="18"/>
  <c r="N375" i="18"/>
  <c r="T375" i="18" s="1"/>
  <c r="N580" i="18"/>
  <c r="N662" i="18"/>
  <c r="N354" i="18"/>
  <c r="T354" i="18" s="1"/>
  <c r="N252" i="18"/>
  <c r="N742" i="18"/>
  <c r="T742" i="18" s="1"/>
  <c r="N27" i="18"/>
  <c r="U27" i="18" s="1"/>
  <c r="N634" i="18"/>
  <c r="U634" i="18" s="1"/>
  <c r="N738" i="18"/>
  <c r="T738" i="18" s="1"/>
  <c r="N344" i="18"/>
  <c r="N740" i="18"/>
  <c r="N441" i="18"/>
  <c r="T441" i="18" s="1"/>
  <c r="N496" i="18"/>
  <c r="N41" i="18"/>
  <c r="N546" i="18"/>
  <c r="U546" i="18" s="1"/>
  <c r="N803" i="18"/>
  <c r="N90" i="18"/>
  <c r="U90" i="18" s="1"/>
  <c r="N677" i="18"/>
  <c r="N489" i="18"/>
  <c r="N773" i="18"/>
  <c r="N598" i="18"/>
  <c r="T598" i="18" s="1"/>
  <c r="N766" i="18"/>
  <c r="N330" i="18"/>
  <c r="N8" i="18"/>
  <c r="U8" i="18" s="1"/>
  <c r="N763" i="18"/>
  <c r="N737" i="18"/>
  <c r="N370" i="18"/>
  <c r="T370" i="18" s="1"/>
  <c r="N669" i="18"/>
  <c r="N343" i="18"/>
  <c r="N775" i="18"/>
  <c r="U775" i="18" s="1"/>
  <c r="N601" i="18"/>
  <c r="N63" i="18"/>
  <c r="U63" i="18" s="1"/>
  <c r="N168" i="18"/>
  <c r="N724" i="18"/>
  <c r="N392" i="18"/>
  <c r="N586" i="18"/>
  <c r="T586" i="18" s="1"/>
  <c r="N715" i="18"/>
  <c r="T715" i="18" s="1"/>
  <c r="N628" i="18"/>
  <c r="N704" i="18"/>
  <c r="N174" i="18"/>
  <c r="U174" i="18" s="1"/>
  <c r="N316" i="18"/>
  <c r="U316" i="18" s="1"/>
  <c r="N322" i="18"/>
  <c r="U322" i="18" s="1"/>
  <c r="N284" i="18"/>
  <c r="N526" i="18"/>
  <c r="T526" i="18" s="1"/>
  <c r="N456" i="18"/>
  <c r="N621" i="18"/>
  <c r="U621" i="18" s="1"/>
  <c r="N700" i="18"/>
  <c r="T700" i="18" s="1"/>
  <c r="N260" i="18"/>
  <c r="T260" i="18" s="1"/>
  <c r="N619" i="18"/>
  <c r="T619" i="18" s="1"/>
  <c r="N149" i="18"/>
  <c r="N348" i="18"/>
  <c r="N130" i="18"/>
  <c r="N448" i="18"/>
  <c r="U448" i="18" s="1"/>
  <c r="N22" i="18"/>
  <c r="T22" i="18" s="1"/>
  <c r="N32" i="18"/>
  <c r="U32" i="18" s="1"/>
  <c r="N228" i="18"/>
  <c r="N513" i="18"/>
  <c r="N13" i="18"/>
  <c r="U13" i="18" s="1"/>
  <c r="N585" i="18"/>
  <c r="N641" i="18"/>
  <c r="T641" i="18" s="1"/>
  <c r="N291" i="18"/>
  <c r="T291" i="18" s="1"/>
  <c r="N117" i="18"/>
  <c r="T117" i="18" s="1"/>
  <c r="N323" i="18"/>
  <c r="N776" i="18"/>
  <c r="N444" i="18"/>
  <c r="N339" i="18"/>
  <c r="T339" i="18" s="1"/>
  <c r="N99" i="18"/>
  <c r="U99" i="18" s="1"/>
  <c r="N309" i="18"/>
  <c r="U309" i="18" s="1"/>
  <c r="N271" i="18"/>
  <c r="N77" i="18"/>
  <c r="N602" i="18"/>
  <c r="T602" i="18" s="1"/>
  <c r="N395" i="18"/>
  <c r="N234" i="18"/>
  <c r="U234" i="18" s="1"/>
  <c r="N369" i="18"/>
  <c r="U369" i="18" s="1"/>
  <c r="N321" i="18"/>
  <c r="T321" i="18" s="1"/>
  <c r="N739" i="18"/>
  <c r="U739" i="18" s="1"/>
  <c r="N60" i="18"/>
  <c r="U60" i="18" s="1"/>
  <c r="N49" i="18"/>
  <c r="T49" i="18" s="1"/>
  <c r="N74" i="18"/>
  <c r="T74" i="18" s="1"/>
  <c r="N473" i="18"/>
  <c r="N757" i="18"/>
  <c r="N38" i="18"/>
  <c r="U38" i="18" s="1"/>
  <c r="N183" i="18"/>
  <c r="N275" i="18"/>
  <c r="U275" i="18" s="1"/>
  <c r="N564" i="18"/>
  <c r="U564" i="18" s="1"/>
  <c r="N404" i="18"/>
  <c r="U404" i="18" s="1"/>
  <c r="N735" i="18"/>
  <c r="T735" i="18" s="1"/>
  <c r="N360" i="18"/>
  <c r="N37" i="18"/>
  <c r="N530" i="18"/>
  <c r="N520" i="18"/>
  <c r="N363" i="18"/>
  <c r="U363" i="18" s="1"/>
  <c r="N197" i="18"/>
  <c r="U197" i="18" s="1"/>
  <c r="N272" i="18"/>
  <c r="N337" i="18"/>
  <c r="N225" i="18"/>
  <c r="N743" i="18"/>
  <c r="T743" i="18" s="1"/>
  <c r="N342" i="18"/>
  <c r="U342" i="18" s="1"/>
  <c r="N217" i="18"/>
  <c r="N782" i="18"/>
  <c r="N605" i="18"/>
  <c r="T605" i="18" s="1"/>
  <c r="N668" i="18"/>
  <c r="T668" i="18" s="1"/>
  <c r="N729" i="18"/>
  <c r="N340" i="18"/>
  <c r="N745" i="18"/>
  <c r="N523" i="18"/>
  <c r="U523" i="18" s="1"/>
  <c r="N186" i="18"/>
  <c r="N230" i="18"/>
  <c r="N423" i="18"/>
  <c r="U423" i="18" s="1"/>
  <c r="N299" i="18"/>
  <c r="N173" i="18"/>
  <c r="T173" i="18" s="1"/>
  <c r="N338" i="18"/>
  <c r="U338" i="18" s="1"/>
  <c r="N576" i="18"/>
  <c r="T576" i="18" s="1"/>
  <c r="N524" i="18"/>
  <c r="T524" i="18" s="1"/>
  <c r="N779" i="18"/>
  <c r="N24" i="18"/>
  <c r="N554" i="18"/>
  <c r="T554" i="18" s="1"/>
  <c r="N181" i="18"/>
  <c r="N295" i="18"/>
  <c r="N292" i="18"/>
  <c r="U292" i="18" s="1"/>
  <c r="N693" i="18"/>
  <c r="N591" i="18"/>
  <c r="U591" i="18" s="1"/>
  <c r="N396" i="18"/>
  <c r="U396" i="18" s="1"/>
  <c r="N142" i="18"/>
  <c r="N463" i="18"/>
  <c r="T463" i="18" s="1"/>
  <c r="N749" i="18"/>
  <c r="U749" i="18" s="1"/>
  <c r="N416" i="18"/>
  <c r="N138" i="18"/>
  <c r="N91" i="18"/>
  <c r="T91" i="18" s="1"/>
  <c r="N741" i="18"/>
  <c r="N29" i="18"/>
  <c r="T29" i="18" s="1"/>
  <c r="N701" i="18"/>
  <c r="N791" i="18"/>
  <c r="N744" i="18"/>
  <c r="U744" i="18" s="1"/>
  <c r="N593" i="18"/>
  <c r="T593" i="18" s="1"/>
  <c r="N237" i="18"/>
  <c r="U237" i="18" s="1"/>
  <c r="N304" i="18"/>
  <c r="N110" i="18"/>
  <c r="N400" i="18"/>
  <c r="U400" i="18" s="1"/>
  <c r="N40" i="18"/>
  <c r="N752" i="18"/>
  <c r="N195" i="18"/>
  <c r="U195" i="18" s="1"/>
  <c r="N592" i="18"/>
  <c r="U592" i="18" s="1"/>
  <c r="N545" i="18"/>
  <c r="T545" i="18" s="1"/>
  <c r="N469" i="18"/>
  <c r="N612" i="18"/>
  <c r="U612" i="18" s="1"/>
  <c r="N17" i="18"/>
  <c r="N501" i="18"/>
  <c r="T501" i="18" s="1"/>
  <c r="N350" i="18"/>
  <c r="N266" i="18"/>
  <c r="U266" i="18" s="1"/>
  <c r="N426" i="18"/>
  <c r="N681" i="18"/>
  <c r="N429" i="18"/>
  <c r="N703" i="18"/>
  <c r="N428" i="18"/>
  <c r="N569" i="18"/>
  <c r="U569" i="18" s="1"/>
  <c r="N797" i="18"/>
  <c r="N627" i="18"/>
  <c r="T627" i="18" s="1"/>
  <c r="N319" i="18"/>
  <c r="N509" i="18"/>
  <c r="N79" i="18"/>
  <c r="U79" i="18" s="1"/>
  <c r="N335" i="18"/>
  <c r="U335" i="18" s="1"/>
  <c r="N487" i="18"/>
  <c r="T487" i="18" s="1"/>
  <c r="N635" i="18"/>
  <c r="U635" i="18" s="1"/>
  <c r="N714" i="18"/>
  <c r="U714" i="18" s="1"/>
  <c r="N20" i="18"/>
  <c r="N519" i="18"/>
  <c r="T519" i="18" s="1"/>
  <c r="N747" i="18"/>
  <c r="U747" i="18" s="1"/>
  <c r="N609" i="18"/>
  <c r="U609" i="18" s="1"/>
  <c r="N560" i="18"/>
  <c r="T560" i="18" s="1"/>
  <c r="N329" i="18"/>
  <c r="T329" i="18" s="1"/>
  <c r="N648" i="18"/>
  <c r="U648" i="18" s="1"/>
  <c r="N198" i="18"/>
  <c r="U198" i="18" s="1"/>
  <c r="N169" i="18"/>
  <c r="N98" i="18"/>
  <c r="T98" i="18" s="1"/>
  <c r="N2" i="18"/>
  <c r="U2" i="18" s="1"/>
  <c r="N787" i="18"/>
  <c r="N442" i="18"/>
  <c r="T442" i="18" s="1"/>
  <c r="N19" i="18"/>
  <c r="T19" i="18" s="1"/>
  <c r="N86" i="18"/>
  <c r="U86" i="18" s="1"/>
  <c r="N491" i="18"/>
  <c r="N167" i="18"/>
  <c r="N222" i="18"/>
  <c r="N65" i="18"/>
  <c r="N558" i="18"/>
  <c r="U558" i="18" s="1"/>
  <c r="N505" i="18"/>
  <c r="N4" i="18"/>
  <c r="U4" i="18" s="1"/>
  <c r="N315" i="18"/>
  <c r="U315" i="18" s="1"/>
  <c r="N109" i="18"/>
  <c r="T109" i="18" s="1"/>
  <c r="N318" i="18"/>
  <c r="T318" i="18" s="1"/>
  <c r="N276" i="18"/>
  <c r="U276" i="18" s="1"/>
  <c r="N95" i="18"/>
  <c r="N121" i="18"/>
  <c r="T121" i="18" s="1"/>
  <c r="N490" i="18"/>
  <c r="N108" i="18"/>
  <c r="T108" i="18" s="1"/>
  <c r="N790" i="18"/>
  <c r="N466" i="18"/>
  <c r="N204" i="18"/>
  <c r="N401" i="18"/>
  <c r="U401" i="18" s="1"/>
  <c r="N69" i="18"/>
  <c r="N663" i="18"/>
  <c r="N765" i="18"/>
  <c r="T765" i="18" s="1"/>
  <c r="N118" i="18"/>
  <c r="T118" i="18" s="1"/>
  <c r="N380" i="18"/>
  <c r="N474" i="18"/>
  <c r="U474" i="18" s="1"/>
  <c r="N525" i="18"/>
  <c r="N461" i="18"/>
  <c r="N171" i="18"/>
  <c r="N351" i="18"/>
  <c r="N206" i="18"/>
  <c r="T206" i="18" s="1"/>
  <c r="N89" i="18"/>
  <c r="U89" i="18" s="1"/>
  <c r="N345" i="18"/>
  <c r="U345" i="18" s="1"/>
  <c r="N706" i="18"/>
  <c r="U706" i="18" s="1"/>
  <c r="N792" i="18"/>
  <c r="T792" i="18" s="1"/>
  <c r="N238" i="18"/>
  <c r="N750" i="18"/>
  <c r="N107" i="18"/>
  <c r="N679" i="18"/>
  <c r="T679" i="18" s="1"/>
  <c r="N506" i="18"/>
  <c r="N696" i="18"/>
  <c r="T696" i="18" s="1"/>
  <c r="N650" i="18"/>
  <c r="U650" i="18" s="1"/>
  <c r="N570" i="18"/>
  <c r="T570" i="18" s="1"/>
  <c r="N172" i="18"/>
  <c r="N435" i="18"/>
  <c r="T435" i="18" s="1"/>
  <c r="N736" i="18"/>
  <c r="U736" i="18" s="1"/>
  <c r="N716" i="18"/>
  <c r="U716" i="18" s="1"/>
  <c r="N590" i="18"/>
  <c r="N712" i="18"/>
  <c r="T712" i="18" s="1"/>
  <c r="N229" i="18"/>
  <c r="U229" i="18" s="1"/>
  <c r="N106" i="18"/>
  <c r="U106" i="18" s="1"/>
  <c r="N413" i="18"/>
  <c r="N45" i="18"/>
  <c r="N795" i="18"/>
  <c r="T795" i="18" s="1"/>
  <c r="N58" i="18"/>
  <c r="U58" i="18" s="1"/>
  <c r="N383" i="18"/>
  <c r="T383" i="18" s="1"/>
  <c r="N670" i="18"/>
  <c r="T670" i="18" s="1"/>
  <c r="N71" i="18"/>
  <c r="N129" i="18"/>
  <c r="T129" i="18" s="1"/>
  <c r="N507" i="18"/>
  <c r="U507" i="18" s="1"/>
  <c r="N476" i="18"/>
  <c r="N658" i="18"/>
  <c r="N279" i="18"/>
  <c r="U279" i="18" s="1"/>
  <c r="N536" i="18"/>
  <c r="N11" i="18"/>
  <c r="T11" i="18" s="1"/>
  <c r="N608" i="18"/>
  <c r="N277" i="18"/>
  <c r="T277" i="18" s="1"/>
  <c r="N254" i="18"/>
  <c r="U254" i="18" s="1"/>
  <c r="N397" i="18"/>
  <c r="T397" i="18" s="1"/>
  <c r="N122" i="18"/>
  <c r="N35" i="18"/>
  <c r="N165" i="18"/>
  <c r="N445" i="18"/>
  <c r="N544" i="18"/>
  <c r="T544" i="18" s="1"/>
  <c r="N488" i="18"/>
  <c r="N480" i="18"/>
  <c r="T480" i="18" s="1"/>
  <c r="N362" i="18"/>
  <c r="T362" i="18" s="1"/>
  <c r="N688" i="18"/>
  <c r="N731" i="18"/>
  <c r="U731" i="18" s="1"/>
  <c r="N638" i="18"/>
  <c r="U638" i="18" s="1"/>
  <c r="N470" i="18"/>
  <c r="T470" i="18" s="1"/>
  <c r="N433" i="18"/>
  <c r="N680" i="18"/>
  <c r="T680" i="18" s="1"/>
  <c r="N623" i="18"/>
  <c r="T623" i="18" s="1"/>
  <c r="N483" i="18"/>
  <c r="T483" i="18" s="1"/>
  <c r="N798" i="18"/>
  <c r="U798" i="18" s="1"/>
  <c r="N290" i="18"/>
  <c r="N786" i="18"/>
  <c r="N755" i="18"/>
  <c r="U755" i="18" s="1"/>
  <c r="N753" i="18"/>
  <c r="N754" i="18"/>
  <c r="N632" i="18"/>
  <c r="T632" i="18" s="1"/>
  <c r="N453" i="18"/>
  <c r="N769" i="18"/>
  <c r="N119" i="18"/>
  <c r="U119" i="18" s="1"/>
  <c r="N532" i="18"/>
  <c r="U532" i="18" s="1"/>
  <c r="N551" i="18"/>
  <c r="U551" i="18" s="1"/>
  <c r="N481" i="18"/>
  <c r="N131" i="18"/>
  <c r="N587" i="18"/>
  <c r="U587" i="18" s="1"/>
  <c r="N212" i="18"/>
  <c r="N575" i="18"/>
  <c r="N245" i="18"/>
  <c r="N427" i="18"/>
  <c r="U427" i="18" s="1"/>
  <c r="N389" i="18"/>
  <c r="U389" i="18" s="1"/>
  <c r="N723" i="18"/>
  <c r="U723" i="18" s="1"/>
  <c r="N132" i="18"/>
  <c r="T132" i="18" s="1"/>
  <c r="N52" i="18"/>
  <c r="N793" i="18"/>
  <c r="N72" i="18"/>
  <c r="U72" i="18" s="1"/>
  <c r="N659" i="18"/>
  <c r="U659" i="18" s="1"/>
  <c r="N676" i="18"/>
  <c r="N534" i="18"/>
  <c r="U534" i="18" s="1"/>
  <c r="N202" i="18"/>
  <c r="T202" i="18" s="1"/>
  <c r="N794" i="18"/>
  <c r="N582" i="18"/>
  <c r="N88" i="18"/>
  <c r="T88" i="18" s="1"/>
  <c r="N92" i="18"/>
  <c r="T92" i="18" s="1"/>
  <c r="N23" i="18"/>
  <c r="T23" i="18" s="1"/>
  <c r="N111" i="18"/>
  <c r="T111" i="18" s="1"/>
  <c r="N417" i="18"/>
  <c r="N282" i="18"/>
  <c r="N51" i="18"/>
  <c r="T51" i="18" s="1"/>
  <c r="N310" i="18"/>
  <c r="N124" i="18"/>
  <c r="T124" i="18" s="1"/>
  <c r="N46" i="18"/>
  <c r="N594" i="18"/>
  <c r="U594" i="18" s="1"/>
  <c r="N289" i="18"/>
  <c r="T289" i="18" s="1"/>
  <c r="N113" i="18"/>
  <c r="U113" i="18" s="1"/>
  <c r="N672" i="18"/>
  <c r="U672" i="18" s="1"/>
  <c r="N162" i="18"/>
  <c r="T162" i="18" s="1"/>
  <c r="N518" i="18"/>
  <c r="N667" i="18"/>
  <c r="T667" i="18" s="1"/>
  <c r="N365" i="18"/>
  <c r="U365" i="18" s="1"/>
  <c r="N355" i="18"/>
  <c r="U355" i="18" s="1"/>
  <c r="N235" i="18"/>
  <c r="T235" i="18" s="1"/>
  <c r="N653" i="18"/>
  <c r="U653" i="18" s="1"/>
  <c r="N100" i="18"/>
  <c r="T100" i="18" s="1"/>
  <c r="N250" i="18"/>
  <c r="T250" i="18" s="1"/>
  <c r="N577" i="18"/>
  <c r="U577" i="18" s="1"/>
  <c r="N53" i="18"/>
  <c r="N320" i="18"/>
  <c r="N548" i="18"/>
  <c r="T548" i="18" s="1"/>
  <c r="N211" i="18"/>
  <c r="N199" i="18"/>
  <c r="T199" i="18" s="1"/>
  <c r="N695" i="18"/>
  <c r="U695" i="18" s="1"/>
  <c r="N557" i="18"/>
  <c r="T557" i="18" s="1"/>
  <c r="N263" i="18"/>
  <c r="N622" i="18"/>
  <c r="T622" i="18" s="1"/>
  <c r="N484" i="18"/>
  <c r="N807" i="18"/>
  <c r="T807" i="18" s="1"/>
  <c r="N137" i="18"/>
  <c r="N654" i="18"/>
  <c r="N684" i="18"/>
  <c r="T684" i="18" s="1"/>
  <c r="N661" i="18"/>
  <c r="U661" i="18" s="1"/>
  <c r="N421" i="18"/>
  <c r="T421" i="18" s="1"/>
  <c r="N603" i="18"/>
  <c r="N789" i="18"/>
  <c r="N36" i="18"/>
  <c r="N25" i="18"/>
  <c r="T25" i="18" s="1"/>
  <c r="N424" i="18"/>
  <c r="N261" i="18"/>
  <c r="U261" i="18" s="1"/>
  <c r="N232" i="18"/>
  <c r="U232" i="18" s="1"/>
  <c r="N288" i="18"/>
  <c r="U288" i="18" s="1"/>
  <c r="N768" i="18"/>
  <c r="N146" i="18"/>
  <c r="T146" i="18" s="1"/>
  <c r="N47" i="18"/>
  <c r="U47" i="18" s="1"/>
  <c r="N552" i="18"/>
  <c r="U552" i="18" s="1"/>
  <c r="N446" i="18"/>
  <c r="U446" i="18" s="1"/>
  <c r="N666" i="18"/>
  <c r="N584" i="18"/>
  <c r="T584" i="18" s="1"/>
  <c r="N550" i="18"/>
  <c r="N150" i="18"/>
  <c r="N713" i="18"/>
  <c r="N373" i="18"/>
  <c r="T373" i="18" s="1"/>
  <c r="N462" i="18"/>
  <c r="N800" i="18"/>
  <c r="U800" i="18" s="1"/>
  <c r="N419" i="18"/>
  <c r="N717" i="18"/>
  <c r="N655" i="18"/>
  <c r="T655" i="18" s="1"/>
  <c r="N179" i="18"/>
  <c r="T179" i="18" s="1"/>
  <c r="N112" i="18"/>
  <c r="N707" i="18"/>
  <c r="N352" i="18"/>
  <c r="N96" i="18"/>
  <c r="N21" i="18"/>
  <c r="N187" i="18"/>
  <c r="N588" i="18"/>
  <c r="U588" i="18" s="1"/>
  <c r="N451" i="18"/>
  <c r="N157" i="18"/>
  <c r="N687" i="18"/>
  <c r="T687" i="18" s="1"/>
  <c r="N102" i="18"/>
  <c r="T102" i="18" s="1"/>
  <c r="N80" i="18"/>
  <c r="U80" i="18" s="1"/>
  <c r="N390" i="18"/>
  <c r="N652" i="18"/>
  <c r="T652" i="18" s="1"/>
  <c r="N783" i="18"/>
  <c r="T783" i="18" s="1"/>
  <c r="N814" i="18"/>
  <c r="T814" i="18" s="1"/>
  <c r="N503" i="18"/>
  <c r="U503" i="18" s="1"/>
  <c r="N517" i="18"/>
  <c r="N730" i="18"/>
  <c r="N94" i="18"/>
  <c r="U94" i="18" s="1"/>
  <c r="N391" i="18"/>
  <c r="N720" i="18"/>
  <c r="U720" i="18" s="1"/>
  <c r="N599" i="18"/>
  <c r="N147" i="18"/>
  <c r="N377" i="18"/>
  <c r="N164" i="18"/>
  <c r="T164" i="18" s="1"/>
  <c r="N719" i="18"/>
  <c r="U719" i="18" s="1"/>
  <c r="N718" i="18"/>
  <c r="U718" i="18" s="1"/>
  <c r="N660" i="18"/>
  <c r="N201" i="18"/>
  <c r="N678" i="18"/>
  <c r="N572" i="18"/>
  <c r="T572" i="18" s="1"/>
  <c r="N574" i="18"/>
  <c r="N54" i="18"/>
  <c r="U54" i="18" s="1"/>
  <c r="N412" i="18"/>
  <c r="T412" i="18" s="1"/>
  <c r="N154" i="18"/>
  <c r="M28" i="16"/>
  <c r="I796" i="18"/>
  <c r="K796" i="18" s="1"/>
  <c r="I590" i="18"/>
  <c r="K590" i="18" s="1"/>
  <c r="M9" i="16"/>
  <c r="I142" i="18"/>
  <c r="K142" i="18" s="1"/>
  <c r="M6" i="16"/>
  <c r="I352" i="18"/>
  <c r="K352" i="18" s="1"/>
  <c r="I513" i="18"/>
  <c r="K513" i="18" s="1"/>
  <c r="I70" i="18"/>
  <c r="K70" i="18" s="1"/>
  <c r="M3" i="16"/>
  <c r="I698" i="18"/>
  <c r="K698" i="18" s="1"/>
  <c r="I689" i="18"/>
  <c r="K689" i="18" s="1"/>
  <c r="I703" i="18"/>
  <c r="K703" i="18" s="1"/>
  <c r="M41" i="16"/>
  <c r="I478" i="18"/>
  <c r="K478" i="18" s="1"/>
  <c r="M15" i="16"/>
  <c r="M36" i="16"/>
  <c r="M18" i="16"/>
  <c r="I537" i="18"/>
  <c r="K537" i="18" s="1"/>
  <c r="M20" i="16"/>
  <c r="I153" i="18"/>
  <c r="K153" i="18" s="1"/>
  <c r="M17" i="16"/>
  <c r="I506" i="18"/>
  <c r="K506" i="18" s="1"/>
  <c r="M5" i="16"/>
  <c r="I726" i="18"/>
  <c r="K726" i="18" s="1"/>
  <c r="I737" i="18"/>
  <c r="K737" i="18" s="1"/>
  <c r="M38" i="16"/>
  <c r="M34" i="16"/>
  <c r="I693" i="18"/>
  <c r="K693" i="18" s="1"/>
  <c r="I246" i="18"/>
  <c r="K246" i="18" s="1"/>
  <c r="I428" i="18"/>
  <c r="K428" i="18" s="1"/>
  <c r="I657" i="18"/>
  <c r="K657" i="18" s="1"/>
  <c r="I730" i="18"/>
  <c r="K730" i="18" s="1"/>
  <c r="I43" i="18"/>
  <c r="K43" i="18" s="1"/>
  <c r="I331" i="18"/>
  <c r="K331" i="18" s="1"/>
  <c r="I28" i="18"/>
  <c r="K28" i="18" s="1"/>
  <c r="I426" i="18"/>
  <c r="K426" i="18" s="1"/>
  <c r="M10" i="16"/>
  <c r="M26" i="16"/>
  <c r="M4" i="16"/>
  <c r="M35" i="16"/>
  <c r="I595" i="18"/>
  <c r="K595" i="18" s="1"/>
  <c r="I185" i="18"/>
  <c r="K185" i="18" s="1"/>
  <c r="I740" i="18"/>
  <c r="K740" i="18" s="1"/>
  <c r="I222" i="18"/>
  <c r="K222" i="18" s="1"/>
  <c r="I213" i="18"/>
  <c r="I135" i="18"/>
  <c r="K135" i="18" s="1"/>
  <c r="I126" i="18"/>
  <c r="K126" i="18" s="1"/>
  <c r="I180" i="18"/>
  <c r="K180" i="18" s="1"/>
  <c r="M11" i="16"/>
  <c r="M33" i="16"/>
  <c r="I773" i="18"/>
  <c r="K773" i="18" s="1"/>
  <c r="I530" i="18"/>
  <c r="K530" i="18" s="1"/>
  <c r="I745" i="18"/>
  <c r="K745" i="18" s="1"/>
  <c r="I238" i="18"/>
  <c r="K238" i="18" s="1"/>
  <c r="M16" i="16"/>
  <c r="M13" i="16"/>
  <c r="I128" i="18"/>
  <c r="K128" i="18" s="1"/>
  <c r="I320" i="18"/>
  <c r="K320" i="18" s="1"/>
  <c r="M23" i="16"/>
  <c r="I230" i="18"/>
  <c r="K230" i="18" s="1"/>
  <c r="M14" i="16"/>
  <c r="M12" i="16"/>
  <c r="I752" i="18"/>
  <c r="K752" i="18" s="1"/>
  <c r="M37" i="16"/>
  <c r="I758" i="18"/>
  <c r="K758" i="18" s="1"/>
  <c r="I12" i="18"/>
  <c r="K12" i="18" s="1"/>
  <c r="M40" i="16"/>
  <c r="I40" i="18"/>
  <c r="K40" i="18" s="1"/>
  <c r="I574" i="18"/>
  <c r="K574" i="18" s="1"/>
  <c r="I791" i="18"/>
  <c r="K791" i="18" s="1"/>
  <c r="I769" i="18"/>
  <c r="K769" i="18" s="1"/>
  <c r="I779" i="18"/>
  <c r="K779" i="18" s="1"/>
  <c r="I66" i="18"/>
  <c r="K66" i="18" s="1"/>
  <c r="I780" i="18"/>
  <c r="K780" i="18" s="1"/>
  <c r="I205" i="18"/>
  <c r="K205" i="18" s="1"/>
  <c r="M19" i="16"/>
  <c r="I15" i="18"/>
  <c r="K15" i="18" s="1"/>
  <c r="I725" i="18"/>
  <c r="K725" i="18" s="1"/>
  <c r="I768" i="18"/>
  <c r="K768" i="18" s="1"/>
  <c r="I763" i="18"/>
  <c r="K763" i="18" s="1"/>
  <c r="M27" i="16"/>
  <c r="I529" i="18"/>
  <c r="K529" i="18" s="1"/>
  <c r="I663" i="18"/>
  <c r="K663" i="18" s="1"/>
  <c r="I580" i="18"/>
  <c r="K580" i="18" s="1"/>
  <c r="I754" i="18"/>
  <c r="K754" i="18" s="1"/>
  <c r="M39" i="16"/>
  <c r="M25" i="16"/>
  <c r="I280" i="18"/>
  <c r="K280" i="18" s="1"/>
  <c r="M22" i="16"/>
  <c r="I496" i="18"/>
  <c r="K496" i="18" s="1"/>
  <c r="M30" i="16"/>
  <c r="M7" i="16"/>
  <c r="I521" i="18"/>
  <c r="K521" i="18" s="1"/>
  <c r="M31" i="16"/>
  <c r="I677" i="18"/>
  <c r="K677" i="18" s="1"/>
  <c r="I585" i="18"/>
  <c r="K585" i="18" s="1"/>
  <c r="M21" i="16"/>
  <c r="I20" i="18"/>
  <c r="K20" i="18" s="1"/>
  <c r="I285" i="18"/>
  <c r="K285" i="18" s="1"/>
  <c r="M8" i="16"/>
  <c r="I601" i="18"/>
  <c r="K601" i="18" s="1"/>
  <c r="I133" i="18"/>
  <c r="K133" i="18" s="1"/>
  <c r="I149" i="18"/>
  <c r="K149" i="18" s="1"/>
  <c r="I482" i="18"/>
  <c r="K482" i="18" s="1"/>
  <c r="I789" i="18"/>
  <c r="K789" i="18" s="1"/>
  <c r="I751" i="18"/>
  <c r="K751" i="18" s="1"/>
  <c r="I37" i="18"/>
  <c r="K37" i="18" s="1"/>
  <c r="I5" i="18"/>
  <c r="K5" i="18" s="1"/>
  <c r="M24" i="16"/>
  <c r="I392" i="18"/>
  <c r="K392" i="18" s="1"/>
  <c r="I514" i="18"/>
  <c r="K514" i="18" s="1"/>
  <c r="M32" i="16"/>
  <c r="M29" i="16"/>
  <c r="I746" i="18"/>
  <c r="K746" i="18" s="1"/>
  <c r="I522" i="18"/>
  <c r="K522" i="18" s="1"/>
  <c r="I724" i="18"/>
  <c r="K724" i="18" s="1"/>
  <c r="I500" i="18"/>
  <c r="K500" i="18" s="1"/>
  <c r="J38" i="16"/>
  <c r="J36" i="16"/>
  <c r="I676" i="18"/>
  <c r="K676" i="18" s="1"/>
  <c r="J25" i="16"/>
  <c r="J40" i="16"/>
  <c r="I767" i="18"/>
  <c r="K767" i="18" s="1"/>
  <c r="I477" i="18"/>
  <c r="K477" i="18" s="1"/>
  <c r="I495" i="18"/>
  <c r="K495" i="18" s="1"/>
  <c r="I391" i="18"/>
  <c r="K391" i="18" s="1"/>
  <c r="I733" i="18"/>
  <c r="K733" i="18" s="1"/>
  <c r="I451" i="18"/>
  <c r="K451" i="18" s="1"/>
  <c r="J34" i="16"/>
  <c r="I772" i="18"/>
  <c r="K772" i="18" s="1"/>
  <c r="J15" i="16"/>
  <c r="J41" i="16"/>
  <c r="I756" i="18"/>
  <c r="K756" i="18" s="1"/>
  <c r="J9" i="16"/>
  <c r="J14" i="16"/>
  <c r="J7" i="16"/>
  <c r="I236" i="18"/>
  <c r="K236" i="18" s="1"/>
  <c r="J32" i="16"/>
  <c r="I782" i="18"/>
  <c r="K782" i="18" s="1"/>
  <c r="I152" i="18"/>
  <c r="K152" i="18" s="1"/>
  <c r="J4" i="16"/>
  <c r="J13" i="16"/>
  <c r="I493" i="18"/>
  <c r="K493" i="18" s="1"/>
  <c r="I319" i="18"/>
  <c r="K319" i="18" s="1"/>
  <c r="J35" i="16"/>
  <c r="I65" i="18"/>
  <c r="K65" i="18" s="1"/>
  <c r="J33" i="16"/>
  <c r="I417" i="18"/>
  <c r="K417" i="18" s="1"/>
  <c r="J29" i="16"/>
  <c r="J30" i="16"/>
  <c r="J3" i="16"/>
  <c r="J37" i="16"/>
  <c r="J24" i="16"/>
  <c r="I433" i="18"/>
  <c r="K433" i="18" s="1"/>
  <c r="J16" i="16"/>
  <c r="I351" i="18"/>
  <c r="K351" i="18" s="1"/>
  <c r="I438" i="18"/>
  <c r="K438" i="18" s="1"/>
  <c r="J26" i="16"/>
  <c r="J18" i="16"/>
  <c r="J31" i="16"/>
  <c r="I422" i="18"/>
  <c r="K422" i="18" s="1"/>
  <c r="J11" i="16"/>
  <c r="I125" i="18"/>
  <c r="K125" i="18" s="1"/>
  <c r="J17" i="16"/>
  <c r="I395" i="18"/>
  <c r="K395" i="18" s="1"/>
  <c r="J28" i="16"/>
  <c r="J20" i="16"/>
  <c r="I414" i="18"/>
  <c r="K414" i="18" s="1"/>
  <c r="I498" i="18"/>
  <c r="K498" i="18" s="1"/>
  <c r="I148" i="18"/>
  <c r="K148" i="18" s="1"/>
  <c r="J19" i="16"/>
  <c r="I702" i="18"/>
  <c r="K702" i="18" s="1"/>
  <c r="I212" i="18"/>
  <c r="I467" i="18"/>
  <c r="K467" i="18" s="1"/>
  <c r="J27" i="16"/>
  <c r="J12" i="16"/>
  <c r="J22" i="16"/>
  <c r="J23" i="16"/>
  <c r="I425" i="18"/>
  <c r="K425" i="18" s="1"/>
  <c r="I757" i="18"/>
  <c r="K757" i="18" s="1"/>
  <c r="I481" i="18"/>
  <c r="K481" i="18" s="1"/>
  <c r="I244" i="18"/>
  <c r="K244" i="18" s="1"/>
  <c r="I443" i="18"/>
  <c r="K443" i="18" s="1"/>
  <c r="I7" i="18"/>
  <c r="K7" i="18" s="1"/>
  <c r="I579" i="18"/>
  <c r="K579" i="18" s="1"/>
  <c r="I69" i="18"/>
  <c r="K69" i="18" s="1"/>
  <c r="J8" i="16"/>
  <c r="I505" i="18"/>
  <c r="K505" i="18" s="1"/>
  <c r="I490" i="18"/>
  <c r="K490" i="18" s="1"/>
  <c r="J10" i="16"/>
  <c r="I729" i="18"/>
  <c r="K729" i="18" s="1"/>
  <c r="I252" i="18"/>
  <c r="K252" i="18" s="1"/>
  <c r="I536" i="18"/>
  <c r="K536" i="18" s="1"/>
  <c r="I600" i="18"/>
  <c r="K600" i="18" s="1"/>
  <c r="I589" i="18"/>
  <c r="K589" i="18" s="1"/>
  <c r="I692" i="18"/>
  <c r="K692" i="18" s="1"/>
  <c r="J21" i="16"/>
  <c r="I662" i="18"/>
  <c r="K662" i="18" s="1"/>
  <c r="I228" i="18"/>
  <c r="K228" i="18" s="1"/>
  <c r="I284" i="18"/>
  <c r="K284" i="18" s="1"/>
  <c r="I512" i="18"/>
  <c r="K512" i="18" s="1"/>
  <c r="I788" i="18"/>
  <c r="K788" i="18" s="1"/>
  <c r="I753" i="18"/>
  <c r="K753" i="18" s="1"/>
  <c r="J6" i="16"/>
  <c r="J39" i="16"/>
  <c r="I528" i="18"/>
  <c r="K528" i="18" s="1"/>
  <c r="I459" i="18"/>
  <c r="K459" i="18" s="1"/>
  <c r="I520" i="18"/>
  <c r="K520" i="18" s="1"/>
  <c r="I750" i="18"/>
  <c r="K750" i="18" s="1"/>
  <c r="I475" i="18"/>
  <c r="K475" i="18" s="1"/>
  <c r="J5" i="16"/>
  <c r="I778" i="18"/>
  <c r="K778" i="18" s="1"/>
  <c r="I141" i="18"/>
  <c r="K141" i="18" s="1"/>
  <c r="I777" i="18"/>
  <c r="K777" i="18" s="1"/>
  <c r="K35" i="16"/>
  <c r="K14" i="16"/>
  <c r="K21" i="16"/>
  <c r="I674" i="18"/>
  <c r="K674" i="18" s="1"/>
  <c r="I310" i="18"/>
  <c r="K310" i="18" s="1"/>
  <c r="K3" i="16"/>
  <c r="K25" i="16"/>
  <c r="K18" i="16"/>
  <c r="K23" i="16"/>
  <c r="I453" i="18"/>
  <c r="K453" i="18" s="1"/>
  <c r="K31" i="16"/>
  <c r="K7" i="16"/>
  <c r="I139" i="18"/>
  <c r="K139" i="18" s="1"/>
  <c r="K40" i="16"/>
  <c r="K9" i="16"/>
  <c r="K19" i="16"/>
  <c r="I144" i="18"/>
  <c r="K144" i="18" s="1"/>
  <c r="K5" i="16"/>
  <c r="K36" i="16"/>
  <c r="I461" i="18"/>
  <c r="K461" i="18" s="1"/>
  <c r="K37" i="16"/>
  <c r="K29" i="16"/>
  <c r="I178" i="18"/>
  <c r="K178" i="18" s="1"/>
  <c r="I183" i="18"/>
  <c r="K183" i="18" s="1"/>
  <c r="K26" i="16"/>
  <c r="K16" i="16"/>
  <c r="I484" i="18"/>
  <c r="K484" i="18" s="1"/>
  <c r="I131" i="18"/>
  <c r="K131" i="18" s="1"/>
  <c r="I469" i="18"/>
  <c r="K469" i="18" s="1"/>
  <c r="K8" i="16"/>
  <c r="K13" i="16"/>
  <c r="K12" i="16"/>
  <c r="K20" i="16"/>
  <c r="K38" i="16"/>
  <c r="I145" i="18"/>
  <c r="K145" i="18" s="1"/>
  <c r="I445" i="18"/>
  <c r="K445" i="18" s="1"/>
  <c r="K15" i="16"/>
  <c r="I419" i="18"/>
  <c r="K419" i="18" s="1"/>
  <c r="K24" i="16"/>
  <c r="K10" i="16"/>
  <c r="I794" i="18"/>
  <c r="K794" i="18" s="1"/>
  <c r="K41" i="16"/>
  <c r="K32" i="16"/>
  <c r="K22" i="16"/>
  <c r="K6" i="16"/>
  <c r="K39" i="16"/>
  <c r="K27" i="16"/>
  <c r="K28" i="16"/>
  <c r="K30" i="16"/>
  <c r="K34" i="16"/>
  <c r="K4" i="16"/>
  <c r="K33" i="16"/>
  <c r="K17" i="16"/>
  <c r="K11" i="16"/>
  <c r="I418" i="18"/>
  <c r="K418" i="18" s="1"/>
  <c r="L38" i="16"/>
  <c r="L35" i="16"/>
  <c r="L32" i="16"/>
  <c r="L19" i="16"/>
  <c r="I434" i="18"/>
  <c r="K434" i="18" s="1"/>
  <c r="L6" i="16"/>
  <c r="I10" i="18"/>
  <c r="K10" i="18" s="1"/>
  <c r="L11" i="16"/>
  <c r="I68" i="18"/>
  <c r="K68" i="18" s="1"/>
  <c r="L12" i="16"/>
  <c r="L4" i="16"/>
  <c r="L29" i="16"/>
  <c r="L16" i="16"/>
  <c r="L3" i="16"/>
  <c r="I123" i="18"/>
  <c r="K123" i="18" s="1"/>
  <c r="I138" i="18"/>
  <c r="K138" i="18" s="1"/>
  <c r="I488" i="18"/>
  <c r="K488" i="18" s="1"/>
  <c r="L10" i="16"/>
  <c r="I249" i="18"/>
  <c r="K249" i="18" s="1"/>
  <c r="L24" i="16"/>
  <c r="I491" i="18"/>
  <c r="K491" i="18" s="1"/>
  <c r="I416" i="18"/>
  <c r="K416" i="18" s="1"/>
  <c r="L30" i="16"/>
  <c r="I728" i="18"/>
  <c r="K728" i="18" s="1"/>
  <c r="L41" i="16"/>
  <c r="L21" i="16"/>
  <c r="I608" i="18"/>
  <c r="K608" i="18" s="1"/>
  <c r="L22" i="16"/>
  <c r="L8" i="16"/>
  <c r="I722" i="18"/>
  <c r="K722" i="18" s="1"/>
  <c r="I130" i="18"/>
  <c r="K130" i="18" s="1"/>
  <c r="I766" i="18"/>
  <c r="K766" i="18" s="1"/>
  <c r="I533" i="18"/>
  <c r="K533" i="18" s="1"/>
  <c r="L17" i="16"/>
  <c r="I64" i="18"/>
  <c r="K64" i="18" s="1"/>
  <c r="I502" i="18"/>
  <c r="K502" i="18" s="1"/>
  <c r="I673" i="18"/>
  <c r="K673" i="18" s="1"/>
  <c r="I241" i="18"/>
  <c r="K241" i="18" s="1"/>
  <c r="I787" i="18"/>
  <c r="K787" i="18" s="1"/>
  <c r="L33" i="16"/>
  <c r="L14" i="16"/>
  <c r="I424" i="18"/>
  <c r="K424" i="18" s="1"/>
  <c r="L27" i="16"/>
  <c r="L36" i="16"/>
  <c r="L26" i="16"/>
  <c r="L20" i="16"/>
  <c r="L15" i="16"/>
  <c r="I208" i="18"/>
  <c r="K208" i="18" s="1"/>
  <c r="L34" i="16"/>
  <c r="I509" i="18"/>
  <c r="K509" i="18" s="1"/>
  <c r="I151" i="18"/>
  <c r="K151" i="18" s="1"/>
  <c r="L40" i="16"/>
  <c r="I439" i="18"/>
  <c r="K439" i="18" s="1"/>
  <c r="L9" i="16"/>
  <c r="I394" i="18"/>
  <c r="K394" i="18" s="1"/>
  <c r="L37" i="16"/>
  <c r="I604" i="18"/>
  <c r="K604" i="18" s="1"/>
  <c r="I147" i="18"/>
  <c r="K147" i="18" s="1"/>
  <c r="I233" i="18"/>
  <c r="K233" i="18" s="1"/>
  <c r="L28" i="16"/>
  <c r="L7" i="16"/>
  <c r="I350" i="18"/>
  <c r="K350" i="18" s="1"/>
  <c r="L39" i="16"/>
  <c r="L23" i="16"/>
  <c r="I282" i="18"/>
  <c r="K282" i="18" s="1"/>
  <c r="I413" i="18"/>
  <c r="K413" i="18" s="1"/>
  <c r="I776" i="18"/>
  <c r="K776" i="18" s="1"/>
  <c r="I429" i="18"/>
  <c r="K429" i="18" s="1"/>
  <c r="I225" i="18"/>
  <c r="K225" i="18" s="1"/>
  <c r="L31" i="16"/>
  <c r="I494" i="18"/>
  <c r="K494" i="18" s="1"/>
  <c r="I71" i="18"/>
  <c r="K71" i="18" s="1"/>
  <c r="I390" i="18"/>
  <c r="K390" i="18" s="1"/>
  <c r="L13" i="16"/>
  <c r="L5" i="16"/>
  <c r="I732" i="18"/>
  <c r="K732" i="18" s="1"/>
  <c r="I479" i="18"/>
  <c r="K479" i="18" s="1"/>
  <c r="I476" i="18"/>
  <c r="K476" i="18" s="1"/>
  <c r="L25" i="16"/>
  <c r="I517" i="18"/>
  <c r="K517" i="18" s="1"/>
  <c r="I748" i="18"/>
  <c r="K748" i="18" s="1"/>
  <c r="I525" i="18"/>
  <c r="K525" i="18" s="1"/>
  <c r="L18" i="16"/>
  <c r="M366" i="2"/>
  <c r="L366" i="2"/>
  <c r="O367" i="2"/>
  <c r="B368" i="2"/>
  <c r="G367" i="2"/>
  <c r="D367" i="2"/>
  <c r="F367" i="2"/>
  <c r="Q367" i="2" s="1"/>
  <c r="H367" i="2"/>
  <c r="E367" i="2"/>
  <c r="R367" i="2"/>
  <c r="P367" i="2"/>
  <c r="J366" i="2"/>
  <c r="K366" i="2"/>
  <c r="AA539" i="18" l="1"/>
  <c r="Z302" i="18"/>
  <c r="AA541" i="18"/>
  <c r="U784" i="18"/>
  <c r="T325" i="18"/>
  <c r="Z410" i="18"/>
  <c r="T538" i="18"/>
  <c r="T542" i="18"/>
  <c r="U303" i="18"/>
  <c r="U409" i="18"/>
  <c r="Z540" i="18"/>
  <c r="U540" i="18"/>
  <c r="T540" i="18"/>
  <c r="AA540" i="18"/>
  <c r="U324" i="18"/>
  <c r="AA325" i="18"/>
  <c r="U538" i="18"/>
  <c r="U302" i="18"/>
  <c r="U539" i="18"/>
  <c r="U541" i="18"/>
  <c r="T543" i="18"/>
  <c r="T410" i="18"/>
  <c r="AA303" i="18"/>
  <c r="Z542" i="18"/>
  <c r="Z543" i="18"/>
  <c r="T489" i="18"/>
  <c r="U432" i="18"/>
  <c r="Z409" i="18"/>
  <c r="AA324" i="18"/>
  <c r="Z325" i="18"/>
  <c r="Z538" i="18"/>
  <c r="T302" i="18"/>
  <c r="T541" i="18"/>
  <c r="U543" i="18"/>
  <c r="U410" i="18"/>
  <c r="Z539" i="18"/>
  <c r="T303" i="18"/>
  <c r="AA542" i="18"/>
  <c r="T308" i="18"/>
  <c r="T563" i="18"/>
  <c r="U48" i="18"/>
  <c r="T214" i="18"/>
  <c r="T55" i="18"/>
  <c r="U813" i="18"/>
  <c r="T45" i="18"/>
  <c r="T42" i="18"/>
  <c r="T774" i="18"/>
  <c r="U786" i="18"/>
  <c r="T210" i="18"/>
  <c r="T53" i="18"/>
  <c r="T39" i="18"/>
  <c r="T360" i="18"/>
  <c r="U31" i="18"/>
  <c r="K213" i="18"/>
  <c r="U213" i="18" s="1"/>
  <c r="T211" i="18"/>
  <c r="U332" i="18"/>
  <c r="U182" i="18"/>
  <c r="K212" i="18"/>
  <c r="T212" i="18" s="1"/>
  <c r="K215" i="18"/>
  <c r="U215" i="18" s="1"/>
  <c r="U143" i="18"/>
  <c r="U127" i="18"/>
  <c r="U3" i="18"/>
  <c r="T344" i="18"/>
  <c r="I367" i="2"/>
  <c r="N367" i="2"/>
  <c r="T17" i="18"/>
  <c r="T36" i="18"/>
  <c r="U30" i="18"/>
  <c r="T592" i="18"/>
  <c r="U440" i="18"/>
  <c r="U240" i="18"/>
  <c r="T396" i="18"/>
  <c r="T54" i="18"/>
  <c r="U524" i="18"/>
  <c r="T650" i="18"/>
  <c r="U257" i="18"/>
  <c r="T631" i="18"/>
  <c r="U256" i="18"/>
  <c r="T731" i="18"/>
  <c r="T625" i="18"/>
  <c r="U483" i="18"/>
  <c r="T643" i="18"/>
  <c r="U283" i="18"/>
  <c r="T634" i="18"/>
  <c r="U805" i="18"/>
  <c r="U783" i="18"/>
  <c r="T258" i="18"/>
  <c r="U412" i="18"/>
  <c r="T355" i="18"/>
  <c r="U807" i="18"/>
  <c r="U92" i="18"/>
  <c r="T365" i="18"/>
  <c r="U489" i="18"/>
  <c r="U278" i="18"/>
  <c r="U568" i="18"/>
  <c r="U104" i="18"/>
  <c r="U305" i="18"/>
  <c r="T775" i="18"/>
  <c r="U321" i="18"/>
  <c r="T106" i="18"/>
  <c r="U463" i="18"/>
  <c r="T197" i="18"/>
  <c r="T818" i="18"/>
  <c r="T516" i="18"/>
  <c r="T89" i="18"/>
  <c r="U33" i="18"/>
  <c r="U471" i="18"/>
  <c r="U159" i="18"/>
  <c r="T721" i="18"/>
  <c r="U468" i="18"/>
  <c r="T86" i="18"/>
  <c r="T120" i="18"/>
  <c r="U420" i="18"/>
  <c r="U652" i="18"/>
  <c r="T8" i="18"/>
  <c r="U146" i="18"/>
  <c r="T57" i="18"/>
  <c r="T594" i="18"/>
  <c r="U111" i="18"/>
  <c r="U398" i="18"/>
  <c r="U308" i="18"/>
  <c r="T311" i="18"/>
  <c r="U487" i="18"/>
  <c r="T457" i="18"/>
  <c r="U84" i="18"/>
  <c r="T408" i="18"/>
  <c r="T47" i="18"/>
  <c r="T127" i="18"/>
  <c r="U633" i="18"/>
  <c r="U353" i="18"/>
  <c r="U560" i="18"/>
  <c r="U19" i="18"/>
  <c r="T710" i="18"/>
  <c r="U623" i="18"/>
  <c r="T296" i="18"/>
  <c r="T613" i="18"/>
  <c r="T558" i="18"/>
  <c r="U795" i="18"/>
  <c r="U671" i="18"/>
  <c r="T48" i="18"/>
  <c r="U318" i="18"/>
  <c r="T559" i="18"/>
  <c r="U501" i="18"/>
  <c r="U53" i="18"/>
  <c r="T369" i="18"/>
  <c r="U117" i="18"/>
  <c r="U42" i="18"/>
  <c r="U379" i="18"/>
  <c r="T379" i="18"/>
  <c r="U492" i="18"/>
  <c r="T492" i="18"/>
  <c r="T658" i="18"/>
  <c r="U658" i="18"/>
  <c r="U209" i="18"/>
  <c r="T209" i="18"/>
  <c r="T304" i="18"/>
  <c r="U304" i="18"/>
  <c r="U158" i="18"/>
  <c r="T158" i="18"/>
  <c r="T380" i="18"/>
  <c r="U380" i="18"/>
  <c r="T727" i="18"/>
  <c r="U727" i="18"/>
  <c r="T367" i="18"/>
  <c r="U367" i="18"/>
  <c r="U263" i="18"/>
  <c r="T263" i="18"/>
  <c r="U165" i="18"/>
  <c r="T165" i="18"/>
  <c r="U603" i="18"/>
  <c r="T603" i="18"/>
  <c r="U572" i="18"/>
  <c r="T802" i="18"/>
  <c r="U802" i="18"/>
  <c r="T797" i="18"/>
  <c r="U797" i="18"/>
  <c r="T255" i="18"/>
  <c r="U255" i="18"/>
  <c r="U556" i="18"/>
  <c r="T556" i="18"/>
  <c r="U607" i="18"/>
  <c r="T607" i="18"/>
  <c r="U799" i="18"/>
  <c r="T799" i="18"/>
  <c r="U358" i="18"/>
  <c r="T358" i="18"/>
  <c r="T466" i="18"/>
  <c r="U466" i="18"/>
  <c r="U562" i="18"/>
  <c r="T562" i="18"/>
  <c r="T531" i="18"/>
  <c r="U531" i="18"/>
  <c r="U406" i="18"/>
  <c r="T406" i="18"/>
  <c r="T326" i="18"/>
  <c r="U326" i="18"/>
  <c r="U515" i="18"/>
  <c r="T515" i="18"/>
  <c r="U328" i="18"/>
  <c r="T328" i="18"/>
  <c r="T323" i="18"/>
  <c r="U323" i="18"/>
  <c r="U134" i="18"/>
  <c r="T134" i="18"/>
  <c r="T216" i="18"/>
  <c r="U216" i="18"/>
  <c r="T114" i="18"/>
  <c r="U114" i="18"/>
  <c r="U688" i="18"/>
  <c r="T688" i="18"/>
  <c r="T415" i="18"/>
  <c r="U415" i="18"/>
  <c r="U666" i="18"/>
  <c r="T666" i="18"/>
  <c r="T504" i="18"/>
  <c r="U504" i="18"/>
  <c r="U343" i="18"/>
  <c r="T343" i="18"/>
  <c r="T599" i="18"/>
  <c r="U599" i="18"/>
  <c r="U251" i="18"/>
  <c r="T251" i="18"/>
  <c r="U651" i="18"/>
  <c r="T651" i="18"/>
  <c r="T226" i="18"/>
  <c r="U226" i="18"/>
  <c r="U701" i="18"/>
  <c r="T701" i="18"/>
  <c r="T694" i="18"/>
  <c r="U694" i="18"/>
  <c r="U711" i="18"/>
  <c r="T711" i="18"/>
  <c r="U154" i="18"/>
  <c r="T154" i="18"/>
  <c r="U681" i="18"/>
  <c r="T681" i="18"/>
  <c r="U77" i="18"/>
  <c r="T77" i="18"/>
  <c r="T189" i="18"/>
  <c r="U189" i="18"/>
  <c r="T683" i="18"/>
  <c r="U683" i="18"/>
  <c r="T437" i="18"/>
  <c r="U437" i="18"/>
  <c r="U190" i="18"/>
  <c r="U686" i="18"/>
  <c r="U211" i="18"/>
  <c r="U265" i="18"/>
  <c r="T143" i="18"/>
  <c r="U235" i="18"/>
  <c r="T192" i="18"/>
  <c r="U640" i="18"/>
  <c r="U472" i="18"/>
  <c r="U362" i="18"/>
  <c r="T699" i="18"/>
  <c r="T279" i="18"/>
  <c r="T333" i="18"/>
  <c r="T94" i="18"/>
  <c r="T647" i="18"/>
  <c r="T474" i="18"/>
  <c r="T806" i="18"/>
  <c r="U55" i="18"/>
  <c r="T18" i="18"/>
  <c r="U464" i="18"/>
  <c r="T507" i="18"/>
  <c r="T626" i="18"/>
  <c r="U383" i="18"/>
  <c r="T113" i="18"/>
  <c r="U51" i="18"/>
  <c r="T646" i="18"/>
  <c r="T4" i="18"/>
  <c r="U155" i="18"/>
  <c r="T503" i="18"/>
  <c r="T561" i="18"/>
  <c r="T716" i="18"/>
  <c r="U344" i="18"/>
  <c r="T448" i="18"/>
  <c r="T363" i="18"/>
  <c r="U199" i="18"/>
  <c r="T243" i="18"/>
  <c r="U632" i="18"/>
  <c r="T170" i="18"/>
  <c r="T555" i="18"/>
  <c r="T237" i="18"/>
  <c r="T218" i="18"/>
  <c r="U109" i="18"/>
  <c r="U49" i="18"/>
  <c r="U570" i="18"/>
  <c r="U81" i="18"/>
  <c r="U375" i="18"/>
  <c r="U248" i="18"/>
  <c r="T247" i="18"/>
  <c r="T231" i="18"/>
  <c r="U253" i="18"/>
  <c r="U774" i="18"/>
  <c r="T812" i="18"/>
  <c r="U511" i="18"/>
  <c r="T404" i="18"/>
  <c r="U294" i="18"/>
  <c r="T587" i="18"/>
  <c r="T292" i="18"/>
  <c r="T286" i="18"/>
  <c r="T58" i="18"/>
  <c r="U700" i="18"/>
  <c r="T447" i="18"/>
  <c r="U820" i="18"/>
  <c r="T497" i="18"/>
  <c r="U132" i="18"/>
  <c r="T347" i="18"/>
  <c r="T16" i="18"/>
  <c r="U442" i="18"/>
  <c r="T800" i="18"/>
  <c r="U26" i="18"/>
  <c r="T3" i="18"/>
  <c r="T32" i="18"/>
  <c r="U329" i="18"/>
  <c r="T407" i="18"/>
  <c r="T364" i="18"/>
  <c r="T638" i="18"/>
  <c r="U17" i="18"/>
  <c r="T653" i="18"/>
  <c r="U207" i="18"/>
  <c r="T334" i="18"/>
  <c r="T275" i="18"/>
  <c r="T685" i="18"/>
  <c r="T401" i="18"/>
  <c r="T400" i="18"/>
  <c r="U470" i="18"/>
  <c r="T103" i="18"/>
  <c r="T62" i="18"/>
  <c r="U293" i="18"/>
  <c r="T617" i="18"/>
  <c r="U360" i="18"/>
  <c r="U480" i="18"/>
  <c r="T564" i="18"/>
  <c r="T63" i="18"/>
  <c r="T349" i="18"/>
  <c r="T432" i="18"/>
  <c r="T552" i="18"/>
  <c r="U785" i="18"/>
  <c r="U162" i="18"/>
  <c r="U454" i="18"/>
  <c r="T67" i="18"/>
  <c r="U771" i="18"/>
  <c r="T659" i="18"/>
  <c r="U136" i="18"/>
  <c r="T388" i="18"/>
  <c r="U124" i="18"/>
  <c r="U373" i="18"/>
  <c r="T573" i="18"/>
  <c r="U563" i="18"/>
  <c r="T378" i="18"/>
  <c r="T423" i="18"/>
  <c r="U411" i="18"/>
  <c r="U44" i="18"/>
  <c r="U545" i="18"/>
  <c r="T637" i="18"/>
  <c r="T220" i="18"/>
  <c r="U565" i="18"/>
  <c r="T648" i="18"/>
  <c r="U341" i="18"/>
  <c r="U98" i="18"/>
  <c r="U670" i="18"/>
  <c r="U804" i="18"/>
  <c r="T300" i="18"/>
  <c r="U264" i="18"/>
  <c r="T38" i="18"/>
  <c r="U424" i="18"/>
  <c r="T424" i="18"/>
  <c r="T790" i="18"/>
  <c r="U790" i="18"/>
  <c r="U809" i="18"/>
  <c r="T809" i="18"/>
  <c r="T221" i="18"/>
  <c r="U221" i="18"/>
  <c r="U660" i="18"/>
  <c r="T660" i="18"/>
  <c r="U101" i="18"/>
  <c r="T101" i="18"/>
  <c r="U696" i="18"/>
  <c r="U761" i="18"/>
  <c r="T227" i="18"/>
  <c r="T346" i="18"/>
  <c r="U435" i="18"/>
  <c r="U510" i="18"/>
  <c r="U23" i="18"/>
  <c r="T621" i="18"/>
  <c r="U452" i="18"/>
  <c r="T591" i="18"/>
  <c r="U598" i="18"/>
  <c r="T718" i="18"/>
  <c r="U735" i="18"/>
  <c r="U173" i="18"/>
  <c r="T709" i="18"/>
  <c r="U102" i="18"/>
  <c r="U273" i="18"/>
  <c r="U684" i="18"/>
  <c r="U668" i="18"/>
  <c r="T755" i="18"/>
  <c r="T342" i="18"/>
  <c r="U100" i="18"/>
  <c r="T616" i="18"/>
  <c r="U615" i="18"/>
  <c r="T813" i="18"/>
  <c r="U22" i="18"/>
  <c r="T786" i="18"/>
  <c r="U597" i="18"/>
  <c r="U88" i="18"/>
  <c r="T239" i="18"/>
  <c r="U179" i="18"/>
  <c r="U297" i="18"/>
  <c r="U641" i="18"/>
  <c r="T760" i="18"/>
  <c r="U705" i="18"/>
  <c r="U129" i="18"/>
  <c r="T567" i="18"/>
  <c r="T232" i="18"/>
  <c r="T177" i="18"/>
  <c r="U196" i="18"/>
  <c r="T695" i="18"/>
  <c r="T460" i="18"/>
  <c r="T322" i="18"/>
  <c r="T762" i="18"/>
  <c r="T644" i="18"/>
  <c r="T234" i="18"/>
  <c r="U548" i="18"/>
  <c r="U814" i="18"/>
  <c r="T569" i="18"/>
  <c r="T706" i="18"/>
  <c r="T99" i="18"/>
  <c r="T254" i="18"/>
  <c r="U9" i="18"/>
  <c r="U690" i="18"/>
  <c r="T642" i="18"/>
  <c r="U82" i="18"/>
  <c r="T708" i="18"/>
  <c r="T316" i="18"/>
  <c r="T384" i="18"/>
  <c r="T301" i="18"/>
  <c r="U682" i="18"/>
  <c r="T571" i="18"/>
  <c r="U476" i="18"/>
  <c r="T476" i="18"/>
  <c r="U151" i="18"/>
  <c r="T151" i="18"/>
  <c r="U488" i="18"/>
  <c r="T488" i="18"/>
  <c r="U178" i="18"/>
  <c r="T178" i="18"/>
  <c r="T750" i="18"/>
  <c r="U750" i="18"/>
  <c r="T692" i="18"/>
  <c r="U692" i="18"/>
  <c r="T729" i="18"/>
  <c r="U729" i="18"/>
  <c r="U236" i="18"/>
  <c r="T236" i="18"/>
  <c r="U754" i="18"/>
  <c r="T754" i="18"/>
  <c r="T449" i="18"/>
  <c r="U449" i="18"/>
  <c r="U46" i="18"/>
  <c r="T46" i="18"/>
  <c r="U306" i="18"/>
  <c r="T306" i="18"/>
  <c r="T187" i="18"/>
  <c r="U187" i="18"/>
  <c r="T21" i="18"/>
  <c r="U21" i="18"/>
  <c r="T596" i="18"/>
  <c r="U596" i="18"/>
  <c r="U614" i="18"/>
  <c r="U742" i="18"/>
  <c r="U370" i="18"/>
  <c r="T208" i="18"/>
  <c r="U208" i="18"/>
  <c r="U69" i="18"/>
  <c r="T69" i="18"/>
  <c r="U467" i="18"/>
  <c r="T467" i="18"/>
  <c r="U319" i="18"/>
  <c r="T319" i="18"/>
  <c r="T482" i="18"/>
  <c r="U482" i="18"/>
  <c r="T780" i="18"/>
  <c r="U780" i="18"/>
  <c r="U28" i="18"/>
  <c r="T28" i="18"/>
  <c r="T693" i="18"/>
  <c r="U693" i="18"/>
  <c r="T478" i="18"/>
  <c r="U478" i="18"/>
  <c r="T70" i="18"/>
  <c r="U70" i="18"/>
  <c r="T169" i="18"/>
  <c r="U169" i="18"/>
  <c r="U137" i="18"/>
  <c r="T137" i="18"/>
  <c r="U399" i="18"/>
  <c r="T399" i="18"/>
  <c r="U41" i="18"/>
  <c r="T41" i="18"/>
  <c r="U245" i="18"/>
  <c r="T245" i="18"/>
  <c r="U654" i="18"/>
  <c r="T654" i="18"/>
  <c r="T759" i="18"/>
  <c r="U759" i="18"/>
  <c r="T386" i="18"/>
  <c r="U386" i="18"/>
  <c r="T76" i="18"/>
  <c r="U76" i="18"/>
  <c r="U176" i="18"/>
  <c r="T176" i="18"/>
  <c r="U59" i="18"/>
  <c r="T59" i="18"/>
  <c r="U366" i="18"/>
  <c r="T366" i="18"/>
  <c r="T781" i="18"/>
  <c r="U781" i="18"/>
  <c r="T307" i="18"/>
  <c r="U307" i="18"/>
  <c r="U499" i="18"/>
  <c r="T499" i="18"/>
  <c r="U95" i="18"/>
  <c r="T95" i="18"/>
  <c r="T116" i="18"/>
  <c r="U116" i="18"/>
  <c r="T112" i="18"/>
  <c r="U112" i="18"/>
  <c r="U819" i="18"/>
  <c r="T819" i="18"/>
  <c r="U267" i="18"/>
  <c r="T267" i="18"/>
  <c r="T299" i="18"/>
  <c r="U299" i="18"/>
  <c r="T93" i="18"/>
  <c r="U93" i="18"/>
  <c r="T656" i="18"/>
  <c r="U656" i="18"/>
  <c r="U458" i="18"/>
  <c r="T458" i="18"/>
  <c r="U582" i="18"/>
  <c r="T582" i="18"/>
  <c r="U186" i="18"/>
  <c r="T186" i="18"/>
  <c r="U792" i="18"/>
  <c r="T223" i="18"/>
  <c r="U605" i="18"/>
  <c r="T744" i="18"/>
  <c r="U712" i="18"/>
  <c r="U354" i="18"/>
  <c r="T389" i="18"/>
  <c r="U667" i="18"/>
  <c r="U680" i="18"/>
  <c r="U808" i="18"/>
  <c r="T798" i="18"/>
  <c r="U39" i="18"/>
  <c r="T60" i="18"/>
  <c r="U691" i="18"/>
  <c r="T523" i="18"/>
  <c r="U105" i="18"/>
  <c r="U655" i="18"/>
  <c r="U619" i="18"/>
  <c r="U675" i="18"/>
  <c r="U765" i="18"/>
  <c r="U312" i="18"/>
  <c r="T553" i="18"/>
  <c r="U627" i="18"/>
  <c r="U75" i="18"/>
  <c r="T630" i="18"/>
  <c r="U436" i="18"/>
  <c r="U715" i="18"/>
  <c r="T609" i="18"/>
  <c r="T276" i="18"/>
  <c r="U441" i="18"/>
  <c r="T269" i="18"/>
  <c r="U85" i="18"/>
  <c r="U36" i="18"/>
  <c r="U679" i="18"/>
  <c r="U11" i="18"/>
  <c r="U73" i="18"/>
  <c r="T577" i="18"/>
  <c r="U547" i="18"/>
  <c r="U359" i="18"/>
  <c r="U584" i="18"/>
  <c r="T71" i="18"/>
  <c r="U71" i="18"/>
  <c r="U130" i="18"/>
  <c r="T130" i="18"/>
  <c r="U445" i="18"/>
  <c r="T445" i="18"/>
  <c r="T753" i="18"/>
  <c r="U753" i="18"/>
  <c r="T493" i="18"/>
  <c r="U493" i="18"/>
  <c r="U772" i="18"/>
  <c r="T772" i="18"/>
  <c r="U676" i="18"/>
  <c r="T676" i="18"/>
  <c r="U496" i="18"/>
  <c r="T496" i="18"/>
  <c r="T768" i="18"/>
  <c r="U768" i="18"/>
  <c r="U730" i="18"/>
  <c r="T730" i="18"/>
  <c r="T272" i="18"/>
  <c r="U272" i="18"/>
  <c r="T402" i="18"/>
  <c r="U402" i="18"/>
  <c r="U35" i="18"/>
  <c r="T35" i="18"/>
  <c r="T810" i="18"/>
  <c r="U810" i="18"/>
  <c r="T313" i="18"/>
  <c r="U313" i="18"/>
  <c r="T233" i="18"/>
  <c r="U233" i="18"/>
  <c r="T434" i="18"/>
  <c r="U434" i="18"/>
  <c r="U139" i="18"/>
  <c r="T139" i="18"/>
  <c r="T536" i="18"/>
  <c r="U536" i="18"/>
  <c r="U438" i="18"/>
  <c r="T438" i="18"/>
  <c r="T782" i="18"/>
  <c r="U782" i="18"/>
  <c r="U733" i="18"/>
  <c r="T733" i="18"/>
  <c r="T392" i="18"/>
  <c r="U392" i="18"/>
  <c r="U147" i="18"/>
  <c r="T147" i="18"/>
  <c r="U439" i="18"/>
  <c r="T439" i="18"/>
  <c r="T673" i="18"/>
  <c r="U673" i="18"/>
  <c r="T533" i="18"/>
  <c r="U533" i="18"/>
  <c r="T249" i="18"/>
  <c r="U249" i="18"/>
  <c r="T183" i="18"/>
  <c r="U183" i="18"/>
  <c r="T461" i="18"/>
  <c r="U461" i="18"/>
  <c r="U310" i="18"/>
  <c r="T310" i="18"/>
  <c r="U475" i="18"/>
  <c r="T475" i="18"/>
  <c r="T662" i="18"/>
  <c r="U662" i="18"/>
  <c r="T252" i="18"/>
  <c r="U252" i="18"/>
  <c r="U579" i="18"/>
  <c r="T579" i="18"/>
  <c r="T498" i="18"/>
  <c r="U498" i="18"/>
  <c r="T351" i="18"/>
  <c r="U351" i="18"/>
  <c r="U391" i="18"/>
  <c r="T391" i="18"/>
  <c r="U522" i="18"/>
  <c r="T522" i="18"/>
  <c r="T149" i="18"/>
  <c r="U149" i="18"/>
  <c r="U66" i="18"/>
  <c r="T66" i="18"/>
  <c r="U12" i="18"/>
  <c r="T12" i="18"/>
  <c r="T752" i="18"/>
  <c r="U752" i="18"/>
  <c r="U331" i="18"/>
  <c r="T331" i="18"/>
  <c r="U153" i="18"/>
  <c r="T153" i="18"/>
  <c r="U590" i="18"/>
  <c r="T590" i="18"/>
  <c r="T450" i="18"/>
  <c r="U450" i="18"/>
  <c r="U172" i="18"/>
  <c r="T172" i="18"/>
  <c r="U770" i="18"/>
  <c r="T770" i="18"/>
  <c r="T462" i="18"/>
  <c r="U462" i="18"/>
  <c r="T620" i="18"/>
  <c r="U620" i="18"/>
  <c r="T356" i="18"/>
  <c r="U356" i="18"/>
  <c r="U150" i="18"/>
  <c r="T150" i="18"/>
  <c r="U200" i="18"/>
  <c r="T200" i="18"/>
  <c r="T704" i="18"/>
  <c r="U704" i="18"/>
  <c r="T157" i="18"/>
  <c r="U157" i="18"/>
  <c r="T156" i="18"/>
  <c r="U156" i="18"/>
  <c r="T181" i="18"/>
  <c r="U181" i="18"/>
  <c r="T669" i="18"/>
  <c r="U669" i="18"/>
  <c r="U340" i="18"/>
  <c r="T340" i="18"/>
  <c r="U639" i="18"/>
  <c r="T639" i="18"/>
  <c r="T741" i="18"/>
  <c r="U741" i="18"/>
  <c r="T628" i="18"/>
  <c r="U628" i="18"/>
  <c r="T606" i="18"/>
  <c r="U606" i="18"/>
  <c r="U376" i="18"/>
  <c r="T376" i="18"/>
  <c r="T52" i="18"/>
  <c r="U52" i="18"/>
  <c r="U290" i="18"/>
  <c r="T290" i="18"/>
  <c r="T575" i="18"/>
  <c r="U575" i="18"/>
  <c r="U167" i="18"/>
  <c r="T167" i="18"/>
  <c r="U348" i="18"/>
  <c r="T348" i="18"/>
  <c r="U618" i="18"/>
  <c r="T618" i="18"/>
  <c r="U518" i="18"/>
  <c r="T518" i="18"/>
  <c r="U87" i="18"/>
  <c r="T87" i="18"/>
  <c r="T171" i="18"/>
  <c r="U171" i="18"/>
  <c r="T330" i="18"/>
  <c r="U330" i="18"/>
  <c r="T295" i="18"/>
  <c r="U295" i="18"/>
  <c r="T242" i="18"/>
  <c r="U242" i="18"/>
  <c r="T815" i="18"/>
  <c r="U815" i="18"/>
  <c r="T337" i="18"/>
  <c r="U337" i="18"/>
  <c r="T198" i="18"/>
  <c r="T309" i="18"/>
  <c r="T160" i="18"/>
  <c r="U455" i="18"/>
  <c r="T405" i="18"/>
  <c r="T266" i="18"/>
  <c r="T736" i="18"/>
  <c r="T649" i="18"/>
  <c r="T720" i="18"/>
  <c r="T446" i="18"/>
  <c r="T6" i="18"/>
  <c r="T672" i="18"/>
  <c r="T661" i="18"/>
  <c r="T739" i="18"/>
  <c r="U219" i="18"/>
  <c r="T749" i="18"/>
  <c r="T2" i="18"/>
  <c r="U576" i="18"/>
  <c r="T288" i="18"/>
  <c r="T430" i="18"/>
  <c r="U604" i="18"/>
  <c r="T604" i="18"/>
  <c r="T728" i="18"/>
  <c r="U728" i="18"/>
  <c r="T131" i="18"/>
  <c r="U131" i="18"/>
  <c r="T433" i="18"/>
  <c r="U433" i="18"/>
  <c r="U495" i="18"/>
  <c r="T495" i="18"/>
  <c r="T5" i="18"/>
  <c r="U5" i="18"/>
  <c r="U677" i="18"/>
  <c r="T677" i="18"/>
  <c r="T769" i="18"/>
  <c r="U769" i="18"/>
  <c r="U352" i="18"/>
  <c r="T352" i="18"/>
  <c r="T368" i="18"/>
  <c r="U368" i="18"/>
  <c r="T175" i="18"/>
  <c r="U175" i="18"/>
  <c r="T357" i="18"/>
  <c r="U357" i="18"/>
  <c r="U110" i="18"/>
  <c r="T110" i="18"/>
  <c r="U224" i="18"/>
  <c r="T224" i="18"/>
  <c r="T713" i="18"/>
  <c r="U713" i="18"/>
  <c r="T473" i="18"/>
  <c r="U473" i="18"/>
  <c r="T377" i="18"/>
  <c r="U377" i="18"/>
  <c r="U444" i="18"/>
  <c r="T444" i="18"/>
  <c r="T624" i="18"/>
  <c r="U624" i="18"/>
  <c r="T225" i="18"/>
  <c r="U225" i="18"/>
  <c r="U608" i="18"/>
  <c r="T608" i="18"/>
  <c r="U757" i="18"/>
  <c r="T757" i="18"/>
  <c r="T390" i="18"/>
  <c r="U390" i="18"/>
  <c r="T429" i="18"/>
  <c r="U429" i="18"/>
  <c r="T350" i="18"/>
  <c r="U350" i="18"/>
  <c r="U502" i="18"/>
  <c r="T502" i="18"/>
  <c r="U766" i="18"/>
  <c r="T766" i="18"/>
  <c r="U469" i="18"/>
  <c r="T469" i="18"/>
  <c r="U7" i="18"/>
  <c r="T7" i="18"/>
  <c r="U425" i="18"/>
  <c r="T425" i="18"/>
  <c r="U414" i="18"/>
  <c r="T414" i="18"/>
  <c r="U746" i="18"/>
  <c r="T746" i="18"/>
  <c r="T133" i="18"/>
  <c r="U133" i="18"/>
  <c r="U585" i="18"/>
  <c r="T585" i="18"/>
  <c r="U763" i="18"/>
  <c r="T763" i="18"/>
  <c r="U779" i="18"/>
  <c r="T779" i="18"/>
  <c r="T758" i="18"/>
  <c r="U758" i="18"/>
  <c r="T222" i="18"/>
  <c r="U222" i="18"/>
  <c r="U43" i="18"/>
  <c r="T43" i="18"/>
  <c r="U703" i="18"/>
  <c r="T703" i="18"/>
  <c r="T513" i="18"/>
  <c r="U513" i="18"/>
  <c r="T796" i="18"/>
  <c r="U796" i="18"/>
  <c r="T122" i="18"/>
  <c r="U122" i="18"/>
  <c r="U465" i="18"/>
  <c r="T465" i="18"/>
  <c r="T271" i="18"/>
  <c r="U271" i="18"/>
  <c r="U34" i="18"/>
  <c r="T34" i="18"/>
  <c r="U431" i="18"/>
  <c r="T431" i="18"/>
  <c r="T168" i="18"/>
  <c r="U168" i="18"/>
  <c r="T793" i="18"/>
  <c r="U793" i="18"/>
  <c r="U485" i="18"/>
  <c r="T485" i="18"/>
  <c r="T107" i="18"/>
  <c r="U107" i="18"/>
  <c r="U803" i="18"/>
  <c r="T803" i="18"/>
  <c r="T217" i="18"/>
  <c r="U217" i="18"/>
  <c r="U327" i="18"/>
  <c r="T327" i="18"/>
  <c r="U78" i="18"/>
  <c r="T78" i="18"/>
  <c r="T636" i="18"/>
  <c r="U636" i="18"/>
  <c r="T664" i="18"/>
  <c r="U664" i="18"/>
  <c r="U678" i="18"/>
  <c r="T678" i="18"/>
  <c r="T486" i="18"/>
  <c r="U486" i="18"/>
  <c r="T166" i="18"/>
  <c r="U166" i="18"/>
  <c r="U549" i="18"/>
  <c r="T549" i="18"/>
  <c r="U385" i="18"/>
  <c r="T385" i="18"/>
  <c r="T14" i="18"/>
  <c r="U14" i="18"/>
  <c r="U201" i="18"/>
  <c r="T201" i="18"/>
  <c r="T96" i="18"/>
  <c r="U96" i="18"/>
  <c r="U707" i="18"/>
  <c r="T707" i="18"/>
  <c r="U204" i="18"/>
  <c r="T204" i="18"/>
  <c r="U456" i="18"/>
  <c r="T456" i="18"/>
  <c r="U550" i="18"/>
  <c r="T550" i="18"/>
  <c r="T61" i="18"/>
  <c r="U61" i="18"/>
  <c r="U50" i="18"/>
  <c r="T50" i="18"/>
  <c r="U717" i="18"/>
  <c r="T717" i="18"/>
  <c r="T24" i="18"/>
  <c r="U24" i="18"/>
  <c r="T97" i="18"/>
  <c r="U97" i="18"/>
  <c r="U83" i="18"/>
  <c r="U554" i="18"/>
  <c r="T479" i="18"/>
  <c r="U479" i="18"/>
  <c r="T494" i="18"/>
  <c r="U494" i="18"/>
  <c r="U64" i="18"/>
  <c r="T64" i="18"/>
  <c r="T722" i="18"/>
  <c r="U722" i="18"/>
  <c r="T138" i="18"/>
  <c r="U138" i="18"/>
  <c r="U68" i="18"/>
  <c r="T68" i="18"/>
  <c r="T145" i="18"/>
  <c r="U145" i="18"/>
  <c r="T144" i="18"/>
  <c r="U144" i="18"/>
  <c r="T453" i="18"/>
  <c r="U453" i="18"/>
  <c r="U520" i="18"/>
  <c r="T520" i="18"/>
  <c r="T788" i="18"/>
  <c r="U788" i="18"/>
  <c r="U589" i="18"/>
  <c r="T589" i="18"/>
  <c r="U443" i="18"/>
  <c r="T443" i="18"/>
  <c r="T702" i="18"/>
  <c r="U702" i="18"/>
  <c r="U417" i="18"/>
  <c r="T417" i="18"/>
  <c r="T37" i="18"/>
  <c r="U37" i="18"/>
  <c r="U601" i="18"/>
  <c r="T601" i="18"/>
  <c r="U580" i="18"/>
  <c r="T580" i="18"/>
  <c r="T725" i="18"/>
  <c r="U725" i="18"/>
  <c r="T230" i="18"/>
  <c r="U230" i="18"/>
  <c r="U238" i="18"/>
  <c r="T238" i="18"/>
  <c r="T180" i="18"/>
  <c r="U180" i="18"/>
  <c r="U740" i="18"/>
  <c r="T740" i="18"/>
  <c r="T657" i="18"/>
  <c r="U657" i="18"/>
  <c r="U737" i="18"/>
  <c r="T737" i="18"/>
  <c r="U537" i="18"/>
  <c r="T537" i="18"/>
  <c r="T689" i="18"/>
  <c r="U689" i="18"/>
  <c r="T229" i="18"/>
  <c r="U25" i="18"/>
  <c r="T381" i="18"/>
  <c r="U645" i="18"/>
  <c r="T315" i="18"/>
  <c r="U29" i="18"/>
  <c r="U397" i="18"/>
  <c r="T80" i="18"/>
  <c r="T387" i="18"/>
  <c r="U566" i="18"/>
  <c r="T534" i="18"/>
  <c r="T31" i="18"/>
  <c r="U206" i="18"/>
  <c r="U108" i="18"/>
  <c r="U610" i="18"/>
  <c r="U121" i="18"/>
  <c r="U91" i="18"/>
  <c r="U593" i="18"/>
  <c r="U210" i="18"/>
  <c r="U687" i="18"/>
  <c r="U371" i="18"/>
  <c r="T764" i="18"/>
  <c r="T629" i="18"/>
  <c r="U393" i="18"/>
  <c r="T191" i="18"/>
  <c r="U738" i="18"/>
  <c r="U602" i="18"/>
  <c r="T27" i="18"/>
  <c r="U817" i="18"/>
  <c r="T714" i="18"/>
  <c r="U421" i="18"/>
  <c r="T551" i="18"/>
  <c r="T612" i="18"/>
  <c r="U214" i="18"/>
  <c r="U374" i="18"/>
  <c r="T332" i="18"/>
  <c r="U140" i="18"/>
  <c r="T732" i="18"/>
  <c r="U732" i="18"/>
  <c r="T663" i="18"/>
  <c r="U663" i="18"/>
  <c r="U745" i="18"/>
  <c r="T745" i="18"/>
  <c r="U726" i="18"/>
  <c r="T726" i="18"/>
  <c r="U698" i="18"/>
  <c r="T698" i="18"/>
  <c r="U382" i="18"/>
  <c r="U56" i="18"/>
  <c r="T338" i="18"/>
  <c r="T281" i="18"/>
  <c r="T287" i="18"/>
  <c r="U403" i="18"/>
  <c r="U291" i="18"/>
  <c r="T314" i="18"/>
  <c r="T372" i="18"/>
  <c r="U361" i="18"/>
  <c r="T635" i="18"/>
  <c r="U274" i="18"/>
  <c r="U519" i="18"/>
  <c r="U811" i="18"/>
  <c r="U260" i="18"/>
  <c r="T723" i="18"/>
  <c r="T13" i="18"/>
  <c r="T336" i="18"/>
  <c r="T345" i="18"/>
  <c r="T262" i="18"/>
  <c r="T665" i="18"/>
  <c r="T193" i="18"/>
  <c r="U203" i="18"/>
  <c r="U259" i="18"/>
  <c r="T317" i="18"/>
  <c r="T734" i="18"/>
  <c r="T427" i="18"/>
  <c r="T161" i="18"/>
  <c r="T182" i="18"/>
  <c r="T115" i="18"/>
  <c r="U277" i="18"/>
  <c r="U164" i="18"/>
  <c r="T335" i="18"/>
  <c r="T527" i="18"/>
  <c r="T119" i="18"/>
  <c r="T525" i="18"/>
  <c r="U525" i="18"/>
  <c r="T776" i="18"/>
  <c r="U776" i="18"/>
  <c r="T459" i="18"/>
  <c r="U459" i="18"/>
  <c r="T600" i="18"/>
  <c r="U600" i="18"/>
  <c r="U244" i="18"/>
  <c r="T244" i="18"/>
  <c r="T125" i="18"/>
  <c r="U125" i="18"/>
  <c r="U791" i="18"/>
  <c r="T791" i="18"/>
  <c r="T126" i="18"/>
  <c r="U126" i="18"/>
  <c r="U748" i="18"/>
  <c r="T748" i="18"/>
  <c r="U394" i="18"/>
  <c r="T394" i="18"/>
  <c r="T10" i="18"/>
  <c r="U10" i="18"/>
  <c r="T528" i="18"/>
  <c r="U528" i="18"/>
  <c r="T65" i="18"/>
  <c r="U65" i="18"/>
  <c r="U477" i="18"/>
  <c r="T477" i="18"/>
  <c r="U751" i="18"/>
  <c r="T751" i="18"/>
  <c r="U521" i="18"/>
  <c r="T521" i="18"/>
  <c r="U574" i="18"/>
  <c r="T574" i="18"/>
  <c r="T320" i="18"/>
  <c r="U320" i="18"/>
  <c r="U530" i="18"/>
  <c r="T530" i="18"/>
  <c r="T135" i="18"/>
  <c r="U135" i="18"/>
  <c r="U185" i="18"/>
  <c r="T185" i="18"/>
  <c r="T428" i="18"/>
  <c r="U428" i="18"/>
  <c r="T581" i="18"/>
  <c r="T188" i="18"/>
  <c r="U816" i="18"/>
  <c r="T72" i="18"/>
  <c r="T535" i="18"/>
  <c r="U557" i="18"/>
  <c r="U544" i="18"/>
  <c r="T184" i="18"/>
  <c r="T90" i="18"/>
  <c r="T194" i="18"/>
  <c r="U45" i="18"/>
  <c r="U202" i="18"/>
  <c r="U743" i="18"/>
  <c r="U298" i="18"/>
  <c r="U508" i="18"/>
  <c r="T163" i="18"/>
  <c r="T270" i="18"/>
  <c r="U339" i="18"/>
  <c r="U526" i="18"/>
  <c r="T79" i="18"/>
  <c r="T546" i="18"/>
  <c r="U622" i="18"/>
  <c r="T588" i="18"/>
  <c r="T268" i="18"/>
  <c r="T697" i="18"/>
  <c r="U289" i="18"/>
  <c r="T195" i="18"/>
  <c r="U611" i="18"/>
  <c r="T261" i="18"/>
  <c r="U118" i="18"/>
  <c r="U250" i="18"/>
  <c r="U74" i="18"/>
  <c r="T174" i="18"/>
  <c r="U586" i="18"/>
  <c r="T747" i="18"/>
  <c r="T583" i="18"/>
  <c r="T578" i="18"/>
  <c r="T719" i="18"/>
  <c r="U801" i="18"/>
  <c r="T532" i="18"/>
  <c r="U123" i="18"/>
  <c r="T123" i="18"/>
  <c r="T484" i="18"/>
  <c r="U484" i="18"/>
  <c r="U777" i="18"/>
  <c r="T777" i="18"/>
  <c r="U512" i="18"/>
  <c r="T512" i="18"/>
  <c r="U490" i="18"/>
  <c r="T490" i="18"/>
  <c r="U15" i="18"/>
  <c r="T15" i="18"/>
  <c r="U413" i="18"/>
  <c r="T413" i="18"/>
  <c r="T509" i="18"/>
  <c r="U509" i="18"/>
  <c r="T787" i="18"/>
  <c r="U787" i="18"/>
  <c r="T416" i="18"/>
  <c r="U416" i="18"/>
  <c r="U418" i="18"/>
  <c r="T418" i="18"/>
  <c r="T674" i="18"/>
  <c r="U674" i="18"/>
  <c r="T141" i="18"/>
  <c r="U141" i="18"/>
  <c r="T284" i="18"/>
  <c r="U284" i="18"/>
  <c r="U505" i="18"/>
  <c r="T505" i="18"/>
  <c r="U481" i="18"/>
  <c r="T481" i="18"/>
  <c r="T148" i="18"/>
  <c r="U148" i="18"/>
  <c r="U500" i="18"/>
  <c r="T500" i="18"/>
  <c r="U285" i="18"/>
  <c r="T285" i="18"/>
  <c r="T280" i="18"/>
  <c r="U280" i="18"/>
  <c r="U517" i="18"/>
  <c r="T517" i="18"/>
  <c r="U282" i="18"/>
  <c r="T282" i="18"/>
  <c r="T241" i="18"/>
  <c r="U241" i="18"/>
  <c r="T491" i="18"/>
  <c r="U491" i="18"/>
  <c r="U794" i="18"/>
  <c r="T794" i="18"/>
  <c r="T419" i="18"/>
  <c r="U419" i="18"/>
  <c r="U778" i="18"/>
  <c r="T778" i="18"/>
  <c r="T228" i="18"/>
  <c r="U228" i="18"/>
  <c r="T395" i="18"/>
  <c r="U395" i="18"/>
  <c r="T422" i="18"/>
  <c r="U422" i="18"/>
  <c r="U152" i="18"/>
  <c r="T152" i="18"/>
  <c r="U756" i="18"/>
  <c r="T756" i="18"/>
  <c r="T451" i="18"/>
  <c r="U451" i="18"/>
  <c r="U767" i="18"/>
  <c r="T767" i="18"/>
  <c r="T724" i="18"/>
  <c r="U724" i="18"/>
  <c r="T514" i="18"/>
  <c r="U514" i="18"/>
  <c r="U789" i="18"/>
  <c r="T789" i="18"/>
  <c r="U20" i="18"/>
  <c r="T20" i="18"/>
  <c r="T529" i="18"/>
  <c r="U529" i="18"/>
  <c r="U205" i="18"/>
  <c r="T205" i="18"/>
  <c r="U40" i="18"/>
  <c r="T40" i="18"/>
  <c r="T128" i="18"/>
  <c r="U128" i="18"/>
  <c r="T773" i="18"/>
  <c r="U773" i="18"/>
  <c r="U595" i="18"/>
  <c r="T595" i="18"/>
  <c r="T426" i="18"/>
  <c r="U426" i="18"/>
  <c r="T246" i="18"/>
  <c r="U246" i="18"/>
  <c r="U506" i="18"/>
  <c r="T506" i="18"/>
  <c r="U142" i="18"/>
  <c r="T142" i="18"/>
  <c r="L367" i="2"/>
  <c r="M367" i="2"/>
  <c r="J367" i="2"/>
  <c r="K367" i="2"/>
  <c r="G368" i="2"/>
  <c r="I539" i="5" s="1"/>
  <c r="K539" i="5" s="1"/>
  <c r="H368" i="2"/>
  <c r="O368" i="2"/>
  <c r="D368" i="2"/>
  <c r="E368" i="2"/>
  <c r="F368" i="2"/>
  <c r="P368" i="2"/>
  <c r="R368" i="2"/>
  <c r="I303" i="5" l="1"/>
  <c r="K303" i="5" s="1"/>
  <c r="I325" i="5"/>
  <c r="K325" i="5" s="1"/>
  <c r="I542" i="5"/>
  <c r="K542" i="5" s="1"/>
  <c r="I784" i="5"/>
  <c r="K784" i="5" s="1"/>
  <c r="I324" i="5"/>
  <c r="K324" i="5" s="1"/>
  <c r="I302" i="5"/>
  <c r="K302" i="5" s="1"/>
  <c r="R776" i="5"/>
  <c r="R775" i="5"/>
  <c r="R95" i="5"/>
  <c r="R372" i="5"/>
  <c r="R160" i="5"/>
  <c r="R750" i="5"/>
  <c r="R64" i="5"/>
  <c r="R184" i="5"/>
  <c r="R393" i="5"/>
  <c r="R201" i="5"/>
  <c r="R120" i="5"/>
  <c r="R108" i="5"/>
  <c r="R110" i="5"/>
  <c r="R391" i="5"/>
  <c r="R812" i="5"/>
  <c r="R99" i="5"/>
  <c r="R231" i="5"/>
  <c r="R794" i="5"/>
  <c r="R208" i="5"/>
  <c r="R227" i="5"/>
  <c r="R26" i="5"/>
  <c r="R287" i="5"/>
  <c r="R206" i="5"/>
  <c r="R726" i="5"/>
  <c r="R249" i="5"/>
  <c r="R140" i="5"/>
  <c r="R80" i="5"/>
  <c r="R798" i="5"/>
  <c r="R161" i="5"/>
  <c r="R236" i="5"/>
  <c r="R293" i="5"/>
  <c r="R282" i="5"/>
  <c r="R88" i="5"/>
  <c r="R89" i="5"/>
  <c r="R738" i="5"/>
  <c r="R320" i="5"/>
  <c r="R791" i="5"/>
  <c r="R35" i="5"/>
  <c r="R302" i="5"/>
  <c r="R300" i="5"/>
  <c r="R801" i="5"/>
  <c r="R232" i="5"/>
  <c r="R151" i="5"/>
  <c r="R247" i="5"/>
  <c r="R39" i="5"/>
  <c r="R106" i="5"/>
  <c r="R780" i="5"/>
  <c r="R378" i="5"/>
  <c r="R800" i="5"/>
  <c r="R45" i="5"/>
  <c r="R258" i="5"/>
  <c r="R109" i="5"/>
  <c r="R295" i="5"/>
  <c r="R787" i="5"/>
  <c r="R807" i="5"/>
  <c r="R228" i="5"/>
  <c r="R735" i="5"/>
  <c r="R358" i="5"/>
  <c r="R725" i="5"/>
  <c r="R137" i="5"/>
  <c r="R336" i="5"/>
  <c r="R62" i="5"/>
  <c r="R383" i="5"/>
  <c r="R144" i="5"/>
  <c r="R768" i="5"/>
  <c r="R370" i="5"/>
  <c r="R71" i="5"/>
  <c r="R326" i="5"/>
  <c r="R28" i="5"/>
  <c r="R745" i="5"/>
  <c r="R388" i="5"/>
  <c r="R81" i="5"/>
  <c r="R152" i="5"/>
  <c r="R44" i="5"/>
  <c r="R387" i="5"/>
  <c r="R756" i="5"/>
  <c r="R275" i="5"/>
  <c r="R777" i="5"/>
  <c r="R723" i="5"/>
  <c r="R331" i="5"/>
  <c r="R773" i="5"/>
  <c r="R732" i="5"/>
  <c r="R181" i="5"/>
  <c r="R225" i="5"/>
  <c r="R37" i="5"/>
  <c r="R394" i="5"/>
  <c r="R255" i="5"/>
  <c r="R352" i="5"/>
  <c r="R309" i="5"/>
  <c r="R273" i="5"/>
  <c r="R740" i="5"/>
  <c r="R172" i="5"/>
  <c r="R98" i="5"/>
  <c r="R790" i="5"/>
  <c r="R274" i="5"/>
  <c r="R50" i="5"/>
  <c r="R19" i="5"/>
  <c r="R183" i="5"/>
  <c r="R185" i="5"/>
  <c r="R409" i="5"/>
  <c r="R36" i="5"/>
  <c r="R133" i="5"/>
  <c r="R204" i="5"/>
  <c r="R290" i="5"/>
  <c r="R538" i="5"/>
  <c r="R199" i="5"/>
  <c r="R294" i="5"/>
  <c r="R382" i="5"/>
  <c r="R47" i="5"/>
  <c r="R69" i="5"/>
  <c r="R200" i="5"/>
  <c r="R743" i="5"/>
  <c r="R22" i="5"/>
  <c r="R20" i="5"/>
  <c r="R48" i="5"/>
  <c r="R332" i="5"/>
  <c r="R142" i="5"/>
  <c r="R134" i="5"/>
  <c r="R741" i="5"/>
  <c r="R124" i="5"/>
  <c r="R760" i="5"/>
  <c r="R314" i="5"/>
  <c r="R85" i="5"/>
  <c r="R347" i="5"/>
  <c r="R178" i="5"/>
  <c r="R734" i="5"/>
  <c r="R329" i="5"/>
  <c r="R150" i="5"/>
  <c r="R211" i="5"/>
  <c r="R327" i="5"/>
  <c r="R348" i="5"/>
  <c r="R304" i="5"/>
  <c r="R73" i="5"/>
  <c r="R189" i="5"/>
  <c r="R374" i="5"/>
  <c r="R186" i="5"/>
  <c r="R59" i="5"/>
  <c r="R162" i="5"/>
  <c r="R154" i="5"/>
  <c r="R66" i="5"/>
  <c r="R239" i="5"/>
  <c r="R203" i="5"/>
  <c r="R105" i="5"/>
  <c r="R344" i="5"/>
  <c r="R782" i="5"/>
  <c r="R268" i="5"/>
  <c r="R385" i="5"/>
  <c r="R722" i="5"/>
  <c r="R810" i="5"/>
  <c r="R796" i="5"/>
  <c r="R769" i="5"/>
  <c r="R765" i="5"/>
  <c r="R241" i="5"/>
  <c r="R346" i="5"/>
  <c r="R303" i="5"/>
  <c r="R269" i="5"/>
  <c r="R252" i="5"/>
  <c r="R113" i="5"/>
  <c r="R131" i="5"/>
  <c r="R277" i="5"/>
  <c r="R815" i="5"/>
  <c r="R770" i="5"/>
  <c r="R296" i="5"/>
  <c r="R730" i="5"/>
  <c r="R367" i="5"/>
  <c r="R141" i="5"/>
  <c r="R242" i="5"/>
  <c r="R229" i="5"/>
  <c r="R117" i="5"/>
  <c r="R739" i="5"/>
  <c r="R737" i="5"/>
  <c r="R803" i="5"/>
  <c r="R281" i="5"/>
  <c r="R539" i="5"/>
  <c r="R237" i="5"/>
  <c r="R2" i="5"/>
  <c r="R78" i="5"/>
  <c r="R322" i="5"/>
  <c r="R260" i="5"/>
  <c r="R278" i="5"/>
  <c r="R219" i="5"/>
  <c r="R75" i="5"/>
  <c r="R328" i="5"/>
  <c r="R216" i="5"/>
  <c r="R733" i="5"/>
  <c r="R816" i="5"/>
  <c r="R79" i="5"/>
  <c r="R221" i="5"/>
  <c r="R819" i="5"/>
  <c r="R215" i="5"/>
  <c r="R343" i="5"/>
  <c r="R721" i="5"/>
  <c r="R267" i="5"/>
  <c r="R118" i="5"/>
  <c r="R754" i="5"/>
  <c r="R49" i="5"/>
  <c r="R355" i="5"/>
  <c r="R321" i="5"/>
  <c r="R29" i="5"/>
  <c r="R310" i="5"/>
  <c r="R214" i="5"/>
  <c r="R301" i="5"/>
  <c r="R373" i="5"/>
  <c r="R191" i="5"/>
  <c r="R127" i="5"/>
  <c r="R174" i="5"/>
  <c r="R170" i="5"/>
  <c r="R18" i="5"/>
  <c r="R224" i="5"/>
  <c r="R87" i="5"/>
  <c r="R128" i="5"/>
  <c r="R196" i="5"/>
  <c r="R138" i="5"/>
  <c r="R250" i="5"/>
  <c r="R197" i="5"/>
  <c r="R25" i="5"/>
  <c r="R805" i="5"/>
  <c r="R266" i="5"/>
  <c r="R291" i="5"/>
  <c r="R97" i="5"/>
  <c r="R179" i="5"/>
  <c r="R147" i="5"/>
  <c r="R169" i="5"/>
  <c r="R83" i="5"/>
  <c r="R112" i="5"/>
  <c r="R338" i="5"/>
  <c r="R96" i="5"/>
  <c r="R230" i="5"/>
  <c r="R153" i="5"/>
  <c r="R167" i="5"/>
  <c r="R63" i="5"/>
  <c r="R410" i="5"/>
  <c r="R217" i="5"/>
  <c r="R253" i="5"/>
  <c r="R218" i="5"/>
  <c r="R93" i="5"/>
  <c r="R817" i="5"/>
  <c r="R381" i="5"/>
  <c r="R736" i="5"/>
  <c r="R315" i="5"/>
  <c r="R749" i="5"/>
  <c r="R799" i="5"/>
  <c r="R254" i="5"/>
  <c r="R319" i="5"/>
  <c r="R157" i="5"/>
  <c r="R334" i="5"/>
  <c r="R246" i="5"/>
  <c r="R130" i="5"/>
  <c r="R91" i="5"/>
  <c r="R811" i="5"/>
  <c r="R121" i="5"/>
  <c r="R311" i="5"/>
  <c r="R793" i="5"/>
  <c r="R12" i="5"/>
  <c r="R102" i="5"/>
  <c r="R806" i="5"/>
  <c r="R288" i="5"/>
  <c r="R82" i="5"/>
  <c r="R785" i="5"/>
  <c r="R752" i="5"/>
  <c r="R758" i="5"/>
  <c r="R149" i="5"/>
  <c r="R772" i="5"/>
  <c r="R257" i="5"/>
  <c r="R353" i="5"/>
  <c r="R390" i="5"/>
  <c r="R813" i="5"/>
  <c r="R814" i="5"/>
  <c r="R748" i="5"/>
  <c r="R283" i="5"/>
  <c r="R3" i="5"/>
  <c r="R168" i="5"/>
  <c r="R145" i="5"/>
  <c r="R802" i="5"/>
  <c r="R207" i="5"/>
  <c r="R171" i="5"/>
  <c r="R5" i="5"/>
  <c r="R280" i="5"/>
  <c r="R349" i="5"/>
  <c r="R188" i="5"/>
  <c r="R175" i="5"/>
  <c r="R755" i="5"/>
  <c r="R240" i="5"/>
  <c r="R264" i="5"/>
  <c r="R325" i="5"/>
  <c r="R139" i="5"/>
  <c r="R384" i="5"/>
  <c r="R194" i="5"/>
  <c r="R6" i="5"/>
  <c r="R795" i="5"/>
  <c r="R271" i="5"/>
  <c r="R173" i="5"/>
  <c r="R774" i="5"/>
  <c r="R337" i="5"/>
  <c r="R11" i="5"/>
  <c r="R198" i="5"/>
  <c r="R540" i="5"/>
  <c r="R92" i="5"/>
  <c r="R76" i="5"/>
  <c r="R177" i="5"/>
  <c r="R57" i="5"/>
  <c r="R21" i="5"/>
  <c r="R265" i="5"/>
  <c r="R136" i="5"/>
  <c r="R30" i="5"/>
  <c r="R23" i="5"/>
  <c r="R759" i="5"/>
  <c r="R375" i="5"/>
  <c r="R324" i="5"/>
  <c r="R379" i="5"/>
  <c r="R42" i="5"/>
  <c r="R213" i="5"/>
  <c r="R542" i="5"/>
  <c r="R318" i="5"/>
  <c r="R202" i="5"/>
  <c r="R126" i="5"/>
  <c r="R70" i="5"/>
  <c r="R377" i="5"/>
  <c r="R212" i="5"/>
  <c r="R306" i="5"/>
  <c r="R123" i="5"/>
  <c r="R376" i="5"/>
  <c r="R187" i="5"/>
  <c r="R783" i="5"/>
  <c r="R767" i="5"/>
  <c r="R771" i="5"/>
  <c r="R193" i="5"/>
  <c r="R778" i="5"/>
  <c r="R166" i="5"/>
  <c r="R164" i="5"/>
  <c r="R111" i="5"/>
  <c r="R94" i="5"/>
  <c r="R58" i="5"/>
  <c r="R220" i="5"/>
  <c r="R7" i="5"/>
  <c r="R728" i="5"/>
  <c r="R746" i="5"/>
  <c r="R13" i="5"/>
  <c r="R46" i="5"/>
  <c r="R77" i="5"/>
  <c r="R308" i="5"/>
  <c r="R180" i="5"/>
  <c r="R330" i="5"/>
  <c r="R182" i="5"/>
  <c r="R67" i="5"/>
  <c r="R251" i="5"/>
  <c r="R65" i="5"/>
  <c r="R359" i="5"/>
  <c r="R365" i="5"/>
  <c r="R245" i="5"/>
  <c r="R52" i="5"/>
  <c r="R808" i="5"/>
  <c r="R165" i="5"/>
  <c r="R797" i="5"/>
  <c r="R369" i="5"/>
  <c r="R10" i="5"/>
  <c r="R248" i="5"/>
  <c r="R345" i="5"/>
  <c r="R238" i="5"/>
  <c r="R33" i="5"/>
  <c r="R761" i="5"/>
  <c r="R101" i="5"/>
  <c r="R389" i="5"/>
  <c r="R31" i="5"/>
  <c r="R116" i="5"/>
  <c r="R72" i="5"/>
  <c r="R256" i="5"/>
  <c r="R107" i="5"/>
  <c r="R361" i="5"/>
  <c r="R541" i="5"/>
  <c r="R744" i="5"/>
  <c r="R820" i="5"/>
  <c r="R159" i="5"/>
  <c r="R259" i="5"/>
  <c r="R115" i="5"/>
  <c r="R222" i="5"/>
  <c r="R122" i="5"/>
  <c r="R114" i="5"/>
  <c r="R176" i="5"/>
  <c r="R364" i="5"/>
  <c r="R74" i="5"/>
  <c r="R279" i="5"/>
  <c r="R804" i="5"/>
  <c r="R135" i="5"/>
  <c r="R27" i="5"/>
  <c r="R41" i="5"/>
  <c r="R292" i="5"/>
  <c r="R90" i="5"/>
  <c r="R276" i="5"/>
  <c r="R262" i="5"/>
  <c r="R56" i="5"/>
  <c r="R366" i="5"/>
  <c r="R818" i="5"/>
  <c r="R270" i="5"/>
  <c r="R32" i="5"/>
  <c r="R766" i="5"/>
  <c r="R386" i="5"/>
  <c r="R190" i="5"/>
  <c r="R15" i="5"/>
  <c r="R729" i="5"/>
  <c r="R354" i="5"/>
  <c r="R362" i="5"/>
  <c r="R792" i="5"/>
  <c r="R763" i="5"/>
  <c r="R9" i="5"/>
  <c r="R317" i="5"/>
  <c r="R53" i="5"/>
  <c r="R305" i="5"/>
  <c r="R4" i="5"/>
  <c r="R762" i="5"/>
  <c r="R316" i="5"/>
  <c r="R34" i="5"/>
  <c r="R742" i="5"/>
  <c r="R363" i="5"/>
  <c r="R129" i="5"/>
  <c r="R61" i="5"/>
  <c r="R192" i="5"/>
  <c r="R158" i="5"/>
  <c r="R163" i="5"/>
  <c r="R156" i="5"/>
  <c r="R43" i="5"/>
  <c r="R312" i="5"/>
  <c r="R286" i="5"/>
  <c r="R342" i="5"/>
  <c r="R243" i="5"/>
  <c r="R297" i="5"/>
  <c r="R779" i="5"/>
  <c r="R380" i="5"/>
  <c r="R100" i="5"/>
  <c r="R339" i="5"/>
  <c r="R395" i="5"/>
  <c r="R223" i="5"/>
  <c r="R60" i="5"/>
  <c r="R209" i="5"/>
  <c r="R119" i="5"/>
  <c r="R360" i="5"/>
  <c r="R155" i="5"/>
  <c r="R272" i="5"/>
  <c r="R148" i="5"/>
  <c r="R371" i="5"/>
  <c r="R323" i="5"/>
  <c r="R357" i="5"/>
  <c r="R86" i="5"/>
  <c r="R210" i="5"/>
  <c r="R335" i="5"/>
  <c r="R263" i="5"/>
  <c r="R298" i="5"/>
  <c r="R285" i="5"/>
  <c r="R781" i="5"/>
  <c r="R289" i="5"/>
  <c r="R261" i="5"/>
  <c r="R8" i="5"/>
  <c r="R55" i="5"/>
  <c r="R341" i="5"/>
  <c r="R14" i="5"/>
  <c r="R205" i="5"/>
  <c r="R313" i="5"/>
  <c r="R724" i="5"/>
  <c r="R543" i="5"/>
  <c r="R143" i="5"/>
  <c r="R51" i="5"/>
  <c r="R764" i="5"/>
  <c r="R788" i="5"/>
  <c r="R809" i="5"/>
  <c r="R24" i="5"/>
  <c r="R340" i="5"/>
  <c r="R727" i="5"/>
  <c r="R235" i="5"/>
  <c r="R38" i="5"/>
  <c r="R84" i="5"/>
  <c r="R307" i="5"/>
  <c r="R104" i="5"/>
  <c r="R356" i="5"/>
  <c r="R784" i="5"/>
  <c r="R234" i="5"/>
  <c r="R351" i="5"/>
  <c r="R40" i="5"/>
  <c r="R747" i="5"/>
  <c r="R17" i="5"/>
  <c r="R195" i="5"/>
  <c r="R16" i="5"/>
  <c r="R751" i="5"/>
  <c r="R125" i="5"/>
  <c r="R392" i="5"/>
  <c r="R731" i="5"/>
  <c r="R233" i="5"/>
  <c r="R299" i="5"/>
  <c r="R146" i="5"/>
  <c r="R789" i="5"/>
  <c r="R284" i="5"/>
  <c r="R786" i="5"/>
  <c r="R333" i="5"/>
  <c r="R753" i="5"/>
  <c r="R226" i="5"/>
  <c r="R54" i="5"/>
  <c r="R350" i="5"/>
  <c r="R368" i="5"/>
  <c r="R244" i="5"/>
  <c r="R103" i="5"/>
  <c r="R68" i="5"/>
  <c r="R132" i="5"/>
  <c r="R757" i="5"/>
  <c r="I409" i="5"/>
  <c r="K409" i="5" s="1"/>
  <c r="I543" i="5"/>
  <c r="K543" i="5" s="1"/>
  <c r="O183" i="5"/>
  <c r="O391" i="5"/>
  <c r="O260" i="5"/>
  <c r="O109" i="5"/>
  <c r="O543" i="5"/>
  <c r="O195" i="5"/>
  <c r="O138" i="5"/>
  <c r="O272" i="5"/>
  <c r="O313" i="5"/>
  <c r="O344" i="5"/>
  <c r="O343" i="5"/>
  <c r="O261" i="5"/>
  <c r="O292" i="5"/>
  <c r="O93" i="5"/>
  <c r="O208" i="5"/>
  <c r="O113" i="5"/>
  <c r="O264" i="5"/>
  <c r="O389" i="5"/>
  <c r="O196" i="5"/>
  <c r="O238" i="5"/>
  <c r="O242" i="5"/>
  <c r="O241" i="5"/>
  <c r="O274" i="5"/>
  <c r="O91" i="5"/>
  <c r="O299" i="5"/>
  <c r="O219" i="5"/>
  <c r="O328" i="5"/>
  <c r="O132" i="5"/>
  <c r="O392" i="5"/>
  <c r="O215" i="5"/>
  <c r="O63" i="5"/>
  <c r="O321" i="5"/>
  <c r="O125" i="5"/>
  <c r="O276" i="5"/>
  <c r="O69" i="5"/>
  <c r="O149" i="5"/>
  <c r="O154" i="5"/>
  <c r="O333" i="5"/>
  <c r="O394" i="5"/>
  <c r="O67" i="5"/>
  <c r="O180" i="5"/>
  <c r="O301" i="5"/>
  <c r="O354" i="5"/>
  <c r="O173" i="5"/>
  <c r="O385" i="5"/>
  <c r="I410" i="5"/>
  <c r="K410" i="5" s="1"/>
  <c r="O309" i="5"/>
  <c r="O387" i="5"/>
  <c r="O347" i="5"/>
  <c r="O275" i="5"/>
  <c r="O237" i="5"/>
  <c r="O221" i="5"/>
  <c r="O290" i="5"/>
  <c r="O234" i="5"/>
  <c r="O319" i="5"/>
  <c r="O304" i="5"/>
  <c r="O302" i="5"/>
  <c r="O224" i="5"/>
  <c r="O135" i="5"/>
  <c r="O223" i="5"/>
  <c r="O345" i="5"/>
  <c r="O257" i="5"/>
  <c r="O303" i="5"/>
  <c r="O355" i="5"/>
  <c r="O239" i="5"/>
  <c r="O115" i="5"/>
  <c r="O307" i="5"/>
  <c r="O340" i="5"/>
  <c r="O339" i="5"/>
  <c r="O96" i="5"/>
  <c r="O386" i="5"/>
  <c r="O352" i="5"/>
  <c r="O312" i="5"/>
  <c r="O89" i="5"/>
  <c r="O222" i="5"/>
  <c r="O393" i="5"/>
  <c r="O360" i="5"/>
  <c r="O310" i="5"/>
  <c r="O90" i="5"/>
  <c r="O168" i="5"/>
  <c r="O377" i="5"/>
  <c r="O279" i="5"/>
  <c r="O178" i="5"/>
  <c r="O205" i="5"/>
  <c r="O369" i="5"/>
  <c r="O265" i="5"/>
  <c r="O213" i="5"/>
  <c r="O342" i="5"/>
  <c r="O122" i="5"/>
  <c r="O203" i="5"/>
  <c r="O410" i="5"/>
  <c r="O127" i="5"/>
  <c r="O144" i="5"/>
  <c r="O390" i="5"/>
  <c r="O189" i="5"/>
  <c r="O542" i="5"/>
  <c r="O157" i="5"/>
  <c r="O202" i="5"/>
  <c r="O291" i="5"/>
  <c r="O95" i="5"/>
  <c r="O128" i="5"/>
  <c r="O365" i="5"/>
  <c r="O362" i="5"/>
  <c r="O200" i="5"/>
  <c r="O116" i="5"/>
  <c r="O199" i="5"/>
  <c r="O351" i="5"/>
  <c r="O329" i="5"/>
  <c r="O64" i="5"/>
  <c r="O174" i="5"/>
  <c r="O226" i="5"/>
  <c r="O131" i="5"/>
  <c r="O231" i="5"/>
  <c r="O218" i="5"/>
  <c r="O111" i="5"/>
  <c r="O137" i="5"/>
  <c r="O133" i="5"/>
  <c r="O268" i="5"/>
  <c r="O367" i="5"/>
  <c r="O172" i="5"/>
  <c r="O358" i="5"/>
  <c r="O207" i="5"/>
  <c r="O71" i="5"/>
  <c r="O102" i="5"/>
  <c r="O74" i="5"/>
  <c r="O353" i="5"/>
  <c r="O158" i="5"/>
  <c r="O139" i="5"/>
  <c r="O541" i="5"/>
  <c r="O285" i="5"/>
  <c r="O317" i="5"/>
  <c r="O324" i="5"/>
  <c r="O308" i="5"/>
  <c r="O120" i="5"/>
  <c r="O78" i="5"/>
  <c r="O118" i="5"/>
  <c r="O326" i="5"/>
  <c r="O123" i="5"/>
  <c r="O356" i="5"/>
  <c r="O235" i="5"/>
  <c r="O323" i="5"/>
  <c r="O166" i="5"/>
  <c r="O284" i="5"/>
  <c r="O325" i="5"/>
  <c r="O380" i="5"/>
  <c r="O248" i="5"/>
  <c r="O350" i="5"/>
  <c r="O382" i="5"/>
  <c r="O373" i="5"/>
  <c r="O86" i="5"/>
  <c r="O243" i="5"/>
  <c r="O251" i="5"/>
  <c r="O332" i="5"/>
  <c r="O298" i="5"/>
  <c r="O316" i="5"/>
  <c r="O253" i="5"/>
  <c r="O314" i="5"/>
  <c r="O247" i="5"/>
  <c r="O167" i="5"/>
  <c r="O258" i="5"/>
  <c r="O62" i="5"/>
  <c r="O336" i="5"/>
  <c r="O383" i="5"/>
  <c r="O70" i="5"/>
  <c r="O81" i="5"/>
  <c r="O376" i="5"/>
  <c r="O76" i="5"/>
  <c r="O87" i="5"/>
  <c r="O220" i="5"/>
  <c r="O250" i="5"/>
  <c r="O110" i="5"/>
  <c r="O80" i="5"/>
  <c r="O194" i="5"/>
  <c r="O244" i="5"/>
  <c r="O211" i="5"/>
  <c r="O357" i="5"/>
  <c r="O170" i="5"/>
  <c r="O143" i="5"/>
  <c r="O129" i="5"/>
  <c r="O140" i="5"/>
  <c r="O269" i="5"/>
  <c r="O119" i="5"/>
  <c r="O156" i="5"/>
  <c r="O277" i="5"/>
  <c r="O262" i="5"/>
  <c r="O286" i="5"/>
  <c r="O153" i="5"/>
  <c r="O164" i="5"/>
  <c r="O145" i="5"/>
  <c r="O160" i="5"/>
  <c r="O99" i="5"/>
  <c r="O346" i="5"/>
  <c r="O217" i="5"/>
  <c r="O315" i="5"/>
  <c r="O176" i="5"/>
  <c r="O126" i="5"/>
  <c r="O82" i="5"/>
  <c r="O191" i="5"/>
  <c r="O281" i="5"/>
  <c r="O331" i="5"/>
  <c r="O288" i="5"/>
  <c r="O141" i="5"/>
  <c r="O79" i="5"/>
  <c r="O230" i="5"/>
  <c r="O198" i="5"/>
  <c r="O204" i="5"/>
  <c r="O201" i="5"/>
  <c r="O184" i="5"/>
  <c r="O266" i="5"/>
  <c r="O177" i="5"/>
  <c r="O349" i="5"/>
  <c r="O206" i="5"/>
  <c r="O193" i="5"/>
  <c r="O72" i="5"/>
  <c r="O162" i="5"/>
  <c r="O197" i="5"/>
  <c r="O92" i="5"/>
  <c r="O85" i="5"/>
  <c r="O236" i="5"/>
  <c r="O366" i="5"/>
  <c r="O124" i="5"/>
  <c r="O103" i="5"/>
  <c r="O65" i="5"/>
  <c r="O130" i="5"/>
  <c r="O175" i="5"/>
  <c r="O216" i="5"/>
  <c r="O68" i="5"/>
  <c r="O228" i="5"/>
  <c r="O278" i="5"/>
  <c r="O84" i="5"/>
  <c r="O148" i="5"/>
  <c r="O359" i="5"/>
  <c r="O136" i="5"/>
  <c r="O142" i="5"/>
  <c r="O283" i="5"/>
  <c r="O73" i="5"/>
  <c r="O101" i="5"/>
  <c r="O105" i="5"/>
  <c r="O395" i="5"/>
  <c r="O151" i="5"/>
  <c r="O185" i="5"/>
  <c r="O322" i="5"/>
  <c r="O75" i="5"/>
  <c r="O335" i="5"/>
  <c r="O225" i="5"/>
  <c r="O263" i="5"/>
  <c r="O188" i="5"/>
  <c r="O372" i="5"/>
  <c r="O311" i="5"/>
  <c r="O368" i="5"/>
  <c r="O179" i="5"/>
  <c r="O378" i="5"/>
  <c r="O114" i="5"/>
  <c r="O293" i="5"/>
  <c r="O227" i="5"/>
  <c r="O306" i="5"/>
  <c r="O363" i="5"/>
  <c r="O539" i="5"/>
  <c r="O540" i="5"/>
  <c r="O165" i="5"/>
  <c r="O209" i="5"/>
  <c r="O100" i="5"/>
  <c r="O146" i="5"/>
  <c r="O297" i="5"/>
  <c r="O210" i="5"/>
  <c r="O409" i="5"/>
  <c r="O104" i="5"/>
  <c r="O155" i="5"/>
  <c r="O375" i="5"/>
  <c r="O255" i="5"/>
  <c r="O294" i="5"/>
  <c r="O108" i="5"/>
  <c r="O538" i="5"/>
  <c r="O370" i="5"/>
  <c r="O192" i="5"/>
  <c r="O384" i="5"/>
  <c r="O259" i="5"/>
  <c r="O289" i="5"/>
  <c r="O88" i="5"/>
  <c r="O134" i="5"/>
  <c r="O233" i="5"/>
  <c r="O98" i="5"/>
  <c r="O147" i="5"/>
  <c r="O112" i="5"/>
  <c r="O327" i="5"/>
  <c r="O254" i="5"/>
  <c r="O181" i="5"/>
  <c r="O83" i="5"/>
  <c r="O305" i="5"/>
  <c r="O338" i="5"/>
  <c r="O106" i="5"/>
  <c r="O186" i="5"/>
  <c r="O374" i="5"/>
  <c r="O190" i="5"/>
  <c r="O246" i="5"/>
  <c r="O252" i="5"/>
  <c r="O320" i="5"/>
  <c r="O159" i="5"/>
  <c r="O256" i="5"/>
  <c r="O271" i="5"/>
  <c r="O97" i="5"/>
  <c r="O361" i="5"/>
  <c r="O379" i="5"/>
  <c r="O371" i="5"/>
  <c r="O341" i="5"/>
  <c r="O107" i="5"/>
  <c r="O330" i="5"/>
  <c r="O169" i="5"/>
  <c r="O388" i="5"/>
  <c r="O381" i="5"/>
  <c r="O77" i="5"/>
  <c r="O334" i="5"/>
  <c r="O240" i="5"/>
  <c r="O182" i="5"/>
  <c r="O121" i="5"/>
  <c r="O280" i="5"/>
  <c r="O287" i="5"/>
  <c r="O364" i="5"/>
  <c r="O249" i="5"/>
  <c r="O348" i="5"/>
  <c r="O296" i="5"/>
  <c r="O318" i="5"/>
  <c r="O161" i="5"/>
  <c r="O245" i="5"/>
  <c r="O229" i="5"/>
  <c r="O171" i="5"/>
  <c r="O337" i="5"/>
  <c r="O232" i="5"/>
  <c r="O66" i="5"/>
  <c r="O273" i="5"/>
  <c r="O152" i="5"/>
  <c r="O163" i="5"/>
  <c r="O267" i="5"/>
  <c r="O300" i="5"/>
  <c r="O270" i="5"/>
  <c r="O295" i="5"/>
  <c r="O94" i="5"/>
  <c r="O212" i="5"/>
  <c r="O150" i="5"/>
  <c r="O117" i="5"/>
  <c r="O187" i="5"/>
  <c r="O282" i="5"/>
  <c r="O214" i="5"/>
  <c r="M784" i="5"/>
  <c r="M541" i="5"/>
  <c r="M538" i="5"/>
  <c r="M324" i="5"/>
  <c r="M410" i="5"/>
  <c r="M543" i="5"/>
  <c r="M302" i="5"/>
  <c r="M409" i="5"/>
  <c r="M303" i="5"/>
  <c r="M542" i="5"/>
  <c r="M325" i="5"/>
  <c r="M540" i="5"/>
  <c r="M539" i="5"/>
  <c r="G124" i="9"/>
  <c r="G114" i="9"/>
  <c r="G130" i="9"/>
  <c r="G129" i="9"/>
  <c r="G113" i="9"/>
  <c r="G148" i="9"/>
  <c r="G134" i="9"/>
  <c r="G127" i="9"/>
  <c r="G163" i="9"/>
  <c r="G147" i="9"/>
  <c r="G140" i="9"/>
  <c r="G162" i="9"/>
  <c r="G155" i="9"/>
  <c r="G120" i="9"/>
  <c r="G117" i="9"/>
  <c r="G154" i="9"/>
  <c r="G131" i="9"/>
  <c r="G161" i="9"/>
  <c r="G159" i="9"/>
  <c r="G135" i="9"/>
  <c r="G157" i="9"/>
  <c r="G121" i="9"/>
  <c r="G139" i="9"/>
  <c r="G141" i="9"/>
  <c r="G133" i="9"/>
  <c r="G160" i="9"/>
  <c r="G156" i="9"/>
  <c r="G116" i="9"/>
  <c r="G164" i="9"/>
  <c r="G122" i="9"/>
  <c r="G138" i="9"/>
  <c r="G158" i="9"/>
  <c r="G149" i="9"/>
  <c r="G152" i="9"/>
  <c r="G151" i="9"/>
  <c r="G137" i="9"/>
  <c r="G128" i="9"/>
  <c r="G123" i="9"/>
  <c r="G119" i="9"/>
  <c r="G145" i="9"/>
  <c r="G126" i="9"/>
  <c r="G143" i="9"/>
  <c r="G136" i="9"/>
  <c r="G150" i="9"/>
  <c r="G153" i="9"/>
  <c r="G144" i="9"/>
  <c r="G125" i="9"/>
  <c r="G146" i="9"/>
  <c r="G115" i="9"/>
  <c r="G132" i="9"/>
  <c r="G142" i="9"/>
  <c r="G118" i="9"/>
  <c r="E135" i="9"/>
  <c r="E153" i="9"/>
  <c r="E130" i="9"/>
  <c r="E146" i="9"/>
  <c r="E122" i="9"/>
  <c r="E123" i="9"/>
  <c r="E159" i="9"/>
  <c r="E157" i="9"/>
  <c r="E126" i="9"/>
  <c r="E150" i="9"/>
  <c r="E152" i="9"/>
  <c r="E160" i="9"/>
  <c r="E134" i="9"/>
  <c r="E127" i="9"/>
  <c r="E139" i="9"/>
  <c r="E131" i="9"/>
  <c r="E136" i="9"/>
  <c r="E117" i="9"/>
  <c r="E145" i="9"/>
  <c r="E162" i="9"/>
  <c r="E141" i="9"/>
  <c r="E161" i="9"/>
  <c r="E137" i="9"/>
  <c r="E125" i="9"/>
  <c r="E155" i="9"/>
  <c r="E121" i="9"/>
  <c r="E129" i="9"/>
  <c r="E114" i="9"/>
  <c r="E113" i="9"/>
  <c r="E124" i="9"/>
  <c r="E119" i="9"/>
  <c r="E118" i="9"/>
  <c r="E164" i="9"/>
  <c r="E133" i="9"/>
  <c r="E154" i="9"/>
  <c r="E138" i="9"/>
  <c r="E149" i="9"/>
  <c r="E140" i="9"/>
  <c r="E132" i="9"/>
  <c r="E120" i="9"/>
  <c r="E143" i="9"/>
  <c r="E147" i="9"/>
  <c r="E144" i="9"/>
  <c r="E151" i="9"/>
  <c r="E148" i="9"/>
  <c r="E142" i="9"/>
  <c r="E115" i="9"/>
  <c r="E116" i="9"/>
  <c r="E158" i="9"/>
  <c r="E128" i="9"/>
  <c r="E163" i="9"/>
  <c r="E156" i="9"/>
  <c r="H154" i="9"/>
  <c r="H121" i="9"/>
  <c r="H150" i="9"/>
  <c r="H139" i="9"/>
  <c r="H159" i="9"/>
  <c r="H156" i="9"/>
  <c r="H162" i="9"/>
  <c r="H152" i="9"/>
  <c r="H164" i="9"/>
  <c r="H137" i="9"/>
  <c r="H132" i="9"/>
  <c r="H151" i="9"/>
  <c r="H158" i="9"/>
  <c r="H155" i="9"/>
  <c r="H119" i="9"/>
  <c r="H148" i="9"/>
  <c r="H117" i="9"/>
  <c r="H140" i="9"/>
  <c r="H153" i="9"/>
  <c r="H126" i="9"/>
  <c r="H130" i="9"/>
  <c r="H125" i="9"/>
  <c r="H128" i="9"/>
  <c r="H122" i="9"/>
  <c r="H116" i="9"/>
  <c r="H135" i="9"/>
  <c r="H115" i="9"/>
  <c r="H113" i="9"/>
  <c r="H141" i="9"/>
  <c r="H114" i="9"/>
  <c r="H131" i="9"/>
  <c r="H129" i="9"/>
  <c r="H163" i="9"/>
  <c r="H145" i="9"/>
  <c r="H127" i="9"/>
  <c r="H124" i="9"/>
  <c r="H123" i="9"/>
  <c r="H138" i="9"/>
  <c r="H142" i="9"/>
  <c r="H160" i="9"/>
  <c r="H157" i="9"/>
  <c r="H133" i="9"/>
  <c r="H134" i="9"/>
  <c r="H149" i="9"/>
  <c r="H136" i="9"/>
  <c r="H161" i="9"/>
  <c r="H143" i="9"/>
  <c r="H147" i="9"/>
  <c r="H118" i="9"/>
  <c r="H120" i="9"/>
  <c r="H144" i="9"/>
  <c r="H146" i="9"/>
  <c r="F126" i="9"/>
  <c r="F133" i="9"/>
  <c r="F134" i="9"/>
  <c r="F114" i="9"/>
  <c r="F124" i="9"/>
  <c r="F148" i="9"/>
  <c r="F122" i="9"/>
  <c r="F158" i="9"/>
  <c r="F163" i="9"/>
  <c r="F144" i="9"/>
  <c r="F155" i="9"/>
  <c r="F164" i="9"/>
  <c r="F132" i="9"/>
  <c r="F127" i="9"/>
  <c r="F117" i="9"/>
  <c r="F123" i="9"/>
  <c r="F139" i="9"/>
  <c r="F145" i="9"/>
  <c r="F157" i="9"/>
  <c r="F146" i="9"/>
  <c r="F159" i="9"/>
  <c r="F140" i="9"/>
  <c r="F118" i="9"/>
  <c r="F128" i="9"/>
  <c r="F151" i="9"/>
  <c r="F121" i="9"/>
  <c r="F137" i="9"/>
  <c r="F136" i="9"/>
  <c r="F131" i="9"/>
  <c r="F154" i="9"/>
  <c r="F156" i="9"/>
  <c r="F161" i="9"/>
  <c r="F149" i="9"/>
  <c r="F160" i="9"/>
  <c r="F141" i="9"/>
  <c r="F116" i="9"/>
  <c r="F152" i="9"/>
  <c r="F120" i="9"/>
  <c r="F147" i="9"/>
  <c r="F142" i="9"/>
  <c r="F138" i="9"/>
  <c r="F153" i="9"/>
  <c r="F135" i="9"/>
  <c r="F143" i="9"/>
  <c r="F129" i="9"/>
  <c r="F130" i="9"/>
  <c r="F113" i="9"/>
  <c r="F119" i="9"/>
  <c r="F150" i="9"/>
  <c r="F162" i="9"/>
  <c r="F125" i="9"/>
  <c r="F115" i="9"/>
  <c r="D115" i="9"/>
  <c r="D145" i="9"/>
  <c r="D117" i="9"/>
  <c r="D120" i="9"/>
  <c r="D149" i="9"/>
  <c r="D144" i="9"/>
  <c r="D154" i="9"/>
  <c r="D136" i="9"/>
  <c r="D114" i="9"/>
  <c r="D161" i="9"/>
  <c r="D124" i="9"/>
  <c r="D157" i="9"/>
  <c r="D160" i="9"/>
  <c r="D135" i="9"/>
  <c r="D153" i="9"/>
  <c r="D151" i="9"/>
  <c r="D119" i="9"/>
  <c r="D125" i="9"/>
  <c r="D116" i="9"/>
  <c r="D143" i="9"/>
  <c r="D122" i="9"/>
  <c r="D147" i="9"/>
  <c r="D131" i="9"/>
  <c r="D118" i="9"/>
  <c r="D130" i="9"/>
  <c r="D140" i="9"/>
  <c r="D162" i="9"/>
  <c r="D128" i="9"/>
  <c r="D150" i="9"/>
  <c r="D155" i="9"/>
  <c r="D148" i="9"/>
  <c r="D152" i="9"/>
  <c r="D129" i="9"/>
  <c r="D133" i="9"/>
  <c r="D123" i="9"/>
  <c r="D142" i="9"/>
  <c r="D126" i="9"/>
  <c r="D137" i="9"/>
  <c r="D159" i="9"/>
  <c r="D163" i="9"/>
  <c r="D121" i="9"/>
  <c r="D158" i="9"/>
  <c r="D139" i="9"/>
  <c r="D127" i="9"/>
  <c r="D156" i="9"/>
  <c r="D146" i="9"/>
  <c r="D138" i="9"/>
  <c r="D134" i="9"/>
  <c r="D164" i="9"/>
  <c r="D132" i="9"/>
  <c r="D141" i="9"/>
  <c r="D113" i="9"/>
  <c r="T215" i="18"/>
  <c r="T213" i="18"/>
  <c r="U212" i="18"/>
  <c r="D51" i="9"/>
  <c r="D48" i="9"/>
  <c r="D43" i="9"/>
  <c r="D47" i="9"/>
  <c r="D44" i="9"/>
  <c r="D46" i="9"/>
  <c r="D45" i="9"/>
  <c r="D52" i="9"/>
  <c r="D42" i="9"/>
  <c r="D49" i="9"/>
  <c r="D50" i="9"/>
  <c r="D53" i="9"/>
  <c r="D54" i="9"/>
  <c r="F45" i="9"/>
  <c r="F52" i="9"/>
  <c r="F48" i="9"/>
  <c r="F50" i="9"/>
  <c r="F49" i="9"/>
  <c r="F43" i="9"/>
  <c r="F42" i="9"/>
  <c r="F46" i="9"/>
  <c r="F53" i="9"/>
  <c r="F51" i="9"/>
  <c r="F44" i="9"/>
  <c r="F47" i="9"/>
  <c r="F54" i="9"/>
  <c r="H45" i="9"/>
  <c r="H42" i="9"/>
  <c r="H54" i="9"/>
  <c r="H46" i="9"/>
  <c r="H44" i="9"/>
  <c r="H47" i="9"/>
  <c r="H52" i="9"/>
  <c r="H51" i="9"/>
  <c r="H53" i="9"/>
  <c r="H50" i="9"/>
  <c r="H43" i="9"/>
  <c r="H49" i="9"/>
  <c r="H48" i="9"/>
  <c r="E48" i="9"/>
  <c r="E47" i="9"/>
  <c r="E52" i="9"/>
  <c r="E51" i="9"/>
  <c r="E45" i="9"/>
  <c r="E53" i="9"/>
  <c r="E44" i="9"/>
  <c r="E50" i="9"/>
  <c r="E42" i="9"/>
  <c r="E43" i="9"/>
  <c r="E54" i="9"/>
  <c r="E49" i="9"/>
  <c r="E46" i="9"/>
  <c r="G46" i="9"/>
  <c r="G44" i="9"/>
  <c r="G51" i="9"/>
  <c r="G54" i="9"/>
  <c r="G45" i="9"/>
  <c r="G43" i="9"/>
  <c r="G47" i="9"/>
  <c r="G53" i="9"/>
  <c r="G52" i="9"/>
  <c r="G49" i="9"/>
  <c r="G48" i="9"/>
  <c r="G42" i="9"/>
  <c r="G50" i="9"/>
  <c r="I368" i="2"/>
  <c r="N368" i="2"/>
  <c r="O460" i="5"/>
  <c r="O547" i="5"/>
  <c r="M61" i="5"/>
  <c r="M60" i="5"/>
  <c r="M28" i="5"/>
  <c r="I32" i="5"/>
  <c r="K32" i="5" s="1"/>
  <c r="I59" i="5"/>
  <c r="K59" i="5" s="1"/>
  <c r="I29" i="5"/>
  <c r="K29" i="5" s="1"/>
  <c r="I49" i="5"/>
  <c r="K49" i="5" s="1"/>
  <c r="F83" i="9"/>
  <c r="Q368" i="2"/>
  <c r="I795" i="5"/>
  <c r="K795" i="5" s="1"/>
  <c r="I80" i="5"/>
  <c r="K80" i="5" s="1"/>
  <c r="I156" i="5"/>
  <c r="K156" i="5" s="1"/>
  <c r="I184" i="5"/>
  <c r="K184" i="5" s="1"/>
  <c r="I605" i="5"/>
  <c r="K605" i="5" s="1"/>
  <c r="I164" i="5"/>
  <c r="K164" i="5" s="1"/>
  <c r="I680" i="5"/>
  <c r="K680" i="5" s="1"/>
  <c r="I696" i="5"/>
  <c r="K696" i="5" s="1"/>
  <c r="I626" i="5"/>
  <c r="K626" i="5" s="1"/>
  <c r="I449" i="5"/>
  <c r="K449" i="5" s="1"/>
  <c r="I683" i="5"/>
  <c r="K683" i="5" s="1"/>
  <c r="I648" i="5"/>
  <c r="K648" i="5" s="1"/>
  <c r="I804" i="5"/>
  <c r="K804" i="5" s="1"/>
  <c r="O649" i="5"/>
  <c r="I465" i="5"/>
  <c r="K465" i="5" s="1"/>
  <c r="I159" i="5"/>
  <c r="K159" i="5" s="1"/>
  <c r="O569" i="5"/>
  <c r="O696" i="5"/>
  <c r="I90" i="5"/>
  <c r="K90" i="5" s="1"/>
  <c r="I117" i="5"/>
  <c r="K117" i="5" s="1"/>
  <c r="I119" i="5"/>
  <c r="K119" i="5" s="1"/>
  <c r="I655" i="5"/>
  <c r="K655" i="5" s="1"/>
  <c r="I193" i="5"/>
  <c r="K193" i="5" s="1"/>
  <c r="I408" i="5"/>
  <c r="K408" i="5" s="1"/>
  <c r="O536" i="5"/>
  <c r="O436" i="5"/>
  <c r="I720" i="5"/>
  <c r="K720" i="5" s="1"/>
  <c r="I571" i="5"/>
  <c r="K571" i="5" s="1"/>
  <c r="I619" i="5"/>
  <c r="K619" i="5" s="1"/>
  <c r="O406" i="5"/>
  <c r="I204" i="5"/>
  <c r="K204" i="5" s="1"/>
  <c r="O683" i="5"/>
  <c r="I593" i="5"/>
  <c r="K593" i="5" s="1"/>
  <c r="F24" i="9"/>
  <c r="O427" i="5"/>
  <c r="O426" i="5"/>
  <c r="I387" i="5"/>
  <c r="K387" i="5" s="1"/>
  <c r="I706" i="5"/>
  <c r="K706" i="5" s="1"/>
  <c r="O584" i="5"/>
  <c r="I573" i="5"/>
  <c r="K573" i="5" s="1"/>
  <c r="O493" i="5"/>
  <c r="O472" i="5"/>
  <c r="O445" i="5"/>
  <c r="I341" i="5"/>
  <c r="K341" i="5" s="1"/>
  <c r="O441" i="5"/>
  <c r="I635" i="5"/>
  <c r="K635" i="5" s="1"/>
  <c r="I646" i="5"/>
  <c r="K646" i="5" s="1"/>
  <c r="O552" i="5"/>
  <c r="O626" i="5"/>
  <c r="O467" i="5"/>
  <c r="F28" i="9"/>
  <c r="I179" i="5"/>
  <c r="K179" i="5" s="1"/>
  <c r="O593" i="5"/>
  <c r="I718" i="5"/>
  <c r="K718" i="5" s="1"/>
  <c r="I312" i="5"/>
  <c r="K312" i="5" s="1"/>
  <c r="O597" i="5"/>
  <c r="I739" i="5"/>
  <c r="K739" i="5" s="1"/>
  <c r="I565" i="5"/>
  <c r="K565" i="5" s="1"/>
  <c r="I290" i="5"/>
  <c r="K290" i="5" s="1"/>
  <c r="O491" i="5"/>
  <c r="O442" i="5"/>
  <c r="O638" i="5"/>
  <c r="I665" i="5"/>
  <c r="K665" i="5" s="1"/>
  <c r="O602" i="5"/>
  <c r="I551" i="5"/>
  <c r="K551" i="5" s="1"/>
  <c r="F15" i="9"/>
  <c r="O448" i="5"/>
  <c r="O565" i="5"/>
  <c r="I711" i="5"/>
  <c r="K711" i="5" s="1"/>
  <c r="O591" i="5"/>
  <c r="O499" i="5"/>
  <c r="O471" i="5"/>
  <c r="I404" i="5"/>
  <c r="K404" i="5" s="1"/>
  <c r="O566" i="5"/>
  <c r="O645" i="5"/>
  <c r="O534" i="5"/>
  <c r="I411" i="5"/>
  <c r="K411" i="5" s="1"/>
  <c r="I473" i="5"/>
  <c r="K473" i="5" s="1"/>
  <c r="I167" i="5"/>
  <c r="K167" i="5" s="1"/>
  <c r="O700" i="5"/>
  <c r="O433" i="5"/>
  <c r="O430" i="5"/>
  <c r="I615" i="5"/>
  <c r="K615" i="5" s="1"/>
  <c r="O520" i="5"/>
  <c r="I172" i="5"/>
  <c r="K172" i="5" s="1"/>
  <c r="F30" i="9"/>
  <c r="I630" i="5"/>
  <c r="K630" i="5" s="1"/>
  <c r="I259" i="5"/>
  <c r="K259" i="5" s="1"/>
  <c r="I799" i="5"/>
  <c r="K799" i="5" s="1"/>
  <c r="I397" i="5"/>
  <c r="K397" i="5" s="1"/>
  <c r="O644" i="5"/>
  <c r="O524" i="5"/>
  <c r="I578" i="5"/>
  <c r="K578" i="5" s="1"/>
  <c r="O490" i="5"/>
  <c r="O575" i="5"/>
  <c r="F13" i="9"/>
  <c r="I401" i="5"/>
  <c r="K401" i="5" s="1"/>
  <c r="O646" i="5"/>
  <c r="I399" i="5"/>
  <c r="K399" i="5" s="1"/>
  <c r="F16" i="9"/>
  <c r="F12" i="9"/>
  <c r="O404" i="5"/>
  <c r="I679" i="5"/>
  <c r="K679" i="5" s="1"/>
  <c r="I406" i="5"/>
  <c r="K406" i="5" s="1"/>
  <c r="I334" i="5"/>
  <c r="K334" i="5" s="1"/>
  <c r="O576" i="5"/>
  <c r="I643" i="5"/>
  <c r="K643" i="5" s="1"/>
  <c r="I815" i="5"/>
  <c r="K815" i="5" s="1"/>
  <c r="O485" i="5"/>
  <c r="F18" i="9"/>
  <c r="I761" i="5"/>
  <c r="K761" i="5" s="1"/>
  <c r="F22" i="9"/>
  <c r="O482" i="5"/>
  <c r="O667" i="5"/>
  <c r="I583" i="5"/>
  <c r="K583" i="5" s="1"/>
  <c r="I661" i="5"/>
  <c r="K661" i="5" s="1"/>
  <c r="I599" i="5"/>
  <c r="K599" i="5" s="1"/>
  <c r="O699" i="5"/>
  <c r="F31" i="9"/>
  <c r="O668" i="5"/>
  <c r="O497" i="5"/>
  <c r="O633" i="5"/>
  <c r="I356" i="5"/>
  <c r="K356" i="5" s="1"/>
  <c r="I708" i="5"/>
  <c r="K708" i="5" s="1"/>
  <c r="O562" i="5"/>
  <c r="O695" i="5"/>
  <c r="I736" i="5"/>
  <c r="K736" i="5" s="1"/>
  <c r="I504" i="5"/>
  <c r="K504" i="5" s="1"/>
  <c r="I807" i="5"/>
  <c r="K807" i="5" s="1"/>
  <c r="O488" i="5"/>
  <c r="I668" i="5"/>
  <c r="K668" i="5" s="1"/>
  <c r="I651" i="5"/>
  <c r="K651" i="5" s="1"/>
  <c r="I384" i="5"/>
  <c r="K384" i="5" s="1"/>
  <c r="O487" i="5"/>
  <c r="O672" i="5"/>
  <c r="I715" i="5"/>
  <c r="K715" i="5" s="1"/>
  <c r="I568" i="5"/>
  <c r="K568" i="5" s="1"/>
  <c r="O607" i="5"/>
  <c r="O691" i="5"/>
  <c r="F36" i="9"/>
  <c r="I318" i="5"/>
  <c r="K318" i="5" s="1"/>
  <c r="I609" i="5"/>
  <c r="K609" i="5" s="1"/>
  <c r="O655" i="5"/>
  <c r="O439" i="5"/>
  <c r="O418" i="5"/>
  <c r="I75" i="5"/>
  <c r="K75" i="5" s="1"/>
  <c r="I687" i="5"/>
  <c r="K687" i="5" s="1"/>
  <c r="O431" i="5"/>
  <c r="I622" i="5"/>
  <c r="K622" i="5" s="1"/>
  <c r="O560" i="5"/>
  <c r="I162" i="5"/>
  <c r="K162" i="5" s="1"/>
  <c r="I457" i="5"/>
  <c r="K457" i="5" s="1"/>
  <c r="O611" i="5"/>
  <c r="I211" i="5"/>
  <c r="K211" i="5" s="1"/>
  <c r="O475" i="5"/>
  <c r="O453" i="5"/>
  <c r="I638" i="5"/>
  <c r="K638" i="5" s="1"/>
  <c r="O676" i="5"/>
  <c r="F39" i="9"/>
  <c r="I85" i="5"/>
  <c r="K85" i="5" s="1"/>
  <c r="O421" i="5"/>
  <c r="O555" i="5"/>
  <c r="O419" i="5"/>
  <c r="O674" i="5"/>
  <c r="O459" i="5"/>
  <c r="F8" i="9"/>
  <c r="O551" i="5"/>
  <c r="O479" i="5"/>
  <c r="O420" i="5"/>
  <c r="O669" i="5"/>
  <c r="O647" i="5"/>
  <c r="O424" i="5"/>
  <c r="O492" i="5"/>
  <c r="O423" i="5"/>
  <c r="O425" i="5"/>
  <c r="O634" i="5"/>
  <c r="O564" i="5"/>
  <c r="O510" i="5"/>
  <c r="O714" i="5"/>
  <c r="O619" i="5"/>
  <c r="O686" i="5"/>
  <c r="O399" i="5"/>
  <c r="O567" i="5"/>
  <c r="F14" i="9"/>
  <c r="O629" i="5"/>
  <c r="O449" i="5"/>
  <c r="O422" i="5"/>
  <c r="O468" i="5"/>
  <c r="O438" i="5"/>
  <c r="O461" i="5"/>
  <c r="O434" i="5"/>
  <c r="O603" i="5"/>
  <c r="F11" i="9"/>
  <c r="O571" i="5"/>
  <c r="O697" i="5"/>
  <c r="O545" i="5"/>
  <c r="O661" i="5"/>
  <c r="O580" i="5"/>
  <c r="O457" i="5"/>
  <c r="O712" i="5"/>
  <c r="O396" i="5"/>
  <c r="O582" i="5"/>
  <c r="F25" i="9"/>
  <c r="O450" i="5"/>
  <c r="O526" i="5"/>
  <c r="F5" i="9"/>
  <c r="O496" i="5"/>
  <c r="O563" i="5"/>
  <c r="O505" i="5"/>
  <c r="F40" i="9"/>
  <c r="O516" i="5"/>
  <c r="O408" i="5"/>
  <c r="O483" i="5"/>
  <c r="O630" i="5"/>
  <c r="O498" i="5"/>
  <c r="O690" i="5"/>
  <c r="O622" i="5"/>
  <c r="O662" i="5"/>
  <c r="O657" i="5"/>
  <c r="O689" i="5"/>
  <c r="O411" i="5"/>
  <c r="O588" i="5"/>
  <c r="O637" i="5"/>
  <c r="O454" i="5"/>
  <c r="O537" i="5"/>
  <c r="O600" i="5"/>
  <c r="O405" i="5"/>
  <c r="O502" i="5"/>
  <c r="O604" i="5"/>
  <c r="O592" i="5"/>
  <c r="O455" i="5"/>
  <c r="O631" i="5"/>
  <c r="O614" i="5"/>
  <c r="O527" i="5"/>
  <c r="O568" i="5"/>
  <c r="O570" i="5"/>
  <c r="F21" i="9"/>
  <c r="F32" i="9"/>
  <c r="O495" i="5"/>
  <c r="O432" i="5"/>
  <c r="O523" i="5"/>
  <c r="O606" i="5"/>
  <c r="O715" i="5"/>
  <c r="O679" i="5"/>
  <c r="O577" i="5"/>
  <c r="F4" i="9"/>
  <c r="O462" i="5"/>
  <c r="O643" i="5"/>
  <c r="O512" i="5"/>
  <c r="O458" i="5"/>
  <c r="O675" i="5"/>
  <c r="O653" i="5"/>
  <c r="F10" i="9"/>
  <c r="O692" i="5"/>
  <c r="O711" i="5"/>
  <c r="O417" i="5"/>
  <c r="F7" i="9"/>
  <c r="O504" i="5"/>
  <c r="O574" i="5"/>
  <c r="O625" i="5"/>
  <c r="O397" i="5"/>
  <c r="O635" i="5"/>
  <c r="F26" i="9"/>
  <c r="O585" i="5"/>
  <c r="O601" i="5"/>
  <c r="O507" i="5"/>
  <c r="O628" i="5"/>
  <c r="F38" i="9"/>
  <c r="O698" i="5"/>
  <c r="O709" i="5"/>
  <c r="O651" i="5"/>
  <c r="O658" i="5"/>
  <c r="O398" i="5"/>
  <c r="O701" i="5"/>
  <c r="O678" i="5"/>
  <c r="O704" i="5"/>
  <c r="O581" i="5"/>
  <c r="F33" i="9"/>
  <c r="O429" i="5"/>
  <c r="O578" i="5"/>
  <c r="F19" i="9"/>
  <c r="O684" i="5"/>
  <c r="F20" i="9"/>
  <c r="O494" i="5"/>
  <c r="O664" i="5"/>
  <c r="O705" i="5"/>
  <c r="O535" i="5"/>
  <c r="O518" i="5"/>
  <c r="O687" i="5"/>
  <c r="O609" i="5"/>
  <c r="O703" i="5"/>
  <c r="O680" i="5"/>
  <c r="O641" i="5"/>
  <c r="O572" i="5"/>
  <c r="O465" i="5"/>
  <c r="O416" i="5"/>
  <c r="O528" i="5"/>
  <c r="O663" i="5"/>
  <c r="O558" i="5"/>
  <c r="O412" i="5"/>
  <c r="F34" i="9"/>
  <c r="F17" i="9"/>
  <c r="O586" i="5"/>
  <c r="O529" i="5"/>
  <c r="O550" i="5"/>
  <c r="O513" i="5"/>
  <c r="O595" i="5"/>
  <c r="O556" i="5"/>
  <c r="O608" i="5"/>
  <c r="F41" i="9"/>
  <c r="O477" i="5"/>
  <c r="O559" i="5"/>
  <c r="O605" i="5"/>
  <c r="O589" i="5"/>
  <c r="O451" i="5"/>
  <c r="O464" i="5"/>
  <c r="O447" i="5"/>
  <c r="O413" i="5"/>
  <c r="O621" i="5"/>
  <c r="O616" i="5"/>
  <c r="O466" i="5"/>
  <c r="O443" i="5"/>
  <c r="O598" i="5"/>
  <c r="O685" i="5"/>
  <c r="F35" i="9"/>
  <c r="O456" i="5"/>
  <c r="O618" i="5"/>
  <c r="O632" i="5"/>
  <c r="O710" i="5"/>
  <c r="O671" i="5"/>
  <c r="O531" i="5"/>
  <c r="O648" i="5"/>
  <c r="O480" i="5"/>
  <c r="O546" i="5"/>
  <c r="O693" i="5"/>
  <c r="O652" i="5"/>
  <c r="O508" i="5"/>
  <c r="O640" i="5"/>
  <c r="O415" i="5"/>
  <c r="F3" i="9"/>
  <c r="O599" i="5"/>
  <c r="O476" i="5"/>
  <c r="O623" i="5"/>
  <c r="O522" i="5"/>
  <c r="O437" i="5"/>
  <c r="O489" i="5"/>
  <c r="O639" i="5"/>
  <c r="O470" i="5"/>
  <c r="O587" i="5"/>
  <c r="O706" i="5"/>
  <c r="F23" i="9"/>
  <c r="O636" i="5"/>
  <c r="O624" i="5"/>
  <c r="F9" i="9"/>
  <c r="O414" i="5"/>
  <c r="O478" i="5"/>
  <c r="O682" i="5"/>
  <c r="O660" i="5"/>
  <c r="O594" i="5"/>
  <c r="O596" i="5"/>
  <c r="O403" i="5"/>
  <c r="O612" i="5"/>
  <c r="O484" i="5"/>
  <c r="O532" i="5"/>
  <c r="O717" i="5"/>
  <c r="O654" i="5"/>
  <c r="O677" i="5"/>
  <c r="O428" i="5"/>
  <c r="O521" i="5"/>
  <c r="O501" i="5"/>
  <c r="O553" i="5"/>
  <c r="O517" i="5"/>
  <c r="O503" i="5"/>
  <c r="O530" i="5"/>
  <c r="O509" i="5"/>
  <c r="O665" i="5"/>
  <c r="O561" i="5"/>
  <c r="O666" i="5"/>
  <c r="O613" i="5"/>
  <c r="O474" i="5"/>
  <c r="O583" i="5"/>
  <c r="F6" i="9"/>
  <c r="O590" i="5"/>
  <c r="O514" i="5"/>
  <c r="O481" i="5"/>
  <c r="O617" i="5"/>
  <c r="O486" i="5"/>
  <c r="O557" i="5"/>
  <c r="O469" i="5"/>
  <c r="O670" i="5"/>
  <c r="O702" i="5"/>
  <c r="O673" i="5"/>
  <c r="O554" i="5"/>
  <c r="O407" i="5"/>
  <c r="O473" i="5"/>
  <c r="O519" i="5"/>
  <c r="O659" i="5"/>
  <c r="O435" i="5"/>
  <c r="O707" i="5"/>
  <c r="O506" i="5"/>
  <c r="F29" i="9"/>
  <c r="O452" i="5"/>
  <c r="O688" i="5"/>
  <c r="O444" i="5"/>
  <c r="O579" i="5"/>
  <c r="O511" i="5"/>
  <c r="O463" i="5"/>
  <c r="O446" i="5"/>
  <c r="O610" i="5"/>
  <c r="O716" i="5"/>
  <c r="O402" i="5"/>
  <c r="O573" i="5"/>
  <c r="F37" i="9"/>
  <c r="O401" i="5"/>
  <c r="O681" i="5"/>
  <c r="O548" i="5"/>
  <c r="O440" i="5"/>
  <c r="O627" i="5"/>
  <c r="O549" i="5"/>
  <c r="O719" i="5"/>
  <c r="O544" i="5"/>
  <c r="O694" i="5"/>
  <c r="O533" i="5"/>
  <c r="O500" i="5"/>
  <c r="O525" i="5"/>
  <c r="F27" i="9"/>
  <c r="O615" i="5"/>
  <c r="O713" i="5"/>
  <c r="O515" i="5"/>
  <c r="O650" i="5"/>
  <c r="O642" i="5"/>
  <c r="O708" i="5"/>
  <c r="O620" i="5"/>
  <c r="O656" i="5"/>
  <c r="O718" i="5"/>
  <c r="O720" i="5"/>
  <c r="O400" i="5"/>
  <c r="I637" i="5"/>
  <c r="K637" i="5" s="1"/>
  <c r="I120" i="5"/>
  <c r="K120" i="5" s="1"/>
  <c r="I357" i="5"/>
  <c r="K357" i="5" s="1"/>
  <c r="I219" i="5"/>
  <c r="K219" i="5" s="1"/>
  <c r="I526" i="5"/>
  <c r="K526" i="5" s="1"/>
  <c r="G40" i="9"/>
  <c r="I592" i="5"/>
  <c r="K592" i="5" s="1"/>
  <c r="I576" i="5"/>
  <c r="K576" i="5" s="1"/>
  <c r="I363" i="5"/>
  <c r="K363" i="5" s="1"/>
  <c r="I313" i="5"/>
  <c r="K313" i="5" s="1"/>
  <c r="I235" i="5"/>
  <c r="K235" i="5" s="1"/>
  <c r="I348" i="5"/>
  <c r="K348" i="5" s="1"/>
  <c r="I229" i="5"/>
  <c r="K229" i="5" s="1"/>
  <c r="I253" i="5"/>
  <c r="K253" i="5" s="1"/>
  <c r="I283" i="5"/>
  <c r="I375" i="5"/>
  <c r="K375" i="5" s="1"/>
  <c r="I633" i="5"/>
  <c r="K633" i="5" s="1"/>
  <c r="I76" i="5"/>
  <c r="K76" i="5" s="1"/>
  <c r="I441" i="5"/>
  <c r="K441" i="5" s="1"/>
  <c r="I534" i="5"/>
  <c r="K534" i="5" s="1"/>
  <c r="I591" i="5"/>
  <c r="K591" i="5" s="1"/>
  <c r="I760" i="5"/>
  <c r="K760" i="5" s="1"/>
  <c r="I688" i="5"/>
  <c r="K688" i="5" s="1"/>
  <c r="I581" i="5"/>
  <c r="K581" i="5" s="1"/>
  <c r="I628" i="5"/>
  <c r="K628" i="5" s="1"/>
  <c r="I158" i="5"/>
  <c r="K158" i="5" s="1"/>
  <c r="I132" i="5"/>
  <c r="K132" i="5" s="1"/>
  <c r="I612" i="5"/>
  <c r="K612" i="5" s="1"/>
  <c r="I346" i="5"/>
  <c r="K346" i="5" s="1"/>
  <c r="I305" i="5"/>
  <c r="K305" i="5" s="1"/>
  <c r="I194" i="5"/>
  <c r="K194" i="5" s="1"/>
  <c r="I245" i="5"/>
  <c r="K245" i="5" s="1"/>
  <c r="I700" i="5"/>
  <c r="K700" i="5" s="1"/>
  <c r="I594" i="5"/>
  <c r="K594" i="5" s="1"/>
  <c r="I297" i="5"/>
  <c r="K297" i="5" s="1"/>
  <c r="I354" i="5"/>
  <c r="K354" i="5" s="1"/>
  <c r="I294" i="5"/>
  <c r="K294" i="5" s="1"/>
  <c r="I712" i="5"/>
  <c r="K712" i="5" s="1"/>
  <c r="I295" i="5"/>
  <c r="K295" i="5" s="1"/>
  <c r="I286" i="5"/>
  <c r="I640" i="5"/>
  <c r="K640" i="5" s="1"/>
  <c r="I279" i="5"/>
  <c r="K279" i="5" s="1"/>
  <c r="I191" i="5"/>
  <c r="K191" i="5" s="1"/>
  <c r="I403" i="5"/>
  <c r="K403" i="5" s="1"/>
  <c r="I805" i="5"/>
  <c r="K805" i="5" s="1"/>
  <c r="I678" i="5"/>
  <c r="K678" i="5" s="1"/>
  <c r="I168" i="5"/>
  <c r="K168" i="5" s="1"/>
  <c r="I644" i="5"/>
  <c r="K644" i="5" s="1"/>
  <c r="I367" i="5"/>
  <c r="K367" i="5" s="1"/>
  <c r="I566" i="5"/>
  <c r="K566" i="5" s="1"/>
  <c r="I386" i="5"/>
  <c r="K386" i="5" s="1"/>
  <c r="I471" i="5"/>
  <c r="K471" i="5" s="1"/>
  <c r="I181" i="5"/>
  <c r="K181" i="5" s="1"/>
  <c r="I170" i="5"/>
  <c r="K170" i="5" s="1"/>
  <c r="I220" i="5"/>
  <c r="K220" i="5" s="1"/>
  <c r="I251" i="5"/>
  <c r="K251" i="5" s="1"/>
  <c r="I173" i="5"/>
  <c r="K173" i="5" s="1"/>
  <c r="I273" i="5"/>
  <c r="K273" i="5" s="1"/>
  <c r="I405" i="5"/>
  <c r="K405" i="5" s="1"/>
  <c r="I321" i="5"/>
  <c r="K321" i="5" s="1"/>
  <c r="I554" i="5"/>
  <c r="K554" i="5" s="1"/>
  <c r="I447" i="5"/>
  <c r="K447" i="5" s="1"/>
  <c r="I550" i="5"/>
  <c r="K550" i="5" s="1"/>
  <c r="I597" i="5"/>
  <c r="K597" i="5" s="1"/>
  <c r="I86" i="5"/>
  <c r="K86" i="5" s="1"/>
  <c r="I610" i="5"/>
  <c r="K610" i="5" s="1"/>
  <c r="I436" i="5"/>
  <c r="K436" i="5" s="1"/>
  <c r="I659" i="5"/>
  <c r="K659" i="5" s="1"/>
  <c r="I265" i="5"/>
  <c r="K265" i="5" s="1"/>
  <c r="I307" i="5"/>
  <c r="K307" i="5" s="1"/>
  <c r="I642" i="5"/>
  <c r="K642" i="5" s="1"/>
  <c r="I371" i="5"/>
  <c r="K371" i="5" s="1"/>
  <c r="I587" i="5"/>
  <c r="K587" i="5" s="1"/>
  <c r="I802" i="5"/>
  <c r="K802" i="5" s="1"/>
  <c r="I606" i="5"/>
  <c r="K606" i="5" s="1"/>
  <c r="I118" i="5"/>
  <c r="K118" i="5" s="1"/>
  <c r="G26" i="9"/>
  <c r="I431" i="5"/>
  <c r="K431" i="5" s="1"/>
  <c r="I214" i="5"/>
  <c r="I237" i="5"/>
  <c r="K237" i="5" s="1"/>
  <c r="I518" i="5"/>
  <c r="K518" i="5" s="1"/>
  <c r="I383" i="5"/>
  <c r="K383" i="5" s="1"/>
  <c r="I274" i="5"/>
  <c r="K274" i="5" s="1"/>
  <c r="I636" i="5"/>
  <c r="K636" i="5" s="1"/>
  <c r="I694" i="5"/>
  <c r="K694" i="5" s="1"/>
  <c r="I647" i="5"/>
  <c r="K647" i="5" s="1"/>
  <c r="I271" i="5"/>
  <c r="K271" i="5" s="1"/>
  <c r="I374" i="5"/>
  <c r="K374" i="5" s="1"/>
  <c r="I258" i="5"/>
  <c r="K258" i="5" s="1"/>
  <c r="I243" i="5"/>
  <c r="K243" i="5" s="1"/>
  <c r="I697" i="5"/>
  <c r="K697" i="5" s="1"/>
  <c r="I584" i="5"/>
  <c r="K584" i="5" s="1"/>
  <c r="I161" i="5"/>
  <c r="K161" i="5" s="1"/>
  <c r="I669" i="5"/>
  <c r="K669" i="5" s="1"/>
  <c r="I616" i="5"/>
  <c r="K616" i="5" s="1"/>
  <c r="I116" i="5"/>
  <c r="K116" i="5" s="1"/>
  <c r="I620" i="5"/>
  <c r="K620" i="5" s="1"/>
  <c r="I654" i="5"/>
  <c r="K654" i="5" s="1"/>
  <c r="I631" i="5"/>
  <c r="K631" i="5" s="1"/>
  <c r="I548" i="5"/>
  <c r="K548" i="5" s="1"/>
  <c r="I340" i="5"/>
  <c r="K340" i="5" s="1"/>
  <c r="I369" i="5"/>
  <c r="K369" i="5" s="1"/>
  <c r="I186" i="5"/>
  <c r="K186" i="5" s="1"/>
  <c r="I289" i="5"/>
  <c r="K289" i="5" s="1"/>
  <c r="I716" i="5"/>
  <c r="K716" i="5" s="1"/>
  <c r="I455" i="5"/>
  <c r="K455" i="5" s="1"/>
  <c r="I684" i="5"/>
  <c r="K684" i="5" s="1"/>
  <c r="I388" i="5"/>
  <c r="K388" i="5" s="1"/>
  <c r="I78" i="5"/>
  <c r="K78" i="5" s="1"/>
  <c r="I175" i="5"/>
  <c r="K175" i="5" s="1"/>
  <c r="I316" i="5"/>
  <c r="K316" i="5" s="1"/>
  <c r="I652" i="5"/>
  <c r="K652" i="5" s="1"/>
  <c r="I359" i="5"/>
  <c r="K359" i="5" s="1"/>
  <c r="I667" i="5"/>
  <c r="K667" i="5" s="1"/>
  <c r="I569" i="5"/>
  <c r="K569" i="5" s="1"/>
  <c r="I372" i="5"/>
  <c r="K372" i="5" s="1"/>
  <c r="I664" i="5"/>
  <c r="K664" i="5" s="1"/>
  <c r="G12" i="9"/>
  <c r="G23" i="9"/>
  <c r="I463" i="5"/>
  <c r="K463" i="5" s="1"/>
  <c r="I385" i="5"/>
  <c r="K385" i="5" s="1"/>
  <c r="I81" i="5"/>
  <c r="K81" i="5" s="1"/>
  <c r="G37" i="9"/>
  <c r="I209" i="5"/>
  <c r="K209" i="5" s="1"/>
  <c r="G36" i="9"/>
  <c r="G17" i="9"/>
  <c r="G14" i="9"/>
  <c r="G19" i="9"/>
  <c r="G16" i="9"/>
  <c r="I487" i="5"/>
  <c r="K487" i="5" s="1"/>
  <c r="G5" i="9"/>
  <c r="G8" i="9"/>
  <c r="G34" i="9"/>
  <c r="I719" i="5"/>
  <c r="K719" i="5" s="1"/>
  <c r="I656" i="5"/>
  <c r="K656" i="5" s="1"/>
  <c r="G4" i="9"/>
  <c r="I485" i="5"/>
  <c r="K485" i="5" s="1"/>
  <c r="I744" i="5"/>
  <c r="K744" i="5" s="1"/>
  <c r="I342" i="5"/>
  <c r="K342" i="5" s="1"/>
  <c r="I227" i="5"/>
  <c r="K227" i="5" s="1"/>
  <c r="G13" i="9"/>
  <c r="G41" i="9"/>
  <c r="I97" i="5"/>
  <c r="K97" i="5" s="1"/>
  <c r="G39" i="9"/>
  <c r="G38" i="9"/>
  <c r="I602" i="5"/>
  <c r="K602" i="5" s="1"/>
  <c r="G32" i="9"/>
  <c r="G15" i="9"/>
  <c r="I365" i="5"/>
  <c r="K365" i="5" s="1"/>
  <c r="G24" i="9"/>
  <c r="G11" i="9"/>
  <c r="I510" i="5"/>
  <c r="K510" i="5" s="1"/>
  <c r="I624" i="5"/>
  <c r="K624" i="5" s="1"/>
  <c r="G18" i="9"/>
  <c r="G30" i="9"/>
  <c r="G28" i="9"/>
  <c r="I134" i="5"/>
  <c r="K134" i="5" s="1"/>
  <c r="I335" i="5"/>
  <c r="K335" i="5" s="1"/>
  <c r="I707" i="5"/>
  <c r="K707" i="5" s="1"/>
  <c r="G10" i="9"/>
  <c r="G33" i="9"/>
  <c r="G31" i="9"/>
  <c r="G6" i="9"/>
  <c r="I329" i="5"/>
  <c r="K329" i="5" s="1"/>
  <c r="G3" i="9"/>
  <c r="G20" i="9"/>
  <c r="G21" i="9"/>
  <c r="G29" i="9"/>
  <c r="G7" i="9"/>
  <c r="G22" i="9"/>
  <c r="G27" i="9"/>
  <c r="G25" i="9"/>
  <c r="G9" i="9"/>
  <c r="G35" i="9"/>
  <c r="R472" i="5"/>
  <c r="R606" i="5"/>
  <c r="R700" i="5"/>
  <c r="R623" i="5"/>
  <c r="R690" i="5"/>
  <c r="R416" i="5"/>
  <c r="R689" i="5"/>
  <c r="R560" i="5"/>
  <c r="R437" i="5"/>
  <c r="R643" i="5"/>
  <c r="R571" i="5"/>
  <c r="R425" i="5"/>
  <c r="R398" i="5"/>
  <c r="R418" i="5"/>
  <c r="R654" i="5"/>
  <c r="R663" i="5"/>
  <c r="R420" i="5"/>
  <c r="R494" i="5"/>
  <c r="R496" i="5"/>
  <c r="R502" i="5"/>
  <c r="R593" i="5"/>
  <c r="R464" i="5"/>
  <c r="R486" i="5"/>
  <c r="R595" i="5"/>
  <c r="R504" i="5"/>
  <c r="R442" i="5"/>
  <c r="R710" i="5"/>
  <c r="R615" i="5"/>
  <c r="R683" i="5"/>
  <c r="R631" i="5"/>
  <c r="R582" i="5"/>
  <c r="R653" i="5"/>
  <c r="R477" i="5"/>
  <c r="R536" i="5"/>
  <c r="R426" i="5"/>
  <c r="R568" i="5"/>
  <c r="R564" i="5"/>
  <c r="R518" i="5"/>
  <c r="R715" i="5"/>
  <c r="R634" i="5"/>
  <c r="R448" i="5"/>
  <c r="R632" i="5"/>
  <c r="R493" i="5"/>
  <c r="R556" i="5"/>
  <c r="R618" i="5"/>
  <c r="R407" i="5"/>
  <c r="R720" i="5"/>
  <c r="R404" i="5"/>
  <c r="R691" i="5"/>
  <c r="R706" i="5"/>
  <c r="R667" i="5"/>
  <c r="R616" i="5"/>
  <c r="R674" i="5"/>
  <c r="R509" i="5"/>
  <c r="R660" i="5"/>
  <c r="R492" i="5"/>
  <c r="R503" i="5"/>
  <c r="R454" i="5"/>
  <c r="R396" i="5"/>
  <c r="R545" i="5"/>
  <c r="R521" i="5"/>
  <c r="R467" i="5"/>
  <c r="R580" i="5"/>
  <c r="R424" i="5"/>
  <c r="R656" i="5"/>
  <c r="R471" i="5"/>
  <c r="R605" i="5"/>
  <c r="R468" i="5"/>
  <c r="R614" i="5"/>
  <c r="R491" i="5"/>
  <c r="R435" i="5"/>
  <c r="R686" i="5"/>
  <c r="R436" i="5"/>
  <c r="R707" i="5"/>
  <c r="R479" i="5"/>
  <c r="R578" i="5"/>
  <c r="R523" i="5"/>
  <c r="R438" i="5"/>
  <c r="R431" i="5"/>
  <c r="R506" i="5"/>
  <c r="R688" i="5"/>
  <c r="R671" i="5"/>
  <c r="R408" i="5"/>
  <c r="R589" i="5"/>
  <c r="R713" i="5"/>
  <c r="R558" i="5"/>
  <c r="R481" i="5"/>
  <c r="R546" i="5"/>
  <c r="R583" i="5"/>
  <c r="R633" i="5"/>
  <c r="R533" i="5"/>
  <c r="R470" i="5"/>
  <c r="R459" i="5"/>
  <c r="R555" i="5"/>
  <c r="R638" i="5"/>
  <c r="R561" i="5"/>
  <c r="R444" i="5"/>
  <c r="R488" i="5"/>
  <c r="R636" i="5"/>
  <c r="R681" i="5"/>
  <c r="R599" i="5"/>
  <c r="R696" i="5"/>
  <c r="R673" i="5"/>
  <c r="R575" i="5"/>
  <c r="R440" i="5"/>
  <c r="R517" i="5"/>
  <c r="R670" i="5"/>
  <c r="R452" i="5"/>
  <c r="R530" i="5"/>
  <c r="R648" i="5"/>
  <c r="R478" i="5"/>
  <c r="R597" i="5"/>
  <c r="R476" i="5"/>
  <c r="R665" i="5"/>
  <c r="R708" i="5"/>
  <c r="R608" i="5"/>
  <c r="R567" i="5"/>
  <c r="R462" i="5"/>
  <c r="R703" i="5"/>
  <c r="R573" i="5"/>
  <c r="R427" i="5"/>
  <c r="R596" i="5"/>
  <c r="R455" i="5"/>
  <c r="R439" i="5"/>
  <c r="R695" i="5"/>
  <c r="R515" i="5"/>
  <c r="R512" i="5"/>
  <c r="R414" i="5"/>
  <c r="R500" i="5"/>
  <c r="R557" i="5"/>
  <c r="R610" i="5"/>
  <c r="R552" i="5"/>
  <c r="R705" i="5"/>
  <c r="R554" i="5"/>
  <c r="R513" i="5"/>
  <c r="R655" i="5"/>
  <c r="R519" i="5"/>
  <c r="R627" i="5"/>
  <c r="R487" i="5"/>
  <c r="R574" i="5"/>
  <c r="R664" i="5"/>
  <c r="R652" i="5"/>
  <c r="R531" i="5"/>
  <c r="R505" i="5"/>
  <c r="R524" i="5"/>
  <c r="R639" i="5"/>
  <c r="R687" i="5"/>
  <c r="R586" i="5"/>
  <c r="R682" i="5"/>
  <c r="R672" i="5"/>
  <c r="R624" i="5"/>
  <c r="R625" i="5"/>
  <c r="R460" i="5"/>
  <c r="R646" i="5"/>
  <c r="R675" i="5"/>
  <c r="R718" i="5"/>
  <c r="R511" i="5"/>
  <c r="R400" i="5"/>
  <c r="R434" i="5"/>
  <c r="R621" i="5"/>
  <c r="R603" i="5"/>
  <c r="R577" i="5"/>
  <c r="R601" i="5"/>
  <c r="R553" i="5"/>
  <c r="R611" i="5"/>
  <c r="R711" i="5"/>
  <c r="R612" i="5"/>
  <c r="R406" i="5"/>
  <c r="R417" i="5"/>
  <c r="R458" i="5"/>
  <c r="R469" i="5"/>
  <c r="R429" i="5"/>
  <c r="R532" i="5"/>
  <c r="R694" i="5"/>
  <c r="R562" i="5"/>
  <c r="R485" i="5"/>
  <c r="R403" i="5"/>
  <c r="R544" i="5"/>
  <c r="R619" i="5"/>
  <c r="R441" i="5"/>
  <c r="R640" i="5"/>
  <c r="R630" i="5"/>
  <c r="R528" i="5"/>
  <c r="R473" i="5"/>
  <c r="R480" i="5"/>
  <c r="R551" i="5"/>
  <c r="R629" i="5"/>
  <c r="R520" i="5"/>
  <c r="R445" i="5"/>
  <c r="R447" i="5"/>
  <c r="R474" i="5"/>
  <c r="R569" i="5"/>
  <c r="R397" i="5"/>
  <c r="R433" i="5"/>
  <c r="R501" i="5"/>
  <c r="R684" i="5"/>
  <c r="R591" i="5"/>
  <c r="R693" i="5"/>
  <c r="R600" i="5"/>
  <c r="R717" i="5"/>
  <c r="R465" i="5"/>
  <c r="R565" i="5"/>
  <c r="R641" i="5"/>
  <c r="R413" i="5"/>
  <c r="R579" i="5"/>
  <c r="R570" i="5"/>
  <c r="R549" i="5"/>
  <c r="R651" i="5"/>
  <c r="R716" i="5"/>
  <c r="R559" i="5"/>
  <c r="R482" i="5"/>
  <c r="R622" i="5"/>
  <c r="R679" i="5"/>
  <c r="R419" i="5"/>
  <c r="R507" i="5"/>
  <c r="R449" i="5"/>
  <c r="R456" i="5"/>
  <c r="R709" i="5"/>
  <c r="R714" i="5"/>
  <c r="R659" i="5"/>
  <c r="R498" i="5"/>
  <c r="R585" i="5"/>
  <c r="R451" i="5"/>
  <c r="R592" i="5"/>
  <c r="R602" i="5"/>
  <c r="R547" i="5"/>
  <c r="R529" i="5"/>
  <c r="R704" i="5"/>
  <c r="R676" i="5"/>
  <c r="R644" i="5"/>
  <c r="R461" i="5"/>
  <c r="R550" i="5"/>
  <c r="R450" i="5"/>
  <c r="R423" i="5"/>
  <c r="R584" i="5"/>
  <c r="R535" i="5"/>
  <c r="R527" i="5"/>
  <c r="R412" i="5"/>
  <c r="R666" i="5"/>
  <c r="R635" i="5"/>
  <c r="R594" i="5"/>
  <c r="R692" i="5"/>
  <c r="R647" i="5"/>
  <c r="R428" i="5"/>
  <c r="R499" i="5"/>
  <c r="R661" i="5"/>
  <c r="R587" i="5"/>
  <c r="R590" i="5"/>
  <c r="R537" i="5"/>
  <c r="R495" i="5"/>
  <c r="R604" i="5"/>
  <c r="R588" i="5"/>
  <c r="R510" i="5"/>
  <c r="R432" i="5"/>
  <c r="R668" i="5"/>
  <c r="R657" i="5"/>
  <c r="R650" i="5"/>
  <c r="R415" i="5"/>
  <c r="R698" i="5"/>
  <c r="R658" i="5"/>
  <c r="R401" i="5"/>
  <c r="R662" i="5"/>
  <c r="R626" i="5"/>
  <c r="R514" i="5"/>
  <c r="R609" i="5"/>
  <c r="R699" i="5"/>
  <c r="R680" i="5"/>
  <c r="R402" i="5"/>
  <c r="R697" i="5"/>
  <c r="R617" i="5"/>
  <c r="R457" i="5"/>
  <c r="R463" i="5"/>
  <c r="R719" i="5"/>
  <c r="R685" i="5"/>
  <c r="R430" i="5"/>
  <c r="R483" i="5"/>
  <c r="R489" i="5"/>
  <c r="R645" i="5"/>
  <c r="R475" i="5"/>
  <c r="R712" i="5"/>
  <c r="R669" i="5"/>
  <c r="R701" i="5"/>
  <c r="R422" i="5"/>
  <c r="R497" i="5"/>
  <c r="R411" i="5"/>
  <c r="R466" i="5"/>
  <c r="R628" i="5"/>
  <c r="R702" i="5"/>
  <c r="R572" i="5"/>
  <c r="R534" i="5"/>
  <c r="R677" i="5"/>
  <c r="R581" i="5"/>
  <c r="R613" i="5"/>
  <c r="R421" i="5"/>
  <c r="R678" i="5"/>
  <c r="R563" i="5"/>
  <c r="R443" i="5"/>
  <c r="R405" i="5"/>
  <c r="R522" i="5"/>
  <c r="R446" i="5"/>
  <c r="R525" i="5"/>
  <c r="R566" i="5"/>
  <c r="R453" i="5"/>
  <c r="R642" i="5"/>
  <c r="R526" i="5"/>
  <c r="R649" i="5"/>
  <c r="R516" i="5"/>
  <c r="R576" i="5"/>
  <c r="R484" i="5"/>
  <c r="R548" i="5"/>
  <c r="R637" i="5"/>
  <c r="R607" i="5"/>
  <c r="R620" i="5"/>
  <c r="R598" i="5"/>
  <c r="R508" i="5"/>
  <c r="R399" i="5"/>
  <c r="R490" i="5"/>
  <c r="M641" i="5"/>
  <c r="M522" i="5"/>
  <c r="M743" i="5"/>
  <c r="M108" i="5"/>
  <c r="M672" i="5"/>
  <c r="M670" i="5"/>
  <c r="M183" i="5"/>
  <c r="M2" i="5"/>
  <c r="M437" i="5"/>
  <c r="M122" i="5"/>
  <c r="M640" i="5"/>
  <c r="M192" i="5"/>
  <c r="M690" i="5"/>
  <c r="M795" i="5"/>
  <c r="M730" i="5"/>
  <c r="M470" i="5"/>
  <c r="M117" i="5"/>
  <c r="M262" i="5"/>
  <c r="M651" i="5"/>
  <c r="M51" i="5"/>
  <c r="M235" i="5"/>
  <c r="M734" i="5"/>
  <c r="M521" i="5"/>
  <c r="M435" i="5"/>
  <c r="M656" i="5"/>
  <c r="M800" i="5"/>
  <c r="M394" i="5"/>
  <c r="M402" i="5"/>
  <c r="M657" i="5"/>
  <c r="M238" i="5"/>
  <c r="M807" i="5"/>
  <c r="M505" i="5"/>
  <c r="M513" i="5"/>
  <c r="M687" i="5"/>
  <c r="M4" i="5"/>
  <c r="M294" i="5"/>
  <c r="M280" i="5"/>
  <c r="M356" i="5"/>
  <c r="M279" i="5"/>
  <c r="M520" i="5"/>
  <c r="M53" i="5"/>
  <c r="M78" i="5"/>
  <c r="M214" i="5"/>
  <c r="M464" i="5"/>
  <c r="M268" i="5"/>
  <c r="M205" i="5"/>
  <c r="M223" i="5"/>
  <c r="M441" i="5"/>
  <c r="M729" i="5"/>
  <c r="M239" i="5"/>
  <c r="M138" i="5"/>
  <c r="M806" i="5"/>
  <c r="M161" i="5"/>
  <c r="M698" i="5"/>
  <c r="M638" i="5"/>
  <c r="M167" i="5"/>
  <c r="M633" i="5"/>
  <c r="M127" i="5"/>
  <c r="M503" i="5"/>
  <c r="M299" i="5"/>
  <c r="M265" i="5"/>
  <c r="M31" i="5"/>
  <c r="M29" i="5"/>
  <c r="M158" i="5"/>
  <c r="M804" i="5"/>
  <c r="M71" i="5"/>
  <c r="M477" i="5"/>
  <c r="M222" i="5"/>
  <c r="M188" i="5"/>
  <c r="M12" i="5"/>
  <c r="M42" i="5"/>
  <c r="M608" i="5"/>
  <c r="M20" i="5"/>
  <c r="M582" i="5"/>
  <c r="M411" i="5"/>
  <c r="M259" i="5"/>
  <c r="M735" i="5"/>
  <c r="M408" i="5"/>
  <c r="M722" i="5"/>
  <c r="M55" i="5"/>
  <c r="M144" i="5"/>
  <c r="M788" i="5"/>
  <c r="M346" i="5"/>
  <c r="M810" i="5"/>
  <c r="M466" i="5"/>
  <c r="M452" i="5"/>
  <c r="M106" i="5"/>
  <c r="M36" i="5"/>
  <c r="M311" i="5"/>
  <c r="M349" i="5"/>
  <c r="M221" i="5"/>
  <c r="M345" i="5"/>
  <c r="M706" i="5"/>
  <c r="M217" i="5"/>
  <c r="M594" i="5"/>
  <c r="M763" i="5"/>
  <c r="M95" i="5"/>
  <c r="M93" i="5"/>
  <c r="M683" i="5"/>
  <c r="M366" i="5"/>
  <c r="M720" i="5"/>
  <c r="M576" i="5"/>
  <c r="M578" i="5"/>
  <c r="M74" i="5"/>
  <c r="M772" i="5"/>
  <c r="M667" i="5"/>
  <c r="M308" i="5"/>
  <c r="M496" i="5"/>
  <c r="M458" i="5"/>
  <c r="M733" i="5"/>
  <c r="M811" i="5"/>
  <c r="M290" i="5"/>
  <c r="M535" i="5"/>
  <c r="M591" i="5"/>
  <c r="M465" i="5"/>
  <c r="M508" i="5"/>
  <c r="M370" i="5"/>
  <c r="M732" i="5"/>
  <c r="M443" i="5"/>
  <c r="M281" i="5"/>
  <c r="M72" i="5"/>
  <c r="M556" i="5"/>
  <c r="M645" i="5"/>
  <c r="M44" i="5"/>
  <c r="M456" i="5"/>
  <c r="M30" i="5"/>
  <c r="M413" i="5"/>
  <c r="M69" i="5"/>
  <c r="M626" i="5"/>
  <c r="M43" i="5"/>
  <c r="M714" i="5"/>
  <c r="M357" i="5"/>
  <c r="M271" i="5"/>
  <c r="M530" i="5"/>
  <c r="M151" i="5"/>
  <c r="M712" i="5"/>
  <c r="M22" i="5"/>
  <c r="M332" i="5"/>
  <c r="M586" i="5"/>
  <c r="M460" i="5"/>
  <c r="M364" i="5"/>
  <c r="M700" i="5"/>
  <c r="M785" i="5"/>
  <c r="M240" i="5"/>
  <c r="M777" i="5"/>
  <c r="M104" i="5"/>
  <c r="M767" i="5"/>
  <c r="M63" i="5"/>
  <c r="M701" i="5"/>
  <c r="M453" i="5"/>
  <c r="M98" i="5"/>
  <c r="M35" i="5"/>
  <c r="M255" i="5"/>
  <c r="M643" i="5"/>
  <c r="M801" i="5"/>
  <c r="M133" i="5"/>
  <c r="M482" i="5"/>
  <c r="M126" i="5"/>
  <c r="M266" i="5"/>
  <c r="M190" i="5"/>
  <c r="M396" i="5"/>
  <c r="M243" i="5"/>
  <c r="M168" i="5"/>
  <c r="M568" i="5"/>
  <c r="M159" i="5"/>
  <c r="M544" i="5"/>
  <c r="M82" i="5"/>
  <c r="M363" i="5"/>
  <c r="M728" i="5"/>
  <c r="M434" i="5"/>
  <c r="M119" i="5"/>
  <c r="M312" i="5"/>
  <c r="M818" i="5"/>
  <c r="M636" i="5"/>
  <c r="M676" i="5"/>
  <c r="M604" i="5"/>
  <c r="M820" i="5"/>
  <c r="M382" i="5"/>
  <c r="M515" i="5"/>
  <c r="M253" i="5"/>
  <c r="M671" i="5"/>
  <c r="M483" i="5"/>
  <c r="M655" i="5"/>
  <c r="M694" i="5"/>
  <c r="M216" i="5"/>
  <c r="M531" i="5"/>
  <c r="M715" i="5"/>
  <c r="M790" i="5"/>
  <c r="M480" i="5"/>
  <c r="M148" i="5"/>
  <c r="M393" i="5"/>
  <c r="M724" i="5"/>
  <c r="M764" i="5"/>
  <c r="M184" i="5"/>
  <c r="M708" i="5"/>
  <c r="M186" i="5"/>
  <c r="M291" i="5"/>
  <c r="M511" i="5"/>
  <c r="M551" i="5"/>
  <c r="M227" i="5"/>
  <c r="M374" i="5"/>
  <c r="M554" i="5"/>
  <c r="M673" i="5"/>
  <c r="M416" i="5"/>
  <c r="M160" i="5"/>
  <c r="M375" i="5"/>
  <c r="M613" i="5"/>
  <c r="M284" i="5"/>
  <c r="M781" i="5"/>
  <c r="M710" i="5"/>
  <c r="M603" i="5"/>
  <c r="M350" i="5"/>
  <c r="M663" i="5"/>
  <c r="M395" i="5"/>
  <c r="M439" i="5"/>
  <c r="M114" i="5"/>
  <c r="M41" i="5"/>
  <c r="M424" i="5"/>
  <c r="M430" i="5"/>
  <c r="M166" i="5"/>
  <c r="M287" i="5"/>
  <c r="M24" i="5"/>
  <c r="M760" i="5"/>
  <c r="M77" i="5"/>
  <c r="M220" i="5"/>
  <c r="M377" i="5"/>
  <c r="M263" i="5"/>
  <c r="M769" i="5"/>
  <c r="M3" i="5"/>
  <c r="M678" i="5"/>
  <c r="M815" i="5"/>
  <c r="M504" i="5"/>
  <c r="M314" i="5"/>
  <c r="M431" i="5"/>
  <c r="M112" i="5"/>
  <c r="M581" i="5"/>
  <c r="M254" i="5"/>
  <c r="M378" i="5"/>
  <c r="M648" i="5"/>
  <c r="M208" i="5"/>
  <c r="M600" i="5"/>
  <c r="M686" i="5"/>
  <c r="M360" i="5"/>
  <c r="M18" i="5"/>
  <c r="M757" i="5"/>
  <c r="M329" i="5"/>
  <c r="M230" i="5"/>
  <c r="M529" i="5"/>
  <c r="M250" i="5"/>
  <c r="M745" i="5"/>
  <c r="M292" i="5"/>
  <c r="M213" i="5"/>
  <c r="M588" i="5"/>
  <c r="M584" i="5"/>
  <c r="M23" i="5"/>
  <c r="M99" i="5"/>
  <c r="M532" i="5"/>
  <c r="M624" i="5"/>
  <c r="M637" i="5"/>
  <c r="M422" i="5"/>
  <c r="M741" i="5"/>
  <c r="M647" i="5"/>
  <c r="M322" i="5"/>
  <c r="M39" i="5"/>
  <c r="M46" i="5"/>
  <c r="M331" i="5"/>
  <c r="M598" i="5"/>
  <c r="M399" i="5"/>
  <c r="M819" i="5"/>
  <c r="M298" i="5"/>
  <c r="M816" i="5"/>
  <c r="M107" i="5"/>
  <c r="M389" i="5"/>
  <c r="M211" i="5"/>
  <c r="M669" i="5"/>
  <c r="M246" i="5"/>
  <c r="M129" i="5"/>
  <c r="M552" i="5"/>
  <c r="M319" i="5"/>
  <c r="M555" i="5"/>
  <c r="M444" i="5"/>
  <c r="M579" i="5"/>
  <c r="M187" i="5"/>
  <c r="M753" i="5"/>
  <c r="M80" i="5"/>
  <c r="M196" i="5"/>
  <c r="M479" i="5"/>
  <c r="M498" i="5"/>
  <c r="M47" i="5"/>
  <c r="M618" i="5"/>
  <c r="M474" i="5"/>
  <c r="M147" i="5"/>
  <c r="M679" i="5"/>
  <c r="M336" i="5"/>
  <c r="M373" i="5"/>
  <c r="M758" i="5"/>
  <c r="M652" i="5"/>
  <c r="M100" i="5"/>
  <c r="M301" i="5"/>
  <c r="M699" i="5"/>
  <c r="M353" i="5"/>
  <c r="M289" i="5"/>
  <c r="M5" i="5"/>
  <c r="M143" i="5"/>
  <c r="M189" i="5"/>
  <c r="M115" i="5"/>
  <c r="M705" i="5"/>
  <c r="M550" i="5"/>
  <c r="M376" i="5"/>
  <c r="M90" i="5"/>
  <c r="M347" i="5"/>
  <c r="M118" i="5"/>
  <c r="M577" i="5"/>
  <c r="M787" i="5"/>
  <c r="M691" i="5"/>
  <c r="M146" i="5"/>
  <c r="M209" i="5"/>
  <c r="M49" i="5"/>
  <c r="M449" i="5"/>
  <c r="M570" i="5"/>
  <c r="M8" i="5"/>
  <c r="M358" i="5"/>
  <c r="M654" i="5"/>
  <c r="M740" i="5"/>
  <c r="M229" i="5"/>
  <c r="M367" i="5"/>
  <c r="M517" i="5"/>
  <c r="M786" i="5"/>
  <c r="M164" i="5"/>
  <c r="M423" i="5"/>
  <c r="M52" i="5"/>
  <c r="M467" i="5"/>
  <c r="M518" i="5"/>
  <c r="M499" i="5"/>
  <c r="M585" i="5"/>
  <c r="M355" i="5"/>
  <c r="M562" i="5"/>
  <c r="M391" i="5"/>
  <c r="M567" i="5"/>
  <c r="M451" i="5"/>
  <c r="M713" i="5"/>
  <c r="M459" i="5"/>
  <c r="M488" i="5"/>
  <c r="M802" i="5"/>
  <c r="M510" i="5"/>
  <c r="M684" i="5"/>
  <c r="M85" i="5"/>
  <c r="M11" i="5"/>
  <c r="M149" i="5"/>
  <c r="M447" i="5"/>
  <c r="M619" i="5"/>
  <c r="M717" i="5"/>
  <c r="M632" i="5"/>
  <c r="M317" i="5"/>
  <c r="M86" i="5"/>
  <c r="M141" i="5"/>
  <c r="M152" i="5"/>
  <c r="M224" i="5"/>
  <c r="M516" i="5"/>
  <c r="M362" i="5"/>
  <c r="M163" i="5"/>
  <c r="M121" i="5"/>
  <c r="M685" i="5"/>
  <c r="M774" i="5"/>
  <c r="M664" i="5"/>
  <c r="M403" i="5"/>
  <c r="M533" i="5"/>
  <c r="M448" i="5"/>
  <c r="M320" i="5"/>
  <c r="M50" i="5"/>
  <c r="M17" i="5"/>
  <c r="M38" i="5"/>
  <c r="M573" i="5"/>
  <c r="M756" i="5"/>
  <c r="M526" i="5"/>
  <c r="M665" i="5"/>
  <c r="M748" i="5"/>
  <c r="M747" i="5"/>
  <c r="M170" i="5"/>
  <c r="M696" i="5"/>
  <c r="M258" i="5"/>
  <c r="M497" i="5"/>
  <c r="M471" i="5"/>
  <c r="M79" i="5"/>
  <c r="M123" i="5"/>
  <c r="M249" i="5"/>
  <c r="M446" i="5"/>
  <c r="M796" i="5"/>
  <c r="M794" i="5"/>
  <c r="M66" i="5"/>
  <c r="M344" i="5"/>
  <c r="M616" i="5"/>
  <c r="M751" i="5"/>
  <c r="M76" i="5"/>
  <c r="M697" i="5"/>
  <c r="M627" i="5"/>
  <c r="M571" i="5"/>
  <c r="M574" i="5"/>
  <c r="M182" i="5"/>
  <c r="M528" i="5"/>
  <c r="M689" i="5"/>
  <c r="M644" i="5"/>
  <c r="M379" i="5"/>
  <c r="M210" i="5"/>
  <c r="M269" i="5"/>
  <c r="M169" i="5"/>
  <c r="M400" i="5"/>
  <c r="M386" i="5"/>
  <c r="M84" i="5"/>
  <c r="M793" i="5"/>
  <c r="M251" i="5"/>
  <c r="M110" i="5"/>
  <c r="M569" i="5"/>
  <c r="M194" i="5"/>
  <c r="M681" i="5"/>
  <c r="M89" i="5"/>
  <c r="M173" i="5"/>
  <c r="M111" i="5"/>
  <c r="M64" i="5"/>
  <c r="M297" i="5"/>
  <c r="M25" i="5"/>
  <c r="M491" i="5"/>
  <c r="M605" i="5"/>
  <c r="M746" i="5"/>
  <c r="M660" i="5"/>
  <c r="M405" i="5"/>
  <c r="M797" i="5"/>
  <c r="M203" i="5"/>
  <c r="M436" i="5"/>
  <c r="M116" i="5"/>
  <c r="M134" i="5"/>
  <c r="M662" i="5"/>
  <c r="M328" i="5"/>
  <c r="M779" i="5"/>
  <c r="M455" i="5"/>
  <c r="M454" i="5"/>
  <c r="M812" i="5"/>
  <c r="M755" i="5"/>
  <c r="M773" i="5"/>
  <c r="M630" i="5"/>
  <c r="M206" i="5"/>
  <c r="M606" i="5"/>
  <c r="M780" i="5"/>
  <c r="M635" i="5"/>
  <c r="M102" i="5"/>
  <c r="M668" i="5"/>
  <c r="M91" i="5"/>
  <c r="M642" i="5"/>
  <c r="M384" i="5"/>
  <c r="M175" i="5"/>
  <c r="M318" i="5"/>
  <c r="M392" i="5"/>
  <c r="M242" i="5"/>
  <c r="M549" i="5"/>
  <c r="M285" i="5"/>
  <c r="M808" i="5"/>
  <c r="M809" i="5"/>
  <c r="M558" i="5"/>
  <c r="M59" i="5"/>
  <c r="M241" i="5"/>
  <c r="M270" i="5"/>
  <c r="M385" i="5"/>
  <c r="M174" i="5"/>
  <c r="M639" i="5"/>
  <c r="M813" i="5"/>
  <c r="M178" i="5"/>
  <c r="M495" i="5"/>
  <c r="M380" i="5"/>
  <c r="M198" i="5"/>
  <c r="M390" i="5"/>
  <c r="M397" i="5"/>
  <c r="M527" i="5"/>
  <c r="M48" i="5"/>
  <c r="M156" i="5"/>
  <c r="M37" i="5"/>
  <c r="M371" i="5"/>
  <c r="M162" i="5"/>
  <c r="M506" i="5"/>
  <c r="M142" i="5"/>
  <c r="M283" i="5"/>
  <c r="M666" i="5"/>
  <c r="M545" i="5"/>
  <c r="M14" i="5"/>
  <c r="M548" i="5"/>
  <c r="M215" i="5"/>
  <c r="M461" i="5"/>
  <c r="M421" i="5"/>
  <c r="M9" i="5"/>
  <c r="M202" i="5"/>
  <c r="M776" i="5"/>
  <c r="M661" i="5"/>
  <c r="M337" i="5"/>
  <c r="M304" i="5"/>
  <c r="M709" i="5"/>
  <c r="M145" i="5"/>
  <c r="M278" i="5"/>
  <c r="M326" i="5"/>
  <c r="M282" i="5"/>
  <c r="M7" i="5"/>
  <c r="M731" i="5"/>
  <c r="M695" i="5"/>
  <c r="M236" i="5"/>
  <c r="M419" i="5"/>
  <c r="M105" i="5"/>
  <c r="M273" i="5"/>
  <c r="M519" i="5"/>
  <c r="M316" i="5"/>
  <c r="M207" i="5"/>
  <c r="M485" i="5"/>
  <c r="M721" i="5"/>
  <c r="M523" i="5"/>
  <c r="M489" i="5"/>
  <c r="M428" i="5"/>
  <c r="M264" i="5"/>
  <c r="M296" i="5"/>
  <c r="M109" i="5"/>
  <c r="M33" i="5"/>
  <c r="M306" i="5"/>
  <c r="M750" i="5"/>
  <c r="M233" i="5"/>
  <c r="M199" i="5"/>
  <c r="M688" i="5"/>
  <c r="M81" i="5"/>
  <c r="M615" i="5"/>
  <c r="M404" i="5"/>
  <c r="M54" i="5"/>
  <c r="M425" i="5"/>
  <c r="M487" i="5"/>
  <c r="M536" i="5"/>
  <c r="M534" i="5"/>
  <c r="M599" i="5"/>
  <c r="M218" i="5"/>
  <c r="M737" i="5"/>
  <c r="M87" i="5"/>
  <c r="M476" i="5"/>
  <c r="M557" i="5"/>
  <c r="M572" i="5"/>
  <c r="M315" i="5"/>
  <c r="M475" i="5"/>
  <c r="M583" i="5"/>
  <c r="M738" i="5"/>
  <c r="M590" i="5"/>
  <c r="M649" i="5"/>
  <c r="M179" i="5"/>
  <c r="M323" i="5"/>
  <c r="M245" i="5"/>
  <c r="M803" i="5"/>
  <c r="M113" i="5"/>
  <c r="M589" i="5"/>
  <c r="M252" i="5"/>
  <c r="M45" i="5"/>
  <c r="M307" i="5"/>
  <c r="M607" i="5"/>
  <c r="M343" i="5"/>
  <c r="M610" i="5"/>
  <c r="M75" i="5"/>
  <c r="M597" i="5"/>
  <c r="M136" i="5"/>
  <c r="M204" i="5"/>
  <c r="M789" i="5"/>
  <c r="M623" i="5"/>
  <c r="M88" i="5"/>
  <c r="M295" i="5"/>
  <c r="M368" i="5"/>
  <c r="M342" i="5"/>
  <c r="M580" i="5"/>
  <c r="M703" i="5"/>
  <c r="M490" i="5"/>
  <c r="M716" i="5"/>
  <c r="M718" i="5"/>
  <c r="M525" i="5"/>
  <c r="M57" i="5"/>
  <c r="M502" i="5"/>
  <c r="M286" i="5"/>
  <c r="M680" i="5"/>
  <c r="M94" i="5"/>
  <c r="M692" i="5"/>
  <c r="M180" i="5"/>
  <c r="M500" i="5"/>
  <c r="M614" i="5"/>
  <c r="M702" i="5"/>
  <c r="M247" i="5"/>
  <c r="M369" i="5"/>
  <c r="M219" i="5"/>
  <c r="M432" i="5"/>
  <c r="M450" i="5"/>
  <c r="M228" i="5"/>
  <c r="M335" i="5"/>
  <c r="M137" i="5"/>
  <c r="M621" i="5"/>
  <c r="M782" i="5"/>
  <c r="M770" i="5"/>
  <c r="M383" i="5"/>
  <c r="M484" i="5"/>
  <c r="M274" i="5"/>
  <c r="M381" i="5"/>
  <c r="M257" i="5"/>
  <c r="M704" i="5"/>
  <c r="M154" i="5"/>
  <c r="M566" i="5"/>
  <c r="M340" i="5"/>
  <c r="M401" i="5"/>
  <c r="M15" i="5"/>
  <c r="M442" i="5"/>
  <c r="M68" i="5"/>
  <c r="M799" i="5"/>
  <c r="M658" i="5"/>
  <c r="M817" i="5"/>
  <c r="M261" i="5"/>
  <c r="M300" i="5"/>
  <c r="M171" i="5"/>
  <c r="M365" i="5"/>
  <c r="M130" i="5"/>
  <c r="M176" i="5"/>
  <c r="M546" i="5"/>
  <c r="M276" i="5"/>
  <c r="M191" i="5"/>
  <c r="M406" i="5"/>
  <c r="M595" i="5"/>
  <c r="M596" i="5"/>
  <c r="M675" i="5"/>
  <c r="M415" i="5"/>
  <c r="M693" i="5"/>
  <c r="M139" i="5"/>
  <c r="M553" i="5"/>
  <c r="M798" i="5"/>
  <c r="M736" i="5"/>
  <c r="M62" i="5"/>
  <c r="M16" i="5"/>
  <c r="M537" i="5"/>
  <c r="M140" i="5"/>
  <c r="M128" i="5"/>
  <c r="M398" i="5"/>
  <c r="M775" i="5"/>
  <c r="M237" i="5"/>
  <c r="M333" i="5"/>
  <c r="M200" i="5"/>
  <c r="M407" i="5"/>
  <c r="M348" i="5"/>
  <c r="M650" i="5"/>
  <c r="M575" i="5"/>
  <c r="M420" i="5"/>
  <c r="M193" i="5"/>
  <c r="M457" i="5"/>
  <c r="M256" i="5"/>
  <c r="M417" i="5"/>
  <c r="M742" i="5"/>
  <c r="M481" i="5"/>
  <c r="M197" i="5"/>
  <c r="M725" i="5"/>
  <c r="M267" i="5"/>
  <c r="M433" i="5"/>
  <c r="M677" i="5"/>
  <c r="M559" i="5"/>
  <c r="M153" i="5"/>
  <c r="M524" i="5"/>
  <c r="M707" i="5"/>
  <c r="M440" i="5"/>
  <c r="M388" i="5"/>
  <c r="M103" i="5"/>
  <c r="M761" i="5"/>
  <c r="M321" i="5"/>
  <c r="M653" i="5"/>
  <c r="M260" i="5"/>
  <c r="M157" i="5"/>
  <c r="M40" i="5"/>
  <c r="M70" i="5"/>
  <c r="M10" i="5"/>
  <c r="M771" i="5"/>
  <c r="M778" i="5"/>
  <c r="M387" i="5"/>
  <c r="M501" i="5"/>
  <c r="M601" i="5"/>
  <c r="M338" i="5"/>
  <c r="M438" i="5"/>
  <c r="M212" i="5"/>
  <c r="M473" i="5"/>
  <c r="M277" i="5"/>
  <c r="M719" i="5"/>
  <c r="M172" i="5"/>
  <c r="M165" i="5"/>
  <c r="M305" i="5"/>
  <c r="M739" i="5"/>
  <c r="M34" i="5"/>
  <c r="M472" i="5"/>
  <c r="M195" i="5"/>
  <c r="M339" i="5"/>
  <c r="M625" i="5"/>
  <c r="M150" i="5"/>
  <c r="M56" i="5"/>
  <c r="M609" i="5"/>
  <c r="M226" i="5"/>
  <c r="M429" i="5"/>
  <c r="M354" i="5"/>
  <c r="M509" i="5"/>
  <c r="M492" i="5"/>
  <c r="M293" i="5"/>
  <c r="M469" i="5"/>
  <c r="M361" i="5"/>
  <c r="M514" i="5"/>
  <c r="M132" i="5"/>
  <c r="M309" i="5"/>
  <c r="M201" i="5"/>
  <c r="M272" i="5"/>
  <c r="M412" i="5"/>
  <c r="M288" i="5"/>
  <c r="M628" i="5"/>
  <c r="M426" i="5"/>
  <c r="M83" i="5"/>
  <c r="M486" i="5"/>
  <c r="M427" i="5"/>
  <c r="M768" i="5"/>
  <c r="M13" i="5"/>
  <c r="M65" i="5"/>
  <c r="M27" i="5"/>
  <c r="M244" i="5"/>
  <c r="M805" i="5"/>
  <c r="M359" i="5"/>
  <c r="M560" i="5"/>
  <c r="M682" i="5"/>
  <c r="M792" i="5"/>
  <c r="M131" i="5"/>
  <c r="M507" i="5"/>
  <c r="M96" i="5"/>
  <c r="M749" i="5"/>
  <c r="M313" i="5"/>
  <c r="M512" i="5"/>
  <c r="M234" i="5"/>
  <c r="M462" i="5"/>
  <c r="M125" i="5"/>
  <c r="M593" i="5"/>
  <c r="M759" i="5"/>
  <c r="M468" i="5"/>
  <c r="M97" i="5"/>
  <c r="M6" i="5"/>
  <c r="M791" i="5"/>
  <c r="M334" i="5"/>
  <c r="M634" i="5"/>
  <c r="M232" i="5"/>
  <c r="M120" i="5"/>
  <c r="M177" i="5"/>
  <c r="M547" i="5"/>
  <c r="M327" i="5"/>
  <c r="M659" i="5"/>
  <c r="M58" i="5"/>
  <c r="M744" i="5"/>
  <c r="M225" i="5"/>
  <c r="M814" i="5"/>
  <c r="M185" i="5"/>
  <c r="M463" i="5"/>
  <c r="M754" i="5"/>
  <c r="M231" i="5"/>
  <c r="M783" i="5"/>
  <c r="M478" i="5"/>
  <c r="M92" i="5"/>
  <c r="M155" i="5"/>
  <c r="M587" i="5"/>
  <c r="M765" i="5"/>
  <c r="M372" i="5"/>
  <c r="M21" i="5"/>
  <c r="M26" i="5"/>
  <c r="M611" i="5"/>
  <c r="M563" i="5"/>
  <c r="M727" i="5"/>
  <c r="M602" i="5"/>
  <c r="M592" i="5"/>
  <c r="M101" i="5"/>
  <c r="M631" i="5"/>
  <c r="M629" i="5"/>
  <c r="M352" i="5"/>
  <c r="M19" i="5"/>
  <c r="M620" i="5"/>
  <c r="M310" i="5"/>
  <c r="M612" i="5"/>
  <c r="M181" i="5"/>
  <c r="M275" i="5"/>
  <c r="M135" i="5"/>
  <c r="M494" i="5"/>
  <c r="M414" i="5"/>
  <c r="M124" i="5"/>
  <c r="M341" i="5"/>
  <c r="M565" i="5"/>
  <c r="M674" i="5"/>
  <c r="M711" i="5"/>
  <c r="M493" i="5"/>
  <c r="M646" i="5"/>
  <c r="M762" i="5"/>
  <c r="M445" i="5"/>
  <c r="M248" i="5"/>
  <c r="M67" i="5"/>
  <c r="M330" i="5"/>
  <c r="M766" i="5"/>
  <c r="M617" i="5"/>
  <c r="M32" i="5"/>
  <c r="M726" i="5"/>
  <c r="M351" i="5"/>
  <c r="M622" i="5"/>
  <c r="M723" i="5"/>
  <c r="M418" i="5"/>
  <c r="M564" i="5"/>
  <c r="M752" i="5"/>
  <c r="M561" i="5"/>
  <c r="M73" i="5"/>
  <c r="J368" i="2"/>
  <c r="I538" i="5" s="1"/>
  <c r="K538" i="5" s="1"/>
  <c r="K368" i="2"/>
  <c r="I472" i="5"/>
  <c r="K472" i="5" s="1"/>
  <c r="D35" i="9"/>
  <c r="I79" i="5"/>
  <c r="K79" i="5" s="1"/>
  <c r="I407" i="5"/>
  <c r="K407" i="5" s="1"/>
  <c r="I806" i="5"/>
  <c r="K806" i="5" s="1"/>
  <c r="I570" i="5"/>
  <c r="K570" i="5" s="1"/>
  <c r="I629" i="5"/>
  <c r="K629" i="5" s="1"/>
  <c r="I192" i="5"/>
  <c r="K192" i="5" s="1"/>
  <c r="I535" i="5"/>
  <c r="K535" i="5" s="1"/>
  <c r="I396" i="5"/>
  <c r="K396" i="5" s="1"/>
  <c r="I798" i="5"/>
  <c r="K798" i="5" s="1"/>
  <c r="I171" i="5"/>
  <c r="K171" i="5" s="1"/>
  <c r="I155" i="5"/>
  <c r="K155" i="5" s="1"/>
  <c r="I588" i="5"/>
  <c r="K588" i="5" s="1"/>
  <c r="I582" i="5"/>
  <c r="K582" i="5" s="1"/>
  <c r="I486" i="5"/>
  <c r="K486" i="5" s="1"/>
  <c r="I203" i="5"/>
  <c r="K203" i="5" s="1"/>
  <c r="I695" i="5"/>
  <c r="K695" i="5" s="1"/>
  <c r="I598" i="5"/>
  <c r="K598" i="5" s="1"/>
  <c r="D7" i="9"/>
  <c r="I511" i="5"/>
  <c r="K511" i="5" s="1"/>
  <c r="I625" i="5"/>
  <c r="K625" i="5" s="1"/>
  <c r="I572" i="5"/>
  <c r="K572" i="5" s="1"/>
  <c r="I691" i="5"/>
  <c r="K691" i="5" s="1"/>
  <c r="I803" i="5"/>
  <c r="K803" i="5" s="1"/>
  <c r="D3" i="9"/>
  <c r="I577" i="5"/>
  <c r="K577" i="5" s="1"/>
  <c r="I398" i="5"/>
  <c r="K398" i="5" s="1"/>
  <c r="D32" i="9"/>
  <c r="I402" i="5"/>
  <c r="K402" i="5" s="1"/>
  <c r="I210" i="5"/>
  <c r="K210" i="5" s="1"/>
  <c r="I670" i="5"/>
  <c r="K670" i="5" s="1"/>
  <c r="D8" i="9"/>
  <c r="I166" i="5"/>
  <c r="K166" i="5" s="1"/>
  <c r="D37" i="9"/>
  <c r="D11" i="9"/>
  <c r="D30" i="9"/>
  <c r="I714" i="5"/>
  <c r="K714" i="5" s="1"/>
  <c r="D19" i="9"/>
  <c r="I74" i="5"/>
  <c r="K74" i="5" s="1"/>
  <c r="D15" i="9"/>
  <c r="I503" i="5"/>
  <c r="K503" i="5" s="1"/>
  <c r="I311" i="5"/>
  <c r="K311" i="5" s="1"/>
  <c r="D38" i="9"/>
  <c r="I519" i="5"/>
  <c r="K519" i="5" s="1"/>
  <c r="I621" i="5"/>
  <c r="K621" i="5" s="1"/>
  <c r="D27" i="9"/>
  <c r="I567" i="5"/>
  <c r="K567" i="5" s="1"/>
  <c r="I456" i="5"/>
  <c r="K456" i="5" s="1"/>
  <c r="I527" i="5"/>
  <c r="K527" i="5" s="1"/>
  <c r="D20" i="9"/>
  <c r="D13" i="9"/>
  <c r="I645" i="5"/>
  <c r="K645" i="5" s="1"/>
  <c r="I355" i="5"/>
  <c r="K355" i="5" s="1"/>
  <c r="I710" i="5"/>
  <c r="K710" i="5" s="1"/>
  <c r="I634" i="5"/>
  <c r="K634" i="5" s="1"/>
  <c r="I464" i="5"/>
  <c r="K464" i="5" s="1"/>
  <c r="I701" i="5"/>
  <c r="K701" i="5" s="1"/>
  <c r="I84" i="5"/>
  <c r="K84" i="5" s="1"/>
  <c r="D6" i="9"/>
  <c r="D29" i="9"/>
  <c r="I611" i="5"/>
  <c r="K611" i="5" s="1"/>
  <c r="D22" i="9"/>
  <c r="I614" i="5"/>
  <c r="K614" i="5" s="1"/>
  <c r="I448" i="5"/>
  <c r="K448" i="5" s="1"/>
  <c r="D31" i="9"/>
  <c r="D17" i="9"/>
  <c r="I400" i="5"/>
  <c r="K400" i="5" s="1"/>
  <c r="D14" i="9"/>
  <c r="I618" i="5"/>
  <c r="K618" i="5" s="1"/>
  <c r="D16" i="9"/>
  <c r="D24" i="9"/>
  <c r="I814" i="5"/>
  <c r="K814" i="5" s="1"/>
  <c r="D26" i="9"/>
  <c r="I686" i="5"/>
  <c r="K686" i="5" s="1"/>
  <c r="D34" i="9"/>
  <c r="D41" i="9"/>
  <c r="D21" i="9"/>
  <c r="D25" i="9"/>
  <c r="I564" i="5"/>
  <c r="K564" i="5" s="1"/>
  <c r="D39" i="9"/>
  <c r="I682" i="5"/>
  <c r="K682" i="5" s="1"/>
  <c r="D33" i="9"/>
  <c r="D40" i="9"/>
  <c r="D4" i="9"/>
  <c r="I705" i="5"/>
  <c r="K705" i="5" s="1"/>
  <c r="I660" i="5"/>
  <c r="K660" i="5" s="1"/>
  <c r="D23" i="9"/>
  <c r="D12" i="9"/>
  <c r="D18" i="9"/>
  <c r="I317" i="5"/>
  <c r="K317" i="5" s="1"/>
  <c r="I650" i="5"/>
  <c r="K650" i="5" s="1"/>
  <c r="D5" i="9"/>
  <c r="D28" i="9"/>
  <c r="D36" i="9"/>
  <c r="D10" i="9"/>
  <c r="D9" i="9"/>
  <c r="I291" i="5"/>
  <c r="K291" i="5" s="1"/>
  <c r="E27" i="9"/>
  <c r="I555" i="5"/>
  <c r="K555" i="5" s="1"/>
  <c r="I347" i="5"/>
  <c r="K347" i="5" s="1"/>
  <c r="I276" i="5"/>
  <c r="K276" i="5" s="1"/>
  <c r="E39" i="9"/>
  <c r="I639" i="5"/>
  <c r="K639" i="5" s="1"/>
  <c r="I260" i="5"/>
  <c r="K260" i="5" s="1"/>
  <c r="I323" i="5"/>
  <c r="K323" i="5" s="1"/>
  <c r="E25" i="9"/>
  <c r="I298" i="5"/>
  <c r="K298" i="5" s="1"/>
  <c r="E18" i="9"/>
  <c r="I552" i="5"/>
  <c r="K552" i="5" s="1"/>
  <c r="E37" i="9"/>
  <c r="E17" i="9"/>
  <c r="I266" i="5"/>
  <c r="K266" i="5" s="1"/>
  <c r="E32" i="9"/>
  <c r="E14" i="9"/>
  <c r="I301" i="5"/>
  <c r="K301" i="5" s="1"/>
  <c r="I368" i="5"/>
  <c r="K368" i="5" s="1"/>
  <c r="E40" i="9"/>
  <c r="E28" i="9"/>
  <c r="E21" i="9"/>
  <c r="E33" i="9"/>
  <c r="E16" i="9"/>
  <c r="E4" i="9"/>
  <c r="E20" i="9"/>
  <c r="E8" i="9"/>
  <c r="I549" i="5"/>
  <c r="K549" i="5" s="1"/>
  <c r="E3" i="9"/>
  <c r="E24" i="9"/>
  <c r="E29" i="9"/>
  <c r="E19" i="9"/>
  <c r="E41" i="9"/>
  <c r="E13" i="9"/>
  <c r="E22" i="9"/>
  <c r="E12" i="9"/>
  <c r="I263" i="5"/>
  <c r="K263" i="5" s="1"/>
  <c r="E34" i="9"/>
  <c r="E10" i="9"/>
  <c r="E30" i="9"/>
  <c r="E6" i="9"/>
  <c r="E23" i="9"/>
  <c r="E26" i="9"/>
  <c r="E7" i="9"/>
  <c r="E9" i="9"/>
  <c r="E38" i="9"/>
  <c r="E35" i="9"/>
  <c r="E36" i="9"/>
  <c r="E11" i="9"/>
  <c r="E5" i="9"/>
  <c r="E15" i="9"/>
  <c r="E31" i="9"/>
  <c r="I308" i="5"/>
  <c r="K308" i="5" s="1"/>
  <c r="I48" i="5"/>
  <c r="K48" i="5" s="1"/>
  <c r="M368" i="2"/>
  <c r="L368" i="2"/>
  <c r="I541" i="5" s="1"/>
  <c r="K541" i="5" s="1"/>
  <c r="I322" i="5"/>
  <c r="K322" i="5" s="1"/>
  <c r="I154" i="5"/>
  <c r="K154" i="5" s="1"/>
  <c r="I201" i="5"/>
  <c r="K201" i="5" s="1"/>
  <c r="I747" i="5"/>
  <c r="K747" i="5" s="1"/>
  <c r="I575" i="5"/>
  <c r="K575" i="5" s="1"/>
  <c r="I268" i="5"/>
  <c r="K268" i="5" s="1"/>
  <c r="I561" i="5"/>
  <c r="K561" i="5" s="1"/>
  <c r="I603" i="5"/>
  <c r="K603" i="5" s="1"/>
  <c r="I452" i="5"/>
  <c r="K452" i="5" s="1"/>
  <c r="I704" i="5"/>
  <c r="K704" i="5" s="1"/>
  <c r="I4" i="5"/>
  <c r="K4" i="5" s="1"/>
  <c r="I16" i="5"/>
  <c r="K16" i="5" s="1"/>
  <c r="I206" i="5"/>
  <c r="K206" i="5" s="1"/>
  <c r="I558" i="5"/>
  <c r="K558" i="5" s="1"/>
  <c r="I94" i="5"/>
  <c r="K94" i="5" s="1"/>
  <c r="I33" i="5"/>
  <c r="K33" i="5" s="1"/>
  <c r="I412" i="5"/>
  <c r="K412" i="5" s="1"/>
  <c r="I343" i="5"/>
  <c r="K343" i="5" s="1"/>
  <c r="I281" i="5"/>
  <c r="I223" i="5"/>
  <c r="K223" i="5" s="1"/>
  <c r="I641" i="5"/>
  <c r="K641" i="5" s="1"/>
  <c r="I735" i="5"/>
  <c r="K735" i="5" s="1"/>
  <c r="I315" i="5"/>
  <c r="K315" i="5" s="1"/>
  <c r="I339" i="5"/>
  <c r="K339" i="5" s="1"/>
  <c r="I30" i="5"/>
  <c r="K30" i="5" s="1"/>
  <c r="I275" i="5"/>
  <c r="K275" i="5" s="1"/>
  <c r="I713" i="5"/>
  <c r="K713" i="5" s="1"/>
  <c r="I136" i="5"/>
  <c r="K136" i="5" s="1"/>
  <c r="I333" i="5"/>
  <c r="K333" i="5" s="1"/>
  <c r="I160" i="5"/>
  <c r="K160" i="5" s="1"/>
  <c r="I460" i="5"/>
  <c r="K460" i="5" s="1"/>
  <c r="I560" i="5"/>
  <c r="K560" i="5" s="1"/>
  <c r="I36" i="5"/>
  <c r="I277" i="5"/>
  <c r="K277" i="5" s="1"/>
  <c r="I306" i="5"/>
  <c r="K306" i="5" s="1"/>
  <c r="I287" i="5"/>
  <c r="K287" i="5" s="1"/>
  <c r="I105" i="5"/>
  <c r="K105" i="5" s="1"/>
  <c r="I415" i="5"/>
  <c r="K415" i="5" s="1"/>
  <c r="I231" i="5"/>
  <c r="K231" i="5" s="1"/>
  <c r="I314" i="5"/>
  <c r="K314" i="5" s="1"/>
  <c r="I727" i="5"/>
  <c r="K727" i="5" s="1"/>
  <c r="I658" i="5"/>
  <c r="K658" i="5" s="1"/>
  <c r="I196" i="5"/>
  <c r="K196" i="5" s="1"/>
  <c r="I111" i="5"/>
  <c r="K111" i="5" s="1"/>
  <c r="I586" i="5"/>
  <c r="K586" i="5" s="1"/>
  <c r="I309" i="5"/>
  <c r="K309" i="5" s="1"/>
  <c r="I293" i="5"/>
  <c r="K293" i="5" s="1"/>
  <c r="I337" i="5"/>
  <c r="K337" i="5" s="1"/>
  <c r="I545" i="5"/>
  <c r="K545" i="5" s="1"/>
  <c r="I13" i="5"/>
  <c r="K13" i="5" s="1"/>
  <c r="I759" i="5"/>
  <c r="K759" i="5" s="1"/>
  <c r="I47" i="5"/>
  <c r="K47" i="5" s="1"/>
  <c r="I653" i="5"/>
  <c r="K653" i="5" s="1"/>
  <c r="I304" i="5"/>
  <c r="K304" i="5" s="1"/>
  <c r="H13" i="9"/>
  <c r="I649" i="5"/>
  <c r="K649" i="5" s="1"/>
  <c r="I264" i="5"/>
  <c r="K264" i="5" s="1"/>
  <c r="I46" i="5"/>
  <c r="K46" i="5" s="1"/>
  <c r="I811" i="5"/>
  <c r="K811" i="5" s="1"/>
  <c r="I56" i="5"/>
  <c r="K56" i="5" s="1"/>
  <c r="I681" i="5"/>
  <c r="K681" i="5" s="1"/>
  <c r="I54" i="5"/>
  <c r="K54" i="5" s="1"/>
  <c r="I596" i="5"/>
  <c r="K596" i="5" s="1"/>
  <c r="I2" i="5"/>
  <c r="K2" i="5" s="1"/>
  <c r="I666" i="5"/>
  <c r="K666" i="5" s="1"/>
  <c r="I38" i="5"/>
  <c r="K38" i="5" s="1"/>
  <c r="I146" i="5"/>
  <c r="K146" i="5" s="1"/>
  <c r="I734" i="5"/>
  <c r="K734" i="5" s="1"/>
  <c r="I261" i="5"/>
  <c r="K261" i="5" s="1"/>
  <c r="I174" i="5"/>
  <c r="K174" i="5" s="1"/>
  <c r="I423" i="5"/>
  <c r="K423" i="5" s="1"/>
  <c r="I468" i="5"/>
  <c r="K468" i="5" s="1"/>
  <c r="I300" i="5"/>
  <c r="K300" i="5" s="1"/>
  <c r="I326" i="5"/>
  <c r="K326" i="5" s="1"/>
  <c r="I176" i="5"/>
  <c r="K176" i="5" s="1"/>
  <c r="I515" i="5"/>
  <c r="K515" i="5" s="1"/>
  <c r="I150" i="5"/>
  <c r="K150" i="5" s="1"/>
  <c r="I373" i="5"/>
  <c r="K373" i="5" s="1"/>
  <c r="I444" i="5"/>
  <c r="K444" i="5" s="1"/>
  <c r="I169" i="5"/>
  <c r="K169" i="5" s="1"/>
  <c r="I632" i="5"/>
  <c r="K632" i="5" s="1"/>
  <c r="I67" i="5"/>
  <c r="K67" i="5" s="1"/>
  <c r="I330" i="5"/>
  <c r="K330" i="5" s="1"/>
  <c r="I296" i="5"/>
  <c r="K296" i="5" s="1"/>
  <c r="I559" i="5"/>
  <c r="K559" i="5" s="1"/>
  <c r="I163" i="5"/>
  <c r="K163" i="5" s="1"/>
  <c r="I546" i="5"/>
  <c r="K546" i="5" s="1"/>
  <c r="I627" i="5"/>
  <c r="K627" i="5" s="1"/>
  <c r="I765" i="5"/>
  <c r="K765" i="5" s="1"/>
  <c r="I157" i="5"/>
  <c r="K157" i="5" s="1"/>
  <c r="I685" i="5"/>
  <c r="K685" i="5" s="1"/>
  <c r="I544" i="5"/>
  <c r="K544" i="5" s="1"/>
  <c r="I792" i="5"/>
  <c r="K792" i="5" s="1"/>
  <c r="I364" i="5"/>
  <c r="K364" i="5" s="1"/>
  <c r="I26" i="5"/>
  <c r="K26" i="5" s="1"/>
  <c r="I507" i="5"/>
  <c r="K507" i="5" s="1"/>
  <c r="I366" i="5"/>
  <c r="K366" i="5" s="1"/>
  <c r="I269" i="5"/>
  <c r="K269" i="5" s="1"/>
  <c r="I743" i="5"/>
  <c r="K743" i="5" s="1"/>
  <c r="I6" i="5"/>
  <c r="K6" i="5" s="1"/>
  <c r="I8" i="5"/>
  <c r="K8" i="5" s="1"/>
  <c r="I345" i="5"/>
  <c r="K345" i="5" s="1"/>
  <c r="I358" i="5"/>
  <c r="K358" i="5" s="1"/>
  <c r="I83" i="5"/>
  <c r="K83" i="5" s="1"/>
  <c r="I272" i="5"/>
  <c r="K272" i="5" s="1"/>
  <c r="I775" i="5"/>
  <c r="K775" i="5" s="1"/>
  <c r="I785" i="5"/>
  <c r="K785" i="5" s="1"/>
  <c r="I370" i="5"/>
  <c r="K370" i="5" s="1"/>
  <c r="I288" i="5"/>
  <c r="K288" i="5" s="1"/>
  <c r="I361" i="5"/>
  <c r="K361" i="5" s="1"/>
  <c r="I44" i="5"/>
  <c r="K44" i="5" s="1"/>
  <c r="I389" i="5"/>
  <c r="K389" i="5" s="1"/>
  <c r="H19" i="9"/>
  <c r="I292" i="5"/>
  <c r="K292" i="5" s="1"/>
  <c r="I121" i="5"/>
  <c r="K121" i="5" s="1"/>
  <c r="I41" i="5"/>
  <c r="K41" i="5" s="1"/>
  <c r="I338" i="5"/>
  <c r="K338" i="5" s="1"/>
  <c r="I21" i="5"/>
  <c r="K21" i="5" s="1"/>
  <c r="I690" i="5"/>
  <c r="K690" i="5" s="1"/>
  <c r="I483" i="5"/>
  <c r="K483" i="5" s="1"/>
  <c r="I50" i="5"/>
  <c r="K50" i="5" s="1"/>
  <c r="I247" i="5"/>
  <c r="K247" i="5" s="1"/>
  <c r="I267" i="5"/>
  <c r="K267" i="5" s="1"/>
  <c r="I19" i="5"/>
  <c r="K19" i="5" s="1"/>
  <c r="I393" i="5"/>
  <c r="K393" i="5" s="1"/>
  <c r="I557" i="5"/>
  <c r="K557" i="5" s="1"/>
  <c r="I129" i="5"/>
  <c r="K129" i="5" s="1"/>
  <c r="I165" i="5"/>
  <c r="K165" i="5" s="1"/>
  <c r="I617" i="5"/>
  <c r="K617" i="5" s="1"/>
  <c r="I362" i="5"/>
  <c r="K362" i="5" s="1"/>
  <c r="I501" i="5"/>
  <c r="K501" i="5" s="1"/>
  <c r="I262" i="5"/>
  <c r="K262" i="5" s="1"/>
  <c r="I336" i="5"/>
  <c r="K336" i="5" s="1"/>
  <c r="I239" i="5"/>
  <c r="K239" i="5" s="1"/>
  <c r="H15" i="9"/>
  <c r="H32" i="9"/>
  <c r="H18" i="9"/>
  <c r="H26" i="9"/>
  <c r="I63" i="5"/>
  <c r="K63" i="5" s="1"/>
  <c r="I738" i="5"/>
  <c r="K738" i="5" s="1"/>
  <c r="I556" i="5"/>
  <c r="K556" i="5" s="1"/>
  <c r="I553" i="5"/>
  <c r="K553" i="5" s="1"/>
  <c r="H40" i="9"/>
  <c r="H11" i="9"/>
  <c r="H12" i="9"/>
  <c r="I547" i="5"/>
  <c r="K547" i="5" s="1"/>
  <c r="H14" i="9"/>
  <c r="H35" i="9"/>
  <c r="I103" i="5"/>
  <c r="K103" i="5" s="1"/>
  <c r="I353" i="5"/>
  <c r="K353" i="5" s="1"/>
  <c r="H33" i="9"/>
  <c r="H9" i="9"/>
  <c r="H22" i="9"/>
  <c r="I93" i="5"/>
  <c r="K93" i="5" s="1"/>
  <c r="H8" i="9"/>
  <c r="I115" i="5"/>
  <c r="K115" i="5" s="1"/>
  <c r="I531" i="5"/>
  <c r="K531" i="5" s="1"/>
  <c r="I327" i="5"/>
  <c r="K327" i="5" s="1"/>
  <c r="I607" i="5"/>
  <c r="K607" i="5" s="1"/>
  <c r="I523" i="5"/>
  <c r="K523" i="5" s="1"/>
  <c r="I22" i="5"/>
  <c r="K22" i="5" s="1"/>
  <c r="H10" i="9"/>
  <c r="H27" i="9"/>
  <c r="H25" i="9"/>
  <c r="I623" i="5"/>
  <c r="K623" i="5" s="1"/>
  <c r="I96" i="5"/>
  <c r="K96" i="5" s="1"/>
  <c r="H31" i="9"/>
  <c r="I35" i="5"/>
  <c r="K35" i="5" s="1"/>
  <c r="H36" i="9"/>
  <c r="H29" i="9"/>
  <c r="H34" i="9"/>
  <c r="I24" i="5"/>
  <c r="K24" i="5" s="1"/>
  <c r="H17" i="9"/>
  <c r="H37" i="9"/>
  <c r="H20" i="9"/>
  <c r="I18" i="5"/>
  <c r="K18" i="5" s="1"/>
  <c r="I278" i="5"/>
  <c r="K278" i="5" s="1"/>
  <c r="I217" i="5"/>
  <c r="K217" i="5" s="1"/>
  <c r="I328" i="5"/>
  <c r="K328" i="5" s="1"/>
  <c r="H3" i="9"/>
  <c r="H4" i="9"/>
  <c r="H38" i="9"/>
  <c r="I709" i="5"/>
  <c r="K709" i="5" s="1"/>
  <c r="I613" i="5"/>
  <c r="K613" i="5" s="1"/>
  <c r="I349" i="5"/>
  <c r="K349" i="5" s="1"/>
  <c r="I762" i="5"/>
  <c r="K762" i="5" s="1"/>
  <c r="I717" i="5"/>
  <c r="K717" i="5" s="1"/>
  <c r="H7" i="9"/>
  <c r="I257" i="5"/>
  <c r="K257" i="5" s="1"/>
  <c r="I783" i="5"/>
  <c r="K783" i="5" s="1"/>
  <c r="H16" i="9"/>
  <c r="H28" i="9"/>
  <c r="H23" i="9"/>
  <c r="I699" i="5"/>
  <c r="K699" i="5" s="1"/>
  <c r="I671" i="5"/>
  <c r="K671" i="5" s="1"/>
  <c r="H41" i="9"/>
  <c r="I57" i="5"/>
  <c r="K57" i="5" s="1"/>
  <c r="H5" i="9"/>
  <c r="H6" i="9"/>
  <c r="H39" i="9"/>
  <c r="H24" i="9"/>
  <c r="H30" i="9"/>
  <c r="H21" i="9"/>
  <c r="N541" i="5" l="1"/>
  <c r="U541" i="5" s="1"/>
  <c r="N302" i="5"/>
  <c r="AA302" i="5" s="1"/>
  <c r="N409" i="5"/>
  <c r="T409" i="5" s="1"/>
  <c r="N538" i="5"/>
  <c r="Z538" i="5" s="1"/>
  <c r="N324" i="5"/>
  <c r="AA324" i="5" s="1"/>
  <c r="N325" i="5"/>
  <c r="AA325" i="5" s="1"/>
  <c r="N539" i="5"/>
  <c r="Z539" i="5" s="1"/>
  <c r="N543" i="5"/>
  <c r="U543" i="5" s="1"/>
  <c r="N542" i="5"/>
  <c r="Z542" i="5" s="1"/>
  <c r="N410" i="5"/>
  <c r="T410" i="5" s="1"/>
  <c r="N540" i="5"/>
  <c r="N303" i="5"/>
  <c r="AA303" i="5" s="1"/>
  <c r="N784" i="5"/>
  <c r="Z784" i="5" s="1"/>
  <c r="T542" i="5"/>
  <c r="U542" i="5"/>
  <c r="T543" i="5"/>
  <c r="T302" i="5"/>
  <c r="Z302" i="5"/>
  <c r="U302" i="5"/>
  <c r="U325" i="5"/>
  <c r="Z325" i="5"/>
  <c r="I492" i="5"/>
  <c r="K492" i="5" s="1"/>
  <c r="I489" i="5"/>
  <c r="K489" i="5" s="1"/>
  <c r="I474" i="5"/>
  <c r="K474" i="5" s="1"/>
  <c r="I499" i="5"/>
  <c r="K499" i="5" s="1"/>
  <c r="I466" i="5"/>
  <c r="K466" i="5" s="1"/>
  <c r="I437" i="5"/>
  <c r="K437" i="5" s="1"/>
  <c r="I432" i="5"/>
  <c r="K432" i="5" s="1"/>
  <c r="I458" i="5"/>
  <c r="K458" i="5" s="1"/>
  <c r="I497" i="5"/>
  <c r="K497" i="5" s="1"/>
  <c r="I540" i="5"/>
  <c r="K540" i="5" s="1"/>
  <c r="I421" i="5"/>
  <c r="K421" i="5" s="1"/>
  <c r="I427" i="5"/>
  <c r="K427" i="5" s="1"/>
  <c r="I442" i="5"/>
  <c r="K442" i="5" s="1"/>
  <c r="I450" i="5"/>
  <c r="K450" i="5" s="1"/>
  <c r="T324" i="5"/>
  <c r="Z324" i="5"/>
  <c r="T303" i="5"/>
  <c r="J113" i="9"/>
  <c r="J135" i="9"/>
  <c r="J142" i="9"/>
  <c r="J131" i="9"/>
  <c r="J137" i="9"/>
  <c r="J143" i="9"/>
  <c r="J136" i="9"/>
  <c r="J151" i="9"/>
  <c r="J123" i="9"/>
  <c r="J124" i="9"/>
  <c r="J140" i="9"/>
  <c r="J125" i="9"/>
  <c r="J150" i="9"/>
  <c r="J148" i="9"/>
  <c r="J141" i="9"/>
  <c r="J139" i="9"/>
  <c r="J119" i="9"/>
  <c r="J147" i="9"/>
  <c r="J127" i="9"/>
  <c r="J122" i="9"/>
  <c r="J114" i="9"/>
  <c r="J126" i="9"/>
  <c r="J134" i="9"/>
  <c r="J133" i="9"/>
  <c r="J118" i="9"/>
  <c r="J144" i="9"/>
  <c r="J116" i="9"/>
  <c r="J146" i="9"/>
  <c r="J117" i="9"/>
  <c r="J130" i="9"/>
  <c r="J128" i="9"/>
  <c r="J149" i="9"/>
  <c r="J138" i="9"/>
  <c r="J120" i="9"/>
  <c r="J132" i="9"/>
  <c r="J145" i="9"/>
  <c r="J121" i="9"/>
  <c r="J115" i="9"/>
  <c r="J129" i="9"/>
  <c r="L128" i="9"/>
  <c r="L139" i="9"/>
  <c r="L130" i="9"/>
  <c r="L127" i="9"/>
  <c r="L126" i="9"/>
  <c r="L132" i="9"/>
  <c r="L120" i="9"/>
  <c r="L135" i="9"/>
  <c r="L129" i="9"/>
  <c r="L123" i="9"/>
  <c r="L117" i="9"/>
  <c r="L114" i="9"/>
  <c r="L116" i="9"/>
  <c r="L133" i="9"/>
  <c r="L124" i="9"/>
  <c r="L113" i="9"/>
  <c r="L122" i="9"/>
  <c r="L119" i="9"/>
  <c r="L148" i="9"/>
  <c r="L150" i="9"/>
  <c r="L121" i="9"/>
  <c r="L141" i="9"/>
  <c r="L146" i="9"/>
  <c r="L137" i="9"/>
  <c r="L140" i="9"/>
  <c r="L115" i="9"/>
  <c r="L125" i="9"/>
  <c r="L131" i="9"/>
  <c r="L145" i="9"/>
  <c r="L118" i="9"/>
  <c r="L143" i="9"/>
  <c r="L136" i="9"/>
  <c r="L151" i="9"/>
  <c r="L134" i="9"/>
  <c r="L149" i="9"/>
  <c r="L147" i="9"/>
  <c r="L144" i="9"/>
  <c r="L138" i="9"/>
  <c r="L142" i="9"/>
  <c r="K121" i="9"/>
  <c r="K148" i="9"/>
  <c r="K155" i="9"/>
  <c r="K153" i="9"/>
  <c r="K143" i="9"/>
  <c r="K126" i="9"/>
  <c r="K123" i="9"/>
  <c r="K154" i="9"/>
  <c r="K113" i="9"/>
  <c r="K151" i="9"/>
  <c r="K161" i="9"/>
  <c r="K133" i="9"/>
  <c r="K120" i="9"/>
  <c r="K140" i="9"/>
  <c r="K136" i="9"/>
  <c r="K164" i="9"/>
  <c r="K147" i="9"/>
  <c r="K156" i="9"/>
  <c r="K157" i="9"/>
  <c r="K115" i="9"/>
  <c r="K144" i="9"/>
  <c r="K146" i="9"/>
  <c r="K149" i="9"/>
  <c r="K142" i="9"/>
  <c r="K162" i="9"/>
  <c r="K116" i="9"/>
  <c r="K130" i="9"/>
  <c r="K119" i="9"/>
  <c r="K137" i="9"/>
  <c r="K135" i="9"/>
  <c r="K163" i="9"/>
  <c r="K128" i="9"/>
  <c r="K132" i="9"/>
  <c r="K124" i="9"/>
  <c r="K145" i="9"/>
  <c r="K138" i="9"/>
  <c r="K117" i="9"/>
  <c r="K125" i="9"/>
  <c r="K118" i="9"/>
  <c r="K114" i="9"/>
  <c r="K129" i="9"/>
  <c r="K159" i="9"/>
  <c r="K134" i="9"/>
  <c r="K141" i="9"/>
  <c r="K127" i="9"/>
  <c r="K152" i="9"/>
  <c r="K160" i="9"/>
  <c r="K131" i="9"/>
  <c r="K122" i="9"/>
  <c r="K150" i="9"/>
  <c r="K139" i="9"/>
  <c r="K158" i="9"/>
  <c r="M133" i="9"/>
  <c r="M131" i="9"/>
  <c r="M139" i="9"/>
  <c r="M124" i="9"/>
  <c r="M140" i="9"/>
  <c r="M129" i="9"/>
  <c r="M113" i="9"/>
  <c r="M143" i="9"/>
  <c r="M150" i="9"/>
  <c r="M138" i="9"/>
  <c r="M137" i="9"/>
  <c r="M142" i="9"/>
  <c r="M132" i="9"/>
  <c r="M135" i="9"/>
  <c r="M126" i="9"/>
  <c r="M121" i="9"/>
  <c r="M146" i="9"/>
  <c r="M149" i="9"/>
  <c r="M114" i="9"/>
  <c r="M145" i="9"/>
  <c r="M148" i="9"/>
  <c r="M125" i="9"/>
  <c r="M119" i="9"/>
  <c r="M118" i="9"/>
  <c r="M123" i="9"/>
  <c r="M130" i="9"/>
  <c r="M127" i="9"/>
  <c r="M147" i="9"/>
  <c r="M128" i="9"/>
  <c r="M141" i="9"/>
  <c r="M117" i="9"/>
  <c r="M144" i="9"/>
  <c r="M116" i="9"/>
  <c r="M122" i="9"/>
  <c r="M136" i="9"/>
  <c r="M120" i="9"/>
  <c r="M134" i="9"/>
  <c r="M115" i="9"/>
  <c r="M151" i="9"/>
  <c r="N164" i="9"/>
  <c r="N160" i="9"/>
  <c r="N155" i="9"/>
  <c r="N152" i="9"/>
  <c r="N156" i="9"/>
  <c r="N153" i="9"/>
  <c r="N154" i="9"/>
  <c r="N162" i="9"/>
  <c r="N157" i="9"/>
  <c r="N163" i="9"/>
  <c r="N161" i="9"/>
  <c r="N159" i="9"/>
  <c r="N158" i="9"/>
  <c r="I141" i="9"/>
  <c r="I138" i="9"/>
  <c r="I140" i="9"/>
  <c r="I151" i="9"/>
  <c r="I120" i="9"/>
  <c r="I152" i="9"/>
  <c r="I117" i="9"/>
  <c r="I127" i="9"/>
  <c r="I149" i="9"/>
  <c r="I115" i="9"/>
  <c r="I133" i="9"/>
  <c r="I130" i="9"/>
  <c r="I144" i="9"/>
  <c r="I136" i="9"/>
  <c r="I122" i="9"/>
  <c r="I113" i="9"/>
  <c r="I160" i="9"/>
  <c r="I157" i="9"/>
  <c r="I163" i="9"/>
  <c r="I123" i="9"/>
  <c r="I137" i="9"/>
  <c r="I125" i="9"/>
  <c r="I142" i="9"/>
  <c r="I148" i="9"/>
  <c r="I162" i="9"/>
  <c r="I128" i="9"/>
  <c r="I159" i="9"/>
  <c r="I153" i="9"/>
  <c r="I145" i="9"/>
  <c r="I156" i="9"/>
  <c r="I116" i="9"/>
  <c r="I124" i="9"/>
  <c r="I161" i="9"/>
  <c r="I155" i="9"/>
  <c r="I135" i="9"/>
  <c r="I121" i="9"/>
  <c r="I134" i="9"/>
  <c r="I119" i="9"/>
  <c r="I126" i="9"/>
  <c r="I147" i="9"/>
  <c r="I150" i="9"/>
  <c r="I129" i="9"/>
  <c r="I143" i="9"/>
  <c r="I164" i="9"/>
  <c r="I154" i="9"/>
  <c r="I139" i="9"/>
  <c r="I158" i="9"/>
  <c r="I132" i="9"/>
  <c r="I131" i="9"/>
  <c r="I118" i="9"/>
  <c r="I146" i="9"/>
  <c r="I114" i="9"/>
  <c r="I221" i="5"/>
  <c r="K221" i="5" s="1"/>
  <c r="I28" i="5"/>
  <c r="K28" i="5" s="1"/>
  <c r="I22" i="9"/>
  <c r="I18" i="9"/>
  <c r="I17" i="9"/>
  <c r="I25" i="9"/>
  <c r="I7" i="9"/>
  <c r="I19" i="9"/>
  <c r="I797" i="5"/>
  <c r="K797" i="5" s="1"/>
  <c r="I360" i="5"/>
  <c r="K360" i="5" s="1"/>
  <c r="I3" i="5"/>
  <c r="K3" i="5" s="1"/>
  <c r="I53" i="5"/>
  <c r="K53" i="5" s="1"/>
  <c r="I33" i="9"/>
  <c r="I35" i="9"/>
  <c r="I39" i="5"/>
  <c r="K39" i="5" s="1"/>
  <c r="I299" i="5"/>
  <c r="K299" i="5" s="1"/>
  <c r="I16" i="9"/>
  <c r="I4" i="9"/>
  <c r="I23" i="9"/>
  <c r="I41" i="9"/>
  <c r="I20" i="9"/>
  <c r="I31" i="5"/>
  <c r="K31" i="5" s="1"/>
  <c r="K214" i="5"/>
  <c r="I40" i="9"/>
  <c r="I3" i="9"/>
  <c r="I215" i="5"/>
  <c r="I37" i="9"/>
  <c r="I27" i="9"/>
  <c r="I21" i="9"/>
  <c r="I30" i="9"/>
  <c r="I24" i="9"/>
  <c r="I61" i="5"/>
  <c r="K61" i="5" s="1"/>
  <c r="I43" i="9"/>
  <c r="I42" i="9"/>
  <c r="I54" i="9"/>
  <c r="I52" i="9"/>
  <c r="I48" i="9"/>
  <c r="I53" i="9"/>
  <c r="I50" i="9"/>
  <c r="I44" i="9"/>
  <c r="I46" i="9"/>
  <c r="I47" i="9"/>
  <c r="I51" i="9"/>
  <c r="I45" i="9"/>
  <c r="I49" i="9"/>
  <c r="I17" i="5"/>
  <c r="K17" i="5" s="1"/>
  <c r="I28" i="9"/>
  <c r="I29" i="9"/>
  <c r="I5" i="9"/>
  <c r="I55" i="5"/>
  <c r="K55" i="5" s="1"/>
  <c r="I34" i="9"/>
  <c r="I45" i="5"/>
  <c r="K45" i="5" s="1"/>
  <c r="I36" i="9"/>
  <c r="I332" i="5"/>
  <c r="K332" i="5" s="1"/>
  <c r="I38" i="9"/>
  <c r="I8" i="9"/>
  <c r="I813" i="5"/>
  <c r="K813" i="5" s="1"/>
  <c r="I26" i="9"/>
  <c r="I182" i="5"/>
  <c r="K182" i="5" s="1"/>
  <c r="I786" i="5"/>
  <c r="K786" i="5" s="1"/>
  <c r="I187" i="5"/>
  <c r="K187" i="5" s="1"/>
  <c r="I9" i="9"/>
  <c r="I42" i="5"/>
  <c r="K42" i="5" s="1"/>
  <c r="I13" i="9"/>
  <c r="I39" i="9"/>
  <c r="I15" i="9"/>
  <c r="I127" i="5"/>
  <c r="K127" i="5" s="1"/>
  <c r="I11" i="9"/>
  <c r="I6" i="9"/>
  <c r="I32" i="9"/>
  <c r="I31" i="9"/>
  <c r="I14" i="9"/>
  <c r="I77" i="5"/>
  <c r="K77" i="5" s="1"/>
  <c r="I10" i="9"/>
  <c r="I774" i="5"/>
  <c r="K774" i="5" s="1"/>
  <c r="I344" i="5"/>
  <c r="K344" i="5" s="1"/>
  <c r="I12" i="9"/>
  <c r="I563" i="5"/>
  <c r="K563" i="5" s="1"/>
  <c r="I143" i="5"/>
  <c r="K143" i="5" s="1"/>
  <c r="K46" i="9"/>
  <c r="K44" i="9"/>
  <c r="K51" i="9"/>
  <c r="K54" i="9"/>
  <c r="K43" i="9"/>
  <c r="K42" i="9"/>
  <c r="K47" i="9"/>
  <c r="K49" i="9"/>
  <c r="K45" i="9"/>
  <c r="K52" i="9"/>
  <c r="K48" i="9"/>
  <c r="K50" i="9"/>
  <c r="K53" i="9"/>
  <c r="N51" i="9"/>
  <c r="N53" i="9"/>
  <c r="N44" i="9"/>
  <c r="N54" i="9"/>
  <c r="N43" i="9"/>
  <c r="N45" i="9"/>
  <c r="N46" i="9"/>
  <c r="N48" i="9"/>
  <c r="N50" i="9"/>
  <c r="N42" i="9"/>
  <c r="N49" i="9"/>
  <c r="N47" i="9"/>
  <c r="N52" i="9"/>
  <c r="K281" i="5"/>
  <c r="K286" i="5"/>
  <c r="K283" i="5"/>
  <c r="K36" i="5"/>
  <c r="Z656" i="18"/>
  <c r="AA145" i="18"/>
  <c r="Z43" i="18"/>
  <c r="Z263" i="18"/>
  <c r="Z612" i="18"/>
  <c r="Z107" i="18"/>
  <c r="AA215" i="18"/>
  <c r="Z280" i="18"/>
  <c r="AA492" i="18"/>
  <c r="AA717" i="18"/>
  <c r="AA522" i="18"/>
  <c r="AA648" i="18"/>
  <c r="Z811" i="18"/>
  <c r="Z750" i="18"/>
  <c r="Z664" i="18"/>
  <c r="Z93" i="18"/>
  <c r="AA461" i="18"/>
  <c r="Z179" i="18"/>
  <c r="AA547" i="18"/>
  <c r="AA417" i="18"/>
  <c r="Z764" i="18"/>
  <c r="Z813" i="18"/>
  <c r="Z176" i="18"/>
  <c r="Z144" i="18"/>
  <c r="Z783" i="18"/>
  <c r="AA490" i="18"/>
  <c r="AA12" i="18"/>
  <c r="AA11" i="18"/>
  <c r="AA198" i="18"/>
  <c r="AA423" i="18"/>
  <c r="Z202" i="18"/>
  <c r="AA804" i="18"/>
  <c r="AA150" i="18"/>
  <c r="Z720" i="18"/>
  <c r="AA321" i="18"/>
  <c r="AA420" i="18"/>
  <c r="AA776" i="18"/>
  <c r="AA488" i="18"/>
  <c r="Z734" i="18"/>
  <c r="Z59" i="18"/>
  <c r="Z678" i="18"/>
  <c r="Z92" i="18"/>
  <c r="Z610" i="18"/>
  <c r="Z7" i="18"/>
  <c r="AA21" i="18"/>
  <c r="AA424" i="18"/>
  <c r="AA806" i="18"/>
  <c r="Z557" i="18"/>
  <c r="Z677" i="18"/>
  <c r="AA475" i="18"/>
  <c r="Z418" i="18"/>
  <c r="Z166" i="18"/>
  <c r="AA140" i="18"/>
  <c r="AA722" i="18"/>
  <c r="AA291" i="18"/>
  <c r="Z730" i="18"/>
  <c r="AA362" i="18"/>
  <c r="Z193" i="18"/>
  <c r="AA485" i="18"/>
  <c r="Z376" i="18"/>
  <c r="AA369" i="18"/>
  <c r="AA255" i="18"/>
  <c r="Z452" i="18"/>
  <c r="Z647" i="18"/>
  <c r="AA213" i="18"/>
  <c r="AA69" i="18"/>
  <c r="Z766" i="18"/>
  <c r="Z625" i="18"/>
  <c r="AA512" i="18"/>
  <c r="Z574" i="18"/>
  <c r="Z564" i="18"/>
  <c r="Z298" i="18"/>
  <c r="Z18" i="18"/>
  <c r="AA147" i="18"/>
  <c r="Z283" i="18"/>
  <c r="Z733" i="18"/>
  <c r="Z607" i="18"/>
  <c r="AA640" i="18"/>
  <c r="Z529" i="18"/>
  <c r="Z320" i="18"/>
  <c r="AA113" i="18"/>
  <c r="Z754" i="18"/>
  <c r="AA532" i="18"/>
  <c r="AA477" i="18"/>
  <c r="AA630" i="18"/>
  <c r="AA615" i="18"/>
  <c r="AA387" i="18"/>
  <c r="Z761" i="18"/>
  <c r="AA770" i="18"/>
  <c r="AA481" i="18"/>
  <c r="AA76" i="18"/>
  <c r="Z332" i="18"/>
  <c r="Z299" i="18"/>
  <c r="Z61" i="18"/>
  <c r="Z338" i="18"/>
  <c r="Z157" i="18"/>
  <c r="Z724" i="18"/>
  <c r="Z458" i="18"/>
  <c r="AA439" i="18"/>
  <c r="Z464" i="18"/>
  <c r="Z727" i="18"/>
  <c r="AA8" i="18"/>
  <c r="Z752" i="18"/>
  <c r="Z517" i="18"/>
  <c r="Z683" i="18"/>
  <c r="AA120" i="18"/>
  <c r="Z329" i="18"/>
  <c r="Z818" i="18"/>
  <c r="Z560" i="18"/>
  <c r="AA33" i="18"/>
  <c r="Z680" i="18"/>
  <c r="AA399" i="18"/>
  <c r="AA127" i="18"/>
  <c r="AA135" i="18"/>
  <c r="AA209" i="18"/>
  <c r="AA643" i="18"/>
  <c r="Z393" i="18"/>
  <c r="AA355" i="18"/>
  <c r="AA767" i="18"/>
  <c r="AA112" i="18"/>
  <c r="Z674" i="18"/>
  <c r="AA598" i="18"/>
  <c r="AA434" i="18"/>
  <c r="AA266" i="18"/>
  <c r="Z736" i="18"/>
  <c r="AA597" i="18"/>
  <c r="Z679" i="18"/>
  <c r="AA262" i="18"/>
  <c r="AA348" i="18"/>
  <c r="AA25" i="18"/>
  <c r="Z759" i="18"/>
  <c r="AA301" i="18"/>
  <c r="Z349" i="18"/>
  <c r="Z786" i="18"/>
  <c r="AA220" i="18"/>
  <c r="Z595" i="18"/>
  <c r="Z642" i="18"/>
  <c r="AA554" i="18"/>
  <c r="AA800" i="18"/>
  <c r="AA693" i="18"/>
  <c r="AA655" i="18"/>
  <c r="AA739" i="18"/>
  <c r="AA521" i="18"/>
  <c r="AA126" i="18"/>
  <c r="AA247" i="18"/>
  <c r="Z603" i="18"/>
  <c r="Z242" i="18"/>
  <c r="Z91" i="18"/>
  <c r="Z698" i="18"/>
  <c r="AA732" i="18"/>
  <c r="Z103" i="18"/>
  <c r="AA567" i="18"/>
  <c r="Z26" i="18"/>
  <c r="AA661" i="18"/>
  <c r="AA143" i="18"/>
  <c r="Z760" i="18"/>
  <c r="AA684" i="18"/>
  <c r="Z802" i="18"/>
  <c r="Z37" i="18"/>
  <c r="AA425" i="18"/>
  <c r="Z583" i="18"/>
  <c r="AA146" i="18"/>
  <c r="AA626" i="18"/>
  <c r="AA623" i="18"/>
  <c r="Z330" i="18"/>
  <c r="Z617" i="18"/>
  <c r="Z745" i="18"/>
  <c r="AA186" i="18"/>
  <c r="AA94" i="18"/>
  <c r="AA444" i="18"/>
  <c r="Z632" i="18"/>
  <c r="AA440" i="18"/>
  <c r="AA105" i="18"/>
  <c r="Z363" i="18"/>
  <c r="Z620" i="18"/>
  <c r="AA792" i="18"/>
  <c r="AA438" i="18"/>
  <c r="Z690" i="18"/>
  <c r="Z432" i="18"/>
  <c r="AA483" i="18"/>
  <c r="AA791" i="18"/>
  <c r="Z468" i="18"/>
  <c r="AA687" i="18"/>
  <c r="Z653" i="18"/>
  <c r="AA334" i="18"/>
  <c r="Z214" i="18"/>
  <c r="AA815" i="18"/>
  <c r="AA747" i="18"/>
  <c r="Z737" i="18"/>
  <c r="Z689" i="18"/>
  <c r="Z252" i="18"/>
  <c r="AA459" i="18"/>
  <c r="Z682" i="18"/>
  <c r="AA774" i="18"/>
  <c r="AA798" i="18"/>
  <c r="Z292" i="18"/>
  <c r="AA66" i="18"/>
  <c r="AA63" i="18"/>
  <c r="Z279" i="18"/>
  <c r="Z672" i="18"/>
  <c r="Z32" i="18"/>
  <c r="AA758" i="18"/>
  <c r="Z264" i="18"/>
  <c r="AA443" i="18"/>
  <c r="AA131" i="18"/>
  <c r="AA297" i="18"/>
  <c r="AA442" i="18"/>
  <c r="AA222" i="18"/>
  <c r="Z659" i="18"/>
  <c r="Z34" i="18"/>
  <c r="AA415" i="18"/>
  <c r="AA741" i="18"/>
  <c r="AA106" i="18"/>
  <c r="AA779" i="18"/>
  <c r="Z28" i="18"/>
  <c r="Z178" i="18"/>
  <c r="Z365" i="18"/>
  <c r="Z389" i="18"/>
  <c r="Z654" i="18"/>
  <c r="AA691" i="18"/>
  <c r="Z487" i="18"/>
  <c r="Z473" i="18"/>
  <c r="AA528" i="18"/>
  <c r="AA85" i="18"/>
  <c r="AA367" i="18"/>
  <c r="Z807" i="18"/>
  <c r="AA55" i="18"/>
  <c r="Z284" i="18"/>
  <c r="AA371" i="18"/>
  <c r="Z52" i="18"/>
  <c r="Z235" i="18"/>
  <c r="AA138" i="18"/>
  <c r="Z688" i="18"/>
  <c r="Z778" i="18"/>
  <c r="Z169" i="18"/>
  <c r="AA134" i="18"/>
  <c r="Z513" i="18"/>
  <c r="AA67" i="18"/>
  <c r="AA366" i="18"/>
  <c r="Z580" i="18"/>
  <c r="AA676" i="18"/>
  <c r="Z273" i="18"/>
  <c r="Z520" i="18"/>
  <c r="AA502" i="18"/>
  <c r="AA27" i="18"/>
  <c r="AA817" i="18"/>
  <c r="Z480" i="18"/>
  <c r="Z795" i="18"/>
  <c r="Z755" i="18"/>
  <c r="Z639" i="18"/>
  <c r="AA16" i="18"/>
  <c r="Z231" i="18"/>
  <c r="Z343" i="18"/>
  <c r="AA44" i="18"/>
  <c r="H88" i="9"/>
  <c r="F65" i="9"/>
  <c r="D79" i="9"/>
  <c r="Z177" i="18"/>
  <c r="Z779" i="18"/>
  <c r="G93" i="9"/>
  <c r="AA285" i="18"/>
  <c r="H68" i="9"/>
  <c r="D77" i="9"/>
  <c r="D86" i="9"/>
  <c r="F86" i="9"/>
  <c r="G73" i="9"/>
  <c r="D63" i="9"/>
  <c r="D81" i="9"/>
  <c r="D88" i="9"/>
  <c r="D96" i="9"/>
  <c r="D95" i="9"/>
  <c r="D75" i="9"/>
  <c r="D73" i="9"/>
  <c r="D82" i="9"/>
  <c r="G95" i="9"/>
  <c r="D93" i="9"/>
  <c r="D92" i="9"/>
  <c r="D84" i="9"/>
  <c r="D90" i="9"/>
  <c r="D70" i="9"/>
  <c r="D69" i="9"/>
  <c r="D72" i="9"/>
  <c r="D85" i="9"/>
  <c r="D64" i="9"/>
  <c r="H93" i="9"/>
  <c r="G65" i="9"/>
  <c r="G89" i="9"/>
  <c r="G58" i="9"/>
  <c r="G67" i="9"/>
  <c r="G80" i="9"/>
  <c r="D78" i="9"/>
  <c r="G79" i="9"/>
  <c r="G72" i="9"/>
  <c r="N61" i="5"/>
  <c r="N60" i="5"/>
  <c r="AA60" i="5" s="1"/>
  <c r="N28" i="5"/>
  <c r="G75" i="9"/>
  <c r="D94" i="9"/>
  <c r="H83" i="9"/>
  <c r="H86" i="9"/>
  <c r="H80" i="9"/>
  <c r="H59" i="9"/>
  <c r="H78" i="9"/>
  <c r="L70" i="9"/>
  <c r="H79" i="9"/>
  <c r="H90" i="9"/>
  <c r="H73" i="9"/>
  <c r="H96" i="9"/>
  <c r="F82" i="9"/>
  <c r="H70" i="9"/>
  <c r="H95" i="9"/>
  <c r="H63" i="9"/>
  <c r="H84" i="9"/>
  <c r="F63" i="9"/>
  <c r="H64" i="9"/>
  <c r="F92" i="9"/>
  <c r="H81" i="9"/>
  <c r="H89" i="9"/>
  <c r="H77" i="9"/>
  <c r="E88" i="9"/>
  <c r="E63" i="9"/>
  <c r="E82" i="9"/>
  <c r="E71" i="9"/>
  <c r="E67" i="9"/>
  <c r="E65" i="9"/>
  <c r="E76" i="9"/>
  <c r="E75" i="9"/>
  <c r="E60" i="9"/>
  <c r="E78" i="9"/>
  <c r="E86" i="9"/>
  <c r="E77" i="9"/>
  <c r="E64" i="9"/>
  <c r="E66" i="9"/>
  <c r="E80" i="9"/>
  <c r="E92" i="9"/>
  <c r="E96" i="9"/>
  <c r="E83" i="9"/>
  <c r="E58" i="9"/>
  <c r="E62" i="9"/>
  <c r="E72" i="9"/>
  <c r="E90" i="9"/>
  <c r="E70" i="9"/>
  <c r="E91" i="9"/>
  <c r="E81" i="9"/>
  <c r="E94" i="9"/>
  <c r="E59" i="9"/>
  <c r="E89" i="9"/>
  <c r="E61" i="9"/>
  <c r="E79" i="9"/>
  <c r="E84" i="9"/>
  <c r="E74" i="9"/>
  <c r="E69" i="9"/>
  <c r="E73" i="9"/>
  <c r="E87" i="9"/>
  <c r="E68" i="9"/>
  <c r="E95" i="9"/>
  <c r="E85" i="9"/>
  <c r="E93" i="9"/>
  <c r="F94" i="9"/>
  <c r="L84" i="9"/>
  <c r="H60" i="9"/>
  <c r="H71" i="9"/>
  <c r="F77" i="9"/>
  <c r="H75" i="9"/>
  <c r="H91" i="9"/>
  <c r="G94" i="9"/>
  <c r="H82" i="9"/>
  <c r="H58" i="9"/>
  <c r="H92" i="9"/>
  <c r="F91" i="9"/>
  <c r="F73" i="9"/>
  <c r="F62" i="9"/>
  <c r="F64" i="9"/>
  <c r="F71" i="9"/>
  <c r="F66" i="9"/>
  <c r="F84" i="9"/>
  <c r="F58" i="9"/>
  <c r="F89" i="9"/>
  <c r="F80" i="9"/>
  <c r="F76" i="9"/>
  <c r="F67" i="9"/>
  <c r="F79" i="9"/>
  <c r="F61" i="9"/>
  <c r="F78" i="9"/>
  <c r="F85" i="9"/>
  <c r="F75" i="9"/>
  <c r="F69" i="9"/>
  <c r="F74" i="9"/>
  <c r="F88" i="9"/>
  <c r="F81" i="9"/>
  <c r="F60" i="9"/>
  <c r="F93" i="9"/>
  <c r="F68" i="9"/>
  <c r="F96" i="9"/>
  <c r="H69" i="9"/>
  <c r="H65" i="9"/>
  <c r="F95" i="9"/>
  <c r="H74" i="9"/>
  <c r="H72" i="9"/>
  <c r="F59" i="9"/>
  <c r="H66" i="9"/>
  <c r="H85" i="9"/>
  <c r="F90" i="9"/>
  <c r="D71" i="9"/>
  <c r="D74" i="9"/>
  <c r="D80" i="9"/>
  <c r="D62" i="9"/>
  <c r="D89" i="9"/>
  <c r="D65" i="9"/>
  <c r="D58" i="9"/>
  <c r="D67" i="9"/>
  <c r="D76" i="9"/>
  <c r="D61" i="9"/>
  <c r="D91" i="9"/>
  <c r="D87" i="9"/>
  <c r="D60" i="9"/>
  <c r="D59" i="9"/>
  <c r="F70" i="9"/>
  <c r="D68" i="9"/>
  <c r="H62" i="9"/>
  <c r="H67" i="9"/>
  <c r="H87" i="9"/>
  <c r="F87" i="9"/>
  <c r="H76" i="9"/>
  <c r="H94" i="9"/>
  <c r="F72" i="9"/>
  <c r="G88" i="9"/>
  <c r="G70" i="9"/>
  <c r="G59" i="9"/>
  <c r="G63" i="9"/>
  <c r="G60" i="9"/>
  <c r="G91" i="9"/>
  <c r="G78" i="9"/>
  <c r="G92" i="9"/>
  <c r="G81" i="9"/>
  <c r="G71" i="9"/>
  <c r="G69" i="9"/>
  <c r="G84" i="9"/>
  <c r="G61" i="9"/>
  <c r="G66" i="9"/>
  <c r="G96" i="9"/>
  <c r="G76" i="9"/>
  <c r="G85" i="9"/>
  <c r="G62" i="9"/>
  <c r="G83" i="9"/>
  <c r="G64" i="9"/>
  <c r="G74" i="9"/>
  <c r="G87" i="9"/>
  <c r="G90" i="9"/>
  <c r="G68" i="9"/>
  <c r="G82" i="9"/>
  <c r="G86" i="9"/>
  <c r="G77" i="9"/>
  <c r="H61" i="9"/>
  <c r="D83" i="9"/>
  <c r="D66" i="9"/>
  <c r="I138" i="5"/>
  <c r="K138" i="5" s="1"/>
  <c r="I350" i="5"/>
  <c r="K350" i="5" s="1"/>
  <c r="I766" i="5"/>
  <c r="K766" i="5" s="1"/>
  <c r="I722" i="5"/>
  <c r="K722" i="5" s="1"/>
  <c r="I494" i="5"/>
  <c r="K494" i="5" s="1"/>
  <c r="I282" i="5"/>
  <c r="I776" i="5"/>
  <c r="K776" i="5" s="1"/>
  <c r="I10" i="5"/>
  <c r="K10" i="5" s="1"/>
  <c r="I413" i="5"/>
  <c r="K413" i="5" s="1"/>
  <c r="I416" i="5"/>
  <c r="K416" i="5" s="1"/>
  <c r="I130" i="5"/>
  <c r="K130" i="5" s="1"/>
  <c r="I728" i="5"/>
  <c r="K728" i="5" s="1"/>
  <c r="I424" i="5"/>
  <c r="K424" i="5" s="1"/>
  <c r="I208" i="5"/>
  <c r="K208" i="5" s="1"/>
  <c r="I241" i="5"/>
  <c r="K241" i="5" s="1"/>
  <c r="I502" i="5"/>
  <c r="K502" i="5" s="1"/>
  <c r="I64" i="5"/>
  <c r="K64" i="5" s="1"/>
  <c r="I434" i="5"/>
  <c r="K434" i="5" s="1"/>
  <c r="I390" i="5"/>
  <c r="K390" i="5" s="1"/>
  <c r="I429" i="5"/>
  <c r="K429" i="5" s="1"/>
  <c r="I233" i="5"/>
  <c r="K233" i="5" s="1"/>
  <c r="I748" i="5"/>
  <c r="K748" i="5" s="1"/>
  <c r="I608" i="5"/>
  <c r="K608" i="5" s="1"/>
  <c r="I479" i="5"/>
  <c r="K479" i="5" s="1"/>
  <c r="L31" i="9"/>
  <c r="I68" i="5"/>
  <c r="K68" i="5" s="1"/>
  <c r="L13" i="9"/>
  <c r="I673" i="5"/>
  <c r="K673" i="5" s="1"/>
  <c r="I123" i="5"/>
  <c r="K123" i="5" s="1"/>
  <c r="I525" i="5"/>
  <c r="K525" i="5" s="1"/>
  <c r="I509" i="5"/>
  <c r="K509" i="5" s="1"/>
  <c r="I249" i="5"/>
  <c r="K249" i="5" s="1"/>
  <c r="L20" i="9"/>
  <c r="L34" i="9"/>
  <c r="L8" i="9"/>
  <c r="I732" i="5"/>
  <c r="K732" i="5" s="1"/>
  <c r="I225" i="5"/>
  <c r="K225" i="5" s="1"/>
  <c r="I488" i="5"/>
  <c r="K488" i="5" s="1"/>
  <c r="I71" i="5"/>
  <c r="K71" i="5" s="1"/>
  <c r="I439" i="5"/>
  <c r="K439" i="5" s="1"/>
  <c r="I533" i="5"/>
  <c r="K533" i="5" s="1"/>
  <c r="L19" i="9"/>
  <c r="I394" i="5"/>
  <c r="K394" i="5" s="1"/>
  <c r="I517" i="5"/>
  <c r="K517" i="5" s="1"/>
  <c r="L24" i="9"/>
  <c r="I604" i="5"/>
  <c r="K604" i="5" s="1"/>
  <c r="L14" i="9"/>
  <c r="L27" i="9"/>
  <c r="I147" i="5"/>
  <c r="K147" i="5" s="1"/>
  <c r="I787" i="5"/>
  <c r="K787" i="5" s="1"/>
  <c r="L3" i="9"/>
  <c r="L5" i="9"/>
  <c r="L25" i="9"/>
  <c r="L9" i="9"/>
  <c r="L4" i="9"/>
  <c r="L23" i="9"/>
  <c r="L12" i="9"/>
  <c r="L32" i="9"/>
  <c r="L16" i="9"/>
  <c r="L17" i="9"/>
  <c r="I476" i="5"/>
  <c r="K476" i="5" s="1"/>
  <c r="L28" i="9"/>
  <c r="L39" i="9"/>
  <c r="L15" i="9"/>
  <c r="L41" i="9"/>
  <c r="L6" i="9"/>
  <c r="I151" i="5"/>
  <c r="K151" i="5" s="1"/>
  <c r="L35" i="9"/>
  <c r="I418" i="5"/>
  <c r="K418" i="5" s="1"/>
  <c r="L18" i="9"/>
  <c r="L40" i="9"/>
  <c r="I491" i="5"/>
  <c r="K491" i="5" s="1"/>
  <c r="L36" i="9"/>
  <c r="L37" i="9"/>
  <c r="L33" i="9"/>
  <c r="L11" i="9"/>
  <c r="L10" i="9"/>
  <c r="L38" i="9"/>
  <c r="L26" i="9"/>
  <c r="L7" i="9"/>
  <c r="L29" i="9"/>
  <c r="L30" i="9"/>
  <c r="L21" i="9"/>
  <c r="L22" i="9"/>
  <c r="I43" i="5"/>
  <c r="K43" i="5" s="1"/>
  <c r="I725" i="5"/>
  <c r="K725" i="5" s="1"/>
  <c r="I663" i="5"/>
  <c r="K663" i="5" s="1"/>
  <c r="I585" i="5"/>
  <c r="K585" i="5" s="1"/>
  <c r="I238" i="5"/>
  <c r="K238" i="5" s="1"/>
  <c r="I773" i="5"/>
  <c r="K773" i="5" s="1"/>
  <c r="I180" i="5"/>
  <c r="K180" i="5" s="1"/>
  <c r="I514" i="5"/>
  <c r="K514" i="5" s="1"/>
  <c r="I703" i="5"/>
  <c r="K703" i="5" s="1"/>
  <c r="I730" i="5"/>
  <c r="K730" i="5" s="1"/>
  <c r="I595" i="5"/>
  <c r="K595" i="5" s="1"/>
  <c r="I135" i="5"/>
  <c r="K135" i="5" s="1"/>
  <c r="I426" i="5"/>
  <c r="K426" i="5" s="1"/>
  <c r="I392" i="5"/>
  <c r="K392" i="5" s="1"/>
  <c r="I126" i="5"/>
  <c r="K126" i="5" s="1"/>
  <c r="I352" i="5"/>
  <c r="K352" i="5" s="1"/>
  <c r="I496" i="5"/>
  <c r="K496" i="5" s="1"/>
  <c r="I780" i="5"/>
  <c r="K780" i="5" s="1"/>
  <c r="I769" i="5"/>
  <c r="K769" i="5" s="1"/>
  <c r="I482" i="5"/>
  <c r="K482" i="5" s="1"/>
  <c r="I280" i="5"/>
  <c r="K280" i="5" s="1"/>
  <c r="M21" i="9"/>
  <c r="M37" i="9"/>
  <c r="I12" i="5"/>
  <c r="K12" i="5" s="1"/>
  <c r="M31" i="9"/>
  <c r="I796" i="5"/>
  <c r="K796" i="5" s="1"/>
  <c r="M19" i="9"/>
  <c r="I689" i="5"/>
  <c r="K689" i="5" s="1"/>
  <c r="M13" i="9"/>
  <c r="I751" i="5"/>
  <c r="K751" i="5" s="1"/>
  <c r="I70" i="5"/>
  <c r="K70" i="5" s="1"/>
  <c r="M23" i="9"/>
  <c r="I478" i="5"/>
  <c r="K478" i="5" s="1"/>
  <c r="I537" i="5"/>
  <c r="K537" i="5" s="1"/>
  <c r="I763" i="5"/>
  <c r="K763" i="5" s="1"/>
  <c r="I779" i="5"/>
  <c r="K779" i="5" s="1"/>
  <c r="I15" i="5"/>
  <c r="K15" i="5" s="1"/>
  <c r="M7" i="9"/>
  <c r="M9" i="9"/>
  <c r="I698" i="5"/>
  <c r="K698" i="5" s="1"/>
  <c r="I789" i="5"/>
  <c r="K789" i="5" s="1"/>
  <c r="I745" i="5"/>
  <c r="K745" i="5" s="1"/>
  <c r="M25" i="9"/>
  <c r="I230" i="5"/>
  <c r="K230" i="5" s="1"/>
  <c r="M17" i="9"/>
  <c r="I246" i="5"/>
  <c r="K246" i="5" s="1"/>
  <c r="I657" i="5"/>
  <c r="K657" i="5" s="1"/>
  <c r="I752" i="5"/>
  <c r="K752" i="5" s="1"/>
  <c r="I331" i="5"/>
  <c r="K331" i="5" s="1"/>
  <c r="I320" i="5"/>
  <c r="K320" i="5" s="1"/>
  <c r="I40" i="5"/>
  <c r="K40" i="5" s="1"/>
  <c r="I66" i="5"/>
  <c r="K66" i="5" s="1"/>
  <c r="M18" i="9"/>
  <c r="I580" i="5"/>
  <c r="K580" i="5" s="1"/>
  <c r="I530" i="5"/>
  <c r="K530" i="5" s="1"/>
  <c r="I142" i="5"/>
  <c r="K142" i="5" s="1"/>
  <c r="M26" i="9"/>
  <c r="M32" i="9"/>
  <c r="I791" i="5"/>
  <c r="K791" i="5" s="1"/>
  <c r="M16" i="9"/>
  <c r="I513" i="5"/>
  <c r="K513" i="5" s="1"/>
  <c r="M34" i="9"/>
  <c r="I737" i="5"/>
  <c r="K737" i="5" s="1"/>
  <c r="I149" i="5"/>
  <c r="K149" i="5" s="1"/>
  <c r="I37" i="5"/>
  <c r="K37" i="5" s="1"/>
  <c r="I222" i="5"/>
  <c r="K222" i="5" s="1"/>
  <c r="M10" i="9"/>
  <c r="I601" i="5"/>
  <c r="K601" i="5" s="1"/>
  <c r="I758" i="5"/>
  <c r="K758" i="5" s="1"/>
  <c r="I205" i="5"/>
  <c r="K205" i="5" s="1"/>
  <c r="I133" i="5"/>
  <c r="K133" i="5" s="1"/>
  <c r="I522" i="5"/>
  <c r="K522" i="5" s="1"/>
  <c r="I213" i="5"/>
  <c r="I153" i="5"/>
  <c r="K153" i="5" s="1"/>
  <c r="M5" i="9"/>
  <c r="I574" i="5"/>
  <c r="K574" i="5" s="1"/>
  <c r="M40" i="9"/>
  <c r="M24" i="9"/>
  <c r="I285" i="5"/>
  <c r="I740" i="5"/>
  <c r="K740" i="5" s="1"/>
  <c r="I693" i="5"/>
  <c r="K693" i="5" s="1"/>
  <c r="I20" i="5"/>
  <c r="K20" i="5" s="1"/>
  <c r="M29" i="9"/>
  <c r="I185" i="5"/>
  <c r="K185" i="5" s="1"/>
  <c r="M22" i="9"/>
  <c r="M11" i="9"/>
  <c r="I746" i="5"/>
  <c r="K746" i="5" s="1"/>
  <c r="M39" i="9"/>
  <c r="I726" i="5"/>
  <c r="K726" i="5" s="1"/>
  <c r="I521" i="5"/>
  <c r="K521" i="5" s="1"/>
  <c r="I428" i="5"/>
  <c r="K428" i="5" s="1"/>
  <c r="M14" i="9"/>
  <c r="M33" i="9"/>
  <c r="I677" i="5"/>
  <c r="K677" i="5" s="1"/>
  <c r="I768" i="5"/>
  <c r="K768" i="5" s="1"/>
  <c r="I529" i="5"/>
  <c r="K529" i="5" s="1"/>
  <c r="M20" i="9"/>
  <c r="M27" i="9"/>
  <c r="I5" i="5"/>
  <c r="K5" i="5" s="1"/>
  <c r="I590" i="5"/>
  <c r="K590" i="5" s="1"/>
  <c r="M12" i="9"/>
  <c r="M4" i="9"/>
  <c r="I506" i="5"/>
  <c r="K506" i="5" s="1"/>
  <c r="M15" i="9"/>
  <c r="M41" i="9"/>
  <c r="M8" i="9"/>
  <c r="M30" i="9"/>
  <c r="I754" i="5"/>
  <c r="K754" i="5" s="1"/>
  <c r="I128" i="5"/>
  <c r="K128" i="5" s="1"/>
  <c r="M3" i="9"/>
  <c r="M36" i="9"/>
  <c r="M6" i="9"/>
  <c r="M28" i="9"/>
  <c r="M38" i="9"/>
  <c r="M35" i="9"/>
  <c r="I139" i="5"/>
  <c r="K139" i="5" s="1"/>
  <c r="I461" i="5"/>
  <c r="K461" i="5" s="1"/>
  <c r="I674" i="5"/>
  <c r="K674" i="5" s="1"/>
  <c r="K35" i="9"/>
  <c r="I794" i="5"/>
  <c r="K794" i="5" s="1"/>
  <c r="K6" i="9"/>
  <c r="I131" i="5"/>
  <c r="K131" i="5" s="1"/>
  <c r="K20" i="9"/>
  <c r="K12" i="9"/>
  <c r="K23" i="9"/>
  <c r="K5" i="9"/>
  <c r="I310" i="5"/>
  <c r="K310" i="5" s="1"/>
  <c r="K8" i="9"/>
  <c r="K31" i="9"/>
  <c r="K34" i="9"/>
  <c r="K16" i="9"/>
  <c r="K21" i="9"/>
  <c r="K41" i="9"/>
  <c r="K9" i="9"/>
  <c r="I145" i="5"/>
  <c r="K145" i="5" s="1"/>
  <c r="K25" i="9"/>
  <c r="I453" i="5"/>
  <c r="K453" i="5" s="1"/>
  <c r="K37" i="9"/>
  <c r="K14" i="9"/>
  <c r="K19" i="9"/>
  <c r="K30" i="9"/>
  <c r="K17" i="9"/>
  <c r="K32" i="9"/>
  <c r="K10" i="9"/>
  <c r="I183" i="5"/>
  <c r="K183" i="5" s="1"/>
  <c r="K22" i="9"/>
  <c r="I178" i="5"/>
  <c r="K178" i="5" s="1"/>
  <c r="K18" i="9"/>
  <c r="K11" i="9"/>
  <c r="K39" i="9"/>
  <c r="K29" i="9"/>
  <c r="K15" i="9"/>
  <c r="K24" i="9"/>
  <c r="K4" i="9"/>
  <c r="I469" i="5"/>
  <c r="K469" i="5" s="1"/>
  <c r="K3" i="9"/>
  <c r="K26" i="9"/>
  <c r="I144" i="5"/>
  <c r="K144" i="5" s="1"/>
  <c r="I445" i="5"/>
  <c r="K445" i="5" s="1"/>
  <c r="I484" i="5"/>
  <c r="K484" i="5" s="1"/>
  <c r="K36" i="9"/>
  <c r="K28" i="9"/>
  <c r="K7" i="9"/>
  <c r="K13" i="9"/>
  <c r="I419" i="5"/>
  <c r="K419" i="5" s="1"/>
  <c r="K40" i="9"/>
  <c r="K38" i="9"/>
  <c r="K33" i="9"/>
  <c r="I777" i="5"/>
  <c r="K777" i="5" s="1"/>
  <c r="K27" i="9"/>
  <c r="I702" i="5"/>
  <c r="K702" i="5" s="1"/>
  <c r="I495" i="5"/>
  <c r="K495" i="5" s="1"/>
  <c r="I662" i="5"/>
  <c r="K662" i="5" s="1"/>
  <c r="I212" i="5"/>
  <c r="I414" i="5"/>
  <c r="K414" i="5" s="1"/>
  <c r="I422" i="5"/>
  <c r="K422" i="5" s="1"/>
  <c r="I433" i="5"/>
  <c r="K433" i="5" s="1"/>
  <c r="I528" i="5"/>
  <c r="K528" i="5" s="1"/>
  <c r="I481" i="5"/>
  <c r="K481" i="5" s="1"/>
  <c r="I65" i="5"/>
  <c r="K65" i="5" s="1"/>
  <c r="I788" i="5"/>
  <c r="K788" i="5" s="1"/>
  <c r="I451" i="5"/>
  <c r="K451" i="5" s="1"/>
  <c r="I676" i="5"/>
  <c r="K676" i="5" s="1"/>
  <c r="I536" i="5"/>
  <c r="K536" i="5" s="1"/>
  <c r="I600" i="5"/>
  <c r="K600" i="5" s="1"/>
  <c r="I493" i="5"/>
  <c r="K493" i="5" s="1"/>
  <c r="I459" i="5"/>
  <c r="K459" i="5" s="1"/>
  <c r="I228" i="5"/>
  <c r="K228" i="5" s="1"/>
  <c r="I589" i="5"/>
  <c r="K589" i="5" s="1"/>
  <c r="I391" i="5"/>
  <c r="K391" i="5" s="1"/>
  <c r="I498" i="5"/>
  <c r="K498" i="5" s="1"/>
  <c r="I500" i="5"/>
  <c r="K500" i="5" s="1"/>
  <c r="I733" i="5"/>
  <c r="K733" i="5" s="1"/>
  <c r="I750" i="5"/>
  <c r="K750" i="5" s="1"/>
  <c r="I475" i="5"/>
  <c r="K475" i="5" s="1"/>
  <c r="I425" i="5"/>
  <c r="K425" i="5" s="1"/>
  <c r="I520" i="5"/>
  <c r="K520" i="5" s="1"/>
  <c r="J36" i="9"/>
  <c r="I443" i="5"/>
  <c r="K443" i="5" s="1"/>
  <c r="J34" i="9"/>
  <c r="J19" i="9"/>
  <c r="J32" i="9"/>
  <c r="I319" i="5"/>
  <c r="K319" i="5" s="1"/>
  <c r="I782" i="5"/>
  <c r="K782" i="5" s="1"/>
  <c r="I512" i="5"/>
  <c r="K512" i="5" s="1"/>
  <c r="I148" i="5"/>
  <c r="K148" i="5" s="1"/>
  <c r="I756" i="5"/>
  <c r="K756" i="5" s="1"/>
  <c r="I767" i="5"/>
  <c r="K767" i="5" s="1"/>
  <c r="I284" i="5"/>
  <c r="I417" i="5"/>
  <c r="K417" i="5" s="1"/>
  <c r="I579" i="5"/>
  <c r="K579" i="5" s="1"/>
  <c r="J9" i="9"/>
  <c r="J28" i="9"/>
  <c r="J24" i="9"/>
  <c r="J4" i="9"/>
  <c r="I692" i="5"/>
  <c r="K692" i="5" s="1"/>
  <c r="J22" i="9"/>
  <c r="I477" i="5"/>
  <c r="K477" i="5" s="1"/>
  <c r="I753" i="5"/>
  <c r="K753" i="5" s="1"/>
  <c r="I351" i="5"/>
  <c r="K351" i="5" s="1"/>
  <c r="I152" i="5"/>
  <c r="K152" i="5" s="1"/>
  <c r="I438" i="5"/>
  <c r="K438" i="5" s="1"/>
  <c r="I252" i="5"/>
  <c r="K252" i="5" s="1"/>
  <c r="J3" i="9"/>
  <c r="J11" i="9"/>
  <c r="I69" i="5"/>
  <c r="K69" i="5" s="1"/>
  <c r="J39" i="9"/>
  <c r="I236" i="5"/>
  <c r="K236" i="5" s="1"/>
  <c r="I505" i="5"/>
  <c r="K505" i="5" s="1"/>
  <c r="I490" i="5"/>
  <c r="K490" i="5" s="1"/>
  <c r="I141" i="5"/>
  <c r="K141" i="5" s="1"/>
  <c r="I778" i="5"/>
  <c r="K778" i="5" s="1"/>
  <c r="J10" i="9"/>
  <c r="I244" i="5"/>
  <c r="K244" i="5" s="1"/>
  <c r="J31" i="9"/>
  <c r="I729" i="5"/>
  <c r="K729" i="5" s="1"/>
  <c r="J25" i="9"/>
  <c r="J20" i="9"/>
  <c r="I772" i="5"/>
  <c r="K772" i="5" s="1"/>
  <c r="J6" i="9"/>
  <c r="I467" i="5"/>
  <c r="K467" i="5" s="1"/>
  <c r="J15" i="9"/>
  <c r="I724" i="5"/>
  <c r="K724" i="5" s="1"/>
  <c r="J30" i="9"/>
  <c r="J26" i="9"/>
  <c r="J18" i="9"/>
  <c r="J33" i="9"/>
  <c r="J8" i="9"/>
  <c r="J7" i="9"/>
  <c r="I395" i="5"/>
  <c r="K395" i="5" s="1"/>
  <c r="J41" i="9"/>
  <c r="J38" i="9"/>
  <c r="J29" i="9"/>
  <c r="J37" i="9"/>
  <c r="J40" i="9"/>
  <c r="J14" i="9"/>
  <c r="J35" i="9"/>
  <c r="I125" i="5"/>
  <c r="K125" i="5" s="1"/>
  <c r="I757" i="5"/>
  <c r="K757" i="5" s="1"/>
  <c r="J17" i="9"/>
  <c r="J16" i="9"/>
  <c r="I7" i="5"/>
  <c r="K7" i="5" s="1"/>
  <c r="J21" i="9"/>
  <c r="J5" i="9"/>
  <c r="J23" i="9"/>
  <c r="J13" i="9"/>
  <c r="J12" i="9"/>
  <c r="J27" i="9"/>
  <c r="N459" i="5"/>
  <c r="N10" i="5"/>
  <c r="N603" i="5"/>
  <c r="AA603" i="5" s="1"/>
  <c r="N45" i="5"/>
  <c r="N660" i="5"/>
  <c r="T660" i="5" s="1"/>
  <c r="N346" i="5"/>
  <c r="T346" i="5" s="1"/>
  <c r="N74" i="5"/>
  <c r="Z74" i="5" s="1"/>
  <c r="N113" i="5"/>
  <c r="T113" i="5" s="1"/>
  <c r="N801" i="5"/>
  <c r="AA801" i="5" s="1"/>
  <c r="N406" i="5"/>
  <c r="Z406" i="5" s="1"/>
  <c r="N796" i="5"/>
  <c r="N749" i="5"/>
  <c r="T749" i="5" s="1"/>
  <c r="N568" i="5"/>
  <c r="U568" i="5" s="1"/>
  <c r="N457" i="5"/>
  <c r="U457" i="5" s="1"/>
  <c r="N32" i="5"/>
  <c r="Z32" i="5" s="1"/>
  <c r="N109" i="5"/>
  <c r="AA109" i="5" s="1"/>
  <c r="N339" i="5"/>
  <c r="T339" i="5" s="1"/>
  <c r="N750" i="5"/>
  <c r="N475" i="5"/>
  <c r="N166" i="5"/>
  <c r="T166" i="5" s="1"/>
  <c r="N171" i="5"/>
  <c r="T171" i="5" s="1"/>
  <c r="N661" i="5"/>
  <c r="T661" i="5" s="1"/>
  <c r="N754" i="5"/>
  <c r="N698" i="5"/>
  <c r="N641" i="5"/>
  <c r="U641" i="5" s="1"/>
  <c r="N230" i="5"/>
  <c r="N553" i="5"/>
  <c r="U553" i="5" s="1"/>
  <c r="N159" i="5"/>
  <c r="AA159" i="5" s="1"/>
  <c r="N507" i="5"/>
  <c r="U507" i="5" s="1"/>
  <c r="N775" i="5"/>
  <c r="T775" i="5" s="1"/>
  <c r="N632" i="5"/>
  <c r="Z632" i="5" s="1"/>
  <c r="N433" i="5"/>
  <c r="N517" i="5"/>
  <c r="N773" i="5"/>
  <c r="N207" i="5"/>
  <c r="Z207" i="5" s="1"/>
  <c r="N761" i="5"/>
  <c r="U761" i="5" s="1"/>
  <c r="N138" i="5"/>
  <c r="N405" i="5"/>
  <c r="U405" i="5" s="1"/>
  <c r="N41" i="5"/>
  <c r="Z41" i="5" s="1"/>
  <c r="N311" i="5"/>
  <c r="Z311" i="5" s="1"/>
  <c r="N518" i="5"/>
  <c r="T518" i="5" s="1"/>
  <c r="N321" i="5"/>
  <c r="T321" i="5" s="1"/>
  <c r="N447" i="5"/>
  <c r="AA447" i="5" s="1"/>
  <c r="N334" i="5"/>
  <c r="U334" i="5" s="1"/>
  <c r="N477" i="5"/>
  <c r="N72" i="5"/>
  <c r="U72" i="5" s="1"/>
  <c r="N131" i="5"/>
  <c r="N283" i="5"/>
  <c r="N704" i="5"/>
  <c r="AA704" i="5" s="1"/>
  <c r="N616" i="5"/>
  <c r="U616" i="5" s="1"/>
  <c r="N494" i="5"/>
  <c r="N767" i="5"/>
  <c r="N747" i="5"/>
  <c r="AA747" i="5" s="1"/>
  <c r="N246" i="5"/>
  <c r="N12" i="5"/>
  <c r="N198" i="5"/>
  <c r="T198" i="5" s="1"/>
  <c r="N213" i="5"/>
  <c r="N271" i="5"/>
  <c r="Z271" i="5" s="1"/>
  <c r="N79" i="5"/>
  <c r="T79" i="5" s="1"/>
  <c r="N185" i="5"/>
  <c r="N666" i="5"/>
  <c r="AA666" i="5" s="1"/>
  <c r="N567" i="5"/>
  <c r="AA567" i="5" s="1"/>
  <c r="N417" i="5"/>
  <c r="N768" i="5"/>
  <c r="N573" i="5"/>
  <c r="U573" i="5" s="1"/>
  <c r="N86" i="5"/>
  <c r="U86" i="5" s="1"/>
  <c r="N160" i="5"/>
  <c r="U160" i="5" s="1"/>
  <c r="N432" i="5"/>
  <c r="N701" i="5"/>
  <c r="T701" i="5" s="1"/>
  <c r="N751" i="5"/>
  <c r="N57" i="5"/>
  <c r="Z57" i="5" s="1"/>
  <c r="N279" i="5"/>
  <c r="T279" i="5" s="1"/>
  <c r="N423" i="5"/>
  <c r="U423" i="5" s="1"/>
  <c r="N572" i="5"/>
  <c r="U572" i="5" s="1"/>
  <c r="N522" i="5"/>
  <c r="N165" i="5"/>
  <c r="U165" i="5" s="1"/>
  <c r="N578" i="5"/>
  <c r="AA578" i="5" s="1"/>
  <c r="N290" i="5"/>
  <c r="U290" i="5" s="1"/>
  <c r="N746" i="5"/>
  <c r="N584" i="5"/>
  <c r="U584" i="5" s="1"/>
  <c r="N473" i="5"/>
  <c r="T473" i="5" s="1"/>
  <c r="N806" i="5"/>
  <c r="T806" i="5" s="1"/>
  <c r="N312" i="5"/>
  <c r="AA312" i="5" s="1"/>
  <c r="N534" i="5"/>
  <c r="Z534" i="5" s="1"/>
  <c r="N617" i="5"/>
  <c r="AA617" i="5" s="1"/>
  <c r="N176" i="5"/>
  <c r="U176" i="5" s="1"/>
  <c r="N431" i="5"/>
  <c r="Z431" i="5" s="1"/>
  <c r="N604" i="5"/>
  <c r="N460" i="5"/>
  <c r="T460" i="5" s="1"/>
  <c r="N688" i="5"/>
  <c r="U688" i="5" s="1"/>
  <c r="N81" i="5"/>
  <c r="U81" i="5" s="1"/>
  <c r="N395" i="5"/>
  <c r="N122" i="5"/>
  <c r="T122" i="5" s="1"/>
  <c r="N662" i="5"/>
  <c r="N719" i="5"/>
  <c r="T719" i="5" s="1"/>
  <c r="N218" i="5"/>
  <c r="U218" i="5" s="1"/>
  <c r="N581" i="5"/>
  <c r="U581" i="5" s="1"/>
  <c r="N34" i="5"/>
  <c r="U34" i="5" s="1"/>
  <c r="N566" i="5"/>
  <c r="U566" i="5" s="1"/>
  <c r="N755" i="5"/>
  <c r="T755" i="5" s="1"/>
  <c r="N684" i="5"/>
  <c r="U684" i="5" s="1"/>
  <c r="N498" i="5"/>
  <c r="N769" i="5"/>
  <c r="N65" i="5"/>
  <c r="N619" i="5"/>
  <c r="U619" i="5" s="1"/>
  <c r="N375" i="5"/>
  <c r="U375" i="5" s="1"/>
  <c r="N242" i="5"/>
  <c r="Z242" i="5" s="1"/>
  <c r="N443" i="5"/>
  <c r="N819" i="5"/>
  <c r="T819" i="5" s="1"/>
  <c r="N374" i="5"/>
  <c r="U374" i="5" s="1"/>
  <c r="N389" i="5"/>
  <c r="AA389" i="5" s="1"/>
  <c r="N676" i="5"/>
  <c r="N248" i="5"/>
  <c r="U248" i="5" s="1"/>
  <c r="N463" i="5"/>
  <c r="T463" i="5" s="1"/>
  <c r="N24" i="5"/>
  <c r="Z24" i="5" s="1"/>
  <c r="N369" i="5"/>
  <c r="T369" i="5" s="1"/>
  <c r="N179" i="5"/>
  <c r="T179" i="5" s="1"/>
  <c r="N614" i="5"/>
  <c r="T614" i="5" s="1"/>
  <c r="N216" i="5"/>
  <c r="AA216" i="5" s="1"/>
  <c r="N292" i="5"/>
  <c r="T292" i="5" s="1"/>
  <c r="N587" i="5"/>
  <c r="U587" i="5" s="1"/>
  <c r="N227" i="5"/>
  <c r="T227" i="5" s="1"/>
  <c r="N235" i="5"/>
  <c r="Z235" i="5" s="1"/>
  <c r="N510" i="5"/>
  <c r="AA510" i="5" s="1"/>
  <c r="N748" i="5"/>
  <c r="N333" i="5"/>
  <c r="Z333" i="5" s="1"/>
  <c r="N345" i="5"/>
  <c r="AA345" i="5" s="1"/>
  <c r="N104" i="5"/>
  <c r="Z104" i="5" s="1"/>
  <c r="N551" i="5"/>
  <c r="T551" i="5" s="1"/>
  <c r="N816" i="5"/>
  <c r="U816" i="5" s="1"/>
  <c r="N105" i="5"/>
  <c r="U105" i="5" s="1"/>
  <c r="N585" i="5"/>
  <c r="N697" i="5"/>
  <c r="U697" i="5" s="1"/>
  <c r="N162" i="5"/>
  <c r="U162" i="5" s="1"/>
  <c r="N142" i="5"/>
  <c r="N348" i="5"/>
  <c r="T348" i="5" s="1"/>
  <c r="N404" i="5"/>
  <c r="T404" i="5" s="1"/>
  <c r="N50" i="5"/>
  <c r="T50" i="5" s="1"/>
  <c r="N482" i="5"/>
  <c r="N455" i="5"/>
  <c r="Z455" i="5" s="1"/>
  <c r="N298" i="5"/>
  <c r="Z298" i="5" s="1"/>
  <c r="N287" i="5"/>
  <c r="AA287" i="5" s="1"/>
  <c r="N772" i="5"/>
  <c r="N221" i="5"/>
  <c r="N51" i="5"/>
  <c r="U51" i="5" s="1"/>
  <c r="N802" i="5"/>
  <c r="AA802" i="5" s="1"/>
  <c r="N11" i="5"/>
  <c r="U11" i="5" s="1"/>
  <c r="N263" i="5"/>
  <c r="Z263" i="5" s="1"/>
  <c r="N259" i="5"/>
  <c r="AA259" i="5" s="1"/>
  <c r="N381" i="5"/>
  <c r="T381" i="5" s="1"/>
  <c r="N23" i="5"/>
  <c r="T23" i="5" s="1"/>
  <c r="N155" i="5"/>
  <c r="AA155" i="5" s="1"/>
  <c r="N731" i="5"/>
  <c r="T731" i="5" s="1"/>
  <c r="N420" i="5"/>
  <c r="T420" i="5" s="1"/>
  <c r="N777" i="5"/>
  <c r="N278" i="5"/>
  <c r="T278" i="5" s="1"/>
  <c r="N595" i="5"/>
  <c r="N98" i="5"/>
  <c r="AA98" i="5" s="1"/>
  <c r="N147" i="5"/>
  <c r="N689" i="5"/>
  <c r="N48" i="5"/>
  <c r="U48" i="5" s="1"/>
  <c r="N694" i="5"/>
  <c r="T694" i="5" s="1"/>
  <c r="N424" i="5"/>
  <c r="N411" i="5"/>
  <c r="T411" i="5" s="1"/>
  <c r="N730" i="5"/>
  <c r="N555" i="5"/>
  <c r="AA555" i="5" s="1"/>
  <c r="N277" i="5"/>
  <c r="U277" i="5" s="1"/>
  <c r="N273" i="5"/>
  <c r="Z273" i="5" s="1"/>
  <c r="N315" i="5"/>
  <c r="U315" i="5" s="1"/>
  <c r="N96" i="5"/>
  <c r="U96" i="5" s="1"/>
  <c r="N335" i="5"/>
  <c r="T335" i="5" s="1"/>
  <c r="N238" i="5"/>
  <c r="N743" i="5"/>
  <c r="AA743" i="5" s="1"/>
  <c r="N130" i="5"/>
  <c r="N741" i="5"/>
  <c r="Z741" i="5" s="1"/>
  <c r="N561" i="5"/>
  <c r="U561" i="5" s="1"/>
  <c r="N493" i="5"/>
  <c r="N68" i="5"/>
  <c r="N40" i="5"/>
  <c r="N508" i="5"/>
  <c r="T508" i="5" s="1"/>
  <c r="N329" i="5"/>
  <c r="AA329" i="5" s="1"/>
  <c r="N429" i="5"/>
  <c r="N559" i="5"/>
  <c r="Z559" i="5" s="1"/>
  <c r="N66" i="5"/>
  <c r="N692" i="5"/>
  <c r="N180" i="5"/>
  <c r="N126" i="5"/>
  <c r="N545" i="5"/>
  <c r="AA545" i="5" s="1"/>
  <c r="N342" i="5"/>
  <c r="Z342" i="5" s="1"/>
  <c r="N758" i="5"/>
  <c r="N43" i="5"/>
  <c r="N52" i="5"/>
  <c r="T52" i="5" s="1"/>
  <c r="N212" i="5"/>
  <c r="N546" i="5"/>
  <c r="AA546" i="5" s="1"/>
  <c r="N565" i="5"/>
  <c r="U565" i="5" s="1"/>
  <c r="N613" i="5"/>
  <c r="Z613" i="5" s="1"/>
  <c r="N728" i="5"/>
  <c r="N169" i="5"/>
  <c r="Z169" i="5" s="1"/>
  <c r="N167" i="5"/>
  <c r="T167" i="5" s="1"/>
  <c r="N367" i="5"/>
  <c r="U367" i="5" s="1"/>
  <c r="N718" i="5"/>
  <c r="AA718" i="5" s="1"/>
  <c r="N651" i="5"/>
  <c r="T651" i="5" s="1"/>
  <c r="N21" i="5"/>
  <c r="Z21" i="5" s="1"/>
  <c r="N2" i="5"/>
  <c r="Z2" i="5" s="1"/>
  <c r="N710" i="5"/>
  <c r="AA710" i="5" s="1"/>
  <c r="N108" i="5"/>
  <c r="U108" i="5" s="1"/>
  <c r="N470" i="5"/>
  <c r="T470" i="5" s="1"/>
  <c r="N152" i="5"/>
  <c r="N27" i="5"/>
  <c r="T27" i="5" s="1"/>
  <c r="N665" i="5"/>
  <c r="U665" i="5" s="1"/>
  <c r="N206" i="5"/>
  <c r="AA206" i="5" s="1"/>
  <c r="N809" i="5"/>
  <c r="U809" i="5" s="1"/>
  <c r="N133" i="5"/>
  <c r="N615" i="5"/>
  <c r="T615" i="5" s="1"/>
  <c r="N505" i="5"/>
  <c r="N84" i="5"/>
  <c r="AA84" i="5" s="1"/>
  <c r="N699" i="5"/>
  <c r="AA699" i="5" s="1"/>
  <c r="N703" i="5"/>
  <c r="N257" i="5"/>
  <c r="T257" i="5" s="1"/>
  <c r="N95" i="5"/>
  <c r="Z95" i="5" s="1"/>
  <c r="N444" i="5"/>
  <c r="T444" i="5" s="1"/>
  <c r="N232" i="5"/>
  <c r="U232" i="5" s="1"/>
  <c r="N37" i="5"/>
  <c r="N115" i="5"/>
  <c r="U115" i="5" s="1"/>
  <c r="N605" i="5"/>
  <c r="AA605" i="5" s="1"/>
  <c r="N150" i="5"/>
  <c r="T150" i="5" s="1"/>
  <c r="N392" i="5"/>
  <c r="N535" i="5"/>
  <c r="Z535" i="5" s="1"/>
  <c r="N622" i="5"/>
  <c r="T622" i="5" s="1"/>
  <c r="N515" i="5"/>
  <c r="U515" i="5" s="1"/>
  <c r="N3" i="5"/>
  <c r="N478" i="5"/>
  <c r="N274" i="5"/>
  <c r="T274" i="5" s="1"/>
  <c r="N181" i="5"/>
  <c r="T181" i="5" s="1"/>
  <c r="N724" i="5"/>
  <c r="N744" i="5"/>
  <c r="AA744" i="5" s="1"/>
  <c r="N188" i="5"/>
  <c r="T188" i="5" s="1"/>
  <c r="N210" i="5"/>
  <c r="U210" i="5" s="1"/>
  <c r="N532" i="5"/>
  <c r="Z532" i="5" s="1"/>
  <c r="N504" i="5"/>
  <c r="T504" i="5" s="1"/>
  <c r="N252" i="5"/>
  <c r="N765" i="5"/>
  <c r="Z765" i="5" s="1"/>
  <c r="N533" i="5"/>
  <c r="N175" i="5"/>
  <c r="U175" i="5" s="1"/>
  <c r="N550" i="5"/>
  <c r="T550" i="5" s="1"/>
  <c r="N439" i="5"/>
  <c r="N359" i="5"/>
  <c r="AA359" i="5" s="1"/>
  <c r="N55" i="5"/>
  <c r="N82" i="5"/>
  <c r="U82" i="5" s="1"/>
  <c r="N396" i="5"/>
  <c r="U396" i="5" s="1"/>
  <c r="N372" i="5"/>
  <c r="AA372" i="5" s="1"/>
  <c r="N75" i="5"/>
  <c r="U75" i="5" s="1"/>
  <c r="N591" i="5"/>
  <c r="Z591" i="5" s="1"/>
  <c r="N511" i="5"/>
  <c r="T511" i="5" s="1"/>
  <c r="N648" i="5"/>
  <c r="Z648" i="5" s="1"/>
  <c r="N448" i="5"/>
  <c r="AA448" i="5" s="1"/>
  <c r="N170" i="5"/>
  <c r="U170" i="5" s="1"/>
  <c r="N211" i="5"/>
  <c r="Z211" i="5" s="1"/>
  <c r="N250" i="5"/>
  <c r="Z250" i="5" s="1"/>
  <c r="N390" i="5"/>
  <c r="N790" i="5"/>
  <c r="U790" i="5" s="1"/>
  <c r="N739" i="5"/>
  <c r="U739" i="5" s="1"/>
  <c r="N631" i="5"/>
  <c r="U631" i="5" s="1"/>
  <c r="N343" i="5"/>
  <c r="Z343" i="5" s="1"/>
  <c r="N441" i="5"/>
  <c r="U441" i="5" s="1"/>
  <c r="N712" i="5"/>
  <c r="U712" i="5" s="1"/>
  <c r="N318" i="5"/>
  <c r="AA318" i="5" s="1"/>
  <c r="N163" i="5"/>
  <c r="AA163" i="5" s="1"/>
  <c r="N506" i="5"/>
  <c r="N804" i="5"/>
  <c r="T804" i="5" s="1"/>
  <c r="N403" i="5"/>
  <c r="AA403" i="5" s="1"/>
  <c r="N17" i="5"/>
  <c r="N262" i="5"/>
  <c r="T262" i="5" s="1"/>
  <c r="N89" i="5"/>
  <c r="AA89" i="5" s="1"/>
  <c r="N192" i="5"/>
  <c r="U192" i="5" s="1"/>
  <c r="N496" i="5"/>
  <c r="N606" i="5"/>
  <c r="AA606" i="5" s="1"/>
  <c r="N226" i="5"/>
  <c r="U226" i="5" s="1"/>
  <c r="N391" i="5"/>
  <c r="N814" i="5"/>
  <c r="Z814" i="5" s="1"/>
  <c r="N217" i="5"/>
  <c r="Z217" i="5" s="1"/>
  <c r="N264" i="5"/>
  <c r="U264" i="5" s="1"/>
  <c r="N156" i="5"/>
  <c r="U156" i="5" s="1"/>
  <c r="N554" i="5"/>
  <c r="T554" i="5" s="1"/>
  <c r="N490" i="5"/>
  <c r="N453" i="5"/>
  <c r="N577" i="5"/>
  <c r="U577" i="5" s="1"/>
  <c r="N280" i="5"/>
  <c r="N492" i="5"/>
  <c r="U492" i="5" s="1"/>
  <c r="N25" i="5"/>
  <c r="AA25" i="5" s="1"/>
  <c r="N208" i="5"/>
  <c r="N14" i="5"/>
  <c r="U14" i="5" s="1"/>
  <c r="N368" i="5"/>
  <c r="T368" i="5" s="1"/>
  <c r="N476" i="5"/>
  <c r="N524" i="5"/>
  <c r="T524" i="5" s="1"/>
  <c r="N29" i="5"/>
  <c r="U29" i="5" s="1"/>
  <c r="N526" i="5"/>
  <c r="AA526" i="5" s="1"/>
  <c r="N456" i="5"/>
  <c r="Z456" i="5" s="1"/>
  <c r="N310" i="5"/>
  <c r="N674" i="5"/>
  <c r="N88" i="5"/>
  <c r="U88" i="5" s="1"/>
  <c r="N549" i="5"/>
  <c r="U549" i="5" s="1"/>
  <c r="N599" i="5"/>
  <c r="U599" i="5" s="1"/>
  <c r="N304" i="5"/>
  <c r="T304" i="5" s="1"/>
  <c r="N782" i="5"/>
  <c r="N664" i="5"/>
  <c r="U664" i="5" s="1"/>
  <c r="N621" i="5"/>
  <c r="U621" i="5" s="1"/>
  <c r="N434" i="5"/>
  <c r="N779" i="5"/>
  <c r="N811" i="5"/>
  <c r="AA811" i="5" s="1"/>
  <c r="N349" i="5"/>
  <c r="Z349" i="5" s="1"/>
  <c r="N234" i="5"/>
  <c r="Z234" i="5" s="1"/>
  <c r="N383" i="5"/>
  <c r="AA383" i="5" s="1"/>
  <c r="N624" i="5"/>
  <c r="Z624" i="5" s="1"/>
  <c r="N416" i="5"/>
  <c r="N6" i="5"/>
  <c r="T6" i="5" s="1"/>
  <c r="N588" i="5"/>
  <c r="T588" i="5" s="1"/>
  <c r="N562" i="5"/>
  <c r="Z562" i="5" s="1"/>
  <c r="N7" i="5"/>
  <c r="N151" i="5"/>
  <c r="N646" i="5"/>
  <c r="AA646" i="5" s="1"/>
  <c r="N314" i="5"/>
  <c r="U314" i="5" s="1"/>
  <c r="N608" i="5"/>
  <c r="N224" i="5"/>
  <c r="U224" i="5" s="1"/>
  <c r="N291" i="5"/>
  <c r="T291" i="5" s="1"/>
  <c r="N771" i="5"/>
  <c r="Z771" i="5" s="1"/>
  <c r="N552" i="5"/>
  <c r="T552" i="5" s="1"/>
  <c r="N586" i="5"/>
  <c r="U586" i="5" s="1"/>
  <c r="N426" i="5"/>
  <c r="N626" i="5"/>
  <c r="AA626" i="5" s="1"/>
  <c r="N99" i="5"/>
  <c r="Z99" i="5" s="1"/>
  <c r="N723" i="5"/>
  <c r="T723" i="5" s="1"/>
  <c r="N499" i="5"/>
  <c r="N330" i="5"/>
  <c r="T330" i="5" s="1"/>
  <c r="N810" i="5"/>
  <c r="T810" i="5" s="1"/>
  <c r="N523" i="5"/>
  <c r="Z523" i="5" s="1"/>
  <c r="N442" i="5"/>
  <c r="U442" i="5" s="1"/>
  <c r="N611" i="5"/>
  <c r="AA611" i="5" s="1"/>
  <c r="N757" i="5"/>
  <c r="N365" i="5"/>
  <c r="U365" i="5" s="1"/>
  <c r="N638" i="5"/>
  <c r="T638" i="5" s="1"/>
  <c r="N357" i="5"/>
  <c r="T357" i="5" s="1"/>
  <c r="N282" i="5"/>
  <c r="N121" i="5"/>
  <c r="T121" i="5" s="1"/>
  <c r="N153" i="5"/>
  <c r="N128" i="5"/>
  <c r="N49" i="5"/>
  <c r="AA49" i="5" s="1"/>
  <c r="N677" i="5"/>
  <c r="N725" i="5"/>
  <c r="N556" i="5"/>
  <c r="U556" i="5" s="1"/>
  <c r="N729" i="5"/>
  <c r="N332" i="5"/>
  <c r="N58" i="5"/>
  <c r="U58" i="5" s="1"/>
  <c r="N634" i="5"/>
  <c r="U634" i="5" s="1"/>
  <c r="N397" i="5"/>
  <c r="Z397" i="5" s="1"/>
  <c r="N26" i="5"/>
  <c r="T26" i="5" s="1"/>
  <c r="N557" i="5"/>
  <c r="U557" i="5" s="1"/>
  <c r="N289" i="5"/>
  <c r="T289" i="5" s="1"/>
  <c r="N300" i="5"/>
  <c r="U300" i="5" s="1"/>
  <c r="N547" i="5"/>
  <c r="AA547" i="5" s="1"/>
  <c r="N799" i="5"/>
  <c r="U799" i="5" s="1"/>
  <c r="N715" i="5"/>
  <c r="U715" i="5" s="1"/>
  <c r="N297" i="5"/>
  <c r="Z297" i="5" s="1"/>
  <c r="N286" i="5"/>
  <c r="N146" i="5"/>
  <c r="U146" i="5" s="1"/>
  <c r="N145" i="5"/>
  <c r="N313" i="5"/>
  <c r="AA313" i="5" s="1"/>
  <c r="N640" i="5"/>
  <c r="AA640" i="5" s="1"/>
  <c r="N570" i="5"/>
  <c r="T570" i="5" s="1"/>
  <c r="N486" i="5"/>
  <c r="U486" i="5" s="1"/>
  <c r="N738" i="5"/>
  <c r="T738" i="5" s="1"/>
  <c r="N408" i="5"/>
  <c r="U408" i="5" s="1"/>
  <c r="N46" i="5"/>
  <c r="AA46" i="5" s="1"/>
  <c r="N268" i="5"/>
  <c r="U268" i="5" s="1"/>
  <c r="N356" i="5"/>
  <c r="T356" i="5" s="1"/>
  <c r="N652" i="5"/>
  <c r="T652" i="5" s="1"/>
  <c r="N399" i="5"/>
  <c r="T399" i="5" s="1"/>
  <c r="N812" i="5"/>
  <c r="U812" i="5" s="1"/>
  <c r="N228" i="5"/>
  <c r="N393" i="5"/>
  <c r="AA393" i="5" s="1"/>
  <c r="N127" i="5"/>
  <c r="N296" i="5"/>
  <c r="T296" i="5" s="1"/>
  <c r="N786" i="5"/>
  <c r="N174" i="5"/>
  <c r="AA174" i="5" s="1"/>
  <c r="N247" i="5"/>
  <c r="T247" i="5" s="1"/>
  <c r="N696" i="5"/>
  <c r="T696" i="5" s="1"/>
  <c r="N328" i="5"/>
  <c r="T328" i="5" s="1"/>
  <c r="N5" i="5"/>
  <c r="N253" i="5"/>
  <c r="U253" i="5" s="1"/>
  <c r="N215" i="5"/>
  <c r="N331" i="5"/>
  <c r="N336" i="5"/>
  <c r="U336" i="5" s="1"/>
  <c r="N400" i="5"/>
  <c r="Z400" i="5" s="1"/>
  <c r="N620" i="5"/>
  <c r="U620" i="5" s="1"/>
  <c r="N781" i="5"/>
  <c r="U781" i="5" s="1"/>
  <c r="N168" i="5"/>
  <c r="T168" i="5" s="1"/>
  <c r="N458" i="5"/>
  <c r="N93" i="5"/>
  <c r="U93" i="5" s="1"/>
  <c r="N766" i="5"/>
  <c r="N645" i="5"/>
  <c r="AA645" i="5" s="1"/>
  <c r="N35" i="5"/>
  <c r="T35" i="5" s="1"/>
  <c r="N94" i="5"/>
  <c r="U94" i="5" s="1"/>
  <c r="N299" i="5"/>
  <c r="N199" i="5"/>
  <c r="AA199" i="5" s="1"/>
  <c r="N204" i="5"/>
  <c r="Z204" i="5" s="1"/>
  <c r="N714" i="5"/>
  <c r="T714" i="5" s="1"/>
  <c r="N114" i="5"/>
  <c r="T114" i="5" s="1"/>
  <c r="N200" i="5"/>
  <c r="AA200" i="5" s="1"/>
  <c r="N101" i="5"/>
  <c r="T101" i="5" s="1"/>
  <c r="N265" i="5"/>
  <c r="T265" i="5" s="1"/>
  <c r="N737" i="5"/>
  <c r="N85" i="5"/>
  <c r="T85" i="5" s="1"/>
  <c r="N479" i="5"/>
  <c r="N628" i="5"/>
  <c r="U628" i="5" s="1"/>
  <c r="N787" i="5"/>
  <c r="N649" i="5"/>
  <c r="T649" i="5" s="1"/>
  <c r="N136" i="5"/>
  <c r="U136" i="5" s="1"/>
  <c r="N425" i="5"/>
  <c r="N791" i="5"/>
  <c r="N377" i="5"/>
  <c r="T377" i="5" s="1"/>
  <c r="N379" i="5"/>
  <c r="U379" i="5" s="1"/>
  <c r="N284" i="5"/>
  <c r="N154" i="5"/>
  <c r="T154" i="5" s="1"/>
  <c r="N30" i="5"/>
  <c r="T30" i="5" s="1"/>
  <c r="N560" i="5"/>
  <c r="AA560" i="5" s="1"/>
  <c r="N18" i="5"/>
  <c r="U18" i="5" s="1"/>
  <c r="N466" i="5"/>
  <c r="U466" i="5" s="1"/>
  <c r="N745" i="5"/>
  <c r="N785" i="5"/>
  <c r="U785" i="5" s="1"/>
  <c r="N196" i="5"/>
  <c r="AA196" i="5" s="1"/>
  <c r="N421" i="5"/>
  <c r="N548" i="5"/>
  <c r="T548" i="5" s="1"/>
  <c r="N521" i="5"/>
  <c r="N558" i="5"/>
  <c r="U558" i="5" s="1"/>
  <c r="N454" i="5"/>
  <c r="T454" i="5" s="1"/>
  <c r="N807" i="5"/>
  <c r="U807" i="5" s="1"/>
  <c r="N756" i="5"/>
  <c r="N197" i="5"/>
  <c r="T197" i="5" s="1"/>
  <c r="N600" i="5"/>
  <c r="N513" i="5"/>
  <c r="N655" i="5"/>
  <c r="Z655" i="5" s="1"/>
  <c r="N430" i="5"/>
  <c r="T430" i="5" s="1"/>
  <c r="N90" i="5"/>
  <c r="T90" i="5" s="1"/>
  <c r="N134" i="5"/>
  <c r="T134" i="5" s="1"/>
  <c r="N269" i="5"/>
  <c r="T269" i="5" s="1"/>
  <c r="N670" i="5"/>
  <c r="U670" i="5" s="1"/>
  <c r="N320" i="5"/>
  <c r="N695" i="5"/>
  <c r="Z695" i="5" s="1"/>
  <c r="N657" i="5"/>
  <c r="N509" i="5"/>
  <c r="N514" i="5"/>
  <c r="N483" i="5"/>
  <c r="U483" i="5" s="1"/>
  <c r="N529" i="5"/>
  <c r="N527" i="5"/>
  <c r="U527" i="5" s="1"/>
  <c r="N445" i="5"/>
  <c r="N735" i="5"/>
  <c r="AA735" i="5" s="1"/>
  <c r="N415" i="5"/>
  <c r="AA415" i="5" s="1"/>
  <c r="N607" i="5"/>
  <c r="U607" i="5" s="1"/>
  <c r="N83" i="5"/>
  <c r="T83" i="5" s="1"/>
  <c r="N288" i="5"/>
  <c r="Z288" i="5" s="1"/>
  <c r="N20" i="5"/>
  <c r="N412" i="5"/>
  <c r="Z412" i="5" s="1"/>
  <c r="N112" i="5"/>
  <c r="U112" i="5" s="1"/>
  <c r="N97" i="5"/>
  <c r="U97" i="5" s="1"/>
  <c r="N129" i="5"/>
  <c r="Z129" i="5" s="1"/>
  <c r="N385" i="5"/>
  <c r="Z385" i="5" s="1"/>
  <c r="N583" i="5"/>
  <c r="U583" i="5" s="1"/>
  <c r="N189" i="5"/>
  <c r="T189" i="5" s="1"/>
  <c r="N42" i="5"/>
  <c r="N240" i="5"/>
  <c r="U240" i="5" s="1"/>
  <c r="N687" i="5"/>
  <c r="U687" i="5" s="1"/>
  <c r="N363" i="5"/>
  <c r="T363" i="5" s="1"/>
  <c r="N293" i="5"/>
  <c r="U293" i="5" s="1"/>
  <c r="N465" i="5"/>
  <c r="U465" i="5" s="1"/>
  <c r="N124" i="5"/>
  <c r="T124" i="5" s="1"/>
  <c r="N22" i="5"/>
  <c r="T22" i="5" s="1"/>
  <c r="N158" i="5"/>
  <c r="U158" i="5" s="1"/>
  <c r="N178" i="5"/>
  <c r="N637" i="5"/>
  <c r="U637" i="5" s="1"/>
  <c r="N795" i="5"/>
  <c r="T795" i="5" s="1"/>
  <c r="N525" i="5"/>
  <c r="N376" i="5"/>
  <c r="T376" i="5" s="1"/>
  <c r="N13" i="5"/>
  <c r="T13" i="5" s="1"/>
  <c r="N307" i="5"/>
  <c r="Z307" i="5" s="1"/>
  <c r="N658" i="5"/>
  <c r="AA658" i="5" s="1"/>
  <c r="N47" i="5"/>
  <c r="AA47" i="5" s="1"/>
  <c r="N362" i="5"/>
  <c r="Z362" i="5" s="1"/>
  <c r="N285" i="5"/>
  <c r="N110" i="5"/>
  <c r="T110" i="5" s="1"/>
  <c r="N306" i="5"/>
  <c r="U306" i="5" s="1"/>
  <c r="N594" i="5"/>
  <c r="T594" i="5" s="1"/>
  <c r="N471" i="5"/>
  <c r="AA471" i="5" s="1"/>
  <c r="N119" i="5"/>
  <c r="U119" i="5" s="1"/>
  <c r="N309" i="5"/>
  <c r="U309" i="5" s="1"/>
  <c r="N764" i="5"/>
  <c r="AA764" i="5" s="1"/>
  <c r="N380" i="5"/>
  <c r="AA380" i="5" s="1"/>
  <c r="N592" i="5"/>
  <c r="T592" i="5" s="1"/>
  <c r="N364" i="5"/>
  <c r="U364" i="5" s="1"/>
  <c r="N653" i="5"/>
  <c r="U653" i="5" s="1"/>
  <c r="N338" i="5"/>
  <c r="T338" i="5" s="1"/>
  <c r="N564" i="5"/>
  <c r="U564" i="5" s="1"/>
  <c r="N618" i="5"/>
  <c r="T618" i="5" s="1"/>
  <c r="N194" i="5"/>
  <c r="U194" i="5" s="1"/>
  <c r="N627" i="5"/>
  <c r="AA627" i="5" s="1"/>
  <c r="N685" i="5"/>
  <c r="T685" i="5" s="1"/>
  <c r="N140" i="5"/>
  <c r="U140" i="5" s="1"/>
  <c r="N780" i="5"/>
  <c r="N77" i="5"/>
  <c r="N301" i="5"/>
  <c r="U301" i="5" s="1"/>
  <c r="N358" i="5"/>
  <c r="Z358" i="5" s="1"/>
  <c r="N813" i="5"/>
  <c r="N438" i="5"/>
  <c r="N413" i="5"/>
  <c r="N647" i="5"/>
  <c r="T647" i="5" s="1"/>
  <c r="N276" i="5"/>
  <c r="T276" i="5" s="1"/>
  <c r="N139" i="5"/>
  <c r="N36" i="5"/>
  <c r="N261" i="5"/>
  <c r="T261" i="5" s="1"/>
  <c r="N414" i="5"/>
  <c r="N582" i="5"/>
  <c r="Z582" i="5" s="1"/>
  <c r="N610" i="5"/>
  <c r="T610" i="5" s="1"/>
  <c r="N371" i="5"/>
  <c r="U371" i="5" s="1"/>
  <c r="N759" i="5"/>
  <c r="T759" i="5" s="1"/>
  <c r="N706" i="5"/>
  <c r="AA706" i="5" s="1"/>
  <c r="N54" i="5"/>
  <c r="AA54" i="5" s="1"/>
  <c r="N255" i="5"/>
  <c r="T255" i="5" s="1"/>
  <c r="N468" i="5"/>
  <c r="AA468" i="5" s="1"/>
  <c r="N53" i="5"/>
  <c r="N485" i="5"/>
  <c r="Z485" i="5" s="1"/>
  <c r="N467" i="5"/>
  <c r="N440" i="5"/>
  <c r="T440" i="5" s="1"/>
  <c r="N243" i="5"/>
  <c r="U243" i="5" s="1"/>
  <c r="N231" i="5"/>
  <c r="AA231" i="5" s="1"/>
  <c r="N326" i="5"/>
  <c r="AA326" i="5" s="1"/>
  <c r="N62" i="5"/>
  <c r="AA62" i="5" s="1"/>
  <c r="N629" i="5"/>
  <c r="T629" i="5" s="1"/>
  <c r="N59" i="5"/>
  <c r="Z59" i="5" s="1"/>
  <c r="N205" i="5"/>
  <c r="N428" i="5"/>
  <c r="N451" i="5"/>
  <c r="N625" i="5"/>
  <c r="U625" i="5" s="1"/>
  <c r="N720" i="5"/>
  <c r="AA720" i="5" s="1"/>
  <c r="N446" i="5"/>
  <c r="AA446" i="5" s="1"/>
  <c r="N734" i="5"/>
  <c r="Z734" i="5" s="1"/>
  <c r="N497" i="5"/>
  <c r="T497" i="5" s="1"/>
  <c r="N67" i="5"/>
  <c r="U67" i="5" s="1"/>
  <c r="N668" i="5"/>
  <c r="T668" i="5" s="1"/>
  <c r="N732" i="5"/>
  <c r="N229" i="5"/>
  <c r="T229" i="5" s="1"/>
  <c r="N727" i="5"/>
  <c r="Z727" i="5" s="1"/>
  <c r="N544" i="5"/>
  <c r="Z544" i="5" s="1"/>
  <c r="N530" i="5"/>
  <c r="N9" i="5"/>
  <c r="U9" i="5" s="1"/>
  <c r="N512" i="5"/>
  <c r="N223" i="5"/>
  <c r="U223" i="5" s="1"/>
  <c r="N488" i="5"/>
  <c r="N598" i="5"/>
  <c r="Z598" i="5" s="1"/>
  <c r="N609" i="5"/>
  <c r="AA609" i="5" s="1"/>
  <c r="N675" i="5"/>
  <c r="Z675" i="5" s="1"/>
  <c r="N319" i="5"/>
  <c r="N388" i="5"/>
  <c r="T388" i="5" s="1"/>
  <c r="N633" i="5"/>
  <c r="T633" i="5" s="1"/>
  <c r="N680" i="5"/>
  <c r="U680" i="5" s="1"/>
  <c r="N316" i="5"/>
  <c r="Z316" i="5" s="1"/>
  <c r="N183" i="5"/>
  <c r="N71" i="5"/>
  <c r="N461" i="5"/>
  <c r="N195" i="5"/>
  <c r="T195" i="5" s="1"/>
  <c r="N100" i="5"/>
  <c r="T100" i="5" s="1"/>
  <c r="N700" i="5"/>
  <c r="U700" i="5" s="1"/>
  <c r="N576" i="5"/>
  <c r="T576" i="5" s="1"/>
  <c r="N673" i="5"/>
  <c r="N597" i="5"/>
  <c r="U597" i="5" s="1"/>
  <c r="N690" i="5"/>
  <c r="Z690" i="5" s="1"/>
  <c r="N266" i="5"/>
  <c r="T266" i="5" s="1"/>
  <c r="N487" i="5"/>
  <c r="U487" i="5" s="1"/>
  <c r="N44" i="5"/>
  <c r="T44" i="5" s="1"/>
  <c r="N789" i="5"/>
  <c r="N797" i="5"/>
  <c r="N644" i="5"/>
  <c r="U644" i="5" s="1"/>
  <c r="N337" i="5"/>
  <c r="U337" i="5" s="1"/>
  <c r="N141" i="5"/>
  <c r="N209" i="5"/>
  <c r="U209" i="5" s="1"/>
  <c r="N495" i="5"/>
  <c r="N691" i="5"/>
  <c r="U691" i="5" s="1"/>
  <c r="N776" i="5"/>
  <c r="N143" i="5"/>
  <c r="N382" i="5"/>
  <c r="T382" i="5" s="1"/>
  <c r="N123" i="5"/>
  <c r="N361" i="5"/>
  <c r="AA361" i="5" s="1"/>
  <c r="N654" i="5"/>
  <c r="T654" i="5" s="1"/>
  <c r="N203" i="5"/>
  <c r="Z203" i="5" s="1"/>
  <c r="N419" i="5"/>
  <c r="N323" i="5"/>
  <c r="AA323" i="5" s="1"/>
  <c r="N366" i="5"/>
  <c r="AA366" i="5" s="1"/>
  <c r="N281" i="5"/>
  <c r="N184" i="5"/>
  <c r="U184" i="5" s="1"/>
  <c r="N575" i="5"/>
  <c r="U575" i="5" s="1"/>
  <c r="N800" i="5"/>
  <c r="T800" i="5" s="1"/>
  <c r="N295" i="5"/>
  <c r="T295" i="5" s="1"/>
  <c r="N656" i="5"/>
  <c r="U656" i="5" s="1"/>
  <c r="N111" i="5"/>
  <c r="U111" i="5" s="1"/>
  <c r="N355" i="5"/>
  <c r="U355" i="5" s="1"/>
  <c r="N563" i="5"/>
  <c r="N92" i="5"/>
  <c r="T92" i="5" s="1"/>
  <c r="N387" i="5"/>
  <c r="T387" i="5" s="1"/>
  <c r="N64" i="5"/>
  <c r="N693" i="5"/>
  <c r="N435" i="5"/>
  <c r="T435" i="5" s="1"/>
  <c r="N386" i="5"/>
  <c r="T386" i="5" s="1"/>
  <c r="N102" i="5"/>
  <c r="U102" i="5" s="1"/>
  <c r="N593" i="5"/>
  <c r="U593" i="5" s="1"/>
  <c r="N798" i="5"/>
  <c r="T798" i="5" s="1"/>
  <c r="N528" i="5"/>
  <c r="N144" i="5"/>
  <c r="N818" i="5"/>
  <c r="AA818" i="5" s="1"/>
  <c r="N91" i="5"/>
  <c r="T91" i="5" s="1"/>
  <c r="N422" i="5"/>
  <c r="N427" i="5"/>
  <c r="T427" i="5" s="1"/>
  <c r="N571" i="5"/>
  <c r="Z571" i="5" s="1"/>
  <c r="N752" i="5"/>
  <c r="N201" i="5"/>
  <c r="U201" i="5" s="1"/>
  <c r="N808" i="5"/>
  <c r="T808" i="5" s="1"/>
  <c r="N516" i="5"/>
  <c r="AA516" i="5" s="1"/>
  <c r="N69" i="5"/>
  <c r="N474" i="5"/>
  <c r="T474" i="5" s="1"/>
  <c r="N384" i="5"/>
  <c r="T384" i="5" s="1"/>
  <c r="N803" i="5"/>
  <c r="U803" i="5" s="1"/>
  <c r="N202" i="5"/>
  <c r="U202" i="5" s="1"/>
  <c r="N394" i="5"/>
  <c r="N118" i="5"/>
  <c r="T118" i="5" s="1"/>
  <c r="N398" i="5"/>
  <c r="T398" i="5" s="1"/>
  <c r="N601" i="5"/>
  <c r="N31" i="5"/>
  <c r="N717" i="5"/>
  <c r="Z717" i="5" s="1"/>
  <c r="N667" i="5"/>
  <c r="Z667" i="5" s="1"/>
  <c r="N682" i="5"/>
  <c r="T682" i="5" s="1"/>
  <c r="N449" i="5"/>
  <c r="Z449" i="5" s="1"/>
  <c r="N783" i="5"/>
  <c r="U783" i="5" s="1"/>
  <c r="N401" i="5"/>
  <c r="AA401" i="5" s="1"/>
  <c r="N15" i="5"/>
  <c r="N794" i="5"/>
  <c r="N322" i="5"/>
  <c r="AA322" i="5" s="1"/>
  <c r="N187" i="5"/>
  <c r="N579" i="5"/>
  <c r="N193" i="5"/>
  <c r="Z193" i="5" s="1"/>
  <c r="N120" i="5"/>
  <c r="T120" i="5" s="1"/>
  <c r="N190" i="5"/>
  <c r="U190" i="5" s="1"/>
  <c r="N116" i="5"/>
  <c r="T116" i="5" s="1"/>
  <c r="N305" i="5"/>
  <c r="T305" i="5" s="1"/>
  <c r="N659" i="5"/>
  <c r="U659" i="5" s="1"/>
  <c r="N760" i="5"/>
  <c r="Z760" i="5" s="1"/>
  <c r="N452" i="5"/>
  <c r="Z452" i="5" s="1"/>
  <c r="N378" i="5"/>
  <c r="Z378" i="5" s="1"/>
  <c r="N817" i="5"/>
  <c r="U817" i="5" s="1"/>
  <c r="N63" i="5"/>
  <c r="U63" i="5" s="1"/>
  <c r="N589" i="5"/>
  <c r="N702" i="5"/>
  <c r="N418" i="5"/>
  <c r="N341" i="5"/>
  <c r="T341" i="5" s="1"/>
  <c r="N78" i="5"/>
  <c r="T78" i="5" s="1"/>
  <c r="N354" i="5"/>
  <c r="AA354" i="5" s="1"/>
  <c r="N177" i="5"/>
  <c r="Z177" i="5" s="1"/>
  <c r="N711" i="5"/>
  <c r="Z711" i="5" s="1"/>
  <c r="N16" i="5"/>
  <c r="T16" i="5" s="1"/>
  <c r="N612" i="5"/>
  <c r="AA612" i="5" s="1"/>
  <c r="N244" i="5"/>
  <c r="N481" i="5"/>
  <c r="N182" i="5"/>
  <c r="N763" i="5"/>
  <c r="N733" i="5"/>
  <c r="N708" i="5"/>
  <c r="U708" i="5" s="1"/>
  <c r="N106" i="5"/>
  <c r="T106" i="5" s="1"/>
  <c r="N157" i="5"/>
  <c r="AA157" i="5" s="1"/>
  <c r="N489" i="5"/>
  <c r="N125" i="5"/>
  <c r="N650" i="5"/>
  <c r="T650" i="5" s="1"/>
  <c r="N270" i="5"/>
  <c r="Z270" i="5" s="1"/>
  <c r="N33" i="5"/>
  <c r="T33" i="5" s="1"/>
  <c r="N172" i="5"/>
  <c r="T172" i="5" s="1"/>
  <c r="N450" i="5"/>
  <c r="U450" i="5" s="1"/>
  <c r="N726" i="5"/>
  <c r="N344" i="5"/>
  <c r="N503" i="5"/>
  <c r="AA503" i="5" s="1"/>
  <c r="N436" i="5"/>
  <c r="Z436" i="5" s="1"/>
  <c r="N272" i="5"/>
  <c r="T272" i="5" s="1"/>
  <c r="N793" i="5"/>
  <c r="U793" i="5" s="1"/>
  <c r="N635" i="5"/>
  <c r="U635" i="5" s="1"/>
  <c r="N225" i="5"/>
  <c r="N19" i="5"/>
  <c r="U19" i="5" s="1"/>
  <c r="N164" i="5"/>
  <c r="T164" i="5" s="1"/>
  <c r="N370" i="5"/>
  <c r="AA370" i="5" s="1"/>
  <c r="N117" i="5"/>
  <c r="U117" i="5" s="1"/>
  <c r="N360" i="5"/>
  <c r="N484" i="5"/>
  <c r="N805" i="5"/>
  <c r="Z805" i="5" s="1"/>
  <c r="N373" i="5"/>
  <c r="U373" i="5" s="1"/>
  <c r="N753" i="5"/>
  <c r="N686" i="5"/>
  <c r="Z686" i="5" s="1"/>
  <c r="N107" i="5"/>
  <c r="T107" i="5" s="1"/>
  <c r="N239" i="5"/>
  <c r="Z239" i="5" s="1"/>
  <c r="N671" i="5"/>
  <c r="T671" i="5" s="1"/>
  <c r="N742" i="5"/>
  <c r="U742" i="5" s="1"/>
  <c r="N402" i="5"/>
  <c r="Z402" i="5" s="1"/>
  <c r="N774" i="5"/>
  <c r="N792" i="5"/>
  <c r="T792" i="5" s="1"/>
  <c r="N672" i="5"/>
  <c r="T672" i="5" s="1"/>
  <c r="N639" i="5"/>
  <c r="Z639" i="5" s="1"/>
  <c r="N709" i="5"/>
  <c r="AA709" i="5" s="1"/>
  <c r="N705" i="5"/>
  <c r="T705" i="5" s="1"/>
  <c r="N220" i="5"/>
  <c r="T220" i="5" s="1"/>
  <c r="N56" i="5"/>
  <c r="AA56" i="5" s="1"/>
  <c r="N317" i="5"/>
  <c r="AA317" i="5" s="1"/>
  <c r="N596" i="5"/>
  <c r="T596" i="5" s="1"/>
  <c r="N8" i="5"/>
  <c r="T8" i="5" s="1"/>
  <c r="N642" i="5"/>
  <c r="Z642" i="5" s="1"/>
  <c r="N537" i="5"/>
  <c r="N636" i="5"/>
  <c r="T636" i="5" s="1"/>
  <c r="N214" i="5"/>
  <c r="N469" i="5"/>
  <c r="N254" i="5"/>
  <c r="T254" i="5" s="1"/>
  <c r="N149" i="5"/>
  <c r="N569" i="5"/>
  <c r="AA569" i="5" s="1"/>
  <c r="N103" i="5"/>
  <c r="AA103" i="5" s="1"/>
  <c r="N38" i="5"/>
  <c r="U38" i="5" s="1"/>
  <c r="N237" i="5"/>
  <c r="U237" i="5" s="1"/>
  <c r="N519" i="5"/>
  <c r="U519" i="5" s="1"/>
  <c r="N536" i="5"/>
  <c r="N472" i="5"/>
  <c r="Z472" i="5" s="1"/>
  <c r="N76" i="5"/>
  <c r="T76" i="5" s="1"/>
  <c r="N327" i="5"/>
  <c r="AA327" i="5" s="1"/>
  <c r="N251" i="5"/>
  <c r="U251" i="5" s="1"/>
  <c r="N241" i="5"/>
  <c r="N70" i="5"/>
  <c r="N716" i="5"/>
  <c r="Z716" i="5" s="1"/>
  <c r="N407" i="5"/>
  <c r="Z407" i="5" s="1"/>
  <c r="N132" i="5"/>
  <c r="U132" i="5" s="1"/>
  <c r="N722" i="5"/>
  <c r="N602" i="5"/>
  <c r="Z602" i="5" s="1"/>
  <c r="N351" i="5"/>
  <c r="N630" i="5"/>
  <c r="Z630" i="5" s="1"/>
  <c r="N161" i="5"/>
  <c r="T161" i="5" s="1"/>
  <c r="N258" i="5"/>
  <c r="U258" i="5" s="1"/>
  <c r="N770" i="5"/>
  <c r="AA770" i="5" s="1"/>
  <c r="N353" i="5"/>
  <c r="U353" i="5" s="1"/>
  <c r="N350" i="5"/>
  <c r="N275" i="5"/>
  <c r="U275" i="5" s="1"/>
  <c r="N308" i="5"/>
  <c r="T308" i="5" s="1"/>
  <c r="N820" i="5"/>
  <c r="T820" i="5" s="1"/>
  <c r="N249" i="5"/>
  <c r="N778" i="5"/>
  <c r="N762" i="5"/>
  <c r="AA762" i="5" s="1"/>
  <c r="N233" i="5"/>
  <c r="N502" i="5"/>
  <c r="N681" i="5"/>
  <c r="AA681" i="5" s="1"/>
  <c r="N137" i="5"/>
  <c r="Z137" i="5" s="1"/>
  <c r="N480" i="5"/>
  <c r="T480" i="5" s="1"/>
  <c r="N643" i="5"/>
  <c r="T643" i="5" s="1"/>
  <c r="N437" i="5"/>
  <c r="N191" i="5"/>
  <c r="U191" i="5" s="1"/>
  <c r="N260" i="5"/>
  <c r="U260" i="5" s="1"/>
  <c r="N678" i="5"/>
  <c r="AA678" i="5" s="1"/>
  <c r="N679" i="5"/>
  <c r="U679" i="5" s="1"/>
  <c r="N491" i="5"/>
  <c r="N135" i="5"/>
  <c r="N294" i="5"/>
  <c r="Z294" i="5" s="1"/>
  <c r="N815" i="5"/>
  <c r="T815" i="5" s="1"/>
  <c r="N186" i="5"/>
  <c r="U186" i="5" s="1"/>
  <c r="N721" i="5"/>
  <c r="U721" i="5" s="1"/>
  <c r="N713" i="5"/>
  <c r="U713" i="5" s="1"/>
  <c r="N80" i="5"/>
  <c r="U80" i="5" s="1"/>
  <c r="N500" i="5"/>
  <c r="N740" i="5"/>
  <c r="N520" i="5"/>
  <c r="N236" i="5"/>
  <c r="N663" i="5"/>
  <c r="N707" i="5"/>
  <c r="Z707" i="5" s="1"/>
  <c r="N736" i="5"/>
  <c r="Z736" i="5" s="1"/>
  <c r="N788" i="5"/>
  <c r="N222" i="5"/>
  <c r="N574" i="5"/>
  <c r="N73" i="5"/>
  <c r="T73" i="5" s="1"/>
  <c r="N462" i="5"/>
  <c r="U462" i="5" s="1"/>
  <c r="N501" i="5"/>
  <c r="AA501" i="5" s="1"/>
  <c r="N256" i="5"/>
  <c r="T256" i="5" s="1"/>
  <c r="N623" i="5"/>
  <c r="T623" i="5" s="1"/>
  <c r="N267" i="5"/>
  <c r="T267" i="5" s="1"/>
  <c r="N464" i="5"/>
  <c r="T464" i="5" s="1"/>
  <c r="N148" i="5"/>
  <c r="N352" i="5"/>
  <c r="N4" i="5"/>
  <c r="Z4" i="5" s="1"/>
  <c r="N669" i="5"/>
  <c r="Z669" i="5" s="1"/>
  <c r="N590" i="5"/>
  <c r="N173" i="5"/>
  <c r="AA173" i="5" s="1"/>
  <c r="N87" i="5"/>
  <c r="U87" i="5" s="1"/>
  <c r="N340" i="5"/>
  <c r="U340" i="5" s="1"/>
  <c r="N245" i="5"/>
  <c r="U245" i="5" s="1"/>
  <c r="N39" i="5"/>
  <c r="N531" i="5"/>
  <c r="AA531" i="5" s="1"/>
  <c r="N683" i="5"/>
  <c r="Z683" i="5" s="1"/>
  <c r="N219" i="5"/>
  <c r="AA219" i="5" s="1"/>
  <c r="N347" i="5"/>
  <c r="Z347" i="5" s="1"/>
  <c r="N580" i="5"/>
  <c r="T539" i="5" l="1"/>
  <c r="T437" i="5"/>
  <c r="U489" i="5"/>
  <c r="T325" i="5"/>
  <c r="U410" i="5"/>
  <c r="U409" i="5"/>
  <c r="AA410" i="5"/>
  <c r="Z541" i="5"/>
  <c r="U432" i="5"/>
  <c r="U303" i="5"/>
  <c r="U324" i="5"/>
  <c r="AA542" i="5"/>
  <c r="T541" i="5"/>
  <c r="U421" i="5"/>
  <c r="Z303" i="5"/>
  <c r="Z543" i="5"/>
  <c r="AA784" i="5"/>
  <c r="AA543" i="5"/>
  <c r="U538" i="5"/>
  <c r="Z409" i="5"/>
  <c r="AA539" i="5"/>
  <c r="AA541" i="5"/>
  <c r="U784" i="5"/>
  <c r="AA538" i="5"/>
  <c r="T458" i="5"/>
  <c r="T499" i="5"/>
  <c r="AA409" i="5"/>
  <c r="AA540" i="5"/>
  <c r="U540" i="5"/>
  <c r="T540" i="5"/>
  <c r="Z540" i="5"/>
  <c r="Z410" i="5"/>
  <c r="T784" i="5"/>
  <c r="T538" i="5"/>
  <c r="U539" i="5"/>
  <c r="U28" i="5"/>
  <c r="T221" i="5"/>
  <c r="T31" i="5"/>
  <c r="T3" i="5"/>
  <c r="T55" i="5"/>
  <c r="Z39" i="5"/>
  <c r="T182" i="5"/>
  <c r="U813" i="5"/>
  <c r="Z332" i="5"/>
  <c r="Z187" i="5"/>
  <c r="Z17" i="5"/>
  <c r="T214" i="5"/>
  <c r="Z77" i="5"/>
  <c r="U127" i="5"/>
  <c r="T299" i="5"/>
  <c r="U786" i="5"/>
  <c r="T45" i="5"/>
  <c r="AA360" i="5"/>
  <c r="Z143" i="5"/>
  <c r="U797" i="5"/>
  <c r="AA53" i="5"/>
  <c r="U344" i="5"/>
  <c r="U42" i="5"/>
  <c r="AA774" i="5"/>
  <c r="T61" i="5"/>
  <c r="T563" i="5"/>
  <c r="K212" i="5"/>
  <c r="T212" i="5" s="1"/>
  <c r="K213" i="5"/>
  <c r="T213" i="5" s="1"/>
  <c r="K215" i="5"/>
  <c r="Z215" i="5" s="1"/>
  <c r="U281" i="5"/>
  <c r="U283" i="5"/>
  <c r="U286" i="5"/>
  <c r="K284" i="5"/>
  <c r="AA284" i="5" s="1"/>
  <c r="K285" i="5"/>
  <c r="Z285" i="5" s="1"/>
  <c r="K282" i="5"/>
  <c r="U282" i="5" s="1"/>
  <c r="Z36" i="5"/>
  <c r="U346" i="5"/>
  <c r="U32" i="5"/>
  <c r="T666" i="5"/>
  <c r="T501" i="5"/>
  <c r="U92" i="5"/>
  <c r="U617" i="5"/>
  <c r="T375" i="5"/>
  <c r="U471" i="5"/>
  <c r="T301" i="5"/>
  <c r="U134" i="5"/>
  <c r="T721" i="5"/>
  <c r="T562" i="5"/>
  <c r="T717" i="5"/>
  <c r="T373" i="5"/>
  <c r="T28" i="5"/>
  <c r="T367" i="5"/>
  <c r="U76" i="5"/>
  <c r="T747" i="5"/>
  <c r="U618" i="5"/>
  <c r="T202" i="5"/>
  <c r="T566" i="5"/>
  <c r="T204" i="5"/>
  <c r="T783" i="5"/>
  <c r="T534" i="5"/>
  <c r="T639" i="5"/>
  <c r="T210" i="5"/>
  <c r="T797" i="5"/>
  <c r="U463" i="5"/>
  <c r="U229" i="5"/>
  <c r="U771" i="5"/>
  <c r="U85" i="5"/>
  <c r="U326" i="5"/>
  <c r="U3" i="5"/>
  <c r="T105" i="5"/>
  <c r="U470" i="5"/>
  <c r="U815" i="5"/>
  <c r="T807" i="5"/>
  <c r="T132" i="5"/>
  <c r="T191" i="5"/>
  <c r="T659" i="5"/>
  <c r="U22" i="5"/>
  <c r="T88" i="5"/>
  <c r="U322" i="5"/>
  <c r="T158" i="5"/>
  <c r="U291" i="5"/>
  <c r="T281" i="5"/>
  <c r="U370" i="5"/>
  <c r="U511" i="5"/>
  <c r="T519" i="5"/>
  <c r="T174" i="5"/>
  <c r="U168" i="5"/>
  <c r="T162" i="5"/>
  <c r="T648" i="5"/>
  <c r="T58" i="5"/>
  <c r="U272" i="5"/>
  <c r="T240" i="5"/>
  <c r="T358" i="5"/>
  <c r="T645" i="5"/>
  <c r="T492" i="5"/>
  <c r="T396" i="5"/>
  <c r="T336" i="5"/>
  <c r="T374" i="5"/>
  <c r="T553" i="5"/>
  <c r="U227" i="5"/>
  <c r="U30" i="5"/>
  <c r="T556" i="5"/>
  <c r="T432" i="5"/>
  <c r="T816" i="5"/>
  <c r="U219" i="5"/>
  <c r="U775" i="5"/>
  <c r="T471" i="5"/>
  <c r="T706" i="5"/>
  <c r="T80" i="5"/>
  <c r="T258" i="5"/>
  <c r="U755" i="5"/>
  <c r="T805" i="5"/>
  <c r="T314" i="5"/>
  <c r="T84" i="5"/>
  <c r="U50" i="5"/>
  <c r="T102" i="5"/>
  <c r="T680" i="5"/>
  <c r="U407" i="5"/>
  <c r="T4" i="5"/>
  <c r="T112" i="5"/>
  <c r="T74" i="5"/>
  <c r="T593" i="5"/>
  <c r="U198" i="5"/>
  <c r="T803" i="5"/>
  <c r="T597" i="5"/>
  <c r="U510" i="5"/>
  <c r="U531" i="5"/>
  <c r="T408" i="5"/>
  <c r="U181" i="5"/>
  <c r="U150" i="5"/>
  <c r="U193" i="5"/>
  <c r="T670" i="5"/>
  <c r="T380" i="5"/>
  <c r="U263" i="5"/>
  <c r="T813" i="5"/>
  <c r="U652" i="5"/>
  <c r="U288" i="5"/>
  <c r="U341" i="5"/>
  <c r="U78" i="5"/>
  <c r="T317" i="5"/>
  <c r="U555" i="5"/>
  <c r="U369" i="5"/>
  <c r="T119" i="5"/>
  <c r="U548" i="5"/>
  <c r="T275" i="5"/>
  <c r="T231" i="5"/>
  <c r="U800" i="5"/>
  <c r="T287" i="5"/>
  <c r="T186" i="5"/>
  <c r="U305" i="5"/>
  <c r="U383" i="5"/>
  <c r="T342" i="5"/>
  <c r="U378" i="5"/>
  <c r="U338" i="5"/>
  <c r="T799" i="5"/>
  <c r="T42" i="5"/>
  <c r="U605" i="5"/>
  <c r="T631" i="5"/>
  <c r="T127" i="5"/>
  <c r="U588" i="5"/>
  <c r="T578" i="5"/>
  <c r="T359" i="5"/>
  <c r="U649" i="5"/>
  <c r="T582" i="5"/>
  <c r="T29" i="5"/>
  <c r="U255" i="5"/>
  <c r="U46" i="5"/>
  <c r="U420" i="5"/>
  <c r="T209" i="5"/>
  <c r="U164" i="5"/>
  <c r="T603" i="5"/>
  <c r="U792" i="5"/>
  <c r="T620" i="5"/>
  <c r="T628" i="5"/>
  <c r="U137" i="5"/>
  <c r="U182" i="5"/>
  <c r="T196" i="5"/>
  <c r="T263" i="5"/>
  <c r="T423" i="5"/>
  <c r="T300" i="5"/>
  <c r="U311" i="5"/>
  <c r="T251" i="5"/>
  <c r="T326" i="5"/>
  <c r="T487" i="5"/>
  <c r="T184" i="5"/>
  <c r="T268" i="5"/>
  <c r="U403" i="5"/>
  <c r="U804" i="5"/>
  <c r="U805" i="5"/>
  <c r="U819" i="5"/>
  <c r="U603" i="5"/>
  <c r="T288" i="5"/>
  <c r="U84" i="5"/>
  <c r="U552" i="5"/>
  <c r="U623" i="5"/>
  <c r="U317" i="5"/>
  <c r="U485" i="5"/>
  <c r="T675" i="5"/>
  <c r="U464" i="5"/>
  <c r="T322" i="5"/>
  <c r="U174" i="5"/>
  <c r="U196" i="5"/>
  <c r="T817" i="5"/>
  <c r="U380" i="5"/>
  <c r="U295" i="5"/>
  <c r="U359" i="5"/>
  <c r="T704" i="5"/>
  <c r="T546" i="5"/>
  <c r="T165" i="5"/>
  <c r="U518" i="5"/>
  <c r="U645" i="5"/>
  <c r="T355" i="5"/>
  <c r="U661" i="5"/>
  <c r="U611" i="5"/>
  <c r="U504" i="5"/>
  <c r="U287" i="5"/>
  <c r="U195" i="5"/>
  <c r="U269" i="5"/>
  <c r="U707" i="5"/>
  <c r="U648" i="5"/>
  <c r="T403" i="5"/>
  <c r="U678" i="5"/>
  <c r="U256" i="5"/>
  <c r="T400" i="5"/>
  <c r="U547" i="5"/>
  <c r="U685" i="5"/>
  <c r="U113" i="5"/>
  <c r="U714" i="5"/>
  <c r="U239" i="5"/>
  <c r="T201" i="5"/>
  <c r="T176" i="5"/>
  <c r="T170" i="5"/>
  <c r="T389" i="5"/>
  <c r="U503" i="5"/>
  <c r="T63" i="5"/>
  <c r="U388" i="5"/>
  <c r="U810" i="5"/>
  <c r="U448" i="5"/>
  <c r="U297" i="5"/>
  <c r="T271" i="5"/>
  <c r="T764" i="5"/>
  <c r="T344" i="5"/>
  <c r="U101" i="5"/>
  <c r="T109" i="5"/>
  <c r="U254" i="5"/>
  <c r="U499" i="5"/>
  <c r="T697" i="5"/>
  <c r="U266" i="5"/>
  <c r="T337" i="5"/>
  <c r="U393" i="5"/>
  <c r="T239" i="5"/>
  <c r="U377" i="5"/>
  <c r="T442" i="5"/>
  <c r="T383" i="5"/>
  <c r="U45" i="5"/>
  <c r="T290" i="5"/>
  <c r="U694" i="5"/>
  <c r="T98" i="5"/>
  <c r="T407" i="5"/>
  <c r="T774" i="5"/>
  <c r="U36" i="5"/>
  <c r="T353" i="5"/>
  <c r="U278" i="5"/>
  <c r="T567" i="5"/>
  <c r="U802" i="5"/>
  <c r="U642" i="5"/>
  <c r="T11" i="5"/>
  <c r="U701" i="5"/>
  <c r="T658" i="5"/>
  <c r="T306" i="5"/>
  <c r="U382" i="5"/>
  <c r="U399" i="5"/>
  <c r="U143" i="5"/>
  <c r="U436" i="5"/>
  <c r="U330" i="5"/>
  <c r="U118" i="5"/>
  <c r="U296" i="5"/>
  <c r="U357" i="5"/>
  <c r="T669" i="5"/>
  <c r="T379" i="5"/>
  <c r="T173" i="5"/>
  <c r="U217" i="5"/>
  <c r="T575" i="5"/>
  <c r="T531" i="5"/>
  <c r="T309" i="5"/>
  <c r="T94" i="5"/>
  <c r="U172" i="5"/>
  <c r="U638" i="5"/>
  <c r="T67" i="5"/>
  <c r="T565" i="5"/>
  <c r="U696" i="5"/>
  <c r="T343" i="5"/>
  <c r="T640" i="5"/>
  <c r="U35" i="5"/>
  <c r="U744" i="5"/>
  <c r="U362" i="5"/>
  <c r="T708" i="5"/>
  <c r="U654" i="5"/>
  <c r="U381" i="5"/>
  <c r="U39" i="5"/>
  <c r="T54" i="5"/>
  <c r="T93" i="5"/>
  <c r="T115" i="5"/>
  <c r="T483" i="5"/>
  <c r="T532" i="5"/>
  <c r="T146" i="5"/>
  <c r="U329" i="5"/>
  <c r="T349" i="5"/>
  <c r="T515" i="5"/>
  <c r="U630" i="5"/>
  <c r="T584" i="5"/>
  <c r="U376" i="5"/>
  <c r="U798" i="5"/>
  <c r="U77" i="5"/>
  <c r="T36" i="5"/>
  <c r="U567" i="5"/>
  <c r="T97" i="5"/>
  <c r="U437" i="5"/>
  <c r="T211" i="5"/>
  <c r="U431" i="5"/>
  <c r="T264" i="5"/>
  <c r="U770" i="5"/>
  <c r="U406" i="5"/>
  <c r="U629" i="5"/>
  <c r="T187" i="5"/>
  <c r="T436" i="5"/>
  <c r="U818" i="5"/>
  <c r="U41" i="5"/>
  <c r="U669" i="5"/>
  <c r="T226" i="5"/>
  <c r="T81" i="5"/>
  <c r="T683" i="5"/>
  <c r="T333" i="5"/>
  <c r="T760" i="5"/>
  <c r="U354" i="5"/>
  <c r="U734" i="5"/>
  <c r="U384" i="5"/>
  <c r="U592" i="5"/>
  <c r="T260" i="5"/>
  <c r="T318" i="5"/>
  <c r="T489" i="5"/>
  <c r="T39" i="5"/>
  <c r="U155" i="5"/>
  <c r="U49" i="5"/>
  <c r="T457" i="5"/>
  <c r="U157" i="5"/>
  <c r="U100" i="5"/>
  <c r="U349" i="5"/>
  <c r="U808" i="5"/>
  <c r="T577" i="5"/>
  <c r="T77" i="5"/>
  <c r="T727" i="5"/>
  <c r="T699" i="5"/>
  <c r="T720" i="5"/>
  <c r="U614" i="5"/>
  <c r="U801" i="5"/>
  <c r="U411" i="5"/>
  <c r="T313" i="5"/>
  <c r="T431" i="5"/>
  <c r="T809" i="5"/>
  <c r="T347" i="5"/>
  <c r="U129" i="5"/>
  <c r="T771" i="5"/>
  <c r="T406" i="5"/>
  <c r="U582" i="5"/>
  <c r="U187" i="5"/>
  <c r="T243" i="5"/>
  <c r="T785" i="5"/>
  <c r="U562" i="5"/>
  <c r="T41" i="5"/>
  <c r="T235" i="5"/>
  <c r="T667" i="5"/>
  <c r="T510" i="5"/>
  <c r="T811" i="5"/>
  <c r="T354" i="5"/>
  <c r="T734" i="5"/>
  <c r="T472" i="5"/>
  <c r="T283" i="5"/>
  <c r="T293" i="5"/>
  <c r="T505" i="5"/>
  <c r="U505" i="5"/>
  <c r="T417" i="5"/>
  <c r="U417" i="5"/>
  <c r="T536" i="5"/>
  <c r="U536" i="5"/>
  <c r="T484" i="5"/>
  <c r="U484" i="5"/>
  <c r="T185" i="5"/>
  <c r="U185" i="5"/>
  <c r="U513" i="5"/>
  <c r="T513" i="5"/>
  <c r="U537" i="5"/>
  <c r="T537" i="5"/>
  <c r="T238" i="5"/>
  <c r="U238" i="5"/>
  <c r="T476" i="5"/>
  <c r="U476" i="5"/>
  <c r="U608" i="5"/>
  <c r="T608" i="5"/>
  <c r="U766" i="5"/>
  <c r="T766" i="5"/>
  <c r="T507" i="5"/>
  <c r="U633" i="5"/>
  <c r="T653" i="5"/>
  <c r="T450" i="5"/>
  <c r="T676" i="5"/>
  <c r="U676" i="5"/>
  <c r="T777" i="5"/>
  <c r="U777" i="5"/>
  <c r="T131" i="5"/>
  <c r="U131" i="5"/>
  <c r="T674" i="5"/>
  <c r="U674" i="5"/>
  <c r="U529" i="5"/>
  <c r="T529" i="5"/>
  <c r="U522" i="5"/>
  <c r="T522" i="5"/>
  <c r="T37" i="5"/>
  <c r="U37" i="5"/>
  <c r="U66" i="5"/>
  <c r="T66" i="5"/>
  <c r="T796" i="5"/>
  <c r="U796" i="5"/>
  <c r="U673" i="5"/>
  <c r="T673" i="5"/>
  <c r="U502" i="5"/>
  <c r="T502" i="5"/>
  <c r="U660" i="5"/>
  <c r="U52" i="5"/>
  <c r="T248" i="5"/>
  <c r="U16" i="5"/>
  <c r="U404" i="5"/>
  <c r="U44" i="5"/>
  <c r="U348" i="5"/>
  <c r="T812" i="5"/>
  <c r="T781" i="5"/>
  <c r="T619" i="5"/>
  <c r="U188" i="5"/>
  <c r="T438" i="5"/>
  <c r="U438" i="5"/>
  <c r="T319" i="5"/>
  <c r="U319" i="5"/>
  <c r="U520" i="5"/>
  <c r="T520" i="5"/>
  <c r="U391" i="5"/>
  <c r="T391" i="5"/>
  <c r="T451" i="5"/>
  <c r="U451" i="5"/>
  <c r="T183" i="5"/>
  <c r="U183" i="5"/>
  <c r="U310" i="5"/>
  <c r="T310" i="5"/>
  <c r="U461" i="5"/>
  <c r="T461" i="5"/>
  <c r="T768" i="5"/>
  <c r="U768" i="5"/>
  <c r="U133" i="5"/>
  <c r="T133" i="5"/>
  <c r="T149" i="5"/>
  <c r="U149" i="5"/>
  <c r="U791" i="5"/>
  <c r="T791" i="5"/>
  <c r="T40" i="5"/>
  <c r="U40" i="5"/>
  <c r="U730" i="5"/>
  <c r="T730" i="5"/>
  <c r="U585" i="5"/>
  <c r="T585" i="5"/>
  <c r="U488" i="5"/>
  <c r="T488" i="5"/>
  <c r="U233" i="5"/>
  <c r="T233" i="5"/>
  <c r="U241" i="5"/>
  <c r="T241" i="5"/>
  <c r="U10" i="5"/>
  <c r="T10" i="5"/>
  <c r="T138" i="5"/>
  <c r="U138" i="5"/>
  <c r="U474" i="5"/>
  <c r="U668" i="5"/>
  <c r="T581" i="5"/>
  <c r="U106" i="5"/>
  <c r="T89" i="5"/>
  <c r="U79" i="5"/>
  <c r="U323" i="5"/>
  <c r="U33" i="5"/>
  <c r="T559" i="5"/>
  <c r="U523" i="5"/>
  <c r="T364" i="5"/>
  <c r="T103" i="5"/>
  <c r="U276" i="5"/>
  <c r="T713" i="5"/>
  <c r="T709" i="5"/>
  <c r="T687" i="5"/>
  <c r="T624" i="5"/>
  <c r="T175" i="5"/>
  <c r="U221" i="5"/>
  <c r="T743" i="5"/>
  <c r="U480" i="5"/>
  <c r="T710" i="5"/>
  <c r="T561" i="5"/>
  <c r="U6" i="5"/>
  <c r="T312" i="5"/>
  <c r="T466" i="5"/>
  <c r="T485" i="5"/>
  <c r="U435" i="5"/>
  <c r="T137" i="5"/>
  <c r="U400" i="5"/>
  <c r="U591" i="5"/>
  <c r="U116" i="5"/>
  <c r="T190" i="5"/>
  <c r="U343" i="5"/>
  <c r="U444" i="5"/>
  <c r="U124" i="5"/>
  <c r="U671" i="5"/>
  <c r="U640" i="5"/>
  <c r="T104" i="5"/>
  <c r="U759" i="5"/>
  <c r="T273" i="5"/>
  <c r="T611" i="5"/>
  <c r="T315" i="5"/>
  <c r="U615" i="5"/>
  <c r="T700" i="5"/>
  <c r="U385" i="5"/>
  <c r="T140" i="5"/>
  <c r="T156" i="5"/>
  <c r="T51" i="5"/>
  <c r="T656" i="5"/>
  <c r="T334" i="5"/>
  <c r="T192" i="5"/>
  <c r="T362" i="5"/>
  <c r="T7" i="5"/>
  <c r="U7" i="5"/>
  <c r="U467" i="5"/>
  <c r="T467" i="5"/>
  <c r="T69" i="5"/>
  <c r="U69" i="5"/>
  <c r="T152" i="5"/>
  <c r="U152" i="5"/>
  <c r="U767" i="5"/>
  <c r="T767" i="5"/>
  <c r="U425" i="5"/>
  <c r="T425" i="5"/>
  <c r="T589" i="5"/>
  <c r="U589" i="5"/>
  <c r="T788" i="5"/>
  <c r="U788" i="5"/>
  <c r="T662" i="5"/>
  <c r="U662" i="5"/>
  <c r="T445" i="5"/>
  <c r="U445" i="5"/>
  <c r="T139" i="5"/>
  <c r="U139" i="5"/>
  <c r="T677" i="5"/>
  <c r="U677" i="5"/>
  <c r="T20" i="5"/>
  <c r="U20" i="5"/>
  <c r="U205" i="5"/>
  <c r="T205" i="5"/>
  <c r="T737" i="5"/>
  <c r="U737" i="5"/>
  <c r="T320" i="5"/>
  <c r="U320" i="5"/>
  <c r="U230" i="5"/>
  <c r="T230" i="5"/>
  <c r="U70" i="5"/>
  <c r="T70" i="5"/>
  <c r="U12" i="5"/>
  <c r="T12" i="5"/>
  <c r="U496" i="5"/>
  <c r="T496" i="5"/>
  <c r="T703" i="5"/>
  <c r="U703" i="5"/>
  <c r="U663" i="5"/>
  <c r="T663" i="5"/>
  <c r="U787" i="5"/>
  <c r="T787" i="5"/>
  <c r="T517" i="5"/>
  <c r="U517" i="5"/>
  <c r="U225" i="5"/>
  <c r="T225" i="5"/>
  <c r="T208" i="5"/>
  <c r="U208" i="5"/>
  <c r="U89" i="5"/>
  <c r="T323" i="5"/>
  <c r="U559" i="5"/>
  <c r="T523" i="5"/>
  <c r="U103" i="5"/>
  <c r="U709" i="5"/>
  <c r="U624" i="5"/>
  <c r="U743" i="5"/>
  <c r="T605" i="5"/>
  <c r="U710" i="5"/>
  <c r="T159" i="5"/>
  <c r="U401" i="5"/>
  <c r="T637" i="5"/>
  <c r="U447" i="5"/>
  <c r="U98" i="5"/>
  <c r="U675" i="5"/>
  <c r="T621" i="5"/>
  <c r="T555" i="5"/>
  <c r="U452" i="5"/>
  <c r="U727" i="5"/>
  <c r="U699" i="5"/>
  <c r="U666" i="5"/>
  <c r="U720" i="5"/>
  <c r="U719" i="5"/>
  <c r="T111" i="5"/>
  <c r="U594" i="5"/>
  <c r="T224" i="5"/>
  <c r="U59" i="5"/>
  <c r="U387" i="5"/>
  <c r="T761" i="5"/>
  <c r="U211" i="5"/>
  <c r="U220" i="5"/>
  <c r="U647" i="5"/>
  <c r="U95" i="5"/>
  <c r="U114" i="5"/>
  <c r="T446" i="5"/>
  <c r="T87" i="5"/>
  <c r="U806" i="5"/>
  <c r="T814" i="5"/>
  <c r="U546" i="5"/>
  <c r="T690" i="5"/>
  <c r="U73" i="5"/>
  <c r="U169" i="5"/>
  <c r="U655" i="5"/>
  <c r="U534" i="5"/>
  <c r="T86" i="5"/>
  <c r="U177" i="5"/>
  <c r="U508" i="5"/>
  <c r="T572" i="5"/>
  <c r="T448" i="5"/>
  <c r="T641" i="5"/>
  <c r="T617" i="5"/>
  <c r="U332" i="5"/>
  <c r="U497" i="5"/>
  <c r="T234" i="5"/>
  <c r="U650" i="5"/>
  <c r="U231" i="5"/>
  <c r="T607" i="5"/>
  <c r="T626" i="5"/>
  <c r="U736" i="5"/>
  <c r="U235" i="5"/>
  <c r="T286" i="5"/>
  <c r="T371" i="5"/>
  <c r="T340" i="5"/>
  <c r="U820" i="5"/>
  <c r="T99" i="5"/>
  <c r="T742" i="5"/>
  <c r="U173" i="5"/>
  <c r="T250" i="5"/>
  <c r="T46" i="5"/>
  <c r="U683" i="5"/>
  <c r="U430" i="5"/>
  <c r="U639" i="5"/>
  <c r="U333" i="5"/>
  <c r="U328" i="5"/>
  <c r="U386" i="5"/>
  <c r="T707" i="5"/>
  <c r="U109" i="5"/>
  <c r="T370" i="5"/>
  <c r="T421" i="5"/>
  <c r="T635" i="5"/>
  <c r="T583" i="5"/>
  <c r="T516" i="5"/>
  <c r="T691" i="5"/>
  <c r="T160" i="5"/>
  <c r="T573" i="5"/>
  <c r="U321" i="5"/>
  <c r="U207" i="5"/>
  <c r="T544" i="5"/>
  <c r="U512" i="5"/>
  <c r="T512" i="5"/>
  <c r="T726" i="5"/>
  <c r="U726" i="5"/>
  <c r="T163" i="5"/>
  <c r="T48" i="5"/>
  <c r="T223" i="5"/>
  <c r="U167" i="5"/>
  <c r="U731" i="5"/>
  <c r="T498" i="5"/>
  <c r="U498" i="5"/>
  <c r="U145" i="5"/>
  <c r="T145" i="5"/>
  <c r="T780" i="5"/>
  <c r="U780" i="5"/>
  <c r="U418" i="5"/>
  <c r="T418" i="5"/>
  <c r="U413" i="5"/>
  <c r="T413" i="5"/>
  <c r="T49" i="5"/>
  <c r="U312" i="5"/>
  <c r="U104" i="5"/>
  <c r="U273" i="5"/>
  <c r="T385" i="5"/>
  <c r="U351" i="5"/>
  <c r="T351" i="5"/>
  <c r="U228" i="5"/>
  <c r="T228" i="5"/>
  <c r="U495" i="5"/>
  <c r="T495" i="5"/>
  <c r="U144" i="5"/>
  <c r="T144" i="5"/>
  <c r="U746" i="5"/>
  <c r="T746" i="5"/>
  <c r="T68" i="5"/>
  <c r="U68" i="5"/>
  <c r="U672" i="5"/>
  <c r="U705" i="5"/>
  <c r="U460" i="5"/>
  <c r="U159" i="5"/>
  <c r="T401" i="5"/>
  <c r="T59" i="5"/>
  <c r="U446" i="5"/>
  <c r="U690" i="5"/>
  <c r="T169" i="5"/>
  <c r="T655" i="5"/>
  <c r="U250" i="5"/>
  <c r="U516" i="5"/>
  <c r="U544" i="5"/>
  <c r="T125" i="5"/>
  <c r="U125" i="5"/>
  <c r="U772" i="5"/>
  <c r="T772" i="5"/>
  <c r="T729" i="5"/>
  <c r="U729" i="5"/>
  <c r="T141" i="5"/>
  <c r="U141" i="5"/>
  <c r="T753" i="5"/>
  <c r="U753" i="5"/>
  <c r="U475" i="5"/>
  <c r="T475" i="5"/>
  <c r="T459" i="5"/>
  <c r="U459" i="5"/>
  <c r="T481" i="5"/>
  <c r="U481" i="5"/>
  <c r="T702" i="5"/>
  <c r="U702" i="5"/>
  <c r="U794" i="5"/>
  <c r="T794" i="5"/>
  <c r="T754" i="5"/>
  <c r="U754" i="5"/>
  <c r="U590" i="5"/>
  <c r="T590" i="5"/>
  <c r="T758" i="5"/>
  <c r="U758" i="5"/>
  <c r="U142" i="5"/>
  <c r="T142" i="5"/>
  <c r="T745" i="5"/>
  <c r="U745" i="5"/>
  <c r="T15" i="5"/>
  <c r="U15" i="5"/>
  <c r="T126" i="5"/>
  <c r="U126" i="5"/>
  <c r="T514" i="5"/>
  <c r="U514" i="5"/>
  <c r="U725" i="5"/>
  <c r="T725" i="5"/>
  <c r="U491" i="5"/>
  <c r="T491" i="5"/>
  <c r="T394" i="5"/>
  <c r="U394" i="5"/>
  <c r="T249" i="5"/>
  <c r="U249" i="5"/>
  <c r="T390" i="5"/>
  <c r="U390" i="5"/>
  <c r="T728" i="5"/>
  <c r="U728" i="5"/>
  <c r="T194" i="5"/>
  <c r="U554" i="5"/>
  <c r="T378" i="5"/>
  <c r="U91" i="5"/>
  <c r="U62" i="5"/>
  <c r="U456" i="5"/>
  <c r="U360" i="5"/>
  <c r="U339" i="5"/>
  <c r="U54" i="5"/>
  <c r="T393" i="5"/>
  <c r="U717" i="5"/>
  <c r="U361" i="5"/>
  <c r="T18" i="5"/>
  <c r="U398" i="5"/>
  <c r="U13" i="5"/>
  <c r="U738" i="5"/>
  <c r="U711" i="5"/>
  <c r="U532" i="5"/>
  <c r="T136" i="5"/>
  <c r="T193" i="5"/>
  <c r="T157" i="5"/>
  <c r="T329" i="5"/>
  <c r="T558" i="5"/>
  <c r="U267" i="5"/>
  <c r="U622" i="5"/>
  <c r="U501" i="5"/>
  <c r="T117" i="5"/>
  <c r="T665" i="5"/>
  <c r="T679" i="5"/>
  <c r="U363" i="5"/>
  <c r="T712" i="5"/>
  <c r="U307" i="5"/>
  <c r="U455" i="5"/>
  <c r="T602" i="5"/>
  <c r="T82" i="5"/>
  <c r="T9" i="5"/>
  <c r="T200" i="5"/>
  <c r="T598" i="5"/>
  <c r="T527" i="5"/>
  <c r="U563" i="5"/>
  <c r="T786" i="5"/>
  <c r="T412" i="5"/>
  <c r="T545" i="5"/>
  <c r="T345" i="5"/>
  <c r="U298" i="5"/>
  <c r="U627" i="5"/>
  <c r="U609" i="5"/>
  <c r="T199" i="5"/>
  <c r="T625" i="5"/>
  <c r="U308" i="5"/>
  <c r="T38" i="5"/>
  <c r="U526" i="5"/>
  <c r="U279" i="5"/>
  <c r="U335" i="5"/>
  <c r="U25" i="5"/>
  <c r="U795" i="5"/>
  <c r="T646" i="5"/>
  <c r="U259" i="5"/>
  <c r="T715" i="5"/>
  <c r="U120" i="5"/>
  <c r="T245" i="5"/>
  <c r="U550" i="5"/>
  <c r="U161" i="5"/>
  <c r="T72" i="5"/>
  <c r="U23" i="5"/>
  <c r="T793" i="5"/>
  <c r="U27" i="5"/>
  <c r="U171" i="5"/>
  <c r="U682" i="5"/>
  <c r="U154" i="5"/>
  <c r="T277" i="5"/>
  <c r="U2" i="5"/>
  <c r="U26" i="5"/>
  <c r="T557" i="5"/>
  <c r="U17" i="5"/>
  <c r="U83" i="5"/>
  <c r="T568" i="5"/>
  <c r="U612" i="5"/>
  <c r="T237" i="5"/>
  <c r="T14" i="5"/>
  <c r="U368" i="5"/>
  <c r="U366" i="5"/>
  <c r="T397" i="5"/>
  <c r="U651" i="5"/>
  <c r="U197" i="5"/>
  <c r="T402" i="5"/>
  <c r="U47" i="5"/>
  <c r="T613" i="5"/>
  <c r="T664" i="5"/>
  <c r="T486" i="5"/>
  <c r="T735" i="5"/>
  <c r="U327" i="5"/>
  <c r="T739" i="5"/>
  <c r="U289" i="5"/>
  <c r="U203" i="5"/>
  <c r="T681" i="5"/>
  <c r="T762" i="5"/>
  <c r="T465" i="5"/>
  <c r="T75" i="5"/>
  <c r="T441" i="5"/>
  <c r="T644" i="5"/>
  <c r="U214" i="5"/>
  <c r="T684" i="5"/>
  <c r="U122" i="5"/>
  <c r="T216" i="5"/>
  <c r="U107" i="5"/>
  <c r="T34" i="5"/>
  <c r="U449" i="5"/>
  <c r="T616" i="5"/>
  <c r="U110" i="5"/>
  <c r="U765" i="5"/>
  <c r="U179" i="5"/>
  <c r="U372" i="5"/>
  <c r="U189" i="5"/>
  <c r="T549" i="5"/>
  <c r="T586" i="5"/>
  <c r="U247" i="5"/>
  <c r="T253" i="5"/>
  <c r="U606" i="5"/>
  <c r="T270" i="5"/>
  <c r="U121" i="5"/>
  <c r="U316" i="5"/>
  <c r="U55" i="5"/>
  <c r="U57" i="5"/>
  <c r="U90" i="5"/>
  <c r="U551" i="5"/>
  <c r="U356" i="5"/>
  <c r="U242" i="5"/>
  <c r="T564" i="5"/>
  <c r="U56" i="5"/>
  <c r="U427" i="5"/>
  <c r="T688" i="5"/>
  <c r="U274" i="5"/>
  <c r="U440" i="5"/>
  <c r="T19" i="5"/>
  <c r="T395" i="5"/>
  <c r="U395" i="5"/>
  <c r="U692" i="5"/>
  <c r="T692" i="5"/>
  <c r="T500" i="5"/>
  <c r="U500" i="5"/>
  <c r="U419" i="5"/>
  <c r="T419" i="5"/>
  <c r="U740" i="5"/>
  <c r="T740" i="5"/>
  <c r="T222" i="5"/>
  <c r="U222" i="5"/>
  <c r="T246" i="5"/>
  <c r="U246" i="5"/>
  <c r="T135" i="5"/>
  <c r="U135" i="5"/>
  <c r="U439" i="5"/>
  <c r="T439" i="5"/>
  <c r="T64" i="5"/>
  <c r="U64" i="5"/>
  <c r="U636" i="5"/>
  <c r="U643" i="5"/>
  <c r="U454" i="5"/>
  <c r="T365" i="5"/>
  <c r="T236" i="5"/>
  <c r="U236" i="5"/>
  <c r="U782" i="5"/>
  <c r="T782" i="5"/>
  <c r="T414" i="5"/>
  <c r="U414" i="5"/>
  <c r="T178" i="5"/>
  <c r="U178" i="5"/>
  <c r="U506" i="5"/>
  <c r="T506" i="5"/>
  <c r="T478" i="5"/>
  <c r="U478" i="5"/>
  <c r="U595" i="5"/>
  <c r="T595" i="5"/>
  <c r="U71" i="5"/>
  <c r="T71" i="5"/>
  <c r="T748" i="5"/>
  <c r="U748" i="5"/>
  <c r="T350" i="5"/>
  <c r="U350" i="5"/>
  <c r="T155" i="5"/>
  <c r="T778" i="5"/>
  <c r="U778" i="5"/>
  <c r="T756" i="5"/>
  <c r="U756" i="5"/>
  <c r="T693" i="5"/>
  <c r="U693" i="5"/>
  <c r="U574" i="5"/>
  <c r="T574" i="5"/>
  <c r="U331" i="5"/>
  <c r="T331" i="5"/>
  <c r="T751" i="5"/>
  <c r="U751" i="5"/>
  <c r="U352" i="5"/>
  <c r="T352" i="5"/>
  <c r="U147" i="5"/>
  <c r="T147" i="5"/>
  <c r="U429" i="5"/>
  <c r="T429" i="5"/>
  <c r="U776" i="5"/>
  <c r="T776" i="5"/>
  <c r="T62" i="5"/>
  <c r="T361" i="5"/>
  <c r="T711" i="5"/>
  <c r="T447" i="5"/>
  <c r="T95" i="5"/>
  <c r="U814" i="5"/>
  <c r="T332" i="5"/>
  <c r="U626" i="5"/>
  <c r="T736" i="5"/>
  <c r="T207" i="5"/>
  <c r="U490" i="5"/>
  <c r="T490" i="5"/>
  <c r="U477" i="5"/>
  <c r="T477" i="5"/>
  <c r="U579" i="5"/>
  <c r="T579" i="5"/>
  <c r="T148" i="5"/>
  <c r="U148" i="5"/>
  <c r="T750" i="5"/>
  <c r="U750" i="5"/>
  <c r="T493" i="5"/>
  <c r="U493" i="5"/>
  <c r="T528" i="5"/>
  <c r="U528" i="5"/>
  <c r="U5" i="5"/>
  <c r="T5" i="5"/>
  <c r="U428" i="5"/>
  <c r="T428" i="5"/>
  <c r="U601" i="5"/>
  <c r="T601" i="5"/>
  <c r="U530" i="5"/>
  <c r="T530" i="5"/>
  <c r="U752" i="5"/>
  <c r="T752" i="5"/>
  <c r="T789" i="5"/>
  <c r="U789" i="5"/>
  <c r="U779" i="5"/>
  <c r="T779" i="5"/>
  <c r="T689" i="5"/>
  <c r="U689" i="5"/>
  <c r="T280" i="5"/>
  <c r="U280" i="5"/>
  <c r="U392" i="5"/>
  <c r="T392" i="5"/>
  <c r="T180" i="5"/>
  <c r="U180" i="5"/>
  <c r="T43" i="5"/>
  <c r="U43" i="5"/>
  <c r="U509" i="5"/>
  <c r="T509" i="5"/>
  <c r="T130" i="5"/>
  <c r="U130" i="5"/>
  <c r="T494" i="5"/>
  <c r="U494" i="5"/>
  <c r="U718" i="5"/>
  <c r="T599" i="5"/>
  <c r="U576" i="5"/>
  <c r="U294" i="5"/>
  <c r="U265" i="5"/>
  <c r="T716" i="5"/>
  <c r="U741" i="5"/>
  <c r="T218" i="5"/>
  <c r="T462" i="5"/>
  <c r="U695" i="5"/>
  <c r="T634" i="5"/>
  <c r="U299" i="5"/>
  <c r="T53" i="5"/>
  <c r="T560" i="5"/>
  <c r="U261" i="5"/>
  <c r="U8" i="5"/>
  <c r="U262" i="5"/>
  <c r="U596" i="5"/>
  <c r="T21" i="5"/>
  <c r="T24" i="5"/>
  <c r="U570" i="5"/>
  <c r="U166" i="5"/>
  <c r="U31" i="5"/>
  <c r="T468" i="5"/>
  <c r="U257" i="5"/>
  <c r="U473" i="5"/>
  <c r="T569" i="5"/>
  <c r="U749" i="5"/>
  <c r="U632" i="5"/>
  <c r="U571" i="5"/>
  <c r="U610" i="5"/>
  <c r="U524" i="5"/>
  <c r="U206" i="5"/>
  <c r="U292" i="5"/>
  <c r="T405" i="5"/>
  <c r="T790" i="5"/>
  <c r="U686" i="5"/>
  <c r="T415" i="5"/>
  <c r="T96" i="5"/>
  <c r="U458" i="5"/>
  <c r="U535" i="5"/>
  <c r="U304" i="5"/>
  <c r="U61" i="5"/>
  <c r="T307" i="5"/>
  <c r="T455" i="5"/>
  <c r="U602" i="5"/>
  <c r="U200" i="5"/>
  <c r="U598" i="5"/>
  <c r="U412" i="5"/>
  <c r="U545" i="5"/>
  <c r="U345" i="5"/>
  <c r="T298" i="5"/>
  <c r="T627" i="5"/>
  <c r="T609" i="5"/>
  <c r="U199" i="5"/>
  <c r="T526" i="5"/>
  <c r="T25" i="5"/>
  <c r="U646" i="5"/>
  <c r="T259" i="5"/>
  <c r="T2" i="5"/>
  <c r="T17" i="5"/>
  <c r="T612" i="5"/>
  <c r="T366" i="5"/>
  <c r="U397" i="5"/>
  <c r="U402" i="5"/>
  <c r="T47" i="5"/>
  <c r="U613" i="5"/>
  <c r="U735" i="5"/>
  <c r="T327" i="5"/>
  <c r="T203" i="5"/>
  <c r="U681" i="5"/>
  <c r="U762" i="5"/>
  <c r="U216" i="5"/>
  <c r="T449" i="5"/>
  <c r="T765" i="5"/>
  <c r="T372" i="5"/>
  <c r="T606" i="5"/>
  <c r="U270" i="5"/>
  <c r="T316" i="5"/>
  <c r="T57" i="5"/>
  <c r="T242" i="5"/>
  <c r="T56" i="5"/>
  <c r="U252" i="5"/>
  <c r="T252" i="5"/>
  <c r="U443" i="5"/>
  <c r="T443" i="5"/>
  <c r="U422" i="5"/>
  <c r="T422" i="5"/>
  <c r="T469" i="5"/>
  <c r="U469" i="5"/>
  <c r="U769" i="5"/>
  <c r="T769" i="5"/>
  <c r="T123" i="5"/>
  <c r="U123" i="5"/>
  <c r="U416" i="5"/>
  <c r="T416" i="5"/>
  <c r="T108" i="5"/>
  <c r="U723" i="5"/>
  <c r="T587" i="5"/>
  <c r="T232" i="5"/>
  <c r="U60" i="5"/>
  <c r="U163" i="5"/>
  <c r="T591" i="5"/>
  <c r="T757" i="5"/>
  <c r="U757" i="5"/>
  <c r="U65" i="5"/>
  <c r="T65" i="5"/>
  <c r="T128" i="5"/>
  <c r="U128" i="5"/>
  <c r="U151" i="5"/>
  <c r="T151" i="5"/>
  <c r="U732" i="5"/>
  <c r="T732" i="5"/>
  <c r="T424" i="5"/>
  <c r="U424" i="5"/>
  <c r="T456" i="5"/>
  <c r="T360" i="5"/>
  <c r="T452" i="5"/>
  <c r="T177" i="5"/>
  <c r="U234" i="5"/>
  <c r="U99" i="5"/>
  <c r="T724" i="5"/>
  <c r="U724" i="5"/>
  <c r="U244" i="5"/>
  <c r="T244" i="5"/>
  <c r="T733" i="5"/>
  <c r="U733" i="5"/>
  <c r="U600" i="5"/>
  <c r="T600" i="5"/>
  <c r="U433" i="5"/>
  <c r="T433" i="5"/>
  <c r="U453" i="5"/>
  <c r="T453" i="5"/>
  <c r="U521" i="5"/>
  <c r="T521" i="5"/>
  <c r="T153" i="5"/>
  <c r="U153" i="5"/>
  <c r="T580" i="5"/>
  <c r="U580" i="5"/>
  <c r="U657" i="5"/>
  <c r="T657" i="5"/>
  <c r="U698" i="5"/>
  <c r="T698" i="5"/>
  <c r="U763" i="5"/>
  <c r="T763" i="5"/>
  <c r="U482" i="5"/>
  <c r="T482" i="5"/>
  <c r="T426" i="5"/>
  <c r="U426" i="5"/>
  <c r="T773" i="5"/>
  <c r="U773" i="5"/>
  <c r="U604" i="5"/>
  <c r="T604" i="5"/>
  <c r="T533" i="5"/>
  <c r="U533" i="5"/>
  <c r="U525" i="5"/>
  <c r="T525" i="5"/>
  <c r="T479" i="5"/>
  <c r="U479" i="5"/>
  <c r="U434" i="5"/>
  <c r="T434" i="5"/>
  <c r="U722" i="5"/>
  <c r="T722" i="5"/>
  <c r="T718" i="5"/>
  <c r="T294" i="5"/>
  <c r="U716" i="5"/>
  <c r="T741" i="5"/>
  <c r="T695" i="5"/>
  <c r="U53" i="5"/>
  <c r="U560" i="5"/>
  <c r="U21" i="5"/>
  <c r="U24" i="5"/>
  <c r="U468" i="5"/>
  <c r="U569" i="5"/>
  <c r="T632" i="5"/>
  <c r="T571" i="5"/>
  <c r="T206" i="5"/>
  <c r="T686" i="5"/>
  <c r="U415" i="5"/>
  <c r="T535" i="5"/>
  <c r="T32" i="5"/>
  <c r="U204" i="5"/>
  <c r="T630" i="5"/>
  <c r="T678" i="5"/>
  <c r="U774" i="5"/>
  <c r="U4" i="5"/>
  <c r="U389" i="5"/>
  <c r="T503" i="5"/>
  <c r="T802" i="5"/>
  <c r="T801" i="5"/>
  <c r="U578" i="5"/>
  <c r="U318" i="5"/>
  <c r="U313" i="5"/>
  <c r="T642" i="5"/>
  <c r="U74" i="5"/>
  <c r="U347" i="5"/>
  <c r="U704" i="5"/>
  <c r="U658" i="5"/>
  <c r="U358" i="5"/>
  <c r="T129" i="5"/>
  <c r="T219" i="5"/>
  <c r="T770" i="5"/>
  <c r="T744" i="5"/>
  <c r="T311" i="5"/>
  <c r="T143" i="5"/>
  <c r="T297" i="5"/>
  <c r="U342" i="5"/>
  <c r="T60" i="5"/>
  <c r="T818" i="5"/>
  <c r="U706" i="5"/>
  <c r="U271" i="5"/>
  <c r="U667" i="5"/>
  <c r="U764" i="5"/>
  <c r="U747" i="5"/>
  <c r="T217" i="5"/>
  <c r="U811" i="5"/>
  <c r="T547" i="5"/>
  <c r="U760" i="5"/>
  <c r="U472" i="5"/>
  <c r="AA489" i="18"/>
  <c r="AA670" i="18"/>
  <c r="AA604" i="18"/>
  <c r="AA374" i="18"/>
  <c r="Z100" i="18"/>
  <c r="Z96" i="18"/>
  <c r="Z128" i="18"/>
  <c r="Z503" i="18"/>
  <c r="AA358" i="18"/>
  <c r="Z358" i="18"/>
  <c r="AA317" i="18"/>
  <c r="Z317" i="18"/>
  <c r="Z476" i="18"/>
  <c r="AA476" i="18"/>
  <c r="Z200" i="18"/>
  <c r="AA200" i="18"/>
  <c r="Z608" i="18"/>
  <c r="AA608" i="18"/>
  <c r="AA727" i="18"/>
  <c r="Z463" i="18"/>
  <c r="AA503" i="18"/>
  <c r="AA243" i="18"/>
  <c r="Z204" i="18"/>
  <c r="Z74" i="18"/>
  <c r="AA17" i="18"/>
  <c r="Z269" i="18"/>
  <c r="AA269" i="18"/>
  <c r="Z354" i="18"/>
  <c r="Z686" i="18"/>
  <c r="AA686" i="18"/>
  <c r="Z635" i="18"/>
  <c r="AA526" i="18"/>
  <c r="Z420" i="18"/>
  <c r="Z550" i="18"/>
  <c r="AA550" i="18"/>
  <c r="AA177" i="18"/>
  <c r="Z495" i="18"/>
  <c r="AA495" i="18"/>
  <c r="AA463" i="18"/>
  <c r="Z217" i="18"/>
  <c r="AA217" i="18"/>
  <c r="Z489" i="18"/>
  <c r="Z435" i="18"/>
  <c r="AA128" i="18"/>
  <c r="AA519" i="18"/>
  <c r="AA635" i="18"/>
  <c r="Z314" i="18"/>
  <c r="Z646" i="18"/>
  <c r="AA646" i="18"/>
  <c r="AA729" i="18"/>
  <c r="AA599" i="18"/>
  <c r="Z599" i="18"/>
  <c r="AA713" i="18"/>
  <c r="Z713" i="18"/>
  <c r="Z54" i="18"/>
  <c r="AA54" i="18"/>
  <c r="AA71" i="18"/>
  <c r="Z127" i="18"/>
  <c r="AA336" i="18"/>
  <c r="AA723" i="18"/>
  <c r="Z723" i="18"/>
  <c r="AA668" i="18"/>
  <c r="Z668" i="18"/>
  <c r="Z227" i="18"/>
  <c r="AA227" i="18"/>
  <c r="Z544" i="18"/>
  <c r="AA288" i="18"/>
  <c r="Z346" i="18"/>
  <c r="AA346" i="18"/>
  <c r="Z331" i="18"/>
  <c r="AA494" i="18"/>
  <c r="Z494" i="18"/>
  <c r="AA768" i="18"/>
  <c r="Z768" i="18"/>
  <c r="Z492" i="18"/>
  <c r="AA263" i="18"/>
  <c r="AA625" i="18"/>
  <c r="Z209" i="18"/>
  <c r="Z288" i="18"/>
  <c r="Z500" i="18"/>
  <c r="AA357" i="18"/>
  <c r="AA107" i="18"/>
  <c r="Z609" i="18"/>
  <c r="Z611" i="18"/>
  <c r="Z554" i="18"/>
  <c r="AA435" i="18"/>
  <c r="Z71" i="18"/>
  <c r="Z336" i="18"/>
  <c r="AA818" i="18"/>
  <c r="AA273" i="18"/>
  <c r="Z729" i="18"/>
  <c r="Z220" i="18"/>
  <c r="Z403" i="18"/>
  <c r="AA315" i="18"/>
  <c r="AA148" i="18"/>
  <c r="AA568" i="18"/>
  <c r="AA816" i="18"/>
  <c r="Z479" i="18"/>
  <c r="AA591" i="18"/>
  <c r="AA751" i="18"/>
  <c r="Z68" i="18"/>
  <c r="Z618" i="18"/>
  <c r="AA535" i="18"/>
  <c r="AA270" i="18"/>
  <c r="Z787" i="18"/>
  <c r="Z82" i="18"/>
  <c r="Z621" i="18"/>
  <c r="Z362" i="18"/>
  <c r="AA206" i="18"/>
  <c r="AA18" i="18"/>
  <c r="AA37" i="18"/>
  <c r="Z267" i="18"/>
  <c r="Z556" i="18"/>
  <c r="Z671" i="18"/>
  <c r="AA45" i="18"/>
  <c r="AA349" i="18"/>
  <c r="AA401" i="18"/>
  <c r="Z266" i="18"/>
  <c r="Z48" i="18"/>
  <c r="AA499" i="18"/>
  <c r="AA14" i="18"/>
  <c r="AA230" i="18"/>
  <c r="AA267" i="18"/>
  <c r="Z352" i="18"/>
  <c r="Z591" i="18"/>
  <c r="AA634" i="18"/>
  <c r="Z751" i="18"/>
  <c r="Z347" i="18"/>
  <c r="Z643" i="18"/>
  <c r="Z257" i="18"/>
  <c r="Z233" i="18"/>
  <c r="Z767" i="18"/>
  <c r="Z718" i="18"/>
  <c r="Z820" i="18"/>
  <c r="Z631" i="18"/>
  <c r="AA523" i="18"/>
  <c r="AA38" i="18"/>
  <c r="Z101" i="18"/>
  <c r="AA363" i="18"/>
  <c r="Z150" i="18"/>
  <c r="AA537" i="18"/>
  <c r="AA704" i="18"/>
  <c r="AA168" i="18"/>
  <c r="Z601" i="18"/>
  <c r="Z300" i="18"/>
  <c r="Z335" i="18"/>
  <c r="AA61" i="18"/>
  <c r="Z735" i="18"/>
  <c r="Z537" i="18"/>
  <c r="AA654" i="18"/>
  <c r="Z198" i="18"/>
  <c r="Z60" i="18"/>
  <c r="AA559" i="18"/>
  <c r="Z164" i="18"/>
  <c r="Z661" i="18"/>
  <c r="Z230" i="18"/>
  <c r="Z357" i="18"/>
  <c r="AA235" i="18"/>
  <c r="Z337" i="18"/>
  <c r="AA311" i="18"/>
  <c r="AA52" i="18"/>
  <c r="Z615" i="18"/>
  <c r="AA233" i="18"/>
  <c r="Z770" i="18"/>
  <c r="AA631" i="18"/>
  <c r="Z756" i="18"/>
  <c r="AA101" i="18"/>
  <c r="Z577" i="18"/>
  <c r="AA642" i="18"/>
  <c r="AA20" i="18"/>
  <c r="AA368" i="18"/>
  <c r="Z45" i="18"/>
  <c r="Z270" i="18"/>
  <c r="AA491" i="18"/>
  <c r="Z111" i="18"/>
  <c r="AA618" i="18"/>
  <c r="AA214" i="18"/>
  <c r="AA746" i="18"/>
  <c r="Z604" i="18"/>
  <c r="AA382" i="18"/>
  <c r="Z670" i="18"/>
  <c r="Z438" i="18"/>
  <c r="AA68" i="18"/>
  <c r="Z117" i="18"/>
  <c r="Z523" i="18"/>
  <c r="AA487" i="18"/>
  <c r="Z568" i="18"/>
  <c r="AA292" i="18"/>
  <c r="AA707" i="18"/>
  <c r="Z798" i="18"/>
  <c r="AA264" i="18"/>
  <c r="AA205" i="18"/>
  <c r="Z197" i="18"/>
  <c r="AA705" i="18"/>
  <c r="Z559" i="18"/>
  <c r="AA673" i="18"/>
  <c r="AA390" i="18"/>
  <c r="Z246" i="18"/>
  <c r="AA335" i="18"/>
  <c r="Z459" i="18"/>
  <c r="AA760" i="18"/>
  <c r="Z705" i="18"/>
  <c r="Z285" i="18"/>
  <c r="Z206" i="18"/>
  <c r="AA601" i="18"/>
  <c r="Z205" i="18"/>
  <c r="Z673" i="18"/>
  <c r="Z401" i="18"/>
  <c r="Z390" i="18"/>
  <c r="AA718" i="18"/>
  <c r="AA778" i="18"/>
  <c r="Z474" i="18"/>
  <c r="AA682" i="18"/>
  <c r="AA34" i="18"/>
  <c r="Z792" i="18"/>
  <c r="AA299" i="18"/>
  <c r="AA411" i="18"/>
  <c r="Z515" i="18"/>
  <c r="AA407" i="18"/>
  <c r="Z407" i="18"/>
  <c r="Z744" i="18"/>
  <c r="Z383" i="18"/>
  <c r="AA232" i="18"/>
  <c r="AA743" i="18"/>
  <c r="Z743" i="18"/>
  <c r="Z437" i="18"/>
  <c r="Z701" i="18"/>
  <c r="AA701" i="18"/>
  <c r="AA307" i="18"/>
  <c r="AA188" i="18"/>
  <c r="Z188" i="18"/>
  <c r="Z496" i="18"/>
  <c r="AA569" i="18"/>
  <c r="Z446" i="18"/>
  <c r="Z498" i="18"/>
  <c r="AA121" i="18"/>
  <c r="Z121" i="18"/>
  <c r="AA797" i="18"/>
  <c r="AA187" i="18"/>
  <c r="AA90" i="18"/>
  <c r="AA149" i="18"/>
  <c r="Z149" i="18"/>
  <c r="AA319" i="18"/>
  <c r="Z812" i="18"/>
  <c r="AA332" i="18"/>
  <c r="Z313" i="18"/>
  <c r="AA524" i="18"/>
  <c r="Z524" i="18"/>
  <c r="Z570" i="18"/>
  <c r="AA570" i="18"/>
  <c r="AA552" i="18"/>
  <c r="AA610" i="18"/>
  <c r="AA702" i="18"/>
  <c r="AA549" i="18"/>
  <c r="Z95" i="18"/>
  <c r="Z805" i="18"/>
  <c r="Z173" i="18"/>
  <c r="AA460" i="18"/>
  <c r="Z460" i="18"/>
  <c r="Z296" i="18"/>
  <c r="AA163" i="18"/>
  <c r="AA95" i="18"/>
  <c r="AA430" i="18"/>
  <c r="Z216" i="18"/>
  <c r="Z67" i="18"/>
  <c r="Z65" i="18"/>
  <c r="AA700" i="18"/>
  <c r="Z140" i="18"/>
  <c r="Z549" i="18"/>
  <c r="AA812" i="18"/>
  <c r="AA192" i="18"/>
  <c r="AA151" i="18"/>
  <c r="AA320" i="18"/>
  <c r="AA436" i="18"/>
  <c r="Z384" i="18"/>
  <c r="AA595" i="18"/>
  <c r="Z810" i="18"/>
  <c r="AA810" i="18"/>
  <c r="AA667" i="18"/>
  <c r="Z667" i="18"/>
  <c r="AA115" i="18"/>
  <c r="Z115" i="18"/>
  <c r="Z238" i="18"/>
  <c r="Z530" i="18"/>
  <c r="Z450" i="18"/>
  <c r="AA450" i="18"/>
  <c r="AA132" i="18"/>
  <c r="Z132" i="18"/>
  <c r="AA341" i="18"/>
  <c r="Z256" i="18"/>
  <c r="AA256" i="18"/>
  <c r="AA329" i="18"/>
  <c r="AA775" i="18"/>
  <c r="AA752" i="18"/>
  <c r="AA122" i="18"/>
  <c r="AA157" i="18"/>
  <c r="Z196" i="18"/>
  <c r="AA184" i="18"/>
  <c r="AA275" i="18"/>
  <c r="Z13" i="18"/>
  <c r="AA13" i="18"/>
  <c r="AA385" i="18"/>
  <c r="Z50" i="18"/>
  <c r="Z35" i="18"/>
  <c r="AA35" i="18"/>
  <c r="AA578" i="18"/>
  <c r="Z578" i="18"/>
  <c r="AA294" i="18"/>
  <c r="Z294" i="18"/>
  <c r="Z426" i="18"/>
  <c r="AA656" i="18"/>
  <c r="AA426" i="18"/>
  <c r="Z775" i="18"/>
  <c r="Z307" i="18"/>
  <c r="AA400" i="18"/>
  <c r="AA437" i="18"/>
  <c r="AA57" i="18"/>
  <c r="AA711" i="18"/>
  <c r="Z163" i="18"/>
  <c r="AA130" i="18"/>
  <c r="AA805" i="18"/>
  <c r="AA517" i="18"/>
  <c r="AA612" i="18"/>
  <c r="Z522" i="18"/>
  <c r="AA173" i="18"/>
  <c r="AA466" i="18"/>
  <c r="AA496" i="18"/>
  <c r="AA530" i="18"/>
  <c r="Z582" i="18"/>
  <c r="AA582" i="18"/>
  <c r="Z16" i="18"/>
  <c r="AA755" i="18"/>
  <c r="AA795" i="18"/>
  <c r="AA699" i="18"/>
  <c r="Z699" i="18"/>
  <c r="AA405" i="18"/>
  <c r="Z405" i="18"/>
  <c r="Z780" i="18"/>
  <c r="AA133" i="18"/>
  <c r="Z133" i="18"/>
  <c r="Z790" i="18"/>
  <c r="Z109" i="18"/>
  <c r="AA109" i="18"/>
  <c r="AA790" i="18"/>
  <c r="Z788" i="18"/>
  <c r="Z685" i="18"/>
  <c r="Z502" i="18"/>
  <c r="AA780" i="18"/>
  <c r="Z657" i="18"/>
  <c r="Z497" i="18"/>
  <c r="Z308" i="18"/>
  <c r="AA308" i="18"/>
  <c r="AA580" i="18"/>
  <c r="AA167" i="18"/>
  <c r="Z167" i="18"/>
  <c r="Z306" i="18"/>
  <c r="AA306" i="18"/>
  <c r="Z710" i="18"/>
  <c r="AA710" i="18"/>
  <c r="Z172" i="18"/>
  <c r="AA172" i="18"/>
  <c r="Z741" i="18"/>
  <c r="AA316" i="18"/>
  <c r="Z316" i="18"/>
  <c r="Z47" i="18"/>
  <c r="AA47" i="18"/>
  <c r="AA125" i="18"/>
  <c r="Z125" i="18"/>
  <c r="Z486" i="18"/>
  <c r="AA486" i="18"/>
  <c r="AA32" i="18"/>
  <c r="AA279" i="18"/>
  <c r="Z66" i="18"/>
  <c r="AA422" i="18"/>
  <c r="AA740" i="18"/>
  <c r="Z791" i="18"/>
  <c r="Z191" i="18"/>
  <c r="Z427" i="18"/>
  <c r="Z105" i="18"/>
  <c r="Z472" i="18"/>
  <c r="AA75" i="18"/>
  <c r="AA719" i="18"/>
  <c r="Z594" i="18"/>
  <c r="AA562" i="18"/>
  <c r="Z562" i="18"/>
  <c r="Z793" i="18"/>
  <c r="AA793" i="18"/>
  <c r="AA613" i="18"/>
  <c r="Z613" i="18"/>
  <c r="AA627" i="18"/>
  <c r="Z514" i="18"/>
  <c r="AA785" i="18"/>
  <c r="AA819" i="18"/>
  <c r="Z819" i="18"/>
  <c r="AA180" i="18"/>
  <c r="Z180" i="18"/>
  <c r="AA194" i="18"/>
  <c r="Z716" i="18"/>
  <c r="AA716" i="18"/>
  <c r="Z160" i="18"/>
  <c r="AA160" i="18"/>
  <c r="Z247" i="18"/>
  <c r="Z404" i="18"/>
  <c r="AA404" i="18"/>
  <c r="Z521" i="18"/>
  <c r="AA629" i="18"/>
  <c r="AA675" i="18"/>
  <c r="Z675" i="18"/>
  <c r="AA260" i="18"/>
  <c r="AA351" i="18"/>
  <c r="Z351" i="18"/>
  <c r="Z555" i="18"/>
  <c r="AA555" i="18"/>
  <c r="Z597" i="18"/>
  <c r="Z30" i="18"/>
  <c r="Z469" i="18"/>
  <c r="Z249" i="18"/>
  <c r="Z695" i="18"/>
  <c r="AA464" i="18"/>
  <c r="AA287" i="18"/>
  <c r="Z439" i="18"/>
  <c r="Z228" i="18"/>
  <c r="AA228" i="18"/>
  <c r="AA203" i="18"/>
  <c r="Z203" i="18"/>
  <c r="AA724" i="18"/>
  <c r="AA328" i="18"/>
  <c r="Z328" i="18"/>
  <c r="Z505" i="18"/>
  <c r="AA505" i="18"/>
  <c r="Z814" i="18"/>
  <c r="Z76" i="18"/>
  <c r="AA99" i="18"/>
  <c r="Z99" i="18"/>
  <c r="AA142" i="18"/>
  <c r="Z142" i="18"/>
  <c r="Z589" i="18"/>
  <c r="AA589" i="18"/>
  <c r="AA77" i="18"/>
  <c r="Z77" i="18"/>
  <c r="AA808" i="18"/>
  <c r="Z808" i="18"/>
  <c r="Z29" i="18"/>
  <c r="AA29" i="18"/>
  <c r="AA766" i="18"/>
  <c r="Z213" i="18"/>
  <c r="Z506" i="18"/>
  <c r="AA614" i="18"/>
  <c r="Z614" i="18"/>
  <c r="Z429" i="18"/>
  <c r="AA730" i="18"/>
  <c r="Z413" i="18"/>
  <c r="Z722" i="18"/>
  <c r="Z592" i="18"/>
  <c r="Z475" i="18"/>
  <c r="AA557" i="18"/>
  <c r="AA370" i="18"/>
  <c r="AA239" i="18"/>
  <c r="Z51" i="18"/>
  <c r="Z804" i="18"/>
  <c r="AA274" i="18"/>
  <c r="Z748" i="18"/>
  <c r="Z12" i="18"/>
  <c r="AA97" i="18"/>
  <c r="Z97" i="18"/>
  <c r="AA137" i="18"/>
  <c r="Z461" i="18"/>
  <c r="AA93" i="18"/>
  <c r="AA664" i="18"/>
  <c r="AA280" i="18"/>
  <c r="AA60" i="18"/>
  <c r="Z14" i="18"/>
  <c r="AA164" i="18"/>
  <c r="Z687" i="18"/>
  <c r="AA300" i="18"/>
  <c r="Z321" i="18"/>
  <c r="AA103" i="18"/>
  <c r="AA246" i="18"/>
  <c r="AA197" i="18"/>
  <c r="Z145" i="18"/>
  <c r="Z630" i="18"/>
  <c r="AA556" i="18"/>
  <c r="Z348" i="18"/>
  <c r="AA574" i="18"/>
  <c r="AA337" i="18"/>
  <c r="AA193" i="18"/>
  <c r="Z311" i="18"/>
  <c r="AA393" i="18"/>
  <c r="Z424" i="18"/>
  <c r="Z85" i="18"/>
  <c r="AA671" i="18"/>
  <c r="AA678" i="18"/>
  <c r="AA479" i="18"/>
  <c r="Z387" i="18"/>
  <c r="Z126" i="18"/>
  <c r="AA689" i="18"/>
  <c r="AA468" i="18"/>
  <c r="AA820" i="18"/>
  <c r="Z69" i="18"/>
  <c r="AA123" i="18"/>
  <c r="AA756" i="18"/>
  <c r="AA353" i="18"/>
  <c r="AA611" i="18"/>
  <c r="Z694" i="18"/>
  <c r="AA609" i="18"/>
  <c r="AA48" i="18"/>
  <c r="Z297" i="18"/>
  <c r="AA474" i="18"/>
  <c r="Z499" i="18"/>
  <c r="Z623" i="18"/>
  <c r="Z648" i="18"/>
  <c r="Z239" i="18"/>
  <c r="AA514" i="18"/>
  <c r="Z75" i="18"/>
  <c r="Z120" i="18"/>
  <c r="AA497" i="18"/>
  <c r="AA191" i="18"/>
  <c r="AA594" i="18"/>
  <c r="AA695" i="18"/>
  <c r="Z627" i="18"/>
  <c r="AA429" i="18"/>
  <c r="Z334" i="18"/>
  <c r="Z785" i="18"/>
  <c r="Z422" i="18"/>
  <c r="AA413" i="18"/>
  <c r="Z691" i="18"/>
  <c r="Z719" i="18"/>
  <c r="AA472" i="18"/>
  <c r="Z260" i="18"/>
  <c r="AA814" i="18"/>
  <c r="AA252" i="18"/>
  <c r="Z38" i="18"/>
  <c r="Z353" i="18"/>
  <c r="AA694" i="18"/>
  <c r="AA735" i="18"/>
  <c r="Z490" i="18"/>
  <c r="AA577" i="18"/>
  <c r="AA169" i="18"/>
  <c r="AA647" i="18"/>
  <c r="AA91" i="18"/>
  <c r="Z370" i="18"/>
  <c r="Z274" i="18"/>
  <c r="Z629" i="18"/>
  <c r="AA82" i="18"/>
  <c r="Z740" i="18"/>
  <c r="AA176" i="18"/>
  <c r="AA249" i="18"/>
  <c r="Z194" i="18"/>
  <c r="AA506" i="18"/>
  <c r="Z137" i="18"/>
  <c r="AA30" i="18"/>
  <c r="Z415" i="18"/>
  <c r="AA427" i="18"/>
  <c r="AA469" i="18"/>
  <c r="AA592" i="18"/>
  <c r="AA748" i="18"/>
  <c r="AA583" i="18"/>
  <c r="AA657" i="18"/>
  <c r="AA51" i="18"/>
  <c r="Z287" i="18"/>
  <c r="AA330" i="18"/>
  <c r="AA639" i="18"/>
  <c r="Z707" i="18"/>
  <c r="Z573" i="18"/>
  <c r="AA573" i="18"/>
  <c r="AA259" i="18"/>
  <c r="Z259" i="18"/>
  <c r="Z789" i="18"/>
  <c r="Z367" i="18"/>
  <c r="AA161" i="18"/>
  <c r="Z704" i="18"/>
  <c r="Z186" i="18"/>
  <c r="AA787" i="18"/>
  <c r="Z86" i="18"/>
  <c r="AA86" i="18"/>
  <c r="Z441" i="18"/>
  <c r="AA441" i="18"/>
  <c r="AA725" i="18"/>
  <c r="Z725" i="18"/>
  <c r="AA318" i="18"/>
  <c r="AA742" i="18"/>
  <c r="Z742" i="18"/>
  <c r="AA585" i="18"/>
  <c r="Z219" i="18"/>
  <c r="AA219" i="18"/>
  <c r="Z655" i="18"/>
  <c r="Z301" i="18"/>
  <c r="Z262" i="18"/>
  <c r="Z434" i="18"/>
  <c r="AA796" i="18"/>
  <c r="Z796" i="18"/>
  <c r="AA447" i="18"/>
  <c r="Z447" i="18"/>
  <c r="AA79" i="18"/>
  <c r="AA458" i="18"/>
  <c r="AA508" i="18"/>
  <c r="AA754" i="18"/>
  <c r="AA529" i="18"/>
  <c r="AA339" i="18"/>
  <c r="Z255" i="18"/>
  <c r="Z616" i="18"/>
  <c r="Z526" i="18"/>
  <c r="Z369" i="18"/>
  <c r="AA166" i="18"/>
  <c r="AA457" i="18"/>
  <c r="Z457" i="18"/>
  <c r="AA544" i="18"/>
  <c r="Z42" i="18"/>
  <c r="AA42" i="18"/>
  <c r="AA277" i="18"/>
  <c r="Z277" i="18"/>
  <c r="AA92" i="18"/>
  <c r="Z715" i="18"/>
  <c r="AA715" i="18"/>
  <c r="AA331" i="18"/>
  <c r="Z419" i="18"/>
  <c r="Z155" i="18"/>
  <c r="AA155" i="18"/>
  <c r="Z210" i="18"/>
  <c r="Z456" i="18"/>
  <c r="AA783" i="18"/>
  <c r="AA144" i="18"/>
  <c r="Z586" i="18"/>
  <c r="AA586" i="18"/>
  <c r="AA314" i="18"/>
  <c r="AA518" i="18"/>
  <c r="Z518" i="18"/>
  <c r="Z129" i="18"/>
  <c r="AA129" i="18"/>
  <c r="AA650" i="18"/>
  <c r="Z58" i="18"/>
  <c r="AA43" i="18"/>
  <c r="AA2" i="18"/>
  <c r="Z2" i="18"/>
  <c r="Z243" i="18"/>
  <c r="Z5" i="18"/>
  <c r="AA3" i="18"/>
  <c r="Z769" i="18"/>
  <c r="Z244" i="18"/>
  <c r="Z154" i="18"/>
  <c r="Z78" i="18"/>
  <c r="AA659" i="18"/>
  <c r="AA763" i="18"/>
  <c r="AA737" i="18"/>
  <c r="Z738" i="18"/>
  <c r="Z757" i="18"/>
  <c r="AA801" i="18"/>
  <c r="Z801" i="18"/>
  <c r="AA772" i="18"/>
  <c r="Z772" i="18"/>
  <c r="Z168" i="18"/>
  <c r="AA64" i="18"/>
  <c r="AA500" i="18"/>
  <c r="Z361" i="18"/>
  <c r="AA361" i="18"/>
  <c r="Z800" i="18"/>
  <c r="AA100" i="18"/>
  <c r="AA786" i="18"/>
  <c r="AA706" i="18"/>
  <c r="Z706" i="18"/>
  <c r="Z268" i="18"/>
  <c r="AA268" i="18"/>
  <c r="Z399" i="18"/>
  <c r="AA596" i="18"/>
  <c r="Z596" i="18"/>
  <c r="Z433" i="18"/>
  <c r="AA354" i="18"/>
  <c r="Z226" i="18"/>
  <c r="Z20" i="18"/>
  <c r="Z315" i="18"/>
  <c r="Z444" i="18"/>
  <c r="AA352" i="18"/>
  <c r="Z634" i="18"/>
  <c r="AA74" i="18"/>
  <c r="AA111" i="18"/>
  <c r="Z17" i="18"/>
  <c r="Z423" i="18"/>
  <c r="AA117" i="18"/>
  <c r="Z746" i="18"/>
  <c r="Z534" i="18"/>
  <c r="Z535" i="18"/>
  <c r="AA83" i="18"/>
  <c r="AA620" i="18"/>
  <c r="AA690" i="18"/>
  <c r="Z565" i="18"/>
  <c r="Z134" i="18"/>
  <c r="AA603" i="18"/>
  <c r="Z161" i="18"/>
  <c r="AA757" i="18"/>
  <c r="AA680" i="18"/>
  <c r="AA677" i="18"/>
  <c r="Z339" i="18"/>
  <c r="Z318" i="18"/>
  <c r="AA734" i="18"/>
  <c r="AA210" i="18"/>
  <c r="Z650" i="18"/>
  <c r="AA456" i="18"/>
  <c r="AA58" i="18"/>
  <c r="Z79" i="18"/>
  <c r="Z326" i="18"/>
  <c r="AA419" i="18"/>
  <c r="Z652" i="18"/>
  <c r="AA454" i="18"/>
  <c r="Z454" i="18"/>
  <c r="AA136" i="18"/>
  <c r="Z136" i="18"/>
  <c r="Z525" i="18"/>
  <c r="AA525" i="18"/>
  <c r="AA462" i="18"/>
  <c r="Z462" i="18"/>
  <c r="Z254" i="18"/>
  <c r="AA254" i="18"/>
  <c r="Z289" i="18"/>
  <c r="AA372" i="18"/>
  <c r="Z372" i="18"/>
  <c r="AA453" i="18"/>
  <c r="Z453" i="18"/>
  <c r="Z350" i="18"/>
  <c r="AA432" i="18"/>
  <c r="Z587" i="18"/>
  <c r="Z782" i="18"/>
  <c r="Z94" i="18"/>
  <c r="Z765" i="18"/>
  <c r="AA765" i="18"/>
  <c r="Z777" i="18"/>
  <c r="AA265" i="18"/>
  <c r="Z211" i="18"/>
  <c r="AA211" i="18"/>
  <c r="Z143" i="18"/>
  <c r="Z15" i="18"/>
  <c r="AA6" i="18"/>
  <c r="Z400" i="18"/>
  <c r="AA293" i="18"/>
  <c r="Z732" i="18"/>
  <c r="Z248" i="18"/>
  <c r="AA248" i="18"/>
  <c r="AA242" i="18"/>
  <c r="AA312" i="18"/>
  <c r="Z478" i="18"/>
  <c r="AA446" i="18"/>
  <c r="Z153" i="18"/>
  <c r="AA36" i="18"/>
  <c r="AA679" i="18"/>
  <c r="AA388" i="18"/>
  <c r="Z388" i="18"/>
  <c r="Z598" i="18"/>
  <c r="Z286" i="18"/>
  <c r="Z753" i="18"/>
  <c r="Z135" i="18"/>
  <c r="Z187" i="18"/>
  <c r="Z451" i="18"/>
  <c r="AA89" i="18"/>
  <c r="AA660" i="18"/>
  <c r="Z122" i="18"/>
  <c r="Z484" i="18"/>
  <c r="AA484" i="18"/>
  <c r="AA41" i="18"/>
  <c r="Z41" i="18"/>
  <c r="Z481" i="18"/>
  <c r="Z532" i="18"/>
  <c r="Z640" i="18"/>
  <c r="Z414" i="18"/>
  <c r="AA384" i="18"/>
  <c r="Z430" i="18"/>
  <c r="AA313" i="18"/>
  <c r="AA380" i="18"/>
  <c r="AA669" i="18"/>
  <c r="Z551" i="18"/>
  <c r="AA398" i="18"/>
  <c r="AA224" i="18"/>
  <c r="Z224" i="18"/>
  <c r="Z703" i="18"/>
  <c r="Z291" i="18"/>
  <c r="Z600" i="18"/>
  <c r="AA600" i="18"/>
  <c r="Z21" i="18"/>
  <c r="AA322" i="18"/>
  <c r="AA579" i="18"/>
  <c r="Z579" i="18"/>
  <c r="AA749" i="18"/>
  <c r="Z24" i="18"/>
  <c r="AA24" i="18"/>
  <c r="Z11" i="18"/>
  <c r="AA813" i="18"/>
  <c r="Z391" i="18"/>
  <c r="AA391" i="18"/>
  <c r="Z417" i="18"/>
  <c r="Z547" i="18"/>
  <c r="AA781" i="18"/>
  <c r="Z195" i="18"/>
  <c r="AA179" i="18"/>
  <c r="AA412" i="18"/>
  <c r="AA449" i="18"/>
  <c r="Z449" i="18"/>
  <c r="Z717" i="18"/>
  <c r="Z421" i="18"/>
  <c r="Z215" i="18"/>
  <c r="AA296" i="18"/>
  <c r="AA23" i="18"/>
  <c r="Z408" i="18"/>
  <c r="Z80" i="18"/>
  <c r="AA225" i="18"/>
  <c r="Z371" i="18"/>
  <c r="Z55" i="18"/>
  <c r="AA473" i="18"/>
  <c r="AA389" i="18"/>
  <c r="Z651" i="18"/>
  <c r="AA651" i="18"/>
  <c r="AA364" i="18"/>
  <c r="Z364" i="18"/>
  <c r="AA207" i="18"/>
  <c r="Z624" i="18"/>
  <c r="AA624" i="18"/>
  <c r="AA561" i="18"/>
  <c r="Z758" i="18"/>
  <c r="Z57" i="18"/>
  <c r="Z445" i="18"/>
  <c r="AA515" i="18"/>
  <c r="AA507" i="18"/>
  <c r="AA408" i="18"/>
  <c r="AA350" i="18"/>
  <c r="Z225" i="18"/>
  <c r="AA281" i="18"/>
  <c r="Z265" i="18"/>
  <c r="Z576" i="18"/>
  <c r="Z662" i="18"/>
  <c r="AA662" i="18"/>
  <c r="Z428" i="18"/>
  <c r="AA465" i="18"/>
  <c r="Z633" i="18"/>
  <c r="AA633" i="18"/>
  <c r="AA216" i="18"/>
  <c r="AA383" i="18"/>
  <c r="Z90" i="18"/>
  <c r="Z483" i="18"/>
  <c r="Z711" i="18"/>
  <c r="Z130" i="18"/>
  <c r="AA560" i="18"/>
  <c r="AA65" i="18"/>
  <c r="Z700" i="18"/>
  <c r="Z385" i="18"/>
  <c r="Z702" i="18"/>
  <c r="Z626" i="18"/>
  <c r="Z569" i="18"/>
  <c r="Z411" i="18"/>
  <c r="Z416" i="18"/>
  <c r="Z275" i="18"/>
  <c r="Z815" i="18"/>
  <c r="Z184" i="18"/>
  <c r="Z192" i="18"/>
  <c r="AA498" i="18"/>
  <c r="Z466" i="18"/>
  <c r="Z341" i="18"/>
  <c r="Z151" i="18"/>
  <c r="Z676" i="18"/>
  <c r="AA50" i="18"/>
  <c r="Z797" i="18"/>
  <c r="AA298" i="18"/>
  <c r="Z552" i="18"/>
  <c r="AA672" i="18"/>
  <c r="AA663" i="18"/>
  <c r="AA196" i="18"/>
  <c r="Z33" i="18"/>
  <c r="Z749" i="18"/>
  <c r="Z147" i="18"/>
  <c r="AA289" i="18"/>
  <c r="AA229" i="18"/>
  <c r="Z398" i="18"/>
  <c r="AA406" i="18"/>
  <c r="AA533" i="18"/>
  <c r="Z23" i="18"/>
  <c r="Z412" i="18"/>
  <c r="Z281" i="18"/>
  <c r="AA153" i="18"/>
  <c r="Z112" i="18"/>
  <c r="Z322" i="18"/>
  <c r="AA414" i="18"/>
  <c r="Z561" i="18"/>
  <c r="AA421" i="18"/>
  <c r="AA451" i="18"/>
  <c r="AA478" i="18"/>
  <c r="Z380" i="18"/>
  <c r="Z781" i="18"/>
  <c r="Z293" i="18"/>
  <c r="AA607" i="18"/>
  <c r="Z36" i="18"/>
  <c r="Z6" i="18"/>
  <c r="AA811" i="18"/>
  <c r="Z305" i="18"/>
  <c r="AA305" i="18"/>
  <c r="Z309" i="18"/>
  <c r="AA284" i="18"/>
  <c r="Z443" i="18"/>
  <c r="AA360" i="18"/>
  <c r="Z360" i="18"/>
  <c r="AA238" i="18"/>
  <c r="AA744" i="18"/>
  <c r="Z708" i="18"/>
  <c r="AA520" i="18"/>
  <c r="AA807" i="18"/>
  <c r="AA587" i="18"/>
  <c r="Z272" i="18"/>
  <c r="Z190" i="18"/>
  <c r="AA240" i="18"/>
  <c r="AA445" i="18"/>
  <c r="Z563" i="18"/>
  <c r="AA467" i="18"/>
  <c r="AA688" i="18"/>
  <c r="AA416" i="18"/>
  <c r="AA708" i="18"/>
  <c r="Z693" i="18"/>
  <c r="AA736" i="18"/>
  <c r="AA513" i="18"/>
  <c r="Z507" i="18"/>
  <c r="Z222" i="18"/>
  <c r="Z436" i="18"/>
  <c r="Z319" i="18"/>
  <c r="Z232" i="18"/>
  <c r="Z663" i="18"/>
  <c r="AA309" i="18"/>
  <c r="AA782" i="18"/>
  <c r="Z25" i="18"/>
  <c r="AA286" i="18"/>
  <c r="Z406" i="18"/>
  <c r="AA15" i="18"/>
  <c r="Z533" i="18"/>
  <c r="AA753" i="18"/>
  <c r="Z660" i="18"/>
  <c r="Z312" i="18"/>
  <c r="AA551" i="18"/>
  <c r="AA80" i="18"/>
  <c r="Z207" i="18"/>
  <c r="AA195" i="18"/>
  <c r="Z89" i="18"/>
  <c r="AA777" i="18"/>
  <c r="Z669" i="18"/>
  <c r="AA652" i="18"/>
  <c r="AA703" i="18"/>
  <c r="AA231" i="18"/>
  <c r="Z448" i="18"/>
  <c r="Z774" i="5"/>
  <c r="Z31" i="18"/>
  <c r="AA31" i="18"/>
  <c r="AA696" i="18"/>
  <c r="Z696" i="18"/>
  <c r="AA185" i="18"/>
  <c r="Z185" i="18"/>
  <c r="AA762" i="18"/>
  <c r="Z762" i="18"/>
  <c r="Z44" i="18"/>
  <c r="AA588" i="18"/>
  <c r="Z588" i="18"/>
  <c r="AA379" i="18"/>
  <c r="AA345" i="18"/>
  <c r="AA641" i="18"/>
  <c r="Z641" i="18"/>
  <c r="Z345" i="18"/>
  <c r="Z379" i="18"/>
  <c r="AA397" i="18"/>
  <c r="Z397" i="18"/>
  <c r="AA572" i="18"/>
  <c r="Z572" i="18"/>
  <c r="Z636" i="18"/>
  <c r="Z593" i="18"/>
  <c r="Z84" i="18"/>
  <c r="Z731" i="18"/>
  <c r="AA644" i="18"/>
  <c r="Z644" i="18"/>
  <c r="AA310" i="18"/>
  <c r="AA728" i="18"/>
  <c r="AA622" i="18"/>
  <c r="Z622" i="18"/>
  <c r="AA548" i="18"/>
  <c r="Z241" i="18"/>
  <c r="AA241" i="18"/>
  <c r="Z295" i="18"/>
  <c r="AA649" i="18"/>
  <c r="AA4" i="18"/>
  <c r="AA510" i="18"/>
  <c r="Z431" i="18"/>
  <c r="AA261" i="18"/>
  <c r="Z261" i="18"/>
  <c r="Z181" i="18"/>
  <c r="AA181" i="18"/>
  <c r="Z49" i="18"/>
  <c r="AA49" i="18"/>
  <c r="AA395" i="18"/>
  <c r="AA253" i="18"/>
  <c r="Z253" i="18"/>
  <c r="Z470" i="18"/>
  <c r="AA340" i="18"/>
  <c r="AA681" i="18"/>
  <c r="Z681" i="18"/>
  <c r="AA223" i="18"/>
  <c r="Z223" i="18"/>
  <c r="AA794" i="18"/>
  <c r="AA10" i="18"/>
  <c r="Z527" i="18"/>
  <c r="AA527" i="18"/>
  <c r="Z282" i="18"/>
  <c r="AA282" i="18"/>
  <c r="Z158" i="18"/>
  <c r="AA674" i="18"/>
  <c r="AA482" i="18"/>
  <c r="Z488" i="18"/>
  <c r="Z201" i="18"/>
  <c r="AA365" i="18"/>
  <c r="AA108" i="18"/>
  <c r="Z546" i="18"/>
  <c r="AA653" i="18"/>
  <c r="Z375" i="18"/>
  <c r="AA375" i="18"/>
  <c r="Z152" i="18"/>
  <c r="AA290" i="18"/>
  <c r="Z290" i="18"/>
  <c r="AA628" i="18"/>
  <c r="AA402" i="18"/>
  <c r="Z402" i="18"/>
  <c r="Z516" i="18"/>
  <c r="Z236" i="18"/>
  <c r="AA236" i="18"/>
  <c r="Z378" i="18"/>
  <c r="AA378" i="18"/>
  <c r="Z381" i="18"/>
  <c r="Z493" i="18"/>
  <c r="Z189" i="18"/>
  <c r="Z590" i="18"/>
  <c r="Z637" i="18"/>
  <c r="AA637" i="18"/>
  <c r="AA726" i="18"/>
  <c r="AA162" i="18"/>
  <c r="Z396" i="18"/>
  <c r="AA771" i="18"/>
  <c r="AA455" i="18"/>
  <c r="Z455" i="18"/>
  <c r="AA602" i="18"/>
  <c r="Z602" i="18"/>
  <c r="Z536" i="18"/>
  <c r="AA809" i="18"/>
  <c r="Z721" i="18"/>
  <c r="Z174" i="18"/>
  <c r="AA174" i="18"/>
  <c r="AA87" i="18"/>
  <c r="Z692" i="18"/>
  <c r="AA803" i="18"/>
  <c r="Z605" i="18"/>
  <c r="AA170" i="18"/>
  <c r="Z170" i="18"/>
  <c r="Z104" i="18"/>
  <c r="AA104" i="18"/>
  <c r="AA799" i="18"/>
  <c r="Z714" i="18"/>
  <c r="AA714" i="18"/>
  <c r="AA73" i="18"/>
  <c r="Z199" i="18"/>
  <c r="AA165" i="18"/>
  <c r="Z709" i="18"/>
  <c r="AA709" i="18"/>
  <c r="Z501" i="18"/>
  <c r="AA501" i="18"/>
  <c r="AA638" i="18"/>
  <c r="AA571" i="18"/>
  <c r="Z571" i="18"/>
  <c r="Z19" i="18"/>
  <c r="AA373" i="18"/>
  <c r="Z373" i="18"/>
  <c r="Z53" i="18"/>
  <c r="Z40" i="18"/>
  <c r="Z9" i="18"/>
  <c r="Z63" i="18"/>
  <c r="Z440" i="18"/>
  <c r="AA304" i="18"/>
  <c r="AA221" i="18"/>
  <c r="AA566" i="18"/>
  <c r="Z584" i="18"/>
  <c r="Z146" i="18"/>
  <c r="AA218" i="18"/>
  <c r="AA22" i="18"/>
  <c r="Z567" i="18"/>
  <c r="Z684" i="18"/>
  <c r="Z131" i="18"/>
  <c r="AA182" i="18"/>
  <c r="AA773" i="18"/>
  <c r="Z171" i="18"/>
  <c r="AA251" i="18"/>
  <c r="Z251" i="18"/>
  <c r="AA558" i="18"/>
  <c r="Z558" i="18"/>
  <c r="AA403" i="18"/>
  <c r="Z366" i="18"/>
  <c r="Z39" i="18"/>
  <c r="AA39" i="18"/>
  <c r="AA159" i="18"/>
  <c r="Z159" i="18"/>
  <c r="Z102" i="18"/>
  <c r="Z528" i="18"/>
  <c r="AA621" i="18"/>
  <c r="Z697" i="18"/>
  <c r="AA697" i="18"/>
  <c r="Z747" i="18"/>
  <c r="AA46" i="18"/>
  <c r="Z46" i="18"/>
  <c r="Z382" i="18"/>
  <c r="AA56" i="18"/>
  <c r="Z56" i="18"/>
  <c r="AA141" i="18"/>
  <c r="AA632" i="18"/>
  <c r="Z377" i="18"/>
  <c r="AA377" i="18"/>
  <c r="Z374" i="18"/>
  <c r="AA237" i="18"/>
  <c r="AA96" i="18"/>
  <c r="Z278" i="18"/>
  <c r="Z531" i="18"/>
  <c r="AA531" i="18"/>
  <c r="AA212" i="18"/>
  <c r="Z323" i="18"/>
  <c r="AA347" i="18"/>
  <c r="Z491" i="18"/>
  <c r="AA257" i="18"/>
  <c r="AA204" i="18"/>
  <c r="Z368" i="18"/>
  <c r="AA534" i="18"/>
  <c r="Z519" i="18"/>
  <c r="Z27" i="18"/>
  <c r="Z83" i="18"/>
  <c r="Z148" i="18"/>
  <c r="AA565" i="18"/>
  <c r="Z763" i="18"/>
  <c r="Z774" i="18"/>
  <c r="AA480" i="18"/>
  <c r="AA343" i="18"/>
  <c r="AA738" i="18"/>
  <c r="AA78" i="18"/>
  <c r="Z585" i="18"/>
  <c r="AA283" i="18"/>
  <c r="Z425" i="18"/>
  <c r="AA244" i="18"/>
  <c r="AA26" i="18"/>
  <c r="Z106" i="18"/>
  <c r="AA433" i="18"/>
  <c r="Z816" i="18"/>
  <c r="AA789" i="18"/>
  <c r="AA616" i="18"/>
  <c r="Z512" i="18"/>
  <c r="AA226" i="18"/>
  <c r="AA154" i="18"/>
  <c r="AA102" i="18"/>
  <c r="AA376" i="18"/>
  <c r="Z141" i="18"/>
  <c r="Z508" i="18"/>
  <c r="Z212" i="18"/>
  <c r="Z64" i="18"/>
  <c r="AA326" i="18"/>
  <c r="AA171" i="18"/>
  <c r="Z442" i="18"/>
  <c r="AA448" i="18"/>
  <c r="AA278" i="18"/>
  <c r="Z485" i="18"/>
  <c r="Z237" i="18"/>
  <c r="AA323" i="18"/>
  <c r="L77" i="9"/>
  <c r="AA258" i="18"/>
  <c r="AA72" i="18"/>
  <c r="Z250" i="18"/>
  <c r="AA720" i="18"/>
  <c r="AA511" i="18"/>
  <c r="AA769" i="18"/>
  <c r="Z4" i="18"/>
  <c r="AA394" i="18"/>
  <c r="Z606" i="18"/>
  <c r="Z208" i="18"/>
  <c r="Z165" i="18"/>
  <c r="AA333" i="18"/>
  <c r="AA183" i="18"/>
  <c r="AA386" i="18"/>
  <c r="Z70" i="18"/>
  <c r="AA563" i="18"/>
  <c r="Z218" i="18"/>
  <c r="AA692" i="18"/>
  <c r="Z119" i="18"/>
  <c r="Z482" i="18"/>
  <c r="Z467" i="18"/>
  <c r="Z628" i="18"/>
  <c r="Z81" i="18"/>
  <c r="Z545" i="18"/>
  <c r="AA139" i="18"/>
  <c r="Z271" i="18"/>
  <c r="AA202" i="18"/>
  <c r="AA62" i="18"/>
  <c r="AA392" i="18"/>
  <c r="Z138" i="18"/>
  <c r="AA175" i="18"/>
  <c r="Z124" i="18"/>
  <c r="AA342" i="18"/>
  <c r="AA178" i="18"/>
  <c r="Z234" i="18"/>
  <c r="AA665" i="18"/>
  <c r="AA658" i="18"/>
  <c r="Z276" i="18"/>
  <c r="Z156" i="18"/>
  <c r="Z581" i="18"/>
  <c r="AA553" i="18"/>
  <c r="Z240" i="18"/>
  <c r="Z87" i="18"/>
  <c r="Z355" i="18"/>
  <c r="AA98" i="18"/>
  <c r="AA295" i="18"/>
  <c r="Z465" i="18"/>
  <c r="Z118" i="18"/>
  <c r="AA201" i="18"/>
  <c r="Z162" i="18"/>
  <c r="AA575" i="18"/>
  <c r="AA802" i="18"/>
  <c r="AA452" i="18"/>
  <c r="Z504" i="18"/>
  <c r="Z739" i="18"/>
  <c r="AA189" i="18"/>
  <c r="Z182" i="18"/>
  <c r="AA712" i="18"/>
  <c r="AA698" i="18"/>
  <c r="Z776" i="18"/>
  <c r="AA619" i="18"/>
  <c r="Z726" i="18"/>
  <c r="AA199" i="18"/>
  <c r="Z649" i="18"/>
  <c r="AA116" i="18"/>
  <c r="Z10" i="18"/>
  <c r="AA40" i="18"/>
  <c r="Z773" i="18"/>
  <c r="Z110" i="18"/>
  <c r="Z638" i="18"/>
  <c r="Z3" i="18"/>
  <c r="AA590" i="18"/>
  <c r="Z794" i="18"/>
  <c r="Z809" i="18"/>
  <c r="AA493" i="18"/>
  <c r="Z548" i="18"/>
  <c r="Z114" i="18"/>
  <c r="AA84" i="18"/>
  <c r="AA356" i="18"/>
  <c r="Z245" i="18"/>
  <c r="Z344" i="18"/>
  <c r="AA564" i="18"/>
  <c r="AA88" i="18"/>
  <c r="AA381" i="18"/>
  <c r="AA645" i="18"/>
  <c r="AA338" i="18"/>
  <c r="AA471" i="18"/>
  <c r="AA359" i="18"/>
  <c r="Z510" i="18"/>
  <c r="Z310" i="18"/>
  <c r="AA327" i="18"/>
  <c r="AA509" i="18"/>
  <c r="AA731" i="18"/>
  <c r="Z666" i="18"/>
  <c r="Z728" i="18"/>
  <c r="AA536" i="18"/>
  <c r="AA685" i="18"/>
  <c r="AA593" i="18"/>
  <c r="Z394" i="18"/>
  <c r="AA208" i="18"/>
  <c r="AA617" i="18"/>
  <c r="AA28" i="18"/>
  <c r="AA158" i="18"/>
  <c r="Z304" i="18"/>
  <c r="Z333" i="18"/>
  <c r="Z183" i="18"/>
  <c r="AA59" i="18"/>
  <c r="AA81" i="18"/>
  <c r="AA396" i="18"/>
  <c r="Z139" i="18"/>
  <c r="Z113" i="18"/>
  <c r="Z62" i="18"/>
  <c r="AA124" i="18"/>
  <c r="AA7" i="18"/>
  <c r="AA5" i="18"/>
  <c r="Z98" i="18"/>
  <c r="Z8" i="18"/>
  <c r="AA118" i="18"/>
  <c r="Z575" i="18"/>
  <c r="Z712" i="18"/>
  <c r="AA470" i="18"/>
  <c r="Z477" i="18"/>
  <c r="AA428" i="18"/>
  <c r="AA431" i="18"/>
  <c r="AA546" i="18"/>
  <c r="Z619" i="18"/>
  <c r="AA418" i="18"/>
  <c r="AA53" i="18"/>
  <c r="AA721" i="18"/>
  <c r="AA605" i="18"/>
  <c r="Z116" i="18"/>
  <c r="AA110" i="18"/>
  <c r="AA516" i="18"/>
  <c r="AA576" i="18"/>
  <c r="AA636" i="18"/>
  <c r="AA114" i="18"/>
  <c r="AA152" i="18"/>
  <c r="Z356" i="18"/>
  <c r="AA245" i="18"/>
  <c r="Z73" i="18"/>
  <c r="AA344" i="18"/>
  <c r="Z88" i="18"/>
  <c r="Z645" i="18"/>
  <c r="Z471" i="18"/>
  <c r="Z359" i="18"/>
  <c r="Z799" i="18"/>
  <c r="Z327" i="18"/>
  <c r="AA764" i="18"/>
  <c r="Z509" i="18"/>
  <c r="AA666" i="18"/>
  <c r="AA788" i="18"/>
  <c r="Z258" i="18"/>
  <c r="Z72" i="18"/>
  <c r="AA250" i="18"/>
  <c r="Z511" i="18"/>
  <c r="AA606" i="18"/>
  <c r="AA750" i="18"/>
  <c r="AA584" i="18"/>
  <c r="AA19" i="18"/>
  <c r="AA759" i="18"/>
  <c r="Z386" i="18"/>
  <c r="AA70" i="18"/>
  <c r="Z221" i="18"/>
  <c r="Z566" i="18"/>
  <c r="AA119" i="18"/>
  <c r="Z817" i="18"/>
  <c r="AA545" i="18"/>
  <c r="Z22" i="18"/>
  <c r="Z806" i="18"/>
  <c r="AA733" i="18"/>
  <c r="Z123" i="18"/>
  <c r="Z803" i="18"/>
  <c r="AA271" i="18"/>
  <c r="Z392" i="18"/>
  <c r="AA683" i="18"/>
  <c r="Z771" i="18"/>
  <c r="Z175" i="18"/>
  <c r="Z342" i="18"/>
  <c r="AA9" i="18"/>
  <c r="AA234" i="18"/>
  <c r="Z665" i="18"/>
  <c r="Z658" i="18"/>
  <c r="AA276" i="18"/>
  <c r="AA156" i="18"/>
  <c r="AA581" i="18"/>
  <c r="Z553" i="18"/>
  <c r="AA761" i="18"/>
  <c r="AA272" i="18"/>
  <c r="AA190" i="18"/>
  <c r="Z108" i="18"/>
  <c r="Z229" i="18"/>
  <c r="Z395" i="18"/>
  <c r="AA745" i="18"/>
  <c r="AA504" i="18"/>
  <c r="Z340" i="18"/>
  <c r="Z770" i="5"/>
  <c r="AA771" i="5"/>
  <c r="L76" i="9"/>
  <c r="L88" i="9"/>
  <c r="Z60" i="5"/>
  <c r="Z28" i="5"/>
  <c r="AA28" i="5"/>
  <c r="L64" i="9"/>
  <c r="L79" i="9"/>
  <c r="L83" i="9"/>
  <c r="L81" i="9"/>
  <c r="L72" i="9"/>
  <c r="L78" i="9"/>
  <c r="L87" i="9"/>
  <c r="AA61" i="5"/>
  <c r="L63" i="9"/>
  <c r="Z61" i="5"/>
  <c r="AA59" i="5"/>
  <c r="AA32" i="5"/>
  <c r="Z49" i="5"/>
  <c r="AA274" i="5"/>
  <c r="Z813" i="5"/>
  <c r="Z684" i="5"/>
  <c r="Z344" i="5"/>
  <c r="Z329" i="5"/>
  <c r="Z609" i="5"/>
  <c r="Z162" i="5"/>
  <c r="AA281" i="5"/>
  <c r="AA384" i="5"/>
  <c r="AA168" i="5"/>
  <c r="AA564" i="5"/>
  <c r="AA805" i="5"/>
  <c r="Z168" i="5"/>
  <c r="Z699" i="5"/>
  <c r="Z240" i="5"/>
  <c r="AA754" i="5"/>
  <c r="AA187" i="5"/>
  <c r="AA263" i="5"/>
  <c r="Z127" i="5"/>
  <c r="Z564" i="5"/>
  <c r="AA563" i="5"/>
  <c r="AA411" i="5"/>
  <c r="AA472" i="5"/>
  <c r="AA55" i="5"/>
  <c r="Z508" i="5"/>
  <c r="Z658" i="5"/>
  <c r="Z804" i="5"/>
  <c r="Z317" i="5"/>
  <c r="AA728" i="5"/>
  <c r="Z405" i="5"/>
  <c r="AA86" i="5"/>
  <c r="AA508" i="5"/>
  <c r="Z166" i="5"/>
  <c r="AA207" i="5"/>
  <c r="Z365" i="5"/>
  <c r="AA203" i="5"/>
  <c r="Z516" i="5"/>
  <c r="AA804" i="5"/>
  <c r="Z486" i="5"/>
  <c r="Z179" i="5"/>
  <c r="AA240" i="5"/>
  <c r="AA628" i="5"/>
  <c r="Z739" i="5"/>
  <c r="Z120" i="5"/>
  <c r="Z762" i="5"/>
  <c r="Z819" i="5"/>
  <c r="AA77" i="5"/>
  <c r="Z261" i="5"/>
  <c r="Z113" i="5"/>
  <c r="Z192" i="5"/>
  <c r="Z697" i="5"/>
  <c r="Z510" i="5"/>
  <c r="Z556" i="5"/>
  <c r="AA175" i="5"/>
  <c r="AA813" i="5"/>
  <c r="Z487" i="5"/>
  <c r="AA618" i="5"/>
  <c r="AA293" i="5"/>
  <c r="AA146" i="5"/>
  <c r="AA819" i="5"/>
  <c r="Z549" i="5"/>
  <c r="Z377" i="5"/>
  <c r="AA556" i="5"/>
  <c r="Z501" i="5"/>
  <c r="AA272" i="5"/>
  <c r="Z359" i="5"/>
  <c r="Z460" i="5"/>
  <c r="Z546" i="5"/>
  <c r="AA562" i="5"/>
  <c r="Z150" i="5"/>
  <c r="Z190" i="5"/>
  <c r="AA369" i="5"/>
  <c r="Z136" i="5"/>
  <c r="AA441" i="5"/>
  <c r="AA166" i="5"/>
  <c r="Z547" i="5"/>
  <c r="AA742" i="5"/>
  <c r="Z742" i="5"/>
  <c r="AA106" i="5"/>
  <c r="AA633" i="5"/>
  <c r="Z276" i="5"/>
  <c r="AA276" i="5"/>
  <c r="AA83" i="5"/>
  <c r="Z83" i="5"/>
  <c r="AA328" i="5"/>
  <c r="Z328" i="5"/>
  <c r="AA557" i="5"/>
  <c r="Z511" i="5"/>
  <c r="AA367" i="5"/>
  <c r="Z50" i="5"/>
  <c r="AA227" i="5"/>
  <c r="Z34" i="5"/>
  <c r="Z432" i="5"/>
  <c r="AA432" i="5"/>
  <c r="Z346" i="5"/>
  <c r="Z464" i="5"/>
  <c r="AA464" i="5"/>
  <c r="Z671" i="5"/>
  <c r="AA671" i="5"/>
  <c r="AA63" i="5"/>
  <c r="Z63" i="5"/>
  <c r="AA435" i="5"/>
  <c r="AA44" i="5"/>
  <c r="Z44" i="5"/>
  <c r="Z67" i="5"/>
  <c r="Z140" i="5"/>
  <c r="AA376" i="5"/>
  <c r="Z376" i="5"/>
  <c r="AA620" i="5"/>
  <c r="Z620" i="5"/>
  <c r="Z6" i="5"/>
  <c r="AA6" i="5"/>
  <c r="Z554" i="5"/>
  <c r="AA550" i="5"/>
  <c r="Z550" i="5"/>
  <c r="Z315" i="5"/>
  <c r="AA315" i="5"/>
  <c r="Z404" i="5"/>
  <c r="AA404" i="5"/>
  <c r="Z248" i="5"/>
  <c r="Z160" i="5"/>
  <c r="AA160" i="5"/>
  <c r="Z334" i="5"/>
  <c r="AA334" i="5"/>
  <c r="AA511" i="5"/>
  <c r="AA245" i="5"/>
  <c r="Z245" i="5"/>
  <c r="Z161" i="5"/>
  <c r="AA161" i="5"/>
  <c r="AA220" i="5"/>
  <c r="AA116" i="5"/>
  <c r="Z323" i="5"/>
  <c r="AA594" i="5"/>
  <c r="Z594" i="5"/>
  <c r="AA583" i="5"/>
  <c r="AA454" i="5"/>
  <c r="Z454" i="5"/>
  <c r="Z299" i="5"/>
  <c r="AA299" i="5"/>
  <c r="AA638" i="5"/>
  <c r="Z638" i="5"/>
  <c r="Z368" i="5"/>
  <c r="AA368" i="5"/>
  <c r="Z790" i="5"/>
  <c r="AA790" i="5"/>
  <c r="AA515" i="5"/>
  <c r="AA470" i="5"/>
  <c r="Z470" i="5"/>
  <c r="AA420" i="5"/>
  <c r="AA375" i="5"/>
  <c r="Z375" i="5"/>
  <c r="Z165" i="5"/>
  <c r="AA165" i="5"/>
  <c r="AA661" i="5"/>
  <c r="Z820" i="5"/>
  <c r="Z91" i="5"/>
  <c r="AA91" i="5"/>
  <c r="Z691" i="5"/>
  <c r="AA691" i="5"/>
  <c r="AA371" i="5"/>
  <c r="Z306" i="5"/>
  <c r="AA607" i="5"/>
  <c r="AA18" i="5"/>
  <c r="Z18" i="5"/>
  <c r="AA94" i="5"/>
  <c r="Z14" i="5"/>
  <c r="AA591" i="5"/>
  <c r="Z232" i="5"/>
  <c r="AA232" i="5"/>
  <c r="Z48" i="5"/>
  <c r="AA48" i="5"/>
  <c r="AA551" i="5"/>
  <c r="AA688" i="5"/>
  <c r="Z688" i="5"/>
  <c r="Z79" i="5"/>
  <c r="AA79" i="5"/>
  <c r="AA761" i="5"/>
  <c r="Z761" i="5"/>
  <c r="Z660" i="5"/>
  <c r="Z88" i="5"/>
  <c r="Z106" i="5"/>
  <c r="AA137" i="5"/>
  <c r="AA224" i="5"/>
  <c r="AA636" i="5"/>
  <c r="Z636" i="5"/>
  <c r="Z635" i="5"/>
  <c r="AA111" i="5"/>
  <c r="Z111" i="5"/>
  <c r="AA223" i="5"/>
  <c r="AA440" i="5"/>
  <c r="Z13" i="5"/>
  <c r="AA13" i="5"/>
  <c r="Z588" i="5"/>
  <c r="Z606" i="5"/>
  <c r="Z694" i="5"/>
  <c r="AA694" i="5"/>
  <c r="Z816" i="5"/>
  <c r="AA816" i="5"/>
  <c r="Z81" i="5"/>
  <c r="AA457" i="5"/>
  <c r="Z457" i="5"/>
  <c r="Z286" i="5"/>
  <c r="Z480" i="5"/>
  <c r="AA480" i="5"/>
  <c r="Z38" i="5"/>
  <c r="AA38" i="5"/>
  <c r="Z360" i="5"/>
  <c r="Z708" i="5"/>
  <c r="Z364" i="5"/>
  <c r="Z465" i="5"/>
  <c r="AA430" i="5"/>
  <c r="Z430" i="5"/>
  <c r="AA696" i="5"/>
  <c r="Z723" i="5"/>
  <c r="AA723" i="5"/>
  <c r="Z163" i="5"/>
  <c r="Z188" i="5"/>
  <c r="AA108" i="5"/>
  <c r="Z731" i="5"/>
  <c r="AA731" i="5"/>
  <c r="Z587" i="5"/>
  <c r="Z619" i="5"/>
  <c r="AA619" i="5"/>
  <c r="AA507" i="5"/>
  <c r="AA87" i="5"/>
  <c r="Z87" i="5"/>
  <c r="AA251" i="5"/>
  <c r="Z251" i="5"/>
  <c r="AA294" i="5"/>
  <c r="AA306" i="5"/>
  <c r="Z73" i="5"/>
  <c r="AA73" i="5"/>
  <c r="AA643" i="5"/>
  <c r="AA237" i="5"/>
  <c r="AA16" i="5"/>
  <c r="Z16" i="5"/>
  <c r="Z386" i="5"/>
  <c r="AA386" i="5"/>
  <c r="AA668" i="5"/>
  <c r="Z668" i="5"/>
  <c r="Z759" i="5"/>
  <c r="AA759" i="5"/>
  <c r="Z653" i="5"/>
  <c r="AA653" i="5"/>
  <c r="AA124" i="5"/>
  <c r="Z124" i="5"/>
  <c r="AA90" i="5"/>
  <c r="Z90" i="5"/>
  <c r="AA781" i="5"/>
  <c r="Z781" i="5"/>
  <c r="AA738" i="5"/>
  <c r="AA88" i="5"/>
  <c r="AA463" i="5"/>
  <c r="AA775" i="5"/>
  <c r="AA340" i="5"/>
  <c r="Z705" i="5"/>
  <c r="AA705" i="5"/>
  <c r="AA172" i="5"/>
  <c r="AA190" i="5"/>
  <c r="AA656" i="5"/>
  <c r="Z656" i="5"/>
  <c r="AA388" i="5"/>
  <c r="AA647" i="5"/>
  <c r="AA385" i="5"/>
  <c r="AA558" i="5"/>
  <c r="Z558" i="5"/>
  <c r="Z265" i="5"/>
  <c r="AA812" i="5"/>
  <c r="Z26" i="5"/>
  <c r="Z224" i="5"/>
  <c r="AA622" i="5"/>
  <c r="Z167" i="5"/>
  <c r="AA167" i="5"/>
  <c r="Z51" i="5"/>
  <c r="AA51" i="5"/>
  <c r="Z312" i="5"/>
  <c r="Z568" i="5"/>
  <c r="AA568" i="5"/>
  <c r="AA267" i="5"/>
  <c r="Z267" i="5"/>
  <c r="Z308" i="5"/>
  <c r="AA308" i="5"/>
  <c r="Z103" i="5"/>
  <c r="Z223" i="5"/>
  <c r="AA708" i="5"/>
  <c r="Z220" i="5"/>
  <c r="Z633" i="5"/>
  <c r="AA581" i="5"/>
  <c r="Z709" i="5"/>
  <c r="AA33" i="5"/>
  <c r="AA817" i="5"/>
  <c r="Z817" i="5"/>
  <c r="Z218" i="5"/>
  <c r="AA271" i="5"/>
  <c r="AA400" i="5"/>
  <c r="Z154" i="5"/>
  <c r="Z786" i="5"/>
  <c r="Z799" i="5"/>
  <c r="Z262" i="5"/>
  <c r="AA257" i="5"/>
  <c r="AA518" i="5"/>
  <c r="AA10" i="5"/>
  <c r="Z659" i="5"/>
  <c r="AA102" i="5"/>
  <c r="Z159" i="5"/>
  <c r="AA76" i="5"/>
  <c r="Z221" i="5"/>
  <c r="AA273" i="5"/>
  <c r="Z309" i="5"/>
  <c r="AA625" i="5"/>
  <c r="AA398" i="5"/>
  <c r="Z576" i="5"/>
  <c r="Z301" i="5"/>
  <c r="Z33" i="5"/>
  <c r="AA644" i="5"/>
  <c r="AA288" i="5"/>
  <c r="AA685" i="5"/>
  <c r="Z560" i="5"/>
  <c r="AA169" i="5"/>
  <c r="Z749" i="5"/>
  <c r="AA460" i="5"/>
  <c r="AA182" i="5"/>
  <c r="AA683" i="5"/>
  <c r="Z721" i="5"/>
  <c r="Z260" i="5"/>
  <c r="AA260" i="5"/>
  <c r="AA132" i="5"/>
  <c r="Z792" i="5"/>
  <c r="AA184" i="5"/>
  <c r="Z184" i="5"/>
  <c r="AA597" i="5"/>
  <c r="AA255" i="5"/>
  <c r="AA358" i="5"/>
  <c r="Z670" i="5"/>
  <c r="AA670" i="5"/>
  <c r="AA93" i="5"/>
  <c r="Z121" i="5"/>
  <c r="Z586" i="5"/>
  <c r="AA665" i="5"/>
  <c r="Z665" i="5"/>
  <c r="Z565" i="5"/>
  <c r="AA565" i="5"/>
  <c r="Z176" i="5"/>
  <c r="AA641" i="5"/>
  <c r="Z641" i="5"/>
  <c r="AA584" i="5"/>
  <c r="AA158" i="5"/>
  <c r="AA716" i="5"/>
  <c r="Z102" i="5"/>
  <c r="Z101" i="5"/>
  <c r="AA535" i="5"/>
  <c r="AA613" i="5"/>
  <c r="Z625" i="5"/>
  <c r="AA523" i="5"/>
  <c r="Z274" i="5"/>
  <c r="Z398" i="5"/>
  <c r="Z415" i="5"/>
  <c r="AA24" i="5"/>
  <c r="Z105" i="5"/>
  <c r="AA189" i="5"/>
  <c r="AA749" i="5"/>
  <c r="AA117" i="5"/>
  <c r="Z117" i="5"/>
  <c r="AA195" i="5"/>
  <c r="Z195" i="5"/>
  <c r="Z110" i="5"/>
  <c r="AA110" i="5"/>
  <c r="Z399" i="5"/>
  <c r="AA75" i="5"/>
  <c r="AA444" i="5"/>
  <c r="AA104" i="5"/>
  <c r="Z447" i="5"/>
  <c r="AA45" i="5"/>
  <c r="Z45" i="5"/>
  <c r="AA485" i="5"/>
  <c r="AA221" i="5"/>
  <c r="AA177" i="5"/>
  <c r="Z710" i="5"/>
  <c r="K80" i="9"/>
  <c r="K76" i="9"/>
  <c r="K68" i="9"/>
  <c r="K69" i="9"/>
  <c r="K73" i="9"/>
  <c r="K70" i="9"/>
  <c r="K61" i="9"/>
  <c r="K71" i="9"/>
  <c r="K91" i="9"/>
  <c r="K65" i="9"/>
  <c r="K87" i="9"/>
  <c r="K84" i="9"/>
  <c r="K78" i="9"/>
  <c r="K60" i="9"/>
  <c r="K94" i="9"/>
  <c r="K79" i="9"/>
  <c r="K81" i="9"/>
  <c r="K96" i="9"/>
  <c r="K75" i="9"/>
  <c r="K90" i="9"/>
  <c r="K64" i="9"/>
  <c r="K59" i="9"/>
  <c r="K93" i="9"/>
  <c r="K89" i="9"/>
  <c r="K85" i="9"/>
  <c r="K82" i="9"/>
  <c r="K92" i="9"/>
  <c r="K62" i="9"/>
  <c r="K63" i="9"/>
  <c r="K83" i="9"/>
  <c r="K86" i="9"/>
  <c r="K88" i="9"/>
  <c r="K74" i="9"/>
  <c r="K72" i="9"/>
  <c r="K67" i="9"/>
  <c r="K95" i="9"/>
  <c r="K58" i="9"/>
  <c r="K77" i="9"/>
  <c r="K66" i="9"/>
  <c r="Z462" i="5"/>
  <c r="AA373" i="5"/>
  <c r="AA803" i="5"/>
  <c r="AA593" i="5"/>
  <c r="Z593" i="5"/>
  <c r="AA316" i="5"/>
  <c r="AA229" i="5"/>
  <c r="Z231" i="5"/>
  <c r="Z119" i="5"/>
  <c r="AA119" i="5"/>
  <c r="AA42" i="5"/>
  <c r="Z42" i="5"/>
  <c r="Z785" i="5"/>
  <c r="AA785" i="5"/>
  <c r="AA379" i="5"/>
  <c r="Z379" i="5"/>
  <c r="Z552" i="5"/>
  <c r="AA599" i="5"/>
  <c r="Z577" i="5"/>
  <c r="AA577" i="5"/>
  <c r="AA631" i="5"/>
  <c r="Z631" i="5"/>
  <c r="Z448" i="5"/>
  <c r="Z504" i="5"/>
  <c r="AA504" i="5"/>
  <c r="AA27" i="5"/>
  <c r="Z718" i="5"/>
  <c r="Z122" i="5"/>
  <c r="Z109" i="5"/>
  <c r="AA204" i="5"/>
  <c r="Z293" i="5"/>
  <c r="Z9" i="5"/>
  <c r="AA648" i="5"/>
  <c r="Z29" i="5"/>
  <c r="Z755" i="5"/>
  <c r="Z806" i="5"/>
  <c r="AA727" i="5"/>
  <c r="Z567" i="5"/>
  <c r="AA41" i="5"/>
  <c r="AA122" i="5"/>
  <c r="Z27" i="5"/>
  <c r="AA278" i="5"/>
  <c r="AA192" i="5"/>
  <c r="Z295" i="5"/>
  <c r="AA105" i="5"/>
  <c r="AA610" i="5"/>
  <c r="AA181" i="5"/>
  <c r="AA524" i="5"/>
  <c r="AA39" i="5"/>
  <c r="Z803" i="5"/>
  <c r="Z403" i="5"/>
  <c r="Z84" i="5"/>
  <c r="AA239" i="5"/>
  <c r="Z592" i="5"/>
  <c r="AA592" i="5"/>
  <c r="AA129" i="5"/>
  <c r="AA156" i="5"/>
  <c r="Z292" i="5"/>
  <c r="Z616" i="5"/>
  <c r="AA616" i="5"/>
  <c r="AA397" i="5"/>
  <c r="AA136" i="5"/>
  <c r="Z175" i="5"/>
  <c r="AA99" i="5"/>
  <c r="Z8" i="5"/>
  <c r="AA8" i="5"/>
  <c r="AA4" i="5"/>
  <c r="AA186" i="5"/>
  <c r="Z186" i="5"/>
  <c r="Z19" i="5"/>
  <c r="AA19" i="5"/>
  <c r="Z258" i="5"/>
  <c r="AA402" i="5"/>
  <c r="Z612" i="5"/>
  <c r="Z305" i="5"/>
  <c r="Z797" i="5"/>
  <c r="AA797" i="5"/>
  <c r="Z243" i="5"/>
  <c r="Z22" i="5"/>
  <c r="Z189" i="5"/>
  <c r="Z483" i="5"/>
  <c r="AA483" i="5"/>
  <c r="AA134" i="5"/>
  <c r="Z807" i="5"/>
  <c r="AA807" i="5"/>
  <c r="AA408" i="5"/>
  <c r="AA289" i="5"/>
  <c r="Z289" i="5"/>
  <c r="AA357" i="5"/>
  <c r="Z330" i="5"/>
  <c r="AA3" i="5"/>
  <c r="Z3" i="5"/>
  <c r="AA235" i="5"/>
  <c r="AA566" i="5"/>
  <c r="AA74" i="5"/>
  <c r="Z706" i="5"/>
  <c r="AA120" i="5"/>
  <c r="Z618" i="5"/>
  <c r="AA36" i="5"/>
  <c r="AA9" i="5"/>
  <c r="Z146" i="5"/>
  <c r="Z253" i="5"/>
  <c r="AA214" i="5"/>
  <c r="AA806" i="5"/>
  <c r="AA226" i="5"/>
  <c r="Z566" i="5"/>
  <c r="AA113" i="5"/>
  <c r="Z743" i="5"/>
  <c r="AA295" i="5"/>
  <c r="AA382" i="5"/>
  <c r="AA300" i="5"/>
  <c r="AA571" i="5"/>
  <c r="AA170" i="5"/>
  <c r="Z357" i="5"/>
  <c r="Z524" i="5"/>
  <c r="Z393" i="5"/>
  <c r="AA349" i="5"/>
  <c r="Z155" i="5"/>
  <c r="AA614" i="5"/>
  <c r="AA778" i="5"/>
  <c r="M58" i="9"/>
  <c r="M86" i="9"/>
  <c r="M71" i="9"/>
  <c r="M66" i="9"/>
  <c r="M96" i="9"/>
  <c r="M78" i="9"/>
  <c r="M62" i="9"/>
  <c r="M76" i="9"/>
  <c r="M95" i="9"/>
  <c r="M74" i="9"/>
  <c r="M65" i="9"/>
  <c r="M75" i="9"/>
  <c r="M70" i="9"/>
  <c r="M69" i="9"/>
  <c r="M61" i="9"/>
  <c r="M89" i="9"/>
  <c r="M68" i="9"/>
  <c r="M80" i="9"/>
  <c r="M73" i="9"/>
  <c r="M90" i="9"/>
  <c r="M93" i="9"/>
  <c r="M60" i="9"/>
  <c r="M92" i="9"/>
  <c r="M87" i="9"/>
  <c r="M91" i="9"/>
  <c r="M63" i="9"/>
  <c r="M72" i="9"/>
  <c r="M64" i="9"/>
  <c r="M67" i="9"/>
  <c r="M94" i="9"/>
  <c r="M79" i="9"/>
  <c r="M84" i="9"/>
  <c r="M83" i="9"/>
  <c r="M59" i="9"/>
  <c r="M85" i="9"/>
  <c r="M82" i="9"/>
  <c r="M88" i="9"/>
  <c r="M77" i="9"/>
  <c r="M81" i="9"/>
  <c r="J91" i="9"/>
  <c r="J66" i="9"/>
  <c r="J72" i="9"/>
  <c r="J84" i="9"/>
  <c r="J78" i="9"/>
  <c r="J69" i="9"/>
  <c r="J65" i="9"/>
  <c r="J83" i="9"/>
  <c r="J82" i="9"/>
  <c r="J81" i="9"/>
  <c r="J77" i="9"/>
  <c r="J92" i="9"/>
  <c r="J67" i="9"/>
  <c r="J86" i="9"/>
  <c r="J63" i="9"/>
  <c r="J88" i="9"/>
  <c r="J95" i="9"/>
  <c r="J85" i="9"/>
  <c r="J76" i="9"/>
  <c r="J64" i="9"/>
  <c r="J73" i="9"/>
  <c r="J70" i="9"/>
  <c r="J74" i="9"/>
  <c r="J62" i="9"/>
  <c r="J79" i="9"/>
  <c r="J60" i="9"/>
  <c r="J96" i="9"/>
  <c r="J68" i="9"/>
  <c r="J80" i="9"/>
  <c r="J58" i="9"/>
  <c r="J94" i="9"/>
  <c r="J87" i="9"/>
  <c r="J59" i="9"/>
  <c r="J90" i="9"/>
  <c r="J93" i="9"/>
  <c r="J71" i="9"/>
  <c r="J75" i="9"/>
  <c r="J61" i="9"/>
  <c r="J89" i="9"/>
  <c r="L86" i="9"/>
  <c r="L92" i="9"/>
  <c r="L85" i="9"/>
  <c r="L95" i="9"/>
  <c r="L90" i="9"/>
  <c r="L60" i="9"/>
  <c r="L94" i="9"/>
  <c r="L80" i="9"/>
  <c r="L59" i="9"/>
  <c r="L91" i="9"/>
  <c r="L68" i="9"/>
  <c r="L74" i="9"/>
  <c r="L61" i="9"/>
  <c r="L93" i="9"/>
  <c r="L67" i="9"/>
  <c r="L58" i="9"/>
  <c r="L75" i="9"/>
  <c r="L82" i="9"/>
  <c r="L66" i="9"/>
  <c r="L89" i="9"/>
  <c r="L69" i="9"/>
  <c r="L73" i="9"/>
  <c r="L96" i="9"/>
  <c r="L71" i="9"/>
  <c r="L62" i="9"/>
  <c r="L65" i="9"/>
  <c r="AA270" i="5"/>
  <c r="AA23" i="5"/>
  <c r="Z370" i="5"/>
  <c r="AA715" i="5"/>
  <c r="AA579" i="5"/>
  <c r="Z579" i="5"/>
  <c r="AA548" i="5"/>
  <c r="AA712" i="5"/>
  <c r="Z482" i="5"/>
  <c r="AA482" i="5"/>
  <c r="AA502" i="5"/>
  <c r="Z502" i="5"/>
  <c r="Z208" i="5"/>
  <c r="AA208" i="5"/>
  <c r="AA783" i="5"/>
  <c r="Z256" i="5"/>
  <c r="Z107" i="5"/>
  <c r="Z356" i="5"/>
  <c r="AA724" i="5"/>
  <c r="Z724" i="5"/>
  <c r="AA244" i="5"/>
  <c r="Z244" i="5"/>
  <c r="Z423" i="5"/>
  <c r="Z327" i="5"/>
  <c r="AA719" i="5"/>
  <c r="AA246" i="5"/>
  <c r="Z246" i="5"/>
  <c r="Z779" i="5"/>
  <c r="AA779" i="5"/>
  <c r="Z12" i="5"/>
  <c r="AA12" i="5"/>
  <c r="AA725" i="5"/>
  <c r="Z725" i="5"/>
  <c r="Z468" i="5"/>
  <c r="AA673" i="5"/>
  <c r="Z673" i="5"/>
  <c r="Z424" i="5"/>
  <c r="AA424" i="5"/>
  <c r="Z608" i="5"/>
  <c r="AA608" i="5"/>
  <c r="AA264" i="5"/>
  <c r="Z526" i="5"/>
  <c r="Z98" i="5"/>
  <c r="Z528" i="5"/>
  <c r="AA528" i="5"/>
  <c r="Z351" i="5"/>
  <c r="AA351" i="5"/>
  <c r="AA756" i="5"/>
  <c r="Z756" i="5"/>
  <c r="Z788" i="5"/>
  <c r="AA788" i="5"/>
  <c r="AA570" i="5"/>
  <c r="Z93" i="5"/>
  <c r="AA162" i="5"/>
  <c r="AA573" i="5"/>
  <c r="Z719" i="5"/>
  <c r="Z170" i="5"/>
  <c r="Z182" i="5"/>
  <c r="AA663" i="5"/>
  <c r="Z663" i="5"/>
  <c r="AA20" i="5"/>
  <c r="Z20" i="5"/>
  <c r="Z791" i="5"/>
  <c r="AA791" i="5"/>
  <c r="AA763" i="5"/>
  <c r="Z763" i="5"/>
  <c r="AA133" i="5"/>
  <c r="Z133" i="5"/>
  <c r="AA590" i="5"/>
  <c r="Z590" i="5"/>
  <c r="Z43" i="5"/>
  <c r="AA43" i="5"/>
  <c r="Z257" i="5"/>
  <c r="Z164" i="5"/>
  <c r="Z611" i="5"/>
  <c r="AA418" i="5"/>
  <c r="Z418" i="5"/>
  <c r="Z147" i="5"/>
  <c r="AA147" i="5"/>
  <c r="AA533" i="5"/>
  <c r="Z533" i="5"/>
  <c r="Z787" i="5"/>
  <c r="AA787" i="5"/>
  <c r="Z494" i="5"/>
  <c r="AA494" i="5"/>
  <c r="AA241" i="5"/>
  <c r="Z241" i="5"/>
  <c r="AA766" i="5"/>
  <c r="Z766" i="5"/>
  <c r="Z545" i="5"/>
  <c r="Z115" i="5"/>
  <c r="AA85" i="5"/>
  <c r="Z651" i="5"/>
  <c r="Z194" i="5"/>
  <c r="AA95" i="5"/>
  <c r="Z200" i="5"/>
  <c r="AA154" i="5"/>
  <c r="Z255" i="5"/>
  <c r="Z11" i="5"/>
  <c r="Z614" i="5"/>
  <c r="Z408" i="5"/>
  <c r="AA279" i="5"/>
  <c r="AA586" i="5"/>
  <c r="AA338" i="5"/>
  <c r="AA217" i="5"/>
  <c r="AA7" i="5"/>
  <c r="Z815" i="5"/>
  <c r="Z219" i="5"/>
  <c r="AA684" i="5"/>
  <c r="Z254" i="5"/>
  <c r="AA101" i="5"/>
  <c r="Z714" i="5"/>
  <c r="AA814" i="5"/>
  <c r="AA127" i="5"/>
  <c r="Z56" i="5"/>
  <c r="AA452" i="5"/>
  <c r="Z337" i="5"/>
  <c r="AA247" i="5"/>
  <c r="Z553" i="5"/>
  <c r="Z681" i="5"/>
  <c r="AA736" i="5"/>
  <c r="AA760" i="5"/>
  <c r="AA253" i="5"/>
  <c r="AA707" i="5"/>
  <c r="AA652" i="5"/>
  <c r="Z654" i="5"/>
  <c r="AA286" i="5"/>
  <c r="AA755" i="5"/>
  <c r="AA298" i="5"/>
  <c r="AA150" i="5"/>
  <c r="Z715" i="5"/>
  <c r="AA179" i="5"/>
  <c r="AA721" i="5"/>
  <c r="AA256" i="5"/>
  <c r="Z281" i="5"/>
  <c r="AA596" i="5"/>
  <c r="AA667" i="5"/>
  <c r="Z92" i="5"/>
  <c r="AA792" i="5"/>
  <c r="AA309" i="5"/>
  <c r="AA356" i="5"/>
  <c r="AA407" i="5"/>
  <c r="Z617" i="5"/>
  <c r="Z519" i="5"/>
  <c r="Z687" i="5"/>
  <c r="Z583" i="5"/>
  <c r="AA399" i="5"/>
  <c r="Z369" i="5"/>
  <c r="Z367" i="5"/>
  <c r="AA431" i="5"/>
  <c r="Z62" i="5"/>
  <c r="Z58" i="5"/>
  <c r="Z477" i="5"/>
  <c r="AA477" i="5"/>
  <c r="AA676" i="5"/>
  <c r="Z676" i="5"/>
  <c r="AA425" i="5"/>
  <c r="Z425" i="5"/>
  <c r="AA536" i="5"/>
  <c r="Z536" i="5"/>
  <c r="AA692" i="5"/>
  <c r="Z692" i="5"/>
  <c r="Z422" i="5"/>
  <c r="AA422" i="5"/>
  <c r="AA729" i="5"/>
  <c r="Z729" i="5"/>
  <c r="AA414" i="5"/>
  <c r="Z414" i="5"/>
  <c r="Z481" i="5"/>
  <c r="AA481" i="5"/>
  <c r="Z505" i="5"/>
  <c r="AA505" i="5"/>
  <c r="AA750" i="5"/>
  <c r="Z750" i="5"/>
  <c r="AA69" i="5"/>
  <c r="Z69" i="5"/>
  <c r="AA629" i="5"/>
  <c r="Z738" i="5"/>
  <c r="AA121" i="5"/>
  <c r="Z623" i="5"/>
  <c r="AA57" i="5"/>
  <c r="AA50" i="5"/>
  <c r="AA777" i="5"/>
  <c r="Z777" i="5"/>
  <c r="AA458" i="5"/>
  <c r="Z458" i="5"/>
  <c r="AA131" i="5"/>
  <c r="Z131" i="5"/>
  <c r="AA674" i="5"/>
  <c r="Z674" i="5"/>
  <c r="AA96" i="5"/>
  <c r="AA669" i="5"/>
  <c r="Z471" i="5"/>
  <c r="Z607" i="5"/>
  <c r="AA140" i="5"/>
  <c r="AA695" i="5"/>
  <c r="AA347" i="5"/>
  <c r="AA176" i="5"/>
  <c r="Z634" i="5"/>
  <c r="Z266" i="5"/>
  <c r="Z75" i="5"/>
  <c r="Z573" i="5"/>
  <c r="AA321" i="5"/>
  <c r="Z134" i="5"/>
  <c r="AA585" i="5"/>
  <c r="Z585" i="5"/>
  <c r="AA320" i="5"/>
  <c r="Z320" i="5"/>
  <c r="AA506" i="5"/>
  <c r="Z506" i="5"/>
  <c r="Z773" i="5"/>
  <c r="AA773" i="5"/>
  <c r="Z269" i="5"/>
  <c r="AA680" i="5"/>
  <c r="AA406" i="5"/>
  <c r="Z696" i="5"/>
  <c r="Z581" i="5"/>
  <c r="Z116" i="5"/>
  <c r="AA78" i="5"/>
  <c r="AA602" i="5"/>
  <c r="Z645" i="5"/>
  <c r="Z555" i="5"/>
  <c r="AA301" i="5"/>
  <c r="AA350" i="5"/>
  <c r="Z350" i="5"/>
  <c r="AA517" i="5"/>
  <c r="Z517" i="5"/>
  <c r="AA732" i="5"/>
  <c r="Z732" i="5"/>
  <c r="Z10" i="5"/>
  <c r="AA292" i="5"/>
  <c r="Z174" i="5"/>
  <c r="Z206" i="5"/>
  <c r="AA115" i="5"/>
  <c r="Z85" i="5"/>
  <c r="AA554" i="5"/>
  <c r="Z72" i="5"/>
  <c r="AA572" i="5"/>
  <c r="Z366" i="5"/>
  <c r="AA191" i="5"/>
  <c r="Z340" i="5"/>
  <c r="AA11" i="5"/>
  <c r="AA639" i="5"/>
  <c r="AA201" i="5"/>
  <c r="Z578" i="5"/>
  <c r="Z291" i="5"/>
  <c r="Z272" i="5"/>
  <c r="Z338" i="5"/>
  <c r="AA686" i="5"/>
  <c r="Z53" i="5"/>
  <c r="Z277" i="5"/>
  <c r="AA456" i="5"/>
  <c r="AA649" i="5"/>
  <c r="Z209" i="5"/>
  <c r="AA141" i="5"/>
  <c r="Z141" i="5"/>
  <c r="AA489" i="5"/>
  <c r="Z489" i="5"/>
  <c r="AA250" i="5"/>
  <c r="Z149" i="5"/>
  <c r="AA149" i="5"/>
  <c r="Z758" i="5"/>
  <c r="AA758" i="5"/>
  <c r="AA642" i="5"/>
  <c r="Z25" i="5"/>
  <c r="AA439" i="5"/>
  <c r="Z439" i="5"/>
  <c r="Z68" i="5"/>
  <c r="AA68" i="5"/>
  <c r="Z264" i="5"/>
  <c r="Z627" i="5"/>
  <c r="AA262" i="5"/>
  <c r="AA772" i="5"/>
  <c r="Z772" i="5"/>
  <c r="Z236" i="5"/>
  <c r="AA236" i="5"/>
  <c r="AA702" i="5"/>
  <c r="Z702" i="5"/>
  <c r="AA152" i="5"/>
  <c r="Z152" i="5"/>
  <c r="AA275" i="5"/>
  <c r="AA461" i="5"/>
  <c r="Z461" i="5"/>
  <c r="AA499" i="5"/>
  <c r="Z499" i="5"/>
  <c r="AA266" i="5"/>
  <c r="AA780" i="5"/>
  <c r="Z780" i="5"/>
  <c r="AA799" i="5"/>
  <c r="Z626" i="5"/>
  <c r="AA786" i="5"/>
  <c r="Z488" i="5"/>
  <c r="AA488" i="5"/>
  <c r="Z390" i="5"/>
  <c r="AA390" i="5"/>
  <c r="Z722" i="5"/>
  <c r="AA722" i="5"/>
  <c r="Z279" i="5"/>
  <c r="AA277" i="5"/>
  <c r="AA342" i="5"/>
  <c r="Z383" i="5"/>
  <c r="AA714" i="5"/>
  <c r="Z132" i="5"/>
  <c r="AA178" i="5"/>
  <c r="Z178" i="5"/>
  <c r="AA484" i="5"/>
  <c r="Z484" i="5"/>
  <c r="AA634" i="5"/>
  <c r="AA815" i="5"/>
  <c r="Z650" i="5"/>
  <c r="AA337" i="5"/>
  <c r="Z374" i="5"/>
  <c r="AA690" i="5"/>
  <c r="AA473" i="5"/>
  <c r="AA654" i="5"/>
  <c r="Z372" i="5"/>
  <c r="Z713" i="5"/>
  <c r="Z345" i="5"/>
  <c r="AA333" i="5"/>
  <c r="Z640" i="5"/>
  <c r="Z363" i="5"/>
  <c r="Z575" i="5"/>
  <c r="Z80" i="5"/>
  <c r="AA283" i="5"/>
  <c r="AA82" i="5"/>
  <c r="AA381" i="5"/>
  <c r="AA58" i="5"/>
  <c r="AA395" i="5"/>
  <c r="Z395" i="5"/>
  <c r="AA733" i="5"/>
  <c r="Z733" i="5"/>
  <c r="AA143" i="5"/>
  <c r="Z453" i="5"/>
  <c r="AA453" i="5"/>
  <c r="AA576" i="5"/>
  <c r="AA304" i="5"/>
  <c r="AA428" i="5"/>
  <c r="Z428" i="5"/>
  <c r="AA128" i="5"/>
  <c r="Z128" i="5"/>
  <c r="Z574" i="5"/>
  <c r="AA574" i="5"/>
  <c r="AA537" i="5"/>
  <c r="Z537" i="5"/>
  <c r="AA521" i="5"/>
  <c r="Z521" i="5"/>
  <c r="AA730" i="5"/>
  <c r="Z730" i="5"/>
  <c r="Z680" i="5"/>
  <c r="AA164" i="5"/>
  <c r="Z78" i="5"/>
  <c r="AA225" i="5"/>
  <c r="Z225" i="5"/>
  <c r="AA233" i="5"/>
  <c r="Z233" i="5"/>
  <c r="AA394" i="5"/>
  <c r="Z394" i="5"/>
  <c r="AA635" i="5"/>
  <c r="Z318" i="5"/>
  <c r="Z341" i="5"/>
  <c r="Z335" i="5"/>
  <c r="Z584" i="5"/>
  <c r="AA487" i="5"/>
  <c r="Z463" i="5"/>
  <c r="Z818" i="5"/>
  <c r="AA254" i="5"/>
  <c r="AA650" i="5"/>
  <c r="Z557" i="5"/>
  <c r="Z247" i="5"/>
  <c r="AA553" i="5"/>
  <c r="AA374" i="5"/>
  <c r="Z808" i="5"/>
  <c r="AA343" i="5"/>
  <c r="Z473" i="5"/>
  <c r="AA455" i="5"/>
  <c r="Z800" i="5"/>
  <c r="Z795" i="5"/>
  <c r="Z652" i="5"/>
  <c r="AA534" i="5"/>
  <c r="AA741" i="5"/>
  <c r="AA234" i="5"/>
  <c r="AA486" i="5"/>
  <c r="AA549" i="5"/>
  <c r="AA713" i="5"/>
  <c r="AA35" i="5"/>
  <c r="AA711" i="5"/>
  <c r="AA290" i="5"/>
  <c r="Z411" i="5"/>
  <c r="AA700" i="5"/>
  <c r="Z52" i="5"/>
  <c r="Z596" i="5"/>
  <c r="AA363" i="5"/>
  <c r="AA793" i="5"/>
  <c r="Z202" i="5"/>
  <c r="AA92" i="5"/>
  <c r="Z503" i="5"/>
  <c r="AA336" i="5"/>
  <c r="Z278" i="5"/>
  <c r="AA364" i="5"/>
  <c r="Z615" i="5"/>
  <c r="AA22" i="5"/>
  <c r="AA519" i="5"/>
  <c r="AA17" i="5"/>
  <c r="AA575" i="5"/>
  <c r="AA362" i="5"/>
  <c r="AA687" i="5"/>
  <c r="AA80" i="5"/>
  <c r="Z227" i="5"/>
  <c r="AA348" i="5"/>
  <c r="AA664" i="5"/>
  <c r="AA365" i="5"/>
  <c r="AA462" i="5"/>
  <c r="Z125" i="5"/>
  <c r="AA125" i="5"/>
  <c r="Z500" i="5"/>
  <c r="AA500" i="5"/>
  <c r="AA228" i="5"/>
  <c r="Z228" i="5"/>
  <c r="AA148" i="5"/>
  <c r="Z148" i="5"/>
  <c r="Z798" i="5"/>
  <c r="Z210" i="5"/>
  <c r="Z682" i="5"/>
  <c r="AA31" i="5"/>
  <c r="Z373" i="5"/>
  <c r="AA268" i="5"/>
  <c r="Z515" i="5"/>
  <c r="AA339" i="5"/>
  <c r="Z326" i="5"/>
  <c r="Z114" i="5"/>
  <c r="AA139" i="5"/>
  <c r="Z139" i="5"/>
  <c r="Z492" i="5"/>
  <c r="AA492" i="5"/>
  <c r="Z310" i="5"/>
  <c r="AA310" i="5"/>
  <c r="AA701" i="5"/>
  <c r="Z96" i="5"/>
  <c r="Z551" i="5"/>
  <c r="AA311" i="5"/>
  <c r="Z55" i="5"/>
  <c r="Z802" i="5"/>
  <c r="AA243" i="5"/>
  <c r="AA377" i="5"/>
  <c r="Z94" i="5"/>
  <c r="Z171" i="5"/>
  <c r="Z621" i="5"/>
  <c r="Z685" i="5"/>
  <c r="Z314" i="5"/>
  <c r="AA387" i="5"/>
  <c r="Z172" i="5"/>
  <c r="Z518" i="5"/>
  <c r="Z229" i="5"/>
  <c r="Z610" i="5"/>
  <c r="Z441" i="5"/>
  <c r="Z86" i="5"/>
  <c r="AA672" i="5"/>
  <c r="Z754" i="5"/>
  <c r="AA677" i="5"/>
  <c r="Z677" i="5"/>
  <c r="AA238" i="5"/>
  <c r="Z238" i="5"/>
  <c r="AA153" i="5"/>
  <c r="Z153" i="5"/>
  <c r="Z222" i="5"/>
  <c r="AA222" i="5"/>
  <c r="Z185" i="5"/>
  <c r="AA185" i="5"/>
  <c r="Z745" i="5"/>
  <c r="AA745" i="5"/>
  <c r="AA601" i="5"/>
  <c r="Z601" i="5"/>
  <c r="Z595" i="5"/>
  <c r="AA595" i="5"/>
  <c r="Z70" i="5"/>
  <c r="AA70" i="5"/>
  <c r="AA26" i="5"/>
  <c r="AA269" i="5"/>
  <c r="AA544" i="5"/>
  <c r="Z388" i="5"/>
  <c r="AA100" i="5"/>
  <c r="Z197" i="5"/>
  <c r="AA434" i="5"/>
  <c r="Z434" i="5"/>
  <c r="AA491" i="5"/>
  <c r="Z491" i="5"/>
  <c r="Z525" i="5"/>
  <c r="AA525" i="5"/>
  <c r="AA130" i="5"/>
  <c r="Z130" i="5"/>
  <c r="Z728" i="5"/>
  <c r="AA776" i="5"/>
  <c r="Z776" i="5"/>
  <c r="Z249" i="5"/>
  <c r="AA249" i="5"/>
  <c r="Z811" i="5"/>
  <c r="Z361" i="5"/>
  <c r="Z157" i="5"/>
  <c r="AA651" i="5"/>
  <c r="AA194" i="5"/>
  <c r="AA72" i="5"/>
  <c r="AA355" i="5"/>
  <c r="Z572" i="5"/>
  <c r="AA632" i="5"/>
  <c r="Z191" i="5"/>
  <c r="Z446" i="5"/>
  <c r="AA598" i="5"/>
  <c r="AA2" i="5"/>
  <c r="Z156" i="5"/>
  <c r="AA81" i="5"/>
  <c r="AA637" i="5"/>
  <c r="Z108" i="5"/>
  <c r="AA532" i="5"/>
  <c r="AA34" i="5"/>
  <c r="AA291" i="5"/>
  <c r="Z735" i="5"/>
  <c r="AA412" i="5"/>
  <c r="AA353" i="5"/>
  <c r="AA332" i="5"/>
  <c r="AA296" i="5"/>
  <c r="AA561" i="5"/>
  <c r="Z666" i="5"/>
  <c r="AA679" i="5"/>
  <c r="Z118" i="5"/>
  <c r="Z216" i="5"/>
  <c r="Z569" i="5"/>
  <c r="AA433" i="5"/>
  <c r="Z433" i="5"/>
  <c r="Z589" i="5"/>
  <c r="AA589" i="5"/>
  <c r="AA623" i="5"/>
  <c r="AA423" i="5"/>
  <c r="Z421" i="5"/>
  <c r="AA421" i="5"/>
  <c r="Z570" i="5"/>
  <c r="Z689" i="5"/>
  <c r="AA689" i="5"/>
  <c r="Z5" i="5"/>
  <c r="AA5" i="5"/>
  <c r="Z426" i="5"/>
  <c r="AA426" i="5"/>
  <c r="Z769" i="5"/>
  <c r="AA769" i="5"/>
  <c r="Z429" i="5"/>
  <c r="AA429" i="5"/>
  <c r="AA211" i="5"/>
  <c r="AA449" i="5"/>
  <c r="Z354" i="5"/>
  <c r="Z23" i="5"/>
  <c r="AA97" i="5"/>
  <c r="AA378" i="5"/>
  <c r="Z757" i="5"/>
  <c r="AA757" i="5"/>
  <c r="AA391" i="5"/>
  <c r="Z391" i="5"/>
  <c r="AA437" i="5"/>
  <c r="Z437" i="5"/>
  <c r="Z321" i="5"/>
  <c r="AA530" i="5"/>
  <c r="Z530" i="5"/>
  <c r="AA205" i="5"/>
  <c r="Z205" i="5"/>
  <c r="AA135" i="5"/>
  <c r="Z135" i="5"/>
  <c r="AA331" i="5"/>
  <c r="Z331" i="5"/>
  <c r="AA416" i="5"/>
  <c r="Z416" i="5"/>
  <c r="Z783" i="5"/>
  <c r="Z76" i="5"/>
  <c r="Z678" i="5"/>
  <c r="AA809" i="5"/>
  <c r="Z389" i="5"/>
  <c r="Z498" i="5"/>
  <c r="AA498" i="5"/>
  <c r="Z198" i="5"/>
  <c r="Z30" i="5"/>
  <c r="Z322" i="5"/>
  <c r="AA808" i="5"/>
  <c r="Z7" i="5"/>
  <c r="AA662" i="5"/>
  <c r="Z662" i="5"/>
  <c r="Z512" i="5"/>
  <c r="AA512" i="5"/>
  <c r="Z778" i="5"/>
  <c r="AA396" i="5"/>
  <c r="AA114" i="5"/>
  <c r="Z145" i="5"/>
  <c r="AA145" i="5"/>
  <c r="Z112" i="5"/>
  <c r="Z199" i="5"/>
  <c r="AA582" i="5"/>
  <c r="Z698" i="5"/>
  <c r="AA698" i="5"/>
  <c r="AA513" i="5"/>
  <c r="Z513" i="5"/>
  <c r="AA180" i="5"/>
  <c r="Z180" i="5"/>
  <c r="Z37" i="5"/>
  <c r="AA37" i="5"/>
  <c r="Z126" i="5"/>
  <c r="AA126" i="5"/>
  <c r="AA796" i="5"/>
  <c r="Z796" i="5"/>
  <c r="AA138" i="5"/>
  <c r="Z138" i="5"/>
  <c r="AA193" i="5"/>
  <c r="Z201" i="5"/>
  <c r="Z637" i="5"/>
  <c r="Z296" i="5"/>
  <c r="Z646" i="5"/>
  <c r="AA341" i="5"/>
  <c r="Z679" i="5"/>
  <c r="Z237" i="5"/>
  <c r="AA118" i="5"/>
  <c r="AA335" i="5"/>
  <c r="AA659" i="5"/>
  <c r="Z158" i="5"/>
  <c r="AA405" i="5"/>
  <c r="Z812" i="5"/>
  <c r="AA242" i="5"/>
  <c r="AA198" i="5"/>
  <c r="Z420" i="5"/>
  <c r="AA344" i="5"/>
  <c r="AA765" i="5"/>
  <c r="Z531" i="5"/>
  <c r="Z643" i="5"/>
  <c r="AA307" i="5"/>
  <c r="Z287" i="5"/>
  <c r="AA630" i="5"/>
  <c r="Z661" i="5"/>
  <c r="AA800" i="5"/>
  <c r="AA795" i="5"/>
  <c r="AA465" i="5"/>
  <c r="Z605" i="5"/>
  <c r="Z563" i="5"/>
  <c r="AA587" i="5"/>
  <c r="Z97" i="5"/>
  <c r="Z597" i="5"/>
  <c r="Z214" i="5"/>
  <c r="Z440" i="5"/>
  <c r="AA552" i="5"/>
  <c r="AA734" i="5"/>
  <c r="Z775" i="5"/>
  <c r="Z35" i="5"/>
  <c r="Z290" i="5"/>
  <c r="Z700" i="5"/>
  <c r="AA52" i="5"/>
  <c r="AA675" i="5"/>
  <c r="AA527" i="5"/>
  <c r="Z747" i="5"/>
  <c r="Z173" i="5"/>
  <c r="Z764" i="5"/>
  <c r="Z793" i="5"/>
  <c r="AA202" i="5"/>
  <c r="AA588" i="5"/>
  <c r="Z336" i="5"/>
  <c r="AA615" i="5"/>
  <c r="Z371" i="5"/>
  <c r="Z226" i="5"/>
  <c r="AA261" i="5"/>
  <c r="Z649" i="5"/>
  <c r="AA248" i="5"/>
  <c r="AA655" i="5"/>
  <c r="AA265" i="5"/>
  <c r="AA209" i="5"/>
  <c r="Z744" i="5"/>
  <c r="Z283" i="5"/>
  <c r="Z348" i="5"/>
  <c r="Z664" i="5"/>
  <c r="Z435" i="5"/>
  <c r="Z82" i="5"/>
  <c r="Z89" i="5"/>
  <c r="AA218" i="5"/>
  <c r="Z381" i="5"/>
  <c r="Z493" i="5"/>
  <c r="AA493" i="5"/>
  <c r="AA495" i="5"/>
  <c r="Z495" i="5"/>
  <c r="Z443" i="5"/>
  <c r="AA443" i="5"/>
  <c r="Z600" i="5"/>
  <c r="AA600" i="5"/>
  <c r="AA798" i="5"/>
  <c r="AA210" i="5"/>
  <c r="AA682" i="5"/>
  <c r="AA660" i="5"/>
  <c r="Z396" i="5"/>
  <c r="Z31" i="5"/>
  <c r="Z54" i="5"/>
  <c r="Z275" i="5"/>
  <c r="Z268" i="5"/>
  <c r="Z196" i="5"/>
  <c r="Z339" i="5"/>
  <c r="Z507" i="5"/>
  <c r="AA436" i="5"/>
  <c r="AA624" i="5"/>
  <c r="AA427" i="5"/>
  <c r="Z427" i="5"/>
  <c r="AA794" i="5"/>
  <c r="Z794" i="5"/>
  <c r="AA183" i="5"/>
  <c r="Z183" i="5"/>
  <c r="Z701" i="5"/>
  <c r="AA717" i="5"/>
  <c r="AA697" i="5"/>
  <c r="Z548" i="5"/>
  <c r="Z382" i="5"/>
  <c r="AA21" i="5"/>
  <c r="Z704" i="5"/>
  <c r="Z300" i="5"/>
  <c r="AA14" i="5"/>
  <c r="AA171" i="5"/>
  <c r="AA621" i="5"/>
  <c r="Z47" i="5"/>
  <c r="AA314" i="5"/>
  <c r="Z304" i="5"/>
  <c r="Z387" i="5"/>
  <c r="Z384" i="5"/>
  <c r="Z599" i="5"/>
  <c r="Z712" i="5"/>
  <c r="Z647" i="5"/>
  <c r="Z181" i="5"/>
  <c r="Z672" i="5"/>
  <c r="Z810" i="5"/>
  <c r="Z801" i="5"/>
  <c r="AA112" i="5"/>
  <c r="AA657" i="5"/>
  <c r="Z657" i="5"/>
  <c r="Z522" i="5"/>
  <c r="AA522" i="5"/>
  <c r="AA746" i="5"/>
  <c r="Z746" i="5"/>
  <c r="AA514" i="5"/>
  <c r="Z514" i="5"/>
  <c r="AA752" i="5"/>
  <c r="Z752" i="5"/>
  <c r="AA66" i="5"/>
  <c r="Z66" i="5"/>
  <c r="Z703" i="5"/>
  <c r="AA703" i="5"/>
  <c r="AA580" i="5"/>
  <c r="Z580" i="5"/>
  <c r="Z401" i="5"/>
  <c r="AA258" i="5"/>
  <c r="Z628" i="5"/>
  <c r="AA305" i="5"/>
  <c r="AA297" i="5"/>
  <c r="AA346" i="5"/>
  <c r="Z313" i="5"/>
  <c r="AA188" i="5"/>
  <c r="Z100" i="5"/>
  <c r="Z380" i="5"/>
  <c r="AA197" i="5"/>
  <c r="AA64" i="5"/>
  <c r="Z64" i="5"/>
  <c r="Z748" i="5"/>
  <c r="AA748" i="5"/>
  <c r="AA330" i="5"/>
  <c r="AA67" i="5"/>
  <c r="Z444" i="5"/>
  <c r="Z622" i="5"/>
  <c r="Z644" i="5"/>
  <c r="Z355" i="5"/>
  <c r="AA820" i="5"/>
  <c r="AA739" i="5"/>
  <c r="Z353" i="5"/>
  <c r="Z46" i="5"/>
  <c r="Z561" i="5"/>
  <c r="AA559" i="5"/>
  <c r="AA107" i="5"/>
  <c r="Z319" i="5"/>
  <c r="AA319" i="5"/>
  <c r="Z629" i="5"/>
  <c r="AA469" i="5"/>
  <c r="Z469" i="5"/>
  <c r="AA496" i="5"/>
  <c r="Z496" i="5"/>
  <c r="Z413" i="5"/>
  <c r="AA413" i="5"/>
  <c r="Z151" i="5"/>
  <c r="AA151" i="5"/>
  <c r="Z809" i="5"/>
  <c r="AA490" i="5"/>
  <c r="Z490" i="5"/>
  <c r="Z259" i="5"/>
  <c r="Z720" i="5"/>
  <c r="AA30" i="5"/>
  <c r="Z603" i="5"/>
  <c r="Z438" i="5"/>
  <c r="AA438" i="5"/>
  <c r="AA417" i="5"/>
  <c r="Z417" i="5"/>
  <c r="Z451" i="5"/>
  <c r="AA451" i="5"/>
  <c r="Z252" i="5"/>
  <c r="AA252" i="5"/>
  <c r="Z753" i="5"/>
  <c r="AA753" i="5"/>
  <c r="Z782" i="5"/>
  <c r="AA782" i="5"/>
  <c r="Z65" i="5"/>
  <c r="AA65" i="5"/>
  <c r="AA466" i="5"/>
  <c r="Z466" i="5"/>
  <c r="Z450" i="5"/>
  <c r="AA450" i="5"/>
  <c r="AA442" i="5"/>
  <c r="Z442" i="5"/>
  <c r="Z527" i="5"/>
  <c r="AA475" i="5"/>
  <c r="Z475" i="5"/>
  <c r="Z419" i="5"/>
  <c r="AA419" i="5"/>
  <c r="AA529" i="5"/>
  <c r="Z529" i="5"/>
  <c r="Z751" i="5"/>
  <c r="AA751" i="5"/>
  <c r="AA280" i="5"/>
  <c r="Z280" i="5"/>
  <c r="Z604" i="5"/>
  <c r="AA604" i="5"/>
  <c r="AA71" i="5"/>
  <c r="Z71" i="5"/>
  <c r="Z123" i="5"/>
  <c r="AA123" i="5"/>
  <c r="AA29" i="5"/>
  <c r="AA520" i="5"/>
  <c r="Z520" i="5"/>
  <c r="Z467" i="5"/>
  <c r="AA467" i="5"/>
  <c r="Z459" i="5"/>
  <c r="AA459" i="5"/>
  <c r="Z767" i="5"/>
  <c r="AA767" i="5"/>
  <c r="AA445" i="5"/>
  <c r="Z445" i="5"/>
  <c r="Z497" i="5"/>
  <c r="AA497" i="5"/>
  <c r="Z474" i="5"/>
  <c r="AA474" i="5"/>
  <c r="Z144" i="5"/>
  <c r="AA144" i="5"/>
  <c r="AA810" i="5"/>
  <c r="AA230" i="5"/>
  <c r="Z230" i="5"/>
  <c r="Z478" i="5"/>
  <c r="AA478" i="5"/>
  <c r="AA693" i="5"/>
  <c r="Z693" i="5"/>
  <c r="AA768" i="5"/>
  <c r="Z768" i="5"/>
  <c r="AA726" i="5"/>
  <c r="Z726" i="5"/>
  <c r="Z352" i="5"/>
  <c r="AA352" i="5"/>
  <c r="AA740" i="5"/>
  <c r="Z740" i="5"/>
  <c r="Z737" i="5"/>
  <c r="AA737" i="5"/>
  <c r="Z40" i="5"/>
  <c r="AA40" i="5"/>
  <c r="Z789" i="5"/>
  <c r="AA789" i="5"/>
  <c r="AA15" i="5"/>
  <c r="Z15" i="5"/>
  <c r="Z142" i="5"/>
  <c r="AA142" i="5"/>
  <c r="AA392" i="5"/>
  <c r="Z392" i="5"/>
  <c r="Z509" i="5"/>
  <c r="AA509" i="5"/>
  <c r="Z479" i="5"/>
  <c r="AA479" i="5"/>
  <c r="Z476" i="5"/>
  <c r="AA476" i="5"/>
  <c r="Z212" i="5" l="1"/>
  <c r="Z213" i="5"/>
  <c r="AA215" i="5"/>
  <c r="AA213" i="5"/>
  <c r="T215" i="5"/>
  <c r="U215" i="5"/>
  <c r="U213" i="5"/>
  <c r="AA212" i="5"/>
  <c r="U212" i="5"/>
  <c r="Z284" i="5"/>
  <c r="Z282" i="5"/>
  <c r="T282" i="5"/>
  <c r="T284" i="5"/>
  <c r="U284" i="5"/>
  <c r="AA282" i="5"/>
  <c r="U285" i="5"/>
  <c r="AA285" i="5"/>
  <c r="T285" i="5"/>
</calcChain>
</file>

<file path=xl/comments1.xml><?xml version="1.0" encoding="utf-8"?>
<comments xmlns="http://schemas.openxmlformats.org/spreadsheetml/2006/main">
  <authors>
    <author>kgarber</author>
  </authors>
  <commentList>
    <comment ref="C4" authorId="0" shapeId="0">
      <text>
        <r>
          <rPr>
            <sz val="8"/>
            <color indexed="81"/>
            <rFont val="Tahoma"/>
            <family val="2"/>
          </rPr>
          <t>This applies to ground applications.
The default value is 1.
If incorporation depth is ≤1inch, enter 1.                                              If incorporation depth is &gt;1inch, enter number.
If incorporation depth is &gt;6 inches, enter 6.                                                                         For aerial applications, enter 1.</t>
        </r>
      </text>
    </comment>
  </commentList>
</comments>
</file>

<file path=xl/connections.xml><?xml version="1.0" encoding="utf-8"?>
<connections xmlns="http://schemas.openxmlformats.org/spreadsheetml/2006/main">
  <connection id="1" name="BirdsCDL3" type="6" refreshedVersion="5" background="1" saveData="1">
    <textPr codePage="437" sourceFile="G:\Species\GIS\Co_occur_MB\Birds\AQ_PO\BirdsCDL.txt"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BirdsCDL33" type="6" refreshedVersion="5" background="1" saveData="1">
    <textPr codePage="437" sourceFile="G:\Species\GIS\Co_occur_MB\Birds\AQ_PO\BirdsCDL.txt"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BirdsCDL4" type="6" refreshedVersion="5" background="1" saveData="1">
    <textPr codePage="437" sourceFile="G:\Species\GIS\Co_occur_MB\Birds\AQ_PO\BirdsCDL.txt"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BirdsCDL43" type="6" refreshedVersion="5" background="1" saveData="1">
    <textPr codePage="437" sourceFile="G:\Species\GIS\Co_occur_MB\Birds\AQ_PO\BirdsCDL.txt"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name="BirdsCDL5" type="6" refreshedVersion="5" background="1" saveData="1">
    <textPr codePage="437" sourceFile="G:\Species\GIS\Co_occur_MB\Birds\AQ_PO\BirdsCDL.txt"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name="BirdsCDL53" type="6" refreshedVersion="5" background="1" saveData="1">
    <textPr codePage="437" sourceFile="G:\Species\GIS\Co_occur_MB\Birds\AQ_PO\BirdsCDL.txt" comma="1">
      <textFields count="4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7" name="Mammals_20150813" type="6" refreshedVersion="5" background="1" saveData="1">
    <textPr codePage="437" sourceFile="Z:\Species\GIS\Co_occur_MB\ErrorZonal_clip\Birds\SpeciesGroups_FinalTables\Mammals_20150813.csv" comma="1">
      <textFields count="4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8" name="R_Birds_master11" type="6" refreshedVersion="5" background="1" saveData="1">
    <textPr codePage="437" sourceFile="G:\Species\GIS\Co_occur_MB\Birds\export_MasterTables\R_Birds_master.txt"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9" name="R_Birds_master113" type="6" refreshedVersion="5" background="1" saveData="1">
    <textPr codePage="437" sourceFile="G:\Species\GIS\Co_occur_MB\Birds\export_MasterTables\R_Birds_master.txt"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0" name="R_Birds_master12" type="6" refreshedVersion="5" background="1" saveData="1">
    <textPr codePage="437" sourceFile="G:\Species\GIS\Co_occur_MB\Birds\export_MasterTables\R_Birds_master.txt"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1" name="R_Birds_master123" type="6" refreshedVersion="5" background="1" saveData="1">
    <textPr codePage="437" sourceFile="G:\Species\GIS\Co_occur_MB\Birds\export_MasterTables\R_Birds_master.txt" comma="1">
      <textFields count="4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<sst xmlns="http://schemas.openxmlformats.org/spreadsheetml/2006/main" count="22343" uniqueCount="989">
  <si>
    <t>For drop down lists:</t>
  </si>
  <si>
    <t>Application method</t>
  </si>
  <si>
    <t>Boom height</t>
  </si>
  <si>
    <t>Droplet spectrum</t>
  </si>
  <si>
    <t>a</t>
  </si>
  <si>
    <t>b</t>
  </si>
  <si>
    <t>c</t>
  </si>
  <si>
    <t>Parameter</t>
  </si>
  <si>
    <t>Value</t>
  </si>
  <si>
    <t>Units</t>
  </si>
  <si>
    <t>Comments</t>
  </si>
  <si>
    <t>Application methods</t>
  </si>
  <si>
    <t>Aerial</t>
  </si>
  <si>
    <t>NA</t>
  </si>
  <si>
    <t>Very Fine to Fine</t>
  </si>
  <si>
    <t>Chemical name</t>
  </si>
  <si>
    <t>none</t>
  </si>
  <si>
    <t>aerial</t>
  </si>
  <si>
    <t>Fine To Medium</t>
  </si>
  <si>
    <t>Crop</t>
  </si>
  <si>
    <t>ground</t>
  </si>
  <si>
    <t>Medium to Coarse</t>
  </si>
  <si>
    <t>airblast</t>
  </si>
  <si>
    <t>Coarse to Very Coarse</t>
  </si>
  <si>
    <t>Single application rate</t>
  </si>
  <si>
    <t>lb a.i./A</t>
  </si>
  <si>
    <t>Ground</t>
  </si>
  <si>
    <t>High</t>
  </si>
  <si>
    <t>Number of applications</t>
  </si>
  <si>
    <t>Fine to Medium/Coarse</t>
  </si>
  <si>
    <t>Application interval</t>
  </si>
  <si>
    <t>days</t>
  </si>
  <si>
    <t>very fine to fine</t>
  </si>
  <si>
    <t>Low (0.5 m)</t>
  </si>
  <si>
    <t>Low</t>
  </si>
  <si>
    <t>coarse to very coarse</t>
  </si>
  <si>
    <t>fine to medium</t>
  </si>
  <si>
    <t>High (1.3 m)</t>
  </si>
  <si>
    <t>Fine to Medium Coarse</t>
  </si>
  <si>
    <t>medium to coarse</t>
  </si>
  <si>
    <t>Airblast</t>
  </si>
  <si>
    <t>NA = not applicable</t>
  </si>
  <si>
    <t>Frespired:</t>
  </si>
  <si>
    <t>Comments/source</t>
  </si>
  <si>
    <t>Foliar dissipation half-life</t>
  </si>
  <si>
    <t>aerobic soil metabolism half-life</t>
  </si>
  <si>
    <t>daily fraction retained in mammals</t>
  </si>
  <si>
    <t>daily fraction retained in birds</t>
  </si>
  <si>
    <t>Log Kow</t>
  </si>
  <si>
    <t>Koc</t>
  </si>
  <si>
    <t>L/kg-oc</t>
  </si>
  <si>
    <t>Solubility in water</t>
  </si>
  <si>
    <t>mg/L</t>
  </si>
  <si>
    <t>Henry's law constant</t>
  </si>
  <si>
    <r>
      <t>atm-m</t>
    </r>
    <r>
      <rPr>
        <vertAlign val="superscript"/>
        <sz val="11"/>
        <color rgb="FF000000"/>
        <rFont val="Calibri"/>
        <family val="2"/>
        <scheme val="minor"/>
      </rPr>
      <t>3</t>
    </r>
    <r>
      <rPr>
        <sz val="11"/>
        <color rgb="FF000000"/>
        <rFont val="Calibri"/>
        <family val="2"/>
        <scheme val="minor"/>
      </rPr>
      <t>/mol</t>
    </r>
  </si>
  <si>
    <t>ug a.i./kg-ww per ug a.i./L</t>
  </si>
  <si>
    <t>ug a.i./L</t>
  </si>
  <si>
    <t>Taxa</t>
  </si>
  <si>
    <t>Threshold type</t>
  </si>
  <si>
    <t>Threshold description</t>
  </si>
  <si>
    <t>Weight of test animal (g)</t>
  </si>
  <si>
    <t>Mammals</t>
  </si>
  <si>
    <t>Direct</t>
  </si>
  <si>
    <t>1/million mortality</t>
  </si>
  <si>
    <t>Indirect</t>
  </si>
  <si>
    <t>10% mortality</t>
  </si>
  <si>
    <t>Direct and indirect</t>
  </si>
  <si>
    <t>lowest LD50</t>
  </si>
  <si>
    <t>rat oral LD50</t>
  </si>
  <si>
    <t>rat dermal LD50</t>
  </si>
  <si>
    <t>Rat Inhalation LD50</t>
  </si>
  <si>
    <t>Sublethal threshold</t>
  </si>
  <si>
    <t>Sublethal</t>
  </si>
  <si>
    <t>Birds</t>
  </si>
  <si>
    <t>HC05</t>
  </si>
  <si>
    <t>HC50</t>
  </si>
  <si>
    <t>HC95</t>
  </si>
  <si>
    <t>Mineau scaling factor</t>
  </si>
  <si>
    <t>Terrestrial-phase amphibians</t>
  </si>
  <si>
    <t>Reptiles</t>
  </si>
  <si>
    <t>lowest LC50</t>
  </si>
  <si>
    <t>Growth NOEC</t>
  </si>
  <si>
    <t>Growth LOEC</t>
  </si>
  <si>
    <t>Reproduction NOEC</t>
  </si>
  <si>
    <t>Reproduction LOEC</t>
  </si>
  <si>
    <t>Behavior NOEC</t>
  </si>
  <si>
    <t>Behavior LOEC</t>
  </si>
  <si>
    <t>Sensory NOEC</t>
  </si>
  <si>
    <t>Sensory LOEC</t>
  </si>
  <si>
    <t>Monocots</t>
  </si>
  <si>
    <t>Direct and Indirect</t>
  </si>
  <si>
    <t>Dicots</t>
  </si>
  <si>
    <t>*Pre-emergence includes seedling emergence studies</t>
  </si>
  <si>
    <t>**Post-emergence includes vegetative vigor studies</t>
  </si>
  <si>
    <t>concentration in water (ug/L)</t>
  </si>
  <si>
    <t>App period</t>
  </si>
  <si>
    <t>App #</t>
  </si>
  <si>
    <t>Day</t>
  </si>
  <si>
    <t>Short Grass</t>
  </si>
  <si>
    <t>Tall Grass, nectar and pollen</t>
  </si>
  <si>
    <t>Broadleaf plants</t>
  </si>
  <si>
    <t>Seeds, fruit and pods</t>
  </si>
  <si>
    <t>Arthropods (above ground)</t>
  </si>
  <si>
    <t>Soil-dwelling invertebrates (earthworms)</t>
  </si>
  <si>
    <t>Small mammals (15 g, short grass diet)</t>
  </si>
  <si>
    <t>Large mammals  (1000 g, short grass diet)</t>
  </si>
  <si>
    <t>Small birds (20 g, insect diet)</t>
  </si>
  <si>
    <t>Small terrestrial phase amphibians or reptiles (2 g; insect diet)</t>
  </si>
  <si>
    <t>Soil pore water</t>
  </si>
  <si>
    <t>Puddles</t>
  </si>
  <si>
    <t>Dew</t>
  </si>
  <si>
    <t>Air (under canopy)</t>
  </si>
  <si>
    <t>Soil-dwelling inverts</t>
  </si>
  <si>
    <t>Small mammals</t>
  </si>
  <si>
    <t>Large mammals</t>
  </si>
  <si>
    <t>Small birds</t>
  </si>
  <si>
    <t>Small terrestrial phase amphibians</t>
  </si>
  <si>
    <t>Scientific Name</t>
  </si>
  <si>
    <t>Common Name</t>
  </si>
  <si>
    <t>Order</t>
  </si>
  <si>
    <t>USFWS Species ID (ENTITY_ID)</t>
  </si>
  <si>
    <t>Food item</t>
  </si>
  <si>
    <t>Water content of diet</t>
  </si>
  <si>
    <t>BW (g)</t>
  </si>
  <si>
    <t>Drinking water dose - puddle</t>
  </si>
  <si>
    <t>Drinking water dose - dew</t>
  </si>
  <si>
    <t>Dermal dose - spray</t>
  </si>
  <si>
    <t>Inhalation dose - vapor</t>
  </si>
  <si>
    <t>Inhalation dose - spray</t>
  </si>
  <si>
    <t>Distance where risk extends to threshold (ft)</t>
  </si>
  <si>
    <t>Distance where risk extends to lowest LD50 (ft)</t>
  </si>
  <si>
    <t>Mortality Threshold</t>
  </si>
  <si>
    <t>Lowest LD50</t>
  </si>
  <si>
    <t>Factor difference between max dose and mortality threshold</t>
  </si>
  <si>
    <t>Factor difference between max dose and sublethal threshold</t>
  </si>
  <si>
    <t>Accipiter striatus venator</t>
  </si>
  <si>
    <t>Puerto Rican sharp-shinned hawk</t>
  </si>
  <si>
    <t>Accipitriformes</t>
  </si>
  <si>
    <t>birds</t>
  </si>
  <si>
    <t>Acrocephalus familiaris kingi</t>
  </si>
  <si>
    <t>Nihoa millerbird (old world warbler)</t>
  </si>
  <si>
    <t>Passeriformes</t>
  </si>
  <si>
    <t>arthropods</t>
  </si>
  <si>
    <t>Acrocephalus luscinia</t>
  </si>
  <si>
    <t>Nightingale reed warbler (old world warbler)</t>
  </si>
  <si>
    <t>reptiles</t>
  </si>
  <si>
    <t>soil inverts</t>
  </si>
  <si>
    <t>Aerodramus vanikorensis bartschi</t>
  </si>
  <si>
    <t>Mariana gray swiftlet</t>
  </si>
  <si>
    <t>Apodiformes</t>
  </si>
  <si>
    <t>Agelaius xanthomus</t>
  </si>
  <si>
    <t>Yellow-shouldered blackbird</t>
  </si>
  <si>
    <t>fruit</t>
  </si>
  <si>
    <t>nectar</t>
  </si>
  <si>
    <t>seeds</t>
  </si>
  <si>
    <t>Amazona viridigenalis</t>
  </si>
  <si>
    <t>Red-crowned parrot</t>
  </si>
  <si>
    <t>Psittaciformes</t>
  </si>
  <si>
    <t>leaves, flowers</t>
  </si>
  <si>
    <t>Amazona vittata</t>
  </si>
  <si>
    <t>Puerto Rican parrot</t>
  </si>
  <si>
    <t xml:space="preserve">leaves </t>
  </si>
  <si>
    <t>Ammodramus maritimus mirabilis</t>
  </si>
  <si>
    <t>Cape Sable seaside sparrow</t>
  </si>
  <si>
    <t>benthic inverts</t>
  </si>
  <si>
    <t>Ammodramus savannarum floridanus</t>
  </si>
  <si>
    <t>Florida grasshopper sparrow</t>
  </si>
  <si>
    <t>Amphispiza belli clementeae</t>
  </si>
  <si>
    <t>San Clemente sage sparrow</t>
  </si>
  <si>
    <t>grass</t>
  </si>
  <si>
    <t>Anas laysanensis</t>
  </si>
  <si>
    <t>Laysan duck</t>
  </si>
  <si>
    <t>Anseriformes</t>
  </si>
  <si>
    <t>algae</t>
  </si>
  <si>
    <t>zooplankton</t>
  </si>
  <si>
    <t>Anas wyvilliana</t>
  </si>
  <si>
    <t>Hawaiian duck (=koloa)</t>
  </si>
  <si>
    <t>leaves</t>
  </si>
  <si>
    <t>Anthus spragueii</t>
  </si>
  <si>
    <t>Sprague's pipit</t>
  </si>
  <si>
    <t>Aphelocoma coerulescens</t>
  </si>
  <si>
    <t>Florida scrub-jay</t>
  </si>
  <si>
    <t>amphibians</t>
  </si>
  <si>
    <t xml:space="preserve">Brachyramphus marmoratus </t>
  </si>
  <si>
    <t>Marbled murrelet</t>
  </si>
  <si>
    <t>Charadriiformes</t>
  </si>
  <si>
    <t>fish</t>
  </si>
  <si>
    <t>Branta (=Nesochen) sandvicensis</t>
  </si>
  <si>
    <t>Hawaiian Goose</t>
  </si>
  <si>
    <t>Buteo platypterus brunnescens</t>
  </si>
  <si>
    <t>Puerto Rican broad-winged hawk</t>
  </si>
  <si>
    <t>Buteo solitarius</t>
  </si>
  <si>
    <t>Hawaiian hawk (='lo)</t>
  </si>
  <si>
    <r>
      <t>Calidris canutus rufa</t>
    </r>
    <r>
      <rPr>
        <sz val="10"/>
        <rFont val="Times New Roman"/>
        <family val="1"/>
      </rPr>
      <t xml:space="preserve"> </t>
    </r>
  </si>
  <si>
    <t>Red knot</t>
  </si>
  <si>
    <t>filter feeders</t>
  </si>
  <si>
    <t>Campephilus principalis</t>
  </si>
  <si>
    <t>Ivory-billed woodpecker</t>
  </si>
  <si>
    <t>Piciformes</t>
  </si>
  <si>
    <t>Caprimulgus noctitherus</t>
  </si>
  <si>
    <t>Puerto Rican nightjar</t>
  </si>
  <si>
    <t>Caprimulgiformes</t>
  </si>
  <si>
    <t>Centrocercus minimus</t>
  </si>
  <si>
    <t>Gunnison sage-grouse</t>
  </si>
  <si>
    <t>Galliformes</t>
  </si>
  <si>
    <t>Centrocercus urophasianus</t>
  </si>
  <si>
    <t>Greater sage-grouse (Columbia Basin DPS)</t>
  </si>
  <si>
    <t>Greater sage-grouse (entire)</t>
  </si>
  <si>
    <t>Charadrius alexandrinus nivosus</t>
  </si>
  <si>
    <t>Western snowy plover</t>
  </si>
  <si>
    <t>Charadrius melodus</t>
  </si>
  <si>
    <t>Piping plover (Great Lakes breeding population)</t>
  </si>
  <si>
    <t>Piping plover (all birds not listed as endangered)</t>
  </si>
  <si>
    <t>Chasiempis sandwichensis ibidis</t>
  </si>
  <si>
    <t>Oahu elepaio</t>
  </si>
  <si>
    <t>Coccyzus americanus</t>
  </si>
  <si>
    <t>Yellow-billed Cuckoo (western DPS)</t>
  </si>
  <si>
    <t>Cuculiformes</t>
  </si>
  <si>
    <t>carrion</t>
  </si>
  <si>
    <t>Colinus virginianus ridgwayi</t>
  </si>
  <si>
    <t>Masked bobwhite quail</t>
  </si>
  <si>
    <t>Columba inornata wetmorei</t>
  </si>
  <si>
    <t>Puerto Rican plain pigeon</t>
  </si>
  <si>
    <t>Columbiformes</t>
  </si>
  <si>
    <t>Corvus kubaryi</t>
  </si>
  <si>
    <t>Mariana crow (=aga)</t>
  </si>
  <si>
    <t>Dendroica angelae</t>
  </si>
  <si>
    <t>Elfin-woods warbler</t>
  </si>
  <si>
    <t>Dendroica chrysoparia</t>
  </si>
  <si>
    <t>Golden-cheeked warbler (=wood)</t>
  </si>
  <si>
    <t>Empidonax traillii extimus</t>
  </si>
  <si>
    <t>Southwestern willow flycatcher</t>
  </si>
  <si>
    <t>Eremophila alpestris strigata</t>
  </si>
  <si>
    <t>Streaked Horned lark</t>
  </si>
  <si>
    <t>Falco femoralis septentrionalis</t>
  </si>
  <si>
    <t>Northern aplomado falcon (AZ, NM)</t>
  </si>
  <si>
    <t>Falconiformes</t>
  </si>
  <si>
    <t>Northern aplomado falcon</t>
  </si>
  <si>
    <t>Fulica americana alai</t>
  </si>
  <si>
    <t>Hawaiian coot</t>
  </si>
  <si>
    <t>Gruiformes</t>
  </si>
  <si>
    <t>aquatic plants</t>
  </si>
  <si>
    <t>Gallicolumba stairi</t>
  </si>
  <si>
    <t>Friendly Ground-Dove (American Samoa DPS)</t>
  </si>
  <si>
    <t>Gallinula chloropus guami</t>
  </si>
  <si>
    <t>Mariana common moorhen</t>
  </si>
  <si>
    <t>Gallinula chloropus sandvicensis</t>
  </si>
  <si>
    <t>Hawaiian common moorhen</t>
  </si>
  <si>
    <t>Grus americana</t>
  </si>
  <si>
    <t>Whooping crane (AL, AR, GA, IL, IN, IA, KY, LA, MI, MN, MS, MO, NC, OH, SC, TN, VA, WI, WV)</t>
  </si>
  <si>
    <t>Whooping crane (Southwestern LA)</t>
  </si>
  <si>
    <t>Whooping crane (CO, ID, FL, NM, UT, and the western half of Wyoming)</t>
  </si>
  <si>
    <t>Whooping crane</t>
  </si>
  <si>
    <t>Grus canadensis pulla</t>
  </si>
  <si>
    <t>Mississippi sandhill crane</t>
  </si>
  <si>
    <t>Gymnogyps californianus</t>
  </si>
  <si>
    <t>California condor (specific portions of AZ, NV and UT)</t>
  </si>
  <si>
    <t>California condor</t>
  </si>
  <si>
    <t>Halcyon cinnamomina cinnamomina</t>
  </si>
  <si>
    <t>Guam Micronesian Kingfisher</t>
  </si>
  <si>
    <t>Coraciiformes</t>
  </si>
  <si>
    <t>Hemignathus munroi</t>
  </si>
  <si>
    <t>Akiapola`au (honeycreeper)</t>
  </si>
  <si>
    <t>Hemignathus procerus</t>
  </si>
  <si>
    <t>Kauai Akialoa (honeycreeper)</t>
  </si>
  <si>
    <r>
      <t>Himantopus mexicanus</t>
    </r>
    <r>
      <rPr>
        <sz val="10"/>
        <color theme="1"/>
        <rFont val="Times New Roman"/>
        <family val="1"/>
      </rPr>
      <t xml:space="preserve"> </t>
    </r>
    <r>
      <rPr>
        <i/>
        <sz val="10"/>
        <color theme="1"/>
        <rFont val="Times New Roman"/>
        <family val="1"/>
      </rPr>
      <t>knudseni</t>
    </r>
    <r>
      <rPr>
        <sz val="10"/>
        <color theme="1"/>
        <rFont val="Times New Roman"/>
        <family val="1"/>
      </rPr>
      <t xml:space="preserve"> </t>
    </r>
  </si>
  <si>
    <t>Hawaiian stilt</t>
  </si>
  <si>
    <t>Lanius ludovicianus mearnsi</t>
  </si>
  <si>
    <t>San Clemente loggerhead shrike</t>
  </si>
  <si>
    <t>Loxioides bailleui</t>
  </si>
  <si>
    <t>Palila (honeycreeper)</t>
  </si>
  <si>
    <t>Loxops caeruleirostris</t>
  </si>
  <si>
    <t>Akekee</t>
  </si>
  <si>
    <t>Loxops coccineus coccineus</t>
  </si>
  <si>
    <t>Hawaii akepa (honeycreeper)</t>
  </si>
  <si>
    <t>Loxops coccineus ochraceus</t>
  </si>
  <si>
    <t>Maui akepa (honeycreeper)</t>
  </si>
  <si>
    <t>Megapodius laperouse</t>
  </si>
  <si>
    <t>Micronesian megapode</t>
  </si>
  <si>
    <t>Melamprosops phaeosoma</t>
  </si>
  <si>
    <t>Po`ouli (honeycreeper)</t>
  </si>
  <si>
    <t>Moho braccatus</t>
  </si>
  <si>
    <t>Kauai  `O`o (honeyeater)</t>
  </si>
  <si>
    <t>Myadestes lanaiensis rutha</t>
  </si>
  <si>
    <t>Molokai thrush</t>
  </si>
  <si>
    <t>Myadestes myadestinus</t>
  </si>
  <si>
    <t>Large Kauai thrush (=kamao)</t>
  </si>
  <si>
    <t>Myadestes palmeri</t>
  </si>
  <si>
    <t>Small Kauai thrush (=puaiohi)</t>
  </si>
  <si>
    <r>
      <t>Mycteria Americana</t>
    </r>
    <r>
      <rPr>
        <sz val="10"/>
        <color theme="1"/>
        <rFont val="Times New Roman"/>
        <family val="1"/>
      </rPr>
      <t xml:space="preserve"> </t>
    </r>
  </si>
  <si>
    <t>Wood stork</t>
  </si>
  <si>
    <t>Ciconiiformes</t>
  </si>
  <si>
    <t>Numenius borealis</t>
  </si>
  <si>
    <t>Eskimo Curlew</t>
  </si>
  <si>
    <r>
      <t>Oceanodroma castro</t>
    </r>
    <r>
      <rPr>
        <sz val="10"/>
        <rFont val="Times New Roman"/>
        <family val="1"/>
      </rPr>
      <t xml:space="preserve"> </t>
    </r>
  </si>
  <si>
    <t>Band-rumped storm-petrel</t>
  </si>
  <si>
    <t>Procellariiformes</t>
  </si>
  <si>
    <t>Oreomystis bairdi</t>
  </si>
  <si>
    <t>Akikiki</t>
  </si>
  <si>
    <t>Oreomystis mana</t>
  </si>
  <si>
    <t>Hawaii creeper</t>
  </si>
  <si>
    <t>Palmeria dolei</t>
  </si>
  <si>
    <t>Crested honeycreeper</t>
  </si>
  <si>
    <t>Paroreomyza flammea</t>
  </si>
  <si>
    <t>Molokai creeper</t>
  </si>
  <si>
    <t>Paroreomyza maculata</t>
  </si>
  <si>
    <t>Oahu creeper</t>
  </si>
  <si>
    <t xml:space="preserve">Phoebastria albatrus </t>
  </si>
  <si>
    <t>Short tailed albatross</t>
  </si>
  <si>
    <t>Picoides borealis</t>
  </si>
  <si>
    <t>Red-cockaded woodpecker</t>
  </si>
  <si>
    <t>Pipilo crissalis eremophilus</t>
  </si>
  <si>
    <t>Inyo California towhee</t>
  </si>
  <si>
    <t>Polioptila californica californica</t>
  </si>
  <si>
    <t>Coastal California gnatcatcher</t>
  </si>
  <si>
    <t>Polyborus plancus audubonii</t>
  </si>
  <si>
    <t>Audubon's crested caracara</t>
  </si>
  <si>
    <t xml:space="preserve">Polysticta stelleri </t>
  </si>
  <si>
    <t>Steller’s eider</t>
  </si>
  <si>
    <t>Porzana tabuensis</t>
  </si>
  <si>
    <t>Spotless Crake (American Samoa pop)</t>
  </si>
  <si>
    <t>Pseudonestor xanthophrys</t>
  </si>
  <si>
    <t>Maui parrotbill (honeycreeper)</t>
  </si>
  <si>
    <t>Psittirostra psittacea</t>
  </si>
  <si>
    <t>`O`u (honeycreeper)</t>
  </si>
  <si>
    <t xml:space="preserve">Pterodroma phaeopygia sandwichensis </t>
  </si>
  <si>
    <t>Hawaiian Dark rumped petrel</t>
  </si>
  <si>
    <t xml:space="preserve">Puffinus auricularis newelli </t>
  </si>
  <si>
    <t>Newell’s townsend’s shearwater</t>
  </si>
  <si>
    <t xml:space="preserve">Rallus longirostris levipes </t>
  </si>
  <si>
    <t>Light-footed clapper rail</t>
  </si>
  <si>
    <t>Rallus longirostris obsoletus</t>
  </si>
  <si>
    <t>California clapper rail</t>
  </si>
  <si>
    <t xml:space="preserve">Rallus longirostris yumanensis </t>
  </si>
  <si>
    <t>Yuma clapper rail</t>
  </si>
  <si>
    <t>Rallus owstoni</t>
  </si>
  <si>
    <t>Guam rail (Experimental pop)</t>
  </si>
  <si>
    <t>Guam rail</t>
  </si>
  <si>
    <t xml:space="preserve">Rostrhamus sociabilis plumbeus </t>
  </si>
  <si>
    <t>Everglade snail kite</t>
  </si>
  <si>
    <t>Setophaga kirtlandii (= Dendroica kirtlandii)</t>
  </si>
  <si>
    <t>Kirtland's warbler</t>
  </si>
  <si>
    <t>Somateria fischeri</t>
  </si>
  <si>
    <t>Spectacled eider</t>
  </si>
  <si>
    <r>
      <t>Sterna antillarum</t>
    </r>
    <r>
      <rPr>
        <sz val="10"/>
        <color theme="1"/>
        <rFont val="Times New Roman"/>
        <family val="1"/>
      </rPr>
      <t xml:space="preserve"> </t>
    </r>
  </si>
  <si>
    <t>Least tern</t>
  </si>
  <si>
    <r>
      <t>Sterna antillarum browni</t>
    </r>
    <r>
      <rPr>
        <sz val="10"/>
        <color theme="1"/>
        <rFont val="Times New Roman"/>
        <family val="1"/>
      </rPr>
      <t xml:space="preserve"> </t>
    </r>
  </si>
  <si>
    <t>California least tern</t>
  </si>
  <si>
    <t>Sterna douglalli dougallii</t>
  </si>
  <si>
    <t>Roseate tern (Caribbean population)</t>
  </si>
  <si>
    <r>
      <t>Sterna douglalli dougallii</t>
    </r>
    <r>
      <rPr>
        <sz val="10"/>
        <color theme="1"/>
        <rFont val="Times New Roman"/>
        <family val="1"/>
      </rPr>
      <t xml:space="preserve"> </t>
    </r>
  </si>
  <si>
    <t>Roseate tern (Northeast population)</t>
  </si>
  <si>
    <t>Strix occidentalis caurina</t>
  </si>
  <si>
    <t>Northern spotted owl</t>
  </si>
  <si>
    <t>Strigiformes</t>
  </si>
  <si>
    <t>Strix occidentalis lucida</t>
  </si>
  <si>
    <t>Mexican spotted owl</t>
  </si>
  <si>
    <r>
      <t>Synthliboramphus hypoleucus</t>
    </r>
    <r>
      <rPr>
        <sz val="10"/>
        <rFont val="Times New Roman"/>
        <family val="1"/>
      </rPr>
      <t xml:space="preserve"> </t>
    </r>
  </si>
  <si>
    <t>Xantus's Murrelet</t>
  </si>
  <si>
    <t>Telespyza cantans</t>
  </si>
  <si>
    <t>Laysan finch (honeycreeper)</t>
  </si>
  <si>
    <t>Telespyza ultima</t>
  </si>
  <si>
    <t>Nihoa finch (honeycreeper)</t>
  </si>
  <si>
    <t>flowers</t>
  </si>
  <si>
    <t>Tympanuchus cupido attwateri</t>
  </si>
  <si>
    <t>Attwater's greater prairie-chicken</t>
  </si>
  <si>
    <t>Tympanuchus pallidicinctus</t>
  </si>
  <si>
    <t>Lesser prairie-chicken</t>
  </si>
  <si>
    <t>Vermivora bachmanii</t>
  </si>
  <si>
    <t>Bachman's warbler (=wood)</t>
  </si>
  <si>
    <t>Vireo atricapilla</t>
  </si>
  <si>
    <t>Black-capped vireo</t>
  </si>
  <si>
    <t>Vireo bellii pusillus</t>
  </si>
  <si>
    <t>Least Bell's vireo</t>
  </si>
  <si>
    <t>Zosterops rotensis</t>
  </si>
  <si>
    <t>Rota bridled white-eye</t>
  </si>
  <si>
    <t>Ameiva polops</t>
  </si>
  <si>
    <t>St. Croix Ground Lizard</t>
  </si>
  <si>
    <t>Squamata</t>
  </si>
  <si>
    <t>Anolis roosevelti</t>
  </si>
  <si>
    <t>Culebra Island Giant Anole</t>
  </si>
  <si>
    <t>Clemmys muhlenbergii</t>
  </si>
  <si>
    <t>Bog Turtle (northern population)</t>
  </si>
  <si>
    <t>Testudines</t>
  </si>
  <si>
    <t>Crocodylus acutus</t>
  </si>
  <si>
    <t>American Crocodile (Florida population)</t>
  </si>
  <si>
    <t>Crocodilia</t>
  </si>
  <si>
    <t>Crotalus willardi obscurus</t>
  </si>
  <si>
    <t>New Mexican ridge-nosed Rattlesnake</t>
  </si>
  <si>
    <t>Cyclura cornuta stejnegeri</t>
  </si>
  <si>
    <t>Mona Ground Iguana</t>
  </si>
  <si>
    <t>Drymarchon corais couperi</t>
  </si>
  <si>
    <t>Eastern Indigo Snake</t>
  </si>
  <si>
    <t>Epicrates inornatus</t>
  </si>
  <si>
    <t>Puerto Rican Boa</t>
  </si>
  <si>
    <t>Epicrates monensis granti</t>
  </si>
  <si>
    <t>Virgin Islands Tree Boa</t>
  </si>
  <si>
    <t>Epicrates monensis monensis</t>
  </si>
  <si>
    <t>Mona Boa</t>
  </si>
  <si>
    <t>Eumeces egregius lividus</t>
  </si>
  <si>
    <t>Bluetail Mole Skink</t>
  </si>
  <si>
    <t>Gambelia silus</t>
  </si>
  <si>
    <t>Blunt-nosed Leopard Lizard</t>
  </si>
  <si>
    <t>Gopherus agassizii</t>
  </si>
  <si>
    <t>Desert Tortoise (except AZ south and east of Colorado River)</t>
  </si>
  <si>
    <t>Gopherus morafkai</t>
  </si>
  <si>
    <t>Sonoran desert tortoise</t>
  </si>
  <si>
    <t>Gopherus polyphemus</t>
  </si>
  <si>
    <t>Gopher Tortoise (west of Mobile and Tombigbee Rivers in AL, MS, and LA)</t>
  </si>
  <si>
    <t>Gopher Tortoise (Eastern)</t>
  </si>
  <si>
    <t>Graptemys oculifera</t>
  </si>
  <si>
    <t>Ringed Map Turtle</t>
  </si>
  <si>
    <t>Kinosternon sonoriense longifemorale</t>
  </si>
  <si>
    <t>Sonoyta mud turtle</t>
  </si>
  <si>
    <t>Masticophis lateralis euryxanthus</t>
  </si>
  <si>
    <t>Alameda Whipsnake</t>
  </si>
  <si>
    <t>Neoseps reynoldsi</t>
  </si>
  <si>
    <t>Sand Skink</t>
  </si>
  <si>
    <t>Nerodia clarkii taeniata</t>
  </si>
  <si>
    <t>Atlantic Salt Marsh Snake</t>
  </si>
  <si>
    <t>Nerodia erythrogaster neglecta</t>
  </si>
  <si>
    <t>Copperbelly Water Snake (Northern DPS)</t>
  </si>
  <si>
    <t>Pituophis melanoleucus lodingi</t>
  </si>
  <si>
    <t>Black pine snake</t>
  </si>
  <si>
    <t>Pituophis ruthveni</t>
  </si>
  <si>
    <t>Louisiana pine snake</t>
  </si>
  <si>
    <t>Sistrurus catenatus</t>
  </si>
  <si>
    <t>Eastern Massasauga (=rattlesnake)</t>
  </si>
  <si>
    <t>Sphaerodactylus micropithecus</t>
  </si>
  <si>
    <t>Monito Gecko</t>
  </si>
  <si>
    <t>Thamnophis eques megalops</t>
  </si>
  <si>
    <t>Northern Mexican gartersnake</t>
  </si>
  <si>
    <t>Thamnophis gigas</t>
  </si>
  <si>
    <t>Giant Garter Snake</t>
  </si>
  <si>
    <t>Thamnophis sirtalis tetrataenia</t>
  </si>
  <si>
    <t>San Francisco Garter Snake</t>
  </si>
  <si>
    <t>Uma inornata</t>
  </si>
  <si>
    <t>Coachella Valley Fringe-toed Lizard</t>
  </si>
  <si>
    <t>Antilocapra americana sonoriensis</t>
  </si>
  <si>
    <t>Sonoran Pronghorn</t>
  </si>
  <si>
    <t>Artiodactyla</t>
  </si>
  <si>
    <t>Aplodontia rufa nigra</t>
  </si>
  <si>
    <t>Point Arena Mountain Beaver</t>
  </si>
  <si>
    <t>Rodentia</t>
  </si>
  <si>
    <t>Arborimus longicaudus</t>
  </si>
  <si>
    <t>Red tree vole (north Oregon coast DPS)</t>
  </si>
  <si>
    <t>bark (twigs), pine needles (grass as surrogate)</t>
  </si>
  <si>
    <t>Bison bison athabascae</t>
  </si>
  <si>
    <t>Wood Bison</t>
  </si>
  <si>
    <t>Brachylagus idahoensis</t>
  </si>
  <si>
    <t>Pygmy Rabbit (Columbia Basin DPS)</t>
  </si>
  <si>
    <t>Lagomorpha</t>
  </si>
  <si>
    <t>Canis lupus</t>
  </si>
  <si>
    <t>Gray Wolf</t>
  </si>
  <si>
    <t>Carnivora</t>
  </si>
  <si>
    <t>mammals (large)</t>
  </si>
  <si>
    <t>mammals (small)</t>
  </si>
  <si>
    <t>Gray Wolf (MN)</t>
  </si>
  <si>
    <t>Gray Wolf (Wyoming)</t>
  </si>
  <si>
    <t>Canis lupus baileyi</t>
  </si>
  <si>
    <t>Mexican gray wolf</t>
  </si>
  <si>
    <t>Mexican gray wolf (AZ and NM)</t>
  </si>
  <si>
    <t>Canis rufus</t>
  </si>
  <si>
    <t>Red Wolf</t>
  </si>
  <si>
    <t>Red Wolf (NC and TN)</t>
  </si>
  <si>
    <t>Corynorhinus (=Plecotus) townsendii ingens</t>
  </si>
  <si>
    <t>Ozark Big-eared Bat</t>
  </si>
  <si>
    <t>Chiroptera</t>
  </si>
  <si>
    <t>Corynorhinus (=Plecotus) townsendii virginianus</t>
  </si>
  <si>
    <t>Virginia Big-eared Bat</t>
  </si>
  <si>
    <t>Cynomys parvidens</t>
  </si>
  <si>
    <t>Utah Prairie Dog</t>
  </si>
  <si>
    <t>Dipodomys heermanni morroensis</t>
  </si>
  <si>
    <t>Morro Bay Kangaroo Rat</t>
  </si>
  <si>
    <t>Dipodomys ingens</t>
  </si>
  <si>
    <t>Giant Kangaroo Rat</t>
  </si>
  <si>
    <t>Dipodomys merriami parvus</t>
  </si>
  <si>
    <t>San Bernardino Merriam's Kangaroo Rat</t>
  </si>
  <si>
    <t>Dipodomys nitratoides exilis</t>
  </si>
  <si>
    <t>Fresno Kangaroo Rat</t>
  </si>
  <si>
    <t>Dipodomys nitratoides nitratoides</t>
  </si>
  <si>
    <t>Tipton Kangaroo Rat</t>
  </si>
  <si>
    <t>Dipodomys stephensi (and D. cascus)</t>
  </si>
  <si>
    <t>Stephens' Kangaroo Rat</t>
  </si>
  <si>
    <t>Emballonura semicaudata rotensis</t>
  </si>
  <si>
    <t>Pacific sheath-tailed Bat</t>
  </si>
  <si>
    <t>Emballonura semicaudata semicaudata</t>
  </si>
  <si>
    <t>Pacific sheath-tailed Bat (American Samoa population)</t>
  </si>
  <si>
    <t>Eumops floridanus</t>
  </si>
  <si>
    <t>Florida bonneted bat</t>
  </si>
  <si>
    <t>Glaucomys sabrinus coloratus</t>
  </si>
  <si>
    <t>Carolina Northern Flying Squirrel</t>
  </si>
  <si>
    <t>leaves (surrogate for fungi, lichen)</t>
  </si>
  <si>
    <t>Herpailurus (=Felis) yagouaroundi cacomitli</t>
  </si>
  <si>
    <t>Gulf Coast Jaguarundi (TX population)</t>
  </si>
  <si>
    <t>Lasiurus cinereus semotus</t>
  </si>
  <si>
    <t>Hawaiian Hoary Bat</t>
  </si>
  <si>
    <t>Leopardus (=Felis) pardalis</t>
  </si>
  <si>
    <t>Ocelot (AZ, TX)</t>
  </si>
  <si>
    <t>Leptonycteris curasoae yerbabuenae</t>
  </si>
  <si>
    <t>Lesser Long-nosed Bat</t>
  </si>
  <si>
    <t>Leptonycteris nivalis</t>
  </si>
  <si>
    <t>Mexican Long-nosed Bat</t>
  </si>
  <si>
    <t>Lynx canadensis</t>
  </si>
  <si>
    <t>Canada Lynx</t>
  </si>
  <si>
    <t>Martes pennanti</t>
  </si>
  <si>
    <t>Fisher (West Coast DPS)</t>
  </si>
  <si>
    <t>Microtus californicus scirpensis</t>
  </si>
  <si>
    <t>Amargosa Vole</t>
  </si>
  <si>
    <t>Microtus mexicanus hualpaiensis</t>
  </si>
  <si>
    <t>Hualapai Mexican Vole</t>
  </si>
  <si>
    <t>Microtus pennsylvanicus dukecampbelli</t>
  </si>
  <si>
    <t>Florida Salt Marsh Vole</t>
  </si>
  <si>
    <t>Mustela nigripes</t>
  </si>
  <si>
    <t>Black-footed Ferret</t>
  </si>
  <si>
    <t>Myotis grisescens</t>
  </si>
  <si>
    <t>Gray Bat</t>
  </si>
  <si>
    <t>Myotis septentrionalis</t>
  </si>
  <si>
    <t>Northern Long-Eared Bat</t>
  </si>
  <si>
    <t>Myotis sodalis</t>
  </si>
  <si>
    <t>Indiana Bat</t>
  </si>
  <si>
    <t>Neotoma floridana smalli</t>
  </si>
  <si>
    <t>Key Largo Woodrat</t>
  </si>
  <si>
    <t>Neotoma fuscipes riparia</t>
  </si>
  <si>
    <t>Riparian Woodrat</t>
  </si>
  <si>
    <t>leaves, flowers (fungi)</t>
  </si>
  <si>
    <t>Odocoileus virginianus clavium</t>
  </si>
  <si>
    <t>Key Deer</t>
  </si>
  <si>
    <t>Odocoileus virginianus leucurus</t>
  </si>
  <si>
    <t>Columbian White-tailed Deer (Columbia River DPS)</t>
  </si>
  <si>
    <t>Oryzomys palustris natator</t>
  </si>
  <si>
    <t>Rice rat (Lower FL Keys Population)</t>
  </si>
  <si>
    <t>Ovis canadensis nelsoni</t>
  </si>
  <si>
    <t>Peninsular Bighorn Sheep (Peninsular CA Population)</t>
  </si>
  <si>
    <t>Ovis canadensis sierrae</t>
  </si>
  <si>
    <t>Sierra Nevada Bighorn Sheep</t>
  </si>
  <si>
    <t>Panthera onca</t>
  </si>
  <si>
    <t>Jaguar</t>
  </si>
  <si>
    <t>Perognathus longimembris pacificus</t>
  </si>
  <si>
    <t>Pacific Pocket Mouse</t>
  </si>
  <si>
    <t>Peromyscus gossypinus allapaticola</t>
  </si>
  <si>
    <t>Key Largo Cotton Mouse</t>
  </si>
  <si>
    <t>Peromyscus polionotus allophrys</t>
  </si>
  <si>
    <t>Choctawhatchee Beach Mouse</t>
  </si>
  <si>
    <t>Peromyscus polionotus ammobates</t>
  </si>
  <si>
    <t>Alabama Beach Mouse</t>
  </si>
  <si>
    <t>Peromyscus polionotus niveiventris</t>
  </si>
  <si>
    <t>Southeastern Beach Mouse (FL)</t>
  </si>
  <si>
    <t>Peromyscus polionotus peninsularis</t>
  </si>
  <si>
    <t>St. Andrew Beach Mouse (FL)</t>
  </si>
  <si>
    <t>Peromyscus polionotus phasma</t>
  </si>
  <si>
    <t>Anastasia Island Beach Mouse</t>
  </si>
  <si>
    <t>Peromyscus polionotus trissyllepsis</t>
  </si>
  <si>
    <t>Perdido Key Beach Mouse</t>
  </si>
  <si>
    <t>Pteropus mariannus mariannus</t>
  </si>
  <si>
    <t xml:space="preserve">Mariana Fruit Bat </t>
  </si>
  <si>
    <t>nectar, pollen</t>
  </si>
  <si>
    <t>Puma(=Felis)  concolor coryi</t>
  </si>
  <si>
    <t>Florida Panther</t>
  </si>
  <si>
    <t>Rangifer tarandus caribou</t>
  </si>
  <si>
    <t>Woodland Caribou (Selkirk Mountain Population)</t>
  </si>
  <si>
    <t>Reithrodontomys raviventris</t>
  </si>
  <si>
    <t>Salt Marsh Harvest Mouse (CA population)</t>
  </si>
  <si>
    <t>Sciurus niger cinereus</t>
  </si>
  <si>
    <t>Delmarva Peninsula Fox Squirrel</t>
  </si>
  <si>
    <t>Sorex ornatus relictus</t>
  </si>
  <si>
    <t>Buena Vista Lake Ornate Shrew</t>
  </si>
  <si>
    <t>Insectivora</t>
  </si>
  <si>
    <t>Spermophilus brunneus brunneus</t>
  </si>
  <si>
    <t>Northern Idaho Ground Squirrel</t>
  </si>
  <si>
    <t>Sylvilagus bachmani riparius</t>
  </si>
  <si>
    <t>Riparian Brush Rabbit (CA population)</t>
  </si>
  <si>
    <t>Sylvilagus palustris hefneri</t>
  </si>
  <si>
    <t>Lower Keys Marsh Rabbit (FL population)</t>
  </si>
  <si>
    <t>Sylvilagus transitionalis</t>
  </si>
  <si>
    <t>New England cottontail rabbit</t>
  </si>
  <si>
    <t>Tamias minimus atristriatus</t>
  </si>
  <si>
    <t>Penasco least chipmunk</t>
  </si>
  <si>
    <t>Tamiasciurus hudsonicus grahamensis</t>
  </si>
  <si>
    <t>Mount Graham Red Squirrel</t>
  </si>
  <si>
    <t>leaves (surrogate for fungi)</t>
  </si>
  <si>
    <t>pollen</t>
  </si>
  <si>
    <t>Thomomys mazama glacialis</t>
  </si>
  <si>
    <t>Roy Prairie pocket gopher</t>
  </si>
  <si>
    <t>Thomomys mazama pugetensis</t>
  </si>
  <si>
    <t>Olympia pocket gopher</t>
  </si>
  <si>
    <t>Thomomys mazama tumuli</t>
  </si>
  <si>
    <t>Tenino pocket gopher</t>
  </si>
  <si>
    <t>Thomomys mazama yelmensis</t>
  </si>
  <si>
    <t>Yelm pocket gopher</t>
  </si>
  <si>
    <t>Urocitellus endemicus</t>
  </si>
  <si>
    <t>Southern Idaho ground Squirrel</t>
  </si>
  <si>
    <t>Urocitellus washingtoni</t>
  </si>
  <si>
    <t>Washington ground squirrel</t>
  </si>
  <si>
    <t>Urocyon littoralis catalinae</t>
  </si>
  <si>
    <t>Santa Catalina Island Fox (CA population)</t>
  </si>
  <si>
    <t>Urocyon littoralis littoralis</t>
  </si>
  <si>
    <t>San Miguel Island Fox (CA population)</t>
  </si>
  <si>
    <t>Urocyon littoralis santacruzae</t>
  </si>
  <si>
    <t>Santa Cruz Island Fox (CA population)</t>
  </si>
  <si>
    <t>Urocyon littoralis santarosae</t>
  </si>
  <si>
    <t>Santa Rosa Island Fox (CA population)</t>
  </si>
  <si>
    <t>Ursus americanus luteolus</t>
  </si>
  <si>
    <t>Louisiana Black Bear</t>
  </si>
  <si>
    <t>Ursus arctos horribilis</t>
  </si>
  <si>
    <t>Grizzly Bear (lower 48 states)</t>
  </si>
  <si>
    <t>Grizzly Bear (Selkirk Recovery Zone Population)</t>
  </si>
  <si>
    <t>Grizzly Bear (Cabinet-Yaak Recovery Zone Population)</t>
  </si>
  <si>
    <t>Grizzly Bear (ID, MT)</t>
  </si>
  <si>
    <t>Vulpes macrotis mutica</t>
  </si>
  <si>
    <t>San Joaquin Kit Fox (CA population)</t>
  </si>
  <si>
    <t>Zapus hudsonius luteus</t>
  </si>
  <si>
    <t>New Mexico meadow jumping mouse</t>
  </si>
  <si>
    <t>Zapus hudsonius preblei</t>
  </si>
  <si>
    <t>Preble's Meadow Jumping Mouse</t>
  </si>
  <si>
    <t>Input Parameter</t>
  </si>
  <si>
    <t>Symbol</t>
  </si>
  <si>
    <t>A</t>
  </si>
  <si>
    <t>Incorporation</t>
  </si>
  <si>
    <t>I</t>
  </si>
  <si>
    <t xml:space="preserve"> </t>
  </si>
  <si>
    <t>Runoff Fraction</t>
  </si>
  <si>
    <t>R</t>
  </si>
  <si>
    <t>Description</t>
  </si>
  <si>
    <t>Equation</t>
  </si>
  <si>
    <t>Runoff to dry areas</t>
  </si>
  <si>
    <t>(A/I)*R</t>
  </si>
  <si>
    <t>Runoff to semi-aquatic areas</t>
  </si>
  <si>
    <t>(A/I)*R*10</t>
  </si>
  <si>
    <t>Threshold/endpoint</t>
  </si>
  <si>
    <t>Yellow-blotched map turtle</t>
  </si>
  <si>
    <r>
      <t>Graptemys flavimaculata</t>
    </r>
    <r>
      <rPr>
        <sz val="10"/>
        <color theme="1"/>
        <rFont val="Times New Roman"/>
        <family val="1"/>
      </rPr>
      <t xml:space="preserve"> </t>
    </r>
  </si>
  <si>
    <t>aquatic plants, algae</t>
  </si>
  <si>
    <t>fish and aq amphibians</t>
  </si>
  <si>
    <t>fish, aq amphibians</t>
  </si>
  <si>
    <t>Alabama red-belly turtle</t>
  </si>
  <si>
    <r>
      <t>Pseudemys alabamensis</t>
    </r>
    <r>
      <rPr>
        <sz val="10"/>
        <color theme="1"/>
        <rFont val="Times New Roman"/>
        <family val="1"/>
      </rPr>
      <t xml:space="preserve"> </t>
    </r>
  </si>
  <si>
    <t>Plymouth red-bellied turtle</t>
  </si>
  <si>
    <r>
      <t>Pseudemys rubriventris bangsi</t>
    </r>
    <r>
      <rPr>
        <sz val="10"/>
        <color theme="1"/>
        <rFont val="Times New Roman"/>
        <family val="1"/>
      </rPr>
      <t xml:space="preserve"> </t>
    </r>
  </si>
  <si>
    <t>Flattened musk turtle</t>
  </si>
  <si>
    <t>Pseudemys rubriventris bangsi</t>
  </si>
  <si>
    <t>Narrow-headed garter snake</t>
  </si>
  <si>
    <r>
      <t>Thamnophis rufipunctatus</t>
    </r>
    <r>
      <rPr>
        <sz val="10"/>
        <color theme="1"/>
        <rFont val="Times New Roman"/>
        <family val="1"/>
      </rPr>
      <t xml:space="preserve"> </t>
    </r>
  </si>
  <si>
    <t>Ambystoma bishopi</t>
  </si>
  <si>
    <t>Reticulated Flatwoods Salamander</t>
  </si>
  <si>
    <t>Ambystoma californiense</t>
  </si>
  <si>
    <t>California  Tiger Salamander (Santa Barbara County DPS)</t>
  </si>
  <si>
    <t>California  Tiger Salamander (Sonoma County DPS)</t>
  </si>
  <si>
    <t>California  Tiger Salamander (Central California DPS)</t>
  </si>
  <si>
    <t>Ambystoma cingulatum</t>
  </si>
  <si>
    <t>Frosted Flatwoods Salamander</t>
  </si>
  <si>
    <t>Ambystoma macrodactylum croceum</t>
  </si>
  <si>
    <t>Santa Cruz long-toed Salamander</t>
  </si>
  <si>
    <t>Ambystoma tigrinum stebbinsi</t>
  </si>
  <si>
    <t>Sonora Tiger Salamander</t>
  </si>
  <si>
    <t>Anaxyrus baxteri</t>
  </si>
  <si>
    <t>Wyoming Toad</t>
  </si>
  <si>
    <t>Anaxyrus californicus</t>
  </si>
  <si>
    <t>Arroyo Toad</t>
  </si>
  <si>
    <t>Anaxyrus canorus</t>
  </si>
  <si>
    <t>Yosemite Toad</t>
  </si>
  <si>
    <t>Batrachoseps aridus</t>
  </si>
  <si>
    <t>Desert Slender Salamander</t>
  </si>
  <si>
    <t>Bufo houstonensis</t>
  </si>
  <si>
    <t>Houston Toad</t>
  </si>
  <si>
    <t>Eleutherodactylus cooki</t>
  </si>
  <si>
    <t>Guajon (frog)</t>
  </si>
  <si>
    <t>Eleutherodactylus jasperi</t>
  </si>
  <si>
    <t>Golden Coqui (frog)</t>
  </si>
  <si>
    <t>Eleutherodactylus juanariveroi</t>
  </si>
  <si>
    <t>Llanero Coqui</t>
  </si>
  <si>
    <t>Hyla wrightorum</t>
  </si>
  <si>
    <t>Arizona Treefrog</t>
  </si>
  <si>
    <t>Lithobates onca</t>
  </si>
  <si>
    <t>Relict leopard Frog</t>
  </si>
  <si>
    <t>Notophthalmus perstriatus</t>
  </si>
  <si>
    <t>Striped newt</t>
  </si>
  <si>
    <t>Peltophryne lemur</t>
  </si>
  <si>
    <t>Puerto Rican Crested Toad</t>
  </si>
  <si>
    <t>Phaeognathus hubrichti</t>
  </si>
  <si>
    <t>Red Hills Salamander</t>
  </si>
  <si>
    <t>Plethodon neomexicanus</t>
  </si>
  <si>
    <t>Jemez Mountains salamander</t>
  </si>
  <si>
    <t>Plethodon nettingi</t>
  </si>
  <si>
    <t>Cheat Mountain Salamander</t>
  </si>
  <si>
    <t>Plethodon shenandoah</t>
  </si>
  <si>
    <t>Shenandoah Salamander</t>
  </si>
  <si>
    <t>Rana chiricahuensis</t>
  </si>
  <si>
    <t>Chiricahua Leopard Frog</t>
  </si>
  <si>
    <t>Rana draytonii</t>
  </si>
  <si>
    <t>California Red-legged Frog</t>
  </si>
  <si>
    <t>Rana luteiventris</t>
  </si>
  <si>
    <t>Columbia spotted frog</t>
  </si>
  <si>
    <t>Rana muscosa</t>
  </si>
  <si>
    <t>Mountain yellow-legged frog (Northern CA DPS)</t>
  </si>
  <si>
    <t>Mountain Yellow-legged Frog (southern CA DPS)</t>
  </si>
  <si>
    <t>Rana pretiosa</t>
  </si>
  <si>
    <t>Oregon spotted frog</t>
  </si>
  <si>
    <t>Rana sevosa</t>
  </si>
  <si>
    <t>Dusty Gopher Frog</t>
  </si>
  <si>
    <t>Rana sierrae</t>
  </si>
  <si>
    <t>Sierra Nevada Yellow-legged Frog</t>
  </si>
  <si>
    <t>Amphibians</t>
  </si>
  <si>
    <t>Caudata</t>
  </si>
  <si>
    <t>Anura</t>
  </si>
  <si>
    <t xml:space="preserve">Reptiles, </t>
  </si>
  <si>
    <t>Reptiles,</t>
  </si>
  <si>
    <t>Corn</t>
  </si>
  <si>
    <t>Cotton</t>
  </si>
  <si>
    <t>Rice</t>
  </si>
  <si>
    <t>Wheat</t>
  </si>
  <si>
    <t>Developed</t>
  </si>
  <si>
    <t>Nurseries</t>
  </si>
  <si>
    <t>Rangeland</t>
  </si>
  <si>
    <t>Right of Way</t>
  </si>
  <si>
    <t>Christmas Trees</t>
  </si>
  <si>
    <t>Values used for min:</t>
  </si>
  <si>
    <t>Values used for max:</t>
  </si>
  <si>
    <t>Line of evidence</t>
  </si>
  <si>
    <t>Growth</t>
  </si>
  <si>
    <t>Reproduction</t>
  </si>
  <si>
    <t>Behavior</t>
  </si>
  <si>
    <t>Sensory</t>
  </si>
  <si>
    <t>Mean Aquatic plant and algae BCF</t>
  </si>
  <si>
    <t>Upper bound Aquatic plant and algae BCF</t>
  </si>
  <si>
    <t>Mean Invertebrate BCF (or BAF)</t>
  </si>
  <si>
    <t>Upper bound Invertebrate BCF (or BAF)</t>
  </si>
  <si>
    <t>Mean Fish BCF (or BAF)</t>
  </si>
  <si>
    <t>Upper bound Fish BCF (or BAF)</t>
  </si>
  <si>
    <t xml:space="preserve">Mean </t>
  </si>
  <si>
    <t xml:space="preserve">Upper bound  </t>
  </si>
  <si>
    <t>Concentration in invertebrates (mg/kg-ww)</t>
  </si>
  <si>
    <t>Concentration in fish (mg/kg-ww)</t>
  </si>
  <si>
    <t>Algae diet</t>
  </si>
  <si>
    <t>Invertebrate diet</t>
  </si>
  <si>
    <t>Fish/amphibian diet</t>
  </si>
  <si>
    <t xml:space="preserve">Threshold concentration in water (ug/L) </t>
  </si>
  <si>
    <t>Max rate</t>
  </si>
  <si>
    <t>Min rate</t>
  </si>
  <si>
    <t>Max spray drift dist (ft):</t>
  </si>
  <si>
    <t>CDL Layer</t>
  </si>
  <si>
    <t>Uses? (Y/N)</t>
  </si>
  <si>
    <t>Upper bound Conc. in diet (mg/kg)</t>
  </si>
  <si>
    <t>Upper bound Diet dose</t>
  </si>
  <si>
    <t>Mean diet dose</t>
  </si>
  <si>
    <t>Mean conc in diet (mg/kg)</t>
  </si>
  <si>
    <t>Dermal dose - contact (upper bound)</t>
  </si>
  <si>
    <t>Dermal dose - contact (mean)</t>
  </si>
  <si>
    <t>For min rate</t>
  </si>
  <si>
    <t>For max rate</t>
  </si>
  <si>
    <t>Application Rate (lb a.i./A)</t>
  </si>
  <si>
    <t>EEC for min rate</t>
  </si>
  <si>
    <t>EEC for max rate</t>
  </si>
  <si>
    <t>Does EEC exceed threshold for min rate?</t>
  </si>
  <si>
    <t>Does EEC exceed threshold for max rate?</t>
  </si>
  <si>
    <t>Distance from edge of field where risk extends (ft): min rate</t>
  </si>
  <si>
    <t>% of MIN application rate</t>
  </si>
  <si>
    <t>% of MAX application rate</t>
  </si>
  <si>
    <t>n</t>
  </si>
  <si>
    <t>Water concentration 1</t>
  </si>
  <si>
    <t>Water concentration 2</t>
  </si>
  <si>
    <t>Endpoint description</t>
  </si>
  <si>
    <t>Reptiles, terrestrial-phase amphibians</t>
  </si>
  <si>
    <t>Terrestrial invertebrates</t>
  </si>
  <si>
    <t>Mortality</t>
  </si>
  <si>
    <t>mg/kg-soil (dw)</t>
  </si>
  <si>
    <t>mg/kg-bw (ww)</t>
  </si>
  <si>
    <t>mg/kg-food (ww)</t>
  </si>
  <si>
    <t>Spray drift parameters used to calculate distances where risks extend from edge of field.</t>
  </si>
  <si>
    <t>Soil</t>
  </si>
  <si>
    <t>Large mammals (carrion)</t>
  </si>
  <si>
    <t>Scenario definition: minimum exposure</t>
  </si>
  <si>
    <t>Scenario definition: maximum exposure</t>
  </si>
  <si>
    <t>Uses (CDL categories)</t>
  </si>
  <si>
    <t>Physical, chemical and fate properties</t>
  </si>
  <si>
    <t>Dose-based toxicity data for vertebrates (all units mg/kg-bw)</t>
  </si>
  <si>
    <t>Concentration-based toxicity data for vertebrates (all units mg/kg-diet)</t>
  </si>
  <si>
    <t>Concentration-based toxicity data for invertebrates</t>
  </si>
  <si>
    <t>Application rate-based toxicity data for animals (all units lb a.i./A)</t>
  </si>
  <si>
    <t>Plant toxicity data (all units lb a.i./A)</t>
  </si>
  <si>
    <t>Input parameters used to derive Runoff EECs</t>
  </si>
  <si>
    <t>Runoff EECs (lb a.i./A)</t>
  </si>
  <si>
    <t>Risk conclusions: runoff to terrestrial habitats</t>
  </si>
  <si>
    <t>Risk conclusions: runoff to wetland habitats</t>
  </si>
  <si>
    <t>Risk conclusions: spray drift</t>
  </si>
  <si>
    <t>Thresholds for aquatic-dependent vertebrate species</t>
  </si>
  <si>
    <t>Estimated concentrations in aquatic invertebrates and fish (calculated using BCFs).</t>
  </si>
  <si>
    <t>number of exceedances of thresholds and endpoints for upper bound EECs: max rate</t>
  </si>
  <si>
    <t>Number of exceedances of thresholds and endpoints for mean EECs: max rate</t>
  </si>
  <si>
    <t>Spray drift distances (for upper bound EECs): max rate</t>
  </si>
  <si>
    <t>number of exceedances of thresholds and endpoints for upper bound EECs: min rate</t>
  </si>
  <si>
    <t>number of exceedances of thresholds and endpoints for mean EECs: min rate</t>
  </si>
  <si>
    <t>Spray drift distances (for upper bound EECs): min rate</t>
  </si>
  <si>
    <t>Upper bound concentration based EECs (mg/kg-diet for food items, mg/L for air and water): max rate</t>
  </si>
  <si>
    <t>Mean concentration based EECs (mg/kg-diet for food items, mg/L for air and water): max rate</t>
  </si>
  <si>
    <t>Upper bound concentration based EECs (mg/kg-diet for food items, mg/L for air and water): min rate</t>
  </si>
  <si>
    <t>Mean concentration based EECs (mg/kg-diet for food items, mg/L for air and water): min rate</t>
  </si>
  <si>
    <t>Enter "NA" if value is not available</t>
  </si>
  <si>
    <t>NA = not available</t>
  </si>
  <si>
    <t>Mortality - direct</t>
  </si>
  <si>
    <t>Mortality - indirect</t>
  </si>
  <si>
    <t>Sublethal - direct</t>
  </si>
  <si>
    <t>Sublethal - indirect</t>
  </si>
  <si>
    <t>Source</t>
  </si>
  <si>
    <t>LOAEL (decreased weight)</t>
  </si>
  <si>
    <t>LOAEL (reduced emergence)</t>
  </si>
  <si>
    <t>NOAEL (activity)</t>
  </si>
  <si>
    <t>LOAEL (avoidance)</t>
  </si>
  <si>
    <t xml:space="preserve">Reproduction NOEC </t>
  </si>
  <si>
    <t>Terrestrial Effects Determination (TED) tool</t>
  </si>
  <si>
    <t xml:space="preserve">In addition to dietary based exposures, the tool also estimates pesticide doses to animals exposed via drinking water, dermal and inhalation routes. </t>
  </si>
  <si>
    <t xml:space="preserve">The TED tool estimates concentration-based and dose-based pesticide exposures relevant to assessing risks of direct effects to listed species and indirect effects through declines in prey or impacts to habitat. </t>
  </si>
  <si>
    <t xml:space="preserve">Exposures are compared to relevant thresholds and endpoints and are used to estimate the distance from the edge of the field to which risk extends and the duration of time that residues are at levels representing a concern for effects to listed species. </t>
  </si>
  <si>
    <t>A description of the methods employed by this tool is provided in Attachment 1-7.</t>
  </si>
  <si>
    <t>Full descriptions of those models are available online at:</t>
  </si>
  <si>
    <t>http://www.epa.gov/pesticide-science-and-assessing-pesticide-risks/models-pesticide-risk-assessment#terrestrial</t>
  </si>
  <si>
    <t>The purpose of this tool is to estimate pesticide exposures for birds, mammals, terrestrial-phase amphibians, reptiles, terrestrial invertebrates and terrestrial and wetland plants. Estimates of exposure are compared to various thresholds in order to develop a weight-of-evidence for assessing pesticide risks.</t>
  </si>
  <si>
    <t>This is a pre-release beta version of the Terrestrial Effects Determination Tool. It has not yet been subject to a complete quality assurance/quality control review and results should be considered provisional and subject to revision.</t>
  </si>
  <si>
    <t>Threshold/endpoint type</t>
  </si>
  <si>
    <t>Threshold/endpoint description</t>
  </si>
  <si>
    <t>Description of effect</t>
  </si>
  <si>
    <t>Distance from edge of field where risk extends (ft): max rate</t>
  </si>
  <si>
    <t>Pre emergence* NOEC (growth)</t>
  </si>
  <si>
    <t>Pre emergence* LOEC (growth)</t>
  </si>
  <si>
    <t>Pre emergence* EC25 (growth)</t>
  </si>
  <si>
    <t>Post emergence** NOEC (growth)</t>
  </si>
  <si>
    <t>Post emergence** LOEC (growth)</t>
  </si>
  <si>
    <t>Post emergence** EC25 (growth)</t>
  </si>
  <si>
    <t>Mortality (direct)</t>
  </si>
  <si>
    <t>Mortality (indirect)</t>
  </si>
  <si>
    <t>Reproduction (direct)</t>
  </si>
  <si>
    <t>Reproduction (indirect)</t>
  </si>
  <si>
    <t>OrchardsVineyards</t>
  </si>
  <si>
    <t>OtherCrops</t>
  </si>
  <si>
    <t>OtherGrains</t>
  </si>
  <si>
    <t>OtherRowCrops</t>
  </si>
  <si>
    <t>Pasture</t>
  </si>
  <si>
    <t>Soybeans</t>
  </si>
  <si>
    <t>VegetablesGroundFruit</t>
  </si>
  <si>
    <t>ManagedForests</t>
  </si>
  <si>
    <t>Golfcourses</t>
  </si>
  <si>
    <t>Mosquito Control</t>
  </si>
  <si>
    <t>Wide Area Use</t>
  </si>
  <si>
    <t>Open Space Developed</t>
  </si>
  <si>
    <t>Pine Seed Orchards</t>
  </si>
  <si>
    <t>Versions:</t>
  </si>
  <si>
    <t>The "aquatic organism tissue concs" worksheet reports pesticide concentrations in fish and aquatic invertebrates present in different concentrations in water. These values are based on the user-input BCFs.</t>
  </si>
  <si>
    <t>Species-specific doses are calculated for the minimum and maximum application scenarios defined by the user. Dietary, drinking water, dermal and inhalation doses for these species are calculated in the Min rate doses and Max rate doses worksheets. These worksheets also include comparisons to different toxicity endpoints and distances from the edge of the field to which exposure is of concern.</t>
  </si>
  <si>
    <t>The "listed species info" worksheet describes the dietary and habitat assumptions used to model specific mammal, bird, amphibian, reptile and invertebrate listed species.</t>
  </si>
  <si>
    <t>Min rate and max rate are distinguished by the user-selected input parameters representing minimum and maximum application scenarios (see scenario definitions in first two tables of input page)</t>
  </si>
  <si>
    <t>Max rate - dietary conc results</t>
  </si>
  <si>
    <t>Min rate - dietary conc results</t>
  </si>
  <si>
    <t>Max rate concentrations</t>
  </si>
  <si>
    <t>Min rate concentrations</t>
  </si>
  <si>
    <t>Dietary concentrations for terrestrial organisms and distances from the edge of the field where risks extend are calculated in the following 4 worksheets:</t>
  </si>
  <si>
    <t>In the "Plants" worksheet, exposures to terrestrial and wetland plants via runoff and drift are calculated and risk is characterized based on user input toxicity values.</t>
  </si>
  <si>
    <t xml:space="preserve">In the "inputs" worksheet, the model user should input pesticide-specific parameter values for application information, physical/chemical/fate parameters and toxicity endpoints/thresholds. </t>
  </si>
  <si>
    <t>In addition to this "READ ME" page, this tool contains 10 worksheets. The contents of these pages are briefly described below.</t>
  </si>
  <si>
    <t>December 7, 2015: web release of provisional model</t>
  </si>
  <si>
    <t>December 14, 2015: corrected spray drift equations on min rate and max rate dietary conc results</t>
  </si>
  <si>
    <t>January 12, 2016: "max rate - dietary concentration results" worksheet: corrected reference to toxicity inputs for cells N42-54. Corrected upper bound and mean concentrations in food items in min rate and max rate dose worksheets. Min rate relies upon water concentration 1 and max rate relies upon water concentration 2. Corrections made to drift columns in last table of  "Plants" worksheet.</t>
  </si>
  <si>
    <t>March 9, 2016: Changed Identification numbers for three species as follows:</t>
  </si>
  <si>
    <r>
      <t xml:space="preserve">Changed </t>
    </r>
    <r>
      <rPr>
        <sz val="11"/>
        <color rgb="FF000000"/>
        <rFont val="Calibri"/>
        <family val="2"/>
        <scheme val="minor"/>
      </rPr>
      <t xml:space="preserve">Coachella Valley Fringe-toed </t>
    </r>
    <r>
      <rPr>
        <sz val="11"/>
        <color theme="1"/>
        <rFont val="Calibri"/>
        <family val="2"/>
        <scheme val="minor"/>
      </rPr>
      <t>Lizard from 152 to 175</t>
    </r>
  </si>
  <si>
    <t>Desert Tortoise from 186 to 185</t>
  </si>
  <si>
    <t>Gopher Tortoise from 3534 to 3532</t>
  </si>
  <si>
    <t xml:space="preserve">This tool integrates T-REX, T-HERPS, the earthworm fugacity model, TerrPlant (runoff portion only) and AgDRIFT. </t>
  </si>
  <si>
    <t>Version 1.0</t>
  </si>
  <si>
    <t>Hemignathus affinis</t>
  </si>
  <si>
    <t>Hemignathus hanapepe</t>
  </si>
  <si>
    <t>Maui Nukupu`u (honeycreeper)</t>
  </si>
  <si>
    <t>Kauai Nukupu`u (honeycreeper)</t>
  </si>
  <si>
    <t>Emoia slevini</t>
  </si>
  <si>
    <t>Vulpes vulpes necator</t>
  </si>
  <si>
    <t>Slevin's skink</t>
  </si>
  <si>
    <t>Sierra Nevada red fox</t>
  </si>
  <si>
    <t>December 16, 2016: revised to incorporate/address public comments</t>
  </si>
  <si>
    <t>December 22, 2106: revised to incorporate additional dietary items for Sierra Nevada Red Fox on dose based sheets</t>
  </si>
  <si>
    <t>Wood Bison (Experimental Population, Alaska)</t>
  </si>
  <si>
    <t>FWS001</t>
  </si>
  <si>
    <t>Addition of Wood Bison (Experimental Population, Alaska) ID #FWS001 to min and max rate dose sheets</t>
  </si>
  <si>
    <t>y</t>
  </si>
  <si>
    <t>minimum</t>
  </si>
  <si>
    <t>upperbound single</t>
  </si>
  <si>
    <t>KABAM</t>
  </si>
  <si>
    <t>Mag/Effect</t>
  </si>
  <si>
    <t>mortality</t>
  </si>
  <si>
    <t>diazinon</t>
  </si>
  <si>
    <t>Willis and McDowell 1987</t>
  </si>
  <si>
    <t>MRID 41108901</t>
  </si>
  <si>
    <t>MRID 41225901</t>
  </si>
  <si>
    <t>see fate appendix</t>
  </si>
  <si>
    <t>Ashauer et al. 2010b</t>
  </si>
  <si>
    <t>Goodman et al. 1979</t>
  </si>
  <si>
    <t>Mouse (Mus musculus), LD50 = 105 ug/g bw, Slope = 2.89, E85110</t>
  </si>
  <si>
    <t>single dose oral exposure, 9 day observation of adult female mice during gestation</t>
  </si>
  <si>
    <t>female rats, from ATSDR document (Gaines, 1960)</t>
  </si>
  <si>
    <t>MRIDs 42307236, 43665605, 42993303</t>
  </si>
  <si>
    <t xml:space="preserve">No mortality observed at 1 mg a.i./L; value is not definative. </t>
  </si>
  <si>
    <t>ChE inhibition</t>
  </si>
  <si>
    <t>Comparative cholinesterase assay, CD Rat (Rattus norvegicus), BMDL10= 0.35 mg/kg bw/day, MRID 46166302</t>
  </si>
  <si>
    <t>oral exposure, 7 day, repeat dose</t>
  </si>
  <si>
    <t>Comparative cholinesterase assay, CD Rat (Rattus norvegicus), BMD10=0.52 mg/kg bw/day, MRID 46166302</t>
  </si>
  <si>
    <t>avian SSD</t>
  </si>
  <si>
    <t>mallard; MRID 40895307</t>
  </si>
  <si>
    <t>not applicable</t>
  </si>
  <si>
    <t>Mineau 1996</t>
  </si>
  <si>
    <t>behavioral; No effects observed</t>
  </si>
  <si>
    <t>MRID 40895301</t>
  </si>
  <si>
    <t>mallard</t>
  </si>
  <si>
    <t>behavioral; LOEL; sitting, inability to walk</t>
  </si>
  <si>
    <t>Only one amphibian LD50 is available. LD50&gt;2000 mg/kg-bw for bullfrog (ECOTOX 50396)</t>
  </si>
  <si>
    <t>behavioral;LOEL; sitting, inability to walk</t>
  </si>
  <si>
    <t>multiplied dose-based values (table above) by 6.67</t>
  </si>
  <si>
    <t>conversion based on WHO 2009</t>
  </si>
  <si>
    <t>Weight gain</t>
  </si>
  <si>
    <t>LOEL = 0.19 mg/kg bw multiplied by 20 (standard FDA conversion); E039570</t>
  </si>
  <si>
    <t>Progeny count/number</t>
  </si>
  <si>
    <t>LOAEL = 0.67 mg/kg bw multiplied by 20 (standard FDA conversion); MRID 41158101</t>
  </si>
  <si>
    <t>Cholinesterase</t>
  </si>
  <si>
    <t>NOEL = 0.005 mg/kg bw, multiplied by 20 (standard FDA conversion); E118944</t>
  </si>
  <si>
    <t>LOEL = 0.05 mg/kg bw, multiplied by 20 (standard FDA conversion); E118944</t>
  </si>
  <si>
    <t>multiplied dose-based values (table above) by 20 (standard FDA conversion)</t>
  </si>
  <si>
    <t>MRID 40895308</t>
  </si>
  <si>
    <t>Brown headed cowbird</t>
  </si>
  <si>
    <t>48-53% inhibition of AChE in brain, plasma</t>
  </si>
  <si>
    <t>MRID 41322901</t>
  </si>
  <si>
    <t>Mallard reproduction study</t>
  </si>
  <si>
    <t>decrease in adult male body weight</t>
  </si>
  <si>
    <t>decrease in # of surviving chicks (41%)</t>
  </si>
  <si>
    <t>Decrease in feeding</t>
  </si>
  <si>
    <t>ECOTOX 35482</t>
  </si>
  <si>
    <t>Bobwhite quail; formulated product</t>
  </si>
  <si>
    <t>48-53% inhibition of AChE in brain</t>
  </si>
  <si>
    <r>
      <t>LD</t>
    </r>
    <r>
      <rPr>
        <vertAlign val="subscript"/>
        <sz val="11"/>
        <color theme="1"/>
        <rFont val="Calibri"/>
        <family val="2"/>
        <scheme val="minor"/>
      </rPr>
      <t>50</t>
    </r>
    <r>
      <rPr>
        <sz val="11"/>
        <color theme="1"/>
        <rFont val="Calibri"/>
        <family val="2"/>
        <scheme val="minor"/>
      </rPr>
      <t xml:space="preserve"> = 0.15 ug/g bw, Slope = 4.87, E100430</t>
    </r>
  </si>
  <si>
    <t>24-hr contact exposure</t>
  </si>
  <si>
    <r>
      <t>An acute (</t>
    </r>
    <r>
      <rPr>
        <u/>
        <sz val="11"/>
        <color theme="1"/>
        <rFont val="Calibri"/>
        <family val="2"/>
        <scheme val="minor"/>
      </rPr>
      <t>&lt;</t>
    </r>
    <r>
      <rPr>
        <sz val="11"/>
        <color theme="1"/>
        <rFont val="Calibri"/>
        <family val="2"/>
        <scheme val="minor"/>
      </rPr>
      <t>96 hour) LC</t>
    </r>
    <r>
      <rPr>
        <vertAlign val="subscript"/>
        <sz val="11"/>
        <color theme="1"/>
        <rFont val="Calibri"/>
        <family val="2"/>
        <scheme val="minor"/>
      </rPr>
      <t>50</t>
    </r>
    <r>
      <rPr>
        <sz val="11"/>
        <color theme="1"/>
        <rFont val="Calibri"/>
        <family val="2"/>
        <scheme val="minor"/>
      </rPr>
      <t xml:space="preserve"> or LD</t>
    </r>
    <r>
      <rPr>
        <vertAlign val="subscript"/>
        <sz val="11"/>
        <color theme="1"/>
        <rFont val="Calibri"/>
        <family val="2"/>
        <scheme val="minor"/>
      </rPr>
      <t>50</t>
    </r>
    <r>
      <rPr>
        <sz val="11"/>
        <color theme="1"/>
        <rFont val="Calibri"/>
        <family val="2"/>
        <scheme val="minor"/>
      </rPr>
      <t xml:space="preserve"> value is not available.</t>
    </r>
  </si>
  <si>
    <t>NOAEC = 5 ug/g dry food; E084972</t>
  </si>
  <si>
    <t>2-week exposure, ingestion</t>
  </si>
  <si>
    <t>Weight</t>
  </si>
  <si>
    <t>LOEC = 100 ug/g food; E084972</t>
  </si>
  <si>
    <t>Acetylcholinesterase</t>
  </si>
  <si>
    <t>LOAEC = 5 ug/g food; E084972</t>
  </si>
  <si>
    <t>LOAEC = 10 ug/g dry food; E084972</t>
  </si>
  <si>
    <t>LC50 = 3.09 ug/g dry substrate, E040294</t>
  </si>
  <si>
    <t>6-wk exposure</t>
  </si>
  <si>
    <t>EC20 = 0.097 mg/kg dry soil; E160446</t>
  </si>
  <si>
    <t>28d.  Qualitative.</t>
  </si>
  <si>
    <t>LOAEL = 9 mg/kg dry soil; E082065</t>
  </si>
  <si>
    <t>2-d.</t>
  </si>
  <si>
    <t>Avoidance</t>
  </si>
  <si>
    <t>EC20 = 1.75 mg/kg dry soil; E160446</t>
  </si>
  <si>
    <t>2d.  Qualitative.</t>
  </si>
  <si>
    <t>No data available at label-relevant rates (&lt;4 lb ai/A).</t>
  </si>
  <si>
    <t>Reproductive behavior</t>
  </si>
  <si>
    <t>LOAEL = 0.5 lbs ai/A; E088472</t>
  </si>
  <si>
    <t>field study</t>
  </si>
  <si>
    <t>50% mortality</t>
  </si>
  <si>
    <t>ECOTOX# 85970</t>
  </si>
  <si>
    <t>Canada goose field study. Thresholds also calculated (1/million and 10%). Exposure integrates diet and dermal exposure routes.</t>
  </si>
  <si>
    <t>11% decrease in embryo weight</t>
  </si>
  <si>
    <t>ECOTOX#35250</t>
  </si>
  <si>
    <t>Diazinon was applied directly to eggs. Uncertainty in dose.</t>
  </si>
  <si>
    <t>26% decrease in number of fledglings</t>
  </si>
  <si>
    <t>ECOTOX 40041</t>
  </si>
  <si>
    <t>only one application rate tested; american robin</t>
  </si>
  <si>
    <t>reproduction; abundance</t>
  </si>
  <si>
    <t>LOAEC = 0.25 lbs a.i/A; E088771</t>
  </si>
  <si>
    <t>LOEL = 1.34 lbs ai/A; E086162</t>
  </si>
  <si>
    <t>60d.  Not further reviewed (ECOTOX screen only).</t>
  </si>
  <si>
    <r>
      <t xml:space="preserve"> NOAEC values represent the maximium allowable application rate for diazinon (</t>
    </r>
    <r>
      <rPr>
        <i/>
        <sz val="11"/>
        <color theme="1"/>
        <rFont val="Calibri"/>
        <family val="2"/>
        <scheme val="minor"/>
      </rPr>
      <t>i.e.,</t>
    </r>
    <r>
      <rPr>
        <sz val="11"/>
        <color theme="1"/>
        <rFont val="Calibri"/>
        <family val="2"/>
        <scheme val="minor"/>
      </rPr>
      <t xml:space="preserve"> 4.0 lbs a.i./A)</t>
    </r>
  </si>
  <si>
    <r>
      <t>Drift and runoff transport are not of concern for terrestrial and wetland monocot plants because available data indicate that potential effects occur at levels above the maximum allowed application rate for diazinon (</t>
    </r>
    <r>
      <rPr>
        <i/>
        <sz val="11"/>
        <color theme="1"/>
        <rFont val="Calibri"/>
        <family val="2"/>
        <scheme val="minor"/>
      </rPr>
      <t>i.e.,</t>
    </r>
    <r>
      <rPr>
        <sz val="11"/>
        <color theme="1"/>
        <rFont val="Calibri"/>
        <family val="2"/>
        <scheme val="minor"/>
      </rPr>
      <t xml:space="preserve"> 4.0 lb a.i./A). </t>
    </r>
  </si>
  <si>
    <r>
      <t xml:space="preserve"> Drift and runoff transport are not of concern for terrestrial and wetland plants because mortality was not observed in the available data, which tested above the maximum allowed application rate for diazinon (</t>
    </r>
    <r>
      <rPr>
        <i/>
        <sz val="11"/>
        <color theme="1"/>
        <rFont val="Calibri"/>
        <family val="2"/>
        <scheme val="minor"/>
      </rPr>
      <t>i.e.,</t>
    </r>
    <r>
      <rPr>
        <sz val="11"/>
        <color theme="1"/>
        <rFont val="Calibri"/>
        <family val="2"/>
        <scheme val="minor"/>
      </rPr>
      <t xml:space="preserve"> 4.0 lb a.i./A). </t>
    </r>
  </si>
  <si>
    <r>
      <t xml:space="preserve"> Runoff transport is not of concern for terrestrial and wetland dicot plants because available </t>
    </r>
    <r>
      <rPr>
        <b/>
        <sz val="11"/>
        <color theme="1"/>
        <rFont val="Calibri"/>
        <family val="2"/>
        <scheme val="minor"/>
      </rPr>
      <t>pre emergence</t>
    </r>
    <r>
      <rPr>
        <sz val="11"/>
        <color theme="1"/>
        <rFont val="Calibri"/>
        <family val="2"/>
        <scheme val="minor"/>
      </rPr>
      <t xml:space="preserve"> data indicate that potential effects occur at levels above the maximum allowed application rate for diazinon (i.e., 4.0 lb a.i./A).  A </t>
    </r>
    <r>
      <rPr>
        <b/>
        <sz val="11"/>
        <color theme="1"/>
        <rFont val="Calibri"/>
        <family val="2"/>
        <scheme val="minor"/>
      </rPr>
      <t>post emergence</t>
    </r>
    <r>
      <rPr>
        <sz val="11"/>
        <color theme="1"/>
        <rFont val="Calibri"/>
        <family val="2"/>
        <scheme val="minor"/>
      </rPr>
      <t xml:space="preserve"> NOAEC value is not available so the LOAEC value is used. </t>
    </r>
  </si>
  <si>
    <t xml:space="preserve"> A NOAEC value was not available so the LOAEC value is used. </t>
  </si>
  <si>
    <t>13% decrease in growth of tomato; ECOTOX # 26089</t>
  </si>
  <si>
    <t>decrease in cucumber height; MRID 40803002</t>
  </si>
  <si>
    <t>0.0.10.310</t>
  </si>
  <si>
    <t xml:space="preserve">Sterna antillarum browni </t>
  </si>
  <si>
    <t xml:space="preserve">Himantopus mexicanus knudseni </t>
  </si>
  <si>
    <t xml:space="preserve">Sterna antillarum </t>
  </si>
  <si>
    <t xml:space="preserve">Calidris canutus rufa </t>
  </si>
  <si>
    <t xml:space="preserve">Sterna douglalli dougallii </t>
  </si>
  <si>
    <t xml:space="preserve">Synthliboramphus hypoleucus </t>
  </si>
  <si>
    <t xml:space="preserve">Mycteria Americana </t>
  </si>
  <si>
    <t xml:space="preserve">Oceanodroma castro </t>
  </si>
  <si>
    <t xml:space="preserve">Thamnophis rufipunctatus </t>
  </si>
  <si>
    <t xml:space="preserve">Pseudemys alabamensis </t>
  </si>
  <si>
    <t xml:space="preserve">Pseudemys rubriventris bangsi </t>
  </si>
  <si>
    <t xml:space="preserve">Graptemys flavimaculata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</si>
</sst>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00"/>
    <numFmt numFmtId="165" formatCode="0.0"/>
    <numFmt numFmtId="168" formatCode="0.0000000"/>
  </numFmts>
  <fonts count="38" x14ac:knownFonts="1">
    <font>
      <sz val="11"/>
      <color theme="1"/>
      <name val="Calibri"/>
      <family val="2"/>
      <scheme val="minor"/>
    </font>
    <font>
      <sz val="11"/>
      <color rgb="FFFF0000"/>
      <name val="Calibri"/>
      <family val="2"/>
      <scheme val="minor"/>
    </font>
    <font>
      <b/>
      <sz val="11"/>
      <color theme="1"/>
      <name val="Calibri"/>
      <family val="2"/>
      <scheme val="minor"/>
    </font>
    <font>
      <sz val="11"/>
      <color rgb="FF000000"/>
      <name val="Calibri"/>
      <family val="2"/>
      <scheme val="minor"/>
    </font>
    <font>
      <vertAlign val="superscript"/>
      <sz val="11"/>
      <color rgb="FF000000"/>
      <name val="Calibri"/>
      <family val="2"/>
      <scheme val="minor"/>
    </font>
    <font>
      <sz val="11"/>
      <name val="Calibri"/>
      <family val="2"/>
      <scheme val="minor"/>
    </font>
    <font>
      <u/>
      <sz val="11"/>
      <color theme="1"/>
      <name val="Calibri"/>
      <family val="2"/>
      <scheme val="minor"/>
    </font>
    <font>
      <sz val="10"/>
      <name val="Arial"/>
      <family val="2"/>
    </font>
    <font>
      <sz val="8"/>
      <color indexed="81"/>
      <name val="Tahoma"/>
      <family val="2"/>
    </font>
    <font>
      <b/>
      <sz val="10"/>
      <name val="Calibri"/>
      <family val="2"/>
      <scheme val="minor"/>
    </font>
    <font>
      <sz val="10"/>
      <name val="Calibri"/>
      <family val="2"/>
      <scheme val="minor"/>
    </font>
    <font>
      <b/>
      <sz val="10"/>
      <color indexed="17"/>
      <name val="Calibri"/>
      <family val="2"/>
      <scheme val="minor"/>
    </font>
    <font>
      <sz val="10"/>
      <color theme="1"/>
      <name val="Calibri"/>
      <family val="2"/>
      <scheme val="minor"/>
    </font>
    <font>
      <b/>
      <sz val="10"/>
      <color theme="1"/>
      <name val="Calibri"/>
      <family val="2"/>
      <scheme val="minor"/>
    </font>
    <font>
      <sz val="11"/>
      <color theme="1"/>
      <name val="Calibri"/>
      <family val="2"/>
      <scheme val="minor"/>
    </font>
    <font>
      <b/>
      <sz val="10"/>
      <color theme="1"/>
      <name val="Times New Roman"/>
      <family val="1"/>
    </font>
    <font>
      <sz val="10"/>
      <color theme="1"/>
      <name val="Times New Roman"/>
      <family val="1"/>
    </font>
    <font>
      <b/>
      <sz val="10"/>
      <color rgb="FF000000"/>
      <name val="Times New Roman"/>
      <family val="1"/>
    </font>
    <font>
      <i/>
      <sz val="10"/>
      <color rgb="FF000000"/>
      <name val="Times New Roman"/>
      <family val="1"/>
    </font>
    <font>
      <sz val="10"/>
      <color rgb="FF000000"/>
      <name val="Times New Roman"/>
      <family val="1"/>
    </font>
    <font>
      <b/>
      <sz val="11"/>
      <color rgb="FFFF0000"/>
      <name val="Calibri"/>
      <family val="2"/>
      <scheme val="minor"/>
    </font>
    <font>
      <i/>
      <sz val="10"/>
      <color theme="1"/>
      <name val="Times New Roman"/>
      <family val="1"/>
    </font>
    <font>
      <b/>
      <sz val="10"/>
      <color rgb="FFFF0000"/>
      <name val="Times New Roman"/>
      <family val="1"/>
    </font>
    <font>
      <b/>
      <sz val="10"/>
      <color rgb="FF00B050"/>
      <name val="Times New Roman"/>
      <family val="1"/>
    </font>
    <font>
      <b/>
      <sz val="10"/>
      <color rgb="FFFFC000"/>
      <name val="Times New Roman"/>
      <family val="1"/>
    </font>
    <font>
      <b/>
      <sz val="10"/>
      <name val="Times New Roman"/>
      <family val="1"/>
    </font>
    <font>
      <i/>
      <sz val="10"/>
      <name val="Times New Roman"/>
      <family val="1"/>
    </font>
    <font>
      <sz val="10"/>
      <name val="Times New Roman"/>
      <family val="1"/>
    </font>
    <font>
      <b/>
      <i/>
      <sz val="10"/>
      <name val="Times New Roman"/>
      <family val="1"/>
    </font>
    <font>
      <sz val="10"/>
      <color rgb="FF000000"/>
      <name val="Times New Roman"/>
      <family val="1"/>
    </font>
    <font>
      <sz val="11"/>
      <color rgb="FF000000"/>
      <name val="Calibri"/>
      <family val="2"/>
    </font>
    <font>
      <sz val="11"/>
      <color theme="1"/>
      <name val="Calibri"/>
      <family val="2"/>
    </font>
    <font>
      <sz val="12"/>
      <name val="Calibri"/>
      <family val="2"/>
      <scheme val="minor"/>
    </font>
    <font>
      <sz val="12"/>
      <name val="Calibri Light"/>
      <family val="2"/>
    </font>
    <font>
      <sz val="11"/>
      <name val="Calibri Light"/>
      <family val="2"/>
    </font>
    <font>
      <sz val="10"/>
      <color rgb="FF000000"/>
      <name val="Calibri"/>
      <family val="2"/>
    </font>
    <font>
      <vertAlign val="subscript"/>
      <sz val="11"/>
      <color theme="1"/>
      <name val="Calibri"/>
      <family val="2"/>
      <scheme val="minor"/>
    </font>
    <font>
      <i/>
      <sz val="11"/>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indexed="9"/>
        <bgColor indexed="64"/>
      </patternFill>
    </fill>
    <fill>
      <patternFill patternType="solid">
        <fgColor rgb="FFFFCC66"/>
        <bgColor indexed="64"/>
      </patternFill>
    </fill>
    <fill>
      <patternFill patternType="solid">
        <fgColor rgb="FFFFFFFF"/>
        <bgColor indexed="64"/>
      </patternFill>
    </fill>
    <fill>
      <patternFill patternType="solid">
        <fgColor theme="4"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rgb="FF000000"/>
      </left>
      <right/>
      <top/>
      <bottom style="medium">
        <color indexed="64"/>
      </bottom>
      <diagonal/>
    </border>
  </borders>
  <cellStyleXfs count="6">
    <xf numFmtId="0" fontId="0" fillId="0" borderId="0"/>
    <xf numFmtId="0" fontId="7" fillId="0" borderId="0"/>
    <xf numFmtId="9" fontId="14" fillId="0" borderId="0" applyFont="0" applyFill="0" applyBorder="0" applyAlignment="0" applyProtection="0"/>
    <xf numFmtId="0" fontId="29" fillId="0" borderId="0"/>
    <xf numFmtId="0" fontId="19" fillId="0" borderId="0"/>
    <xf numFmtId="0" fontId="14" fillId="0" borderId="0"/>
  </cellStyleXfs>
  <cellXfs count="253">
    <xf numFmtId="0" fontId="0" fillId="0" borderId="0" xfId="0"/>
    <xf numFmtId="0" fontId="2" fillId="2" borderId="0" xfId="0" applyFont="1" applyFill="1"/>
    <xf numFmtId="0" fontId="2" fillId="2" borderId="1" xfId="0" applyFont="1" applyFill="1" applyBorder="1"/>
    <xf numFmtId="0" fontId="5" fillId="2" borderId="1" xfId="0" applyFont="1" applyFill="1" applyBorder="1"/>
    <xf numFmtId="0" fontId="0" fillId="2" borderId="0" xfId="0" applyFill="1"/>
    <xf numFmtId="0" fontId="0" fillId="2" borderId="0" xfId="0" applyFill="1" applyAlignment="1">
      <alignment wrapText="1"/>
    </xf>
    <xf numFmtId="0" fontId="0" fillId="2" borderId="1" xfId="0" applyFill="1" applyBorder="1" applyAlignment="1">
      <alignment wrapText="1"/>
    </xf>
    <xf numFmtId="0" fontId="0" fillId="2" borderId="1" xfId="0" applyFill="1" applyBorder="1"/>
    <xf numFmtId="1" fontId="0" fillId="2" borderId="1" xfId="0" applyNumberFormat="1" applyFill="1" applyBorder="1"/>
    <xf numFmtId="0" fontId="2" fillId="2" borderId="1" xfId="0" applyFont="1" applyFill="1" applyBorder="1" applyAlignment="1">
      <alignment wrapText="1"/>
    </xf>
    <xf numFmtId="0" fontId="11" fillId="5" borderId="14" xfId="1" applyFont="1" applyFill="1" applyBorder="1" applyAlignment="1" applyProtection="1">
      <alignment horizontal="center"/>
    </xf>
    <xf numFmtId="0" fontId="11" fillId="5" borderId="3" xfId="1" applyFont="1" applyFill="1" applyBorder="1" applyAlignment="1" applyProtection="1">
      <alignment horizontal="center"/>
    </xf>
    <xf numFmtId="0" fontId="11" fillId="4" borderId="0" xfId="1" applyFont="1" applyFill="1" applyBorder="1" applyAlignment="1" applyProtection="1">
      <alignment horizontal="center"/>
    </xf>
    <xf numFmtId="0" fontId="9" fillId="5" borderId="1" xfId="1" applyFont="1" applyFill="1" applyBorder="1" applyAlignment="1" applyProtection="1">
      <alignment horizontal="center" wrapText="1"/>
    </xf>
    <xf numFmtId="0" fontId="17" fillId="2" borderId="1"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5" fillId="2" borderId="0" xfId="0" applyFont="1" applyFill="1"/>
    <xf numFmtId="0" fontId="5" fillId="2" borderId="1" xfId="0" applyFont="1" applyFill="1" applyBorder="1" applyAlignment="1">
      <alignment wrapText="1"/>
    </xf>
    <xf numFmtId="164" fontId="5" fillId="2" borderId="1" xfId="0" applyNumberFormat="1" applyFont="1" applyFill="1" applyBorder="1"/>
    <xf numFmtId="165" fontId="5" fillId="2" borderId="1" xfId="0" applyNumberFormat="1" applyFont="1" applyFill="1" applyBorder="1"/>
    <xf numFmtId="0" fontId="19" fillId="2" borderId="1" xfId="0" applyFont="1" applyFill="1" applyBorder="1" applyAlignment="1">
      <alignment vertical="center" wrapText="1"/>
    </xf>
    <xf numFmtId="0" fontId="16" fillId="2" borderId="1" xfId="0" applyFont="1" applyFill="1" applyBorder="1" applyAlignment="1">
      <alignment wrapText="1"/>
    </xf>
    <xf numFmtId="0" fontId="0" fillId="2" borderId="1" xfId="0" applyFont="1" applyFill="1" applyBorder="1" applyAlignment="1">
      <alignment wrapText="1"/>
    </xf>
    <xf numFmtId="0" fontId="0" fillId="2" borderId="0" xfId="0" applyFont="1" applyFill="1" applyBorder="1" applyAlignment="1">
      <alignment wrapText="1"/>
    </xf>
    <xf numFmtId="0" fontId="0" fillId="2" borderId="4" xfId="0" applyFont="1" applyFill="1" applyBorder="1" applyAlignment="1">
      <alignment wrapText="1"/>
    </xf>
    <xf numFmtId="0" fontId="0" fillId="2" borderId="3" xfId="0" applyFont="1" applyFill="1" applyBorder="1" applyAlignment="1">
      <alignment wrapText="1"/>
    </xf>
    <xf numFmtId="0" fontId="0" fillId="2" borderId="2" xfId="0" applyFont="1" applyFill="1" applyBorder="1" applyAlignment="1">
      <alignment wrapText="1"/>
    </xf>
    <xf numFmtId="0" fontId="0" fillId="2" borderId="0" xfId="0" applyFont="1" applyFill="1" applyAlignment="1"/>
    <xf numFmtId="0" fontId="10" fillId="4" borderId="0" xfId="1" applyFont="1" applyFill="1" applyBorder="1" applyAlignment="1" applyProtection="1">
      <alignment wrapText="1"/>
    </xf>
    <xf numFmtId="0" fontId="10" fillId="4" borderId="0" xfId="1" applyFont="1" applyFill="1" applyAlignment="1" applyProtection="1">
      <alignment wrapText="1"/>
    </xf>
    <xf numFmtId="0" fontId="9" fillId="4" borderId="0" xfId="1" applyFont="1" applyFill="1" applyBorder="1" applyAlignment="1" applyProtection="1">
      <alignment horizontal="center" wrapText="1"/>
    </xf>
    <xf numFmtId="0" fontId="10" fillId="4" borderId="0" xfId="1" applyFont="1" applyFill="1" applyBorder="1" applyAlignment="1" applyProtection="1">
      <alignment horizontal="center" wrapText="1"/>
    </xf>
    <xf numFmtId="0" fontId="9" fillId="4" borderId="0" xfId="1" applyFont="1" applyFill="1" applyBorder="1" applyAlignment="1" applyProtection="1">
      <alignment wrapText="1"/>
    </xf>
    <xf numFmtId="0" fontId="10" fillId="4" borderId="1" xfId="1" applyNumberFormat="1" applyFont="1" applyFill="1" applyBorder="1" applyAlignment="1" applyProtection="1">
      <alignment horizontal="center" wrapText="1"/>
    </xf>
    <xf numFmtId="1" fontId="10" fillId="4" borderId="1" xfId="1" applyNumberFormat="1" applyFont="1" applyFill="1" applyBorder="1" applyAlignment="1" applyProtection="1">
      <alignment horizontal="center" wrapText="1"/>
    </xf>
    <xf numFmtId="0" fontId="9" fillId="5" borderId="15" xfId="1" applyFont="1" applyFill="1" applyBorder="1" applyAlignment="1" applyProtection="1"/>
    <xf numFmtId="0" fontId="10" fillId="5" borderId="14" xfId="1" applyFont="1" applyFill="1" applyBorder="1" applyAlignment="1" applyProtection="1"/>
    <xf numFmtId="0" fontId="10" fillId="5" borderId="3" xfId="1" applyFont="1" applyFill="1" applyBorder="1" applyAlignment="1" applyProtection="1"/>
    <xf numFmtId="0" fontId="10" fillId="4" borderId="0" xfId="1" applyFont="1" applyFill="1" applyAlignment="1" applyProtection="1"/>
    <xf numFmtId="0" fontId="0" fillId="2" borderId="5" xfId="0" applyFont="1" applyFill="1" applyBorder="1"/>
    <xf numFmtId="0" fontId="0" fillId="2" borderId="4" xfId="0" applyFont="1" applyFill="1" applyBorder="1"/>
    <xf numFmtId="0" fontId="0" fillId="2" borderId="2" xfId="0" applyFont="1" applyFill="1" applyBorder="1"/>
    <xf numFmtId="0" fontId="16" fillId="2" borderId="0" xfId="0" applyFont="1" applyFill="1" applyAlignment="1">
      <alignment wrapText="1"/>
    </xf>
    <xf numFmtId="0" fontId="2" fillId="2" borderId="15" xfId="0" applyFont="1" applyFill="1" applyBorder="1"/>
    <xf numFmtId="0" fontId="0" fillId="2" borderId="6" xfId="0" applyFont="1" applyFill="1" applyBorder="1"/>
    <xf numFmtId="0" fontId="0" fillId="2" borderId="9" xfId="0" applyFont="1" applyFill="1" applyBorder="1"/>
    <xf numFmtId="0" fontId="0" fillId="2" borderId="11" xfId="0" applyFont="1" applyFill="1" applyBorder="1"/>
    <xf numFmtId="0" fontId="2" fillId="2" borderId="6" xfId="0" applyFont="1" applyFill="1" applyBorder="1"/>
    <xf numFmtId="0" fontId="16" fillId="2" borderId="1" xfId="0" applyFont="1" applyFill="1" applyBorder="1"/>
    <xf numFmtId="0" fontId="27" fillId="2" borderId="1" xfId="0" applyFont="1" applyFill="1" applyBorder="1" applyAlignment="1">
      <alignment vertical="center" wrapText="1"/>
    </xf>
    <xf numFmtId="0" fontId="22" fillId="2" borderId="1" xfId="0" applyFont="1" applyFill="1" applyBorder="1" applyAlignment="1">
      <alignment wrapText="1"/>
    </xf>
    <xf numFmtId="0" fontId="25" fillId="2" borderId="1" xfId="0" applyFont="1" applyFill="1" applyBorder="1" applyAlignment="1">
      <alignment wrapText="1"/>
    </xf>
    <xf numFmtId="0" fontId="23" fillId="2" borderId="1" xfId="0" applyFont="1" applyFill="1" applyBorder="1" applyAlignment="1">
      <alignment wrapText="1"/>
    </xf>
    <xf numFmtId="0" fontId="24" fillId="2" borderId="1" xfId="0" applyFont="1" applyFill="1" applyBorder="1" applyAlignment="1">
      <alignment wrapText="1"/>
    </xf>
    <xf numFmtId="0" fontId="27" fillId="2" borderId="1" xfId="0" applyFont="1" applyFill="1" applyBorder="1" applyAlignment="1">
      <alignment wrapText="1"/>
    </xf>
    <xf numFmtId="0" fontId="26" fillId="2" borderId="1" xfId="0" applyFont="1" applyFill="1" applyBorder="1" applyAlignment="1">
      <alignment vertical="center" wrapText="1"/>
    </xf>
    <xf numFmtId="0" fontId="16" fillId="2" borderId="1" xfId="0" applyFont="1" applyFill="1" applyBorder="1" applyAlignment="1">
      <alignment vertical="center" wrapText="1"/>
    </xf>
    <xf numFmtId="0" fontId="15" fillId="2" borderId="1" xfId="0" applyFont="1" applyFill="1" applyBorder="1" applyAlignment="1">
      <alignment wrapText="1"/>
    </xf>
    <xf numFmtId="0" fontId="16" fillId="2" borderId="0" xfId="0" applyFont="1" applyFill="1"/>
    <xf numFmtId="165" fontId="16" fillId="2" borderId="1" xfId="0" applyNumberFormat="1" applyFont="1" applyFill="1" applyBorder="1" applyAlignment="1">
      <alignment wrapText="1"/>
    </xf>
    <xf numFmtId="165" fontId="27" fillId="2" borderId="1" xfId="0" applyNumberFormat="1" applyFont="1" applyFill="1" applyBorder="1" applyAlignment="1">
      <alignment wrapText="1"/>
    </xf>
    <xf numFmtId="0" fontId="3" fillId="2" borderId="1" xfId="0" applyFont="1" applyFill="1" applyBorder="1" applyAlignment="1">
      <alignment horizontal="left" vertical="center" wrapText="1"/>
    </xf>
    <xf numFmtId="0" fontId="0" fillId="2" borderId="0" xfId="0" applyFont="1" applyFill="1" applyBorder="1"/>
    <xf numFmtId="1" fontId="16" fillId="2" borderId="1" xfId="0" applyNumberFormat="1" applyFont="1" applyFill="1" applyBorder="1" applyAlignment="1">
      <alignment wrapText="1"/>
    </xf>
    <xf numFmtId="0" fontId="9" fillId="4" borderId="1" xfId="1" applyFont="1" applyFill="1" applyBorder="1" applyAlignment="1" applyProtection="1">
      <alignment horizontal="center" wrapText="1"/>
    </xf>
    <xf numFmtId="0" fontId="10" fillId="4" borderId="1" xfId="1" applyFont="1" applyFill="1" applyBorder="1" applyAlignment="1" applyProtection="1">
      <alignment horizontal="center" wrapText="1"/>
    </xf>
    <xf numFmtId="0" fontId="15" fillId="2" borderId="1" xfId="0" applyFont="1" applyFill="1" applyBorder="1" applyAlignment="1">
      <alignment horizontal="right" wrapText="1"/>
    </xf>
    <xf numFmtId="0" fontId="25" fillId="2" borderId="1" xfId="0" applyFont="1" applyFill="1" applyBorder="1" applyAlignment="1">
      <alignment horizontal="right" wrapText="1"/>
    </xf>
    <xf numFmtId="0" fontId="16" fillId="2" borderId="1" xfId="0" applyFont="1" applyFill="1" applyBorder="1" applyAlignment="1">
      <alignment horizontal="right"/>
    </xf>
    <xf numFmtId="165" fontId="16" fillId="2" borderId="1" xfId="0" applyNumberFormat="1" applyFont="1" applyFill="1" applyBorder="1" applyAlignment="1">
      <alignment horizontal="right" wrapText="1"/>
    </xf>
    <xf numFmtId="165" fontId="27" fillId="2" borderId="1" xfId="0" applyNumberFormat="1" applyFont="1" applyFill="1" applyBorder="1" applyAlignment="1">
      <alignment horizontal="right" wrapText="1"/>
    </xf>
    <xf numFmtId="0" fontId="16" fillId="2" borderId="1" xfId="0" applyFont="1" applyFill="1" applyBorder="1" applyAlignment="1">
      <alignment horizontal="right" wrapText="1"/>
    </xf>
    <xf numFmtId="0" fontId="16" fillId="2" borderId="0" xfId="0" applyFont="1" applyFill="1" applyAlignment="1">
      <alignment horizontal="right"/>
    </xf>
    <xf numFmtId="0" fontId="16" fillId="2" borderId="0" xfId="0" applyFont="1" applyFill="1" applyAlignment="1">
      <alignment horizontal="right" wrapText="1"/>
    </xf>
    <xf numFmtId="0" fontId="9" fillId="5" borderId="1" xfId="1" applyFont="1" applyFill="1" applyBorder="1" applyAlignment="1" applyProtection="1"/>
    <xf numFmtId="0" fontId="9" fillId="4" borderId="1" xfId="1" applyFont="1" applyFill="1" applyBorder="1" applyAlignment="1" applyProtection="1">
      <alignment wrapText="1"/>
    </xf>
    <xf numFmtId="0" fontId="10" fillId="5" borderId="1" xfId="1" applyFont="1" applyFill="1" applyBorder="1" applyAlignment="1" applyProtection="1">
      <alignment wrapText="1"/>
    </xf>
    <xf numFmtId="0" fontId="0" fillId="2" borderId="0" xfId="0" applyFill="1" applyBorder="1"/>
    <xf numFmtId="1" fontId="0" fillId="2" borderId="0" xfId="0" applyNumberFormat="1" applyFill="1" applyBorder="1"/>
    <xf numFmtId="0" fontId="9" fillId="5" borderId="1" xfId="0" applyFont="1" applyFill="1" applyBorder="1" applyAlignment="1" applyProtection="1">
      <alignment wrapText="1"/>
    </xf>
    <xf numFmtId="0" fontId="12" fillId="2" borderId="4" xfId="0" applyFont="1" applyFill="1" applyBorder="1" applyAlignment="1" applyProtection="1">
      <alignment wrapText="1"/>
    </xf>
    <xf numFmtId="0" fontId="12" fillId="2" borderId="1" xfId="0" applyFont="1" applyFill="1" applyBorder="1" applyAlignment="1" applyProtection="1">
      <alignment horizontal="center" wrapText="1"/>
    </xf>
    <xf numFmtId="0" fontId="12" fillId="2" borderId="2" xfId="0" applyFont="1" applyFill="1" applyBorder="1" applyAlignment="1" applyProtection="1">
      <alignment wrapText="1"/>
    </xf>
    <xf numFmtId="0" fontId="12" fillId="2" borderId="5" xfId="0" applyFont="1" applyFill="1" applyBorder="1" applyAlignment="1" applyProtection="1">
      <alignment wrapText="1"/>
    </xf>
    <xf numFmtId="0" fontId="12" fillId="2" borderId="0" xfId="0" applyFont="1" applyFill="1" applyBorder="1" applyAlignment="1" applyProtection="1">
      <alignment wrapText="1"/>
    </xf>
    <xf numFmtId="0" fontId="12" fillId="2" borderId="0" xfId="0" applyFont="1" applyFill="1" applyBorder="1" applyAlignment="1" applyProtection="1">
      <alignment horizontal="center" wrapText="1"/>
    </xf>
    <xf numFmtId="0" fontId="13" fillId="5" borderId="1" xfId="0" applyFont="1" applyFill="1" applyBorder="1" applyAlignment="1" applyProtection="1">
      <alignment wrapText="1"/>
    </xf>
    <xf numFmtId="0" fontId="0" fillId="0" borderId="0" xfId="0" applyAlignment="1" applyProtection="1">
      <alignment wrapText="1"/>
    </xf>
    <xf numFmtId="0" fontId="2" fillId="2" borderId="0" xfId="0" applyFont="1" applyFill="1" applyProtection="1"/>
    <xf numFmtId="0" fontId="0" fillId="2" borderId="0" xfId="0" applyFill="1" applyProtection="1"/>
    <xf numFmtId="0" fontId="2" fillId="2" borderId="4" xfId="0" applyFont="1" applyFill="1" applyBorder="1" applyAlignment="1" applyProtection="1">
      <alignment wrapText="1"/>
    </xf>
    <xf numFmtId="0" fontId="2" fillId="2" borderId="1" xfId="0" applyFont="1" applyFill="1" applyBorder="1" applyAlignment="1" applyProtection="1">
      <alignment wrapText="1"/>
    </xf>
    <xf numFmtId="0" fontId="2" fillId="2" borderId="3" xfId="0" applyFont="1" applyFill="1" applyBorder="1" applyAlignment="1" applyProtection="1">
      <alignment wrapText="1"/>
    </xf>
    <xf numFmtId="0" fontId="2" fillId="2" borderId="1" xfId="0" applyFont="1" applyFill="1" applyBorder="1" applyProtection="1"/>
    <xf numFmtId="0" fontId="0" fillId="2" borderId="4" xfId="0" applyFont="1" applyFill="1" applyBorder="1" applyAlignment="1" applyProtection="1">
      <alignment wrapText="1"/>
    </xf>
    <xf numFmtId="0" fontId="0" fillId="2" borderId="1" xfId="0" applyFont="1" applyFill="1" applyBorder="1" applyAlignment="1" applyProtection="1">
      <alignment wrapText="1"/>
    </xf>
    <xf numFmtId="0" fontId="0" fillId="2" borderId="3" xfId="0" applyFont="1" applyFill="1" applyBorder="1" applyAlignment="1" applyProtection="1">
      <alignment wrapText="1"/>
    </xf>
    <xf numFmtId="165" fontId="0" fillId="2" borderId="1" xfId="0" applyNumberFormat="1" applyFill="1" applyBorder="1" applyProtection="1"/>
    <xf numFmtId="0" fontId="0" fillId="2" borderId="2" xfId="0" applyFont="1" applyFill="1" applyBorder="1" applyAlignment="1" applyProtection="1">
      <alignment wrapText="1"/>
    </xf>
    <xf numFmtId="0" fontId="0" fillId="2" borderId="5" xfId="0" applyFont="1" applyFill="1" applyBorder="1" applyAlignment="1" applyProtection="1">
      <alignment wrapText="1"/>
    </xf>
    <xf numFmtId="0" fontId="2" fillId="2" borderId="1" xfId="0" applyFont="1" applyFill="1" applyBorder="1" applyAlignment="1">
      <alignment horizontal="center" wrapText="1"/>
    </xf>
    <xf numFmtId="0" fontId="0" fillId="2" borderId="1" xfId="0" applyFill="1" applyBorder="1" applyAlignment="1">
      <alignment horizontal="center"/>
    </xf>
    <xf numFmtId="0" fontId="1" fillId="2" borderId="0" xfId="0" applyFont="1" applyFill="1"/>
    <xf numFmtId="0" fontId="18" fillId="2" borderId="1" xfId="0" applyFont="1" applyFill="1" applyBorder="1" applyAlignment="1">
      <alignment vertical="center" wrapText="1"/>
    </xf>
    <xf numFmtId="0" fontId="19" fillId="2" borderId="1" xfId="0" applyFont="1" applyFill="1" applyBorder="1" applyAlignment="1">
      <alignment horizontal="left" vertical="center" wrapText="1"/>
    </xf>
    <xf numFmtId="0" fontId="19" fillId="2" borderId="1" xfId="0" applyFont="1" applyFill="1" applyBorder="1" applyAlignment="1">
      <alignment horizontal="left" vertical="center"/>
    </xf>
    <xf numFmtId="1" fontId="27" fillId="2" borderId="1" xfId="0" applyNumberFormat="1" applyFont="1" applyFill="1" applyBorder="1" applyAlignment="1">
      <alignment wrapText="1"/>
    </xf>
    <xf numFmtId="0" fontId="16" fillId="2" borderId="0" xfId="0" applyFont="1" applyFill="1" applyBorder="1" applyAlignment="1">
      <alignment wrapText="1"/>
    </xf>
    <xf numFmtId="0" fontId="28" fillId="2" borderId="1" xfId="0" applyFont="1" applyFill="1" applyBorder="1" applyAlignment="1">
      <alignment vertical="center" wrapText="1"/>
    </xf>
    <xf numFmtId="0" fontId="25" fillId="2" borderId="1" xfId="0" applyFont="1" applyFill="1" applyBorder="1" applyAlignment="1">
      <alignment vertical="center" wrapText="1"/>
    </xf>
    <xf numFmtId="0" fontId="17" fillId="2" borderId="1" xfId="0" applyFont="1" applyFill="1" applyBorder="1" applyAlignment="1">
      <alignment vertical="center" wrapText="1"/>
    </xf>
    <xf numFmtId="0" fontId="17" fillId="2" borderId="1" xfId="0" applyFont="1" applyFill="1" applyBorder="1" applyAlignment="1">
      <alignment horizontal="left" vertical="center" wrapText="1"/>
    </xf>
    <xf numFmtId="0" fontId="26" fillId="2" borderId="1" xfId="0" applyFont="1" applyFill="1" applyBorder="1"/>
    <xf numFmtId="0" fontId="27" fillId="2" borderId="1" xfId="0" applyFont="1" applyFill="1" applyBorder="1"/>
    <xf numFmtId="0" fontId="21" fillId="2" borderId="1" xfId="0" applyFont="1" applyFill="1" applyBorder="1"/>
    <xf numFmtId="0" fontId="16" fillId="2" borderId="13" xfId="0" applyFont="1" applyFill="1" applyBorder="1" applyAlignment="1">
      <alignment wrapText="1"/>
    </xf>
    <xf numFmtId="0" fontId="16" fillId="2" borderId="5" xfId="0" applyFont="1" applyFill="1" applyBorder="1" applyAlignment="1">
      <alignment wrapText="1"/>
    </xf>
    <xf numFmtId="0" fontId="16" fillId="2" borderId="3" xfId="0" applyFont="1" applyFill="1" applyBorder="1" applyAlignment="1">
      <alignment wrapText="1"/>
    </xf>
    <xf numFmtId="0" fontId="16" fillId="2" borderId="1" xfId="0" applyFont="1" applyFill="1" applyBorder="1" applyAlignment="1">
      <alignment horizontal="center"/>
    </xf>
    <xf numFmtId="0" fontId="18" fillId="2" borderId="1" xfId="0" applyFont="1" applyFill="1" applyBorder="1"/>
    <xf numFmtId="0" fontId="21" fillId="2" borderId="1" xfId="0" applyFont="1" applyFill="1" applyBorder="1" applyAlignment="1">
      <alignment vertical="center" wrapText="1"/>
    </xf>
    <xf numFmtId="0" fontId="27" fillId="2" borderId="0" xfId="0" applyFont="1" applyFill="1" applyAlignment="1">
      <alignment wrapText="1"/>
    </xf>
    <xf numFmtId="0" fontId="16" fillId="2" borderId="0" xfId="0" applyFont="1" applyFill="1" applyAlignment="1">
      <alignment horizontal="left" wrapText="1"/>
    </xf>
    <xf numFmtId="0" fontId="0" fillId="0" borderId="1" xfId="0" applyBorder="1"/>
    <xf numFmtId="15" fontId="0" fillId="2" borderId="0" xfId="0" applyNumberFormat="1" applyFill="1" applyAlignment="1">
      <alignment wrapText="1"/>
    </xf>
    <xf numFmtId="0" fontId="0" fillId="2" borderId="0" xfId="0" applyFill="1" applyAlignment="1">
      <alignment vertical="center" wrapText="1"/>
    </xf>
    <xf numFmtId="0" fontId="0" fillId="2" borderId="0" xfId="0" applyFont="1" applyFill="1" applyAlignment="1" applyProtection="1">
      <protection locked="0"/>
    </xf>
    <xf numFmtId="0" fontId="1" fillId="2" borderId="0" xfId="0" applyFont="1" applyFill="1" applyAlignment="1" applyProtection="1">
      <protection locked="0"/>
    </xf>
    <xf numFmtId="0" fontId="0" fillId="2" borderId="0" xfId="0" applyFont="1" applyFill="1" applyAlignment="1" applyProtection="1">
      <alignment wrapText="1"/>
      <protection locked="0"/>
    </xf>
    <xf numFmtId="0" fontId="2" fillId="2" borderId="0" xfId="0" applyFont="1" applyFill="1" applyAlignment="1" applyProtection="1">
      <protection locked="0"/>
    </xf>
    <xf numFmtId="0" fontId="20" fillId="2" borderId="0" xfId="0" applyFont="1" applyFill="1" applyAlignment="1" applyProtection="1">
      <alignment wrapText="1"/>
      <protection locked="0"/>
    </xf>
    <xf numFmtId="0" fontId="2" fillId="2" borderId="0" xfId="0" applyFont="1" applyFill="1" applyAlignment="1" applyProtection="1">
      <alignment wrapText="1"/>
      <protection locked="0"/>
    </xf>
    <xf numFmtId="0" fontId="2" fillId="2" borderId="1" xfId="0" applyFont="1" applyFill="1" applyBorder="1" applyAlignment="1" applyProtection="1">
      <alignment wrapText="1"/>
      <protection locked="0"/>
    </xf>
    <xf numFmtId="0" fontId="0" fillId="2" borderId="1" xfId="0" applyFont="1" applyFill="1" applyBorder="1" applyAlignment="1" applyProtection="1">
      <alignment wrapText="1"/>
      <protection locked="0"/>
    </xf>
    <xf numFmtId="0" fontId="5" fillId="2" borderId="1" xfId="0" applyFont="1" applyFill="1" applyBorder="1" applyAlignment="1" applyProtection="1">
      <alignment wrapText="1"/>
      <protection locked="0"/>
    </xf>
    <xf numFmtId="0" fontId="1" fillId="2" borderId="0" xfId="0" applyFont="1" applyFill="1" applyAlignment="1" applyProtection="1">
      <alignment wrapText="1"/>
      <protection locked="0"/>
    </xf>
    <xf numFmtId="0" fontId="2" fillId="2" borderId="0" xfId="0" applyFont="1" applyFill="1" applyBorder="1" applyAlignment="1" applyProtection="1">
      <alignment vertical="center" wrapText="1"/>
      <protection locked="0"/>
    </xf>
    <xf numFmtId="0" fontId="0" fillId="2" borderId="0" xfId="0" applyFont="1" applyFill="1" applyBorder="1" applyAlignment="1" applyProtection="1">
      <alignment vertical="center" wrapText="1"/>
      <protection locked="0"/>
    </xf>
    <xf numFmtId="0" fontId="0" fillId="2" borderId="0" xfId="0" applyFont="1" applyFill="1" applyBorder="1" applyAlignment="1" applyProtection="1">
      <alignment wrapText="1"/>
      <protection locked="0"/>
    </xf>
    <xf numFmtId="1" fontId="0" fillId="2" borderId="0" xfId="0" applyNumberFormat="1" applyFont="1" applyFill="1" applyBorder="1" applyAlignment="1" applyProtection="1">
      <alignment wrapText="1"/>
      <protection locked="0"/>
    </xf>
    <xf numFmtId="0" fontId="3" fillId="2" borderId="0" xfId="0" applyFont="1" applyFill="1" applyBorder="1" applyAlignment="1" applyProtection="1">
      <alignment wrapText="1"/>
      <protection locked="0"/>
    </xf>
    <xf numFmtId="1" fontId="2" fillId="2" borderId="1" xfId="0" applyNumberFormat="1" applyFont="1" applyFill="1" applyBorder="1" applyAlignment="1" applyProtection="1">
      <alignment wrapText="1"/>
      <protection locked="0"/>
    </xf>
    <xf numFmtId="0" fontId="0" fillId="0" borderId="1" xfId="0" applyFont="1" applyFill="1" applyBorder="1" applyAlignment="1" applyProtection="1">
      <alignment wrapText="1"/>
      <protection locked="0"/>
    </xf>
    <xf numFmtId="0" fontId="30" fillId="0" borderId="1" xfId="0" applyFont="1" applyFill="1" applyBorder="1" applyAlignment="1" applyProtection="1">
      <alignment vertical="center"/>
      <protection locked="0"/>
    </xf>
    <xf numFmtId="0" fontId="30" fillId="0" borderId="1" xfId="0" applyFont="1" applyFill="1" applyBorder="1" applyAlignment="1" applyProtection="1">
      <alignment vertical="center" wrapText="1"/>
      <protection locked="0"/>
    </xf>
    <xf numFmtId="0" fontId="3" fillId="0" borderId="5" xfId="0" applyFont="1" applyBorder="1" applyAlignment="1" applyProtection="1">
      <alignment wrapText="1"/>
      <protection locked="0"/>
    </xf>
    <xf numFmtId="0" fontId="3" fillId="0" borderId="1" xfId="0" applyFont="1" applyBorder="1" applyAlignment="1" applyProtection="1">
      <alignment wrapText="1"/>
      <protection locked="0"/>
    </xf>
    <xf numFmtId="0" fontId="0" fillId="2" borderId="3" xfId="0" applyFont="1" applyFill="1" applyBorder="1" applyAlignment="1" applyProtection="1">
      <alignment wrapText="1"/>
      <protection locked="0"/>
    </xf>
    <xf numFmtId="0" fontId="0" fillId="2" borderId="0" xfId="0" applyFont="1" applyFill="1" applyProtection="1">
      <protection locked="0"/>
    </xf>
    <xf numFmtId="0" fontId="0" fillId="2" borderId="0" xfId="0" applyFont="1" applyFill="1" applyAlignment="1" applyProtection="1"/>
    <xf numFmtId="0" fontId="2" fillId="2" borderId="0" xfId="0" applyFont="1" applyFill="1" applyAlignment="1" applyProtection="1"/>
    <xf numFmtId="0" fontId="6" fillId="2" borderId="6" xfId="0" applyFont="1" applyFill="1" applyBorder="1" applyAlignment="1" applyProtection="1">
      <alignment wrapText="1"/>
    </xf>
    <xf numFmtId="0" fontId="0" fillId="2" borderId="7" xfId="0" applyFont="1" applyFill="1" applyBorder="1" applyAlignment="1" applyProtection="1">
      <alignment wrapText="1"/>
    </xf>
    <xf numFmtId="0" fontId="0" fillId="2" borderId="8" xfId="0" applyFont="1" applyFill="1" applyBorder="1" applyAlignment="1" applyProtection="1">
      <alignment wrapText="1"/>
    </xf>
    <xf numFmtId="0" fontId="0" fillId="2" borderId="0" xfId="0" applyFont="1" applyFill="1" applyAlignment="1" applyProtection="1">
      <alignment wrapText="1"/>
    </xf>
    <xf numFmtId="0" fontId="2" fillId="0" borderId="1" xfId="0" applyFont="1" applyBorder="1" applyAlignment="1" applyProtection="1">
      <alignment horizontal="center" vertical="center" wrapText="1"/>
    </xf>
    <xf numFmtId="0" fontId="0" fillId="2" borderId="9" xfId="0" applyFont="1" applyFill="1" applyBorder="1" applyAlignment="1" applyProtection="1">
      <alignment wrapText="1"/>
    </xf>
    <xf numFmtId="0" fontId="0" fillId="2" borderId="0" xfId="0" applyFont="1" applyFill="1" applyBorder="1" applyAlignment="1" applyProtection="1">
      <alignment wrapText="1"/>
    </xf>
    <xf numFmtId="0" fontId="0" fillId="2" borderId="10" xfId="0" applyFont="1" applyFill="1" applyBorder="1" applyAlignment="1" applyProtection="1">
      <alignment wrapText="1"/>
    </xf>
    <xf numFmtId="0" fontId="0" fillId="0" borderId="1" xfId="0" applyFont="1" applyBorder="1" applyAlignment="1" applyProtection="1">
      <alignment horizontal="center" vertical="center" wrapText="1"/>
    </xf>
    <xf numFmtId="0" fontId="0" fillId="2" borderId="11" xfId="0" applyFont="1" applyFill="1" applyBorder="1" applyAlignment="1" applyProtection="1">
      <alignment wrapText="1"/>
    </xf>
    <xf numFmtId="0" fontId="0" fillId="2" borderId="12" xfId="0" applyFont="1" applyFill="1" applyBorder="1" applyAlignment="1" applyProtection="1">
      <alignment wrapText="1"/>
    </xf>
    <xf numFmtId="0" fontId="0" fillId="2" borderId="13" xfId="0" applyFont="1" applyFill="1" applyBorder="1" applyAlignment="1" applyProtection="1">
      <alignment wrapText="1"/>
    </xf>
    <xf numFmtId="0" fontId="0" fillId="0" borderId="0" xfId="0" applyFont="1" applyFill="1" applyBorder="1" applyAlignment="1" applyProtection="1">
      <alignment horizontal="left" vertical="center" wrapText="1"/>
    </xf>
    <xf numFmtId="0" fontId="0" fillId="0" borderId="0" xfId="0" applyFont="1" applyAlignment="1" applyProtection="1">
      <alignment wrapText="1"/>
    </xf>
    <xf numFmtId="0" fontId="0" fillId="7" borderId="0" xfId="0" applyFont="1" applyFill="1" applyBorder="1" applyAlignment="1" applyProtection="1">
      <alignment horizontal="center" vertical="center" wrapText="1"/>
    </xf>
    <xf numFmtId="0" fontId="0" fillId="7" borderId="0" xfId="0" applyFont="1" applyFill="1" applyAlignment="1" applyProtection="1">
      <alignment wrapText="1"/>
    </xf>
    <xf numFmtId="0" fontId="0" fillId="2" borderId="6" xfId="0" applyFont="1" applyFill="1" applyBorder="1" applyAlignment="1" applyProtection="1">
      <alignment wrapText="1"/>
    </xf>
    <xf numFmtId="9" fontId="0" fillId="2" borderId="1" xfId="2" applyFont="1" applyFill="1" applyBorder="1" applyAlignment="1" applyProtection="1">
      <alignment horizontal="center" wrapText="1"/>
    </xf>
    <xf numFmtId="0" fontId="2" fillId="2" borderId="0" xfId="0" applyFont="1" applyFill="1" applyAlignment="1" applyProtection="1">
      <alignment wrapText="1"/>
    </xf>
    <xf numFmtId="0" fontId="0" fillId="0" borderId="3" xfId="0" applyFont="1" applyFill="1" applyBorder="1" applyAlignment="1" applyProtection="1">
      <alignment wrapText="1"/>
    </xf>
    <xf numFmtId="0" fontId="5" fillId="2" borderId="1" xfId="0" applyFont="1" applyFill="1" applyBorder="1" applyAlignment="1" applyProtection="1">
      <alignment wrapText="1"/>
    </xf>
    <xf numFmtId="0" fontId="30" fillId="6" borderId="1" xfId="0" applyFont="1" applyFill="1" applyBorder="1" applyAlignment="1" applyProtection="1">
      <alignment vertical="center" wrapText="1"/>
    </xf>
    <xf numFmtId="0" fontId="2" fillId="2" borderId="0" xfId="0" applyFont="1" applyFill="1" applyBorder="1" applyAlignment="1" applyProtection="1">
      <alignment wrapText="1"/>
    </xf>
    <xf numFmtId="0" fontId="0" fillId="2" borderId="0" xfId="0" applyFill="1" applyAlignment="1"/>
    <xf numFmtId="0" fontId="5" fillId="2" borderId="1" xfId="0" applyFont="1" applyFill="1" applyBorder="1" applyAlignment="1">
      <alignment horizontal="center"/>
    </xf>
    <xf numFmtId="1" fontId="0" fillId="2" borderId="1" xfId="0" applyNumberFormat="1" applyFill="1" applyBorder="1" applyAlignment="1">
      <alignment horizontal="center"/>
    </xf>
    <xf numFmtId="1" fontId="5" fillId="2" borderId="1" xfId="0" applyNumberFormat="1" applyFont="1" applyFill="1" applyBorder="1" applyAlignment="1">
      <alignment horizontal="center"/>
    </xf>
    <xf numFmtId="0" fontId="19" fillId="2" borderId="0" xfId="0" applyFont="1" applyFill="1" applyBorder="1" applyAlignment="1">
      <alignment vertical="center" wrapText="1"/>
    </xf>
    <xf numFmtId="0" fontId="27" fillId="2" borderId="0" xfId="0" applyFont="1" applyFill="1" applyBorder="1" applyAlignment="1">
      <alignment vertical="center" wrapText="1"/>
    </xf>
    <xf numFmtId="0" fontId="3" fillId="2" borderId="3" xfId="0" applyFont="1" applyFill="1" applyBorder="1" applyAlignment="1">
      <alignment horizontal="left" vertical="center" wrapText="1"/>
    </xf>
    <xf numFmtId="0" fontId="2" fillId="2" borderId="4" xfId="0" applyFont="1" applyFill="1" applyBorder="1"/>
    <xf numFmtId="0" fontId="0" fillId="3" borderId="0" xfId="0" applyFill="1" applyAlignment="1">
      <alignment wrapText="1"/>
    </xf>
    <xf numFmtId="15" fontId="0" fillId="2" borderId="0" xfId="0" applyNumberFormat="1" applyFill="1" applyAlignment="1">
      <alignment horizontal="left" wrapText="1"/>
    </xf>
    <xf numFmtId="0" fontId="0" fillId="3" borderId="0" xfId="0" applyFill="1" applyAlignment="1">
      <alignment vertical="center"/>
    </xf>
    <xf numFmtId="0" fontId="26" fillId="2" borderId="1" xfId="0" applyFont="1" applyFill="1" applyBorder="1" applyAlignment="1">
      <alignment wrapText="1"/>
    </xf>
    <xf numFmtId="0" fontId="16" fillId="2" borderId="1" xfId="0" applyFont="1" applyFill="1" applyBorder="1" applyAlignment="1">
      <alignment horizontal="left" wrapText="1"/>
    </xf>
    <xf numFmtId="0" fontId="26" fillId="3" borderId="1" xfId="0" applyFont="1" applyFill="1" applyBorder="1" applyAlignment="1">
      <alignment wrapText="1"/>
    </xf>
    <xf numFmtId="0" fontId="27" fillId="3" borderId="1" xfId="0" applyFont="1" applyFill="1" applyBorder="1" applyAlignment="1">
      <alignment wrapText="1"/>
    </xf>
    <xf numFmtId="0" fontId="16" fillId="3" borderId="1" xfId="0" applyFont="1" applyFill="1" applyBorder="1" applyAlignment="1">
      <alignment wrapText="1"/>
    </xf>
    <xf numFmtId="0" fontId="16" fillId="3" borderId="1" xfId="0" applyFont="1" applyFill="1" applyBorder="1" applyAlignment="1">
      <alignment horizontal="left" wrapText="1"/>
    </xf>
    <xf numFmtId="0" fontId="16" fillId="3" borderId="1" xfId="0" applyFont="1" applyFill="1" applyBorder="1"/>
    <xf numFmtId="165" fontId="27" fillId="3" borderId="1" xfId="0" applyNumberFormat="1" applyFont="1" applyFill="1" applyBorder="1" applyAlignment="1">
      <alignment wrapText="1"/>
    </xf>
    <xf numFmtId="1" fontId="16" fillId="3" borderId="1" xfId="0" applyNumberFormat="1" applyFont="1" applyFill="1" applyBorder="1" applyAlignment="1">
      <alignment wrapText="1"/>
    </xf>
    <xf numFmtId="1" fontId="27" fillId="3" borderId="1" xfId="0" applyNumberFormat="1" applyFont="1" applyFill="1" applyBorder="1" applyAlignment="1">
      <alignment wrapText="1"/>
    </xf>
    <xf numFmtId="0" fontId="16" fillId="3" borderId="1" xfId="0" applyFont="1" applyFill="1" applyBorder="1" applyAlignment="1">
      <alignment horizontal="right"/>
    </xf>
    <xf numFmtId="165" fontId="27" fillId="3" borderId="1" xfId="0" applyNumberFormat="1" applyFont="1" applyFill="1" applyBorder="1" applyAlignment="1">
      <alignment horizontal="right" wrapText="1"/>
    </xf>
    <xf numFmtId="0" fontId="19" fillId="2" borderId="1" xfId="0" applyFont="1" applyFill="1" applyBorder="1" applyAlignment="1">
      <alignment horizontal="right" vertical="center" wrapText="1"/>
    </xf>
    <xf numFmtId="0" fontId="0" fillId="0" borderId="1" xfId="0" applyFont="1" applyFill="1" applyBorder="1" applyAlignment="1">
      <alignment wrapText="1"/>
    </xf>
    <xf numFmtId="0" fontId="0" fillId="2" borderId="1" xfId="0" applyFont="1" applyFill="1" applyBorder="1" applyAlignment="1"/>
    <xf numFmtId="0" fontId="0" fillId="2" borderId="5" xfId="0" applyFont="1" applyFill="1" applyBorder="1" applyAlignment="1">
      <alignment wrapText="1"/>
    </xf>
    <xf numFmtId="0" fontId="0" fillId="0" borderId="16" xfId="0" applyFont="1" applyFill="1" applyBorder="1" applyAlignment="1">
      <alignment wrapText="1"/>
    </xf>
    <xf numFmtId="0" fontId="0" fillId="2" borderId="16" xfId="0" applyFont="1" applyFill="1" applyBorder="1" applyAlignment="1">
      <alignment wrapText="1"/>
    </xf>
    <xf numFmtId="0" fontId="0" fillId="2" borderId="0" xfId="0" applyFont="1" applyFill="1" applyAlignment="1">
      <alignment wrapText="1"/>
    </xf>
    <xf numFmtId="0" fontId="2" fillId="2" borderId="0" xfId="0" applyFont="1" applyFill="1" applyAlignment="1"/>
    <xf numFmtId="0" fontId="0" fillId="0" borderId="0" xfId="0" applyFont="1" applyFill="1" applyAlignment="1">
      <alignment wrapText="1"/>
    </xf>
    <xf numFmtId="0" fontId="0" fillId="2" borderId="1" xfId="0" applyFont="1" applyFill="1" applyBorder="1" applyAlignment="1">
      <alignment horizontal="left" vertical="center" wrapText="1"/>
    </xf>
    <xf numFmtId="0" fontId="20" fillId="2" borderId="0" xfId="0" applyFont="1" applyFill="1" applyAlignment="1">
      <alignment wrapText="1"/>
    </xf>
    <xf numFmtId="1" fontId="0" fillId="2" borderId="1" xfId="0" applyNumberFormat="1" applyFont="1" applyFill="1" applyBorder="1" applyAlignment="1">
      <alignment wrapText="1"/>
    </xf>
    <xf numFmtId="0" fontId="1" fillId="2" borderId="1" xfId="0" applyFont="1" applyFill="1" applyBorder="1" applyAlignment="1" applyProtection="1">
      <alignment wrapText="1"/>
      <protection locked="0"/>
    </xf>
    <xf numFmtId="11" fontId="5" fillId="2" borderId="1" xfId="0" applyNumberFormat="1" applyFont="1" applyFill="1" applyBorder="1" applyAlignment="1">
      <alignment wrapText="1"/>
    </xf>
    <xf numFmtId="0" fontId="3" fillId="2" borderId="1" xfId="0" applyFont="1" applyFill="1" applyBorder="1" applyAlignment="1">
      <alignment wrapText="1"/>
    </xf>
    <xf numFmtId="0" fontId="32" fillId="2" borderId="1" xfId="0" applyFont="1" applyFill="1" applyBorder="1"/>
    <xf numFmtId="0" fontId="33" fillId="2" borderId="1" xfId="0" applyFont="1" applyFill="1" applyBorder="1"/>
    <xf numFmtId="1" fontId="5" fillId="2" borderId="1" xfId="0" applyNumberFormat="1" applyFont="1" applyFill="1" applyBorder="1" applyAlignment="1">
      <alignment wrapText="1"/>
    </xf>
    <xf numFmtId="0" fontId="0" fillId="0" borderId="15" xfId="0" applyFont="1" applyFill="1" applyBorder="1" applyAlignment="1">
      <alignment wrapText="1"/>
    </xf>
    <xf numFmtId="0" fontId="0" fillId="0" borderId="11" xfId="0" applyFont="1" applyFill="1" applyBorder="1" applyAlignment="1">
      <alignment horizontal="left" wrapText="1"/>
    </xf>
    <xf numFmtId="0" fontId="3" fillId="0" borderId="1" xfId="0" applyFont="1" applyFill="1" applyBorder="1" applyAlignment="1">
      <alignment vertical="center" wrapText="1"/>
    </xf>
    <xf numFmtId="0" fontId="34" fillId="2" borderId="11" xfId="0" applyFont="1" applyFill="1" applyBorder="1" applyAlignment="1">
      <alignment wrapText="1"/>
    </xf>
    <xf numFmtId="0" fontId="34" fillId="0" borderId="11" xfId="0" applyFont="1" applyFill="1" applyBorder="1" applyAlignment="1">
      <alignment wrapText="1"/>
    </xf>
    <xf numFmtId="3" fontId="5" fillId="0" borderId="1" xfId="0" applyNumberFormat="1" applyFont="1" applyBorder="1" applyAlignment="1">
      <alignment vertical="center" wrapText="1"/>
    </xf>
    <xf numFmtId="3" fontId="35" fillId="0" borderId="17" xfId="0" applyNumberFormat="1" applyFont="1" applyFill="1" applyBorder="1" applyAlignment="1">
      <alignment vertical="center" wrapText="1"/>
    </xf>
    <xf numFmtId="0" fontId="5" fillId="0" borderId="16" xfId="0" applyFont="1" applyBorder="1" applyAlignment="1">
      <alignment wrapText="1"/>
    </xf>
    <xf numFmtId="0" fontId="5" fillId="2" borderId="5" xfId="0" applyFont="1" applyFill="1" applyBorder="1" applyAlignment="1">
      <alignment wrapText="1"/>
    </xf>
    <xf numFmtId="0" fontId="5" fillId="0" borderId="0" xfId="0" applyFont="1"/>
    <xf numFmtId="0" fontId="5" fillId="0" borderId="1" xfId="0" applyFont="1" applyBorder="1" applyAlignment="1">
      <alignment wrapText="1"/>
    </xf>
    <xf numFmtId="0" fontId="5" fillId="2" borderId="16" xfId="0" applyFont="1" applyFill="1" applyBorder="1" applyAlignment="1">
      <alignment wrapText="1"/>
    </xf>
    <xf numFmtId="0" fontId="5" fillId="0" borderId="1" xfId="0" applyFont="1" applyBorder="1"/>
    <xf numFmtId="0" fontId="30" fillId="6" borderId="1" xfId="0" applyFont="1" applyFill="1" applyBorder="1" applyAlignment="1">
      <alignment horizontal="right" vertical="center" wrapText="1"/>
    </xf>
    <xf numFmtId="0" fontId="30" fillId="6" borderId="1" xfId="0" applyFont="1" applyFill="1" applyBorder="1" applyAlignment="1">
      <alignment vertical="center" wrapText="1"/>
    </xf>
    <xf numFmtId="0" fontId="31" fillId="6" borderId="1" xfId="0" applyFont="1" applyFill="1" applyBorder="1" applyAlignment="1">
      <alignment vertical="center" wrapText="1"/>
    </xf>
    <xf numFmtId="0" fontId="30" fillId="0" borderId="1" xfId="0" applyFont="1" applyBorder="1" applyAlignment="1">
      <alignment vertical="center" wrapText="1"/>
    </xf>
    <xf numFmtId="0" fontId="0" fillId="0" borderId="0" xfId="0" applyAlignment="1">
      <alignment wrapText="1"/>
    </xf>
    <xf numFmtId="0" fontId="0" fillId="0" borderId="1" xfId="0" applyBorder="1" applyAlignment="1">
      <alignment wrapText="1"/>
    </xf>
    <xf numFmtId="0" fontId="2" fillId="2" borderId="0" xfId="0" applyFont="1" applyFill="1" applyAlignment="1">
      <alignment wrapText="1"/>
    </xf>
    <xf numFmtId="0" fontId="0" fillId="0" borderId="5" xfId="0" applyBorder="1" applyAlignment="1">
      <alignment wrapText="1"/>
    </xf>
    <xf numFmtId="0" fontId="0" fillId="0" borderId="4" xfId="0" applyFill="1" applyBorder="1" applyAlignment="1">
      <alignment wrapText="1"/>
    </xf>
    <xf numFmtId="0" fontId="0" fillId="0" borderId="2" xfId="0" applyFill="1" applyBorder="1" applyAlignment="1"/>
    <xf numFmtId="0" fontId="0" fillId="0" borderId="5" xfId="0" applyFill="1" applyBorder="1" applyAlignment="1"/>
    <xf numFmtId="0" fontId="0" fillId="0" borderId="4" xfId="0" applyFont="1" applyFill="1" applyBorder="1" applyAlignment="1">
      <alignment horizontal="left" wrapText="1"/>
    </xf>
    <xf numFmtId="0" fontId="0" fillId="0" borderId="2" xfId="0" applyFont="1" applyFill="1" applyBorder="1" applyAlignment="1">
      <alignment horizontal="left" wrapText="1"/>
    </xf>
    <xf numFmtId="0" fontId="0" fillId="0" borderId="5" xfId="0" applyFont="1" applyFill="1" applyBorder="1" applyAlignment="1">
      <alignment horizontal="left" wrapText="1"/>
    </xf>
    <xf numFmtId="0" fontId="0" fillId="0" borderId="1" xfId="0" applyFont="1" applyBorder="1" applyAlignment="1" applyProtection="1">
      <alignment horizontal="center" vertical="center" wrapText="1"/>
    </xf>
    <xf numFmtId="0" fontId="9" fillId="5" borderId="1" xfId="1" applyFont="1" applyFill="1" applyBorder="1" applyAlignment="1" applyProtection="1">
      <alignment wrapText="1"/>
    </xf>
    <xf numFmtId="0" fontId="10" fillId="5" borderId="1" xfId="1" applyFont="1" applyFill="1" applyBorder="1" applyAlignment="1" applyProtection="1">
      <alignment wrapText="1"/>
    </xf>
    <xf numFmtId="0" fontId="2" fillId="2" borderId="15" xfId="0" applyFont="1" applyFill="1" applyBorder="1" applyAlignment="1" applyProtection="1">
      <alignment wrapText="1"/>
    </xf>
    <xf numFmtId="0" fontId="0" fillId="2" borderId="14" xfId="0" applyFill="1" applyBorder="1" applyAlignment="1" applyProtection="1"/>
    <xf numFmtId="0" fontId="0" fillId="2" borderId="3" xfId="0" applyFill="1" applyBorder="1" applyAlignment="1" applyProtection="1"/>
    <xf numFmtId="0" fontId="2" fillId="2" borderId="15" xfId="0" applyFont="1" applyFill="1" applyBorder="1" applyAlignment="1">
      <alignment horizontal="center" wrapText="1"/>
    </xf>
    <xf numFmtId="0" fontId="0" fillId="2" borderId="3" xfId="0" applyFill="1" applyBorder="1" applyAlignment="1">
      <alignment horizontal="center" wrapText="1"/>
    </xf>
    <xf numFmtId="0" fontId="2" fillId="2" borderId="3" xfId="0" applyFont="1" applyFill="1" applyBorder="1" applyAlignment="1">
      <alignment horizontal="center" wrapText="1"/>
    </xf>
    <xf numFmtId="164" fontId="0" fillId="0" borderId="0" xfId="0" applyNumberFormat="1"/>
    <xf numFmtId="168" fontId="0" fillId="0" borderId="0" xfId="0" applyNumberFormat="1"/>
  </cellXfs>
  <cellStyles count="6">
    <cellStyle name="Normal" xfId="0" builtinId="0"/>
    <cellStyle name="Normal 2" xfId="1"/>
    <cellStyle name="Normal 2 2" xfId="5"/>
    <cellStyle name="Normal 3" xfId="3"/>
    <cellStyle name="Normal 3 2" xfId="4"/>
    <cellStyle name="Percent" xfId="2" builtinId="5"/>
  </cellStyles>
  <dxfs count="18">
    <dxf>
      <font>
        <color theme="0"/>
      </font>
      <border>
        <left/>
        <right/>
        <top/>
        <bottom/>
        <vertical/>
        <horizontal/>
      </border>
    </dxf>
    <dxf>
      <font>
        <color theme="0"/>
      </font>
      <border>
        <left/>
        <right/>
        <top/>
        <bottom/>
        <vertical/>
        <horizontal/>
      </border>
    </dxf>
    <dxf>
      <font>
        <color theme="0"/>
      </font>
      <border>
        <left/>
        <right/>
        <top style="thin">
          <color auto="1"/>
        </top>
        <bottom style="thin">
          <color auto="1"/>
        </bottom>
        <vertical/>
        <horizontal/>
      </border>
    </dxf>
    <dxf>
      <font>
        <color theme="0"/>
      </font>
      <border>
        <left/>
        <right/>
        <top/>
        <bottom/>
        <vertical/>
        <horizontal/>
      </border>
    </dxf>
    <dxf>
      <font>
        <color theme="0"/>
      </font>
      <border>
        <left/>
        <right/>
        <top/>
        <bottom/>
        <vertical/>
        <horizontal/>
      </border>
    </dxf>
    <dxf>
      <font>
        <color theme="0"/>
      </font>
      <border>
        <left/>
        <right/>
        <top/>
        <bottom/>
        <vertical/>
        <horizontal/>
      </border>
    </dxf>
    <dxf>
      <font>
        <color theme="0"/>
      </font>
      <border>
        <left/>
        <right/>
        <top/>
        <bottom/>
        <vertical/>
        <horizontal/>
      </border>
    </dxf>
    <dxf>
      <font>
        <color theme="0"/>
      </font>
      <border>
        <left/>
        <right/>
        <top/>
        <bottom/>
        <vertical/>
        <horizontal/>
      </border>
    </dxf>
    <dxf>
      <font>
        <color theme="0"/>
      </font>
      <border>
        <left/>
        <right/>
        <top style="thin">
          <color auto="1"/>
        </top>
        <bottom style="thin">
          <color auto="1"/>
        </bottom>
        <vertical/>
        <horizontal/>
      </border>
    </dxf>
    <dxf>
      <font>
        <color theme="0"/>
      </font>
      <border>
        <left/>
        <right/>
        <top/>
        <bottom/>
        <vertical/>
        <horizontal/>
      </border>
    </dxf>
    <dxf>
      <font>
        <color theme="0"/>
      </font>
      <border>
        <left/>
        <right/>
        <top/>
        <bottom/>
        <vertical/>
        <horizontal/>
      </border>
    </dxf>
    <dxf>
      <font>
        <color theme="0"/>
      </font>
      <border>
        <left/>
        <right/>
        <top/>
        <bottom/>
        <vertical/>
        <horizontal/>
      </border>
    </dxf>
    <dxf>
      <font>
        <color theme="0"/>
      </font>
      <border>
        <left/>
        <right/>
        <top style="thin">
          <color auto="1"/>
        </top>
        <bottom style="thin">
          <color auto="1"/>
        </bottom>
        <vertical/>
        <horizontal/>
      </border>
    </dxf>
    <dxf>
      <font>
        <color theme="0"/>
      </font>
      <border>
        <left/>
        <right/>
        <top/>
        <bottom/>
        <vertical/>
        <horizontal/>
      </border>
    </dxf>
    <dxf>
      <font>
        <color theme="0"/>
      </font>
      <border>
        <left/>
        <right/>
        <top/>
        <bottom/>
        <vertical/>
        <horizontal/>
      </border>
    </dxf>
    <dxf>
      <font>
        <color theme="0"/>
      </font>
      <border>
        <left/>
        <right/>
        <top/>
        <bottom/>
        <vertical/>
        <horizontal/>
      </border>
    </dxf>
    <dxf>
      <font>
        <color theme="0"/>
      </font>
      <border>
        <left/>
        <right/>
        <top style="thin">
          <color auto="1"/>
        </top>
        <bottom style="thin">
          <color auto="1"/>
        </bottom>
        <vertical/>
        <horizontal/>
      </border>
    </dxf>
    <dxf>
      <font>
        <color theme="0"/>
      </font>
      <border>
        <left/>
        <right/>
        <top/>
        <bottom/>
        <vertical/>
        <horizontal/>
      </border>
    </dxf>
  </dxfs>
  <tableStyles count="0" defaultTableStyle="TableStyleMedium2" defaultPivotStyle="PivotStyleLight16"/>
  <colors>
    <mruColors>
      <color rgb="FFFFCCFF"/>
      <color rgb="FFFF99CC"/>
      <color rgb="FFCCFFCC"/>
      <color rgb="FFFFCC66"/>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970122746632716E-2"/>
          <c:y val="5.0925925925925923E-2"/>
          <c:w val="0.85747434265327593"/>
          <c:h val="0.74445246427529888"/>
        </c:manualLayout>
      </c:layout>
      <c:scatterChart>
        <c:scatterStyle val="smoothMarker"/>
        <c:varyColors val="0"/>
        <c:ser>
          <c:idx val="0"/>
          <c:order val="0"/>
          <c:tx>
            <c:strRef>
              <c:f>'Min rate concentrations'!$D$2</c:f>
              <c:strCache>
                <c:ptCount val="1"/>
                <c:pt idx="0">
                  <c:v>Short Grass</c:v>
                </c:pt>
              </c:strCache>
            </c:strRef>
          </c:tx>
          <c:spPr>
            <a:ln w="19050" cap="rnd">
              <a:solidFill>
                <a:schemeClr val="accent1"/>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concentrations'!$D$3:$D$368</c:f>
              <c:numCache>
                <c:formatCode>0</c:formatCode>
                <c:ptCount val="366"/>
                <c:pt idx="0" formatCode="General">
                  <c:v>120</c:v>
                </c:pt>
                <c:pt idx="1">
                  <c:v>105.28903218037642</c:v>
                </c:pt>
                <c:pt idx="2">
                  <c:v>92.381502479002847</c:v>
                </c:pt>
                <c:pt idx="3">
                  <c:v>81.056324894860452</c:v>
                </c:pt>
                <c:pt idx="4">
                  <c:v>71.119516668983408</c:v>
                </c:pt>
                <c:pt idx="5">
                  <c:v>62.400875660111758</c:v>
                </c:pt>
                <c:pt idx="6">
                  <c:v>54.75106504550979</c:v>
                </c:pt>
                <c:pt idx="7">
                  <c:v>48.039055412388024</c:v>
                </c:pt>
                <c:pt idx="8">
                  <c:v>42.149880426915068</c:v>
                </c:pt>
                <c:pt idx="9">
                  <c:v>36.98266763890399</c:v>
                </c:pt>
                <c:pt idx="10">
                  <c:v>32.448910692906068</c:v>
                </c:pt>
                <c:pt idx="11">
                  <c:v>28.470953351362894</c:v>
                </c:pt>
                <c:pt idx="12">
                  <c:v>24.980659363480363</c:v>
                </c:pt>
                <c:pt idx="13">
                  <c:v>21.918245396737547</c:v>
                </c:pt>
                <c:pt idx="14">
                  <c:v>19.231257040954056</c:v>
                </c:pt>
                <c:pt idx="15">
                  <c:v>16.873670345450851</c:v>
                </c:pt>
                <c:pt idx="16">
                  <c:v>14.805103500026982</c:v>
                </c:pt>
                <c:pt idx="17">
                  <c:v>12.990125157067871</c:v>
                </c:pt>
                <c:pt idx="18">
                  <c:v>11.397647547413635</c:v>
                </c:pt>
                <c:pt idx="19">
                  <c:v>10.000393995001856</c:v>
                </c:pt>
                <c:pt idx="20">
                  <c:v>8.7744317096349462</c:v>
                </c:pt>
                <c:pt idx="21">
                  <c:v>7.6987618553355759</c:v>
                </c:pt>
                <c:pt idx="22">
                  <c:v>6.7549598727956823</c:v>
                </c:pt>
                <c:pt idx="23">
                  <c:v>5.9268598951994669</c:v>
                </c:pt>
                <c:pt idx="24">
                  <c:v>5.2002778519519923</c:v>
                </c:pt>
                <c:pt idx="25">
                  <c:v>4.5627685175089336</c:v>
                </c:pt>
                <c:pt idx="26">
                  <c:v>4.0034123439300542</c:v>
                </c:pt>
                <c:pt idx="27">
                  <c:v>3.5126284259280638</c:v>
                </c:pt>
                <c:pt idx="28">
                  <c:v>3.0820103947937074</c:v>
                </c:pt>
                <c:pt idx="29">
                  <c:v>2.7041824303140776</c:v>
                </c:pt>
                <c:pt idx="30">
                  <c:v>2.3726729243912286</c:v>
                </c:pt>
                <c:pt idx="31">
                  <c:v>2.0818036324144655</c:v>
                </c:pt>
                <c:pt idx="32">
                  <c:v>1.8265924137209266</c:v>
                </c:pt>
                <c:pt idx="33">
                  <c:v>1.6026678952391173</c:v>
                </c:pt>
                <c:pt idx="34">
                  <c:v>1.4061945966357297</c:v>
                </c:pt>
                <c:pt idx="35">
                  <c:v>1.2338072344754232</c:v>
                </c:pt>
                <c:pt idx="36">
                  <c:v>1.0825530801255339</c:v>
                </c:pt>
                <c:pt idx="37">
                  <c:v>0.94984138408585783</c:v>
                </c:pt>
                <c:pt idx="38">
                  <c:v>0.83339900046057636</c:v>
                </c:pt>
                <c:pt idx="39">
                  <c:v>0.73123145148822632</c:v>
                </c:pt>
                <c:pt idx="40">
                  <c:v>0.64158876522539354</c:v>
                </c:pt>
                <c:pt idx="41">
                  <c:v>0.56293550123653691</c:v>
                </c:pt>
                <c:pt idx="42">
                  <c:v>0.49392445087641718</c:v>
                </c:pt>
                <c:pt idx="43">
                  <c:v>0.43337356169168201</c:v>
                </c:pt>
                <c:pt idx="44">
                  <c:v>0.38024569069233211</c:v>
                </c:pt>
                <c:pt idx="45">
                  <c:v>0.33363083969795343</c:v>
                </c:pt>
                <c:pt idx="46">
                  <c:v>0.29273056847769852</c:v>
                </c:pt>
                <c:pt idx="47">
                  <c:v>0.25684431870523566</c:v>
                </c:pt>
                <c:pt idx="48">
                  <c:v>0.22535741447918678</c:v>
                </c:pt>
                <c:pt idx="49">
                  <c:v>0.19773053387654602</c:v>
                </c:pt>
                <c:pt idx="50">
                  <c:v>0.17349047120308886</c:v>
                </c:pt>
                <c:pt idx="51">
                  <c:v>0.15222203171242243</c:v>
                </c:pt>
                <c:pt idx="52">
                  <c:v>0.1335609199627627</c:v>
                </c:pt>
                <c:pt idx="53">
                  <c:v>0.11718750000000001</c:v>
                </c:pt>
                <c:pt idx="54">
                  <c:v>0.10282132048864887</c:v>
                </c:pt>
                <c:pt idx="55">
                  <c:v>9.0216311014651232E-2</c:v>
                </c:pt>
                <c:pt idx="56">
                  <c:v>7.9156567280137174E-2</c:v>
                </c:pt>
                <c:pt idx="57">
                  <c:v>6.9452652997054123E-2</c:v>
                </c:pt>
                <c:pt idx="58">
                  <c:v>6.0938355136827903E-2</c:v>
                </c:pt>
                <c:pt idx="59">
                  <c:v>5.3467836958505661E-2</c:v>
                </c:pt>
                <c:pt idx="60">
                  <c:v>4.6913140051160186E-2</c:v>
                </c:pt>
                <c:pt idx="61">
                  <c:v>4.1161992604409253E-2</c:v>
                </c:pt>
                <c:pt idx="62">
                  <c:v>3.6115886366117185E-2</c:v>
                </c:pt>
                <c:pt idx="63">
                  <c:v>3.1688389348541082E-2</c:v>
                </c:pt>
                <c:pt idx="64">
                  <c:v>2.7803665382190326E-2</c:v>
                </c:pt>
                <c:pt idx="65">
                  <c:v>2.4395175159648792E-2</c:v>
                </c:pt>
                <c:pt idx="66">
                  <c:v>2.140453652025151E-2</c:v>
                </c:pt>
                <c:pt idx="67">
                  <c:v>1.8780524454056695E-2</c:v>
                </c:pt>
                <c:pt idx="68">
                  <c:v>1.6478193696729346E-2</c:v>
                </c:pt>
                <c:pt idx="69">
                  <c:v>1.44581088867451E-2</c:v>
                </c:pt>
                <c:pt idx="70">
                  <c:v>1.2685669098699092E-2</c:v>
                </c:pt>
                <c:pt idx="71">
                  <c:v>1.1130515183021128E-2</c:v>
                </c:pt>
                <c:pt idx="72">
                  <c:v>9.7660097607439999E-3</c:v>
                </c:pt>
                <c:pt idx="73">
                  <c:v>8.5687809664403772E-3</c:v>
                </c:pt>
                <c:pt idx="74">
                  <c:v>7.5183221243511483E-3</c:v>
                </c:pt>
                <c:pt idx="75">
                  <c:v>6.5966405007770335E-3</c:v>
                </c:pt>
                <c:pt idx="76">
                  <c:v>5.7879491164057294E-3</c:v>
                </c:pt>
                <c:pt idx="77">
                  <c:v>5.0783963397968675E-3</c:v>
                </c:pt>
                <c:pt idx="78">
                  <c:v>4.455828630379818E-3</c:v>
                </c:pt>
                <c:pt idx="79">
                  <c:v>3.9095823671191935E-3</c:v>
                </c:pt>
                <c:pt idx="80">
                  <c:v>3.4303011971953748E-3</c:v>
                </c:pt>
                <c:pt idx="81">
                  <c:v>3.0097757761657299E-3</c:v>
                </c:pt>
                <c:pt idx="82">
                  <c:v>2.6408031546035914E-3</c:v>
                </c:pt>
                <c:pt idx="83">
                  <c:v>2.3170634027258091E-3</c:v>
                </c:pt>
                <c:pt idx="84">
                  <c:v>2.0330113597797515E-3</c:v>
                </c:pt>
                <c:pt idx="85">
                  <c:v>1.7837816540243424E-3</c:v>
                </c:pt>
                <c:pt idx="86">
                  <c:v>1.5651053664444505E-3</c:v>
                </c:pt>
                <c:pt idx="87">
                  <c:v>1.3732369107770797E-3</c:v>
                </c:pt>
                <c:pt idx="88">
                  <c:v>1.2048898774174054E-3</c:v>
                </c:pt>
                <c:pt idx="89">
                  <c:v>1.0571807423100917E-3</c:v>
                </c:pt>
                <c:pt idx="90">
                  <c:v>9.2757947664634554E-4</c:v>
                </c:pt>
                <c:pt idx="91">
                  <c:v>8.138662113872816E-4</c:v>
                </c:pt>
                <c:pt idx="92">
                  <c:v>7.1409321434397102E-4</c:v>
                </c:pt>
                <c:pt idx="93">
                  <c:v>6.2655152854042338E-4</c:v>
                </c:pt>
                <c:pt idx="94">
                  <c:v>5.4974170042630557E-4</c:v>
                </c:pt>
                <c:pt idx="95">
                  <c:v>4.8234809655900115E-4</c:v>
                </c:pt>
                <c:pt idx="96">
                  <c:v>4.2321636883953321E-4</c:v>
                </c:pt>
                <c:pt idx="97">
                  <c:v>3.7133368231673057E-4</c:v>
                </c:pt>
                <c:pt idx="98">
                  <c:v>3.2581136689253265E-4</c:v>
                </c:pt>
                <c:pt idx="99">
                  <c:v>2.8586969577900246E-4</c:v>
                </c:pt>
                <c:pt idx="100">
                  <c:v>2.508245299855817E-4</c:v>
                </c:pt>
                <c:pt idx="101">
                  <c:v>2.2007560007733084E-4</c:v>
                </c:pt>
                <c:pt idx="102">
                  <c:v>1.9309622448881447E-4</c:v>
                </c:pt>
                <c:pt idx="103">
                  <c:v>1.6942428828426646E-4</c:v>
                </c:pt>
                <c:pt idx="104">
                  <c:v>1.4865432784416253E-4</c:v>
                </c:pt>
                <c:pt idx="105">
                  <c:v>1.3043058590113545E-4</c:v>
                </c:pt>
                <c:pt idx="106">
                  <c:v>1.1444091796875001E-4</c:v>
                </c:pt>
                <c:pt idx="107">
                  <c:v>1.0041144578969616E-4</c:v>
                </c:pt>
                <c:pt idx="108">
                  <c:v>8.8101866225245344E-5</c:v>
                </c:pt>
                <c:pt idx="109">
                  <c:v>7.7301335234508959E-5</c:v>
                </c:pt>
                <c:pt idx="110">
                  <c:v>6.7824856442435667E-5</c:v>
                </c:pt>
                <c:pt idx="111">
                  <c:v>5.9510112438308499E-5</c:v>
                </c:pt>
                <c:pt idx="112">
                  <c:v>5.2214684529790685E-5</c:v>
                </c:pt>
                <c:pt idx="113">
                  <c:v>4.5813613331211119E-5</c:v>
                </c:pt>
                <c:pt idx="114">
                  <c:v>4.0197258402743411E-5</c:v>
                </c:pt>
                <c:pt idx="115">
                  <c:v>3.5269420279411313E-5</c:v>
                </c:pt>
                <c:pt idx="116">
                  <c:v>3.0945692723184651E-5</c:v>
                </c:pt>
                <c:pt idx="117">
                  <c:v>2.715201697479524E-5</c:v>
                </c:pt>
                <c:pt idx="118">
                  <c:v>2.3823413241844524E-5</c:v>
                </c:pt>
                <c:pt idx="119">
                  <c:v>2.0902867695558116E-5</c:v>
                </c:pt>
                <c:pt idx="120">
                  <c:v>1.8340355912164741E-5</c:v>
                </c:pt>
                <c:pt idx="121">
                  <c:v>1.6091986031962252E-5</c:v>
                </c:pt>
                <c:pt idx="122">
                  <c:v>1.4119246959712012E-5</c:v>
                </c:pt>
                <c:pt idx="123">
                  <c:v>1.2388348729198332E-5</c:v>
                </c:pt>
                <c:pt idx="124">
                  <c:v>1.0869643733419071E-5</c:v>
                </c:pt>
                <c:pt idx="125">
                  <c:v>9.5371189069765624E-6</c:v>
                </c:pt>
                <c:pt idx="126">
                  <c:v>8.3679501625394308E-6</c:v>
                </c:pt>
                <c:pt idx="127">
                  <c:v>7.3421114495616683E-6</c:v>
                </c:pt>
                <c:pt idx="128">
                  <c:v>6.4420317390400718E-6</c:v>
                </c:pt>
                <c:pt idx="129">
                  <c:v>5.6522940589899701E-6</c:v>
                </c:pt>
                <c:pt idx="130">
                  <c:v>4.9593714255828784E-6</c:v>
                </c:pt>
                <c:pt idx="131">
                  <c:v>4.351395146855291E-6</c:v>
                </c:pt>
                <c:pt idx="132">
                  <c:v>3.8179515303898374E-6</c:v>
                </c:pt>
                <c:pt idx="133">
                  <c:v>3.3499035128861082E-6</c:v>
                </c:pt>
                <c:pt idx="134">
                  <c:v>2.9392341564118456E-6</c:v>
                </c:pt>
                <c:pt idx="135">
                  <c:v>2.5789093306675697E-6</c:v>
                </c:pt>
                <c:pt idx="136">
                  <c:v>2.262757229224423E-6</c:v>
                </c:pt>
                <c:pt idx="137">
                  <c:v>1.9853626560349136E-6</c:v>
                </c:pt>
                <c:pt idx="138">
                  <c:v>1.7419742715081469E-6</c:v>
                </c:pt>
                <c:pt idx="139">
                  <c:v>1.5284232094184087E-6</c:v>
                </c:pt>
                <c:pt idx="140">
                  <c:v>1.3410516706807419E-6</c:v>
                </c:pt>
                <c:pt idx="141">
                  <c:v>1.176650270915435E-6</c:v>
                </c:pt>
                <c:pt idx="142">
                  <c:v>1.0324030686621989E-6</c:v>
                </c:pt>
                <c:pt idx="143">
                  <c:v>9.0583933266244682E-7</c:v>
                </c:pt>
                <c:pt idx="144">
                  <c:v>7.9479122205789218E-7</c:v>
                </c:pt>
                <c:pt idx="145">
                  <c:v>6.973566546327842E-7</c:v>
                </c:pt>
                <c:pt idx="146">
                  <c:v>6.1186672709025721E-7</c:v>
                </c:pt>
                <c:pt idx="147">
                  <c:v>5.3685712932256404E-7</c:v>
                </c:pt>
                <c:pt idx="148">
                  <c:v>4.7104306304589956E-7</c:v>
                </c:pt>
                <c:pt idx="149">
                  <c:v>4.1329723519485665E-7</c:v>
                </c:pt>
                <c:pt idx="150">
                  <c:v>3.626305491374322E-7</c:v>
                </c:pt>
                <c:pt idx="151">
                  <c:v>3.1817516298098891E-7</c:v>
                </c:pt>
                <c:pt idx="152">
                  <c:v>2.7916962478418209E-7</c:v>
                </c:pt>
                <c:pt idx="153">
                  <c:v>2.4494583006404463E-7</c:v>
                </c:pt>
                <c:pt idx="154">
                  <c:v>2.149175782005184E-7</c:v>
                </c:pt>
                <c:pt idx="155">
                  <c:v>1.8857053172735788E-7</c:v>
                </c:pt>
                <c:pt idx="156">
                  <c:v>1.6545340652760397E-7</c:v>
                </c:pt>
                <c:pt idx="157">
                  <c:v>1.4517024203531497E-7</c:v>
                </c:pt>
                <c:pt idx="158">
                  <c:v>1.2737361904407759E-7</c:v>
                </c:pt>
                <c:pt idx="159">
                  <c:v>1.1175870895385744E-7</c:v>
                </c:pt>
                <c:pt idx="160">
                  <c:v>9.8058052529000154E-8</c:v>
                </c:pt>
                <c:pt idx="161">
                  <c:v>8.6036978735591156E-8</c:v>
                </c:pt>
                <c:pt idx="162">
                  <c:v>7.5489585189950156E-8</c:v>
                </c:pt>
                <c:pt idx="163">
                  <c:v>6.6235211369566081E-8</c:v>
                </c:pt>
                <c:pt idx="164">
                  <c:v>5.8115344178035643E-8</c:v>
                </c:pt>
                <c:pt idx="165">
                  <c:v>5.0990902861123716E-8</c:v>
                </c:pt>
                <c:pt idx="166">
                  <c:v>4.4739856768760859E-8</c:v>
                </c:pt>
                <c:pt idx="167">
                  <c:v>3.9255135158929113E-8</c:v>
                </c:pt>
                <c:pt idx="168">
                  <c:v>3.4442793241612611E-8</c:v>
                </c:pt>
                <c:pt idx="169">
                  <c:v>3.022040304998501E-8</c:v>
                </c:pt>
                <c:pt idx="170">
                  <c:v>2.6515641576948477E-8</c:v>
                </c:pt>
                <c:pt idx="171">
                  <c:v>2.3265051993988793E-8</c:v>
                </c:pt>
                <c:pt idx="172">
                  <c:v>2.0412956733943472E-8</c:v>
                </c:pt>
                <c:pt idx="173">
                  <c:v>1.791050382047338E-8</c:v>
                </c:pt>
                <c:pt idx="174">
                  <c:v>1.5714830109338137E-8</c:v>
                </c:pt>
                <c:pt idx="175">
                  <c:v>1.3788327109093761E-8</c:v>
                </c:pt>
                <c:pt idx="176">
                  <c:v>1.2097996805857747E-8</c:v>
                </c:pt>
                <c:pt idx="177">
                  <c:v>1.0614886458417061E-8</c:v>
                </c:pt>
                <c:pt idx="178">
                  <c:v>9.3135926825942992E-9</c:v>
                </c:pt>
                <c:pt idx="179">
                  <c:v>8.1718263306049129E-9</c:v>
                </c:pt>
                <c:pt idx="180">
                  <c:v>7.1700307124625667E-9</c:v>
                </c:pt>
                <c:pt idx="181">
                  <c:v>6.2910466201563201E-9</c:v>
                </c:pt>
                <c:pt idx="182">
                  <c:v>5.5198184169823927E-9</c:v>
                </c:pt>
                <c:pt idx="183">
                  <c:v>4.8431361577957797E-9</c:v>
                </c:pt>
                <c:pt idx="184">
                  <c:v>4.2494093231008701E-9</c:v>
                </c:pt>
                <c:pt idx="185">
                  <c:v>3.7284682913963256E-9</c:v>
                </c:pt>
                <c:pt idx="186">
                  <c:v>3.27139014930284E-9</c:v>
                </c:pt>
                <c:pt idx="187">
                  <c:v>2.870345855870943E-9</c:v>
                </c:pt>
                <c:pt idx="188">
                  <c:v>2.5184661432300485E-9</c:v>
                </c:pt>
                <c:pt idx="189">
                  <c:v>2.2097238566644756E-9</c:v>
                </c:pt>
                <c:pt idx="190">
                  <c:v>1.9388307187840953E-9</c:v>
                </c:pt>
                <c:pt idx="191">
                  <c:v>1.7011467495196747E-9</c:v>
                </c:pt>
                <c:pt idx="192">
                  <c:v>1.4926007904476648E-9</c:v>
                </c:pt>
                <c:pt idx="193">
                  <c:v>1.309620772149162E-9</c:v>
                </c:pt>
                <c:pt idx="194">
                  <c:v>1.1490725301908545E-9</c:v>
                </c:pt>
                <c:pt idx="195">
                  <c:v>1.0082061217404286E-9</c:v>
                </c:pt>
                <c:pt idx="196">
                  <c:v>8.8460872330317072E-10</c:v>
                </c:pt>
                <c:pt idx="197">
                  <c:v>7.7616330279091034E-10</c:v>
                </c:pt>
                <c:pt idx="198">
                  <c:v>6.8101235803982832E-10</c:v>
                </c:pt>
                <c:pt idx="199">
                  <c:v>5.9752610067407931E-10</c:v>
                </c:pt>
                <c:pt idx="200">
                  <c:v>5.2427454035406644E-10</c:v>
                </c:pt>
                <c:pt idx="201">
                  <c:v>4.6000299125576129E-10</c:v>
                </c:pt>
                <c:pt idx="202">
                  <c:v>4.036105812449772E-10</c:v>
                </c:pt>
                <c:pt idx="203">
                  <c:v>3.5413139564202363E-10</c:v>
                </c:pt>
                <c:pt idx="204">
                  <c:v>3.1071793259862198E-10</c:v>
                </c:pt>
                <c:pt idx="205">
                  <c:v>2.7262658670330282E-10</c:v>
                </c:pt>
                <c:pt idx="206">
                  <c:v>2.3920491217191859E-10</c:v>
                </c:pt>
                <c:pt idx="207">
                  <c:v>2.0988044746144375E-10</c:v>
                </c:pt>
                <c:pt idx="208">
                  <c:v>1.8415090988999793E-10</c:v>
                </c:pt>
                <c:pt idx="209">
                  <c:v>1.6157559231211325E-10</c:v>
                </c:pt>
                <c:pt idx="210">
                  <c:v>1.4176781448761228E-10</c:v>
                </c:pt>
                <c:pt idx="211">
                  <c:v>1.2438829984773202E-10</c:v>
                </c:pt>
                <c:pt idx="212">
                  <c:v>1.091393642127514E-10</c:v>
                </c:pt>
                <c:pt idx="213">
                  <c:v>9.5759816922851713E-11</c:v>
                </c:pt>
                <c:pt idx="214">
                  <c:v>8.4020487046475738E-11</c:v>
                </c:pt>
                <c:pt idx="215">
                  <c:v>7.3720298037060699E-11</c:v>
                </c:pt>
                <c:pt idx="216">
                  <c:v>6.4682823603091876E-11</c:v>
                </c:pt>
                <c:pt idx="217">
                  <c:v>5.6753265798862933E-11</c:v>
                </c:pt>
                <c:pt idx="218">
                  <c:v>4.9795803575316129E-11</c:v>
                </c:pt>
                <c:pt idx="219">
                  <c:v>4.3691266375743026E-11</c:v>
                </c:pt>
                <c:pt idx="220">
                  <c:v>3.8335092928641712E-11</c:v>
                </c:pt>
                <c:pt idx="221">
                  <c:v>3.3635540275012315E-11</c:v>
                </c:pt>
                <c:pt idx="222">
                  <c:v>2.9512112353500987E-11</c:v>
                </c:pt>
                <c:pt idx="223">
                  <c:v>2.5894181227488747E-11</c:v>
                </c:pt>
                <c:pt idx="224">
                  <c:v>2.271977733787968E-11</c:v>
                </c:pt>
                <c:pt idx="225">
                  <c:v>1.9934528060491672E-11</c:v>
                </c:pt>
                <c:pt idx="226">
                  <c:v>1.7490726387181035E-11</c:v>
                </c:pt>
                <c:pt idx="227">
                  <c:v>1.5346513778650525E-11</c:v>
                </c:pt>
                <c:pt idx="228">
                  <c:v>1.3465163192474376E-11</c:v>
                </c:pt>
                <c:pt idx="229">
                  <c:v>1.1814450005720456E-11</c:v>
                </c:pt>
                <c:pt idx="230">
                  <c:v>1.0366100057047911E-11</c:v>
                </c:pt>
                <c:pt idx="231">
                  <c:v>9.0953053540959953E-12</c:v>
                </c:pt>
                <c:pt idx="232">
                  <c:v>7.9802991509813603E-12</c:v>
                </c:pt>
                <c:pt idx="233">
                  <c:v>7.0019831176392253E-12</c:v>
                </c:pt>
                <c:pt idx="234">
                  <c:v>6.1436002149964064E-12</c:v>
                </c:pt>
                <c:pt idx="235">
                  <c:v>5.3904476728343678E-12</c:v>
                </c:pt>
                <c:pt idx="236">
                  <c:v>4.7296251540974411E-12</c:v>
                </c:pt>
                <c:pt idx="237">
                  <c:v>4.1498137920906935E-12</c:v>
                </c:pt>
                <c:pt idx="238">
                  <c:v>3.6410823158167242E-12</c:v>
                </c:pt>
                <c:pt idx="239">
                  <c:v>3.1947169426785547E-12</c:v>
                </c:pt>
                <c:pt idx="240">
                  <c:v>2.8030721248739677E-12</c:v>
                </c:pt>
                <c:pt idx="241">
                  <c:v>2.4594395929980943E-12</c:v>
                </c:pt>
                <c:pt idx="242">
                  <c:v>2.1579334537739019E-12</c:v>
                </c:pt>
                <c:pt idx="243">
                  <c:v>1.8933893738125931E-12</c:v>
                </c:pt>
                <c:pt idx="244">
                  <c:v>1.6612761225778073E-12</c:v>
                </c:pt>
                <c:pt idx="245">
                  <c:v>1.4576179594215476E-12</c:v>
                </c:pt>
                <c:pt idx="246">
                  <c:v>1.2789265353019161E-12</c:v>
                </c:pt>
                <c:pt idx="247">
                  <c:v>1.1221411427645063E-12</c:v>
                </c:pt>
                <c:pt idx="248">
                  <c:v>9.8457629076213731E-13</c:v>
                </c:pt>
                <c:pt idx="249">
                  <c:v>8.6387570635075265E-13</c:v>
                </c:pt>
                <c:pt idx="250">
                  <c:v>7.5797197538174838E-13</c:v>
                </c:pt>
                <c:pt idx="251">
                  <c:v>6.6505113089826984E-13</c:v>
                </c:pt>
                <c:pt idx="252">
                  <c:v>5.8352158268953057E-13</c:v>
                </c:pt>
                <c:pt idx="253">
                  <c:v>5.1198685581451801E-13</c:v>
                </c:pt>
                <c:pt idx="254">
                  <c:v>4.4922167114820438E-13</c:v>
                </c:pt>
                <c:pt idx="255">
                  <c:v>3.9415095824704805E-13</c:v>
                </c:pt>
                <c:pt idx="256">
                  <c:v>3.458314410566637E-13</c:v>
                </c:pt>
                <c:pt idx="257">
                  <c:v>3.0343548105334178E-13</c:v>
                </c:pt>
                <c:pt idx="258">
                  <c:v>2.6623690107744416E-13</c:v>
                </c:pt>
                <c:pt idx="259">
                  <c:v>2.3359854704288924E-13</c:v>
                </c:pt>
                <c:pt idx="260">
                  <c:v>2.0496137447406616E-13</c:v>
                </c:pt>
                <c:pt idx="261">
                  <c:v>1.798348729394511E-13</c:v>
                </c:pt>
                <c:pt idx="262">
                  <c:v>1.577886643672981E-13</c:v>
                </c:pt>
                <c:pt idx="263">
                  <c:v>1.3844513133555887E-13</c:v>
                </c:pt>
                <c:pt idx="264">
                  <c:v>1.214729490700508E-13</c:v>
                </c:pt>
                <c:pt idx="265">
                  <c:v>1.0658141036401504E-13</c:v>
                </c:pt>
                <c:pt idx="266">
                  <c:v>9.3515446213722376E-14</c:v>
                </c:pt>
                <c:pt idx="267">
                  <c:v>8.2051256881323963E-14</c:v>
                </c:pt>
                <c:pt idx="268">
                  <c:v>7.1992478551817089E-14</c:v>
                </c:pt>
                <c:pt idx="269">
                  <c:v>6.3166819924894411E-14</c:v>
                </c:pt>
                <c:pt idx="270">
                  <c:v>5.5423111131702083E-14</c:v>
                </c:pt>
                <c:pt idx="271">
                  <c:v>4.8628714429019657E-14</c:v>
                </c:pt>
                <c:pt idx="272">
                  <c:v>4.2667252320061549E-14</c:v>
                </c:pt>
                <c:pt idx="273">
                  <c:v>3.7436614188126671E-14</c:v>
                </c:pt>
                <c:pt idx="274">
                  <c:v>3.2847207299816714E-14</c:v>
                </c:pt>
                <c:pt idx="275">
                  <c:v>2.8820422220215807E-14</c:v>
                </c:pt>
                <c:pt idx="276">
                  <c:v>2.528728635496948E-14</c:v>
                </c:pt>
                <c:pt idx="277">
                  <c:v>2.2187282556523125E-14</c:v>
                </c:pt>
                <c:pt idx="278">
                  <c:v>1.9467312559073899E-14</c:v>
                </c:pt>
                <c:pt idx="279">
                  <c:v>1.708078748748148E-14</c:v>
                </c:pt>
                <c:pt idx="280">
                  <c:v>1.4986829861963403E-14</c:v>
                </c:pt>
                <c:pt idx="281">
                  <c:v>1.3149573430150758E-14</c:v>
                </c:pt>
                <c:pt idx="282">
                  <c:v>1.1537548833711382E-14</c:v>
                </c:pt>
                <c:pt idx="283">
                  <c:v>1.0123144586960851E-14</c:v>
                </c:pt>
                <c:pt idx="284">
                  <c:v>8.8821341348593704E-15</c:v>
                </c:pt>
                <c:pt idx="285">
                  <c:v>7.7932608896302346E-15</c:v>
                </c:pt>
                <c:pt idx="286">
                  <c:v>6.8378741383195559E-15</c:v>
                </c:pt>
                <c:pt idx="287">
                  <c:v>5.9996095849574281E-15</c:v>
                </c:pt>
                <c:pt idx="288">
                  <c:v>5.2641090555023123E-15</c:v>
                </c:pt>
                <c:pt idx="289">
                  <c:v>4.6187745645482823E-15</c:v>
                </c:pt>
                <c:pt idx="290">
                  <c:v>4.0525525313385679E-15</c:v>
                </c:pt>
                <c:pt idx="291">
                  <c:v>3.5557444490397698E-15</c:v>
                </c:pt>
                <c:pt idx="292">
                  <c:v>3.1198407643345261E-15</c:v>
                </c:pt>
                <c:pt idx="293">
                  <c:v>2.7373751219472341E-15</c:v>
                </c:pt>
                <c:pt idx="294">
                  <c:v>2.4017964775372014E-15</c:v>
                </c:pt>
                <c:pt idx="295">
                  <c:v>2.1073568884510761E-15</c:v>
                </c:pt>
                <c:pt idx="296">
                  <c:v>1.8490130603638604E-15</c:v>
                </c:pt>
                <c:pt idx="297">
                  <c:v>1.62233996345489E-15</c:v>
                </c:pt>
                <c:pt idx="298">
                  <c:v>1.4234550384976051E-15</c:v>
                </c:pt>
                <c:pt idx="299">
                  <c:v>1.2489516946307774E-15</c:v>
                </c:pt>
                <c:pt idx="300">
                  <c:v>1.0958409597309632E-15</c:v>
                </c:pt>
                <c:pt idx="301">
                  <c:v>9.6150028394739971E-16</c:v>
                </c:pt>
                <c:pt idx="302">
                  <c:v>8.4362861948315689E-16</c:v>
                </c:pt>
                <c:pt idx="303">
                  <c:v>7.4020700720873865E-16</c:v>
                </c:pt>
                <c:pt idx="304">
                  <c:v>6.4946399501784164E-16</c:v>
                </c:pt>
                <c:pt idx="305">
                  <c:v>5.698452955952447E-16</c:v>
                </c:pt>
                <c:pt idx="306">
                  <c:v>4.9998716388136524E-16</c:v>
                </c:pt>
                <c:pt idx="307">
                  <c:v>4.3869303823066834E-16</c:v>
                </c:pt>
                <c:pt idx="308">
                  <c:v>3.8491304516313286E-16</c:v>
                </c:pt>
                <c:pt idx="309">
                  <c:v>3.3772601665689815E-16</c:v>
                </c:pt>
                <c:pt idx="310">
                  <c:v>2.9632371196615408E-16</c:v>
                </c:pt>
                <c:pt idx="311">
                  <c:v>2.5999697370844156E-16</c:v>
                </c:pt>
                <c:pt idx="312">
                  <c:v>2.2812358109657153E-16</c:v>
                </c:pt>
                <c:pt idx="313">
                  <c:v>2.0015759225983023E-16</c:v>
                </c:pt>
                <c:pt idx="314">
                  <c:v>1.7561999310493272E-16</c:v>
                </c:pt>
                <c:pt idx="315">
                  <c:v>1.5409049254618955E-16</c:v>
                </c:pt>
                <c:pt idx="316">
                  <c:v>1.3520032356988171E-16</c:v>
                </c:pt>
                <c:pt idx="317">
                  <c:v>1.1862592682622149E-16</c:v>
                </c:pt>
                <c:pt idx="318">
                  <c:v>1.0408340855860844E-16</c:v>
                </c:pt>
                <c:pt idx="319">
                  <c:v>9.1323677943088257E-17</c:v>
                </c:pt>
                <c:pt idx="320">
                  <c:v>8.0128180548167933E-17</c:v>
                </c:pt>
                <c:pt idx="321">
                  <c:v>7.0305154835758876E-17</c:v>
                </c:pt>
                <c:pt idx="322">
                  <c:v>6.1686347582904698E-17</c:v>
                </c:pt>
                <c:pt idx="323">
                  <c:v>5.4124131964552815E-17</c:v>
                </c:pt>
                <c:pt idx="324">
                  <c:v>4.7488978934589509E-17</c:v>
                </c:pt>
                <c:pt idx="325">
                  <c:v>4.1667238593810106E-17</c:v>
                </c:pt>
                <c:pt idx="326">
                  <c:v>3.6559193543092453E-17</c:v>
                </c:pt>
                <c:pt idx="327">
                  <c:v>3.207735087872726E-17</c:v>
                </c:pt>
                <c:pt idx="328">
                  <c:v>2.8144943574429499E-17</c:v>
                </c:pt>
                <c:pt idx="329">
                  <c:v>2.4694615581024882E-17</c:v>
                </c:pt>
                <c:pt idx="330">
                  <c:v>2.1667268121604615E-17</c:v>
                </c:pt>
                <c:pt idx="331">
                  <c:v>1.9011047420970604E-17</c:v>
                </c:pt>
                <c:pt idx="332">
                  <c:v>1.6680456530743632E-17</c:v>
                </c:pt>
                <c:pt idx="333">
                  <c:v>1.4635576037073636E-17</c:v>
                </c:pt>
                <c:pt idx="334">
                  <c:v>1.28413803028816E-17</c:v>
                </c:pt>
                <c:pt idx="335">
                  <c:v>1.1267137532921272E-17</c:v>
                </c:pt>
                <c:pt idx="336">
                  <c:v>9.8858833857039559E-18</c:v>
                </c:pt>
                <c:pt idx="337">
                  <c:v>8.6739591160736039E-18</c:v>
                </c:pt>
                <c:pt idx="338">
                  <c:v>7.610606337529526E-18</c:v>
                </c:pt>
                <c:pt idx="339">
                  <c:v>6.6776114632026913E-18</c:v>
                </c:pt>
                <c:pt idx="340">
                  <c:v>5.8589937353099884E-18</c:v>
                </c:pt>
                <c:pt idx="341">
                  <c:v>5.1407314995139769E-18</c:v>
                </c:pt>
                <c:pt idx="342">
                  <c:v>4.510522035691682E-18</c:v>
                </c:pt>
                <c:pt idx="343">
                  <c:v>3.9575708313853202E-18</c:v>
                </c:pt>
                <c:pt idx="344">
                  <c:v>3.4724066885154002E-18</c:v>
                </c:pt>
                <c:pt idx="345">
                  <c:v>3.0467194964204356E-18</c:v>
                </c:pt>
                <c:pt idx="346">
                  <c:v>2.6732178925265958E-18</c:v>
                </c:pt>
                <c:pt idx="347">
                  <c:v>2.3455043725949233E-18</c:v>
                </c:pt>
                <c:pt idx="348">
                  <c:v>2.057965711378004E-18</c:v>
                </c:pt>
                <c:pt idx="349">
                  <c:v>1.8056768167615824E-18</c:v>
                </c:pt>
                <c:pt idx="350">
                  <c:v>1.584316370561416E-18</c:v>
                </c:pt>
                <c:pt idx="351">
                  <c:v>1.3900928110328175E-18</c:v>
                </c:pt>
                <c:pt idx="352">
                  <c:v>1.2196793892878686E-18</c:v>
                </c:pt>
                <c:pt idx="353">
                  <c:v>1.0701571872372688E-18</c:v>
                </c:pt>
                <c:pt idx="354">
                  <c:v>9.3896512104238253E-19</c:v>
                </c:pt>
                <c:pt idx="355">
                  <c:v>8.238560737140204E-19</c:v>
                </c:pt>
                <c:pt idx="356">
                  <c:v>7.2285840547728384E-19</c:v>
                </c:pt>
                <c:pt idx="357">
                  <c:v>6.3424218263461098E-19</c:v>
                </c:pt>
                <c:pt idx="358">
                  <c:v>5.5648954647973115E-19</c:v>
                </c:pt>
                <c:pt idx="359">
                  <c:v>4.8826871472789574E-19</c:v>
                </c:pt>
                <c:pt idx="360">
                  <c:v>4.2841117014713705E-19</c:v>
                </c:pt>
                <c:pt idx="361">
                  <c:v>3.7589164566712193E-19</c:v>
                </c:pt>
                <c:pt idx="362">
                  <c:v>3.298105631415021E-19</c:v>
                </c:pt>
                <c:pt idx="363">
                  <c:v>2.8937862496694735E-19</c:v>
                </c:pt>
                <c:pt idx="364">
                  <c:v>2.5390329463714996E-19</c:v>
                </c:pt>
                <c:pt idx="365">
                  <c:v>2.2277693466462063E-19</c:v>
                </c:pt>
              </c:numCache>
            </c:numRef>
          </c:yVal>
          <c:smooth val="1"/>
          <c:extLst>
            <c:ext xmlns:c16="http://schemas.microsoft.com/office/drawing/2014/chart" uri="{C3380CC4-5D6E-409C-BE32-E72D297353CC}">
              <c16:uniqueId val="{00000000-A669-4CB9-84F4-49AE9BAF6CDE}"/>
            </c:ext>
          </c:extLst>
        </c:ser>
        <c:ser>
          <c:idx val="1"/>
          <c:order val="1"/>
          <c:tx>
            <c:strRef>
              <c:f>'Min rate concentrations'!$E$2</c:f>
              <c:strCache>
                <c:ptCount val="1"/>
                <c:pt idx="0">
                  <c:v>Tall Grass, nectar and pollen</c:v>
                </c:pt>
              </c:strCache>
            </c:strRef>
          </c:tx>
          <c:spPr>
            <a:ln w="19050" cap="rnd">
              <a:solidFill>
                <a:srgbClr val="FF0000"/>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concentrations'!$E$3:$E$368</c:f>
              <c:numCache>
                <c:formatCode>0</c:formatCode>
                <c:ptCount val="366"/>
                <c:pt idx="0" formatCode="General">
                  <c:v>55</c:v>
                </c:pt>
                <c:pt idx="1">
                  <c:v>48.257473082672526</c:v>
                </c:pt>
                <c:pt idx="2">
                  <c:v>42.341521969542967</c:v>
                </c:pt>
                <c:pt idx="3">
                  <c:v>37.150815576811041</c:v>
                </c:pt>
                <c:pt idx="4">
                  <c:v>32.596445139950724</c:v>
                </c:pt>
                <c:pt idx="5">
                  <c:v>28.600401344217886</c:v>
                </c:pt>
                <c:pt idx="6">
                  <c:v>25.09423814585865</c:v>
                </c:pt>
                <c:pt idx="7">
                  <c:v>22.017900397344508</c:v>
                </c:pt>
                <c:pt idx="8">
                  <c:v>19.318695195669406</c:v>
                </c:pt>
                <c:pt idx="9">
                  <c:v>16.950389334497661</c:v>
                </c:pt>
                <c:pt idx="10">
                  <c:v>14.872417400915278</c:v>
                </c:pt>
                <c:pt idx="11">
                  <c:v>13.049186952707991</c:v>
                </c:pt>
                <c:pt idx="12">
                  <c:v>11.449468874928499</c:v>
                </c:pt>
                <c:pt idx="13">
                  <c:v>10.045862473504707</c:v>
                </c:pt>
                <c:pt idx="14">
                  <c:v>8.8143261437706073</c:v>
                </c:pt>
                <c:pt idx="15">
                  <c:v>7.7337655749983059</c:v>
                </c:pt>
                <c:pt idx="16">
                  <c:v>6.7856724375123667</c:v>
                </c:pt>
                <c:pt idx="17">
                  <c:v>5.9538073636561073</c:v>
                </c:pt>
                <c:pt idx="18">
                  <c:v>5.2239217925645827</c:v>
                </c:pt>
                <c:pt idx="19">
                  <c:v>4.5835139143758497</c:v>
                </c:pt>
                <c:pt idx="20">
                  <c:v>4.0216145335826825</c:v>
                </c:pt>
                <c:pt idx="21">
                  <c:v>3.5285991836954715</c:v>
                </c:pt>
                <c:pt idx="22">
                  <c:v>3.0960232750313539</c:v>
                </c:pt>
                <c:pt idx="23">
                  <c:v>2.7164774519664219</c:v>
                </c:pt>
                <c:pt idx="24">
                  <c:v>2.3834606821446629</c:v>
                </c:pt>
                <c:pt idx="25">
                  <c:v>2.091268903858261</c:v>
                </c:pt>
                <c:pt idx="26">
                  <c:v>1.8348973243012747</c:v>
                </c:pt>
                <c:pt idx="27">
                  <c:v>1.6099546952170292</c:v>
                </c:pt>
                <c:pt idx="28">
                  <c:v>1.4125880976137823</c:v>
                </c:pt>
                <c:pt idx="29">
                  <c:v>1.2394169472272853</c:v>
                </c:pt>
                <c:pt idx="30">
                  <c:v>1.0874750903459796</c:v>
                </c:pt>
                <c:pt idx="31">
                  <c:v>0.95415999818996333</c:v>
                </c:pt>
                <c:pt idx="32">
                  <c:v>0.83718818962209129</c:v>
                </c:pt>
                <c:pt idx="33">
                  <c:v>0.73455611865126202</c:v>
                </c:pt>
                <c:pt idx="34">
                  <c:v>0.64450585679137606</c:v>
                </c:pt>
                <c:pt idx="35">
                  <c:v>0.5654949824679022</c:v>
                </c:pt>
                <c:pt idx="36">
                  <c:v>0.49617016172420292</c:v>
                </c:pt>
                <c:pt idx="37">
                  <c:v>0.43534396770601813</c:v>
                </c:pt>
                <c:pt idx="38">
                  <c:v>0.38197454187776414</c:v>
                </c:pt>
                <c:pt idx="39">
                  <c:v>0.33514774859877039</c:v>
                </c:pt>
                <c:pt idx="40">
                  <c:v>0.29406151739497199</c:v>
                </c:pt>
                <c:pt idx="41">
                  <c:v>0.25801210473341274</c:v>
                </c:pt>
                <c:pt idx="42">
                  <c:v>0.22638203998502454</c:v>
                </c:pt>
                <c:pt idx="43">
                  <c:v>0.19862954910868758</c:v>
                </c:pt>
                <c:pt idx="44">
                  <c:v>0.1742792749006522</c:v>
                </c:pt>
                <c:pt idx="45">
                  <c:v>0.152914134861562</c:v>
                </c:pt>
                <c:pt idx="46">
                  <c:v>0.13416817721894517</c:v>
                </c:pt>
                <c:pt idx="47">
                  <c:v>0.1177203127398997</c:v>
                </c:pt>
                <c:pt idx="48">
                  <c:v>0.1032888149696273</c:v>
                </c:pt>
                <c:pt idx="49">
                  <c:v>9.0626494693416951E-2</c:v>
                </c:pt>
                <c:pt idx="50">
                  <c:v>7.9516465968082414E-2</c:v>
                </c:pt>
                <c:pt idx="51">
                  <c:v>6.9768431201526968E-2</c:v>
                </c:pt>
                <c:pt idx="52">
                  <c:v>6.1215421649599595E-2</c:v>
                </c:pt>
                <c:pt idx="53">
                  <c:v>5.3710937500000028E-2</c:v>
                </c:pt>
                <c:pt idx="54">
                  <c:v>4.7126438557297409E-2</c:v>
                </c:pt>
                <c:pt idx="55">
                  <c:v>4.1349142548381825E-2</c:v>
                </c:pt>
                <c:pt idx="56">
                  <c:v>3.6280093336729546E-2</c:v>
                </c:pt>
                <c:pt idx="57">
                  <c:v>3.1832465956983143E-2</c:v>
                </c:pt>
                <c:pt idx="58">
                  <c:v>2.793007943771279E-2</c:v>
                </c:pt>
                <c:pt idx="59">
                  <c:v>2.4506091939315095E-2</c:v>
                </c:pt>
                <c:pt idx="60">
                  <c:v>2.150185585678175E-2</c:v>
                </c:pt>
                <c:pt idx="61">
                  <c:v>1.8865913277020908E-2</c:v>
                </c:pt>
                <c:pt idx="62">
                  <c:v>1.6553114584470376E-2</c:v>
                </c:pt>
                <c:pt idx="63">
                  <c:v>1.452384511808133E-2</c:v>
                </c:pt>
                <c:pt idx="64">
                  <c:v>1.2743346633503901E-2</c:v>
                </c:pt>
                <c:pt idx="65">
                  <c:v>1.1181121948172364E-2</c:v>
                </c:pt>
                <c:pt idx="66">
                  <c:v>9.8104125717819422E-3</c:v>
                </c:pt>
                <c:pt idx="67">
                  <c:v>8.6077403747759854E-3</c:v>
                </c:pt>
                <c:pt idx="68">
                  <c:v>7.5525054443342839E-3</c:v>
                </c:pt>
                <c:pt idx="69">
                  <c:v>6.6266332397581706E-3</c:v>
                </c:pt>
                <c:pt idx="70">
                  <c:v>5.8142650035704173E-3</c:v>
                </c:pt>
                <c:pt idx="71">
                  <c:v>5.1014861255513503E-3</c:v>
                </c:pt>
                <c:pt idx="72">
                  <c:v>4.4760878070076657E-3</c:v>
                </c:pt>
                <c:pt idx="73">
                  <c:v>3.9273579429518384E-3</c:v>
                </c:pt>
                <c:pt idx="74">
                  <c:v>3.4458976403276089E-3</c:v>
                </c:pt>
                <c:pt idx="75">
                  <c:v>3.0234602295228065E-3</c:v>
                </c:pt>
                <c:pt idx="76">
                  <c:v>2.6528100116859589E-3</c:v>
                </c:pt>
                <c:pt idx="77">
                  <c:v>2.3275983224068974E-3</c:v>
                </c:pt>
                <c:pt idx="78">
                  <c:v>2.042254788924083E-3</c:v>
                </c:pt>
                <c:pt idx="79">
                  <c:v>1.7918919182629636E-3</c:v>
                </c:pt>
                <c:pt idx="80">
                  <c:v>1.57222138204788E-3</c:v>
                </c:pt>
                <c:pt idx="81">
                  <c:v>1.3794805640759593E-3</c:v>
                </c:pt>
                <c:pt idx="82">
                  <c:v>1.2103681125266458E-3</c:v>
                </c:pt>
                <c:pt idx="83">
                  <c:v>1.0619873929159957E-3</c:v>
                </c:pt>
                <c:pt idx="84">
                  <c:v>9.3179687323238607E-4</c:v>
                </c:pt>
                <c:pt idx="85">
                  <c:v>8.1756659142782353E-4</c:v>
                </c:pt>
                <c:pt idx="86">
                  <c:v>7.1733995962037307E-4</c:v>
                </c:pt>
                <c:pt idx="87">
                  <c:v>6.2940025077282819E-4</c:v>
                </c:pt>
                <c:pt idx="88">
                  <c:v>5.5224119381631074E-4</c:v>
                </c:pt>
                <c:pt idx="89">
                  <c:v>4.8454117355879191E-4</c:v>
                </c:pt>
                <c:pt idx="90">
                  <c:v>4.2514059346290833E-4</c:v>
                </c:pt>
                <c:pt idx="91">
                  <c:v>3.7302201355250404E-4</c:v>
                </c:pt>
                <c:pt idx="92">
                  <c:v>3.2729272324098671E-4</c:v>
                </c:pt>
                <c:pt idx="93">
                  <c:v>2.8716945058102734E-4</c:v>
                </c:pt>
                <c:pt idx="94">
                  <c:v>2.5196494602872338E-4</c:v>
                </c:pt>
                <c:pt idx="95">
                  <c:v>2.2107621092287553E-4</c:v>
                </c:pt>
                <c:pt idx="96">
                  <c:v>1.9397416905145271E-4</c:v>
                </c:pt>
                <c:pt idx="97">
                  <c:v>1.7019460439516817E-4</c:v>
                </c:pt>
                <c:pt idx="98">
                  <c:v>1.4933020982574414E-4</c:v>
                </c:pt>
                <c:pt idx="99">
                  <c:v>1.3102361056537614E-4</c:v>
                </c:pt>
                <c:pt idx="100">
                  <c:v>1.1496124291005831E-4</c:v>
                </c:pt>
                <c:pt idx="101">
                  <c:v>1.0086798336877666E-4</c:v>
                </c:pt>
                <c:pt idx="102">
                  <c:v>8.8502436224039991E-5</c:v>
                </c:pt>
                <c:pt idx="103">
                  <c:v>7.7652798796955483E-5</c:v>
                </c:pt>
                <c:pt idx="104">
                  <c:v>6.8133233595241179E-5</c:v>
                </c:pt>
                <c:pt idx="105">
                  <c:v>5.9780685204687105E-5</c:v>
                </c:pt>
                <c:pt idx="106">
                  <c:v>5.2452087402343777E-5</c:v>
                </c:pt>
                <c:pt idx="107">
                  <c:v>4.6021912653610751E-5</c:v>
                </c:pt>
                <c:pt idx="108">
                  <c:v>4.0380022019904126E-5</c:v>
                </c:pt>
                <c:pt idx="109">
                  <c:v>3.5429778649149948E-5</c:v>
                </c:pt>
                <c:pt idx="110">
                  <c:v>3.108639253611635E-5</c:v>
                </c:pt>
                <c:pt idx="111">
                  <c:v>2.7275468200891396E-5</c:v>
                </c:pt>
                <c:pt idx="112">
                  <c:v>2.3931730409487398E-5</c:v>
                </c:pt>
                <c:pt idx="113">
                  <c:v>2.0997906110138428E-5</c:v>
                </c:pt>
                <c:pt idx="114">
                  <c:v>1.842374343459073E-5</c:v>
                </c:pt>
                <c:pt idx="115">
                  <c:v>1.6165150961396851E-5</c:v>
                </c:pt>
                <c:pt idx="116">
                  <c:v>1.4183442498126299E-5</c:v>
                </c:pt>
                <c:pt idx="117">
                  <c:v>1.2444674446781154E-5</c:v>
                </c:pt>
                <c:pt idx="118">
                  <c:v>1.0919064402512074E-5</c:v>
                </c:pt>
                <c:pt idx="119">
                  <c:v>9.580481027130803E-6</c:v>
                </c:pt>
                <c:pt idx="120">
                  <c:v>8.4059964597421733E-6</c:v>
                </c:pt>
                <c:pt idx="121">
                  <c:v>7.3754935979826992E-6</c:v>
                </c:pt>
                <c:pt idx="122">
                  <c:v>6.4713215232013385E-6</c:v>
                </c:pt>
                <c:pt idx="123">
                  <c:v>5.6779931675492356E-6</c:v>
                </c:pt>
                <c:pt idx="124">
                  <c:v>4.9819200444837405E-6</c:v>
                </c:pt>
                <c:pt idx="125">
                  <c:v>4.3711794990309235E-6</c:v>
                </c:pt>
                <c:pt idx="126">
                  <c:v>3.8353104911639047E-6</c:v>
                </c:pt>
                <c:pt idx="127">
                  <c:v>3.3651344143824306E-6</c:v>
                </c:pt>
                <c:pt idx="128">
                  <c:v>2.9525978803933657E-6</c:v>
                </c:pt>
                <c:pt idx="129">
                  <c:v>2.5906347770370692E-6</c:v>
                </c:pt>
                <c:pt idx="130">
                  <c:v>2.2730452367254857E-6</c:v>
                </c:pt>
                <c:pt idx="131">
                  <c:v>1.9943894423086748E-6</c:v>
                </c:pt>
                <c:pt idx="132">
                  <c:v>1.7498944514286754E-6</c:v>
                </c:pt>
                <c:pt idx="133">
                  <c:v>1.5353724434061329E-6</c:v>
                </c:pt>
                <c:pt idx="134">
                  <c:v>1.347148988355429E-6</c:v>
                </c:pt>
                <c:pt idx="135">
                  <c:v>1.1820001098893026E-6</c:v>
                </c:pt>
                <c:pt idx="136">
                  <c:v>1.037097063394527E-6</c:v>
                </c:pt>
                <c:pt idx="137">
                  <c:v>9.0995788401600202E-7</c:v>
                </c:pt>
                <c:pt idx="138">
                  <c:v>7.9840487444123392E-7</c:v>
                </c:pt>
                <c:pt idx="139">
                  <c:v>7.0052730431677058E-7</c:v>
                </c:pt>
                <c:pt idx="140">
                  <c:v>6.1464868239534003E-7</c:v>
                </c:pt>
                <c:pt idx="141">
                  <c:v>5.3929804083624096E-7</c:v>
                </c:pt>
                <c:pt idx="142">
                  <c:v>4.7318473980350773E-7</c:v>
                </c:pt>
                <c:pt idx="143">
                  <c:v>4.1517636080362142E-7</c:v>
                </c:pt>
                <c:pt idx="144">
                  <c:v>3.6427931010986723E-7</c:v>
                </c:pt>
                <c:pt idx="145">
                  <c:v>3.1962180004002608E-7</c:v>
                </c:pt>
                <c:pt idx="146">
                  <c:v>2.8043891658303451E-7</c:v>
                </c:pt>
                <c:pt idx="147">
                  <c:v>2.4605951760617517E-7</c:v>
                </c:pt>
                <c:pt idx="148">
                  <c:v>2.1589473722937063E-7</c:v>
                </c:pt>
                <c:pt idx="149">
                  <c:v>1.8942789946430929E-7</c:v>
                </c:pt>
                <c:pt idx="150">
                  <c:v>1.6620566835465641E-7</c:v>
                </c:pt>
                <c:pt idx="151">
                  <c:v>1.4583028303295326E-7</c:v>
                </c:pt>
                <c:pt idx="152">
                  <c:v>1.2795274469275014E-7</c:v>
                </c:pt>
                <c:pt idx="153">
                  <c:v>1.1226683877935381E-7</c:v>
                </c:pt>
                <c:pt idx="154">
                  <c:v>9.8503890008570959E-8</c:v>
                </c:pt>
                <c:pt idx="155">
                  <c:v>8.6428160375039054E-8</c:v>
                </c:pt>
                <c:pt idx="156">
                  <c:v>7.5832811325151839E-8</c:v>
                </c:pt>
                <c:pt idx="157">
                  <c:v>6.6536360932852714E-8</c:v>
                </c:pt>
                <c:pt idx="158">
                  <c:v>5.8379575395202251E-8</c:v>
                </c:pt>
                <c:pt idx="159">
                  <c:v>5.1222741603851345E-8</c:v>
                </c:pt>
                <c:pt idx="160">
                  <c:v>4.4943274075791749E-8</c:v>
                </c:pt>
                <c:pt idx="161">
                  <c:v>3.9433615253812623E-8</c:v>
                </c:pt>
                <c:pt idx="162">
                  <c:v>3.4599393212060496E-8</c:v>
                </c:pt>
                <c:pt idx="163">
                  <c:v>3.0357805211051123E-8</c:v>
                </c:pt>
                <c:pt idx="164">
                  <c:v>2.6636199414933004E-8</c:v>
                </c:pt>
                <c:pt idx="165">
                  <c:v>2.3370830478015037E-8</c:v>
                </c:pt>
                <c:pt idx="166">
                  <c:v>2.0505767685682058E-8</c:v>
                </c:pt>
                <c:pt idx="167">
                  <c:v>1.799193694784251E-8</c:v>
                </c:pt>
                <c:pt idx="168">
                  <c:v>1.5786280235739112E-8</c:v>
                </c:pt>
                <c:pt idx="169">
                  <c:v>1.3851018064576464E-8</c:v>
                </c:pt>
                <c:pt idx="170">
                  <c:v>1.215300238943472E-8</c:v>
                </c:pt>
                <c:pt idx="171">
                  <c:v>1.0663148830578197E-8</c:v>
                </c:pt>
                <c:pt idx="172">
                  <c:v>9.3559385030574248E-9</c:v>
                </c:pt>
                <c:pt idx="173">
                  <c:v>8.2089809177169661E-9</c:v>
                </c:pt>
                <c:pt idx="174">
                  <c:v>7.2026304667799796E-9</c:v>
                </c:pt>
                <c:pt idx="175">
                  <c:v>6.3196499250013071E-9</c:v>
                </c:pt>
                <c:pt idx="176">
                  <c:v>5.5449152026848004E-9</c:v>
                </c:pt>
                <c:pt idx="177">
                  <c:v>4.8651562934411528E-9</c:v>
                </c:pt>
                <c:pt idx="178">
                  <c:v>4.2687299795223862E-9</c:v>
                </c:pt>
                <c:pt idx="179">
                  <c:v>3.7454204015272507E-9</c:v>
                </c:pt>
                <c:pt idx="180">
                  <c:v>3.2862640765453424E-9</c:v>
                </c:pt>
                <c:pt idx="181">
                  <c:v>2.8833963675716462E-9</c:v>
                </c:pt>
                <c:pt idx="182">
                  <c:v>2.5299167744502629E-9</c:v>
                </c:pt>
                <c:pt idx="183">
                  <c:v>2.2197707389897321E-9</c:v>
                </c:pt>
                <c:pt idx="184">
                  <c:v>1.9476459397545653E-9</c:v>
                </c:pt>
                <c:pt idx="185">
                  <c:v>1.7088813002233158E-9</c:v>
                </c:pt>
                <c:pt idx="186">
                  <c:v>1.4993871517638016E-9</c:v>
                </c:pt>
                <c:pt idx="187">
                  <c:v>1.3155751839408487E-9</c:v>
                </c:pt>
                <c:pt idx="188">
                  <c:v>1.1542969823137721E-9</c:v>
                </c:pt>
                <c:pt idx="189">
                  <c:v>1.0127901009712178E-9</c:v>
                </c:pt>
                <c:pt idx="190">
                  <c:v>8.8863074610937697E-10</c:v>
                </c:pt>
                <c:pt idx="191">
                  <c:v>7.796922601965175E-10</c:v>
                </c:pt>
                <c:pt idx="192">
                  <c:v>6.8410869562184627E-10</c:v>
                </c:pt>
                <c:pt idx="193">
                  <c:v>6.0024285390169924E-10</c:v>
                </c:pt>
                <c:pt idx="194">
                  <c:v>5.2665824300414156E-10</c:v>
                </c:pt>
                <c:pt idx="195">
                  <c:v>4.6209447246436301E-10</c:v>
                </c:pt>
                <c:pt idx="196">
                  <c:v>4.0544566484728654E-10</c:v>
                </c:pt>
                <c:pt idx="197">
                  <c:v>3.5574151377916722E-10</c:v>
                </c:pt>
                <c:pt idx="198">
                  <c:v>3.1213066410158797E-10</c:v>
                </c:pt>
                <c:pt idx="199">
                  <c:v>2.7386612947561964E-10</c:v>
                </c:pt>
                <c:pt idx="200">
                  <c:v>2.4029249766228044E-10</c:v>
                </c:pt>
                <c:pt idx="201">
                  <c:v>2.1083470432555726E-10</c:v>
                </c:pt>
                <c:pt idx="202">
                  <c:v>1.8498818307061454E-10</c:v>
                </c:pt>
                <c:pt idx="203">
                  <c:v>1.6231022300259415E-10</c:v>
                </c:pt>
                <c:pt idx="204">
                  <c:v>1.4241238577436842E-10</c:v>
                </c:pt>
                <c:pt idx="205">
                  <c:v>1.2495385223901381E-10</c:v>
                </c:pt>
                <c:pt idx="206">
                  <c:v>1.0963558474546271E-10</c:v>
                </c:pt>
                <c:pt idx="207">
                  <c:v>9.6195205086495077E-11</c:v>
                </c:pt>
                <c:pt idx="208">
                  <c:v>8.4402500366249076E-11</c:v>
                </c:pt>
                <c:pt idx="209">
                  <c:v>7.4055479809718592E-11</c:v>
                </c:pt>
                <c:pt idx="210">
                  <c:v>6.4976914973488979E-11</c:v>
                </c:pt>
                <c:pt idx="211">
                  <c:v>5.7011304096877198E-11</c:v>
                </c:pt>
                <c:pt idx="212">
                  <c:v>5.0022208597511079E-11</c:v>
                </c:pt>
                <c:pt idx="213">
                  <c:v>4.388991608964038E-11</c:v>
                </c:pt>
                <c:pt idx="214">
                  <c:v>3.8509389896301389E-11</c:v>
                </c:pt>
                <c:pt idx="215">
                  <c:v>3.3788469933652828E-11</c:v>
                </c:pt>
                <c:pt idx="216">
                  <c:v>2.9646294151417113E-11</c:v>
                </c:pt>
                <c:pt idx="217">
                  <c:v>2.6011913491145512E-11</c:v>
                </c:pt>
                <c:pt idx="218">
                  <c:v>2.2823076638686559E-11</c:v>
                </c:pt>
                <c:pt idx="219">
                  <c:v>2.0025163755548885E-11</c:v>
                </c:pt>
                <c:pt idx="220">
                  <c:v>1.7570250925627451E-11</c:v>
                </c:pt>
                <c:pt idx="221">
                  <c:v>1.5416289292713977E-11</c:v>
                </c:pt>
                <c:pt idx="222">
                  <c:v>1.3526384828687953E-11</c:v>
                </c:pt>
                <c:pt idx="223">
                  <c:v>1.1868166395932344E-11</c:v>
                </c:pt>
                <c:pt idx="224">
                  <c:v>1.0413231279861521E-11</c:v>
                </c:pt>
                <c:pt idx="225">
                  <c:v>9.1366586943920164E-12</c:v>
                </c:pt>
                <c:pt idx="226">
                  <c:v>8.0165829274579747E-12</c:v>
                </c:pt>
                <c:pt idx="227">
                  <c:v>7.0338188152148239E-12</c:v>
                </c:pt>
                <c:pt idx="228">
                  <c:v>6.171533129884089E-12</c:v>
                </c:pt>
                <c:pt idx="229">
                  <c:v>5.4149562526218754E-12</c:v>
                </c:pt>
                <c:pt idx="230">
                  <c:v>4.7511291928136258E-12</c:v>
                </c:pt>
                <c:pt idx="231">
                  <c:v>4.1686816206273303E-12</c:v>
                </c:pt>
                <c:pt idx="232">
                  <c:v>3.6576371108664557E-12</c:v>
                </c:pt>
                <c:pt idx="233">
                  <c:v>3.2092422622513109E-12</c:v>
                </c:pt>
                <c:pt idx="234">
                  <c:v>2.8158167652066858E-12</c:v>
                </c:pt>
                <c:pt idx="235">
                  <c:v>2.4706218500490849E-12</c:v>
                </c:pt>
                <c:pt idx="236">
                  <c:v>2.1677448622946603E-12</c:v>
                </c:pt>
                <c:pt idx="237">
                  <c:v>1.9019979880415677E-12</c:v>
                </c:pt>
                <c:pt idx="238">
                  <c:v>1.6688293947493318E-12</c:v>
                </c:pt>
                <c:pt idx="239">
                  <c:v>1.4642452653943375E-12</c:v>
                </c:pt>
                <c:pt idx="240">
                  <c:v>1.284741390567235E-12</c:v>
                </c:pt>
                <c:pt idx="241">
                  <c:v>1.127243146790793E-12</c:v>
                </c:pt>
                <c:pt idx="242">
                  <c:v>9.8905283297970487E-13</c:v>
                </c:pt>
                <c:pt idx="243">
                  <c:v>8.6780346299743845E-13</c:v>
                </c:pt>
                <c:pt idx="244">
                  <c:v>7.6141822284816162E-13</c:v>
                </c:pt>
                <c:pt idx="245">
                  <c:v>6.6807489806820924E-13</c:v>
                </c:pt>
                <c:pt idx="246">
                  <c:v>5.8617466201337817E-13</c:v>
                </c:pt>
                <c:pt idx="247">
                  <c:v>5.1431469043373199E-13</c:v>
                </c:pt>
                <c:pt idx="248">
                  <c:v>4.5126413326597951E-13</c:v>
                </c:pt>
                <c:pt idx="249">
                  <c:v>3.9594303207742826E-13</c:v>
                </c:pt>
                <c:pt idx="250">
                  <c:v>3.4740382204996798E-13</c:v>
                </c:pt>
                <c:pt idx="251">
                  <c:v>3.04815101661707E-13</c:v>
                </c:pt>
                <c:pt idx="252">
                  <c:v>2.674473920660348E-13</c:v>
                </c:pt>
                <c:pt idx="253">
                  <c:v>2.3466064224832075E-13</c:v>
                </c:pt>
                <c:pt idx="254">
                  <c:v>2.0589326594292701E-13</c:v>
                </c:pt>
                <c:pt idx="255">
                  <c:v>1.8065252252989701E-13</c:v>
                </c:pt>
                <c:pt idx="256">
                  <c:v>1.5850607715097085E-13</c:v>
                </c:pt>
                <c:pt idx="257">
                  <c:v>1.3907459548278166E-13</c:v>
                </c:pt>
                <c:pt idx="258">
                  <c:v>1.2202524632716192E-13</c:v>
                </c:pt>
                <c:pt idx="259">
                  <c:v>1.0706600072799093E-13</c:v>
                </c:pt>
                <c:pt idx="260">
                  <c:v>9.3940629967280349E-14</c:v>
                </c:pt>
                <c:pt idx="261">
                  <c:v>8.2424316763915113E-14</c:v>
                </c:pt>
                <c:pt idx="262">
                  <c:v>7.2319804501678313E-14</c:v>
                </c:pt>
                <c:pt idx="263">
                  <c:v>6.3454018528797831E-14</c:v>
                </c:pt>
                <c:pt idx="264">
                  <c:v>5.5675101657106639E-14</c:v>
                </c:pt>
                <c:pt idx="265">
                  <c:v>4.8849813083506913E-14</c:v>
                </c:pt>
                <c:pt idx="266">
                  <c:v>4.2861246181289434E-14</c:v>
                </c:pt>
                <c:pt idx="267">
                  <c:v>3.7606826070606825E-14</c:v>
                </c:pt>
                <c:pt idx="268">
                  <c:v>3.299655266958284E-14</c:v>
                </c:pt>
                <c:pt idx="269">
                  <c:v>2.8951459132243274E-14</c:v>
                </c:pt>
                <c:pt idx="270">
                  <c:v>2.5402259268696789E-14</c:v>
                </c:pt>
                <c:pt idx="271">
                  <c:v>2.2288160779967343E-14</c:v>
                </c:pt>
                <c:pt idx="272">
                  <c:v>1.9555823980028208E-14</c:v>
                </c:pt>
                <c:pt idx="273">
                  <c:v>1.7158448169558058E-14</c:v>
                </c:pt>
                <c:pt idx="274">
                  <c:v>1.5054970012415993E-14</c:v>
                </c:pt>
                <c:pt idx="275">
                  <c:v>1.3209360184265579E-14</c:v>
                </c:pt>
                <c:pt idx="276">
                  <c:v>1.159000624602768E-14</c:v>
                </c:pt>
                <c:pt idx="277">
                  <c:v>1.0169171171739767E-14</c:v>
                </c:pt>
                <c:pt idx="278">
                  <c:v>8.9225182562422035E-15</c:v>
                </c:pt>
                <c:pt idx="279">
                  <c:v>7.8286942650956784E-15</c:v>
                </c:pt>
                <c:pt idx="280">
                  <c:v>6.8689636867332264E-15</c:v>
                </c:pt>
                <c:pt idx="281">
                  <c:v>6.0268878221524306E-15</c:v>
                </c:pt>
                <c:pt idx="282">
                  <c:v>5.2880432154510502E-15</c:v>
                </c:pt>
                <c:pt idx="283">
                  <c:v>4.6397746023570564E-15</c:v>
                </c:pt>
                <c:pt idx="284">
                  <c:v>4.0709781451438773E-15</c:v>
                </c:pt>
                <c:pt idx="285">
                  <c:v>3.5719112410805232E-15</c:v>
                </c:pt>
                <c:pt idx="286">
                  <c:v>3.1340256467297958E-15</c:v>
                </c:pt>
                <c:pt idx="287">
                  <c:v>2.7498210597721541E-15</c:v>
                </c:pt>
                <c:pt idx="288">
                  <c:v>2.4127166504385594E-15</c:v>
                </c:pt>
                <c:pt idx="289">
                  <c:v>2.1169383420846292E-15</c:v>
                </c:pt>
                <c:pt idx="290">
                  <c:v>1.8574199101968434E-15</c:v>
                </c:pt>
                <c:pt idx="291">
                  <c:v>1.6297162058098944E-15</c:v>
                </c:pt>
                <c:pt idx="292">
                  <c:v>1.4299270169866577E-15</c:v>
                </c:pt>
                <c:pt idx="293">
                  <c:v>1.2546302642258154E-15</c:v>
                </c:pt>
                <c:pt idx="294">
                  <c:v>1.1008233855378838E-15</c:v>
                </c:pt>
                <c:pt idx="295">
                  <c:v>9.6587190720674304E-16</c:v>
                </c:pt>
                <c:pt idx="296">
                  <c:v>8.4746431933343598E-16</c:v>
                </c:pt>
                <c:pt idx="297">
                  <c:v>7.4357248325015783E-16</c:v>
                </c:pt>
                <c:pt idx="298">
                  <c:v>6.5241689264473559E-16</c:v>
                </c:pt>
                <c:pt idx="299">
                  <c:v>5.7243619337243962E-16</c:v>
                </c:pt>
                <c:pt idx="300">
                  <c:v>5.022604398766914E-16</c:v>
                </c:pt>
                <c:pt idx="301">
                  <c:v>4.4068763014255811E-16</c:v>
                </c:pt>
                <c:pt idx="302">
                  <c:v>3.8666311726311354E-16</c:v>
                </c:pt>
                <c:pt idx="303">
                  <c:v>3.3926154497067186E-16</c:v>
                </c:pt>
                <c:pt idx="304">
                  <c:v>2.9767099771651075E-16</c:v>
                </c:pt>
                <c:pt idx="305">
                  <c:v>2.6117909381448711E-16</c:v>
                </c:pt>
                <c:pt idx="306">
                  <c:v>2.2916078344562573E-16</c:v>
                </c:pt>
                <c:pt idx="307">
                  <c:v>2.0106764252238966E-16</c:v>
                </c:pt>
                <c:pt idx="308">
                  <c:v>1.7641847903310255E-16</c:v>
                </c:pt>
                <c:pt idx="309">
                  <c:v>1.5479109096774497E-16</c:v>
                </c:pt>
                <c:pt idx="310">
                  <c:v>1.3581503465115396E-16</c:v>
                </c:pt>
                <c:pt idx="311">
                  <c:v>1.1916527961636906E-16</c:v>
                </c:pt>
                <c:pt idx="312">
                  <c:v>1.0455664133592864E-16</c:v>
                </c:pt>
                <c:pt idx="313">
                  <c:v>9.1738896452422215E-17</c:v>
                </c:pt>
                <c:pt idx="314">
                  <c:v>8.0492496839760853E-17</c:v>
                </c:pt>
                <c:pt idx="315">
                  <c:v>7.0624809083670227E-17</c:v>
                </c:pt>
                <c:pt idx="316">
                  <c:v>6.1966814969529132E-17</c:v>
                </c:pt>
                <c:pt idx="317">
                  <c:v>5.4370216462018202E-17</c:v>
                </c:pt>
                <c:pt idx="318">
                  <c:v>4.770489558936222E-17</c:v>
                </c:pt>
                <c:pt idx="319">
                  <c:v>4.1856685723915463E-17</c:v>
                </c:pt>
                <c:pt idx="320">
                  <c:v>3.6725416084576978E-17</c:v>
                </c:pt>
                <c:pt idx="321">
                  <c:v>3.2223195966389492E-17</c:v>
                </c:pt>
                <c:pt idx="322">
                  <c:v>2.8272909308831322E-17</c:v>
                </c:pt>
                <c:pt idx="323">
                  <c:v>2.4806893817086708E-17</c:v>
                </c:pt>
                <c:pt idx="324">
                  <c:v>2.1765782011686858E-17</c:v>
                </c:pt>
                <c:pt idx="325">
                  <c:v>1.9097484355496297E-17</c:v>
                </c:pt>
                <c:pt idx="326">
                  <c:v>1.6756297040584041E-17</c:v>
                </c:pt>
                <c:pt idx="327">
                  <c:v>1.4702119152749993E-17</c:v>
                </c:pt>
                <c:pt idx="328">
                  <c:v>1.2899765804946854E-17</c:v>
                </c:pt>
                <c:pt idx="329">
                  <c:v>1.1318365474636406E-17</c:v>
                </c:pt>
                <c:pt idx="330">
                  <c:v>9.9308312224021158E-18</c:v>
                </c:pt>
                <c:pt idx="331">
                  <c:v>8.7133967346115268E-18</c:v>
                </c:pt>
                <c:pt idx="332">
                  <c:v>7.6452092432574984E-18</c:v>
                </c:pt>
                <c:pt idx="333">
                  <c:v>6.7079723503254164E-18</c:v>
                </c:pt>
                <c:pt idx="334">
                  <c:v>5.8856326388207331E-18</c:v>
                </c:pt>
                <c:pt idx="335">
                  <c:v>5.1641047025889162E-18</c:v>
                </c:pt>
                <c:pt idx="336">
                  <c:v>4.5310298851143129E-18</c:v>
                </c:pt>
                <c:pt idx="337">
                  <c:v>3.9755645948670676E-18</c:v>
                </c:pt>
                <c:pt idx="338">
                  <c:v>3.4881945713676984E-18</c:v>
                </c:pt>
                <c:pt idx="339">
                  <c:v>3.0605719206345662E-18</c:v>
                </c:pt>
                <c:pt idx="340">
                  <c:v>2.6853721286837442E-18</c:v>
                </c:pt>
                <c:pt idx="341">
                  <c:v>2.3561686039439057E-18</c:v>
                </c:pt>
                <c:pt idx="342">
                  <c:v>2.0673225996920207E-18</c:v>
                </c:pt>
                <c:pt idx="343">
                  <c:v>1.8138866310516049E-18</c:v>
                </c:pt>
                <c:pt idx="344">
                  <c:v>1.591519732236225E-18</c:v>
                </c:pt>
                <c:pt idx="345">
                  <c:v>1.3964131025260329E-18</c:v>
                </c:pt>
                <c:pt idx="346">
                  <c:v>1.2252248674080229E-18</c:v>
                </c:pt>
                <c:pt idx="347">
                  <c:v>1.0750228374393397E-18</c:v>
                </c:pt>
                <c:pt idx="348">
                  <c:v>9.43234284381585E-19</c:v>
                </c:pt>
                <c:pt idx="349">
                  <c:v>8.2760187434905858E-19</c:v>
                </c:pt>
                <c:pt idx="350">
                  <c:v>7.2614500317398225E-19</c:v>
                </c:pt>
                <c:pt idx="351">
                  <c:v>6.371258717233746E-19</c:v>
                </c:pt>
                <c:pt idx="352">
                  <c:v>5.5901972009027306E-19</c:v>
                </c:pt>
                <c:pt idx="353">
                  <c:v>4.9048871081708144E-19</c:v>
                </c:pt>
                <c:pt idx="354">
                  <c:v>4.3035901381109191E-19</c:v>
                </c:pt>
                <c:pt idx="355">
                  <c:v>3.7760070045225931E-19</c:v>
                </c:pt>
                <c:pt idx="356">
                  <c:v>3.3131010251042174E-19</c:v>
                </c:pt>
                <c:pt idx="357">
                  <c:v>2.9069433370753002E-19</c:v>
                </c:pt>
                <c:pt idx="358">
                  <c:v>2.5505770880321007E-19</c:v>
                </c:pt>
                <c:pt idx="359">
                  <c:v>2.2378982758361888E-19</c:v>
                </c:pt>
                <c:pt idx="360">
                  <c:v>1.9635511965077115E-19</c:v>
                </c:pt>
                <c:pt idx="361">
                  <c:v>1.7228367093076421E-19</c:v>
                </c:pt>
                <c:pt idx="362">
                  <c:v>1.5116317477318845E-19</c:v>
                </c:pt>
                <c:pt idx="363">
                  <c:v>1.3263186977651754E-19</c:v>
                </c:pt>
                <c:pt idx="364">
                  <c:v>1.1637234337536041E-19</c:v>
                </c:pt>
                <c:pt idx="365">
                  <c:v>1.0210609505461781E-19</c:v>
                </c:pt>
              </c:numCache>
            </c:numRef>
          </c:yVal>
          <c:smooth val="1"/>
          <c:extLst>
            <c:ext xmlns:c16="http://schemas.microsoft.com/office/drawing/2014/chart" uri="{C3380CC4-5D6E-409C-BE32-E72D297353CC}">
              <c16:uniqueId val="{00000001-A669-4CB9-84F4-49AE9BAF6CDE}"/>
            </c:ext>
          </c:extLst>
        </c:ser>
        <c:ser>
          <c:idx val="2"/>
          <c:order val="2"/>
          <c:tx>
            <c:strRef>
              <c:f>'Min rate concentrations'!$F$2</c:f>
              <c:strCache>
                <c:ptCount val="1"/>
                <c:pt idx="0">
                  <c:v>Broadleaf plants</c:v>
                </c:pt>
              </c:strCache>
            </c:strRef>
          </c:tx>
          <c:spPr>
            <a:ln w="19050" cap="rnd">
              <a:solidFill>
                <a:schemeClr val="accent6"/>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concentrations'!$F$3:$F$368</c:f>
              <c:numCache>
                <c:formatCode>0</c:formatCode>
                <c:ptCount val="366"/>
                <c:pt idx="0" formatCode="General">
                  <c:v>67.5</c:v>
                </c:pt>
                <c:pt idx="1">
                  <c:v>59.225080601461734</c:v>
                </c:pt>
                <c:pt idx="2">
                  <c:v>51.964595144439095</c:v>
                </c:pt>
                <c:pt idx="3">
                  <c:v>45.594182753359</c:v>
                </c:pt>
                <c:pt idx="4">
                  <c:v>40.004728126303164</c:v>
                </c:pt>
                <c:pt idx="5">
                  <c:v>35.10049255881286</c:v>
                </c:pt>
                <c:pt idx="6">
                  <c:v>30.797474088099253</c:v>
                </c:pt>
                <c:pt idx="7">
                  <c:v>27.021968669468261</c:v>
                </c:pt>
                <c:pt idx="8">
                  <c:v>23.709307740139725</c:v>
                </c:pt>
                <c:pt idx="9">
                  <c:v>20.802750546883495</c:v>
                </c:pt>
                <c:pt idx="10">
                  <c:v>18.252512264759662</c:v>
                </c:pt>
                <c:pt idx="11">
                  <c:v>16.014911260141627</c:v>
                </c:pt>
                <c:pt idx="12">
                  <c:v>14.051620891957704</c:v>
                </c:pt>
                <c:pt idx="13">
                  <c:v>12.329013035664868</c:v>
                </c:pt>
                <c:pt idx="14">
                  <c:v>10.817582085536655</c:v>
                </c:pt>
                <c:pt idx="15">
                  <c:v>9.4914395693161033</c:v>
                </c:pt>
                <c:pt idx="16">
                  <c:v>8.3278707187651779</c:v>
                </c:pt>
                <c:pt idx="17">
                  <c:v>7.3069454008506778</c:v>
                </c:pt>
                <c:pt idx="18">
                  <c:v>6.4111767454201702</c:v>
                </c:pt>
                <c:pt idx="19">
                  <c:v>5.625221622188544</c:v>
                </c:pt>
                <c:pt idx="20">
                  <c:v>4.9356178366696568</c:v>
                </c:pt>
                <c:pt idx="21">
                  <c:v>4.3305535436262614</c:v>
                </c:pt>
                <c:pt idx="22">
                  <c:v>3.7996649284475716</c:v>
                </c:pt>
                <c:pt idx="23">
                  <c:v>3.3338586910497003</c:v>
                </c:pt>
                <c:pt idx="24">
                  <c:v>2.9251562917229958</c:v>
                </c:pt>
                <c:pt idx="25">
                  <c:v>2.5665572910987753</c:v>
                </c:pt>
                <c:pt idx="26">
                  <c:v>2.2519194434606558</c:v>
                </c:pt>
                <c:pt idx="27">
                  <c:v>1.9758534895845361</c:v>
                </c:pt>
                <c:pt idx="28">
                  <c:v>1.7336308470714605</c:v>
                </c:pt>
                <c:pt idx="29">
                  <c:v>1.5211026170516686</c:v>
                </c:pt>
                <c:pt idx="30">
                  <c:v>1.334628519970066</c:v>
                </c:pt>
                <c:pt idx="31">
                  <c:v>1.1710145432331369</c:v>
                </c:pt>
                <c:pt idx="32">
                  <c:v>1.0274582327180213</c:v>
                </c:pt>
                <c:pt idx="33">
                  <c:v>0.90150069107200359</c:v>
                </c:pt>
                <c:pt idx="34">
                  <c:v>0.79098446060759808</c:v>
                </c:pt>
                <c:pt idx="35">
                  <c:v>0.69401656939242562</c:v>
                </c:pt>
                <c:pt idx="36">
                  <c:v>0.60893610757061289</c:v>
                </c:pt>
                <c:pt idx="37">
                  <c:v>0.53428577854829518</c:v>
                </c:pt>
                <c:pt idx="38">
                  <c:v>0.46878693775907432</c:v>
                </c:pt>
                <c:pt idx="39">
                  <c:v>0.41131769146212743</c:v>
                </c:pt>
                <c:pt idx="40">
                  <c:v>0.36089368043928394</c:v>
                </c:pt>
                <c:pt idx="41">
                  <c:v>0.31665121944555208</c:v>
                </c:pt>
                <c:pt idx="42">
                  <c:v>0.27783250361798473</c:v>
                </c:pt>
                <c:pt idx="43">
                  <c:v>0.24377262845157119</c:v>
                </c:pt>
                <c:pt idx="44">
                  <c:v>0.21388820101443687</c:v>
                </c:pt>
                <c:pt idx="45">
                  <c:v>0.18766734733009885</c:v>
                </c:pt>
                <c:pt idx="46">
                  <c:v>0.16466094476870546</c:v>
                </c:pt>
                <c:pt idx="47">
                  <c:v>0.14447492927169511</c:v>
                </c:pt>
                <c:pt idx="48">
                  <c:v>0.12676354564454262</c:v>
                </c:pt>
                <c:pt idx="49">
                  <c:v>0.11122342530555719</c:v>
                </c:pt>
                <c:pt idx="50">
                  <c:v>9.7588390051737528E-2</c:v>
                </c:pt>
                <c:pt idx="51">
                  <c:v>8.5624892838237654E-2</c:v>
                </c:pt>
                <c:pt idx="52">
                  <c:v>7.5128017479054052E-2</c:v>
                </c:pt>
                <c:pt idx="53">
                  <c:v>6.5917968750000028E-2</c:v>
                </c:pt>
                <c:pt idx="54">
                  <c:v>5.7836992774865002E-2</c:v>
                </c:pt>
                <c:pt idx="55">
                  <c:v>5.0746674945741331E-2</c:v>
                </c:pt>
                <c:pt idx="56">
                  <c:v>4.4525569095077176E-2</c:v>
                </c:pt>
                <c:pt idx="57">
                  <c:v>3.9067117310842954E-2</c:v>
                </c:pt>
                <c:pt idx="58">
                  <c:v>3.4277824764465704E-2</c:v>
                </c:pt>
                <c:pt idx="59">
                  <c:v>3.0075658289159445E-2</c:v>
                </c:pt>
                <c:pt idx="60">
                  <c:v>2.6388641278777613E-2</c:v>
                </c:pt>
                <c:pt idx="61">
                  <c:v>2.3153620839980214E-2</c:v>
                </c:pt>
                <c:pt idx="62">
                  <c:v>2.0315186080940923E-2</c:v>
                </c:pt>
                <c:pt idx="63">
                  <c:v>1.7824719008554365E-2</c:v>
                </c:pt>
                <c:pt idx="64">
                  <c:v>1.5639561777482065E-2</c:v>
                </c:pt>
                <c:pt idx="65">
                  <c:v>1.372228602730245E-2</c:v>
                </c:pt>
                <c:pt idx="66">
                  <c:v>1.2040051792641478E-2</c:v>
                </c:pt>
                <c:pt idx="67">
                  <c:v>1.0564045005406895E-2</c:v>
                </c:pt>
                <c:pt idx="68">
                  <c:v>9.2689839544102606E-3</c:v>
                </c:pt>
                <c:pt idx="69">
                  <c:v>8.1326862487941208E-3</c:v>
                </c:pt>
                <c:pt idx="70">
                  <c:v>7.1356888680182418E-3</c:v>
                </c:pt>
                <c:pt idx="71">
                  <c:v>6.2609147904493867E-3</c:v>
                </c:pt>
                <c:pt idx="72">
                  <c:v>5.4933804904185009E-3</c:v>
                </c:pt>
                <c:pt idx="73">
                  <c:v>4.8199392936227126E-3</c:v>
                </c:pt>
                <c:pt idx="74">
                  <c:v>4.2290561949475218E-3</c:v>
                </c:pt>
                <c:pt idx="75">
                  <c:v>3.7106102816870821E-3</c:v>
                </c:pt>
                <c:pt idx="76">
                  <c:v>3.2557213779782234E-3</c:v>
                </c:pt>
                <c:pt idx="77">
                  <c:v>2.8565979411357386E-3</c:v>
                </c:pt>
                <c:pt idx="78">
                  <c:v>2.5064036045886482E-3</c:v>
                </c:pt>
                <c:pt idx="79">
                  <c:v>2.1991400815045471E-3</c:v>
                </c:pt>
                <c:pt idx="80">
                  <c:v>1.929544423422399E-3</c:v>
                </c:pt>
                <c:pt idx="81">
                  <c:v>1.6929988740932236E-3</c:v>
                </c:pt>
                <c:pt idx="82">
                  <c:v>1.4854517744645206E-3</c:v>
                </c:pt>
                <c:pt idx="83">
                  <c:v>1.3033481640332681E-3</c:v>
                </c:pt>
                <c:pt idx="84">
                  <c:v>1.1435688898761107E-3</c:v>
                </c:pt>
                <c:pt idx="85">
                  <c:v>1.0033771803886929E-3</c:v>
                </c:pt>
                <c:pt idx="86">
                  <c:v>8.8037176862500361E-4</c:v>
                </c:pt>
                <c:pt idx="87">
                  <c:v>7.7244576231210761E-4</c:v>
                </c:pt>
                <c:pt idx="88">
                  <c:v>6.7775055604729075E-4</c:v>
                </c:pt>
                <c:pt idx="89">
                  <c:v>5.9466416754942676E-4</c:v>
                </c:pt>
                <c:pt idx="90">
                  <c:v>5.2176345561356962E-4</c:v>
                </c:pt>
                <c:pt idx="91">
                  <c:v>4.5779974390534612E-4</c:v>
                </c:pt>
                <c:pt idx="92">
                  <c:v>4.0167743306848393E-4</c:v>
                </c:pt>
                <c:pt idx="93">
                  <c:v>3.5243523480398833E-4</c:v>
                </c:pt>
                <c:pt idx="94">
                  <c:v>3.0922970648979706E-4</c:v>
                </c:pt>
                <c:pt idx="95">
                  <c:v>2.7132080431443832E-4</c:v>
                </c:pt>
                <c:pt idx="96">
                  <c:v>2.3805920747223757E-4</c:v>
                </c:pt>
                <c:pt idx="97">
                  <c:v>2.0887519630316106E-4</c:v>
                </c:pt>
                <c:pt idx="98">
                  <c:v>1.8326889387704971E-4</c:v>
                </c:pt>
                <c:pt idx="99">
                  <c:v>1.6080170387568898E-4</c:v>
                </c:pt>
                <c:pt idx="100">
                  <c:v>1.4108879811688981E-4</c:v>
                </c:pt>
                <c:pt idx="101">
                  <c:v>1.2379252504349871E-4</c:v>
                </c:pt>
                <c:pt idx="102">
                  <c:v>1.0861662627495824E-4</c:v>
                </c:pt>
                <c:pt idx="103">
                  <c:v>9.530116215989997E-5</c:v>
                </c:pt>
                <c:pt idx="104">
                  <c:v>8.36180594123415E-5</c:v>
                </c:pt>
                <c:pt idx="105">
                  <c:v>7.3367204569388763E-5</c:v>
                </c:pt>
                <c:pt idx="106">
                  <c:v>6.4373016357421943E-5</c:v>
                </c:pt>
                <c:pt idx="107">
                  <c:v>5.6481438256704138E-5</c:v>
                </c:pt>
                <c:pt idx="108">
                  <c:v>4.9557299751700546E-5</c:v>
                </c:pt>
                <c:pt idx="109">
                  <c:v>4.3482001069411325E-5</c:v>
                </c:pt>
                <c:pt idx="110">
                  <c:v>3.8151481748870093E-5</c:v>
                </c:pt>
                <c:pt idx="111">
                  <c:v>3.347443824654856E-5</c:v>
                </c:pt>
                <c:pt idx="112">
                  <c:v>2.9370760048007287E-5</c:v>
                </c:pt>
                <c:pt idx="113">
                  <c:v>2.5770157498806276E-5</c:v>
                </c:pt>
                <c:pt idx="114">
                  <c:v>2.2610957851543188E-5</c:v>
                </c:pt>
                <c:pt idx="115">
                  <c:v>1.983904890716888E-5</c:v>
                </c:pt>
                <c:pt idx="116">
                  <c:v>1.7406952156791382E-5</c:v>
                </c:pt>
                <c:pt idx="117">
                  <c:v>1.5273009548322339E-5</c:v>
                </c:pt>
                <c:pt idx="118">
                  <c:v>1.3400669948537559E-5</c:v>
                </c:pt>
                <c:pt idx="119">
                  <c:v>1.1757863078751452E-5</c:v>
                </c:pt>
                <c:pt idx="120">
                  <c:v>1.0316450200592677E-5</c:v>
                </c:pt>
                <c:pt idx="121">
                  <c:v>9.0517421429787769E-6</c:v>
                </c:pt>
                <c:pt idx="122">
                  <c:v>7.9420764148380154E-6</c:v>
                </c:pt>
                <c:pt idx="123">
                  <c:v>6.9684461601740701E-6</c:v>
                </c:pt>
                <c:pt idx="124">
                  <c:v>6.1141746000482343E-6</c:v>
                </c:pt>
                <c:pt idx="125">
                  <c:v>5.3646293851743224E-6</c:v>
                </c:pt>
                <c:pt idx="126">
                  <c:v>4.7069719664284345E-6</c:v>
                </c:pt>
                <c:pt idx="127">
                  <c:v>4.1299376903784426E-6</c:v>
                </c:pt>
                <c:pt idx="128">
                  <c:v>3.6236428532100441E-6</c:v>
                </c:pt>
                <c:pt idx="129">
                  <c:v>3.1794154081818614E-6</c:v>
                </c:pt>
                <c:pt idx="130">
                  <c:v>2.7896464268903718E-6</c:v>
                </c:pt>
                <c:pt idx="131">
                  <c:v>2.4476597701061038E-6</c:v>
                </c:pt>
                <c:pt idx="132">
                  <c:v>2.1475977358442859E-6</c:v>
                </c:pt>
                <c:pt idx="133">
                  <c:v>1.884320725998438E-6</c:v>
                </c:pt>
                <c:pt idx="134">
                  <c:v>1.653319212981665E-6</c:v>
                </c:pt>
                <c:pt idx="135">
                  <c:v>1.4506364985005094E-6</c:v>
                </c:pt>
                <c:pt idx="136">
                  <c:v>1.2728009414387392E-6</c:v>
                </c:pt>
                <c:pt idx="137">
                  <c:v>1.11676649401964E-6</c:v>
                </c:pt>
                <c:pt idx="138">
                  <c:v>9.7986052772333352E-7</c:v>
                </c:pt>
                <c:pt idx="139">
                  <c:v>8.5973805529785573E-7</c:v>
                </c:pt>
                <c:pt idx="140">
                  <c:v>7.5434156475791812E-7</c:v>
                </c:pt>
                <c:pt idx="141">
                  <c:v>6.618657773899329E-7</c:v>
                </c:pt>
                <c:pt idx="142">
                  <c:v>5.807267261224875E-7</c:v>
                </c:pt>
                <c:pt idx="143">
                  <c:v>5.095346246226269E-7</c:v>
                </c:pt>
                <c:pt idx="144">
                  <c:v>4.4707006240756484E-7</c:v>
                </c:pt>
                <c:pt idx="145">
                  <c:v>3.9226311823094155E-7</c:v>
                </c:pt>
                <c:pt idx="146">
                  <c:v>3.4417503398827006E-7</c:v>
                </c:pt>
                <c:pt idx="147">
                  <c:v>3.019821352439426E-7</c:v>
                </c:pt>
                <c:pt idx="148">
                  <c:v>2.6496172296331878E-7</c:v>
                </c:pt>
                <c:pt idx="149">
                  <c:v>2.3247969479710711E-7</c:v>
                </c:pt>
                <c:pt idx="150">
                  <c:v>2.0397968388980583E-7</c:v>
                </c:pt>
                <c:pt idx="151">
                  <c:v>1.7897352917680646E-7</c:v>
                </c:pt>
                <c:pt idx="152">
                  <c:v>1.570329139411026E-7</c:v>
                </c:pt>
                <c:pt idx="153">
                  <c:v>1.3778202941102526E-7</c:v>
                </c:pt>
                <c:pt idx="154">
                  <c:v>1.2089113773779173E-7</c:v>
                </c:pt>
                <c:pt idx="155">
                  <c:v>1.0607092409663893E-7</c:v>
                </c:pt>
                <c:pt idx="156">
                  <c:v>9.3067541171777341E-8</c:v>
                </c:pt>
                <c:pt idx="157">
                  <c:v>8.1658261144864759E-8</c:v>
                </c:pt>
                <c:pt idx="158">
                  <c:v>7.1647660712293727E-8</c:v>
                </c:pt>
                <c:pt idx="159">
                  <c:v>6.2864273786544879E-8</c:v>
                </c:pt>
                <c:pt idx="160">
                  <c:v>5.5157654547562648E-8</c:v>
                </c:pt>
                <c:pt idx="161">
                  <c:v>4.8395800538770077E-8</c:v>
                </c:pt>
                <c:pt idx="162">
                  <c:v>4.2462891669347011E-8</c:v>
                </c:pt>
                <c:pt idx="163">
                  <c:v>3.7257306395380956E-8</c:v>
                </c:pt>
                <c:pt idx="164">
                  <c:v>3.2689881100145078E-8</c:v>
                </c:pt>
                <c:pt idx="165">
                  <c:v>2.8682382859382116E-8</c:v>
                </c:pt>
                <c:pt idx="166">
                  <c:v>2.5166169432428004E-8</c:v>
                </c:pt>
                <c:pt idx="167">
                  <c:v>2.2081013526897644E-8</c:v>
                </c:pt>
                <c:pt idx="168">
                  <c:v>1.937407119840711E-8</c:v>
                </c:pt>
                <c:pt idx="169">
                  <c:v>1.6998976715616584E-8</c:v>
                </c:pt>
                <c:pt idx="170">
                  <c:v>1.4915048387033534E-8</c:v>
                </c:pt>
                <c:pt idx="171">
                  <c:v>1.308659174661871E-8</c:v>
                </c:pt>
                <c:pt idx="172">
                  <c:v>1.1482288162843215E-8</c:v>
                </c:pt>
                <c:pt idx="173">
                  <c:v>1.0074658399016287E-8</c:v>
                </c:pt>
                <c:pt idx="174">
                  <c:v>8.8395919365027118E-9</c:v>
                </c:pt>
                <c:pt idx="175">
                  <c:v>7.7559339988652494E-9</c:v>
                </c:pt>
                <c:pt idx="176">
                  <c:v>6.8051232032949904E-9</c:v>
                </c:pt>
                <c:pt idx="177">
                  <c:v>5.9708736328596038E-9</c:v>
                </c:pt>
                <c:pt idx="178">
                  <c:v>5.2388958839592992E-9</c:v>
                </c:pt>
                <c:pt idx="179">
                  <c:v>4.5966523109652681E-9</c:v>
                </c:pt>
                <c:pt idx="180">
                  <c:v>4.0331422757601979E-9</c:v>
                </c:pt>
                <c:pt idx="181">
                  <c:v>3.5387137238379337E-9</c:v>
                </c:pt>
                <c:pt idx="182">
                  <c:v>3.104897859552599E-9</c:v>
                </c:pt>
                <c:pt idx="183">
                  <c:v>2.7242640887601287E-9</c:v>
                </c:pt>
                <c:pt idx="184">
                  <c:v>2.390292744244242E-9</c:v>
                </c:pt>
                <c:pt idx="185">
                  <c:v>2.0972634139104355E-9</c:v>
                </c:pt>
                <c:pt idx="186">
                  <c:v>1.8401569589828496E-9</c:v>
                </c:pt>
                <c:pt idx="187">
                  <c:v>1.6145695439274072E-9</c:v>
                </c:pt>
                <c:pt idx="188">
                  <c:v>1.4166372055669037E-9</c:v>
                </c:pt>
                <c:pt idx="189">
                  <c:v>1.2429696693737687E-9</c:v>
                </c:pt>
                <c:pt idx="190">
                  <c:v>1.0905922793160547E-9</c:v>
                </c:pt>
                <c:pt idx="191">
                  <c:v>9.5689504660481789E-10</c:v>
                </c:pt>
                <c:pt idx="192">
                  <c:v>8.3958794462681223E-10</c:v>
                </c:pt>
                <c:pt idx="193">
                  <c:v>7.3666168433390441E-10</c:v>
                </c:pt>
                <c:pt idx="194">
                  <c:v>6.4635329823235635E-10</c:v>
                </c:pt>
                <c:pt idx="195">
                  <c:v>5.671159434789917E-10</c:v>
                </c:pt>
                <c:pt idx="196">
                  <c:v>4.9759240685803408E-10</c:v>
                </c:pt>
                <c:pt idx="197">
                  <c:v>4.3659185781988754E-10</c:v>
                </c:pt>
                <c:pt idx="198">
                  <c:v>3.8306945139740386E-10</c:v>
                </c:pt>
                <c:pt idx="199">
                  <c:v>3.3610843162916998E-10</c:v>
                </c:pt>
                <c:pt idx="200">
                  <c:v>2.949044289491627E-10</c:v>
                </c:pt>
                <c:pt idx="201">
                  <c:v>2.5875168258136599E-10</c:v>
                </c:pt>
                <c:pt idx="202">
                  <c:v>2.2703095195029991E-10</c:v>
                </c:pt>
                <c:pt idx="203">
                  <c:v>1.991989100486385E-10</c:v>
                </c:pt>
                <c:pt idx="204">
                  <c:v>1.7477883708672506E-10</c:v>
                </c:pt>
                <c:pt idx="205">
                  <c:v>1.5335245502060801E-10</c:v>
                </c:pt>
                <c:pt idx="206">
                  <c:v>1.3455276309670436E-10</c:v>
                </c:pt>
                <c:pt idx="207">
                  <c:v>1.1805775169706224E-10</c:v>
                </c:pt>
                <c:pt idx="208">
                  <c:v>1.0358488681312395E-10</c:v>
                </c:pt>
                <c:pt idx="209">
                  <c:v>9.088627067556381E-11</c:v>
                </c:pt>
                <c:pt idx="210">
                  <c:v>7.9744395649281991E-11</c:v>
                </c:pt>
                <c:pt idx="211">
                  <c:v>6.9968418664349343E-11</c:v>
                </c:pt>
                <c:pt idx="212">
                  <c:v>6.1390892369672734E-11</c:v>
                </c:pt>
                <c:pt idx="213">
                  <c:v>5.3864897019104148E-11</c:v>
                </c:pt>
                <c:pt idx="214">
                  <c:v>4.7261523963642654E-11</c:v>
                </c:pt>
                <c:pt idx="215">
                  <c:v>4.146766764584669E-11</c:v>
                </c:pt>
                <c:pt idx="216">
                  <c:v>3.6384088276739215E-11</c:v>
                </c:pt>
                <c:pt idx="217">
                  <c:v>3.1923712011860428E-11</c:v>
                </c:pt>
                <c:pt idx="218">
                  <c:v>2.8010139511115348E-11</c:v>
                </c:pt>
                <c:pt idx="219">
                  <c:v>2.4576337336355473E-11</c:v>
                </c:pt>
                <c:pt idx="220">
                  <c:v>2.1563489772360981E-11</c:v>
                </c:pt>
                <c:pt idx="221">
                  <c:v>1.8919991404694443E-11</c:v>
                </c:pt>
                <c:pt idx="222">
                  <c:v>1.660056319884432E-11</c:v>
                </c:pt>
                <c:pt idx="223">
                  <c:v>1.4565476940462436E-11</c:v>
                </c:pt>
                <c:pt idx="224">
                  <c:v>1.2779874752557334E-11</c:v>
                </c:pt>
                <c:pt idx="225">
                  <c:v>1.1213172034026577E-11</c:v>
                </c:pt>
                <c:pt idx="226">
                  <c:v>9.8385335927893423E-12</c:v>
                </c:pt>
                <c:pt idx="227">
                  <c:v>8.6324140004909295E-12</c:v>
                </c:pt>
                <c:pt idx="228">
                  <c:v>7.5741542957668451E-12</c:v>
                </c:pt>
                <c:pt idx="229">
                  <c:v>6.645628128217764E-12</c:v>
                </c:pt>
                <c:pt idx="230">
                  <c:v>5.8309312820894569E-12</c:v>
                </c:pt>
                <c:pt idx="231">
                  <c:v>5.1161092616790031E-12</c:v>
                </c:pt>
                <c:pt idx="232">
                  <c:v>4.4889182724270196E-12</c:v>
                </c:pt>
                <c:pt idx="233">
                  <c:v>3.9386155036720683E-12</c:v>
                </c:pt>
                <c:pt idx="234">
                  <c:v>3.4557751209354821E-12</c:v>
                </c:pt>
                <c:pt idx="235">
                  <c:v>3.0321268159693349E-12</c:v>
                </c:pt>
                <c:pt idx="236">
                  <c:v>2.6604141491798132E-12</c:v>
                </c:pt>
                <c:pt idx="237">
                  <c:v>2.3342702580510176E-12</c:v>
                </c:pt>
                <c:pt idx="238">
                  <c:v>2.0481088026469097E-12</c:v>
                </c:pt>
                <c:pt idx="239">
                  <c:v>1.7970282802566891E-12</c:v>
                </c:pt>
                <c:pt idx="240">
                  <c:v>1.5767280702416086E-12</c:v>
                </c:pt>
                <c:pt idx="241">
                  <c:v>1.3834347710614294E-12</c:v>
                </c:pt>
                <c:pt idx="242">
                  <c:v>1.213837567747821E-12</c:v>
                </c:pt>
                <c:pt idx="243">
                  <c:v>1.0650315227695847E-12</c:v>
                </c:pt>
                <c:pt idx="244">
                  <c:v>9.3446781895001747E-13</c:v>
                </c:pt>
                <c:pt idx="245">
                  <c:v>8.1991010217462132E-13</c:v>
                </c:pt>
                <c:pt idx="246">
                  <c:v>7.1939617610732853E-13</c:v>
                </c:pt>
                <c:pt idx="247">
                  <c:v>6.312043928050355E-13</c:v>
                </c:pt>
                <c:pt idx="248">
                  <c:v>5.5382416355370283E-13</c:v>
                </c:pt>
                <c:pt idx="249">
                  <c:v>4.859300848222989E-13</c:v>
                </c:pt>
                <c:pt idx="250">
                  <c:v>4.2635923615223392E-13</c:v>
                </c:pt>
                <c:pt idx="251">
                  <c:v>3.740912611302772E-13</c:v>
                </c:pt>
                <c:pt idx="252">
                  <c:v>3.2823089026286131E-13</c:v>
                </c:pt>
                <c:pt idx="253">
                  <c:v>2.879926063956667E-13</c:v>
                </c:pt>
                <c:pt idx="254">
                  <c:v>2.5268719002086523E-13</c:v>
                </c:pt>
                <c:pt idx="255">
                  <c:v>2.2170991401396476E-13</c:v>
                </c:pt>
                <c:pt idx="256">
                  <c:v>1.9453018559437354E-13</c:v>
                </c:pt>
                <c:pt idx="257">
                  <c:v>1.7068245809250494E-13</c:v>
                </c:pt>
                <c:pt idx="258">
                  <c:v>1.4975825685606251E-13</c:v>
                </c:pt>
                <c:pt idx="259">
                  <c:v>1.3139918271162535E-13</c:v>
                </c:pt>
                <c:pt idx="260">
                  <c:v>1.1529077314166234E-13</c:v>
                </c:pt>
                <c:pt idx="261">
                  <c:v>1.0115711602844136E-13</c:v>
                </c:pt>
                <c:pt idx="262">
                  <c:v>8.8756123706605283E-14</c:v>
                </c:pt>
                <c:pt idx="263">
                  <c:v>7.7875386376251944E-14</c:v>
                </c:pt>
                <c:pt idx="264">
                  <c:v>6.8328533851903655E-14</c:v>
                </c:pt>
                <c:pt idx="265">
                  <c:v>5.9952043329758529E-14</c:v>
                </c:pt>
                <c:pt idx="266">
                  <c:v>5.2602438495218895E-14</c:v>
                </c:pt>
                <c:pt idx="267">
                  <c:v>4.6153831995744779E-14</c:v>
                </c:pt>
                <c:pt idx="268">
                  <c:v>4.0495769185397158E-14</c:v>
                </c:pt>
                <c:pt idx="269">
                  <c:v>3.553133620775314E-14</c:v>
                </c:pt>
                <c:pt idx="270">
                  <c:v>3.1175500011582449E-14</c:v>
                </c:pt>
                <c:pt idx="271">
                  <c:v>2.7353651866323582E-14</c:v>
                </c:pt>
                <c:pt idx="272">
                  <c:v>2.4000329430034641E-14</c:v>
                </c:pt>
                <c:pt idx="273">
                  <c:v>2.105809548082127E-14</c:v>
                </c:pt>
                <c:pt idx="274">
                  <c:v>1.8476554106146917E-14</c:v>
                </c:pt>
                <c:pt idx="275">
                  <c:v>1.6211487498871407E-14</c:v>
                </c:pt>
                <c:pt idx="276">
                  <c:v>1.4224098574670347E-14</c:v>
                </c:pt>
                <c:pt idx="277">
                  <c:v>1.2480346438044272E-14</c:v>
                </c:pt>
                <c:pt idx="278">
                  <c:v>1.0950363314479079E-14</c:v>
                </c:pt>
                <c:pt idx="279">
                  <c:v>9.6079429617083421E-15</c:v>
                </c:pt>
                <c:pt idx="280">
                  <c:v>8.4300917973544234E-15</c:v>
                </c:pt>
                <c:pt idx="281">
                  <c:v>7.3966350544598097E-15</c:v>
                </c:pt>
                <c:pt idx="282">
                  <c:v>6.4898712189626602E-15</c:v>
                </c:pt>
                <c:pt idx="283">
                  <c:v>5.6942688301654852E-15</c:v>
                </c:pt>
                <c:pt idx="284">
                  <c:v>4.9962004508584015E-15</c:v>
                </c:pt>
                <c:pt idx="285">
                  <c:v>4.3837092504170113E-15</c:v>
                </c:pt>
                <c:pt idx="286">
                  <c:v>3.8463042028047542E-15</c:v>
                </c:pt>
                <c:pt idx="287">
                  <c:v>3.3747803915385568E-15</c:v>
                </c:pt>
                <c:pt idx="288">
                  <c:v>2.9610613437200537E-15</c:v>
                </c:pt>
                <c:pt idx="289">
                  <c:v>2.5980606925584113E-15</c:v>
                </c:pt>
                <c:pt idx="290">
                  <c:v>2.2795607988779469E-15</c:v>
                </c:pt>
                <c:pt idx="291">
                  <c:v>2.0001062525848727E-15</c:v>
                </c:pt>
                <c:pt idx="292">
                  <c:v>1.7549104299381729E-15</c:v>
                </c:pt>
                <c:pt idx="293">
                  <c:v>1.5397735060953209E-15</c:v>
                </c:pt>
                <c:pt idx="294">
                  <c:v>1.3510105186146772E-15</c:v>
                </c:pt>
                <c:pt idx="295">
                  <c:v>1.1853882497537315E-15</c:v>
                </c:pt>
                <c:pt idx="296">
                  <c:v>1.0400698464546725E-15</c:v>
                </c:pt>
                <c:pt idx="297">
                  <c:v>9.1256622944337644E-16</c:v>
                </c:pt>
                <c:pt idx="298">
                  <c:v>8.0069345915490364E-16</c:v>
                </c:pt>
                <c:pt idx="299">
                  <c:v>7.0253532822981302E-16</c:v>
                </c:pt>
                <c:pt idx="300">
                  <c:v>6.1641053984866748E-16</c:v>
                </c:pt>
                <c:pt idx="301">
                  <c:v>5.4084390972041292E-16</c:v>
                </c:pt>
                <c:pt idx="302">
                  <c:v>4.7454109845927627E-16</c:v>
                </c:pt>
                <c:pt idx="303">
                  <c:v>4.1636644155491594E-16</c:v>
                </c:pt>
                <c:pt idx="304">
                  <c:v>3.6532349719753633E-16</c:v>
                </c:pt>
                <c:pt idx="305">
                  <c:v>3.205379787723255E-16</c:v>
                </c:pt>
                <c:pt idx="306">
                  <c:v>2.8124277968326826E-16</c:v>
                </c:pt>
                <c:pt idx="307">
                  <c:v>2.467648340047512E-16</c:v>
                </c:pt>
                <c:pt idx="308">
                  <c:v>2.1651358790426246E-16</c:v>
                </c:pt>
                <c:pt idx="309">
                  <c:v>1.8997088436950541E-16</c:v>
                </c:pt>
                <c:pt idx="310">
                  <c:v>1.6668208798096186E-16</c:v>
                </c:pt>
                <c:pt idx="311">
                  <c:v>1.4624829771099855E-16</c:v>
                </c:pt>
                <c:pt idx="312">
                  <c:v>1.2831951436682163E-16</c:v>
                </c:pt>
                <c:pt idx="313">
                  <c:v>1.1258864564615463E-16</c:v>
                </c:pt>
                <c:pt idx="314">
                  <c:v>9.8786246121524766E-17</c:v>
                </c:pt>
                <c:pt idx="315">
                  <c:v>8.6675902057231722E-17</c:v>
                </c:pt>
                <c:pt idx="316">
                  <c:v>7.605018200805854E-17</c:v>
                </c:pt>
                <c:pt idx="317">
                  <c:v>6.6727083839749663E-17</c:v>
                </c:pt>
                <c:pt idx="318">
                  <c:v>5.8546917314217313E-17</c:v>
                </c:pt>
                <c:pt idx="319">
                  <c:v>5.1369568842987202E-17</c:v>
                </c:pt>
                <c:pt idx="320">
                  <c:v>4.5072101558344511E-17</c:v>
                </c:pt>
                <c:pt idx="321">
                  <c:v>3.9546649595114412E-17</c:v>
                </c:pt>
                <c:pt idx="322">
                  <c:v>3.4698570515383926E-17</c:v>
                </c:pt>
                <c:pt idx="323">
                  <c:v>3.0444824230060985E-17</c:v>
                </c:pt>
                <c:pt idx="324">
                  <c:v>2.6712550650706623E-17</c:v>
                </c:pt>
                <c:pt idx="325">
                  <c:v>2.3437821709018204E-17</c:v>
                </c:pt>
                <c:pt idx="326">
                  <c:v>2.0564546367989522E-17</c:v>
                </c:pt>
                <c:pt idx="327">
                  <c:v>1.8043509869284099E-17</c:v>
                </c:pt>
                <c:pt idx="328">
                  <c:v>1.5831530760616608E-17</c:v>
                </c:pt>
                <c:pt idx="329">
                  <c:v>1.3890721264326511E-17</c:v>
                </c:pt>
                <c:pt idx="330">
                  <c:v>1.2187838318402609E-17</c:v>
                </c:pt>
                <c:pt idx="331">
                  <c:v>1.0693714174295976E-17</c:v>
                </c:pt>
                <c:pt idx="332">
                  <c:v>9.3827567985433029E-18</c:v>
                </c:pt>
                <c:pt idx="333">
                  <c:v>8.2325115208539291E-18</c:v>
                </c:pt>
                <c:pt idx="334">
                  <c:v>7.2232764203709079E-18</c:v>
                </c:pt>
                <c:pt idx="335">
                  <c:v>6.3377648622682228E-18</c:v>
                </c:pt>
                <c:pt idx="336">
                  <c:v>5.5608094044584817E-18</c:v>
                </c:pt>
                <c:pt idx="337">
                  <c:v>4.8791020027914077E-18</c:v>
                </c:pt>
                <c:pt idx="338">
                  <c:v>4.2809660648603626E-18</c:v>
                </c:pt>
                <c:pt idx="339">
                  <c:v>3.7561564480515177E-18</c:v>
                </c:pt>
                <c:pt idx="340">
                  <c:v>3.2956839761118718E-18</c:v>
                </c:pt>
                <c:pt idx="341">
                  <c:v>2.8916614684766149E-18</c:v>
                </c:pt>
                <c:pt idx="342">
                  <c:v>2.5371686450765736E-18</c:v>
                </c:pt>
                <c:pt idx="343">
                  <c:v>2.226133592654245E-18</c:v>
                </c:pt>
                <c:pt idx="344">
                  <c:v>1.9532287622899148E-18</c:v>
                </c:pt>
                <c:pt idx="345">
                  <c:v>1.713779716736497E-18</c:v>
                </c:pt>
                <c:pt idx="346">
                  <c:v>1.5036850645462118E-18</c:v>
                </c:pt>
                <c:pt idx="347">
                  <c:v>1.3193462095846457E-18</c:v>
                </c:pt>
                <c:pt idx="348">
                  <c:v>1.1576057126501284E-18</c:v>
                </c:pt>
                <c:pt idx="349">
                  <c:v>1.0156932094283911E-18</c:v>
                </c:pt>
                <c:pt idx="350">
                  <c:v>8.911779584407973E-19</c:v>
                </c:pt>
                <c:pt idx="351">
                  <c:v>7.8192720620596058E-19</c:v>
                </c:pt>
                <c:pt idx="352">
                  <c:v>6.8606965647442677E-19</c:v>
                </c:pt>
                <c:pt idx="353">
                  <c:v>6.0196341782096434E-19</c:v>
                </c:pt>
                <c:pt idx="354">
                  <c:v>5.2816788058634074E-19</c:v>
                </c:pt>
                <c:pt idx="355">
                  <c:v>4.6341904146413699E-19</c:v>
                </c:pt>
                <c:pt idx="356">
                  <c:v>4.066078530809726E-19</c:v>
                </c:pt>
                <c:pt idx="357">
                  <c:v>3.5676122773196907E-19</c:v>
                </c:pt>
                <c:pt idx="358">
                  <c:v>3.1302536989484912E-19</c:v>
                </c:pt>
                <c:pt idx="359">
                  <c:v>2.7465115203444166E-19</c:v>
                </c:pt>
                <c:pt idx="360">
                  <c:v>2.4098128320776484E-19</c:v>
                </c:pt>
                <c:pt idx="361">
                  <c:v>2.1143905068775631E-19</c:v>
                </c:pt>
                <c:pt idx="362">
                  <c:v>1.8551844176709513E-19</c:v>
                </c:pt>
                <c:pt idx="363">
                  <c:v>1.6277547654390807E-19</c:v>
                </c:pt>
                <c:pt idx="364">
                  <c:v>1.4282060323339702E-19</c:v>
                </c:pt>
                <c:pt idx="365">
                  <c:v>1.2531202574884925E-19</c:v>
                </c:pt>
              </c:numCache>
            </c:numRef>
          </c:yVal>
          <c:smooth val="1"/>
          <c:extLst>
            <c:ext xmlns:c16="http://schemas.microsoft.com/office/drawing/2014/chart" uri="{C3380CC4-5D6E-409C-BE32-E72D297353CC}">
              <c16:uniqueId val="{00000002-A669-4CB9-84F4-49AE9BAF6CDE}"/>
            </c:ext>
          </c:extLst>
        </c:ser>
        <c:ser>
          <c:idx val="3"/>
          <c:order val="3"/>
          <c:tx>
            <c:strRef>
              <c:f>'Min rate concentrations'!$G$2</c:f>
              <c:strCache>
                <c:ptCount val="1"/>
                <c:pt idx="0">
                  <c:v>Seeds, fruit and pods</c:v>
                </c:pt>
              </c:strCache>
            </c:strRef>
          </c:tx>
          <c:spPr>
            <a:ln w="19050" cap="rnd">
              <a:solidFill>
                <a:srgbClr val="7030A0"/>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concentrations'!$G$3:$G$368</c:f>
              <c:numCache>
                <c:formatCode>0</c:formatCode>
                <c:ptCount val="366"/>
                <c:pt idx="0" formatCode="General">
                  <c:v>7.5</c:v>
                </c:pt>
                <c:pt idx="1">
                  <c:v>6.5805645112735265</c:v>
                </c:pt>
                <c:pt idx="2">
                  <c:v>5.773843904937678</c:v>
                </c:pt>
                <c:pt idx="3">
                  <c:v>5.0660203059287783</c:v>
                </c:pt>
                <c:pt idx="4">
                  <c:v>4.444969791811463</c:v>
                </c:pt>
                <c:pt idx="5">
                  <c:v>3.9000547287569849</c:v>
                </c:pt>
                <c:pt idx="6">
                  <c:v>3.4219415653443619</c:v>
                </c:pt>
                <c:pt idx="7">
                  <c:v>3.0024409632742515</c:v>
                </c:pt>
                <c:pt idx="8">
                  <c:v>2.6343675266821918</c:v>
                </c:pt>
                <c:pt idx="9">
                  <c:v>2.3114167274314994</c:v>
                </c:pt>
                <c:pt idx="10">
                  <c:v>2.0280569183066293</c:v>
                </c:pt>
                <c:pt idx="11">
                  <c:v>1.7794345844601809</c:v>
                </c:pt>
                <c:pt idx="12">
                  <c:v>1.5612912102175227</c:v>
                </c:pt>
                <c:pt idx="13">
                  <c:v>1.3698903372960967</c:v>
                </c:pt>
                <c:pt idx="14">
                  <c:v>1.2019535650596285</c:v>
                </c:pt>
                <c:pt idx="15">
                  <c:v>1.0546043965906782</c:v>
                </c:pt>
                <c:pt idx="16">
                  <c:v>0.9253189687516864</c:v>
                </c:pt>
                <c:pt idx="17">
                  <c:v>0.81188282231674191</c:v>
                </c:pt>
                <c:pt idx="18">
                  <c:v>0.71235297171335221</c:v>
                </c:pt>
                <c:pt idx="19">
                  <c:v>0.62502462468761599</c:v>
                </c:pt>
                <c:pt idx="20">
                  <c:v>0.54840198185218414</c:v>
                </c:pt>
                <c:pt idx="21">
                  <c:v>0.48117261595847349</c:v>
                </c:pt>
                <c:pt idx="22">
                  <c:v>0.42218499204973015</c:v>
                </c:pt>
                <c:pt idx="23">
                  <c:v>0.37042874344996668</c:v>
                </c:pt>
                <c:pt idx="24">
                  <c:v>0.32501736574699952</c:v>
                </c:pt>
                <c:pt idx="25">
                  <c:v>0.28517303234430835</c:v>
                </c:pt>
                <c:pt idx="26">
                  <c:v>0.25021327149562839</c:v>
                </c:pt>
                <c:pt idx="27">
                  <c:v>0.21953927662050399</c:v>
                </c:pt>
                <c:pt idx="28">
                  <c:v>0.19262564967460671</c:v>
                </c:pt>
                <c:pt idx="29">
                  <c:v>0.16901140189462985</c:v>
                </c:pt>
                <c:pt idx="30">
                  <c:v>0.14829205777445179</c:v>
                </c:pt>
                <c:pt idx="31">
                  <c:v>0.1301127270259041</c:v>
                </c:pt>
                <c:pt idx="32">
                  <c:v>0.11416202585755791</c:v>
                </c:pt>
                <c:pt idx="33">
                  <c:v>0.10016674345244483</c:v>
                </c:pt>
                <c:pt idx="34">
                  <c:v>8.7887162289733103E-2</c:v>
                </c:pt>
                <c:pt idx="35">
                  <c:v>7.7112952154713948E-2</c:v>
                </c:pt>
                <c:pt idx="36">
                  <c:v>6.7659567507845866E-2</c:v>
                </c:pt>
                <c:pt idx="37">
                  <c:v>5.9365086505366114E-2</c:v>
                </c:pt>
                <c:pt idx="38">
                  <c:v>5.2087437528786022E-2</c:v>
                </c:pt>
                <c:pt idx="39">
                  <c:v>4.5701965718014145E-2</c:v>
                </c:pt>
                <c:pt idx="40">
                  <c:v>4.0099297826587096E-2</c:v>
                </c:pt>
                <c:pt idx="41">
                  <c:v>3.5183468827283557E-2</c:v>
                </c:pt>
                <c:pt idx="42">
                  <c:v>3.0870278179776073E-2</c:v>
                </c:pt>
                <c:pt idx="43">
                  <c:v>2.7085847605730125E-2</c:v>
                </c:pt>
                <c:pt idx="44">
                  <c:v>2.3765355668270757E-2</c:v>
                </c:pt>
                <c:pt idx="45">
                  <c:v>2.0851927481122089E-2</c:v>
                </c:pt>
                <c:pt idx="46">
                  <c:v>1.8295660529856157E-2</c:v>
                </c:pt>
                <c:pt idx="47">
                  <c:v>1.6052769919077229E-2</c:v>
                </c:pt>
                <c:pt idx="48">
                  <c:v>1.4084838404949174E-2</c:v>
                </c:pt>
                <c:pt idx="49">
                  <c:v>1.2358158367284126E-2</c:v>
                </c:pt>
                <c:pt idx="50">
                  <c:v>1.0843154450193054E-2</c:v>
                </c:pt>
                <c:pt idx="51">
                  <c:v>9.5138769820264021E-3</c:v>
                </c:pt>
                <c:pt idx="52">
                  <c:v>8.3475574976726689E-3</c:v>
                </c:pt>
                <c:pt idx="53">
                  <c:v>7.3242187500000009E-3</c:v>
                </c:pt>
                <c:pt idx="54">
                  <c:v>6.4263325305405541E-3</c:v>
                </c:pt>
                <c:pt idx="55">
                  <c:v>5.638519438415702E-3</c:v>
                </c:pt>
                <c:pt idx="56">
                  <c:v>4.9472854550085734E-3</c:v>
                </c:pt>
                <c:pt idx="57">
                  <c:v>4.3407908123158827E-3</c:v>
                </c:pt>
                <c:pt idx="58">
                  <c:v>3.8086471960517439E-3</c:v>
                </c:pt>
                <c:pt idx="59">
                  <c:v>3.3417398099066038E-3</c:v>
                </c:pt>
                <c:pt idx="60">
                  <c:v>2.9320712531975116E-3</c:v>
                </c:pt>
                <c:pt idx="61">
                  <c:v>2.5726245377755783E-3</c:v>
                </c:pt>
                <c:pt idx="62">
                  <c:v>2.2572428978823241E-3</c:v>
                </c:pt>
                <c:pt idx="63">
                  <c:v>1.9805243342838176E-3</c:v>
                </c:pt>
                <c:pt idx="64">
                  <c:v>1.7377290863868954E-3</c:v>
                </c:pt>
                <c:pt idx="65">
                  <c:v>1.5246984474780495E-3</c:v>
                </c:pt>
                <c:pt idx="66">
                  <c:v>1.3377835325157194E-3</c:v>
                </c:pt>
                <c:pt idx="67">
                  <c:v>1.1737827783785434E-3</c:v>
                </c:pt>
                <c:pt idx="68">
                  <c:v>1.0298871060455842E-3</c:v>
                </c:pt>
                <c:pt idx="69">
                  <c:v>9.0363180542156875E-4</c:v>
                </c:pt>
                <c:pt idx="70">
                  <c:v>7.9285431866869328E-4</c:v>
                </c:pt>
                <c:pt idx="71">
                  <c:v>6.9565719893882052E-4</c:v>
                </c:pt>
                <c:pt idx="72">
                  <c:v>6.1037561004649999E-4</c:v>
                </c:pt>
                <c:pt idx="73">
                  <c:v>5.3554881040252357E-4</c:v>
                </c:pt>
                <c:pt idx="74">
                  <c:v>4.6989513277194677E-4</c:v>
                </c:pt>
                <c:pt idx="75">
                  <c:v>4.122900312985646E-4</c:v>
                </c:pt>
                <c:pt idx="76">
                  <c:v>3.6174681977535809E-4</c:v>
                </c:pt>
                <c:pt idx="77">
                  <c:v>3.1739977123730422E-4</c:v>
                </c:pt>
                <c:pt idx="78">
                  <c:v>2.7848928939873863E-4</c:v>
                </c:pt>
                <c:pt idx="79">
                  <c:v>2.443488979449496E-4</c:v>
                </c:pt>
                <c:pt idx="80">
                  <c:v>2.1439382482471092E-4</c:v>
                </c:pt>
                <c:pt idx="81">
                  <c:v>1.8811098601035812E-4</c:v>
                </c:pt>
                <c:pt idx="82">
                  <c:v>1.6505019716272446E-4</c:v>
                </c:pt>
                <c:pt idx="83">
                  <c:v>1.4481646267036307E-4</c:v>
                </c:pt>
                <c:pt idx="84">
                  <c:v>1.2706320998623447E-4</c:v>
                </c:pt>
                <c:pt idx="85">
                  <c:v>1.114863533765214E-4</c:v>
                </c:pt>
                <c:pt idx="86">
                  <c:v>9.7819085402778158E-5</c:v>
                </c:pt>
                <c:pt idx="87">
                  <c:v>8.5827306923567484E-5</c:v>
                </c:pt>
                <c:pt idx="88">
                  <c:v>7.530561733858784E-5</c:v>
                </c:pt>
                <c:pt idx="89">
                  <c:v>6.6073796394380729E-5</c:v>
                </c:pt>
                <c:pt idx="90">
                  <c:v>5.7973717290396596E-5</c:v>
                </c:pt>
                <c:pt idx="91">
                  <c:v>5.08666382117051E-5</c:v>
                </c:pt>
                <c:pt idx="92">
                  <c:v>4.4630825896498189E-5</c:v>
                </c:pt>
                <c:pt idx="93">
                  <c:v>3.9159470533776461E-5</c:v>
                </c:pt>
                <c:pt idx="94">
                  <c:v>3.4358856276644098E-5</c:v>
                </c:pt>
                <c:pt idx="95">
                  <c:v>3.0146756034937572E-5</c:v>
                </c:pt>
                <c:pt idx="96">
                  <c:v>2.6451023052470826E-5</c:v>
                </c:pt>
                <c:pt idx="97">
                  <c:v>2.3208355144795661E-5</c:v>
                </c:pt>
                <c:pt idx="98">
                  <c:v>2.036321043078329E-5</c:v>
                </c:pt>
                <c:pt idx="99">
                  <c:v>1.7866855986187654E-5</c:v>
                </c:pt>
                <c:pt idx="100">
                  <c:v>1.5676533124098856E-5</c:v>
                </c:pt>
                <c:pt idx="101">
                  <c:v>1.3754725004833177E-5</c:v>
                </c:pt>
                <c:pt idx="102">
                  <c:v>1.2068514030550904E-5</c:v>
                </c:pt>
                <c:pt idx="103">
                  <c:v>1.0589018017766654E-5</c:v>
                </c:pt>
                <c:pt idx="104">
                  <c:v>9.2908954902601583E-6</c:v>
                </c:pt>
                <c:pt idx="105">
                  <c:v>8.1519116188209658E-6</c:v>
                </c:pt>
                <c:pt idx="106">
                  <c:v>7.1525573730468758E-6</c:v>
                </c:pt>
                <c:pt idx="107">
                  <c:v>6.2757153618560098E-6</c:v>
                </c:pt>
                <c:pt idx="108">
                  <c:v>5.506366639077834E-6</c:v>
                </c:pt>
                <c:pt idx="109">
                  <c:v>4.83133345215681E-6</c:v>
                </c:pt>
                <c:pt idx="110">
                  <c:v>4.2390535276522292E-6</c:v>
                </c:pt>
                <c:pt idx="111">
                  <c:v>3.7193820273942812E-6</c:v>
                </c:pt>
                <c:pt idx="112">
                  <c:v>3.2634177831119178E-6</c:v>
                </c:pt>
                <c:pt idx="113">
                  <c:v>2.863350833200695E-6</c:v>
                </c:pt>
                <c:pt idx="114">
                  <c:v>2.5123286501714632E-6</c:v>
                </c:pt>
                <c:pt idx="115">
                  <c:v>2.2043387674632071E-6</c:v>
                </c:pt>
                <c:pt idx="116">
                  <c:v>1.9341057951990407E-6</c:v>
                </c:pt>
                <c:pt idx="117">
                  <c:v>1.6970010609247025E-6</c:v>
                </c:pt>
                <c:pt idx="118">
                  <c:v>1.4889633276152827E-6</c:v>
                </c:pt>
                <c:pt idx="119">
                  <c:v>1.3064292309723822E-6</c:v>
                </c:pt>
                <c:pt idx="120">
                  <c:v>1.1462722445102963E-6</c:v>
                </c:pt>
                <c:pt idx="121">
                  <c:v>1.0057491269976408E-6</c:v>
                </c:pt>
                <c:pt idx="122">
                  <c:v>8.8245293498200073E-7</c:v>
                </c:pt>
                <c:pt idx="123">
                  <c:v>7.7427179557489578E-7</c:v>
                </c:pt>
                <c:pt idx="124">
                  <c:v>6.7935273333869191E-7</c:v>
                </c:pt>
                <c:pt idx="125">
                  <c:v>5.9606993168603515E-7</c:v>
                </c:pt>
                <c:pt idx="126">
                  <c:v>5.2299688515871443E-7</c:v>
                </c:pt>
                <c:pt idx="127">
                  <c:v>4.5888196559760427E-7</c:v>
                </c:pt>
                <c:pt idx="128">
                  <c:v>4.0262698369000449E-7</c:v>
                </c:pt>
                <c:pt idx="129">
                  <c:v>3.5326837868687313E-7</c:v>
                </c:pt>
                <c:pt idx="130">
                  <c:v>3.099607140989299E-7</c:v>
                </c:pt>
                <c:pt idx="131">
                  <c:v>2.7196219667845569E-7</c:v>
                </c:pt>
                <c:pt idx="132">
                  <c:v>2.3862197064936484E-7</c:v>
                </c:pt>
                <c:pt idx="133">
                  <c:v>2.0936896955538176E-7</c:v>
                </c:pt>
                <c:pt idx="134">
                  <c:v>1.8370213477574035E-7</c:v>
                </c:pt>
                <c:pt idx="135">
                  <c:v>1.6118183316672311E-7</c:v>
                </c:pt>
                <c:pt idx="136">
                  <c:v>1.4142232682652644E-7</c:v>
                </c:pt>
                <c:pt idx="137">
                  <c:v>1.240851660021821E-7</c:v>
                </c:pt>
                <c:pt idx="138">
                  <c:v>1.0887339196925918E-7</c:v>
                </c:pt>
                <c:pt idx="139">
                  <c:v>9.5526450588650545E-8</c:v>
                </c:pt>
                <c:pt idx="140">
                  <c:v>8.3815729417546371E-8</c:v>
                </c:pt>
                <c:pt idx="141">
                  <c:v>7.3540641932214688E-8</c:v>
                </c:pt>
                <c:pt idx="142">
                  <c:v>6.4525191791387431E-8</c:v>
                </c:pt>
                <c:pt idx="143">
                  <c:v>5.6614958291402926E-8</c:v>
                </c:pt>
                <c:pt idx="144">
                  <c:v>4.9674451378618262E-8</c:v>
                </c:pt>
                <c:pt idx="145">
                  <c:v>4.3584790914549012E-8</c:v>
                </c:pt>
                <c:pt idx="146">
                  <c:v>3.8241670443141076E-8</c:v>
                </c:pt>
                <c:pt idx="147">
                  <c:v>3.3553570582660252E-8</c:v>
                </c:pt>
                <c:pt idx="148">
                  <c:v>2.9440191440368722E-8</c:v>
                </c:pt>
                <c:pt idx="149">
                  <c:v>2.5831077199678541E-8</c:v>
                </c:pt>
                <c:pt idx="150">
                  <c:v>2.2664409321089512E-8</c:v>
                </c:pt>
                <c:pt idx="151">
                  <c:v>1.9885947686311807E-8</c:v>
                </c:pt>
                <c:pt idx="152">
                  <c:v>1.744810154901138E-8</c:v>
                </c:pt>
                <c:pt idx="153">
                  <c:v>1.5309114379002789E-8</c:v>
                </c:pt>
                <c:pt idx="154">
                  <c:v>1.34323486375324E-8</c:v>
                </c:pt>
                <c:pt idx="155">
                  <c:v>1.1785658232959867E-8</c:v>
                </c:pt>
                <c:pt idx="156">
                  <c:v>1.0340837907975248E-8</c:v>
                </c:pt>
                <c:pt idx="157">
                  <c:v>9.0731401272071859E-9</c:v>
                </c:pt>
                <c:pt idx="158">
                  <c:v>7.9608511902548494E-9</c:v>
                </c:pt>
                <c:pt idx="159">
                  <c:v>6.9849193096160897E-9</c:v>
                </c:pt>
                <c:pt idx="160">
                  <c:v>6.1286282830625096E-9</c:v>
                </c:pt>
                <c:pt idx="161">
                  <c:v>5.3773111709744473E-9</c:v>
                </c:pt>
                <c:pt idx="162">
                  <c:v>4.7180990743718847E-9</c:v>
                </c:pt>
                <c:pt idx="163">
                  <c:v>4.1397007105978801E-9</c:v>
                </c:pt>
                <c:pt idx="164">
                  <c:v>3.6322090111272277E-9</c:v>
                </c:pt>
                <c:pt idx="165">
                  <c:v>3.1869314288202322E-9</c:v>
                </c:pt>
                <c:pt idx="166">
                  <c:v>2.7962410480475537E-9</c:v>
                </c:pt>
                <c:pt idx="167">
                  <c:v>2.4534459474330695E-9</c:v>
                </c:pt>
                <c:pt idx="168">
                  <c:v>2.1526745776007882E-9</c:v>
                </c:pt>
                <c:pt idx="169">
                  <c:v>1.8887751906240631E-9</c:v>
                </c:pt>
                <c:pt idx="170">
                  <c:v>1.6572275985592798E-9</c:v>
                </c:pt>
                <c:pt idx="171">
                  <c:v>1.4540657496242995E-9</c:v>
                </c:pt>
                <c:pt idx="172">
                  <c:v>1.275809795871467E-9</c:v>
                </c:pt>
                <c:pt idx="173">
                  <c:v>1.1194064887795862E-9</c:v>
                </c:pt>
                <c:pt idx="174">
                  <c:v>9.8217688183363357E-10</c:v>
                </c:pt>
                <c:pt idx="175">
                  <c:v>8.6177044431836009E-10</c:v>
                </c:pt>
                <c:pt idx="176">
                  <c:v>7.5612480036610916E-10</c:v>
                </c:pt>
                <c:pt idx="177">
                  <c:v>6.6343040365106632E-10</c:v>
                </c:pt>
                <c:pt idx="178">
                  <c:v>5.820995426621437E-10</c:v>
                </c:pt>
                <c:pt idx="179">
                  <c:v>5.1073914566280706E-10</c:v>
                </c:pt>
                <c:pt idx="180">
                  <c:v>4.4812691952891042E-10</c:v>
                </c:pt>
                <c:pt idx="181">
                  <c:v>3.9319041375977001E-10</c:v>
                </c:pt>
                <c:pt idx="182">
                  <c:v>3.4498865106139954E-10</c:v>
                </c:pt>
                <c:pt idx="183">
                  <c:v>3.0269600986223623E-10</c:v>
                </c:pt>
                <c:pt idx="184">
                  <c:v>2.6558808269380438E-10</c:v>
                </c:pt>
                <c:pt idx="185">
                  <c:v>2.3302926821227035E-10</c:v>
                </c:pt>
                <c:pt idx="186">
                  <c:v>2.044618843314275E-10</c:v>
                </c:pt>
                <c:pt idx="187">
                  <c:v>1.7939661599193394E-10</c:v>
                </c:pt>
                <c:pt idx="188">
                  <c:v>1.5740413395187803E-10</c:v>
                </c:pt>
                <c:pt idx="189">
                  <c:v>1.3810774104152972E-10</c:v>
                </c:pt>
                <c:pt idx="190">
                  <c:v>1.2117691992400596E-10</c:v>
                </c:pt>
                <c:pt idx="191">
                  <c:v>1.0632167184497967E-10</c:v>
                </c:pt>
                <c:pt idx="192">
                  <c:v>9.3287549402979048E-11</c:v>
                </c:pt>
                <c:pt idx="193">
                  <c:v>8.1851298259322628E-11</c:v>
                </c:pt>
                <c:pt idx="194">
                  <c:v>7.1817033136928406E-11</c:v>
                </c:pt>
                <c:pt idx="195">
                  <c:v>6.3012882608776788E-11</c:v>
                </c:pt>
                <c:pt idx="196">
                  <c:v>5.528804520644817E-11</c:v>
                </c:pt>
                <c:pt idx="197">
                  <c:v>4.8510206424431896E-11</c:v>
                </c:pt>
                <c:pt idx="198">
                  <c:v>4.256327237748927E-11</c:v>
                </c:pt>
                <c:pt idx="199">
                  <c:v>3.7345381292129957E-11</c:v>
                </c:pt>
                <c:pt idx="200">
                  <c:v>3.2767158772129153E-11</c:v>
                </c:pt>
                <c:pt idx="201">
                  <c:v>2.8750186953485081E-11</c:v>
                </c:pt>
                <c:pt idx="202">
                  <c:v>2.5225661327811075E-11</c:v>
                </c:pt>
                <c:pt idx="203">
                  <c:v>2.2133212227626477E-11</c:v>
                </c:pt>
                <c:pt idx="204">
                  <c:v>1.9419870787413874E-11</c:v>
                </c:pt>
                <c:pt idx="205">
                  <c:v>1.7039161668956426E-11</c:v>
                </c:pt>
                <c:pt idx="206">
                  <c:v>1.4950307010744912E-11</c:v>
                </c:pt>
                <c:pt idx="207">
                  <c:v>1.3117527966340234E-11</c:v>
                </c:pt>
                <c:pt idx="208">
                  <c:v>1.1509431868124871E-11</c:v>
                </c:pt>
                <c:pt idx="209">
                  <c:v>1.0098474519507078E-11</c:v>
                </c:pt>
                <c:pt idx="210">
                  <c:v>8.8604884054757675E-12</c:v>
                </c:pt>
                <c:pt idx="211">
                  <c:v>7.7742687404832513E-12</c:v>
                </c:pt>
                <c:pt idx="212">
                  <c:v>6.8212102632969626E-12</c:v>
                </c:pt>
                <c:pt idx="213">
                  <c:v>5.984988557678232E-12</c:v>
                </c:pt>
                <c:pt idx="214">
                  <c:v>5.2512804404047336E-12</c:v>
                </c:pt>
                <c:pt idx="215">
                  <c:v>4.6075186273162937E-12</c:v>
                </c:pt>
                <c:pt idx="216">
                  <c:v>4.0426764751932423E-12</c:v>
                </c:pt>
                <c:pt idx="217">
                  <c:v>3.5470791124289333E-12</c:v>
                </c:pt>
                <c:pt idx="218">
                  <c:v>3.112237723457258E-12</c:v>
                </c:pt>
                <c:pt idx="219">
                  <c:v>2.7307041484839391E-12</c:v>
                </c:pt>
                <c:pt idx="220">
                  <c:v>2.395943308040107E-12</c:v>
                </c:pt>
                <c:pt idx="221">
                  <c:v>2.1022212671882697E-12</c:v>
                </c:pt>
                <c:pt idx="222">
                  <c:v>1.8445070220938117E-12</c:v>
                </c:pt>
                <c:pt idx="223">
                  <c:v>1.6183863267180467E-12</c:v>
                </c:pt>
                <c:pt idx="224">
                  <c:v>1.41998608361748E-12</c:v>
                </c:pt>
                <c:pt idx="225">
                  <c:v>1.2459080037807295E-12</c:v>
                </c:pt>
                <c:pt idx="226">
                  <c:v>1.0931703991988147E-12</c:v>
                </c:pt>
                <c:pt idx="227">
                  <c:v>9.5915711116565778E-13</c:v>
                </c:pt>
                <c:pt idx="228">
                  <c:v>8.4157269952964852E-13</c:v>
                </c:pt>
                <c:pt idx="229">
                  <c:v>7.3840312535752847E-13</c:v>
                </c:pt>
                <c:pt idx="230">
                  <c:v>6.4788125356549446E-13</c:v>
                </c:pt>
                <c:pt idx="231">
                  <c:v>5.6845658463099971E-13</c:v>
                </c:pt>
                <c:pt idx="232">
                  <c:v>4.9876869693633502E-13</c:v>
                </c:pt>
                <c:pt idx="233">
                  <c:v>4.3762394485245158E-13</c:v>
                </c:pt>
                <c:pt idx="234">
                  <c:v>3.839750134372754E-13</c:v>
                </c:pt>
                <c:pt idx="235">
                  <c:v>3.3690297955214799E-13</c:v>
                </c:pt>
                <c:pt idx="236">
                  <c:v>2.9560157213109007E-13</c:v>
                </c:pt>
                <c:pt idx="237">
                  <c:v>2.5936336200566834E-13</c:v>
                </c:pt>
                <c:pt idx="238">
                  <c:v>2.2756764473854527E-13</c:v>
                </c:pt>
                <c:pt idx="239">
                  <c:v>1.9966980891740967E-13</c:v>
                </c:pt>
                <c:pt idx="240">
                  <c:v>1.7519200780462298E-13</c:v>
                </c:pt>
                <c:pt idx="241">
                  <c:v>1.5371497456238089E-13</c:v>
                </c:pt>
                <c:pt idx="242">
                  <c:v>1.3487084086086887E-13</c:v>
                </c:pt>
                <c:pt idx="243">
                  <c:v>1.1833683586328707E-13</c:v>
                </c:pt>
                <c:pt idx="244">
                  <c:v>1.0382975766111296E-13</c:v>
                </c:pt>
                <c:pt idx="245">
                  <c:v>9.1101122463846727E-14</c:v>
                </c:pt>
                <c:pt idx="246">
                  <c:v>7.9932908456369754E-14</c:v>
                </c:pt>
                <c:pt idx="247">
                  <c:v>7.0133821422781647E-14</c:v>
                </c:pt>
                <c:pt idx="248">
                  <c:v>6.1536018172633582E-14</c:v>
                </c:pt>
                <c:pt idx="249">
                  <c:v>5.3992231646922041E-14</c:v>
                </c:pt>
                <c:pt idx="250">
                  <c:v>4.7373248461359273E-14</c:v>
                </c:pt>
                <c:pt idx="251">
                  <c:v>4.1565695681141865E-14</c:v>
                </c:pt>
                <c:pt idx="252">
                  <c:v>3.6470098918095661E-14</c:v>
                </c:pt>
                <c:pt idx="253">
                  <c:v>3.1999178488407376E-14</c:v>
                </c:pt>
                <c:pt idx="254">
                  <c:v>2.8076354446762774E-14</c:v>
                </c:pt>
                <c:pt idx="255">
                  <c:v>2.4634434890440503E-14</c:v>
                </c:pt>
                <c:pt idx="256">
                  <c:v>2.1614465066041481E-14</c:v>
                </c:pt>
                <c:pt idx="257">
                  <c:v>1.8964717565833861E-14</c:v>
                </c:pt>
                <c:pt idx="258">
                  <c:v>1.663980631734026E-14</c:v>
                </c:pt>
                <c:pt idx="259">
                  <c:v>1.4599909190180578E-14</c:v>
                </c:pt>
                <c:pt idx="260">
                  <c:v>1.2810085904629135E-14</c:v>
                </c:pt>
                <c:pt idx="261">
                  <c:v>1.1239679558715694E-14</c:v>
                </c:pt>
                <c:pt idx="262">
                  <c:v>9.861791522956131E-15</c:v>
                </c:pt>
                <c:pt idx="263">
                  <c:v>8.6528207084724292E-15</c:v>
                </c:pt>
                <c:pt idx="264">
                  <c:v>7.5920593168781751E-15</c:v>
                </c:pt>
                <c:pt idx="265">
                  <c:v>6.66133814775094E-15</c:v>
                </c:pt>
                <c:pt idx="266">
                  <c:v>5.8447153883576485E-15</c:v>
                </c:pt>
                <c:pt idx="267">
                  <c:v>5.1282035550827477E-15</c:v>
                </c:pt>
                <c:pt idx="268">
                  <c:v>4.4995299094885681E-15</c:v>
                </c:pt>
                <c:pt idx="269">
                  <c:v>3.9479262453059007E-15</c:v>
                </c:pt>
                <c:pt idx="270">
                  <c:v>3.4639444457313802E-15</c:v>
                </c:pt>
                <c:pt idx="271">
                  <c:v>3.0392946518137286E-15</c:v>
                </c:pt>
                <c:pt idx="272">
                  <c:v>2.6667032700038468E-15</c:v>
                </c:pt>
                <c:pt idx="273">
                  <c:v>2.339788386757917E-15</c:v>
                </c:pt>
                <c:pt idx="274">
                  <c:v>2.0529504562385446E-15</c:v>
                </c:pt>
                <c:pt idx="275">
                  <c:v>1.801276388763488E-15</c:v>
                </c:pt>
                <c:pt idx="276">
                  <c:v>1.5804553971855925E-15</c:v>
                </c:pt>
                <c:pt idx="277">
                  <c:v>1.3867051597826953E-15</c:v>
                </c:pt>
                <c:pt idx="278">
                  <c:v>1.2167070349421187E-15</c:v>
                </c:pt>
                <c:pt idx="279">
                  <c:v>1.0675492179675925E-15</c:v>
                </c:pt>
                <c:pt idx="280">
                  <c:v>9.3667686637271268E-16</c:v>
                </c:pt>
                <c:pt idx="281">
                  <c:v>8.2184833938442239E-16</c:v>
                </c:pt>
                <c:pt idx="282">
                  <c:v>7.210968021069614E-16</c:v>
                </c:pt>
                <c:pt idx="283">
                  <c:v>6.3269653668505318E-16</c:v>
                </c:pt>
                <c:pt idx="284">
                  <c:v>5.5513338342871065E-16</c:v>
                </c:pt>
                <c:pt idx="285">
                  <c:v>4.8707880560188967E-16</c:v>
                </c:pt>
                <c:pt idx="286">
                  <c:v>4.2736713364497225E-16</c:v>
                </c:pt>
                <c:pt idx="287">
                  <c:v>3.7497559905983926E-16</c:v>
                </c:pt>
                <c:pt idx="288">
                  <c:v>3.2900681596889452E-16</c:v>
                </c:pt>
                <c:pt idx="289">
                  <c:v>2.8867341028426765E-16</c:v>
                </c:pt>
                <c:pt idx="290">
                  <c:v>2.5328453320866049E-16</c:v>
                </c:pt>
                <c:pt idx="291">
                  <c:v>2.2223402806498561E-16</c:v>
                </c:pt>
                <c:pt idx="292">
                  <c:v>1.9499004777090788E-16</c:v>
                </c:pt>
                <c:pt idx="293">
                  <c:v>1.7108594512170213E-16</c:v>
                </c:pt>
                <c:pt idx="294">
                  <c:v>1.5011227984607509E-16</c:v>
                </c:pt>
                <c:pt idx="295">
                  <c:v>1.3170980552819226E-16</c:v>
                </c:pt>
                <c:pt idx="296">
                  <c:v>1.1556331627274128E-16</c:v>
                </c:pt>
                <c:pt idx="297">
                  <c:v>1.0139624771593062E-16</c:v>
                </c:pt>
                <c:pt idx="298">
                  <c:v>8.8965939906100319E-17</c:v>
                </c:pt>
                <c:pt idx="299">
                  <c:v>7.8059480914423588E-17</c:v>
                </c:pt>
                <c:pt idx="300">
                  <c:v>6.8490059983185202E-17</c:v>
                </c:pt>
                <c:pt idx="301">
                  <c:v>6.0093767746712482E-17</c:v>
                </c:pt>
                <c:pt idx="302">
                  <c:v>5.2726788717697306E-17</c:v>
                </c:pt>
                <c:pt idx="303">
                  <c:v>4.6262937950546166E-17</c:v>
                </c:pt>
                <c:pt idx="304">
                  <c:v>4.0591499688615103E-17</c:v>
                </c:pt>
                <c:pt idx="305">
                  <c:v>3.5615330974702794E-17</c:v>
                </c:pt>
                <c:pt idx="306">
                  <c:v>3.1249197742585328E-17</c:v>
                </c:pt>
                <c:pt idx="307">
                  <c:v>2.7418314889416771E-17</c:v>
                </c:pt>
                <c:pt idx="308">
                  <c:v>2.4057065322695804E-17</c:v>
                </c:pt>
                <c:pt idx="309">
                  <c:v>2.1107876041056134E-17</c:v>
                </c:pt>
                <c:pt idx="310">
                  <c:v>1.852023199788463E-17</c:v>
                </c:pt>
                <c:pt idx="311">
                  <c:v>1.6249810856777598E-17</c:v>
                </c:pt>
                <c:pt idx="312">
                  <c:v>1.425772381853572E-17</c:v>
                </c:pt>
                <c:pt idx="313">
                  <c:v>1.250984951623939E-17</c:v>
                </c:pt>
                <c:pt idx="314">
                  <c:v>1.0976249569058295E-17</c:v>
                </c:pt>
                <c:pt idx="315">
                  <c:v>9.6306557841368467E-18</c:v>
                </c:pt>
                <c:pt idx="316">
                  <c:v>8.4500202231176066E-18</c:v>
                </c:pt>
                <c:pt idx="317">
                  <c:v>7.4141204266388429E-18</c:v>
                </c:pt>
                <c:pt idx="318">
                  <c:v>6.5052130349130274E-18</c:v>
                </c:pt>
                <c:pt idx="319">
                  <c:v>5.7077298714430161E-18</c:v>
                </c:pt>
                <c:pt idx="320">
                  <c:v>5.0080112842604958E-18</c:v>
                </c:pt>
                <c:pt idx="321">
                  <c:v>4.3940721772349297E-18</c:v>
                </c:pt>
                <c:pt idx="322">
                  <c:v>3.8553967239315436E-18</c:v>
                </c:pt>
                <c:pt idx="323">
                  <c:v>3.382758247784551E-18</c:v>
                </c:pt>
                <c:pt idx="324">
                  <c:v>2.9680611834118443E-18</c:v>
                </c:pt>
                <c:pt idx="325">
                  <c:v>2.6042024121131316E-18</c:v>
                </c:pt>
                <c:pt idx="326">
                  <c:v>2.2849495964432783E-18</c:v>
                </c:pt>
                <c:pt idx="327">
                  <c:v>2.0048344299204537E-18</c:v>
                </c:pt>
                <c:pt idx="328">
                  <c:v>1.7590589734018437E-18</c:v>
                </c:pt>
                <c:pt idx="329">
                  <c:v>1.5434134738140552E-18</c:v>
                </c:pt>
                <c:pt idx="330">
                  <c:v>1.3542042576002884E-18</c:v>
                </c:pt>
                <c:pt idx="331">
                  <c:v>1.1881904638106628E-18</c:v>
                </c:pt>
                <c:pt idx="332">
                  <c:v>1.042528533171477E-18</c:v>
                </c:pt>
                <c:pt idx="333">
                  <c:v>9.1472350231710222E-19</c:v>
                </c:pt>
                <c:pt idx="334">
                  <c:v>8.0258626893009999E-19</c:v>
                </c:pt>
                <c:pt idx="335">
                  <c:v>7.0419609580757949E-19</c:v>
                </c:pt>
                <c:pt idx="336">
                  <c:v>6.1786771160649724E-19</c:v>
                </c:pt>
                <c:pt idx="337">
                  <c:v>5.4212244475460025E-19</c:v>
                </c:pt>
                <c:pt idx="338">
                  <c:v>4.7566289609559538E-19</c:v>
                </c:pt>
                <c:pt idx="339">
                  <c:v>4.1735071645016821E-19</c:v>
                </c:pt>
                <c:pt idx="340">
                  <c:v>3.6618710845687427E-19</c:v>
                </c:pt>
                <c:pt idx="341">
                  <c:v>3.2129571871962356E-19</c:v>
                </c:pt>
                <c:pt idx="342">
                  <c:v>2.8190762723073012E-19</c:v>
                </c:pt>
                <c:pt idx="343">
                  <c:v>2.4734817696158251E-19</c:v>
                </c:pt>
                <c:pt idx="344">
                  <c:v>2.1702541803221251E-19</c:v>
                </c:pt>
                <c:pt idx="345">
                  <c:v>1.9041996852627723E-19</c:v>
                </c:pt>
                <c:pt idx="346">
                  <c:v>1.6707611828291224E-19</c:v>
                </c:pt>
                <c:pt idx="347">
                  <c:v>1.4659402328718271E-19</c:v>
                </c:pt>
                <c:pt idx="348">
                  <c:v>1.2862285696112525E-19</c:v>
                </c:pt>
                <c:pt idx="349">
                  <c:v>1.128548010475989E-19</c:v>
                </c:pt>
                <c:pt idx="350">
                  <c:v>9.9019773160088498E-20</c:v>
                </c:pt>
                <c:pt idx="351">
                  <c:v>8.6880800689551093E-20</c:v>
                </c:pt>
                <c:pt idx="352">
                  <c:v>7.6229961830491785E-20</c:v>
                </c:pt>
                <c:pt idx="353">
                  <c:v>6.6884824202329299E-20</c:v>
                </c:pt>
                <c:pt idx="354">
                  <c:v>5.8685320065148908E-20</c:v>
                </c:pt>
                <c:pt idx="355">
                  <c:v>5.1491004607126275E-20</c:v>
                </c:pt>
                <c:pt idx="356">
                  <c:v>4.517865034233024E-20</c:v>
                </c:pt>
                <c:pt idx="357">
                  <c:v>3.9640136414663186E-20</c:v>
                </c:pt>
                <c:pt idx="358">
                  <c:v>3.4780596654983197E-20</c:v>
                </c:pt>
                <c:pt idx="359">
                  <c:v>3.0516794670493484E-20</c:v>
                </c:pt>
                <c:pt idx="360">
                  <c:v>2.6775698134196066E-20</c:v>
                </c:pt>
                <c:pt idx="361">
                  <c:v>2.3493227854195121E-20</c:v>
                </c:pt>
                <c:pt idx="362">
                  <c:v>2.0613160196343881E-20</c:v>
                </c:pt>
                <c:pt idx="363">
                  <c:v>1.8086164060434209E-20</c:v>
                </c:pt>
                <c:pt idx="364">
                  <c:v>1.5868955914821873E-20</c:v>
                </c:pt>
                <c:pt idx="365">
                  <c:v>1.3923558416538789E-20</c:v>
                </c:pt>
              </c:numCache>
            </c:numRef>
          </c:yVal>
          <c:smooth val="1"/>
          <c:extLst>
            <c:ext xmlns:c16="http://schemas.microsoft.com/office/drawing/2014/chart" uri="{C3380CC4-5D6E-409C-BE32-E72D297353CC}">
              <c16:uniqueId val="{00000003-A669-4CB9-84F4-49AE9BAF6CDE}"/>
            </c:ext>
          </c:extLst>
        </c:ser>
        <c:ser>
          <c:idx val="4"/>
          <c:order val="4"/>
          <c:tx>
            <c:v>short grass (mean)</c:v>
          </c:tx>
          <c:spPr>
            <a:ln w="19050" cap="rnd">
              <a:solidFill>
                <a:schemeClr val="accent5"/>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concentrations'!$W$3:$W$368</c:f>
              <c:numCache>
                <c:formatCode>0</c:formatCode>
                <c:ptCount val="366"/>
                <c:pt idx="0" formatCode="General">
                  <c:v>42.5</c:v>
                </c:pt>
                <c:pt idx="1">
                  <c:v>37.289865563883318</c:v>
                </c:pt>
                <c:pt idx="2">
                  <c:v>32.718448794646839</c:v>
                </c:pt>
                <c:pt idx="3">
                  <c:v>28.707448400263075</c:v>
                </c:pt>
                <c:pt idx="4">
                  <c:v>25.188162153598288</c:v>
                </c:pt>
                <c:pt idx="5">
                  <c:v>22.100310129622912</c:v>
                </c:pt>
                <c:pt idx="6">
                  <c:v>19.391002203618047</c:v>
                </c:pt>
                <c:pt idx="7">
                  <c:v>17.013832125220755</c:v>
                </c:pt>
                <c:pt idx="8">
                  <c:v>14.928082651199086</c:v>
                </c:pt>
                <c:pt idx="9">
                  <c:v>13.098028122111829</c:v>
                </c:pt>
                <c:pt idx="10">
                  <c:v>11.492322537070898</c:v>
                </c:pt>
                <c:pt idx="11">
                  <c:v>10.083462645274357</c:v>
                </c:pt>
                <c:pt idx="12">
                  <c:v>8.847316857899294</c:v>
                </c:pt>
                <c:pt idx="13">
                  <c:v>7.762711911344546</c:v>
                </c:pt>
                <c:pt idx="14">
                  <c:v>6.8110702020045606</c:v>
                </c:pt>
                <c:pt idx="15">
                  <c:v>5.9760915806805093</c:v>
                </c:pt>
                <c:pt idx="16">
                  <c:v>5.2434741562595564</c:v>
                </c:pt>
                <c:pt idx="17">
                  <c:v>4.6006693264615377</c:v>
                </c:pt>
                <c:pt idx="18">
                  <c:v>4.036666839708996</c:v>
                </c:pt>
                <c:pt idx="19">
                  <c:v>3.541806206563157</c:v>
                </c:pt>
                <c:pt idx="20">
                  <c:v>3.1076112304957095</c:v>
                </c:pt>
                <c:pt idx="21">
                  <c:v>2.7266448237646825</c:v>
                </c:pt>
                <c:pt idx="22">
                  <c:v>2.392381621615137</c:v>
                </c:pt>
                <c:pt idx="23">
                  <c:v>2.0990962128831439</c:v>
                </c:pt>
                <c:pt idx="24">
                  <c:v>1.8417650725663299</c:v>
                </c:pt>
                <c:pt idx="25">
                  <c:v>1.6159805166177468</c:v>
                </c:pt>
                <c:pt idx="26">
                  <c:v>1.4178752051418937</c:v>
                </c:pt>
                <c:pt idx="27">
                  <c:v>1.2440559008495222</c:v>
                </c:pt>
                <c:pt idx="28">
                  <c:v>1.0915453481561044</c:v>
                </c:pt>
                <c:pt idx="29">
                  <c:v>0.95773127740290209</c:v>
                </c:pt>
                <c:pt idx="30">
                  <c:v>0.84032166072189307</c:v>
                </c:pt>
                <c:pt idx="31">
                  <c:v>0.73730545314678964</c:v>
                </c:pt>
                <c:pt idx="32">
                  <c:v>0.64691814652616131</c:v>
                </c:pt>
                <c:pt idx="33">
                  <c:v>0.56761154623052057</c:v>
                </c:pt>
                <c:pt idx="34">
                  <c:v>0.49802725297515416</c:v>
                </c:pt>
                <c:pt idx="35">
                  <c:v>0.43697339554337894</c:v>
                </c:pt>
                <c:pt idx="36">
                  <c:v>0.38340421587779316</c:v>
                </c:pt>
                <c:pt idx="37">
                  <c:v>0.33640215686374125</c:v>
                </c:pt>
                <c:pt idx="38">
                  <c:v>0.29516214599645407</c:v>
                </c:pt>
                <c:pt idx="39">
                  <c:v>0.25897780573541346</c:v>
                </c:pt>
                <c:pt idx="40">
                  <c:v>0.22722935435066016</c:v>
                </c:pt>
                <c:pt idx="41">
                  <c:v>0.19937299002127346</c:v>
                </c:pt>
                <c:pt idx="42">
                  <c:v>0.17493157635206438</c:v>
                </c:pt>
                <c:pt idx="43">
                  <c:v>0.15348646976580402</c:v>
                </c:pt>
                <c:pt idx="44">
                  <c:v>0.13467034878686759</c:v>
                </c:pt>
                <c:pt idx="45">
                  <c:v>0.11816092239302516</c:v>
                </c:pt>
                <c:pt idx="46">
                  <c:v>0.10367540966918488</c:v>
                </c:pt>
                <c:pt idx="47">
                  <c:v>9.0965696208104296E-2</c:v>
                </c:pt>
                <c:pt idx="48">
                  <c:v>7.9814084294711984E-2</c:v>
                </c:pt>
                <c:pt idx="49">
                  <c:v>7.0029564081276724E-2</c:v>
                </c:pt>
                <c:pt idx="50">
                  <c:v>6.1444541884427314E-2</c:v>
                </c:pt>
                <c:pt idx="51">
                  <c:v>5.3911969564816288E-2</c:v>
                </c:pt>
                <c:pt idx="52">
                  <c:v>4.7302825820145132E-2</c:v>
                </c:pt>
                <c:pt idx="53">
                  <c:v>4.1503906250000014E-2</c:v>
                </c:pt>
                <c:pt idx="54">
                  <c:v>3.6415884339729809E-2</c:v>
                </c:pt>
                <c:pt idx="55">
                  <c:v>3.1951610151022311E-2</c:v>
                </c:pt>
                <c:pt idx="56">
                  <c:v>2.8034617578381917E-2</c:v>
                </c:pt>
                <c:pt idx="57">
                  <c:v>2.4597814603123335E-2</c:v>
                </c:pt>
                <c:pt idx="58">
                  <c:v>2.1582334110959882E-2</c:v>
                </c:pt>
                <c:pt idx="59">
                  <c:v>1.8936525589470756E-2</c:v>
                </c:pt>
                <c:pt idx="60">
                  <c:v>1.6615070434785901E-2</c:v>
                </c:pt>
                <c:pt idx="61">
                  <c:v>1.4578205714061612E-2</c:v>
                </c:pt>
                <c:pt idx="62">
                  <c:v>1.2791043087999837E-2</c:v>
                </c:pt>
                <c:pt idx="63">
                  <c:v>1.1222971227608302E-2</c:v>
                </c:pt>
                <c:pt idx="64">
                  <c:v>9.8471314895257431E-3</c:v>
                </c:pt>
                <c:pt idx="65">
                  <c:v>8.6399578690422828E-3</c:v>
                </c:pt>
                <c:pt idx="66">
                  <c:v>7.5807733509224116E-3</c:v>
                </c:pt>
                <c:pt idx="67">
                  <c:v>6.6514357441450813E-3</c:v>
                </c:pt>
                <c:pt idx="68">
                  <c:v>5.8360269342583116E-3</c:v>
                </c:pt>
                <c:pt idx="69">
                  <c:v>5.1205802307222239E-3</c:v>
                </c:pt>
                <c:pt idx="70">
                  <c:v>4.4928411391225963E-3</c:v>
                </c:pt>
                <c:pt idx="71">
                  <c:v>3.9420574606533173E-3</c:v>
                </c:pt>
                <c:pt idx="72">
                  <c:v>3.4587951235968339E-3</c:v>
                </c:pt>
                <c:pt idx="73">
                  <c:v>3.0347765922809672E-3</c:v>
                </c:pt>
                <c:pt idx="74">
                  <c:v>2.6627390857076987E-3</c:v>
                </c:pt>
                <c:pt idx="75">
                  <c:v>2.3363101773585331E-3</c:v>
                </c:pt>
                <c:pt idx="76">
                  <c:v>2.049898645393696E-3</c:v>
                </c:pt>
                <c:pt idx="77">
                  <c:v>1.7985987036780574E-3</c:v>
                </c:pt>
                <c:pt idx="78">
                  <c:v>1.5781059732595192E-3</c:v>
                </c:pt>
                <c:pt idx="79">
                  <c:v>1.3846437550213814E-3</c:v>
                </c:pt>
                <c:pt idx="80">
                  <c:v>1.2148983406733622E-3</c:v>
                </c:pt>
                <c:pt idx="81">
                  <c:v>1.0659622540586961E-3</c:v>
                </c:pt>
                <c:pt idx="82">
                  <c:v>9.3528445058877201E-4</c:v>
                </c:pt>
                <c:pt idx="83">
                  <c:v>8.2062662179872414E-4</c:v>
                </c:pt>
                <c:pt idx="84">
                  <c:v>7.2002485658866208E-4</c:v>
                </c:pt>
                <c:pt idx="85">
                  <c:v>6.3175600246695462E-4</c:v>
                </c:pt>
                <c:pt idx="86">
                  <c:v>5.5430815061574296E-4</c:v>
                </c:pt>
                <c:pt idx="87">
                  <c:v>4.8635473923354914E-4</c:v>
                </c:pt>
                <c:pt idx="88">
                  <c:v>4.2673183158533116E-4</c:v>
                </c:pt>
                <c:pt idx="89">
                  <c:v>3.744181795681575E-4</c:v>
                </c:pt>
                <c:pt idx="90">
                  <c:v>3.2851773131224743E-4</c:v>
                </c:pt>
                <c:pt idx="91">
                  <c:v>2.8824428319966229E-4</c:v>
                </c:pt>
                <c:pt idx="92">
                  <c:v>2.5290801341348981E-4</c:v>
                </c:pt>
                <c:pt idx="93">
                  <c:v>2.2190366635806667E-4</c:v>
                </c:pt>
                <c:pt idx="94">
                  <c:v>1.9470018556764994E-4</c:v>
                </c:pt>
                <c:pt idx="95">
                  <c:v>1.7083161753131296E-4</c:v>
                </c:pt>
                <c:pt idx="96">
                  <c:v>1.4988913063066804E-4</c:v>
                </c:pt>
                <c:pt idx="97">
                  <c:v>1.3151401248717544E-4</c:v>
                </c:pt>
                <c:pt idx="98">
                  <c:v>1.1539152577443867E-4</c:v>
                </c:pt>
                <c:pt idx="99">
                  <c:v>1.012455172550634E-4</c:v>
                </c:pt>
                <c:pt idx="100">
                  <c:v>8.8833687703226893E-5</c:v>
                </c:pt>
                <c:pt idx="101">
                  <c:v>7.7943441694054713E-5</c:v>
                </c:pt>
                <c:pt idx="102">
                  <c:v>6.8388246173121828E-5</c:v>
                </c:pt>
                <c:pt idx="103">
                  <c:v>6.000443543401107E-5</c:v>
                </c:pt>
                <c:pt idx="104">
                  <c:v>5.264840777814092E-5</c:v>
                </c:pt>
                <c:pt idx="105">
                  <c:v>4.6194165839985494E-5</c:v>
                </c:pt>
                <c:pt idx="106">
                  <c:v>4.0531158447265645E-5</c:v>
                </c:pt>
                <c:pt idx="107">
                  <c:v>3.5562387050517399E-5</c:v>
                </c:pt>
                <c:pt idx="108">
                  <c:v>3.1202744288107732E-5</c:v>
                </c:pt>
                <c:pt idx="109">
                  <c:v>2.7377556228888597E-5</c:v>
                </c:pt>
                <c:pt idx="110">
                  <c:v>2.4021303323362635E-5</c:v>
                </c:pt>
                <c:pt idx="111">
                  <c:v>2.1076498155234263E-5</c:v>
                </c:pt>
                <c:pt idx="112">
                  <c:v>1.8492700770967539E-5</c:v>
                </c:pt>
                <c:pt idx="113">
                  <c:v>1.622565472147061E-5</c:v>
                </c:pt>
                <c:pt idx="114">
                  <c:v>1.4236529017638297E-5</c:v>
                </c:pt>
                <c:pt idx="115">
                  <c:v>1.2491253015624844E-5</c:v>
                </c:pt>
                <c:pt idx="116">
                  <c:v>1.0959932839461234E-5</c:v>
                </c:pt>
                <c:pt idx="117">
                  <c:v>9.6163393452399852E-6</c:v>
                </c:pt>
                <c:pt idx="118">
                  <c:v>8.437458856486606E-6</c:v>
                </c:pt>
                <c:pt idx="119">
                  <c:v>7.4030989755101693E-6</c:v>
                </c:pt>
                <c:pt idx="120">
                  <c:v>6.4955427188916827E-6</c:v>
                </c:pt>
                <c:pt idx="121">
                  <c:v>5.6992450529866341E-6</c:v>
                </c:pt>
                <c:pt idx="122">
                  <c:v>5.0005666315646735E-6</c:v>
                </c:pt>
                <c:pt idx="123">
                  <c:v>4.3875401749244121E-6</c:v>
                </c:pt>
                <c:pt idx="124">
                  <c:v>3.8496654889192568E-6</c:v>
                </c:pt>
                <c:pt idx="125">
                  <c:v>3.3777296128875344E-6</c:v>
                </c:pt>
                <c:pt idx="126">
                  <c:v>2.9636490158993833E-6</c:v>
                </c:pt>
                <c:pt idx="127">
                  <c:v>2.6003311383864257E-6</c:v>
                </c:pt>
                <c:pt idx="128">
                  <c:v>2.2815529075766938E-6</c:v>
                </c:pt>
                <c:pt idx="129">
                  <c:v>2.0018541458922826E-6</c:v>
                </c:pt>
                <c:pt idx="130">
                  <c:v>1.756444046560604E-6</c:v>
                </c:pt>
                <c:pt idx="131">
                  <c:v>1.5411191145112501E-6</c:v>
                </c:pt>
                <c:pt idx="132">
                  <c:v>1.3521911670130684E-6</c:v>
                </c:pt>
                <c:pt idx="133">
                  <c:v>1.1864241608138309E-6</c:v>
                </c:pt>
                <c:pt idx="134">
                  <c:v>1.0409787637291961E-6</c:v>
                </c:pt>
                <c:pt idx="135">
                  <c:v>9.1336372127809819E-7</c:v>
                </c:pt>
                <c:pt idx="136">
                  <c:v>8.0139318535031696E-7</c:v>
                </c:pt>
                <c:pt idx="137">
                  <c:v>7.0314927401236573E-7</c:v>
                </c:pt>
                <c:pt idx="138">
                  <c:v>6.1694922115913579E-7</c:v>
                </c:pt>
                <c:pt idx="139">
                  <c:v>5.413165533356868E-7</c:v>
                </c:pt>
                <c:pt idx="140">
                  <c:v>4.7495580003276315E-7</c:v>
                </c:pt>
                <c:pt idx="141">
                  <c:v>4.1673030428255022E-7</c:v>
                </c:pt>
                <c:pt idx="142">
                  <c:v>3.6564275348452907E-7</c:v>
                </c:pt>
                <c:pt idx="143">
                  <c:v>3.2081809698461684E-7</c:v>
                </c:pt>
                <c:pt idx="144">
                  <c:v>2.8148855781217036E-7</c:v>
                </c:pt>
                <c:pt idx="145">
                  <c:v>2.4698048184911125E-7</c:v>
                </c:pt>
                <c:pt idx="146">
                  <c:v>2.1670279917779956E-7</c:v>
                </c:pt>
                <c:pt idx="147">
                  <c:v>1.9013689996840822E-7</c:v>
                </c:pt>
                <c:pt idx="148">
                  <c:v>1.6682775149542289E-7</c:v>
                </c:pt>
                <c:pt idx="149">
                  <c:v>1.4637610413151184E-7</c:v>
                </c:pt>
                <c:pt idx="150">
                  <c:v>1.2843165281950732E-7</c:v>
                </c:pt>
                <c:pt idx="151">
                  <c:v>1.1268703688910032E-7</c:v>
                </c:pt>
                <c:pt idx="152">
                  <c:v>9.8872575444397895E-8</c:v>
                </c:pt>
                <c:pt idx="153">
                  <c:v>8.6751648147682539E-8</c:v>
                </c:pt>
                <c:pt idx="154">
                  <c:v>7.6116642279350332E-8</c:v>
                </c:pt>
                <c:pt idx="155">
                  <c:v>6.6785396653439311E-8</c:v>
                </c:pt>
                <c:pt idx="156">
                  <c:v>5.8598081478526462E-8</c:v>
                </c:pt>
                <c:pt idx="157">
                  <c:v>5.1414460720840769E-8</c:v>
                </c:pt>
                <c:pt idx="158">
                  <c:v>4.5111490078110861E-8</c:v>
                </c:pt>
                <c:pt idx="159">
                  <c:v>3.9581209421157883E-8</c:v>
                </c:pt>
                <c:pt idx="160">
                  <c:v>3.4728893604020924E-8</c:v>
                </c:pt>
                <c:pt idx="161">
                  <c:v>3.0471429968855234E-8</c:v>
                </c:pt>
                <c:pt idx="162">
                  <c:v>2.6735894754774044E-8</c:v>
                </c:pt>
                <c:pt idx="163">
                  <c:v>2.3458304026721343E-8</c:v>
                </c:pt>
                <c:pt idx="164">
                  <c:v>2.0582517729720976E-8</c:v>
                </c:pt>
                <c:pt idx="165">
                  <c:v>1.8059278096648E-8</c:v>
                </c:pt>
                <c:pt idx="166">
                  <c:v>1.5845365938936152E-8</c:v>
                </c:pt>
                <c:pt idx="167">
                  <c:v>1.3902860368787407E-8</c:v>
                </c:pt>
                <c:pt idx="168">
                  <c:v>1.2198489273071143E-8</c:v>
                </c:pt>
                <c:pt idx="169">
                  <c:v>1.0703059413536368E-8</c:v>
                </c:pt>
                <c:pt idx="170">
                  <c:v>9.390956391835928E-9</c:v>
                </c:pt>
                <c:pt idx="171">
                  <c:v>8.2397059145377061E-9</c:v>
                </c:pt>
                <c:pt idx="172">
                  <c:v>7.2295888432716539E-9</c:v>
                </c:pt>
                <c:pt idx="173">
                  <c:v>6.3433034364176622E-9</c:v>
                </c:pt>
                <c:pt idx="174">
                  <c:v>5.5656689970572632E-9</c:v>
                </c:pt>
                <c:pt idx="175">
                  <c:v>4.8833658511373797E-9</c:v>
                </c:pt>
                <c:pt idx="176">
                  <c:v>4.2847072020746237E-9</c:v>
                </c:pt>
                <c:pt idx="177">
                  <c:v>3.7594389540227142E-9</c:v>
                </c:pt>
                <c:pt idx="178">
                  <c:v>3.2985640750854853E-9</c:v>
                </c:pt>
                <c:pt idx="179">
                  <c:v>2.8941884920892436E-9</c:v>
                </c:pt>
                <c:pt idx="180">
                  <c:v>2.5393858773304955E-9</c:v>
                </c:pt>
                <c:pt idx="181">
                  <c:v>2.2280790113053662E-9</c:v>
                </c:pt>
                <c:pt idx="182">
                  <c:v>1.954935689347933E-9</c:v>
                </c:pt>
                <c:pt idx="183">
                  <c:v>1.7152773892193407E-9</c:v>
                </c:pt>
                <c:pt idx="184">
                  <c:v>1.5049991352648935E-9</c:v>
                </c:pt>
                <c:pt idx="185">
                  <c:v>1.3204991865362005E-9</c:v>
                </c:pt>
                <c:pt idx="186">
                  <c:v>1.1586173445447574E-9</c:v>
                </c:pt>
                <c:pt idx="187">
                  <c:v>1.0165808239542936E-9</c:v>
                </c:pt>
                <c:pt idx="188">
                  <c:v>8.9195675906064328E-10</c:v>
                </c:pt>
                <c:pt idx="189">
                  <c:v>7.8261053256866943E-10</c:v>
                </c:pt>
                <c:pt idx="190">
                  <c:v>6.8666921290270133E-10</c:v>
                </c:pt>
                <c:pt idx="191">
                  <c:v>6.0248947378821886E-10</c:v>
                </c:pt>
                <c:pt idx="192">
                  <c:v>5.2862944661688195E-10</c:v>
                </c:pt>
                <c:pt idx="193">
                  <c:v>4.6382402346949552E-10</c:v>
                </c:pt>
                <c:pt idx="194">
                  <c:v>4.0696318777592816E-10</c:v>
                </c:pt>
                <c:pt idx="195">
                  <c:v>3.5707300144973557E-10</c:v>
                </c:pt>
                <c:pt idx="196">
                  <c:v>3.1329892283654004E-10</c:v>
                </c:pt>
                <c:pt idx="197">
                  <c:v>2.7489116973844778E-10</c:v>
                </c:pt>
                <c:pt idx="198">
                  <c:v>2.4119187680577286E-10</c:v>
                </c:pt>
                <c:pt idx="199">
                  <c:v>2.1162382732207002E-10</c:v>
                </c:pt>
                <c:pt idx="200">
                  <c:v>1.8568056637539876E-10</c:v>
                </c:pt>
                <c:pt idx="201">
                  <c:v>1.6291772606974899E-10</c:v>
                </c:pt>
                <c:pt idx="202">
                  <c:v>1.4294541419092961E-10</c:v>
                </c:pt>
                <c:pt idx="203">
                  <c:v>1.2542153595655019E-10</c:v>
                </c:pt>
                <c:pt idx="204">
                  <c:v>1.1004593446201209E-10</c:v>
                </c:pt>
                <c:pt idx="205">
                  <c:v>9.6555249457419884E-11</c:v>
                </c:pt>
                <c:pt idx="206">
                  <c:v>8.4718406394221294E-11</c:v>
                </c:pt>
                <c:pt idx="207">
                  <c:v>7.433265847592811E-11</c:v>
                </c:pt>
                <c:pt idx="208">
                  <c:v>6.5220113919374379E-11</c:v>
                </c:pt>
                <c:pt idx="209">
                  <c:v>5.7224688943873543E-11</c:v>
                </c:pt>
                <c:pt idx="210">
                  <c:v>5.0209434297696102E-11</c:v>
                </c:pt>
                <c:pt idx="211">
                  <c:v>4.405418952940517E-11</c:v>
                </c:pt>
                <c:pt idx="212">
                  <c:v>3.8653524825349521E-11</c:v>
                </c:pt>
                <c:pt idx="213">
                  <c:v>3.3914935160176703E-11</c:v>
                </c:pt>
                <c:pt idx="214">
                  <c:v>2.9757255828960202E-11</c:v>
                </c:pt>
                <c:pt idx="215">
                  <c:v>2.6109272221459037E-11</c:v>
                </c:pt>
                <c:pt idx="216">
                  <c:v>2.2908500026095072E-11</c:v>
                </c:pt>
                <c:pt idx="217">
                  <c:v>2.0100114970430651E-11</c:v>
                </c:pt>
                <c:pt idx="218">
                  <c:v>1.7636013766257822E-11</c:v>
                </c:pt>
                <c:pt idx="219">
                  <c:v>1.5473990174742346E-11</c:v>
                </c:pt>
                <c:pt idx="220">
                  <c:v>1.3577012078893962E-11</c:v>
                </c:pt>
                <c:pt idx="221">
                  <c:v>1.1912587180733548E-11</c:v>
                </c:pt>
                <c:pt idx="222">
                  <c:v>1.0452206458531617E-11</c:v>
                </c:pt>
                <c:pt idx="223">
                  <c:v>9.1708558514022816E-12</c:v>
                </c:pt>
                <c:pt idx="224">
                  <c:v>8.0465878071657351E-12</c:v>
                </c:pt>
                <c:pt idx="225">
                  <c:v>7.0601453547574801E-12</c:v>
                </c:pt>
                <c:pt idx="226">
                  <c:v>6.194632262126628E-12</c:v>
                </c:pt>
                <c:pt idx="227">
                  <c:v>5.4352236299387376E-12</c:v>
                </c:pt>
                <c:pt idx="228">
                  <c:v>4.7689119640013506E-12</c:v>
                </c:pt>
                <c:pt idx="229">
                  <c:v>4.1842843770260029E-12</c:v>
                </c:pt>
                <c:pt idx="230">
                  <c:v>3.6713271035378093E-12</c:v>
                </c:pt>
                <c:pt idx="231">
                  <c:v>3.2212539795756712E-12</c:v>
                </c:pt>
                <c:pt idx="232">
                  <c:v>2.826355949305904E-12</c:v>
                </c:pt>
                <c:pt idx="233">
                  <c:v>2.4798690208305637E-12</c:v>
                </c:pt>
                <c:pt idx="234">
                  <c:v>2.1758584094778983E-12</c:v>
                </c:pt>
                <c:pt idx="235">
                  <c:v>1.9091168841288424E-12</c:v>
                </c:pt>
                <c:pt idx="236">
                  <c:v>1.6750755754095138E-12</c:v>
                </c:pt>
                <c:pt idx="237">
                  <c:v>1.4697257180321237E-12</c:v>
                </c:pt>
                <c:pt idx="238">
                  <c:v>1.2895499868517593E-12</c:v>
                </c:pt>
                <c:pt idx="239">
                  <c:v>1.1314622505319906E-12</c:v>
                </c:pt>
                <c:pt idx="240">
                  <c:v>9.927547108928657E-13</c:v>
                </c:pt>
                <c:pt idx="241">
                  <c:v>8.7105152252016016E-13</c:v>
                </c:pt>
                <c:pt idx="242">
                  <c:v>7.6426809821159184E-13</c:v>
                </c:pt>
                <c:pt idx="243">
                  <c:v>6.7057540322529487E-13</c:v>
                </c:pt>
                <c:pt idx="244">
                  <c:v>5.8836862674630809E-13</c:v>
                </c:pt>
                <c:pt idx="245">
                  <c:v>5.1623969396179929E-13</c:v>
                </c:pt>
                <c:pt idx="246">
                  <c:v>4.5295314791942968E-13</c:v>
                </c:pt>
                <c:pt idx="247">
                  <c:v>3.9742498806243025E-13</c:v>
                </c:pt>
                <c:pt idx="248">
                  <c:v>3.4870410297825775E-13</c:v>
                </c:pt>
                <c:pt idx="249">
                  <c:v>3.0595597933255893E-13</c:v>
                </c:pt>
                <c:pt idx="250">
                  <c:v>2.6844840794770316E-13</c:v>
                </c:pt>
                <c:pt idx="251">
                  <c:v>2.3553894219313776E-13</c:v>
                </c:pt>
                <c:pt idx="252">
                  <c:v>2.066638938692092E-13</c:v>
                </c:pt>
                <c:pt idx="253">
                  <c:v>1.8132867810097553E-13</c:v>
                </c:pt>
                <c:pt idx="254">
                  <c:v>1.590993418649894E-13</c:v>
                </c:pt>
                <c:pt idx="255">
                  <c:v>1.3959513104582982E-13</c:v>
                </c:pt>
                <c:pt idx="256">
                  <c:v>1.2248196870756865E-13</c:v>
                </c:pt>
                <c:pt idx="257">
                  <c:v>1.0746673287305877E-13</c:v>
                </c:pt>
                <c:pt idx="258">
                  <c:v>9.4292235798261681E-14</c:v>
                </c:pt>
                <c:pt idx="259">
                  <c:v>8.2732818744356795E-14</c:v>
                </c:pt>
                <c:pt idx="260">
                  <c:v>7.2590486792898596E-14</c:v>
                </c:pt>
                <c:pt idx="261">
                  <c:v>6.369151749938908E-14</c:v>
                </c:pt>
                <c:pt idx="262">
                  <c:v>5.5883485296751538E-14</c:v>
                </c:pt>
                <c:pt idx="263">
                  <c:v>4.9032650681343875E-14</c:v>
                </c:pt>
                <c:pt idx="264">
                  <c:v>4.3021669462309755E-14</c:v>
                </c:pt>
                <c:pt idx="265">
                  <c:v>3.7747582837255411E-14</c:v>
                </c:pt>
                <c:pt idx="266">
                  <c:v>3.312005386736008E-14</c:v>
                </c:pt>
                <c:pt idx="267">
                  <c:v>2.9059820145468966E-14</c:v>
                </c:pt>
                <c:pt idx="268">
                  <c:v>2.5497336153768606E-14</c:v>
                </c:pt>
                <c:pt idx="269">
                  <c:v>2.2371582056733481E-14</c:v>
                </c:pt>
                <c:pt idx="270">
                  <c:v>1.9629018525811192E-14</c:v>
                </c:pt>
                <c:pt idx="271">
                  <c:v>1.7222669693611161E-14</c:v>
                </c:pt>
                <c:pt idx="272">
                  <c:v>1.5111318530021825E-14</c:v>
                </c:pt>
                <c:pt idx="273">
                  <c:v>1.3258800858294886E-14</c:v>
                </c:pt>
                <c:pt idx="274">
                  <c:v>1.1633385918685107E-14</c:v>
                </c:pt>
                <c:pt idx="275">
                  <c:v>1.0207232869659784E-14</c:v>
                </c:pt>
                <c:pt idx="276">
                  <c:v>8.9559139173850406E-15</c:v>
                </c:pt>
                <c:pt idx="277">
                  <c:v>7.8579959054352882E-15</c:v>
                </c:pt>
                <c:pt idx="278">
                  <c:v>6.8946731980053517E-15</c:v>
                </c:pt>
                <c:pt idx="279">
                  <c:v>6.0494455684830352E-15</c:v>
                </c:pt>
                <c:pt idx="280">
                  <c:v>5.3078355761120484E-15</c:v>
                </c:pt>
                <c:pt idx="281">
                  <c:v>4.657140589845069E-15</c:v>
                </c:pt>
                <c:pt idx="282">
                  <c:v>4.086215211939456E-15</c:v>
                </c:pt>
                <c:pt idx="283">
                  <c:v>3.5852803745486419E-15</c:v>
                </c:pt>
                <c:pt idx="284">
                  <c:v>3.1457558394293664E-15</c:v>
                </c:pt>
                <c:pt idx="285">
                  <c:v>2.7601132317440468E-15</c:v>
                </c:pt>
                <c:pt idx="286">
                  <c:v>2.4217470906548473E-15</c:v>
                </c:pt>
                <c:pt idx="287">
                  <c:v>2.1248617280057601E-15</c:v>
                </c:pt>
                <c:pt idx="288">
                  <c:v>1.8643719571570727E-15</c:v>
                </c:pt>
                <c:pt idx="289">
                  <c:v>1.6358159916108533E-15</c:v>
                </c:pt>
                <c:pt idx="290">
                  <c:v>1.4352790215157458E-15</c:v>
                </c:pt>
                <c:pt idx="291">
                  <c:v>1.2593261590349212E-15</c:v>
                </c:pt>
                <c:pt idx="292">
                  <c:v>1.1049436040351471E-15</c:v>
                </c:pt>
                <c:pt idx="293">
                  <c:v>9.6948702235631416E-16</c:v>
                </c:pt>
                <c:pt idx="294">
                  <c:v>8.5063625246109391E-16</c:v>
                </c:pt>
                <c:pt idx="295">
                  <c:v>7.4635556465975766E-16</c:v>
                </c:pt>
                <c:pt idx="296">
                  <c:v>6.5485879221220202E-16</c:v>
                </c:pt>
                <c:pt idx="297">
                  <c:v>5.7457873705694149E-16</c:v>
                </c:pt>
                <c:pt idx="298">
                  <c:v>5.0414032613456962E-16</c:v>
                </c:pt>
                <c:pt idx="299">
                  <c:v>4.4233705851506804E-16</c:v>
                </c:pt>
                <c:pt idx="300">
                  <c:v>3.8811033990471704E-16</c:v>
                </c:pt>
                <c:pt idx="301">
                  <c:v>3.4053135056470483E-16</c:v>
                </c:pt>
                <c:pt idx="302">
                  <c:v>2.9878513606695208E-16</c:v>
                </c:pt>
                <c:pt idx="303">
                  <c:v>2.6215664838642886E-16</c:v>
                </c:pt>
                <c:pt idx="304">
                  <c:v>2.300184982354861E-16</c:v>
                </c:pt>
                <c:pt idx="305">
                  <c:v>2.0182020885664961E-16</c:v>
                </c:pt>
                <c:pt idx="306">
                  <c:v>1.7707878720798391E-16</c:v>
                </c:pt>
                <c:pt idx="307">
                  <c:v>1.5537045104002871E-16</c:v>
                </c:pt>
                <c:pt idx="308">
                  <c:v>1.3632337016194318E-16</c:v>
                </c:pt>
                <c:pt idx="309">
                  <c:v>1.1961129756598501E-16</c:v>
                </c:pt>
                <c:pt idx="310">
                  <c:v>1.0494798132134646E-16</c:v>
                </c:pt>
                <c:pt idx="311">
                  <c:v>9.2082261521739923E-17</c:v>
                </c:pt>
                <c:pt idx="312">
                  <c:v>8.0793768305035933E-17</c:v>
                </c:pt>
                <c:pt idx="313">
                  <c:v>7.0889147258690035E-17</c:v>
                </c:pt>
                <c:pt idx="314">
                  <c:v>6.2198747557997149E-17</c:v>
                </c:pt>
                <c:pt idx="315">
                  <c:v>5.4573716110108924E-17</c:v>
                </c:pt>
                <c:pt idx="316">
                  <c:v>4.7883447930999878E-17</c:v>
                </c:pt>
                <c:pt idx="317">
                  <c:v>4.201334908428687E-17</c:v>
                </c:pt>
                <c:pt idx="318">
                  <c:v>3.6862873864507237E-17</c:v>
                </c:pt>
                <c:pt idx="319">
                  <c:v>3.2343802604843828E-17</c:v>
                </c:pt>
                <c:pt idx="320">
                  <c:v>2.8378730610809538E-17</c:v>
                </c:pt>
                <c:pt idx="321">
                  <c:v>2.4899742337664655E-17</c:v>
                </c:pt>
                <c:pt idx="322">
                  <c:v>2.184724810227879E-17</c:v>
                </c:pt>
                <c:pt idx="323">
                  <c:v>1.9168963404112492E-17</c:v>
                </c:pt>
                <c:pt idx="324">
                  <c:v>1.6819013372667149E-17</c:v>
                </c:pt>
                <c:pt idx="325">
                  <c:v>1.4757147001974439E-17</c:v>
                </c:pt>
                <c:pt idx="326">
                  <c:v>1.29480477131786E-17</c:v>
                </c:pt>
                <c:pt idx="327">
                  <c:v>1.1360728436215925E-17</c:v>
                </c:pt>
                <c:pt idx="328">
                  <c:v>9.9680008492771331E-18</c:v>
                </c:pt>
                <c:pt idx="329">
                  <c:v>8.7460096849463287E-18</c:v>
                </c:pt>
                <c:pt idx="330">
                  <c:v>7.6738241264016486E-18</c:v>
                </c:pt>
                <c:pt idx="331">
                  <c:v>6.7330792949271013E-18</c:v>
                </c:pt>
                <c:pt idx="332">
                  <c:v>5.9076616879717141E-18</c:v>
                </c:pt>
                <c:pt idx="333">
                  <c:v>5.1834331797969223E-18</c:v>
                </c:pt>
                <c:pt idx="334">
                  <c:v>4.5479888572705752E-18</c:v>
                </c:pt>
                <c:pt idx="335">
                  <c:v>3.990444542909625E-18</c:v>
                </c:pt>
                <c:pt idx="336">
                  <c:v>3.5012503657701581E-18</c:v>
                </c:pt>
                <c:pt idx="337">
                  <c:v>3.0720271869427407E-18</c:v>
                </c:pt>
                <c:pt idx="338">
                  <c:v>2.6954230778750457E-18</c:v>
                </c:pt>
                <c:pt idx="339">
                  <c:v>2.3649873932176243E-18</c:v>
                </c:pt>
                <c:pt idx="340">
                  <c:v>2.0750602812556251E-18</c:v>
                </c:pt>
                <c:pt idx="341">
                  <c:v>1.8206757394112038E-18</c:v>
                </c:pt>
                <c:pt idx="342">
                  <c:v>1.597476554307474E-18</c:v>
                </c:pt>
                <c:pt idx="343">
                  <c:v>1.4016396694489706E-18</c:v>
                </c:pt>
                <c:pt idx="344">
                  <c:v>1.2298107021825402E-18</c:v>
                </c:pt>
                <c:pt idx="345">
                  <c:v>1.0790464883155733E-18</c:v>
                </c:pt>
                <c:pt idx="346">
                  <c:v>9.4676467026983805E-19</c:v>
                </c:pt>
                <c:pt idx="347">
                  <c:v>8.3069946529403702E-19</c:v>
                </c:pt>
                <c:pt idx="348">
                  <c:v>7.2886285611304459E-19</c:v>
                </c:pt>
                <c:pt idx="349">
                  <c:v>6.3951053926972854E-19</c:v>
                </c:pt>
                <c:pt idx="350">
                  <c:v>5.6111204790716942E-19</c:v>
                </c:pt>
                <c:pt idx="351">
                  <c:v>4.9232453724079064E-19</c:v>
                </c:pt>
                <c:pt idx="352">
                  <c:v>4.3196978370612114E-19</c:v>
                </c:pt>
                <c:pt idx="353">
                  <c:v>3.7901400381320023E-19</c:v>
                </c:pt>
                <c:pt idx="354">
                  <c:v>3.3255014703584456E-19</c:v>
                </c:pt>
                <c:pt idx="355">
                  <c:v>2.9178235944038289E-19</c:v>
                </c:pt>
                <c:pt idx="356">
                  <c:v>2.5601235193987194E-19</c:v>
                </c:pt>
                <c:pt idx="357">
                  <c:v>2.2462743968309189E-19</c:v>
                </c:pt>
                <c:pt idx="358">
                  <c:v>1.9709004771157189E-19</c:v>
                </c:pt>
                <c:pt idx="359">
                  <c:v>1.7292850313279679E-19</c:v>
                </c:pt>
                <c:pt idx="360">
                  <c:v>1.5172895609377804E-19</c:v>
                </c:pt>
                <c:pt idx="361">
                  <c:v>1.3312829117377264E-19</c:v>
                </c:pt>
                <c:pt idx="362">
                  <c:v>1.1680790777928223E-19</c:v>
                </c:pt>
                <c:pt idx="363">
                  <c:v>1.024882630091274E-19</c:v>
                </c:pt>
                <c:pt idx="364">
                  <c:v>8.9924083517324144E-20</c:v>
                </c:pt>
                <c:pt idx="365">
                  <c:v>7.8900164360386653E-20</c:v>
                </c:pt>
              </c:numCache>
            </c:numRef>
          </c:yVal>
          <c:smooth val="1"/>
          <c:extLst>
            <c:ext xmlns:c16="http://schemas.microsoft.com/office/drawing/2014/chart" uri="{C3380CC4-5D6E-409C-BE32-E72D297353CC}">
              <c16:uniqueId val="{00000004-A669-4CB9-84F4-49AE9BAF6CDE}"/>
            </c:ext>
          </c:extLst>
        </c:ser>
        <c:ser>
          <c:idx val="5"/>
          <c:order val="5"/>
          <c:tx>
            <c:v>tall grass, nectar and pollen (mean)</c:v>
          </c:tx>
          <c:spPr>
            <a:ln w="19050" cap="rnd">
              <a:solidFill>
                <a:srgbClr val="FF0000"/>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concentrations'!$X$3:$X$368</c:f>
              <c:numCache>
                <c:formatCode>0</c:formatCode>
                <c:ptCount val="366"/>
                <c:pt idx="0" formatCode="General">
                  <c:v>18</c:v>
                </c:pt>
                <c:pt idx="1">
                  <c:v>15.793354827056463</c:v>
                </c:pt>
                <c:pt idx="2">
                  <c:v>13.857225371850427</c:v>
                </c:pt>
                <c:pt idx="3">
                  <c:v>12.158448734229069</c:v>
                </c:pt>
                <c:pt idx="4">
                  <c:v>10.667927500347512</c:v>
                </c:pt>
                <c:pt idx="5">
                  <c:v>9.3601313490167648</c:v>
                </c:pt>
                <c:pt idx="6">
                  <c:v>8.2126597568264685</c:v>
                </c:pt>
                <c:pt idx="7">
                  <c:v>7.2058583118582034</c:v>
                </c:pt>
                <c:pt idx="8">
                  <c:v>6.3224820640372608</c:v>
                </c:pt>
                <c:pt idx="9">
                  <c:v>5.5474001458355993</c:v>
                </c:pt>
                <c:pt idx="10">
                  <c:v>4.8673366039359101</c:v>
                </c:pt>
                <c:pt idx="11">
                  <c:v>4.2706430027044338</c:v>
                </c:pt>
                <c:pt idx="12">
                  <c:v>3.747098904522054</c:v>
                </c:pt>
                <c:pt idx="13">
                  <c:v>3.2877368095106312</c:v>
                </c:pt>
                <c:pt idx="14">
                  <c:v>2.8846885561431077</c:v>
                </c:pt>
                <c:pt idx="15">
                  <c:v>2.5310505518176272</c:v>
                </c:pt>
                <c:pt idx="16">
                  <c:v>2.220765525004047</c:v>
                </c:pt>
                <c:pt idx="17">
                  <c:v>1.9485187735601803</c:v>
                </c:pt>
                <c:pt idx="18">
                  <c:v>1.7096471321120452</c:v>
                </c:pt>
                <c:pt idx="19">
                  <c:v>1.5000590992502782</c:v>
                </c:pt>
                <c:pt idx="20">
                  <c:v>1.3161647564452417</c:v>
                </c:pt>
                <c:pt idx="21">
                  <c:v>1.1548142783003361</c:v>
                </c:pt>
                <c:pt idx="22">
                  <c:v>1.0132439809193521</c:v>
                </c:pt>
                <c:pt idx="23">
                  <c:v>0.88902898427991972</c:v>
                </c:pt>
                <c:pt idx="24">
                  <c:v>0.78004167779279854</c:v>
                </c:pt>
                <c:pt idx="25">
                  <c:v>0.6844152776263398</c:v>
                </c:pt>
                <c:pt idx="26">
                  <c:v>0.60051185158950793</c:v>
                </c:pt>
                <c:pt idx="27">
                  <c:v>0.52689426388920935</c:v>
                </c:pt>
                <c:pt idx="28">
                  <c:v>0.46230155921905591</c:v>
                </c:pt>
                <c:pt idx="29">
                  <c:v>0.40562736454711146</c:v>
                </c:pt>
                <c:pt idx="30">
                  <c:v>0.35590093865868411</c:v>
                </c:pt>
                <c:pt idx="31">
                  <c:v>0.31227054486216971</c:v>
                </c:pt>
                <c:pt idx="32">
                  <c:v>0.27398886205813888</c:v>
                </c:pt>
                <c:pt idx="33">
                  <c:v>0.24040018428586751</c:v>
                </c:pt>
                <c:pt idx="34">
                  <c:v>0.21092918949535938</c:v>
                </c:pt>
                <c:pt idx="35">
                  <c:v>0.1850710851713134</c:v>
                </c:pt>
                <c:pt idx="36">
                  <c:v>0.16238296201883001</c:v>
                </c:pt>
                <c:pt idx="37">
                  <c:v>0.14247620761287863</c:v>
                </c:pt>
                <c:pt idx="38">
                  <c:v>0.12500985006908641</c:v>
                </c:pt>
                <c:pt idx="39">
                  <c:v>0.10968471772323392</c:v>
                </c:pt>
                <c:pt idx="40">
                  <c:v>9.6238314783808995E-2</c:v>
                </c:pt>
                <c:pt idx="41">
                  <c:v>8.4440325185480503E-2</c:v>
                </c:pt>
                <c:pt idx="42">
                  <c:v>7.4088667631462546E-2</c:v>
                </c:pt>
                <c:pt idx="43">
                  <c:v>6.5006034253752273E-2</c:v>
                </c:pt>
                <c:pt idx="44">
                  <c:v>5.7036853603849788E-2</c:v>
                </c:pt>
                <c:pt idx="45">
                  <c:v>5.0044625954692994E-2</c:v>
                </c:pt>
                <c:pt idx="46">
                  <c:v>4.3909585271654762E-2</c:v>
                </c:pt>
                <c:pt idx="47">
                  <c:v>3.8526647805785338E-2</c:v>
                </c:pt>
                <c:pt idx="48">
                  <c:v>3.3803612171878009E-2</c:v>
                </c:pt>
                <c:pt idx="49">
                  <c:v>2.9659580081481896E-2</c:v>
                </c:pt>
                <c:pt idx="50">
                  <c:v>2.6023570680463324E-2</c:v>
                </c:pt>
                <c:pt idx="51">
                  <c:v>2.2833304756863359E-2</c:v>
                </c:pt>
                <c:pt idx="52">
                  <c:v>2.0034137994414402E-2</c:v>
                </c:pt>
                <c:pt idx="53">
                  <c:v>1.7578125E-2</c:v>
                </c:pt>
                <c:pt idx="54">
                  <c:v>1.5423198073297327E-2</c:v>
                </c:pt>
                <c:pt idx="55">
                  <c:v>1.3532446652197683E-2</c:v>
                </c:pt>
                <c:pt idx="56">
                  <c:v>1.1873485092020575E-2</c:v>
                </c:pt>
                <c:pt idx="57">
                  <c:v>1.0417897949558117E-2</c:v>
                </c:pt>
                <c:pt idx="58">
                  <c:v>9.1407532705241844E-3</c:v>
                </c:pt>
                <c:pt idx="59">
                  <c:v>8.0201755437758482E-3</c:v>
                </c:pt>
                <c:pt idx="60">
                  <c:v>7.0369710076740267E-3</c:v>
                </c:pt>
                <c:pt idx="61">
                  <c:v>6.1742988906613875E-3</c:v>
                </c:pt>
                <c:pt idx="62">
                  <c:v>5.4173829549175774E-3</c:v>
                </c:pt>
                <c:pt idx="63">
                  <c:v>4.7532584022811622E-3</c:v>
                </c:pt>
                <c:pt idx="64">
                  <c:v>4.1705498073285486E-3</c:v>
                </c:pt>
                <c:pt idx="65">
                  <c:v>3.6592762739473183E-3</c:v>
                </c:pt>
                <c:pt idx="66">
                  <c:v>3.2106804780377258E-3</c:v>
                </c:pt>
                <c:pt idx="67">
                  <c:v>2.8170786681085036E-3</c:v>
                </c:pt>
                <c:pt idx="68">
                  <c:v>2.4717290545094015E-3</c:v>
                </c:pt>
                <c:pt idx="69">
                  <c:v>2.1687163330117647E-3</c:v>
                </c:pt>
                <c:pt idx="70">
                  <c:v>1.9028503648048636E-3</c:v>
                </c:pt>
                <c:pt idx="71">
                  <c:v>1.6695772774531692E-3</c:v>
                </c:pt>
                <c:pt idx="72">
                  <c:v>1.4649014641115999E-3</c:v>
                </c:pt>
                <c:pt idx="73">
                  <c:v>1.2853171449660563E-3</c:v>
                </c:pt>
                <c:pt idx="74">
                  <c:v>1.127748318652672E-3</c:v>
                </c:pt>
                <c:pt idx="75">
                  <c:v>9.8949607511655477E-4</c:v>
                </c:pt>
                <c:pt idx="76">
                  <c:v>8.681923674608591E-4</c:v>
                </c:pt>
                <c:pt idx="77">
                  <c:v>7.6175945096952982E-4</c:v>
                </c:pt>
                <c:pt idx="78">
                  <c:v>6.6837429455697246E-4</c:v>
                </c:pt>
                <c:pt idx="79">
                  <c:v>5.8643735506787884E-4</c:v>
                </c:pt>
                <c:pt idx="80">
                  <c:v>5.14545179579306E-4</c:v>
                </c:pt>
                <c:pt idx="81">
                  <c:v>4.5146636642485929E-4</c:v>
                </c:pt>
                <c:pt idx="82">
                  <c:v>3.9612047319053853E-4</c:v>
                </c:pt>
                <c:pt idx="83">
                  <c:v>3.475595104088712E-4</c:v>
                </c:pt>
                <c:pt idx="84">
                  <c:v>3.0495170396696261E-4</c:v>
                </c:pt>
                <c:pt idx="85">
                  <c:v>2.6756724810365125E-4</c:v>
                </c:pt>
                <c:pt idx="86">
                  <c:v>2.3476580496666749E-4</c:v>
                </c:pt>
                <c:pt idx="87">
                  <c:v>2.059855366165619E-4</c:v>
                </c:pt>
                <c:pt idx="88">
                  <c:v>1.8073348161261075E-4</c:v>
                </c:pt>
                <c:pt idx="89">
                  <c:v>1.5857711134651368E-4</c:v>
                </c:pt>
                <c:pt idx="90">
                  <c:v>1.3913692149695179E-4</c:v>
                </c:pt>
                <c:pt idx="91">
                  <c:v>1.220799317080922E-4</c:v>
                </c:pt>
                <c:pt idx="92">
                  <c:v>1.0711398215159562E-4</c:v>
                </c:pt>
                <c:pt idx="93">
                  <c:v>9.3982729281063472E-5</c:v>
                </c:pt>
                <c:pt idx="94">
                  <c:v>8.2461255063945803E-5</c:v>
                </c:pt>
                <c:pt idx="95">
                  <c:v>7.2352214483850142E-5</c:v>
                </c:pt>
                <c:pt idx="96">
                  <c:v>6.3482455325929954E-5</c:v>
                </c:pt>
                <c:pt idx="97">
                  <c:v>5.5700052347509559E-5</c:v>
                </c:pt>
                <c:pt idx="98">
                  <c:v>4.8871705033879877E-5</c:v>
                </c:pt>
                <c:pt idx="99">
                  <c:v>4.2880454366850354E-5</c:v>
                </c:pt>
                <c:pt idx="100">
                  <c:v>3.7623679497837245E-5</c:v>
                </c:pt>
                <c:pt idx="101">
                  <c:v>3.3011340011599618E-5</c:v>
                </c:pt>
                <c:pt idx="102">
                  <c:v>2.8964433673322164E-5</c:v>
                </c:pt>
                <c:pt idx="103">
                  <c:v>2.5413643242639965E-5</c:v>
                </c:pt>
                <c:pt idx="104">
                  <c:v>2.2298149176624374E-5</c:v>
                </c:pt>
                <c:pt idx="105">
                  <c:v>1.9564587885170314E-5</c:v>
                </c:pt>
                <c:pt idx="106">
                  <c:v>1.71661376953125E-5</c:v>
                </c:pt>
                <c:pt idx="107">
                  <c:v>1.5061716868454421E-5</c:v>
                </c:pt>
                <c:pt idx="108">
                  <c:v>1.32152799337868E-5</c:v>
                </c:pt>
                <c:pt idx="109">
                  <c:v>1.1595200285176343E-5</c:v>
                </c:pt>
                <c:pt idx="110">
                  <c:v>1.0173728466365348E-5</c:v>
                </c:pt>
                <c:pt idx="111">
                  <c:v>8.9265168657462738E-6</c:v>
                </c:pt>
                <c:pt idx="112">
                  <c:v>7.8322026794686017E-6</c:v>
                </c:pt>
                <c:pt idx="113">
                  <c:v>6.8720419996816667E-6</c:v>
                </c:pt>
                <c:pt idx="114">
                  <c:v>6.0295887604115112E-6</c:v>
                </c:pt>
                <c:pt idx="115">
                  <c:v>5.2904130419116967E-6</c:v>
                </c:pt>
                <c:pt idx="116">
                  <c:v>4.6418539084776974E-6</c:v>
                </c:pt>
                <c:pt idx="117">
                  <c:v>4.0728025462192857E-6</c:v>
                </c:pt>
                <c:pt idx="118">
                  <c:v>3.5735119862766781E-6</c:v>
                </c:pt>
                <c:pt idx="119">
                  <c:v>3.1354301543337166E-6</c:v>
                </c:pt>
                <c:pt idx="120">
                  <c:v>2.7510533868247106E-6</c:v>
                </c:pt>
                <c:pt idx="121">
                  <c:v>2.4137979047943374E-6</c:v>
                </c:pt>
                <c:pt idx="122">
                  <c:v>2.1178870439568014E-6</c:v>
                </c:pt>
                <c:pt idx="123">
                  <c:v>1.8582523093797496E-6</c:v>
                </c:pt>
                <c:pt idx="124">
                  <c:v>1.6304465600128605E-6</c:v>
                </c:pt>
                <c:pt idx="125">
                  <c:v>1.4305678360464842E-6</c:v>
                </c:pt>
                <c:pt idx="126">
                  <c:v>1.2551925243809144E-6</c:v>
                </c:pt>
                <c:pt idx="127">
                  <c:v>1.10131671743425E-6</c:v>
                </c:pt>
                <c:pt idx="128">
                  <c:v>9.6630476085601052E-7</c:v>
                </c:pt>
                <c:pt idx="129">
                  <c:v>8.4784410884849522E-7</c:v>
                </c:pt>
                <c:pt idx="130">
                  <c:v>7.4390571383743147E-7</c:v>
                </c:pt>
                <c:pt idx="131">
                  <c:v>6.5270927202829342E-7</c:v>
                </c:pt>
                <c:pt idx="132">
                  <c:v>5.7269272955847543E-7</c:v>
                </c:pt>
                <c:pt idx="133">
                  <c:v>5.0248552693291602E-7</c:v>
                </c:pt>
                <c:pt idx="134">
                  <c:v>4.4088512346177665E-7</c:v>
                </c:pt>
                <c:pt idx="135">
                  <c:v>3.8683639960013529E-7</c:v>
                </c:pt>
                <c:pt idx="136">
                  <c:v>3.3941358438366328E-7</c:v>
                </c:pt>
                <c:pt idx="137">
                  <c:v>2.9780439840523692E-7</c:v>
                </c:pt>
                <c:pt idx="138">
                  <c:v>2.6129614072622193E-7</c:v>
                </c:pt>
                <c:pt idx="139">
                  <c:v>2.2926348141276122E-7</c:v>
                </c:pt>
                <c:pt idx="140">
                  <c:v>2.0115775060211123E-7</c:v>
                </c:pt>
                <c:pt idx="141">
                  <c:v>1.7649754063731518E-7</c:v>
                </c:pt>
                <c:pt idx="142">
                  <c:v>1.5486046029932977E-7</c:v>
                </c:pt>
                <c:pt idx="143">
                  <c:v>1.3587589989936698E-7</c:v>
                </c:pt>
                <c:pt idx="144">
                  <c:v>1.1921868330868379E-7</c:v>
                </c:pt>
                <c:pt idx="145">
                  <c:v>1.046034981949176E-7</c:v>
                </c:pt>
                <c:pt idx="146">
                  <c:v>9.1780009063538547E-8</c:v>
                </c:pt>
                <c:pt idx="147">
                  <c:v>8.0528569398384574E-8</c:v>
                </c:pt>
                <c:pt idx="148">
                  <c:v>7.0656459456884905E-8</c:v>
                </c:pt>
                <c:pt idx="149">
                  <c:v>6.1994585279228471E-8</c:v>
                </c:pt>
                <c:pt idx="150">
                  <c:v>5.4394582370614803E-8</c:v>
                </c:pt>
                <c:pt idx="151">
                  <c:v>4.7726274447148317E-8</c:v>
                </c:pt>
                <c:pt idx="152">
                  <c:v>4.1875443717627299E-8</c:v>
                </c:pt>
                <c:pt idx="153">
                  <c:v>3.6741874509606684E-8</c:v>
                </c:pt>
                <c:pt idx="154">
                  <c:v>3.2237636730077752E-8</c:v>
                </c:pt>
                <c:pt idx="155">
                  <c:v>2.8285579759103675E-8</c:v>
                </c:pt>
                <c:pt idx="156">
                  <c:v>2.4818010979140591E-8</c:v>
                </c:pt>
                <c:pt idx="157">
                  <c:v>2.177553630529724E-8</c:v>
                </c:pt>
                <c:pt idx="158">
                  <c:v>1.9106042856611635E-8</c:v>
                </c:pt>
                <c:pt idx="159">
                  <c:v>1.6763806343078613E-8</c:v>
                </c:pt>
                <c:pt idx="160">
                  <c:v>1.4708707879350021E-8</c:v>
                </c:pt>
                <c:pt idx="161">
                  <c:v>1.2905546810338672E-8</c:v>
                </c:pt>
                <c:pt idx="162">
                  <c:v>1.1323437778492522E-8</c:v>
                </c:pt>
                <c:pt idx="163">
                  <c:v>9.9352817054349106E-9</c:v>
                </c:pt>
                <c:pt idx="164">
                  <c:v>8.7173016267053455E-9</c:v>
                </c:pt>
                <c:pt idx="165">
                  <c:v>7.6486354291685564E-9</c:v>
                </c:pt>
                <c:pt idx="166">
                  <c:v>6.7109785153141277E-9</c:v>
                </c:pt>
                <c:pt idx="167">
                  <c:v>5.8882702738393664E-9</c:v>
                </c:pt>
                <c:pt idx="168">
                  <c:v>5.1664189862418913E-9</c:v>
                </c:pt>
                <c:pt idx="169">
                  <c:v>4.5330604574977514E-9</c:v>
                </c:pt>
                <c:pt idx="170">
                  <c:v>3.9773462365422712E-9</c:v>
                </c:pt>
                <c:pt idx="171">
                  <c:v>3.4897577990983184E-9</c:v>
                </c:pt>
                <c:pt idx="172">
                  <c:v>3.0619435100915201E-9</c:v>
                </c:pt>
                <c:pt idx="173">
                  <c:v>2.6865755730710064E-9</c:v>
                </c:pt>
                <c:pt idx="174">
                  <c:v>2.3572245164007202E-9</c:v>
                </c:pt>
                <c:pt idx="175">
                  <c:v>2.0682490663640639E-9</c:v>
                </c:pt>
                <c:pt idx="176">
                  <c:v>1.8146995208786617E-9</c:v>
                </c:pt>
                <c:pt idx="177">
                  <c:v>1.5922329687625591E-9</c:v>
                </c:pt>
                <c:pt idx="178">
                  <c:v>1.3970389023891448E-9</c:v>
                </c:pt>
                <c:pt idx="179">
                  <c:v>1.2257739495907367E-9</c:v>
                </c:pt>
                <c:pt idx="180">
                  <c:v>1.0755046068693848E-9</c:v>
                </c:pt>
                <c:pt idx="181">
                  <c:v>9.4365699302344777E-10</c:v>
                </c:pt>
                <c:pt idx="182">
                  <c:v>8.2797276254735861E-10</c:v>
                </c:pt>
                <c:pt idx="183">
                  <c:v>7.2647042366936667E-10</c:v>
                </c:pt>
                <c:pt idx="184">
                  <c:v>6.3741139846513029E-10</c:v>
                </c:pt>
                <c:pt idx="185">
                  <c:v>5.5927024370944866E-10</c:v>
                </c:pt>
                <c:pt idx="186">
                  <c:v>4.907085223954258E-10</c:v>
                </c:pt>
                <c:pt idx="187">
                  <c:v>4.3055187838064126E-10</c:v>
                </c:pt>
                <c:pt idx="188">
                  <c:v>3.7776992148450712E-10</c:v>
                </c:pt>
                <c:pt idx="189">
                  <c:v>3.3145857849967117E-10</c:v>
                </c:pt>
                <c:pt idx="190">
                  <c:v>2.9082460781761418E-10</c:v>
                </c:pt>
                <c:pt idx="191">
                  <c:v>2.551720124279511E-10</c:v>
                </c:pt>
                <c:pt idx="192">
                  <c:v>2.2389011856714963E-10</c:v>
                </c:pt>
                <c:pt idx="193">
                  <c:v>1.9644311582237424E-10</c:v>
                </c:pt>
                <c:pt idx="194">
                  <c:v>1.7236087952862811E-10</c:v>
                </c:pt>
                <c:pt idx="195">
                  <c:v>1.5123091826106423E-10</c:v>
                </c:pt>
                <c:pt idx="196">
                  <c:v>1.3269130849547557E-10</c:v>
                </c:pt>
                <c:pt idx="197">
                  <c:v>1.1642449541863651E-10</c:v>
                </c:pt>
                <c:pt idx="198">
                  <c:v>1.0215185370597422E-10</c:v>
                </c:pt>
                <c:pt idx="199">
                  <c:v>8.9628915101111862E-11</c:v>
                </c:pt>
                <c:pt idx="200">
                  <c:v>7.8641181053109935E-11</c:v>
                </c:pt>
                <c:pt idx="201">
                  <c:v>6.9000448688364165E-11</c:v>
                </c:pt>
                <c:pt idx="202">
                  <c:v>6.0541587186746554E-11</c:v>
                </c:pt>
                <c:pt idx="203">
                  <c:v>5.3119709346303519E-11</c:v>
                </c:pt>
                <c:pt idx="204">
                  <c:v>4.6607689889793278E-11</c:v>
                </c:pt>
                <c:pt idx="205">
                  <c:v>4.0893988005495409E-11</c:v>
                </c:pt>
                <c:pt idx="206">
                  <c:v>3.5880736825787777E-11</c:v>
                </c:pt>
                <c:pt idx="207">
                  <c:v>3.1482067119216554E-11</c:v>
                </c:pt>
                <c:pt idx="208">
                  <c:v>2.7622636483499683E-11</c:v>
                </c:pt>
                <c:pt idx="209">
                  <c:v>2.4236338846816983E-11</c:v>
                </c:pt>
                <c:pt idx="210">
                  <c:v>2.1265172173141836E-11</c:v>
                </c:pt>
                <c:pt idx="211">
                  <c:v>1.86582449771598E-11</c:v>
                </c:pt>
                <c:pt idx="212">
                  <c:v>1.6370904631912708E-11</c:v>
                </c:pt>
                <c:pt idx="213">
                  <c:v>1.4363972538427755E-11</c:v>
                </c:pt>
                <c:pt idx="214">
                  <c:v>1.2603073056971359E-11</c:v>
                </c:pt>
                <c:pt idx="215">
                  <c:v>1.1058044705559104E-11</c:v>
                </c:pt>
                <c:pt idx="216">
                  <c:v>9.7024235404637798E-12</c:v>
                </c:pt>
                <c:pt idx="217">
                  <c:v>8.512989869829439E-12</c:v>
                </c:pt>
                <c:pt idx="218">
                  <c:v>7.4693705362974183E-12</c:v>
                </c:pt>
                <c:pt idx="219">
                  <c:v>6.5536899563614528E-12</c:v>
                </c:pt>
                <c:pt idx="220">
                  <c:v>5.7502639392962563E-12</c:v>
                </c:pt>
                <c:pt idx="221">
                  <c:v>5.045331041251847E-12</c:v>
                </c:pt>
                <c:pt idx="222">
                  <c:v>4.4268168530251478E-12</c:v>
                </c:pt>
                <c:pt idx="223">
                  <c:v>3.8841271841233117E-12</c:v>
                </c:pt>
                <c:pt idx="224">
                  <c:v>3.4079666006819516E-12</c:v>
                </c:pt>
                <c:pt idx="225">
                  <c:v>2.9901792090737501E-12</c:v>
                </c:pt>
                <c:pt idx="226">
                  <c:v>2.6236089580771547E-12</c:v>
                </c:pt>
                <c:pt idx="227">
                  <c:v>2.3019770667975783E-12</c:v>
                </c:pt>
                <c:pt idx="228">
                  <c:v>2.0197744788711561E-12</c:v>
                </c:pt>
                <c:pt idx="229">
                  <c:v>1.7721675008580681E-12</c:v>
                </c:pt>
                <c:pt idx="230">
                  <c:v>1.5549150085571866E-12</c:v>
                </c:pt>
                <c:pt idx="231">
                  <c:v>1.3642958031143992E-12</c:v>
                </c:pt>
                <c:pt idx="232">
                  <c:v>1.1970448726472038E-12</c:v>
                </c:pt>
                <c:pt idx="233">
                  <c:v>1.0502974676458835E-12</c:v>
                </c:pt>
                <c:pt idx="234">
                  <c:v>9.2154003224946071E-13</c:v>
                </c:pt>
                <c:pt idx="235">
                  <c:v>8.0856715092515489E-13</c:v>
                </c:pt>
                <c:pt idx="236">
                  <c:v>7.0944377311461589E-13</c:v>
                </c:pt>
                <c:pt idx="237">
                  <c:v>6.224720688136038E-13</c:v>
                </c:pt>
                <c:pt idx="238">
                  <c:v>5.4616234737250845E-13</c:v>
                </c:pt>
                <c:pt idx="239">
                  <c:v>4.7920754140178301E-13</c:v>
                </c:pt>
                <c:pt idx="240">
                  <c:v>4.2046081873109498E-13</c:v>
                </c:pt>
                <c:pt idx="241">
                  <c:v>3.6891593894971398E-13</c:v>
                </c:pt>
                <c:pt idx="242">
                  <c:v>3.2369001806608513E-13</c:v>
                </c:pt>
                <c:pt idx="243">
                  <c:v>2.8400840607188885E-13</c:v>
                </c:pt>
                <c:pt idx="244">
                  <c:v>2.49191418386671E-13</c:v>
                </c:pt>
                <c:pt idx="245">
                  <c:v>2.1864269391323206E-13</c:v>
                </c:pt>
                <c:pt idx="246">
                  <c:v>1.9183898029528735E-13</c:v>
                </c:pt>
                <c:pt idx="247">
                  <c:v>1.6832117141467589E-13</c:v>
                </c:pt>
                <c:pt idx="248">
                  <c:v>1.4768644361432054E-13</c:v>
                </c:pt>
                <c:pt idx="249">
                  <c:v>1.2958135595261286E-13</c:v>
                </c:pt>
                <c:pt idx="250">
                  <c:v>1.1369579630726222E-13</c:v>
                </c:pt>
                <c:pt idx="251">
                  <c:v>9.9757669634740449E-14</c:v>
                </c:pt>
                <c:pt idx="252">
                  <c:v>8.7528237403429553E-14</c:v>
                </c:pt>
                <c:pt idx="253">
                  <c:v>7.6798028372177671E-14</c:v>
                </c:pt>
                <c:pt idx="254">
                  <c:v>6.738325067223063E-14</c:v>
                </c:pt>
                <c:pt idx="255">
                  <c:v>5.9122643737057182E-14</c:v>
                </c:pt>
                <c:pt idx="256">
                  <c:v>5.187471615849953E-14</c:v>
                </c:pt>
                <c:pt idx="257">
                  <c:v>4.5515322158001248E-14</c:v>
                </c:pt>
                <c:pt idx="258">
                  <c:v>3.993553516161661E-14</c:v>
                </c:pt>
                <c:pt idx="259">
                  <c:v>3.5039782056433376E-14</c:v>
                </c:pt>
                <c:pt idx="260">
                  <c:v>3.0744206171109916E-14</c:v>
                </c:pt>
                <c:pt idx="261">
                  <c:v>2.6975230940917659E-14</c:v>
                </c:pt>
                <c:pt idx="262">
                  <c:v>2.366829965509471E-14</c:v>
                </c:pt>
                <c:pt idx="263">
                  <c:v>2.0766769700333824E-14</c:v>
                </c:pt>
                <c:pt idx="264">
                  <c:v>1.8220942360507617E-14</c:v>
                </c:pt>
                <c:pt idx="265">
                  <c:v>1.5987211554602254E-14</c:v>
                </c:pt>
                <c:pt idx="266">
                  <c:v>1.4027316932058354E-14</c:v>
                </c:pt>
                <c:pt idx="267">
                  <c:v>1.2307688532198593E-14</c:v>
                </c:pt>
                <c:pt idx="268">
                  <c:v>1.0798871782772562E-14</c:v>
                </c:pt>
                <c:pt idx="269">
                  <c:v>9.47502298873416E-15</c:v>
                </c:pt>
                <c:pt idx="270">
                  <c:v>8.3134666697553115E-15</c:v>
                </c:pt>
                <c:pt idx="271">
                  <c:v>7.2943071643529476E-15</c:v>
                </c:pt>
                <c:pt idx="272">
                  <c:v>6.4000878480092312E-15</c:v>
                </c:pt>
                <c:pt idx="273">
                  <c:v>5.6154921282190002E-15</c:v>
                </c:pt>
                <c:pt idx="274">
                  <c:v>4.9270810949725068E-15</c:v>
                </c:pt>
                <c:pt idx="275">
                  <c:v>4.3230633330323709E-15</c:v>
                </c:pt>
                <c:pt idx="276">
                  <c:v>3.7930929532454216E-15</c:v>
                </c:pt>
                <c:pt idx="277">
                  <c:v>3.3280923834784683E-15</c:v>
                </c:pt>
                <c:pt idx="278">
                  <c:v>2.9200968838610841E-15</c:v>
                </c:pt>
                <c:pt idx="279">
                  <c:v>2.5621181231222214E-15</c:v>
                </c:pt>
                <c:pt idx="280">
                  <c:v>2.24802447929451E-15</c:v>
                </c:pt>
                <c:pt idx="281">
                  <c:v>1.9724360145226134E-15</c:v>
                </c:pt>
                <c:pt idx="282">
                  <c:v>1.7306323250567071E-15</c:v>
                </c:pt>
                <c:pt idx="283">
                  <c:v>1.5184716880441276E-15</c:v>
                </c:pt>
                <c:pt idx="284">
                  <c:v>1.3323201202289054E-15</c:v>
                </c:pt>
                <c:pt idx="285">
                  <c:v>1.168989133444535E-15</c:v>
                </c:pt>
                <c:pt idx="286">
                  <c:v>1.0256811207479332E-15</c:v>
                </c:pt>
                <c:pt idx="287">
                  <c:v>8.9994143774361398E-16</c:v>
                </c:pt>
                <c:pt idx="288">
                  <c:v>7.8961635832534658E-16</c:v>
                </c:pt>
                <c:pt idx="289">
                  <c:v>6.9281618468224208E-16</c:v>
                </c:pt>
                <c:pt idx="290">
                  <c:v>6.0788287970078496E-16</c:v>
                </c:pt>
                <c:pt idx="291">
                  <c:v>5.3336166735596529E-16</c:v>
                </c:pt>
                <c:pt idx="292">
                  <c:v>4.6797611465017872E-16</c:v>
                </c:pt>
                <c:pt idx="293">
                  <c:v>4.1060626829208494E-16</c:v>
                </c:pt>
                <c:pt idx="294">
                  <c:v>3.6026947163058006E-16</c:v>
                </c:pt>
                <c:pt idx="295">
                  <c:v>3.1610353326766126E-16</c:v>
                </c:pt>
                <c:pt idx="296">
                  <c:v>2.7735195905457895E-16</c:v>
                </c:pt>
                <c:pt idx="297">
                  <c:v>2.4335099451823339E-16</c:v>
                </c:pt>
                <c:pt idx="298">
                  <c:v>2.1351825577464069E-16</c:v>
                </c:pt>
                <c:pt idx="299">
                  <c:v>1.8734275419461655E-16</c:v>
                </c:pt>
                <c:pt idx="300">
                  <c:v>1.6437614395964442E-16</c:v>
                </c:pt>
                <c:pt idx="301">
                  <c:v>1.442250425921099E-16</c:v>
                </c:pt>
                <c:pt idx="302">
                  <c:v>1.2654429292247349E-16</c:v>
                </c:pt>
                <c:pt idx="303">
                  <c:v>1.1103105108131076E-16</c:v>
                </c:pt>
                <c:pt idx="304">
                  <c:v>9.741959925267622E-17</c:v>
                </c:pt>
                <c:pt idx="305">
                  <c:v>8.5476794339286673E-17</c:v>
                </c:pt>
                <c:pt idx="306">
                  <c:v>7.4998074582204757E-17</c:v>
                </c:pt>
                <c:pt idx="307">
                  <c:v>6.5803955734600224E-17</c:v>
                </c:pt>
                <c:pt idx="308">
                  <c:v>5.7736956774469904E-17</c:v>
                </c:pt>
                <c:pt idx="309">
                  <c:v>5.0658902498534697E-17</c:v>
                </c:pt>
                <c:pt idx="310">
                  <c:v>4.4448556794923094E-17</c:v>
                </c:pt>
                <c:pt idx="311">
                  <c:v>3.8999546056266221E-17</c:v>
                </c:pt>
                <c:pt idx="312">
                  <c:v>3.4218537164485719E-17</c:v>
                </c:pt>
                <c:pt idx="313">
                  <c:v>3.0023638838974528E-17</c:v>
                </c:pt>
                <c:pt idx="314">
                  <c:v>2.6342998965739902E-17</c:v>
                </c:pt>
                <c:pt idx="315">
                  <c:v>2.3113573881928428E-17</c:v>
                </c:pt>
                <c:pt idx="316">
                  <c:v>2.028004853548225E-17</c:v>
                </c:pt>
                <c:pt idx="317">
                  <c:v>1.779388902393322E-17</c:v>
                </c:pt>
                <c:pt idx="318">
                  <c:v>1.5612511283791264E-17</c:v>
                </c:pt>
                <c:pt idx="319">
                  <c:v>1.3698551691463236E-17</c:v>
                </c:pt>
                <c:pt idx="320">
                  <c:v>1.2019227082225188E-17</c:v>
                </c:pt>
                <c:pt idx="321">
                  <c:v>1.054577322536383E-17</c:v>
                </c:pt>
                <c:pt idx="322">
                  <c:v>9.2529521374357031E-18</c:v>
                </c:pt>
                <c:pt idx="323">
                  <c:v>8.1186197946829214E-18</c:v>
                </c:pt>
                <c:pt idx="324">
                  <c:v>7.1233468401884254E-18</c:v>
                </c:pt>
                <c:pt idx="325">
                  <c:v>6.2500857890715149E-18</c:v>
                </c:pt>
                <c:pt idx="326">
                  <c:v>5.4838790314638674E-18</c:v>
                </c:pt>
                <c:pt idx="327">
                  <c:v>4.8116026318090887E-18</c:v>
                </c:pt>
                <c:pt idx="328">
                  <c:v>4.2217415361644247E-18</c:v>
                </c:pt>
                <c:pt idx="329">
                  <c:v>3.7041923371537321E-18</c:v>
                </c:pt>
                <c:pt idx="330">
                  <c:v>3.2500902182406917E-18</c:v>
                </c:pt>
                <c:pt idx="331">
                  <c:v>2.8516571131455899E-18</c:v>
                </c:pt>
                <c:pt idx="332">
                  <c:v>2.5020684796115443E-18</c:v>
                </c:pt>
                <c:pt idx="333">
                  <c:v>2.195336405561045E-18</c:v>
                </c:pt>
                <c:pt idx="334">
                  <c:v>1.9262070454322397E-18</c:v>
                </c:pt>
                <c:pt idx="335">
                  <c:v>1.6900706299381906E-18</c:v>
                </c:pt>
                <c:pt idx="336">
                  <c:v>1.4828825078555933E-18</c:v>
                </c:pt>
                <c:pt idx="337">
                  <c:v>1.3010938674110405E-18</c:v>
                </c:pt>
                <c:pt idx="338">
                  <c:v>1.1415909506294287E-18</c:v>
                </c:pt>
                <c:pt idx="339">
                  <c:v>1.0016417194804035E-18</c:v>
                </c:pt>
                <c:pt idx="340">
                  <c:v>8.7884906029649802E-19</c:v>
                </c:pt>
                <c:pt idx="341">
                  <c:v>7.7110972492709626E-19</c:v>
                </c:pt>
                <c:pt idx="342">
                  <c:v>6.7657830535375203E-19</c:v>
                </c:pt>
                <c:pt idx="343">
                  <c:v>5.9363562470779782E-19</c:v>
                </c:pt>
                <c:pt idx="344">
                  <c:v>5.2086100327730985E-19</c:v>
                </c:pt>
                <c:pt idx="345">
                  <c:v>4.5700792446306515E-19</c:v>
                </c:pt>
                <c:pt idx="346">
                  <c:v>4.009826838789892E-19</c:v>
                </c:pt>
                <c:pt idx="347">
                  <c:v>3.5182565588923834E-19</c:v>
                </c:pt>
                <c:pt idx="348">
                  <c:v>3.0869485670670045E-19</c:v>
                </c:pt>
                <c:pt idx="349">
                  <c:v>2.7085152251423726E-19</c:v>
                </c:pt>
                <c:pt idx="350">
                  <c:v>2.376474555842123E-19</c:v>
                </c:pt>
                <c:pt idx="351">
                  <c:v>2.0851392165492255E-19</c:v>
                </c:pt>
                <c:pt idx="352">
                  <c:v>1.8295190839318023E-19</c:v>
                </c:pt>
                <c:pt idx="353">
                  <c:v>1.6052357808559025E-19</c:v>
                </c:pt>
                <c:pt idx="354">
                  <c:v>1.4084476815635732E-19</c:v>
                </c:pt>
                <c:pt idx="355">
                  <c:v>1.2357841105710302E-19</c:v>
                </c:pt>
                <c:pt idx="356">
                  <c:v>1.0842876082159254E-19</c:v>
                </c:pt>
                <c:pt idx="357">
                  <c:v>9.5136327395191621E-20</c:v>
                </c:pt>
                <c:pt idx="358">
                  <c:v>8.3473431971959641E-20</c:v>
                </c:pt>
                <c:pt idx="359">
                  <c:v>7.3240307209184333E-20</c:v>
                </c:pt>
                <c:pt idx="360">
                  <c:v>6.4261675522070532E-20</c:v>
                </c:pt>
                <c:pt idx="361">
                  <c:v>5.6383746850068265E-20</c:v>
                </c:pt>
                <c:pt idx="362">
                  <c:v>4.9471584471225291E-20</c:v>
                </c:pt>
                <c:pt idx="363">
                  <c:v>4.3406793745042084E-20</c:v>
                </c:pt>
                <c:pt idx="364">
                  <c:v>3.8085494195572481E-20</c:v>
                </c:pt>
                <c:pt idx="365">
                  <c:v>3.3416540199693085E-20</c:v>
                </c:pt>
              </c:numCache>
            </c:numRef>
          </c:yVal>
          <c:smooth val="1"/>
          <c:extLst>
            <c:ext xmlns:c16="http://schemas.microsoft.com/office/drawing/2014/chart" uri="{C3380CC4-5D6E-409C-BE32-E72D297353CC}">
              <c16:uniqueId val="{00000005-A669-4CB9-84F4-49AE9BAF6CDE}"/>
            </c:ext>
          </c:extLst>
        </c:ser>
        <c:ser>
          <c:idx val="6"/>
          <c:order val="6"/>
          <c:tx>
            <c:v>broadleaf plants (mean)</c:v>
          </c:tx>
          <c:spPr>
            <a:ln w="19050" cap="rnd">
              <a:solidFill>
                <a:schemeClr val="accent6"/>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concentrations'!$Y$3:$Y$367</c:f>
              <c:numCache>
                <c:formatCode>0</c:formatCode>
                <c:ptCount val="365"/>
                <c:pt idx="0" formatCode="General">
                  <c:v>22.5</c:v>
                </c:pt>
                <c:pt idx="1">
                  <c:v>19.741693533820577</c:v>
                </c:pt>
                <c:pt idx="2">
                  <c:v>17.32153171481303</c:v>
                </c:pt>
                <c:pt idx="3">
                  <c:v>15.198060917786332</c:v>
                </c:pt>
                <c:pt idx="4">
                  <c:v>13.334909375434385</c:v>
                </c:pt>
                <c:pt idx="5">
                  <c:v>11.700164186270952</c:v>
                </c:pt>
                <c:pt idx="6">
                  <c:v>10.265824696033082</c:v>
                </c:pt>
                <c:pt idx="7">
                  <c:v>9.0073228898227509</c:v>
                </c:pt>
                <c:pt idx="8">
                  <c:v>7.9031025800465731</c:v>
                </c:pt>
                <c:pt idx="9">
                  <c:v>6.9342501822944964</c:v>
                </c:pt>
                <c:pt idx="10">
                  <c:v>6.084170754919886</c:v>
                </c:pt>
                <c:pt idx="11">
                  <c:v>5.3383037533805417</c:v>
                </c:pt>
                <c:pt idx="12">
                  <c:v>4.6838736306525677</c:v>
                </c:pt>
                <c:pt idx="13">
                  <c:v>4.1096710118882891</c:v>
                </c:pt>
                <c:pt idx="14">
                  <c:v>3.605860695178885</c:v>
                </c:pt>
                <c:pt idx="15">
                  <c:v>3.1638131897720343</c:v>
                </c:pt>
                <c:pt idx="16">
                  <c:v>2.7759569062550589</c:v>
                </c:pt>
                <c:pt idx="17">
                  <c:v>2.4356484669502256</c:v>
                </c:pt>
                <c:pt idx="18">
                  <c:v>2.1370589151400567</c:v>
                </c:pt>
                <c:pt idx="19">
                  <c:v>1.8750738740628479</c:v>
                </c:pt>
                <c:pt idx="20">
                  <c:v>1.6452059455565522</c:v>
                </c:pt>
                <c:pt idx="21">
                  <c:v>1.4435178478754203</c:v>
                </c:pt>
                <c:pt idx="22">
                  <c:v>1.2665549761491903</c:v>
                </c:pt>
                <c:pt idx="23">
                  <c:v>1.1112862303498998</c:v>
                </c:pt>
                <c:pt idx="24">
                  <c:v>0.97505209724099839</c:v>
                </c:pt>
                <c:pt idx="25">
                  <c:v>0.85551909703292495</c:v>
                </c:pt>
                <c:pt idx="26">
                  <c:v>0.7506398144868851</c:v>
                </c:pt>
                <c:pt idx="27">
                  <c:v>0.65861782986151196</c:v>
                </c:pt>
                <c:pt idx="28">
                  <c:v>0.57787694902382014</c:v>
                </c:pt>
                <c:pt idx="29">
                  <c:v>0.50703420568388957</c:v>
                </c:pt>
                <c:pt idx="30">
                  <c:v>0.44487617332335538</c:v>
                </c:pt>
                <c:pt idx="31">
                  <c:v>0.39033818107771234</c:v>
                </c:pt>
                <c:pt idx="32">
                  <c:v>0.3424860775726738</c:v>
                </c:pt>
                <c:pt idx="33">
                  <c:v>0.30050023035733453</c:v>
                </c:pt>
                <c:pt idx="34">
                  <c:v>0.26366148686919932</c:v>
                </c:pt>
                <c:pt idx="35">
                  <c:v>0.23133885646414185</c:v>
                </c:pt>
                <c:pt idx="36">
                  <c:v>0.20297870252353761</c:v>
                </c:pt>
                <c:pt idx="37">
                  <c:v>0.17809525951609836</c:v>
                </c:pt>
                <c:pt idx="38">
                  <c:v>0.15626231258635809</c:v>
                </c:pt>
                <c:pt idx="39">
                  <c:v>0.13710589715404248</c:v>
                </c:pt>
                <c:pt idx="40">
                  <c:v>0.12029789347976132</c:v>
                </c:pt>
                <c:pt idx="41">
                  <c:v>0.1055504064818507</c:v>
                </c:pt>
                <c:pt idx="42">
                  <c:v>9.2610834539328252E-2</c:v>
                </c:pt>
                <c:pt idx="43">
                  <c:v>8.1257542817190401E-2</c:v>
                </c:pt>
                <c:pt idx="44">
                  <c:v>7.1296067004812294E-2</c:v>
                </c:pt>
                <c:pt idx="45">
                  <c:v>6.2555782443366292E-2</c:v>
                </c:pt>
                <c:pt idx="46">
                  <c:v>5.48869815895685E-2</c:v>
                </c:pt>
                <c:pt idx="47">
                  <c:v>4.8158309757231718E-2</c:v>
                </c:pt>
                <c:pt idx="48">
                  <c:v>4.2254515214847549E-2</c:v>
                </c:pt>
                <c:pt idx="49">
                  <c:v>3.7074475101852404E-2</c:v>
                </c:pt>
                <c:pt idx="50">
                  <c:v>3.2529463350579185E-2</c:v>
                </c:pt>
                <c:pt idx="51">
                  <c:v>2.8541630946079227E-2</c:v>
                </c:pt>
                <c:pt idx="52">
                  <c:v>2.5042672493018028E-2</c:v>
                </c:pt>
                <c:pt idx="53">
                  <c:v>2.1972656250000021E-2</c:v>
                </c:pt>
                <c:pt idx="54">
                  <c:v>1.9278997591621678E-2</c:v>
                </c:pt>
                <c:pt idx="55">
                  <c:v>1.6915558315247121E-2</c:v>
                </c:pt>
                <c:pt idx="56">
                  <c:v>1.4841856365025734E-2</c:v>
                </c:pt>
                <c:pt idx="57">
                  <c:v>1.3022372436947659E-2</c:v>
                </c:pt>
                <c:pt idx="58">
                  <c:v>1.1425941588155242E-2</c:v>
                </c:pt>
                <c:pt idx="59">
                  <c:v>1.0025219429719821E-2</c:v>
                </c:pt>
                <c:pt idx="60">
                  <c:v>8.7962137595925423E-3</c:v>
                </c:pt>
                <c:pt idx="61">
                  <c:v>7.7178736133267419E-3</c:v>
                </c:pt>
                <c:pt idx="62">
                  <c:v>6.7717286936469778E-3</c:v>
                </c:pt>
                <c:pt idx="63">
                  <c:v>5.9415730028514581E-3</c:v>
                </c:pt>
                <c:pt idx="64">
                  <c:v>5.2131872591606914E-3</c:v>
                </c:pt>
                <c:pt idx="65">
                  <c:v>4.5740953424341533E-3</c:v>
                </c:pt>
                <c:pt idx="66">
                  <c:v>4.0133505975471625E-3</c:v>
                </c:pt>
                <c:pt idx="67">
                  <c:v>3.5213483351356342E-3</c:v>
                </c:pt>
                <c:pt idx="68">
                  <c:v>3.0896613181367561E-3</c:v>
                </c:pt>
                <c:pt idx="69">
                  <c:v>2.7108954162647094E-3</c:v>
                </c:pt>
                <c:pt idx="70">
                  <c:v>2.3785629560060828E-3</c:v>
                </c:pt>
                <c:pt idx="71">
                  <c:v>2.0869715968164643E-3</c:v>
                </c:pt>
                <c:pt idx="72">
                  <c:v>1.8311268301395023E-3</c:v>
                </c:pt>
                <c:pt idx="73">
                  <c:v>1.6066464312075727E-3</c:v>
                </c:pt>
                <c:pt idx="74">
                  <c:v>1.409685398315842E-3</c:v>
                </c:pt>
                <c:pt idx="75">
                  <c:v>1.2368700938956954E-3</c:v>
                </c:pt>
                <c:pt idx="76">
                  <c:v>1.0852404593260756E-3</c:v>
                </c:pt>
                <c:pt idx="77">
                  <c:v>9.521993137119138E-4</c:v>
                </c:pt>
                <c:pt idx="78">
                  <c:v>8.3546786819621696E-4</c:v>
                </c:pt>
                <c:pt idx="79">
                  <c:v>7.3304669383484971E-4</c:v>
                </c:pt>
                <c:pt idx="80">
                  <c:v>6.4318147447413364E-4</c:v>
                </c:pt>
                <c:pt idx="81">
                  <c:v>5.6433295803107512E-4</c:v>
                </c:pt>
                <c:pt idx="82">
                  <c:v>4.9515059148817406E-4</c:v>
                </c:pt>
                <c:pt idx="83">
                  <c:v>4.3444938801108978E-4</c:v>
                </c:pt>
                <c:pt idx="84">
                  <c:v>3.8118962995870395E-4</c:v>
                </c:pt>
                <c:pt idx="85">
                  <c:v>3.3445906012956463E-4</c:v>
                </c:pt>
                <c:pt idx="86">
                  <c:v>2.9345725620833483E-4</c:v>
                </c:pt>
                <c:pt idx="87">
                  <c:v>2.5748192077070279E-4</c:v>
                </c:pt>
                <c:pt idx="88">
                  <c:v>2.2591685201576382E-4</c:v>
                </c:pt>
                <c:pt idx="89">
                  <c:v>1.9822138918314244E-4</c:v>
                </c:pt>
                <c:pt idx="90">
                  <c:v>1.7392115187119003E-4</c:v>
                </c:pt>
                <c:pt idx="91">
                  <c:v>1.5259991463511551E-4</c:v>
                </c:pt>
                <c:pt idx="92">
                  <c:v>1.3389247768949477E-4</c:v>
                </c:pt>
                <c:pt idx="93">
                  <c:v>1.1747841160132956E-4</c:v>
                </c:pt>
                <c:pt idx="94">
                  <c:v>1.0307656882993246E-4</c:v>
                </c:pt>
                <c:pt idx="95">
                  <c:v>9.0440268104812868E-5</c:v>
                </c:pt>
                <c:pt idx="96">
                  <c:v>7.9353069157412609E-5</c:v>
                </c:pt>
                <c:pt idx="97">
                  <c:v>6.9625065434387101E-5</c:v>
                </c:pt>
                <c:pt idx="98">
                  <c:v>6.1089631292349976E-5</c:v>
                </c:pt>
                <c:pt idx="99">
                  <c:v>5.3600567958563056E-5</c:v>
                </c:pt>
                <c:pt idx="100">
                  <c:v>4.7029599372296654E-5</c:v>
                </c:pt>
                <c:pt idx="101">
                  <c:v>4.1264175014499607E-5</c:v>
                </c:pt>
                <c:pt idx="102">
                  <c:v>3.6205542091652779E-5</c:v>
                </c:pt>
                <c:pt idx="103">
                  <c:v>3.1767054053300019E-5</c:v>
                </c:pt>
                <c:pt idx="104">
                  <c:v>2.7872686470780522E-5</c:v>
                </c:pt>
                <c:pt idx="105">
                  <c:v>2.4455734856462941E-5</c:v>
                </c:pt>
                <c:pt idx="106">
                  <c:v>2.1457672119140666E-5</c:v>
                </c:pt>
                <c:pt idx="107">
                  <c:v>1.8827146085568062E-5</c:v>
                </c:pt>
                <c:pt idx="108">
                  <c:v>1.651909991723353E-5</c:v>
                </c:pt>
                <c:pt idx="109">
                  <c:v>1.4494000356470455E-5</c:v>
                </c:pt>
                <c:pt idx="110">
                  <c:v>1.2717160582956709E-5</c:v>
                </c:pt>
                <c:pt idx="111">
                  <c:v>1.1158146082182862E-5</c:v>
                </c:pt>
                <c:pt idx="112">
                  <c:v>9.7902533493357691E-6</c:v>
                </c:pt>
                <c:pt idx="113">
                  <c:v>8.5900524996020989E-6</c:v>
                </c:pt>
                <c:pt idx="114">
                  <c:v>7.5369859505144023E-6</c:v>
                </c:pt>
                <c:pt idx="115">
                  <c:v>6.6130163023896319E-6</c:v>
                </c:pt>
                <c:pt idx="116">
                  <c:v>5.8023173855971322E-6</c:v>
                </c:pt>
                <c:pt idx="117">
                  <c:v>5.0910031827741169E-6</c:v>
                </c:pt>
                <c:pt idx="118">
                  <c:v>4.4668899828458562E-6</c:v>
                </c:pt>
                <c:pt idx="119">
                  <c:v>3.9192876929171534E-6</c:v>
                </c:pt>
                <c:pt idx="120">
                  <c:v>3.4388167335308953E-6</c:v>
                </c:pt>
                <c:pt idx="121">
                  <c:v>3.017247380992928E-6</c:v>
                </c:pt>
                <c:pt idx="122">
                  <c:v>2.6473588049460074E-6</c:v>
                </c:pt>
                <c:pt idx="123">
                  <c:v>2.3228153867246919E-6</c:v>
                </c:pt>
                <c:pt idx="124">
                  <c:v>2.0380582000160797E-6</c:v>
                </c:pt>
                <c:pt idx="125">
                  <c:v>1.7882097950581087E-6</c:v>
                </c:pt>
                <c:pt idx="126">
                  <c:v>1.568990655476146E-6</c:v>
                </c:pt>
                <c:pt idx="127">
                  <c:v>1.3766458967928153E-6</c:v>
                </c:pt>
                <c:pt idx="128">
                  <c:v>1.2078809510700157E-6</c:v>
                </c:pt>
                <c:pt idx="129">
                  <c:v>1.0598051360606213E-6</c:v>
                </c:pt>
                <c:pt idx="130">
                  <c:v>9.2988214229679135E-7</c:v>
                </c:pt>
                <c:pt idx="131">
                  <c:v>8.1588659003536855E-7</c:v>
                </c:pt>
                <c:pt idx="132">
                  <c:v>7.1586591194809584E-7</c:v>
                </c:pt>
                <c:pt idx="133">
                  <c:v>6.2810690866614645E-7</c:v>
                </c:pt>
                <c:pt idx="134">
                  <c:v>5.51106404327222E-7</c:v>
                </c:pt>
                <c:pt idx="135">
                  <c:v>4.8354549950017009E-7</c:v>
                </c:pt>
                <c:pt idx="136">
                  <c:v>4.2426698047957997E-7</c:v>
                </c:pt>
                <c:pt idx="137">
                  <c:v>3.7225549800654693E-7</c:v>
                </c:pt>
                <c:pt idx="138">
                  <c:v>3.2662017590777807E-7</c:v>
                </c:pt>
                <c:pt idx="139">
                  <c:v>2.8657935176595209E-7</c:v>
                </c:pt>
                <c:pt idx="140">
                  <c:v>2.514471882526395E-7</c:v>
                </c:pt>
                <c:pt idx="141">
                  <c:v>2.2062192579664438E-7</c:v>
                </c:pt>
                <c:pt idx="142">
                  <c:v>1.9357557537416257E-7</c:v>
                </c:pt>
                <c:pt idx="143">
                  <c:v>1.6984487487420904E-7</c:v>
                </c:pt>
                <c:pt idx="144">
                  <c:v>1.4902335413585502E-7</c:v>
                </c:pt>
                <c:pt idx="145">
                  <c:v>1.3075437274364726E-7</c:v>
                </c:pt>
                <c:pt idx="146">
                  <c:v>1.1472501132942341E-7</c:v>
                </c:pt>
                <c:pt idx="147">
                  <c:v>1.0066071174798093E-7</c:v>
                </c:pt>
                <c:pt idx="148">
                  <c:v>8.8320574321106316E-8</c:v>
                </c:pt>
                <c:pt idx="149">
                  <c:v>7.7493231599035751E-8</c:v>
                </c:pt>
                <c:pt idx="150">
                  <c:v>6.7993227963268653E-8</c:v>
                </c:pt>
                <c:pt idx="151">
                  <c:v>5.9657843058935524E-8</c:v>
                </c:pt>
                <c:pt idx="152">
                  <c:v>5.2344304647034234E-8</c:v>
                </c:pt>
                <c:pt idx="153">
                  <c:v>4.5927343137008451E-8</c:v>
                </c:pt>
                <c:pt idx="154">
                  <c:v>4.0297045912597272E-8</c:v>
                </c:pt>
                <c:pt idx="155">
                  <c:v>3.5356974698879667E-8</c:v>
                </c:pt>
                <c:pt idx="156">
                  <c:v>3.10225137239258E-8</c:v>
                </c:pt>
                <c:pt idx="157">
                  <c:v>2.7219420381621604E-8</c:v>
                </c:pt>
                <c:pt idx="158">
                  <c:v>2.3882553570764591E-8</c:v>
                </c:pt>
                <c:pt idx="159">
                  <c:v>2.0954757928848306E-8</c:v>
                </c:pt>
                <c:pt idx="160">
                  <c:v>1.838588484918756E-8</c:v>
                </c:pt>
                <c:pt idx="161">
                  <c:v>1.6131933512923369E-8</c:v>
                </c:pt>
                <c:pt idx="162">
                  <c:v>1.4154297223115679E-8</c:v>
                </c:pt>
                <c:pt idx="163">
                  <c:v>1.2419102131793661E-8</c:v>
                </c:pt>
                <c:pt idx="164">
                  <c:v>1.0896627033381701E-8</c:v>
                </c:pt>
                <c:pt idx="165">
                  <c:v>9.560794286460712E-9</c:v>
                </c:pt>
                <c:pt idx="166">
                  <c:v>8.3887231441426747E-9</c:v>
                </c:pt>
                <c:pt idx="167">
                  <c:v>7.360337842299221E-9</c:v>
                </c:pt>
                <c:pt idx="168">
                  <c:v>6.4580237328023749E-9</c:v>
                </c:pt>
                <c:pt idx="169">
                  <c:v>5.6663255718721994E-9</c:v>
                </c:pt>
                <c:pt idx="170">
                  <c:v>4.9716827956778485E-9</c:v>
                </c:pt>
                <c:pt idx="171">
                  <c:v>4.3621972488729065E-9</c:v>
                </c:pt>
                <c:pt idx="172">
                  <c:v>3.8274293876144077E-9</c:v>
                </c:pt>
                <c:pt idx="173">
                  <c:v>3.3582194663387649E-9</c:v>
                </c:pt>
                <c:pt idx="174">
                  <c:v>2.9465306455009063E-9</c:v>
                </c:pt>
                <c:pt idx="175">
                  <c:v>2.5853113329550853E-9</c:v>
                </c:pt>
                <c:pt idx="176">
                  <c:v>2.2683744010983319E-9</c:v>
                </c:pt>
                <c:pt idx="177">
                  <c:v>1.9902912109532028E-9</c:v>
                </c:pt>
                <c:pt idx="178">
                  <c:v>1.7462986279864343E-9</c:v>
                </c:pt>
                <c:pt idx="179">
                  <c:v>1.5322174369884239E-9</c:v>
                </c:pt>
                <c:pt idx="180">
                  <c:v>1.3443807585867337E-9</c:v>
                </c:pt>
                <c:pt idx="181">
                  <c:v>1.1795712412793122E-9</c:v>
                </c:pt>
                <c:pt idx="182">
                  <c:v>1.0349659531842005E-9</c:v>
                </c:pt>
                <c:pt idx="183">
                  <c:v>9.080880295867103E-10</c:v>
                </c:pt>
                <c:pt idx="184">
                  <c:v>7.967642480814146E-10</c:v>
                </c:pt>
                <c:pt idx="185">
                  <c:v>6.9908780463681235E-10</c:v>
                </c:pt>
                <c:pt idx="186">
                  <c:v>6.1338565299428364E-10</c:v>
                </c:pt>
                <c:pt idx="187">
                  <c:v>5.3818984797580274E-10</c:v>
                </c:pt>
                <c:pt idx="188">
                  <c:v>4.7221240185563485E-10</c:v>
                </c:pt>
                <c:pt idx="189">
                  <c:v>4.1432322312458982E-10</c:v>
                </c:pt>
                <c:pt idx="190">
                  <c:v>3.6353075977201849E-10</c:v>
                </c:pt>
                <c:pt idx="191">
                  <c:v>3.1896501553493952E-10</c:v>
                </c:pt>
                <c:pt idx="192">
                  <c:v>2.7986264820893758E-10</c:v>
                </c:pt>
                <c:pt idx="193">
                  <c:v>2.4555389477796826E-10</c:v>
                </c:pt>
                <c:pt idx="194">
                  <c:v>2.1545109941078553E-10</c:v>
                </c:pt>
                <c:pt idx="195">
                  <c:v>1.8903864782633063E-10</c:v>
                </c:pt>
                <c:pt idx="196">
                  <c:v>1.6586413561934476E-10</c:v>
                </c:pt>
                <c:pt idx="197">
                  <c:v>1.4553061927329591E-10</c:v>
                </c:pt>
                <c:pt idx="198">
                  <c:v>1.2768981713246803E-10</c:v>
                </c:pt>
                <c:pt idx="199">
                  <c:v>1.1203614387639005E-10</c:v>
                </c:pt>
                <c:pt idx="200">
                  <c:v>9.8301476316387626E-11</c:v>
                </c:pt>
                <c:pt idx="201">
                  <c:v>8.6250560860455387E-11</c:v>
                </c:pt>
                <c:pt idx="202">
                  <c:v>7.5676983983433351E-11</c:v>
                </c:pt>
                <c:pt idx="203">
                  <c:v>6.6399636682879544E-11</c:v>
                </c:pt>
                <c:pt idx="204">
                  <c:v>5.8259612362241722E-11</c:v>
                </c:pt>
                <c:pt idx="205">
                  <c:v>5.1117485006869369E-11</c:v>
                </c:pt>
                <c:pt idx="206">
                  <c:v>4.4850921032234816E-11</c:v>
                </c:pt>
                <c:pt idx="207">
                  <c:v>3.9352583899020774E-11</c:v>
                </c:pt>
                <c:pt idx="208">
                  <c:v>3.4528295604374675E-11</c:v>
                </c:pt>
                <c:pt idx="209">
                  <c:v>3.0295423558521289E-11</c:v>
                </c:pt>
                <c:pt idx="210">
                  <c:v>2.6581465216427348E-11</c:v>
                </c:pt>
                <c:pt idx="211">
                  <c:v>2.3322806221449796E-11</c:v>
                </c:pt>
                <c:pt idx="212">
                  <c:v>2.0463630789890924E-11</c:v>
                </c:pt>
                <c:pt idx="213">
                  <c:v>1.7954965673034727E-11</c:v>
                </c:pt>
                <c:pt idx="214">
                  <c:v>1.5753841321214228E-11</c:v>
                </c:pt>
                <c:pt idx="215">
                  <c:v>1.3822555881948905E-11</c:v>
                </c:pt>
                <c:pt idx="216">
                  <c:v>1.2128029425579747E-11</c:v>
                </c:pt>
                <c:pt idx="217">
                  <c:v>1.0641237337286817E-11</c:v>
                </c:pt>
                <c:pt idx="218">
                  <c:v>9.3367131703717891E-12</c:v>
                </c:pt>
                <c:pt idx="219">
                  <c:v>8.1921124454518307E-12</c:v>
                </c:pt>
                <c:pt idx="220">
                  <c:v>7.187829924120333E-12</c:v>
                </c:pt>
                <c:pt idx="221">
                  <c:v>6.3066638015648192E-12</c:v>
                </c:pt>
                <c:pt idx="222">
                  <c:v>5.5335210662814447E-12</c:v>
                </c:pt>
                <c:pt idx="223">
                  <c:v>4.855158980154149E-12</c:v>
                </c:pt>
                <c:pt idx="224">
                  <c:v>4.2599582508524477E-12</c:v>
                </c:pt>
                <c:pt idx="225">
                  <c:v>3.737724011342195E-12</c:v>
                </c:pt>
                <c:pt idx="226">
                  <c:v>3.2795111975964501E-12</c:v>
                </c:pt>
                <c:pt idx="227">
                  <c:v>2.8774713334969788E-12</c:v>
                </c:pt>
                <c:pt idx="228">
                  <c:v>2.5247180985889505E-12</c:v>
                </c:pt>
                <c:pt idx="229">
                  <c:v>2.2152093760725898E-12</c:v>
                </c:pt>
                <c:pt idx="230">
                  <c:v>1.9436437606964871E-12</c:v>
                </c:pt>
                <c:pt idx="231">
                  <c:v>1.7053697538930023E-12</c:v>
                </c:pt>
                <c:pt idx="232">
                  <c:v>1.4963060908090077E-12</c:v>
                </c:pt>
                <c:pt idx="233">
                  <c:v>1.3128718345573572E-12</c:v>
                </c:pt>
                <c:pt idx="234">
                  <c:v>1.1519250403118283E-12</c:v>
                </c:pt>
                <c:pt idx="235">
                  <c:v>1.0107089386564458E-12</c:v>
                </c:pt>
                <c:pt idx="236">
                  <c:v>8.8680471639327178E-13</c:v>
                </c:pt>
                <c:pt idx="237">
                  <c:v>7.7809008601700644E-13</c:v>
                </c:pt>
                <c:pt idx="238">
                  <c:v>6.8270293421563706E-13</c:v>
                </c:pt>
                <c:pt idx="239">
                  <c:v>5.9900942675223012E-13</c:v>
                </c:pt>
                <c:pt idx="240">
                  <c:v>5.2557602341386986E-13</c:v>
                </c:pt>
                <c:pt idx="241">
                  <c:v>4.6114492368714341E-13</c:v>
                </c:pt>
                <c:pt idx="242">
                  <c:v>4.0461252258260724E-13</c:v>
                </c:pt>
                <c:pt idx="243">
                  <c:v>3.550105075898618E-13</c:v>
                </c:pt>
                <c:pt idx="244">
                  <c:v>3.1148927298333938E-13</c:v>
                </c:pt>
                <c:pt idx="245">
                  <c:v>2.7330336739154061E-13</c:v>
                </c:pt>
                <c:pt idx="246">
                  <c:v>2.3979872536910963E-13</c:v>
                </c:pt>
                <c:pt idx="247">
                  <c:v>2.1040146426834524E-13</c:v>
                </c:pt>
                <c:pt idx="248">
                  <c:v>1.8460805451790101E-13</c:v>
                </c:pt>
                <c:pt idx="249">
                  <c:v>1.6197669494076637E-13</c:v>
                </c:pt>
                <c:pt idx="250">
                  <c:v>1.4211974538407804E-13</c:v>
                </c:pt>
                <c:pt idx="251">
                  <c:v>1.2469708704342581E-13</c:v>
                </c:pt>
                <c:pt idx="252">
                  <c:v>1.0941029675428716E-13</c:v>
                </c:pt>
                <c:pt idx="253">
                  <c:v>9.5997535465222291E-14</c:v>
                </c:pt>
                <c:pt idx="254">
                  <c:v>8.4229063340288464E-14</c:v>
                </c:pt>
                <c:pt idx="255">
                  <c:v>7.3903304671321632E-14</c:v>
                </c:pt>
                <c:pt idx="256">
                  <c:v>6.4843395198124555E-14</c:v>
                </c:pt>
                <c:pt idx="257">
                  <c:v>5.6894152697501682E-14</c:v>
                </c:pt>
                <c:pt idx="258">
                  <c:v>4.9919418952020868E-14</c:v>
                </c:pt>
                <c:pt idx="259">
                  <c:v>4.3799727570541812E-14</c:v>
                </c:pt>
                <c:pt idx="260">
                  <c:v>3.8430257713887474E-14</c:v>
                </c:pt>
                <c:pt idx="261">
                  <c:v>3.3719038676147143E-14</c:v>
                </c:pt>
                <c:pt idx="262">
                  <c:v>2.9585374568868447E-14</c:v>
                </c:pt>
                <c:pt idx="263">
                  <c:v>2.5958462125417332E-14</c:v>
                </c:pt>
                <c:pt idx="264">
                  <c:v>2.2776177950634566E-14</c:v>
                </c:pt>
                <c:pt idx="265">
                  <c:v>1.9984014443252856E-14</c:v>
                </c:pt>
                <c:pt idx="266">
                  <c:v>1.7534146165072975E-14</c:v>
                </c:pt>
                <c:pt idx="267">
                  <c:v>1.5384610665248269E-14</c:v>
                </c:pt>
                <c:pt idx="268">
                  <c:v>1.3498589728465728E-14</c:v>
                </c:pt>
                <c:pt idx="269">
                  <c:v>1.1843778735917722E-14</c:v>
                </c:pt>
                <c:pt idx="270">
                  <c:v>1.0391833337194158E-14</c:v>
                </c:pt>
                <c:pt idx="271">
                  <c:v>9.1178839554412003E-15</c:v>
                </c:pt>
                <c:pt idx="272">
                  <c:v>8.0001098100115534E-15</c:v>
                </c:pt>
                <c:pt idx="273">
                  <c:v>7.0193651602737627E-15</c:v>
                </c:pt>
                <c:pt idx="274">
                  <c:v>6.1588513687156438E-15</c:v>
                </c:pt>
                <c:pt idx="275">
                  <c:v>5.4038291662904733E-15</c:v>
                </c:pt>
                <c:pt idx="276">
                  <c:v>4.7413661915567861E-15</c:v>
                </c:pt>
                <c:pt idx="277">
                  <c:v>4.1601154793480935E-15</c:v>
                </c:pt>
                <c:pt idx="278">
                  <c:v>3.6501211048263623E-15</c:v>
                </c:pt>
                <c:pt idx="279">
                  <c:v>3.2026476539027833E-15</c:v>
                </c:pt>
                <c:pt idx="280">
                  <c:v>2.8100305991181434E-15</c:v>
                </c:pt>
                <c:pt idx="281">
                  <c:v>2.465545018153272E-15</c:v>
                </c:pt>
                <c:pt idx="282">
                  <c:v>2.1632904063208884E-15</c:v>
                </c:pt>
                <c:pt idx="283">
                  <c:v>1.8980896100551632E-15</c:v>
                </c:pt>
                <c:pt idx="284">
                  <c:v>1.665400150286135E-15</c:v>
                </c:pt>
                <c:pt idx="285">
                  <c:v>1.4612364168056716E-15</c:v>
                </c:pt>
                <c:pt idx="286">
                  <c:v>1.2821014009349191E-15</c:v>
                </c:pt>
                <c:pt idx="287">
                  <c:v>1.1249267971795198E-15</c:v>
                </c:pt>
                <c:pt idx="288">
                  <c:v>9.8702044790668534E-16</c:v>
                </c:pt>
                <c:pt idx="289">
                  <c:v>8.6602023085280447E-16</c:v>
                </c:pt>
                <c:pt idx="290">
                  <c:v>7.5985359962598286E-16</c:v>
                </c:pt>
                <c:pt idx="291">
                  <c:v>6.6670208419495806E-16</c:v>
                </c:pt>
                <c:pt idx="292">
                  <c:v>5.8497014331272473E-16</c:v>
                </c:pt>
                <c:pt idx="293">
                  <c:v>5.1325783536510729E-16</c:v>
                </c:pt>
                <c:pt idx="294">
                  <c:v>4.5033683953822598E-16</c:v>
                </c:pt>
                <c:pt idx="295">
                  <c:v>3.9512941658457739E-16</c:v>
                </c:pt>
                <c:pt idx="296">
                  <c:v>3.4668994881822442E-16</c:v>
                </c:pt>
                <c:pt idx="297">
                  <c:v>3.0418874314779236E-16</c:v>
                </c:pt>
                <c:pt idx="298">
                  <c:v>2.6689781971830138E-16</c:v>
                </c:pt>
                <c:pt idx="299">
                  <c:v>2.3417844274327112E-16</c:v>
                </c:pt>
                <c:pt idx="300">
                  <c:v>2.054701799495559E-16</c:v>
                </c:pt>
                <c:pt idx="301">
                  <c:v>1.8028130324013771E-16</c:v>
                </c:pt>
                <c:pt idx="302">
                  <c:v>1.5818036615309216E-16</c:v>
                </c:pt>
                <c:pt idx="303">
                  <c:v>1.3878881385163871E-16</c:v>
                </c:pt>
                <c:pt idx="304">
                  <c:v>1.2177449906584552E-16</c:v>
                </c:pt>
                <c:pt idx="305">
                  <c:v>1.0684599292410855E-16</c:v>
                </c:pt>
                <c:pt idx="306">
                  <c:v>9.3747593227756143E-17</c:v>
                </c:pt>
                <c:pt idx="307">
                  <c:v>8.2254944668250453E-17</c:v>
                </c:pt>
                <c:pt idx="308">
                  <c:v>7.2171195968087531E-17</c:v>
                </c:pt>
                <c:pt idx="309">
                  <c:v>6.3323628123168511E-17</c:v>
                </c:pt>
                <c:pt idx="310">
                  <c:v>5.5560695993653986E-17</c:v>
                </c:pt>
                <c:pt idx="311">
                  <c:v>4.8749432570332879E-17</c:v>
                </c:pt>
                <c:pt idx="312">
                  <c:v>4.2773171455607238E-17</c:v>
                </c:pt>
                <c:pt idx="313">
                  <c:v>3.7529548548718237E-17</c:v>
                </c:pt>
                <c:pt idx="314">
                  <c:v>3.2928748707174945E-17</c:v>
                </c:pt>
                <c:pt idx="315">
                  <c:v>2.8891967352410592E-17</c:v>
                </c:pt>
                <c:pt idx="316">
                  <c:v>2.5350060669352863E-17</c:v>
                </c:pt>
                <c:pt idx="317">
                  <c:v>2.2242361279916569E-17</c:v>
                </c:pt>
                <c:pt idx="318">
                  <c:v>1.9515639104739117E-17</c:v>
                </c:pt>
                <c:pt idx="319">
                  <c:v>1.7123189614329078E-17</c:v>
                </c:pt>
                <c:pt idx="320">
                  <c:v>1.5024033852781513E-17</c:v>
                </c:pt>
                <c:pt idx="321">
                  <c:v>1.3182216531704812E-17</c:v>
                </c:pt>
                <c:pt idx="322">
                  <c:v>1.156619017179465E-17</c:v>
                </c:pt>
                <c:pt idx="323">
                  <c:v>1.0148274743353669E-17</c:v>
                </c:pt>
                <c:pt idx="324">
                  <c:v>8.9041835502355472E-18</c:v>
                </c:pt>
                <c:pt idx="325">
                  <c:v>7.8126072363394077E-18</c:v>
                </c:pt>
                <c:pt idx="326">
                  <c:v>6.8548487893298464E-18</c:v>
                </c:pt>
                <c:pt idx="327">
                  <c:v>6.0145032897613709E-18</c:v>
                </c:pt>
                <c:pt idx="328">
                  <c:v>5.2771769202055404E-18</c:v>
                </c:pt>
                <c:pt idx="329">
                  <c:v>4.6302404214421739E-18</c:v>
                </c:pt>
                <c:pt idx="330">
                  <c:v>4.0626127728008726E-18</c:v>
                </c:pt>
                <c:pt idx="331">
                  <c:v>3.5645713914319944E-18</c:v>
                </c:pt>
                <c:pt idx="332">
                  <c:v>3.1275855995144369E-18</c:v>
                </c:pt>
                <c:pt idx="333">
                  <c:v>2.7441705069513119E-18</c:v>
                </c:pt>
                <c:pt idx="334">
                  <c:v>2.4077588067903047E-18</c:v>
                </c:pt>
                <c:pt idx="335">
                  <c:v>2.1125882874227426E-18</c:v>
                </c:pt>
                <c:pt idx="336">
                  <c:v>1.8536031348194953E-18</c:v>
                </c:pt>
                <c:pt idx="337">
                  <c:v>1.6263673342638037E-18</c:v>
                </c:pt>
                <c:pt idx="338">
                  <c:v>1.4269886882867886E-18</c:v>
                </c:pt>
                <c:pt idx="339">
                  <c:v>1.2520521493505069E-18</c:v>
                </c:pt>
                <c:pt idx="340">
                  <c:v>1.0985613253706248E-18</c:v>
                </c:pt>
                <c:pt idx="341">
                  <c:v>9.638871561588724E-19</c:v>
                </c:pt>
                <c:pt idx="342">
                  <c:v>8.4572288169219186E-19</c:v>
                </c:pt>
                <c:pt idx="343">
                  <c:v>7.4204453088474888E-19</c:v>
                </c:pt>
                <c:pt idx="344">
                  <c:v>6.5107625409663873E-19</c:v>
                </c:pt>
                <c:pt idx="345">
                  <c:v>5.7125990557883274E-19</c:v>
                </c:pt>
                <c:pt idx="346">
                  <c:v>5.0122835484873758E-19</c:v>
                </c:pt>
                <c:pt idx="347">
                  <c:v>4.3978206986154881E-19</c:v>
                </c:pt>
                <c:pt idx="348">
                  <c:v>3.8586857088337635E-19</c:v>
                </c:pt>
                <c:pt idx="349">
                  <c:v>3.3856440314279728E-19</c:v>
                </c:pt>
                <c:pt idx="350">
                  <c:v>2.9705931948026598E-19</c:v>
                </c:pt>
                <c:pt idx="351">
                  <c:v>2.6064240206865369E-19</c:v>
                </c:pt>
                <c:pt idx="352">
                  <c:v>2.286898854914757E-19</c:v>
                </c:pt>
                <c:pt idx="353">
                  <c:v>2.0065447260698818E-19</c:v>
                </c:pt>
                <c:pt idx="354">
                  <c:v>1.7605596019544698E-19</c:v>
                </c:pt>
                <c:pt idx="355">
                  <c:v>1.5447301382137906E-19</c:v>
                </c:pt>
                <c:pt idx="356">
                  <c:v>1.3553595102699093E-19</c:v>
                </c:pt>
                <c:pt idx="357">
                  <c:v>1.1892040924398976E-19</c:v>
                </c:pt>
                <c:pt idx="358">
                  <c:v>1.0434178996494976E-19</c:v>
                </c:pt>
                <c:pt idx="359">
                  <c:v>9.1550384011480609E-20</c:v>
                </c:pt>
                <c:pt idx="360">
                  <c:v>8.0327094402588333E-20</c:v>
                </c:pt>
                <c:pt idx="361">
                  <c:v>7.0479683562585479E-20</c:v>
                </c:pt>
                <c:pt idx="362">
                  <c:v>6.1839480589031749E-20</c:v>
                </c:pt>
                <c:pt idx="363">
                  <c:v>5.4258492181302721E-20</c:v>
                </c:pt>
                <c:pt idx="364">
                  <c:v>4.7606867744465702E-20</c:v>
                </c:pt>
              </c:numCache>
            </c:numRef>
          </c:yVal>
          <c:smooth val="1"/>
          <c:extLst>
            <c:ext xmlns:c16="http://schemas.microsoft.com/office/drawing/2014/chart" uri="{C3380CC4-5D6E-409C-BE32-E72D297353CC}">
              <c16:uniqueId val="{00000006-A669-4CB9-84F4-49AE9BAF6CDE}"/>
            </c:ext>
          </c:extLst>
        </c:ser>
        <c:ser>
          <c:idx val="7"/>
          <c:order val="7"/>
          <c:tx>
            <c:strRef>
              <c:f>'Min rate concentrations'!$Z$2</c:f>
              <c:strCache>
                <c:ptCount val="1"/>
                <c:pt idx="0">
                  <c:v>Seeds, fruit and pods</c:v>
                </c:pt>
              </c:strCache>
            </c:strRef>
          </c:tx>
          <c:spPr>
            <a:ln w="19050" cap="rnd">
              <a:solidFill>
                <a:srgbClr val="7030A0"/>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concentrations'!$Z$3:$Z$368</c:f>
              <c:numCache>
                <c:formatCode>0</c:formatCode>
                <c:ptCount val="366"/>
                <c:pt idx="0" formatCode="General">
                  <c:v>3.5</c:v>
                </c:pt>
                <c:pt idx="1">
                  <c:v>3.0709301052609788</c:v>
                </c:pt>
                <c:pt idx="2">
                  <c:v>2.6944604889709161</c:v>
                </c:pt>
                <c:pt idx="3">
                  <c:v>2.3641428094334298</c:v>
                </c:pt>
                <c:pt idx="4">
                  <c:v>2.0743192361786824</c:v>
                </c:pt>
                <c:pt idx="5">
                  <c:v>1.8200255400865928</c:v>
                </c:pt>
                <c:pt idx="6">
                  <c:v>1.5969060638273687</c:v>
                </c:pt>
                <c:pt idx="7">
                  <c:v>1.4011391161946505</c:v>
                </c:pt>
                <c:pt idx="8">
                  <c:v>1.2293715124516893</c:v>
                </c:pt>
                <c:pt idx="9">
                  <c:v>1.0786611394680328</c:v>
                </c:pt>
                <c:pt idx="10">
                  <c:v>0.9464265618764266</c:v>
                </c:pt>
                <c:pt idx="11">
                  <c:v>0.83040280608141748</c:v>
                </c:pt>
                <c:pt idx="12">
                  <c:v>0.72860256476817697</c:v>
                </c:pt>
                <c:pt idx="13">
                  <c:v>0.63928215740484484</c:v>
                </c:pt>
                <c:pt idx="14">
                  <c:v>0.56091166369449308</c:v>
                </c:pt>
                <c:pt idx="15">
                  <c:v>0.492148718408983</c:v>
                </c:pt>
                <c:pt idx="16">
                  <c:v>0.43181551875078689</c:v>
                </c:pt>
                <c:pt idx="17">
                  <c:v>0.37887865041447949</c:v>
                </c:pt>
                <c:pt idx="18">
                  <c:v>0.3324313867995643</c:v>
                </c:pt>
                <c:pt idx="19">
                  <c:v>0.29167815818755405</c:v>
                </c:pt>
                <c:pt idx="20">
                  <c:v>0.25592092486435253</c:v>
                </c:pt>
                <c:pt idx="21">
                  <c:v>0.22454722078062089</c:v>
                </c:pt>
                <c:pt idx="22">
                  <c:v>0.19701966295654069</c:v>
                </c:pt>
                <c:pt idx="23">
                  <c:v>0.17286674694331775</c:v>
                </c:pt>
                <c:pt idx="24">
                  <c:v>0.15167477068193308</c:v>
                </c:pt>
                <c:pt idx="25">
                  <c:v>0.13308074842734388</c:v>
                </c:pt>
                <c:pt idx="26">
                  <c:v>0.11676619336462657</c:v>
                </c:pt>
                <c:pt idx="27">
                  <c:v>0.10245166242290185</c:v>
                </c:pt>
                <c:pt idx="28">
                  <c:v>8.9891969848149789E-2</c:v>
                </c:pt>
                <c:pt idx="29">
                  <c:v>7.8871987550827249E-2</c:v>
                </c:pt>
                <c:pt idx="30">
                  <c:v>6.9202960294744154E-2</c:v>
                </c:pt>
                <c:pt idx="31">
                  <c:v>6.0719272612088572E-2</c:v>
                </c:pt>
                <c:pt idx="32">
                  <c:v>5.3275612066860351E-2</c:v>
                </c:pt>
                <c:pt idx="33">
                  <c:v>4.674448027780758E-2</c:v>
                </c:pt>
                <c:pt idx="34">
                  <c:v>4.1014009068542107E-2</c:v>
                </c:pt>
                <c:pt idx="35">
                  <c:v>3.5986044338866499E-2</c:v>
                </c:pt>
                <c:pt idx="36">
                  <c:v>3.1574464836994727E-2</c:v>
                </c:pt>
                <c:pt idx="37">
                  <c:v>2.7703707035837511E-2</c:v>
                </c:pt>
                <c:pt idx="38">
                  <c:v>2.4307470846766804E-2</c:v>
                </c:pt>
                <c:pt idx="39">
                  <c:v>2.1327584001739931E-2</c:v>
                </c:pt>
                <c:pt idx="40">
                  <c:v>1.8713005652407307E-2</c:v>
                </c:pt>
                <c:pt idx="41">
                  <c:v>1.6418952119398988E-2</c:v>
                </c:pt>
                <c:pt idx="42">
                  <c:v>1.440612981722883E-2</c:v>
                </c:pt>
                <c:pt idx="43">
                  <c:v>1.2640062216007388E-2</c:v>
                </c:pt>
                <c:pt idx="44">
                  <c:v>1.1090499311859682E-2</c:v>
                </c:pt>
                <c:pt idx="45">
                  <c:v>9.7308994911903049E-3</c:v>
                </c:pt>
                <c:pt idx="46">
                  <c:v>8.5379749139328706E-3</c:v>
                </c:pt>
                <c:pt idx="47">
                  <c:v>7.4912926289027052E-3</c:v>
                </c:pt>
                <c:pt idx="48">
                  <c:v>6.57292458897628E-3</c:v>
                </c:pt>
                <c:pt idx="49">
                  <c:v>5.7671405713992582E-3</c:v>
                </c:pt>
                <c:pt idx="50">
                  <c:v>5.0601387434234249E-3</c:v>
                </c:pt>
                <c:pt idx="51">
                  <c:v>4.439809258278987E-3</c:v>
                </c:pt>
                <c:pt idx="52">
                  <c:v>3.8955268322472454E-3</c:v>
                </c:pt>
                <c:pt idx="53">
                  <c:v>3.4179687500000004E-3</c:v>
                </c:pt>
                <c:pt idx="54">
                  <c:v>2.998955180918925E-3</c:v>
                </c:pt>
                <c:pt idx="55">
                  <c:v>2.6313090712606606E-3</c:v>
                </c:pt>
                <c:pt idx="56">
                  <c:v>2.3087332123373342E-3</c:v>
                </c:pt>
                <c:pt idx="57">
                  <c:v>2.025702379080745E-3</c:v>
                </c:pt>
                <c:pt idx="58">
                  <c:v>1.7773686914908135E-3</c:v>
                </c:pt>
                <c:pt idx="59">
                  <c:v>1.5594785779564149E-3</c:v>
                </c:pt>
                <c:pt idx="60">
                  <c:v>1.3682999181588386E-3</c:v>
                </c:pt>
                <c:pt idx="61">
                  <c:v>1.200558117628603E-3</c:v>
                </c:pt>
                <c:pt idx="62">
                  <c:v>1.053380019011751E-3</c:v>
                </c:pt>
                <c:pt idx="63">
                  <c:v>9.2424468933244807E-4</c:v>
                </c:pt>
                <c:pt idx="64">
                  <c:v>8.1094024031388436E-4</c:v>
                </c:pt>
                <c:pt idx="65">
                  <c:v>7.1152594215642294E-4</c:v>
                </c:pt>
                <c:pt idx="66">
                  <c:v>6.242989818406689E-4</c:v>
                </c:pt>
                <c:pt idx="67">
                  <c:v>5.4776529657665351E-4</c:v>
                </c:pt>
                <c:pt idx="68">
                  <c:v>4.8061398282127251E-4</c:v>
                </c:pt>
                <c:pt idx="69">
                  <c:v>4.2169484253006532E-4</c:v>
                </c:pt>
                <c:pt idx="70">
                  <c:v>3.6999868204539013E-4</c:v>
                </c:pt>
                <c:pt idx="71">
                  <c:v>3.2464002617144951E-4</c:v>
                </c:pt>
                <c:pt idx="72">
                  <c:v>2.8484195135503325E-4</c:v>
                </c:pt>
                <c:pt idx="73">
                  <c:v>2.4992277818784427E-4</c:v>
                </c:pt>
                <c:pt idx="74">
                  <c:v>2.1928439529357509E-4</c:v>
                </c:pt>
                <c:pt idx="75">
                  <c:v>1.9240201460599677E-4</c:v>
                </c:pt>
                <c:pt idx="76">
                  <c:v>1.6881518256183374E-4</c:v>
                </c:pt>
                <c:pt idx="77">
                  <c:v>1.4811989324407527E-4</c:v>
                </c:pt>
                <c:pt idx="78">
                  <c:v>1.2996166838607801E-4</c:v>
                </c:pt>
                <c:pt idx="79">
                  <c:v>1.1402948570764313E-4</c:v>
                </c:pt>
                <c:pt idx="80">
                  <c:v>1.0005045158486509E-4</c:v>
                </c:pt>
                <c:pt idx="81">
                  <c:v>8.7785126804833778E-5</c:v>
                </c:pt>
                <c:pt idx="82">
                  <c:v>7.7023425342604736E-5</c:v>
                </c:pt>
                <c:pt idx="83">
                  <c:v>6.7581015912836087E-5</c:v>
                </c:pt>
                <c:pt idx="84">
                  <c:v>5.9296164660242746E-5</c:v>
                </c:pt>
                <c:pt idx="85">
                  <c:v>5.2026964909043311E-5</c:v>
                </c:pt>
                <c:pt idx="86">
                  <c:v>4.5648906521296465E-5</c:v>
                </c:pt>
                <c:pt idx="87">
                  <c:v>4.0052743230998151E-5</c:v>
                </c:pt>
                <c:pt idx="88">
                  <c:v>3.5142621424674316E-5</c:v>
                </c:pt>
                <c:pt idx="89">
                  <c:v>3.0834438317377663E-5</c:v>
                </c:pt>
                <c:pt idx="90">
                  <c:v>2.7054401402185069E-5</c:v>
                </c:pt>
                <c:pt idx="91">
                  <c:v>2.3737764498795707E-5</c:v>
                </c:pt>
                <c:pt idx="92">
                  <c:v>2.0827718751699152E-5</c:v>
                </c:pt>
                <c:pt idx="93">
                  <c:v>1.827441958242901E-5</c:v>
                </c:pt>
                <c:pt idx="94">
                  <c:v>1.6034132929100574E-5</c:v>
                </c:pt>
                <c:pt idx="95">
                  <c:v>1.4068486149637529E-5</c:v>
                </c:pt>
                <c:pt idx="96">
                  <c:v>1.2343810757819715E-5</c:v>
                </c:pt>
                <c:pt idx="97">
                  <c:v>1.0830565734237971E-5</c:v>
                </c:pt>
                <c:pt idx="98">
                  <c:v>9.5028315343655321E-6</c:v>
                </c:pt>
                <c:pt idx="99">
                  <c:v>8.337866126887569E-6</c:v>
                </c:pt>
                <c:pt idx="100">
                  <c:v>7.315715457912798E-6</c:v>
                </c:pt>
                <c:pt idx="101">
                  <c:v>6.4188716689221485E-6</c:v>
                </c:pt>
                <c:pt idx="102">
                  <c:v>5.6319732142570881E-6</c:v>
                </c:pt>
                <c:pt idx="103">
                  <c:v>4.9415417416244383E-6</c:v>
                </c:pt>
                <c:pt idx="104">
                  <c:v>4.3357512287880733E-6</c:v>
                </c:pt>
                <c:pt idx="105">
                  <c:v>3.8042254221164505E-6</c:v>
                </c:pt>
                <c:pt idx="106">
                  <c:v>3.3378601074218754E-6</c:v>
                </c:pt>
                <c:pt idx="107">
                  <c:v>2.9286671688661377E-6</c:v>
                </c:pt>
                <c:pt idx="108">
                  <c:v>2.5696377649029889E-6</c:v>
                </c:pt>
                <c:pt idx="109">
                  <c:v>2.254622277673178E-6</c:v>
                </c:pt>
                <c:pt idx="110">
                  <c:v>1.97822497957104E-6</c:v>
                </c:pt>
                <c:pt idx="111">
                  <c:v>1.7357116127839975E-6</c:v>
                </c:pt>
                <c:pt idx="112">
                  <c:v>1.5229282987855614E-6</c:v>
                </c:pt>
                <c:pt idx="113">
                  <c:v>1.3362303888269908E-6</c:v>
                </c:pt>
                <c:pt idx="114">
                  <c:v>1.1724200367466827E-6</c:v>
                </c:pt>
                <c:pt idx="115">
                  <c:v>1.0286914248161631E-6</c:v>
                </c:pt>
                <c:pt idx="116">
                  <c:v>9.0258270442621881E-7</c:v>
                </c:pt>
                <c:pt idx="117">
                  <c:v>7.919338284315277E-7</c:v>
                </c:pt>
                <c:pt idx="118">
                  <c:v>6.9484955288713177E-7</c:v>
                </c:pt>
                <c:pt idx="119">
                  <c:v>6.0966697445377822E-7</c:v>
                </c:pt>
                <c:pt idx="120">
                  <c:v>5.3492704743813819E-7</c:v>
                </c:pt>
                <c:pt idx="121">
                  <c:v>4.6934959259889894E-7</c:v>
                </c:pt>
                <c:pt idx="122">
                  <c:v>4.1181136965826691E-7</c:v>
                </c:pt>
                <c:pt idx="123">
                  <c:v>3.613268379349513E-7</c:v>
                </c:pt>
                <c:pt idx="124">
                  <c:v>3.1703127555805616E-7</c:v>
                </c:pt>
                <c:pt idx="125">
                  <c:v>2.7816596812014966E-7</c:v>
                </c:pt>
                <c:pt idx="126">
                  <c:v>2.4406521307406667E-7</c:v>
                </c:pt>
                <c:pt idx="127">
                  <c:v>2.1414491727888192E-7</c:v>
                </c:pt>
                <c:pt idx="128">
                  <c:v>1.8789259238866872E-7</c:v>
                </c:pt>
                <c:pt idx="129">
                  <c:v>1.6485857672054076E-7</c:v>
                </c:pt>
                <c:pt idx="130">
                  <c:v>1.4464833324616726E-7</c:v>
                </c:pt>
                <c:pt idx="131">
                  <c:v>1.2691569178327931E-7</c:v>
                </c:pt>
                <c:pt idx="132">
                  <c:v>1.1135691963637025E-7</c:v>
                </c:pt>
                <c:pt idx="133">
                  <c:v>9.7705519125844814E-8</c:v>
                </c:pt>
                <c:pt idx="134">
                  <c:v>8.5727662895345486E-8</c:v>
                </c:pt>
                <c:pt idx="135">
                  <c:v>7.5218188811137437E-8</c:v>
                </c:pt>
                <c:pt idx="136">
                  <c:v>6.5997085852378992E-8</c:v>
                </c:pt>
                <c:pt idx="137">
                  <c:v>5.7906410801018307E-8</c:v>
                </c:pt>
                <c:pt idx="138">
                  <c:v>5.0807582918987608E-8</c:v>
                </c:pt>
                <c:pt idx="139">
                  <c:v>4.4579010274703579E-8</c:v>
                </c:pt>
                <c:pt idx="140">
                  <c:v>3.9114007061521632E-8</c:v>
                </c:pt>
                <c:pt idx="141">
                  <c:v>3.4318966235033511E-8</c:v>
                </c:pt>
                <c:pt idx="142">
                  <c:v>3.0111756169314124E-8</c:v>
                </c:pt>
                <c:pt idx="143">
                  <c:v>2.6420313869321357E-8</c:v>
                </c:pt>
                <c:pt idx="144">
                  <c:v>2.3181410643355182E-8</c:v>
                </c:pt>
                <c:pt idx="145">
                  <c:v>2.0339569093456203E-8</c:v>
                </c:pt>
                <c:pt idx="146">
                  <c:v>1.784611287346583E-8</c:v>
                </c:pt>
                <c:pt idx="147">
                  <c:v>1.5658332938574779E-8</c:v>
                </c:pt>
                <c:pt idx="148">
                  <c:v>1.37387560055054E-8</c:v>
                </c:pt>
                <c:pt idx="149">
                  <c:v>1.2054502693183315E-8</c:v>
                </c:pt>
                <c:pt idx="150">
                  <c:v>1.0576724349841769E-8</c:v>
                </c:pt>
                <c:pt idx="151">
                  <c:v>9.28010892027884E-9</c:v>
                </c:pt>
                <c:pt idx="152">
                  <c:v>8.1424473895386416E-9</c:v>
                </c:pt>
                <c:pt idx="153">
                  <c:v>7.1442533768679668E-9</c:v>
                </c:pt>
                <c:pt idx="154">
                  <c:v>6.2684293641817856E-9</c:v>
                </c:pt>
                <c:pt idx="155">
                  <c:v>5.4999738420479376E-9</c:v>
                </c:pt>
                <c:pt idx="156">
                  <c:v>4.8257243570551156E-9</c:v>
                </c:pt>
                <c:pt idx="157">
                  <c:v>4.2341320593633528E-9</c:v>
                </c:pt>
                <c:pt idx="158">
                  <c:v>3.7150638887855962E-9</c:v>
                </c:pt>
                <c:pt idx="159">
                  <c:v>3.2596290111541752E-9</c:v>
                </c:pt>
                <c:pt idx="160">
                  <c:v>2.8600265320958376E-9</c:v>
                </c:pt>
                <c:pt idx="161">
                  <c:v>2.5094118797880751E-9</c:v>
                </c:pt>
                <c:pt idx="162">
                  <c:v>2.2017795680402128E-9</c:v>
                </c:pt>
                <c:pt idx="163">
                  <c:v>1.9318603316123438E-9</c:v>
                </c:pt>
                <c:pt idx="164">
                  <c:v>1.6950308718593726E-9</c:v>
                </c:pt>
                <c:pt idx="165">
                  <c:v>1.4872346667827749E-9</c:v>
                </c:pt>
                <c:pt idx="166">
                  <c:v>1.3049124890888582E-9</c:v>
                </c:pt>
                <c:pt idx="167">
                  <c:v>1.1449414421354323E-9</c:v>
                </c:pt>
                <c:pt idx="168">
                  <c:v>1.0045814695470342E-9</c:v>
                </c:pt>
                <c:pt idx="169">
                  <c:v>8.8142842229122931E-10</c:v>
                </c:pt>
                <c:pt idx="170">
                  <c:v>7.7337287932766377E-10</c:v>
                </c:pt>
                <c:pt idx="171">
                  <c:v>6.7856401649133962E-10</c:v>
                </c:pt>
                <c:pt idx="172">
                  <c:v>5.9537790474001779E-10</c:v>
                </c:pt>
                <c:pt idx="173">
                  <c:v>5.2238969476380683E-10</c:v>
                </c:pt>
                <c:pt idx="174">
                  <c:v>4.5834921152236225E-10</c:v>
                </c:pt>
                <c:pt idx="175">
                  <c:v>4.0215954068190128E-10</c:v>
                </c:pt>
                <c:pt idx="176">
                  <c:v>3.5285824017085087E-10</c:v>
                </c:pt>
                <c:pt idx="177">
                  <c:v>3.0960085503716422E-10</c:v>
                </c:pt>
                <c:pt idx="178">
                  <c:v>2.7164645324233365E-10</c:v>
                </c:pt>
                <c:pt idx="179">
                  <c:v>2.3834493464264323E-10</c:v>
                </c:pt>
                <c:pt idx="180">
                  <c:v>2.0912589578015813E-10</c:v>
                </c:pt>
                <c:pt idx="181">
                  <c:v>1.834888597545593E-10</c:v>
                </c:pt>
                <c:pt idx="182">
                  <c:v>1.6099470382865308E-10</c:v>
                </c:pt>
                <c:pt idx="183">
                  <c:v>1.4125813793571021E-10</c:v>
                </c:pt>
                <c:pt idx="184">
                  <c:v>1.239411052571087E-10</c:v>
                </c:pt>
                <c:pt idx="185">
                  <c:v>1.0874699183239282E-10</c:v>
                </c:pt>
                <c:pt idx="186">
                  <c:v>9.5415546021332826E-11</c:v>
                </c:pt>
                <c:pt idx="187">
                  <c:v>8.3718420796235826E-11</c:v>
                </c:pt>
                <c:pt idx="188">
                  <c:v>7.3455262510876404E-11</c:v>
                </c:pt>
                <c:pt idx="189">
                  <c:v>6.4450279152713859E-11</c:v>
                </c:pt>
                <c:pt idx="190">
                  <c:v>5.654922929786944E-11</c:v>
                </c:pt>
                <c:pt idx="191">
                  <c:v>4.9616780194323836E-11</c:v>
                </c:pt>
                <c:pt idx="192">
                  <c:v>4.3534189721390214E-11</c:v>
                </c:pt>
                <c:pt idx="193">
                  <c:v>3.8197272521017219E-11</c:v>
                </c:pt>
                <c:pt idx="194">
                  <c:v>3.3514615463899913E-11</c:v>
                </c:pt>
                <c:pt idx="195">
                  <c:v>2.9406011884095824E-11</c:v>
                </c:pt>
                <c:pt idx="196">
                  <c:v>2.5801087763009138E-11</c:v>
                </c:pt>
                <c:pt idx="197">
                  <c:v>2.2638096331401545E-11</c:v>
                </c:pt>
                <c:pt idx="198">
                  <c:v>1.9862860442828323E-11</c:v>
                </c:pt>
                <c:pt idx="199">
                  <c:v>1.7427844602993975E-11</c:v>
                </c:pt>
                <c:pt idx="200">
                  <c:v>1.5291340760326933E-11</c:v>
                </c:pt>
                <c:pt idx="201">
                  <c:v>1.3416753911626367E-11</c:v>
                </c:pt>
                <c:pt idx="202">
                  <c:v>1.1771975286311831E-11</c:v>
                </c:pt>
                <c:pt idx="203">
                  <c:v>1.0328832372892352E-11</c:v>
                </c:pt>
                <c:pt idx="204">
                  <c:v>9.0626063674598047E-12</c:v>
                </c:pt>
                <c:pt idx="205">
                  <c:v>7.9516087788463296E-12</c:v>
                </c:pt>
                <c:pt idx="206">
                  <c:v>6.9768099383476238E-12</c:v>
                </c:pt>
                <c:pt idx="207">
                  <c:v>6.121513050958775E-12</c:v>
                </c:pt>
                <c:pt idx="208">
                  <c:v>5.3710682051249391E-12</c:v>
                </c:pt>
                <c:pt idx="209">
                  <c:v>4.7126214424366363E-12</c:v>
                </c:pt>
                <c:pt idx="210">
                  <c:v>4.1348945892220242E-12</c:v>
                </c:pt>
                <c:pt idx="211">
                  <c:v>3.6279920788921838E-12</c:v>
                </c:pt>
                <c:pt idx="212">
                  <c:v>3.1832314562052492E-12</c:v>
                </c:pt>
                <c:pt idx="213">
                  <c:v>2.7929946602498414E-12</c:v>
                </c:pt>
                <c:pt idx="214">
                  <c:v>2.4505975388555421E-12</c:v>
                </c:pt>
                <c:pt idx="215">
                  <c:v>2.1501753594142704E-12</c:v>
                </c:pt>
                <c:pt idx="216">
                  <c:v>1.8865823550901795E-12</c:v>
                </c:pt>
                <c:pt idx="217">
                  <c:v>1.6553035858001686E-12</c:v>
                </c:pt>
                <c:pt idx="218">
                  <c:v>1.4523776042800536E-12</c:v>
                </c:pt>
                <c:pt idx="219">
                  <c:v>1.2743286026258381E-12</c:v>
                </c:pt>
                <c:pt idx="220">
                  <c:v>1.1181068770853831E-12</c:v>
                </c:pt>
                <c:pt idx="221">
                  <c:v>9.8103659135452562E-13</c:v>
                </c:pt>
                <c:pt idx="222">
                  <c:v>8.6076994364377862E-13</c:v>
                </c:pt>
                <c:pt idx="223">
                  <c:v>7.5524695246842165E-13</c:v>
                </c:pt>
                <c:pt idx="224">
                  <c:v>6.6266017235482385E-13</c:v>
                </c:pt>
                <c:pt idx="225">
                  <c:v>5.8142373509767363E-13</c:v>
                </c:pt>
                <c:pt idx="226">
                  <c:v>5.101461862927801E-13</c:v>
                </c:pt>
                <c:pt idx="227">
                  <c:v>4.4760665187730688E-13</c:v>
                </c:pt>
                <c:pt idx="228">
                  <c:v>3.9273392644716922E-13</c:v>
                </c:pt>
                <c:pt idx="229">
                  <c:v>3.4458812516684656E-13</c:v>
                </c:pt>
                <c:pt idx="230">
                  <c:v>3.0234458499723069E-13</c:v>
                </c:pt>
                <c:pt idx="231">
                  <c:v>2.6527973949446646E-13</c:v>
                </c:pt>
                <c:pt idx="232">
                  <c:v>2.3275872523695628E-13</c:v>
                </c:pt>
                <c:pt idx="233">
                  <c:v>2.0422450759781067E-13</c:v>
                </c:pt>
                <c:pt idx="234">
                  <c:v>1.7918833960406181E-13</c:v>
                </c:pt>
                <c:pt idx="235">
                  <c:v>1.5722139045766903E-13</c:v>
                </c:pt>
                <c:pt idx="236">
                  <c:v>1.3794740032784201E-13</c:v>
                </c:pt>
                <c:pt idx="237">
                  <c:v>1.2103623560264521E-13</c:v>
                </c:pt>
                <c:pt idx="238">
                  <c:v>1.0619823421132111E-13</c:v>
                </c:pt>
                <c:pt idx="239">
                  <c:v>9.3179244161457838E-14</c:v>
                </c:pt>
                <c:pt idx="240">
                  <c:v>8.1756270308824049E-14</c:v>
                </c:pt>
                <c:pt idx="241">
                  <c:v>7.1733654795777738E-14</c:v>
                </c:pt>
                <c:pt idx="242">
                  <c:v>6.2939725735072128E-14</c:v>
                </c:pt>
                <c:pt idx="243">
                  <c:v>5.5223856736200625E-14</c:v>
                </c:pt>
                <c:pt idx="244">
                  <c:v>4.8453886908519371E-14</c:v>
                </c:pt>
                <c:pt idx="245">
                  <c:v>4.2513857149795131E-14</c:v>
                </c:pt>
                <c:pt idx="246">
                  <c:v>3.7302023946305878E-14</c:v>
                </c:pt>
                <c:pt idx="247">
                  <c:v>3.2729116663964759E-14</c:v>
                </c:pt>
                <c:pt idx="248">
                  <c:v>2.8716808480562328E-14</c:v>
                </c:pt>
                <c:pt idx="249">
                  <c:v>2.5196374768563611E-14</c:v>
                </c:pt>
                <c:pt idx="250">
                  <c:v>2.2107515948634322E-14</c:v>
                </c:pt>
                <c:pt idx="251">
                  <c:v>1.9397324651199534E-14</c:v>
                </c:pt>
                <c:pt idx="252">
                  <c:v>1.7019379495111304E-14</c:v>
                </c:pt>
                <c:pt idx="253">
                  <c:v>1.493294996125677E-14</c:v>
                </c:pt>
                <c:pt idx="254">
                  <c:v>1.3102298741822624E-14</c:v>
                </c:pt>
                <c:pt idx="255">
                  <c:v>1.1496069615538898E-14</c:v>
                </c:pt>
                <c:pt idx="256">
                  <c:v>1.0086750364152688E-14</c:v>
                </c:pt>
                <c:pt idx="257">
                  <c:v>8.8502015307224655E-15</c:v>
                </c:pt>
                <c:pt idx="258">
                  <c:v>7.7652429480921188E-15</c:v>
                </c:pt>
                <c:pt idx="259">
                  <c:v>6.8132909554176014E-15</c:v>
                </c:pt>
                <c:pt idx="260">
                  <c:v>5.9780400888269287E-15</c:v>
                </c:pt>
                <c:pt idx="261">
                  <c:v>5.2451837940673233E-15</c:v>
                </c:pt>
                <c:pt idx="262">
                  <c:v>4.6021693773795276E-15</c:v>
                </c:pt>
                <c:pt idx="263">
                  <c:v>4.037982997287133E-15</c:v>
                </c:pt>
                <c:pt idx="264">
                  <c:v>3.5429610145431483E-15</c:v>
                </c:pt>
                <c:pt idx="265">
                  <c:v>3.1086244689504387E-15</c:v>
                </c:pt>
                <c:pt idx="266">
                  <c:v>2.7275338479002357E-15</c:v>
                </c:pt>
                <c:pt idx="267">
                  <c:v>2.3931616590386153E-15</c:v>
                </c:pt>
                <c:pt idx="268">
                  <c:v>2.0997806244279984E-15</c:v>
                </c:pt>
                <c:pt idx="269">
                  <c:v>1.8423655811427534E-15</c:v>
                </c:pt>
                <c:pt idx="270">
                  <c:v>1.6165074080079771E-15</c:v>
                </c:pt>
                <c:pt idx="271">
                  <c:v>1.4183375041797398E-15</c:v>
                </c:pt>
                <c:pt idx="272">
                  <c:v>1.244461526001795E-15</c:v>
                </c:pt>
                <c:pt idx="273">
                  <c:v>1.0919012471536944E-15</c:v>
                </c:pt>
                <c:pt idx="274">
                  <c:v>9.5804354624465393E-16</c:v>
                </c:pt>
                <c:pt idx="275">
                  <c:v>8.4059564808962756E-16</c:v>
                </c:pt>
                <c:pt idx="276">
                  <c:v>7.3754585201994302E-16</c:v>
                </c:pt>
                <c:pt idx="277">
                  <c:v>6.4712907456525767E-16</c:v>
                </c:pt>
                <c:pt idx="278">
                  <c:v>5.677966163063219E-16</c:v>
                </c:pt>
                <c:pt idx="279">
                  <c:v>4.9818963505154307E-16</c:v>
                </c:pt>
                <c:pt idx="280">
                  <c:v>4.371158709739325E-16</c:v>
                </c:pt>
                <c:pt idx="281">
                  <c:v>3.8352922504606369E-16</c:v>
                </c:pt>
                <c:pt idx="282">
                  <c:v>3.3651184098324859E-16</c:v>
                </c:pt>
                <c:pt idx="283">
                  <c:v>2.9525838378635809E-16</c:v>
                </c:pt>
                <c:pt idx="284">
                  <c:v>2.590622456000649E-16</c:v>
                </c:pt>
                <c:pt idx="285">
                  <c:v>2.2730344261421511E-16</c:v>
                </c:pt>
                <c:pt idx="286">
                  <c:v>1.9943799570098699E-16</c:v>
                </c:pt>
                <c:pt idx="287">
                  <c:v>1.7498861289459161E-16</c:v>
                </c:pt>
                <c:pt idx="288">
                  <c:v>1.5353651411881741E-16</c:v>
                </c:pt>
                <c:pt idx="289">
                  <c:v>1.3471425813265821E-16</c:v>
                </c:pt>
                <c:pt idx="290">
                  <c:v>1.1819944883070821E-16</c:v>
                </c:pt>
                <c:pt idx="291">
                  <c:v>1.0370921309699328E-16</c:v>
                </c:pt>
                <c:pt idx="292">
                  <c:v>9.099535562642367E-17</c:v>
                </c:pt>
                <c:pt idx="293">
                  <c:v>7.9840107723460986E-17</c:v>
                </c:pt>
                <c:pt idx="294">
                  <c:v>7.0052397261501697E-17</c:v>
                </c:pt>
                <c:pt idx="295">
                  <c:v>6.1464575913156375E-17</c:v>
                </c:pt>
                <c:pt idx="296">
                  <c:v>5.3929547593945923E-17</c:v>
                </c:pt>
                <c:pt idx="297">
                  <c:v>4.7318248934100949E-17</c:v>
                </c:pt>
                <c:pt idx="298">
                  <c:v>4.1517438622846808E-17</c:v>
                </c:pt>
                <c:pt idx="299">
                  <c:v>3.6427757760064333E-17</c:v>
                </c:pt>
                <c:pt idx="300">
                  <c:v>3.1962027992153085E-17</c:v>
                </c:pt>
                <c:pt idx="301">
                  <c:v>2.8043758281799149E-17</c:v>
                </c:pt>
                <c:pt idx="302">
                  <c:v>2.4605834734925401E-17</c:v>
                </c:pt>
                <c:pt idx="303">
                  <c:v>2.1589371043588205E-17</c:v>
                </c:pt>
                <c:pt idx="304">
                  <c:v>1.8942699854687045E-17</c:v>
                </c:pt>
                <c:pt idx="305">
                  <c:v>1.6620487788194633E-17</c:v>
                </c:pt>
                <c:pt idx="306">
                  <c:v>1.4582958946539815E-17</c:v>
                </c:pt>
                <c:pt idx="307">
                  <c:v>1.2795213615061156E-17</c:v>
                </c:pt>
                <c:pt idx="308">
                  <c:v>1.1226630483924705E-17</c:v>
                </c:pt>
                <c:pt idx="309">
                  <c:v>9.850342152492859E-18</c:v>
                </c:pt>
                <c:pt idx="310">
                  <c:v>8.6427749323461577E-18</c:v>
                </c:pt>
                <c:pt idx="311">
                  <c:v>7.5832450664962098E-18</c:v>
                </c:pt>
                <c:pt idx="312">
                  <c:v>6.6536044486500014E-18</c:v>
                </c:pt>
                <c:pt idx="313">
                  <c:v>5.8379297742450476E-18</c:v>
                </c:pt>
                <c:pt idx="314">
                  <c:v>5.1222497988938704E-18</c:v>
                </c:pt>
                <c:pt idx="315">
                  <c:v>4.494306032597195E-18</c:v>
                </c:pt>
                <c:pt idx="316">
                  <c:v>3.9433427707882158E-18</c:v>
                </c:pt>
                <c:pt idx="317">
                  <c:v>3.4599228657647932E-18</c:v>
                </c:pt>
                <c:pt idx="318">
                  <c:v>3.0357660829594128E-18</c:v>
                </c:pt>
                <c:pt idx="319">
                  <c:v>2.663607273340074E-18</c:v>
                </c:pt>
                <c:pt idx="320">
                  <c:v>2.3370719326548978E-18</c:v>
                </c:pt>
                <c:pt idx="321">
                  <c:v>2.0505670160429672E-18</c:v>
                </c:pt>
                <c:pt idx="322">
                  <c:v>1.7991851378347201E-18</c:v>
                </c:pt>
                <c:pt idx="323">
                  <c:v>1.5786205156327901E-18</c:v>
                </c:pt>
                <c:pt idx="324">
                  <c:v>1.3850952189255272E-18</c:v>
                </c:pt>
                <c:pt idx="325">
                  <c:v>1.2152944589861279E-18</c:v>
                </c:pt>
                <c:pt idx="326">
                  <c:v>1.0663098116735297E-18</c:v>
                </c:pt>
                <c:pt idx="327">
                  <c:v>9.3558940062954485E-19</c:v>
                </c:pt>
                <c:pt idx="328">
                  <c:v>8.2089418758752692E-19</c:v>
                </c:pt>
                <c:pt idx="329">
                  <c:v>7.202596211132256E-19</c:v>
                </c:pt>
                <c:pt idx="330">
                  <c:v>6.3196198688013444E-19</c:v>
                </c:pt>
                <c:pt idx="331">
                  <c:v>5.5448888311164248E-19</c:v>
                </c:pt>
                <c:pt idx="332">
                  <c:v>4.8651331548002253E-19</c:v>
                </c:pt>
                <c:pt idx="333">
                  <c:v>4.2687096774798096E-19</c:v>
                </c:pt>
                <c:pt idx="334">
                  <c:v>3.7454025883404657E-19</c:v>
                </c:pt>
                <c:pt idx="335">
                  <c:v>3.286248447102037E-19</c:v>
                </c:pt>
                <c:pt idx="336">
                  <c:v>2.8833826541636532E-19</c:v>
                </c:pt>
                <c:pt idx="337">
                  <c:v>2.5299047421881338E-19</c:v>
                </c:pt>
                <c:pt idx="338">
                  <c:v>2.2197601817794445E-19</c:v>
                </c:pt>
                <c:pt idx="339">
                  <c:v>1.947636676767451E-19</c:v>
                </c:pt>
                <c:pt idx="340">
                  <c:v>1.7088731727987462E-19</c:v>
                </c:pt>
                <c:pt idx="341">
                  <c:v>1.4993800206915763E-19</c:v>
                </c:pt>
                <c:pt idx="342">
                  <c:v>1.3155689270767403E-19</c:v>
                </c:pt>
                <c:pt idx="343">
                  <c:v>1.1542914924873849E-19</c:v>
                </c:pt>
                <c:pt idx="344">
                  <c:v>1.012785284150325E-19</c:v>
                </c:pt>
                <c:pt idx="345">
                  <c:v>8.8862651978929365E-20</c:v>
                </c:pt>
                <c:pt idx="346">
                  <c:v>7.7968855198692369E-20</c:v>
                </c:pt>
                <c:pt idx="347">
                  <c:v>6.8410544200685251E-20</c:v>
                </c:pt>
                <c:pt idx="348">
                  <c:v>6.0023999915191772E-20</c:v>
                </c:pt>
                <c:pt idx="349">
                  <c:v>5.2665573822212815E-20</c:v>
                </c:pt>
                <c:pt idx="350">
                  <c:v>4.6209227474707958E-20</c:v>
                </c:pt>
                <c:pt idx="351">
                  <c:v>4.0544373655123836E-20</c:v>
                </c:pt>
                <c:pt idx="352">
                  <c:v>3.5573982187562826E-20</c:v>
                </c:pt>
                <c:pt idx="353">
                  <c:v>3.1212917961086997E-20</c:v>
                </c:pt>
                <c:pt idx="354">
                  <c:v>2.7386482697069481E-20</c:v>
                </c:pt>
                <c:pt idx="355">
                  <c:v>2.4029135483325587E-20</c:v>
                </c:pt>
                <c:pt idx="356">
                  <c:v>2.1083370159754106E-20</c:v>
                </c:pt>
                <c:pt idx="357">
                  <c:v>1.8498730326842817E-20</c:v>
                </c:pt>
                <c:pt idx="358">
                  <c:v>1.6230945105658821E-20</c:v>
                </c:pt>
                <c:pt idx="359">
                  <c:v>1.4241170846230288E-20</c:v>
                </c:pt>
                <c:pt idx="360">
                  <c:v>1.249532579595816E-20</c:v>
                </c:pt>
                <c:pt idx="361">
                  <c:v>1.0963506331957719E-20</c:v>
                </c:pt>
                <c:pt idx="362">
                  <c:v>9.6194747582938077E-21</c:v>
                </c:pt>
                <c:pt idx="363">
                  <c:v>8.4402098948692946E-21</c:v>
                </c:pt>
                <c:pt idx="364">
                  <c:v>7.4055127602502048E-21</c:v>
                </c:pt>
                <c:pt idx="365">
                  <c:v>6.497660594384767E-21</c:v>
                </c:pt>
              </c:numCache>
            </c:numRef>
          </c:yVal>
          <c:smooth val="1"/>
          <c:extLst>
            <c:ext xmlns:c16="http://schemas.microsoft.com/office/drawing/2014/chart" uri="{C3380CC4-5D6E-409C-BE32-E72D297353CC}">
              <c16:uniqueId val="{00000007-A669-4CB9-84F4-49AE9BAF6CDE}"/>
            </c:ext>
          </c:extLst>
        </c:ser>
        <c:dLbls>
          <c:showLegendKey val="0"/>
          <c:showVal val="0"/>
          <c:showCatName val="0"/>
          <c:showSerName val="0"/>
          <c:showPercent val="0"/>
          <c:showBubbleSize val="0"/>
        </c:dLbls>
        <c:axId val="164617232"/>
        <c:axId val="164372312"/>
      </c:scatterChart>
      <c:valAx>
        <c:axId val="164617232"/>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72312"/>
        <c:crosses val="autoZero"/>
        <c:crossBetween val="midCat"/>
      </c:valAx>
      <c:valAx>
        <c:axId val="164372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17232"/>
        <c:crosses val="autoZero"/>
        <c:crossBetween val="midCat"/>
      </c:valAx>
      <c:spPr>
        <a:noFill/>
        <a:ln>
          <a:noFill/>
        </a:ln>
        <a:effectLst/>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0.7308670847281814"/>
          <c:y val="4.1308054512848563E-3"/>
          <c:w val="0.2663583070080312"/>
          <c:h val="0.15899399033872949"/>
        </c:manualLayout>
      </c:layout>
      <c:overlay val="0"/>
      <c:spPr>
        <a:solidFill>
          <a:schemeClr val="bg1"/>
        </a:solidFill>
        <a:ln>
          <a:solidFill>
            <a:schemeClr val="bg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970122746632716E-2"/>
          <c:y val="5.0925925925925923E-2"/>
          <c:w val="0.85747434265327593"/>
          <c:h val="0.74445246427529888"/>
        </c:manualLayout>
      </c:layout>
      <c:scatterChart>
        <c:scatterStyle val="smoothMarker"/>
        <c:varyColors val="0"/>
        <c:ser>
          <c:idx val="0"/>
          <c:order val="0"/>
          <c:tx>
            <c:strRef>
              <c:f>'Min rate concentrations'!$H$2</c:f>
              <c:strCache>
                <c:ptCount val="1"/>
                <c:pt idx="0">
                  <c:v>Arthropods (above ground)</c:v>
                </c:pt>
              </c:strCache>
            </c:strRef>
          </c:tx>
          <c:spPr>
            <a:ln w="19050" cap="rnd">
              <a:solidFill>
                <a:schemeClr val="accent1"/>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concentrations'!$H$3:$H$368</c:f>
              <c:numCache>
                <c:formatCode>0</c:formatCode>
                <c:ptCount val="366"/>
                <c:pt idx="0" formatCode="General">
                  <c:v>47</c:v>
                </c:pt>
                <c:pt idx="1">
                  <c:v>41.238204270647429</c:v>
                </c:pt>
                <c:pt idx="2">
                  <c:v>36.182755137609448</c:v>
                </c:pt>
                <c:pt idx="3">
                  <c:v>31.747060583820343</c:v>
                </c:pt>
                <c:pt idx="4">
                  <c:v>27.855144028685164</c:v>
                </c:pt>
                <c:pt idx="5">
                  <c:v>24.4403429668771</c:v>
                </c:pt>
                <c:pt idx="6">
                  <c:v>21.444167142824661</c:v>
                </c:pt>
                <c:pt idx="7">
                  <c:v>18.815296703185304</c:v>
                </c:pt>
                <c:pt idx="8">
                  <c:v>16.508703167208399</c:v>
                </c:pt>
                <c:pt idx="9">
                  <c:v>14.484878158570726</c:v>
                </c:pt>
                <c:pt idx="10">
                  <c:v>12.709156688054874</c:v>
                </c:pt>
                <c:pt idx="11">
                  <c:v>11.151123395950465</c:v>
                </c:pt>
                <c:pt idx="12">
                  <c:v>9.7840915840298077</c:v>
                </c:pt>
                <c:pt idx="13">
                  <c:v>8.5846461137222043</c:v>
                </c:pt>
                <c:pt idx="14">
                  <c:v>7.5322423410403374</c:v>
                </c:pt>
                <c:pt idx="15">
                  <c:v>6.6088542186349155</c:v>
                </c:pt>
                <c:pt idx="16">
                  <c:v>5.7986655375105673</c:v>
                </c:pt>
                <c:pt idx="17">
                  <c:v>5.0877990198515821</c:v>
                </c:pt>
                <c:pt idx="18">
                  <c:v>4.4640786227370066</c:v>
                </c:pt>
                <c:pt idx="19">
                  <c:v>3.916820981375726</c:v>
                </c:pt>
                <c:pt idx="20">
                  <c:v>3.4366524196070198</c:v>
                </c:pt>
                <c:pt idx="21">
                  <c:v>3.0153483933397665</c:v>
                </c:pt>
                <c:pt idx="22">
                  <c:v>2.645692616844975</c:v>
                </c:pt>
                <c:pt idx="23">
                  <c:v>2.3213534589531237</c:v>
                </c:pt>
                <c:pt idx="24">
                  <c:v>2.0367754920145296</c:v>
                </c:pt>
                <c:pt idx="25">
                  <c:v>1.7870843360243318</c:v>
                </c:pt>
                <c:pt idx="26">
                  <c:v>1.5680031680392708</c:v>
                </c:pt>
                <c:pt idx="27">
                  <c:v>1.3757794668218246</c:v>
                </c:pt>
                <c:pt idx="28">
                  <c:v>1.2071207379608684</c:v>
                </c:pt>
                <c:pt idx="29">
                  <c:v>1.05913811853968</c:v>
                </c:pt>
                <c:pt idx="30">
                  <c:v>0.92929689538656413</c:v>
                </c:pt>
                <c:pt idx="31">
                  <c:v>0.8153730893623321</c:v>
                </c:pt>
                <c:pt idx="32">
                  <c:v>0.715415362040696</c:v>
                </c:pt>
                <c:pt idx="33">
                  <c:v>0.62771159230198736</c:v>
                </c:pt>
                <c:pt idx="34">
                  <c:v>0.55075955034899393</c:v>
                </c:pt>
                <c:pt idx="35">
                  <c:v>0.48324116683620721</c:v>
                </c:pt>
                <c:pt idx="36">
                  <c:v>0.4239999563825006</c:v>
                </c:pt>
                <c:pt idx="37">
                  <c:v>0.37202120876696088</c:v>
                </c:pt>
                <c:pt idx="38">
                  <c:v>0.32641460851372567</c:v>
                </c:pt>
                <c:pt idx="39">
                  <c:v>0.28639898516622192</c:v>
                </c:pt>
                <c:pt idx="40">
                  <c:v>0.25128893304661243</c:v>
                </c:pt>
                <c:pt idx="41">
                  <c:v>0.22048307131764358</c:v>
                </c:pt>
                <c:pt idx="42">
                  <c:v>0.19345374325993003</c:v>
                </c:pt>
                <c:pt idx="43">
                  <c:v>0.16973797832924209</c:v>
                </c:pt>
                <c:pt idx="44">
                  <c:v>0.14892956218783004</c:v>
                </c:pt>
                <c:pt idx="45">
                  <c:v>0.13067207888169841</c:v>
                </c:pt>
                <c:pt idx="46">
                  <c:v>0.11465280598709858</c:v>
                </c:pt>
                <c:pt idx="47">
                  <c:v>0.10059735815955063</c:v>
                </c:pt>
                <c:pt idx="48">
                  <c:v>8.8264987337681497E-2</c:v>
                </c:pt>
                <c:pt idx="49">
                  <c:v>7.7444459101647198E-2</c:v>
                </c:pt>
                <c:pt idx="50">
                  <c:v>6.7950434554543138E-2</c:v>
                </c:pt>
                <c:pt idx="51">
                  <c:v>5.9620295754032118E-2</c:v>
                </c:pt>
                <c:pt idx="52">
                  <c:v>5.231136031874873E-2</c:v>
                </c:pt>
                <c:pt idx="53">
                  <c:v>4.5898437500000007E-2</c:v>
                </c:pt>
                <c:pt idx="54">
                  <c:v>4.0271683858054137E-2</c:v>
                </c:pt>
                <c:pt idx="55">
                  <c:v>3.5334721814071733E-2</c:v>
                </c:pt>
                <c:pt idx="56">
                  <c:v>3.100298885138706E-2</c:v>
                </c:pt>
                <c:pt idx="57">
                  <c:v>2.7202289090512862E-2</c:v>
                </c:pt>
                <c:pt idx="58">
                  <c:v>2.3867522428590925E-2</c:v>
                </c:pt>
                <c:pt idx="59">
                  <c:v>2.0941569475414715E-2</c:v>
                </c:pt>
                <c:pt idx="60">
                  <c:v>1.8374313186704402E-2</c:v>
                </c:pt>
                <c:pt idx="61">
                  <c:v>1.6121780436726955E-2</c:v>
                </c:pt>
                <c:pt idx="62">
                  <c:v>1.4145388826729229E-2</c:v>
                </c:pt>
                <c:pt idx="63">
                  <c:v>1.2411285828178589E-2</c:v>
                </c:pt>
                <c:pt idx="64">
                  <c:v>1.0889768941357878E-2</c:v>
                </c:pt>
                <c:pt idx="65">
                  <c:v>9.5547769375291108E-3</c:v>
                </c:pt>
                <c:pt idx="66">
                  <c:v>8.3834434704318419E-3</c:v>
                </c:pt>
                <c:pt idx="67">
                  <c:v>7.3557054111722062E-3</c:v>
                </c:pt>
                <c:pt idx="68">
                  <c:v>6.4539591978856614E-3</c:v>
                </c:pt>
                <c:pt idx="69">
                  <c:v>5.6627593139751652E-3</c:v>
                </c:pt>
                <c:pt idx="70">
                  <c:v>4.9685537303238124E-3</c:v>
                </c:pt>
                <c:pt idx="71">
                  <c:v>4.3594517800166098E-3</c:v>
                </c:pt>
                <c:pt idx="72">
                  <c:v>3.8250204896247341E-3</c:v>
                </c:pt>
                <c:pt idx="73">
                  <c:v>3.3561058785224816E-3</c:v>
                </c:pt>
                <c:pt idx="74">
                  <c:v>2.944676165370867E-3</c:v>
                </c:pt>
                <c:pt idx="75">
                  <c:v>2.5836841961376722E-3</c:v>
                </c:pt>
                <c:pt idx="76">
                  <c:v>2.2669467372589112E-3</c:v>
                </c:pt>
                <c:pt idx="77">
                  <c:v>1.9890385664204403E-3</c:v>
                </c:pt>
                <c:pt idx="78">
                  <c:v>1.7451995468987626E-3</c:v>
                </c:pt>
                <c:pt idx="79">
                  <c:v>1.5312530937883514E-3</c:v>
                </c:pt>
                <c:pt idx="80">
                  <c:v>1.343534635568189E-3</c:v>
                </c:pt>
                <c:pt idx="81">
                  <c:v>1.1788288456649112E-3</c:v>
                </c:pt>
                <c:pt idx="82">
                  <c:v>1.0343145688864069E-3</c:v>
                </c:pt>
                <c:pt idx="83">
                  <c:v>9.0751649940094218E-4</c:v>
                </c:pt>
                <c:pt idx="84">
                  <c:v>7.9626278258040299E-4</c:v>
                </c:pt>
                <c:pt idx="85">
                  <c:v>6.9864781449286773E-4</c:v>
                </c:pt>
                <c:pt idx="86">
                  <c:v>6.1299960185741008E-4</c:v>
                </c:pt>
                <c:pt idx="87">
                  <c:v>5.3785112338768982E-4</c:v>
                </c:pt>
                <c:pt idx="88">
                  <c:v>4.7191520198848399E-4</c:v>
                </c:pt>
                <c:pt idx="89">
                  <c:v>4.1406245740478607E-4</c:v>
                </c:pt>
                <c:pt idx="90">
                  <c:v>3.633019616864855E-4</c:v>
                </c:pt>
                <c:pt idx="91">
                  <c:v>3.1876426612668544E-4</c:v>
                </c:pt>
                <c:pt idx="92">
                  <c:v>2.7968650895138881E-4</c:v>
                </c:pt>
                <c:pt idx="93">
                  <c:v>2.4539934867833261E-4</c:v>
                </c:pt>
                <c:pt idx="94">
                  <c:v>2.1531549933363647E-4</c:v>
                </c:pt>
                <c:pt idx="95">
                  <c:v>1.8891967115227556E-4</c:v>
                </c:pt>
                <c:pt idx="96">
                  <c:v>1.6575974446215059E-4</c:v>
                </c:pt>
                <c:pt idx="97">
                  <c:v>1.4543902557405289E-4</c:v>
                </c:pt>
                <c:pt idx="98">
                  <c:v>1.2760945203290868E-4</c:v>
                </c:pt>
                <c:pt idx="99">
                  <c:v>1.1196563084677602E-4</c:v>
                </c:pt>
                <c:pt idx="100">
                  <c:v>9.8239607577686234E-5</c:v>
                </c:pt>
                <c:pt idx="101">
                  <c:v>8.6196276696954641E-5</c:v>
                </c:pt>
                <c:pt idx="102">
                  <c:v>7.5629354591452396E-5</c:v>
                </c:pt>
                <c:pt idx="103">
                  <c:v>6.6357846244671087E-5</c:v>
                </c:pt>
                <c:pt idx="104">
                  <c:v>5.8222945072297038E-5</c:v>
                </c:pt>
                <c:pt idx="105">
                  <c:v>5.1085312811278097E-5</c:v>
                </c:pt>
                <c:pt idx="106">
                  <c:v>4.4822692871093797E-5</c:v>
                </c:pt>
                <c:pt idx="107">
                  <c:v>3.9327816267631027E-5</c:v>
                </c:pt>
                <c:pt idx="108">
                  <c:v>3.4506564271554454E-5</c:v>
                </c:pt>
                <c:pt idx="109">
                  <c:v>3.02763563001827E-5</c:v>
                </c:pt>
                <c:pt idx="110">
                  <c:v>2.6564735439953987E-5</c:v>
                </c:pt>
                <c:pt idx="111">
                  <c:v>2.3308127371670842E-5</c:v>
                </c:pt>
                <c:pt idx="112">
                  <c:v>2.0450751440834699E-5</c:v>
                </c:pt>
                <c:pt idx="113">
                  <c:v>1.7943665221391034E-5</c:v>
                </c:pt>
                <c:pt idx="114">
                  <c:v>1.5743926207741181E-5</c:v>
                </c:pt>
                <c:pt idx="115">
                  <c:v>1.3813856276102774E-5</c:v>
                </c:pt>
                <c:pt idx="116">
                  <c:v>1.2120396316580664E-5</c:v>
                </c:pt>
                <c:pt idx="117">
                  <c:v>1.0634539981794811E-5</c:v>
                </c:pt>
                <c:pt idx="118">
                  <c:v>9.3308368530557791E-6</c:v>
                </c:pt>
                <c:pt idx="119">
                  <c:v>8.1869565140936007E-6</c:v>
                </c:pt>
                <c:pt idx="120">
                  <c:v>7.1833060655978619E-6</c:v>
                </c:pt>
                <c:pt idx="121">
                  <c:v>6.3026945291852196E-6</c:v>
                </c:pt>
                <c:pt idx="122">
                  <c:v>5.5300383925538748E-6</c:v>
                </c:pt>
                <c:pt idx="123">
                  <c:v>4.8521032522693497E-6</c:v>
                </c:pt>
                <c:pt idx="124">
                  <c:v>4.2572771289224722E-6</c:v>
                </c:pt>
                <c:pt idx="125">
                  <c:v>3.7353715718991557E-6</c:v>
                </c:pt>
                <c:pt idx="126">
                  <c:v>3.2774471469946122E-6</c:v>
                </c:pt>
                <c:pt idx="127">
                  <c:v>2.8756603177449886E-6</c:v>
                </c:pt>
                <c:pt idx="128">
                  <c:v>2.5231290977906964E-6</c:v>
                </c:pt>
                <c:pt idx="129">
                  <c:v>2.2138151731044063E-6</c:v>
                </c:pt>
                <c:pt idx="130">
                  <c:v>1.9424204750199617E-6</c:v>
                </c:pt>
                <c:pt idx="131">
                  <c:v>1.7042964325183233E-6</c:v>
                </c:pt>
                <c:pt idx="132">
                  <c:v>1.4953643494026872E-6</c:v>
                </c:pt>
                <c:pt idx="133">
                  <c:v>1.3120455425470598E-6</c:v>
                </c:pt>
                <c:pt idx="134">
                  <c:v>1.15120004459464E-6</c:v>
                </c:pt>
                <c:pt idx="135">
                  <c:v>1.0100728211781319E-6</c:v>
                </c:pt>
                <c:pt idx="136">
                  <c:v>8.862465814462327E-7</c:v>
                </c:pt>
                <c:pt idx="137">
                  <c:v>7.776003736136749E-7</c:v>
                </c:pt>
                <c:pt idx="138">
                  <c:v>6.8227325634069114E-7</c:v>
                </c:pt>
                <c:pt idx="139">
                  <c:v>5.9863242368887703E-7</c:v>
                </c:pt>
                <c:pt idx="140">
                  <c:v>5.2524523768329084E-7</c:v>
                </c:pt>
                <c:pt idx="141">
                  <c:v>4.6085468944187889E-7</c:v>
                </c:pt>
                <c:pt idx="142">
                  <c:v>4.0435786855936139E-7</c:v>
                </c:pt>
                <c:pt idx="143">
                  <c:v>3.547870719594585E-7</c:v>
                </c:pt>
                <c:pt idx="144">
                  <c:v>3.1129322863934125E-7</c:v>
                </c:pt>
                <c:pt idx="145">
                  <c:v>2.7313135639784064E-7</c:v>
                </c:pt>
                <c:pt idx="146">
                  <c:v>2.3964780144368419E-7</c:v>
                </c:pt>
                <c:pt idx="147">
                  <c:v>2.1026904231800437E-7</c:v>
                </c:pt>
                <c:pt idx="148">
                  <c:v>1.844918663596441E-7</c:v>
                </c:pt>
                <c:pt idx="149">
                  <c:v>1.6187475045131893E-7</c:v>
                </c:pt>
                <c:pt idx="150">
                  <c:v>1.4203029841216102E-7</c:v>
                </c:pt>
                <c:pt idx="151">
                  <c:v>1.2461860550088738E-7</c:v>
                </c:pt>
                <c:pt idx="152">
                  <c:v>1.0934143637380471E-7</c:v>
                </c:pt>
                <c:pt idx="153">
                  <c:v>9.5937116775084213E-8</c:v>
                </c:pt>
                <c:pt idx="154">
                  <c:v>8.4176051461869767E-8</c:v>
                </c:pt>
                <c:pt idx="155">
                  <c:v>7.385679159321523E-8</c:v>
                </c:pt>
                <c:pt idx="156">
                  <c:v>6.4802584223311608E-8</c:v>
                </c:pt>
                <c:pt idx="157">
                  <c:v>5.6858344797165076E-8</c:v>
                </c:pt>
                <c:pt idx="158">
                  <c:v>4.9888000792263767E-8</c:v>
                </c:pt>
                <c:pt idx="159">
                  <c:v>4.3772161006927537E-8</c:v>
                </c:pt>
                <c:pt idx="160">
                  <c:v>3.8406070573858425E-8</c:v>
                </c:pt>
                <c:pt idx="161">
                  <c:v>3.3697816671439896E-8</c:v>
                </c:pt>
                <c:pt idx="162">
                  <c:v>2.9566754199397168E-8</c:v>
                </c:pt>
                <c:pt idx="163">
                  <c:v>2.5942124453080066E-8</c:v>
                </c:pt>
                <c:pt idx="164">
                  <c:v>2.2761843136397307E-8</c:v>
                </c:pt>
                <c:pt idx="165">
                  <c:v>1.9971436953940136E-8</c:v>
                </c:pt>
                <c:pt idx="166">
                  <c:v>1.7523110567764682E-8</c:v>
                </c:pt>
                <c:pt idx="167">
                  <c:v>1.5374927937247247E-8</c:v>
                </c:pt>
                <c:pt idx="168">
                  <c:v>1.3490094019631615E-8</c:v>
                </c:pt>
                <c:pt idx="169">
                  <c:v>1.1836324527910804E-8</c:v>
                </c:pt>
                <c:pt idx="170">
                  <c:v>1.0385292950971495E-8</c:v>
                </c:pt>
                <c:pt idx="171">
                  <c:v>9.1121453643122843E-9</c:v>
                </c:pt>
                <c:pt idx="172">
                  <c:v>7.9950747207945319E-9</c:v>
                </c:pt>
                <c:pt idx="173">
                  <c:v>7.014947329685412E-9</c:v>
                </c:pt>
                <c:pt idx="174">
                  <c:v>6.154975126157441E-9</c:v>
                </c:pt>
                <c:pt idx="175">
                  <c:v>5.4004281177283933E-9</c:v>
                </c:pt>
                <c:pt idx="176">
                  <c:v>4.7383820822942869E-9</c:v>
                </c:pt>
                <c:pt idx="177">
                  <c:v>4.1574971962133517E-9</c:v>
                </c:pt>
                <c:pt idx="178">
                  <c:v>3.6478238006827692E-9</c:v>
                </c:pt>
                <c:pt idx="179">
                  <c:v>3.200631979486926E-9</c:v>
                </c:pt>
                <c:pt idx="180">
                  <c:v>2.8082620290478404E-9</c:v>
                </c:pt>
                <c:pt idx="181">
                  <c:v>2.4639932595612269E-9</c:v>
                </c:pt>
                <c:pt idx="182">
                  <c:v>2.1619288799847718E-9</c:v>
                </c:pt>
                <c:pt idx="183">
                  <c:v>1.8968949951366813E-9</c:v>
                </c:pt>
                <c:pt idx="184">
                  <c:v>1.6643519848811751E-9</c:v>
                </c:pt>
                <c:pt idx="185">
                  <c:v>1.4603167474635617E-9</c:v>
                </c:pt>
                <c:pt idx="186">
                  <c:v>1.281294475143613E-9</c:v>
                </c:pt>
                <c:pt idx="187">
                  <c:v>1.1242187935494532E-9</c:v>
                </c:pt>
                <c:pt idx="188">
                  <c:v>9.8639923943176947E-10</c:v>
                </c:pt>
                <c:pt idx="189">
                  <c:v>8.6547517719358662E-10</c:v>
                </c:pt>
                <c:pt idx="190">
                  <c:v>7.5937536485710439E-10</c:v>
                </c:pt>
                <c:pt idx="191">
                  <c:v>6.6628247689520619E-10</c:v>
                </c:pt>
                <c:pt idx="192">
                  <c:v>5.8460197625866897E-10</c:v>
                </c:pt>
                <c:pt idx="193">
                  <c:v>5.1293480242508871E-10</c:v>
                </c:pt>
                <c:pt idx="194">
                  <c:v>4.5005340765808486E-10</c:v>
                </c:pt>
                <c:pt idx="195">
                  <c:v>3.9488073101500136E-10</c:v>
                </c:pt>
                <c:pt idx="196">
                  <c:v>3.4647174996040869E-10</c:v>
                </c:pt>
                <c:pt idx="197">
                  <c:v>3.0399729359310669E-10</c:v>
                </c:pt>
                <c:pt idx="198">
                  <c:v>2.6672984023226625E-10</c:v>
                </c:pt>
                <c:pt idx="199">
                  <c:v>2.3403105609734784E-10</c:v>
                </c:pt>
                <c:pt idx="200">
                  <c:v>2.0534086163867614E-10</c:v>
                </c:pt>
                <c:pt idx="201">
                  <c:v>1.8016783824183994E-10</c:v>
                </c:pt>
                <c:pt idx="202">
                  <c:v>1.5808081098761614E-10</c:v>
                </c:pt>
                <c:pt idx="203">
                  <c:v>1.38701463293126E-10</c:v>
                </c:pt>
                <c:pt idx="204">
                  <c:v>1.2169785693446034E-10</c:v>
                </c:pt>
                <c:pt idx="205">
                  <c:v>1.0677874645879366E-10</c:v>
                </c:pt>
                <c:pt idx="206">
                  <c:v>9.3688590600668177E-11</c:v>
                </c:pt>
                <c:pt idx="207">
                  <c:v>8.2203175255732194E-11</c:v>
                </c:pt>
                <c:pt idx="208">
                  <c:v>7.2125773040249248E-11</c:v>
                </c:pt>
                <c:pt idx="209">
                  <c:v>6.3283773655577743E-11</c:v>
                </c:pt>
                <c:pt idx="210">
                  <c:v>5.552572734098152E-11</c:v>
                </c:pt>
                <c:pt idx="211">
                  <c:v>4.8718750773695085E-11</c:v>
                </c:pt>
                <c:pt idx="212">
                  <c:v>4.2746250983327672E-11</c:v>
                </c:pt>
                <c:pt idx="213">
                  <c:v>3.7505928294783618E-11</c:v>
                </c:pt>
                <c:pt idx="214">
                  <c:v>3.2908024093203024E-11</c:v>
                </c:pt>
                <c:pt idx="215">
                  <c:v>2.8873783397848797E-11</c:v>
                </c:pt>
                <c:pt idx="216">
                  <c:v>2.5334105911211002E-11</c:v>
                </c:pt>
                <c:pt idx="217">
                  <c:v>2.2228362437887995E-11</c:v>
                </c:pt>
                <c:pt idx="218">
                  <c:v>1.9503356400332164E-11</c:v>
                </c:pt>
                <c:pt idx="219">
                  <c:v>1.7112412663832697E-11</c:v>
                </c:pt>
                <c:pt idx="220">
                  <c:v>1.5014578063718015E-11</c:v>
                </c:pt>
                <c:pt idx="221">
                  <c:v>1.3173919941046499E-11</c:v>
                </c:pt>
                <c:pt idx="222">
                  <c:v>1.1558910671787895E-11</c:v>
                </c:pt>
                <c:pt idx="223">
                  <c:v>1.0141887647433101E-11</c:v>
                </c:pt>
                <c:pt idx="224">
                  <c:v>8.8985794573362151E-12</c:v>
                </c:pt>
                <c:pt idx="225">
                  <c:v>7.8076901570259101E-12</c:v>
                </c:pt>
                <c:pt idx="226">
                  <c:v>6.8505345016459102E-12</c:v>
                </c:pt>
                <c:pt idx="227">
                  <c:v>6.010717896638126E-12</c:v>
                </c:pt>
                <c:pt idx="228">
                  <c:v>5.2738555837191341E-12</c:v>
                </c:pt>
                <c:pt idx="229">
                  <c:v>4.6273262522405145E-12</c:v>
                </c:pt>
                <c:pt idx="230">
                  <c:v>4.0600558556771013E-12</c:v>
                </c:pt>
                <c:pt idx="231">
                  <c:v>3.5623279303542668E-12</c:v>
                </c:pt>
                <c:pt idx="232">
                  <c:v>3.1256171674677012E-12</c:v>
                </c:pt>
                <c:pt idx="233">
                  <c:v>2.7424433877420316E-12</c:v>
                </c:pt>
                <c:pt idx="234">
                  <c:v>2.4062434175402607E-12</c:v>
                </c:pt>
                <c:pt idx="235">
                  <c:v>2.1112586718601287E-12</c:v>
                </c:pt>
                <c:pt idx="236">
                  <c:v>1.8524365186881654E-12</c:v>
                </c:pt>
                <c:pt idx="237">
                  <c:v>1.6253437352355225E-12</c:v>
                </c:pt>
                <c:pt idx="238">
                  <c:v>1.4260905736948844E-12</c:v>
                </c:pt>
                <c:pt idx="239">
                  <c:v>1.2512641358824346E-12</c:v>
                </c:pt>
                <c:pt idx="240">
                  <c:v>1.0978699155756379E-12</c:v>
                </c:pt>
                <c:pt idx="241">
                  <c:v>9.6328050725758737E-13</c:v>
                </c:pt>
                <c:pt idx="242">
                  <c:v>8.4519060272811194E-13</c:v>
                </c:pt>
                <c:pt idx="243">
                  <c:v>7.4157750474326601E-13</c:v>
                </c:pt>
                <c:pt idx="244">
                  <c:v>6.506664813429748E-13</c:v>
                </c:pt>
                <c:pt idx="245">
                  <c:v>5.7090036744010642E-13</c:v>
                </c:pt>
                <c:pt idx="246">
                  <c:v>5.0091289299325069E-13</c:v>
                </c:pt>
                <c:pt idx="247">
                  <c:v>4.3950528091609849E-13</c:v>
                </c:pt>
                <c:pt idx="248">
                  <c:v>3.8562571388183727E-13</c:v>
                </c:pt>
                <c:pt idx="249">
                  <c:v>3.3835131832071161E-13</c:v>
                </c:pt>
                <c:pt idx="250">
                  <c:v>2.9687235702451825E-13</c:v>
                </c:pt>
                <c:pt idx="251">
                  <c:v>2.6047835960182251E-13</c:v>
                </c:pt>
                <c:pt idx="252">
                  <c:v>2.2854595322006625E-13</c:v>
                </c:pt>
                <c:pt idx="253">
                  <c:v>2.0052818519401967E-13</c:v>
                </c:pt>
                <c:pt idx="254">
                  <c:v>1.7594515453304682E-13</c:v>
                </c:pt>
                <c:pt idx="255">
                  <c:v>1.5437579198009389E-13</c:v>
                </c:pt>
                <c:pt idx="256">
                  <c:v>1.3545064774719336E-13</c:v>
                </c:pt>
                <c:pt idx="257">
                  <c:v>1.1884556341255892E-13</c:v>
                </c:pt>
                <c:pt idx="258">
                  <c:v>1.0427611958866569E-13</c:v>
                </c:pt>
                <c:pt idx="259">
                  <c:v>9.1492764258465016E-14</c:v>
                </c:pt>
                <c:pt idx="260">
                  <c:v>8.0276538335675971E-14</c:v>
                </c:pt>
                <c:pt idx="261">
                  <c:v>7.0435325234618407E-14</c:v>
                </c:pt>
                <c:pt idx="262">
                  <c:v>6.1800560210525139E-14</c:v>
                </c:pt>
                <c:pt idx="263">
                  <c:v>5.4224343106427265E-14</c:v>
                </c:pt>
                <c:pt idx="264">
                  <c:v>4.7576905052436606E-14</c:v>
                </c:pt>
                <c:pt idx="265">
                  <c:v>4.174438572590593E-14</c:v>
                </c:pt>
                <c:pt idx="266">
                  <c:v>3.6626883100374627E-14</c:v>
                </c:pt>
                <c:pt idx="267">
                  <c:v>3.2136742278518578E-14</c:v>
                </c:pt>
                <c:pt idx="268">
                  <c:v>2.8197054099461715E-14</c:v>
                </c:pt>
                <c:pt idx="269">
                  <c:v>2.4740337803916994E-14</c:v>
                </c:pt>
                <c:pt idx="270">
                  <c:v>2.1707385193249995E-14</c:v>
                </c:pt>
                <c:pt idx="271">
                  <c:v>1.9046246484699379E-14</c:v>
                </c:pt>
                <c:pt idx="272">
                  <c:v>1.6711340492024118E-14</c:v>
                </c:pt>
                <c:pt idx="273">
                  <c:v>1.4662673890349624E-14</c:v>
                </c:pt>
                <c:pt idx="274">
                  <c:v>1.2865156192428222E-14</c:v>
                </c:pt>
                <c:pt idx="275">
                  <c:v>1.1287998702917866E-14</c:v>
                </c:pt>
                <c:pt idx="276">
                  <c:v>9.9041871556963877E-15</c:v>
                </c:pt>
                <c:pt idx="277">
                  <c:v>8.6900190013048976E-15</c:v>
                </c:pt>
                <c:pt idx="278">
                  <c:v>7.6246974189706153E-15</c:v>
                </c:pt>
                <c:pt idx="279">
                  <c:v>6.6899750992635841E-15</c:v>
                </c:pt>
                <c:pt idx="280">
                  <c:v>5.8698416959356699E-15</c:v>
                </c:pt>
                <c:pt idx="281">
                  <c:v>5.1502495934757169E-15</c:v>
                </c:pt>
                <c:pt idx="282">
                  <c:v>4.5188732932036274E-15</c:v>
                </c:pt>
                <c:pt idx="283">
                  <c:v>3.9648982965596692E-15</c:v>
                </c:pt>
                <c:pt idx="284">
                  <c:v>3.4788358694865887E-15</c:v>
                </c:pt>
                <c:pt idx="285">
                  <c:v>3.0523605151051769E-15</c:v>
                </c:pt>
                <c:pt idx="286">
                  <c:v>2.6781673708418278E-15</c:v>
                </c:pt>
                <c:pt idx="287">
                  <c:v>2.3498470874416608E-15</c:v>
                </c:pt>
                <c:pt idx="288">
                  <c:v>2.0617760467384069E-15</c:v>
                </c:pt>
                <c:pt idx="289">
                  <c:v>1.8090200377814115E-15</c:v>
                </c:pt>
                <c:pt idx="290">
                  <c:v>1.58724974144094E-15</c:v>
                </c:pt>
                <c:pt idx="291">
                  <c:v>1.3926665758739106E-15</c:v>
                </c:pt>
                <c:pt idx="292">
                  <c:v>1.22193763269769E-15</c:v>
                </c:pt>
                <c:pt idx="293">
                  <c:v>1.0721385894293338E-15</c:v>
                </c:pt>
                <c:pt idx="294">
                  <c:v>9.4070362036873767E-16</c:v>
                </c:pt>
                <c:pt idx="295">
                  <c:v>8.2538144797667181E-16</c:v>
                </c:pt>
                <c:pt idx="296">
                  <c:v>7.2419678197584571E-16</c:v>
                </c:pt>
                <c:pt idx="297">
                  <c:v>6.3541648568649883E-16</c:v>
                </c:pt>
                <c:pt idx="298">
                  <c:v>5.5751989007822893E-16</c:v>
                </c:pt>
                <c:pt idx="299">
                  <c:v>4.8917274706372138E-16</c:v>
                </c:pt>
                <c:pt idx="300">
                  <c:v>4.2920437589462743E-16</c:v>
                </c:pt>
                <c:pt idx="301">
                  <c:v>3.765876112127317E-16</c:v>
                </c:pt>
                <c:pt idx="302">
                  <c:v>3.3042120929756993E-16</c:v>
                </c:pt>
                <c:pt idx="303">
                  <c:v>2.899144111567561E-16</c:v>
                </c:pt>
                <c:pt idx="304">
                  <c:v>2.5437339804865479E-16</c:v>
                </c:pt>
                <c:pt idx="305">
                  <c:v>2.2318940744147095E-16</c:v>
                </c:pt>
                <c:pt idx="306">
                  <c:v>1.9582830585353483E-16</c:v>
                </c:pt>
                <c:pt idx="307">
                  <c:v>1.7182143997367853E-16</c:v>
                </c:pt>
                <c:pt idx="308">
                  <c:v>1.5075760935556044E-16</c:v>
                </c:pt>
                <c:pt idx="309">
                  <c:v>1.3227602319061851E-16</c:v>
                </c:pt>
                <c:pt idx="310">
                  <c:v>1.1606012052007707E-16</c:v>
                </c:pt>
                <c:pt idx="311">
                  <c:v>1.0183214803580634E-16</c:v>
                </c:pt>
                <c:pt idx="312">
                  <c:v>8.9348402596157243E-17</c:v>
                </c:pt>
                <c:pt idx="313">
                  <c:v>7.8395056968433565E-17</c:v>
                </c:pt>
                <c:pt idx="314">
                  <c:v>6.8784497299432038E-17</c:v>
                </c:pt>
                <c:pt idx="315">
                  <c:v>6.0352109580590956E-17</c:v>
                </c:pt>
                <c:pt idx="316">
                  <c:v>5.2953460064870376E-17</c:v>
                </c:pt>
                <c:pt idx="317">
                  <c:v>4.6461821340270123E-17</c:v>
                </c:pt>
                <c:pt idx="318">
                  <c:v>4.076600168545501E-17</c:v>
                </c:pt>
                <c:pt idx="319">
                  <c:v>3.5768440527709597E-17</c:v>
                </c:pt>
                <c:pt idx="320">
                  <c:v>3.1383537381365799E-17</c:v>
                </c:pt>
                <c:pt idx="321">
                  <c:v>2.7536185644005581E-17</c:v>
                </c:pt>
                <c:pt idx="322">
                  <c:v>2.4160486136637689E-17</c:v>
                </c:pt>
                <c:pt idx="323">
                  <c:v>2.1198618352783199E-17</c:v>
                </c:pt>
                <c:pt idx="324">
                  <c:v>1.8599850082714237E-17</c:v>
                </c:pt>
                <c:pt idx="325">
                  <c:v>1.6319668449242303E-17</c:v>
                </c:pt>
                <c:pt idx="326">
                  <c:v>1.4319017471044554E-17</c:v>
                </c:pt>
                <c:pt idx="327">
                  <c:v>1.2563629094168186E-17</c:v>
                </c:pt>
                <c:pt idx="328">
                  <c:v>1.1023436233318229E-17</c:v>
                </c:pt>
                <c:pt idx="329">
                  <c:v>9.6720577692347536E-18</c:v>
                </c:pt>
                <c:pt idx="330">
                  <c:v>8.486346680961814E-18</c:v>
                </c:pt>
                <c:pt idx="331">
                  <c:v>7.4459935732134915E-18</c:v>
                </c:pt>
                <c:pt idx="332">
                  <c:v>6.5331788078745939E-18</c:v>
                </c:pt>
                <c:pt idx="333">
                  <c:v>5.7322672811871777E-18</c:v>
                </c:pt>
                <c:pt idx="334">
                  <c:v>5.0295406186286298E-18</c:v>
                </c:pt>
                <c:pt idx="335">
                  <c:v>4.4129622003941674E-18</c:v>
                </c:pt>
                <c:pt idx="336">
                  <c:v>3.871970992734052E-18</c:v>
                </c:pt>
                <c:pt idx="337">
                  <c:v>3.3973006537954968E-18</c:v>
                </c:pt>
                <c:pt idx="338">
                  <c:v>2.9808208155323993E-18</c:v>
                </c:pt>
                <c:pt idx="339">
                  <c:v>2.6153978230877224E-18</c:v>
                </c:pt>
                <c:pt idx="340">
                  <c:v>2.2947725463297469E-18</c:v>
                </c:pt>
                <c:pt idx="341">
                  <c:v>2.0134531706429755E-18</c:v>
                </c:pt>
                <c:pt idx="342">
                  <c:v>1.7666211306459097E-18</c:v>
                </c:pt>
                <c:pt idx="343">
                  <c:v>1.550048575625918E-18</c:v>
                </c:pt>
                <c:pt idx="344">
                  <c:v>1.3600259530018658E-18</c:v>
                </c:pt>
                <c:pt idx="345">
                  <c:v>1.1932984694313379E-18</c:v>
                </c:pt>
                <c:pt idx="346">
                  <c:v>1.0470103412395838E-18</c:v>
                </c:pt>
                <c:pt idx="347">
                  <c:v>9.1865587926634538E-19</c:v>
                </c:pt>
                <c:pt idx="348">
                  <c:v>8.0603657028971857E-19</c:v>
                </c:pt>
                <c:pt idx="349">
                  <c:v>7.0722341989828683E-19</c:v>
                </c:pt>
                <c:pt idx="350">
                  <c:v>6.2052391180322151E-19</c:v>
                </c:pt>
                <c:pt idx="351">
                  <c:v>5.4445301765452043E-19</c:v>
                </c:pt>
                <c:pt idx="352">
                  <c:v>4.7770776080441541E-19</c:v>
                </c:pt>
                <c:pt idx="353">
                  <c:v>4.191448983345971E-19</c:v>
                </c:pt>
                <c:pt idx="354">
                  <c:v>3.677613390749333E-19</c:v>
                </c:pt>
                <c:pt idx="355">
                  <c:v>3.2267696220465814E-19</c:v>
                </c:pt>
                <c:pt idx="356">
                  <c:v>2.8311954214526963E-19</c:v>
                </c:pt>
                <c:pt idx="357">
                  <c:v>2.4841152153188944E-19</c:v>
                </c:pt>
                <c:pt idx="358">
                  <c:v>2.1795840570456147E-19</c:v>
                </c:pt>
                <c:pt idx="359">
                  <c:v>1.9123857993509261E-19</c:v>
                </c:pt>
                <c:pt idx="360">
                  <c:v>1.6779437497429544E-19</c:v>
                </c:pt>
                <c:pt idx="361">
                  <c:v>1.4722422788628949E-19</c:v>
                </c:pt>
                <c:pt idx="362">
                  <c:v>1.2917580389708839E-19</c:v>
                </c:pt>
                <c:pt idx="363">
                  <c:v>1.1333996144538777E-19</c:v>
                </c:pt>
                <c:pt idx="364">
                  <c:v>9.9445457066217124E-20</c:v>
                </c:pt>
                <c:pt idx="365">
                  <c:v>8.7254299410309807E-20</c:v>
                </c:pt>
              </c:numCache>
            </c:numRef>
          </c:yVal>
          <c:smooth val="1"/>
          <c:extLst>
            <c:ext xmlns:c16="http://schemas.microsoft.com/office/drawing/2014/chart" uri="{C3380CC4-5D6E-409C-BE32-E72D297353CC}">
              <c16:uniqueId val="{00000000-E4EA-4872-A2F3-AF2AEA925602}"/>
            </c:ext>
          </c:extLst>
        </c:ser>
        <c:ser>
          <c:idx val="1"/>
          <c:order val="1"/>
          <c:tx>
            <c:strRef>
              <c:f>'Min rate concentrations'!$I$2</c:f>
              <c:strCache>
                <c:ptCount val="1"/>
                <c:pt idx="0">
                  <c:v>Soil-dwelling invertebrates (earthworms)</c:v>
                </c:pt>
              </c:strCache>
            </c:strRef>
          </c:tx>
          <c:spPr>
            <a:ln w="19050" cap="rnd">
              <a:solidFill>
                <a:srgbClr val="FF0000"/>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concentrations'!$I$3:$I$368</c:f>
              <c:numCache>
                <c:formatCode>General</c:formatCode>
                <c:ptCount val="366"/>
                <c:pt idx="0">
                  <c:v>9.4775690500787988</c:v>
                </c:pt>
                <c:pt idx="1">
                  <c:v>9.286309068182419</c:v>
                </c:pt>
                <c:pt idx="2">
                  <c:v>9.0989087659656818</c:v>
                </c:pt>
                <c:pt idx="3">
                  <c:v>8.9152902540181547</c:v>
                </c:pt>
                <c:pt idx="4">
                  <c:v>8.7353772147593887</c:v>
                </c:pt>
                <c:pt idx="5">
                  <c:v>8.5590948707189565</c:v>
                </c:pt>
                <c:pt idx="6">
                  <c:v>8.3863699534566027</c:v>
                </c:pt>
                <c:pt idx="7">
                  <c:v>8.2171306731095903</c:v>
                </c:pt>
                <c:pt idx="8">
                  <c:v>8.0513066885545985</c:v>
                </c:pt>
                <c:pt idx="9">
                  <c:v>7.8888290781717583</c:v>
                </c:pt>
                <c:pt idx="10">
                  <c:v>7.7296303111986786</c:v>
                </c:pt>
                <c:pt idx="11">
                  <c:v>7.5736442196625493</c:v>
                </c:pt>
                <c:pt idx="12">
                  <c:v>7.4208059708786758</c:v>
                </c:pt>
                <c:pt idx="13">
                  <c:v>7.2710520405039869</c:v>
                </c:pt>
                <c:pt idx="14">
                  <c:v>7.1243201861343408</c:v>
                </c:pt>
                <c:pt idx="15">
                  <c:v>6.9805494214346373</c:v>
                </c:pt>
                <c:pt idx="16">
                  <c:v>6.839679990790998</c:v>
                </c:pt>
                <c:pt idx="17">
                  <c:v>6.7016533444744661</c:v>
                </c:pt>
                <c:pt idx="18">
                  <c:v>6.56641211430592</c:v>
                </c:pt>
                <c:pt idx="19">
                  <c:v>6.433900089812056</c:v>
                </c:pt>
                <c:pt idx="20">
                  <c:v>6.3040621948625759</c:v>
                </c:pt>
                <c:pt idx="21">
                  <c:v>6.1768444647788217</c:v>
                </c:pt>
                <c:pt idx="22">
                  <c:v>6.0521940239043719</c:v>
                </c:pt>
                <c:pt idx="23">
                  <c:v>5.930059063628276</c:v>
                </c:pt>
                <c:pt idx="24">
                  <c:v>5.8103888208517711</c:v>
                </c:pt>
                <c:pt idx="25">
                  <c:v>5.6931335568895634</c:v>
                </c:pt>
                <c:pt idx="26">
                  <c:v>5.5782445367968716</c:v>
                </c:pt>
                <c:pt idx="27">
                  <c:v>5.4656740091136706</c:v>
                </c:pt>
                <c:pt idx="28">
                  <c:v>5.3553751860176879</c:v>
                </c:pt>
                <c:pt idx="29">
                  <c:v>5.2473022238779334</c:v>
                </c:pt>
                <c:pt idx="30">
                  <c:v>5.1414102042006524</c:v>
                </c:pt>
                <c:pt idx="31">
                  <c:v>5.037655114959799</c:v>
                </c:pt>
                <c:pt idx="32">
                  <c:v>4.9359938323042636</c:v>
                </c:pt>
                <c:pt idx="33">
                  <c:v>4.8363841026342582</c:v>
                </c:pt>
                <c:pt idx="34">
                  <c:v>4.738784525039403</c:v>
                </c:pt>
                <c:pt idx="35">
                  <c:v>4.6431545340912121</c:v>
                </c:pt>
                <c:pt idx="36">
                  <c:v>4.5494543829828435</c:v>
                </c:pt>
                <c:pt idx="37">
                  <c:v>4.4576451270090791</c:v>
                </c:pt>
                <c:pt idx="38">
                  <c:v>4.367688607379697</c:v>
                </c:pt>
                <c:pt idx="39">
                  <c:v>4.2795474353594809</c:v>
                </c:pt>
                <c:pt idx="40">
                  <c:v>4.1931849767283031</c:v>
                </c:pt>
                <c:pt idx="41">
                  <c:v>4.1085653365547969</c:v>
                </c:pt>
                <c:pt idx="42">
                  <c:v>4.025653344277301</c:v>
                </c:pt>
                <c:pt idx="43">
                  <c:v>3.9444145390858809</c:v>
                </c:pt>
                <c:pt idx="44">
                  <c:v>3.8648151555993411</c:v>
                </c:pt>
                <c:pt idx="45">
                  <c:v>3.7868221098312764</c:v>
                </c:pt>
                <c:pt idx="46">
                  <c:v>3.7104029854393397</c:v>
                </c:pt>
                <c:pt idx="47">
                  <c:v>3.6355260202519952</c:v>
                </c:pt>
                <c:pt idx="48">
                  <c:v>3.5621600930671717</c:v>
                </c:pt>
                <c:pt idx="49">
                  <c:v>3.49027471071732</c:v>
                </c:pt>
                <c:pt idx="50">
                  <c:v>3.4198399953955003</c:v>
                </c:pt>
                <c:pt idx="51">
                  <c:v>3.3508266722372348</c:v>
                </c:pt>
                <c:pt idx="52">
                  <c:v>3.2832060571529618</c:v>
                </c:pt>
                <c:pt idx="53">
                  <c:v>3.2169500449060298</c:v>
                </c:pt>
                <c:pt idx="54">
                  <c:v>3.1520310974312897</c:v>
                </c:pt>
                <c:pt idx="55">
                  <c:v>3.0884222323894126</c:v>
                </c:pt>
                <c:pt idx="56">
                  <c:v>3.0260970119521877</c:v>
                </c:pt>
                <c:pt idx="57">
                  <c:v>2.9650295318141393</c:v>
                </c:pt>
                <c:pt idx="58">
                  <c:v>2.9051944104258878</c:v>
                </c:pt>
                <c:pt idx="59">
                  <c:v>2.8465667784447835</c:v>
                </c:pt>
                <c:pt idx="60">
                  <c:v>2.7891222683984376</c:v>
                </c:pt>
                <c:pt idx="61">
                  <c:v>2.7328370045568371</c:v>
                </c:pt>
                <c:pt idx="62">
                  <c:v>2.6776875930088453</c:v>
                </c:pt>
                <c:pt idx="63">
                  <c:v>2.6236511119389685</c:v>
                </c:pt>
                <c:pt idx="64">
                  <c:v>2.570705102100328</c:v>
                </c:pt>
                <c:pt idx="65">
                  <c:v>2.5188275574799013</c:v>
                </c:pt>
                <c:pt idx="66">
                  <c:v>2.4679969161521331</c:v>
                </c:pt>
                <c:pt idx="67">
                  <c:v>2.4181920513171304</c:v>
                </c:pt>
                <c:pt idx="68">
                  <c:v>2.3693922625197028</c:v>
                </c:pt>
                <c:pt idx="69">
                  <c:v>2.3215772670456074</c:v>
                </c:pt>
                <c:pt idx="70">
                  <c:v>2.2747271914914227</c:v>
                </c:pt>
                <c:pt idx="71">
                  <c:v>2.2288225635045409</c:v>
                </c:pt>
                <c:pt idx="72">
                  <c:v>2.1838443036898498</c:v>
                </c:pt>
                <c:pt idx="73">
                  <c:v>2.1397737176797418</c:v>
                </c:pt>
                <c:pt idx="74">
                  <c:v>2.0965924883641529</c:v>
                </c:pt>
                <c:pt idx="75">
                  <c:v>2.0542826682773998</c:v>
                </c:pt>
                <c:pt idx="76">
                  <c:v>2.0128266721386519</c:v>
                </c:pt>
                <c:pt idx="77">
                  <c:v>1.9722072695429418</c:v>
                </c:pt>
                <c:pt idx="78">
                  <c:v>1.9324075777996716</c:v>
                </c:pt>
                <c:pt idx="79">
                  <c:v>1.8934110549156395</c:v>
                </c:pt>
                <c:pt idx="80">
                  <c:v>1.8552014927196712</c:v>
                </c:pt>
                <c:pt idx="81">
                  <c:v>1.8177630101259989</c:v>
                </c:pt>
                <c:pt idx="82">
                  <c:v>1.781080046533587</c:v>
                </c:pt>
                <c:pt idx="83">
                  <c:v>1.7451373553586613</c:v>
                </c:pt>
                <c:pt idx="84">
                  <c:v>1.7099199976977517</c:v>
                </c:pt>
                <c:pt idx="85">
                  <c:v>1.675413336118619</c:v>
                </c:pt>
                <c:pt idx="86">
                  <c:v>1.641603028576482</c:v>
                </c:pt>
                <c:pt idx="87">
                  <c:v>1.6084750224530162</c:v>
                </c:pt>
                <c:pt idx="88">
                  <c:v>1.5760155487156462</c:v>
                </c:pt>
                <c:pt idx="89">
                  <c:v>1.5442111161947074</c:v>
                </c:pt>
                <c:pt idx="90">
                  <c:v>1.5130485059760952</c:v>
                </c:pt>
                <c:pt idx="91">
                  <c:v>1.4825147659070712</c:v>
                </c:pt>
                <c:pt idx="92">
                  <c:v>1.452597205212945</c:v>
                </c:pt>
                <c:pt idx="93">
                  <c:v>1.4232833892223928</c:v>
                </c:pt>
                <c:pt idx="94">
                  <c:v>1.3945611341992201</c:v>
                </c:pt>
                <c:pt idx="95">
                  <c:v>1.3664185022784197</c:v>
                </c:pt>
                <c:pt idx="96">
                  <c:v>1.3388437965044242</c:v>
                </c:pt>
                <c:pt idx="97">
                  <c:v>1.3118255559694856</c:v>
                </c:pt>
                <c:pt idx="98">
                  <c:v>1.2853525510501651</c:v>
                </c:pt>
                <c:pt idx="99">
                  <c:v>1.2594137787399518</c:v>
                </c:pt>
                <c:pt idx="100">
                  <c:v>1.2339984580760677</c:v>
                </c:pt>
                <c:pt idx="101">
                  <c:v>1.2090960256585663</c:v>
                </c:pt>
                <c:pt idx="102">
                  <c:v>1.1846961312598523</c:v>
                </c:pt>
                <c:pt idx="103">
                  <c:v>1.1607886335228048</c:v>
                </c:pt>
                <c:pt idx="104">
                  <c:v>1.1373635957457127</c:v>
                </c:pt>
                <c:pt idx="105">
                  <c:v>1.1144112817522716</c:v>
                </c:pt>
                <c:pt idx="106">
                  <c:v>1.091922151844926</c:v>
                </c:pt>
                <c:pt idx="107">
                  <c:v>1.069886858839872</c:v>
                </c:pt>
                <c:pt idx="108">
                  <c:v>1.0482962441820776</c:v>
                </c:pt>
                <c:pt idx="109">
                  <c:v>1.027141334138701</c:v>
                </c:pt>
                <c:pt idx="110">
                  <c:v>1.0064133360693268</c:v>
                </c:pt>
                <c:pt idx="111">
                  <c:v>0.98610363477147189</c:v>
                </c:pt>
                <c:pt idx="112">
                  <c:v>0.96620378889983682</c:v>
                </c:pt>
                <c:pt idx="113">
                  <c:v>0.94670552745782077</c:v>
                </c:pt>
                <c:pt idx="114">
                  <c:v>0.92760074635983658</c:v>
                </c:pt>
                <c:pt idx="115">
                  <c:v>0.90888150506300036</c:v>
                </c:pt>
                <c:pt idx="116">
                  <c:v>0.89054002326679449</c:v>
                </c:pt>
                <c:pt idx="117">
                  <c:v>0.87256867767933155</c:v>
                </c:pt>
                <c:pt idx="118">
                  <c:v>0.85495999884887652</c:v>
                </c:pt>
                <c:pt idx="119">
                  <c:v>0.83770666805931016</c:v>
                </c:pt>
                <c:pt idx="120">
                  <c:v>0.82080151428824177</c:v>
                </c:pt>
                <c:pt idx="121">
                  <c:v>0.80423751122650888</c:v>
                </c:pt>
                <c:pt idx="122">
                  <c:v>0.78800777435782376</c:v>
                </c:pt>
                <c:pt idx="123">
                  <c:v>0.77210555809735459</c:v>
                </c:pt>
                <c:pt idx="124">
                  <c:v>0.75652425298804826</c:v>
                </c:pt>
                <c:pt idx="125">
                  <c:v>0.74125738295353627</c:v>
                </c:pt>
                <c:pt idx="126">
                  <c:v>0.72629860260647339</c:v>
                </c:pt>
                <c:pt idx="127">
                  <c:v>0.71164169461119731</c:v>
                </c:pt>
                <c:pt idx="128">
                  <c:v>0.69728056709961073</c:v>
                </c:pt>
                <c:pt idx="129">
                  <c:v>0.68320925113921049</c:v>
                </c:pt>
                <c:pt idx="130">
                  <c:v>0.66942189825221265</c:v>
                </c:pt>
                <c:pt idx="131">
                  <c:v>0.65591277798474334</c:v>
                </c:pt>
                <c:pt idx="132">
                  <c:v>0.64267627552508333</c:v>
                </c:pt>
                <c:pt idx="133">
                  <c:v>0.62970688936997643</c:v>
                </c:pt>
                <c:pt idx="134">
                  <c:v>0.6169992290380345</c:v>
                </c:pt>
                <c:pt idx="135">
                  <c:v>0.60454801282928372</c:v>
                </c:pt>
                <c:pt idx="136">
                  <c:v>0.5923480656299267</c:v>
                </c:pt>
                <c:pt idx="137">
                  <c:v>0.58039431676140285</c:v>
                </c:pt>
                <c:pt idx="138">
                  <c:v>0.56868179787285666</c:v>
                </c:pt>
                <c:pt idx="139">
                  <c:v>0.55720564087613622</c:v>
                </c:pt>
                <c:pt idx="140">
                  <c:v>0.54596107592246346</c:v>
                </c:pt>
                <c:pt idx="141">
                  <c:v>0.53494342941993644</c:v>
                </c:pt>
                <c:pt idx="142">
                  <c:v>0.52414812209103923</c:v>
                </c:pt>
                <c:pt idx="143">
                  <c:v>0.51357066706935095</c:v>
                </c:pt>
                <c:pt idx="144">
                  <c:v>0.50320666803466385</c:v>
                </c:pt>
                <c:pt idx="145">
                  <c:v>0.49305181738573645</c:v>
                </c:pt>
                <c:pt idx="146">
                  <c:v>0.48310189444991886</c:v>
                </c:pt>
                <c:pt idx="147">
                  <c:v>0.47335276372891083</c:v>
                </c:pt>
                <c:pt idx="148">
                  <c:v>0.46380037317991862</c:v>
                </c:pt>
                <c:pt idx="149">
                  <c:v>0.45444075253150057</c:v>
                </c:pt>
                <c:pt idx="150">
                  <c:v>0.44527001163339763</c:v>
                </c:pt>
                <c:pt idx="151">
                  <c:v>0.43628433883966616</c:v>
                </c:pt>
                <c:pt idx="152">
                  <c:v>0.42747999942443865</c:v>
                </c:pt>
                <c:pt idx="153">
                  <c:v>0.41885333402965552</c:v>
                </c:pt>
                <c:pt idx="154">
                  <c:v>0.41040075714412128</c:v>
                </c:pt>
                <c:pt idx="155">
                  <c:v>0.40211875561325477</c:v>
                </c:pt>
                <c:pt idx="156">
                  <c:v>0.39400388717891227</c:v>
                </c:pt>
                <c:pt idx="157">
                  <c:v>0.38605277904867757</c:v>
                </c:pt>
                <c:pt idx="158">
                  <c:v>0.37826212649402452</c:v>
                </c:pt>
                <c:pt idx="159">
                  <c:v>0.37062869147676852</c:v>
                </c:pt>
                <c:pt idx="160">
                  <c:v>0.36314930130323697</c:v>
                </c:pt>
                <c:pt idx="161">
                  <c:v>0.35582084730559893</c:v>
                </c:pt>
                <c:pt idx="162">
                  <c:v>0.3486402835498057</c:v>
                </c:pt>
                <c:pt idx="163">
                  <c:v>0.34160462556960564</c:v>
                </c:pt>
                <c:pt idx="164">
                  <c:v>0.33471094912610666</c:v>
                </c:pt>
                <c:pt idx="165">
                  <c:v>0.32795638899237206</c:v>
                </c:pt>
                <c:pt idx="166">
                  <c:v>0.32133813776254194</c:v>
                </c:pt>
                <c:pt idx="167">
                  <c:v>0.31485344468498855</c:v>
                </c:pt>
                <c:pt idx="168">
                  <c:v>0.30849961451901758</c:v>
                </c:pt>
                <c:pt idx="169">
                  <c:v>0.30227400641464219</c:v>
                </c:pt>
                <c:pt idx="170">
                  <c:v>0.29617403281496368</c:v>
                </c:pt>
                <c:pt idx="171">
                  <c:v>0.29019715838070176</c:v>
                </c:pt>
                <c:pt idx="172">
                  <c:v>0.28434089893642867</c:v>
                </c:pt>
                <c:pt idx="173">
                  <c:v>0.27860282043806839</c:v>
                </c:pt>
                <c:pt idx="174">
                  <c:v>0.27298053796123195</c:v>
                </c:pt>
                <c:pt idx="175">
                  <c:v>0.26747171470996844</c:v>
                </c:pt>
                <c:pt idx="176">
                  <c:v>0.26207406104551983</c:v>
                </c:pt>
                <c:pt idx="177">
                  <c:v>0.2567853335346757</c:v>
                </c:pt>
                <c:pt idx="178">
                  <c:v>0.2516033340173322</c:v>
                </c:pt>
                <c:pt idx="179">
                  <c:v>0.24652590869286845</c:v>
                </c:pt>
                <c:pt idx="180">
                  <c:v>0.24155094722495968</c:v>
                </c:pt>
                <c:pt idx="181">
                  <c:v>0.23667638186445561</c:v>
                </c:pt>
                <c:pt idx="182">
                  <c:v>0.23190018658995953</c:v>
                </c:pt>
                <c:pt idx="183">
                  <c:v>0.22722037626575048</c:v>
                </c:pt>
                <c:pt idx="184">
                  <c:v>0.22263500581669904</c:v>
                </c:pt>
                <c:pt idx="185">
                  <c:v>0.21814216941983325</c:v>
                </c:pt>
                <c:pt idx="186">
                  <c:v>0.21373999971221952</c:v>
                </c:pt>
                <c:pt idx="187">
                  <c:v>0.20942666701482793</c:v>
                </c:pt>
                <c:pt idx="188">
                  <c:v>0.20520037857206086</c:v>
                </c:pt>
                <c:pt idx="189">
                  <c:v>0.20105937780662758</c:v>
                </c:pt>
                <c:pt idx="190">
                  <c:v>0.1970019435894563</c:v>
                </c:pt>
                <c:pt idx="191">
                  <c:v>0.19302638952433895</c:v>
                </c:pt>
                <c:pt idx="192">
                  <c:v>0.18913106324701243</c:v>
                </c:pt>
                <c:pt idx="193">
                  <c:v>0.1853143457383844</c:v>
                </c:pt>
                <c:pt idx="194">
                  <c:v>0.18157465065161865</c:v>
                </c:pt>
                <c:pt idx="195">
                  <c:v>0.17791042365279963</c:v>
                </c:pt>
                <c:pt idx="196">
                  <c:v>0.17432014177490301</c:v>
                </c:pt>
                <c:pt idx="197">
                  <c:v>0.1708023127848029</c:v>
                </c:pt>
                <c:pt idx="198">
                  <c:v>0.16735547456305347</c:v>
                </c:pt>
                <c:pt idx="199">
                  <c:v>0.16397819449618617</c:v>
                </c:pt>
                <c:pt idx="200">
                  <c:v>0.16066906888127111</c:v>
                </c:pt>
                <c:pt idx="201">
                  <c:v>0.15742672234249441</c:v>
                </c:pt>
                <c:pt idx="202">
                  <c:v>0.15424980725950893</c:v>
                </c:pt>
                <c:pt idx="203">
                  <c:v>0.15113700320732124</c:v>
                </c:pt>
                <c:pt idx="204">
                  <c:v>0.14808701640748198</c:v>
                </c:pt>
                <c:pt idx="205">
                  <c:v>0.14509857919035102</c:v>
                </c:pt>
                <c:pt idx="206">
                  <c:v>0.14217044946821447</c:v>
                </c:pt>
                <c:pt idx="207">
                  <c:v>0.13930141021903433</c:v>
                </c:pt>
                <c:pt idx="208">
                  <c:v>0.13649026898061611</c:v>
                </c:pt>
                <c:pt idx="209">
                  <c:v>0.13373585735498436</c:v>
                </c:pt>
                <c:pt idx="210">
                  <c:v>0.13103703052276006</c:v>
                </c:pt>
                <c:pt idx="211">
                  <c:v>0.12839266676733796</c:v>
                </c:pt>
                <c:pt idx="212">
                  <c:v>0.12580166700866621</c:v>
                </c:pt>
                <c:pt idx="213">
                  <c:v>0.12326295434643432</c:v>
                </c:pt>
                <c:pt idx="214">
                  <c:v>0.12077547361247995</c:v>
                </c:pt>
                <c:pt idx="215">
                  <c:v>0.11833819093222792</c:v>
                </c:pt>
                <c:pt idx="216">
                  <c:v>0.11595009329497988</c:v>
                </c:pt>
                <c:pt idx="217">
                  <c:v>0.11361018813287535</c:v>
                </c:pt>
                <c:pt idx="218">
                  <c:v>0.11131750290834962</c:v>
                </c:pt>
                <c:pt idx="219">
                  <c:v>0.10907108470991674</c:v>
                </c:pt>
                <c:pt idx="220">
                  <c:v>0.10686999985610986</c:v>
                </c:pt>
                <c:pt idx="221">
                  <c:v>0.10471333350741406</c:v>
                </c:pt>
                <c:pt idx="222">
                  <c:v>0.10260018928603051</c:v>
                </c:pt>
                <c:pt idx="223">
                  <c:v>0.10052968890331389</c:v>
                </c:pt>
                <c:pt idx="224">
                  <c:v>9.8500971794728248E-2</c:v>
                </c:pt>
                <c:pt idx="225">
                  <c:v>9.6513194762169574E-2</c:v>
                </c:pt>
                <c:pt idx="226">
                  <c:v>9.4565531623506283E-2</c:v>
                </c:pt>
                <c:pt idx="227">
                  <c:v>9.2657172869192284E-2</c:v>
                </c:pt>
                <c:pt idx="228">
                  <c:v>9.0787325325809395E-2</c:v>
                </c:pt>
                <c:pt idx="229">
                  <c:v>8.8955211826399913E-2</c:v>
                </c:pt>
                <c:pt idx="230">
                  <c:v>8.7160070887451577E-2</c:v>
                </c:pt>
                <c:pt idx="231">
                  <c:v>8.5401156392401548E-2</c:v>
                </c:pt>
                <c:pt idx="232">
                  <c:v>8.3677737281526818E-2</c:v>
                </c:pt>
                <c:pt idx="233">
                  <c:v>8.1989097248093154E-2</c:v>
                </c:pt>
                <c:pt idx="234">
                  <c:v>8.0334534440635638E-2</c:v>
                </c:pt>
                <c:pt idx="235">
                  <c:v>7.871336117124729E-2</c:v>
                </c:pt>
                <c:pt idx="236">
                  <c:v>7.7124903629754521E-2</c:v>
                </c:pt>
                <c:pt idx="237">
                  <c:v>7.5568501603660673E-2</c:v>
                </c:pt>
                <c:pt idx="238">
                  <c:v>7.4043508203741046E-2</c:v>
                </c:pt>
                <c:pt idx="239">
                  <c:v>7.2549289595175565E-2</c:v>
                </c:pt>
                <c:pt idx="240">
                  <c:v>7.1085224734107305E-2</c:v>
                </c:pt>
                <c:pt idx="241">
                  <c:v>6.9650705109517236E-2</c:v>
                </c:pt>
                <c:pt idx="242">
                  <c:v>6.8245134490308113E-2</c:v>
                </c:pt>
                <c:pt idx="243">
                  <c:v>6.6867928677492236E-2</c:v>
                </c:pt>
                <c:pt idx="244">
                  <c:v>6.5518515261380098E-2</c:v>
                </c:pt>
                <c:pt idx="245">
                  <c:v>6.4196333383669049E-2</c:v>
                </c:pt>
                <c:pt idx="246">
                  <c:v>6.2900833504333162E-2</c:v>
                </c:pt>
                <c:pt idx="247">
                  <c:v>6.1631477173217236E-2</c:v>
                </c:pt>
                <c:pt idx="248">
                  <c:v>6.0387736806240037E-2</c:v>
                </c:pt>
                <c:pt idx="249">
                  <c:v>5.916909546611402E-2</c:v>
                </c:pt>
                <c:pt idx="250">
                  <c:v>5.7975046647490001E-2</c:v>
                </c:pt>
                <c:pt idx="251">
                  <c:v>5.6805094066437738E-2</c:v>
                </c:pt>
                <c:pt idx="252">
                  <c:v>5.5658751454174864E-2</c:v>
                </c:pt>
                <c:pt idx="253">
                  <c:v>5.453554235495843E-2</c:v>
                </c:pt>
                <c:pt idx="254">
                  <c:v>5.3434999928054991E-2</c:v>
                </c:pt>
                <c:pt idx="255">
                  <c:v>5.2356666753707093E-2</c:v>
                </c:pt>
                <c:pt idx="256">
                  <c:v>5.1300094643015298E-2</c:v>
                </c:pt>
                <c:pt idx="257">
                  <c:v>5.0264844451656993E-2</c:v>
                </c:pt>
                <c:pt idx="258">
                  <c:v>4.9250485897364173E-2</c:v>
                </c:pt>
                <c:pt idx="259">
                  <c:v>4.8256597381084829E-2</c:v>
                </c:pt>
                <c:pt idx="260">
                  <c:v>4.728276581175319E-2</c:v>
                </c:pt>
                <c:pt idx="261">
                  <c:v>4.6328586434596176E-2</c:v>
                </c:pt>
                <c:pt idx="262">
                  <c:v>4.5393662662904725E-2</c:v>
                </c:pt>
                <c:pt idx="263">
                  <c:v>4.4477605913199984E-2</c:v>
                </c:pt>
                <c:pt idx="264">
                  <c:v>4.3580035443725816E-2</c:v>
                </c:pt>
                <c:pt idx="265">
                  <c:v>4.2700578196200802E-2</c:v>
                </c:pt>
                <c:pt idx="266">
                  <c:v>4.183886864076343E-2</c:v>
                </c:pt>
                <c:pt idx="267">
                  <c:v>4.0994548624046612E-2</c:v>
                </c:pt>
                <c:pt idx="268">
                  <c:v>4.0167267220317847E-2</c:v>
                </c:pt>
                <c:pt idx="269">
                  <c:v>3.9356680585623673E-2</c:v>
                </c:pt>
                <c:pt idx="270">
                  <c:v>3.8562451814877295E-2</c:v>
                </c:pt>
                <c:pt idx="271">
                  <c:v>3.7784250801830371E-2</c:v>
                </c:pt>
                <c:pt idx="272">
                  <c:v>3.7021754101870551E-2</c:v>
                </c:pt>
                <c:pt idx="273">
                  <c:v>3.6274644797587817E-2</c:v>
                </c:pt>
                <c:pt idx="274">
                  <c:v>3.554261236705368E-2</c:v>
                </c:pt>
                <c:pt idx="275">
                  <c:v>3.4825352554758646E-2</c:v>
                </c:pt>
                <c:pt idx="276">
                  <c:v>3.4122567245154091E-2</c:v>
                </c:pt>
                <c:pt idx="277">
                  <c:v>3.3433964338746146E-2</c:v>
                </c:pt>
                <c:pt idx="278">
                  <c:v>3.2759257630690077E-2</c:v>
                </c:pt>
                <c:pt idx="279">
                  <c:v>3.2098166691834552E-2</c:v>
                </c:pt>
                <c:pt idx="280">
                  <c:v>3.1450416752166616E-2</c:v>
                </c:pt>
                <c:pt idx="281">
                  <c:v>3.0815738586608642E-2</c:v>
                </c:pt>
                <c:pt idx="282">
                  <c:v>3.0193868403120043E-2</c:v>
                </c:pt>
                <c:pt idx="283">
                  <c:v>2.9584547733057038E-2</c:v>
                </c:pt>
                <c:pt idx="284">
                  <c:v>2.8987523323745025E-2</c:v>
                </c:pt>
                <c:pt idx="285">
                  <c:v>2.8402547033218897E-2</c:v>
                </c:pt>
                <c:pt idx="286">
                  <c:v>2.782937572708746E-2</c:v>
                </c:pt>
                <c:pt idx="287">
                  <c:v>2.7267771177479236E-2</c:v>
                </c:pt>
                <c:pt idx="288">
                  <c:v>2.671749996402752E-2</c:v>
                </c:pt>
                <c:pt idx="289">
                  <c:v>2.6178333376853567E-2</c:v>
                </c:pt>
                <c:pt idx="290">
                  <c:v>2.5650047321507677E-2</c:v>
                </c:pt>
                <c:pt idx="291">
                  <c:v>2.5132422225828517E-2</c:v>
                </c:pt>
                <c:pt idx="292">
                  <c:v>2.4625242948682111E-2</c:v>
                </c:pt>
                <c:pt idx="293">
                  <c:v>2.4128298690542435E-2</c:v>
                </c:pt>
                <c:pt idx="294">
                  <c:v>2.3641382905876616E-2</c:v>
                </c:pt>
                <c:pt idx="295">
                  <c:v>2.3164293217298113E-2</c:v>
                </c:pt>
                <c:pt idx="296">
                  <c:v>2.269683133145239E-2</c:v>
                </c:pt>
                <c:pt idx="297">
                  <c:v>2.2238802956600009E-2</c:v>
                </c:pt>
                <c:pt idx="298">
                  <c:v>2.1790017721862932E-2</c:v>
                </c:pt>
                <c:pt idx="299">
                  <c:v>2.1350289098100422E-2</c:v>
                </c:pt>
                <c:pt idx="300">
                  <c:v>2.0919434320381739E-2</c:v>
                </c:pt>
                <c:pt idx="301">
                  <c:v>2.049727431202332E-2</c:v>
                </c:pt>
                <c:pt idx="302">
                  <c:v>2.0083633610158941E-2</c:v>
                </c:pt>
                <c:pt idx="303">
                  <c:v>1.9678340292811854E-2</c:v>
                </c:pt>
                <c:pt idx="304">
                  <c:v>1.9281225907438661E-2</c:v>
                </c:pt>
                <c:pt idx="305">
                  <c:v>1.88921254009152E-2</c:v>
                </c:pt>
                <c:pt idx="306">
                  <c:v>1.8510877050935293E-2</c:v>
                </c:pt>
                <c:pt idx="307">
                  <c:v>1.8137322398793922E-2</c:v>
                </c:pt>
                <c:pt idx="308">
                  <c:v>1.7771306183526854E-2</c:v>
                </c:pt>
                <c:pt idx="309">
                  <c:v>1.7412676277379337E-2</c:v>
                </c:pt>
                <c:pt idx="310">
                  <c:v>1.7061283622577056E-2</c:v>
                </c:pt>
                <c:pt idx="311">
                  <c:v>1.6716982169373087E-2</c:v>
                </c:pt>
                <c:pt idx="312">
                  <c:v>1.6379628815345045E-2</c:v>
                </c:pt>
                <c:pt idx="313">
                  <c:v>1.6049083345917287E-2</c:v>
                </c:pt>
                <c:pt idx="314">
                  <c:v>1.5725208376083315E-2</c:v>
                </c:pt>
                <c:pt idx="315">
                  <c:v>1.5407869293304332E-2</c:v>
                </c:pt>
                <c:pt idx="316">
                  <c:v>1.509693420156003E-2</c:v>
                </c:pt>
                <c:pt idx="317">
                  <c:v>1.4792273866528528E-2</c:v>
                </c:pt>
                <c:pt idx="318">
                  <c:v>1.4493761661872523E-2</c:v>
                </c:pt>
                <c:pt idx="319">
                  <c:v>1.4201273516609457E-2</c:v>
                </c:pt>
                <c:pt idx="320">
                  <c:v>1.3914687863543738E-2</c:v>
                </c:pt>
                <c:pt idx="321">
                  <c:v>1.3633885588739627E-2</c:v>
                </c:pt>
                <c:pt idx="322">
                  <c:v>1.3358749982013767E-2</c:v>
                </c:pt>
                <c:pt idx="323">
                  <c:v>1.3089166688426792E-2</c:v>
                </c:pt>
                <c:pt idx="324">
                  <c:v>1.2825023660753847E-2</c:v>
                </c:pt>
                <c:pt idx="325">
                  <c:v>1.2566211112914267E-2</c:v>
                </c:pt>
                <c:pt idx="326">
                  <c:v>1.2312621474341064E-2</c:v>
                </c:pt>
                <c:pt idx="327">
                  <c:v>1.2064149345271226E-2</c:v>
                </c:pt>
                <c:pt idx="328">
                  <c:v>1.1820691452938317E-2</c:v>
                </c:pt>
                <c:pt idx="329">
                  <c:v>1.1582146608649065E-2</c:v>
                </c:pt>
                <c:pt idx="330">
                  <c:v>1.1348415665726204E-2</c:v>
                </c:pt>
                <c:pt idx="331">
                  <c:v>1.1119401478300013E-2</c:v>
                </c:pt>
                <c:pt idx="332">
                  <c:v>1.0895008860931475E-2</c:v>
                </c:pt>
                <c:pt idx="333">
                  <c:v>1.0675144549050219E-2</c:v>
                </c:pt>
                <c:pt idx="334">
                  <c:v>1.0459717160190877E-2</c:v>
                </c:pt>
                <c:pt idx="335">
                  <c:v>1.0248637156011667E-2</c:v>
                </c:pt>
                <c:pt idx="336">
                  <c:v>1.0041816805079477E-2</c:v>
                </c:pt>
                <c:pt idx="337">
                  <c:v>9.8391701464059338E-3</c:v>
                </c:pt>
                <c:pt idx="338">
                  <c:v>9.6406129537193377E-3</c:v>
                </c:pt>
                <c:pt idx="339">
                  <c:v>9.4460627004576067E-3</c:v>
                </c:pt>
                <c:pt idx="340">
                  <c:v>9.2554385254676533E-3</c:v>
                </c:pt>
                <c:pt idx="341">
                  <c:v>9.0686611993969681E-3</c:v>
                </c:pt>
                <c:pt idx="342">
                  <c:v>8.885653091763434E-3</c:v>
                </c:pt>
                <c:pt idx="343">
                  <c:v>8.7063381386896753E-3</c:v>
                </c:pt>
                <c:pt idx="344">
                  <c:v>8.5306418112885349E-3</c:v>
                </c:pt>
                <c:pt idx="345">
                  <c:v>8.3584910846865486E-3</c:v>
                </c:pt>
                <c:pt idx="346">
                  <c:v>8.1898144076725313E-3</c:v>
                </c:pt>
                <c:pt idx="347">
                  <c:v>8.0245416729586502E-3</c:v>
                </c:pt>
                <c:pt idx="348">
                  <c:v>7.8626041880416643E-3</c:v>
                </c:pt>
                <c:pt idx="349">
                  <c:v>7.7039346466521727E-3</c:v>
                </c:pt>
                <c:pt idx="350">
                  <c:v>7.5484671007800229E-3</c:v>
                </c:pt>
                <c:pt idx="351">
                  <c:v>7.3961369332642699E-3</c:v>
                </c:pt>
                <c:pt idx="352">
                  <c:v>7.2468808309362675E-3</c:v>
                </c:pt>
                <c:pt idx="353">
                  <c:v>7.1006367583047337E-3</c:v>
                </c:pt>
                <c:pt idx="354">
                  <c:v>6.9573439317718744E-3</c:v>
                </c:pt>
                <c:pt idx="355">
                  <c:v>6.8169427943698194E-3</c:v>
                </c:pt>
                <c:pt idx="356">
                  <c:v>6.6793749910068895E-3</c:v>
                </c:pt>
                <c:pt idx="357">
                  <c:v>6.5445833442134014E-3</c:v>
                </c:pt>
                <c:pt idx="358">
                  <c:v>6.4125118303769279E-3</c:v>
                </c:pt>
                <c:pt idx="359">
                  <c:v>6.2831055564571397E-3</c:v>
                </c:pt>
                <c:pt idx="360">
                  <c:v>6.1563107371705363E-3</c:v>
                </c:pt>
                <c:pt idx="361">
                  <c:v>6.0320746726356192E-3</c:v>
                </c:pt>
                <c:pt idx="362">
                  <c:v>5.9103457264691643E-3</c:v>
                </c:pt>
                <c:pt idx="363">
                  <c:v>5.7910733043245377E-3</c:v>
                </c:pt>
                <c:pt idx="364">
                  <c:v>5.6742078328631063E-3</c:v>
                </c:pt>
                <c:pt idx="365">
                  <c:v>5.5597007391500119E-3</c:v>
                </c:pt>
              </c:numCache>
            </c:numRef>
          </c:yVal>
          <c:smooth val="1"/>
          <c:extLst>
            <c:ext xmlns:c16="http://schemas.microsoft.com/office/drawing/2014/chart" uri="{C3380CC4-5D6E-409C-BE32-E72D297353CC}">
              <c16:uniqueId val="{00000001-E4EA-4872-A2F3-AF2AEA925602}"/>
            </c:ext>
          </c:extLst>
        </c:ser>
        <c:ser>
          <c:idx val="4"/>
          <c:order val="2"/>
          <c:tx>
            <c:v>arthropods (mean)</c:v>
          </c:tx>
          <c:spPr>
            <a:ln w="19050" cap="rnd">
              <a:solidFill>
                <a:schemeClr val="accent5"/>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concentrations'!$AA$3:$AA$368</c:f>
              <c:numCache>
                <c:formatCode>0</c:formatCode>
                <c:ptCount val="366"/>
                <c:pt idx="0" formatCode="General">
                  <c:v>32.5</c:v>
                </c:pt>
                <c:pt idx="1">
                  <c:v>28.515779548851945</c:v>
                </c:pt>
                <c:pt idx="2">
                  <c:v>25.019990254729937</c:v>
                </c:pt>
                <c:pt idx="3">
                  <c:v>21.952754659024706</c:v>
                </c:pt>
                <c:pt idx="4">
                  <c:v>19.261535764516339</c:v>
                </c:pt>
                <c:pt idx="5">
                  <c:v>16.900237157946933</c:v>
                </c:pt>
                <c:pt idx="6">
                  <c:v>14.828413449825566</c:v>
                </c:pt>
                <c:pt idx="7">
                  <c:v>13.010577507521754</c:v>
                </c:pt>
                <c:pt idx="8">
                  <c:v>11.415592615622829</c:v>
                </c:pt>
                <c:pt idx="9">
                  <c:v>10.016139152203163</c:v>
                </c:pt>
                <c:pt idx="10">
                  <c:v>8.7882466459953914</c:v>
                </c:pt>
                <c:pt idx="11">
                  <c:v>7.7108831993274487</c:v>
                </c:pt>
                <c:pt idx="12">
                  <c:v>6.7655952442759304</c:v>
                </c:pt>
                <c:pt idx="13">
                  <c:v>5.9361914616164171</c:v>
                </c:pt>
                <c:pt idx="14">
                  <c:v>5.2084654485917223</c:v>
                </c:pt>
                <c:pt idx="15">
                  <c:v>4.5699523852262711</c:v>
                </c:pt>
                <c:pt idx="16">
                  <c:v>4.0097155312573065</c:v>
                </c:pt>
                <c:pt idx="17">
                  <c:v>3.5181588967058808</c:v>
                </c:pt>
                <c:pt idx="18">
                  <c:v>3.0868628774245255</c:v>
                </c:pt>
                <c:pt idx="19">
                  <c:v>2.7084400403130018</c:v>
                </c:pt>
                <c:pt idx="20">
                  <c:v>2.3764085880261305</c:v>
                </c:pt>
                <c:pt idx="21">
                  <c:v>2.0850813358200511</c:v>
                </c:pt>
                <c:pt idx="22">
                  <c:v>1.8294682988821633</c:v>
                </c:pt>
                <c:pt idx="23">
                  <c:v>1.6051912216165216</c:v>
                </c:pt>
                <c:pt idx="24">
                  <c:v>1.4084085849036641</c:v>
                </c:pt>
                <c:pt idx="25">
                  <c:v>1.2357498068253359</c:v>
                </c:pt>
                <c:pt idx="26">
                  <c:v>1.0842575098143894</c:v>
                </c:pt>
                <c:pt idx="27">
                  <c:v>0.95133686535551709</c:v>
                </c:pt>
                <c:pt idx="28">
                  <c:v>0.8347111485899622</c:v>
                </c:pt>
                <c:pt idx="29">
                  <c:v>0.73238274154339578</c:v>
                </c:pt>
                <c:pt idx="30">
                  <c:v>0.64259891702262417</c:v>
                </c:pt>
                <c:pt idx="31">
                  <c:v>0.56382181711225099</c:v>
                </c:pt>
                <c:pt idx="32">
                  <c:v>0.4947021120494175</c:v>
                </c:pt>
                <c:pt idx="33">
                  <c:v>0.43405588829392749</c:v>
                </c:pt>
                <c:pt idx="34">
                  <c:v>0.38084436992217668</c:v>
                </c:pt>
                <c:pt idx="35">
                  <c:v>0.33415612600376032</c:v>
                </c:pt>
                <c:pt idx="36">
                  <c:v>0.29319145920066531</c:v>
                </c:pt>
                <c:pt idx="37">
                  <c:v>0.25724870818991974</c:v>
                </c:pt>
                <c:pt idx="38">
                  <c:v>0.22571222929140602</c:v>
                </c:pt>
                <c:pt idx="39">
                  <c:v>0.19804185144472791</c:v>
                </c:pt>
                <c:pt idx="40">
                  <c:v>0.17376362391521069</c:v>
                </c:pt>
                <c:pt idx="41">
                  <c:v>0.15246169825156203</c:v>
                </c:pt>
                <c:pt idx="42">
                  <c:v>0.13377120544569629</c:v>
                </c:pt>
                <c:pt idx="43">
                  <c:v>0.11737200629149719</c:v>
                </c:pt>
                <c:pt idx="44">
                  <c:v>0.10298320789583992</c:v>
                </c:pt>
                <c:pt idx="45">
                  <c:v>9.0358352418195703E-2</c:v>
                </c:pt>
                <c:pt idx="46">
                  <c:v>7.9281195629376675E-2</c:v>
                </c:pt>
                <c:pt idx="47">
                  <c:v>6.9562002982667986E-2</c:v>
                </c:pt>
                <c:pt idx="48">
                  <c:v>6.1034299754779753E-2</c:v>
                </c:pt>
                <c:pt idx="49">
                  <c:v>5.3552019591564547E-2</c:v>
                </c:pt>
                <c:pt idx="50">
                  <c:v>4.6987002617503236E-2</c:v>
                </c:pt>
                <c:pt idx="51">
                  <c:v>4.122680025544774E-2</c:v>
                </c:pt>
                <c:pt idx="52">
                  <c:v>3.6172749156581564E-2</c:v>
                </c:pt>
                <c:pt idx="53">
                  <c:v>3.173828125E-2</c:v>
                </c:pt>
                <c:pt idx="54">
                  <c:v>2.7847440965675728E-2</c:v>
                </c:pt>
                <c:pt idx="55">
                  <c:v>2.4433584233134704E-2</c:v>
                </c:pt>
                <c:pt idx="56">
                  <c:v>2.1438236971703814E-2</c:v>
                </c:pt>
                <c:pt idx="57">
                  <c:v>1.8810093520035487E-2</c:v>
                </c:pt>
                <c:pt idx="58">
                  <c:v>1.6504137849557551E-2</c:v>
                </c:pt>
                <c:pt idx="59">
                  <c:v>1.448087250959528E-2</c:v>
                </c:pt>
                <c:pt idx="60">
                  <c:v>1.2705642097189213E-2</c:v>
                </c:pt>
                <c:pt idx="61">
                  <c:v>1.1148039663694169E-2</c:v>
                </c:pt>
                <c:pt idx="62">
                  <c:v>9.7813858908234012E-3</c:v>
                </c:pt>
                <c:pt idx="63">
                  <c:v>8.5822721152298744E-3</c:v>
                </c:pt>
                <c:pt idx="64">
                  <c:v>7.5301593743432116E-3</c:v>
                </c:pt>
                <c:pt idx="65">
                  <c:v>6.6070266057382133E-3</c:v>
                </c:pt>
                <c:pt idx="66">
                  <c:v>5.7970619742347823E-3</c:v>
                </c:pt>
                <c:pt idx="67">
                  <c:v>5.0863920396403538E-3</c:v>
                </c:pt>
                <c:pt idx="68">
                  <c:v>4.4628441261975304E-3</c:v>
                </c:pt>
                <c:pt idx="69">
                  <c:v>3.9157378234934634E-3</c:v>
                </c:pt>
                <c:pt idx="70">
                  <c:v>3.4357020475643367E-3</c:v>
                </c:pt>
                <c:pt idx="71">
                  <c:v>3.0145145287348882E-3</c:v>
                </c:pt>
                <c:pt idx="72">
                  <c:v>2.6449609768681658E-3</c:v>
                </c:pt>
                <c:pt idx="73">
                  <c:v>2.3207115117442681E-3</c:v>
                </c:pt>
                <c:pt idx="74">
                  <c:v>2.0362122420117686E-3</c:v>
                </c:pt>
                <c:pt idx="75">
                  <c:v>1.7865901356271126E-3</c:v>
                </c:pt>
                <c:pt idx="76">
                  <c:v>1.5675695523598844E-3</c:v>
                </c:pt>
                <c:pt idx="77">
                  <c:v>1.3753990086949844E-3</c:v>
                </c:pt>
                <c:pt idx="78">
                  <c:v>1.2067869207278671E-3</c:v>
                </c:pt>
                <c:pt idx="79">
                  <c:v>1.0588452244281146E-3</c:v>
                </c:pt>
                <c:pt idx="80">
                  <c:v>9.2903990757374716E-4</c:v>
                </c:pt>
                <c:pt idx="81">
                  <c:v>8.1514760604488496E-4</c:v>
                </c:pt>
                <c:pt idx="82">
                  <c:v>7.1521752103847244E-4</c:v>
                </c:pt>
                <c:pt idx="83">
                  <c:v>6.2753800490490642E-4</c:v>
                </c:pt>
                <c:pt idx="84">
                  <c:v>5.5060724327368261E-4</c:v>
                </c:pt>
                <c:pt idx="85">
                  <c:v>4.8310753129825927E-4</c:v>
                </c:pt>
                <c:pt idx="86">
                  <c:v>4.2388270341203857E-4</c:v>
                </c:pt>
                <c:pt idx="87">
                  <c:v>3.7191833000212567E-4</c:v>
                </c:pt>
                <c:pt idx="88">
                  <c:v>3.2632434180054719E-4</c:v>
                </c:pt>
                <c:pt idx="89">
                  <c:v>2.8631978437564971E-4</c:v>
                </c:pt>
                <c:pt idx="90">
                  <c:v>2.512194415917185E-4</c:v>
                </c:pt>
                <c:pt idx="91">
                  <c:v>2.204220989173887E-4</c:v>
                </c:pt>
                <c:pt idx="92">
                  <c:v>1.934002455514921E-4</c:v>
                </c:pt>
                <c:pt idx="93">
                  <c:v>1.6969103897969794E-4</c:v>
                </c:pt>
                <c:pt idx="94">
                  <c:v>1.4888837719879104E-4</c:v>
                </c:pt>
                <c:pt idx="95">
                  <c:v>1.3063594281806278E-4</c:v>
                </c:pt>
                <c:pt idx="96">
                  <c:v>1.1462109989404022E-4</c:v>
                </c:pt>
                <c:pt idx="97">
                  <c:v>1.0056953896078118E-4</c:v>
                </c:pt>
                <c:pt idx="98">
                  <c:v>8.8240578533394241E-5</c:v>
                </c:pt>
                <c:pt idx="99">
                  <c:v>7.7423042606813159E-5</c:v>
                </c:pt>
                <c:pt idx="100">
                  <c:v>6.7931643537761705E-5</c:v>
                </c:pt>
                <c:pt idx="101">
                  <c:v>5.9603808354277102E-5</c:v>
                </c:pt>
                <c:pt idx="102">
                  <c:v>5.2296894132387253E-5</c:v>
                </c:pt>
                <c:pt idx="103">
                  <c:v>4.5885744743655504E-5</c:v>
                </c:pt>
                <c:pt idx="104">
                  <c:v>4.0260547124460684E-5</c:v>
                </c:pt>
                <c:pt idx="105">
                  <c:v>3.5324950348224184E-5</c:v>
                </c:pt>
                <c:pt idx="106">
                  <c:v>3.0994415283203125E-5</c:v>
                </c:pt>
                <c:pt idx="107">
                  <c:v>2.7194766568042703E-5</c:v>
                </c:pt>
                <c:pt idx="108">
                  <c:v>2.3860922102670609E-5</c:v>
                </c:pt>
                <c:pt idx="109">
                  <c:v>2.0935778292679506E-5</c:v>
                </c:pt>
                <c:pt idx="110">
                  <c:v>1.8369231953159655E-5</c:v>
                </c:pt>
                <c:pt idx="111">
                  <c:v>1.6117322118708546E-5</c:v>
                </c:pt>
                <c:pt idx="112">
                  <c:v>1.414147706015164E-5</c:v>
                </c:pt>
                <c:pt idx="113">
                  <c:v>1.2407853610536341E-5</c:v>
                </c:pt>
                <c:pt idx="114">
                  <c:v>1.0886757484076337E-5</c:v>
                </c:pt>
                <c:pt idx="115">
                  <c:v>9.5521346590072278E-6</c:v>
                </c:pt>
                <c:pt idx="116">
                  <c:v>8.3811251125291742E-6</c:v>
                </c:pt>
                <c:pt idx="117">
                  <c:v>7.3536712640070426E-6</c:v>
                </c:pt>
                <c:pt idx="118">
                  <c:v>6.4521744196662239E-6</c:v>
                </c:pt>
                <c:pt idx="119">
                  <c:v>5.6611933342136546E-6</c:v>
                </c:pt>
                <c:pt idx="120">
                  <c:v>4.967179726211283E-6</c:v>
                </c:pt>
                <c:pt idx="121">
                  <c:v>4.3582462169897758E-6</c:v>
                </c:pt>
                <c:pt idx="122">
                  <c:v>3.8239627182553353E-6</c:v>
                </c:pt>
                <c:pt idx="123">
                  <c:v>3.3551777808245476E-6</c:v>
                </c:pt>
                <c:pt idx="124">
                  <c:v>2.9438618444676642E-6</c:v>
                </c:pt>
                <c:pt idx="125">
                  <c:v>2.5829697039728182E-6</c:v>
                </c:pt>
                <c:pt idx="126">
                  <c:v>2.2663198356877618E-6</c:v>
                </c:pt>
                <c:pt idx="127">
                  <c:v>1.9884885175896178E-6</c:v>
                </c:pt>
                <c:pt idx="128">
                  <c:v>1.7447169293233522E-6</c:v>
                </c:pt>
                <c:pt idx="129">
                  <c:v>1.5308296409764496E-6</c:v>
                </c:pt>
                <c:pt idx="130">
                  <c:v>1.3431630944286957E-6</c:v>
                </c:pt>
                <c:pt idx="131">
                  <c:v>1.1785028522733077E-6</c:v>
                </c:pt>
                <c:pt idx="132">
                  <c:v>1.0340285394805807E-6</c:v>
                </c:pt>
                <c:pt idx="133">
                  <c:v>9.0726553473998746E-7</c:v>
                </c:pt>
                <c:pt idx="134">
                  <c:v>7.9604258402820797E-7</c:v>
                </c:pt>
                <c:pt idx="135">
                  <c:v>6.9845461038913324E-7</c:v>
                </c:pt>
                <c:pt idx="136">
                  <c:v>6.1283008291494767E-7</c:v>
                </c:pt>
                <c:pt idx="137">
                  <c:v>5.3770238600945567E-7</c:v>
                </c:pt>
                <c:pt idx="138">
                  <c:v>4.7178469853345632E-7</c:v>
                </c:pt>
                <c:pt idx="139">
                  <c:v>4.1394795255081891E-7</c:v>
                </c:pt>
                <c:pt idx="140">
                  <c:v>3.6320149414270085E-7</c:v>
                </c:pt>
                <c:pt idx="141">
                  <c:v>3.1867611503959687E-7</c:v>
                </c:pt>
                <c:pt idx="142">
                  <c:v>2.7960916442934542E-7</c:v>
                </c:pt>
                <c:pt idx="143">
                  <c:v>2.4533148592941259E-7</c:v>
                </c:pt>
                <c:pt idx="144">
                  <c:v>2.152559559740124E-7</c:v>
                </c:pt>
                <c:pt idx="145">
                  <c:v>1.8886742729637901E-7</c:v>
                </c:pt>
                <c:pt idx="146">
                  <c:v>1.6571390525361127E-7</c:v>
                </c:pt>
                <c:pt idx="147">
                  <c:v>1.4539880585819438E-7</c:v>
                </c:pt>
                <c:pt idx="148">
                  <c:v>1.2757416290826444E-7</c:v>
                </c:pt>
                <c:pt idx="149">
                  <c:v>1.1193466786527366E-7</c:v>
                </c:pt>
                <c:pt idx="150">
                  <c:v>9.8212440391387866E-8</c:v>
                </c:pt>
                <c:pt idx="151">
                  <c:v>8.6172439974017814E-8</c:v>
                </c:pt>
                <c:pt idx="152">
                  <c:v>7.5608440045715975E-8</c:v>
                </c:pt>
                <c:pt idx="153">
                  <c:v>6.6339495642345416E-8</c:v>
                </c:pt>
                <c:pt idx="154">
                  <c:v>5.8206844095973733E-8</c:v>
                </c:pt>
                <c:pt idx="155">
                  <c:v>5.1071185676159426E-8</c:v>
                </c:pt>
                <c:pt idx="156">
                  <c:v>4.4810297601226078E-8</c:v>
                </c:pt>
                <c:pt idx="157">
                  <c:v>3.9316940551231137E-8</c:v>
                </c:pt>
                <c:pt idx="158">
                  <c:v>3.449702182443768E-8</c:v>
                </c:pt>
                <c:pt idx="159">
                  <c:v>3.0267983675003052E-8</c:v>
                </c:pt>
                <c:pt idx="160">
                  <c:v>2.6557389226604202E-8</c:v>
                </c:pt>
                <c:pt idx="161">
                  <c:v>2.3301681740889267E-8</c:v>
                </c:pt>
                <c:pt idx="162">
                  <c:v>2.044509598894483E-8</c:v>
                </c:pt>
                <c:pt idx="163">
                  <c:v>1.7938703079257476E-8</c:v>
                </c:pt>
                <c:pt idx="164">
                  <c:v>1.5739572381551315E-8</c:v>
                </c:pt>
                <c:pt idx="165">
                  <c:v>1.3810036191554336E-8</c:v>
                </c:pt>
                <c:pt idx="166">
                  <c:v>1.2117044541539395E-8</c:v>
                </c:pt>
                <c:pt idx="167">
                  <c:v>1.0631599105543298E-8</c:v>
                </c:pt>
                <c:pt idx="168">
                  <c:v>9.3282565029367459E-9</c:v>
                </c:pt>
                <c:pt idx="169">
                  <c:v>8.1846924927042717E-9</c:v>
                </c:pt>
                <c:pt idx="170">
                  <c:v>7.1813195937568775E-9</c:v>
                </c:pt>
                <c:pt idx="171">
                  <c:v>6.3009515817052968E-9</c:v>
                </c:pt>
                <c:pt idx="172">
                  <c:v>5.5285091154430221E-9</c:v>
                </c:pt>
                <c:pt idx="173">
                  <c:v>4.8507614513782061E-9</c:v>
                </c:pt>
                <c:pt idx="174">
                  <c:v>4.2560998212790779E-9</c:v>
                </c:pt>
                <c:pt idx="175">
                  <c:v>3.7343385920462259E-9</c:v>
                </c:pt>
                <c:pt idx="176">
                  <c:v>3.2765408015864722E-9</c:v>
                </c:pt>
                <c:pt idx="177">
                  <c:v>2.8748650824879533E-9</c:v>
                </c:pt>
                <c:pt idx="178">
                  <c:v>2.5224313515359552E-9</c:v>
                </c:pt>
                <c:pt idx="179">
                  <c:v>2.2132029645388299E-9</c:v>
                </c:pt>
                <c:pt idx="180">
                  <c:v>1.9418833179586111E-9</c:v>
                </c:pt>
                <c:pt idx="181">
                  <c:v>1.7038251262923361E-9</c:v>
                </c:pt>
                <c:pt idx="182">
                  <c:v>1.4949508212660641E-9</c:v>
                </c:pt>
                <c:pt idx="183">
                  <c:v>1.3116827094030232E-9</c:v>
                </c:pt>
                <c:pt idx="184">
                  <c:v>1.150881691673152E-9</c:v>
                </c:pt>
                <c:pt idx="185">
                  <c:v>1.0097934955865046E-9</c:v>
                </c:pt>
                <c:pt idx="186">
                  <c:v>8.86001498769519E-10</c:v>
                </c:pt>
                <c:pt idx="187">
                  <c:v>7.7738533596504685E-10</c:v>
                </c:pt>
                <c:pt idx="188">
                  <c:v>6.8208458045813793E-10</c:v>
                </c:pt>
                <c:pt idx="189">
                  <c:v>5.9846687784662859E-10</c:v>
                </c:pt>
                <c:pt idx="190">
                  <c:v>5.2509998633735905E-10</c:v>
                </c:pt>
                <c:pt idx="191">
                  <c:v>4.6072724466157844E-10</c:v>
                </c:pt>
                <c:pt idx="192">
                  <c:v>4.042460474129091E-10</c:v>
                </c:pt>
                <c:pt idx="193">
                  <c:v>3.546889591237313E-10</c:v>
                </c:pt>
                <c:pt idx="194">
                  <c:v>3.1120714359335631E-10</c:v>
                </c:pt>
                <c:pt idx="195">
                  <c:v>2.7305582463803264E-10</c:v>
                </c:pt>
                <c:pt idx="196">
                  <c:v>2.3958152922794199E-10</c:v>
                </c:pt>
                <c:pt idx="197">
                  <c:v>2.1021089450587148E-10</c:v>
                </c:pt>
                <c:pt idx="198">
                  <c:v>1.8444084696912012E-10</c:v>
                </c:pt>
                <c:pt idx="199">
                  <c:v>1.6182998559922976E-10</c:v>
                </c:pt>
                <c:pt idx="200">
                  <c:v>1.4199102134589295E-10</c:v>
                </c:pt>
                <c:pt idx="201">
                  <c:v>1.2458414346510199E-10</c:v>
                </c:pt>
                <c:pt idx="202">
                  <c:v>1.093111990871813E-10</c:v>
                </c:pt>
                <c:pt idx="203">
                  <c:v>9.5910586319714713E-11</c:v>
                </c:pt>
                <c:pt idx="204">
                  <c:v>8.4152773412126771E-11</c:v>
                </c:pt>
                <c:pt idx="205">
                  <c:v>7.3836367232144507E-11</c:v>
                </c:pt>
                <c:pt idx="206">
                  <c:v>6.4784663713227945E-11</c:v>
                </c:pt>
                <c:pt idx="207">
                  <c:v>5.6842621187474348E-11</c:v>
                </c:pt>
                <c:pt idx="208">
                  <c:v>4.987420476187444E-11</c:v>
                </c:pt>
                <c:pt idx="209">
                  <c:v>4.3760056251197342E-11</c:v>
                </c:pt>
                <c:pt idx="210">
                  <c:v>3.8395449757061657E-11</c:v>
                </c:pt>
                <c:pt idx="211">
                  <c:v>3.3688497875427421E-11</c:v>
                </c:pt>
                <c:pt idx="212">
                  <c:v>2.9558577807620168E-11</c:v>
                </c:pt>
                <c:pt idx="213">
                  <c:v>2.5934950416605666E-11</c:v>
                </c:pt>
                <c:pt idx="214">
                  <c:v>2.2755548575087175E-11</c:v>
                </c:pt>
                <c:pt idx="215">
                  <c:v>1.9965914051703936E-11</c:v>
                </c:pt>
                <c:pt idx="216">
                  <c:v>1.7518264725837379E-11</c:v>
                </c:pt>
                <c:pt idx="217">
                  <c:v>1.5370676153858706E-11</c:v>
                </c:pt>
                <c:pt idx="218">
                  <c:v>1.3486363468314782E-11</c:v>
                </c:pt>
                <c:pt idx="219">
                  <c:v>1.1833051310097066E-11</c:v>
                </c:pt>
                <c:pt idx="220">
                  <c:v>1.0382421001507127E-11</c:v>
                </c:pt>
                <c:pt idx="221">
                  <c:v>9.1096254911491659E-12</c:v>
                </c:pt>
                <c:pt idx="222">
                  <c:v>7.9928637624065153E-12</c:v>
                </c:pt>
                <c:pt idx="223">
                  <c:v>7.0130074157782007E-12</c:v>
                </c:pt>
                <c:pt idx="224">
                  <c:v>6.1532730290090789E-12</c:v>
                </c:pt>
                <c:pt idx="225">
                  <c:v>5.3989346830498262E-12</c:v>
                </c:pt>
                <c:pt idx="226">
                  <c:v>4.7370717298615294E-12</c:v>
                </c:pt>
                <c:pt idx="227">
                  <c:v>4.1563474817178495E-12</c:v>
                </c:pt>
                <c:pt idx="228">
                  <c:v>3.6468150312951425E-12</c:v>
                </c:pt>
                <c:pt idx="229">
                  <c:v>3.1997468765492893E-12</c:v>
                </c:pt>
                <c:pt idx="230">
                  <c:v>2.8074854321171419E-12</c:v>
                </c:pt>
                <c:pt idx="231">
                  <c:v>2.4633118667343313E-12</c:v>
                </c:pt>
                <c:pt idx="232">
                  <c:v>2.1613310200574511E-12</c:v>
                </c:pt>
                <c:pt idx="233">
                  <c:v>1.8963704276939562E-12</c:v>
                </c:pt>
                <c:pt idx="234">
                  <c:v>1.6638917248948595E-12</c:v>
                </c:pt>
                <c:pt idx="235">
                  <c:v>1.4599129113926407E-12</c:v>
                </c:pt>
                <c:pt idx="236">
                  <c:v>1.2809401459013898E-12</c:v>
                </c:pt>
                <c:pt idx="237">
                  <c:v>1.1239079020245625E-12</c:v>
                </c:pt>
                <c:pt idx="238">
                  <c:v>9.861264605336959E-13</c:v>
                </c:pt>
                <c:pt idx="239">
                  <c:v>8.652358386421084E-13</c:v>
                </c:pt>
                <c:pt idx="240">
                  <c:v>7.5916536715336606E-13</c:v>
                </c:pt>
                <c:pt idx="241">
                  <c:v>6.6609822310365032E-13</c:v>
                </c:pt>
                <c:pt idx="242">
                  <c:v>5.8444031039709823E-13</c:v>
                </c:pt>
                <c:pt idx="243">
                  <c:v>5.127929554075772E-13</c:v>
                </c:pt>
                <c:pt idx="244">
                  <c:v>4.499289498648227E-13</c:v>
                </c:pt>
                <c:pt idx="245">
                  <c:v>3.9477153067666904E-13</c:v>
                </c:pt>
                <c:pt idx="246">
                  <c:v>3.4637593664426884E-13</c:v>
                </c:pt>
                <c:pt idx="247">
                  <c:v>3.0391322616538703E-13</c:v>
                </c:pt>
                <c:pt idx="248">
                  <c:v>2.6665607874807875E-13</c:v>
                </c:pt>
                <c:pt idx="249">
                  <c:v>2.339663371366621E-13</c:v>
                </c:pt>
                <c:pt idx="250">
                  <c:v>2.0528407666589012E-13</c:v>
                </c:pt>
                <c:pt idx="251">
                  <c:v>1.8011801461828137E-13</c:v>
                </c:pt>
                <c:pt idx="252">
                  <c:v>1.5803709531174781E-13</c:v>
                </c:pt>
                <c:pt idx="253">
                  <c:v>1.3866310678309858E-13</c:v>
                </c:pt>
                <c:pt idx="254">
                  <c:v>1.2166420260263866E-13</c:v>
                </c:pt>
                <c:pt idx="255">
                  <c:v>1.0674921785857549E-13</c:v>
                </c:pt>
                <c:pt idx="256">
                  <c:v>9.36626819528464E-14</c:v>
                </c:pt>
                <c:pt idx="257">
                  <c:v>8.218044278528005E-14</c:v>
                </c:pt>
                <c:pt idx="258">
                  <c:v>7.210582737514112E-14</c:v>
                </c:pt>
                <c:pt idx="259">
                  <c:v>6.3266273157449165E-14</c:v>
                </c:pt>
                <c:pt idx="260">
                  <c:v>5.5510372253392918E-14</c:v>
                </c:pt>
                <c:pt idx="261">
                  <c:v>4.8705278087768008E-14</c:v>
                </c:pt>
                <c:pt idx="262">
                  <c:v>4.2734429932809904E-14</c:v>
                </c:pt>
                <c:pt idx="263">
                  <c:v>3.7495556403380524E-14</c:v>
                </c:pt>
                <c:pt idx="264">
                  <c:v>3.2898923706472091E-14</c:v>
                </c:pt>
                <c:pt idx="265">
                  <c:v>2.886579864025407E-14</c:v>
                </c:pt>
                <c:pt idx="266">
                  <c:v>2.5327100016216471E-14</c:v>
                </c:pt>
                <c:pt idx="267">
                  <c:v>2.2222215405358569E-14</c:v>
                </c:pt>
                <c:pt idx="268">
                  <c:v>1.9497962941117125E-14</c:v>
                </c:pt>
                <c:pt idx="269">
                  <c:v>1.7107680396325565E-14</c:v>
                </c:pt>
                <c:pt idx="270">
                  <c:v>1.5010425931502642E-14</c:v>
                </c:pt>
                <c:pt idx="271">
                  <c:v>1.3170276824526154E-14</c:v>
                </c:pt>
                <c:pt idx="272">
                  <c:v>1.1555714170016666E-14</c:v>
                </c:pt>
                <c:pt idx="273">
                  <c:v>1.0139083009284304E-14</c:v>
                </c:pt>
                <c:pt idx="274">
                  <c:v>8.8961186437003573E-15</c:v>
                </c:pt>
                <c:pt idx="275">
                  <c:v>7.8055310179751126E-15</c:v>
                </c:pt>
                <c:pt idx="276">
                  <c:v>6.8486400544708991E-15</c:v>
                </c:pt>
                <c:pt idx="277">
                  <c:v>6.0090556923916786E-15</c:v>
                </c:pt>
                <c:pt idx="278">
                  <c:v>5.2723971514158459E-15</c:v>
                </c:pt>
                <c:pt idx="279">
                  <c:v>4.6260466111928998E-15</c:v>
                </c:pt>
                <c:pt idx="280">
                  <c:v>4.0589330876150874E-15</c:v>
                </c:pt>
                <c:pt idx="281">
                  <c:v>3.5613428039991626E-15</c:v>
                </c:pt>
                <c:pt idx="282">
                  <c:v>3.1247528091301653E-15</c:v>
                </c:pt>
                <c:pt idx="283">
                  <c:v>2.7416849923018964E-15</c:v>
                </c:pt>
                <c:pt idx="284">
                  <c:v>2.4055779948577454E-15</c:v>
                </c:pt>
                <c:pt idx="285">
                  <c:v>2.1106748242748546E-15</c:v>
                </c:pt>
                <c:pt idx="286">
                  <c:v>1.8519242457948791E-15</c:v>
                </c:pt>
                <c:pt idx="287">
                  <c:v>1.6248942625926362E-15</c:v>
                </c:pt>
                <c:pt idx="288">
                  <c:v>1.4256962025318757E-15</c:v>
                </c:pt>
                <c:pt idx="289">
                  <c:v>1.250918111231826E-15</c:v>
                </c:pt>
                <c:pt idx="290">
                  <c:v>1.0975663105708618E-15</c:v>
                </c:pt>
                <c:pt idx="291">
                  <c:v>9.630141216149374E-16</c:v>
                </c:pt>
                <c:pt idx="292">
                  <c:v>8.4495687367393399E-16</c:v>
                </c:pt>
                <c:pt idx="293">
                  <c:v>7.4137242886070905E-16</c:v>
                </c:pt>
                <c:pt idx="294">
                  <c:v>6.5048654599965852E-16</c:v>
                </c:pt>
                <c:pt idx="295">
                  <c:v>5.7074249062216624E-16</c:v>
                </c:pt>
                <c:pt idx="296">
                  <c:v>5.0077437051521211E-16</c:v>
                </c:pt>
                <c:pt idx="297">
                  <c:v>4.3938374010236591E-16</c:v>
                </c:pt>
                <c:pt idx="298">
                  <c:v>3.8551907292643461E-16</c:v>
                </c:pt>
                <c:pt idx="299">
                  <c:v>3.3825775062916879E-16</c:v>
                </c:pt>
                <c:pt idx="300">
                  <c:v>2.9679025992713577E-16</c:v>
                </c:pt>
                <c:pt idx="301">
                  <c:v>2.6040632690242065E-16</c:v>
                </c:pt>
                <c:pt idx="302">
                  <c:v>2.2848275111002158E-16</c:v>
                </c:pt>
                <c:pt idx="303">
                  <c:v>2.0047273111903332E-16</c:v>
                </c:pt>
                <c:pt idx="304">
                  <c:v>1.758964986506654E-16</c:v>
                </c:pt>
                <c:pt idx="305">
                  <c:v>1.5433310089037872E-16</c:v>
                </c:pt>
                <c:pt idx="306">
                  <c:v>1.3541319021786971E-16</c:v>
                </c:pt>
                <c:pt idx="307">
                  <c:v>1.1881269785413932E-16</c:v>
                </c:pt>
                <c:pt idx="308">
                  <c:v>1.0424728306501513E-16</c:v>
                </c:pt>
                <c:pt idx="309">
                  <c:v>9.1467462844576562E-17</c:v>
                </c:pt>
                <c:pt idx="310">
                  <c:v>8.0254338657500049E-17</c:v>
                </c:pt>
                <c:pt idx="311">
                  <c:v>7.041584704603625E-17</c:v>
                </c:pt>
                <c:pt idx="312">
                  <c:v>6.178346988032145E-17</c:v>
                </c:pt>
                <c:pt idx="313">
                  <c:v>5.4209347903704022E-17</c:v>
                </c:pt>
                <c:pt idx="314">
                  <c:v>4.7563748132585945E-17</c:v>
                </c:pt>
                <c:pt idx="315">
                  <c:v>4.1732841731259672E-17</c:v>
                </c:pt>
                <c:pt idx="316">
                  <c:v>3.6616754300176293E-17</c:v>
                </c:pt>
                <c:pt idx="317">
                  <c:v>3.2127855182101652E-17</c:v>
                </c:pt>
                <c:pt idx="318">
                  <c:v>2.8189256484623115E-17</c:v>
                </c:pt>
                <c:pt idx="319">
                  <c:v>2.4733496109586397E-17</c:v>
                </c:pt>
                <c:pt idx="320">
                  <c:v>2.1701382231795477E-17</c:v>
                </c:pt>
                <c:pt idx="321">
                  <c:v>1.9040979434684692E-17</c:v>
                </c:pt>
                <c:pt idx="322">
                  <c:v>1.6706719137036685E-17</c:v>
                </c:pt>
                <c:pt idx="323">
                  <c:v>1.4658619073733049E-17</c:v>
                </c:pt>
                <c:pt idx="324">
                  <c:v>1.2861598461451322E-17</c:v>
                </c:pt>
                <c:pt idx="325">
                  <c:v>1.12848771191569E-17</c:v>
                </c:pt>
                <c:pt idx="326">
                  <c:v>9.9014482512542028E-18</c:v>
                </c:pt>
                <c:pt idx="327">
                  <c:v>8.6876158629886302E-18</c:v>
                </c:pt>
                <c:pt idx="328">
                  <c:v>7.6225888847413209E-18</c:v>
                </c:pt>
                <c:pt idx="329">
                  <c:v>6.6881250531942374E-18</c:v>
                </c:pt>
                <c:pt idx="330">
                  <c:v>5.8682184496012486E-18</c:v>
                </c:pt>
                <c:pt idx="331">
                  <c:v>5.148825343179537E-18</c:v>
                </c:pt>
                <c:pt idx="332">
                  <c:v>4.5176236437430662E-18</c:v>
                </c:pt>
                <c:pt idx="333">
                  <c:v>3.9638018433741088E-18</c:v>
                </c:pt>
                <c:pt idx="334">
                  <c:v>3.4778738320304322E-18</c:v>
                </c:pt>
                <c:pt idx="335">
                  <c:v>3.0515164151661771E-18</c:v>
                </c:pt>
                <c:pt idx="336">
                  <c:v>2.6774267502948207E-18</c:v>
                </c:pt>
                <c:pt idx="337">
                  <c:v>2.349197260603267E-18</c:v>
                </c:pt>
                <c:pt idx="338">
                  <c:v>2.0612058830809127E-18</c:v>
                </c:pt>
                <c:pt idx="339">
                  <c:v>1.8085197712840616E-18</c:v>
                </c:pt>
                <c:pt idx="340">
                  <c:v>1.5868108033131213E-18</c:v>
                </c:pt>
                <c:pt idx="341">
                  <c:v>1.3922814477850348E-18</c:v>
                </c:pt>
                <c:pt idx="342">
                  <c:v>1.2215997179998301E-18</c:v>
                </c:pt>
                <c:pt idx="343">
                  <c:v>1.0718421001668573E-18</c:v>
                </c:pt>
                <c:pt idx="344">
                  <c:v>9.404434781395873E-19</c:v>
                </c:pt>
                <c:pt idx="345">
                  <c:v>8.2515319694720116E-19</c:v>
                </c:pt>
                <c:pt idx="346">
                  <c:v>7.2399651255928618E-19</c:v>
                </c:pt>
                <c:pt idx="347">
                  <c:v>6.3524076757779152E-19</c:v>
                </c:pt>
                <c:pt idx="348">
                  <c:v>5.5736571349820922E-19</c:v>
                </c:pt>
                <c:pt idx="349">
                  <c:v>4.8903747120626183E-19</c:v>
                </c:pt>
                <c:pt idx="350">
                  <c:v>4.2908568369371671E-19</c:v>
                </c:pt>
                <c:pt idx="351">
                  <c:v>3.764834696547213E-19</c:v>
                </c:pt>
                <c:pt idx="352">
                  <c:v>3.3032983459879765E-19</c:v>
                </c:pt>
                <c:pt idx="353">
                  <c:v>2.8983423821009352E-19</c:v>
                </c:pt>
                <c:pt idx="354">
                  <c:v>2.5430305361564517E-19</c:v>
                </c:pt>
                <c:pt idx="355">
                  <c:v>2.2312768663088045E-19</c:v>
                </c:pt>
                <c:pt idx="356">
                  <c:v>1.9577415148343098E-19</c:v>
                </c:pt>
                <c:pt idx="357">
                  <c:v>1.7177392446354043E-19</c:v>
                </c:pt>
                <c:pt idx="358">
                  <c:v>1.5071591883826047E-19</c:v>
                </c:pt>
                <c:pt idx="359">
                  <c:v>1.3223944357213839E-19</c:v>
                </c:pt>
                <c:pt idx="360">
                  <c:v>1.1602802524818293E-19</c:v>
                </c:pt>
                <c:pt idx="361">
                  <c:v>1.0180398736817884E-19</c:v>
                </c:pt>
                <c:pt idx="362">
                  <c:v>8.9323694184156799E-20</c:v>
                </c:pt>
                <c:pt idx="363">
                  <c:v>7.8373377595214892E-20</c:v>
                </c:pt>
                <c:pt idx="364">
                  <c:v>6.8765475630894776E-20</c:v>
                </c:pt>
                <c:pt idx="365">
                  <c:v>6.0335419805001416E-20</c:v>
                </c:pt>
              </c:numCache>
            </c:numRef>
          </c:yVal>
          <c:smooth val="1"/>
          <c:extLst>
            <c:ext xmlns:c16="http://schemas.microsoft.com/office/drawing/2014/chart" uri="{C3380CC4-5D6E-409C-BE32-E72D297353CC}">
              <c16:uniqueId val="{00000002-E4EA-4872-A2F3-AF2AEA925602}"/>
            </c:ext>
          </c:extLst>
        </c:ser>
        <c:ser>
          <c:idx val="5"/>
          <c:order val="3"/>
          <c:tx>
            <c:v>soil dwelling (mean)</c:v>
          </c:tx>
          <c:spPr>
            <a:ln w="19050" cap="rnd">
              <a:solidFill>
                <a:schemeClr val="accent6"/>
              </a:solidFill>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concentrations'!#REF!</c:f>
              <c:numCache>
                <c:formatCode>General</c:formatCode>
                <c:ptCount val="1"/>
                <c:pt idx="0">
                  <c:v>1</c:v>
                </c:pt>
              </c:numCache>
            </c:numRef>
          </c:yVal>
          <c:smooth val="1"/>
          <c:extLst>
            <c:ext xmlns:c16="http://schemas.microsoft.com/office/drawing/2014/chart" uri="{C3380CC4-5D6E-409C-BE32-E72D297353CC}">
              <c16:uniqueId val="{00000003-E4EA-4872-A2F3-AF2AEA925602}"/>
            </c:ext>
          </c:extLst>
        </c:ser>
        <c:dLbls>
          <c:showLegendKey val="0"/>
          <c:showVal val="0"/>
          <c:showCatName val="0"/>
          <c:showSerName val="0"/>
          <c:showPercent val="0"/>
          <c:showBubbleSize val="0"/>
        </c:dLbls>
        <c:axId val="406287528"/>
        <c:axId val="165240760"/>
      </c:scatterChart>
      <c:valAx>
        <c:axId val="40628752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40760"/>
        <c:crosses val="autoZero"/>
        <c:crossBetween val="midCat"/>
      </c:valAx>
      <c:valAx>
        <c:axId val="165240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287528"/>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63897134864130012"/>
          <c:y val="9.6411903502321723E-3"/>
          <c:w val="0.359032643374668"/>
          <c:h val="0.10547176163247012"/>
        </c:manualLayout>
      </c:layout>
      <c:overlay val="0"/>
      <c:spPr>
        <a:solidFill>
          <a:schemeClr val="bg1"/>
        </a:solidFill>
        <a:ln>
          <a:solidFill>
            <a:schemeClr val="bg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970122746632716E-2"/>
          <c:y val="5.0925925925925923E-2"/>
          <c:w val="0.85747434265327593"/>
          <c:h val="0.74445246427529888"/>
        </c:manualLayout>
      </c:layout>
      <c:scatterChart>
        <c:scatterStyle val="smoothMarker"/>
        <c:varyColors val="0"/>
        <c:ser>
          <c:idx val="0"/>
          <c:order val="0"/>
          <c:tx>
            <c:strRef>
              <c:f>'Min rate concentrations'!$J$2</c:f>
              <c:strCache>
                <c:ptCount val="1"/>
                <c:pt idx="0">
                  <c:v>Small mammals (15 g, short grass diet)</c:v>
                </c:pt>
              </c:strCache>
            </c:strRef>
          </c:tx>
          <c:spPr>
            <a:ln w="19050" cap="rnd">
              <a:solidFill>
                <a:schemeClr val="accent1"/>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concentrations'!$J$3:$J$368</c:f>
              <c:numCache>
                <c:formatCode>General</c:formatCode>
                <c:ptCount val="366"/>
                <c:pt idx="0">
                  <c:v>114.4108103430513</c:v>
                </c:pt>
                <c:pt idx="1">
                  <c:v>111.8261101342424</c:v>
                </c:pt>
                <c:pt idx="2">
                  <c:v>99.261299007851875</c:v>
                </c:pt>
                <c:pt idx="3">
                  <c:v>87.207128356207079</c:v>
                </c:pt>
                <c:pt idx="4">
                  <c:v>76.527725613158495</c:v>
                </c:pt>
                <c:pt idx="5">
                  <c:v>67.147228814560606</c:v>
                </c:pt>
                <c:pt idx="6">
                  <c:v>58.915670539805106</c:v>
                </c:pt>
                <c:pt idx="7">
                  <c:v>51.693127536030993</c:v>
                </c:pt>
                <c:pt idx="8">
                  <c:v>45.355995882820352</c:v>
                </c:pt>
                <c:pt idx="9">
                  <c:v>39.795741031738238</c:v>
                </c:pt>
                <c:pt idx="10">
                  <c:v>34.917125495879532</c:v>
                </c:pt>
                <c:pt idx="11">
                  <c:v>30.636586250993297</c:v>
                </c:pt>
                <c:pt idx="12">
                  <c:v>26.880804297428664</c:v>
                </c:pt>
                <c:pt idx="13">
                  <c:v>23.585448905897834</c:v>
                </c:pt>
                <c:pt idx="14">
                  <c:v>20.694075740348651</c:v>
                </c:pt>
                <c:pt idx="15">
                  <c:v>18.157160054739418</c:v>
                </c:pt>
                <c:pt idx="16">
                  <c:v>15.931248410897542</c:v>
                </c:pt>
                <c:pt idx="17">
                  <c:v>13.978214388404682</c:v>
                </c:pt>
                <c:pt idx="18">
                  <c:v>12.264605538041179</c:v>
                </c:pt>
                <c:pt idx="19">
                  <c:v>10.76107039312034</c:v>
                </c:pt>
                <c:pt idx="20">
                  <c:v>9.4418557243045278</c:v>
                </c:pt>
                <c:pt idx="21">
                  <c:v>8.2843654266564215</c:v>
                </c:pt>
                <c:pt idx="22">
                  <c:v>7.2687734833435487</c:v>
                </c:pt>
                <c:pt idx="23">
                  <c:v>6.3776843766635478</c:v>
                </c:pt>
                <c:pt idx="24">
                  <c:v>5.5958351297567681</c:v>
                </c:pt>
                <c:pt idx="25">
                  <c:v>4.9098338754420094</c:v>
                </c:pt>
                <c:pt idx="26">
                  <c:v>4.3079304742642996</c:v>
                </c:pt>
                <c:pt idx="27">
                  <c:v>3.7798152527969839</c:v>
                </c:pt>
                <c:pt idx="28">
                  <c:v>3.3164424148968275</c:v>
                </c:pt>
                <c:pt idx="29">
                  <c:v>2.9098751012203117</c:v>
                </c:pt>
                <c:pt idx="30">
                  <c:v>2.5531494431105126</c:v>
                </c:pt>
                <c:pt idx="31">
                  <c:v>2.2401552823081072</c:v>
                </c:pt>
                <c:pt idx="32">
                  <c:v>1.9655315133998208</c:v>
                </c:pt>
                <c:pt idx="33">
                  <c:v>1.7245742563824809</c:v>
                </c:pt>
                <c:pt idx="34">
                  <c:v>1.5131562864808648</c:v>
                </c:pt>
                <c:pt idx="35">
                  <c:v>1.3276563411768554</c:v>
                </c:pt>
                <c:pt idx="36">
                  <c:v>1.1648970935887559</c:v>
                </c:pt>
                <c:pt idx="37">
                  <c:v>1.0220907297807791</c:v>
                </c:pt>
                <c:pt idx="38">
                  <c:v>0.89679119782627392</c:v>
                </c:pt>
                <c:pt idx="39">
                  <c:v>0.78685231072507389</c:v>
                </c:pt>
                <c:pt idx="40">
                  <c:v>0.69039098554279876</c:v>
                </c:pt>
                <c:pt idx="41">
                  <c:v>0.60575498911547943</c:v>
                </c:pt>
                <c:pt idx="42">
                  <c:v>0.5314946378533606</c:v>
                </c:pt>
                <c:pt idx="43">
                  <c:v>0.4663379669053333</c:v>
                </c:pt>
                <c:pt idx="44">
                  <c:v>0.40916894337022458</c:v>
                </c:pt>
                <c:pt idx="45">
                  <c:v>0.35900835038098494</c:v>
                </c:pt>
                <c:pt idx="46">
                  <c:v>0.3149970146357281</c:v>
                </c:pt>
                <c:pt idx="47">
                  <c:v>0.27638109008919731</c:v>
                </c:pt>
                <c:pt idx="48">
                  <c:v>0.24249914573707504</c:v>
                </c:pt>
                <c:pt idx="49">
                  <c:v>0.21277083632687238</c:v>
                </c:pt>
                <c:pt idx="50">
                  <c:v>0.18668696194221393</c:v>
                </c:pt>
                <c:pt idx="51">
                  <c:v>0.16380074619658727</c:v>
                </c:pt>
                <c:pt idx="52">
                  <c:v>0.14372018364551789</c:v>
                </c:pt>
                <c:pt idx="53">
                  <c:v>0.12610132534018784</c:v>
                </c:pt>
                <c:pt idx="54">
                  <c:v>0.11064238751442629</c:v>
                </c:pt>
                <c:pt idx="55">
                  <c:v>9.707858249600089E-2</c:v>
                </c:pt>
                <c:pt idx="56">
                  <c:v>8.5177583303723048E-2</c:v>
                </c:pt>
                <c:pt idx="57">
                  <c:v>7.4735544245936578E-2</c:v>
                </c:pt>
                <c:pt idx="58">
                  <c:v>6.5573609359403012E-2</c:v>
                </c:pt>
                <c:pt idx="59">
                  <c:v>5.7534848883546798E-2</c:v>
                </c:pt>
                <c:pt idx="60">
                  <c:v>5.048157129660711E-2</c:v>
                </c:pt>
                <c:pt idx="61">
                  <c:v>4.4292964873036939E-2</c:v>
                </c:pt>
                <c:pt idx="62">
                  <c:v>3.8863028365678905E-2</c:v>
                </c:pt>
                <c:pt idx="63">
                  <c:v>3.409875536850706E-2</c:v>
                </c:pt>
                <c:pt idx="64">
                  <c:v>2.991854126087936E-2</c:v>
                </c:pt>
                <c:pt idx="65">
                  <c:v>2.6250785446722054E-2</c:v>
                </c:pt>
                <c:pt idx="66">
                  <c:v>2.3032664947167294E-2</c:v>
                </c:pt>
                <c:pt idx="67">
                  <c:v>2.0209058340184376E-2</c:v>
                </c:pt>
                <c:pt idx="68">
                  <c:v>1.7731601615956476E-2</c:v>
                </c:pt>
                <c:pt idx="69">
                  <c:v>1.5557859776267132E-2</c:v>
                </c:pt>
                <c:pt idx="70">
                  <c:v>1.3650599988676447E-2</c:v>
                </c:pt>
                <c:pt idx="71">
                  <c:v>1.1977153845743339E-2</c:v>
                </c:pt>
                <c:pt idx="72">
                  <c:v>1.0508857805781582E-2</c:v>
                </c:pt>
                <c:pt idx="73">
                  <c:v>9.2205622307661404E-3</c:v>
                </c:pt>
                <c:pt idx="74">
                  <c:v>8.0902006119691616E-3</c:v>
                </c:pt>
                <c:pt idx="75">
                  <c:v>7.0984116048276842E-3</c:v>
                </c:pt>
                <c:pt idx="76">
                  <c:v>6.2282073990854959E-3</c:v>
                </c:pt>
                <c:pt idx="77">
                  <c:v>5.4646827439030939E-3</c:v>
                </c:pt>
                <c:pt idx="78">
                  <c:v>4.7947596439863373E-3</c:v>
                </c:pt>
                <c:pt idx="79">
                  <c:v>4.2069633537737301E-3</c:v>
                </c:pt>
                <c:pt idx="80">
                  <c:v>3.6912258328095546E-3</c:v>
                </c:pt>
                <c:pt idx="81">
                  <c:v>3.2387132957976831E-3</c:v>
                </c:pt>
                <c:pt idx="82">
                  <c:v>2.8416749035354606E-3</c:v>
                </c:pt>
                <c:pt idx="83">
                  <c:v>2.49331000303761E-3</c:v>
                </c:pt>
                <c:pt idx="84">
                  <c:v>2.187651642879011E-3</c:v>
                </c:pt>
                <c:pt idx="85">
                  <c:v>1.9194643685545125E-3</c:v>
                </c:pt>
                <c:pt idx="86">
                  <c:v>1.6841545472485165E-3</c:v>
                </c:pt>
                <c:pt idx="87">
                  <c:v>1.4776916860164695E-3</c:v>
                </c:pt>
                <c:pt idx="88">
                  <c:v>1.2965393956805228E-3</c:v>
                </c:pt>
                <c:pt idx="89">
                  <c:v>1.1375948179577695E-3</c:v>
                </c:pt>
                <c:pt idx="90">
                  <c:v>9.9813547830154207E-4</c:v>
                </c:pt>
                <c:pt idx="91">
                  <c:v>8.7577265412722063E-4</c:v>
                </c:pt>
                <c:pt idx="92">
                  <c:v>7.6841045969245497E-4</c:v>
                </c:pt>
                <c:pt idx="93">
                  <c:v>6.7420994681913942E-4</c:v>
                </c:pt>
                <c:pt idx="94">
                  <c:v>5.9155760655808538E-4</c:v>
                </c:pt>
                <c:pt idx="95">
                  <c:v>5.1903773227867246E-4</c:v>
                </c:pt>
                <c:pt idx="96">
                  <c:v>4.5540817080598955E-4</c:v>
                </c:pt>
                <c:pt idx="97">
                  <c:v>3.9957904625998494E-4</c:v>
                </c:pt>
                <c:pt idx="98">
                  <c:v>3.5059409216893061E-4</c:v>
                </c:pt>
                <c:pt idx="99">
                  <c:v>3.0761427210520322E-4</c:v>
                </c:pt>
                <c:pt idx="100">
                  <c:v>2.6990340829023175E-4</c:v>
                </c:pt>
                <c:pt idx="101">
                  <c:v>2.3681557200886234E-4</c:v>
                </c:pt>
                <c:pt idx="102">
                  <c:v>2.0778401985046131E-4</c:v>
                </c:pt>
                <c:pt idx="103">
                  <c:v>1.8231148627169329E-4</c:v>
                </c:pt>
                <c:pt idx="104">
                  <c:v>1.5996166620760476E-4</c:v>
                </c:pt>
                <c:pt idx="105">
                  <c:v>1.4035174184132606E-4</c:v>
                </c:pt>
                <c:pt idx="106">
                  <c:v>1.2314582552752718E-4</c:v>
                </c:pt>
                <c:pt idx="107">
                  <c:v>1.0804920655705692E-4</c:v>
                </c:pt>
                <c:pt idx="108">
                  <c:v>9.4803303218750869E-5</c:v>
                </c:pt>
                <c:pt idx="109">
                  <c:v>8.3181233695042039E-5</c:v>
                </c:pt>
                <c:pt idx="110">
                  <c:v>7.2983929927672439E-5</c:v>
                </c:pt>
                <c:pt idx="111">
                  <c:v>6.4036727890042004E-5</c:v>
                </c:pt>
                <c:pt idx="112">
                  <c:v>5.618637586283867E-5</c:v>
                </c:pt>
                <c:pt idx="113">
                  <c:v>4.9298409469342881E-5</c:v>
                </c:pt>
                <c:pt idx="114">
                  <c:v>4.3254848508825135E-5</c:v>
                </c:pt>
                <c:pt idx="115">
                  <c:v>3.7952176138358305E-5</c:v>
                </c:pt>
                <c:pt idx="116">
                  <c:v>3.3299565789557675E-5</c:v>
                </c:pt>
                <c:pt idx="117">
                  <c:v>2.92173254500775E-5</c:v>
                </c:pt>
                <c:pt idx="118">
                  <c:v>2.5635532662814506E-5</c:v>
                </c:pt>
                <c:pt idx="119">
                  <c:v>2.249283686246806E-5</c:v>
                </c:pt>
                <c:pt idx="120">
                  <c:v>1.9735408535336304E-5</c:v>
                </c:pt>
                <c:pt idx="121">
                  <c:v>1.7316017203082496E-5</c:v>
                </c:pt>
                <c:pt idx="122">
                  <c:v>1.5193222437760872E-5</c:v>
                </c:pt>
                <c:pt idx="123">
                  <c:v>1.3330664051441843E-5</c:v>
                </c:pt>
                <c:pt idx="124">
                  <c:v>1.169643930248373E-5</c:v>
                </c:pt>
                <c:pt idx="125">
                  <c:v>1.0262556450958576E-5</c:v>
                </c:pt>
                <c:pt idx="126">
                  <c:v>9.004455303482559E-6</c:v>
                </c:pt>
                <c:pt idx="127">
                  <c:v>7.9005865351261344E-6</c:v>
                </c:pt>
                <c:pt idx="128">
                  <c:v>6.9320425828395354E-6</c:v>
                </c:pt>
                <c:pt idx="129">
                  <c:v>6.0822337881694296E-6</c:v>
                </c:pt>
                <c:pt idx="130">
                  <c:v>5.3366042420928651E-6</c:v>
                </c:pt>
                <c:pt idx="131">
                  <c:v>4.6823824648304076E-6</c:v>
                </c:pt>
                <c:pt idx="132">
                  <c:v>4.1083626501696583E-6</c:v>
                </c:pt>
                <c:pt idx="133">
                  <c:v>3.6047127273530807E-6</c:v>
                </c:pt>
                <c:pt idx="134">
                  <c:v>3.1628059529274249E-6</c:v>
                </c:pt>
                <c:pt idx="135">
                  <c:v>2.7750731479838483E-6</c:v>
                </c:pt>
                <c:pt idx="136">
                  <c:v>2.434873049841416E-6</c:v>
                </c:pt>
                <c:pt idx="137">
                  <c:v>2.1363785574990341E-6</c:v>
                </c:pt>
                <c:pt idx="138">
                  <c:v>1.8744769224165161E-6</c:v>
                </c:pt>
                <c:pt idx="139">
                  <c:v>1.6446821750473794E-6</c:v>
                </c:pt>
                <c:pt idx="140">
                  <c:v>1.4430582871254585E-6</c:v>
                </c:pt>
                <c:pt idx="141">
                  <c:v>1.2661517535942606E-6</c:v>
                </c:pt>
                <c:pt idx="142">
                  <c:v>1.1109324394118842E-6</c:v>
                </c:pt>
                <c:pt idx="143">
                  <c:v>9.7474167802884968E-7</c:v>
                </c:pt>
                <c:pt idx="144">
                  <c:v>8.5524673254611389E-7</c:v>
                </c:pt>
                <c:pt idx="145">
                  <c:v>7.5040083954341306E-7</c:v>
                </c:pt>
                <c:pt idx="146">
                  <c:v>6.5840815119056584E-7</c:v>
                </c:pt>
                <c:pt idx="147">
                  <c:v>5.7769297515438025E-7</c:v>
                </c:pt>
                <c:pt idx="148">
                  <c:v>5.0687278542839107E-7</c:v>
                </c:pt>
                <c:pt idx="149">
                  <c:v>4.4473454180272417E-7</c:v>
                </c:pt>
                <c:pt idx="150">
                  <c:v>3.9021391236326654E-7</c:v>
                </c:pt>
                <c:pt idx="151">
                  <c:v>3.423770431337213E-7</c:v>
                </c:pt>
                <c:pt idx="152">
                  <c:v>3.0040456260273752E-7</c:v>
                </c:pt>
                <c:pt idx="153">
                  <c:v>2.6357754715842944E-7</c:v>
                </c:pt>
                <c:pt idx="154">
                  <c:v>2.3126520703990463E-7</c:v>
                </c:pt>
                <c:pt idx="155">
                  <c:v>2.0291408188521612E-7</c:v>
                </c:pt>
                <c:pt idx="156">
                  <c:v>1.7803856081220048E-7</c:v>
                </c:pt>
                <c:pt idx="157">
                  <c:v>1.5621256465586402E-7</c:v>
                </c:pt>
                <c:pt idx="158">
                  <c:v>1.3706224789191999E-7</c:v>
                </c:pt>
                <c:pt idx="159">
                  <c:v>1.2025959524172577E-7</c:v>
                </c:pt>
                <c:pt idx="160">
                  <c:v>1.055168032783759E-7</c:v>
                </c:pt>
                <c:pt idx="161">
                  <c:v>9.2581350799561395E-8</c:v>
                </c:pt>
                <c:pt idx="162">
                  <c:v>8.1231673530314491E-8</c:v>
                </c:pt>
                <c:pt idx="163">
                  <c:v>7.1273369069992616E-8</c:v>
                </c:pt>
                <c:pt idx="164">
                  <c:v>6.2535867080119145E-8</c:v>
                </c:pt>
                <c:pt idx="165">
                  <c:v>5.4869507678553388E-8</c:v>
                </c:pt>
                <c:pt idx="166">
                  <c:v>4.8142977997405157E-8</c:v>
                </c:pt>
                <c:pt idx="167">
                  <c:v>4.2241062996899546E-8</c:v>
                </c:pt>
                <c:pt idx="168">
                  <c:v>3.7062672010115533E-8</c:v>
                </c:pt>
                <c:pt idx="169">
                  <c:v>3.2519107216364917E-8</c:v>
                </c:pt>
                <c:pt idx="170">
                  <c:v>2.8532544384841308E-8</c:v>
                </c:pt>
                <c:pt idx="171">
                  <c:v>2.5034699866029791E-8</c:v>
                </c:pt>
                <c:pt idx="172">
                  <c:v>2.1965660998503965E-8</c:v>
                </c:pt>
                <c:pt idx="173">
                  <c:v>1.927285989778936E-8</c:v>
                </c:pt>
                <c:pt idx="174">
                  <c:v>1.691017304988525E-8</c:v>
                </c:pt>
                <c:pt idx="175">
                  <c:v>1.4837131286875851E-8</c:v>
                </c:pt>
                <c:pt idx="176">
                  <c:v>1.3018226612736175E-8</c:v>
                </c:pt>
                <c:pt idx="177">
                  <c:v>1.1422304006331767E-8</c:v>
                </c:pt>
                <c:pt idx="178">
                  <c:v>1.0022027784139235E-8</c:v>
                </c:pt>
                <c:pt idx="179">
                  <c:v>8.7934133823071865E-9</c:v>
                </c:pt>
                <c:pt idx="180">
                  <c:v>7.7154165382091156E-9</c:v>
                </c:pt>
                <c:pt idx="181">
                  <c:v>6.7695728348042338E-9</c:v>
                </c:pt>
                <c:pt idx="182">
                  <c:v>5.9396814337592086E-9</c:v>
                </c:pt>
                <c:pt idx="183">
                  <c:v>5.2115275801688136E-9</c:v>
                </c:pt>
                <c:pt idx="184">
                  <c:v>4.5726391258109449E-9</c:v>
                </c:pt>
                <c:pt idx="185">
                  <c:v>4.012072900556307E-9</c:v>
                </c:pt>
                <c:pt idx="186">
                  <c:v>3.5202272728057429E-9</c:v>
                </c:pt>
                <c:pt idx="187">
                  <c:v>3.0886776884056883E-9</c:v>
                </c:pt>
                <c:pt idx="188">
                  <c:v>2.7100323710779768E-9</c:v>
                </c:pt>
                <c:pt idx="189">
                  <c:v>2.3778057127357578E-9</c:v>
                </c:pt>
                <c:pt idx="190">
                  <c:v>2.0863071850576505E-9</c:v>
                </c:pt>
                <c:pt idx="191">
                  <c:v>1.830543869547379E-9</c:v>
                </c:pt>
                <c:pt idx="192">
                  <c:v>1.6061349365697064E-9</c:v>
                </c:pt>
                <c:pt idx="193">
                  <c:v>1.4092366085209555E-9</c:v>
                </c:pt>
                <c:pt idx="194">
                  <c:v>1.2364763218693951E-9</c:v>
                </c:pt>
                <c:pt idx="195">
                  <c:v>1.0848949603631682E-9</c:v>
                </c:pt>
                <c:pt idx="196">
                  <c:v>9.5189616995004852E-10</c:v>
                </c:pt>
                <c:pt idx="197">
                  <c:v>8.3520188725206435E-10</c:v>
                </c:pt>
                <c:pt idx="198">
                  <c:v>7.3281331986661431E-10</c:v>
                </c:pt>
                <c:pt idx="199">
                  <c:v>6.4297671014703695E-10</c:v>
                </c:pt>
                <c:pt idx="200">
                  <c:v>5.6415329604919946E-10</c:v>
                </c:pt>
                <c:pt idx="201">
                  <c:v>4.9499295451991316E-10</c:v>
                </c:pt>
                <c:pt idx="202">
                  <c:v>4.3431107597922282E-10</c:v>
                </c:pt>
                <c:pt idx="203">
                  <c:v>3.8106827379225249E-10</c:v>
                </c:pt>
                <c:pt idx="204">
                  <c:v>3.343525811852747E-10</c:v>
                </c:pt>
                <c:pt idx="205">
                  <c:v>2.9336383066673586E-10</c:v>
                </c:pt>
                <c:pt idx="206">
                  <c:v>2.5739994839690375E-10</c:v>
                </c:pt>
                <c:pt idx="207">
                  <c:v>2.2584492874990687E-10</c:v>
                </c:pt>
                <c:pt idx="208">
                  <c:v>1.9815828309103137E-10</c:v>
                </c:pt>
                <c:pt idx="209">
                  <c:v>1.7386578204316453E-10</c:v>
                </c:pt>
                <c:pt idx="210">
                  <c:v>1.5255133267174221E-10</c:v>
                </c:pt>
                <c:pt idx="211">
                  <c:v>1.3384985145695311E-10</c:v>
                </c:pt>
                <c:pt idx="212">
                  <c:v>1.1744101097824782E-10</c:v>
                </c:pt>
                <c:pt idx="213">
                  <c:v>1.0304375320153897E-10</c:v>
                </c:pt>
                <c:pt idx="214">
                  <c:v>9.0411475390196675E-11</c:v>
                </c:pt>
                <c:pt idx="215">
                  <c:v>7.9327806181947745E-11</c:v>
                </c:pt>
                <c:pt idx="216">
                  <c:v>6.9602899482414664E-11</c:v>
                </c:pt>
                <c:pt idx="217">
                  <c:v>6.1070182695428852E-11</c:v>
                </c:pt>
                <c:pt idx="218">
                  <c:v>5.3583503592337293E-11</c:v>
                </c:pt>
                <c:pt idx="219">
                  <c:v>4.7014626950590974E-11</c:v>
                </c:pt>
                <c:pt idx="220">
                  <c:v>4.1251038082909713E-11</c:v>
                </c:pt>
                <c:pt idx="221">
                  <c:v>3.619401563487845E-11</c:v>
                </c:pt>
                <c:pt idx="222">
                  <c:v>3.1756940640981365E-11</c:v>
                </c:pt>
                <c:pt idx="223">
                  <c:v>2.786381287582159E-11</c:v>
                </c:pt>
                <c:pt idx="224">
                  <c:v>2.4447949087919718E-11</c:v>
                </c:pt>
                <c:pt idx="225">
                  <c:v>2.1450840818851529E-11</c:v>
                </c:pt>
                <c:pt idx="226">
                  <c:v>1.8821152243934922E-11</c:v>
                </c:pt>
                <c:pt idx="227">
                  <c:v>1.6513840869028565E-11</c:v>
                </c:pt>
                <c:pt idx="228">
                  <c:v>1.4489386022339698E-11</c:v>
                </c:pt>
                <c:pt idx="229">
                  <c:v>1.2713111926500171E-11</c:v>
                </c:pt>
                <c:pt idx="230">
                  <c:v>1.1154593756183366E-11</c:v>
                </c:pt>
                <c:pt idx="231">
                  <c:v>9.7871365079484712E-12</c:v>
                </c:pt>
                <c:pt idx="232">
                  <c:v>8.5873177561593618E-12</c:v>
                </c:pt>
                <c:pt idx="233">
                  <c:v>7.5345864630948395E-12</c:v>
                </c:pt>
                <c:pt idx="234">
                  <c:v>6.6109109714885096E-12</c:v>
                </c:pt>
                <c:pt idx="235">
                  <c:v>5.8004701501554771E-12</c:v>
                </c:pt>
                <c:pt idx="236">
                  <c:v>5.089382402508607E-12</c:v>
                </c:pt>
                <c:pt idx="237">
                  <c:v>4.4654678962997509E-12</c:v>
                </c:pt>
                <c:pt idx="238">
                  <c:v>3.9180399419495185E-12</c:v>
                </c:pt>
                <c:pt idx="239">
                  <c:v>3.4377219460993583E-12</c:v>
                </c:pt>
                <c:pt idx="240">
                  <c:v>3.01628680508368E-12</c:v>
                </c:pt>
                <c:pt idx="241">
                  <c:v>2.6465159873808367E-12</c:v>
                </c:pt>
                <c:pt idx="242">
                  <c:v>2.3220758913435135E-12</c:v>
                </c:pt>
                <c:pt idx="243">
                  <c:v>2.0374093604078619E-12</c:v>
                </c:pt>
                <c:pt idx="244">
                  <c:v>1.7876404976048623E-12</c:v>
                </c:pt>
                <c:pt idx="245">
                  <c:v>1.5684911489938539E-12</c:v>
                </c:pt>
                <c:pt idx="246">
                  <c:v>1.3762076255087457E-12</c:v>
                </c:pt>
                <c:pt idx="247">
                  <c:v>1.2074964080755811E-12</c:v>
                </c:pt>
                <c:pt idx="248">
                  <c:v>1.0594677347296564E-12</c:v>
                </c:pt>
                <c:pt idx="249">
                  <c:v>9.2958610346684426E-13</c:v>
                </c:pt>
                <c:pt idx="250">
                  <c:v>8.1562684301959409E-13</c:v>
                </c:pt>
                <c:pt idx="251">
                  <c:v>7.1563800768224054E-13</c:v>
                </c:pt>
                <c:pt idx="252">
                  <c:v>6.2790694350296577E-13</c:v>
                </c:pt>
                <c:pt idx="253">
                  <c:v>5.5093095317304635E-13</c:v>
                </c:pt>
                <c:pt idx="254">
                  <c:v>4.8339155714835269E-13</c:v>
                </c:pt>
                <c:pt idx="255">
                  <c:v>4.2413191013595979E-13</c:v>
                </c:pt>
                <c:pt idx="256">
                  <c:v>3.7213698612524657E-13</c:v>
                </c:pt>
                <c:pt idx="257">
                  <c:v>3.2651619256374483E-13</c:v>
                </c:pt>
                <c:pt idx="258">
                  <c:v>2.8648811588548424E-13</c:v>
                </c:pt>
                <c:pt idx="259">
                  <c:v>2.5136713710635132E-13</c:v>
                </c:pt>
                <c:pt idx="260">
                  <c:v>2.2055168823233092E-13</c:v>
                </c:pt>
                <c:pt idx="261">
                  <c:v>1.9351394833108532E-13</c:v>
                </c:pt>
                <c:pt idx="262">
                  <c:v>1.6979080277652786E-13</c:v>
                </c:pt>
                <c:pt idx="263">
                  <c:v>1.4897591081224825E-13</c:v>
                </c:pt>
                <c:pt idx="264">
                  <c:v>1.3071274556343077E-13</c:v>
                </c:pt>
                <c:pt idx="265">
                  <c:v>1.1468848728344513E-13</c:v>
                </c:pt>
                <c:pt idx="266">
                  <c:v>1.006286652358779E-13</c:v>
                </c:pt>
                <c:pt idx="267">
                  <c:v>8.8292456435738941E-14</c:v>
                </c:pt>
                <c:pt idx="268">
                  <c:v>7.7468560724558345E-14</c:v>
                </c:pt>
                <c:pt idx="269">
                  <c:v>6.7971581525795571E-14</c:v>
                </c:pt>
                <c:pt idx="270">
                  <c:v>5.9638850288504739E-14</c:v>
                </c:pt>
                <c:pt idx="271">
                  <c:v>5.2327640226891888E-14</c:v>
                </c:pt>
                <c:pt idx="272">
                  <c:v>4.5912721631436498E-14</c:v>
                </c:pt>
                <c:pt idx="273">
                  <c:v>4.0284216877841517E-14</c:v>
                </c:pt>
                <c:pt idx="274">
                  <c:v>3.5345718393435986E-14</c:v>
                </c:pt>
                <c:pt idx="275">
                  <c:v>3.1012637344708364E-14</c:v>
                </c:pt>
                <c:pt idx="276">
                  <c:v>2.7210754761544522E-14</c:v>
                </c:pt>
                <c:pt idx="277">
                  <c:v>2.3874950281171599E-14</c:v>
                </c:pt>
                <c:pt idx="278">
                  <c:v>2.0948086737159696E-14</c:v>
                </c:pt>
                <c:pt idx="279">
                  <c:v>1.8380031488217697E-14</c:v>
                </c:pt>
                <c:pt idx="280">
                  <c:v>1.6126797723660708E-14</c:v>
                </c:pt>
                <c:pt idx="281">
                  <c:v>1.4149791037441112E-14</c:v>
                </c:pt>
                <c:pt idx="282">
                  <c:v>1.2415148365722823E-14</c:v>
                </c:pt>
                <c:pt idx="283">
                  <c:v>1.0893157965022819E-14</c:v>
                </c:pt>
                <c:pt idx="284">
                  <c:v>9.5577504960434289E-15</c:v>
                </c:pt>
                <c:pt idx="285">
                  <c:v>8.3860524962493768E-15</c:v>
                </c:pt>
                <c:pt idx="286">
                  <c:v>7.3579945928660542E-15</c:v>
                </c:pt>
                <c:pt idx="287">
                  <c:v>6.4559677455942476E-15</c:v>
                </c:pt>
                <c:pt idx="288">
                  <c:v>5.6645216310112082E-15</c:v>
                </c:pt>
                <c:pt idx="289">
                  <c:v>4.9701000024498115E-15</c:v>
                </c:pt>
                <c:pt idx="290">
                  <c:v>4.3608084924802255E-15</c:v>
                </c:pt>
                <c:pt idx="291">
                  <c:v>3.8262108808100767E-15</c:v>
                </c:pt>
                <c:pt idx="292">
                  <c:v>3.3571503379876546E-15</c:v>
                </c:pt>
                <c:pt idx="293">
                  <c:v>2.9455925830895313E-15</c:v>
                </c:pt>
                <c:pt idx="294">
                  <c:v>2.5844882689265984E-15</c:v>
                </c:pt>
                <c:pt idx="295">
                  <c:v>2.2676522376401499E-15</c:v>
                </c:pt>
                <c:pt idx="296">
                  <c:v>1.9896575785233026E-15</c:v>
                </c:pt>
                <c:pt idx="297">
                  <c:v>1.7457426734422484E-15</c:v>
                </c:pt>
                <c:pt idx="298">
                  <c:v>1.5317296376893105E-15</c:v>
                </c:pt>
                <c:pt idx="299">
                  <c:v>1.3439527592858844E-15</c:v>
                </c:pt>
                <c:pt idx="300">
                  <c:v>1.1791957110113097E-15</c:v>
                </c:pt>
                <c:pt idx="301">
                  <c:v>1.0346364596969301E-15</c:v>
                </c:pt>
                <c:pt idx="302">
                  <c:v>9.0779892916684009E-16</c:v>
                </c:pt>
                <c:pt idx="303">
                  <c:v>7.9651058888632235E-16</c:v>
                </c:pt>
                <c:pt idx="304">
                  <c:v>6.9886524187718803E-16</c:v>
                </c:pt>
                <c:pt idx="305">
                  <c:v>6.1319037451461501E-16</c:v>
                </c:pt>
                <c:pt idx="306">
                  <c:v>5.3801850895805308E-16</c:v>
                </c:pt>
                <c:pt idx="307">
                  <c:v>4.7206206752768818E-16</c:v>
                </c:pt>
                <c:pt idx="308">
                  <c:v>4.1419131849214823E-16</c:v>
                </c:pt>
                <c:pt idx="309">
                  <c:v>3.634150255129361E-16</c:v>
                </c:pt>
                <c:pt idx="310">
                  <c:v>3.1886346930053206E-16</c:v>
                </c:pt>
                <c:pt idx="311">
                  <c:v>2.797735506694182E-16</c:v>
                </c:pt>
                <c:pt idx="312">
                  <c:v>2.4547571983042121E-16</c:v>
                </c:pt>
                <c:pt idx="313">
                  <c:v>2.1538250803938567E-16</c:v>
                </c:pt>
                <c:pt idx="314">
                  <c:v>1.8897846516707551E-16</c:v>
                </c:pt>
                <c:pt idx="315">
                  <c:v>1.6581133083645299E-16</c:v>
                </c:pt>
                <c:pt idx="316">
                  <c:v>1.4548428790258618E-16</c:v>
                </c:pt>
                <c:pt idx="317">
                  <c:v>1.2764916558928786E-16</c:v>
                </c:pt>
                <c:pt idx="318">
                  <c:v>1.1200047586273939E-16</c:v>
                </c:pt>
                <c:pt idx="319">
                  <c:v>9.8270180894412007E-17</c:v>
                </c:pt>
                <c:pt idx="320">
                  <c:v>8.6223101988026309E-17</c:v>
                </c:pt>
                <c:pt idx="321">
                  <c:v>7.5652891332576509E-17</c:v>
                </c:pt>
                <c:pt idx="322">
                  <c:v>6.6378497583784737E-17</c:v>
                </c:pt>
                <c:pt idx="323">
                  <c:v>5.8241064734867909E-17</c:v>
                </c:pt>
                <c:pt idx="324">
                  <c:v>5.1101211159074109E-17</c:v>
                </c:pt>
                <c:pt idx="325">
                  <c:v>4.4836642218199705E-17</c:v>
                </c:pt>
                <c:pt idx="326">
                  <c:v>3.9340055544767106E-17</c:v>
                </c:pt>
                <c:pt idx="327">
                  <c:v>3.451730311858983E-17</c:v>
                </c:pt>
                <c:pt idx="328">
                  <c:v>3.0285778656941762E-17</c:v>
                </c:pt>
                <c:pt idx="329">
                  <c:v>2.6573002696820822E-17</c:v>
                </c:pt>
                <c:pt idx="330">
                  <c:v>2.331538113395664E-17</c:v>
                </c:pt>
                <c:pt idx="331">
                  <c:v>2.0457115954257515E-17</c:v>
                </c:pt>
                <c:pt idx="332">
                  <c:v>1.7949249500212595E-17</c:v>
                </c:pt>
                <c:pt idx="333">
                  <c:v>1.574882590201241E-17</c:v>
                </c:pt>
                <c:pt idx="334">
                  <c:v>1.3818155310001086E-17</c:v>
                </c:pt>
                <c:pt idx="335">
                  <c:v>1.2124168325901194E-17</c:v>
                </c:pt>
                <c:pt idx="336">
                  <c:v>1.0637849575217596E-17</c:v>
                </c:pt>
                <c:pt idx="337">
                  <c:v>9.3337407187924111E-18</c:v>
                </c:pt>
                <c:pt idx="338">
                  <c:v>8.189504390868532E-18</c:v>
                </c:pt>
                <c:pt idx="339">
                  <c:v>7.185541594595756E-18</c:v>
                </c:pt>
                <c:pt idx="340">
                  <c:v>6.3046560015568824E-18</c:v>
                </c:pt>
                <c:pt idx="341">
                  <c:v>5.531759405284383E-18</c:v>
                </c:pt>
                <c:pt idx="342">
                  <c:v>4.8536132836423941E-18</c:v>
                </c:pt>
                <c:pt idx="343">
                  <c:v>4.2586020434377202E-18</c:v>
                </c:pt>
                <c:pt idx="344">
                  <c:v>3.7365340632910905E-18</c:v>
                </c:pt>
                <c:pt idx="345">
                  <c:v>3.2784671269410689E-18</c:v>
                </c:pt>
                <c:pt idx="346">
                  <c:v>2.8765552569233704E-18</c:v>
                </c:pt>
                <c:pt idx="347">
                  <c:v>2.5239143251236312E-18</c:v>
                </c:pt>
                <c:pt idx="348">
                  <c:v>2.2145041383204589E-18</c:v>
                </c:pt>
                <c:pt idx="349">
                  <c:v>1.9430249790266627E-18</c:v>
                </c:pt>
                <c:pt idx="350">
                  <c:v>1.7048268295334457E-18</c:v>
                </c:pt>
                <c:pt idx="351">
                  <c:v>1.4958297243059672E-18</c:v>
                </c:pt>
                <c:pt idx="352">
                  <c:v>1.3124538664901215E-18</c:v>
                </c:pt>
                <c:pt idx="353">
                  <c:v>1.1515583115344821E-18</c:v>
                </c:pt>
                <c:pt idx="354">
                  <c:v>1.0103871676727833E-18</c:v>
                </c:pt>
                <c:pt idx="355">
                  <c:v>8.8652239176449228E-19</c:v>
                </c:pt>
                <c:pt idx="356">
                  <c:v>7.7784237195929917E-19</c:v>
                </c:pt>
                <c:pt idx="357">
                  <c:v>6.8248558777069143E-19</c:v>
                </c:pt>
                <c:pt idx="358">
                  <c:v>5.9881872511192872E-19</c:v>
                </c:pt>
                <c:pt idx="359">
                  <c:v>5.2540870015434871E-19</c:v>
                </c:pt>
                <c:pt idx="360">
                  <c:v>4.6099811282000798E-19</c:v>
                </c:pt>
                <c:pt idx="361">
                  <c:v>4.0448370946498851E-19</c:v>
                </c:pt>
                <c:pt idx="362">
                  <c:v>3.5489748585247666E-19</c:v>
                </c:pt>
                <c:pt idx="363">
                  <c:v>3.1139010673880084E-19</c:v>
                </c:pt>
                <c:pt idx="364">
                  <c:v>2.7321635807560371E-19</c:v>
                </c:pt>
                <c:pt idx="365">
                  <c:v>2.3972238264689572E-19</c:v>
                </c:pt>
              </c:numCache>
            </c:numRef>
          </c:yVal>
          <c:smooth val="1"/>
          <c:extLst>
            <c:ext xmlns:c16="http://schemas.microsoft.com/office/drawing/2014/chart" uri="{C3380CC4-5D6E-409C-BE32-E72D297353CC}">
              <c16:uniqueId val="{00000000-0CF0-4AA2-A727-45757B791E30}"/>
            </c:ext>
          </c:extLst>
        </c:ser>
        <c:ser>
          <c:idx val="1"/>
          <c:order val="1"/>
          <c:tx>
            <c:strRef>
              <c:f>'Min rate concentrations'!$K$2</c:f>
              <c:strCache>
                <c:ptCount val="1"/>
                <c:pt idx="0">
                  <c:v>Large mammals  (1000 g, short grass diet)</c:v>
                </c:pt>
              </c:strCache>
            </c:strRef>
          </c:tx>
          <c:spPr>
            <a:ln w="19050" cap="rnd">
              <a:solidFill>
                <a:srgbClr val="FF0000"/>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concentrations'!$K$3:$K$368</c:f>
              <c:numCache>
                <c:formatCode>General</c:formatCode>
                <c:ptCount val="366"/>
                <c:pt idx="0">
                  <c:v>18.333393099490852</c:v>
                </c:pt>
                <c:pt idx="1">
                  <c:v>17.919216110180614</c:v>
                </c:pt>
                <c:pt idx="2">
                  <c:v>15.905808278260961</c:v>
                </c:pt>
                <c:pt idx="3">
                  <c:v>13.974226390305457</c:v>
                </c:pt>
                <c:pt idx="4">
                  <c:v>12.26293977351609</c:v>
                </c:pt>
                <c:pt idx="5">
                  <c:v>10.759792170928939</c:v>
                </c:pt>
                <c:pt idx="6">
                  <c:v>9.44075253455226</c:v>
                </c:pt>
                <c:pt idx="7">
                  <c:v>8.2833993118180018</c:v>
                </c:pt>
                <c:pt idx="8">
                  <c:v>7.2679259892082104</c:v>
                </c:pt>
                <c:pt idx="9">
                  <c:v>6.3769407963528719</c:v>
                </c:pt>
                <c:pt idx="10">
                  <c:v>5.595182707829613</c:v>
                </c:pt>
                <c:pt idx="11">
                  <c:v>4.9092614350146482</c:v>
                </c:pt>
                <c:pt idx="12">
                  <c:v>4.3074282101278181</c:v>
                </c:pt>
                <c:pt idx="13">
                  <c:v>3.7793745619252421</c:v>
                </c:pt>
                <c:pt idx="14">
                  <c:v>3.3160557489355407</c:v>
                </c:pt>
                <c:pt idx="15">
                  <c:v>2.909535837179988</c:v>
                </c:pt>
                <c:pt idx="16">
                  <c:v>2.5528517699233535</c:v>
                </c:pt>
                <c:pt idx="17">
                  <c:v>2.2398941012932574</c:v>
                </c:pt>
                <c:pt idx="18">
                  <c:v>1.9653023509308425</c:v>
                </c:pt>
                <c:pt idx="19">
                  <c:v>1.7243731872610575</c:v>
                </c:pt>
                <c:pt idx="20">
                  <c:v>1.5129798667042311</c:v>
                </c:pt>
                <c:pt idx="21">
                  <c:v>1.3275015489473616</c:v>
                </c:pt>
                <c:pt idx="22">
                  <c:v>1.1647612775551524</c:v>
                </c:pt>
                <c:pt idx="23">
                  <c:v>1.0219715636246733</c:v>
                </c:pt>
                <c:pt idx="24">
                  <c:v>0.89668664041589885</c:v>
                </c:pt>
                <c:pt idx="25">
                  <c:v>0.78676057115385989</c:v>
                </c:pt>
                <c:pt idx="26">
                  <c:v>0.69031049245391718</c:v>
                </c:pt>
                <c:pt idx="27">
                  <c:v>0.60568436378693324</c:v>
                </c:pt>
                <c:pt idx="28">
                  <c:v>0.53143267058261023</c:v>
                </c:pt>
                <c:pt idx="29">
                  <c:v>0.46628359628896532</c:v>
                </c:pt>
                <c:pt idx="30">
                  <c:v>0.40912123812375428</c:v>
                </c:pt>
                <c:pt idx="31">
                  <c:v>0.35896649338739506</c:v>
                </c:pt>
                <c:pt idx="32">
                  <c:v>0.31496028894951927</c:v>
                </c:pt>
                <c:pt idx="33">
                  <c:v>0.2763488666562216</c:v>
                </c:pt>
                <c:pt idx="34">
                  <c:v>0.24247087261981223</c:v>
                </c:pt>
                <c:pt idx="35">
                  <c:v>0.21274602925059469</c:v>
                </c:pt>
                <c:pt idx="36">
                  <c:v>0.18666519600010972</c:v>
                </c:pt>
                <c:pt idx="37">
                  <c:v>0.16378164857176519</c:v>
                </c:pt>
                <c:pt idx="38">
                  <c:v>0.14370342722523072</c:v>
                </c:pt>
                <c:pt idx="39">
                  <c:v>0.12608662311289748</c:v>
                </c:pt>
                <c:pt idx="40">
                  <c:v>0.11062948765374048</c:v>
                </c:pt>
                <c:pt idx="41">
                  <c:v>9.706726404727696E-2</c:v>
                </c:pt>
                <c:pt idx="42">
                  <c:v>8.5167652399456992E-2</c:v>
                </c:pt>
                <c:pt idx="43">
                  <c:v>7.472683078511283E-2</c:v>
                </c:pt>
                <c:pt idx="44">
                  <c:v>6.5565964093927398E-2</c:v>
                </c:pt>
                <c:pt idx="45">
                  <c:v>5.7528140861857723E-2</c:v>
                </c:pt>
                <c:pt idx="46">
                  <c:v>5.0475685620678043E-2</c:v>
                </c:pt>
                <c:pt idx="47">
                  <c:v>4.4287800730351108E-2</c:v>
                </c:pt>
                <c:pt idx="48">
                  <c:v>3.8858497302466974E-2</c:v>
                </c:pt>
                <c:pt idx="49">
                  <c:v>3.4094779774670958E-2</c:v>
                </c:pt>
                <c:pt idx="50">
                  <c:v>2.9915053040651479E-2</c:v>
                </c:pt>
                <c:pt idx="51">
                  <c:v>2.6247724852290176E-2</c:v>
                </c:pt>
                <c:pt idx="52">
                  <c:v>2.3029979555287048E-2</c:v>
                </c:pt>
                <c:pt idx="53">
                  <c:v>2.0206702154250245E-2</c:v>
                </c:pt>
                <c:pt idx="54">
                  <c:v>1.7729534278151129E-2</c:v>
                </c:pt>
                <c:pt idx="55">
                  <c:v>1.555604587629451E-2</c:v>
                </c:pt>
                <c:pt idx="56">
                  <c:v>1.3649008457238203E-2</c:v>
                </c:pt>
                <c:pt idx="57">
                  <c:v>1.1975757422369861E-2</c:v>
                </c:pt>
                <c:pt idx="58">
                  <c:v>1.050763257190235E-2</c:v>
                </c:pt>
                <c:pt idx="59">
                  <c:v>9.219487200021647E-3</c:v>
                </c:pt>
                <c:pt idx="60">
                  <c:v>8.0892573707470657E-3</c:v>
                </c:pt>
                <c:pt idx="61">
                  <c:v>7.0975839968661237E-3</c:v>
                </c:pt>
                <c:pt idx="62">
                  <c:v>6.2274812487413504E-3</c:v>
                </c:pt>
                <c:pt idx="63">
                  <c:v>5.4640456133451566E-3</c:v>
                </c:pt>
                <c:pt idx="64">
                  <c:v>4.7942006201545226E-3</c:v>
                </c:pt>
                <c:pt idx="65">
                  <c:v>4.206472861455251E-3</c:v>
                </c:pt>
                <c:pt idx="66">
                  <c:v>3.69079547063035E-3</c:v>
                </c:pt>
                <c:pt idx="67">
                  <c:v>3.2383356923198869E-3</c:v>
                </c:pt>
                <c:pt idx="68">
                  <c:v>2.8413435909960842E-3</c:v>
                </c:pt>
                <c:pt idx="69">
                  <c:v>2.4930193065657749E-3</c:v>
                </c:pt>
                <c:pt idx="70">
                  <c:v>2.1873965832941967E-3</c:v>
                </c:pt>
                <c:pt idx="71">
                  <c:v>1.9192405770809009E-3</c:v>
                </c:pt>
                <c:pt idx="72">
                  <c:v>1.6839581906846264E-3</c:v>
                </c:pt>
                <c:pt idx="73">
                  <c:v>1.4775194010783507E-3</c:v>
                </c:pt>
                <c:pt idx="74">
                  <c:v>1.2963882313939078E-3</c:v>
                </c:pt>
                <c:pt idx="75">
                  <c:v>1.1374621851124535E-3</c:v>
                </c:pt>
                <c:pt idx="76">
                  <c:v>9.9801910510222006E-4</c:v>
                </c:pt>
                <c:pt idx="77">
                  <c:v>8.7567054728115122E-4</c:v>
                </c:pt>
                <c:pt idx="78">
                  <c:v>7.683208702674413E-4</c:v>
                </c:pt>
                <c:pt idx="79">
                  <c:v>6.741313402870285E-4</c:v>
                </c:pt>
                <c:pt idx="80">
                  <c:v>5.91488636510677E-4</c:v>
                </c:pt>
                <c:pt idx="81">
                  <c:v>5.1897721736583031E-4</c:v>
                </c:pt>
                <c:pt idx="82">
                  <c:v>4.5535507450094269E-4</c:v>
                </c:pt>
                <c:pt idx="83">
                  <c:v>3.9953245910522879E-4</c:v>
                </c:pt>
                <c:pt idx="84">
                  <c:v>3.5055321619862799E-4</c:v>
                </c:pt>
                <c:pt idx="85">
                  <c:v>3.0757840717726492E-4</c:v>
                </c:pt>
                <c:pt idx="86">
                  <c:v>2.6987194009396641E-4</c:v>
                </c:pt>
                <c:pt idx="87">
                  <c:v>2.3678796154278538E-4</c:v>
                </c:pt>
                <c:pt idx="88">
                  <c:v>2.0775979419003387E-4</c:v>
                </c:pt>
                <c:pt idx="89">
                  <c:v>1.8229023046885715E-4</c:v>
                </c:pt>
                <c:pt idx="90">
                  <c:v>1.5994301618336445E-4</c:v>
                </c:pt>
                <c:pt idx="91">
                  <c:v>1.4033537814963937E-4</c:v>
                </c:pt>
                <c:pt idx="92">
                  <c:v>1.2313146788368894E-4</c:v>
                </c:pt>
                <c:pt idx="93">
                  <c:v>1.0803660903685593E-4</c:v>
                </c:pt>
                <c:pt idx="94">
                  <c:v>9.4792250046168907E-5</c:v>
                </c:pt>
                <c:pt idx="95">
                  <c:v>8.3171535546344718E-5</c:v>
                </c:pt>
                <c:pt idx="96">
                  <c:v>7.2975420688586748E-5</c:v>
                </c:pt>
                <c:pt idx="97">
                  <c:v>6.4029261810475975E-5</c:v>
                </c:pt>
                <c:pt idx="98">
                  <c:v>5.6179825060407932E-5</c:v>
                </c:pt>
                <c:pt idx="99">
                  <c:v>4.9292661738943401E-5</c:v>
                </c:pt>
                <c:pt idx="100">
                  <c:v>4.3249805400733504E-5</c:v>
                </c:pt>
                <c:pt idx="101">
                  <c:v>3.7947751271940404E-5</c:v>
                </c:pt>
                <c:pt idx="102">
                  <c:v>3.3295683373702107E-5</c:v>
                </c:pt>
                <c:pt idx="103">
                  <c:v>2.921391898501121E-5</c:v>
                </c:pt>
                <c:pt idx="104">
                  <c:v>2.5632543801064625E-5</c:v>
                </c:pt>
                <c:pt idx="105">
                  <c:v>2.2490214409460008E-5</c:v>
                </c:pt>
                <c:pt idx="106">
                  <c:v>1.9733107572510004E-5</c:v>
                </c:pt>
                <c:pt idx="107">
                  <c:v>1.7313998318506962E-5</c:v>
                </c:pt>
                <c:pt idx="108">
                  <c:v>1.5191451051068858E-5</c:v>
                </c:pt>
                <c:pt idx="109">
                  <c:v>1.3329109821521682E-5</c:v>
                </c:pt>
                <c:pt idx="110">
                  <c:v>1.1695075607783068E-5</c:v>
                </c:pt>
                <c:pt idx="111">
                  <c:v>1.0261359933498388E-5</c:v>
                </c:pt>
                <c:pt idx="112">
                  <c:v>9.0034054687711396E-6</c:v>
                </c:pt>
                <c:pt idx="113">
                  <c:v>7.8996654011201814E-6</c:v>
                </c:pt>
                <c:pt idx="114">
                  <c:v>6.9312343719395739E-6</c:v>
                </c:pt>
                <c:pt idx="115">
                  <c:v>6.081524656973975E-6</c:v>
                </c:pt>
                <c:pt idx="116">
                  <c:v>5.3359820442823795E-6</c:v>
                </c:pt>
                <c:pt idx="117">
                  <c:v>4.6818365431196509E-6</c:v>
                </c:pt>
                <c:pt idx="118">
                  <c:v>4.1078836537648936E-6</c:v>
                </c:pt>
                <c:pt idx="119">
                  <c:v>3.6042924517874512E-6</c:v>
                </c:pt>
                <c:pt idx="120">
                  <c:v>3.1624371995311396E-6</c:v>
                </c:pt>
                <c:pt idx="121">
                  <c:v>2.7747496005821135E-6</c:v>
                </c:pt>
                <c:pt idx="122">
                  <c:v>2.4345891665681396E-6</c:v>
                </c:pt>
                <c:pt idx="123">
                  <c:v>2.1361294758732389E-6</c:v>
                </c:pt>
                <c:pt idx="124">
                  <c:v>1.8742583760555673E-6</c:v>
                </c:pt>
                <c:pt idx="125">
                  <c:v>1.6444904205904555E-6</c:v>
                </c:pt>
                <c:pt idx="126">
                  <c:v>1.4428900401155769E-6</c:v>
                </c:pt>
                <c:pt idx="127">
                  <c:v>1.2660041322206131E-6</c:v>
                </c:pt>
                <c:pt idx="128">
                  <c:v>1.1108029151488803E-6</c:v>
                </c:pt>
                <c:pt idx="129">
                  <c:v>9.7462803232638678E-7</c:v>
                </c:pt>
                <c:pt idx="130">
                  <c:v>8.5514701882924924E-7</c:v>
                </c:pt>
                <c:pt idx="131">
                  <c:v>7.5031334987054814E-7</c:v>
                </c:pt>
                <c:pt idx="132">
                  <c:v>6.5833138699905127E-7</c:v>
                </c:pt>
                <c:pt idx="133">
                  <c:v>5.77625621592458E-7</c:v>
                </c:pt>
                <c:pt idx="134">
                  <c:v>5.0681368883381866E-7</c:v>
                </c:pt>
                <c:pt idx="135">
                  <c:v>4.4468268994232685E-7</c:v>
                </c:pt>
                <c:pt idx="136">
                  <c:v>3.9016841709494999E-7</c:v>
                </c:pt>
                <c:pt idx="137">
                  <c:v>3.4233712519397264E-7</c:v>
                </c:pt>
                <c:pt idx="138">
                  <c:v>3.0036953825904777E-7</c:v>
                </c:pt>
                <c:pt idx="139">
                  <c:v>2.6354681649801407E-7</c:v>
                </c:pt>
                <c:pt idx="140">
                  <c:v>2.3123824369412635E-7</c:v>
                </c:pt>
                <c:pt idx="141">
                  <c:v>2.0289042401370496E-7</c:v>
                </c:pt>
                <c:pt idx="142">
                  <c:v>1.7801780319224331E-7</c:v>
                </c:pt>
                <c:pt idx="143">
                  <c:v>1.5619435174156684E-7</c:v>
                </c:pt>
                <c:pt idx="144">
                  <c:v>1.370462677242572E-7</c:v>
                </c:pt>
                <c:pt idx="145">
                  <c:v>1.2024557410516498E-7</c:v>
                </c:pt>
                <c:pt idx="146">
                  <c:v>1.0550450101255462E-7</c:v>
                </c:pt>
                <c:pt idx="147">
                  <c:v>9.2570556685711823E-8</c:v>
                </c:pt>
                <c:pt idx="148">
                  <c:v>8.1222202681977264E-8</c:v>
                </c:pt>
                <c:pt idx="149">
                  <c:v>7.1265059266197996E-8</c:v>
                </c:pt>
                <c:pt idx="150">
                  <c:v>6.2528575986792944E-8</c:v>
                </c:pt>
                <c:pt idx="151">
                  <c:v>5.4863110410554621E-8</c:v>
                </c:pt>
                <c:pt idx="152">
                  <c:v>4.8137364979436915E-8</c:v>
                </c:pt>
                <c:pt idx="153">
                  <c:v>4.2236138086653813E-8</c:v>
                </c:pt>
                <c:pt idx="154">
                  <c:v>3.7058350851504301E-8</c:v>
                </c:pt>
                <c:pt idx="155">
                  <c:v>3.2515315794630964E-8</c:v>
                </c:pt>
                <c:pt idx="156">
                  <c:v>2.852921775880001E-8</c:v>
                </c:pt>
                <c:pt idx="157">
                  <c:v>2.5031781055727173E-8</c:v>
                </c:pt>
                <c:pt idx="158">
                  <c:v>2.1963100009238289E-8</c:v>
                </c:pt>
                <c:pt idx="159">
                  <c:v>1.9270612863779301E-8</c:v>
                </c:pt>
                <c:pt idx="160">
                  <c:v>1.6908201482916955E-8</c:v>
                </c:pt>
                <c:pt idx="161">
                  <c:v>1.4835401417059431E-8</c:v>
                </c:pt>
                <c:pt idx="162">
                  <c:v>1.3016708810079768E-8</c:v>
                </c:pt>
                <c:pt idx="163">
                  <c:v>1.1420972273225652E-8</c:v>
                </c:pt>
                <c:pt idx="164">
                  <c:v>1.002085931005702E-8</c:v>
                </c:pt>
                <c:pt idx="165">
                  <c:v>8.792388153096816E-9</c:v>
                </c:pt>
                <c:pt idx="166">
                  <c:v>7.7145169932814271E-9</c:v>
                </c:pt>
                <c:pt idx="167">
                  <c:v>6.7687835663472402E-9</c:v>
                </c:pt>
                <c:pt idx="168">
                  <c:v>5.9389889228261475E-9</c:v>
                </c:pt>
                <c:pt idx="169">
                  <c:v>5.2109199651195112E-9</c:v>
                </c:pt>
                <c:pt idx="170">
                  <c:v>4.5721059991402841E-9</c:v>
                </c:pt>
                <c:pt idx="171">
                  <c:v>4.0116051306297789E-9</c:v>
                </c:pt>
                <c:pt idx="172">
                  <c:v>3.5198168474486828E-9</c:v>
                </c:pt>
                <c:pt idx="173">
                  <c:v>3.0883175776671285E-9</c:v>
                </c:pt>
                <c:pt idx="174">
                  <c:v>2.7097164068184702E-9</c:v>
                </c:pt>
                <c:pt idx="175">
                  <c:v>2.3775284829766988E-9</c:v>
                </c:pt>
                <c:pt idx="176">
                  <c:v>2.0860639412824599E-9</c:v>
                </c:pt>
                <c:pt idx="177">
                  <c:v>1.8303304453667649E-9</c:v>
                </c:pt>
                <c:pt idx="178">
                  <c:v>1.6059476763578667E-9</c:v>
                </c:pt>
                <c:pt idx="179">
                  <c:v>1.409072304800368E-9</c:v>
                </c:pt>
                <c:pt idx="180">
                  <c:v>1.2363321603716925E-9</c:v>
                </c:pt>
                <c:pt idx="181">
                  <c:v>1.0847684718250785E-9</c:v>
                </c:pt>
                <c:pt idx="182">
                  <c:v>9.5178518781873709E-10</c:v>
                </c:pt>
                <c:pt idx="183">
                  <c:v>8.3510451057543871E-10</c:v>
                </c:pt>
                <c:pt idx="184">
                  <c:v>7.3272788073295717E-10</c:v>
                </c:pt>
                <c:pt idx="185">
                  <c:v>6.42901745116261E-10</c:v>
                </c:pt>
                <c:pt idx="186">
                  <c:v>5.6408752108638477E-10</c:v>
                </c:pt>
                <c:pt idx="187">
                  <c:v>4.9493524300177603E-10</c:v>
                </c:pt>
                <c:pt idx="188">
                  <c:v>4.3426043939680356E-10</c:v>
                </c:pt>
                <c:pt idx="189">
                  <c:v>3.810238448192871E-10</c:v>
                </c:pt>
                <c:pt idx="190">
                  <c:v>3.3431359882223891E-10</c:v>
                </c:pt>
                <c:pt idx="191">
                  <c:v>2.9332962720610134E-10</c:v>
                </c:pt>
                <c:pt idx="192">
                  <c:v>2.5736993798634187E-10</c:v>
                </c:pt>
                <c:pt idx="193">
                  <c:v>2.2581859735754527E-10</c:v>
                </c:pt>
                <c:pt idx="194">
                  <c:v>1.9813517970088375E-10</c:v>
                </c:pt>
                <c:pt idx="195">
                  <c:v>1.7384551092992511E-10</c:v>
                </c:pt>
                <c:pt idx="196">
                  <c:v>1.5253354662262387E-10</c:v>
                </c:pt>
                <c:pt idx="197">
                  <c:v>1.3383424582446992E-10</c:v>
                </c:pt>
                <c:pt idx="198">
                  <c:v>1.1742731846207518E-10</c:v>
                </c:pt>
                <c:pt idx="199">
                  <c:v>1.0303173927007287E-10</c:v>
                </c:pt>
                <c:pt idx="200">
                  <c:v>9.0400934263390452E-11</c:v>
                </c:pt>
                <c:pt idx="201">
                  <c:v>7.9318557306618422E-11</c:v>
                </c:pt>
                <c:pt idx="202">
                  <c:v>6.9594784439646481E-11</c:v>
                </c:pt>
                <c:pt idx="203">
                  <c:v>6.1063062487102484E-11</c:v>
                </c:pt>
                <c:pt idx="204">
                  <c:v>5.3577256260307247E-11</c:v>
                </c:pt>
                <c:pt idx="205">
                  <c:v>4.7009145487731363E-11</c:v>
                </c:pt>
                <c:pt idx="206">
                  <c:v>4.1246228600247864E-11</c:v>
                </c:pt>
                <c:pt idx="207">
                  <c:v>3.6189795753422169E-11</c:v>
                </c:pt>
                <c:pt idx="208">
                  <c:v>3.1753238080694301E-11</c:v>
                </c:pt>
                <c:pt idx="209">
                  <c:v>2.7860564217578135E-11</c:v>
                </c:pt>
                <c:pt idx="210">
                  <c:v>2.4445098687233567E-11</c:v>
                </c:pt>
                <c:pt idx="211">
                  <c:v>2.1448339852771766E-11</c:v>
                </c:pt>
                <c:pt idx="212">
                  <c:v>1.8818957874784474E-11</c:v>
                </c:pt>
                <c:pt idx="213">
                  <c:v>1.6511915510661089E-11</c:v>
                </c:pt>
                <c:pt idx="214">
                  <c:v>1.4487696696347101E-11</c:v>
                </c:pt>
                <c:pt idx="215">
                  <c:v>1.2711629697343523E-11</c:v>
                </c:pt>
                <c:pt idx="216">
                  <c:v>1.1153293235571926E-11</c:v>
                </c:pt>
                <c:pt idx="217">
                  <c:v>9.7859954199775583E-12</c:v>
                </c:pt>
                <c:pt idx="218">
                  <c:v>8.5863165557586094E-12</c:v>
                </c:pt>
                <c:pt idx="219">
                  <c:v>7.5337080012513937E-12</c:v>
                </c:pt>
                <c:pt idx="220">
                  <c:v>6.6101402015109767E-12</c:v>
                </c:pt>
                <c:pt idx="221">
                  <c:v>5.7997938699474097E-12</c:v>
                </c:pt>
                <c:pt idx="222">
                  <c:v>5.0887890284370227E-12</c:v>
                </c:pt>
                <c:pt idx="223">
                  <c:v>4.4649472647854337E-12</c:v>
                </c:pt>
                <c:pt idx="224">
                  <c:v>3.9175831353806435E-12</c:v>
                </c:pt>
                <c:pt idx="225">
                  <c:v>3.4373211400866043E-12</c:v>
                </c:pt>
                <c:pt idx="226">
                  <c:v>3.0159351344405552E-12</c:v>
                </c:pt>
                <c:pt idx="227">
                  <c:v>2.6462074285336623E-12</c:v>
                </c:pt>
                <c:pt idx="228">
                  <c:v>2.3218051591569324E-12</c:v>
                </c:pt>
                <c:pt idx="229">
                  <c:v>2.0371718176586522E-12</c:v>
                </c:pt>
                <c:pt idx="230">
                  <c:v>1.7874320755534813E-12</c:v>
                </c:pt>
                <c:pt idx="231">
                  <c:v>1.5683082776932292E-12</c:v>
                </c:pt>
                <c:pt idx="232">
                  <c:v>1.3760471726566094E-12</c:v>
                </c:pt>
                <c:pt idx="233">
                  <c:v>1.2073556253629809E-12</c:v>
                </c:pt>
                <c:pt idx="234">
                  <c:v>1.0593442107666782E-12</c:v>
                </c:pt>
                <c:pt idx="235">
                  <c:v>9.2947772247923544E-13</c:v>
                </c:pt>
                <c:pt idx="236">
                  <c:v>8.1553174860882687E-13</c:v>
                </c:pt>
                <c:pt idx="237">
                  <c:v>7.1555457102827849E-13</c:v>
                </c:pt>
                <c:pt idx="238">
                  <c:v>6.2783373546509863E-13</c:v>
                </c:pt>
                <c:pt idx="239">
                  <c:v>5.5086671981092263E-13</c:v>
                </c:pt>
                <c:pt idx="240">
                  <c:v>4.8333519824392191E-13</c:v>
                </c:pt>
                <c:pt idx="241">
                  <c:v>4.2408246034844098E-13</c:v>
                </c:pt>
                <c:pt idx="242">
                  <c:v>3.7209359845633506E-13</c:v>
                </c:pt>
                <c:pt idx="243">
                  <c:v>3.2647812384984268E-13</c:v>
                </c:pt>
                <c:pt idx="244">
                  <c:v>2.8645471406845834E-13</c:v>
                </c:pt>
                <c:pt idx="245">
                  <c:v>2.5133783006478698E-13</c:v>
                </c:pt>
                <c:pt idx="246">
                  <c:v>2.205259739819778E-13</c:v>
                </c:pt>
                <c:pt idx="247">
                  <c:v>1.9349138642664428E-13</c:v>
                </c:pt>
                <c:pt idx="248">
                  <c:v>1.6977100676750499E-13</c:v>
                </c:pt>
                <c:pt idx="249">
                  <c:v>1.4895854162365612E-13</c:v>
                </c:pt>
                <c:pt idx="250">
                  <c:v>1.3069750568795891E-13</c:v>
                </c:pt>
                <c:pt idx="251">
                  <c:v>1.1467511568562029E-13</c:v>
                </c:pt>
                <c:pt idx="252">
                  <c:v>1.0061693288093054E-13</c:v>
                </c:pt>
                <c:pt idx="253">
                  <c:v>8.8282162366592238E-14</c:v>
                </c:pt>
                <c:pt idx="254">
                  <c:v>7.7459528619744553E-14</c:v>
                </c:pt>
                <c:pt idx="255">
                  <c:v>6.7963656679342266E-14</c:v>
                </c:pt>
                <c:pt idx="256">
                  <c:v>5.963189696006102E-14</c:v>
                </c:pt>
                <c:pt idx="257">
                  <c:v>5.2321539316706296E-14</c:v>
                </c:pt>
                <c:pt idx="258">
                  <c:v>4.5907368640362659E-14</c:v>
                </c:pt>
                <c:pt idx="259">
                  <c:v>4.0279520117429555E-14</c:v>
                </c:pt>
                <c:pt idx="260">
                  <c:v>3.5341597415451337E-14</c:v>
                </c:pt>
                <c:pt idx="261">
                  <c:v>3.1009021563178028E-14</c:v>
                </c:pt>
                <c:pt idx="262">
                  <c:v>2.7207582243728647E-14</c:v>
                </c:pt>
                <c:pt idx="263">
                  <c:v>2.387216668675153E-14</c:v>
                </c:pt>
                <c:pt idx="264">
                  <c:v>2.0945644387472428E-14</c:v>
                </c:pt>
                <c:pt idx="265">
                  <c:v>1.8377888549594213E-14</c:v>
                </c:pt>
                <c:pt idx="266">
                  <c:v>1.6124917490879969E-14</c:v>
                </c:pt>
                <c:pt idx="267">
                  <c:v>1.4148141305026466E-14</c:v>
                </c:pt>
                <c:pt idx="268">
                  <c:v>1.2413700876312035E-14</c:v>
                </c:pt>
                <c:pt idx="269">
                  <c:v>1.0891887925363209E-14</c:v>
                </c:pt>
                <c:pt idx="270">
                  <c:v>9.5566361523218343E-15</c:v>
                </c:pt>
                <c:pt idx="271">
                  <c:v>8.385074761483017E-15</c:v>
                </c:pt>
                <c:pt idx="272">
                  <c:v>7.3571367199720641E-15</c:v>
                </c:pt>
                <c:pt idx="273">
                  <c:v>6.4552150405380632E-15</c:v>
                </c:pt>
                <c:pt idx="274">
                  <c:v>5.6638612011205172E-15</c:v>
                </c:pt>
                <c:pt idx="275">
                  <c:v>4.96952053558303E-15</c:v>
                </c:pt>
                <c:pt idx="276">
                  <c:v>4.3603000632670251E-15</c:v>
                </c:pt>
                <c:pt idx="277">
                  <c:v>3.8257647806451596E-15</c:v>
                </c:pt>
                <c:pt idx="278">
                  <c:v>3.3567589258658245E-15</c:v>
                </c:pt>
                <c:pt idx="279">
                  <c:v>2.9452491547271047E-15</c:v>
                </c:pt>
                <c:pt idx="280">
                  <c:v>2.5841869419274046E-15</c:v>
                </c:pt>
                <c:pt idx="281">
                  <c:v>2.2673878507391918E-15</c:v>
                </c:pt>
                <c:pt idx="282">
                  <c:v>1.9894256031822776E-15</c:v>
                </c:pt>
                <c:pt idx="283">
                  <c:v>1.7455391362826966E-15</c:v>
                </c:pt>
                <c:pt idx="284">
                  <c:v>1.5315510524347942E-15</c:v>
                </c:pt>
                <c:pt idx="285">
                  <c:v>1.3437960670474701E-15</c:v>
                </c:pt>
                <c:pt idx="286">
                  <c:v>1.1790582278935361E-15</c:v>
                </c:pt>
                <c:pt idx="287">
                  <c:v>1.0345158308268342E-15</c:v>
                </c:pt>
                <c:pt idx="288">
                  <c:v>9.0769308835862836E-16</c:v>
                </c:pt>
                <c:pt idx="289">
                  <c:v>7.9641772325080749E-16</c:v>
                </c:pt>
                <c:pt idx="290">
                  <c:v>6.9878376076980321E-16</c:v>
                </c:pt>
                <c:pt idx="291">
                  <c:v>6.1311888229013538E-16</c:v>
                </c:pt>
                <c:pt idx="292">
                  <c:v>5.3795578106535413E-16</c:v>
                </c:pt>
                <c:pt idx="293">
                  <c:v>4.7200702953507999E-16</c:v>
                </c:pt>
                <c:pt idx="294">
                  <c:v>4.1414302768402439E-16</c:v>
                </c:pt>
                <c:pt idx="295">
                  <c:v>3.6337265474251471E-16</c:v>
                </c:pt>
                <c:pt idx="296">
                  <c:v>3.18826292822112E-16</c:v>
                </c:pt>
                <c:pt idx="297">
                  <c:v>2.7974093170747884E-16</c:v>
                </c:pt>
                <c:pt idx="298">
                  <c:v>2.4544709967264353E-16</c:v>
                </c:pt>
                <c:pt idx="299">
                  <c:v>2.1535739646677519E-16</c:v>
                </c:pt>
                <c:pt idx="300">
                  <c:v>1.8895643205726981E-16</c:v>
                </c:pt>
                <c:pt idx="301">
                  <c:v>1.6579199879639159E-16</c:v>
                </c:pt>
                <c:pt idx="302">
                  <c:v>1.4546732580435168E-16</c:v>
                </c:pt>
                <c:pt idx="303">
                  <c:v>1.2763428289839737E-16</c:v>
                </c:pt>
                <c:pt idx="304">
                  <c:v>1.1198741766173857E-16</c:v>
                </c:pt>
                <c:pt idx="305">
                  <c:v>9.8258723516533732E-17</c:v>
                </c:pt>
                <c:pt idx="306">
                  <c:v>8.6213049186125233E-17</c:v>
                </c:pt>
                <c:pt idx="307">
                  <c:v>7.564407091771929E-17</c:v>
                </c:pt>
                <c:pt idx="308">
                  <c:v>6.6370758475920182E-17</c:v>
                </c:pt>
                <c:pt idx="309">
                  <c:v>5.823427437505959E-17</c:v>
                </c:pt>
                <c:pt idx="310">
                  <c:v>5.1095253238970992E-17</c:v>
                </c:pt>
                <c:pt idx="311">
                  <c:v>4.4831414687854159E-17</c:v>
                </c:pt>
                <c:pt idx="312">
                  <c:v>3.9335468864677299E-17</c:v>
                </c:pt>
                <c:pt idx="313">
                  <c:v>3.4513278726026696E-17</c:v>
                </c:pt>
                <c:pt idx="314">
                  <c:v>3.0282247620291043E-17</c:v>
                </c:pt>
                <c:pt idx="315">
                  <c:v>2.6569904534891257E-17</c:v>
                </c:pt>
                <c:pt idx="316">
                  <c:v>2.3312662780030792E-17</c:v>
                </c:pt>
                <c:pt idx="317">
                  <c:v>2.0454730847141043E-17</c:v>
                </c:pt>
                <c:pt idx="318">
                  <c:v>1.7947156786713098E-17</c:v>
                </c:pt>
                <c:pt idx="319">
                  <c:v>1.574698973718747E-17</c:v>
                </c:pt>
                <c:pt idx="320">
                  <c:v>1.3816544243189908E-17</c:v>
                </c:pt>
                <c:pt idx="321">
                  <c:v>1.2122754762023471E-17</c:v>
                </c:pt>
                <c:pt idx="322">
                  <c:v>1.0636609302112509E-17</c:v>
                </c:pt>
                <c:pt idx="323">
                  <c:v>9.3326524925017913E-18</c:v>
                </c:pt>
                <c:pt idx="324">
                  <c:v>8.1885495717607588E-18</c:v>
                </c:pt>
                <c:pt idx="325">
                  <c:v>7.1847038280977189E-18</c:v>
                </c:pt>
                <c:pt idx="326">
                  <c:v>6.3039209380254523E-18</c:v>
                </c:pt>
                <c:pt idx="327">
                  <c:v>5.5311144542192551E-18</c:v>
                </c:pt>
                <c:pt idx="328">
                  <c:v>4.8530473980303027E-18</c:v>
                </c:pt>
                <c:pt idx="329">
                  <c:v>4.2581055305342042E-18</c:v>
                </c:pt>
                <c:pt idx="330">
                  <c:v>3.7360984185987887E-18</c:v>
                </c:pt>
                <c:pt idx="331">
                  <c:v>3.2780848885408442E-18</c:v>
                </c:pt>
                <c:pt idx="332">
                  <c:v>2.8762198776631881E-18</c:v>
                </c:pt>
                <c:pt idx="333">
                  <c:v>2.523620060475981E-18</c:v>
                </c:pt>
                <c:pt idx="334">
                  <c:v>2.214245947987492E-18</c:v>
                </c:pt>
                <c:pt idx="335">
                  <c:v>1.942798440607693E-18</c:v>
                </c:pt>
                <c:pt idx="336">
                  <c:v>1.7046280627760709E-18</c:v>
                </c:pt>
                <c:pt idx="337">
                  <c:v>1.4956553246433537E-18</c:v>
                </c:pt>
                <c:pt idx="338">
                  <c:v>1.312300846726045E-18</c:v>
                </c:pt>
                <c:pt idx="339">
                  <c:v>1.1514240506772813E-18</c:v>
                </c:pt>
                <c:pt idx="340">
                  <c:v>1.0102693660418302E-18</c:v>
                </c:pt>
                <c:pt idx="341">
                  <c:v>8.86419031600223E-19</c:v>
                </c:pt>
                <c:pt idx="342">
                  <c:v>7.7775168286211669E-19</c:v>
                </c:pt>
                <c:pt idx="343">
                  <c:v>6.8240601637676095E-19</c:v>
                </c:pt>
                <c:pt idx="344">
                  <c:v>5.9874890848646034E-19</c:v>
                </c:pt>
                <c:pt idx="345">
                  <c:v>5.2534744244663489E-19</c:v>
                </c:pt>
                <c:pt idx="346">
                  <c:v>4.6094436478035155E-19</c:v>
                </c:pt>
                <c:pt idx="347">
                  <c:v>4.0443655047268007E-19</c:v>
                </c:pt>
                <c:pt idx="348">
                  <c:v>3.5485610814698702E-19</c:v>
                </c:pt>
                <c:pt idx="349">
                  <c:v>3.1135380158409375E-19</c:v>
                </c:pt>
                <c:pt idx="350">
                  <c:v>2.7318450362058481E-19</c:v>
                </c:pt>
                <c:pt idx="351">
                  <c:v>2.3969443327406595E-19</c:v>
                </c:pt>
                <c:pt idx="352">
                  <c:v>2.1030995748708515E-19</c:v>
                </c:pt>
                <c:pt idx="353">
                  <c:v>1.8452776568092755E-19</c:v>
                </c:pt>
                <c:pt idx="354">
                  <c:v>1.6190624882460116E-19</c:v>
                </c:pt>
                <c:pt idx="355">
                  <c:v>1.4205793535581219E-19</c:v>
                </c:pt>
                <c:pt idx="356">
                  <c:v>1.2464285439296618E-19</c:v>
                </c:pt>
                <c:pt idx="357">
                  <c:v>1.0936271256029157E-19</c:v>
                </c:pt>
                <c:pt idx="358">
                  <c:v>9.5955784684114973E-20</c:v>
                </c:pt>
                <c:pt idx="359">
                  <c:v>8.4192430845825423E-20</c:v>
                </c:pt>
                <c:pt idx="360">
                  <c:v>7.3871163005585244E-20</c:v>
                </c:pt>
                <c:pt idx="361">
                  <c:v>6.4815193824140803E-20</c:v>
                </c:pt>
                <c:pt idx="362">
                  <c:v>5.6869408569394131E-20</c:v>
                </c:pt>
                <c:pt idx="363">
                  <c:v>4.989770824118261E-20</c:v>
                </c:pt>
                <c:pt idx="364">
                  <c:v>4.3780678406107577E-20</c:v>
                </c:pt>
                <c:pt idx="365">
                  <c:v>3.8413543813161425E-20</c:v>
                </c:pt>
              </c:numCache>
            </c:numRef>
          </c:yVal>
          <c:smooth val="1"/>
          <c:extLst>
            <c:ext xmlns:c16="http://schemas.microsoft.com/office/drawing/2014/chart" uri="{C3380CC4-5D6E-409C-BE32-E72D297353CC}">
              <c16:uniqueId val="{00000001-0CF0-4AA2-A727-45757B791E30}"/>
            </c:ext>
          </c:extLst>
        </c:ser>
        <c:ser>
          <c:idx val="2"/>
          <c:order val="2"/>
          <c:tx>
            <c:strRef>
              <c:f>'Min rate concentrations'!$L$2</c:f>
              <c:strCache>
                <c:ptCount val="1"/>
                <c:pt idx="0">
                  <c:v>Small birds (20 g, insect diet)</c:v>
                </c:pt>
              </c:strCache>
            </c:strRef>
          </c:tx>
          <c:spPr>
            <a:ln w="19050" cap="rnd">
              <a:solidFill>
                <a:schemeClr val="accent6"/>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concentrations'!$L$3:$L$368</c:f>
              <c:numCache>
                <c:formatCode>General</c:formatCode>
                <c:ptCount val="366"/>
                <c:pt idx="0">
                  <c:v>53.52829368557336</c:v>
                </c:pt>
                <c:pt idx="1">
                  <c:v>58.421240152220811</c:v>
                </c:pt>
                <c:pt idx="2">
                  <c:v>53.710680357663485</c:v>
                </c:pt>
                <c:pt idx="3">
                  <c:v>47.650808630251156</c:v>
                </c:pt>
                <c:pt idx="4">
                  <c:v>41.921492838818523</c:v>
                </c:pt>
                <c:pt idx="5">
                  <c:v>36.806302788935561</c:v>
                </c:pt>
                <c:pt idx="6">
                  <c:v>32.299307874782016</c:v>
                </c:pt>
                <c:pt idx="7">
                  <c:v>28.340790772635334</c:v>
                </c:pt>
                <c:pt idx="8">
                  <c:v>24.866689044541538</c:v>
                </c:pt>
                <c:pt idx="9">
                  <c:v>21.818297244291909</c:v>
                </c:pt>
                <c:pt idx="10">
                  <c:v>19.143572454835279</c:v>
                </c:pt>
                <c:pt idx="11">
                  <c:v>16.79673744283485</c:v>
                </c:pt>
                <c:pt idx="12">
                  <c:v>14.737602403330364</c:v>
                </c:pt>
                <c:pt idx="13">
                  <c:v>12.930899219887976</c:v>
                </c:pt>
                <c:pt idx="14">
                  <c:v>11.345682223313851</c:v>
                </c:pt>
                <c:pt idx="15">
                  <c:v>9.9547991774961897</c:v>
                </c:pt>
                <c:pt idx="16">
                  <c:v>8.7344264256071362</c:v>
                </c:pt>
                <c:pt idx="17">
                  <c:v>7.6636608752456246</c:v>
                </c:pt>
                <c:pt idx="18">
                  <c:v>6.7241619709909957</c:v>
                </c:pt>
                <c:pt idx="19">
                  <c:v>5.8998375512579351</c:v>
                </c:pt>
                <c:pt idx="20">
                  <c:v>5.1765682149470891</c:v>
                </c:pt>
                <c:pt idx="21">
                  <c:v>4.5419654780627789</c:v>
                </c:pt>
                <c:pt idx="22">
                  <c:v>3.9851595781826887</c:v>
                </c:pt>
                <c:pt idx="23">
                  <c:v>3.4966132922601245</c:v>
                </c:pt>
                <c:pt idx="24">
                  <c:v>3.0679585787592396</c:v>
                </c:pt>
                <c:pt idx="25">
                  <c:v>2.6918532460586961</c:v>
                </c:pt>
                <c:pt idx="26">
                  <c:v>2.3618551920760402</c:v>
                </c:pt>
                <c:pt idx="27">
                  <c:v>2.0723120610323607</c:v>
                </c:pt>
                <c:pt idx="28">
                  <c:v>1.8182644273484869</c:v>
                </c:pt>
                <c:pt idx="29">
                  <c:v>1.5953608483627377</c:v>
                </c:pt>
                <c:pt idx="30">
                  <c:v>1.3997833308548078</c:v>
                </c:pt>
                <c:pt idx="31">
                  <c:v>1.2281819347327196</c:v>
                </c:pt>
                <c:pt idx="32">
                  <c:v>1.0776173937452522</c:v>
                </c:pt>
                <c:pt idx="33">
                  <c:v>0.94551077040147691</c:v>
                </c:pt>
                <c:pt idx="34">
                  <c:v>0.82959928276411332</c:v>
                </c:pt>
                <c:pt idx="35">
                  <c:v>0.72789754649806615</c:v>
                </c:pt>
                <c:pt idx="36">
                  <c:v>0.63866356831043269</c:v>
                </c:pt>
                <c:pt idx="37">
                  <c:v>0.56036890830225983</c:v>
                </c:pt>
                <c:pt idx="38">
                  <c:v>0.49167250015932534</c:v>
                </c:pt>
                <c:pt idx="39">
                  <c:v>0.43139768076234447</c:v>
                </c:pt>
                <c:pt idx="40">
                  <c:v>0.37851203576938536</c:v>
                </c:pt>
                <c:pt idx="41">
                  <c:v>0.33210971595652167</c:v>
                </c:pt>
                <c:pt idx="42">
                  <c:v>0.29139592142301568</c:v>
                </c:pt>
                <c:pt idx="43">
                  <c:v>0.25567328789948618</c:v>
                </c:pt>
                <c:pt idx="44">
                  <c:v>0.22432994197759701</c:v>
                </c:pt>
                <c:pt idx="45">
                  <c:v>0.19682902066584324</c:v>
                </c:pt>
                <c:pt idx="46">
                  <c:v>0.17269947575764955</c:v>
                </c:pt>
                <c:pt idx="47">
                  <c:v>0.15152800550484416</c:v>
                </c:pt>
                <c:pt idx="48">
                  <c:v>0.1329519753985649</c:v>
                </c:pt>
                <c:pt idx="49">
                  <c:v>0.11665320680153429</c:v>
                </c:pt>
                <c:pt idx="50">
                  <c:v>0.1023525270405904</c:v>
                </c:pt>
                <c:pt idx="51">
                  <c:v>8.9804987610996423E-2</c:v>
                </c:pt>
                <c:pt idx="52">
                  <c:v>7.8795668587770901E-2</c:v>
                </c:pt>
                <c:pt idx="53">
                  <c:v>6.9135997380100719E-2</c:v>
                </c:pt>
                <c:pt idx="54">
                  <c:v>6.0660518774798701E-2</c:v>
                </c:pt>
                <c:pt idx="55">
                  <c:v>5.3224060944650903E-2</c:v>
                </c:pt>
                <c:pt idx="56">
                  <c:v>4.6699248879763872E-2</c:v>
                </c:pt>
                <c:pt idx="57">
                  <c:v>4.0974322650840542E-2</c:v>
                </c:pt>
                <c:pt idx="58">
                  <c:v>3.5951223134612305E-2</c:v>
                </c:pt>
                <c:pt idx="59">
                  <c:v>3.15439124128674E-2</c:v>
                </c:pt>
                <c:pt idx="60">
                  <c:v>2.767690007611142E-2</c:v>
                </c:pt>
                <c:pt idx="61">
                  <c:v>2.4283950189722986E-2</c:v>
                </c:pt>
                <c:pt idx="62">
                  <c:v>2.1306946774936678E-2</c:v>
                </c:pt>
                <c:pt idx="63">
                  <c:v>1.8694898372098964E-2</c:v>
                </c:pt>
                <c:pt idx="64">
                  <c:v>1.6403064635906621E-2</c:v>
                </c:pt>
                <c:pt idx="65">
                  <c:v>1.4392190002556388E-2</c:v>
                </c:pt>
                <c:pt idx="66">
                  <c:v>1.2627831302710429E-2</c:v>
                </c:pt>
                <c:pt idx="67">
                  <c:v>1.1079767803328691E-2</c:v>
                </c:pt>
                <c:pt idx="68">
                  <c:v>9.7214835732981082E-3</c:v>
                </c:pt>
                <c:pt idx="69">
                  <c:v>8.5297133065832115E-3</c:v>
                </c:pt>
                <c:pt idx="70">
                  <c:v>7.4840438235518726E-3</c:v>
                </c:pt>
                <c:pt idx="71">
                  <c:v>6.5665644248108371E-3</c:v>
                </c:pt>
                <c:pt idx="72">
                  <c:v>5.7615601086535269E-3</c:v>
                </c:pt>
                <c:pt idx="73">
                  <c:v>5.0552423974099519E-3</c:v>
                </c:pt>
                <c:pt idx="74">
                  <c:v>4.4355131621708309E-3</c:v>
                </c:pt>
                <c:pt idx="75">
                  <c:v>3.8917574005690649E-3</c:v>
                </c:pt>
                <c:pt idx="76">
                  <c:v>3.4146614182227865E-3</c:v>
                </c:pt>
                <c:pt idx="77">
                  <c:v>2.996053299569573E-3</c:v>
                </c:pt>
                <c:pt idx="78">
                  <c:v>2.628762935604198E-3</c:v>
                </c:pt>
                <c:pt idx="79">
                  <c:v>2.3064992110117593E-3</c:v>
                </c:pt>
                <c:pt idx="80">
                  <c:v>2.0237422471019164E-3</c:v>
                </c:pt>
                <c:pt idx="81">
                  <c:v>1.7756488548325078E-3</c:v>
                </c:pt>
                <c:pt idx="82">
                  <c:v>1.5579695784792371E-3</c:v>
                </c:pt>
                <c:pt idx="83">
                  <c:v>1.3669759090378991E-3</c:v>
                </c:pt>
                <c:pt idx="84">
                  <c:v>1.1993964206374222E-3</c:v>
                </c:pt>
                <c:pt idx="85">
                  <c:v>1.0523607360793487E-3</c:v>
                </c:pt>
                <c:pt idx="86">
                  <c:v>9.2335036172019305E-4</c:v>
                </c:pt>
                <c:pt idx="87">
                  <c:v>8.1015554957433007E-4</c:v>
                </c:pt>
                <c:pt idx="88">
                  <c:v>7.1083744775201827E-4</c:v>
                </c:pt>
                <c:pt idx="89">
                  <c:v>6.2369489092815736E-4</c:v>
                </c:pt>
                <c:pt idx="90">
                  <c:v>5.4723526201392605E-4</c:v>
                </c:pt>
                <c:pt idx="91">
                  <c:v>4.8014892593684153E-4</c:v>
                </c:pt>
                <c:pt idx="92">
                  <c:v>4.2128679761947729E-4</c:v>
                </c:pt>
                <c:pt idx="93">
                  <c:v>3.6964065993104066E-4</c:v>
                </c:pt>
                <c:pt idx="94">
                  <c:v>3.2432589448879096E-4</c:v>
                </c:pt>
                <c:pt idx="95">
                  <c:v>2.8456632951466397E-4</c:v>
                </c:pt>
                <c:pt idx="96">
                  <c:v>2.4968094521434208E-4</c:v>
                </c:pt>
                <c:pt idx="97">
                  <c:v>2.1907220896249721E-4</c:v>
                </c:pt>
                <c:pt idx="98">
                  <c:v>1.9221584049398764E-4</c:v>
                </c:pt>
                <c:pt idx="99">
                  <c:v>1.6865183179457969E-4</c:v>
                </c:pt>
                <c:pt idx="100">
                  <c:v>1.4797656787582446E-4</c:v>
                </c:pt>
                <c:pt idx="101">
                  <c:v>1.2983591347516115E-4</c:v>
                </c:pt>
                <c:pt idx="102">
                  <c:v>1.1391914726712341E-4</c:v>
                </c:pt>
                <c:pt idx="103">
                  <c:v>9.9953639688076648E-5</c:v>
                </c:pt>
                <c:pt idx="104">
                  <c:v>8.7700183213863762E-5</c:v>
                </c:pt>
                <c:pt idx="105">
                  <c:v>7.6948895105245074E-5</c:v>
                </c:pt>
                <c:pt idx="106">
                  <c:v>6.7515622441504663E-5</c:v>
                </c:pt>
                <c:pt idx="107">
                  <c:v>5.9238787866014404E-5</c:v>
                </c:pt>
                <c:pt idx="108">
                  <c:v>5.1976622016260695E-5</c:v>
                </c:pt>
                <c:pt idx="109">
                  <c:v>4.5604735234144447E-5</c:v>
                </c:pt>
                <c:pt idx="110">
                  <c:v>4.00139869637115E-5</c:v>
                </c:pt>
                <c:pt idx="111">
                  <c:v>3.5108616342394856E-5</c:v>
                </c:pt>
                <c:pt idx="112">
                  <c:v>3.0804601965690848E-5</c:v>
                </c:pt>
                <c:pt idx="113">
                  <c:v>2.7028222730577586E-5</c:v>
                </c:pt>
                <c:pt idx="114">
                  <c:v>2.371479510715137E-5</c:v>
                </c:pt>
                <c:pt idx="115">
                  <c:v>2.0807565209899119E-5</c:v>
                </c:pt>
                <c:pt idx="116">
                  <c:v>1.8256736691502908E-5</c:v>
                </c:pt>
                <c:pt idx="117">
                  <c:v>1.601861780850257E-5</c:v>
                </c:pt>
                <c:pt idx="118">
                  <c:v>1.4054873049371481E-5</c:v>
                </c:pt>
                <c:pt idx="119">
                  <c:v>1.233186650655316E-5</c:v>
                </c:pt>
                <c:pt idx="120">
                  <c:v>1.0820085745438181E-5</c:v>
                </c:pt>
                <c:pt idx="121">
                  <c:v>9.4936363020489388E-6</c:v>
                </c:pt>
                <c:pt idx="122">
                  <c:v>8.3297981509601708E-6</c:v>
                </c:pt>
                <c:pt idx="123">
                  <c:v>7.3086365464373782E-6</c:v>
                </c:pt>
                <c:pt idx="124">
                  <c:v>6.4126605711043357E-6</c:v>
                </c:pt>
                <c:pt idx="125">
                  <c:v>5.6265235436069616E-6</c:v>
                </c:pt>
                <c:pt idx="126">
                  <c:v>4.9367601537206578E-6</c:v>
                </c:pt>
                <c:pt idx="127">
                  <c:v>4.3315558224324537E-6</c:v>
                </c:pt>
                <c:pt idx="128">
                  <c:v>3.8005443364932287E-6</c:v>
                </c:pt>
                <c:pt idx="129">
                  <c:v>3.3346302912331908E-6</c:v>
                </c:pt>
                <c:pt idx="130">
                  <c:v>2.9258333003609115E-6</c:v>
                </c:pt>
                <c:pt idx="131">
                  <c:v>2.5671513043009747E-6</c:v>
                </c:pt>
                <c:pt idx="132">
                  <c:v>2.2524406357536721E-6</c:v>
                </c:pt>
                <c:pt idx="133">
                  <c:v>1.9763107881854653E-6</c:v>
                </c:pt>
                <c:pt idx="134">
                  <c:v>1.7340320847973712E-6</c:v>
                </c:pt>
                <c:pt idx="135">
                  <c:v>1.5214546664836302E-6</c:v>
                </c:pt>
                <c:pt idx="136">
                  <c:v>1.3349374111698237E-6</c:v>
                </c:pt>
                <c:pt idx="137">
                  <c:v>1.171285567028733E-6</c:v>
                </c:pt>
                <c:pt idx="138">
                  <c:v>1.0276960313274892E-6</c:v>
                </c:pt>
                <c:pt idx="139">
                  <c:v>9.0170933761737603E-7</c:v>
                </c:pt>
                <c:pt idx="140">
                  <c:v>7.9116752888118171E-7</c:v>
                </c:pt>
                <c:pt idx="141">
                  <c:v>6.9417719507033034E-7</c:v>
                </c:pt>
                <c:pt idx="142">
                  <c:v>6.0907704192202867E-7</c:v>
                </c:pt>
                <c:pt idx="143">
                  <c:v>5.3440943556047465E-7</c:v>
                </c:pt>
                <c:pt idx="144">
                  <c:v>4.6889543548519681E-7</c:v>
                </c:pt>
                <c:pt idx="145">
                  <c:v>4.1141288830027079E-7</c:v>
                </c:pt>
                <c:pt idx="146">
                  <c:v>3.6097720696390689E-7</c:v>
                </c:pt>
                <c:pt idx="147">
                  <c:v>3.1672450633670992E-7</c:v>
                </c:pt>
                <c:pt idx="148">
                  <c:v>2.7789680616666403E-7</c:v>
                </c:pt>
                <c:pt idx="149">
                  <c:v>2.4382904806088094E-7</c:v>
                </c:pt>
                <c:pt idx="150">
                  <c:v>2.1393770406493869E-7</c:v>
                </c:pt>
                <c:pt idx="151">
                  <c:v>1.8771078173240981E-7</c:v>
                </c:pt>
                <c:pt idx="152">
                  <c:v>1.6469905448689423E-7</c:v>
                </c:pt>
                <c:pt idx="153">
                  <c:v>1.4450836706623482E-7</c:v>
                </c:pt>
                <c:pt idx="154">
                  <c:v>1.2679288425308706E-7</c:v>
                </c:pt>
                <c:pt idx="155">
                  <c:v>1.1124916725305021E-7</c:v>
                </c:pt>
                <c:pt idx="156">
                  <c:v>9.7610976257887352E-8</c:v>
                </c:pt>
                <c:pt idx="157">
                  <c:v>8.564471016978883E-8</c:v>
                </c:pt>
                <c:pt idx="158">
                  <c:v>7.5145405376215893E-8</c:v>
                </c:pt>
                <c:pt idx="159">
                  <c:v>6.5933225040531897E-8</c:v>
                </c:pt>
                <c:pt idx="160">
                  <c:v>5.7850378775404691E-8</c:v>
                </c:pt>
                <c:pt idx="161">
                  <c:v>5.0758419937754585E-8</c:v>
                </c:pt>
                <c:pt idx="162">
                  <c:v>4.4535874252094186E-8</c:v>
                </c:pt>
                <c:pt idx="163">
                  <c:v>3.9076159144249512E-8</c:v>
                </c:pt>
                <c:pt idx="164">
                  <c:v>3.4285758146869977E-8</c:v>
                </c:pt>
                <c:pt idx="165">
                  <c:v>3.0082619107119968E-8</c:v>
                </c:pt>
                <c:pt idx="166">
                  <c:v>2.6394748760329674E-8</c:v>
                </c:pt>
                <c:pt idx="167">
                  <c:v>2.315897959682751E-8</c:v>
                </c:pt>
                <c:pt idx="168">
                  <c:v>2.0319887900292109E-8</c:v>
                </c:pt>
                <c:pt idx="169">
                  <c:v>1.7828844425295809E-8</c:v>
                </c:pt>
                <c:pt idx="170">
                  <c:v>1.5643181453615791E-8</c:v>
                </c:pt>
                <c:pt idx="171">
                  <c:v>1.3725461962276837E-8</c:v>
                </c:pt>
                <c:pt idx="172">
                  <c:v>1.204283838530582E-8</c:v>
                </c:pt>
                <c:pt idx="173">
                  <c:v>1.0566489985779474E-8</c:v>
                </c:pt>
                <c:pt idx="174">
                  <c:v>9.2711292012196668E-9</c:v>
                </c:pt>
                <c:pt idx="175">
                  <c:v>8.1345685067970418E-9</c:v>
                </c:pt>
                <c:pt idx="176">
                  <c:v>7.1373403773802521E-9</c:v>
                </c:pt>
                <c:pt idx="177">
                  <c:v>6.2623638389690778E-9</c:v>
                </c:pt>
                <c:pt idx="178">
                  <c:v>5.4946518980536734E-9</c:v>
                </c:pt>
                <c:pt idx="179">
                  <c:v>4.8210548376178299E-9</c:v>
                </c:pt>
                <c:pt idx="180">
                  <c:v>4.2300349828441931E-9</c:v>
                </c:pt>
                <c:pt idx="181">
                  <c:v>3.7114690786066687E-9</c:v>
                </c:pt>
                <c:pt idx="182">
                  <c:v>3.2564748937824129E-9</c:v>
                </c:pt>
                <c:pt idx="183">
                  <c:v>2.8572590823837027E-9</c:v>
                </c:pt>
                <c:pt idx="184">
                  <c:v>2.5069836956064206E-9</c:v>
                </c:pt>
                <c:pt idx="185">
                  <c:v>2.1996490583531954E-9</c:v>
                </c:pt>
                <c:pt idx="186">
                  <c:v>1.9299910040873684E-9</c:v>
                </c:pt>
                <c:pt idx="187">
                  <c:v>1.6933907078099328E-9</c:v>
                </c:pt>
                <c:pt idx="188">
                  <c:v>1.4857955727379202E-9</c:v>
                </c:pt>
                <c:pt idx="189">
                  <c:v>1.303649815595531E-9</c:v>
                </c:pt>
                <c:pt idx="190">
                  <c:v>1.1438335615514971E-9</c:v>
                </c:pt>
                <c:pt idx="191">
                  <c:v>1.0036094055932512E-9</c:v>
                </c:pt>
                <c:pt idx="192">
                  <c:v>8.8057552501696878E-10</c:v>
                </c:pt>
                <c:pt idx="193">
                  <c:v>7.7262453992302901E-10</c:v>
                </c:pt>
                <c:pt idx="194">
                  <c:v>6.7790741706086947E-10</c:v>
                </c:pt>
                <c:pt idx="195">
                  <c:v>5.9480179875198113E-10</c:v>
                </c:pt>
                <c:pt idx="196">
                  <c:v>5.2188421441452603E-10</c:v>
                </c:pt>
                <c:pt idx="197">
                  <c:v>4.5790569871601251E-10</c:v>
                </c:pt>
                <c:pt idx="198">
                  <c:v>4.017703987307332E-10</c:v>
                </c:pt>
                <c:pt idx="199">
                  <c:v>3.5251680367569033E-10</c:v>
                </c:pt>
                <c:pt idx="200">
                  <c:v>3.0930127571944328E-10</c:v>
                </c:pt>
                <c:pt idx="201">
                  <c:v>2.7138359977213284E-10</c:v>
                </c:pt>
                <c:pt idx="202">
                  <c:v>2.3811430474695404E-10</c:v>
                </c:pt>
                <c:pt idx="203">
                  <c:v>2.0892353912591669E-10</c:v>
                </c:pt>
                <c:pt idx="204">
                  <c:v>1.8331131028555645E-10</c:v>
                </c:pt>
                <c:pt idx="205">
                  <c:v>1.6083892039735764E-10</c:v>
                </c:pt>
                <c:pt idx="206">
                  <c:v>1.4112145221311994E-10</c:v>
                </c:pt>
                <c:pt idx="207">
                  <c:v>1.2382117602840533E-10</c:v>
                </c:pt>
                <c:pt idx="208">
                  <c:v>1.0864176489555684E-10</c:v>
                </c:pt>
                <c:pt idx="209">
                  <c:v>9.5323219001843117E-11</c:v>
                </c:pt>
                <c:pt idx="210">
                  <c:v>8.3637412275184404E-11</c:v>
                </c:pt>
                <c:pt idx="211">
                  <c:v>7.3384184937710833E-11</c:v>
                </c:pt>
                <c:pt idx="212">
                  <c:v>6.4387915078644431E-11</c:v>
                </c:pt>
                <c:pt idx="213">
                  <c:v>5.6494510522856144E-11</c:v>
                </c:pt>
                <c:pt idx="214">
                  <c:v>4.9568769470463462E-11</c:v>
                </c:pt>
                <c:pt idx="215">
                  <c:v>4.3492064699310729E-11</c:v>
                </c:pt>
                <c:pt idx="216">
                  <c:v>3.8160311664306164E-11</c:v>
                </c:pt>
                <c:pt idx="217">
                  <c:v>3.3482185690302712E-11</c:v>
                </c:pt>
                <c:pt idx="218">
                  <c:v>2.9377557721796844E-11</c:v>
                </c:pt>
                <c:pt idx="219">
                  <c:v>2.5776121836259447E-11</c:v>
                </c:pt>
                <c:pt idx="220">
                  <c:v>2.2616191012526865E-11</c:v>
                </c:pt>
                <c:pt idx="221">
                  <c:v>1.9843640527629013E-11</c:v>
                </c:pt>
                <c:pt idx="222">
                  <c:v>1.7410980884077938E-11</c:v>
                </c:pt>
                <c:pt idx="223">
                  <c:v>1.5276544388296671E-11</c:v>
                </c:pt>
                <c:pt idx="224">
                  <c:v>1.3403771447535974E-11</c:v>
                </c:pt>
                <c:pt idx="225">
                  <c:v>1.1760584360650215E-11</c:v>
                </c:pt>
                <c:pt idx="226">
                  <c:v>1.0318837876737768E-11</c:v>
                </c:pt>
                <c:pt idx="227">
                  <c:v>9.0538371105660809E-12</c:v>
                </c:pt>
                <c:pt idx="228">
                  <c:v>7.9439145574189862E-12</c:v>
                </c:pt>
                <c:pt idx="229">
                  <c:v>6.9700589622854025E-12</c:v>
                </c:pt>
                <c:pt idx="230">
                  <c:v>6.11558968649324E-12</c:v>
                </c:pt>
                <c:pt idx="231">
                  <c:v>5.3658709941930404E-12</c:v>
                </c:pt>
                <c:pt idx="232">
                  <c:v>4.708061364861162E-12</c:v>
                </c:pt>
                <c:pt idx="233">
                  <c:v>4.1308935379337823E-12</c:v>
                </c:pt>
                <c:pt idx="234">
                  <c:v>3.6244815220768249E-12</c:v>
                </c:pt>
                <c:pt idx="235">
                  <c:v>3.1801512634593876E-12</c:v>
                </c:pt>
                <c:pt idx="236">
                  <c:v>2.7902920726403346E-12</c:v>
                </c:pt>
                <c:pt idx="237">
                  <c:v>2.4482262652406451E-12</c:v>
                </c:pt>
                <c:pt idx="238">
                  <c:v>2.1480947835480424E-12</c:v>
                </c:pt>
                <c:pt idx="239">
                  <c:v>1.8847568399290707E-12</c:v>
                </c:pt>
                <c:pt idx="240">
                  <c:v>1.6537018630956375E-12</c:v>
                </c:pt>
                <c:pt idx="241">
                  <c:v>1.4509722390018751E-12</c:v>
                </c:pt>
                <c:pt idx="242">
                  <c:v>1.2730955230425107E-12</c:v>
                </c:pt>
                <c:pt idx="243">
                  <c:v>1.1170249624526339E-12</c:v>
                </c:pt>
                <c:pt idx="244">
                  <c:v>9.8008731014965937E-13</c:v>
                </c:pt>
                <c:pt idx="245">
                  <c:v>8.5993703614938357E-13</c:v>
                </c:pt>
                <c:pt idx="246">
                  <c:v>7.5451615226858302E-13</c:v>
                </c:pt>
                <c:pt idx="247">
                  <c:v>6.6201896197350534E-13</c:v>
                </c:pt>
                <c:pt idx="248">
                  <c:v>5.8086113159373157E-13</c:v>
                </c:pt>
                <c:pt idx="249">
                  <c:v>5.0965255313918558E-13</c:v>
                </c:pt>
                <c:pt idx="250">
                  <c:v>4.4717353390235597E-13</c:v>
                </c:pt>
                <c:pt idx="251">
                  <c:v>3.9235390501048164E-13</c:v>
                </c:pt>
                <c:pt idx="252">
                  <c:v>3.4425469108954133E-13</c:v>
                </c:pt>
                <c:pt idx="253">
                  <c:v>3.0205202706976883E-13</c:v>
                </c:pt>
                <c:pt idx="254">
                  <c:v>2.6502304665247348E-13</c:v>
                </c:pt>
                <c:pt idx="255">
                  <c:v>2.3253350072944731E-13</c:v>
                </c:pt>
                <c:pt idx="256">
                  <c:v>2.0402689367765301E-13</c:v>
                </c:pt>
                <c:pt idx="257">
                  <c:v>1.7901495145073872E-13</c:v>
                </c:pt>
                <c:pt idx="258">
                  <c:v>1.5706925820054457E-13</c:v>
                </c:pt>
                <c:pt idx="259">
                  <c:v>1.3781391817687494E-13</c:v>
                </c:pt>
                <c:pt idx="260">
                  <c:v>1.2091911721523958E-13</c:v>
                </c:pt>
                <c:pt idx="261">
                  <c:v>1.0609547353081723E-13</c:v>
                </c:pt>
                <c:pt idx="262">
                  <c:v>9.3089081056487419E-14</c:v>
                </c:pt>
                <c:pt idx="263">
                  <c:v>8.167716042498477E-14</c:v>
                </c:pt>
                <c:pt idx="264">
                  <c:v>7.1664243103233235E-14</c:v>
                </c:pt>
                <c:pt idx="265">
                  <c:v>6.2878823318988702E-14</c:v>
                </c:pt>
                <c:pt idx="266">
                  <c:v>5.5170420432476703E-14</c:v>
                </c:pt>
                <c:pt idx="267">
                  <c:v>4.8407001435999474E-14</c:v>
                </c:pt>
                <c:pt idx="268">
                  <c:v>4.2472719432920633E-14</c:v>
                </c:pt>
                <c:pt idx="269">
                  <c:v>3.7265929359673988E-14</c:v>
                </c:pt>
                <c:pt idx="270">
                  <c:v>3.2697446963186242E-14</c:v>
                </c:pt>
                <c:pt idx="271">
                  <c:v>2.8689021212692231E-14</c:v>
                </c:pt>
                <c:pt idx="272">
                  <c:v>2.5171993980722116E-14</c:v>
                </c:pt>
                <c:pt idx="273">
                  <c:v>2.2086124035670767E-14</c:v>
                </c:pt>
                <c:pt idx="274">
                  <c:v>1.9378555202762708E-14</c:v>
                </c:pt>
                <c:pt idx="275">
                  <c:v>1.7002911019607362E-14</c:v>
                </c:pt>
                <c:pt idx="276">
                  <c:v>1.4918500379195967E-14</c:v>
                </c:pt>
                <c:pt idx="277">
                  <c:v>1.308962055423435E-14</c:v>
                </c:pt>
                <c:pt idx="278">
                  <c:v>1.1484945664697476E-14</c:v>
                </c:pt>
                <c:pt idx="279">
                  <c:v>1.0076990114001726E-14</c:v>
                </c:pt>
                <c:pt idx="280">
                  <c:v>8.8416378032871884E-15</c:v>
                </c:pt>
                <c:pt idx="281">
                  <c:v>7.7577290599794787E-15</c:v>
                </c:pt>
                <c:pt idx="282">
                  <c:v>6.8066982053568383E-15</c:v>
                </c:pt>
                <c:pt idx="283">
                  <c:v>5.9722555532160547E-15</c:v>
                </c:pt>
                <c:pt idx="284">
                  <c:v>5.2401083927666411E-15</c:v>
                </c:pt>
                <c:pt idx="285">
                  <c:v>4.5977161766222285E-15</c:v>
                </c:pt>
                <c:pt idx="286">
                  <c:v>4.0340757206384593E-15</c:v>
                </c:pt>
                <c:pt idx="287">
                  <c:v>3.5395327364031493E-15</c:v>
                </c:pt>
                <c:pt idx="288">
                  <c:v>3.1056164682220582E-15</c:v>
                </c:pt>
                <c:pt idx="289">
                  <c:v>2.7248946021878268E-15</c:v>
                </c:pt>
                <c:pt idx="290">
                  <c:v>2.3908459621490675E-15</c:v>
                </c:pt>
                <c:pt idx="291">
                  <c:v>2.0977488120586351E-15</c:v>
                </c:pt>
                <c:pt idx="292">
                  <c:v>1.8405828514932331E-15</c:v>
                </c:pt>
                <c:pt idx="293">
                  <c:v>1.6149432256793335E-15</c:v>
                </c:pt>
                <c:pt idx="294">
                  <c:v>1.4169650771502687E-15</c:v>
                </c:pt>
                <c:pt idx="295">
                  <c:v>1.2432573467212019E-15</c:v>
                </c:pt>
                <c:pt idx="296">
                  <c:v>1.0908446898951503E-15</c:v>
                </c:pt>
                <c:pt idx="297">
                  <c:v>9.5711651381802673E-16</c:v>
                </c:pt>
                <c:pt idx="298">
                  <c:v>8.3978226186463239E-16</c:v>
                </c:pt>
                <c:pt idx="299">
                  <c:v>7.368321799497881E-16</c:v>
                </c:pt>
                <c:pt idx="300">
                  <c:v>6.4650289255225131E-16</c:v>
                </c:pt>
                <c:pt idx="301">
                  <c:v>5.6724719882200349E-16</c:v>
                </c:pt>
                <c:pt idx="302">
                  <c:v>4.9770757142498591E-16</c:v>
                </c:pt>
                <c:pt idx="303">
                  <c:v>4.366929042015195E-16</c:v>
                </c:pt>
                <c:pt idx="304">
                  <c:v>3.8315811036179847E-16</c:v>
                </c:pt>
                <c:pt idx="305">
                  <c:v>3.3618622176713021E-16</c:v>
                </c:pt>
                <c:pt idx="306">
                  <c:v>2.9497268268532113E-16</c:v>
                </c:pt>
                <c:pt idx="307">
                  <c:v>2.5881156899655613E-16</c:v>
                </c:pt>
                <c:pt idx="308">
                  <c:v>2.2708349680610088E-16</c:v>
                </c:pt>
                <c:pt idx="309">
                  <c:v>1.9924501335708302E-16</c:v>
                </c:pt>
                <c:pt idx="310">
                  <c:v>1.7481928852611203E-16</c:v>
                </c:pt>
                <c:pt idx="311">
                  <c:v>1.5338794746146931E-16</c:v>
                </c:pt>
                <c:pt idx="312">
                  <c:v>1.3458390446960444E-16</c:v>
                </c:pt>
                <c:pt idx="313">
                  <c:v>1.180850754055074E-16</c:v>
                </c:pt>
                <c:pt idx="314">
                  <c:v>1.036088608699387E-16</c:v>
                </c:pt>
                <c:pt idx="315">
                  <c:v>9.0907305719225995E-17</c:v>
                </c:pt>
                <c:pt idx="316">
                  <c:v>7.9762851977524189E-17</c:v>
                </c:pt>
                <c:pt idx="317">
                  <c:v>6.9984612405501206E-17</c:v>
                </c:pt>
                <c:pt idx="318">
                  <c:v>6.1405100897449905E-17</c:v>
                </c:pt>
                <c:pt idx="319">
                  <c:v>5.387736370359053E-17</c:v>
                </c:pt>
                <c:pt idx="320">
                  <c:v>4.7272462339843236E-17</c:v>
                </c:pt>
                <c:pt idx="321">
                  <c:v>4.1477265071211556E-17</c:v>
                </c:pt>
                <c:pt idx="322">
                  <c:v>3.6392509140306629E-17</c:v>
                </c:pt>
                <c:pt idx="323">
                  <c:v>3.1931100549986564E-17</c:v>
                </c:pt>
                <c:pt idx="324">
                  <c:v>2.8016622278019757E-17</c:v>
                </c:pt>
                <c:pt idx="325">
                  <c:v>2.4582025371798941E-17</c:v>
                </c:pt>
                <c:pt idx="326">
                  <c:v>2.1568480503584733E-17</c:v>
                </c:pt>
                <c:pt idx="327">
                  <c:v>1.8924370315197957E-17</c:v>
                </c:pt>
                <c:pt idx="328">
                  <c:v>1.6604405292585314E-17</c:v>
                </c:pt>
                <c:pt idx="329">
                  <c:v>1.4568848026558562E-17</c:v>
                </c:pt>
                <c:pt idx="330">
                  <c:v>1.2782832572494482E-17</c:v>
                </c:pt>
                <c:pt idx="331">
                  <c:v>1.1215767250681128E-17</c:v>
                </c:pt>
                <c:pt idx="332">
                  <c:v>9.8408106582048107E-18</c:v>
                </c:pt>
                <c:pt idx="333">
                  <c:v>8.6344119172726449E-18</c:v>
                </c:pt>
                <c:pt idx="334">
                  <c:v>7.5759072851362097E-18</c:v>
                </c:pt>
                <c:pt idx="335">
                  <c:v>6.6471662161687874E-18</c:v>
                </c:pt>
                <c:pt idx="336">
                  <c:v>5.8322808136875534E-18</c:v>
                </c:pt>
                <c:pt idx="337">
                  <c:v>5.1172933523111729E-18</c:v>
                </c:pt>
                <c:pt idx="338">
                  <c:v>4.4899572037326451E-18</c:v>
                </c:pt>
                <c:pt idx="339">
                  <c:v>3.9395270709359954E-18</c:v>
                </c:pt>
                <c:pt idx="340">
                  <c:v>3.4565749378937005E-18</c:v>
                </c:pt>
                <c:pt idx="341">
                  <c:v>3.0328285822481037E-18</c:v>
                </c:pt>
                <c:pt idx="342">
                  <c:v>2.6610298849490496E-18</c:v>
                </c:pt>
                <c:pt idx="343">
                  <c:v>2.3348105099111987E-18</c:v>
                </c:pt>
                <c:pt idx="344">
                  <c:v>2.0485828242760109E-18</c:v>
                </c:pt>
                <c:pt idx="345">
                  <c:v>1.7974441909113605E-18</c:v>
                </c:pt>
                <c:pt idx="346">
                  <c:v>1.5770929938274741E-18</c:v>
                </c:pt>
                <c:pt idx="347">
                  <c:v>1.3837549581545593E-18</c:v>
                </c:pt>
                <c:pt idx="348">
                  <c:v>1.2141185026574237E-18</c:v>
                </c:pt>
                <c:pt idx="349">
                  <c:v>1.0652780174757327E-18</c:v>
                </c:pt>
                <c:pt idx="350">
                  <c:v>9.3468409552541673E-19</c:v>
                </c:pt>
                <c:pt idx="351">
                  <c:v>8.2009986510218007E-19</c:v>
                </c:pt>
                <c:pt idx="352">
                  <c:v>7.1956267573221494E-19</c:v>
                </c:pt>
                <c:pt idx="353">
                  <c:v>6.3135048100805792E-19</c:v>
                </c:pt>
                <c:pt idx="354">
                  <c:v>5.5395234259961278E-19</c:v>
                </c:pt>
                <c:pt idx="355">
                  <c:v>4.8604255021971281E-19</c:v>
                </c:pt>
                <c:pt idx="356">
                  <c:v>4.2645791425929639E-19</c:v>
                </c:pt>
                <c:pt idx="357">
                  <c:v>3.7417784215019382E-19</c:v>
                </c:pt>
                <c:pt idx="358">
                  <c:v>3.2830685719446309E-19</c:v>
                </c:pt>
                <c:pt idx="359">
                  <c:v>2.8805926043488391E-19</c:v>
                </c:pt>
                <c:pt idx="360">
                  <c:v>2.5274567284819935E-19</c:v>
                </c:pt>
                <c:pt idx="361">
                  <c:v>2.2176122734970789E-19</c:v>
                </c:pt>
                <c:pt idx="362">
                  <c:v>1.9457520835652639E-19</c:v>
                </c:pt>
                <c:pt idx="363">
                  <c:v>1.7072196145128128E-19</c:v>
                </c:pt>
                <c:pt idx="364">
                  <c:v>1.4979291744284112E-19</c:v>
                </c:pt>
                <c:pt idx="365">
                  <c:v>1.3142959420859808E-19</c:v>
                </c:pt>
              </c:numCache>
            </c:numRef>
          </c:yVal>
          <c:smooth val="1"/>
          <c:extLst>
            <c:ext xmlns:c16="http://schemas.microsoft.com/office/drawing/2014/chart" uri="{C3380CC4-5D6E-409C-BE32-E72D297353CC}">
              <c16:uniqueId val="{00000002-0CF0-4AA2-A727-45757B791E30}"/>
            </c:ext>
          </c:extLst>
        </c:ser>
        <c:ser>
          <c:idx val="3"/>
          <c:order val="3"/>
          <c:tx>
            <c:strRef>
              <c:f>'Min rate concentrations'!$M$2</c:f>
              <c:strCache>
                <c:ptCount val="1"/>
                <c:pt idx="0">
                  <c:v>Small terrestrial phase amphibians or reptiles (2 g; insect diet)</c:v>
                </c:pt>
              </c:strCache>
            </c:strRef>
          </c:tx>
          <c:spPr>
            <a:ln w="19050" cap="rnd">
              <a:solidFill>
                <a:schemeClr val="accent4"/>
              </a:solidFill>
              <a:round/>
            </a:ln>
            <a:effectLst/>
          </c:spPr>
          <c:marker>
            <c:symbol val="none"/>
          </c:marker>
          <c:xVal>
            <c:numRef>
              <c:f>'Min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concentrations'!$M$3:$M$368</c:f>
              <c:numCache>
                <c:formatCode>General</c:formatCode>
                <c:ptCount val="366"/>
                <c:pt idx="0">
                  <c:v>2.6102217584181342</c:v>
                </c:pt>
                <c:pt idx="1">
                  <c:v>2.8488184789681945</c:v>
                </c:pt>
                <c:pt idx="2">
                  <c:v>2.619115553216294</c:v>
                </c:pt>
                <c:pt idx="3">
                  <c:v>2.3236155858714054</c:v>
                </c:pt>
                <c:pt idx="4">
                  <c:v>2.0442346508561613</c:v>
                </c:pt>
                <c:pt idx="5">
                  <c:v>1.7948005768862871</c:v>
                </c:pt>
                <c:pt idx="6">
                  <c:v>1.5750241674399668</c:v>
                </c:pt>
                <c:pt idx="7">
                  <c:v>1.381993402592733</c:v>
                </c:pt>
                <c:pt idx="8">
                  <c:v>1.2125843798636475</c:v>
                </c:pt>
                <c:pt idx="9">
                  <c:v>1.0639344219192655</c:v>
                </c:pt>
                <c:pt idx="10">
                  <c:v>0.9335057390206416</c:v>
                </c:pt>
                <c:pt idx="11">
                  <c:v>0.81906607748904325</c:v>
                </c:pt>
                <c:pt idx="12">
                  <c:v>0.71865564566755635</c:v>
                </c:pt>
                <c:pt idx="13">
                  <c:v>0.63055465018046075</c:v>
                </c:pt>
                <c:pt idx="14">
                  <c:v>0.55325407488887035</c:v>
                </c:pt>
                <c:pt idx="15">
                  <c:v>0.48542988436014023</c:v>
                </c:pt>
                <c:pt idx="16">
                  <c:v>0.42592035601476086</c:v>
                </c:pt>
                <c:pt idx="17">
                  <c:v>0.37370618393343658</c:v>
                </c:pt>
                <c:pt idx="18">
                  <c:v>0.32789302022042333</c:v>
                </c:pt>
                <c:pt idx="19">
                  <c:v>0.28769615631473633</c:v>
                </c:pt>
                <c:pt idx="20">
                  <c:v>0.25242708217004656</c:v>
                </c:pt>
                <c:pt idx="21">
                  <c:v>0.22148169314836061</c:v>
                </c:pt>
                <c:pt idx="22">
                  <c:v>0.19432994264385484</c:v>
                </c:pt>
                <c:pt idx="23">
                  <c:v>0.17050676320533048</c:v>
                </c:pt>
                <c:pt idx="24">
                  <c:v>0.14960410065081575</c:v>
                </c:pt>
                <c:pt idx="25">
                  <c:v>0.13126392473116683</c:v>
                </c:pt>
                <c:pt idx="26">
                  <c:v>0.11517209662618609</c:v>
                </c:pt>
                <c:pt idx="27">
                  <c:v>0.10105298823296607</c:v>
                </c:pt>
                <c:pt idx="28">
                  <c:v>8.8664761083199706E-2</c:v>
                </c:pt>
                <c:pt idx="29">
                  <c:v>7.7795224024619997E-2</c:v>
                </c:pt>
                <c:pt idx="30">
                  <c:v>6.8258198715065069E-2</c:v>
                </c:pt>
                <c:pt idx="31">
                  <c:v>5.9890330675708453E-2</c:v>
                </c:pt>
                <c:pt idx="32">
                  <c:v>5.2548291281733772E-2</c:v>
                </c:pt>
                <c:pt idx="33">
                  <c:v>4.6106322764885507E-2</c:v>
                </c:pt>
                <c:pt idx="34">
                  <c:v>4.045408417759043E-2</c:v>
                </c:pt>
                <c:pt idx="35">
                  <c:v>3.5494761423349792E-2</c:v>
                </c:pt>
                <c:pt idx="36">
                  <c:v>3.1143408981148833E-2</c:v>
                </c:pt>
                <c:pt idx="37">
                  <c:v>2.7325494920190031E-2</c:v>
                </c:pt>
                <c:pt idx="38">
                  <c:v>2.3975624283305005E-2</c:v>
                </c:pt>
                <c:pt idx="39">
                  <c:v>2.1036418972579289E-2</c:v>
                </c:pt>
                <c:pt idx="40">
                  <c:v>1.8457534951364853E-2</c:v>
                </c:pt>
                <c:pt idx="41">
                  <c:v>1.6194799928872301E-2</c:v>
                </c:pt>
                <c:pt idx="42">
                  <c:v>1.4209456757214946E-2</c:v>
                </c:pt>
                <c:pt idx="43">
                  <c:v>1.2467499581467263E-2</c:v>
                </c:pt>
                <c:pt idx="44">
                  <c:v>1.0939091372016135E-2</c:v>
                </c:pt>
                <c:pt idx="45">
                  <c:v>9.5980528624357072E-3</c:v>
                </c:pt>
                <c:pt idx="46">
                  <c:v>8.421414139182893E-3</c:v>
                </c:pt>
                <c:pt idx="47">
                  <c:v>7.389021202539205E-3</c:v>
                </c:pt>
                <c:pt idx="48">
                  <c:v>6.48319075979695E-3</c:v>
                </c:pt>
                <c:pt idx="49">
                  <c:v>5.6884073378315018E-3</c:v>
                </c:pt>
                <c:pt idx="50">
                  <c:v>4.9910575270669189E-3</c:v>
                </c:pt>
                <c:pt idx="51">
                  <c:v>4.379196804845489E-3</c:v>
                </c:pt>
                <c:pt idx="52">
                  <c:v>3.8423449442464863E-3</c:v>
                </c:pt>
                <c:pt idx="53">
                  <c:v>3.3713065040239577E-3</c:v>
                </c:pt>
                <c:pt idx="54">
                  <c:v>2.9580133249340898E-3</c:v>
                </c:pt>
                <c:pt idx="55">
                  <c:v>2.5953863346580637E-3</c:v>
                </c:pt>
                <c:pt idx="56">
                  <c:v>2.2772142942526839E-3</c:v>
                </c:pt>
                <c:pt idx="57">
                  <c:v>1.9980474092431998E-3</c:v>
                </c:pt>
                <c:pt idx="58">
                  <c:v>1.7531039830810419E-3</c:v>
                </c:pt>
                <c:pt idx="59">
                  <c:v>1.5381885140847156E-3</c:v>
                </c:pt>
                <c:pt idx="60">
                  <c:v>1.3496198329912583E-3</c:v>
                </c:pt>
                <c:pt idx="61">
                  <c:v>1.1841680502257571E-3</c:v>
                </c:pt>
                <c:pt idx="62">
                  <c:v>1.0389992328932779E-3</c:v>
                </c:pt>
                <c:pt idx="63">
                  <c:v>9.1162686389572288E-4</c:v>
                </c:pt>
                <c:pt idx="64">
                  <c:v>7.9986925174343668E-4</c:v>
                </c:pt>
                <c:pt idx="65">
                  <c:v>7.0181216155756931E-4</c:v>
                </c:pt>
                <c:pt idx="66">
                  <c:v>6.1577602719012044E-4</c:v>
                </c:pt>
                <c:pt idx="67">
                  <c:v>5.4028718285604115E-4</c:v>
                </c:pt>
                <c:pt idx="68">
                  <c:v>4.7405262151978863E-4</c:v>
                </c:pt>
                <c:pt idx="69">
                  <c:v>4.1593784768657356E-4</c:v>
                </c:pt>
                <c:pt idx="70">
                  <c:v>3.6494744525090127E-4</c:v>
                </c:pt>
                <c:pt idx="71">
                  <c:v>3.2020802755973585E-4</c:v>
                </c:pt>
                <c:pt idx="72">
                  <c:v>2.8095327765126571E-4</c:v>
                </c:pt>
                <c:pt idx="73">
                  <c:v>2.4651082243171954E-4</c:v>
                </c:pt>
                <c:pt idx="74">
                  <c:v>2.1629071596520314E-4</c:v>
                </c:pt>
                <c:pt idx="75">
                  <c:v>1.8977533461314111E-4</c:v>
                </c:pt>
                <c:pt idx="76">
                  <c:v>1.6651051094270598E-4</c:v>
                </c:pt>
                <c:pt idx="77">
                  <c:v>1.4609775454181242E-4</c:v>
                </c:pt>
                <c:pt idx="78">
                  <c:v>1.2818742649528018E-4</c:v>
                </c:pt>
                <c:pt idx="79">
                  <c:v>1.1247275061150994E-4</c:v>
                </c:pt>
                <c:pt idx="80">
                  <c:v>9.8684558821256012E-5</c:v>
                </c:pt>
                <c:pt idx="81">
                  <c:v>8.658668074531228E-5</c:v>
                </c:pt>
                <c:pt idx="82">
                  <c:v>7.5971898461543033E-5</c:v>
                </c:pt>
                <c:pt idx="83">
                  <c:v>6.6658397182680785E-5</c:v>
                </c:pt>
                <c:pt idx="84">
                  <c:v>5.8486651050496584E-5</c:v>
                </c:pt>
                <c:pt idx="85">
                  <c:v>5.1316690704818178E-5</c:v>
                </c:pt>
                <c:pt idx="86">
                  <c:v>4.5025705825083537E-5</c:v>
                </c:pt>
                <c:pt idx="87">
                  <c:v>3.9505941579678181E-5</c:v>
                </c:pt>
                <c:pt idx="88">
                  <c:v>3.4662852952490059E-5</c:v>
                </c:pt>
                <c:pt idx="89">
                  <c:v>3.0413485333153178E-5</c:v>
                </c:pt>
                <c:pt idx="90">
                  <c:v>2.6685053632998094E-5</c:v>
                </c:pt>
                <c:pt idx="91">
                  <c:v>2.3413695589165058E-5</c:v>
                </c:pt>
                <c:pt idx="92">
                  <c:v>2.0543377902909476E-5</c:v>
                </c:pt>
                <c:pt idx="93">
                  <c:v>1.8024936475942249E-5</c:v>
                </c:pt>
                <c:pt idx="94">
                  <c:v>1.581523430553937E-5</c:v>
                </c:pt>
                <c:pt idx="95">
                  <c:v>1.3876422614467731E-5</c:v>
                </c:pt>
                <c:pt idx="96">
                  <c:v>1.2175292560026633E-5</c:v>
                </c:pt>
                <c:pt idx="97">
                  <c:v>1.0682706417984513E-5</c:v>
                </c:pt>
                <c:pt idx="98">
                  <c:v>9.3730984984723754E-6</c:v>
                </c:pt>
                <c:pt idx="99">
                  <c:v>8.224037245295799E-6</c:v>
                </c:pt>
                <c:pt idx="100">
                  <c:v>7.2158410181046974E-6</c:v>
                </c:pt>
                <c:pt idx="101">
                  <c:v>6.3312409763642132E-6</c:v>
                </c:pt>
                <c:pt idx="102">
                  <c:v>5.5550852908510794E-6</c:v>
                </c:pt>
                <c:pt idx="103">
                  <c:v>4.8740796162762914E-6</c:v>
                </c:pt>
                <c:pt idx="104">
                  <c:v>4.2765593797319262E-6</c:v>
                </c:pt>
                <c:pt idx="105">
                  <c:v>3.7522899846157122E-6</c:v>
                </c:pt>
                <c:pt idx="106">
                  <c:v>3.2922915078358987E-6</c:v>
                </c:pt>
                <c:pt idx="107">
                  <c:v>2.8886848876309497E-6</c:v>
                </c:pt>
                <c:pt idx="108">
                  <c:v>2.5345569674395175E-6</c:v>
                </c:pt>
                <c:pt idx="109">
                  <c:v>2.2238420842311383E-6</c:v>
                </c:pt>
                <c:pt idx="110">
                  <c:v>1.951218173089064E-6</c:v>
                </c:pt>
                <c:pt idx="111">
                  <c:v>1.7120156084775811E-6</c:v>
                </c:pt>
                <c:pt idx="112">
                  <c:v>1.5021372207858565E-6</c:v>
                </c:pt>
                <c:pt idx="113">
                  <c:v>1.3179881181555271E-6</c:v>
                </c:pt>
                <c:pt idx="114">
                  <c:v>1.156414111548592E-6</c:v>
                </c:pt>
                <c:pt idx="115">
                  <c:v>1.0146476883723425E-6</c:v>
                </c:pt>
                <c:pt idx="116">
                  <c:v>8.9026060927316761E-7</c:v>
                </c:pt>
                <c:pt idx="117">
                  <c:v>7.8112231615570052E-7</c:v>
                </c:pt>
                <c:pt idx="118">
                  <c:v>6.853634390210643E-7</c:v>
                </c:pt>
                <c:pt idx="119">
                  <c:v>6.0134377655285242E-7</c:v>
                </c:pt>
                <c:pt idx="120">
                  <c:v>5.2762420200785301E-7</c:v>
                </c:pt>
                <c:pt idx="121">
                  <c:v>4.629420132029188E-7</c:v>
                </c:pt>
                <c:pt idx="122">
                  <c:v>4.0618930438141965E-7</c:v>
                </c:pt>
                <c:pt idx="123">
                  <c:v>3.5639398950283337E-7</c:v>
                </c:pt>
                <c:pt idx="124">
                  <c:v>3.1270315191380464E-7</c:v>
                </c:pt>
                <c:pt idx="125">
                  <c:v>2.7436843520631428E-7</c:v>
                </c:pt>
                <c:pt idx="126">
                  <c:v>2.4073322503097622E-7</c:v>
                </c:pt>
                <c:pt idx="127">
                  <c:v>2.112214023097688E-7</c:v>
                </c:pt>
                <c:pt idx="128">
                  <c:v>1.8532747520814567E-7</c:v>
                </c:pt>
                <c:pt idx="129">
                  <c:v>1.6260792084248636E-7</c:v>
                </c:pt>
                <c:pt idx="130">
                  <c:v>1.4267358841973872E-7</c:v>
                </c:pt>
                <c:pt idx="131">
                  <c:v>1.2518303368679708E-7</c:v>
                </c:pt>
                <c:pt idx="132">
                  <c:v>1.098366705190527E-7</c:v>
                </c:pt>
                <c:pt idx="133">
                  <c:v>9.6371639473882838E-8</c:v>
                </c:pt>
                <c:pt idx="134">
                  <c:v>8.4557305415344024E-8</c:v>
                </c:pt>
                <c:pt idx="135">
                  <c:v>7.4191307091350632E-8</c:v>
                </c:pt>
                <c:pt idx="136">
                  <c:v>6.5096090998711718E-8</c:v>
                </c:pt>
                <c:pt idx="137">
                  <c:v>5.7115870166500577E-8</c:v>
                </c:pt>
                <c:pt idx="138">
                  <c:v>5.0113955766424002E-8</c:v>
                </c:pt>
                <c:pt idx="139">
                  <c:v>4.3970415844808142E-8</c:v>
                </c:pt>
                <c:pt idx="140">
                  <c:v>3.8580021073904474E-8</c:v>
                </c:pt>
                <c:pt idx="141">
                  <c:v>3.3850442336416073E-8</c:v>
                </c:pt>
                <c:pt idx="142">
                  <c:v>2.97006692706574E-8</c:v>
                </c:pt>
                <c:pt idx="143">
                  <c:v>2.6059622688474701E-8</c:v>
                </c:pt>
                <c:pt idx="144">
                  <c:v>2.2864937098794002E-8</c:v>
                </c:pt>
                <c:pt idx="145">
                  <c:v>2.0061892483310035E-8</c:v>
                </c:pt>
                <c:pt idx="146">
                  <c:v>1.7602477027287353E-8</c:v>
                </c:pt>
                <c:pt idx="147">
                  <c:v>1.5444564751503291E-8</c:v>
                </c:pt>
                <c:pt idx="148">
                  <c:v>1.3551193959441143E-8</c:v>
                </c:pt>
                <c:pt idx="149">
                  <c:v>1.1889934140651008E-8</c:v>
                </c:pt>
                <c:pt idx="150">
                  <c:v>1.0432330486313001E-8</c:v>
                </c:pt>
                <c:pt idx="151">
                  <c:v>9.1534165024144291E-9</c:v>
                </c:pt>
                <c:pt idx="152">
                  <c:v>8.0312863723591787E-9</c:v>
                </c:pt>
                <c:pt idx="153">
                  <c:v>7.0467197442428686E-9</c:v>
                </c:pt>
                <c:pt idx="154">
                  <c:v>6.1828525159806769E-9</c:v>
                </c:pt>
                <c:pt idx="155">
                  <c:v>5.4248879793467572E-9</c:v>
                </c:pt>
                <c:pt idx="156">
                  <c:v>4.7598433752698158E-9</c:v>
                </c:pt>
                <c:pt idx="157">
                  <c:v>4.1763275192694592E-9</c:v>
                </c:pt>
                <c:pt idx="158">
                  <c:v>3.6643456881012815E-9</c:v>
                </c:pt>
                <c:pt idx="159">
                  <c:v>3.2151284256209948E-9</c:v>
                </c:pt>
                <c:pt idx="160">
                  <c:v>2.8209813355770993E-9</c:v>
                </c:pt>
                <c:pt idx="161">
                  <c:v>2.4751532885151538E-9</c:v>
                </c:pt>
                <c:pt idx="162">
                  <c:v>2.171720785381971E-9</c:v>
                </c:pt>
                <c:pt idx="163">
                  <c:v>1.9054864971572891E-9</c:v>
                </c:pt>
                <c:pt idx="164">
                  <c:v>1.6718902426538877E-9</c:v>
                </c:pt>
                <c:pt idx="165">
                  <c:v>1.466930879673688E-9</c:v>
                </c:pt>
                <c:pt idx="166">
                  <c:v>1.287097771636257E-9</c:v>
                </c:pt>
                <c:pt idx="167">
                  <c:v>1.1293106558091719E-9</c:v>
                </c:pt>
                <c:pt idx="168">
                  <c:v>9.9086688317611575E-10</c:v>
                </c:pt>
                <c:pt idx="169">
                  <c:v>8.6939512624332775E-10</c:v>
                </c:pt>
                <c:pt idx="170">
                  <c:v>7.6281476187080129E-10</c:v>
                </c:pt>
                <c:pt idx="171">
                  <c:v>6.6930023341900811E-10</c:v>
                </c:pt>
                <c:pt idx="172">
                  <c:v>5.8724978178989494E-10</c:v>
                </c:pt>
                <c:pt idx="173">
                  <c:v>5.1525800977329395E-10</c:v>
                </c:pt>
                <c:pt idx="174">
                  <c:v>4.5209180976847539E-10</c:v>
                </c:pt>
                <c:pt idx="175">
                  <c:v>3.9666924255998013E-10</c:v>
                </c:pt>
                <c:pt idx="176">
                  <c:v>3.4804100537386072E-10</c:v>
                </c:pt>
                <c:pt idx="177">
                  <c:v>3.0537417179082485E-10</c:v>
                </c:pt>
                <c:pt idx="178">
                  <c:v>2.6793792500616629E-10</c:v>
                </c:pt>
                <c:pt idx="179">
                  <c:v>2.3509104006931271E-10</c:v>
                </c:pt>
                <c:pt idx="180">
                  <c:v>2.062709006931336E-10</c:v>
                </c:pt>
                <c:pt idx="181">
                  <c:v>1.8098386250795476E-10</c:v>
                </c:pt>
                <c:pt idx="182">
                  <c:v>1.5879679769774059E-10</c:v>
                </c:pt>
                <c:pt idx="183">
                  <c:v>1.3932967619115109E-10</c:v>
                </c:pt>
                <c:pt idx="184">
                  <c:v>1.2224905633476277E-10</c:v>
                </c:pt>
                <c:pt idx="185">
                  <c:v>1.072623735537624E-10</c:v>
                </c:pt>
                <c:pt idx="186">
                  <c:v>9.4112929173713709E-11</c:v>
                </c:pt>
                <c:pt idx="187">
                  <c:v>8.2575493569671898E-11</c:v>
                </c:pt>
                <c:pt idx="188">
                  <c:v>7.2452448331397101E-11</c:v>
                </c:pt>
                <c:pt idx="189">
                  <c:v>6.3570401365929412E-11</c:v>
                </c:pt>
                <c:pt idx="190">
                  <c:v>5.5777216959473219E-11</c:v>
                </c:pt>
                <c:pt idx="191">
                  <c:v>4.8939409928148439E-11</c:v>
                </c:pt>
                <c:pt idx="192">
                  <c:v>4.2939859223445451E-11</c:v>
                </c:pt>
                <c:pt idx="193">
                  <c:v>3.7675801829984838E-11</c:v>
                </c:pt>
                <c:pt idx="194">
                  <c:v>3.3057072594156321E-11</c:v>
                </c:pt>
                <c:pt idx="195">
                  <c:v>2.9004559834626367E-11</c:v>
                </c:pt>
                <c:pt idx="196">
                  <c:v>2.5448850281713575E-11</c:v>
                </c:pt>
                <c:pt idx="197">
                  <c:v>2.2329040135541017E-11</c:v>
                </c:pt>
                <c:pt idx="198">
                  <c:v>1.9591691878232456E-11</c:v>
                </c:pt>
                <c:pt idx="199">
                  <c:v>1.7189918971960305E-11</c:v>
                </c:pt>
                <c:pt idx="200">
                  <c:v>1.5082582765139933E-11</c:v>
                </c:pt>
                <c:pt idx="201">
                  <c:v>1.3233587851016741E-11</c:v>
                </c:pt>
                <c:pt idx="202">
                  <c:v>1.16112638092295E-11</c:v>
                </c:pt>
                <c:pt idx="203">
                  <c:v>1.018782274054004E-11</c:v>
                </c:pt>
                <c:pt idx="204">
                  <c:v>8.9388833031390909E-12</c:v>
                </c:pt>
                <c:pt idx="205">
                  <c:v>7.8430530980070105E-12</c:v>
                </c:pt>
                <c:pt idx="206">
                  <c:v>6.8815622502371764E-12</c:v>
                </c:pt>
                <c:pt idx="207">
                  <c:v>6.0379419101373798E-12</c:v>
                </c:pt>
                <c:pt idx="208">
                  <c:v>5.2977421673308176E-12</c:v>
                </c:pt>
                <c:pt idx="209">
                  <c:v>4.6482845461619295E-12</c:v>
                </c:pt>
                <c:pt idx="210">
                  <c:v>4.0784448430365813E-12</c:v>
                </c:pt>
                <c:pt idx="211">
                  <c:v>3.5784625860364077E-12</c:v>
                </c:pt>
                <c:pt idx="212">
                  <c:v>3.1397738531455028E-12</c:v>
                </c:pt>
                <c:pt idx="213">
                  <c:v>2.754864585524511E-12</c:v>
                </c:pt>
                <c:pt idx="214">
                  <c:v>2.4171418833155799E-12</c:v>
                </c:pt>
                <c:pt idx="215">
                  <c:v>2.1208210794745811E-12</c:v>
                </c:pt>
                <c:pt idx="216">
                  <c:v>1.8608266573801651E-12</c:v>
                </c:pt>
                <c:pt idx="217">
                  <c:v>1.6327053150916873E-12</c:v>
                </c:pt>
                <c:pt idx="218">
                  <c:v>1.432549687181336E-12</c:v>
                </c:pt>
                <c:pt idx="219">
                  <c:v>1.2569314176135322E-12</c:v>
                </c:pt>
                <c:pt idx="220">
                  <c:v>1.1028424373136444E-12</c:v>
                </c:pt>
                <c:pt idx="221">
                  <c:v>9.6764344060167554E-13</c:v>
                </c:pt>
                <c:pt idx="222">
                  <c:v>8.4901867797199975E-13</c:v>
                </c:pt>
                <c:pt idx="223">
                  <c:v>7.4493629088945438E-13</c:v>
                </c:pt>
                <c:pt idx="224">
                  <c:v>6.5361350919825011E-13</c:v>
                </c:pt>
                <c:pt idx="225">
                  <c:v>5.7348611502919428E-13</c:v>
                </c:pt>
                <c:pt idx="226">
                  <c:v>5.0318165016923237E-13</c:v>
                </c:pt>
                <c:pt idx="227">
                  <c:v>4.4149590797702675E-13</c:v>
                </c:pt>
                <c:pt idx="228">
                  <c:v>3.873723071874806E-13</c:v>
                </c:pt>
                <c:pt idx="229">
                  <c:v>3.3988379431041086E-13</c:v>
                </c:pt>
                <c:pt idx="230">
                  <c:v>2.9821696463947739E-13</c:v>
                </c:pt>
                <c:pt idx="231">
                  <c:v>2.6165812988883427E-13</c:v>
                </c:pt>
                <c:pt idx="232">
                  <c:v>2.295810938176882E-13</c:v>
                </c:pt>
                <c:pt idx="233">
                  <c:v>2.0143642645813828E-13</c:v>
                </c:pt>
                <c:pt idx="234">
                  <c:v>1.7674205323042457E-13</c:v>
                </c:pt>
                <c:pt idx="235">
                  <c:v>1.5507499775169979E-13</c:v>
                </c:pt>
                <c:pt idx="236">
                  <c:v>1.3606413690542099E-13</c:v>
                </c:pt>
                <c:pt idx="237">
                  <c:v>1.1938384407691677E-13</c:v>
                </c:pt>
                <c:pt idx="238">
                  <c:v>1.0474841167359609E-13</c:v>
                </c:pt>
                <c:pt idx="239">
                  <c:v>9.1907157396204794E-14</c:v>
                </c:pt>
                <c:pt idx="240">
                  <c:v>8.0640130439132713E-14</c:v>
                </c:pt>
                <c:pt idx="241">
                  <c:v>7.0754344073629982E-14</c:v>
                </c:pt>
                <c:pt idx="242">
                  <c:v>6.2080470083915441E-14</c:v>
                </c:pt>
                <c:pt idx="243">
                  <c:v>5.4469938436985566E-14</c:v>
                </c:pt>
                <c:pt idx="244">
                  <c:v>4.779239250795746E-14</c:v>
                </c:pt>
                <c:pt idx="245">
                  <c:v>4.1933456272895948E-14</c:v>
                </c:pt>
                <c:pt idx="246">
                  <c:v>3.6792775224594568E-14</c:v>
                </c:pt>
                <c:pt idx="247">
                  <c:v>3.2282297455230782E-14</c:v>
                </c:pt>
                <c:pt idx="248">
                  <c:v>2.8324765463502312E-14</c:v>
                </c:pt>
                <c:pt idx="249">
                  <c:v>2.4852392853235913E-14</c:v>
                </c:pt>
                <c:pt idx="250">
                  <c:v>2.1805703257364275E-14</c:v>
                </c:pt>
                <c:pt idx="251">
                  <c:v>1.9132511599836383E-14</c:v>
                </c:pt>
                <c:pt idx="252">
                  <c:v>1.6787030246054986E-14</c:v>
                </c:pt>
                <c:pt idx="253">
                  <c:v>1.4729084731581966E-14</c:v>
                </c:pt>
                <c:pt idx="254">
                  <c:v>1.2923425635758537E-14</c:v>
                </c:pt>
                <c:pt idx="255">
                  <c:v>1.1339124813700684E-14</c:v>
                </c:pt>
                <c:pt idx="256">
                  <c:v>9.9490456450586331E-15</c:v>
                </c:pt>
                <c:pt idx="257">
                  <c:v>8.7293782257217685E-15</c:v>
                </c:pt>
                <c:pt idx="258">
                  <c:v>7.6592315410224712E-15</c:v>
                </c:pt>
                <c:pt idx="259">
                  <c:v>6.7202756349972425E-15</c:v>
                </c:pt>
                <c:pt idx="260">
                  <c:v>5.896427646618535E-15</c:v>
                </c:pt>
                <c:pt idx="261">
                  <c:v>5.1735763352840016E-15</c:v>
                </c:pt>
                <c:pt idx="262">
                  <c:v>4.5393403771112593E-15</c:v>
                </c:pt>
                <c:pt idx="263">
                  <c:v>3.9828562920279114E-15</c:v>
                </c:pt>
                <c:pt idx="264">
                  <c:v>3.4945923691761794E-15</c:v>
                </c:pt>
                <c:pt idx="265">
                  <c:v>3.0661854034624051E-15</c:v>
                </c:pt>
                <c:pt idx="266">
                  <c:v>2.6902974468012803E-15</c:v>
                </c:pt>
                <c:pt idx="267">
                  <c:v>2.360490120425371E-15</c:v>
                </c:pt>
                <c:pt idx="268">
                  <c:v>2.0711143354243956E-15</c:v>
                </c:pt>
                <c:pt idx="269">
                  <c:v>1.8172135325978175E-15</c:v>
                </c:pt>
                <c:pt idx="270">
                  <c:v>1.5944387842692258E-15</c:v>
                </c:pt>
                <c:pt idx="271">
                  <c:v>1.3989743038880234E-15</c:v>
                </c:pt>
                <c:pt idx="272">
                  <c:v>1.227472087513215E-15</c:v>
                </c:pt>
                <c:pt idx="273">
                  <c:v>1.0769945676891059E-15</c:v>
                </c:pt>
                <c:pt idx="274">
                  <c:v>9.4496429746257377E-16</c:v>
                </c:pt>
                <c:pt idx="275">
                  <c:v>8.2911980270703101E-16</c:v>
                </c:pt>
                <c:pt idx="276">
                  <c:v>7.2747684657173279E-16</c:v>
                </c:pt>
                <c:pt idx="277">
                  <c:v>6.3829444257641612E-16</c:v>
                </c:pt>
                <c:pt idx="278">
                  <c:v>5.6004503420819754E-16</c:v>
                </c:pt>
                <c:pt idx="279">
                  <c:v>4.9138833024339099E-16</c:v>
                </c:pt>
                <c:pt idx="280">
                  <c:v>4.3114834763381518E-16</c:v>
                </c:pt>
                <c:pt idx="281">
                  <c:v>3.7829326873777402E-16</c:v>
                </c:pt>
                <c:pt idx="282">
                  <c:v>3.319177678812606E-16</c:v>
                </c:pt>
                <c:pt idx="283">
                  <c:v>2.9122750453073964E-16</c:v>
                </c:pt>
                <c:pt idx="284">
                  <c:v>2.5552551746956471E-16</c:v>
                </c:pt>
                <c:pt idx="285">
                  <c:v>2.2420028693133613E-16</c:v>
                </c:pt>
                <c:pt idx="286">
                  <c:v>1.9671526021302566E-16</c:v>
                </c:pt>
                <c:pt idx="287">
                  <c:v>1.7259966135783649E-16</c:v>
                </c:pt>
                <c:pt idx="288">
                  <c:v>1.5144042749189433E-16</c:v>
                </c:pt>
                <c:pt idx="289">
                  <c:v>1.3287513369670018E-16</c:v>
                </c:pt>
                <c:pt idx="290">
                  <c:v>1.1658578523136404E-16</c:v>
                </c:pt>
                <c:pt idx="291">
                  <c:v>1.0229337077499619E-16</c:v>
                </c:pt>
                <c:pt idx="292">
                  <c:v>8.9753083394731244E-17</c:v>
                </c:pt>
                <c:pt idx="293">
                  <c:v>7.875012738196554E-17</c:v>
                </c:pt>
                <c:pt idx="294">
                  <c:v>6.9096039134404279E-17</c:v>
                </c:pt>
                <c:pt idx="295">
                  <c:v>6.0625459066323673E-17</c:v>
                </c:pt>
                <c:pt idx="296">
                  <c:v>5.3193299254868717E-17</c:v>
                </c:pt>
                <c:pt idx="297">
                  <c:v>4.6672258308552207E-17</c:v>
                </c:pt>
                <c:pt idx="298">
                  <c:v>4.0950640891499949E-17</c:v>
                </c:pt>
                <c:pt idx="299">
                  <c:v>3.5930444555268133E-17</c:v>
                </c:pt>
                <c:pt idx="300">
                  <c:v>3.1525681108623811E-17</c:v>
                </c:pt>
                <c:pt idx="301">
                  <c:v>2.7660903772951476E-17</c:v>
                </c:pt>
                <c:pt idx="302">
                  <c:v>2.4269914895738196E-17</c:v>
                </c:pt>
                <c:pt idx="303">
                  <c:v>2.12946320872698E-17</c:v>
                </c:pt>
                <c:pt idx="304">
                  <c:v>1.8684093359215217E-17</c:v>
                </c:pt>
                <c:pt idx="305">
                  <c:v>1.6393584224663072E-17</c:v>
                </c:pt>
                <c:pt idx="306">
                  <c:v>1.4383871808185513E-17</c:v>
                </c:pt>
                <c:pt idx="307">
                  <c:v>1.2620532847420446E-17</c:v>
                </c:pt>
                <c:pt idx="308">
                  <c:v>1.1073364075879574E-17</c:v>
                </c:pt>
                <c:pt idx="309">
                  <c:v>9.7158648877525714E-18</c:v>
                </c:pt>
                <c:pt idx="310">
                  <c:v>8.5247834235564145E-18</c:v>
                </c:pt>
                <c:pt idx="311">
                  <c:v>7.479718301779757E-18</c:v>
                </c:pt>
                <c:pt idx="312">
                  <c:v>6.5627691748019947E-18</c:v>
                </c:pt>
                <c:pt idx="313">
                  <c:v>5.7582301236509131E-18</c:v>
                </c:pt>
                <c:pt idx="314">
                  <c:v>5.0523206399257828E-18</c:v>
                </c:pt>
                <c:pt idx="315">
                  <c:v>4.4329495870227141E-18</c:v>
                </c:pt>
                <c:pt idx="316">
                  <c:v>3.8895080976835072E-18</c:v>
                </c:pt>
                <c:pt idx="317">
                  <c:v>3.4126878605236127E-18</c:v>
                </c:pt>
                <c:pt idx="318">
                  <c:v>2.9943216830687549E-18</c:v>
                </c:pt>
                <c:pt idx="319">
                  <c:v>2.6272436003918753E-18</c:v>
                </c:pt>
                <c:pt idx="320">
                  <c:v>2.3051661332279013E-18</c:v>
                </c:pt>
                <c:pt idx="321">
                  <c:v>2.0225725931878863E-18</c:v>
                </c:pt>
                <c:pt idx="322">
                  <c:v>1.7746225904275562E-18</c:v>
                </c:pt>
                <c:pt idx="323">
                  <c:v>1.5570691252629159E-18</c:v>
                </c:pt>
                <c:pt idx="324">
                  <c:v>1.3661858436406478E-18</c:v>
                </c:pt>
                <c:pt idx="325">
                  <c:v>1.198703210462124E-18</c:v>
                </c:pt>
                <c:pt idx="326">
                  <c:v>1.0517525075088925E-18</c:v>
                </c:pt>
                <c:pt idx="327">
                  <c:v>9.2281669674079469E-19</c:v>
                </c:pt>
                <c:pt idx="328">
                  <c:v>8.0968730733108497E-19</c:v>
                </c:pt>
                <c:pt idx="329">
                  <c:v>7.1042660798020781E-19</c:v>
                </c:pt>
                <c:pt idx="330">
                  <c:v>6.2333441657853137E-19</c:v>
                </c:pt>
                <c:pt idx="331">
                  <c:v>5.4691897871894291E-19</c:v>
                </c:pt>
                <c:pt idx="332">
                  <c:v>4.7987141625331151E-19</c:v>
                </c:pt>
                <c:pt idx="333">
                  <c:v>4.2104330823614764E-19</c:v>
                </c:pt>
                <c:pt idx="334">
                  <c:v>3.6942702025173244E-19</c:v>
                </c:pt>
                <c:pt idx="335">
                  <c:v>3.2413844519654356E-19</c:v>
                </c:pt>
                <c:pt idx="336">
                  <c:v>2.8440185989330043E-19</c:v>
                </c:pt>
                <c:pt idx="337">
                  <c:v>2.4953663815387179E-19</c:v>
                </c:pt>
                <c:pt idx="338">
                  <c:v>2.1894559270638294E-19</c:v>
                </c:pt>
                <c:pt idx="339">
                  <c:v>1.9210474630178287E-19</c:v>
                </c:pt>
                <c:pt idx="340">
                  <c:v>1.685543567947622E-19</c:v>
                </c:pt>
                <c:pt idx="341">
                  <c:v>1.4789104247255306E-19</c:v>
                </c:pt>
                <c:pt idx="342">
                  <c:v>1.2976087275068377E-19</c:v>
                </c:pt>
                <c:pt idx="343">
                  <c:v>1.1385330589000394E-19</c:v>
                </c:pt>
                <c:pt idx="344">
                  <c:v>9.9895869897457212E-20</c:v>
                </c:pt>
                <c:pt idx="345">
                  <c:v>8.764949550266723E-20</c:v>
                </c:pt>
                <c:pt idx="346">
                  <c:v>7.6904421271450723E-20</c:v>
                </c:pt>
                <c:pt idx="347">
                  <c:v>6.7476600717191679E-20</c:v>
                </c:pt>
                <c:pt idx="348">
                  <c:v>5.9204549869456712E-20</c:v>
                </c:pt>
                <c:pt idx="349">
                  <c:v>5.1946581303582731E-20</c:v>
                </c:pt>
                <c:pt idx="350">
                  <c:v>4.5578377254445515E-20</c:v>
                </c:pt>
                <c:pt idx="351">
                  <c:v>3.9990860245605419E-20</c:v>
                </c:pt>
                <c:pt idx="352">
                  <c:v>3.5088324761004036E-20</c:v>
                </c:pt>
                <c:pt idx="353">
                  <c:v>3.078679795764044E-20</c:v>
                </c:pt>
                <c:pt idx="354">
                  <c:v>2.7012601340772926E-20</c:v>
                </c:pt>
                <c:pt idx="355">
                  <c:v>2.3701088765369332E-20</c:v>
                </c:pt>
                <c:pt idx="356">
                  <c:v>2.0795539147724414E-20</c:v>
                </c:pt>
                <c:pt idx="357">
                  <c:v>1.8246184921108611E-20</c:v>
                </c:pt>
                <c:pt idx="358">
                  <c:v>1.6009359594397531E-20</c:v>
                </c:pt>
                <c:pt idx="359">
                  <c:v>1.4046749812681165E-20</c:v>
                </c:pt>
                <c:pt idx="360">
                  <c:v>1.2324739108809029E-20</c:v>
                </c:pt>
                <c:pt idx="361">
                  <c:v>1.0813832105351147E-20</c:v>
                </c:pt>
                <c:pt idx="362">
                  <c:v>9.4881493044458705E-21</c:v>
                </c:pt>
                <c:pt idx="363">
                  <c:v>8.3249838120668111E-21</c:v>
                </c:pt>
                <c:pt idx="364">
                  <c:v>7.3044124040817939E-21</c:v>
                </c:pt>
                <c:pt idx="365">
                  <c:v>6.4089542722675729E-21</c:v>
                </c:pt>
              </c:numCache>
            </c:numRef>
          </c:yVal>
          <c:smooth val="1"/>
          <c:extLst>
            <c:ext xmlns:c16="http://schemas.microsoft.com/office/drawing/2014/chart" uri="{C3380CC4-5D6E-409C-BE32-E72D297353CC}">
              <c16:uniqueId val="{00000003-0CF0-4AA2-A727-45757B791E30}"/>
            </c:ext>
          </c:extLst>
        </c:ser>
        <c:ser>
          <c:idx val="4"/>
          <c:order val="4"/>
          <c:tx>
            <c:v>small mammals (mean)</c:v>
          </c:tx>
          <c:spPr>
            <a:ln w="19050" cap="rnd">
              <a:solidFill>
                <a:schemeClr val="accent5"/>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concentrations'!$AB$3:$AB$368</c:f>
              <c:numCache>
                <c:formatCode>General</c:formatCode>
                <c:ptCount val="366"/>
                <c:pt idx="0">
                  <c:v>40.520495329830666</c:v>
                </c:pt>
                <c:pt idx="1">
                  <c:v>39.605080672544183</c:v>
                </c:pt>
                <c:pt idx="2">
                  <c:v>35.155043398614211</c:v>
                </c:pt>
                <c:pt idx="3">
                  <c:v>30.885857959490007</c:v>
                </c:pt>
                <c:pt idx="4">
                  <c:v>27.103569487993635</c:v>
                </c:pt>
                <c:pt idx="5">
                  <c:v>23.781310205156885</c:v>
                </c:pt>
                <c:pt idx="6">
                  <c:v>20.865966649514306</c:v>
                </c:pt>
                <c:pt idx="7">
                  <c:v>18.307982669010972</c:v>
                </c:pt>
                <c:pt idx="8">
                  <c:v>16.063581875165539</c:v>
                </c:pt>
                <c:pt idx="9">
                  <c:v>14.094324948740628</c:v>
                </c:pt>
                <c:pt idx="10">
                  <c:v>12.366481946457332</c:v>
                </c:pt>
                <c:pt idx="11">
                  <c:v>10.850457630560124</c:v>
                </c:pt>
                <c:pt idx="12">
                  <c:v>9.5202848553393178</c:v>
                </c:pt>
                <c:pt idx="13">
                  <c:v>8.3531798208388164</c:v>
                </c:pt>
                <c:pt idx="14">
                  <c:v>7.3291518247068135</c:v>
                </c:pt>
                <c:pt idx="15">
                  <c:v>6.4306608527202096</c:v>
                </c:pt>
                <c:pt idx="16">
                  <c:v>5.6423171455262127</c:v>
                </c:pt>
                <c:pt idx="17">
                  <c:v>4.9506175958933252</c:v>
                </c:pt>
                <c:pt idx="18">
                  <c:v>4.3437144613895846</c:v>
                </c:pt>
                <c:pt idx="19">
                  <c:v>3.8112124308967861</c:v>
                </c:pt>
                <c:pt idx="20">
                  <c:v>3.3439905690245197</c:v>
                </c:pt>
                <c:pt idx="21">
                  <c:v>2.9340460886074822</c:v>
                </c:pt>
                <c:pt idx="22">
                  <c:v>2.5743572753508395</c:v>
                </c:pt>
                <c:pt idx="23">
                  <c:v>2.2587632167350056</c:v>
                </c:pt>
                <c:pt idx="24">
                  <c:v>1.9818582751221876</c:v>
                </c:pt>
                <c:pt idx="25">
                  <c:v>1.7388994975523777</c:v>
                </c:pt>
                <c:pt idx="26">
                  <c:v>1.5257253763019389</c:v>
                </c:pt>
                <c:pt idx="27">
                  <c:v>1.3386845686989315</c:v>
                </c:pt>
                <c:pt idx="28">
                  <c:v>1.1745733552759594</c:v>
                </c:pt>
                <c:pt idx="29">
                  <c:v>1.0305807650155265</c:v>
                </c:pt>
                <c:pt idx="30">
                  <c:v>0.90424042776830604</c:v>
                </c:pt>
                <c:pt idx="31">
                  <c:v>0.79338832915078761</c:v>
                </c:pt>
                <c:pt idx="32">
                  <c:v>0.69612574432910312</c:v>
                </c:pt>
                <c:pt idx="33">
                  <c:v>0.61078671580212851</c:v>
                </c:pt>
                <c:pt idx="34">
                  <c:v>0.53590951812863952</c:v>
                </c:pt>
                <c:pt idx="35">
                  <c:v>0.47021162083346946</c:v>
                </c:pt>
                <c:pt idx="36">
                  <c:v>0.41256772064601771</c:v>
                </c:pt>
                <c:pt idx="37">
                  <c:v>0.36199046679735919</c:v>
                </c:pt>
                <c:pt idx="38">
                  <c:v>0.31761354923013863</c:v>
                </c:pt>
                <c:pt idx="39">
                  <c:v>0.27867686004846365</c:v>
                </c:pt>
                <c:pt idx="40">
                  <c:v>0.24451347404640786</c:v>
                </c:pt>
                <c:pt idx="41">
                  <c:v>0.21453822531173225</c:v>
                </c:pt>
                <c:pt idx="42">
                  <c:v>0.18823768423973183</c:v>
                </c:pt>
                <c:pt idx="43">
                  <c:v>0.16516136327897218</c:v>
                </c:pt>
                <c:pt idx="44">
                  <c:v>0.14491400077695452</c:v>
                </c:pt>
                <c:pt idx="45">
                  <c:v>0.12714879075993216</c:v>
                </c:pt>
                <c:pt idx="46">
                  <c:v>0.11156144268348703</c:v>
                </c:pt>
                <c:pt idx="47">
                  <c:v>9.7884969406590722E-2</c:v>
                </c:pt>
                <c:pt idx="48">
                  <c:v>8.5885114115214087E-2</c:v>
                </c:pt>
                <c:pt idx="49">
                  <c:v>7.5356337865767314E-2</c:v>
                </c:pt>
                <c:pt idx="50">
                  <c:v>6.6118299021200769E-2</c:v>
                </c:pt>
                <c:pt idx="51">
                  <c:v>5.8012764277957998E-2</c:v>
                </c:pt>
                <c:pt idx="52">
                  <c:v>5.0900898374454259E-2</c:v>
                </c:pt>
                <c:pt idx="53">
                  <c:v>4.4660886057983205E-2</c:v>
                </c:pt>
                <c:pt idx="54">
                  <c:v>3.9185845578025978E-2</c:v>
                </c:pt>
                <c:pt idx="55">
                  <c:v>3.4381997967333648E-2</c:v>
                </c:pt>
                <c:pt idx="56">
                  <c:v>3.0167060753401913E-2</c:v>
                </c:pt>
                <c:pt idx="57">
                  <c:v>2.6468838587102542E-2</c:v>
                </c:pt>
                <c:pt idx="58">
                  <c:v>2.3223986648121902E-2</c:v>
                </c:pt>
                <c:pt idx="59">
                  <c:v>2.0376925646256164E-2</c:v>
                </c:pt>
                <c:pt idx="60">
                  <c:v>1.7878889834215022E-2</c:v>
                </c:pt>
                <c:pt idx="61">
                  <c:v>1.5687091725867252E-2</c:v>
                </c:pt>
                <c:pt idx="62">
                  <c:v>1.3763989212844613E-2</c:v>
                </c:pt>
                <c:pt idx="63">
                  <c:v>1.2076642526346253E-2</c:v>
                </c:pt>
                <c:pt idx="64">
                  <c:v>1.0596150029894776E-2</c:v>
                </c:pt>
                <c:pt idx="65">
                  <c:v>9.2971531790473974E-3</c:v>
                </c:pt>
                <c:pt idx="66">
                  <c:v>8.1574021687884184E-3</c:v>
                </c:pt>
                <c:pt idx="67">
                  <c:v>7.1573748288153013E-3</c:v>
                </c:pt>
                <c:pt idx="68">
                  <c:v>6.2799422389845866E-3</c:v>
                </c:pt>
                <c:pt idx="69">
                  <c:v>5.5100753374279438E-3</c:v>
                </c:pt>
                <c:pt idx="70">
                  <c:v>4.8345874959895771E-3</c:v>
                </c:pt>
                <c:pt idx="71">
                  <c:v>4.2419086537007671E-3</c:v>
                </c:pt>
                <c:pt idx="72">
                  <c:v>3.7218871395476435E-3</c:v>
                </c:pt>
                <c:pt idx="73">
                  <c:v>3.265615790063008E-3</c:v>
                </c:pt>
                <c:pt idx="74">
                  <c:v>2.8652793834057452E-3</c:v>
                </c:pt>
                <c:pt idx="75">
                  <c:v>2.514020776709805E-3</c:v>
                </c:pt>
                <c:pt idx="76">
                  <c:v>2.2058234538427802E-3</c:v>
                </c:pt>
                <c:pt idx="77">
                  <c:v>1.9354084717990126E-3</c:v>
                </c:pt>
                <c:pt idx="78">
                  <c:v>1.6981440405784949E-3</c:v>
                </c:pt>
                <c:pt idx="79">
                  <c:v>1.4899661877948633E-3</c:v>
                </c:pt>
                <c:pt idx="80">
                  <c:v>1.3073091491200511E-3</c:v>
                </c:pt>
                <c:pt idx="81">
                  <c:v>1.1470442922616795E-3</c:v>
                </c:pt>
                <c:pt idx="82">
                  <c:v>1.0064265283354756E-3</c:v>
                </c:pt>
                <c:pt idx="83">
                  <c:v>8.830472927424868E-4</c:v>
                </c:pt>
                <c:pt idx="84">
                  <c:v>7.7479329018631646E-4</c:v>
                </c:pt>
                <c:pt idx="85">
                  <c:v>6.7981029719638988E-4</c:v>
                </c:pt>
                <c:pt idx="86">
                  <c:v>5.9647140215051634E-4</c:v>
                </c:pt>
                <c:pt idx="87">
                  <c:v>5.2334913879749964E-4</c:v>
                </c:pt>
                <c:pt idx="88">
                  <c:v>4.5919103597018523E-4</c:v>
                </c:pt>
                <c:pt idx="89">
                  <c:v>4.0289816469337683E-4</c:v>
                </c:pt>
                <c:pt idx="90">
                  <c:v>3.5350631523179625E-4</c:v>
                </c:pt>
                <c:pt idx="91">
                  <c:v>3.1016948167005736E-4</c:v>
                </c:pt>
                <c:pt idx="92">
                  <c:v>2.7214537114107789E-4</c:v>
                </c:pt>
                <c:pt idx="93">
                  <c:v>2.3878268949844528E-4</c:v>
                </c:pt>
                <c:pt idx="94">
                  <c:v>2.0950998565598861E-4</c:v>
                </c:pt>
                <c:pt idx="95">
                  <c:v>1.8382586351536323E-4</c:v>
                </c:pt>
                <c:pt idx="96">
                  <c:v>1.6129039382712133E-4</c:v>
                </c:pt>
                <c:pt idx="97">
                  <c:v>1.415175788837447E-4</c:v>
                </c:pt>
                <c:pt idx="98">
                  <c:v>1.2416874097649627E-4</c:v>
                </c:pt>
                <c:pt idx="99">
                  <c:v>1.0894672137059285E-4</c:v>
                </c:pt>
                <c:pt idx="100">
                  <c:v>9.5590790436123792E-5</c:v>
                </c:pt>
                <c:pt idx="101">
                  <c:v>8.3872181753138784E-5</c:v>
                </c:pt>
                <c:pt idx="102">
                  <c:v>7.359017369703842E-5</c:v>
                </c:pt>
                <c:pt idx="103">
                  <c:v>6.4568651387891403E-5</c:v>
                </c:pt>
                <c:pt idx="104">
                  <c:v>5.6653090115193371E-5</c:v>
                </c:pt>
                <c:pt idx="105">
                  <c:v>4.9707908568803001E-5</c:v>
                </c:pt>
                <c:pt idx="106">
                  <c:v>4.3614146540999231E-5</c:v>
                </c:pt>
                <c:pt idx="107">
                  <c:v>3.8267427322291001E-5</c:v>
                </c:pt>
                <c:pt idx="108">
                  <c:v>3.3576169889974273E-5</c:v>
                </c:pt>
                <c:pt idx="109">
                  <c:v>2.9460020266994059E-5</c:v>
                </c:pt>
                <c:pt idx="110">
                  <c:v>2.5848475182717326E-5</c:v>
                </c:pt>
                <c:pt idx="111">
                  <c:v>2.2679674461056548E-5</c:v>
                </c:pt>
                <c:pt idx="112">
                  <c:v>1.9899341451422035E-5</c:v>
                </c:pt>
                <c:pt idx="113">
                  <c:v>1.7459853353725611E-5</c:v>
                </c:pt>
                <c:pt idx="114">
                  <c:v>1.5319425513542242E-5</c:v>
                </c:pt>
                <c:pt idx="115">
                  <c:v>1.344139571566857E-5</c:v>
                </c:pt>
                <c:pt idx="116">
                  <c:v>1.1793596217135015E-5</c:v>
                </c:pt>
                <c:pt idx="117">
                  <c:v>1.0347802763569117E-5</c:v>
                </c:pt>
                <c:pt idx="118">
                  <c:v>9.079251151413474E-6</c:v>
                </c:pt>
                <c:pt idx="119">
                  <c:v>7.9662130554574415E-6</c:v>
                </c:pt>
                <c:pt idx="120">
                  <c:v>6.9896238562649444E-6</c:v>
                </c:pt>
                <c:pt idx="121">
                  <c:v>6.1327560927583871E-6</c:v>
                </c:pt>
                <c:pt idx="122">
                  <c:v>5.380932946706978E-6</c:v>
                </c:pt>
                <c:pt idx="123">
                  <c:v>4.7212768515523231E-6</c:v>
                </c:pt>
                <c:pt idx="124">
                  <c:v>4.1424889196296571E-6</c:v>
                </c:pt>
                <c:pt idx="125">
                  <c:v>3.6346554097144969E-6</c:v>
                </c:pt>
                <c:pt idx="126">
                  <c:v>3.1890779199834075E-6</c:v>
                </c:pt>
                <c:pt idx="127">
                  <c:v>2.7981243978571743E-6</c:v>
                </c:pt>
                <c:pt idx="128">
                  <c:v>2.4550984147556703E-6</c:v>
                </c:pt>
                <c:pt idx="129">
                  <c:v>2.1541244666433413E-6</c:v>
                </c:pt>
                <c:pt idx="130">
                  <c:v>1.8900473357412243E-6</c:v>
                </c:pt>
                <c:pt idx="131">
                  <c:v>1.6583437896274373E-6</c:v>
                </c:pt>
                <c:pt idx="132">
                  <c:v>1.4550451052684219E-6</c:v>
                </c:pt>
                <c:pt idx="133">
                  <c:v>1.2766690909375504E-6</c:v>
                </c:pt>
                <c:pt idx="134">
                  <c:v>1.1201604416617973E-6</c:v>
                </c:pt>
                <c:pt idx="135">
                  <c:v>9.828384065776137E-7</c:v>
                </c:pt>
                <c:pt idx="136">
                  <c:v>8.623508718188354E-7</c:v>
                </c:pt>
                <c:pt idx="137">
                  <c:v>7.5663407244757498E-7</c:v>
                </c:pt>
                <c:pt idx="138">
                  <c:v>6.6387724335584991E-7</c:v>
                </c:pt>
                <c:pt idx="139">
                  <c:v>5.8249160366261393E-7</c:v>
                </c:pt>
                <c:pt idx="140">
                  <c:v>5.1108314335693356E-7</c:v>
                </c:pt>
                <c:pt idx="141">
                  <c:v>4.4842874606463428E-7</c:v>
                </c:pt>
                <c:pt idx="142">
                  <c:v>3.9345523895837603E-7</c:v>
                </c:pt>
                <c:pt idx="143">
                  <c:v>3.4522101096855123E-7</c:v>
                </c:pt>
                <c:pt idx="144">
                  <c:v>3.0289988444341555E-7</c:v>
                </c:pt>
                <c:pt idx="145">
                  <c:v>2.6576696400495898E-7</c:v>
                </c:pt>
                <c:pt idx="146">
                  <c:v>2.3318622021332555E-7</c:v>
                </c:pt>
                <c:pt idx="147">
                  <c:v>2.0459959536717645E-7</c:v>
                </c:pt>
                <c:pt idx="148">
                  <c:v>1.7951744483922198E-7</c:v>
                </c:pt>
                <c:pt idx="149">
                  <c:v>1.5751015022179825E-7</c:v>
                </c:pt>
                <c:pt idx="150">
                  <c:v>1.3820076062865699E-7</c:v>
                </c:pt>
                <c:pt idx="151">
                  <c:v>1.212585361098597E-7</c:v>
                </c:pt>
                <c:pt idx="152">
                  <c:v>1.0639328258846962E-7</c:v>
                </c:pt>
                <c:pt idx="153">
                  <c:v>9.3350381285277167E-8</c:v>
                </c:pt>
                <c:pt idx="154">
                  <c:v>8.1906427493299633E-8</c:v>
                </c:pt>
                <c:pt idx="155">
                  <c:v>7.1865404001014122E-8</c:v>
                </c:pt>
                <c:pt idx="156">
                  <c:v>6.3055323620987725E-8</c:v>
                </c:pt>
                <c:pt idx="157">
                  <c:v>5.5325283315618553E-8</c:v>
                </c:pt>
                <c:pt idx="158">
                  <c:v>4.8542879461721707E-8</c:v>
                </c:pt>
                <c:pt idx="159">
                  <c:v>4.2591939981444588E-8</c:v>
                </c:pt>
                <c:pt idx="160">
                  <c:v>3.7370534494424832E-8</c:v>
                </c:pt>
                <c:pt idx="161">
                  <c:v>3.2789228408178027E-8</c:v>
                </c:pt>
                <c:pt idx="162">
                  <c:v>2.8769551041986415E-8</c:v>
                </c:pt>
                <c:pt idx="163">
                  <c:v>2.5242651545622408E-8</c:v>
                </c:pt>
                <c:pt idx="164">
                  <c:v>2.2148119590875555E-8</c:v>
                </c:pt>
                <c:pt idx="165">
                  <c:v>1.9432950636154344E-8</c:v>
                </c:pt>
                <c:pt idx="166">
                  <c:v>1.7050638040747677E-8</c:v>
                </c:pt>
                <c:pt idx="167">
                  <c:v>1.4960376478068602E-8</c:v>
                </c:pt>
                <c:pt idx="168">
                  <c:v>1.3126363003582596E-8</c:v>
                </c:pt>
                <c:pt idx="169">
                  <c:v>1.1517183805795921E-8</c:v>
                </c:pt>
                <c:pt idx="170">
                  <c:v>1.0105276136297973E-8</c:v>
                </c:pt>
                <c:pt idx="171">
                  <c:v>8.8664562025522274E-9</c:v>
                </c:pt>
                <c:pt idx="172">
                  <c:v>7.7795049369701627E-9</c:v>
                </c:pt>
                <c:pt idx="173">
                  <c:v>6.8258045471337381E-9</c:v>
                </c:pt>
                <c:pt idx="174">
                  <c:v>5.9890196218343657E-9</c:v>
                </c:pt>
                <c:pt idx="175">
                  <c:v>5.2548173307685366E-9</c:v>
                </c:pt>
                <c:pt idx="176">
                  <c:v>4.610621925344068E-9</c:v>
                </c:pt>
                <c:pt idx="177">
                  <c:v>4.0453993355758395E-9</c:v>
                </c:pt>
                <c:pt idx="178">
                  <c:v>3.5494681735493163E-9</c:v>
                </c:pt>
                <c:pt idx="179">
                  <c:v>3.1143339062337989E-9</c:v>
                </c:pt>
                <c:pt idx="180">
                  <c:v>2.7325433572823984E-9</c:v>
                </c:pt>
                <c:pt idx="181">
                  <c:v>2.3975570456598359E-9</c:v>
                </c:pt>
                <c:pt idx="182">
                  <c:v>2.1036371744563884E-9</c:v>
                </c:pt>
                <c:pt idx="183">
                  <c:v>1.8457493513097902E-9</c:v>
                </c:pt>
                <c:pt idx="184">
                  <c:v>1.6194763570580451E-9</c:v>
                </c:pt>
                <c:pt idx="185">
                  <c:v>1.420942485613694E-9</c:v>
                </c:pt>
                <c:pt idx="186">
                  <c:v>1.2467471591187022E-9</c:v>
                </c:pt>
                <c:pt idx="187">
                  <c:v>1.0939066813103495E-9</c:v>
                </c:pt>
                <c:pt idx="188">
                  <c:v>9.598031314234513E-10</c:v>
                </c:pt>
                <c:pt idx="189">
                  <c:v>8.4213952326058186E-10</c:v>
                </c:pt>
                <c:pt idx="190">
                  <c:v>7.3890046137458556E-10</c:v>
                </c:pt>
                <c:pt idx="191">
                  <c:v>6.483176204646976E-10</c:v>
                </c:pt>
                <c:pt idx="192">
                  <c:v>5.6883945670177173E-10</c:v>
                </c:pt>
                <c:pt idx="193">
                  <c:v>4.9910463218450574E-10</c:v>
                </c:pt>
                <c:pt idx="194">
                  <c:v>4.3791869732874467E-10</c:v>
                </c:pt>
                <c:pt idx="195">
                  <c:v>3.8423363179528929E-10</c:v>
                </c:pt>
                <c:pt idx="196">
                  <c:v>3.3712989352397597E-10</c:v>
                </c:pt>
                <c:pt idx="197">
                  <c:v>2.9580066840177315E-10</c:v>
                </c:pt>
                <c:pt idx="198">
                  <c:v>2.5953805078609291E-10</c:v>
                </c:pt>
                <c:pt idx="199">
                  <c:v>2.2772091817707589E-10</c:v>
                </c:pt>
                <c:pt idx="200">
                  <c:v>1.9980429235075841E-10</c:v>
                </c:pt>
                <c:pt idx="201">
                  <c:v>1.7531000472580279E-10</c:v>
                </c:pt>
                <c:pt idx="202">
                  <c:v>1.5381850607597496E-10</c:v>
                </c:pt>
                <c:pt idx="203">
                  <c:v>1.3496168030142294E-10</c:v>
                </c:pt>
                <c:pt idx="204">
                  <c:v>1.1841653916978494E-10</c:v>
                </c:pt>
                <c:pt idx="205">
                  <c:v>1.0389969002780245E-10</c:v>
                </c:pt>
                <c:pt idx="206">
                  <c:v>9.1162481723903548E-11</c:v>
                </c:pt>
                <c:pt idx="207">
                  <c:v>7.9986745598925488E-11</c:v>
                </c:pt>
                <c:pt idx="208">
                  <c:v>7.0181058594740392E-11</c:v>
                </c:pt>
                <c:pt idx="209">
                  <c:v>6.1577464473620876E-11</c:v>
                </c:pt>
                <c:pt idx="210">
                  <c:v>5.4028596987908788E-11</c:v>
                </c:pt>
                <c:pt idx="211">
                  <c:v>4.7405155724337637E-11</c:v>
                </c:pt>
                <c:pt idx="212">
                  <c:v>4.1593691388129506E-11</c:v>
                </c:pt>
                <c:pt idx="213">
                  <c:v>3.6494662592211776E-11</c:v>
                </c:pt>
                <c:pt idx="214">
                  <c:v>3.2020730867361367E-11</c:v>
                </c:pt>
                <c:pt idx="215">
                  <c:v>2.8095264689439865E-11</c:v>
                </c:pt>
                <c:pt idx="216">
                  <c:v>2.4651026900021896E-11</c:v>
                </c:pt>
                <c:pt idx="217">
                  <c:v>2.1629023037964416E-11</c:v>
                </c:pt>
                <c:pt idx="218">
                  <c:v>1.897749085561949E-11</c:v>
                </c:pt>
                <c:pt idx="219">
                  <c:v>1.6651013711667663E-11</c:v>
                </c:pt>
                <c:pt idx="220">
                  <c:v>1.4609742654363879E-11</c:v>
                </c:pt>
                <c:pt idx="221">
                  <c:v>1.2818713870686139E-11</c:v>
                </c:pt>
                <c:pt idx="222">
                  <c:v>1.1247249810347586E-11</c:v>
                </c:pt>
                <c:pt idx="223">
                  <c:v>9.8684337268534988E-12</c:v>
                </c:pt>
                <c:pt idx="224">
                  <c:v>8.658648635304916E-12</c:v>
                </c:pt>
                <c:pt idx="225">
                  <c:v>7.597172790009931E-12</c:v>
                </c:pt>
                <c:pt idx="226">
                  <c:v>6.6658247530602975E-12</c:v>
                </c:pt>
                <c:pt idx="227">
                  <c:v>5.8486519744476284E-12</c:v>
                </c:pt>
                <c:pt idx="228">
                  <c:v>5.131657549578653E-12</c:v>
                </c:pt>
                <c:pt idx="229">
                  <c:v>4.5025604739688204E-12</c:v>
                </c:pt>
                <c:pt idx="230">
                  <c:v>3.9505852886482831E-12</c:v>
                </c:pt>
                <c:pt idx="231">
                  <c:v>3.4662775132317562E-12</c:v>
                </c:pt>
                <c:pt idx="232">
                  <c:v>3.0413417053064462E-12</c:v>
                </c:pt>
                <c:pt idx="233">
                  <c:v>2.6684993723460938E-12</c:v>
                </c:pt>
                <c:pt idx="234">
                  <c:v>2.3413643024021847E-12</c:v>
                </c:pt>
                <c:pt idx="235">
                  <c:v>2.0543331781800684E-12</c:v>
                </c:pt>
                <c:pt idx="236">
                  <c:v>1.8024896008884686E-12</c:v>
                </c:pt>
                <c:pt idx="237">
                  <c:v>1.5815198799394984E-12</c:v>
                </c:pt>
                <c:pt idx="238">
                  <c:v>1.3876391461071241E-12</c:v>
                </c:pt>
                <c:pt idx="239">
                  <c:v>1.217526522576859E-12</c:v>
                </c:pt>
                <c:pt idx="240">
                  <c:v>1.068268243467139E-12</c:v>
                </c:pt>
                <c:pt idx="241">
                  <c:v>9.3730774553071476E-13</c:v>
                </c:pt>
                <c:pt idx="242">
                  <c:v>8.2240187818416258E-13</c:v>
                </c:pt>
                <c:pt idx="243">
                  <c:v>7.2158248181111922E-13</c:v>
                </c:pt>
                <c:pt idx="244">
                  <c:v>6.3312267623505685E-13</c:v>
                </c:pt>
                <c:pt idx="245">
                  <c:v>5.5550728193532456E-13</c:v>
                </c:pt>
                <c:pt idx="246">
                  <c:v>4.8740686736768179E-13</c:v>
                </c:pt>
                <c:pt idx="247">
                  <c:v>4.2765497786010262E-13</c:v>
                </c:pt>
                <c:pt idx="248">
                  <c:v>3.7522815605008755E-13</c:v>
                </c:pt>
                <c:pt idx="249">
                  <c:v>3.2922841164450808E-13</c:v>
                </c:pt>
                <c:pt idx="250">
                  <c:v>2.888678402361069E-13</c:v>
                </c:pt>
                <c:pt idx="251">
                  <c:v>2.5345512772079411E-13</c:v>
                </c:pt>
                <c:pt idx="252">
                  <c:v>2.2238370915730087E-13</c:v>
                </c:pt>
                <c:pt idx="253">
                  <c:v>1.9512137924878769E-13</c:v>
                </c:pt>
                <c:pt idx="254">
                  <c:v>1.7120117649004197E-13</c:v>
                </c:pt>
                <c:pt idx="255">
                  <c:v>1.5021338483981945E-13</c:v>
                </c:pt>
                <c:pt idx="256">
                  <c:v>1.3179851591935844E-13</c:v>
                </c:pt>
                <c:pt idx="257">
                  <c:v>1.156411515329932E-13</c:v>
                </c:pt>
                <c:pt idx="258">
                  <c:v>1.0146454104277589E-13</c:v>
                </c:pt>
                <c:pt idx="259">
                  <c:v>8.9025861058499635E-14</c:v>
                </c:pt>
                <c:pt idx="260">
                  <c:v>7.8112056248950722E-14</c:v>
                </c:pt>
                <c:pt idx="261">
                  <c:v>6.8536190033926215E-14</c:v>
                </c:pt>
                <c:pt idx="262">
                  <c:v>6.0134242650020425E-14</c:v>
                </c:pt>
                <c:pt idx="263">
                  <c:v>5.2762301746004701E-14</c:v>
                </c:pt>
                <c:pt idx="264">
                  <c:v>4.6294097387048493E-14</c:v>
                </c:pt>
                <c:pt idx="265">
                  <c:v>4.061883924622024E-14</c:v>
                </c:pt>
                <c:pt idx="266">
                  <c:v>3.5639318937706831E-14</c:v>
                </c:pt>
                <c:pt idx="267">
                  <c:v>3.1270244987657611E-14</c:v>
                </c:pt>
                <c:pt idx="268">
                  <c:v>2.7436781923281137E-14</c:v>
                </c:pt>
                <c:pt idx="269">
                  <c:v>2.4073268457052642E-14</c:v>
                </c:pt>
                <c:pt idx="270">
                  <c:v>2.1122092810512134E-14</c:v>
                </c:pt>
                <c:pt idx="271">
                  <c:v>1.8532705913690914E-14</c:v>
                </c:pt>
                <c:pt idx="272">
                  <c:v>1.6260755577800458E-14</c:v>
                </c:pt>
                <c:pt idx="273">
                  <c:v>1.4267326810902229E-14</c:v>
                </c:pt>
                <c:pt idx="274">
                  <c:v>1.2518275264341934E-14</c:v>
                </c:pt>
                <c:pt idx="275">
                  <c:v>1.0983642392917567E-14</c:v>
                </c:pt>
                <c:pt idx="276">
                  <c:v>9.6371423113803699E-15</c:v>
                </c:pt>
                <c:pt idx="277">
                  <c:v>8.455711557914957E-15</c:v>
                </c:pt>
                <c:pt idx="278">
                  <c:v>7.4191140527440732E-15</c:v>
                </c:pt>
                <c:pt idx="279">
                  <c:v>6.5095944854104468E-15</c:v>
                </c:pt>
                <c:pt idx="280">
                  <c:v>5.7115741937965121E-15</c:v>
                </c:pt>
                <c:pt idx="281">
                  <c:v>5.0113843257604033E-15</c:v>
                </c:pt>
                <c:pt idx="282">
                  <c:v>4.3970317128601762E-15</c:v>
                </c:pt>
                <c:pt idx="283">
                  <c:v>3.857993445945589E-15</c:v>
                </c:pt>
                <c:pt idx="284">
                  <c:v>3.3850366340153869E-15</c:v>
                </c:pt>
                <c:pt idx="285">
                  <c:v>2.9700602590883264E-15</c:v>
                </c:pt>
                <c:pt idx="286">
                  <c:v>2.6059564183067323E-15</c:v>
                </c:pt>
                <c:pt idx="287">
                  <c:v>2.2864885765646335E-15</c:v>
                </c:pt>
                <c:pt idx="288">
                  <c:v>2.0061847443164731E-15</c:v>
                </c:pt>
                <c:pt idx="289">
                  <c:v>1.7602437508676451E-15</c:v>
                </c:pt>
                <c:pt idx="290">
                  <c:v>1.5444530077534164E-15</c:v>
                </c:pt>
                <c:pt idx="291">
                  <c:v>1.3551163536202384E-15</c:v>
                </c:pt>
                <c:pt idx="292">
                  <c:v>1.1889907447039639E-15</c:v>
                </c:pt>
                <c:pt idx="293">
                  <c:v>1.0432307065108779E-15</c:v>
                </c:pt>
                <c:pt idx="294">
                  <c:v>9.1533959524483863E-16</c:v>
                </c:pt>
                <c:pt idx="295">
                  <c:v>8.0312683416422127E-16</c:v>
                </c:pt>
                <c:pt idx="296">
                  <c:v>7.0467039239367111E-16</c:v>
                </c:pt>
                <c:pt idx="297">
                  <c:v>6.1828386351079771E-16</c:v>
                </c:pt>
                <c:pt idx="298">
                  <c:v>5.4248758001496539E-16</c:v>
                </c:pt>
                <c:pt idx="299">
                  <c:v>4.7598326891375175E-16</c:v>
                </c:pt>
                <c:pt idx="300">
                  <c:v>4.1763181431650647E-16</c:v>
                </c:pt>
                <c:pt idx="301">
                  <c:v>3.6643374614266363E-16</c:v>
                </c:pt>
                <c:pt idx="302">
                  <c:v>3.2151212074658993E-16</c:v>
                </c:pt>
                <c:pt idx="303">
                  <c:v>2.8209750023057314E-16</c:v>
                </c:pt>
                <c:pt idx="304">
                  <c:v>2.47514773164838E-16</c:v>
                </c:pt>
                <c:pt idx="305">
                  <c:v>2.1717159097392663E-16</c:v>
                </c:pt>
                <c:pt idx="306">
                  <c:v>1.9054822192264423E-16</c:v>
                </c:pt>
                <c:pt idx="307">
                  <c:v>1.6718864891605661E-16</c:v>
                </c:pt>
                <c:pt idx="308">
                  <c:v>1.4669275863263618E-16</c:v>
                </c:pt>
                <c:pt idx="309">
                  <c:v>1.2870948820249848E-16</c:v>
                </c:pt>
                <c:pt idx="310">
                  <c:v>1.1293081204393867E-16</c:v>
                </c:pt>
                <c:pt idx="311">
                  <c:v>9.9086465862085828E-17</c:v>
                </c:pt>
                <c:pt idx="312">
                  <c:v>8.693931743994105E-17</c:v>
                </c:pt>
                <c:pt idx="313">
                  <c:v>7.6281304930615939E-17</c:v>
                </c:pt>
                <c:pt idx="314">
                  <c:v>6.6929873080006069E-17</c:v>
                </c:pt>
                <c:pt idx="315">
                  <c:v>5.8724846337910571E-17</c:v>
                </c:pt>
                <c:pt idx="316">
                  <c:v>5.1525685298832716E-17</c:v>
                </c:pt>
                <c:pt idx="317">
                  <c:v>4.5209079479539544E-17</c:v>
                </c:pt>
                <c:pt idx="318">
                  <c:v>3.9666835201386953E-17</c:v>
                </c:pt>
                <c:pt idx="319">
                  <c:v>3.4804022400104328E-17</c:v>
                </c:pt>
                <c:pt idx="320">
                  <c:v>3.0537348620759385E-17</c:v>
                </c:pt>
                <c:pt idx="321">
                  <c:v>2.6793732346954236E-17</c:v>
                </c:pt>
                <c:pt idx="322">
                  <c:v>2.3509051227590471E-17</c:v>
                </c:pt>
                <c:pt idx="323">
                  <c:v>2.0627043760265756E-17</c:v>
                </c:pt>
                <c:pt idx="324">
                  <c:v>1.8098345618838783E-17</c:v>
                </c:pt>
                <c:pt idx="325">
                  <c:v>1.587964411894576E-17</c:v>
                </c:pt>
                <c:pt idx="326">
                  <c:v>1.3932936338771708E-17</c:v>
                </c:pt>
                <c:pt idx="327">
                  <c:v>1.222487818783392E-17</c:v>
                </c:pt>
                <c:pt idx="328">
                  <c:v>1.0726213274333562E-17</c:v>
                </c:pt>
                <c:pt idx="329">
                  <c:v>9.4112717884573925E-18</c:v>
                </c:pt>
                <c:pt idx="330">
                  <c:v>8.2575308182763252E-18</c:v>
                </c:pt>
                <c:pt idx="331">
                  <c:v>7.245228567132884E-18</c:v>
                </c:pt>
                <c:pt idx="332">
                  <c:v>6.3570258646586395E-18</c:v>
                </c:pt>
                <c:pt idx="333">
                  <c:v>5.5777091736294063E-18</c:v>
                </c:pt>
                <c:pt idx="334">
                  <c:v>4.8939300056253939E-18</c:v>
                </c:pt>
                <c:pt idx="335">
                  <c:v>4.2939762820900158E-18</c:v>
                </c:pt>
                <c:pt idx="336">
                  <c:v>3.7675717245562393E-18</c:v>
                </c:pt>
                <c:pt idx="337">
                  <c:v>3.3056998379056513E-18</c:v>
                </c:pt>
                <c:pt idx="338">
                  <c:v>2.9004494717659438E-18</c:v>
                </c:pt>
                <c:pt idx="339">
                  <c:v>2.5448793147526682E-18</c:v>
                </c:pt>
                <c:pt idx="340">
                  <c:v>2.2328990005513999E-18</c:v>
                </c:pt>
                <c:pt idx="341">
                  <c:v>1.9591647893715557E-18</c:v>
                </c:pt>
                <c:pt idx="342">
                  <c:v>1.7189880379566847E-18</c:v>
                </c:pt>
                <c:pt idx="343">
                  <c:v>1.5082548903841957E-18</c:v>
                </c:pt>
                <c:pt idx="344">
                  <c:v>1.323355814082264E-18</c:v>
                </c:pt>
                <c:pt idx="345">
                  <c:v>1.1611237741249647E-18</c:v>
                </c:pt>
                <c:pt idx="346">
                  <c:v>1.0187799868270292E-18</c:v>
                </c:pt>
                <c:pt idx="347">
                  <c:v>8.9388632348128773E-19</c:v>
                </c:pt>
                <c:pt idx="348">
                  <c:v>7.8430354898849734E-19</c:v>
                </c:pt>
                <c:pt idx="349">
                  <c:v>6.8815468007194445E-19</c:v>
                </c:pt>
                <c:pt idx="350">
                  <c:v>6.0379283545976339E-19</c:v>
                </c:pt>
                <c:pt idx="351">
                  <c:v>5.2977302735836464E-19</c:v>
                </c:pt>
                <c:pt idx="352">
                  <c:v>4.6482741104858569E-19</c:v>
                </c:pt>
                <c:pt idx="353">
                  <c:v>4.0784356866846335E-19</c:v>
                </c:pt>
                <c:pt idx="354">
                  <c:v>3.5784545521744495E-19</c:v>
                </c:pt>
                <c:pt idx="355">
                  <c:v>3.1397668041659173E-19</c:v>
                </c:pt>
                <c:pt idx="356">
                  <c:v>2.7548584006891908E-19</c:v>
                </c:pt>
                <c:pt idx="357">
                  <c:v>2.4171364566878711E-19</c:v>
                </c:pt>
                <c:pt idx="358">
                  <c:v>2.1208163181047523E-19</c:v>
                </c:pt>
                <c:pt idx="359">
                  <c:v>1.8608224797133225E-19</c:v>
                </c:pt>
                <c:pt idx="360">
                  <c:v>1.6327016495708653E-19</c:v>
                </c:pt>
                <c:pt idx="361">
                  <c:v>1.4325464710218377E-19</c:v>
                </c:pt>
                <c:pt idx="362">
                  <c:v>1.2569285957275242E-19</c:v>
                </c:pt>
                <c:pt idx="363">
                  <c:v>1.1028399613665886E-19</c:v>
                </c:pt>
                <c:pt idx="364">
                  <c:v>9.6764126818443192E-20</c:v>
                </c:pt>
                <c:pt idx="365">
                  <c:v>8.4901677187442431E-20</c:v>
                </c:pt>
              </c:numCache>
            </c:numRef>
          </c:yVal>
          <c:smooth val="1"/>
          <c:extLst>
            <c:ext xmlns:c16="http://schemas.microsoft.com/office/drawing/2014/chart" uri="{C3380CC4-5D6E-409C-BE32-E72D297353CC}">
              <c16:uniqueId val="{00000004-0CF0-4AA2-A727-45757B791E30}"/>
            </c:ext>
          </c:extLst>
        </c:ser>
        <c:ser>
          <c:idx val="5"/>
          <c:order val="5"/>
          <c:tx>
            <c:v>large mammals (mean)</c:v>
          </c:tx>
          <c:spPr>
            <a:ln w="19050" cap="rnd">
              <a:solidFill>
                <a:srgbClr val="FF0000"/>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concentrations'!$AC$3:$AC$368</c:f>
              <c:numCache>
                <c:formatCode>General</c:formatCode>
                <c:ptCount val="366"/>
                <c:pt idx="0">
                  <c:v>6.4930767227363431</c:v>
                </c:pt>
                <c:pt idx="1">
                  <c:v>6.3463890390223003</c:v>
                </c:pt>
                <c:pt idx="2">
                  <c:v>5.6333070985507563</c:v>
                </c:pt>
                <c:pt idx="3">
                  <c:v>4.9492051798998489</c:v>
                </c:pt>
                <c:pt idx="4">
                  <c:v>4.343124503120281</c:v>
                </c:pt>
                <c:pt idx="5">
                  <c:v>3.8107597272039984</c:v>
                </c:pt>
                <c:pt idx="6">
                  <c:v>3.3435998559872582</c:v>
                </c:pt>
                <c:pt idx="7">
                  <c:v>2.9337039229355422</c:v>
                </c:pt>
                <c:pt idx="8">
                  <c:v>2.5740571211779075</c:v>
                </c:pt>
                <c:pt idx="9">
                  <c:v>2.2584998653749753</c:v>
                </c:pt>
                <c:pt idx="10">
                  <c:v>1.9816272090229874</c:v>
                </c:pt>
                <c:pt idx="11">
                  <c:v>1.7386967582343544</c:v>
                </c:pt>
                <c:pt idx="12">
                  <c:v>1.5255474910869355</c:v>
                </c:pt>
                <c:pt idx="13">
                  <c:v>1.3385284906818564</c:v>
                </c:pt>
                <c:pt idx="14">
                  <c:v>1.1744364110813372</c:v>
                </c:pt>
                <c:pt idx="15">
                  <c:v>1.0304606090012456</c:v>
                </c:pt>
                <c:pt idx="16">
                  <c:v>0.90413500184785434</c:v>
                </c:pt>
                <c:pt idx="17">
                  <c:v>0.79329582754136196</c:v>
                </c:pt>
                <c:pt idx="18">
                  <c:v>0.69604458262133995</c:v>
                </c:pt>
                <c:pt idx="19">
                  <c:v>0.61071550382162443</c:v>
                </c:pt>
                <c:pt idx="20">
                  <c:v>0.53584703612441498</c:v>
                </c:pt>
                <c:pt idx="21">
                  <c:v>0.47015679858552384</c:v>
                </c:pt>
                <c:pt idx="22">
                  <c:v>0.41251961913411644</c:v>
                </c:pt>
                <c:pt idx="23">
                  <c:v>0.36194826211707171</c:v>
                </c:pt>
                <c:pt idx="24">
                  <c:v>0.31757651848063068</c:v>
                </c:pt>
                <c:pt idx="25">
                  <c:v>0.27864436895032524</c:v>
                </c:pt>
                <c:pt idx="26">
                  <c:v>0.24448496607742892</c:v>
                </c:pt>
                <c:pt idx="27">
                  <c:v>0.21451321217453878</c:v>
                </c:pt>
                <c:pt idx="28">
                  <c:v>0.18821573749800774</c:v>
                </c:pt>
                <c:pt idx="29">
                  <c:v>0.1651421070190085</c:v>
                </c:pt>
                <c:pt idx="30">
                  <c:v>0.14489710516882956</c:v>
                </c:pt>
                <c:pt idx="31">
                  <c:v>0.1271339664080357</c:v>
                </c:pt>
                <c:pt idx="32">
                  <c:v>0.11154843566962139</c:v>
                </c:pt>
                <c:pt idx="33">
                  <c:v>9.7873556940745135E-2</c:v>
                </c:pt>
                <c:pt idx="34">
                  <c:v>8.5875100719516817E-2</c:v>
                </c:pt>
                <c:pt idx="35">
                  <c:v>7.5347552026252276E-2</c:v>
                </c:pt>
                <c:pt idx="36">
                  <c:v>6.6110590250038848E-2</c:v>
                </c:pt>
                <c:pt idx="37">
                  <c:v>5.8006000535833498E-2</c:v>
                </c:pt>
                <c:pt idx="38">
                  <c:v>5.0894963808935864E-2</c:v>
                </c:pt>
                <c:pt idx="39">
                  <c:v>4.4655679019151177E-2</c:v>
                </c:pt>
                <c:pt idx="40">
                  <c:v>3.9181276877366403E-2</c:v>
                </c:pt>
                <c:pt idx="41">
                  <c:v>3.437798935007725E-2</c:v>
                </c:pt>
                <c:pt idx="42">
                  <c:v>3.016354355814101E-2</c:v>
                </c:pt>
                <c:pt idx="43">
                  <c:v>2.6465752569727455E-2</c:v>
                </c:pt>
                <c:pt idx="44">
                  <c:v>2.322127894993262E-2</c:v>
                </c:pt>
                <c:pt idx="45">
                  <c:v>2.0374549888574608E-2</c:v>
                </c:pt>
                <c:pt idx="46">
                  <c:v>1.7876805323990139E-2</c:v>
                </c:pt>
                <c:pt idx="47">
                  <c:v>1.5685262758666017E-2</c:v>
                </c:pt>
                <c:pt idx="48">
                  <c:v>1.3762384461290383E-2</c:v>
                </c:pt>
                <c:pt idx="49">
                  <c:v>1.2075234503529299E-2</c:v>
                </c:pt>
                <c:pt idx="50">
                  <c:v>1.0594914618564067E-2</c:v>
                </c:pt>
                <c:pt idx="51">
                  <c:v>9.2960692185194375E-3</c:v>
                </c:pt>
                <c:pt idx="52">
                  <c:v>8.1564510924974978E-3</c:v>
                </c:pt>
                <c:pt idx="53">
                  <c:v>7.1565403462969628E-3</c:v>
                </c:pt>
                <c:pt idx="54">
                  <c:v>6.2792100568451921E-3</c:v>
                </c:pt>
                <c:pt idx="55">
                  <c:v>5.509432914520971E-3</c:v>
                </c:pt>
                <c:pt idx="56">
                  <c:v>4.8340238286051964E-3</c:v>
                </c:pt>
                <c:pt idx="57">
                  <c:v>4.2414140870893251E-3</c:v>
                </c:pt>
                <c:pt idx="58">
                  <c:v>3.7214532025487486E-3</c:v>
                </c:pt>
                <c:pt idx="59">
                  <c:v>3.2652350500076673E-3</c:v>
                </c:pt>
                <c:pt idx="60">
                  <c:v>2.8649453188062525E-3</c:v>
                </c:pt>
                <c:pt idx="61">
                  <c:v>2.5137276655567524E-3</c:v>
                </c:pt>
                <c:pt idx="62">
                  <c:v>2.2055662755958954E-3</c:v>
                </c:pt>
                <c:pt idx="63">
                  <c:v>1.9351828213930763E-3</c:v>
                </c:pt>
                <c:pt idx="64">
                  <c:v>1.6979460529713939E-3</c:v>
                </c:pt>
                <c:pt idx="65">
                  <c:v>1.4897924717654019E-3</c:v>
                </c:pt>
                <c:pt idx="66">
                  <c:v>1.3071567291815824E-3</c:v>
                </c:pt>
                <c:pt idx="67">
                  <c:v>1.1469105576966268E-3</c:v>
                </c:pt>
                <c:pt idx="68">
                  <c:v>1.00630918847778E-3</c:v>
                </c:pt>
                <c:pt idx="69">
                  <c:v>8.8294433774204547E-4</c:v>
                </c:pt>
                <c:pt idx="70">
                  <c:v>7.747029565833614E-4</c:v>
                </c:pt>
                <c:pt idx="71">
                  <c:v>6.7973103771615251E-4</c:v>
                </c:pt>
                <c:pt idx="72">
                  <c:v>5.9640185920080521E-4</c:v>
                </c:pt>
                <c:pt idx="73">
                  <c:v>5.2328812121524922E-4</c:v>
                </c:pt>
                <c:pt idx="74">
                  <c:v>4.5913749861867573E-4</c:v>
                </c:pt>
                <c:pt idx="75">
                  <c:v>4.0285119056066075E-4</c:v>
                </c:pt>
                <c:pt idx="76">
                  <c:v>3.53465099723703E-4</c:v>
                </c:pt>
                <c:pt idx="77">
                  <c:v>3.10133318828741E-4</c:v>
                </c:pt>
                <c:pt idx="78">
                  <c:v>2.7211364155305215E-4</c:v>
                </c:pt>
                <c:pt idx="79">
                  <c:v>2.3875484968498934E-4</c:v>
                </c:pt>
                <c:pt idx="80">
                  <c:v>2.0948555876419814E-4</c:v>
                </c:pt>
                <c:pt idx="81">
                  <c:v>1.8380443115039824E-4</c:v>
                </c:pt>
                <c:pt idx="82">
                  <c:v>1.6127158888575054E-4</c:v>
                </c:pt>
                <c:pt idx="83">
                  <c:v>1.415010792664352E-4</c:v>
                </c:pt>
                <c:pt idx="84">
                  <c:v>1.2415426407034742E-4</c:v>
                </c:pt>
                <c:pt idx="85">
                  <c:v>1.0893401920861468E-4</c:v>
                </c:pt>
                <c:pt idx="86">
                  <c:v>9.5579645449946448E-5</c:v>
                </c:pt>
                <c:pt idx="87">
                  <c:v>8.3862403046403169E-5</c:v>
                </c:pt>
                <c:pt idx="88">
                  <c:v>7.3581593775637002E-5</c:v>
                </c:pt>
                <c:pt idx="89">
                  <c:v>6.4561123291053576E-5</c:v>
                </c:pt>
                <c:pt idx="90">
                  <c:v>5.664648489827492E-5</c:v>
                </c:pt>
                <c:pt idx="91">
                  <c:v>4.9702113094663957E-5</c:v>
                </c:pt>
                <c:pt idx="92">
                  <c:v>4.3609061542139842E-5</c:v>
                </c:pt>
                <c:pt idx="93">
                  <c:v>3.8262965700553155E-5</c:v>
                </c:pt>
                <c:pt idx="94">
                  <c:v>3.3572255224684828E-5</c:v>
                </c:pt>
                <c:pt idx="95">
                  <c:v>2.9456585505997094E-5</c:v>
                </c:pt>
                <c:pt idx="96">
                  <c:v>2.5845461493874481E-5</c:v>
                </c:pt>
                <c:pt idx="97">
                  <c:v>2.2677030224543581E-5</c:v>
                </c:pt>
                <c:pt idx="98">
                  <c:v>1.9897021375561148E-5</c:v>
                </c:pt>
                <c:pt idx="99">
                  <c:v>1.7457817699209127E-5</c:v>
                </c:pt>
                <c:pt idx="100">
                  <c:v>1.5317639412759789E-5</c:v>
                </c:pt>
                <c:pt idx="101">
                  <c:v>1.3439828575478899E-5</c:v>
                </c:pt>
                <c:pt idx="102">
                  <c:v>1.1792221194852834E-5</c:v>
                </c:pt>
                <c:pt idx="103">
                  <c:v>1.0346596307191475E-5</c:v>
                </c:pt>
                <c:pt idx="104">
                  <c:v>9.0781925962103899E-6</c:v>
                </c:pt>
                <c:pt idx="105">
                  <c:v>7.9652842700170894E-6</c:v>
                </c:pt>
                <c:pt idx="106">
                  <c:v>6.9888089319306285E-6</c:v>
                </c:pt>
                <c:pt idx="107">
                  <c:v>6.1320410711378838E-6</c:v>
                </c:pt>
                <c:pt idx="108">
                  <c:v>5.3803055805868874E-6</c:v>
                </c:pt>
                <c:pt idx="109">
                  <c:v>4.7207263951222638E-6</c:v>
                </c:pt>
                <c:pt idx="110">
                  <c:v>4.1420059444231699E-6</c:v>
                </c:pt>
                <c:pt idx="111">
                  <c:v>3.6342316431140127E-6</c:v>
                </c:pt>
                <c:pt idx="112">
                  <c:v>3.1887061035231134E-6</c:v>
                </c:pt>
                <c:pt idx="113">
                  <c:v>2.7977981628967318E-6</c:v>
                </c:pt>
                <c:pt idx="114">
                  <c:v>2.4548121733952669E-6</c:v>
                </c:pt>
                <c:pt idx="115">
                  <c:v>2.1538733160116171E-6</c:v>
                </c:pt>
                <c:pt idx="116">
                  <c:v>1.8898269740166763E-6</c:v>
                </c:pt>
                <c:pt idx="117">
                  <c:v>1.658150442354877E-6</c:v>
                </c:pt>
                <c:pt idx="118">
                  <c:v>1.4548754607084005E-6</c:v>
                </c:pt>
                <c:pt idx="119">
                  <c:v>1.2765202433413893E-6</c:v>
                </c:pt>
                <c:pt idx="120">
                  <c:v>1.1200298415006126E-6</c:v>
                </c:pt>
                <c:pt idx="121">
                  <c:v>9.8272381687283243E-7</c:v>
                </c:pt>
                <c:pt idx="122">
                  <c:v>8.6225032982621659E-7</c:v>
                </c:pt>
                <c:pt idx="123">
                  <c:v>7.5654585603843919E-7</c:v>
                </c:pt>
                <c:pt idx="124">
                  <c:v>6.637998415196804E-7</c:v>
                </c:pt>
                <c:pt idx="125">
                  <c:v>5.8242369062578655E-7</c:v>
                </c:pt>
                <c:pt idx="126">
                  <c:v>5.1102355587426703E-7</c:v>
                </c:pt>
                <c:pt idx="127">
                  <c:v>4.4837646349480078E-7</c:v>
                </c:pt>
                <c:pt idx="128">
                  <c:v>3.9340936578189548E-7</c:v>
                </c:pt>
                <c:pt idx="129">
                  <c:v>3.4518076144892892E-7</c:v>
                </c:pt>
                <c:pt idx="130">
                  <c:v>3.028645691686926E-7</c:v>
                </c:pt>
                <c:pt idx="131">
                  <c:v>2.6573597807915265E-7</c:v>
                </c:pt>
                <c:pt idx="132">
                  <c:v>2.3315903289549754E-7</c:v>
                </c:pt>
                <c:pt idx="133">
                  <c:v>2.0457574098066235E-7</c:v>
                </c:pt>
                <c:pt idx="134">
                  <c:v>1.7949651479531091E-7</c:v>
                </c:pt>
                <c:pt idx="135">
                  <c:v>1.5749178602124084E-7</c:v>
                </c:pt>
                <c:pt idx="136">
                  <c:v>1.381846477211282E-7</c:v>
                </c:pt>
                <c:pt idx="137">
                  <c:v>1.2124439850619873E-7</c:v>
                </c:pt>
                <c:pt idx="138">
                  <c:v>1.0638087813341284E-7</c:v>
                </c:pt>
                <c:pt idx="139">
                  <c:v>9.3339497509713394E-8</c:v>
                </c:pt>
                <c:pt idx="140">
                  <c:v>8.1896877975003147E-8</c:v>
                </c:pt>
                <c:pt idx="141">
                  <c:v>7.185702517152055E-8</c:v>
                </c:pt>
                <c:pt idx="142">
                  <c:v>6.3047971963919547E-8</c:v>
                </c:pt>
                <c:pt idx="143">
                  <c:v>5.5318832908471635E-8</c:v>
                </c:pt>
                <c:pt idx="144">
                  <c:v>4.8537219819007797E-8</c:v>
                </c:pt>
                <c:pt idx="145">
                  <c:v>4.2586974162245966E-8</c:v>
                </c:pt>
                <c:pt idx="146">
                  <c:v>3.7366177441946453E-8</c:v>
                </c:pt>
                <c:pt idx="147">
                  <c:v>3.278540549285629E-8</c:v>
                </c:pt>
                <c:pt idx="148">
                  <c:v>2.8766196783200297E-8</c:v>
                </c:pt>
                <c:pt idx="149">
                  <c:v>2.5239708490111808E-8</c:v>
                </c:pt>
                <c:pt idx="150">
                  <c:v>2.2145537328655851E-8</c:v>
                </c:pt>
                <c:pt idx="151">
                  <c:v>1.9430684937071443E-8</c:v>
                </c:pt>
                <c:pt idx="152">
                  <c:v>1.704865009688392E-8</c:v>
                </c:pt>
                <c:pt idx="153">
                  <c:v>1.4958632239023238E-8</c:v>
                </c:pt>
                <c:pt idx="154">
                  <c:v>1.3124832593241115E-8</c:v>
                </c:pt>
                <c:pt idx="155">
                  <c:v>1.1515841010598476E-8</c:v>
                </c:pt>
                <c:pt idx="156">
                  <c:v>1.0104097956241678E-8</c:v>
                </c:pt>
                <c:pt idx="157">
                  <c:v>8.8654224572367155E-9</c:v>
                </c:pt>
                <c:pt idx="158">
                  <c:v>7.7785979199385689E-9</c:v>
                </c:pt>
                <c:pt idx="159">
                  <c:v>6.8250087225885086E-9</c:v>
                </c:pt>
                <c:pt idx="160">
                  <c:v>5.9883213585330946E-9</c:v>
                </c:pt>
                <c:pt idx="161">
                  <c:v>5.2542046685418864E-9</c:v>
                </c:pt>
                <c:pt idx="162">
                  <c:v>4.6100843702365891E-9</c:v>
                </c:pt>
                <c:pt idx="163">
                  <c:v>4.0449276801007552E-9</c:v>
                </c:pt>
                <c:pt idx="164">
                  <c:v>3.549054338978531E-9</c:v>
                </c:pt>
                <c:pt idx="165">
                  <c:v>3.1139708042217925E-9</c:v>
                </c:pt>
                <c:pt idx="166">
                  <c:v>2.7322247684538409E-9</c:v>
                </c:pt>
                <c:pt idx="167">
                  <c:v>2.3972775130813165E-9</c:v>
                </c:pt>
                <c:pt idx="168">
                  <c:v>2.1033919101675956E-9</c:v>
                </c:pt>
                <c:pt idx="169">
                  <c:v>1.8455341543131617E-9</c:v>
                </c:pt>
                <c:pt idx="170">
                  <c:v>1.6192875413621854E-9</c:v>
                </c:pt>
                <c:pt idx="171">
                  <c:v>1.420776817098048E-9</c:v>
                </c:pt>
                <c:pt idx="172">
                  <c:v>1.2466018001380763E-9</c:v>
                </c:pt>
                <c:pt idx="173">
                  <c:v>1.0937791420904424E-9</c:v>
                </c:pt>
                <c:pt idx="174">
                  <c:v>9.5969122741487604E-10</c:v>
                </c:pt>
                <c:pt idx="175">
                  <c:v>8.4204133772091516E-10</c:v>
                </c:pt>
                <c:pt idx="176">
                  <c:v>7.3881431253753868E-10</c:v>
                </c:pt>
                <c:pt idx="177">
                  <c:v>6.482420327340633E-10</c:v>
                </c:pt>
                <c:pt idx="178">
                  <c:v>5.687731353767452E-10</c:v>
                </c:pt>
                <c:pt idx="179">
                  <c:v>4.9904644128346431E-10</c:v>
                </c:pt>
                <c:pt idx="180">
                  <c:v>4.378676401316417E-10</c:v>
                </c:pt>
                <c:pt idx="181">
                  <c:v>3.8418883377138251E-10</c:v>
                </c:pt>
                <c:pt idx="182">
                  <c:v>3.3709058735246976E-10</c:v>
                </c:pt>
                <c:pt idx="183">
                  <c:v>2.9576618082880152E-10</c:v>
                </c:pt>
                <c:pt idx="184">
                  <c:v>2.5950779109292262E-10</c:v>
                </c:pt>
                <c:pt idx="185">
                  <c:v>2.2769436806200942E-10</c:v>
                </c:pt>
                <c:pt idx="186">
                  <c:v>1.9978099705142818E-10</c:v>
                </c:pt>
                <c:pt idx="187">
                  <c:v>1.7528956522979592E-10</c:v>
                </c:pt>
                <c:pt idx="188">
                  <c:v>1.5380057228636811E-10</c:v>
                </c:pt>
                <c:pt idx="189">
                  <c:v>1.3494594504016434E-10</c:v>
                </c:pt>
                <c:pt idx="190">
                  <c:v>1.1840273291620975E-10</c:v>
                </c:pt>
                <c:pt idx="191">
                  <c:v>1.0388757630216102E-10</c:v>
                </c:pt>
                <c:pt idx="192">
                  <c:v>9.1151853036829525E-11</c:v>
                </c:pt>
                <c:pt idx="193">
                  <c:v>7.997741989746405E-11</c:v>
                </c:pt>
                <c:pt idx="194">
                  <c:v>7.0172876144063076E-11</c:v>
                </c:pt>
                <c:pt idx="195">
                  <c:v>6.1570285121015222E-11</c:v>
                </c:pt>
                <c:pt idx="196">
                  <c:v>5.4022297762179357E-11</c:v>
                </c:pt>
                <c:pt idx="197">
                  <c:v>4.7399628729499828E-11</c:v>
                </c:pt>
                <c:pt idx="198">
                  <c:v>4.1588841955318352E-11</c:v>
                </c:pt>
                <c:pt idx="199">
                  <c:v>3.6490407658150853E-11</c:v>
                </c:pt>
                <c:pt idx="200">
                  <c:v>3.201699755161749E-11</c:v>
                </c:pt>
                <c:pt idx="201">
                  <c:v>2.8091989046094056E-11</c:v>
                </c:pt>
                <c:pt idx="202">
                  <c:v>2.4648152822374829E-11</c:v>
                </c:pt>
                <c:pt idx="203">
                  <c:v>2.1626501297515492E-11</c:v>
                </c:pt>
                <c:pt idx="204">
                  <c:v>1.8975278258858841E-11</c:v>
                </c:pt>
                <c:pt idx="205">
                  <c:v>1.6649072360238213E-11</c:v>
                </c:pt>
                <c:pt idx="206">
                  <c:v>1.4608039295921141E-11</c:v>
                </c:pt>
                <c:pt idx="207">
                  <c:v>1.2817219329337036E-11</c:v>
                </c:pt>
                <c:pt idx="208">
                  <c:v>1.1245938486912582E-11</c:v>
                </c:pt>
                <c:pt idx="209">
                  <c:v>9.8672831603922716E-12</c:v>
                </c:pt>
                <c:pt idx="210">
                  <c:v>8.6576391183952348E-12</c:v>
                </c:pt>
                <c:pt idx="211">
                  <c:v>7.5962870311900151E-12</c:v>
                </c:pt>
                <c:pt idx="212">
                  <c:v>6.6650475806528444E-12</c:v>
                </c:pt>
                <c:pt idx="213">
                  <c:v>5.8479700766924784E-12</c:v>
                </c:pt>
                <c:pt idx="214">
                  <c:v>5.1310592466229383E-12</c:v>
                </c:pt>
                <c:pt idx="215">
                  <c:v>4.5020355178091706E-12</c:v>
                </c:pt>
                <c:pt idx="216">
                  <c:v>3.9501246875983953E-12</c:v>
                </c:pt>
                <c:pt idx="217">
                  <c:v>3.4658733779087233E-12</c:v>
                </c:pt>
                <c:pt idx="218">
                  <c:v>3.0409871134978459E-12</c:v>
                </c:pt>
                <c:pt idx="219">
                  <c:v>2.6681882504432064E-12</c:v>
                </c:pt>
                <c:pt idx="220">
                  <c:v>2.3410913213684752E-12</c:v>
                </c:pt>
                <c:pt idx="221">
                  <c:v>2.0540936622730446E-12</c:v>
                </c:pt>
                <c:pt idx="222">
                  <c:v>1.8022794475714486E-12</c:v>
                </c:pt>
                <c:pt idx="223">
                  <c:v>1.5813354896115106E-12</c:v>
                </c:pt>
                <c:pt idx="224">
                  <c:v>1.3874773604473137E-12</c:v>
                </c:pt>
                <c:pt idx="225">
                  <c:v>1.2173845704473411E-12</c:v>
                </c:pt>
                <c:pt idx="226">
                  <c:v>1.0681436934476986E-12</c:v>
                </c:pt>
                <c:pt idx="227">
                  <c:v>9.3719846427234049E-13</c:v>
                </c:pt>
                <c:pt idx="228">
                  <c:v>8.2230599386808172E-13</c:v>
                </c:pt>
                <c:pt idx="229">
                  <c:v>7.2149835208744072E-13</c:v>
                </c:pt>
                <c:pt idx="230">
                  <c:v>6.330488600918591E-13</c:v>
                </c:pt>
                <c:pt idx="231">
                  <c:v>5.5544251501635304E-13</c:v>
                </c:pt>
                <c:pt idx="232">
                  <c:v>4.8735004031588341E-13</c:v>
                </c:pt>
                <c:pt idx="233">
                  <c:v>4.276051173160566E-13</c:v>
                </c:pt>
                <c:pt idx="234">
                  <c:v>3.7518440797986598E-13</c:v>
                </c:pt>
                <c:pt idx="235">
                  <c:v>3.2919002671139655E-13</c:v>
                </c:pt>
                <c:pt idx="236">
                  <c:v>2.8883416096562679E-13</c:v>
                </c:pt>
                <c:pt idx="237">
                  <c:v>2.5342557723918249E-13</c:v>
                </c:pt>
                <c:pt idx="238">
                  <c:v>2.2235778131055625E-13</c:v>
                </c:pt>
                <c:pt idx="239">
                  <c:v>1.9509862993303551E-13</c:v>
                </c:pt>
                <c:pt idx="240">
                  <c:v>1.711812160447227E-13</c:v>
                </c:pt>
                <c:pt idx="241">
                  <c:v>1.5019587137340646E-13</c:v>
                </c:pt>
                <c:pt idx="242">
                  <c:v>1.3178314945328559E-13</c:v>
                </c:pt>
                <c:pt idx="243">
                  <c:v>1.1562766886348619E-13</c:v>
                </c:pt>
                <c:pt idx="244">
                  <c:v>1.0145271123257924E-13</c:v>
                </c:pt>
                <c:pt idx="245">
                  <c:v>8.9015481481278922E-14</c:v>
                </c:pt>
                <c:pt idx="246">
                  <c:v>7.8102949118617325E-14</c:v>
                </c:pt>
                <c:pt idx="247">
                  <c:v>6.852819935943666E-14</c:v>
                </c:pt>
                <c:pt idx="248">
                  <c:v>6.0127231563491478E-14</c:v>
                </c:pt>
                <c:pt idx="249">
                  <c:v>5.2756150158378335E-14</c:v>
                </c:pt>
                <c:pt idx="250">
                  <c:v>4.6288699931152219E-14</c:v>
                </c:pt>
                <c:pt idx="251">
                  <c:v>4.061410347199061E-14</c:v>
                </c:pt>
                <c:pt idx="252">
                  <c:v>3.5635163728662974E-14</c:v>
                </c:pt>
                <c:pt idx="253">
                  <c:v>3.1266599171501487E-14</c:v>
                </c:pt>
                <c:pt idx="254">
                  <c:v>2.7433583052826255E-14</c:v>
                </c:pt>
                <c:pt idx="255">
                  <c:v>2.4070461740600441E-14</c:v>
                </c:pt>
                <c:pt idx="256">
                  <c:v>2.1119630173354992E-14</c:v>
                </c:pt>
                <c:pt idx="257">
                  <c:v>1.8530545174666853E-14</c:v>
                </c:pt>
                <c:pt idx="258">
                  <c:v>1.6258859726795145E-14</c:v>
                </c:pt>
                <c:pt idx="259">
                  <c:v>1.4265663374922999E-14</c:v>
                </c:pt>
                <c:pt idx="260">
                  <c:v>1.2516815751305707E-14</c:v>
                </c:pt>
                <c:pt idx="261">
                  <c:v>1.0982361803625576E-14</c:v>
                </c:pt>
                <c:pt idx="262">
                  <c:v>9.6360187113205841E-15</c:v>
                </c:pt>
                <c:pt idx="263">
                  <c:v>8.4547257015578512E-15</c:v>
                </c:pt>
                <c:pt idx="264">
                  <c:v>7.4182490538965007E-15</c:v>
                </c:pt>
                <c:pt idx="265">
                  <c:v>6.5088355279812973E-15</c:v>
                </c:pt>
                <c:pt idx="266">
                  <c:v>5.7109082780200016E-15</c:v>
                </c:pt>
                <c:pt idx="267">
                  <c:v>5.0108000455302164E-15</c:v>
                </c:pt>
                <c:pt idx="268">
                  <c:v>4.3965190603605213E-15</c:v>
                </c:pt>
                <c:pt idx="269">
                  <c:v>3.8575436402328103E-15</c:v>
                </c:pt>
                <c:pt idx="270">
                  <c:v>3.3846419706139891E-15</c:v>
                </c:pt>
                <c:pt idx="271">
                  <c:v>2.9697139780252413E-15</c:v>
                </c:pt>
                <c:pt idx="272">
                  <c:v>2.6056525883234441E-15</c:v>
                </c:pt>
                <c:pt idx="273">
                  <c:v>2.286221993523902E-15</c:v>
                </c:pt>
                <c:pt idx="274">
                  <c:v>2.0059508420635201E-15</c:v>
                </c:pt>
                <c:pt idx="275">
                  <c:v>1.7600385230189927E-15</c:v>
                </c:pt>
                <c:pt idx="276">
                  <c:v>1.5442729390737408E-15</c:v>
                </c:pt>
                <c:pt idx="277">
                  <c:v>1.3549583598118298E-15</c:v>
                </c:pt>
                <c:pt idx="278">
                  <c:v>1.1888521195774816E-15</c:v>
                </c:pt>
                <c:pt idx="279">
                  <c:v>1.0431090756325182E-15</c:v>
                </c:pt>
                <c:pt idx="280">
                  <c:v>9.1523287526595751E-16</c:v>
                </c:pt>
                <c:pt idx="281">
                  <c:v>8.0303319713679855E-16</c:v>
                </c:pt>
                <c:pt idx="282">
                  <c:v>7.0458823446039133E-16</c:v>
                </c:pt>
                <c:pt idx="283">
                  <c:v>6.1821177743345615E-16</c:v>
                </c:pt>
                <c:pt idx="284">
                  <c:v>5.4242433107065726E-16</c:v>
                </c:pt>
                <c:pt idx="285">
                  <c:v>4.759277737459799E-16</c:v>
                </c:pt>
                <c:pt idx="286">
                  <c:v>4.1758312237896152E-16</c:v>
                </c:pt>
                <c:pt idx="287">
                  <c:v>3.6639102341783788E-16</c:v>
                </c:pt>
                <c:pt idx="288">
                  <c:v>3.2147463546034819E-16</c:v>
                </c:pt>
                <c:pt idx="289">
                  <c:v>2.8206461031799491E-16</c:v>
                </c:pt>
                <c:pt idx="290">
                  <c:v>2.4748591527263915E-16</c:v>
                </c:pt>
                <c:pt idx="291">
                  <c:v>2.1714627081109009E-16</c:v>
                </c:pt>
                <c:pt idx="292">
                  <c:v>1.9052600579397999E-16</c:v>
                </c:pt>
                <c:pt idx="293">
                  <c:v>1.6716915629367451E-16</c:v>
                </c:pt>
                <c:pt idx="294">
                  <c:v>1.4667565563809225E-16</c:v>
                </c:pt>
                <c:pt idx="295">
                  <c:v>1.2869448188797421E-16</c:v>
                </c:pt>
                <c:pt idx="296">
                  <c:v>1.1291764537449823E-16</c:v>
                </c:pt>
                <c:pt idx="297">
                  <c:v>9.9074913313065664E-17</c:v>
                </c:pt>
                <c:pt idx="298">
                  <c:v>8.6929181134061447E-17</c:v>
                </c:pt>
                <c:pt idx="299">
                  <c:v>7.6272411248649731E-17</c:v>
                </c:pt>
                <c:pt idx="300">
                  <c:v>6.6922069686949864E-17</c:v>
                </c:pt>
                <c:pt idx="301">
                  <c:v>5.8717999573722146E-17</c:v>
                </c:pt>
                <c:pt idx="302">
                  <c:v>5.1519677889041343E-17</c:v>
                </c:pt>
                <c:pt idx="303">
                  <c:v>4.5203808526515839E-17</c:v>
                </c:pt>
                <c:pt idx="304">
                  <c:v>3.966221042186583E-17</c:v>
                </c:pt>
                <c:pt idx="305">
                  <c:v>3.4799964578772435E-17</c:v>
                </c:pt>
                <c:pt idx="306">
                  <c:v>3.0533788253419421E-17</c:v>
                </c:pt>
                <c:pt idx="307">
                  <c:v>2.679060845002564E-17</c:v>
                </c:pt>
                <c:pt idx="308">
                  <c:v>2.3506310293555118E-17</c:v>
                </c:pt>
                <c:pt idx="309">
                  <c:v>2.0624638841166984E-17</c:v>
                </c:pt>
                <c:pt idx="310">
                  <c:v>1.8096235522135598E-17</c:v>
                </c:pt>
                <c:pt idx="311">
                  <c:v>1.5877792701948384E-17</c:v>
                </c:pt>
                <c:pt idx="312">
                  <c:v>1.3931311889573241E-17</c:v>
                </c:pt>
                <c:pt idx="313">
                  <c:v>1.222345288213448E-17</c:v>
                </c:pt>
                <c:pt idx="314">
                  <c:v>1.0724962698853102E-17</c:v>
                </c:pt>
                <c:pt idx="315">
                  <c:v>9.4101745227740079E-18</c:v>
                </c:pt>
                <c:pt idx="316">
                  <c:v>8.2565680679275891E-18</c:v>
                </c:pt>
                <c:pt idx="317">
                  <c:v>7.2443838416958015E-18</c:v>
                </c:pt>
                <c:pt idx="318">
                  <c:v>6.3562846952942357E-18</c:v>
                </c:pt>
                <c:pt idx="319">
                  <c:v>5.5770588652539078E-18</c:v>
                </c:pt>
                <c:pt idx="320">
                  <c:v>4.8933594194631019E-18</c:v>
                </c:pt>
                <c:pt idx="321">
                  <c:v>4.2934756448833216E-18</c:v>
                </c:pt>
                <c:pt idx="322">
                  <c:v>3.7671324611648538E-18</c:v>
                </c:pt>
                <c:pt idx="323">
                  <c:v>3.3053144244277238E-18</c:v>
                </c:pt>
                <c:pt idx="324">
                  <c:v>2.9001113066652747E-18</c:v>
                </c:pt>
                <c:pt idx="325">
                  <c:v>2.5445826057846134E-18</c:v>
                </c:pt>
                <c:pt idx="326">
                  <c:v>2.2326386655506855E-18</c:v>
                </c:pt>
                <c:pt idx="327">
                  <c:v>1.9589363692026564E-18</c:v>
                </c:pt>
                <c:pt idx="328">
                  <c:v>1.7187876201357351E-18</c:v>
                </c:pt>
                <c:pt idx="329">
                  <c:v>1.5080790420642E-18</c:v>
                </c:pt>
                <c:pt idx="330">
                  <c:v>1.32320152325374E-18</c:v>
                </c:pt>
                <c:pt idx="331">
                  <c:v>1.1609883980248843E-18</c:v>
                </c:pt>
                <c:pt idx="332">
                  <c:v>1.0186612066723811E-18</c:v>
                </c:pt>
                <c:pt idx="333">
                  <c:v>8.9378210475191163E-19</c:v>
                </c:pt>
                <c:pt idx="334">
                  <c:v>7.8421210657890483E-19</c:v>
                </c:pt>
                <c:pt idx="335">
                  <c:v>6.8807444771522591E-19</c:v>
                </c:pt>
                <c:pt idx="336">
                  <c:v>6.0372243889985952E-19</c:v>
                </c:pt>
                <c:pt idx="337">
                  <c:v>5.2971126081118873E-19</c:v>
                </c:pt>
                <c:pt idx="338">
                  <c:v>4.6477321654880849E-19</c:v>
                </c:pt>
                <c:pt idx="339">
                  <c:v>4.0779601794820461E-19</c:v>
                </c:pt>
                <c:pt idx="340">
                  <c:v>3.578037338064823E-19</c:v>
                </c:pt>
                <c:pt idx="341">
                  <c:v>3.1394007369174628E-19</c:v>
                </c:pt>
                <c:pt idx="342">
                  <c:v>2.754537210136669E-19</c:v>
                </c:pt>
                <c:pt idx="343">
                  <c:v>2.4168546413343667E-19</c:v>
                </c:pt>
                <c:pt idx="344">
                  <c:v>2.1205690508895516E-19</c:v>
                </c:pt>
                <c:pt idx="345">
                  <c:v>1.8606055253318358E-19</c:v>
                </c:pt>
                <c:pt idx="346">
                  <c:v>1.6325112919304152E-19</c:v>
                </c:pt>
                <c:pt idx="347">
                  <c:v>1.4323794495907446E-19</c:v>
                </c:pt>
                <c:pt idx="348">
                  <c:v>1.2567820496872481E-19</c:v>
                </c:pt>
                <c:pt idx="349">
                  <c:v>1.1027113806103343E-19</c:v>
                </c:pt>
                <c:pt idx="350">
                  <c:v>9.6752845032290687E-20</c:v>
                </c:pt>
                <c:pt idx="351">
                  <c:v>8.4891778451231882E-20</c:v>
                </c:pt>
                <c:pt idx="352">
                  <c:v>7.4484776610009503E-20</c:v>
                </c:pt>
                <c:pt idx="353">
                  <c:v>6.5353583678661976E-20</c:v>
                </c:pt>
                <c:pt idx="354">
                  <c:v>5.7341796458713033E-20</c:v>
                </c:pt>
                <c:pt idx="355">
                  <c:v>5.0312185438516936E-20</c:v>
                </c:pt>
                <c:pt idx="356">
                  <c:v>4.4144344264175624E-20</c:v>
                </c:pt>
                <c:pt idx="357">
                  <c:v>3.8732627365103349E-20</c:v>
                </c:pt>
                <c:pt idx="358">
                  <c:v>3.3984340408957456E-20</c:v>
                </c:pt>
                <c:pt idx="359">
                  <c:v>2.9818152591229903E-20</c:v>
                </c:pt>
                <c:pt idx="360">
                  <c:v>2.6162703564478164E-20</c:v>
                </c:pt>
                <c:pt idx="361">
                  <c:v>2.295538114604992E-20</c:v>
                </c:pt>
                <c:pt idx="362">
                  <c:v>2.0141248868327133E-20</c:v>
                </c:pt>
                <c:pt idx="363">
                  <c:v>1.7672105002085545E-20</c:v>
                </c:pt>
                <c:pt idx="364">
                  <c:v>1.5505656935496469E-20</c:v>
                </c:pt>
                <c:pt idx="365">
                  <c:v>1.3604796767161368E-20</c:v>
                </c:pt>
              </c:numCache>
            </c:numRef>
          </c:yVal>
          <c:smooth val="1"/>
          <c:extLst>
            <c:ext xmlns:c16="http://schemas.microsoft.com/office/drawing/2014/chart" uri="{C3380CC4-5D6E-409C-BE32-E72D297353CC}">
              <c16:uniqueId val="{00000005-0CF0-4AA2-A727-45757B791E30}"/>
            </c:ext>
          </c:extLst>
        </c:ser>
        <c:ser>
          <c:idx val="6"/>
          <c:order val="6"/>
          <c:tx>
            <c:v>small birds (mean)</c:v>
          </c:tx>
          <c:spPr>
            <a:ln w="19050" cap="rnd">
              <a:solidFill>
                <a:schemeClr val="accent6"/>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concentrations'!$AD$3:$AD$368</c:f>
              <c:numCache>
                <c:formatCode>General</c:formatCode>
                <c:ptCount val="366"/>
                <c:pt idx="0">
                  <c:v>37.014245633641153</c:v>
                </c:pt>
                <c:pt idx="1">
                  <c:v>40.397666062705881</c:v>
                </c:pt>
                <c:pt idx="2">
                  <c:v>37.140364077107733</c:v>
                </c:pt>
                <c:pt idx="3">
                  <c:v>32.950027244322612</c:v>
                </c:pt>
                <c:pt idx="4">
                  <c:v>28.988266324714942</c:v>
                </c:pt>
                <c:pt idx="5">
                  <c:v>25.451166822136297</c:v>
                </c:pt>
                <c:pt idx="6">
                  <c:v>22.334627785753526</c:v>
                </c:pt>
                <c:pt idx="7">
                  <c:v>19.597355321503159</c:v>
                </c:pt>
                <c:pt idx="8">
                  <c:v>17.19505093505532</c:v>
                </c:pt>
                <c:pt idx="9">
                  <c:v>15.087120434882703</c:v>
                </c:pt>
                <c:pt idx="10">
                  <c:v>13.23757669749248</c:v>
                </c:pt>
                <c:pt idx="11">
                  <c:v>11.614765253024096</c:v>
                </c:pt>
                <c:pt idx="12">
                  <c:v>10.190895278898655</c:v>
                </c:pt>
                <c:pt idx="13">
                  <c:v>8.941579247794877</c:v>
                </c:pt>
                <c:pt idx="14">
                  <c:v>7.8454185586744725</c:v>
                </c:pt>
                <c:pt idx="15">
                  <c:v>6.8836377291197053</c:v>
                </c:pt>
                <c:pt idx="16">
                  <c:v>6.0397629538772746</c:v>
                </c:pt>
                <c:pt idx="17">
                  <c:v>5.2993399669251646</c:v>
                </c:pt>
                <c:pt idx="18">
                  <c:v>4.6496864693022841</c:v>
                </c:pt>
                <c:pt idx="19">
                  <c:v>4.0796749024655927</c:v>
                </c:pt>
                <c:pt idx="20">
                  <c:v>3.5795418507612844</c:v>
                </c:pt>
                <c:pt idx="21">
                  <c:v>3.1407208092987302</c:v>
                </c:pt>
                <c:pt idx="22">
                  <c:v>2.7556954529986672</c:v>
                </c:pt>
                <c:pt idx="23">
                  <c:v>2.4178708935841282</c:v>
                </c:pt>
                <c:pt idx="24">
                  <c:v>2.121460719354793</c:v>
                </c:pt>
                <c:pt idx="25">
                  <c:v>1.8613878829129282</c:v>
                </c:pt>
                <c:pt idx="26">
                  <c:v>1.6331977392015173</c:v>
                </c:pt>
                <c:pt idx="27">
                  <c:v>1.4329817443308881</c:v>
                </c:pt>
                <c:pt idx="28">
                  <c:v>1.2573105082728899</c:v>
                </c:pt>
                <c:pt idx="29">
                  <c:v>1.1031750547189145</c:v>
                </c:pt>
                <c:pt idx="30">
                  <c:v>0.96793528197406919</c:v>
                </c:pt>
                <c:pt idx="31">
                  <c:v>0.84927474210241249</c:v>
                </c:pt>
                <c:pt idx="32">
                  <c:v>0.74516096376001495</c:v>
                </c:pt>
                <c:pt idx="33">
                  <c:v>0.65381063910740433</c:v>
                </c:pt>
                <c:pt idx="34">
                  <c:v>0.57365907850709974</c:v>
                </c:pt>
                <c:pt idx="35">
                  <c:v>0.50333340981249253</c:v>
                </c:pt>
                <c:pt idx="36">
                  <c:v>0.4416290631933843</c:v>
                </c:pt>
                <c:pt idx="37">
                  <c:v>0.38748913871964774</c:v>
                </c:pt>
                <c:pt idx="38">
                  <c:v>0.33998630330166107</c:v>
                </c:pt>
                <c:pt idx="39">
                  <c:v>0.29830690691013179</c:v>
                </c:pt>
                <c:pt idx="40">
                  <c:v>0.26173704601074516</c:v>
                </c:pt>
                <c:pt idx="41">
                  <c:v>0.22965033550185007</c:v>
                </c:pt>
                <c:pt idx="42">
                  <c:v>0.20149717970740444</c:v>
                </c:pt>
                <c:pt idx="43">
                  <c:v>0.1767953586539</c:v>
                </c:pt>
                <c:pt idx="44">
                  <c:v>0.1551217683887639</c:v>
                </c:pt>
                <c:pt idx="45">
                  <c:v>0.13610517386467882</c:v>
                </c:pt>
                <c:pt idx="46">
                  <c:v>0.11941985025794914</c:v>
                </c:pt>
                <c:pt idx="47">
                  <c:v>0.10478000380654115</c:v>
                </c:pt>
                <c:pt idx="48">
                  <c:v>9.1934876605390625E-2</c:v>
                </c:pt>
                <c:pt idx="49">
                  <c:v>8.0664451511699237E-2</c:v>
                </c:pt>
                <c:pt idx="50">
                  <c:v>7.077568359189762E-2</c:v>
                </c:pt>
                <c:pt idx="51">
                  <c:v>6.2099193560795393E-2</c:v>
                </c:pt>
                <c:pt idx="52">
                  <c:v>5.4486366576650083E-2</c:v>
                </c:pt>
                <c:pt idx="53">
                  <c:v>4.7806806699005805E-2</c:v>
                </c:pt>
                <c:pt idx="54">
                  <c:v>4.1946103408105478E-2</c:v>
                </c:pt>
                <c:pt idx="55">
                  <c:v>3.6803871929811792E-2</c:v>
                </c:pt>
                <c:pt idx="56">
                  <c:v>3.2292033799836715E-2</c:v>
                </c:pt>
                <c:pt idx="57">
                  <c:v>2.8333308216006759E-2</c:v>
                </c:pt>
                <c:pt idx="58">
                  <c:v>2.4859888337763827E-2</c:v>
                </c:pt>
                <c:pt idx="59">
                  <c:v>2.1812279859961498E-2</c:v>
                </c:pt>
                <c:pt idx="60">
                  <c:v>1.9138281967523853E-2</c:v>
                </c:pt>
                <c:pt idx="61">
                  <c:v>1.6792093216297807E-2</c:v>
                </c:pt>
                <c:pt idx="62">
                  <c:v>1.473352702522217E-2</c:v>
                </c:pt>
                <c:pt idx="63">
                  <c:v>1.2927323342408856E-2</c:v>
                </c:pt>
                <c:pt idx="64">
                  <c:v>1.1342544695041808E-2</c:v>
                </c:pt>
                <c:pt idx="65">
                  <c:v>9.9520462783634564E-3</c:v>
                </c:pt>
                <c:pt idx="66">
                  <c:v>8.7320110071933792E-3</c:v>
                </c:pt>
                <c:pt idx="67">
                  <c:v>7.6615415661315401E-3</c:v>
                </c:pt>
                <c:pt idx="68">
                  <c:v>6.7223024708976259E-3</c:v>
                </c:pt>
                <c:pt idx="69">
                  <c:v>5.8982060098713672E-3</c:v>
                </c:pt>
                <c:pt idx="70">
                  <c:v>5.1751366864986326E-3</c:v>
                </c:pt>
                <c:pt idx="71">
                  <c:v>4.540709442688343E-3</c:v>
                </c:pt>
                <c:pt idx="72">
                  <c:v>3.9840575219412663E-3</c:v>
                </c:pt>
                <c:pt idx="73">
                  <c:v>3.4956463386345399E-3</c:v>
                </c:pt>
                <c:pt idx="74">
                  <c:v>3.0671101653308923E-3</c:v>
                </c:pt>
                <c:pt idx="75">
                  <c:v>2.6911088408190327E-3</c:v>
                </c:pt>
                <c:pt idx="76">
                  <c:v>2.361202044515755E-3</c:v>
                </c:pt>
                <c:pt idx="77">
                  <c:v>2.0717389837449163E-3</c:v>
                </c:pt>
                <c:pt idx="78">
                  <c:v>1.8177616044071569E-3</c:v>
                </c:pt>
                <c:pt idx="79">
                  <c:v>1.5949196671889818E-3</c:v>
                </c:pt>
                <c:pt idx="80">
                  <c:v>1.3993962346981329E-3</c:v>
                </c:pt>
                <c:pt idx="81">
                  <c:v>1.2278422932352441E-3</c:v>
                </c:pt>
                <c:pt idx="82">
                  <c:v>1.07731938937394E-3</c:v>
                </c:pt>
                <c:pt idx="83">
                  <c:v>9.4524929880280195E-4</c:v>
                </c:pt>
                <c:pt idx="84">
                  <c:v>8.293698653343872E-4</c:v>
                </c:pt>
                <c:pt idx="85">
                  <c:v>7.276962536718896E-4</c:v>
                </c:pt>
                <c:pt idx="86">
                  <c:v>6.3848695225332455E-4</c:v>
                </c:pt>
                <c:pt idx="87">
                  <c:v>5.6021394385458959E-4</c:v>
                </c:pt>
                <c:pt idx="88">
                  <c:v>4.9153653302001223E-4</c:v>
                </c:pt>
                <c:pt idx="89">
                  <c:v>4.3127838202478935E-4</c:v>
                </c:pt>
                <c:pt idx="90">
                  <c:v>3.78407362030906E-4</c:v>
                </c:pt>
                <c:pt idx="91">
                  <c:v>3.3201787431802839E-4</c:v>
                </c:pt>
                <c:pt idx="92">
                  <c:v>2.9131533877942557E-4</c:v>
                </c:pt>
                <c:pt idx="93">
                  <c:v>2.5560258399486832E-4</c:v>
                </c:pt>
                <c:pt idx="94">
                  <c:v>2.2426790576352546E-4</c:v>
                </c:pt>
                <c:pt idx="95">
                  <c:v>1.9677458955801215E-4</c:v>
                </c:pt>
                <c:pt idx="96">
                  <c:v>1.7265171743544922E-4</c:v>
                </c:pt>
                <c:pt idx="97">
                  <c:v>1.5148610194215225E-4</c:v>
                </c:pt>
                <c:pt idx="98">
                  <c:v>1.3291520885222541E-4</c:v>
                </c:pt>
                <c:pt idx="99">
                  <c:v>1.1662094751752846E-4</c:v>
                </c:pt>
                <c:pt idx="100">
                  <c:v>1.0232422246732534E-4</c:v>
                </c:pt>
                <c:pt idx="101">
                  <c:v>8.9780152934951782E-5</c:v>
                </c:pt>
                <c:pt idx="102">
                  <c:v>7.8773878429393786E-5</c:v>
                </c:pt>
                <c:pt idx="103">
                  <c:v>6.911687850771252E-5</c:v>
                </c:pt>
                <c:pt idx="104">
                  <c:v>6.0643743711714251E-5</c:v>
                </c:pt>
                <c:pt idx="105">
                  <c:v>5.3209342360009847E-5</c:v>
                </c:pt>
                <c:pt idx="106">
                  <c:v>4.6686334666997856E-5</c:v>
                </c:pt>
                <c:pt idx="107">
                  <c:v>4.0962991609478006E-5</c:v>
                </c:pt>
                <c:pt idx="108">
                  <c:v>3.5941281181456828E-5</c:v>
                </c:pt>
                <c:pt idx="109">
                  <c:v>3.1535189257653042E-5</c:v>
                </c:pt>
                <c:pt idx="110">
                  <c:v>2.7669246304694101E-5</c:v>
                </c:pt>
                <c:pt idx="111">
                  <c:v>2.4277234704847488E-5</c:v>
                </c:pt>
                <c:pt idx="112">
                  <c:v>2.1301054550743651E-5</c:v>
                </c:pt>
                <c:pt idx="113">
                  <c:v>1.8689728483910012E-5</c:v>
                </c:pt>
                <c:pt idx="114">
                  <c:v>1.6398528531540827E-5</c:v>
                </c:pt>
                <c:pt idx="115">
                  <c:v>1.4388209985568525E-5</c:v>
                </c:pt>
                <c:pt idx="116">
                  <c:v>1.2624339201571148E-5</c:v>
                </c:pt>
                <c:pt idx="117">
                  <c:v>1.1076703803751766E-5</c:v>
                </c:pt>
                <c:pt idx="118">
                  <c:v>9.7187951937143129E-6</c:v>
                </c:pt>
                <c:pt idx="119">
                  <c:v>8.5273544992122843E-6</c:v>
                </c:pt>
                <c:pt idx="120">
                  <c:v>7.4819741856753321E-6</c:v>
                </c:pt>
                <c:pt idx="121">
                  <c:v>6.5647485067359628E-6</c:v>
                </c:pt>
                <c:pt idx="122">
                  <c:v>5.759966806515007E-6</c:v>
                </c:pt>
                <c:pt idx="123">
                  <c:v>5.0538444204088209E-6</c:v>
                </c:pt>
                <c:pt idx="124">
                  <c:v>4.434286565125335E-6</c:v>
                </c:pt>
                <c:pt idx="125">
                  <c:v>3.8906811737707679E-6</c:v>
                </c:pt>
                <c:pt idx="126">
                  <c:v>3.4137171275727929E-6</c:v>
                </c:pt>
                <c:pt idx="127">
                  <c:v>2.9952247708309495E-6</c:v>
                </c:pt>
                <c:pt idx="128">
                  <c:v>2.6280359773623366E-6</c:v>
                </c:pt>
                <c:pt idx="129">
                  <c:v>2.305861371597417E-6</c:v>
                </c:pt>
                <c:pt idx="130">
                  <c:v>2.0231826013133948E-6</c:v>
                </c:pt>
                <c:pt idx="131">
                  <c:v>1.7751578168038642E-6</c:v>
                </c:pt>
                <c:pt idx="132">
                  <c:v>1.55753873748924E-6</c:v>
                </c:pt>
                <c:pt idx="133">
                  <c:v>1.3665978854473954E-6</c:v>
                </c:pt>
                <c:pt idx="134">
                  <c:v>1.199064739487543E-6</c:v>
                </c:pt>
                <c:pt idx="135">
                  <c:v>1.0520697161854883E-6</c:v>
                </c:pt>
                <c:pt idx="136">
                  <c:v>9.2309501836211128E-7</c:v>
                </c:pt>
                <c:pt idx="137">
                  <c:v>8.099315091156125E-7</c:v>
                </c:pt>
                <c:pt idx="138">
                  <c:v>7.1064087272645469E-7</c:v>
                </c:pt>
                <c:pt idx="139">
                  <c:v>6.2352241430988725E-7</c:v>
                </c:pt>
                <c:pt idx="140">
                  <c:v>5.4708392954549765E-7</c:v>
                </c:pt>
                <c:pt idx="141">
                  <c:v>4.800161455273557E-7</c:v>
                </c:pt>
                <c:pt idx="142">
                  <c:v>4.2117029494608335E-7</c:v>
                </c:pt>
                <c:pt idx="143">
                  <c:v>3.6953843948330664E-7</c:v>
                </c:pt>
                <c:pt idx="144">
                  <c:v>3.242362053886996E-7</c:v>
                </c:pt>
                <c:pt idx="145">
                  <c:v>2.8448763552678279E-7</c:v>
                </c:pt>
                <c:pt idx="146">
                  <c:v>2.4961189843248859E-7</c:v>
                </c:pt>
                <c:pt idx="147">
                  <c:v>2.1901162672219283E-7</c:v>
                </c:pt>
                <c:pt idx="148">
                  <c:v>1.9216268511524624E-7</c:v>
                </c:pt>
                <c:pt idx="149">
                  <c:v>1.6860519280805588E-7</c:v>
                </c:pt>
                <c:pt idx="150">
                  <c:v>1.4793564642788306E-7</c:v>
                </c:pt>
                <c:pt idx="151">
                  <c:v>1.2980000864475138E-7</c:v>
                </c:pt>
                <c:pt idx="152">
                  <c:v>1.1388764406008639E-7</c:v>
                </c:pt>
                <c:pt idx="153">
                  <c:v>9.9925998503247404E-8</c:v>
                </c:pt>
                <c:pt idx="154">
                  <c:v>8.767593060053885E-8</c:v>
                </c:pt>
                <c:pt idx="155">
                  <c:v>7.6927615653704869E-8</c:v>
                </c:pt>
                <c:pt idx="156">
                  <c:v>6.7496951667688007E-8</c:v>
                </c:pt>
                <c:pt idx="157">
                  <c:v>5.9222405968470948E-8</c:v>
                </c:pt>
                <c:pt idx="158">
                  <c:v>5.1962248398447116E-8</c:v>
                </c:pt>
                <c:pt idx="159">
                  <c:v>4.5592123698240094E-8</c:v>
                </c:pt>
                <c:pt idx="160">
                  <c:v>4.0002921493630866E-8</c:v>
                </c:pt>
                <c:pt idx="161">
                  <c:v>3.5098907403766434E-8</c:v>
                </c:pt>
                <c:pt idx="162">
                  <c:v>3.0796083259426799E-8</c:v>
                </c:pt>
                <c:pt idx="163">
                  <c:v>2.7020748344427833E-8</c:v>
                </c:pt>
                <c:pt idx="164">
                  <c:v>2.3708237016452625E-8</c:v>
                </c:pt>
                <c:pt idx="165">
                  <c:v>2.0801811084710596E-8</c:v>
                </c:pt>
                <c:pt idx="166">
                  <c:v>1.8251687972568372E-8</c:v>
                </c:pt>
                <c:pt idx="167">
                  <c:v>1.6014188019082839E-8</c:v>
                </c:pt>
                <c:pt idx="168">
                  <c:v>1.4050986314031763E-8</c:v>
                </c:pt>
                <c:pt idx="169">
                  <c:v>1.2328456251534324E-8</c:v>
                </c:pt>
                <c:pt idx="170">
                  <c:v>1.0817093558351334E-8</c:v>
                </c:pt>
                <c:pt idx="171">
                  <c:v>9.4910109313616337E-9</c:v>
                </c:pt>
                <c:pt idx="172">
                  <c:v>8.3274946281369964E-9</c:v>
                </c:pt>
                <c:pt idx="173">
                  <c:v>7.3066154156985665E-9</c:v>
                </c:pt>
                <c:pt idx="174">
                  <c:v>6.4108872136093387E-9</c:v>
                </c:pt>
                <c:pt idx="175">
                  <c:v>5.6249675844873116E-9</c:v>
                </c:pt>
                <c:pt idx="176">
                  <c:v>4.9353949418054891E-9</c:v>
                </c:pt>
                <c:pt idx="177">
                  <c:v>4.3303579737552099E-9</c:v>
                </c:pt>
                <c:pt idx="178">
                  <c:v>3.7994933337605155E-9</c:v>
                </c:pt>
                <c:pt idx="179">
                  <c:v>3.3337081323953056E-9</c:v>
                </c:pt>
                <c:pt idx="180">
                  <c:v>2.9250241902645991E-9</c:v>
                </c:pt>
                <c:pt idx="181">
                  <c:v>2.5664413841429068E-9</c:v>
                </c:pt>
                <c:pt idx="182">
                  <c:v>2.2518177457006025E-9</c:v>
                </c:pt>
                <c:pt idx="183">
                  <c:v>1.9757642590951121E-9</c:v>
                </c:pt>
                <c:pt idx="184">
                  <c:v>1.7335525554725236E-9</c:v>
                </c:pt>
                <c:pt idx="185">
                  <c:v>1.521033923329336E-9</c:v>
                </c:pt>
                <c:pt idx="186">
                  <c:v>1.3345682475072221E-9</c:v>
                </c:pt>
                <c:pt idx="187">
                  <c:v>1.1709616596558037E-9</c:v>
                </c:pt>
                <c:pt idx="188">
                  <c:v>1.0274118322123909E-9</c:v>
                </c:pt>
                <c:pt idx="189">
                  <c:v>9.0145997886924929E-10</c:v>
                </c:pt>
                <c:pt idx="190">
                  <c:v>7.9094873937071533E-10</c:v>
                </c:pt>
                <c:pt idx="191">
                  <c:v>6.939852272719284E-10</c:v>
                </c:pt>
                <c:pt idx="192">
                  <c:v>6.0890860772449927E-10</c:v>
                </c:pt>
                <c:pt idx="193">
                  <c:v>5.3426164994677505E-10</c:v>
                </c:pt>
                <c:pt idx="194">
                  <c:v>4.687657671165583E-10</c:v>
                </c:pt>
                <c:pt idx="195">
                  <c:v>4.1129911615828452E-10</c:v>
                </c:pt>
                <c:pt idx="196">
                  <c:v>3.6087738230791664E-10</c:v>
                </c:pt>
                <c:pt idx="197">
                  <c:v>3.1663691932490196E-10</c:v>
                </c:pt>
                <c:pt idx="198">
                  <c:v>2.7781995656912381E-10</c:v>
                </c:pt>
                <c:pt idx="199">
                  <c:v>2.4376161956297714E-10</c:v>
                </c:pt>
                <c:pt idx="200">
                  <c:v>2.1387854172089144E-10</c:v>
                </c:pt>
                <c:pt idx="201">
                  <c:v>1.8765887218285765E-10</c:v>
                </c:pt>
                <c:pt idx="202">
                  <c:v>1.6465350860161707E-10</c:v>
                </c:pt>
                <c:pt idx="203">
                  <c:v>1.4446840471472955E-10</c:v>
                </c:pt>
                <c:pt idx="204">
                  <c:v>1.2675782094214002E-10</c:v>
                </c:pt>
                <c:pt idx="205">
                  <c:v>1.1121840240242811E-10</c:v>
                </c:pt>
                <c:pt idx="206">
                  <c:v>9.7583982913327543E-11</c:v>
                </c:pt>
                <c:pt idx="207">
                  <c:v>8.5621025977088721E-11</c:v>
                </c:pt>
                <c:pt idx="208">
                  <c:v>7.5124624661821161E-11</c:v>
                </c:pt>
                <c:pt idx="209">
                  <c:v>6.591499186297657E-11</c:v>
                </c:pt>
                <c:pt idx="210">
                  <c:v>5.7834380828584911E-11</c:v>
                </c:pt>
                <c:pt idx="211">
                  <c:v>5.0744383201608512E-11</c:v>
                </c:pt>
                <c:pt idx="212">
                  <c:v>4.4523558299062592E-11</c:v>
                </c:pt>
                <c:pt idx="213">
                  <c:v>3.9065353021123892E-11</c:v>
                </c:pt>
                <c:pt idx="214">
                  <c:v>3.4276276761490658E-11</c:v>
                </c:pt>
                <c:pt idx="215">
                  <c:v>3.0074300058033984E-11</c:v>
                </c:pt>
                <c:pt idx="216">
                  <c:v>2.6387449555105305E-11</c:v>
                </c:pt>
                <c:pt idx="217">
                  <c:v>2.3152575211379516E-11</c:v>
                </c:pt>
                <c:pt idx="218">
                  <c:v>2.0314268637412692E-11</c:v>
                </c:pt>
                <c:pt idx="219">
                  <c:v>1.78239140357113E-11</c:v>
                </c:pt>
                <c:pt idx="220">
                  <c:v>1.5638855487385585E-11</c:v>
                </c:pt>
                <c:pt idx="221">
                  <c:v>1.3721666322296643E-11</c:v>
                </c:pt>
                <c:pt idx="222">
                  <c:v>1.2039508058138989E-11</c:v>
                </c:pt>
                <c:pt idx="223">
                  <c:v>1.0563567928077475E-11</c:v>
                </c:pt>
                <c:pt idx="224">
                  <c:v>9.2685653626578454E-12</c:v>
                </c:pt>
                <c:pt idx="225">
                  <c:v>8.1323189727900356E-12</c:v>
                </c:pt>
                <c:pt idx="226">
                  <c:v>7.1353666168931314E-12</c:v>
                </c:pt>
                <c:pt idx="227">
                  <c:v>6.2606320445403698E-12</c:v>
                </c:pt>
                <c:pt idx="228">
                  <c:v>5.4931324067258902E-12</c:v>
                </c:pt>
                <c:pt idx="229">
                  <c:v>4.819721622856923E-12</c:v>
                </c:pt>
                <c:pt idx="230">
                  <c:v>4.2288652087453222E-12</c:v>
                </c:pt>
                <c:pt idx="231">
                  <c:v>3.7104427087505034E-12</c:v>
                </c:pt>
                <c:pt idx="232">
                  <c:v>3.2555743480422906E-12</c:v>
                </c:pt>
                <c:pt idx="233">
                  <c:v>2.8564689358052726E-12</c:v>
                </c:pt>
                <c:pt idx="234">
                  <c:v>2.5062904142020574E-12</c:v>
                </c:pt>
                <c:pt idx="235">
                  <c:v>2.1990407672857446E-12</c:v>
                </c:pt>
                <c:pt idx="236">
                  <c:v>1.9294572842725705E-12</c:v>
                </c:pt>
                <c:pt idx="237">
                  <c:v>1.6929224174536363E-12</c:v>
                </c:pt>
                <c:pt idx="238">
                  <c:v>1.4853846907513046E-12</c:v>
                </c:pt>
                <c:pt idx="239">
                  <c:v>1.3032893042062716E-12</c:v>
                </c:pt>
                <c:pt idx="240">
                  <c:v>1.1435172457576208E-12</c:v>
                </c:pt>
                <c:pt idx="241">
                  <c:v>1.003331867394913E-12</c:v>
                </c:pt>
                <c:pt idx="242">
                  <c:v>8.8033201061450126E-13</c:v>
                </c:pt>
                <c:pt idx="243">
                  <c:v>7.7241087829171419E-13</c:v>
                </c:pt>
                <c:pt idx="244">
                  <c:v>6.7771994850774258E-13</c:v>
                </c:pt>
                <c:pt idx="245">
                  <c:v>5.9463731223095632E-13</c:v>
                </c:pt>
                <c:pt idx="246">
                  <c:v>5.2173989252614751E-13</c:v>
                </c:pt>
                <c:pt idx="247">
                  <c:v>4.5777906944976396E-13</c:v>
                </c:pt>
                <c:pt idx="248">
                  <c:v>4.0165929312332473E-13</c:v>
                </c:pt>
                <c:pt idx="249">
                  <c:v>3.5241931866007484E-13</c:v>
                </c:pt>
                <c:pt idx="250">
                  <c:v>3.0921574152822457E-13</c:v>
                </c:pt>
                <c:pt idx="251">
                  <c:v>2.7130855133703497E-13</c:v>
                </c:pt>
                <c:pt idx="252">
                  <c:v>2.3804845660446986E-13</c:v>
                </c:pt>
                <c:pt idx="253">
                  <c:v>2.0886576339930805E-13</c:v>
                </c:pt>
                <c:pt idx="254">
                  <c:v>1.8326061736607193E-13</c:v>
                </c:pt>
                <c:pt idx="255">
                  <c:v>1.6079444199376667E-13</c:v>
                </c:pt>
                <c:pt idx="256">
                  <c:v>1.4108242647922807E-13</c:v>
                </c:pt>
                <c:pt idx="257">
                  <c:v>1.2378693451380861E-13</c:v>
                </c:pt>
                <c:pt idx="258">
                  <c:v>1.086117210961212E-13</c:v>
                </c:pt>
                <c:pt idx="259">
                  <c:v>9.5296858313796429E-14</c:v>
                </c:pt>
                <c:pt idx="260">
                  <c:v>8.3614283180750704E-14</c:v>
                </c:pt>
                <c:pt idx="261">
                  <c:v>7.3363891271309728E-14</c:v>
                </c:pt>
                <c:pt idx="262">
                  <c:v>6.4370109241188056E-14</c:v>
                </c:pt>
                <c:pt idx="263">
                  <c:v>5.6478887527914952E-14</c:v>
                </c:pt>
                <c:pt idx="264">
                  <c:v>4.9555061720320812E-14</c:v>
                </c:pt>
                <c:pt idx="265">
                  <c:v>4.3480037401428312E-14</c:v>
                </c:pt>
                <c:pt idx="266">
                  <c:v>3.8149758809691301E-14</c:v>
                </c:pt>
                <c:pt idx="267">
                  <c:v>3.3472926524893221E-14</c:v>
                </c:pt>
                <c:pt idx="268">
                  <c:v>2.9369433650423812E-14</c:v>
                </c:pt>
                <c:pt idx="269">
                  <c:v>2.5768993706157525E-14</c:v>
                </c:pt>
                <c:pt idx="270">
                  <c:v>2.2609936729862809E-14</c:v>
                </c:pt>
                <c:pt idx="271">
                  <c:v>1.9838152966223332E-14</c:v>
                </c:pt>
                <c:pt idx="272">
                  <c:v>1.7406166050499317E-14</c:v>
                </c:pt>
                <c:pt idx="273">
                  <c:v>1.5272319811899985E-14</c:v>
                </c:pt>
                <c:pt idx="274">
                  <c:v>1.3400064767867816E-14</c:v>
                </c:pt>
                <c:pt idx="275">
                  <c:v>1.1757332088026356E-14</c:v>
                </c:pt>
                <c:pt idx="276">
                  <c:v>1.0315984304763159E-14</c:v>
                </c:pt>
                <c:pt idx="277">
                  <c:v>9.0513333619705521E-15</c:v>
                </c:pt>
                <c:pt idx="278">
                  <c:v>7.9417177468652691E-15</c:v>
                </c:pt>
                <c:pt idx="279">
                  <c:v>6.9681314618096986E-15</c:v>
                </c:pt>
                <c:pt idx="280">
                  <c:v>6.1138984809964549E-15</c:v>
                </c:pt>
                <c:pt idx="281">
                  <c:v>5.3643871159432521E-15</c:v>
                </c:pt>
                <c:pt idx="282">
                  <c:v>4.7067593973212138E-15</c:v>
                </c:pt>
                <c:pt idx="283">
                  <c:v>4.1297511804153537E-15</c:v>
                </c:pt>
                <c:pt idx="284">
                  <c:v>3.6234792077641635E-15</c:v>
                </c:pt>
                <c:pt idx="285">
                  <c:v>3.1792718242600494E-15</c:v>
                </c:pt>
                <c:pt idx="286">
                  <c:v>2.7895204451223365E-15</c:v>
                </c:pt>
                <c:pt idx="287">
                  <c:v>2.4475492326191967E-15</c:v>
                </c:pt>
                <c:pt idx="288">
                  <c:v>2.147500749302485E-15</c:v>
                </c:pt>
                <c:pt idx="289">
                  <c:v>1.8842356291724321E-15</c:v>
                </c:pt>
                <c:pt idx="290">
                  <c:v>1.6532445482945667E-15</c:v>
                </c:pt>
                <c:pt idx="291">
                  <c:v>1.4505709870618209E-15</c:v>
                </c:pt>
                <c:pt idx="292">
                  <c:v>1.2727434611389371E-15</c:v>
                </c:pt>
                <c:pt idx="293">
                  <c:v>1.1167160603101766E-15</c:v>
                </c:pt>
                <c:pt idx="294">
                  <c:v>9.7981627675284469E-16</c:v>
                </c:pt>
                <c:pt idx="295">
                  <c:v>8.5969922911572389E-16</c:v>
                </c:pt>
                <c:pt idx="296">
                  <c:v>7.5430749833175214E-16</c:v>
                </c:pt>
                <c:pt idx="297">
                  <c:v>6.6183588721459237E-16</c:v>
                </c:pt>
                <c:pt idx="298">
                  <c:v>5.8070050022554328E-16</c:v>
                </c:pt>
                <c:pt idx="299">
                  <c:v>5.0951161379506592E-16</c:v>
                </c:pt>
                <c:pt idx="300">
                  <c:v>4.4704987250953512E-16</c:v>
                </c:pt>
                <c:pt idx="301">
                  <c:v>3.9224540344074681E-16</c:v>
                </c:pt>
                <c:pt idx="302">
                  <c:v>3.4415949087897934E-16</c:v>
                </c:pt>
                <c:pt idx="303">
                  <c:v>3.019684975861568E-16</c:v>
                </c:pt>
                <c:pt idx="304">
                  <c:v>2.6494975716507322E-16</c:v>
                </c:pt>
                <c:pt idx="305">
                  <c:v>2.324691959028026E-16</c:v>
                </c:pt>
                <c:pt idx="306">
                  <c:v>2.0397047206963676E-16</c:v>
                </c:pt>
                <c:pt idx="307">
                  <c:v>1.7896544664655462E-16</c:v>
                </c:pt>
                <c:pt idx="308">
                  <c:v>1.5702582225953776E-16</c:v>
                </c:pt>
                <c:pt idx="309">
                  <c:v>1.3777580710862117E-16</c:v>
                </c:pt>
                <c:pt idx="310">
                  <c:v>1.2088567823614122E-16</c:v>
                </c:pt>
                <c:pt idx="311">
                  <c:v>1.0606613388293086E-16</c:v>
                </c:pt>
                <c:pt idx="312">
                  <c:v>9.3063338197066825E-17</c:v>
                </c:pt>
                <c:pt idx="313">
                  <c:v>8.1654573418701859E-17</c:v>
                </c:pt>
                <c:pt idx="314">
                  <c:v>7.1644425069638406E-17</c:v>
                </c:pt>
                <c:pt idx="315">
                  <c:v>6.2861434805847711E-17</c:v>
                </c:pt>
                <c:pt idx="316">
                  <c:v>5.5155163601479445E-17</c:v>
                </c:pt>
                <c:pt idx="317">
                  <c:v>4.8393614961250793E-17</c:v>
                </c:pt>
                <c:pt idx="318">
                  <c:v>4.2460974024832336E-17</c:v>
                </c:pt>
                <c:pt idx="319">
                  <c:v>3.7255623837589161E-17</c:v>
                </c:pt>
                <c:pt idx="320">
                  <c:v>3.2688404809466036E-17</c:v>
                </c:pt>
                <c:pt idx="321">
                  <c:v>2.8681087549242004E-17</c:v>
                </c:pt>
                <c:pt idx="322">
                  <c:v>2.5165032916169458E-17</c:v>
                </c:pt>
                <c:pt idx="323">
                  <c:v>2.2080016337756649E-17</c:v>
                </c:pt>
                <c:pt idx="324">
                  <c:v>1.9373196256077472E-17</c:v>
                </c:pt>
                <c:pt idx="325">
                  <c:v>1.6998209033690739E-17</c:v>
                </c:pt>
                <c:pt idx="326">
                  <c:v>1.4914374816308579E-17</c:v>
                </c:pt>
                <c:pt idx="327">
                  <c:v>1.3086000749870914E-17</c:v>
                </c:pt>
                <c:pt idx="328">
                  <c:v>1.1481769617213238E-17</c:v>
                </c:pt>
                <c:pt idx="329">
                  <c:v>1.0074203422620272E-17</c:v>
                </c:pt>
                <c:pt idx="330">
                  <c:v>8.8391927362993673E-18</c:v>
                </c:pt>
                <c:pt idx="331">
                  <c:v>7.7555837371731144E-18</c:v>
                </c:pt>
                <c:pt idx="332">
                  <c:v>6.8048158806735338E-18</c:v>
                </c:pt>
                <c:pt idx="333">
                  <c:v>5.9706039853481005E-18</c:v>
                </c:pt>
                <c:pt idx="334">
                  <c:v>5.2386592929133322E-18</c:v>
                </c:pt>
                <c:pt idx="335">
                  <c:v>4.5964447239464979E-18</c:v>
                </c:pt>
                <c:pt idx="336">
                  <c:v>4.0329601371243688E-18</c:v>
                </c:pt>
                <c:pt idx="337">
                  <c:v>3.5385539138321909E-18</c:v>
                </c:pt>
                <c:pt idx="338">
                  <c:v>3.1047576408789545E-18</c:v>
                </c:pt>
                <c:pt idx="339">
                  <c:v>2.7241410596897817E-18</c:v>
                </c:pt>
                <c:pt idx="340">
                  <c:v>2.3901847974796843E-18</c:v>
                </c:pt>
                <c:pt idx="341">
                  <c:v>2.097168700490708E-18</c:v>
                </c:pt>
                <c:pt idx="342">
                  <c:v>1.8400738566137032E-18</c:v>
                </c:pt>
                <c:pt idx="343">
                  <c:v>1.6144966291939128E-18</c:v>
                </c:pt>
                <c:pt idx="344">
                  <c:v>1.4165732295525595E-18</c:v>
                </c:pt>
                <c:pt idx="345">
                  <c:v>1.2429135362684932E-18</c:v>
                </c:pt>
                <c:pt idx="346">
                  <c:v>1.0905430276466568E-18</c:v>
                </c:pt>
                <c:pt idx="347">
                  <c:v>9.5685183276644989E-19</c:v>
                </c:pt>
                <c:pt idx="348">
                  <c:v>8.3955002843332411E-19</c:v>
                </c:pt>
                <c:pt idx="349">
                  <c:v>7.366284163396017E-19</c:v>
                </c:pt>
                <c:pt idx="350">
                  <c:v>6.4632410860800036E-19</c:v>
                </c:pt>
                <c:pt idx="351">
                  <c:v>5.6709033225150711E-19</c:v>
                </c:pt>
                <c:pt idx="352">
                  <c:v>4.9756993534674407E-19</c:v>
                </c:pt>
                <c:pt idx="353">
                  <c:v>4.3657214112259289E-19</c:v>
                </c:pt>
                <c:pt idx="354">
                  <c:v>3.830521517976043E-19</c:v>
                </c:pt>
                <c:pt idx="355">
                  <c:v>3.3609325281150326E-19</c:v>
                </c:pt>
                <c:pt idx="356">
                  <c:v>2.9489111092398125E-19</c:v>
                </c:pt>
                <c:pt idx="357">
                  <c:v>2.5873999723151681E-19</c:v>
                </c:pt>
                <c:pt idx="358">
                  <c:v>2.2702069912383066E-19</c:v>
                </c:pt>
                <c:pt idx="359">
                  <c:v>1.9918991413050465E-19</c:v>
                </c:pt>
                <c:pt idx="360">
                  <c:v>1.7477094399077599E-19</c:v>
                </c:pt>
                <c:pt idx="361">
                  <c:v>1.5334552955032985E-19</c:v>
                </c:pt>
                <c:pt idx="362">
                  <c:v>1.3454668662951286E-19</c:v>
                </c:pt>
                <c:pt idx="363">
                  <c:v>1.1805242015248166E-19</c:v>
                </c:pt>
                <c:pt idx="364">
                  <c:v>1.0358020887004967E-19</c:v>
                </c:pt>
                <c:pt idx="365">
                  <c:v>9.0882166208073071E-20</c:v>
                </c:pt>
              </c:numCache>
            </c:numRef>
          </c:yVal>
          <c:smooth val="1"/>
          <c:extLst>
            <c:ext xmlns:c16="http://schemas.microsoft.com/office/drawing/2014/chart" uri="{C3380CC4-5D6E-409C-BE32-E72D297353CC}">
              <c16:uniqueId val="{00000006-0CF0-4AA2-A727-45757B791E30}"/>
            </c:ext>
          </c:extLst>
        </c:ser>
        <c:ser>
          <c:idx val="7"/>
          <c:order val="7"/>
          <c:tx>
            <c:v>herps (mean)</c:v>
          </c:tx>
          <c:spPr>
            <a:ln w="19050" cap="rnd">
              <a:solidFill>
                <a:schemeClr val="accent4"/>
              </a:solidFill>
              <a:prstDash val="sysDash"/>
              <a:round/>
            </a:ln>
            <a:effectLst/>
          </c:spPr>
          <c:marker>
            <c:symbol val="none"/>
          </c:marker>
          <c:xVal>
            <c:numRef>
              <c:f>'Min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'Min rate concentrations'!$AE$3:$AE$368</c:f>
              <c:numCache>
                <c:formatCode>General</c:formatCode>
                <c:ptCount val="366"/>
                <c:pt idx="0">
                  <c:v>1.8049405776295611</c:v>
                </c:pt>
                <c:pt idx="1">
                  <c:v>1.9699276716269429</c:v>
                </c:pt>
                <c:pt idx="2">
                  <c:v>1.81109054211765</c:v>
                </c:pt>
                <c:pt idx="3">
                  <c:v>1.6067554583153336</c:v>
                </c:pt>
                <c:pt idx="4">
                  <c:v>1.413566513889899</c:v>
                </c:pt>
                <c:pt idx="5">
                  <c:v>1.2410855052937093</c:v>
                </c:pt>
                <c:pt idx="6">
                  <c:v>1.0891124562084877</c:v>
                </c:pt>
                <c:pt idx="7">
                  <c:v>0.95563373583540057</c:v>
                </c:pt>
                <c:pt idx="8">
                  <c:v>0.838489198841884</c:v>
                </c:pt>
                <c:pt idx="9">
                  <c:v>0.73569933430587509</c:v>
                </c:pt>
                <c:pt idx="10">
                  <c:v>0.6455092876206564</c:v>
                </c:pt>
                <c:pt idx="11">
                  <c:v>0.56637547911476394</c:v>
                </c:pt>
                <c:pt idx="12">
                  <c:v>0.49694273370628894</c:v>
                </c:pt>
                <c:pt idx="13">
                  <c:v>0.43602183257159516</c:v>
                </c:pt>
                <c:pt idx="14">
                  <c:v>0.38256930710400605</c:v>
                </c:pt>
                <c:pt idx="15">
                  <c:v>0.335669600887331</c:v>
                </c:pt>
                <c:pt idx="16">
                  <c:v>0.29451939511658987</c:v>
                </c:pt>
                <c:pt idx="17">
                  <c:v>0.25841385059226996</c:v>
                </c:pt>
                <c:pt idx="18">
                  <c:v>0.22673453525880335</c:v>
                </c:pt>
                <c:pt idx="19">
                  <c:v>0.19893883149423253</c:v>
                </c:pt>
                <c:pt idx="20">
                  <c:v>0.17455064192609601</c:v>
                </c:pt>
                <c:pt idx="21">
                  <c:v>0.15315223462386637</c:v>
                </c:pt>
                <c:pt idx="22">
                  <c:v>0.13437708799841025</c:v>
                </c:pt>
                <c:pt idx="23">
                  <c:v>0.11790361285474979</c:v>
                </c:pt>
                <c:pt idx="24">
                  <c:v>0.10344964406705343</c:v>
                </c:pt>
                <c:pt idx="25">
                  <c:v>9.0767607526870658E-2</c:v>
                </c:pt>
                <c:pt idx="26">
                  <c:v>7.9640279581937201E-2</c:v>
                </c:pt>
                <c:pt idx="27">
                  <c:v>6.9877066331306331E-2</c:v>
                </c:pt>
                <c:pt idx="28">
                  <c:v>6.1310739046893416E-2</c:v>
                </c:pt>
                <c:pt idx="29">
                  <c:v>5.3794569804258521E-2</c:v>
                </c:pt>
                <c:pt idx="30">
                  <c:v>4.7199818260417338E-2</c:v>
                </c:pt>
                <c:pt idx="31">
                  <c:v>4.1413526531075003E-2</c:v>
                </c:pt>
                <c:pt idx="32">
                  <c:v>3.6336584396943566E-2</c:v>
                </c:pt>
                <c:pt idx="33">
                  <c:v>3.1882031699122959E-2</c:v>
                </c:pt>
                <c:pt idx="34">
                  <c:v>2.7973568846206151E-2</c:v>
                </c:pt>
                <c:pt idx="35">
                  <c:v>2.4544249920401454E-2</c:v>
                </c:pt>
                <c:pt idx="36">
                  <c:v>2.1535335997602916E-2</c:v>
                </c:pt>
                <c:pt idx="37">
                  <c:v>1.8895289040556935E-2</c:v>
                </c:pt>
                <c:pt idx="38">
                  <c:v>1.6578889132072609E-2</c:v>
                </c:pt>
                <c:pt idx="39">
                  <c:v>1.454645992784738E-2</c:v>
                </c:pt>
                <c:pt idx="40">
                  <c:v>1.2763189062113989E-2</c:v>
                </c:pt>
                <c:pt idx="41">
                  <c:v>1.1198531865709569E-2</c:v>
                </c:pt>
                <c:pt idx="42">
                  <c:v>9.8256881831805462E-3</c:v>
                </c:pt>
                <c:pt idx="43">
                  <c:v>8.6211433276103411E-3</c:v>
                </c:pt>
                <c:pt idx="44">
                  <c:v>7.5642653104366891E-3</c:v>
                </c:pt>
                <c:pt idx="45">
                  <c:v>6.6369514474289466E-3</c:v>
                </c:pt>
                <c:pt idx="46">
                  <c:v>5.8233182877328515E-3</c:v>
                </c:pt>
                <c:pt idx="47">
                  <c:v>5.109429554947322E-3</c:v>
                </c:pt>
                <c:pt idx="48">
                  <c:v>4.4830574402851247E-3</c:v>
                </c:pt>
                <c:pt idx="49">
                  <c:v>3.9334731591388035E-3</c:v>
                </c:pt>
                <c:pt idx="50">
                  <c:v>3.4512631836101032E-3</c:v>
                </c:pt>
                <c:pt idx="51">
                  <c:v>3.0281680033506044E-3</c:v>
                </c:pt>
                <c:pt idx="52">
                  <c:v>2.6569406529363998E-3</c:v>
                </c:pt>
                <c:pt idx="53">
                  <c:v>2.3312225825697576E-3</c:v>
                </c:pt>
                <c:pt idx="54">
                  <c:v>2.0454347459650619E-3</c:v>
                </c:pt>
                <c:pt idx="55">
                  <c:v>1.7946820399231287E-3</c:v>
                </c:pt>
                <c:pt idx="56">
                  <c:v>1.5746694587917493E-3</c:v>
                </c:pt>
                <c:pt idx="57">
                  <c:v>1.3816285276681702E-3</c:v>
                </c:pt>
                <c:pt idx="58">
                  <c:v>1.212252754258167E-3</c:v>
                </c:pt>
                <c:pt idx="59">
                  <c:v>1.063640993781984E-3</c:v>
                </c:pt>
                <c:pt idx="60">
                  <c:v>9.3324775685565725E-4</c:v>
                </c:pt>
                <c:pt idx="61">
                  <c:v>8.188396091986617E-4</c:v>
                </c:pt>
                <c:pt idx="62">
                  <c:v>7.1845691636237294E-4</c:v>
                </c:pt>
                <c:pt idx="63">
                  <c:v>6.3038027822576571E-4</c:v>
                </c:pt>
                <c:pt idx="64">
                  <c:v>5.5310107833322734E-4</c:v>
                </c:pt>
                <c:pt idx="65">
                  <c:v>4.8529564363023397E-4</c:v>
                </c:pt>
                <c:pt idx="66">
                  <c:v>4.2580257199316824E-4</c:v>
                </c:pt>
                <c:pt idx="67">
                  <c:v>3.7360283920896448E-4</c:v>
                </c:pt>
                <c:pt idx="68">
                  <c:v>3.2780234466793881E-4</c:v>
                </c:pt>
                <c:pt idx="69">
                  <c:v>2.8761659680454543E-4</c:v>
                </c:pt>
                <c:pt idx="70">
                  <c:v>2.5235727597136776E-4</c:v>
                </c:pt>
                <c:pt idx="71">
                  <c:v>2.2142044458917893E-4</c:v>
                </c:pt>
                <c:pt idx="72">
                  <c:v>1.9427620263119428E-4</c:v>
                </c:pt>
                <c:pt idx="73">
                  <c:v>1.704596112559762E-4</c:v>
                </c:pt>
                <c:pt idx="74">
                  <c:v>1.4956272912487444E-4</c:v>
                </c:pt>
                <c:pt idx="75">
                  <c:v>1.3122762499844854E-4</c:v>
                </c:pt>
                <c:pt idx="76">
                  <c:v>1.1514024692846682E-4</c:v>
                </c:pt>
                <c:pt idx="77">
                  <c:v>1.0102504303423192E-4</c:v>
                </c:pt>
                <c:pt idx="78">
                  <c:v>8.8640241725459641E-5</c:v>
                </c:pt>
                <c:pt idx="79">
                  <c:v>7.7773710529235548E-5</c:v>
                </c:pt>
                <c:pt idx="80">
                  <c:v>6.8239322589166339E-5</c:v>
                </c:pt>
                <c:pt idx="81">
                  <c:v>5.9873768600481851E-5</c:v>
                </c:pt>
                <c:pt idx="82">
                  <c:v>5.2533759574471212E-5</c:v>
                </c:pt>
                <c:pt idx="83">
                  <c:v>4.6093572519938807E-5</c:v>
                </c:pt>
                <c:pt idx="84">
                  <c:v>4.0442897003002932E-5</c:v>
                </c:pt>
                <c:pt idx="85">
                  <c:v>3.5484945700140202E-5</c:v>
                </c:pt>
                <c:pt idx="86">
                  <c:v>3.1134796581174765E-5</c:v>
                </c:pt>
                <c:pt idx="87">
                  <c:v>2.7317938326373194E-5</c:v>
                </c:pt>
                <c:pt idx="88">
                  <c:v>2.3968994062892045E-5</c:v>
                </c:pt>
                <c:pt idx="89">
                  <c:v>2.1030601560159098E-5</c:v>
                </c:pt>
                <c:pt idx="90">
                  <c:v>1.8452430703668882E-5</c:v>
                </c:pt>
                <c:pt idx="91">
                  <c:v>1.6190321418039657E-5</c:v>
                </c:pt>
                <c:pt idx="92">
                  <c:v>1.4205527273288457E-5</c:v>
                </c:pt>
                <c:pt idx="93">
                  <c:v>1.2464051818470692E-5</c:v>
                </c:pt>
                <c:pt idx="94">
                  <c:v>1.0936066275107001E-5</c:v>
                </c:pt>
                <c:pt idx="95">
                  <c:v>9.5953986163872522E-6</c:v>
                </c:pt>
                <c:pt idx="96">
                  <c:v>8.4190852808694738E-6</c:v>
                </c:pt>
                <c:pt idx="97">
                  <c:v>7.3869778422233292E-6</c:v>
                </c:pt>
                <c:pt idx="98">
                  <c:v>6.4813978978798307E-6</c:v>
                </c:pt>
                <c:pt idx="99">
                  <c:v>5.6868342653641128E-6</c:v>
                </c:pt>
                <c:pt idx="100">
                  <c:v>4.9896772997532441E-6</c:v>
                </c:pt>
                <c:pt idx="101">
                  <c:v>4.3779857815284421E-6</c:v>
                </c:pt>
                <c:pt idx="102">
                  <c:v>3.8412823819714878E-6</c:v>
                </c:pt>
                <c:pt idx="103">
                  <c:v>3.3703742027442414E-6</c:v>
                </c:pt>
                <c:pt idx="104">
                  <c:v>2.9571953157720746E-6</c:v>
                </c:pt>
                <c:pt idx="105">
                  <c:v>2.594668606383203E-6</c:v>
                </c:pt>
                <c:pt idx="106">
                  <c:v>2.2765845532907789E-6</c:v>
                </c:pt>
                <c:pt idx="107">
                  <c:v>1.9974948691065058E-6</c:v>
                </c:pt>
                <c:pt idx="108">
                  <c:v>1.7526191796124304E-6</c:v>
                </c:pt>
                <c:pt idx="109">
                  <c:v>1.5377631433513177E-6</c:v>
                </c:pt>
                <c:pt idx="110">
                  <c:v>1.3492466090509475E-6</c:v>
                </c:pt>
                <c:pt idx="111">
                  <c:v>1.1838405803302412E-6</c:v>
                </c:pt>
                <c:pt idx="112">
                  <c:v>1.0387119079902188E-6</c:v>
                </c:pt>
                <c:pt idx="113">
                  <c:v>9.1137476255435279E-7</c:v>
                </c:pt>
                <c:pt idx="114">
                  <c:v>7.9964805585806807E-7</c:v>
                </c:pt>
                <c:pt idx="115">
                  <c:v>7.0161808238512982E-7</c:v>
                </c:pt>
                <c:pt idx="116">
                  <c:v>6.1560574045484933E-7</c:v>
                </c:pt>
                <c:pt idx="117">
                  <c:v>5.4013777180979233E-7</c:v>
                </c:pt>
                <c:pt idx="118">
                  <c:v>4.7392152698265036E-7</c:v>
                </c:pt>
                <c:pt idx="119">
                  <c:v>4.1582282421207836E-7</c:v>
                </c:pt>
                <c:pt idx="120">
                  <c:v>3.6484652266500437E-7</c:v>
                </c:pt>
                <c:pt idx="121">
                  <c:v>3.2011947721478399E-7</c:v>
                </c:pt>
                <c:pt idx="122">
                  <c:v>2.808755828169389E-7</c:v>
                </c:pt>
                <c:pt idx="123">
                  <c:v>2.4644265231578883E-7</c:v>
                </c:pt>
                <c:pt idx="124">
                  <c:v>2.1623090291912004E-7</c:v>
                </c:pt>
                <c:pt idx="125">
                  <c:v>1.8972285413202566E-7</c:v>
                </c:pt>
                <c:pt idx="126">
                  <c:v>1.6646446411716426E-7</c:v>
                </c:pt>
                <c:pt idx="127">
                  <c:v>1.4605735266101019E-7</c:v>
                </c:pt>
                <c:pt idx="128">
                  <c:v>1.281519775375474E-7</c:v>
                </c:pt>
                <c:pt idx="129">
                  <c:v>1.1244164739108088E-7</c:v>
                </c:pt>
                <c:pt idx="130">
                  <c:v>9.8657268588117105E-8</c:v>
                </c:pt>
                <c:pt idx="131">
                  <c:v>8.6562736060019181E-8</c:v>
                </c:pt>
                <c:pt idx="132">
                  <c:v>7.595088918870659E-8</c:v>
                </c:pt>
                <c:pt idx="133">
                  <c:v>6.6639963465982753E-8</c:v>
                </c:pt>
                <c:pt idx="134">
                  <c:v>5.8470477148908058E-8</c:v>
                </c:pt>
                <c:pt idx="135">
                  <c:v>5.1302499584444543E-8</c:v>
                </c:pt>
                <c:pt idx="136">
                  <c:v>4.5013254414002741E-8</c:v>
                </c:pt>
                <c:pt idx="137">
                  <c:v>3.9495016604495051E-8</c:v>
                </c:pt>
                <c:pt idx="138">
                  <c:v>3.4653267285293166E-8</c:v>
                </c:pt>
                <c:pt idx="139">
                  <c:v>3.0405074786303481E-8</c:v>
                </c:pt>
                <c:pt idx="140">
                  <c:v>2.6677674146848823E-8</c:v>
                </c:pt>
                <c:pt idx="141">
                  <c:v>2.3407220764543012E-8</c:v>
                </c:pt>
                <c:pt idx="142">
                  <c:v>2.0537696836092869E-8</c:v>
                </c:pt>
                <c:pt idx="143">
                  <c:v>1.8019951859051643E-8</c:v>
                </c:pt>
                <c:pt idx="144">
                  <c:v>1.5810860759804353E-8</c:v>
                </c:pt>
                <c:pt idx="145">
                  <c:v>1.3872585227820759E-8</c:v>
                </c:pt>
                <c:pt idx="146">
                  <c:v>1.2171925603975285E-8</c:v>
                </c:pt>
                <c:pt idx="147">
                  <c:v>1.0679752221784181E-8</c:v>
                </c:pt>
                <c:pt idx="148">
                  <c:v>9.3705064613156759E-9</c:v>
                </c:pt>
                <c:pt idx="149">
                  <c:v>8.2217629695990955E-9</c:v>
                </c:pt>
                <c:pt idx="150">
                  <c:v>7.2138455490462199E-9</c:v>
                </c:pt>
                <c:pt idx="151">
                  <c:v>6.3294901346482722E-9</c:v>
                </c:pt>
                <c:pt idx="152">
                  <c:v>5.5535490872696414E-9</c:v>
                </c:pt>
                <c:pt idx="153">
                  <c:v>4.8727317380402775E-9</c:v>
                </c:pt>
                <c:pt idx="154">
                  <c:v>4.2753767397738692E-9</c:v>
                </c:pt>
                <c:pt idx="155">
                  <c:v>3.7512523261440311E-9</c:v>
                </c:pt>
                <c:pt idx="156">
                  <c:v>3.2913810573674233E-9</c:v>
                </c:pt>
                <c:pt idx="157">
                  <c:v>2.8878860505586666E-9</c:v>
                </c:pt>
                <c:pt idx="158">
                  <c:v>2.5338560609210966E-9</c:v>
                </c:pt>
                <c:pt idx="159">
                  <c:v>2.2232271028230263E-9</c:v>
                </c:pt>
                <c:pt idx="160">
                  <c:v>1.950678583111822E-9</c:v>
                </c:pt>
                <c:pt idx="161">
                  <c:v>1.7115421675902641E-9</c:v>
                </c:pt>
                <c:pt idx="162">
                  <c:v>1.5017218196790211E-9</c:v>
                </c:pt>
                <c:pt idx="163">
                  <c:v>1.3176236416513159E-9</c:v>
                </c:pt>
                <c:pt idx="164">
                  <c:v>1.1560943167287512E-9</c:v>
                </c:pt>
                <c:pt idx="165">
                  <c:v>1.014367097646698E-9</c:v>
                </c:pt>
                <c:pt idx="166">
                  <c:v>8.9001441655698514E-10</c:v>
                </c:pt>
                <c:pt idx="167">
                  <c:v>7.809063045488946E-10</c:v>
                </c:pt>
                <c:pt idx="168">
                  <c:v>6.8517390857922834E-10</c:v>
                </c:pt>
                <c:pt idx="169">
                  <c:v>6.011774809129388E-10</c:v>
                </c:pt>
                <c:pt idx="170">
                  <c:v>5.2747829278300032E-10</c:v>
                </c:pt>
                <c:pt idx="171">
                  <c:v>4.6281399119399449E-10</c:v>
                </c:pt>
                <c:pt idx="172">
                  <c:v>4.0607697676960778E-10</c:v>
                </c:pt>
                <c:pt idx="173">
                  <c:v>3.5629543229004333E-10</c:v>
                </c:pt>
                <c:pt idx="174">
                  <c:v>3.1261667696756249E-10</c:v>
                </c:pt>
                <c:pt idx="175">
                  <c:v>2.7429256134466689E-10</c:v>
                </c:pt>
                <c:pt idx="176">
                  <c:v>2.4066665265213752E-10</c:v>
                </c:pt>
                <c:pt idx="177">
                  <c:v>2.1116299113195317E-10</c:v>
                </c:pt>
                <c:pt idx="178">
                  <c:v>1.8527622473830631E-10</c:v>
                </c:pt>
                <c:pt idx="179">
                  <c:v>1.6256295323941822E-10</c:v>
                </c:pt>
                <c:pt idx="180">
                  <c:v>1.4263413345801777E-10</c:v>
                </c:pt>
                <c:pt idx="181">
                  <c:v>1.2514841556401113E-10</c:v>
                </c:pt>
                <c:pt idx="182">
                  <c:v>1.0980629628035242E-10</c:v>
                </c:pt>
                <c:pt idx="183">
                  <c:v>9.634498885558311E-11</c:v>
                </c:pt>
                <c:pt idx="184">
                  <c:v>8.4533921933612481E-11</c:v>
                </c:pt>
                <c:pt idx="185">
                  <c:v>7.4170790223346279E-11</c:v>
                </c:pt>
                <c:pt idx="186">
                  <c:v>6.5078089322248782E-11</c:v>
                </c:pt>
                <c:pt idx="187">
                  <c:v>5.7100075340730525E-11</c:v>
                </c:pt>
                <c:pt idx="188">
                  <c:v>5.0100097250434124E-11</c:v>
                </c:pt>
                <c:pt idx="189">
                  <c:v>4.3958256263674552E-11</c:v>
                </c:pt>
                <c:pt idx="190">
                  <c:v>3.8569352152827198E-11</c:v>
                </c:pt>
                <c:pt idx="191">
                  <c:v>3.3841081333294107E-11</c:v>
                </c:pt>
                <c:pt idx="192">
                  <c:v>2.9692455845999493E-11</c:v>
                </c:pt>
                <c:pt idx="193">
                  <c:v>2.6052416159032053E-11</c:v>
                </c:pt>
                <c:pt idx="194">
                  <c:v>2.2858614027874035E-11</c:v>
                </c:pt>
                <c:pt idx="195">
                  <c:v>2.0056344566496942E-11</c:v>
                </c:pt>
                <c:pt idx="196">
                  <c:v>1.759760923735512E-11</c:v>
                </c:pt>
                <c:pt idx="197">
                  <c:v>1.5440293710746438E-11</c:v>
                </c:pt>
                <c:pt idx="198">
                  <c:v>1.354744651154371E-11</c:v>
                </c:pt>
                <c:pt idx="199">
                  <c:v>1.1886646097632115E-11</c:v>
                </c:pt>
                <c:pt idx="200">
                  <c:v>1.0429445529086114E-11</c:v>
                </c:pt>
                <c:pt idx="201">
                  <c:v>9.1508852161285898E-12</c:v>
                </c:pt>
                <c:pt idx="202">
                  <c:v>8.0290653999991167E-12</c:v>
                </c:pt>
                <c:pt idx="203">
                  <c:v>7.0447710439904491E-12</c:v>
                </c:pt>
                <c:pt idx="204">
                  <c:v>6.1811427096174533E-12</c:v>
                </c:pt>
                <c:pt idx="205">
                  <c:v>5.4233877805367592E-12</c:v>
                </c:pt>
                <c:pt idx="206">
                  <c:v>4.7585270879299585E-12</c:v>
                </c:pt>
                <c:pt idx="207">
                  <c:v>4.1751725974354192E-12</c:v>
                </c:pt>
                <c:pt idx="208">
                  <c:v>3.6633323497500303E-12</c:v>
                </c:pt>
                <c:pt idx="209">
                  <c:v>3.2142393138353743E-12</c:v>
                </c:pt>
                <c:pt idx="210">
                  <c:v>2.8202012212486979E-12</c:v>
                </c:pt>
                <c:pt idx="211">
                  <c:v>2.4744688094932584E-12</c:v>
                </c:pt>
                <c:pt idx="212">
                  <c:v>2.1711202176006116E-12</c:v>
                </c:pt>
                <c:pt idx="213">
                  <c:v>1.9049595538201387E-12</c:v>
                </c:pt>
                <c:pt idx="214">
                  <c:v>1.6714278980373673E-12</c:v>
                </c:pt>
                <c:pt idx="215">
                  <c:v>1.4665252145302941E-12</c:v>
                </c:pt>
                <c:pt idx="216">
                  <c:v>1.2867418375501132E-12</c:v>
                </c:pt>
                <c:pt idx="217">
                  <c:v>1.1289983561804211E-12</c:v>
                </c:pt>
                <c:pt idx="218">
                  <c:v>9.9059286879560354E-13</c:v>
                </c:pt>
                <c:pt idx="219">
                  <c:v>8.691547036689308E-13</c:v>
                </c:pt>
                <c:pt idx="220">
                  <c:v>7.6260381303602988E-13</c:v>
                </c:pt>
                <c:pt idx="221">
                  <c:v>6.6911514509690268E-13</c:v>
                </c:pt>
                <c:pt idx="222">
                  <c:v>5.870873837040418E-13</c:v>
                </c:pt>
                <c:pt idx="223">
                  <c:v>5.1511552029589875E-13</c:v>
                </c:pt>
                <c:pt idx="224">
                  <c:v>4.5196678827538525E-13</c:v>
                </c:pt>
                <c:pt idx="225">
                  <c:v>3.9655954762657009E-13</c:v>
                </c:pt>
                <c:pt idx="226">
                  <c:v>3.4794475809574544E-13</c:v>
                </c:pt>
                <c:pt idx="227">
                  <c:v>3.0528972360113524E-13</c:v>
                </c:pt>
                <c:pt idx="228">
                  <c:v>2.6786382943815126E-13</c:v>
                </c:pt>
                <c:pt idx="229">
                  <c:v>2.3502602798060305E-13</c:v>
                </c:pt>
                <c:pt idx="230">
                  <c:v>2.0621385852729802E-13</c:v>
                </c:pt>
                <c:pt idx="231">
                  <c:v>1.8093381322100225E-13</c:v>
                </c:pt>
                <c:pt idx="232">
                  <c:v>1.5875288402286936E-13</c:v>
                </c:pt>
                <c:pt idx="233">
                  <c:v>1.3929114595509548E-13</c:v>
                </c:pt>
                <c:pt idx="234">
                  <c:v>1.2221524957422962E-13</c:v>
                </c:pt>
                <c:pt idx="235">
                  <c:v>1.0723271121128166E-13</c:v>
                </c:pt>
                <c:pt idx="236">
                  <c:v>9.4086903179280381E-14</c:v>
                </c:pt>
                <c:pt idx="237">
                  <c:v>8.2552658138293438E-14</c:v>
                </c:pt>
                <c:pt idx="238">
                  <c:v>7.2432412327486601E-14</c:v>
                </c:pt>
                <c:pt idx="239">
                  <c:v>6.3552821603758576E-14</c:v>
                </c:pt>
                <c:pt idx="240">
                  <c:v>5.5761792324932154E-14</c:v>
                </c:pt>
                <c:pt idx="241">
                  <c:v>4.8925876221127074E-14</c:v>
                </c:pt>
                <c:pt idx="242">
                  <c:v>4.2927984632494679E-14</c:v>
                </c:pt>
                <c:pt idx="243">
                  <c:v>3.7665382961745311E-14</c:v>
                </c:pt>
                <c:pt idx="244">
                  <c:v>3.3047930989545026E-14</c:v>
                </c:pt>
                <c:pt idx="245">
                  <c:v>2.899653891210888E-14</c:v>
                </c:pt>
                <c:pt idx="246">
                  <c:v>2.544181265530474E-14</c:v>
                </c:pt>
                <c:pt idx="247">
                  <c:v>2.2322865261595738E-14</c:v>
                </c:pt>
                <c:pt idx="248">
                  <c:v>1.958627399071967E-14</c:v>
                </c:pt>
                <c:pt idx="249">
                  <c:v>1.7185165270854609E-14</c:v>
                </c:pt>
                <c:pt idx="250">
                  <c:v>1.5078411826900819E-14</c:v>
                </c:pt>
                <c:pt idx="251">
                  <c:v>1.3229928233929404E-14</c:v>
                </c:pt>
                <c:pt idx="252">
                  <c:v>1.1608052829718862E-14</c:v>
                </c:pt>
                <c:pt idx="253">
                  <c:v>1.0185005399498158E-14</c:v>
                </c:pt>
                <c:pt idx="254">
                  <c:v>8.936411343875576E-15</c:v>
                </c:pt>
                <c:pt idx="255">
                  <c:v>7.8408841796866374E-15</c:v>
                </c:pt>
                <c:pt idx="256">
                  <c:v>6.879659222646923E-15</c:v>
                </c:pt>
                <c:pt idx="257">
                  <c:v>6.0362721773607942E-15</c:v>
                </c:pt>
                <c:pt idx="258">
                  <c:v>5.2962771294304289E-15</c:v>
                </c:pt>
                <c:pt idx="259">
                  <c:v>4.6469991093066001E-15</c:v>
                </c:pt>
                <c:pt idx="260">
                  <c:v>4.0773169896830265E-15</c:v>
                </c:pt>
                <c:pt idx="261">
                  <c:v>3.577472997802764E-15</c:v>
                </c:pt>
                <c:pt idx="262">
                  <c:v>3.1389055799173577E-15</c:v>
                </c:pt>
                <c:pt idx="263">
                  <c:v>2.7541027551256815E-15</c:v>
                </c:pt>
                <c:pt idx="264">
                  <c:v>2.4164734467707602E-15</c:v>
                </c:pt>
                <c:pt idx="265">
                  <c:v>2.1202345875005973E-15</c:v>
                </c:pt>
                <c:pt idx="266">
                  <c:v>1.8603120642774792E-15</c:v>
                </c:pt>
                <c:pt idx="267">
                  <c:v>1.6322538066771165E-15</c:v>
                </c:pt>
                <c:pt idx="268">
                  <c:v>1.4321535298147403E-15</c:v>
                </c:pt>
                <c:pt idx="269">
                  <c:v>1.2565838257325324E-15</c:v>
                </c:pt>
                <c:pt idx="270">
                  <c:v>1.1025374572074425E-15</c:v>
                </c:pt>
                <c:pt idx="271">
                  <c:v>9.6737584843320659E-16</c:v>
                </c:pt>
                <c:pt idx="272">
                  <c:v>8.4878389030169024E-16</c:v>
                </c:pt>
                <c:pt idx="273">
                  <c:v>7.4473028616799793E-16</c:v>
                </c:pt>
                <c:pt idx="274">
                  <c:v>6.5343275888369402E-16</c:v>
                </c:pt>
                <c:pt idx="275">
                  <c:v>5.7332752314847832E-16</c:v>
                </c:pt>
                <c:pt idx="276">
                  <c:v>5.0304250028896362E-16</c:v>
                </c:pt>
                <c:pt idx="277">
                  <c:v>4.4137381667518091E-16</c:v>
                </c:pt>
                <c:pt idx="278">
                  <c:v>3.8726518322907236E-16</c:v>
                </c:pt>
                <c:pt idx="279">
                  <c:v>3.3978980282787641E-16</c:v>
                </c:pt>
                <c:pt idx="280">
                  <c:v>2.9813449570423364E-16</c:v>
                </c:pt>
                <c:pt idx="281">
                  <c:v>2.6158577093569459E-16</c:v>
                </c:pt>
                <c:pt idx="282">
                  <c:v>2.2951760544980767E-16</c:v>
                </c:pt>
                <c:pt idx="283">
                  <c:v>2.0138072121806447E-16</c:v>
                </c:pt>
                <c:pt idx="284">
                  <c:v>1.7669317697363501E-16</c:v>
                </c:pt>
                <c:pt idx="285">
                  <c:v>1.5503211330358336E-16</c:v>
                </c:pt>
                <c:pt idx="286">
                  <c:v>1.3602650972177293E-16</c:v>
                </c:pt>
                <c:pt idx="287">
                  <c:v>1.1935082966233362E-16</c:v>
                </c:pt>
                <c:pt idx="288">
                  <c:v>1.0471944454226725E-16</c:v>
                </c:pt>
                <c:pt idx="289">
                  <c:v>9.1881741386015997E-17</c:v>
                </c:pt>
                <c:pt idx="290">
                  <c:v>8.0617830213177186E-17</c:v>
                </c:pt>
                <c:pt idx="291">
                  <c:v>7.0734777663561134E-17</c:v>
                </c:pt>
                <c:pt idx="292">
                  <c:v>6.2063302347420485E-17</c:v>
                </c:pt>
                <c:pt idx="293">
                  <c:v>5.4454875317316556E-17</c:v>
                </c:pt>
                <c:pt idx="294">
                  <c:v>4.7779175997194409E-17</c:v>
                </c:pt>
                <c:pt idx="295">
                  <c:v>4.1921859992670585E-17</c:v>
                </c:pt>
                <c:pt idx="296">
                  <c:v>3.6782600548579405E-17</c:v>
                </c:pt>
                <c:pt idx="297">
                  <c:v>3.2273370106977565E-17</c:v>
                </c:pt>
                <c:pt idx="298">
                  <c:v>2.8316932531356328E-17</c:v>
                </c:pt>
                <c:pt idx="299">
                  <c:v>2.4845520171196035E-17</c:v>
                </c:pt>
                <c:pt idx="300">
                  <c:v>2.1799673107027088E-17</c:v>
                </c:pt>
                <c:pt idx="301">
                  <c:v>1.9127220694062178E-17</c:v>
                </c:pt>
                <c:pt idx="302">
                  <c:v>1.6782387959818954E-17</c:v>
                </c:pt>
                <c:pt idx="303">
                  <c:v>1.4725011549707831E-17</c:v>
                </c:pt>
                <c:pt idx="304">
                  <c:v>1.2919851790946684E-17</c:v>
                </c:pt>
                <c:pt idx="305">
                  <c:v>1.1335989091522326E-17</c:v>
                </c:pt>
                <c:pt idx="306">
                  <c:v>9.9462943354474204E-18</c:v>
                </c:pt>
                <c:pt idx="307">
                  <c:v>8.7269642030034921E-18</c:v>
                </c:pt>
                <c:pt idx="308">
                  <c:v>7.6571134567252318E-18</c:v>
                </c:pt>
                <c:pt idx="309">
                  <c:v>6.7184172096161357E-18</c:v>
                </c:pt>
                <c:pt idx="310">
                  <c:v>5.8947970482039006E-18</c:v>
                </c:pt>
                <c:pt idx="311">
                  <c:v>5.1721456342094032E-18</c:v>
                </c:pt>
                <c:pt idx="312">
                  <c:v>4.5380850676822266E-18</c:v>
                </c:pt>
                <c:pt idx="313">
                  <c:v>3.9817548727373306E-18</c:v>
                </c:pt>
                <c:pt idx="314">
                  <c:v>3.4936259744167617E-18</c:v>
                </c:pt>
                <c:pt idx="315">
                  <c:v>3.0653374803880446E-18</c:v>
                </c:pt>
                <c:pt idx="316">
                  <c:v>2.6895534718024234E-18</c:v>
                </c:pt>
                <c:pt idx="317">
                  <c:v>2.3598373503620705E-18</c:v>
                </c:pt>
                <c:pt idx="318">
                  <c:v>2.070541589356052E-18</c:v>
                </c:pt>
                <c:pt idx="319">
                  <c:v>1.8167110002709758E-18</c:v>
                </c:pt>
                <c:pt idx="320">
                  <c:v>1.5939978580831215E-18</c:v>
                </c:pt>
                <c:pt idx="321">
                  <c:v>1.3985874314597073E-18</c:v>
                </c:pt>
                <c:pt idx="322">
                  <c:v>1.2271326423169262E-18</c:v>
                </c:pt>
                <c:pt idx="323">
                  <c:v>1.076696735554143E-18</c:v>
                </c:pt>
                <c:pt idx="324">
                  <c:v>9.4470297698555331E-19</c:v>
                </c:pt>
                <c:pt idx="325">
                  <c:v>8.2889051787274437E-19</c:v>
                </c:pt>
                <c:pt idx="326">
                  <c:v>7.2727567008593548E-19</c:v>
                </c:pt>
                <c:pt idx="327">
                  <c:v>6.3811792859735744E-19</c:v>
                </c:pt>
                <c:pt idx="328">
                  <c:v>5.5989015932468586E-19</c:v>
                </c:pt>
                <c:pt idx="329">
                  <c:v>4.9125244168844104E-19</c:v>
                </c:pt>
                <c:pt idx="330">
                  <c:v>4.3102911784685635E-19</c:v>
                </c:pt>
                <c:pt idx="331">
                  <c:v>3.7818865549714097E-19</c:v>
                </c:pt>
                <c:pt idx="332">
                  <c:v>3.3182597932409806E-19</c:v>
                </c:pt>
                <c:pt idx="333">
                  <c:v>2.9114696846116566E-19</c:v>
                </c:pt>
                <c:pt idx="334">
                  <c:v>2.5545485442938925E-19</c:v>
                </c:pt>
                <c:pt idx="335">
                  <c:v>2.241382865720778E-19</c:v>
                </c:pt>
                <c:pt idx="336">
                  <c:v>1.9666086056451608E-19</c:v>
                </c:pt>
                <c:pt idx="337">
                  <c:v>1.7255193063831544E-19</c:v>
                </c:pt>
                <c:pt idx="338">
                  <c:v>1.5139854814803062E-19</c:v>
                </c:pt>
                <c:pt idx="339">
                  <c:v>1.3283838840016887E-19</c:v>
                </c:pt>
                <c:pt idx="340">
                  <c:v>1.1655354459212267E-19</c:v>
                </c:pt>
                <c:pt idx="341">
                  <c:v>1.0226508256080786E-19</c:v>
                </c:pt>
                <c:pt idx="342">
                  <c:v>8.9728263072281247E-20</c:v>
                </c:pt>
                <c:pt idx="343">
                  <c:v>7.8728349817555846E-20</c:v>
                </c:pt>
                <c:pt idx="344">
                  <c:v>6.9076931312071419E-20</c:v>
                </c:pt>
                <c:pt idx="345">
                  <c:v>6.0608693698652817E-20</c:v>
                </c:pt>
                <c:pt idx="346">
                  <c:v>5.3178589177066949E-20</c:v>
                </c:pt>
                <c:pt idx="347">
                  <c:v>4.6659351559760165E-20</c:v>
                </c:pt>
                <c:pt idx="348">
                  <c:v>4.0939316399092368E-20</c:v>
                </c:pt>
                <c:pt idx="349">
                  <c:v>3.5920508348222075E-20</c:v>
                </c:pt>
                <c:pt idx="350">
                  <c:v>3.1516962995095278E-20</c:v>
                </c:pt>
                <c:pt idx="351">
                  <c:v>2.7653254425152664E-20</c:v>
                </c:pt>
                <c:pt idx="352">
                  <c:v>2.4263203292183628E-20</c:v>
                </c:pt>
                <c:pt idx="353">
                  <c:v>2.128874326858114E-20</c:v>
                </c:pt>
                <c:pt idx="354">
                  <c:v>1.8678926459045096E-20</c:v>
                </c:pt>
                <c:pt idx="355">
                  <c:v>1.6389050742010698E-20</c:v>
                </c:pt>
                <c:pt idx="356">
                  <c:v>1.4379894091511554E-20</c:v>
                </c:pt>
                <c:pt idx="357">
                  <c:v>1.2617042764596371E-20</c:v>
                </c:pt>
                <c:pt idx="358">
                  <c:v>1.1070301847189772E-20</c:v>
                </c:pt>
                <c:pt idx="359">
                  <c:v>9.7131780619603715E-21</c:v>
                </c:pt>
                <c:pt idx="360">
                  <c:v>8.5224259794955978E-21</c:v>
                </c:pt>
                <c:pt idx="361">
                  <c:v>7.4776498600832342E-21</c:v>
                </c:pt>
                <c:pt idx="362">
                  <c:v>6.5609543062657575E-21</c:v>
                </c:pt>
                <c:pt idx="363">
                  <c:v>5.7566377423866217E-21</c:v>
                </c:pt>
                <c:pt idx="364">
                  <c:v>5.0509234709076203E-21</c:v>
                </c:pt>
                <c:pt idx="365">
                  <c:v>4.4317236989084245E-21</c:v>
                </c:pt>
              </c:numCache>
            </c:numRef>
          </c:yVal>
          <c:smooth val="1"/>
          <c:extLst>
            <c:ext xmlns:c16="http://schemas.microsoft.com/office/drawing/2014/chart" uri="{C3380CC4-5D6E-409C-BE32-E72D297353CC}">
              <c16:uniqueId val="{00000007-0CF0-4AA2-A727-45757B791E30}"/>
            </c:ext>
          </c:extLst>
        </c:ser>
        <c:dLbls>
          <c:showLegendKey val="0"/>
          <c:showVal val="0"/>
          <c:showCatName val="0"/>
          <c:showSerName val="0"/>
          <c:showPercent val="0"/>
          <c:showBubbleSize val="0"/>
        </c:dLbls>
        <c:axId val="285949792"/>
        <c:axId val="288557064"/>
      </c:scatterChart>
      <c:valAx>
        <c:axId val="285949792"/>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557064"/>
        <c:crosses val="autoZero"/>
        <c:crossBetween val="midCat"/>
      </c:valAx>
      <c:valAx>
        <c:axId val="288557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949792"/>
        <c:crosses val="autoZero"/>
        <c:crossBetween val="midCat"/>
      </c:valAx>
      <c:spPr>
        <a:noFill/>
        <a:ln>
          <a:noFill/>
        </a:ln>
        <a:effectLst/>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0.39920159680638723"/>
          <c:y val="5.7035012313335319E-3"/>
          <c:w val="0.5988023952095809"/>
          <c:h val="0.26132036041110229"/>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970122746632716E-2"/>
          <c:y val="5.0925925925925923E-2"/>
          <c:w val="0.85747434265327593"/>
          <c:h val="0.74445246427529888"/>
        </c:manualLayout>
      </c:layout>
      <c:scatterChart>
        <c:scatterStyle val="smoothMarker"/>
        <c:varyColors val="0"/>
        <c:ser>
          <c:idx val="0"/>
          <c:order val="0"/>
          <c:tx>
            <c:strRef>
              <c:f>'Max rate concentrations'!$D$2</c:f>
              <c:strCache>
                <c:ptCount val="1"/>
                <c:pt idx="0">
                  <c:v>Short Grass</c:v>
                </c:pt>
              </c:strCache>
            </c:strRef>
          </c:tx>
          <c:spPr>
            <a:ln w="19050" cap="rnd">
              <a:solidFill>
                <a:schemeClr val="accent1"/>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concentrations'!$D$3:$D$368</c:f>
              <c:numCache>
                <c:formatCode>0</c:formatCode>
                <c:ptCount val="366"/>
                <c:pt idx="0" formatCode="General">
                  <c:v>720</c:v>
                </c:pt>
                <c:pt idx="1">
                  <c:v>631.73419308225846</c:v>
                </c:pt>
                <c:pt idx="2">
                  <c:v>554.28901487401697</c:v>
                </c:pt>
                <c:pt idx="3">
                  <c:v>486.33794936916263</c:v>
                </c:pt>
                <c:pt idx="4">
                  <c:v>426.71710001390034</c:v>
                </c:pt>
                <c:pt idx="5">
                  <c:v>374.40525396067045</c:v>
                </c:pt>
                <c:pt idx="6">
                  <c:v>328.50639027305863</c:v>
                </c:pt>
                <c:pt idx="7">
                  <c:v>288.23433247432803</c:v>
                </c:pt>
                <c:pt idx="8">
                  <c:v>252.89928256149034</c:v>
                </c:pt>
                <c:pt idx="9">
                  <c:v>221.89600583342389</c:v>
                </c:pt>
                <c:pt idx="10">
                  <c:v>194.69346415743635</c:v>
                </c:pt>
                <c:pt idx="11">
                  <c:v>170.82572010817734</c:v>
                </c:pt>
                <c:pt idx="12">
                  <c:v>149.88395618088217</c:v>
                </c:pt>
                <c:pt idx="13">
                  <c:v>131.50947238042525</c:v>
                </c:pt>
                <c:pt idx="14">
                  <c:v>115.38754224572432</c:v>
                </c:pt>
                <c:pt idx="15">
                  <c:v>101.2420220727051</c:v>
                </c:pt>
                <c:pt idx="16">
                  <c:v>88.830621000161884</c:v>
                </c:pt>
                <c:pt idx="17">
                  <c:v>77.94075094240722</c:v>
                </c:pt>
                <c:pt idx="18">
                  <c:v>68.385885284481816</c:v>
                </c:pt>
                <c:pt idx="19">
                  <c:v>60.002363970011132</c:v>
                </c:pt>
                <c:pt idx="20">
                  <c:v>52.64659025780967</c:v>
                </c:pt>
                <c:pt idx="21">
                  <c:v>46.192571132013448</c:v>
                </c:pt>
                <c:pt idx="22">
                  <c:v>40.52975923677409</c:v>
                </c:pt>
                <c:pt idx="23">
                  <c:v>35.561159371196794</c:v>
                </c:pt>
                <c:pt idx="24">
                  <c:v>31.201667111711949</c:v>
                </c:pt>
                <c:pt idx="25">
                  <c:v>27.376611105053598</c:v>
                </c:pt>
                <c:pt idx="26">
                  <c:v>24.020474063580323</c:v>
                </c:pt>
                <c:pt idx="27">
                  <c:v>21.075770555568383</c:v>
                </c:pt>
                <c:pt idx="28">
                  <c:v>18.492062368762245</c:v>
                </c:pt>
                <c:pt idx="29">
                  <c:v>16.225094581884466</c:v>
                </c:pt>
                <c:pt idx="30">
                  <c:v>14.236037546347372</c:v>
                </c:pt>
                <c:pt idx="31">
                  <c:v>12.490821794486795</c:v>
                </c:pt>
                <c:pt idx="32">
                  <c:v>10.959554482325562</c:v>
                </c:pt>
                <c:pt idx="33">
                  <c:v>9.616007371434705</c:v>
                </c:pt>
                <c:pt idx="34">
                  <c:v>8.4371675798143784</c:v>
                </c:pt>
                <c:pt idx="35">
                  <c:v>7.4028434068525391</c:v>
                </c:pt>
                <c:pt idx="36">
                  <c:v>6.4953184807532036</c:v>
                </c:pt>
                <c:pt idx="37">
                  <c:v>5.6990483045151477</c:v>
                </c:pt>
                <c:pt idx="38">
                  <c:v>5.0003940027634588</c:v>
                </c:pt>
                <c:pt idx="39">
                  <c:v>4.3873887089293593</c:v>
                </c:pt>
                <c:pt idx="40">
                  <c:v>3.8495325913523621</c:v>
                </c:pt>
                <c:pt idx="41">
                  <c:v>3.3776130074192223</c:v>
                </c:pt>
                <c:pt idx="42">
                  <c:v>2.9635467052585041</c:v>
                </c:pt>
                <c:pt idx="43">
                  <c:v>2.6002413701500928</c:v>
                </c:pt>
                <c:pt idx="44">
                  <c:v>2.2814741441539934</c:v>
                </c:pt>
                <c:pt idx="45">
                  <c:v>2.0017850381877214</c:v>
                </c:pt>
                <c:pt idx="46">
                  <c:v>1.756383410866192</c:v>
                </c:pt>
                <c:pt idx="47">
                  <c:v>1.541065912231415</c:v>
                </c:pt>
                <c:pt idx="48">
                  <c:v>1.3521444868751216</c:v>
                </c:pt>
                <c:pt idx="49">
                  <c:v>1.1863832032592769</c:v>
                </c:pt>
                <c:pt idx="50">
                  <c:v>1.0409428272185339</c:v>
                </c:pt>
                <c:pt idx="51">
                  <c:v>0.91333219027453527</c:v>
                </c:pt>
                <c:pt idx="52">
                  <c:v>0.80136551977657688</c:v>
                </c:pt>
                <c:pt idx="53">
                  <c:v>0.70312500000000067</c:v>
                </c:pt>
                <c:pt idx="54">
                  <c:v>0.61692792293189369</c:v>
                </c:pt>
                <c:pt idx="55">
                  <c:v>0.54129786608790786</c:v>
                </c:pt>
                <c:pt idx="56">
                  <c:v>0.47493940368082349</c:v>
                </c:pt>
                <c:pt idx="57">
                  <c:v>0.4167159179823251</c:v>
                </c:pt>
                <c:pt idx="58">
                  <c:v>0.36563013082096774</c:v>
                </c:pt>
                <c:pt idx="59">
                  <c:v>0.32080702175103426</c:v>
                </c:pt>
                <c:pt idx="60">
                  <c:v>0.28147884030696135</c:v>
                </c:pt>
                <c:pt idx="61">
                  <c:v>0.24697195562645574</c:v>
                </c:pt>
                <c:pt idx="62">
                  <c:v>0.21669531819670329</c:v>
                </c:pt>
                <c:pt idx="63">
                  <c:v>0.19013033609124666</c:v>
                </c:pt>
                <c:pt idx="64">
                  <c:v>0.16682199229314212</c:v>
                </c:pt>
                <c:pt idx="65">
                  <c:v>0.14637105095789291</c:v>
                </c:pt>
                <c:pt idx="66">
                  <c:v>0.1284272191215092</c:v>
                </c:pt>
                <c:pt idx="67">
                  <c:v>0.11268314672434029</c:v>
                </c:pt>
                <c:pt idx="68">
                  <c:v>9.8869162180376197E-2</c:v>
                </c:pt>
                <c:pt idx="69">
                  <c:v>8.6748653320470701E-2</c:v>
                </c:pt>
                <c:pt idx="70">
                  <c:v>7.6114014592194648E-2</c:v>
                </c:pt>
                <c:pt idx="71">
                  <c:v>6.6783091098126857E-2</c:v>
                </c:pt>
                <c:pt idx="72">
                  <c:v>5.8596058564464072E-2</c:v>
                </c:pt>
                <c:pt idx="73">
                  <c:v>5.1412685798642326E-2</c:v>
                </c:pt>
                <c:pt idx="74">
                  <c:v>4.5109932746106945E-2</c:v>
                </c:pt>
                <c:pt idx="75">
                  <c:v>3.9579843004662253E-2</c:v>
                </c:pt>
                <c:pt idx="76">
                  <c:v>3.4727694698434418E-2</c:v>
                </c:pt>
                <c:pt idx="77">
                  <c:v>3.0470378038781241E-2</c:v>
                </c:pt>
                <c:pt idx="78">
                  <c:v>2.6734971782278943E-2</c:v>
                </c:pt>
                <c:pt idx="79">
                  <c:v>2.3457494202715191E-2</c:v>
                </c:pt>
                <c:pt idx="80">
                  <c:v>2.0581807183172277E-2</c:v>
                </c:pt>
                <c:pt idx="81">
                  <c:v>1.8058654656994404E-2</c:v>
                </c:pt>
                <c:pt idx="82">
                  <c:v>1.584481892762157E-2</c:v>
                </c:pt>
                <c:pt idx="83">
                  <c:v>1.3902380416354873E-2</c:v>
                </c:pt>
                <c:pt idx="84">
                  <c:v>1.2198068158678526E-2</c:v>
                </c:pt>
                <c:pt idx="85">
                  <c:v>1.0702689924146068E-2</c:v>
                </c:pt>
                <c:pt idx="86">
                  <c:v>9.3906321986667145E-3</c:v>
                </c:pt>
                <c:pt idx="87">
                  <c:v>8.2394214646624893E-3</c:v>
                </c:pt>
                <c:pt idx="88">
                  <c:v>7.2293392645044422E-3</c:v>
                </c:pt>
                <c:pt idx="89">
                  <c:v>6.3430844538605582E-3</c:v>
                </c:pt>
                <c:pt idx="90">
                  <c:v>5.5654768598780808E-3</c:v>
                </c:pt>
                <c:pt idx="91">
                  <c:v>4.8831972683236963E-3</c:v>
                </c:pt>
                <c:pt idx="92">
                  <c:v>4.2845592860638326E-3</c:v>
                </c:pt>
                <c:pt idx="93">
                  <c:v>3.7593091712425459E-3</c:v>
                </c:pt>
                <c:pt idx="94">
                  <c:v>3.2984502025578386E-3</c:v>
                </c:pt>
                <c:pt idx="95">
                  <c:v>2.8940885793540118E-3</c:v>
                </c:pt>
                <c:pt idx="96">
                  <c:v>2.5392982130372035E-3</c:v>
                </c:pt>
                <c:pt idx="97">
                  <c:v>2.2280020939003872E-3</c:v>
                </c:pt>
                <c:pt idx="98">
                  <c:v>1.9548682013551992E-3</c:v>
                </c:pt>
                <c:pt idx="99">
                  <c:v>1.7152181746740178E-3</c:v>
                </c:pt>
                <c:pt idx="100">
                  <c:v>1.5049471799134929E-3</c:v>
                </c:pt>
                <c:pt idx="101">
                  <c:v>1.3204536004639874E-3</c:v>
                </c:pt>
                <c:pt idx="102">
                  <c:v>1.1585773469328889E-3</c:v>
                </c:pt>
                <c:pt idx="103">
                  <c:v>1.0165457297056006E-3</c:v>
                </c:pt>
                <c:pt idx="104">
                  <c:v>8.9192596706497672E-4</c:v>
                </c:pt>
                <c:pt idx="105">
                  <c:v>7.8258351540681412E-4</c:v>
                </c:pt>
                <c:pt idx="106">
                  <c:v>6.866455078125013E-4</c:v>
                </c:pt>
                <c:pt idx="107">
                  <c:v>6.0246867473817797E-4</c:v>
                </c:pt>
                <c:pt idx="108">
                  <c:v>5.2861119735147296E-4</c:v>
                </c:pt>
                <c:pt idx="109">
                  <c:v>4.6380801140705457E-4</c:v>
                </c:pt>
                <c:pt idx="110">
                  <c:v>4.0694913865461468E-4</c:v>
                </c:pt>
                <c:pt idx="111">
                  <c:v>3.5706067462985158E-4</c:v>
                </c:pt>
                <c:pt idx="112">
                  <c:v>3.1328810717874461E-4</c:v>
                </c:pt>
                <c:pt idx="113">
                  <c:v>2.7488167998726716E-4</c:v>
                </c:pt>
                <c:pt idx="114">
                  <c:v>2.4118355041646087E-4</c:v>
                </c:pt>
                <c:pt idx="115">
                  <c:v>2.1161652167646822E-4</c:v>
                </c:pt>
                <c:pt idx="116">
                  <c:v>1.8567415633910823E-4</c:v>
                </c:pt>
                <c:pt idx="117">
                  <c:v>1.6291210184877174E-4</c:v>
                </c:pt>
                <c:pt idx="118">
                  <c:v>1.429404794510674E-4</c:v>
                </c:pt>
                <c:pt idx="119">
                  <c:v>1.2541720617334891E-4</c:v>
                </c:pt>
                <c:pt idx="120">
                  <c:v>1.1004213547298865E-4</c:v>
                </c:pt>
                <c:pt idx="121">
                  <c:v>9.6551916191773697E-5</c:v>
                </c:pt>
                <c:pt idx="122">
                  <c:v>8.4715481758272236E-5</c:v>
                </c:pt>
                <c:pt idx="123">
                  <c:v>7.433009237519014E-5</c:v>
                </c:pt>
                <c:pt idx="124">
                  <c:v>6.5217862400514549E-5</c:v>
                </c:pt>
                <c:pt idx="125">
                  <c:v>5.7222713441859479E-5</c:v>
                </c:pt>
                <c:pt idx="126">
                  <c:v>5.0207700975236673E-5</c:v>
                </c:pt>
                <c:pt idx="127">
                  <c:v>4.4052668697370091E-5</c:v>
                </c:pt>
                <c:pt idx="128">
                  <c:v>3.8652190434240502E-5</c:v>
                </c:pt>
                <c:pt idx="129">
                  <c:v>3.3913764353939882E-5</c:v>
                </c:pt>
                <c:pt idx="130">
                  <c:v>2.9756228553497323E-5</c:v>
                </c:pt>
                <c:pt idx="131">
                  <c:v>2.6108370881131794E-5</c:v>
                </c:pt>
                <c:pt idx="132">
                  <c:v>2.2907709182339067E-5</c:v>
                </c:pt>
                <c:pt idx="133">
                  <c:v>2.0099421077316686E-5</c:v>
                </c:pt>
                <c:pt idx="134">
                  <c:v>1.7635404938471104E-5</c:v>
                </c:pt>
                <c:pt idx="135">
                  <c:v>1.5473455984005443E-5</c:v>
                </c:pt>
                <c:pt idx="136">
                  <c:v>1.3576543375346559E-5</c:v>
                </c:pt>
                <c:pt idx="137">
                  <c:v>1.1912175936209502E-5</c:v>
                </c:pt>
                <c:pt idx="138">
                  <c:v>1.0451845629048898E-5</c:v>
                </c:pt>
                <c:pt idx="139">
                  <c:v>9.1705392565104667E-6</c:v>
                </c:pt>
                <c:pt idx="140">
                  <c:v>8.0463100240844639E-6</c:v>
                </c:pt>
                <c:pt idx="141">
                  <c:v>7.0599016254926202E-6</c:v>
                </c:pt>
                <c:pt idx="142">
                  <c:v>6.1944184119732022E-6</c:v>
                </c:pt>
                <c:pt idx="143">
                  <c:v>5.4350359959746891E-6</c:v>
                </c:pt>
                <c:pt idx="144">
                  <c:v>4.7687473323473605E-6</c:v>
                </c:pt>
                <c:pt idx="145">
                  <c:v>4.1841399277967124E-6</c:v>
                </c:pt>
                <c:pt idx="146">
                  <c:v>3.6712003625415492E-6</c:v>
                </c:pt>
                <c:pt idx="147">
                  <c:v>3.2211427759353897E-6</c:v>
                </c:pt>
                <c:pt idx="148">
                  <c:v>2.8262583782754021E-6</c:v>
                </c:pt>
                <c:pt idx="149">
                  <c:v>2.479783411169144E-6</c:v>
                </c:pt>
                <c:pt idx="150">
                  <c:v>2.1757832948245969E-6</c:v>
                </c:pt>
                <c:pt idx="151">
                  <c:v>1.9090509778859368E-6</c:v>
                </c:pt>
                <c:pt idx="152">
                  <c:v>1.6750177487050955E-6</c:v>
                </c:pt>
                <c:pt idx="153">
                  <c:v>1.4696749803842704E-6</c:v>
                </c:pt>
                <c:pt idx="154">
                  <c:v>1.2895054692031127E-6</c:v>
                </c:pt>
                <c:pt idx="155">
                  <c:v>1.1314231903641493E-6</c:v>
                </c:pt>
                <c:pt idx="156">
                  <c:v>9.9272043916562561E-7</c:v>
                </c:pt>
                <c:pt idx="157">
                  <c:v>8.7102145221189133E-7</c:v>
                </c:pt>
                <c:pt idx="158">
                  <c:v>7.6424171426446692E-7</c:v>
                </c:pt>
                <c:pt idx="159">
                  <c:v>6.705522537231458E-7</c:v>
                </c:pt>
                <c:pt idx="160">
                  <c:v>5.8834831517400193E-7</c:v>
                </c:pt>
                <c:pt idx="161">
                  <c:v>5.1622187241354781E-7</c:v>
                </c:pt>
                <c:pt idx="162">
                  <c:v>4.5293751113970173E-7</c:v>
                </c:pt>
                <c:pt idx="163">
                  <c:v>3.9741126821739715E-7</c:v>
                </c:pt>
                <c:pt idx="164">
                  <c:v>3.4869206506821443E-7</c:v>
                </c:pt>
                <c:pt idx="165">
                  <c:v>3.0594541716674278E-7</c:v>
                </c:pt>
                <c:pt idx="166">
                  <c:v>2.6843914061256559E-7</c:v>
                </c:pt>
                <c:pt idx="167">
                  <c:v>2.3553081095357507E-7</c:v>
                </c:pt>
                <c:pt idx="168">
                  <c:v>2.06656759449676E-7</c:v>
                </c:pt>
                <c:pt idx="169">
                  <c:v>1.8132241829991038E-7</c:v>
                </c:pt>
                <c:pt idx="170">
                  <c:v>1.5909384946169115E-7</c:v>
                </c:pt>
                <c:pt idx="171">
                  <c:v>1.3959031196393301E-7</c:v>
                </c:pt>
                <c:pt idx="172">
                  <c:v>1.2247774040366105E-7</c:v>
                </c:pt>
                <c:pt idx="173">
                  <c:v>1.0746302292284048E-7</c:v>
                </c:pt>
                <c:pt idx="174">
                  <c:v>9.4288980656029001E-8</c:v>
                </c:pt>
                <c:pt idx="175">
                  <c:v>8.2729962654562731E-8</c:v>
                </c:pt>
                <c:pt idx="176">
                  <c:v>7.2587980835146621E-8</c:v>
                </c:pt>
                <c:pt idx="177">
                  <c:v>6.3689318750502489E-8</c:v>
                </c:pt>
                <c:pt idx="178">
                  <c:v>5.5881556095565898E-8</c:v>
                </c:pt>
                <c:pt idx="179">
                  <c:v>4.9030957983629564E-8</c:v>
                </c:pt>
                <c:pt idx="180">
                  <c:v>4.302018427477548E-8</c:v>
                </c:pt>
                <c:pt idx="181">
                  <c:v>3.774627972093799E-8</c:v>
                </c:pt>
                <c:pt idx="182">
                  <c:v>3.3118910501894416E-8</c:v>
                </c:pt>
                <c:pt idx="183">
                  <c:v>2.905881694677473E-8</c:v>
                </c:pt>
                <c:pt idx="184">
                  <c:v>2.5496455938605267E-8</c:v>
                </c:pt>
                <c:pt idx="185">
                  <c:v>2.2370809748377995E-8</c:v>
                </c:pt>
                <c:pt idx="186">
                  <c:v>1.9628340895817077E-8</c:v>
                </c:pt>
                <c:pt idx="187">
                  <c:v>1.7222075135225688E-8</c:v>
                </c:pt>
                <c:pt idx="188">
                  <c:v>1.5110796859380315E-8</c:v>
                </c:pt>
                <c:pt idx="189">
                  <c:v>1.3258343139986874E-8</c:v>
                </c:pt>
                <c:pt idx="190">
                  <c:v>1.1632984312704592E-8</c:v>
                </c:pt>
                <c:pt idx="191">
                  <c:v>1.0206880497118065E-8</c:v>
                </c:pt>
                <c:pt idx="192">
                  <c:v>8.9556047426860027E-9</c:v>
                </c:pt>
                <c:pt idx="193">
                  <c:v>7.8577246328949843E-9</c:v>
                </c:pt>
                <c:pt idx="194">
                  <c:v>6.8944351811451369E-9</c:v>
                </c:pt>
                <c:pt idx="195">
                  <c:v>6.0492367304425803E-9</c:v>
                </c:pt>
                <c:pt idx="196">
                  <c:v>5.3076523398190324E-9</c:v>
                </c:pt>
                <c:pt idx="197">
                  <c:v>4.6569798167454693E-9</c:v>
                </c:pt>
                <c:pt idx="198">
                  <c:v>4.086074148238977E-9</c:v>
                </c:pt>
                <c:pt idx="199">
                  <c:v>3.5851566040444816E-9</c:v>
                </c:pt>
                <c:pt idx="200">
                  <c:v>3.145647242124404E-9</c:v>
                </c:pt>
                <c:pt idx="201">
                  <c:v>2.7600179475345724E-9</c:v>
                </c:pt>
                <c:pt idx="202">
                  <c:v>2.4216634874698672E-9</c:v>
                </c:pt>
                <c:pt idx="203">
                  <c:v>2.1247883738521454E-9</c:v>
                </c:pt>
                <c:pt idx="204">
                  <c:v>1.8643075955917351E-9</c:v>
                </c:pt>
                <c:pt idx="205">
                  <c:v>1.6357595202198198E-9</c:v>
                </c:pt>
                <c:pt idx="206">
                  <c:v>1.4352294730315141E-9</c:v>
                </c:pt>
                <c:pt idx="207">
                  <c:v>1.2592826847686648E-9</c:v>
                </c:pt>
                <c:pt idx="208">
                  <c:v>1.1049054593399896E-9</c:v>
                </c:pt>
                <c:pt idx="209">
                  <c:v>9.6945355387268126E-10</c:v>
                </c:pt>
                <c:pt idx="210">
                  <c:v>8.5060688692567512E-10</c:v>
                </c:pt>
                <c:pt idx="211">
                  <c:v>7.4632979908639347E-10</c:v>
                </c:pt>
                <c:pt idx="212">
                  <c:v>6.5483618527650957E-10</c:v>
                </c:pt>
                <c:pt idx="213">
                  <c:v>5.7455890153711126E-10</c:v>
                </c:pt>
                <c:pt idx="214">
                  <c:v>5.0412292227885528E-10</c:v>
                </c:pt>
                <c:pt idx="215">
                  <c:v>4.4232178822236497E-10</c:v>
                </c:pt>
                <c:pt idx="216">
                  <c:v>3.880969416185519E-10</c:v>
                </c:pt>
                <c:pt idx="217">
                  <c:v>3.4051959479317815E-10</c:v>
                </c:pt>
                <c:pt idx="218">
                  <c:v>2.9877482145189725E-10</c:v>
                </c:pt>
                <c:pt idx="219">
                  <c:v>2.6214759825445858E-10</c:v>
                </c:pt>
                <c:pt idx="220">
                  <c:v>2.3001055757185066E-10</c:v>
                </c:pt>
                <c:pt idx="221">
                  <c:v>2.0181324165007421E-10</c:v>
                </c:pt>
                <c:pt idx="222">
                  <c:v>1.7707267412100623E-10</c:v>
                </c:pt>
                <c:pt idx="223">
                  <c:v>1.5536508736493277E-10</c:v>
                </c:pt>
                <c:pt idx="224">
                  <c:v>1.3631866402727833E-10</c:v>
                </c:pt>
                <c:pt idx="225">
                  <c:v>1.1960716836295024E-10</c:v>
                </c:pt>
                <c:pt idx="226">
                  <c:v>1.049443583230864E-10</c:v>
                </c:pt>
                <c:pt idx="227">
                  <c:v>9.2079082671903322E-11</c:v>
                </c:pt>
                <c:pt idx="228">
                  <c:v>8.0790979154846417E-11</c:v>
                </c:pt>
                <c:pt idx="229">
                  <c:v>7.0886700034322872E-11</c:v>
                </c:pt>
                <c:pt idx="230">
                  <c:v>6.2196600342287587E-11</c:v>
                </c:pt>
                <c:pt idx="231">
                  <c:v>5.4571832124576072E-11</c:v>
                </c:pt>
                <c:pt idx="232">
                  <c:v>4.7881794905888246E-11</c:v>
                </c:pt>
                <c:pt idx="233">
                  <c:v>4.2011898705835429E-11</c:v>
                </c:pt>
                <c:pt idx="234">
                  <c:v>3.6861601289978506E-11</c:v>
                </c:pt>
                <c:pt idx="235">
                  <c:v>3.2342686037006265E-11</c:v>
                </c:pt>
                <c:pt idx="236">
                  <c:v>2.8377750924584697E-11</c:v>
                </c:pt>
                <c:pt idx="237">
                  <c:v>2.4898882752544206E-11</c:v>
                </c:pt>
                <c:pt idx="238">
                  <c:v>2.1846493894900386E-11</c:v>
                </c:pt>
                <c:pt idx="239">
                  <c:v>1.9168301656071364E-11</c:v>
                </c:pt>
                <c:pt idx="240">
                  <c:v>1.6818432749243836E-11</c:v>
                </c:pt>
                <c:pt idx="241">
                  <c:v>1.4756637557988589E-11</c:v>
                </c:pt>
                <c:pt idx="242">
                  <c:v>1.2947600722643432E-11</c:v>
                </c:pt>
                <c:pt idx="243">
                  <c:v>1.1360336242875578E-11</c:v>
                </c:pt>
                <c:pt idx="244">
                  <c:v>9.96765673546686E-12</c:v>
                </c:pt>
                <c:pt idx="245">
                  <c:v>8.7457077565292995E-12</c:v>
                </c:pt>
                <c:pt idx="246">
                  <c:v>7.6735592118115081E-12</c:v>
                </c:pt>
                <c:pt idx="247">
                  <c:v>6.7328468565870478E-12</c:v>
                </c:pt>
                <c:pt idx="248">
                  <c:v>5.9074577445728323E-12</c:v>
                </c:pt>
                <c:pt idx="249">
                  <c:v>5.1832542381045238E-12</c:v>
                </c:pt>
                <c:pt idx="250">
                  <c:v>4.5478318522904973E-12</c:v>
                </c:pt>
                <c:pt idx="251">
                  <c:v>3.9903067853896259E-12</c:v>
                </c:pt>
                <c:pt idx="252">
                  <c:v>3.5011294961371891E-12</c:v>
                </c:pt>
                <c:pt idx="253">
                  <c:v>3.0719211348871133E-12</c:v>
                </c:pt>
                <c:pt idx="254">
                  <c:v>2.6953300268892308E-12</c:v>
                </c:pt>
                <c:pt idx="255">
                  <c:v>2.3649057494822922E-12</c:v>
                </c:pt>
                <c:pt idx="256">
                  <c:v>2.0749886463399858E-12</c:v>
                </c:pt>
                <c:pt idx="257">
                  <c:v>1.8206128863200538E-12</c:v>
                </c:pt>
                <c:pt idx="258">
                  <c:v>1.5974214064646678E-12</c:v>
                </c:pt>
                <c:pt idx="259">
                  <c:v>1.401591282257338E-12</c:v>
                </c:pt>
                <c:pt idx="260">
                  <c:v>1.2297682468443992E-12</c:v>
                </c:pt>
                <c:pt idx="261">
                  <c:v>1.0790092376367086E-12</c:v>
                </c:pt>
                <c:pt idx="262">
                  <c:v>9.4673198620379029E-13</c:v>
                </c:pt>
                <c:pt idx="263">
                  <c:v>8.3067078801335461E-13</c:v>
                </c:pt>
                <c:pt idx="264">
                  <c:v>7.2883769442030613E-13</c:v>
                </c:pt>
                <c:pt idx="265">
                  <c:v>6.3948846218409138E-13</c:v>
                </c:pt>
                <c:pt idx="266">
                  <c:v>5.6109267728233521E-13</c:v>
                </c:pt>
                <c:pt idx="267">
                  <c:v>4.9230754128794461E-13</c:v>
                </c:pt>
                <c:pt idx="268">
                  <c:v>4.3195487131090329E-13</c:v>
                </c:pt>
                <c:pt idx="269">
                  <c:v>3.7900091954936709E-13</c:v>
                </c:pt>
                <c:pt idx="270">
                  <c:v>3.3253866679021304E-13</c:v>
                </c:pt>
                <c:pt idx="271">
                  <c:v>2.9177228657411841E-13</c:v>
                </c:pt>
                <c:pt idx="272">
                  <c:v>2.5600351392036971E-13</c:v>
                </c:pt>
                <c:pt idx="273">
                  <c:v>2.2461968512876041E-13</c:v>
                </c:pt>
                <c:pt idx="274">
                  <c:v>1.970832437989006E-13</c:v>
                </c:pt>
                <c:pt idx="275">
                  <c:v>1.7292253332129515E-13</c:v>
                </c:pt>
                <c:pt idx="276">
                  <c:v>1.5172371812981716E-13</c:v>
                </c:pt>
                <c:pt idx="277">
                  <c:v>1.3312369533913899E-13</c:v>
                </c:pt>
                <c:pt idx="278">
                  <c:v>1.1680387535444359E-13</c:v>
                </c:pt>
                <c:pt idx="279">
                  <c:v>1.0248472492488907E-13</c:v>
                </c:pt>
                <c:pt idx="280">
                  <c:v>8.9920979171780587E-14</c:v>
                </c:pt>
                <c:pt idx="281">
                  <c:v>7.8897440580904704E-14</c:v>
                </c:pt>
                <c:pt idx="282">
                  <c:v>6.922529300226843E-14</c:v>
                </c:pt>
                <c:pt idx="283">
                  <c:v>6.0738867521765222E-14</c:v>
                </c:pt>
                <c:pt idx="284">
                  <c:v>5.329280480915632E-14</c:v>
                </c:pt>
                <c:pt idx="285">
                  <c:v>4.675956533778149E-14</c:v>
                </c:pt>
                <c:pt idx="286">
                  <c:v>4.1027244829917411E-14</c:v>
                </c:pt>
                <c:pt idx="287">
                  <c:v>3.5997657509744635E-14</c:v>
                </c:pt>
                <c:pt idx="288">
                  <c:v>3.1584654333013931E-14</c:v>
                </c:pt>
                <c:pt idx="289">
                  <c:v>2.7712647387289743E-14</c:v>
                </c:pt>
                <c:pt idx="290">
                  <c:v>2.4315315188031451E-14</c:v>
                </c:pt>
                <c:pt idx="291">
                  <c:v>2.1334466694238658E-14</c:v>
                </c:pt>
                <c:pt idx="292">
                  <c:v>1.8719044586007191E-14</c:v>
                </c:pt>
                <c:pt idx="293">
                  <c:v>1.6424250731683433E-14</c:v>
                </c:pt>
                <c:pt idx="294">
                  <c:v>1.4410778865223232E-14</c:v>
                </c:pt>
                <c:pt idx="295">
                  <c:v>1.2644141330706476E-14</c:v>
                </c:pt>
                <c:pt idx="296">
                  <c:v>1.1094078362183181E-14</c:v>
                </c:pt>
                <c:pt idx="297">
                  <c:v>9.7340397807293555E-15</c:v>
                </c:pt>
                <c:pt idx="298">
                  <c:v>8.540730230985644E-15</c:v>
                </c:pt>
                <c:pt idx="299">
                  <c:v>7.4937101677846759E-15</c:v>
                </c:pt>
                <c:pt idx="300">
                  <c:v>6.5750457583857888E-15</c:v>
                </c:pt>
                <c:pt idx="301">
                  <c:v>5.7690017036844066E-15</c:v>
                </c:pt>
                <c:pt idx="302">
                  <c:v>5.061771716898949E-15</c:v>
                </c:pt>
                <c:pt idx="303">
                  <c:v>4.4412420432524388E-15</c:v>
                </c:pt>
                <c:pt idx="304">
                  <c:v>3.8967839701070566E-15</c:v>
                </c:pt>
                <c:pt idx="305">
                  <c:v>3.4190717735714737E-15</c:v>
                </c:pt>
                <c:pt idx="306">
                  <c:v>2.9999229832881966E-15</c:v>
                </c:pt>
                <c:pt idx="307">
                  <c:v>2.6321582293840145E-15</c:v>
                </c:pt>
                <c:pt idx="308">
                  <c:v>2.309478270978801E-15</c:v>
                </c:pt>
                <c:pt idx="309">
                  <c:v>2.0263560999413923E-15</c:v>
                </c:pt>
                <c:pt idx="310">
                  <c:v>1.7779422717969276E-15</c:v>
                </c:pt>
                <c:pt idx="311">
                  <c:v>1.5599818422506521E-15</c:v>
                </c:pt>
                <c:pt idx="312">
                  <c:v>1.3687414865794316E-15</c:v>
                </c:pt>
                <c:pt idx="313">
                  <c:v>1.2009455535589836E-15</c:v>
                </c:pt>
                <c:pt idx="314">
                  <c:v>1.0537199586295982E-15</c:v>
                </c:pt>
                <c:pt idx="315">
                  <c:v>9.2454295527713896E-16</c:v>
                </c:pt>
                <c:pt idx="316">
                  <c:v>8.1120194141929161E-16</c:v>
                </c:pt>
                <c:pt idx="317">
                  <c:v>7.117555609573302E-16</c:v>
                </c:pt>
                <c:pt idx="318">
                  <c:v>6.2450045135165174E-16</c:v>
                </c:pt>
                <c:pt idx="319">
                  <c:v>5.4794206765853048E-16</c:v>
                </c:pt>
                <c:pt idx="320">
                  <c:v>4.8076908328900841E-16</c:v>
                </c:pt>
                <c:pt idx="321">
                  <c:v>4.2183092901455399E-16</c:v>
                </c:pt>
                <c:pt idx="322">
                  <c:v>3.701180854974288E-16</c:v>
                </c:pt>
                <c:pt idx="323">
                  <c:v>3.2474479178731742E-16</c:v>
                </c:pt>
                <c:pt idx="324">
                  <c:v>2.8493387360753751E-16</c:v>
                </c:pt>
                <c:pt idx="325">
                  <c:v>2.5000343156286105E-16</c:v>
                </c:pt>
                <c:pt idx="326">
                  <c:v>2.1935516125855509E-16</c:v>
                </c:pt>
                <c:pt idx="327">
                  <c:v>1.9246410527236387E-16</c:v>
                </c:pt>
                <c:pt idx="328">
                  <c:v>1.6886966144657729E-16</c:v>
                </c:pt>
                <c:pt idx="329">
                  <c:v>1.4816769348614957E-16</c:v>
                </c:pt>
                <c:pt idx="330">
                  <c:v>1.3000360872962792E-16</c:v>
                </c:pt>
                <c:pt idx="331">
                  <c:v>1.1406628452582382E-16</c:v>
                </c:pt>
                <c:pt idx="332">
                  <c:v>1.0008273918446198E-16</c:v>
                </c:pt>
                <c:pt idx="333">
                  <c:v>8.781345622244198E-17</c:v>
                </c:pt>
                <c:pt idx="334">
                  <c:v>7.704828181728975E-17</c:v>
                </c:pt>
                <c:pt idx="335">
                  <c:v>6.7602825197527764E-17</c:v>
                </c:pt>
                <c:pt idx="336">
                  <c:v>5.931530031422385E-17</c:v>
                </c:pt>
                <c:pt idx="337">
                  <c:v>5.2043754696441719E-17</c:v>
                </c:pt>
                <c:pt idx="338">
                  <c:v>4.5663638025177236E-17</c:v>
                </c:pt>
                <c:pt idx="339">
                  <c:v>4.0065668779216222E-17</c:v>
                </c:pt>
                <c:pt idx="340">
                  <c:v>3.5153962411859995E-17</c:v>
                </c:pt>
                <c:pt idx="341">
                  <c:v>3.0844388997083917E-17</c:v>
                </c:pt>
                <c:pt idx="342">
                  <c:v>2.706313221415014E-17</c:v>
                </c:pt>
                <c:pt idx="343">
                  <c:v>2.3745424988311964E-17</c:v>
                </c:pt>
                <c:pt idx="344">
                  <c:v>2.083444013109244E-17</c:v>
                </c:pt>
                <c:pt idx="345">
                  <c:v>1.8280316978522648E-17</c:v>
                </c:pt>
                <c:pt idx="346">
                  <c:v>1.6039307355159603E-17</c:v>
                </c:pt>
                <c:pt idx="347">
                  <c:v>1.4073026235569562E-17</c:v>
                </c:pt>
                <c:pt idx="348">
                  <c:v>1.2347794268268043E-17</c:v>
                </c:pt>
                <c:pt idx="349">
                  <c:v>1.0834060900569513E-17</c:v>
                </c:pt>
                <c:pt idx="350">
                  <c:v>9.5058982233685112E-18</c:v>
                </c:pt>
                <c:pt idx="351">
                  <c:v>8.340556866196918E-18</c:v>
                </c:pt>
                <c:pt idx="352">
                  <c:v>7.3180763357272225E-18</c:v>
                </c:pt>
                <c:pt idx="353">
                  <c:v>6.4209431234236219E-18</c:v>
                </c:pt>
                <c:pt idx="354">
                  <c:v>5.6337907262543033E-18</c:v>
                </c:pt>
                <c:pt idx="355">
                  <c:v>4.9431364422841299E-18</c:v>
                </c:pt>
                <c:pt idx="356">
                  <c:v>4.3371504328637098E-18</c:v>
                </c:pt>
                <c:pt idx="357">
                  <c:v>3.8054530958076724E-18</c:v>
                </c:pt>
                <c:pt idx="358">
                  <c:v>3.3389372788783923E-18</c:v>
                </c:pt>
                <c:pt idx="359">
                  <c:v>2.9296122883673795E-18</c:v>
                </c:pt>
                <c:pt idx="360">
                  <c:v>2.5704670208828267E-18</c:v>
                </c:pt>
                <c:pt idx="361">
                  <c:v>2.2553498740027353E-18</c:v>
                </c:pt>
                <c:pt idx="362">
                  <c:v>1.978863378849016E-18</c:v>
                </c:pt>
                <c:pt idx="363">
                  <c:v>1.7362717498016871E-18</c:v>
                </c:pt>
                <c:pt idx="364">
                  <c:v>1.5234197678229025E-18</c:v>
                </c:pt>
                <c:pt idx="365">
                  <c:v>1.3366616079877262E-18</c:v>
                </c:pt>
              </c:numCache>
            </c:numRef>
          </c:yVal>
          <c:smooth val="1"/>
          <c:extLst>
            <c:ext xmlns:c16="http://schemas.microsoft.com/office/drawing/2014/chart" uri="{C3380CC4-5D6E-409C-BE32-E72D297353CC}">
              <c16:uniqueId val="{00000000-A669-4CB9-84F4-49AE9BAF6CDE}"/>
            </c:ext>
          </c:extLst>
        </c:ser>
        <c:ser>
          <c:idx val="1"/>
          <c:order val="1"/>
          <c:tx>
            <c:strRef>
              <c:f>'Max rate concentrations'!$E$2</c:f>
              <c:strCache>
                <c:ptCount val="1"/>
                <c:pt idx="0">
                  <c:v>Tall Grass, nectar and pollen</c:v>
                </c:pt>
              </c:strCache>
            </c:strRef>
          </c:tx>
          <c:spPr>
            <a:ln w="19050" cap="rnd">
              <a:solidFill>
                <a:srgbClr val="FF0000"/>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concentrations'!$E$3:$E$368</c:f>
              <c:numCache>
                <c:formatCode>0</c:formatCode>
                <c:ptCount val="366"/>
                <c:pt idx="0" formatCode="General">
                  <c:v>330</c:v>
                </c:pt>
                <c:pt idx="1">
                  <c:v>289.54483849603514</c:v>
                </c:pt>
                <c:pt idx="2">
                  <c:v>254.0491318172578</c:v>
                </c:pt>
                <c:pt idx="3">
                  <c:v>222.90489346086622</c:v>
                </c:pt>
                <c:pt idx="4">
                  <c:v>195.57867083970433</c:v>
                </c:pt>
                <c:pt idx="5">
                  <c:v>171.60240806530732</c:v>
                </c:pt>
                <c:pt idx="6">
                  <c:v>150.56542887515189</c:v>
                </c:pt>
                <c:pt idx="7">
                  <c:v>132.10740238406703</c:v>
                </c:pt>
                <c:pt idx="8">
                  <c:v>115.91217117401642</c:v>
                </c:pt>
                <c:pt idx="9">
                  <c:v>101.70233600698596</c:v>
                </c:pt>
                <c:pt idx="10">
                  <c:v>89.234504405491663</c:v>
                </c:pt>
                <c:pt idx="11">
                  <c:v>78.295121716247948</c:v>
                </c:pt>
                <c:pt idx="12">
                  <c:v>68.696813249570994</c:v>
                </c:pt>
                <c:pt idx="13">
                  <c:v>60.275174841028246</c:v>
                </c:pt>
                <c:pt idx="14">
                  <c:v>52.885956862623651</c:v>
                </c:pt>
                <c:pt idx="15">
                  <c:v>46.402593449989837</c:v>
                </c:pt>
                <c:pt idx="16">
                  <c:v>40.714034625074198</c:v>
                </c:pt>
                <c:pt idx="17">
                  <c:v>35.722844181936644</c:v>
                </c:pt>
                <c:pt idx="18">
                  <c:v>31.343530755387498</c:v>
                </c:pt>
                <c:pt idx="19">
                  <c:v>27.501083486255101</c:v>
                </c:pt>
                <c:pt idx="20">
                  <c:v>24.1296872014961</c:v>
                </c:pt>
                <c:pt idx="21">
                  <c:v>21.171595102172834</c:v>
                </c:pt>
                <c:pt idx="22">
                  <c:v>18.576139650188129</c:v>
                </c:pt>
                <c:pt idx="23">
                  <c:v>16.298864711798537</c:v>
                </c:pt>
                <c:pt idx="24">
                  <c:v>14.300764092867981</c:v>
                </c:pt>
                <c:pt idx="25">
                  <c:v>12.547613423149571</c:v>
                </c:pt>
                <c:pt idx="26">
                  <c:v>11.009383945807652</c:v>
                </c:pt>
                <c:pt idx="27">
                  <c:v>9.659728171302179</c:v>
                </c:pt>
                <c:pt idx="28">
                  <c:v>8.4755285856826976</c:v>
                </c:pt>
                <c:pt idx="29">
                  <c:v>7.4365016833637148</c:v>
                </c:pt>
                <c:pt idx="30">
                  <c:v>6.52485054207588</c:v>
                </c:pt>
                <c:pt idx="31">
                  <c:v>5.7249599891397818</c:v>
                </c:pt>
                <c:pt idx="32">
                  <c:v>5.0231291377325489</c:v>
                </c:pt>
                <c:pt idx="33">
                  <c:v>4.4073367119075728</c:v>
                </c:pt>
                <c:pt idx="34">
                  <c:v>3.867035140748257</c:v>
                </c:pt>
                <c:pt idx="35">
                  <c:v>3.3929698948074143</c:v>
                </c:pt>
                <c:pt idx="36">
                  <c:v>2.9770209703452184</c:v>
                </c:pt>
                <c:pt idx="37">
                  <c:v>2.6120638062361095</c:v>
                </c:pt>
                <c:pt idx="38">
                  <c:v>2.2918472512665855</c:v>
                </c:pt>
                <c:pt idx="39">
                  <c:v>2.0108864915926232</c:v>
                </c:pt>
                <c:pt idx="40">
                  <c:v>1.7643691043698329</c:v>
                </c:pt>
                <c:pt idx="41">
                  <c:v>1.5480726284004771</c:v>
                </c:pt>
                <c:pt idx="42">
                  <c:v>1.3582922399101478</c:v>
                </c:pt>
                <c:pt idx="43">
                  <c:v>1.1917772946521259</c:v>
                </c:pt>
                <c:pt idx="44">
                  <c:v>1.0456756494039137</c:v>
                </c:pt>
                <c:pt idx="45">
                  <c:v>0.91748480916937225</c:v>
                </c:pt>
                <c:pt idx="46">
                  <c:v>0.80500906331367128</c:v>
                </c:pt>
                <c:pt idx="47">
                  <c:v>0.70632187643939848</c:v>
                </c:pt>
                <c:pt idx="48">
                  <c:v>0.61973288981776398</c:v>
                </c:pt>
                <c:pt idx="49">
                  <c:v>0.54375896816050184</c:v>
                </c:pt>
                <c:pt idx="50">
                  <c:v>0.47709879580849462</c:v>
                </c:pt>
                <c:pt idx="51">
                  <c:v>0.41861058720916189</c:v>
                </c:pt>
                <c:pt idx="52">
                  <c:v>0.36729252989759764</c:v>
                </c:pt>
                <c:pt idx="53">
                  <c:v>0.32226562500000022</c:v>
                </c:pt>
                <c:pt idx="54">
                  <c:v>0.28275863134378454</c:v>
                </c:pt>
                <c:pt idx="55">
                  <c:v>0.24809485529029102</c:v>
                </c:pt>
                <c:pt idx="56">
                  <c:v>0.21768056002037733</c:v>
                </c:pt>
                <c:pt idx="57">
                  <c:v>0.19099479574189893</c:v>
                </c:pt>
                <c:pt idx="58">
                  <c:v>0.16758047662627681</c:v>
                </c:pt>
                <c:pt idx="59">
                  <c:v>0.14703655163589066</c:v>
                </c:pt>
                <c:pt idx="60">
                  <c:v>0.1290111351406906</c:v>
                </c:pt>
                <c:pt idx="61">
                  <c:v>0.11319547966212552</c:v>
                </c:pt>
                <c:pt idx="62">
                  <c:v>9.9318687506822323E-2</c:v>
                </c:pt>
                <c:pt idx="63">
                  <c:v>8.7143070708488035E-2</c:v>
                </c:pt>
                <c:pt idx="64">
                  <c:v>7.6460079801023456E-2</c:v>
                </c:pt>
                <c:pt idx="65">
                  <c:v>6.7086731689034229E-2</c:v>
                </c:pt>
                <c:pt idx="66">
                  <c:v>5.8862475430691695E-2</c:v>
                </c:pt>
                <c:pt idx="67">
                  <c:v>5.1646442248655951E-2</c:v>
                </c:pt>
                <c:pt idx="68">
                  <c:v>4.5315032666005742E-2</c:v>
                </c:pt>
                <c:pt idx="69">
                  <c:v>3.9759799438549057E-2</c:v>
                </c:pt>
                <c:pt idx="70">
                  <c:v>3.4885590021422531E-2</c:v>
                </c:pt>
                <c:pt idx="71">
                  <c:v>3.0608916753308128E-2</c:v>
                </c:pt>
                <c:pt idx="72">
                  <c:v>2.6856526842046018E-2</c:v>
                </c:pt>
                <c:pt idx="73">
                  <c:v>2.3564147657711053E-2</c:v>
                </c:pt>
                <c:pt idx="74">
                  <c:v>2.0675385841965672E-2</c:v>
                </c:pt>
                <c:pt idx="75">
                  <c:v>1.8140761377136855E-2</c:v>
                </c:pt>
                <c:pt idx="76">
                  <c:v>1.5916860070115765E-2</c:v>
                </c:pt>
                <c:pt idx="77">
                  <c:v>1.3965589934441395E-2</c:v>
                </c:pt>
                <c:pt idx="78">
                  <c:v>1.2253528733544508E-2</c:v>
                </c:pt>
                <c:pt idx="79">
                  <c:v>1.0751351509577789E-2</c:v>
                </c:pt>
                <c:pt idx="80">
                  <c:v>9.4333282922872859E-3</c:v>
                </c:pt>
                <c:pt idx="81">
                  <c:v>8.2768833844557611E-3</c:v>
                </c:pt>
                <c:pt idx="82">
                  <c:v>7.2622086751598794E-3</c:v>
                </c:pt>
                <c:pt idx="83">
                  <c:v>6.3719243574959774E-3</c:v>
                </c:pt>
                <c:pt idx="84">
                  <c:v>5.590781239394319E-3</c:v>
                </c:pt>
                <c:pt idx="85">
                  <c:v>4.9053995485669431E-3</c:v>
                </c:pt>
                <c:pt idx="86">
                  <c:v>4.3040397577222399E-3</c:v>
                </c:pt>
                <c:pt idx="87">
                  <c:v>3.7764015046369702E-3</c:v>
                </c:pt>
                <c:pt idx="88">
                  <c:v>3.3134471628978655E-3</c:v>
                </c:pt>
                <c:pt idx="89">
                  <c:v>2.9072470413527523E-3</c:v>
                </c:pt>
                <c:pt idx="90">
                  <c:v>2.5508435607774506E-3</c:v>
                </c:pt>
                <c:pt idx="91">
                  <c:v>2.2381320813150249E-3</c:v>
                </c:pt>
                <c:pt idx="92">
                  <c:v>1.9637563394459211E-3</c:v>
                </c:pt>
                <c:pt idx="93">
                  <c:v>1.7230167034861649E-3</c:v>
                </c:pt>
                <c:pt idx="94">
                  <c:v>1.5117896761723409E-3</c:v>
                </c:pt>
                <c:pt idx="95">
                  <c:v>1.3264572655372537E-3</c:v>
                </c:pt>
                <c:pt idx="96">
                  <c:v>1.1638450143087167E-3</c:v>
                </c:pt>
                <c:pt idx="97">
                  <c:v>1.0211676263710094E-3</c:v>
                </c:pt>
                <c:pt idx="98">
                  <c:v>8.9598125895446509E-4</c:v>
                </c:pt>
                <c:pt idx="99">
                  <c:v>7.8614166339225711E-4</c:v>
                </c:pt>
                <c:pt idx="100">
                  <c:v>6.8976745746035008E-4</c:v>
                </c:pt>
                <c:pt idx="101">
                  <c:v>6.0520790021266013E-4</c:v>
                </c:pt>
                <c:pt idx="102">
                  <c:v>5.3101461734424008E-4</c:v>
                </c:pt>
                <c:pt idx="103">
                  <c:v>4.6591679278173303E-4</c:v>
                </c:pt>
                <c:pt idx="104">
                  <c:v>4.0879940157144716E-4</c:v>
                </c:pt>
                <c:pt idx="105">
                  <c:v>3.586841112281227E-4</c:v>
                </c:pt>
                <c:pt idx="106">
                  <c:v>3.1471252441406272E-4</c:v>
                </c:pt>
                <c:pt idx="107">
                  <c:v>2.7613147592166459E-4</c:v>
                </c:pt>
                <c:pt idx="108">
                  <c:v>2.4228013211942482E-4</c:v>
                </c:pt>
                <c:pt idx="109">
                  <c:v>2.1257867189489974E-4</c:v>
                </c:pt>
                <c:pt idx="110">
                  <c:v>1.8651835521669817E-4</c:v>
                </c:pt>
                <c:pt idx="111">
                  <c:v>1.6365280920534845E-4</c:v>
                </c:pt>
                <c:pt idx="112">
                  <c:v>1.4359038245692447E-4</c:v>
                </c:pt>
                <c:pt idx="113">
                  <c:v>1.2598743666083066E-4</c:v>
                </c:pt>
                <c:pt idx="114">
                  <c:v>1.1054246060754446E-4</c:v>
                </c:pt>
                <c:pt idx="115">
                  <c:v>9.6990905768381175E-5</c:v>
                </c:pt>
                <c:pt idx="116">
                  <c:v>8.5100654988757847E-5</c:v>
                </c:pt>
                <c:pt idx="117">
                  <c:v>7.4668046680686969E-5</c:v>
                </c:pt>
                <c:pt idx="118">
                  <c:v>6.5514386415072489E-5</c:v>
                </c:pt>
                <c:pt idx="119">
                  <c:v>5.7482886162784858E-5</c:v>
                </c:pt>
                <c:pt idx="120">
                  <c:v>5.0435978758453077E-5</c:v>
                </c:pt>
                <c:pt idx="121">
                  <c:v>4.4252961587896232E-5</c:v>
                </c:pt>
                <c:pt idx="122">
                  <c:v>3.8827929139208063E-5</c:v>
                </c:pt>
                <c:pt idx="123">
                  <c:v>3.4067959005295441E-5</c:v>
                </c:pt>
                <c:pt idx="124">
                  <c:v>2.9891520266902468E-5</c:v>
                </c:pt>
                <c:pt idx="125">
                  <c:v>2.6227076994185565E-5</c:v>
                </c:pt>
                <c:pt idx="126">
                  <c:v>2.301186294698345E-5</c:v>
                </c:pt>
                <c:pt idx="127">
                  <c:v>2.0190806486294601E-5</c:v>
                </c:pt>
                <c:pt idx="128">
                  <c:v>1.771558728236021E-5</c:v>
                </c:pt>
                <c:pt idx="129">
                  <c:v>1.5543808662222427E-5</c:v>
                </c:pt>
                <c:pt idx="130">
                  <c:v>1.3638271420352924E-5</c:v>
                </c:pt>
                <c:pt idx="131">
                  <c:v>1.1966336653852058E-5</c:v>
                </c:pt>
                <c:pt idx="132">
                  <c:v>1.049936670857206E-5</c:v>
                </c:pt>
                <c:pt idx="133">
                  <c:v>9.2122346604368026E-6</c:v>
                </c:pt>
                <c:pt idx="134">
                  <c:v>8.0828939301325792E-6</c:v>
                </c:pt>
                <c:pt idx="135">
                  <c:v>7.0920006593358198E-6</c:v>
                </c:pt>
                <c:pt idx="136">
                  <c:v>6.2225823803671655E-6</c:v>
                </c:pt>
                <c:pt idx="137">
                  <c:v>5.4597473040960146E-6</c:v>
                </c:pt>
                <c:pt idx="138">
                  <c:v>4.7904292466474054E-6</c:v>
                </c:pt>
                <c:pt idx="139">
                  <c:v>4.2031638259006249E-6</c:v>
                </c:pt>
                <c:pt idx="140">
                  <c:v>3.6878920943720412E-6</c:v>
                </c:pt>
                <c:pt idx="141">
                  <c:v>3.2357882450174468E-6</c:v>
                </c:pt>
                <c:pt idx="142">
                  <c:v>2.8391084388210472E-6</c:v>
                </c:pt>
                <c:pt idx="143">
                  <c:v>2.4910581648217291E-6</c:v>
                </c:pt>
                <c:pt idx="144">
                  <c:v>2.185675860659204E-6</c:v>
                </c:pt>
                <c:pt idx="145">
                  <c:v>1.9177308002401573E-6</c:v>
                </c:pt>
                <c:pt idx="146">
                  <c:v>1.6826334994982079E-6</c:v>
                </c:pt>
                <c:pt idx="147">
                  <c:v>1.4763571056370517E-6</c:v>
                </c:pt>
                <c:pt idx="148">
                  <c:v>1.2953684233762243E-6</c:v>
                </c:pt>
                <c:pt idx="149">
                  <c:v>1.1365673967858561E-6</c:v>
                </c:pt>
                <c:pt idx="150">
                  <c:v>9.972340101279389E-7</c:v>
                </c:pt>
                <c:pt idx="151">
                  <c:v>8.7498169819771981E-7</c:v>
                </c:pt>
                <c:pt idx="152">
                  <c:v>7.6771646815650108E-7</c:v>
                </c:pt>
                <c:pt idx="153">
                  <c:v>6.7360103267612312E-7</c:v>
                </c:pt>
                <c:pt idx="154">
                  <c:v>5.9102334005142591E-7</c:v>
                </c:pt>
                <c:pt idx="155">
                  <c:v>5.1856896225023445E-7</c:v>
                </c:pt>
                <c:pt idx="156">
                  <c:v>4.5499686795091116E-7</c:v>
                </c:pt>
                <c:pt idx="157">
                  <c:v>3.9921816559711636E-7</c:v>
                </c:pt>
                <c:pt idx="158">
                  <c:v>3.5027745237121357E-7</c:v>
                </c:pt>
                <c:pt idx="159">
                  <c:v>3.0733644962310812E-7</c:v>
                </c:pt>
                <c:pt idx="160">
                  <c:v>2.6965964445475057E-7</c:v>
                </c:pt>
                <c:pt idx="161">
                  <c:v>2.366016915228758E-7</c:v>
                </c:pt>
                <c:pt idx="162">
                  <c:v>2.0759635927236303E-7</c:v>
                </c:pt>
                <c:pt idx="163">
                  <c:v>1.8214683126630681E-7</c:v>
                </c:pt>
                <c:pt idx="164">
                  <c:v>1.598171964895981E-7</c:v>
                </c:pt>
                <c:pt idx="165">
                  <c:v>1.4022498286809031E-7</c:v>
                </c:pt>
                <c:pt idx="166">
                  <c:v>1.2303460611409244E-7</c:v>
                </c:pt>
                <c:pt idx="167">
                  <c:v>1.0795162168705513E-7</c:v>
                </c:pt>
                <c:pt idx="168">
                  <c:v>9.4717681414434741E-8</c:v>
                </c:pt>
                <c:pt idx="169">
                  <c:v>8.3106108387458835E-8</c:v>
                </c:pt>
                <c:pt idx="170">
                  <c:v>7.2918014336608368E-8</c:v>
                </c:pt>
                <c:pt idx="171">
                  <c:v>6.3978892983469228E-8</c:v>
                </c:pt>
                <c:pt idx="172">
                  <c:v>5.6135631018344588E-8</c:v>
                </c:pt>
                <c:pt idx="173">
                  <c:v>4.9253885506301833E-8</c:v>
                </c:pt>
                <c:pt idx="174">
                  <c:v>4.3215782800679914E-8</c:v>
                </c:pt>
                <c:pt idx="175">
                  <c:v>3.7917899550007874E-8</c:v>
                </c:pt>
                <c:pt idx="176">
                  <c:v>3.3269491216108829E-8</c:v>
                </c:pt>
                <c:pt idx="177">
                  <c:v>2.9190937760646942E-8</c:v>
                </c:pt>
                <c:pt idx="178">
                  <c:v>2.5612379877134341E-8</c:v>
                </c:pt>
                <c:pt idx="179">
                  <c:v>2.2472522409163525E-8</c:v>
                </c:pt>
                <c:pt idx="180">
                  <c:v>1.9717584459272072E-8</c:v>
                </c:pt>
                <c:pt idx="181">
                  <c:v>1.7300378205429892E-8</c:v>
                </c:pt>
                <c:pt idx="182">
                  <c:v>1.5179500646701589E-8</c:v>
                </c:pt>
                <c:pt idx="183">
                  <c:v>1.3318624433938403E-8</c:v>
                </c:pt>
                <c:pt idx="184">
                  <c:v>1.1685875638527401E-8</c:v>
                </c:pt>
                <c:pt idx="185">
                  <c:v>1.0253287801339902E-8</c:v>
                </c:pt>
                <c:pt idx="186">
                  <c:v>8.9963229105828151E-9</c:v>
                </c:pt>
                <c:pt idx="187">
                  <c:v>7.8934511036450969E-9</c:v>
                </c:pt>
                <c:pt idx="188">
                  <c:v>6.9257818938826365E-9</c:v>
                </c:pt>
                <c:pt idx="189">
                  <c:v>6.07674060582731E-9</c:v>
                </c:pt>
                <c:pt idx="190">
                  <c:v>5.3317844766562643E-9</c:v>
                </c:pt>
                <c:pt idx="191">
                  <c:v>4.6781535611791068E-9</c:v>
                </c:pt>
                <c:pt idx="192">
                  <c:v>4.104652173731079E-9</c:v>
                </c:pt>
                <c:pt idx="193">
                  <c:v>3.6014571234101965E-9</c:v>
                </c:pt>
                <c:pt idx="194">
                  <c:v>3.1599494580248504E-9</c:v>
                </c:pt>
                <c:pt idx="195">
                  <c:v>2.7725668347861789E-9</c:v>
                </c:pt>
                <c:pt idx="196">
                  <c:v>2.4326739890837199E-9</c:v>
                </c:pt>
                <c:pt idx="197">
                  <c:v>2.1344490826750039E-9</c:v>
                </c:pt>
                <c:pt idx="198">
                  <c:v>1.8727839846095287E-9</c:v>
                </c:pt>
                <c:pt idx="199">
                  <c:v>1.6431967768537187E-9</c:v>
                </c:pt>
                <c:pt idx="200">
                  <c:v>1.4417549859736833E-9</c:v>
                </c:pt>
                <c:pt idx="201">
                  <c:v>1.2650082259533441E-9</c:v>
                </c:pt>
                <c:pt idx="202">
                  <c:v>1.1099290984236876E-9</c:v>
                </c:pt>
                <c:pt idx="203">
                  <c:v>9.7386133801556534E-10</c:v>
                </c:pt>
                <c:pt idx="204">
                  <c:v>8.5447431464621075E-10</c:v>
                </c:pt>
                <c:pt idx="205">
                  <c:v>7.4972311343408309E-10</c:v>
                </c:pt>
                <c:pt idx="206">
                  <c:v>6.5781350847277648E-10</c:v>
                </c:pt>
                <c:pt idx="207">
                  <c:v>5.7717123051897062E-10</c:v>
                </c:pt>
                <c:pt idx="208">
                  <c:v>5.0641500219749458E-10</c:v>
                </c:pt>
                <c:pt idx="209">
                  <c:v>4.4433287885831168E-10</c:v>
                </c:pt>
                <c:pt idx="210">
                  <c:v>3.8986148984093395E-10</c:v>
                </c:pt>
                <c:pt idx="211">
                  <c:v>3.4206782458126325E-10</c:v>
                </c:pt>
                <c:pt idx="212">
                  <c:v>3.0013325158506653E-10</c:v>
                </c:pt>
                <c:pt idx="213">
                  <c:v>2.6333949653784236E-10</c:v>
                </c:pt>
                <c:pt idx="214">
                  <c:v>2.310563393778084E-10</c:v>
                </c:pt>
                <c:pt idx="215">
                  <c:v>2.0273081960191702E-10</c:v>
                </c:pt>
                <c:pt idx="216">
                  <c:v>1.7787776490850274E-10</c:v>
                </c:pt>
                <c:pt idx="217">
                  <c:v>1.5607148094687314E-10</c:v>
                </c:pt>
                <c:pt idx="218">
                  <c:v>1.3693845983211944E-10</c:v>
                </c:pt>
                <c:pt idx="219">
                  <c:v>1.201509825332934E-10</c:v>
                </c:pt>
                <c:pt idx="220">
                  <c:v>1.0542150555376478E-10</c:v>
                </c:pt>
                <c:pt idx="221">
                  <c:v>9.2497735756283927E-11</c:v>
                </c:pt>
                <c:pt idx="222">
                  <c:v>8.1158308972127768E-11</c:v>
                </c:pt>
                <c:pt idx="223">
                  <c:v>7.1208998375594109E-11</c:v>
                </c:pt>
                <c:pt idx="224">
                  <c:v>6.2479387679169168E-11</c:v>
                </c:pt>
                <c:pt idx="225">
                  <c:v>5.4819952166352137E-11</c:v>
                </c:pt>
                <c:pt idx="226">
                  <c:v>4.8099497564747884E-11</c:v>
                </c:pt>
                <c:pt idx="227">
                  <c:v>4.2202912891288979E-11</c:v>
                </c:pt>
                <c:pt idx="228">
                  <c:v>3.7029198779304565E-11</c:v>
                </c:pt>
                <c:pt idx="229">
                  <c:v>3.2489737515731278E-11</c:v>
                </c:pt>
                <c:pt idx="230">
                  <c:v>2.8506775156881779E-11</c:v>
                </c:pt>
                <c:pt idx="231">
                  <c:v>2.5012089723764005E-11</c:v>
                </c:pt>
                <c:pt idx="232">
                  <c:v>2.1945822665198755E-11</c:v>
                </c:pt>
                <c:pt idx="233">
                  <c:v>1.9255453573507882E-11</c:v>
                </c:pt>
                <c:pt idx="234">
                  <c:v>1.6894900591240129E-11</c:v>
                </c:pt>
                <c:pt idx="235">
                  <c:v>1.482373110029452E-11</c:v>
                </c:pt>
                <c:pt idx="236">
                  <c:v>1.3006469173767971E-11</c:v>
                </c:pt>
                <c:pt idx="237">
                  <c:v>1.1411987928249415E-11</c:v>
                </c:pt>
                <c:pt idx="238">
                  <c:v>1.0012976368495998E-11</c:v>
                </c:pt>
                <c:pt idx="239">
                  <c:v>8.7854715923660303E-12</c:v>
                </c:pt>
                <c:pt idx="240">
                  <c:v>7.7084483434034149E-12</c:v>
                </c:pt>
                <c:pt idx="241">
                  <c:v>6.7634588807447622E-12</c:v>
                </c:pt>
                <c:pt idx="242">
                  <c:v>5.9343169978782324E-12</c:v>
                </c:pt>
                <c:pt idx="243">
                  <c:v>5.2068207779846331E-12</c:v>
                </c:pt>
                <c:pt idx="244">
                  <c:v>4.5685093370889715E-12</c:v>
                </c:pt>
                <c:pt idx="245">
                  <c:v>4.0084493884092569E-12</c:v>
                </c:pt>
                <c:pt idx="246">
                  <c:v>3.51704797208027E-12</c:v>
                </c:pt>
                <c:pt idx="247">
                  <c:v>3.085888142602393E-12</c:v>
                </c:pt>
                <c:pt idx="248">
                  <c:v>2.7075847995958778E-12</c:v>
                </c:pt>
                <c:pt idx="249">
                  <c:v>2.3756581924645702E-12</c:v>
                </c:pt>
                <c:pt idx="250">
                  <c:v>2.0844229322998085E-12</c:v>
                </c:pt>
                <c:pt idx="251">
                  <c:v>1.8288906099702428E-12</c:v>
                </c:pt>
                <c:pt idx="252">
                  <c:v>1.6046843523962096E-12</c:v>
                </c:pt>
                <c:pt idx="253">
                  <c:v>1.4079638534899251E-12</c:v>
                </c:pt>
                <c:pt idx="254">
                  <c:v>1.2353595956575626E-12</c:v>
                </c:pt>
                <c:pt idx="255">
                  <c:v>1.0839151351793825E-12</c:v>
                </c:pt>
                <c:pt idx="256">
                  <c:v>9.5103646290582552E-13</c:v>
                </c:pt>
                <c:pt idx="257">
                  <c:v>8.3444757289669019E-13</c:v>
                </c:pt>
                <c:pt idx="258">
                  <c:v>7.3215147796297177E-13</c:v>
                </c:pt>
                <c:pt idx="259">
                  <c:v>6.4239600436794579E-13</c:v>
                </c:pt>
                <c:pt idx="260">
                  <c:v>5.6364377980368224E-13</c:v>
                </c:pt>
                <c:pt idx="261">
                  <c:v>4.9454590058349081E-13</c:v>
                </c:pt>
                <c:pt idx="262">
                  <c:v>4.3391882701007E-13</c:v>
                </c:pt>
                <c:pt idx="263">
                  <c:v>3.8072411117278706E-13</c:v>
                </c:pt>
                <c:pt idx="264">
                  <c:v>3.340506099426399E-13</c:v>
                </c:pt>
                <c:pt idx="265">
                  <c:v>2.9309887850104153E-13</c:v>
                </c:pt>
                <c:pt idx="266">
                  <c:v>2.5716747708773668E-13</c:v>
                </c:pt>
                <c:pt idx="267">
                  <c:v>2.2564095642364102E-13</c:v>
                </c:pt>
                <c:pt idx="268">
                  <c:v>1.9797931601749709E-13</c:v>
                </c:pt>
                <c:pt idx="269">
                  <c:v>1.7370875479345971E-13</c:v>
                </c:pt>
                <c:pt idx="270">
                  <c:v>1.524135556121808E-13</c:v>
                </c:pt>
                <c:pt idx="271">
                  <c:v>1.3372896467980414E-13</c:v>
                </c:pt>
                <c:pt idx="272">
                  <c:v>1.1733494388016934E-13</c:v>
                </c:pt>
                <c:pt idx="273">
                  <c:v>1.0295068901734842E-13</c:v>
                </c:pt>
                <c:pt idx="274">
                  <c:v>9.0329820074496022E-14</c:v>
                </c:pt>
                <c:pt idx="275">
                  <c:v>7.9256161105593524E-14</c:v>
                </c:pt>
                <c:pt idx="276">
                  <c:v>6.9540037476166122E-14</c:v>
                </c:pt>
                <c:pt idx="277">
                  <c:v>6.1015027030438641E-14</c:v>
                </c:pt>
                <c:pt idx="278">
                  <c:v>5.3535109537453259E-14</c:v>
                </c:pt>
                <c:pt idx="279">
                  <c:v>4.6972165590574105E-14</c:v>
                </c:pt>
                <c:pt idx="280">
                  <c:v>4.1213782120399393E-14</c:v>
                </c:pt>
                <c:pt idx="281">
                  <c:v>3.6161326932914614E-14</c:v>
                </c:pt>
                <c:pt idx="282">
                  <c:v>3.1728259292706326E-14</c:v>
                </c:pt>
                <c:pt idx="283">
                  <c:v>2.7838647614142362E-14</c:v>
                </c:pt>
                <c:pt idx="284">
                  <c:v>2.4425868870863286E-14</c:v>
                </c:pt>
                <c:pt idx="285">
                  <c:v>2.1431467446483159E-14</c:v>
                </c:pt>
                <c:pt idx="286">
                  <c:v>1.8804153880378791E-14</c:v>
                </c:pt>
                <c:pt idx="287">
                  <c:v>1.6498926358632939E-14</c:v>
                </c:pt>
                <c:pt idx="288">
                  <c:v>1.4476299902631368E-14</c:v>
                </c:pt>
                <c:pt idx="289">
                  <c:v>1.2701630052507785E-14</c:v>
                </c:pt>
                <c:pt idx="290">
                  <c:v>1.1144519461181069E-14</c:v>
                </c:pt>
                <c:pt idx="291">
                  <c:v>9.778297234859373E-15</c:v>
                </c:pt>
                <c:pt idx="292">
                  <c:v>8.5795621019199515E-15</c:v>
                </c:pt>
                <c:pt idx="293">
                  <c:v>7.5277815853548974E-15</c:v>
                </c:pt>
                <c:pt idx="294">
                  <c:v>6.6049403132273068E-15</c:v>
                </c:pt>
                <c:pt idx="295">
                  <c:v>5.7952314432404614E-15</c:v>
                </c:pt>
                <c:pt idx="296">
                  <c:v>5.0847859160006183E-15</c:v>
                </c:pt>
                <c:pt idx="297">
                  <c:v>4.4614348995009487E-15</c:v>
                </c:pt>
                <c:pt idx="298">
                  <c:v>3.9145013558684149E-15</c:v>
                </c:pt>
                <c:pt idx="299">
                  <c:v>3.4346171602346387E-15</c:v>
                </c:pt>
                <c:pt idx="300">
                  <c:v>3.0135626392601494E-15</c:v>
                </c:pt>
                <c:pt idx="301">
                  <c:v>2.6441257808553495E-15</c:v>
                </c:pt>
                <c:pt idx="302">
                  <c:v>2.3199787035786818E-15</c:v>
                </c:pt>
                <c:pt idx="303">
                  <c:v>2.0355692698240318E-15</c:v>
                </c:pt>
                <c:pt idx="304">
                  <c:v>1.7860259862990653E-15</c:v>
                </c:pt>
                <c:pt idx="305">
                  <c:v>1.5670745628869235E-15</c:v>
                </c:pt>
                <c:pt idx="306">
                  <c:v>1.374964700673755E-15</c:v>
                </c:pt>
                <c:pt idx="307">
                  <c:v>1.2064058551343384E-15</c:v>
                </c:pt>
                <c:pt idx="308">
                  <c:v>1.0585108741986157E-15</c:v>
                </c:pt>
                <c:pt idx="309">
                  <c:v>9.2874654580647024E-16</c:v>
                </c:pt>
                <c:pt idx="310">
                  <c:v>8.1489020790692401E-16</c:v>
                </c:pt>
                <c:pt idx="311">
                  <c:v>7.1499167769821462E-16</c:v>
                </c:pt>
                <c:pt idx="312">
                  <c:v>6.2733984801557206E-16</c:v>
                </c:pt>
                <c:pt idx="313">
                  <c:v>5.5043337871453344E-16</c:v>
                </c:pt>
                <c:pt idx="314">
                  <c:v>4.8295498103856524E-16</c:v>
                </c:pt>
                <c:pt idx="315">
                  <c:v>4.2374885450202149E-16</c:v>
                </c:pt>
                <c:pt idx="316">
                  <c:v>3.7180088981717486E-16</c:v>
                </c:pt>
                <c:pt idx="317">
                  <c:v>3.2622129877210927E-16</c:v>
                </c:pt>
                <c:pt idx="318">
                  <c:v>2.8622937353617337E-16</c:v>
                </c:pt>
                <c:pt idx="319">
                  <c:v>2.5114011434349285E-16</c:v>
                </c:pt>
                <c:pt idx="320">
                  <c:v>2.2035249650746193E-16</c:v>
                </c:pt>
                <c:pt idx="321">
                  <c:v>1.93339175798337E-16</c:v>
                </c:pt>
                <c:pt idx="322">
                  <c:v>1.69637455852988E-16</c:v>
                </c:pt>
                <c:pt idx="323">
                  <c:v>1.4884136290252031E-16</c:v>
                </c:pt>
                <c:pt idx="324">
                  <c:v>1.3059469207012123E-16</c:v>
                </c:pt>
                <c:pt idx="325">
                  <c:v>1.1458490613297787E-16</c:v>
                </c:pt>
                <c:pt idx="326">
                  <c:v>1.0053778224350431E-16</c:v>
                </c:pt>
                <c:pt idx="327">
                  <c:v>8.8212714916500022E-17</c:v>
                </c:pt>
                <c:pt idx="328">
                  <c:v>7.7398594829681176E-17</c:v>
                </c:pt>
                <c:pt idx="329">
                  <c:v>6.7910192847818479E-17</c:v>
                </c:pt>
                <c:pt idx="330">
                  <c:v>5.9584987334412735E-17</c:v>
                </c:pt>
                <c:pt idx="331">
                  <c:v>5.2280380407669198E-17</c:v>
                </c:pt>
                <c:pt idx="332">
                  <c:v>4.5871255459545025E-17</c:v>
                </c:pt>
                <c:pt idx="333">
                  <c:v>4.0247834101952533E-17</c:v>
                </c:pt>
                <c:pt idx="334">
                  <c:v>3.5313795832924428E-17</c:v>
                </c:pt>
                <c:pt idx="335">
                  <c:v>3.0984628215533522E-17</c:v>
                </c:pt>
                <c:pt idx="336">
                  <c:v>2.7186179310685901E-17</c:v>
                </c:pt>
                <c:pt idx="337">
                  <c:v>2.3853387569202427E-17</c:v>
                </c:pt>
                <c:pt idx="338">
                  <c:v>2.092916742820621E-17</c:v>
                </c:pt>
                <c:pt idx="339">
                  <c:v>1.8363431523807414E-17</c:v>
                </c:pt>
                <c:pt idx="340">
                  <c:v>1.6112232772102479E-17</c:v>
                </c:pt>
                <c:pt idx="341">
                  <c:v>1.4137011623663445E-17</c:v>
                </c:pt>
                <c:pt idx="342">
                  <c:v>1.2403935598152133E-17</c:v>
                </c:pt>
                <c:pt idx="343">
                  <c:v>1.0883319786309638E-17</c:v>
                </c:pt>
                <c:pt idx="344">
                  <c:v>9.5491183934173564E-18</c:v>
                </c:pt>
                <c:pt idx="345">
                  <c:v>8.3784786151562026E-18</c:v>
                </c:pt>
                <c:pt idx="346">
                  <c:v>7.351349204448142E-18</c:v>
                </c:pt>
                <c:pt idx="347">
                  <c:v>6.4501370246360418E-18</c:v>
                </c:pt>
                <c:pt idx="348">
                  <c:v>5.6594057062895131E-18</c:v>
                </c:pt>
                <c:pt idx="349">
                  <c:v>4.9656112460943538E-18</c:v>
                </c:pt>
                <c:pt idx="350">
                  <c:v>4.3568700190438953E-18</c:v>
                </c:pt>
                <c:pt idx="351">
                  <c:v>3.8227552303402489E-18</c:v>
                </c:pt>
                <c:pt idx="352">
                  <c:v>3.3541183205416393E-18</c:v>
                </c:pt>
                <c:pt idx="353">
                  <c:v>2.9429322649024896E-18</c:v>
                </c:pt>
                <c:pt idx="354">
                  <c:v>2.5821540828665522E-18</c:v>
                </c:pt>
                <c:pt idx="355">
                  <c:v>2.2656042027135565E-18</c:v>
                </c:pt>
                <c:pt idx="356">
                  <c:v>1.987860615062531E-18</c:v>
                </c:pt>
                <c:pt idx="357">
                  <c:v>1.7441660022451809E-18</c:v>
                </c:pt>
                <c:pt idx="358">
                  <c:v>1.5303462528192612E-18</c:v>
                </c:pt>
                <c:pt idx="359">
                  <c:v>1.3427389655017138E-18</c:v>
                </c:pt>
                <c:pt idx="360">
                  <c:v>1.1781307179046274E-18</c:v>
                </c:pt>
                <c:pt idx="361">
                  <c:v>1.0337020255845856E-18</c:v>
                </c:pt>
                <c:pt idx="362">
                  <c:v>9.0697904863913109E-19</c:v>
                </c:pt>
                <c:pt idx="363">
                  <c:v>7.9579121865910548E-19</c:v>
                </c:pt>
                <c:pt idx="364">
                  <c:v>6.9823406025216271E-19</c:v>
                </c:pt>
                <c:pt idx="365">
                  <c:v>6.1263657032770709E-19</c:v>
                </c:pt>
              </c:numCache>
            </c:numRef>
          </c:yVal>
          <c:smooth val="1"/>
          <c:extLst>
            <c:ext xmlns:c16="http://schemas.microsoft.com/office/drawing/2014/chart" uri="{C3380CC4-5D6E-409C-BE32-E72D297353CC}">
              <c16:uniqueId val="{00000001-A669-4CB9-84F4-49AE9BAF6CDE}"/>
            </c:ext>
          </c:extLst>
        </c:ser>
        <c:ser>
          <c:idx val="2"/>
          <c:order val="2"/>
          <c:tx>
            <c:strRef>
              <c:f>'Max rate concentrations'!$F$2</c:f>
              <c:strCache>
                <c:ptCount val="1"/>
                <c:pt idx="0">
                  <c:v>Broadleaf plants</c:v>
                </c:pt>
              </c:strCache>
            </c:strRef>
          </c:tx>
          <c:spPr>
            <a:ln w="19050" cap="rnd">
              <a:solidFill>
                <a:schemeClr val="accent6"/>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concentrations'!$F$3:$F$368</c:f>
              <c:numCache>
                <c:formatCode>0</c:formatCode>
                <c:ptCount val="366"/>
                <c:pt idx="0" formatCode="General">
                  <c:v>405</c:v>
                </c:pt>
                <c:pt idx="1">
                  <c:v>355.35048360877039</c:v>
                </c:pt>
                <c:pt idx="2">
                  <c:v>311.78757086663455</c:v>
                </c:pt>
                <c:pt idx="3">
                  <c:v>273.56509652015399</c:v>
                </c:pt>
                <c:pt idx="4">
                  <c:v>240.02836875781895</c:v>
                </c:pt>
                <c:pt idx="5">
                  <c:v>210.60295535287713</c:v>
                </c:pt>
                <c:pt idx="6">
                  <c:v>184.7848445285955</c:v>
                </c:pt>
                <c:pt idx="7">
                  <c:v>162.13181201680953</c:v>
                </c:pt>
                <c:pt idx="8">
                  <c:v>142.25584644083833</c:v>
                </c:pt>
                <c:pt idx="9">
                  <c:v>124.81650328130094</c:v>
                </c:pt>
                <c:pt idx="10">
                  <c:v>109.51507358855794</c:v>
                </c:pt>
                <c:pt idx="11">
                  <c:v>96.089467560849741</c:v>
                </c:pt>
                <c:pt idx="12">
                  <c:v>84.309725351746209</c:v>
                </c:pt>
                <c:pt idx="13">
                  <c:v>73.974078213989202</c:v>
                </c:pt>
                <c:pt idx="14">
                  <c:v>64.905492513219926</c:v>
                </c:pt>
                <c:pt idx="15">
                  <c:v>56.948637415896613</c:v>
                </c:pt>
                <c:pt idx="16">
                  <c:v>49.967224312591057</c:v>
                </c:pt>
                <c:pt idx="17">
                  <c:v>43.841672405104056</c:v>
                </c:pt>
                <c:pt idx="18">
                  <c:v>38.467060472521013</c:v>
                </c:pt>
                <c:pt idx="19">
                  <c:v>33.751329733131257</c:v>
                </c:pt>
                <c:pt idx="20">
                  <c:v>29.613707020017937</c:v>
                </c:pt>
                <c:pt idx="21">
                  <c:v>25.983321261757563</c:v>
                </c:pt>
                <c:pt idx="22">
                  <c:v>22.797989570685424</c:v>
                </c:pt>
                <c:pt idx="23">
                  <c:v>20.003152146298195</c:v>
                </c:pt>
                <c:pt idx="24">
                  <c:v>17.550937750337969</c:v>
                </c:pt>
                <c:pt idx="25">
                  <c:v>15.399343746592647</c:v>
                </c:pt>
                <c:pt idx="26">
                  <c:v>13.511516660763929</c:v>
                </c:pt>
                <c:pt idx="27">
                  <c:v>11.855120937507213</c:v>
                </c:pt>
                <c:pt idx="28">
                  <c:v>10.401785082428759</c:v>
                </c:pt>
                <c:pt idx="29">
                  <c:v>9.1266157023100085</c:v>
                </c:pt>
                <c:pt idx="30">
                  <c:v>8.0077711198203936</c:v>
                </c:pt>
                <c:pt idx="31">
                  <c:v>7.0260872593988193</c:v>
                </c:pt>
                <c:pt idx="32">
                  <c:v>6.1647493963081255</c:v>
                </c:pt>
                <c:pt idx="33">
                  <c:v>5.4090041464320198</c:v>
                </c:pt>
                <c:pt idx="34">
                  <c:v>4.7459067636455865</c:v>
                </c:pt>
                <c:pt idx="35">
                  <c:v>4.1640994163545519</c:v>
                </c:pt>
                <c:pt idx="36">
                  <c:v>3.6536166454236758</c:v>
                </c:pt>
                <c:pt idx="37">
                  <c:v>3.2057146712897695</c:v>
                </c:pt>
                <c:pt idx="38">
                  <c:v>2.8127216265544446</c:v>
                </c:pt>
                <c:pt idx="39">
                  <c:v>2.4679061487727636</c:v>
                </c:pt>
                <c:pt idx="40">
                  <c:v>2.1653620826357027</c:v>
                </c:pt>
                <c:pt idx="41">
                  <c:v>1.8999073166733118</c:v>
                </c:pt>
                <c:pt idx="42">
                  <c:v>1.6669950217079079</c:v>
                </c:pt>
                <c:pt idx="43">
                  <c:v>1.4626357707094266</c:v>
                </c:pt>
                <c:pt idx="44">
                  <c:v>1.2833292060866206</c:v>
                </c:pt>
                <c:pt idx="45">
                  <c:v>1.1260040839805927</c:v>
                </c:pt>
                <c:pt idx="46">
                  <c:v>0.98796566861223245</c:v>
                </c:pt>
                <c:pt idx="47">
                  <c:v>0.8668495756301704</c:v>
                </c:pt>
                <c:pt idx="48">
                  <c:v>0.76058127386725549</c:v>
                </c:pt>
                <c:pt idx="49">
                  <c:v>0.66734055183334295</c:v>
                </c:pt>
                <c:pt idx="50">
                  <c:v>0.58553034031042506</c:v>
                </c:pt>
                <c:pt idx="51">
                  <c:v>0.51374935702942581</c:v>
                </c:pt>
                <c:pt idx="52">
                  <c:v>0.45076810487432423</c:v>
                </c:pt>
                <c:pt idx="53">
                  <c:v>0.39550781250000011</c:v>
                </c:pt>
                <c:pt idx="54">
                  <c:v>0.34702195664918994</c:v>
                </c:pt>
                <c:pt idx="55">
                  <c:v>0.30448004967444792</c:v>
                </c:pt>
                <c:pt idx="56">
                  <c:v>0.26715341457046299</c:v>
                </c:pt>
                <c:pt idx="57">
                  <c:v>0.23440270386505765</c:v>
                </c:pt>
                <c:pt idx="58">
                  <c:v>0.20566694858679416</c:v>
                </c:pt>
                <c:pt idx="59">
                  <c:v>0.1804539497349566</c:v>
                </c:pt>
                <c:pt idx="60">
                  <c:v>0.15833184767266562</c:v>
                </c:pt>
                <c:pt idx="61">
                  <c:v>0.13892172503988123</c:v>
                </c:pt>
                <c:pt idx="62">
                  <c:v>0.1218911164856455</c:v>
                </c:pt>
                <c:pt idx="63">
                  <c:v>0.10694831405132617</c:v>
                </c:pt>
                <c:pt idx="64">
                  <c:v>9.3837370664892367E-2</c:v>
                </c:pt>
                <c:pt idx="65">
                  <c:v>8.2333716163814685E-2</c:v>
                </c:pt>
                <c:pt idx="66">
                  <c:v>7.2240310755848858E-2</c:v>
                </c:pt>
                <c:pt idx="67">
                  <c:v>6.3384270032441362E-2</c:v>
                </c:pt>
                <c:pt idx="68">
                  <c:v>5.5613903726461557E-2</c:v>
                </c:pt>
                <c:pt idx="69">
                  <c:v>4.8796117492764725E-2</c:v>
                </c:pt>
                <c:pt idx="70">
                  <c:v>4.2814133208109451E-2</c:v>
                </c:pt>
                <c:pt idx="71">
                  <c:v>3.7565488742696322E-2</c:v>
                </c:pt>
                <c:pt idx="72">
                  <c:v>3.2960282942511007E-2</c:v>
                </c:pt>
                <c:pt idx="73">
                  <c:v>2.8919635761736277E-2</c:v>
                </c:pt>
                <c:pt idx="74">
                  <c:v>2.5374337169685131E-2</c:v>
                </c:pt>
                <c:pt idx="75">
                  <c:v>2.2263661690122494E-2</c:v>
                </c:pt>
                <c:pt idx="76">
                  <c:v>1.9534328267869341E-2</c:v>
                </c:pt>
                <c:pt idx="77">
                  <c:v>1.7139587646814433E-2</c:v>
                </c:pt>
                <c:pt idx="78">
                  <c:v>1.5038421627531891E-2</c:v>
                </c:pt>
                <c:pt idx="79">
                  <c:v>1.3194840489027283E-2</c:v>
                </c:pt>
                <c:pt idx="80">
                  <c:v>1.1577266540534394E-2</c:v>
                </c:pt>
                <c:pt idx="81">
                  <c:v>1.0157993244559342E-2</c:v>
                </c:pt>
                <c:pt idx="82">
                  <c:v>8.9127106467871229E-3</c:v>
                </c:pt>
                <c:pt idx="83">
                  <c:v>7.8200889841996083E-3</c:v>
                </c:pt>
                <c:pt idx="84">
                  <c:v>6.8614133392566638E-3</c:v>
                </c:pt>
                <c:pt idx="85">
                  <c:v>6.0202630823321572E-3</c:v>
                </c:pt>
                <c:pt idx="86">
                  <c:v>5.2822306117500219E-3</c:v>
                </c:pt>
                <c:pt idx="87">
                  <c:v>4.6346745738726457E-3</c:v>
                </c:pt>
                <c:pt idx="88">
                  <c:v>4.0665033362837447E-3</c:v>
                </c:pt>
                <c:pt idx="89">
                  <c:v>3.5679850052965606E-3</c:v>
                </c:pt>
                <c:pt idx="90">
                  <c:v>3.1305807336814173E-3</c:v>
                </c:pt>
                <c:pt idx="91">
                  <c:v>2.7467984634320765E-3</c:v>
                </c:pt>
                <c:pt idx="92">
                  <c:v>2.4100645984109033E-3</c:v>
                </c:pt>
                <c:pt idx="93">
                  <c:v>2.1146114088239298E-3</c:v>
                </c:pt>
                <c:pt idx="94">
                  <c:v>1.8553782389387821E-3</c:v>
                </c:pt>
                <c:pt idx="95">
                  <c:v>1.6279248258866297E-3</c:v>
                </c:pt>
                <c:pt idx="96">
                  <c:v>1.4283552448334253E-3</c:v>
                </c:pt>
                <c:pt idx="97">
                  <c:v>1.2532511778189663E-3</c:v>
                </c:pt>
                <c:pt idx="98">
                  <c:v>1.0996133632622982E-3</c:v>
                </c:pt>
                <c:pt idx="99">
                  <c:v>9.6481022325413379E-4</c:v>
                </c:pt>
                <c:pt idx="100">
                  <c:v>8.4653278870133871E-4</c:v>
                </c:pt>
                <c:pt idx="101">
                  <c:v>7.4275515026099202E-4</c:v>
                </c:pt>
                <c:pt idx="102">
                  <c:v>6.516997576497493E-4</c:v>
                </c:pt>
                <c:pt idx="103">
                  <c:v>5.7180697295939969E-4</c:v>
                </c:pt>
                <c:pt idx="104">
                  <c:v>5.0170835647404886E-4</c:v>
                </c:pt>
                <c:pt idx="105">
                  <c:v>4.4020322741633247E-4</c:v>
                </c:pt>
                <c:pt idx="106">
                  <c:v>3.8623809814453158E-4</c:v>
                </c:pt>
                <c:pt idx="107">
                  <c:v>3.3888862954022477E-4</c:v>
                </c:pt>
                <c:pt idx="108">
                  <c:v>2.9734379851020326E-4</c:v>
                </c:pt>
                <c:pt idx="109">
                  <c:v>2.6089200641646792E-4</c:v>
                </c:pt>
                <c:pt idx="110">
                  <c:v>2.2890889049322053E-4</c:v>
                </c:pt>
                <c:pt idx="111">
                  <c:v>2.008466294792913E-4</c:v>
                </c:pt>
                <c:pt idx="112">
                  <c:v>1.7622456028804369E-4</c:v>
                </c:pt>
                <c:pt idx="113">
                  <c:v>1.5462094499283762E-4</c:v>
                </c:pt>
                <c:pt idx="114">
                  <c:v>1.356657471092591E-4</c:v>
                </c:pt>
                <c:pt idx="115">
                  <c:v>1.1903429344301325E-4</c:v>
                </c:pt>
                <c:pt idx="116">
                  <c:v>1.0444171294074827E-4</c:v>
                </c:pt>
                <c:pt idx="117">
                  <c:v>9.1638057289934006E-5</c:v>
                </c:pt>
                <c:pt idx="118">
                  <c:v>8.0404019691225333E-5</c:v>
                </c:pt>
                <c:pt idx="119">
                  <c:v>7.0547178472508691E-5</c:v>
                </c:pt>
                <c:pt idx="120">
                  <c:v>6.1898701203556044E-5</c:v>
                </c:pt>
                <c:pt idx="121">
                  <c:v>5.4310452857872641E-5</c:v>
                </c:pt>
                <c:pt idx="122">
                  <c:v>4.7652458489028072E-5</c:v>
                </c:pt>
                <c:pt idx="123">
                  <c:v>4.1810676961044399E-5</c:v>
                </c:pt>
                <c:pt idx="124">
                  <c:v>3.6685047600289391E-5</c:v>
                </c:pt>
                <c:pt idx="125">
                  <c:v>3.2187776311045919E-5</c:v>
                </c:pt>
                <c:pt idx="126">
                  <c:v>2.8241831798570597E-5</c:v>
                </c:pt>
                <c:pt idx="127">
                  <c:v>2.4779626142270646E-5</c:v>
                </c:pt>
                <c:pt idx="128">
                  <c:v>2.1741857119260255E-5</c:v>
                </c:pt>
                <c:pt idx="129">
                  <c:v>1.907649244909116E-5</c:v>
                </c:pt>
                <c:pt idx="130">
                  <c:v>1.6737878561342223E-5</c:v>
                </c:pt>
                <c:pt idx="131">
                  <c:v>1.4685958620636615E-5</c:v>
                </c:pt>
                <c:pt idx="132">
                  <c:v>1.288558641506571E-5</c:v>
                </c:pt>
                <c:pt idx="133">
                  <c:v>1.1305924355990623E-5</c:v>
                </c:pt>
                <c:pt idx="134">
                  <c:v>9.9199152778899859E-6</c:v>
                </c:pt>
                <c:pt idx="135">
                  <c:v>8.7038189910030531E-6</c:v>
                </c:pt>
                <c:pt idx="136">
                  <c:v>7.6368056486324317E-6</c:v>
                </c:pt>
                <c:pt idx="137">
                  <c:v>6.7005989641178374E-6</c:v>
                </c:pt>
                <c:pt idx="138">
                  <c:v>5.879163166339999E-6</c:v>
                </c:pt>
                <c:pt idx="139">
                  <c:v>5.1584283317871325E-6</c:v>
                </c:pt>
                <c:pt idx="140">
                  <c:v>4.5260493885475072E-6</c:v>
                </c:pt>
                <c:pt idx="141">
                  <c:v>3.9711946643395962E-6</c:v>
                </c:pt>
                <c:pt idx="142">
                  <c:v>3.4843603567349237E-6</c:v>
                </c:pt>
                <c:pt idx="143">
                  <c:v>3.0572077477357603E-6</c:v>
                </c:pt>
                <c:pt idx="144">
                  <c:v>2.6824203744453881E-6</c:v>
                </c:pt>
                <c:pt idx="145">
                  <c:v>2.3535787093856486E-6</c:v>
                </c:pt>
                <c:pt idx="146">
                  <c:v>2.0650502039296197E-6</c:v>
                </c:pt>
                <c:pt idx="147">
                  <c:v>1.8118928114636551E-6</c:v>
                </c:pt>
                <c:pt idx="148">
                  <c:v>1.5897703377799124E-6</c:v>
                </c:pt>
                <c:pt idx="149">
                  <c:v>1.3948781687826423E-6</c:v>
                </c:pt>
                <c:pt idx="150">
                  <c:v>1.2238781033388347E-6</c:v>
                </c:pt>
                <c:pt idx="151">
                  <c:v>1.0738411750608385E-6</c:v>
                </c:pt>
                <c:pt idx="152">
                  <c:v>9.4219748364661546E-7</c:v>
                </c:pt>
                <c:pt idx="153">
                  <c:v>8.2669217646615151E-7</c:v>
                </c:pt>
                <c:pt idx="154">
                  <c:v>7.2534682642675044E-7</c:v>
                </c:pt>
                <c:pt idx="155">
                  <c:v>6.3642554457983362E-7</c:v>
                </c:pt>
                <c:pt idx="156">
                  <c:v>5.5840524703066407E-7</c:v>
                </c:pt>
                <c:pt idx="157">
                  <c:v>4.8994956686918866E-7</c:v>
                </c:pt>
                <c:pt idx="158">
                  <c:v>4.2988596427376244E-7</c:v>
                </c:pt>
                <c:pt idx="159">
                  <c:v>3.7718564271926933E-7</c:v>
                </c:pt>
                <c:pt idx="160">
                  <c:v>3.3094592728537591E-7</c:v>
                </c:pt>
                <c:pt idx="161">
                  <c:v>2.9037480323262048E-7</c:v>
                </c:pt>
                <c:pt idx="162">
                  <c:v>2.5477735001608206E-7</c:v>
                </c:pt>
                <c:pt idx="163">
                  <c:v>2.2354383837228575E-7</c:v>
                </c:pt>
                <c:pt idx="164">
                  <c:v>1.9613928660087049E-7</c:v>
                </c:pt>
                <c:pt idx="165">
                  <c:v>1.7209429715629272E-7</c:v>
                </c:pt>
                <c:pt idx="166">
                  <c:v>1.5099701659456804E-7</c:v>
                </c:pt>
                <c:pt idx="167">
                  <c:v>1.3248608116138589E-7</c:v>
                </c:pt>
                <c:pt idx="168">
                  <c:v>1.1624442719044267E-7</c:v>
                </c:pt>
                <c:pt idx="169">
                  <c:v>1.0199386029369952E-7</c:v>
                </c:pt>
                <c:pt idx="170">
                  <c:v>8.9490290322201204E-8</c:v>
                </c:pt>
                <c:pt idx="171">
                  <c:v>7.8519550479712252E-8</c:v>
                </c:pt>
                <c:pt idx="172">
                  <c:v>6.8893728977059282E-8</c:v>
                </c:pt>
                <c:pt idx="173">
                  <c:v>6.0447950394097713E-8</c:v>
                </c:pt>
                <c:pt idx="174">
                  <c:v>5.3037551619016264E-8</c:v>
                </c:pt>
                <c:pt idx="175">
                  <c:v>4.653560399319149E-8</c:v>
                </c:pt>
                <c:pt idx="176">
                  <c:v>4.0830739219769934E-8</c:v>
                </c:pt>
                <c:pt idx="177">
                  <c:v>3.5825241797157615E-8</c:v>
                </c:pt>
                <c:pt idx="178">
                  <c:v>3.1433375303755787E-8</c:v>
                </c:pt>
                <c:pt idx="179">
                  <c:v>2.7579913865791605E-8</c:v>
                </c:pt>
                <c:pt idx="180">
                  <c:v>2.4198853654561184E-8</c:v>
                </c:pt>
                <c:pt idx="181">
                  <c:v>2.12322823430276E-8</c:v>
                </c:pt>
                <c:pt idx="182">
                  <c:v>1.862938715731559E-8</c:v>
                </c:pt>
                <c:pt idx="183">
                  <c:v>1.6345584532560768E-8</c:v>
                </c:pt>
                <c:pt idx="184">
                  <c:v>1.4341756465465448E-8</c:v>
                </c:pt>
                <c:pt idx="185">
                  <c:v>1.2583580483462609E-8</c:v>
                </c:pt>
                <c:pt idx="186">
                  <c:v>1.1040941753897094E-8</c:v>
                </c:pt>
                <c:pt idx="187">
                  <c:v>9.6874172635644394E-9</c:v>
                </c:pt>
                <c:pt idx="188">
                  <c:v>8.499823233401419E-9</c:v>
                </c:pt>
                <c:pt idx="189">
                  <c:v>7.4578180162426091E-9</c:v>
                </c:pt>
                <c:pt idx="190">
                  <c:v>6.5435536758963256E-9</c:v>
                </c:pt>
                <c:pt idx="191">
                  <c:v>5.7413702796289053E-9</c:v>
                </c:pt>
                <c:pt idx="192">
                  <c:v>5.0375276677608715E-9</c:v>
                </c:pt>
                <c:pt idx="193">
                  <c:v>4.419970106003425E-9</c:v>
                </c:pt>
                <c:pt idx="194">
                  <c:v>3.8781197893941369E-9</c:v>
                </c:pt>
                <c:pt idx="195">
                  <c:v>3.4026956608739489E-9</c:v>
                </c:pt>
                <c:pt idx="196">
                  <c:v>2.9855544411482034E-9</c:v>
                </c:pt>
                <c:pt idx="197">
                  <c:v>2.6195511469193243E-9</c:v>
                </c:pt>
                <c:pt idx="198">
                  <c:v>2.2984167083844224E-9</c:v>
                </c:pt>
                <c:pt idx="199">
                  <c:v>2.0166505897750193E-9</c:v>
                </c:pt>
                <c:pt idx="200">
                  <c:v>1.7694265736949757E-9</c:v>
                </c:pt>
                <c:pt idx="201">
                  <c:v>1.5525100954881957E-9</c:v>
                </c:pt>
                <c:pt idx="202">
                  <c:v>1.3621857117017991E-9</c:v>
                </c:pt>
                <c:pt idx="203">
                  <c:v>1.1951934602918308E-9</c:v>
                </c:pt>
                <c:pt idx="204">
                  <c:v>1.0486730225203501E-9</c:v>
                </c:pt>
                <c:pt idx="205">
                  <c:v>9.2011473012364791E-10</c:v>
                </c:pt>
                <c:pt idx="206">
                  <c:v>8.0731657858022609E-10</c:v>
                </c:pt>
                <c:pt idx="207">
                  <c:v>7.0834651018237348E-10</c:v>
                </c:pt>
                <c:pt idx="208">
                  <c:v>6.2150932087874377E-10</c:v>
                </c:pt>
                <c:pt idx="209">
                  <c:v>5.4531762405338288E-10</c:v>
                </c:pt>
                <c:pt idx="210">
                  <c:v>4.7846637389569205E-10</c:v>
                </c:pt>
                <c:pt idx="211">
                  <c:v>4.1981051198609613E-10</c:v>
                </c:pt>
                <c:pt idx="212">
                  <c:v>3.6834535421803645E-10</c:v>
                </c:pt>
                <c:pt idx="213">
                  <c:v>3.2318938211462491E-10</c:v>
                </c:pt>
                <c:pt idx="214">
                  <c:v>2.8356914378185594E-10</c:v>
                </c:pt>
                <c:pt idx="215">
                  <c:v>2.4880600587508014E-10</c:v>
                </c:pt>
                <c:pt idx="216">
                  <c:v>2.183045296604353E-10</c:v>
                </c:pt>
                <c:pt idx="217">
                  <c:v>1.9154227207116259E-10</c:v>
                </c:pt>
                <c:pt idx="218">
                  <c:v>1.6806083706669211E-10</c:v>
                </c:pt>
                <c:pt idx="219">
                  <c:v>1.4745802401813286E-10</c:v>
                </c:pt>
                <c:pt idx="220">
                  <c:v>1.2938093863416591E-10</c:v>
                </c:pt>
                <c:pt idx="221">
                  <c:v>1.1351994842816667E-10</c:v>
                </c:pt>
                <c:pt idx="222">
                  <c:v>9.9603379193065935E-11</c:v>
                </c:pt>
                <c:pt idx="223">
                  <c:v>8.7392861642774614E-11</c:v>
                </c:pt>
                <c:pt idx="224">
                  <c:v>7.6679248515343996E-11</c:v>
                </c:pt>
                <c:pt idx="225">
                  <c:v>6.7279032204159455E-11</c:v>
                </c:pt>
                <c:pt idx="226">
                  <c:v>5.9031201556736048E-11</c:v>
                </c:pt>
                <c:pt idx="227">
                  <c:v>5.1794484002945571E-11</c:v>
                </c:pt>
                <c:pt idx="228">
                  <c:v>4.5444925774601064E-11</c:v>
                </c:pt>
                <c:pt idx="229">
                  <c:v>3.9873768769306576E-11</c:v>
                </c:pt>
                <c:pt idx="230">
                  <c:v>3.4985587692536733E-11</c:v>
                </c:pt>
                <c:pt idx="231">
                  <c:v>3.0696655570074011E-11</c:v>
                </c:pt>
                <c:pt idx="232">
                  <c:v>2.6933509634562114E-11</c:v>
                </c:pt>
                <c:pt idx="233">
                  <c:v>2.3631693022032406E-11</c:v>
                </c:pt>
                <c:pt idx="234">
                  <c:v>2.073465072561289E-11</c:v>
                </c:pt>
                <c:pt idx="235">
                  <c:v>1.8192760895816006E-11</c:v>
                </c:pt>
                <c:pt idx="236">
                  <c:v>1.5962484895078875E-11</c:v>
                </c:pt>
                <c:pt idx="237">
                  <c:v>1.4005621548306102E-11</c:v>
                </c:pt>
                <c:pt idx="238">
                  <c:v>1.2288652815881454E-11</c:v>
                </c:pt>
                <c:pt idx="239">
                  <c:v>1.0782169681540131E-11</c:v>
                </c:pt>
                <c:pt idx="240">
                  <c:v>9.4603684214496478E-12</c:v>
                </c:pt>
                <c:pt idx="241">
                  <c:v>8.3006086263685733E-12</c:v>
                </c:pt>
                <c:pt idx="242">
                  <c:v>7.2830254064869229E-12</c:v>
                </c:pt>
                <c:pt idx="243">
                  <c:v>6.3901891366175055E-12</c:v>
                </c:pt>
                <c:pt idx="244">
                  <c:v>5.6068069137001028E-12</c:v>
                </c:pt>
                <c:pt idx="245">
                  <c:v>4.9194606130477261E-12</c:v>
                </c:pt>
                <c:pt idx="246">
                  <c:v>4.3163770566439698E-12</c:v>
                </c:pt>
                <c:pt idx="247">
                  <c:v>3.7872263568302118E-12</c:v>
                </c:pt>
                <c:pt idx="248">
                  <c:v>3.3229449813222158E-12</c:v>
                </c:pt>
                <c:pt idx="249">
                  <c:v>2.9155805089337924E-12</c:v>
                </c:pt>
                <c:pt idx="250">
                  <c:v>2.5581554169134026E-12</c:v>
                </c:pt>
                <c:pt idx="251">
                  <c:v>2.2445475667816625E-12</c:v>
                </c:pt>
                <c:pt idx="252">
                  <c:v>1.9693853415771673E-12</c:v>
                </c:pt>
                <c:pt idx="253">
                  <c:v>1.7279556383739997E-12</c:v>
                </c:pt>
                <c:pt idx="254">
                  <c:v>1.5161231401251912E-12</c:v>
                </c:pt>
                <c:pt idx="255">
                  <c:v>1.3302594840837882E-12</c:v>
                </c:pt>
                <c:pt idx="256">
                  <c:v>1.167181113566241E-12</c:v>
                </c:pt>
                <c:pt idx="257">
                  <c:v>1.0240947485550294E-12</c:v>
                </c:pt>
                <c:pt idx="258">
                  <c:v>8.9854954113637491E-13</c:v>
                </c:pt>
                <c:pt idx="259">
                  <c:v>7.8839509626975204E-13</c:v>
                </c:pt>
                <c:pt idx="260">
                  <c:v>6.917446388499741E-13</c:v>
                </c:pt>
                <c:pt idx="261">
                  <c:v>6.0694269617064821E-13</c:v>
                </c:pt>
                <c:pt idx="262">
                  <c:v>5.3253674223963172E-13</c:v>
                </c:pt>
                <c:pt idx="263">
                  <c:v>4.6725231825751177E-13</c:v>
                </c:pt>
                <c:pt idx="264">
                  <c:v>4.0997120311142201E-13</c:v>
                </c:pt>
                <c:pt idx="265">
                  <c:v>3.5971225997855122E-13</c:v>
                </c:pt>
                <c:pt idx="266">
                  <c:v>3.1561463097131339E-13</c:v>
                </c:pt>
                <c:pt idx="267">
                  <c:v>2.7692299197446869E-13</c:v>
                </c:pt>
                <c:pt idx="268">
                  <c:v>2.4297461511238295E-13</c:v>
                </c:pt>
                <c:pt idx="269">
                  <c:v>2.1318801724651885E-13</c:v>
                </c:pt>
                <c:pt idx="270">
                  <c:v>1.8705300006949472E-13</c:v>
                </c:pt>
                <c:pt idx="271">
                  <c:v>1.6412191119794151E-13</c:v>
                </c:pt>
                <c:pt idx="272">
                  <c:v>1.4400197658020787E-13</c:v>
                </c:pt>
                <c:pt idx="273">
                  <c:v>1.2634857288492765E-13</c:v>
                </c:pt>
                <c:pt idx="274">
                  <c:v>1.1085932463688152E-13</c:v>
                </c:pt>
                <c:pt idx="275">
                  <c:v>9.7268924993228452E-14</c:v>
                </c:pt>
                <c:pt idx="276">
                  <c:v>8.5344591448022084E-14</c:v>
                </c:pt>
                <c:pt idx="277">
                  <c:v>7.4882078628265621E-14</c:v>
                </c:pt>
                <c:pt idx="278">
                  <c:v>6.5702179886874467E-14</c:v>
                </c:pt>
                <c:pt idx="279">
                  <c:v>5.7647657770250046E-14</c:v>
                </c:pt>
                <c:pt idx="280">
                  <c:v>5.0580550784126534E-14</c:v>
                </c:pt>
                <c:pt idx="281">
                  <c:v>4.4379810326758852E-14</c:v>
                </c:pt>
                <c:pt idx="282">
                  <c:v>3.8939227313775953E-14</c:v>
                </c:pt>
                <c:pt idx="283">
                  <c:v>3.4165612980992903E-14</c:v>
                </c:pt>
                <c:pt idx="284">
                  <c:v>2.9977202705150401E-14</c:v>
                </c:pt>
                <c:pt idx="285">
                  <c:v>2.6302255502502065E-14</c:v>
                </c:pt>
                <c:pt idx="286">
                  <c:v>2.3077825216828522E-14</c:v>
                </c:pt>
                <c:pt idx="287">
                  <c:v>2.0248682349231338E-14</c:v>
                </c:pt>
                <c:pt idx="288">
                  <c:v>1.7766368062320318E-14</c:v>
                </c:pt>
                <c:pt idx="289">
                  <c:v>1.5588364155350464E-14</c:v>
                </c:pt>
                <c:pt idx="290">
                  <c:v>1.3677364793267677E-14</c:v>
                </c:pt>
                <c:pt idx="291">
                  <c:v>1.2000637515509232E-14</c:v>
                </c:pt>
                <c:pt idx="292">
                  <c:v>1.0529462579629034E-14</c:v>
                </c:pt>
                <c:pt idx="293">
                  <c:v>9.2386410365719217E-15</c:v>
                </c:pt>
                <c:pt idx="294">
                  <c:v>8.1060631116880598E-15</c:v>
                </c:pt>
                <c:pt idx="295">
                  <c:v>7.1123294985223857E-15</c:v>
                </c:pt>
                <c:pt idx="296">
                  <c:v>6.2404190787280327E-15</c:v>
                </c:pt>
                <c:pt idx="297">
                  <c:v>5.4753973766602566E-15</c:v>
                </c:pt>
                <c:pt idx="298">
                  <c:v>4.80416075492942E-15</c:v>
                </c:pt>
                <c:pt idx="299">
                  <c:v>4.2152119693788767E-15</c:v>
                </c:pt>
                <c:pt idx="300">
                  <c:v>3.6984632390920037E-15</c:v>
                </c:pt>
                <c:pt idx="301">
                  <c:v>3.2450634583224763E-15</c:v>
                </c:pt>
                <c:pt idx="302">
                  <c:v>2.8472465907556567E-15</c:v>
                </c:pt>
                <c:pt idx="303">
                  <c:v>2.4981986493294947E-15</c:v>
                </c:pt>
                <c:pt idx="304">
                  <c:v>2.1919409831852173E-15</c:v>
                </c:pt>
                <c:pt idx="305">
                  <c:v>1.9232278726339524E-15</c:v>
                </c:pt>
                <c:pt idx="306">
                  <c:v>1.6874566780996091E-15</c:v>
                </c:pt>
                <c:pt idx="307">
                  <c:v>1.480589004028507E-15</c:v>
                </c:pt>
                <c:pt idx="308">
                  <c:v>1.2990815274255744E-15</c:v>
                </c:pt>
                <c:pt idx="309">
                  <c:v>1.1398253062170322E-15</c:v>
                </c:pt>
                <c:pt idx="310">
                  <c:v>1.0000925278857709E-15</c:v>
                </c:pt>
                <c:pt idx="311">
                  <c:v>8.7748978626599112E-16</c:v>
                </c:pt>
                <c:pt idx="312">
                  <c:v>7.6991708620092972E-16</c:v>
                </c:pt>
                <c:pt idx="313">
                  <c:v>6.7553187387692783E-16</c:v>
                </c:pt>
                <c:pt idx="314">
                  <c:v>5.9271747672914865E-16</c:v>
                </c:pt>
                <c:pt idx="315">
                  <c:v>5.2005541234339035E-16</c:v>
                </c:pt>
                <c:pt idx="316">
                  <c:v>4.5630109204835134E-16</c:v>
                </c:pt>
                <c:pt idx="317">
                  <c:v>4.0036250303849805E-16</c:v>
                </c:pt>
                <c:pt idx="318">
                  <c:v>3.5128150388530393E-16</c:v>
                </c:pt>
                <c:pt idx="319">
                  <c:v>3.0821741305792324E-16</c:v>
                </c:pt>
                <c:pt idx="320">
                  <c:v>2.7043260935006708E-16</c:v>
                </c:pt>
                <c:pt idx="321">
                  <c:v>2.3727989757068647E-16</c:v>
                </c:pt>
                <c:pt idx="322">
                  <c:v>2.0819142309230357E-16</c:v>
                </c:pt>
                <c:pt idx="323">
                  <c:v>1.8266894538036594E-16</c:v>
                </c:pt>
                <c:pt idx="324">
                  <c:v>1.6027530390423976E-16</c:v>
                </c:pt>
                <c:pt idx="325">
                  <c:v>1.4062693025410925E-16</c:v>
                </c:pt>
                <c:pt idx="326">
                  <c:v>1.2338727820793715E-16</c:v>
                </c:pt>
                <c:pt idx="327">
                  <c:v>1.082610592157046E-16</c:v>
                </c:pt>
                <c:pt idx="328">
                  <c:v>9.498918456369966E-17</c:v>
                </c:pt>
                <c:pt idx="329">
                  <c:v>8.3344327585959066E-17</c:v>
                </c:pt>
                <c:pt idx="330">
                  <c:v>7.3127029910415646E-17</c:v>
                </c:pt>
                <c:pt idx="331">
                  <c:v>6.4162285045775847E-17</c:v>
                </c:pt>
                <c:pt idx="332">
                  <c:v>5.6296540791259811E-17</c:v>
                </c:pt>
                <c:pt idx="333">
                  <c:v>4.9395069125123568E-17</c:v>
                </c:pt>
                <c:pt idx="334">
                  <c:v>4.3339658522225441E-17</c:v>
                </c:pt>
                <c:pt idx="335">
                  <c:v>3.8026589173609329E-17</c:v>
                </c:pt>
                <c:pt idx="336">
                  <c:v>3.3364856426750882E-17</c:v>
                </c:pt>
                <c:pt idx="337">
                  <c:v>2.9274612016748439E-17</c:v>
                </c:pt>
                <c:pt idx="338">
                  <c:v>2.5685796389162173E-17</c:v>
                </c:pt>
                <c:pt idx="339">
                  <c:v>2.2536938688309103E-17</c:v>
                </c:pt>
                <c:pt idx="340">
                  <c:v>1.9774103856671229E-17</c:v>
                </c:pt>
                <c:pt idx="341">
                  <c:v>1.7349968810859686E-17</c:v>
                </c:pt>
                <c:pt idx="342">
                  <c:v>1.5223011870459438E-17</c:v>
                </c:pt>
                <c:pt idx="343">
                  <c:v>1.3356801555925466E-17</c:v>
                </c:pt>
                <c:pt idx="344">
                  <c:v>1.1719372573739485E-17</c:v>
                </c:pt>
                <c:pt idx="345">
                  <c:v>1.0282678300418979E-17</c:v>
                </c:pt>
                <c:pt idx="346">
                  <c:v>9.0221103872772673E-18</c:v>
                </c:pt>
                <c:pt idx="347">
                  <c:v>7.9160772575078709E-18</c:v>
                </c:pt>
                <c:pt idx="348">
                  <c:v>6.9456342759007672E-18</c:v>
                </c:pt>
                <c:pt idx="349">
                  <c:v>6.0941592565703444E-18</c:v>
                </c:pt>
                <c:pt idx="350">
                  <c:v>5.3470677506447819E-18</c:v>
                </c:pt>
                <c:pt idx="351">
                  <c:v>4.6915632372357618E-18</c:v>
                </c:pt>
                <c:pt idx="352">
                  <c:v>4.1164179388465593E-18</c:v>
                </c:pt>
                <c:pt idx="353">
                  <c:v>3.6117805069257849E-18</c:v>
                </c:pt>
                <c:pt idx="354">
                  <c:v>3.1690072835180433E-18</c:v>
                </c:pt>
                <c:pt idx="355">
                  <c:v>2.780514248784821E-18</c:v>
                </c:pt>
                <c:pt idx="356">
                  <c:v>2.4396471184858347E-18</c:v>
                </c:pt>
                <c:pt idx="357">
                  <c:v>2.1405673663918138E-18</c:v>
                </c:pt>
                <c:pt idx="358">
                  <c:v>1.8781522193690942E-18</c:v>
                </c:pt>
                <c:pt idx="359">
                  <c:v>1.6479069122066495E-18</c:v>
                </c:pt>
                <c:pt idx="360">
                  <c:v>1.4458876992465889E-18</c:v>
                </c:pt>
                <c:pt idx="361">
                  <c:v>1.2686343041265375E-18</c:v>
                </c:pt>
                <c:pt idx="362">
                  <c:v>1.1131106506025705E-18</c:v>
                </c:pt>
                <c:pt idx="363">
                  <c:v>9.7665285926344816E-19</c:v>
                </c:pt>
                <c:pt idx="364">
                  <c:v>8.5692361940038196E-19</c:v>
                </c:pt>
                <c:pt idx="365">
                  <c:v>7.5187215449309543E-19</c:v>
                </c:pt>
              </c:numCache>
            </c:numRef>
          </c:yVal>
          <c:smooth val="1"/>
          <c:extLst>
            <c:ext xmlns:c16="http://schemas.microsoft.com/office/drawing/2014/chart" uri="{C3380CC4-5D6E-409C-BE32-E72D297353CC}">
              <c16:uniqueId val="{00000002-A669-4CB9-84F4-49AE9BAF6CDE}"/>
            </c:ext>
          </c:extLst>
        </c:ser>
        <c:ser>
          <c:idx val="3"/>
          <c:order val="3"/>
          <c:tx>
            <c:strRef>
              <c:f>'Max rate concentrations'!$G$2</c:f>
              <c:strCache>
                <c:ptCount val="1"/>
                <c:pt idx="0">
                  <c:v>Seeds, fruit and pods</c:v>
                </c:pt>
              </c:strCache>
            </c:strRef>
          </c:tx>
          <c:spPr>
            <a:ln w="19050" cap="rnd">
              <a:solidFill>
                <a:srgbClr val="7030A0"/>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concentrations'!$G$3:$G$368</c:f>
              <c:numCache>
                <c:formatCode>0</c:formatCode>
                <c:ptCount val="366"/>
                <c:pt idx="0" formatCode="General">
                  <c:v>45</c:v>
                </c:pt>
                <c:pt idx="1">
                  <c:v>39.483387067641154</c:v>
                </c:pt>
                <c:pt idx="2">
                  <c:v>34.643063429626061</c:v>
                </c:pt>
                <c:pt idx="3">
                  <c:v>30.396121835572664</c:v>
                </c:pt>
                <c:pt idx="4">
                  <c:v>26.669818750868771</c:v>
                </c:pt>
                <c:pt idx="5">
                  <c:v>23.400328372541903</c:v>
                </c:pt>
                <c:pt idx="6">
                  <c:v>20.531649392066164</c:v>
                </c:pt>
                <c:pt idx="7">
                  <c:v>18.014645779645502</c:v>
                </c:pt>
                <c:pt idx="8">
                  <c:v>15.806205160093146</c:v>
                </c:pt>
                <c:pt idx="9">
                  <c:v>13.868500364588993</c:v>
                </c:pt>
                <c:pt idx="10">
                  <c:v>12.168341509839772</c:v>
                </c:pt>
                <c:pt idx="11">
                  <c:v>10.676607506761083</c:v>
                </c:pt>
                <c:pt idx="12">
                  <c:v>9.3677472613051354</c:v>
                </c:pt>
                <c:pt idx="13">
                  <c:v>8.2193420237765782</c:v>
                </c:pt>
                <c:pt idx="14">
                  <c:v>7.2117213903577699</c:v>
                </c:pt>
                <c:pt idx="15">
                  <c:v>6.3276263795440686</c:v>
                </c:pt>
                <c:pt idx="16">
                  <c:v>5.5519138125101177</c:v>
                </c:pt>
                <c:pt idx="17">
                  <c:v>4.8712969339004513</c:v>
                </c:pt>
                <c:pt idx="18">
                  <c:v>4.2741178302801135</c:v>
                </c:pt>
                <c:pt idx="19">
                  <c:v>3.7501477481256957</c:v>
                </c:pt>
                <c:pt idx="20">
                  <c:v>3.2904118911131044</c:v>
                </c:pt>
                <c:pt idx="21">
                  <c:v>2.8870356957508405</c:v>
                </c:pt>
                <c:pt idx="22">
                  <c:v>2.5331099522983807</c:v>
                </c:pt>
                <c:pt idx="23">
                  <c:v>2.2225724606997996</c:v>
                </c:pt>
                <c:pt idx="24">
                  <c:v>1.9501041944819968</c:v>
                </c:pt>
                <c:pt idx="25">
                  <c:v>1.7110381940658499</c:v>
                </c:pt>
                <c:pt idx="26">
                  <c:v>1.5012796289737702</c:v>
                </c:pt>
                <c:pt idx="27">
                  <c:v>1.3172356597230239</c:v>
                </c:pt>
                <c:pt idx="28">
                  <c:v>1.1557538980476403</c:v>
                </c:pt>
                <c:pt idx="29">
                  <c:v>1.0140684113677791</c:v>
                </c:pt>
                <c:pt idx="30">
                  <c:v>0.88975234664671077</c:v>
                </c:pt>
                <c:pt idx="31">
                  <c:v>0.78067636215542469</c:v>
                </c:pt>
                <c:pt idx="32">
                  <c:v>0.68497215514534759</c:v>
                </c:pt>
                <c:pt idx="33">
                  <c:v>0.60100046071466906</c:v>
                </c:pt>
                <c:pt idx="34">
                  <c:v>0.52732297373839865</c:v>
                </c:pt>
                <c:pt idx="35">
                  <c:v>0.46267771292828369</c:v>
                </c:pt>
                <c:pt idx="36">
                  <c:v>0.40595740504707523</c:v>
                </c:pt>
                <c:pt idx="37">
                  <c:v>0.35619051903219673</c:v>
                </c:pt>
                <c:pt idx="38">
                  <c:v>0.31252462517271618</c:v>
                </c:pt>
                <c:pt idx="39">
                  <c:v>0.27421179430808496</c:v>
                </c:pt>
                <c:pt idx="40">
                  <c:v>0.24059578695952263</c:v>
                </c:pt>
                <c:pt idx="41">
                  <c:v>0.2111008129637014</c:v>
                </c:pt>
                <c:pt idx="42">
                  <c:v>0.1852216690786565</c:v>
                </c:pt>
                <c:pt idx="43">
                  <c:v>0.1625150856343808</c:v>
                </c:pt>
                <c:pt idx="44">
                  <c:v>0.14259213400962459</c:v>
                </c:pt>
                <c:pt idx="45">
                  <c:v>0.12511156488673258</c:v>
                </c:pt>
                <c:pt idx="46">
                  <c:v>0.109773963179137</c:v>
                </c:pt>
                <c:pt idx="47">
                  <c:v>9.6316619514463436E-2</c:v>
                </c:pt>
                <c:pt idx="48">
                  <c:v>8.4509030429695098E-2</c:v>
                </c:pt>
                <c:pt idx="49">
                  <c:v>7.4148950203704808E-2</c:v>
                </c:pt>
                <c:pt idx="50">
                  <c:v>6.5058926701158371E-2</c:v>
                </c:pt>
                <c:pt idx="51">
                  <c:v>5.7083261892158454E-2</c:v>
                </c:pt>
                <c:pt idx="52">
                  <c:v>5.0085344986036055E-2</c:v>
                </c:pt>
                <c:pt idx="53">
                  <c:v>4.3945312500000042E-2</c:v>
                </c:pt>
                <c:pt idx="54">
                  <c:v>3.8557995183243356E-2</c:v>
                </c:pt>
                <c:pt idx="55">
                  <c:v>3.3831116630494242E-2</c:v>
                </c:pt>
                <c:pt idx="56">
                  <c:v>2.9683712730051468E-2</c:v>
                </c:pt>
                <c:pt idx="57">
                  <c:v>2.6044744873895319E-2</c:v>
                </c:pt>
                <c:pt idx="58">
                  <c:v>2.2851883176310483E-2</c:v>
                </c:pt>
                <c:pt idx="59">
                  <c:v>2.0050438859439641E-2</c:v>
                </c:pt>
                <c:pt idx="60">
                  <c:v>1.7592427519185085E-2</c:v>
                </c:pt>
                <c:pt idx="61">
                  <c:v>1.5435747226653484E-2</c:v>
                </c:pt>
                <c:pt idx="62">
                  <c:v>1.3543457387293956E-2</c:v>
                </c:pt>
                <c:pt idx="63">
                  <c:v>1.1883146005702916E-2</c:v>
                </c:pt>
                <c:pt idx="64">
                  <c:v>1.0426374518321383E-2</c:v>
                </c:pt>
                <c:pt idx="65">
                  <c:v>9.1481906848683067E-3</c:v>
                </c:pt>
                <c:pt idx="66">
                  <c:v>8.026701195094325E-3</c:v>
                </c:pt>
                <c:pt idx="67">
                  <c:v>7.0426966702712684E-3</c:v>
                </c:pt>
                <c:pt idx="68">
                  <c:v>6.1793226362735123E-3</c:v>
                </c:pt>
                <c:pt idx="69">
                  <c:v>5.4217908325294188E-3</c:v>
                </c:pt>
                <c:pt idx="70">
                  <c:v>4.7571259120121655E-3</c:v>
                </c:pt>
                <c:pt idx="71">
                  <c:v>4.1739431936329285E-3</c:v>
                </c:pt>
                <c:pt idx="72">
                  <c:v>3.6622536602790045E-3</c:v>
                </c:pt>
                <c:pt idx="73">
                  <c:v>3.2132928624151453E-3</c:v>
                </c:pt>
                <c:pt idx="74">
                  <c:v>2.8193707966316841E-3</c:v>
                </c:pt>
                <c:pt idx="75">
                  <c:v>2.4737401877913908E-3</c:v>
                </c:pt>
                <c:pt idx="76">
                  <c:v>2.1704809186521511E-3</c:v>
                </c:pt>
                <c:pt idx="77">
                  <c:v>1.9043986274238276E-3</c:v>
                </c:pt>
                <c:pt idx="78">
                  <c:v>1.6709357363924339E-3</c:v>
                </c:pt>
                <c:pt idx="79">
                  <c:v>1.4660933876696994E-3</c:v>
                </c:pt>
                <c:pt idx="80">
                  <c:v>1.2863629489482673E-3</c:v>
                </c:pt>
                <c:pt idx="81">
                  <c:v>1.1286659160621502E-3</c:v>
                </c:pt>
                <c:pt idx="82">
                  <c:v>9.9030118297634812E-4</c:v>
                </c:pt>
                <c:pt idx="83">
                  <c:v>8.6889877602217957E-4</c:v>
                </c:pt>
                <c:pt idx="84">
                  <c:v>7.623792599174079E-4</c:v>
                </c:pt>
                <c:pt idx="85">
                  <c:v>6.6891812025912927E-4</c:v>
                </c:pt>
                <c:pt idx="86">
                  <c:v>5.8691451241666965E-4</c:v>
                </c:pt>
                <c:pt idx="87">
                  <c:v>5.1496384154140558E-4</c:v>
                </c:pt>
                <c:pt idx="88">
                  <c:v>4.5183370403152764E-4</c:v>
                </c:pt>
                <c:pt idx="89">
                  <c:v>3.9644277836628489E-4</c:v>
                </c:pt>
                <c:pt idx="90">
                  <c:v>3.4784230374238005E-4</c:v>
                </c:pt>
                <c:pt idx="91">
                  <c:v>3.0519982927023102E-4</c:v>
                </c:pt>
                <c:pt idx="92">
                  <c:v>2.6778495537898954E-4</c:v>
                </c:pt>
                <c:pt idx="93">
                  <c:v>2.3495682320265912E-4</c:v>
                </c:pt>
                <c:pt idx="94">
                  <c:v>2.0615313765986491E-4</c:v>
                </c:pt>
                <c:pt idx="95">
                  <c:v>1.8088053620962574E-4</c:v>
                </c:pt>
                <c:pt idx="96">
                  <c:v>1.5870613831482522E-4</c:v>
                </c:pt>
                <c:pt idx="97">
                  <c:v>1.392501308687742E-4</c:v>
                </c:pt>
                <c:pt idx="98">
                  <c:v>1.2217926258469995E-4</c:v>
                </c:pt>
                <c:pt idx="99">
                  <c:v>1.0720113591712611E-4</c:v>
                </c:pt>
                <c:pt idx="100">
                  <c:v>9.4059198744593308E-5</c:v>
                </c:pt>
                <c:pt idx="101">
                  <c:v>8.2528350028999214E-5</c:v>
                </c:pt>
                <c:pt idx="102">
                  <c:v>7.2411084183305558E-5</c:v>
                </c:pt>
                <c:pt idx="103">
                  <c:v>6.3534108106600039E-5</c:v>
                </c:pt>
                <c:pt idx="104">
                  <c:v>5.5745372941561045E-5</c:v>
                </c:pt>
                <c:pt idx="105">
                  <c:v>4.8911469712925883E-5</c:v>
                </c:pt>
                <c:pt idx="106">
                  <c:v>4.2915344238281331E-5</c:v>
                </c:pt>
                <c:pt idx="107">
                  <c:v>3.7654292171136123E-5</c:v>
                </c:pt>
                <c:pt idx="108">
                  <c:v>3.303819983446706E-5</c:v>
                </c:pt>
                <c:pt idx="109">
                  <c:v>2.8988000712940911E-5</c:v>
                </c:pt>
                <c:pt idx="110">
                  <c:v>2.5434321165913418E-5</c:v>
                </c:pt>
                <c:pt idx="111">
                  <c:v>2.2316292164365723E-5</c:v>
                </c:pt>
                <c:pt idx="112">
                  <c:v>1.9580506698671538E-5</c:v>
                </c:pt>
                <c:pt idx="113">
                  <c:v>1.7180104999204198E-5</c:v>
                </c:pt>
                <c:pt idx="114">
                  <c:v>1.5073971901028805E-5</c:v>
                </c:pt>
                <c:pt idx="115">
                  <c:v>1.3226032604779264E-5</c:v>
                </c:pt>
                <c:pt idx="116">
                  <c:v>1.1604634771194264E-5</c:v>
                </c:pt>
                <c:pt idx="117">
                  <c:v>1.0182006365548234E-5</c:v>
                </c:pt>
                <c:pt idx="118">
                  <c:v>8.9337799656917125E-6</c:v>
                </c:pt>
                <c:pt idx="119">
                  <c:v>7.8385753858343069E-6</c:v>
                </c:pt>
                <c:pt idx="120">
                  <c:v>6.8776334670617906E-6</c:v>
                </c:pt>
                <c:pt idx="121">
                  <c:v>6.0344947619858561E-6</c:v>
                </c:pt>
                <c:pt idx="122">
                  <c:v>5.2947176098920148E-6</c:v>
                </c:pt>
                <c:pt idx="123">
                  <c:v>4.6456307734493838E-6</c:v>
                </c:pt>
                <c:pt idx="124">
                  <c:v>4.0761164000321593E-6</c:v>
                </c:pt>
                <c:pt idx="125">
                  <c:v>3.5764195901162175E-6</c:v>
                </c:pt>
                <c:pt idx="126">
                  <c:v>3.1379813109522921E-6</c:v>
                </c:pt>
                <c:pt idx="127">
                  <c:v>2.7532917935856307E-6</c:v>
                </c:pt>
                <c:pt idx="128">
                  <c:v>2.4157619021400314E-6</c:v>
                </c:pt>
                <c:pt idx="129">
                  <c:v>2.1196102721212426E-6</c:v>
                </c:pt>
                <c:pt idx="130">
                  <c:v>1.8597642845935827E-6</c:v>
                </c:pt>
                <c:pt idx="131">
                  <c:v>1.6317731800707371E-6</c:v>
                </c:pt>
                <c:pt idx="132">
                  <c:v>1.4317318238961917E-6</c:v>
                </c:pt>
                <c:pt idx="133">
                  <c:v>1.2562138173322929E-6</c:v>
                </c:pt>
                <c:pt idx="134">
                  <c:v>1.102212808654444E-6</c:v>
                </c:pt>
                <c:pt idx="135">
                  <c:v>9.6709099900034017E-7</c:v>
                </c:pt>
                <c:pt idx="136">
                  <c:v>8.4853396095915995E-7</c:v>
                </c:pt>
                <c:pt idx="137">
                  <c:v>7.4451099601309386E-7</c:v>
                </c:pt>
                <c:pt idx="138">
                  <c:v>6.5324035181555614E-7</c:v>
                </c:pt>
                <c:pt idx="139">
                  <c:v>5.7315870353190417E-7</c:v>
                </c:pt>
                <c:pt idx="140">
                  <c:v>5.0289437650527899E-7</c:v>
                </c:pt>
                <c:pt idx="141">
                  <c:v>4.4124385159328876E-7</c:v>
                </c:pt>
                <c:pt idx="142">
                  <c:v>3.8715115074832514E-7</c:v>
                </c:pt>
                <c:pt idx="143">
                  <c:v>3.3968974974841807E-7</c:v>
                </c:pt>
                <c:pt idx="144">
                  <c:v>2.9804670827171003E-7</c:v>
                </c:pt>
                <c:pt idx="145">
                  <c:v>2.6150874548729452E-7</c:v>
                </c:pt>
                <c:pt idx="146">
                  <c:v>2.2945002265884682E-7</c:v>
                </c:pt>
                <c:pt idx="147">
                  <c:v>2.0132142349596186E-7</c:v>
                </c:pt>
                <c:pt idx="148">
                  <c:v>1.7664114864221263E-7</c:v>
                </c:pt>
                <c:pt idx="149">
                  <c:v>1.549864631980715E-7</c:v>
                </c:pt>
                <c:pt idx="150">
                  <c:v>1.3598645592653731E-7</c:v>
                </c:pt>
                <c:pt idx="151">
                  <c:v>1.1931568611787105E-7</c:v>
                </c:pt>
                <c:pt idx="152">
                  <c:v>1.0468860929406847E-7</c:v>
                </c:pt>
                <c:pt idx="153">
                  <c:v>9.1854686274016902E-8</c:v>
                </c:pt>
                <c:pt idx="154">
                  <c:v>8.0594091825194545E-8</c:v>
                </c:pt>
                <c:pt idx="155">
                  <c:v>7.0713949397759334E-8</c:v>
                </c:pt>
                <c:pt idx="156">
                  <c:v>6.2045027447851601E-8</c:v>
                </c:pt>
                <c:pt idx="157">
                  <c:v>5.4438840763243208E-8</c:v>
                </c:pt>
                <c:pt idx="158">
                  <c:v>4.7765107141529182E-8</c:v>
                </c:pt>
                <c:pt idx="159">
                  <c:v>4.1909515857696613E-8</c:v>
                </c:pt>
                <c:pt idx="160">
                  <c:v>3.6771769698375121E-8</c:v>
                </c:pt>
                <c:pt idx="161">
                  <c:v>3.2263867025846738E-8</c:v>
                </c:pt>
                <c:pt idx="162">
                  <c:v>2.8308594446231358E-8</c:v>
                </c:pt>
                <c:pt idx="163">
                  <c:v>2.4838204263587322E-8</c:v>
                </c:pt>
                <c:pt idx="164">
                  <c:v>2.1793254066763402E-8</c:v>
                </c:pt>
                <c:pt idx="165">
                  <c:v>1.9121588572921424E-8</c:v>
                </c:pt>
                <c:pt idx="166">
                  <c:v>1.6777446288285349E-8</c:v>
                </c:pt>
                <c:pt idx="167">
                  <c:v>1.4720675684598442E-8</c:v>
                </c:pt>
                <c:pt idx="168">
                  <c:v>1.291604746560475E-8</c:v>
                </c:pt>
                <c:pt idx="169">
                  <c:v>1.1332651143744399E-8</c:v>
                </c:pt>
                <c:pt idx="170">
                  <c:v>9.9433655913556971E-9</c:v>
                </c:pt>
                <c:pt idx="171">
                  <c:v>8.724394497745813E-9</c:v>
                </c:pt>
                <c:pt idx="172">
                  <c:v>7.6548587752288153E-9</c:v>
                </c:pt>
                <c:pt idx="173">
                  <c:v>6.7164389326775299E-9</c:v>
                </c:pt>
                <c:pt idx="174">
                  <c:v>5.8930612910018126E-9</c:v>
                </c:pt>
                <c:pt idx="175">
                  <c:v>5.1706226659101707E-9</c:v>
                </c:pt>
                <c:pt idx="176">
                  <c:v>4.5367488021966638E-9</c:v>
                </c:pt>
                <c:pt idx="177">
                  <c:v>3.9805824219064056E-9</c:v>
                </c:pt>
                <c:pt idx="178">
                  <c:v>3.4925972559728686E-9</c:v>
                </c:pt>
                <c:pt idx="179">
                  <c:v>3.0644348739768477E-9</c:v>
                </c:pt>
                <c:pt idx="180">
                  <c:v>2.6887615171734675E-9</c:v>
                </c:pt>
                <c:pt idx="181">
                  <c:v>2.3591424825586244E-9</c:v>
                </c:pt>
                <c:pt idx="182">
                  <c:v>2.069931906368401E-9</c:v>
                </c:pt>
                <c:pt idx="183">
                  <c:v>1.8161760591734206E-9</c:v>
                </c:pt>
                <c:pt idx="184">
                  <c:v>1.5935284961628292E-9</c:v>
                </c:pt>
                <c:pt idx="185">
                  <c:v>1.3981756092736247E-9</c:v>
                </c:pt>
                <c:pt idx="186">
                  <c:v>1.2267713059885673E-9</c:v>
                </c:pt>
                <c:pt idx="187">
                  <c:v>1.0763796959516055E-9</c:v>
                </c:pt>
                <c:pt idx="188">
                  <c:v>9.444248037112697E-10</c:v>
                </c:pt>
                <c:pt idx="189">
                  <c:v>8.2864644624917964E-10</c:v>
                </c:pt>
                <c:pt idx="190">
                  <c:v>7.2706151954403697E-10</c:v>
                </c:pt>
                <c:pt idx="191">
                  <c:v>6.3793003106987904E-10</c:v>
                </c:pt>
                <c:pt idx="192">
                  <c:v>5.5972529641787517E-10</c:v>
                </c:pt>
                <c:pt idx="193">
                  <c:v>4.9110778955593652E-10</c:v>
                </c:pt>
                <c:pt idx="194">
                  <c:v>4.3090219882157106E-10</c:v>
                </c:pt>
                <c:pt idx="195">
                  <c:v>3.7807729565266127E-10</c:v>
                </c:pt>
                <c:pt idx="196">
                  <c:v>3.3172827123868952E-10</c:v>
                </c:pt>
                <c:pt idx="197">
                  <c:v>2.9106123854659183E-10</c:v>
                </c:pt>
                <c:pt idx="198">
                  <c:v>2.5537963426493606E-10</c:v>
                </c:pt>
                <c:pt idx="199">
                  <c:v>2.240722877527801E-10</c:v>
                </c:pt>
                <c:pt idx="200">
                  <c:v>1.9660295263277525E-10</c:v>
                </c:pt>
                <c:pt idx="201">
                  <c:v>1.7250112172091077E-10</c:v>
                </c:pt>
                <c:pt idx="202">
                  <c:v>1.513539679668667E-10</c:v>
                </c:pt>
                <c:pt idx="203">
                  <c:v>1.3279927336575909E-10</c:v>
                </c:pt>
                <c:pt idx="204">
                  <c:v>1.1651922472448344E-10</c:v>
                </c:pt>
                <c:pt idx="205">
                  <c:v>1.0223497001373874E-10</c:v>
                </c:pt>
                <c:pt idx="206">
                  <c:v>8.9701842064469631E-11</c:v>
                </c:pt>
                <c:pt idx="207">
                  <c:v>7.8705167798041548E-11</c:v>
                </c:pt>
                <c:pt idx="208">
                  <c:v>6.905659120874935E-11</c:v>
                </c:pt>
                <c:pt idx="209">
                  <c:v>6.0590847117042579E-11</c:v>
                </c:pt>
                <c:pt idx="210">
                  <c:v>5.3162930432854695E-11</c:v>
                </c:pt>
                <c:pt idx="211">
                  <c:v>4.6645612442899592E-11</c:v>
                </c:pt>
                <c:pt idx="212">
                  <c:v>4.0927261579781848E-11</c:v>
                </c:pt>
                <c:pt idx="213">
                  <c:v>3.5909931346069454E-11</c:v>
                </c:pt>
                <c:pt idx="214">
                  <c:v>3.1507682642428455E-11</c:v>
                </c:pt>
                <c:pt idx="215">
                  <c:v>2.7645111763897811E-11</c:v>
                </c:pt>
                <c:pt idx="216">
                  <c:v>2.4256058851159494E-11</c:v>
                </c:pt>
                <c:pt idx="217">
                  <c:v>2.1282474674573635E-11</c:v>
                </c:pt>
                <c:pt idx="218">
                  <c:v>1.8673426340743578E-11</c:v>
                </c:pt>
                <c:pt idx="219">
                  <c:v>1.6384224890903661E-11</c:v>
                </c:pt>
                <c:pt idx="220">
                  <c:v>1.4375659848240666E-11</c:v>
                </c:pt>
                <c:pt idx="221">
                  <c:v>1.2613327603129638E-11</c:v>
                </c:pt>
                <c:pt idx="222">
                  <c:v>1.1067042132562889E-11</c:v>
                </c:pt>
                <c:pt idx="223">
                  <c:v>9.7103179603082979E-12</c:v>
                </c:pt>
                <c:pt idx="224">
                  <c:v>8.5199165017048955E-12</c:v>
                </c:pt>
                <c:pt idx="225">
                  <c:v>7.47544802268439E-12</c:v>
                </c:pt>
                <c:pt idx="226">
                  <c:v>6.5590223951929003E-12</c:v>
                </c:pt>
                <c:pt idx="227">
                  <c:v>5.7549426669939576E-12</c:v>
                </c:pt>
                <c:pt idx="228">
                  <c:v>5.049436197177901E-12</c:v>
                </c:pt>
                <c:pt idx="229">
                  <c:v>4.4304187521451795E-12</c:v>
                </c:pt>
                <c:pt idx="230">
                  <c:v>3.8872875213929742E-12</c:v>
                </c:pt>
                <c:pt idx="231">
                  <c:v>3.4107395077860045E-12</c:v>
                </c:pt>
                <c:pt idx="232">
                  <c:v>2.9926121816180154E-12</c:v>
                </c:pt>
                <c:pt idx="233">
                  <c:v>2.6257436691147143E-12</c:v>
                </c:pt>
                <c:pt idx="234">
                  <c:v>2.3038500806236566E-12</c:v>
                </c:pt>
                <c:pt idx="235">
                  <c:v>2.0214178773128916E-12</c:v>
                </c:pt>
                <c:pt idx="236">
                  <c:v>1.7736094327865436E-12</c:v>
                </c:pt>
                <c:pt idx="237">
                  <c:v>1.5561801720340129E-12</c:v>
                </c:pt>
                <c:pt idx="238">
                  <c:v>1.3654058684312741E-12</c:v>
                </c:pt>
                <c:pt idx="239">
                  <c:v>1.1980188535044602E-12</c:v>
                </c:pt>
                <c:pt idx="240">
                  <c:v>1.0511520468277397E-12</c:v>
                </c:pt>
                <c:pt idx="241">
                  <c:v>9.2228984737428682E-13</c:v>
                </c:pt>
                <c:pt idx="242">
                  <c:v>8.0922504516521449E-13</c:v>
                </c:pt>
                <c:pt idx="243">
                  <c:v>7.1002101517972361E-13</c:v>
                </c:pt>
                <c:pt idx="244">
                  <c:v>6.2297854596667875E-13</c:v>
                </c:pt>
                <c:pt idx="245">
                  <c:v>5.4660673478308122E-13</c:v>
                </c:pt>
                <c:pt idx="246">
                  <c:v>4.7959745073821925E-13</c:v>
                </c:pt>
                <c:pt idx="247">
                  <c:v>4.2080292853669049E-13</c:v>
                </c:pt>
                <c:pt idx="248">
                  <c:v>3.6921610903580202E-13</c:v>
                </c:pt>
                <c:pt idx="249">
                  <c:v>3.2395338988153274E-13</c:v>
                </c:pt>
                <c:pt idx="250">
                  <c:v>2.8423949076815608E-13</c:v>
                </c:pt>
                <c:pt idx="251">
                  <c:v>2.4939417408685162E-13</c:v>
                </c:pt>
                <c:pt idx="252">
                  <c:v>2.1882059350857432E-13</c:v>
                </c:pt>
                <c:pt idx="253">
                  <c:v>1.9199507093044458E-13</c:v>
                </c:pt>
                <c:pt idx="254">
                  <c:v>1.6845812668057693E-13</c:v>
                </c:pt>
                <c:pt idx="255">
                  <c:v>1.4780660934264326E-13</c:v>
                </c:pt>
                <c:pt idx="256">
                  <c:v>1.2968679039624911E-13</c:v>
                </c:pt>
                <c:pt idx="257">
                  <c:v>1.1378830539500336E-13</c:v>
                </c:pt>
                <c:pt idx="258">
                  <c:v>9.9838837904041737E-14</c:v>
                </c:pt>
                <c:pt idx="259">
                  <c:v>8.7599455141083624E-14</c:v>
                </c:pt>
                <c:pt idx="260">
                  <c:v>7.6860515427774949E-14</c:v>
                </c:pt>
                <c:pt idx="261">
                  <c:v>6.7438077352294287E-14</c:v>
                </c:pt>
                <c:pt idx="262">
                  <c:v>5.9170749137736893E-14</c:v>
                </c:pt>
                <c:pt idx="263">
                  <c:v>5.1916924250834663E-14</c:v>
                </c:pt>
                <c:pt idx="264">
                  <c:v>4.5552355901269133E-14</c:v>
                </c:pt>
                <c:pt idx="265">
                  <c:v>3.9968028886505711E-14</c:v>
                </c:pt>
                <c:pt idx="266">
                  <c:v>3.5068292330145951E-14</c:v>
                </c:pt>
                <c:pt idx="267">
                  <c:v>3.0769221330496538E-14</c:v>
                </c:pt>
                <c:pt idx="268">
                  <c:v>2.6997179456931456E-14</c:v>
                </c:pt>
                <c:pt idx="269">
                  <c:v>2.3687557471835443E-14</c:v>
                </c:pt>
                <c:pt idx="270">
                  <c:v>2.0783666674388315E-14</c:v>
                </c:pt>
                <c:pt idx="271">
                  <c:v>1.8235767910882401E-14</c:v>
                </c:pt>
                <c:pt idx="272">
                  <c:v>1.6000219620023107E-14</c:v>
                </c:pt>
                <c:pt idx="273">
                  <c:v>1.4038730320547525E-14</c:v>
                </c:pt>
                <c:pt idx="274">
                  <c:v>1.2317702737431288E-14</c:v>
                </c:pt>
                <c:pt idx="275">
                  <c:v>1.0807658332580947E-14</c:v>
                </c:pt>
                <c:pt idx="276">
                  <c:v>9.4827323831135722E-15</c:v>
                </c:pt>
                <c:pt idx="277">
                  <c:v>8.320230958696187E-15</c:v>
                </c:pt>
                <c:pt idx="278">
                  <c:v>7.3002422096527246E-15</c:v>
                </c:pt>
                <c:pt idx="279">
                  <c:v>6.4052953078055667E-15</c:v>
                </c:pt>
                <c:pt idx="280">
                  <c:v>5.6200611982362867E-15</c:v>
                </c:pt>
                <c:pt idx="281">
                  <c:v>4.931090036306544E-15</c:v>
                </c:pt>
                <c:pt idx="282">
                  <c:v>4.3265808126417769E-15</c:v>
                </c:pt>
                <c:pt idx="283">
                  <c:v>3.7961792201103264E-15</c:v>
                </c:pt>
                <c:pt idx="284">
                  <c:v>3.33080030057227E-15</c:v>
                </c:pt>
                <c:pt idx="285">
                  <c:v>2.9224728336113431E-15</c:v>
                </c:pt>
                <c:pt idx="286">
                  <c:v>2.5642028018698382E-15</c:v>
                </c:pt>
                <c:pt idx="287">
                  <c:v>2.2498535943590397E-15</c:v>
                </c:pt>
                <c:pt idx="288">
                  <c:v>1.9740408958133707E-15</c:v>
                </c:pt>
                <c:pt idx="289">
                  <c:v>1.7320404617056089E-15</c:v>
                </c:pt>
                <c:pt idx="290">
                  <c:v>1.5197071992519657E-15</c:v>
                </c:pt>
                <c:pt idx="291">
                  <c:v>1.3334041683899161E-15</c:v>
                </c:pt>
                <c:pt idx="292">
                  <c:v>1.1699402866254495E-15</c:v>
                </c:pt>
                <c:pt idx="293">
                  <c:v>1.0265156707302146E-15</c:v>
                </c:pt>
                <c:pt idx="294">
                  <c:v>9.0067367907645197E-16</c:v>
                </c:pt>
                <c:pt idx="295">
                  <c:v>7.9025883316915477E-16</c:v>
                </c:pt>
                <c:pt idx="296">
                  <c:v>6.9337989763644883E-16</c:v>
                </c:pt>
                <c:pt idx="297">
                  <c:v>6.0837748629558472E-16</c:v>
                </c:pt>
                <c:pt idx="298">
                  <c:v>5.3379563943660275E-16</c:v>
                </c:pt>
                <c:pt idx="299">
                  <c:v>4.6835688548654224E-16</c:v>
                </c:pt>
                <c:pt idx="300">
                  <c:v>4.109403598991118E-16</c:v>
                </c:pt>
                <c:pt idx="301">
                  <c:v>3.6056260648027541E-16</c:v>
                </c:pt>
                <c:pt idx="302">
                  <c:v>3.1636073230618431E-16</c:v>
                </c:pt>
                <c:pt idx="303">
                  <c:v>2.7757762770327742E-16</c:v>
                </c:pt>
                <c:pt idx="304">
                  <c:v>2.4354899813169104E-16</c:v>
                </c:pt>
                <c:pt idx="305">
                  <c:v>2.1369198584821711E-16</c:v>
                </c:pt>
                <c:pt idx="306">
                  <c:v>1.8749518645551229E-16</c:v>
                </c:pt>
                <c:pt idx="307">
                  <c:v>1.6450988933650091E-16</c:v>
                </c:pt>
                <c:pt idx="308">
                  <c:v>1.4434239193617506E-16</c:v>
                </c:pt>
                <c:pt idx="309">
                  <c:v>1.2664725624633702E-16</c:v>
                </c:pt>
                <c:pt idx="310">
                  <c:v>1.1112139198730797E-16</c:v>
                </c:pt>
                <c:pt idx="311">
                  <c:v>9.7498865140665758E-17</c:v>
                </c:pt>
                <c:pt idx="312">
                  <c:v>8.5546342911214477E-17</c:v>
                </c:pt>
                <c:pt idx="313">
                  <c:v>7.5059097097436473E-17</c:v>
                </c:pt>
                <c:pt idx="314">
                  <c:v>6.5857497414349889E-17</c:v>
                </c:pt>
                <c:pt idx="315">
                  <c:v>5.7783934704821185E-17</c:v>
                </c:pt>
                <c:pt idx="316">
                  <c:v>5.0700121338705726E-17</c:v>
                </c:pt>
                <c:pt idx="317">
                  <c:v>4.4484722559833138E-17</c:v>
                </c:pt>
                <c:pt idx="318">
                  <c:v>3.9031278209478234E-17</c:v>
                </c:pt>
                <c:pt idx="319">
                  <c:v>3.4246379228658155E-17</c:v>
                </c:pt>
                <c:pt idx="320">
                  <c:v>3.0048067705563026E-17</c:v>
                </c:pt>
                <c:pt idx="321">
                  <c:v>2.6364433063409625E-17</c:v>
                </c:pt>
                <c:pt idx="322">
                  <c:v>2.31323803435893E-17</c:v>
                </c:pt>
                <c:pt idx="323">
                  <c:v>2.0296549486707339E-17</c:v>
                </c:pt>
                <c:pt idx="324">
                  <c:v>1.7808367100471094E-17</c:v>
                </c:pt>
                <c:pt idx="325">
                  <c:v>1.5625214472678815E-17</c:v>
                </c:pt>
                <c:pt idx="326">
                  <c:v>1.3709697578659693E-17</c:v>
                </c:pt>
                <c:pt idx="327">
                  <c:v>1.2029006579522742E-17</c:v>
                </c:pt>
                <c:pt idx="328">
                  <c:v>1.0554353840411081E-17</c:v>
                </c:pt>
                <c:pt idx="329">
                  <c:v>9.2604808428843478E-18</c:v>
                </c:pt>
                <c:pt idx="330">
                  <c:v>8.1252255456017451E-18</c:v>
                </c:pt>
                <c:pt idx="331">
                  <c:v>7.1291427828639888E-18</c:v>
                </c:pt>
                <c:pt idx="332">
                  <c:v>6.2551711990288737E-18</c:v>
                </c:pt>
                <c:pt idx="333">
                  <c:v>5.4883410139026237E-18</c:v>
                </c:pt>
                <c:pt idx="334">
                  <c:v>4.8155176135806094E-18</c:v>
                </c:pt>
                <c:pt idx="335">
                  <c:v>4.2251765748454852E-18</c:v>
                </c:pt>
                <c:pt idx="336">
                  <c:v>3.7072062696389906E-18</c:v>
                </c:pt>
                <c:pt idx="337">
                  <c:v>3.2527346685276074E-18</c:v>
                </c:pt>
                <c:pt idx="338">
                  <c:v>2.8539773765735773E-18</c:v>
                </c:pt>
                <c:pt idx="339">
                  <c:v>2.5041042987010139E-18</c:v>
                </c:pt>
                <c:pt idx="340">
                  <c:v>2.1971226507412497E-18</c:v>
                </c:pt>
                <c:pt idx="341">
                  <c:v>1.9277743123177448E-18</c:v>
                </c:pt>
                <c:pt idx="342">
                  <c:v>1.6914457633843837E-18</c:v>
                </c:pt>
                <c:pt idx="343">
                  <c:v>1.4840890617694978E-18</c:v>
                </c:pt>
                <c:pt idx="344">
                  <c:v>1.3021525081932775E-18</c:v>
                </c:pt>
                <c:pt idx="345">
                  <c:v>1.1425198111576655E-18</c:v>
                </c:pt>
                <c:pt idx="346">
                  <c:v>1.0024567096974752E-18</c:v>
                </c:pt>
                <c:pt idx="347">
                  <c:v>8.7956413972309763E-19</c:v>
                </c:pt>
                <c:pt idx="348">
                  <c:v>7.7173714176675271E-19</c:v>
                </c:pt>
                <c:pt idx="349">
                  <c:v>6.7712880628559456E-19</c:v>
                </c:pt>
                <c:pt idx="350">
                  <c:v>5.9411863896053195E-19</c:v>
                </c:pt>
                <c:pt idx="351">
                  <c:v>5.2128480413730738E-19</c:v>
                </c:pt>
                <c:pt idx="352">
                  <c:v>4.5737977098295141E-19</c:v>
                </c:pt>
                <c:pt idx="353">
                  <c:v>4.0130894521397637E-19</c:v>
                </c:pt>
                <c:pt idx="354">
                  <c:v>3.5211192039089396E-19</c:v>
                </c:pt>
                <c:pt idx="355">
                  <c:v>3.0894602764275812E-19</c:v>
                </c:pt>
                <c:pt idx="356">
                  <c:v>2.7107190205398186E-19</c:v>
                </c:pt>
                <c:pt idx="357">
                  <c:v>2.3784081848797953E-19</c:v>
                </c:pt>
                <c:pt idx="358">
                  <c:v>2.0868357992989952E-19</c:v>
                </c:pt>
                <c:pt idx="359">
                  <c:v>1.8310076802296122E-19</c:v>
                </c:pt>
                <c:pt idx="360">
                  <c:v>1.6065418880517667E-19</c:v>
                </c:pt>
                <c:pt idx="361">
                  <c:v>1.4095936712517096E-19</c:v>
                </c:pt>
                <c:pt idx="362">
                  <c:v>1.236789611780635E-19</c:v>
                </c:pt>
                <c:pt idx="363">
                  <c:v>1.0851698436260544E-19</c:v>
                </c:pt>
                <c:pt idx="364">
                  <c:v>9.5213735488931405E-20</c:v>
                </c:pt>
                <c:pt idx="365">
                  <c:v>8.3541350499232887E-20</c:v>
                </c:pt>
              </c:numCache>
            </c:numRef>
          </c:yVal>
          <c:smooth val="1"/>
          <c:extLst>
            <c:ext xmlns:c16="http://schemas.microsoft.com/office/drawing/2014/chart" uri="{C3380CC4-5D6E-409C-BE32-E72D297353CC}">
              <c16:uniqueId val="{00000003-A669-4CB9-84F4-49AE9BAF6CDE}"/>
            </c:ext>
          </c:extLst>
        </c:ser>
        <c:ser>
          <c:idx val="4"/>
          <c:order val="4"/>
          <c:tx>
            <c:v>short grass (mean)</c:v>
          </c:tx>
          <c:spPr>
            <a:ln w="19050" cap="rnd">
              <a:solidFill>
                <a:schemeClr val="accent5"/>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concentrations'!$W$3:$W$368</c:f>
              <c:numCache>
                <c:formatCode>0</c:formatCode>
                <c:ptCount val="366"/>
                <c:pt idx="0" formatCode="General">
                  <c:v>255</c:v>
                </c:pt>
                <c:pt idx="1">
                  <c:v>223.73919338329989</c:v>
                </c:pt>
                <c:pt idx="2">
                  <c:v>196.31069276788105</c:v>
                </c:pt>
                <c:pt idx="3">
                  <c:v>172.24469040157848</c:v>
                </c:pt>
                <c:pt idx="4">
                  <c:v>151.12897292158974</c:v>
                </c:pt>
                <c:pt idx="5">
                  <c:v>132.60186077773747</c:v>
                </c:pt>
                <c:pt idx="6">
                  <c:v>116.34601322170829</c:v>
                </c:pt>
                <c:pt idx="7">
                  <c:v>102.08299275132454</c:v>
                </c:pt>
                <c:pt idx="8">
                  <c:v>89.568495907194517</c:v>
                </c:pt>
                <c:pt idx="9">
                  <c:v>78.588168732670979</c:v>
                </c:pt>
                <c:pt idx="10">
                  <c:v>68.953935222425386</c:v>
                </c:pt>
                <c:pt idx="11">
                  <c:v>60.500775871646148</c:v>
                </c:pt>
                <c:pt idx="12">
                  <c:v>53.083901147395771</c:v>
                </c:pt>
                <c:pt idx="13">
                  <c:v>46.576271468067283</c:v>
                </c:pt>
                <c:pt idx="14">
                  <c:v>40.866421212027369</c:v>
                </c:pt>
                <c:pt idx="15">
                  <c:v>35.856549484083061</c:v>
                </c:pt>
                <c:pt idx="16">
                  <c:v>31.46084493755734</c:v>
                </c:pt>
                <c:pt idx="17">
                  <c:v>27.604015958769228</c:v>
                </c:pt>
                <c:pt idx="18">
                  <c:v>24.220001038253979</c:v>
                </c:pt>
                <c:pt idx="19">
                  <c:v>21.250837239378946</c:v>
                </c:pt>
                <c:pt idx="20">
                  <c:v>18.64566738297426</c:v>
                </c:pt>
                <c:pt idx="21">
                  <c:v>16.359868942588097</c:v>
                </c:pt>
                <c:pt idx="22">
                  <c:v>14.354289729690825</c:v>
                </c:pt>
                <c:pt idx="23">
                  <c:v>12.594577277298866</c:v>
                </c:pt>
                <c:pt idx="24">
                  <c:v>11.050590435397982</c:v>
                </c:pt>
                <c:pt idx="25">
                  <c:v>9.6958830997064833</c:v>
                </c:pt>
                <c:pt idx="26">
                  <c:v>8.5072512308513648</c:v>
                </c:pt>
                <c:pt idx="27">
                  <c:v>7.4643354050971356</c:v>
                </c:pt>
                <c:pt idx="28">
                  <c:v>6.549272088936628</c:v>
                </c:pt>
                <c:pt idx="29">
                  <c:v>5.7463876644174139</c:v>
                </c:pt>
                <c:pt idx="30">
                  <c:v>5.0419299643313602</c:v>
                </c:pt>
                <c:pt idx="31">
                  <c:v>4.4238327188807389</c:v>
                </c:pt>
                <c:pt idx="32">
                  <c:v>3.8815088791569687</c:v>
                </c:pt>
                <c:pt idx="33">
                  <c:v>3.4056692773831241</c:v>
                </c:pt>
                <c:pt idx="34">
                  <c:v>2.9881635178509254</c:v>
                </c:pt>
                <c:pt idx="35">
                  <c:v>2.621840373260274</c:v>
                </c:pt>
                <c:pt idx="36">
                  <c:v>2.3004252952667592</c:v>
                </c:pt>
                <c:pt idx="37">
                  <c:v>2.0184129411824476</c:v>
                </c:pt>
                <c:pt idx="38">
                  <c:v>1.7709728759787244</c:v>
                </c:pt>
                <c:pt idx="39">
                  <c:v>1.5538668344124809</c:v>
                </c:pt>
                <c:pt idx="40">
                  <c:v>1.3633761261039612</c:v>
                </c:pt>
                <c:pt idx="41">
                  <c:v>1.1962379401276408</c:v>
                </c:pt>
                <c:pt idx="42">
                  <c:v>1.0495894581123866</c:v>
                </c:pt>
                <c:pt idx="43">
                  <c:v>0.92091881859482427</c:v>
                </c:pt>
                <c:pt idx="44">
                  <c:v>0.80802209272120573</c:v>
                </c:pt>
                <c:pt idx="45">
                  <c:v>0.70896553435815102</c:v>
                </c:pt>
                <c:pt idx="46">
                  <c:v>0.62205245801510933</c:v>
                </c:pt>
                <c:pt idx="47">
                  <c:v>0.54579417724862578</c:v>
                </c:pt>
                <c:pt idx="48">
                  <c:v>0.47888450576827191</c:v>
                </c:pt>
                <c:pt idx="49">
                  <c:v>0.42017738448766029</c:v>
                </c:pt>
                <c:pt idx="50">
                  <c:v>0.3686672513065638</c:v>
                </c:pt>
                <c:pt idx="51">
                  <c:v>0.32347181738889763</c:v>
                </c:pt>
                <c:pt idx="52">
                  <c:v>0.28381695492087072</c:v>
                </c:pt>
                <c:pt idx="53">
                  <c:v>0.2490234375</c:v>
                </c:pt>
                <c:pt idx="54">
                  <c:v>0.2184953060383788</c:v>
                </c:pt>
                <c:pt idx="55">
                  <c:v>0.19170966090613384</c:v>
                </c:pt>
                <c:pt idx="56">
                  <c:v>0.16820770547029149</c:v>
                </c:pt>
                <c:pt idx="57">
                  <c:v>0.14758688761873998</c:v>
                </c:pt>
                <c:pt idx="58">
                  <c:v>0.12949400466575925</c:v>
                </c:pt>
                <c:pt idx="59">
                  <c:v>0.1136191535368245</c:v>
                </c:pt>
                <c:pt idx="60">
                  <c:v>9.9690422608715371E-2</c:v>
                </c:pt>
                <c:pt idx="61">
                  <c:v>8.7469234284369646E-2</c:v>
                </c:pt>
                <c:pt idx="62">
                  <c:v>7.6746258527999003E-2</c:v>
                </c:pt>
                <c:pt idx="63">
                  <c:v>6.7337827365649791E-2</c:v>
                </c:pt>
                <c:pt idx="64">
                  <c:v>5.9082788937154442E-2</c:v>
                </c:pt>
                <c:pt idx="65">
                  <c:v>5.1839747214253683E-2</c:v>
                </c:pt>
                <c:pt idx="66">
                  <c:v>4.5484640105534456E-2</c:v>
                </c:pt>
                <c:pt idx="67">
                  <c:v>3.9908614464870477E-2</c:v>
                </c:pt>
                <c:pt idx="68">
                  <c:v>3.5016161605549864E-2</c:v>
                </c:pt>
                <c:pt idx="69">
                  <c:v>3.072348138433334E-2</c:v>
                </c:pt>
                <c:pt idx="70">
                  <c:v>2.6957046834735574E-2</c:v>
                </c:pt>
                <c:pt idx="71">
                  <c:v>2.3652344763919902E-2</c:v>
                </c:pt>
                <c:pt idx="72">
                  <c:v>2.0752770741581002E-2</c:v>
                </c:pt>
                <c:pt idx="73">
                  <c:v>1.8208659553685801E-2</c:v>
                </c:pt>
                <c:pt idx="74">
                  <c:v>1.5976434514246188E-2</c:v>
                </c:pt>
                <c:pt idx="75">
                  <c:v>1.4017861064151196E-2</c:v>
                </c:pt>
                <c:pt idx="76">
                  <c:v>1.2299391872362174E-2</c:v>
                </c:pt>
                <c:pt idx="77">
                  <c:v>1.0791592222068342E-2</c:v>
                </c:pt>
                <c:pt idx="78">
                  <c:v>9.4686358395571126E-3</c:v>
                </c:pt>
                <c:pt idx="79">
                  <c:v>8.3078625301282859E-3</c:v>
                </c:pt>
                <c:pt idx="80">
                  <c:v>7.2893900440401714E-3</c:v>
                </c:pt>
                <c:pt idx="81">
                  <c:v>6.3957735243521758E-3</c:v>
                </c:pt>
                <c:pt idx="82">
                  <c:v>5.6117067035326307E-3</c:v>
                </c:pt>
                <c:pt idx="83">
                  <c:v>4.9237597307923439E-3</c:v>
                </c:pt>
                <c:pt idx="84">
                  <c:v>4.3201491395319716E-3</c:v>
                </c:pt>
                <c:pt idx="85">
                  <c:v>3.7905360148017273E-3</c:v>
                </c:pt>
                <c:pt idx="86">
                  <c:v>3.3258489036944571E-3</c:v>
                </c:pt>
                <c:pt idx="87">
                  <c:v>2.9181284354012943E-3</c:v>
                </c:pt>
                <c:pt idx="88">
                  <c:v>2.5603909895119863E-3</c:v>
                </c:pt>
                <c:pt idx="89">
                  <c:v>2.2465090774089445E-3</c:v>
                </c:pt>
                <c:pt idx="90">
                  <c:v>1.971106387873484E-3</c:v>
                </c:pt>
                <c:pt idx="91">
                  <c:v>1.7294656991979731E-3</c:v>
                </c:pt>
                <c:pt idx="92">
                  <c:v>1.5174480804809383E-3</c:v>
                </c:pt>
                <c:pt idx="93">
                  <c:v>1.3314219981483996E-3</c:v>
                </c:pt>
                <c:pt idx="94">
                  <c:v>1.1682011134058993E-3</c:v>
                </c:pt>
                <c:pt idx="95">
                  <c:v>1.0249897051878775E-3</c:v>
                </c:pt>
                <c:pt idx="96">
                  <c:v>8.9933478378400808E-4</c:v>
                </c:pt>
                <c:pt idx="97">
                  <c:v>7.8908407492305247E-4</c:v>
                </c:pt>
                <c:pt idx="98">
                  <c:v>6.9234915464663185E-4</c:v>
                </c:pt>
                <c:pt idx="99">
                  <c:v>6.0747310353038021E-4</c:v>
                </c:pt>
                <c:pt idx="100">
                  <c:v>5.3300212621936111E-4</c:v>
                </c:pt>
                <c:pt idx="101">
                  <c:v>4.6766065016432803E-4</c:v>
                </c:pt>
                <c:pt idx="102">
                  <c:v>4.1032947703873075E-4</c:v>
                </c:pt>
                <c:pt idx="103">
                  <c:v>3.6002661260406621E-4</c:v>
                </c:pt>
                <c:pt idx="104">
                  <c:v>3.1589044666884534E-4</c:v>
                </c:pt>
                <c:pt idx="105">
                  <c:v>2.7716499503991282E-4</c:v>
                </c:pt>
                <c:pt idx="106">
                  <c:v>2.4318695068359375E-4</c:v>
                </c:pt>
                <c:pt idx="107">
                  <c:v>2.133743223031043E-4</c:v>
                </c:pt>
                <c:pt idx="108">
                  <c:v>1.8721646572864633E-4</c:v>
                </c:pt>
                <c:pt idx="109">
                  <c:v>1.6426533737333153E-4</c:v>
                </c:pt>
                <c:pt idx="110">
                  <c:v>1.4412781994017576E-4</c:v>
                </c:pt>
                <c:pt idx="111">
                  <c:v>1.2645898893140552E-4</c:v>
                </c:pt>
                <c:pt idx="112">
                  <c:v>1.1095620462580518E-4</c:v>
                </c:pt>
                <c:pt idx="113">
                  <c:v>9.7353928328823604E-5</c:v>
                </c:pt>
                <c:pt idx="114">
                  <c:v>8.5419174105829732E-5</c:v>
                </c:pt>
                <c:pt idx="115">
                  <c:v>7.4947518093749027E-5</c:v>
                </c:pt>
                <c:pt idx="116">
                  <c:v>6.5759597036767374E-5</c:v>
                </c:pt>
                <c:pt idx="117">
                  <c:v>5.7698036071439884E-5</c:v>
                </c:pt>
                <c:pt idx="118">
                  <c:v>5.0624753138919612E-5</c:v>
                </c:pt>
                <c:pt idx="119">
                  <c:v>4.4418593853060992E-5</c:v>
                </c:pt>
                <c:pt idx="120">
                  <c:v>3.8973256313350076E-5</c:v>
                </c:pt>
                <c:pt idx="121">
                  <c:v>3.4195470317919789E-5</c:v>
                </c:pt>
                <c:pt idx="122">
                  <c:v>3.0003399789388027E-5</c:v>
                </c:pt>
                <c:pt idx="123">
                  <c:v>2.6325241049546459E-5</c:v>
                </c:pt>
                <c:pt idx="124">
                  <c:v>2.3097992933515529E-5</c:v>
                </c:pt>
                <c:pt idx="125">
                  <c:v>2.0266377677325197E-5</c:v>
                </c:pt>
                <c:pt idx="126">
                  <c:v>1.778189409539629E-5</c:v>
                </c:pt>
                <c:pt idx="127">
                  <c:v>1.5601986830318543E-5</c:v>
                </c:pt>
                <c:pt idx="128">
                  <c:v>1.3689317445460152E-5</c:v>
                </c:pt>
                <c:pt idx="129">
                  <c:v>1.2011124875353685E-5</c:v>
                </c:pt>
                <c:pt idx="130">
                  <c:v>1.0538664279363615E-5</c:v>
                </c:pt>
                <c:pt idx="131">
                  <c:v>9.2467146870674928E-6</c:v>
                </c:pt>
                <c:pt idx="132">
                  <c:v>8.1131470020784042E-6</c:v>
                </c:pt>
                <c:pt idx="133">
                  <c:v>7.1185449648829799E-6</c:v>
                </c:pt>
                <c:pt idx="134">
                  <c:v>6.2458725823751717E-6</c:v>
                </c:pt>
                <c:pt idx="135">
                  <c:v>5.4801823276685847E-6</c:v>
                </c:pt>
                <c:pt idx="136">
                  <c:v>4.8083591121018984E-6</c:v>
                </c:pt>
                <c:pt idx="137">
                  <c:v>4.218895644074191E-6</c:v>
                </c:pt>
                <c:pt idx="138">
                  <c:v>3.7016953269548118E-6</c:v>
                </c:pt>
                <c:pt idx="139">
                  <c:v>3.2478993200141183E-6</c:v>
                </c:pt>
                <c:pt idx="140">
                  <c:v>2.8497348001965765E-6</c:v>
                </c:pt>
                <c:pt idx="141">
                  <c:v>2.5003818256952991E-6</c:v>
                </c:pt>
                <c:pt idx="142">
                  <c:v>2.1938565209071724E-6</c:v>
                </c:pt>
                <c:pt idx="143">
                  <c:v>1.9249085819076992E-6</c:v>
                </c:pt>
                <c:pt idx="144">
                  <c:v>1.6889313468730206E-6</c:v>
                </c:pt>
                <c:pt idx="145">
                  <c:v>1.4818828910946663E-6</c:v>
                </c:pt>
                <c:pt idx="146">
                  <c:v>1.3002167950667965E-6</c:v>
                </c:pt>
                <c:pt idx="147">
                  <c:v>1.1408213998104485E-6</c:v>
                </c:pt>
                <c:pt idx="148">
                  <c:v>1.0009665089725366E-6</c:v>
                </c:pt>
                <c:pt idx="149">
                  <c:v>8.7825662478907039E-7</c:v>
                </c:pt>
                <c:pt idx="150">
                  <c:v>7.7058991691704343E-7</c:v>
                </c:pt>
                <c:pt idx="151">
                  <c:v>6.7612222133460142E-7</c:v>
                </c:pt>
                <c:pt idx="152">
                  <c:v>5.9323545266638692E-7</c:v>
                </c:pt>
                <c:pt idx="153">
                  <c:v>5.2050988888609484E-7</c:v>
                </c:pt>
                <c:pt idx="154">
                  <c:v>4.566998536761016E-7</c:v>
                </c:pt>
                <c:pt idx="155">
                  <c:v>4.007123799206355E-7</c:v>
                </c:pt>
                <c:pt idx="156">
                  <c:v>3.5158848887115841E-7</c:v>
                </c:pt>
                <c:pt idx="157">
                  <c:v>3.0848676432504428E-7</c:v>
                </c:pt>
                <c:pt idx="158">
                  <c:v>2.7066894046866486E-7</c:v>
                </c:pt>
                <c:pt idx="159">
                  <c:v>2.3748725652694702E-7</c:v>
                </c:pt>
                <c:pt idx="160">
                  <c:v>2.0837336162412529E-7</c:v>
                </c:pt>
                <c:pt idx="161">
                  <c:v>1.8282857981313118E-7</c:v>
                </c:pt>
                <c:pt idx="162">
                  <c:v>1.6041536852864407E-7</c:v>
                </c:pt>
                <c:pt idx="163">
                  <c:v>1.4074982416032789E-7</c:v>
                </c:pt>
                <c:pt idx="164">
                  <c:v>1.234951063783257E-7</c:v>
                </c:pt>
                <c:pt idx="165">
                  <c:v>1.0835566857988787E-7</c:v>
                </c:pt>
                <c:pt idx="166">
                  <c:v>9.5072195633616801E-8</c:v>
                </c:pt>
                <c:pt idx="167">
                  <c:v>8.3417162212724348E-8</c:v>
                </c:pt>
                <c:pt idx="168">
                  <c:v>7.3190935638426784E-8</c:v>
                </c:pt>
                <c:pt idx="169">
                  <c:v>6.4218356481218139E-8</c:v>
                </c:pt>
                <c:pt idx="170">
                  <c:v>5.6345738351015512E-8</c:v>
                </c:pt>
                <c:pt idx="171">
                  <c:v>4.9438235487226184E-8</c:v>
                </c:pt>
                <c:pt idx="172">
                  <c:v>4.3377533059629875E-8</c:v>
                </c:pt>
                <c:pt idx="173">
                  <c:v>3.8059820618505933E-8</c:v>
                </c:pt>
                <c:pt idx="174">
                  <c:v>3.3394013982343544E-8</c:v>
                </c:pt>
                <c:pt idx="175">
                  <c:v>2.9300195106824245E-8</c:v>
                </c:pt>
                <c:pt idx="176">
                  <c:v>2.5708243212447714E-8</c:v>
                </c:pt>
                <c:pt idx="177">
                  <c:v>2.2556633724136259E-8</c:v>
                </c:pt>
                <c:pt idx="178">
                  <c:v>1.9791384450512888E-8</c:v>
                </c:pt>
                <c:pt idx="179">
                  <c:v>1.7365130952535439E-8</c:v>
                </c:pt>
                <c:pt idx="180">
                  <c:v>1.5236315263982953E-8</c:v>
                </c:pt>
                <c:pt idx="181">
                  <c:v>1.336847406783218E-8</c:v>
                </c:pt>
                <c:pt idx="182">
                  <c:v>1.1729614136087583E-8</c:v>
                </c:pt>
                <c:pt idx="183">
                  <c:v>1.0291664335316031E-8</c:v>
                </c:pt>
                <c:pt idx="184">
                  <c:v>9.0299948115893484E-9</c:v>
                </c:pt>
                <c:pt idx="185">
                  <c:v>7.9229951192171916E-9</c:v>
                </c:pt>
                <c:pt idx="186">
                  <c:v>6.9517040672685351E-9</c:v>
                </c:pt>
                <c:pt idx="187">
                  <c:v>6.0994849437257536E-9</c:v>
                </c:pt>
                <c:pt idx="188">
                  <c:v>5.3517405543638523E-9</c:v>
                </c:pt>
                <c:pt idx="189">
                  <c:v>4.6956631954120101E-9</c:v>
                </c:pt>
                <c:pt idx="190">
                  <c:v>4.1200152774162022E-9</c:v>
                </c:pt>
                <c:pt idx="191">
                  <c:v>3.6149368427293084E-9</c:v>
                </c:pt>
                <c:pt idx="192">
                  <c:v>3.1717766797012874E-9</c:v>
                </c:pt>
                <c:pt idx="193">
                  <c:v>2.7829441408169692E-9</c:v>
                </c:pt>
                <c:pt idx="194">
                  <c:v>2.4417791266555655E-9</c:v>
                </c:pt>
                <c:pt idx="195">
                  <c:v>2.1424380086984105E-9</c:v>
                </c:pt>
                <c:pt idx="196">
                  <c:v>1.8797935370192375E-9</c:v>
                </c:pt>
                <c:pt idx="197">
                  <c:v>1.6493470184306842E-9</c:v>
                </c:pt>
                <c:pt idx="198">
                  <c:v>1.4471512608346351E-9</c:v>
                </c:pt>
                <c:pt idx="199">
                  <c:v>1.2697429639324184E-9</c:v>
                </c:pt>
                <c:pt idx="200">
                  <c:v>1.1140833982523911E-9</c:v>
                </c:pt>
                <c:pt idx="201">
                  <c:v>9.7750635641849281E-10</c:v>
                </c:pt>
                <c:pt idx="202">
                  <c:v>8.5767248514557655E-10</c:v>
                </c:pt>
                <c:pt idx="203">
                  <c:v>7.5252921573930022E-10</c:v>
                </c:pt>
                <c:pt idx="204">
                  <c:v>6.602756067720717E-10</c:v>
                </c:pt>
                <c:pt idx="205">
                  <c:v>5.7933149674451848E-10</c:v>
                </c:pt>
                <c:pt idx="206">
                  <c:v>5.0831043836532699E-10</c:v>
                </c:pt>
                <c:pt idx="207">
                  <c:v>4.4599595085556796E-10</c:v>
                </c:pt>
                <c:pt idx="208">
                  <c:v>3.913206835162456E-10</c:v>
                </c:pt>
                <c:pt idx="209">
                  <c:v>3.4334813366324064E-10</c:v>
                </c:pt>
                <c:pt idx="210">
                  <c:v>3.0125660578617605E-10</c:v>
                </c:pt>
                <c:pt idx="211">
                  <c:v>2.6432513717643053E-10</c:v>
                </c:pt>
                <c:pt idx="212">
                  <c:v>2.319211489520967E-10</c:v>
                </c:pt>
                <c:pt idx="213">
                  <c:v>2.0348961096105985E-10</c:v>
                </c:pt>
                <c:pt idx="214">
                  <c:v>1.7854353497376092E-10</c:v>
                </c:pt>
                <c:pt idx="215">
                  <c:v>1.5665563332875398E-10</c:v>
                </c:pt>
                <c:pt idx="216">
                  <c:v>1.374510001565702E-10</c:v>
                </c:pt>
                <c:pt idx="217">
                  <c:v>1.2060068982258369E-10</c:v>
                </c:pt>
                <c:pt idx="218">
                  <c:v>1.0581608259754675E-10</c:v>
                </c:pt>
                <c:pt idx="219">
                  <c:v>9.2843941048453907E-11</c:v>
                </c:pt>
                <c:pt idx="220">
                  <c:v>8.1462072473363621E-11</c:v>
                </c:pt>
                <c:pt idx="221">
                  <c:v>7.1475523084401156E-11</c:v>
                </c:pt>
                <c:pt idx="222">
                  <c:v>6.2713238751189589E-11</c:v>
                </c:pt>
                <c:pt idx="223">
                  <c:v>5.5025135108413586E-11</c:v>
                </c:pt>
                <c:pt idx="224">
                  <c:v>4.827952684299432E-11</c:v>
                </c:pt>
                <c:pt idx="225">
                  <c:v>4.23608721285448E-11</c:v>
                </c:pt>
                <c:pt idx="226">
                  <c:v>3.71677935727597E-11</c:v>
                </c:pt>
                <c:pt idx="227">
                  <c:v>3.2611341779632367E-11</c:v>
                </c:pt>
                <c:pt idx="228">
                  <c:v>2.8613471784008052E-11</c:v>
                </c:pt>
                <c:pt idx="229">
                  <c:v>2.5105706262155971E-11</c:v>
                </c:pt>
                <c:pt idx="230">
                  <c:v>2.2027962621226815E-11</c:v>
                </c:pt>
                <c:pt idx="231">
                  <c:v>1.9327523877453992E-11</c:v>
                </c:pt>
                <c:pt idx="232">
                  <c:v>1.695813569583539E-11</c:v>
                </c:pt>
                <c:pt idx="233">
                  <c:v>1.4879214124983352E-11</c:v>
                </c:pt>
                <c:pt idx="234">
                  <c:v>1.3055150456867363E-11</c:v>
                </c:pt>
                <c:pt idx="235">
                  <c:v>1.145470130477303E-11</c:v>
                </c:pt>
                <c:pt idx="236">
                  <c:v>1.0050453452457061E-11</c:v>
                </c:pt>
                <c:pt idx="237">
                  <c:v>8.8183543081927231E-12</c:v>
                </c:pt>
                <c:pt idx="238">
                  <c:v>7.7372999211105387E-12</c:v>
                </c:pt>
                <c:pt idx="239">
                  <c:v>6.7887735031919288E-12</c:v>
                </c:pt>
                <c:pt idx="240">
                  <c:v>5.9565282653571813E-12</c:v>
                </c:pt>
                <c:pt idx="241">
                  <c:v>5.2263091351209495E-12</c:v>
                </c:pt>
                <c:pt idx="242">
                  <c:v>4.5856085892695412E-12</c:v>
                </c:pt>
                <c:pt idx="243">
                  <c:v>4.0234524193517599E-12</c:v>
                </c:pt>
                <c:pt idx="244">
                  <c:v>3.5302117604778402E-12</c:v>
                </c:pt>
                <c:pt idx="245">
                  <c:v>3.0974381637707885E-12</c:v>
                </c:pt>
                <c:pt idx="246">
                  <c:v>2.7177188875165715E-12</c:v>
                </c:pt>
                <c:pt idx="247">
                  <c:v>2.3845499283745757E-12</c:v>
                </c:pt>
                <c:pt idx="248">
                  <c:v>2.0922246178695416E-12</c:v>
                </c:pt>
                <c:pt idx="249">
                  <c:v>1.8357358759953492E-12</c:v>
                </c:pt>
                <c:pt idx="250">
                  <c:v>1.610690447686215E-12</c:v>
                </c:pt>
                <c:pt idx="251">
                  <c:v>1.4132336531588233E-12</c:v>
                </c:pt>
                <c:pt idx="252">
                  <c:v>1.2399833632152524E-12</c:v>
                </c:pt>
                <c:pt idx="253">
                  <c:v>1.0879720686058507E-12</c:v>
                </c:pt>
                <c:pt idx="254">
                  <c:v>9.5459605118993438E-13</c:v>
                </c:pt>
                <c:pt idx="255">
                  <c:v>8.375707862749771E-13</c:v>
                </c:pt>
                <c:pt idx="256">
                  <c:v>7.3489181224541038E-13</c:v>
                </c:pt>
                <c:pt idx="257">
                  <c:v>6.4480039723835127E-13</c:v>
                </c:pt>
                <c:pt idx="258">
                  <c:v>5.6575341478956883E-13</c:v>
                </c:pt>
                <c:pt idx="259">
                  <c:v>4.9639691246613964E-13</c:v>
                </c:pt>
                <c:pt idx="260">
                  <c:v>4.3554292075739059E-13</c:v>
                </c:pt>
                <c:pt idx="261">
                  <c:v>3.821491049963336E-13</c:v>
                </c:pt>
                <c:pt idx="262">
                  <c:v>3.3530091178050843E-13</c:v>
                </c:pt>
                <c:pt idx="263">
                  <c:v>2.9419590408806255E-13</c:v>
                </c:pt>
                <c:pt idx="264">
                  <c:v>2.5813001677385794E-13</c:v>
                </c:pt>
                <c:pt idx="265">
                  <c:v>2.2648549702353193E-13</c:v>
                </c:pt>
                <c:pt idx="266">
                  <c:v>1.9872032320416001E-13</c:v>
                </c:pt>
                <c:pt idx="267">
                  <c:v>1.7435892087281339E-13</c:v>
                </c:pt>
                <c:pt idx="268">
                  <c:v>1.529840169226113E-13</c:v>
                </c:pt>
                <c:pt idx="269">
                  <c:v>1.3422949234040059E-13</c:v>
                </c:pt>
                <c:pt idx="270">
                  <c:v>1.1777411115486689E-13</c:v>
                </c:pt>
                <c:pt idx="271">
                  <c:v>1.0333601816166675E-13</c:v>
                </c:pt>
                <c:pt idx="272">
                  <c:v>9.0667911180130769E-14</c:v>
                </c:pt>
                <c:pt idx="273">
                  <c:v>7.9552805149769161E-14</c:v>
                </c:pt>
                <c:pt idx="274">
                  <c:v>6.9800315512110504E-14</c:v>
                </c:pt>
                <c:pt idx="275">
                  <c:v>6.1243397217958583E-14</c:v>
                </c:pt>
                <c:pt idx="276">
                  <c:v>5.3735483504310143E-14</c:v>
                </c:pt>
                <c:pt idx="277">
                  <c:v>4.7147975432611641E-14</c:v>
                </c:pt>
                <c:pt idx="278">
                  <c:v>4.1368039188032031E-14</c:v>
                </c:pt>
                <c:pt idx="279">
                  <c:v>3.6296673410898145E-14</c:v>
                </c:pt>
                <c:pt idx="280">
                  <c:v>3.1847013456672234E-14</c:v>
                </c:pt>
                <c:pt idx="281">
                  <c:v>2.7942843539070363E-14</c:v>
                </c:pt>
                <c:pt idx="282">
                  <c:v>2.451729127163669E-14</c:v>
                </c:pt>
                <c:pt idx="283">
                  <c:v>2.1511682247291812E-14</c:v>
                </c:pt>
                <c:pt idx="284">
                  <c:v>1.8874535036576164E-14</c:v>
                </c:pt>
                <c:pt idx="285">
                  <c:v>1.6560679390464248E-14</c:v>
                </c:pt>
                <c:pt idx="286">
                  <c:v>1.4530482543929055E-14</c:v>
                </c:pt>
                <c:pt idx="287">
                  <c:v>1.2749170368034534E-14</c:v>
                </c:pt>
                <c:pt idx="288">
                  <c:v>1.1186231742942413E-14</c:v>
                </c:pt>
                <c:pt idx="289">
                  <c:v>9.8148959496650987E-15</c:v>
                </c:pt>
                <c:pt idx="290">
                  <c:v>8.6116741290944561E-15</c:v>
                </c:pt>
                <c:pt idx="291">
                  <c:v>7.5559569542095105E-15</c:v>
                </c:pt>
                <c:pt idx="292">
                  <c:v>6.629661624210868E-15</c:v>
                </c:pt>
                <c:pt idx="293">
                  <c:v>5.8169221341378723E-15</c:v>
                </c:pt>
                <c:pt idx="294">
                  <c:v>5.1038175147665522E-15</c:v>
                </c:pt>
                <c:pt idx="295">
                  <c:v>4.4781333879585363E-15</c:v>
                </c:pt>
                <c:pt idx="296">
                  <c:v>3.9291527532732031E-15</c:v>
                </c:pt>
                <c:pt idx="297">
                  <c:v>3.4474724223416409E-15</c:v>
                </c:pt>
                <c:pt idx="298">
                  <c:v>3.0248419568074106E-15</c:v>
                </c:pt>
                <c:pt idx="299">
                  <c:v>2.6540223510904019E-15</c:v>
                </c:pt>
                <c:pt idx="300">
                  <c:v>2.3286620394282966E-15</c:v>
                </c:pt>
                <c:pt idx="301">
                  <c:v>2.0431881033882242E-15</c:v>
                </c:pt>
                <c:pt idx="302">
                  <c:v>1.7927108164017082E-15</c:v>
                </c:pt>
                <c:pt idx="303">
                  <c:v>1.5729398903185693E-15</c:v>
                </c:pt>
                <c:pt idx="304">
                  <c:v>1.3801109894129134E-15</c:v>
                </c:pt>
                <c:pt idx="305">
                  <c:v>1.2109212531398949E-15</c:v>
                </c:pt>
                <c:pt idx="306">
                  <c:v>1.0624727232479011E-15</c:v>
                </c:pt>
                <c:pt idx="307">
                  <c:v>9.322227062401703E-16</c:v>
                </c:pt>
                <c:pt idx="308">
                  <c:v>8.1794022097165733E-16</c:v>
                </c:pt>
                <c:pt idx="309">
                  <c:v>7.1766778539590857E-16</c:v>
                </c:pt>
                <c:pt idx="310">
                  <c:v>6.2968788792807741E-16</c:v>
                </c:pt>
                <c:pt idx="311">
                  <c:v>5.5249356913043831E-16</c:v>
                </c:pt>
                <c:pt idx="312">
                  <c:v>4.8476260983021449E-16</c:v>
                </c:pt>
                <c:pt idx="313">
                  <c:v>4.2533488355213925E-16</c:v>
                </c:pt>
                <c:pt idx="314">
                  <c:v>3.7319248534798203E-16</c:v>
                </c:pt>
                <c:pt idx="315">
                  <c:v>3.2744229666065277E-16</c:v>
                </c:pt>
                <c:pt idx="316">
                  <c:v>2.8730068758599859E-16</c:v>
                </c:pt>
                <c:pt idx="317">
                  <c:v>2.5208009450572064E-16</c:v>
                </c:pt>
                <c:pt idx="318">
                  <c:v>2.211772431870429E-16</c:v>
                </c:pt>
                <c:pt idx="319">
                  <c:v>1.9406281562906251E-16</c:v>
                </c:pt>
                <c:pt idx="320">
                  <c:v>1.7027238366485683E-16</c:v>
                </c:pt>
                <c:pt idx="321">
                  <c:v>1.493984540259876E-16</c:v>
                </c:pt>
                <c:pt idx="322">
                  <c:v>1.3108348861367245E-16</c:v>
                </c:pt>
                <c:pt idx="323">
                  <c:v>1.1501378042467469E-16</c:v>
                </c:pt>
                <c:pt idx="324">
                  <c:v>1.0091408023600268E-16</c:v>
                </c:pt>
                <c:pt idx="325">
                  <c:v>8.8542882011846454E-17</c:v>
                </c:pt>
                <c:pt idx="326">
                  <c:v>7.7688286279071446E-17</c:v>
                </c:pt>
                <c:pt idx="327">
                  <c:v>6.8164370617295414E-17</c:v>
                </c:pt>
                <c:pt idx="328">
                  <c:v>5.9808005095662678E-17</c:v>
                </c:pt>
                <c:pt idx="329">
                  <c:v>5.2476058109677874E-17</c:v>
                </c:pt>
                <c:pt idx="330">
                  <c:v>4.6042944758409805E-17</c:v>
                </c:pt>
                <c:pt idx="331">
                  <c:v>4.039847576956253E-17</c:v>
                </c:pt>
                <c:pt idx="332">
                  <c:v>3.544597012783022E-17</c:v>
                </c:pt>
                <c:pt idx="333">
                  <c:v>3.1100599078781478E-17</c:v>
                </c:pt>
                <c:pt idx="334">
                  <c:v>2.7287933143623402E-17</c:v>
                </c:pt>
                <c:pt idx="335">
                  <c:v>2.3942667257457705E-17</c:v>
                </c:pt>
                <c:pt idx="336">
                  <c:v>2.100750219462091E-17</c:v>
                </c:pt>
                <c:pt idx="337">
                  <c:v>1.843216312165641E-17</c:v>
                </c:pt>
                <c:pt idx="338">
                  <c:v>1.6172538467250242E-17</c:v>
                </c:pt>
                <c:pt idx="339">
                  <c:v>1.4189924359305718E-17</c:v>
                </c:pt>
                <c:pt idx="340">
                  <c:v>1.2450361687533725E-17</c:v>
                </c:pt>
                <c:pt idx="341">
                  <c:v>1.09240544364672E-17</c:v>
                </c:pt>
                <c:pt idx="342">
                  <c:v>9.584859325844823E-18</c:v>
                </c:pt>
                <c:pt idx="343">
                  <c:v>8.4098380166938048E-18</c:v>
                </c:pt>
                <c:pt idx="344">
                  <c:v>7.3788642130952251E-18</c:v>
                </c:pt>
                <c:pt idx="345">
                  <c:v>6.4742789298934257E-18</c:v>
                </c:pt>
                <c:pt idx="346">
                  <c:v>5.6805880216190159E-18</c:v>
                </c:pt>
                <c:pt idx="347">
                  <c:v>4.9841967917642112E-18</c:v>
                </c:pt>
                <c:pt idx="348">
                  <c:v>4.3731771366782581E-18</c:v>
                </c:pt>
                <c:pt idx="349">
                  <c:v>3.8370632356183624E-18</c:v>
                </c:pt>
                <c:pt idx="350">
                  <c:v>3.3666722874430086E-18</c:v>
                </c:pt>
                <c:pt idx="351">
                  <c:v>2.9539472234447369E-18</c:v>
                </c:pt>
                <c:pt idx="352">
                  <c:v>2.5918187022367206E-18</c:v>
                </c:pt>
                <c:pt idx="353">
                  <c:v>2.2740840228791959E-18</c:v>
                </c:pt>
                <c:pt idx="354">
                  <c:v>1.9953008822150627E-18</c:v>
                </c:pt>
                <c:pt idx="355">
                  <c:v>1.7506941566422931E-18</c:v>
                </c:pt>
                <c:pt idx="356">
                  <c:v>1.5360741116392279E-18</c:v>
                </c:pt>
                <c:pt idx="357">
                  <c:v>1.3477646380985483E-18</c:v>
                </c:pt>
                <c:pt idx="358">
                  <c:v>1.1825402862694286E-18</c:v>
                </c:pt>
                <c:pt idx="359">
                  <c:v>1.0375710187967784E-18</c:v>
                </c:pt>
                <c:pt idx="360">
                  <c:v>9.103737365626663E-19</c:v>
                </c:pt>
                <c:pt idx="361">
                  <c:v>7.9876974704263411E-19</c:v>
                </c:pt>
                <c:pt idx="362">
                  <c:v>7.0084744667569196E-19</c:v>
                </c:pt>
                <c:pt idx="363">
                  <c:v>6.149295780547631E-19</c:v>
                </c:pt>
                <c:pt idx="364">
                  <c:v>5.3954450110394366E-19</c:v>
                </c:pt>
                <c:pt idx="365">
                  <c:v>4.7340098616231884E-19</c:v>
                </c:pt>
              </c:numCache>
            </c:numRef>
          </c:yVal>
          <c:smooth val="1"/>
          <c:extLst>
            <c:ext xmlns:c16="http://schemas.microsoft.com/office/drawing/2014/chart" uri="{C3380CC4-5D6E-409C-BE32-E72D297353CC}">
              <c16:uniqueId val="{00000004-A669-4CB9-84F4-49AE9BAF6CDE}"/>
            </c:ext>
          </c:extLst>
        </c:ser>
        <c:ser>
          <c:idx val="5"/>
          <c:order val="5"/>
          <c:tx>
            <c:v>tall grass, nectar and pollen (mean)</c:v>
          </c:tx>
          <c:spPr>
            <a:ln w="19050" cap="rnd">
              <a:solidFill>
                <a:srgbClr val="FF0000"/>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concentrations'!$X$3:$X$368</c:f>
              <c:numCache>
                <c:formatCode>0</c:formatCode>
                <c:ptCount val="366"/>
                <c:pt idx="0" formatCode="General">
                  <c:v>108</c:v>
                </c:pt>
                <c:pt idx="1">
                  <c:v>94.760128962338783</c:v>
                </c:pt>
                <c:pt idx="2">
                  <c:v>83.143352231102568</c:v>
                </c:pt>
                <c:pt idx="3">
                  <c:v>72.950692405374411</c:v>
                </c:pt>
                <c:pt idx="4">
                  <c:v>64.007565002085073</c:v>
                </c:pt>
                <c:pt idx="5">
                  <c:v>56.160788094100589</c:v>
                </c:pt>
                <c:pt idx="6">
                  <c:v>49.275958540958811</c:v>
                </c:pt>
                <c:pt idx="7">
                  <c:v>43.235149871149218</c:v>
                </c:pt>
                <c:pt idx="8">
                  <c:v>37.934892384223559</c:v>
                </c:pt>
                <c:pt idx="9">
                  <c:v>33.284400875013588</c:v>
                </c:pt>
                <c:pt idx="10">
                  <c:v>29.204019623615455</c:v>
                </c:pt>
                <c:pt idx="11">
                  <c:v>25.623858016226599</c:v>
                </c:pt>
                <c:pt idx="12">
                  <c:v>22.482593427132322</c:v>
                </c:pt>
                <c:pt idx="13">
                  <c:v>19.726420857063786</c:v>
                </c:pt>
                <c:pt idx="14">
                  <c:v>17.308131336858647</c:v>
                </c:pt>
                <c:pt idx="15">
                  <c:v>15.186303310905764</c:v>
                </c:pt>
                <c:pt idx="16">
                  <c:v>13.324593150024283</c:v>
                </c:pt>
                <c:pt idx="17">
                  <c:v>11.691112641361082</c:v>
                </c:pt>
                <c:pt idx="18">
                  <c:v>10.257882792672271</c:v>
                </c:pt>
                <c:pt idx="19">
                  <c:v>9.0003545955016691</c:v>
                </c:pt>
                <c:pt idx="20">
                  <c:v>7.89698853867145</c:v>
                </c:pt>
                <c:pt idx="21">
                  <c:v>6.9288856698020167</c:v>
                </c:pt>
                <c:pt idx="22">
                  <c:v>6.0794638855161125</c:v>
                </c:pt>
                <c:pt idx="23">
                  <c:v>5.3341739056795188</c:v>
                </c:pt>
                <c:pt idx="24">
                  <c:v>4.6802500667567921</c:v>
                </c:pt>
                <c:pt idx="25">
                  <c:v>4.1064916657580399</c:v>
                </c:pt>
                <c:pt idx="26">
                  <c:v>3.6030711095370487</c:v>
                </c:pt>
                <c:pt idx="27">
                  <c:v>3.1613655833352574</c:v>
                </c:pt>
                <c:pt idx="28">
                  <c:v>2.7738093553143366</c:v>
                </c:pt>
                <c:pt idx="29">
                  <c:v>2.4337641872826694</c:v>
                </c:pt>
                <c:pt idx="30">
                  <c:v>2.1354056319521053</c:v>
                </c:pt>
                <c:pt idx="31">
                  <c:v>1.8736232691730188</c:v>
                </c:pt>
                <c:pt idx="32">
                  <c:v>1.6439331723488337</c:v>
                </c:pt>
                <c:pt idx="33">
                  <c:v>1.4424011057152053</c:v>
                </c:pt>
                <c:pt idx="34">
                  <c:v>1.2655751369721564</c:v>
                </c:pt>
                <c:pt idx="35">
                  <c:v>1.1104265110278806</c:v>
                </c:pt>
                <c:pt idx="36">
                  <c:v>0.9742977721129803</c:v>
                </c:pt>
                <c:pt idx="37">
                  <c:v>0.85485724567727195</c:v>
                </c:pt>
                <c:pt idx="38">
                  <c:v>0.75005910041451862</c:v>
                </c:pt>
                <c:pt idx="39">
                  <c:v>0.65810830633940365</c:v>
                </c:pt>
                <c:pt idx="40">
                  <c:v>0.57742988870285406</c:v>
                </c:pt>
                <c:pt idx="41">
                  <c:v>0.50664195111288313</c:v>
                </c:pt>
                <c:pt idx="42">
                  <c:v>0.44453200578877539</c:v>
                </c:pt>
                <c:pt idx="43">
                  <c:v>0.39003620552251372</c:v>
                </c:pt>
                <c:pt idx="44">
                  <c:v>0.34222112162309881</c:v>
                </c:pt>
                <c:pt idx="45">
                  <c:v>0.300267755728158</c:v>
                </c:pt>
                <c:pt idx="46">
                  <c:v>0.26345751162992859</c:v>
                </c:pt>
                <c:pt idx="47">
                  <c:v>0.23115988683471206</c:v>
                </c:pt>
                <c:pt idx="48">
                  <c:v>0.20282167303126808</c:v>
                </c:pt>
                <c:pt idx="49">
                  <c:v>0.1779574804888914</c:v>
                </c:pt>
                <c:pt idx="50">
                  <c:v>0.15614142408277995</c:v>
                </c:pt>
                <c:pt idx="51">
                  <c:v>0.13699982854118017</c:v>
                </c:pt>
                <c:pt idx="52">
                  <c:v>0.12020482796648642</c:v>
                </c:pt>
                <c:pt idx="53">
                  <c:v>0.10546875</c:v>
                </c:pt>
                <c:pt idx="54">
                  <c:v>9.2539188439783968E-2</c:v>
                </c:pt>
                <c:pt idx="55">
                  <c:v>8.1194679913186102E-2</c:v>
                </c:pt>
                <c:pt idx="56">
                  <c:v>7.1240910552123449E-2</c:v>
                </c:pt>
                <c:pt idx="57">
                  <c:v>6.2507387697348704E-2</c:v>
                </c:pt>
                <c:pt idx="58">
                  <c:v>5.4844519623145106E-2</c:v>
                </c:pt>
                <c:pt idx="59">
                  <c:v>4.8121053262655089E-2</c:v>
                </c:pt>
                <c:pt idx="60">
                  <c:v>4.2221826046044159E-2</c:v>
                </c:pt>
                <c:pt idx="61">
                  <c:v>3.704579334396832E-2</c:v>
                </c:pt>
                <c:pt idx="62">
                  <c:v>3.2504297729505457E-2</c:v>
                </c:pt>
                <c:pt idx="63">
                  <c:v>2.8519550413686968E-2</c:v>
                </c:pt>
                <c:pt idx="64">
                  <c:v>2.5023298843971288E-2</c:v>
                </c:pt>
                <c:pt idx="65">
                  <c:v>2.1955657643683908E-2</c:v>
                </c:pt>
                <c:pt idx="66">
                  <c:v>1.9264082868226354E-2</c:v>
                </c:pt>
                <c:pt idx="67">
                  <c:v>1.6902472008651023E-2</c:v>
                </c:pt>
                <c:pt idx="68">
                  <c:v>1.483037432705641E-2</c:v>
                </c:pt>
                <c:pt idx="69">
                  <c:v>1.3012297998070589E-2</c:v>
                </c:pt>
                <c:pt idx="70">
                  <c:v>1.1417102188829182E-2</c:v>
                </c:pt>
                <c:pt idx="71">
                  <c:v>1.0017463664719015E-2</c:v>
                </c:pt>
                <c:pt idx="72">
                  <c:v>8.7894087846695987E-3</c:v>
                </c:pt>
                <c:pt idx="73">
                  <c:v>7.7119028697963379E-3</c:v>
                </c:pt>
                <c:pt idx="74">
                  <c:v>6.7664899119160319E-3</c:v>
                </c:pt>
                <c:pt idx="75">
                  <c:v>5.9369764506993286E-3</c:v>
                </c:pt>
                <c:pt idx="76">
                  <c:v>5.209154204765155E-3</c:v>
                </c:pt>
                <c:pt idx="77">
                  <c:v>4.5705567058171798E-3</c:v>
                </c:pt>
                <c:pt idx="78">
                  <c:v>4.0102457673418359E-3</c:v>
                </c:pt>
                <c:pt idx="79">
                  <c:v>3.5186241304072741E-3</c:v>
                </c:pt>
                <c:pt idx="80">
                  <c:v>3.0872710774758373E-3</c:v>
                </c:pt>
                <c:pt idx="81">
                  <c:v>2.7087981985491568E-3</c:v>
                </c:pt>
                <c:pt idx="82">
                  <c:v>2.3767228391432318E-3</c:v>
                </c:pt>
                <c:pt idx="83">
                  <c:v>2.0853570624532278E-3</c:v>
                </c:pt>
                <c:pt idx="84">
                  <c:v>1.8297102238017762E-3</c:v>
                </c:pt>
                <c:pt idx="85">
                  <c:v>1.6054034886219079E-3</c:v>
                </c:pt>
                <c:pt idx="86">
                  <c:v>1.4085948298000052E-3</c:v>
                </c:pt>
                <c:pt idx="87">
                  <c:v>1.2359132196993715E-3</c:v>
                </c:pt>
                <c:pt idx="88">
                  <c:v>1.0844008896756646E-3</c:v>
                </c:pt>
                <c:pt idx="89">
                  <c:v>9.5146266807908232E-4</c:v>
                </c:pt>
                <c:pt idx="90">
                  <c:v>8.3482152898171089E-4</c:v>
                </c:pt>
                <c:pt idx="91">
                  <c:v>7.3247959024855334E-4</c:v>
                </c:pt>
                <c:pt idx="92">
                  <c:v>6.4268389290957388E-4</c:v>
                </c:pt>
                <c:pt idx="93">
                  <c:v>5.6389637568638091E-4</c:v>
                </c:pt>
                <c:pt idx="94">
                  <c:v>4.9476753038367493E-4</c:v>
                </c:pt>
                <c:pt idx="95">
                  <c:v>4.3411328690310096E-4</c:v>
                </c:pt>
                <c:pt idx="96">
                  <c:v>3.8089473195557981E-4</c:v>
                </c:pt>
                <c:pt idx="97">
                  <c:v>3.3420031408505743E-4</c:v>
                </c:pt>
                <c:pt idx="98">
                  <c:v>2.932302302032793E-4</c:v>
                </c:pt>
                <c:pt idx="99">
                  <c:v>2.5728272620110214E-4</c:v>
                </c:pt>
                <c:pt idx="100">
                  <c:v>2.2574207698702349E-4</c:v>
                </c:pt>
                <c:pt idx="101">
                  <c:v>1.9806804006959773E-4</c:v>
                </c:pt>
                <c:pt idx="102">
                  <c:v>1.7378660203993301E-4</c:v>
                </c:pt>
                <c:pt idx="103">
                  <c:v>1.524818594558398E-4</c:v>
                </c:pt>
                <c:pt idx="104">
                  <c:v>1.3378889505974626E-4</c:v>
                </c:pt>
                <c:pt idx="105">
                  <c:v>1.1738752731102189E-4</c:v>
                </c:pt>
                <c:pt idx="106">
                  <c:v>1.02996826171875E-4</c:v>
                </c:pt>
                <c:pt idx="107">
                  <c:v>9.0370301210726531E-5</c:v>
                </c:pt>
                <c:pt idx="108">
                  <c:v>7.9291679602720803E-5</c:v>
                </c:pt>
                <c:pt idx="109">
                  <c:v>6.9571201711058055E-5</c:v>
                </c:pt>
                <c:pt idx="110">
                  <c:v>6.1042370798192094E-5</c:v>
                </c:pt>
                <c:pt idx="111">
                  <c:v>5.3559101194477643E-5</c:v>
                </c:pt>
                <c:pt idx="112">
                  <c:v>4.699321607681161E-5</c:v>
                </c:pt>
                <c:pt idx="113">
                  <c:v>4.1232251998089999E-5</c:v>
                </c:pt>
                <c:pt idx="114">
                  <c:v>3.6177532562469062E-5</c:v>
                </c:pt>
                <c:pt idx="115">
                  <c:v>3.1742478251470173E-5</c:v>
                </c:pt>
                <c:pt idx="116">
                  <c:v>2.7851123450866179E-5</c:v>
                </c:pt>
                <c:pt idx="117">
                  <c:v>2.4436815277315711E-5</c:v>
                </c:pt>
                <c:pt idx="118">
                  <c:v>2.1441071917660067E-5</c:v>
                </c:pt>
                <c:pt idx="119">
                  <c:v>1.8812580926002299E-5</c:v>
                </c:pt>
                <c:pt idx="120">
                  <c:v>1.6506320320948264E-5</c:v>
                </c:pt>
                <c:pt idx="121">
                  <c:v>1.4482787428766025E-5</c:v>
                </c:pt>
                <c:pt idx="122">
                  <c:v>1.2707322263740809E-5</c:v>
                </c:pt>
                <c:pt idx="123">
                  <c:v>1.1149513856278498E-5</c:v>
                </c:pt>
                <c:pt idx="124">
                  <c:v>9.782679360077163E-6</c:v>
                </c:pt>
                <c:pt idx="125">
                  <c:v>8.583407016278905E-6</c:v>
                </c:pt>
                <c:pt idx="126">
                  <c:v>7.5311551462854862E-6</c:v>
                </c:pt>
                <c:pt idx="127">
                  <c:v>6.6079003046054999E-6</c:v>
                </c:pt>
                <c:pt idx="128">
                  <c:v>5.7978285651360631E-6</c:v>
                </c:pt>
                <c:pt idx="129">
                  <c:v>5.0870646530909717E-6</c:v>
                </c:pt>
                <c:pt idx="130">
                  <c:v>4.4634342830245896E-6</c:v>
                </c:pt>
                <c:pt idx="131">
                  <c:v>3.9162556321697616E-6</c:v>
                </c:pt>
                <c:pt idx="132">
                  <c:v>3.4361563773508536E-6</c:v>
                </c:pt>
                <c:pt idx="133">
                  <c:v>3.0149131615974974E-6</c:v>
                </c:pt>
                <c:pt idx="134">
                  <c:v>2.645310740770661E-6</c:v>
                </c:pt>
                <c:pt idx="135">
                  <c:v>2.3210183976008124E-6</c:v>
                </c:pt>
                <c:pt idx="136">
                  <c:v>2.0364815063019803E-6</c:v>
                </c:pt>
                <c:pt idx="137">
                  <c:v>1.786826390431422E-6</c:v>
                </c:pt>
                <c:pt idx="138">
                  <c:v>1.567776844357332E-6</c:v>
                </c:pt>
                <c:pt idx="139">
                  <c:v>1.3755808884765676E-6</c:v>
                </c:pt>
                <c:pt idx="140">
                  <c:v>1.2069465036126675E-6</c:v>
                </c:pt>
                <c:pt idx="141">
                  <c:v>1.0589852438238913E-6</c:v>
                </c:pt>
                <c:pt idx="142">
                  <c:v>9.2916276179597883E-7</c:v>
                </c:pt>
                <c:pt idx="143">
                  <c:v>8.1525539939620204E-7</c:v>
                </c:pt>
                <c:pt idx="144">
                  <c:v>7.1531209985210287E-7</c:v>
                </c:pt>
                <c:pt idx="145">
                  <c:v>6.2762098916950574E-7</c:v>
                </c:pt>
                <c:pt idx="146">
                  <c:v>5.5068005438123136E-7</c:v>
                </c:pt>
                <c:pt idx="147">
                  <c:v>4.8317141639030755E-7</c:v>
                </c:pt>
                <c:pt idx="148">
                  <c:v>4.2393875674130953E-7</c:v>
                </c:pt>
                <c:pt idx="149">
                  <c:v>3.7196751167537091E-7</c:v>
                </c:pt>
                <c:pt idx="150">
                  <c:v>3.263674942236889E-7</c:v>
                </c:pt>
                <c:pt idx="151">
                  <c:v>2.8635764668288994E-7</c:v>
                </c:pt>
                <c:pt idx="152">
                  <c:v>2.512526623057638E-7</c:v>
                </c:pt>
                <c:pt idx="153">
                  <c:v>2.2045124705764013E-7</c:v>
                </c:pt>
                <c:pt idx="154">
                  <c:v>1.9342582038046654E-7</c:v>
                </c:pt>
                <c:pt idx="155">
                  <c:v>1.6971347855462208E-7</c:v>
                </c:pt>
                <c:pt idx="156">
                  <c:v>1.4890806587484355E-7</c:v>
                </c:pt>
                <c:pt idx="157">
                  <c:v>1.3065321783178346E-7</c:v>
                </c:pt>
                <c:pt idx="158">
                  <c:v>1.1463625713966982E-7</c:v>
                </c:pt>
                <c:pt idx="159">
                  <c:v>1.0058283805847168E-7</c:v>
                </c:pt>
                <c:pt idx="160">
                  <c:v>8.8252247276100128E-8</c:v>
                </c:pt>
                <c:pt idx="161">
                  <c:v>7.7433280862032034E-8</c:v>
                </c:pt>
                <c:pt idx="162">
                  <c:v>6.7940626670955132E-8</c:v>
                </c:pt>
                <c:pt idx="163">
                  <c:v>5.9611690232609467E-8</c:v>
                </c:pt>
                <c:pt idx="164">
                  <c:v>5.2303809760232073E-8</c:v>
                </c:pt>
                <c:pt idx="165">
                  <c:v>4.5891812575011338E-8</c:v>
                </c:pt>
                <c:pt idx="166">
                  <c:v>4.0265871091884764E-8</c:v>
                </c:pt>
                <c:pt idx="167">
                  <c:v>3.5329621643036193E-8</c:v>
                </c:pt>
                <c:pt idx="168">
                  <c:v>3.0998513917451341E-8</c:v>
                </c:pt>
                <c:pt idx="169">
                  <c:v>2.7198362744986503E-8</c:v>
                </c:pt>
                <c:pt idx="170">
                  <c:v>2.3864077419253624E-8</c:v>
                </c:pt>
                <c:pt idx="171">
                  <c:v>2.0938546794589909E-8</c:v>
                </c:pt>
                <c:pt idx="172">
                  <c:v>1.837166106054912E-8</c:v>
                </c:pt>
                <c:pt idx="173">
                  <c:v>1.6119453438426039E-8</c:v>
                </c:pt>
                <c:pt idx="174">
                  <c:v>1.4143347098404322E-8</c:v>
                </c:pt>
                <c:pt idx="175">
                  <c:v>1.2409494398184384E-8</c:v>
                </c:pt>
                <c:pt idx="176">
                  <c:v>1.088819712527197E-8</c:v>
                </c:pt>
                <c:pt idx="177">
                  <c:v>9.5533978125753545E-9</c:v>
                </c:pt>
                <c:pt idx="178">
                  <c:v>8.3822334143348681E-9</c:v>
                </c:pt>
                <c:pt idx="179">
                  <c:v>7.3546436975444201E-9</c:v>
                </c:pt>
                <c:pt idx="180">
                  <c:v>6.4530276412163085E-9</c:v>
                </c:pt>
                <c:pt idx="181">
                  <c:v>5.6619419581406866E-9</c:v>
                </c:pt>
                <c:pt idx="182">
                  <c:v>4.9678365752841521E-9</c:v>
                </c:pt>
                <c:pt idx="183">
                  <c:v>4.3588225420162008E-9</c:v>
                </c:pt>
                <c:pt idx="184">
                  <c:v>3.8244683907907828E-9</c:v>
                </c:pt>
                <c:pt idx="185">
                  <c:v>3.355621462256693E-9</c:v>
                </c:pt>
                <c:pt idx="186">
                  <c:v>2.944251134372556E-9</c:v>
                </c:pt>
                <c:pt idx="187">
                  <c:v>2.5833112702838486E-9</c:v>
                </c:pt>
                <c:pt idx="188">
                  <c:v>2.2666195289070433E-9</c:v>
                </c:pt>
                <c:pt idx="189">
                  <c:v>1.9887514709980277E-9</c:v>
                </c:pt>
                <c:pt idx="190">
                  <c:v>1.7449476469056856E-9</c:v>
                </c:pt>
                <c:pt idx="191">
                  <c:v>1.531032074567707E-9</c:v>
                </c:pt>
                <c:pt idx="192">
                  <c:v>1.343340711402898E-9</c:v>
                </c:pt>
                <c:pt idx="193">
                  <c:v>1.1786586949342456E-9</c:v>
                </c:pt>
                <c:pt idx="194">
                  <c:v>1.0341652771717688E-9</c:v>
                </c:pt>
                <c:pt idx="195">
                  <c:v>9.0738550956638558E-10</c:v>
                </c:pt>
                <c:pt idx="196">
                  <c:v>7.9614785097285355E-10</c:v>
                </c:pt>
                <c:pt idx="197">
                  <c:v>6.9854697251181921E-10</c:v>
                </c:pt>
                <c:pt idx="198">
                  <c:v>6.1291112223584545E-10</c:v>
                </c:pt>
                <c:pt idx="199">
                  <c:v>5.3777349060667125E-10</c:v>
                </c:pt>
                <c:pt idx="200">
                  <c:v>4.7184708631865971E-10</c:v>
                </c:pt>
                <c:pt idx="201">
                  <c:v>4.1400269213018509E-10</c:v>
                </c:pt>
                <c:pt idx="202">
                  <c:v>3.632495231204794E-10</c:v>
                </c:pt>
                <c:pt idx="203">
                  <c:v>3.1871825607782119E-10</c:v>
                </c:pt>
                <c:pt idx="204">
                  <c:v>2.7964613933875971E-10</c:v>
                </c:pt>
                <c:pt idx="205">
                  <c:v>2.4536392803297247E-10</c:v>
                </c:pt>
                <c:pt idx="206">
                  <c:v>2.1528442095472669E-10</c:v>
                </c:pt>
                <c:pt idx="207">
                  <c:v>1.8889240271529935E-10</c:v>
                </c:pt>
                <c:pt idx="208">
                  <c:v>1.6573581890099812E-10</c:v>
                </c:pt>
                <c:pt idx="209">
                  <c:v>1.454180330809019E-10</c:v>
                </c:pt>
                <c:pt idx="210">
                  <c:v>1.2759103303885104E-10</c:v>
                </c:pt>
                <c:pt idx="211">
                  <c:v>1.1194946986295881E-10</c:v>
                </c:pt>
                <c:pt idx="212">
                  <c:v>9.822542779147625E-11</c:v>
                </c:pt>
                <c:pt idx="213">
                  <c:v>8.6183835230566531E-11</c:v>
                </c:pt>
                <c:pt idx="214">
                  <c:v>7.5618438341828158E-11</c:v>
                </c:pt>
                <c:pt idx="215">
                  <c:v>6.6348268233354621E-11</c:v>
                </c:pt>
                <c:pt idx="216">
                  <c:v>5.8214541242782682E-11</c:v>
                </c:pt>
                <c:pt idx="217">
                  <c:v>5.1077939218976634E-11</c:v>
                </c:pt>
                <c:pt idx="218">
                  <c:v>4.481622321778451E-11</c:v>
                </c:pt>
                <c:pt idx="219">
                  <c:v>3.9322139738168715E-11</c:v>
                </c:pt>
                <c:pt idx="220">
                  <c:v>3.4501583635777533E-11</c:v>
                </c:pt>
                <c:pt idx="221">
                  <c:v>3.0271986247511075E-11</c:v>
                </c:pt>
                <c:pt idx="222">
                  <c:v>2.6560901118150882E-11</c:v>
                </c:pt>
                <c:pt idx="223">
                  <c:v>2.3304763104739867E-11</c:v>
                </c:pt>
                <c:pt idx="224">
                  <c:v>2.0447799604091708E-11</c:v>
                </c:pt>
                <c:pt idx="225">
                  <c:v>1.79410752544425E-11</c:v>
                </c:pt>
                <c:pt idx="226">
                  <c:v>1.5741653748462929E-11</c:v>
                </c:pt>
                <c:pt idx="227">
                  <c:v>1.381186240078547E-11</c:v>
                </c:pt>
                <c:pt idx="228">
                  <c:v>1.2118646873226938E-11</c:v>
                </c:pt>
                <c:pt idx="229">
                  <c:v>1.0633005005148409E-11</c:v>
                </c:pt>
                <c:pt idx="230">
                  <c:v>9.3294900513431197E-12</c:v>
                </c:pt>
                <c:pt idx="231">
                  <c:v>8.1857748186863947E-12</c:v>
                </c:pt>
                <c:pt idx="232">
                  <c:v>7.1822692358832228E-12</c:v>
                </c:pt>
                <c:pt idx="233">
                  <c:v>6.3017848058753013E-12</c:v>
                </c:pt>
                <c:pt idx="234">
                  <c:v>5.5292401934967643E-12</c:v>
                </c:pt>
                <c:pt idx="235">
                  <c:v>4.8514029055509298E-12</c:v>
                </c:pt>
                <c:pt idx="236">
                  <c:v>4.2566626386876961E-12</c:v>
                </c:pt>
                <c:pt idx="237">
                  <c:v>3.7348324128816238E-12</c:v>
                </c:pt>
                <c:pt idx="238">
                  <c:v>3.2769740842350517E-12</c:v>
                </c:pt>
                <c:pt idx="239">
                  <c:v>2.8752452484106993E-12</c:v>
                </c:pt>
                <c:pt idx="240">
                  <c:v>2.5227649123865709E-12</c:v>
                </c:pt>
                <c:pt idx="241">
                  <c:v>2.2134956336982845E-12</c:v>
                </c:pt>
                <c:pt idx="242">
                  <c:v>1.9421401083965114E-12</c:v>
                </c:pt>
                <c:pt idx="243">
                  <c:v>1.7040504364313336E-12</c:v>
                </c:pt>
                <c:pt idx="244">
                  <c:v>1.4951485103200264E-12</c:v>
                </c:pt>
                <c:pt idx="245">
                  <c:v>1.3118561634793926E-12</c:v>
                </c:pt>
                <c:pt idx="246">
                  <c:v>1.1510338817717242E-12</c:v>
                </c:pt>
                <c:pt idx="247">
                  <c:v>1.0099270284880555E-12</c:v>
                </c:pt>
                <c:pt idx="248">
                  <c:v>8.8611866168592341E-13</c:v>
                </c:pt>
                <c:pt idx="249">
                  <c:v>7.774881357156773E-13</c:v>
                </c:pt>
                <c:pt idx="250">
                  <c:v>6.8217477784357345E-13</c:v>
                </c:pt>
                <c:pt idx="251">
                  <c:v>5.9854601780844282E-13</c:v>
                </c:pt>
                <c:pt idx="252">
                  <c:v>5.2516942442057739E-13</c:v>
                </c:pt>
                <c:pt idx="253">
                  <c:v>4.6078817023306613E-13</c:v>
                </c:pt>
                <c:pt idx="254">
                  <c:v>4.0429950403338388E-13</c:v>
                </c:pt>
                <c:pt idx="255">
                  <c:v>3.5473586242234316E-13</c:v>
                </c:pt>
                <c:pt idx="256">
                  <c:v>3.1124829695099726E-13</c:v>
                </c:pt>
                <c:pt idx="257">
                  <c:v>2.7309193294800753E-13</c:v>
                </c:pt>
                <c:pt idx="258">
                  <c:v>2.3961321096969967E-13</c:v>
                </c:pt>
                <c:pt idx="259">
                  <c:v>2.1023869233860028E-13</c:v>
                </c:pt>
                <c:pt idx="260">
                  <c:v>1.8446523702665952E-13</c:v>
                </c:pt>
                <c:pt idx="261">
                  <c:v>1.6185138564550598E-13</c:v>
                </c:pt>
                <c:pt idx="262">
                  <c:v>1.4200979793056827E-13</c:v>
                </c:pt>
                <c:pt idx="263">
                  <c:v>1.2460061820200296E-13</c:v>
                </c:pt>
                <c:pt idx="264">
                  <c:v>1.0932565416304571E-13</c:v>
                </c:pt>
                <c:pt idx="265">
                  <c:v>9.5923269327613525E-14</c:v>
                </c:pt>
                <c:pt idx="266">
                  <c:v>8.4163901592350128E-14</c:v>
                </c:pt>
                <c:pt idx="267">
                  <c:v>7.3846131193191561E-14</c:v>
                </c:pt>
                <c:pt idx="268">
                  <c:v>6.4793230696635372E-14</c:v>
                </c:pt>
                <c:pt idx="269">
                  <c:v>5.6850137932404963E-14</c:v>
                </c:pt>
                <c:pt idx="270">
                  <c:v>4.9880800018531869E-14</c:v>
                </c:pt>
                <c:pt idx="271">
                  <c:v>4.3765842986117686E-14</c:v>
                </c:pt>
                <c:pt idx="272">
                  <c:v>3.8400527088055386E-14</c:v>
                </c:pt>
                <c:pt idx="273">
                  <c:v>3.3692952769313997E-14</c:v>
                </c:pt>
                <c:pt idx="274">
                  <c:v>2.9562486569835034E-14</c:v>
                </c:pt>
                <c:pt idx="275">
                  <c:v>2.5938379998194221E-14</c:v>
                </c:pt>
                <c:pt idx="276">
                  <c:v>2.2758557719472527E-14</c:v>
                </c:pt>
                <c:pt idx="277">
                  <c:v>1.9968554300870808E-14</c:v>
                </c:pt>
                <c:pt idx="278">
                  <c:v>1.7520581303166504E-14</c:v>
                </c:pt>
                <c:pt idx="279">
                  <c:v>1.5372708738733329E-14</c:v>
                </c:pt>
                <c:pt idx="280">
                  <c:v>1.3488146875767061E-14</c:v>
                </c:pt>
                <c:pt idx="281">
                  <c:v>1.1834616087135681E-14</c:v>
                </c:pt>
                <c:pt idx="282">
                  <c:v>1.0383793950340243E-14</c:v>
                </c:pt>
                <c:pt idx="283">
                  <c:v>9.1108301282647653E-15</c:v>
                </c:pt>
                <c:pt idx="284">
                  <c:v>7.9939207213734323E-15</c:v>
                </c:pt>
                <c:pt idx="285">
                  <c:v>7.0139348006672098E-15</c:v>
                </c:pt>
                <c:pt idx="286">
                  <c:v>6.1540867244875989E-15</c:v>
                </c:pt>
                <c:pt idx="287">
                  <c:v>5.3996486264616839E-15</c:v>
                </c:pt>
                <c:pt idx="288">
                  <c:v>4.7376981499520798E-15</c:v>
                </c:pt>
                <c:pt idx="289">
                  <c:v>4.1568971080934532E-15</c:v>
                </c:pt>
                <c:pt idx="290">
                  <c:v>3.6472972782047108E-15</c:v>
                </c:pt>
                <c:pt idx="291">
                  <c:v>3.2001700041357927E-15</c:v>
                </c:pt>
                <c:pt idx="292">
                  <c:v>2.8078566879010735E-15</c:v>
                </c:pt>
                <c:pt idx="293">
                  <c:v>2.4636376097525106E-15</c:v>
                </c:pt>
                <c:pt idx="294">
                  <c:v>2.1616168297834809E-15</c:v>
                </c:pt>
                <c:pt idx="295">
                  <c:v>1.8966211996059681E-15</c:v>
                </c:pt>
                <c:pt idx="296">
                  <c:v>1.6641117543274742E-15</c:v>
                </c:pt>
                <c:pt idx="297">
                  <c:v>1.4601059671094008E-15</c:v>
                </c:pt>
                <c:pt idx="298">
                  <c:v>1.2811095346478443E-15</c:v>
                </c:pt>
                <c:pt idx="299">
                  <c:v>1.1240565251676994E-15</c:v>
                </c:pt>
                <c:pt idx="300">
                  <c:v>9.8625686375786667E-16</c:v>
                </c:pt>
                <c:pt idx="301">
                  <c:v>8.6535025555265958E-16</c:v>
                </c:pt>
                <c:pt idx="302">
                  <c:v>7.5926575753484111E-16</c:v>
                </c:pt>
                <c:pt idx="303">
                  <c:v>6.6618630648786469E-16</c:v>
                </c:pt>
                <c:pt idx="304">
                  <c:v>5.8451759551605744E-16</c:v>
                </c:pt>
                <c:pt idx="305">
                  <c:v>5.1286076603572011E-16</c:v>
                </c:pt>
                <c:pt idx="306">
                  <c:v>4.4998844749322864E-16</c:v>
                </c:pt>
                <c:pt idx="307">
                  <c:v>3.9482373440760144E-16</c:v>
                </c:pt>
                <c:pt idx="308">
                  <c:v>3.464217406468195E-16</c:v>
                </c:pt>
                <c:pt idx="309">
                  <c:v>3.0395341499120826E-16</c:v>
                </c:pt>
                <c:pt idx="310">
                  <c:v>2.666913407695386E-16</c:v>
                </c:pt>
                <c:pt idx="311">
                  <c:v>2.3399727633759734E-16</c:v>
                </c:pt>
                <c:pt idx="312">
                  <c:v>2.0531122298691434E-16</c:v>
                </c:pt>
                <c:pt idx="313">
                  <c:v>1.8014183303384719E-16</c:v>
                </c:pt>
                <c:pt idx="314">
                  <c:v>1.5805799379443943E-16</c:v>
                </c:pt>
                <c:pt idx="315">
                  <c:v>1.3868144329157057E-16</c:v>
                </c:pt>
                <c:pt idx="316">
                  <c:v>1.2168029121289352E-16</c:v>
                </c:pt>
                <c:pt idx="317">
                  <c:v>1.0676333414359933E-16</c:v>
                </c:pt>
                <c:pt idx="318">
                  <c:v>9.3675067702747583E-17</c:v>
                </c:pt>
                <c:pt idx="319">
                  <c:v>8.2191310148779422E-17</c:v>
                </c:pt>
                <c:pt idx="320">
                  <c:v>7.2115362493351133E-17</c:v>
                </c:pt>
                <c:pt idx="321">
                  <c:v>6.3274639352182981E-17</c:v>
                </c:pt>
                <c:pt idx="322">
                  <c:v>5.5517712824614222E-17</c:v>
                </c:pt>
                <c:pt idx="323">
                  <c:v>4.8711718768097528E-17</c:v>
                </c:pt>
                <c:pt idx="324">
                  <c:v>4.2740081041130552E-17</c:v>
                </c:pt>
                <c:pt idx="325">
                  <c:v>3.7500514734429088E-17</c:v>
                </c:pt>
                <c:pt idx="326">
                  <c:v>3.29032741887832E-17</c:v>
                </c:pt>
                <c:pt idx="327">
                  <c:v>2.8869615790854526E-17</c:v>
                </c:pt>
                <c:pt idx="328">
                  <c:v>2.5330449216986544E-17</c:v>
                </c:pt>
                <c:pt idx="329">
                  <c:v>2.2225154022922389E-17</c:v>
                </c:pt>
                <c:pt idx="330">
                  <c:v>1.9500541309444149E-17</c:v>
                </c:pt>
                <c:pt idx="331">
                  <c:v>1.7109942678873539E-17</c:v>
                </c:pt>
                <c:pt idx="332">
                  <c:v>1.5012410877669267E-17</c:v>
                </c:pt>
                <c:pt idx="333">
                  <c:v>1.317201843336627E-17</c:v>
                </c:pt>
                <c:pt idx="334">
                  <c:v>1.1557242272593439E-17</c:v>
                </c:pt>
                <c:pt idx="335">
                  <c:v>1.0140423779629143E-17</c:v>
                </c:pt>
                <c:pt idx="336">
                  <c:v>8.8972950471335599E-18</c:v>
                </c:pt>
                <c:pt idx="337">
                  <c:v>7.8065632044662425E-18</c:v>
                </c:pt>
                <c:pt idx="338">
                  <c:v>6.849545703776572E-18</c:v>
                </c:pt>
                <c:pt idx="339">
                  <c:v>6.0098503168824208E-18</c:v>
                </c:pt>
                <c:pt idx="340">
                  <c:v>5.2730943617789881E-18</c:v>
                </c:pt>
                <c:pt idx="341">
                  <c:v>4.626658349562578E-18</c:v>
                </c:pt>
                <c:pt idx="342">
                  <c:v>4.0594698321225129E-18</c:v>
                </c:pt>
                <c:pt idx="343">
                  <c:v>3.5618137482467879E-18</c:v>
                </c:pt>
                <c:pt idx="344">
                  <c:v>3.1251660196638601E-18</c:v>
                </c:pt>
                <c:pt idx="345">
                  <c:v>2.7420475467783921E-18</c:v>
                </c:pt>
                <c:pt idx="346">
                  <c:v>2.4058961032739362E-18</c:v>
                </c:pt>
                <c:pt idx="347">
                  <c:v>2.1109539353354306E-18</c:v>
                </c:pt>
                <c:pt idx="348">
                  <c:v>1.8521691402402033E-18</c:v>
                </c:pt>
                <c:pt idx="349">
                  <c:v>1.625109135085424E-18</c:v>
                </c:pt>
                <c:pt idx="350">
                  <c:v>1.4258847335052742E-18</c:v>
                </c:pt>
                <c:pt idx="351">
                  <c:v>1.2510835299295355E-18</c:v>
                </c:pt>
                <c:pt idx="352">
                  <c:v>1.0977114503590815E-18</c:v>
                </c:pt>
                <c:pt idx="353">
                  <c:v>9.6314146851354167E-19</c:v>
                </c:pt>
                <c:pt idx="354">
                  <c:v>8.4506860893814413E-19</c:v>
                </c:pt>
                <c:pt idx="355">
                  <c:v>7.4147046634261827E-19</c:v>
                </c:pt>
                <c:pt idx="356">
                  <c:v>6.5057256492955537E-19</c:v>
                </c:pt>
                <c:pt idx="357">
                  <c:v>5.7081796437114984E-19</c:v>
                </c:pt>
                <c:pt idx="358">
                  <c:v>5.0084059183175792E-19</c:v>
                </c:pt>
                <c:pt idx="359">
                  <c:v>4.3944184325510609E-19</c:v>
                </c:pt>
                <c:pt idx="360">
                  <c:v>3.8557005313242329E-19</c:v>
                </c:pt>
                <c:pt idx="361">
                  <c:v>3.3830248110040967E-19</c:v>
                </c:pt>
                <c:pt idx="362">
                  <c:v>2.9682950682735182E-19</c:v>
                </c:pt>
                <c:pt idx="363">
                  <c:v>2.6044076247025254E-19</c:v>
                </c:pt>
                <c:pt idx="364">
                  <c:v>2.285129651734349E-19</c:v>
                </c:pt>
                <c:pt idx="365">
                  <c:v>2.0049924119815853E-19</c:v>
                </c:pt>
              </c:numCache>
            </c:numRef>
          </c:yVal>
          <c:smooth val="1"/>
          <c:extLst>
            <c:ext xmlns:c16="http://schemas.microsoft.com/office/drawing/2014/chart" uri="{C3380CC4-5D6E-409C-BE32-E72D297353CC}">
              <c16:uniqueId val="{00000005-A669-4CB9-84F4-49AE9BAF6CDE}"/>
            </c:ext>
          </c:extLst>
        </c:ser>
        <c:ser>
          <c:idx val="6"/>
          <c:order val="6"/>
          <c:tx>
            <c:v>broadleaf plants (mean)</c:v>
          </c:tx>
          <c:spPr>
            <a:ln w="19050" cap="rnd">
              <a:solidFill>
                <a:schemeClr val="accent6"/>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concentrations'!$Y$3:$Y$367</c:f>
              <c:numCache>
                <c:formatCode>0</c:formatCode>
                <c:ptCount val="365"/>
                <c:pt idx="0" formatCode="General">
                  <c:v>135</c:v>
                </c:pt>
                <c:pt idx="1">
                  <c:v>118.45016120292347</c:v>
                </c:pt>
                <c:pt idx="2">
                  <c:v>103.92919028887819</c:v>
                </c:pt>
                <c:pt idx="3">
                  <c:v>91.188365506718</c:v>
                </c:pt>
                <c:pt idx="4">
                  <c:v>80.009456252606327</c:v>
                </c:pt>
                <c:pt idx="5">
                  <c:v>70.20098511762572</c:v>
                </c:pt>
                <c:pt idx="6">
                  <c:v>61.594948176198507</c:v>
                </c:pt>
                <c:pt idx="7">
                  <c:v>54.043937338936523</c:v>
                </c:pt>
                <c:pt idx="8">
                  <c:v>47.418615480279449</c:v>
                </c:pt>
                <c:pt idx="9">
                  <c:v>41.605501093766989</c:v>
                </c:pt>
                <c:pt idx="10">
                  <c:v>36.505024529519325</c:v>
                </c:pt>
                <c:pt idx="11">
                  <c:v>32.029822520283254</c:v>
                </c:pt>
                <c:pt idx="12">
                  <c:v>28.103241783915408</c:v>
                </c:pt>
                <c:pt idx="13">
                  <c:v>24.658026071329736</c:v>
                </c:pt>
                <c:pt idx="14">
                  <c:v>21.63516417107331</c:v>
                </c:pt>
                <c:pt idx="15">
                  <c:v>18.982879138632207</c:v>
                </c:pt>
                <c:pt idx="16">
                  <c:v>16.655741437530356</c:v>
                </c:pt>
                <c:pt idx="17">
                  <c:v>14.613890801701356</c:v>
                </c:pt>
                <c:pt idx="18">
                  <c:v>12.82235349084034</c:v>
                </c:pt>
                <c:pt idx="19">
                  <c:v>11.250443244377088</c:v>
                </c:pt>
                <c:pt idx="20">
                  <c:v>9.8712356733393136</c:v>
                </c:pt>
                <c:pt idx="21">
                  <c:v>8.6611070872525229</c:v>
                </c:pt>
                <c:pt idx="22">
                  <c:v>7.5993298568951433</c:v>
                </c:pt>
                <c:pt idx="23">
                  <c:v>6.6677173820994007</c:v>
                </c:pt>
                <c:pt idx="24">
                  <c:v>5.8503125834459917</c:v>
                </c:pt>
                <c:pt idx="25">
                  <c:v>5.1331145821975506</c:v>
                </c:pt>
                <c:pt idx="26">
                  <c:v>4.5038388869213115</c:v>
                </c:pt>
                <c:pt idx="27">
                  <c:v>3.9517069791690722</c:v>
                </c:pt>
                <c:pt idx="28">
                  <c:v>3.4672616941429211</c:v>
                </c:pt>
                <c:pt idx="29">
                  <c:v>3.0422052341033372</c:v>
                </c:pt>
                <c:pt idx="30">
                  <c:v>2.6692570399401321</c:v>
                </c:pt>
                <c:pt idx="31">
                  <c:v>2.3420290864662738</c:v>
                </c:pt>
                <c:pt idx="32">
                  <c:v>2.0549164654360426</c:v>
                </c:pt>
                <c:pt idx="33">
                  <c:v>1.8030013821440072</c:v>
                </c:pt>
                <c:pt idx="34">
                  <c:v>1.5819689212151962</c:v>
                </c:pt>
                <c:pt idx="35">
                  <c:v>1.3880331387848512</c:v>
                </c:pt>
                <c:pt idx="36">
                  <c:v>1.2178722151412258</c:v>
                </c:pt>
                <c:pt idx="37">
                  <c:v>1.0685715570965904</c:v>
                </c:pt>
                <c:pt idx="38">
                  <c:v>0.93757387551814864</c:v>
                </c:pt>
                <c:pt idx="39">
                  <c:v>0.82263538292425487</c:v>
                </c:pt>
                <c:pt idx="40">
                  <c:v>0.72178736087856787</c:v>
                </c:pt>
                <c:pt idx="41">
                  <c:v>0.63330243889110416</c:v>
                </c:pt>
                <c:pt idx="42">
                  <c:v>0.55566500723596945</c:v>
                </c:pt>
                <c:pt idx="43">
                  <c:v>0.48754525690314238</c:v>
                </c:pt>
                <c:pt idx="44">
                  <c:v>0.42777640202887374</c:v>
                </c:pt>
                <c:pt idx="45">
                  <c:v>0.3753346946601977</c:v>
                </c:pt>
                <c:pt idx="46">
                  <c:v>0.32932188953741093</c:v>
                </c:pt>
                <c:pt idx="47">
                  <c:v>0.28894985854339023</c:v>
                </c:pt>
                <c:pt idx="48">
                  <c:v>0.25352709128908524</c:v>
                </c:pt>
                <c:pt idx="49">
                  <c:v>0.22244685061111438</c:v>
                </c:pt>
                <c:pt idx="50">
                  <c:v>0.19517678010347506</c:v>
                </c:pt>
                <c:pt idx="51">
                  <c:v>0.17124978567647531</c:v>
                </c:pt>
                <c:pt idx="52">
                  <c:v>0.1502560349581081</c:v>
                </c:pt>
                <c:pt idx="53">
                  <c:v>0.13183593750000006</c:v>
                </c:pt>
                <c:pt idx="54">
                  <c:v>0.11567398554973</c:v>
                </c:pt>
                <c:pt idx="55">
                  <c:v>0.10149334989148266</c:v>
                </c:pt>
                <c:pt idx="56">
                  <c:v>8.9051138190154353E-2</c:v>
                </c:pt>
                <c:pt idx="57">
                  <c:v>7.8134234621685908E-2</c:v>
                </c:pt>
                <c:pt idx="58">
                  <c:v>6.8555649528931409E-2</c:v>
                </c:pt>
                <c:pt idx="59">
                  <c:v>6.0151316578318889E-2</c:v>
                </c:pt>
                <c:pt idx="60">
                  <c:v>5.2777282557555226E-2</c:v>
                </c:pt>
                <c:pt idx="61">
                  <c:v>4.6307241679960427E-2</c:v>
                </c:pt>
                <c:pt idx="62">
                  <c:v>4.0630372161881846E-2</c:v>
                </c:pt>
                <c:pt idx="63">
                  <c:v>3.564943801710873E-2</c:v>
                </c:pt>
                <c:pt idx="64">
                  <c:v>3.1279123554964129E-2</c:v>
                </c:pt>
                <c:pt idx="65">
                  <c:v>2.7444572054604901E-2</c:v>
                </c:pt>
                <c:pt idx="66">
                  <c:v>2.4080103585282956E-2</c:v>
                </c:pt>
                <c:pt idx="67">
                  <c:v>2.112809001081379E-2</c:v>
                </c:pt>
                <c:pt idx="68">
                  <c:v>1.8537967908820521E-2</c:v>
                </c:pt>
                <c:pt idx="69">
                  <c:v>1.6265372497588242E-2</c:v>
                </c:pt>
                <c:pt idx="70">
                  <c:v>1.4271377736036484E-2</c:v>
                </c:pt>
                <c:pt idx="71">
                  <c:v>1.2521829580898773E-2</c:v>
                </c:pt>
                <c:pt idx="72">
                  <c:v>1.0986760980837002E-2</c:v>
                </c:pt>
                <c:pt idx="73">
                  <c:v>9.6398785872454252E-3</c:v>
                </c:pt>
                <c:pt idx="74">
                  <c:v>8.4581123898950436E-3</c:v>
                </c:pt>
                <c:pt idx="75">
                  <c:v>7.4212205633741642E-3</c:v>
                </c:pt>
                <c:pt idx="76">
                  <c:v>6.5114427559564468E-3</c:v>
                </c:pt>
                <c:pt idx="77">
                  <c:v>5.7131958822714771E-3</c:v>
                </c:pt>
                <c:pt idx="78">
                  <c:v>5.0128072091772963E-3</c:v>
                </c:pt>
                <c:pt idx="79">
                  <c:v>4.3982801630090941E-3</c:v>
                </c:pt>
                <c:pt idx="80">
                  <c:v>3.8590888468447979E-3</c:v>
                </c:pt>
                <c:pt idx="81">
                  <c:v>3.3859977481864472E-3</c:v>
                </c:pt>
                <c:pt idx="82">
                  <c:v>2.9709035489290411E-3</c:v>
                </c:pt>
                <c:pt idx="83">
                  <c:v>2.6066963280665361E-3</c:v>
                </c:pt>
                <c:pt idx="84">
                  <c:v>2.2871377797522214E-3</c:v>
                </c:pt>
                <c:pt idx="85">
                  <c:v>2.0067543607773857E-3</c:v>
                </c:pt>
                <c:pt idx="86">
                  <c:v>1.7607435372500072E-3</c:v>
                </c:pt>
                <c:pt idx="87">
                  <c:v>1.5448915246242152E-3</c:v>
                </c:pt>
                <c:pt idx="88">
                  <c:v>1.3555011120945815E-3</c:v>
                </c:pt>
                <c:pt idx="89">
                  <c:v>1.1893283350988535E-3</c:v>
                </c:pt>
                <c:pt idx="90">
                  <c:v>1.0435269112271392E-3</c:v>
                </c:pt>
                <c:pt idx="91">
                  <c:v>9.1559948781069224E-4</c:v>
                </c:pt>
                <c:pt idx="92">
                  <c:v>8.0335486613696786E-4</c:v>
                </c:pt>
                <c:pt idx="93">
                  <c:v>7.0487046960797666E-4</c:v>
                </c:pt>
                <c:pt idx="94">
                  <c:v>6.1845941297959412E-4</c:v>
                </c:pt>
                <c:pt idx="95">
                  <c:v>5.4264160862887664E-4</c:v>
                </c:pt>
                <c:pt idx="96">
                  <c:v>4.7611841494447514E-4</c:v>
                </c:pt>
                <c:pt idx="97">
                  <c:v>4.1775039260632212E-4</c:v>
                </c:pt>
                <c:pt idx="98">
                  <c:v>3.6653778775409942E-4</c:v>
                </c:pt>
                <c:pt idx="99">
                  <c:v>3.2160340775137797E-4</c:v>
                </c:pt>
                <c:pt idx="100">
                  <c:v>2.8217759623377963E-4</c:v>
                </c:pt>
                <c:pt idx="101">
                  <c:v>2.4758505008699741E-4</c:v>
                </c:pt>
                <c:pt idx="102">
                  <c:v>2.1723325254991647E-4</c:v>
                </c:pt>
                <c:pt idx="103">
                  <c:v>1.9060232431979994E-4</c:v>
                </c:pt>
                <c:pt idx="104">
                  <c:v>1.67236118824683E-4</c:v>
                </c:pt>
                <c:pt idx="105">
                  <c:v>1.4673440913877753E-4</c:v>
                </c:pt>
                <c:pt idx="106">
                  <c:v>1.2874603271484389E-4</c:v>
                </c:pt>
                <c:pt idx="107">
                  <c:v>1.1296287651340828E-4</c:v>
                </c:pt>
                <c:pt idx="108">
                  <c:v>9.9114599503401091E-5</c:v>
                </c:pt>
                <c:pt idx="109">
                  <c:v>8.6964002138822651E-5</c:v>
                </c:pt>
                <c:pt idx="110">
                  <c:v>7.6302963497740185E-5</c:v>
                </c:pt>
                <c:pt idx="111">
                  <c:v>6.694887649309712E-5</c:v>
                </c:pt>
                <c:pt idx="112">
                  <c:v>5.8741520096014574E-5</c:v>
                </c:pt>
                <c:pt idx="113">
                  <c:v>5.1540314997612552E-5</c:v>
                </c:pt>
                <c:pt idx="114">
                  <c:v>4.5221915703086375E-5</c:v>
                </c:pt>
                <c:pt idx="115">
                  <c:v>3.9678097814337761E-5</c:v>
                </c:pt>
                <c:pt idx="116">
                  <c:v>3.4813904313582764E-5</c:v>
                </c:pt>
                <c:pt idx="117">
                  <c:v>3.0546019096644678E-5</c:v>
                </c:pt>
                <c:pt idx="118">
                  <c:v>2.6801339897075119E-5</c:v>
                </c:pt>
                <c:pt idx="119">
                  <c:v>2.3515726157502904E-5</c:v>
                </c:pt>
                <c:pt idx="120">
                  <c:v>2.0632900401185355E-5</c:v>
                </c:pt>
                <c:pt idx="121">
                  <c:v>1.8103484285957554E-5</c:v>
                </c:pt>
                <c:pt idx="122">
                  <c:v>1.5884152829676031E-5</c:v>
                </c:pt>
                <c:pt idx="123">
                  <c:v>1.393689232034814E-5</c:v>
                </c:pt>
                <c:pt idx="124">
                  <c:v>1.2228349200096469E-5</c:v>
                </c:pt>
                <c:pt idx="125">
                  <c:v>1.0729258770348645E-5</c:v>
                </c:pt>
                <c:pt idx="126">
                  <c:v>9.413943932856869E-6</c:v>
                </c:pt>
                <c:pt idx="127">
                  <c:v>8.2598753807568853E-6</c:v>
                </c:pt>
                <c:pt idx="128">
                  <c:v>7.2472857064200882E-6</c:v>
                </c:pt>
                <c:pt idx="129">
                  <c:v>6.3588308163637227E-6</c:v>
                </c:pt>
                <c:pt idx="130">
                  <c:v>5.5792928537807436E-6</c:v>
                </c:pt>
                <c:pt idx="131">
                  <c:v>4.8953195402122077E-6</c:v>
                </c:pt>
                <c:pt idx="132">
                  <c:v>4.2951954716885719E-6</c:v>
                </c:pt>
                <c:pt idx="133">
                  <c:v>3.768641451996876E-6</c:v>
                </c:pt>
                <c:pt idx="134">
                  <c:v>3.3066384259633299E-6</c:v>
                </c:pt>
                <c:pt idx="135">
                  <c:v>2.9012729970010188E-6</c:v>
                </c:pt>
                <c:pt idx="136">
                  <c:v>2.5456018828774784E-6</c:v>
                </c:pt>
                <c:pt idx="137">
                  <c:v>2.23353298803928E-6</c:v>
                </c:pt>
                <c:pt idx="138">
                  <c:v>1.959721055446667E-6</c:v>
                </c:pt>
                <c:pt idx="139">
                  <c:v>1.7194761105957115E-6</c:v>
                </c:pt>
                <c:pt idx="140">
                  <c:v>1.5086831295158362E-6</c:v>
                </c:pt>
                <c:pt idx="141">
                  <c:v>1.3237315547798658E-6</c:v>
                </c:pt>
                <c:pt idx="142">
                  <c:v>1.161453452244975E-6</c:v>
                </c:pt>
                <c:pt idx="143">
                  <c:v>1.0190692492452538E-6</c:v>
                </c:pt>
                <c:pt idx="144">
                  <c:v>8.9414012481512967E-7</c:v>
                </c:pt>
                <c:pt idx="145">
                  <c:v>7.845262364618831E-7</c:v>
                </c:pt>
                <c:pt idx="146">
                  <c:v>6.8835006797654013E-7</c:v>
                </c:pt>
                <c:pt idx="147">
                  <c:v>6.039642704878852E-7</c:v>
                </c:pt>
                <c:pt idx="148">
                  <c:v>5.2992344592663755E-7</c:v>
                </c:pt>
                <c:pt idx="149">
                  <c:v>4.6495938959421422E-7</c:v>
                </c:pt>
                <c:pt idx="150">
                  <c:v>4.0795936777961165E-7</c:v>
                </c:pt>
                <c:pt idx="151">
                  <c:v>3.5794705835361293E-7</c:v>
                </c:pt>
                <c:pt idx="152">
                  <c:v>3.1406582788220521E-7</c:v>
                </c:pt>
                <c:pt idx="153">
                  <c:v>2.7556405882205052E-7</c:v>
                </c:pt>
                <c:pt idx="154">
                  <c:v>2.4178227547558346E-7</c:v>
                </c:pt>
                <c:pt idx="155">
                  <c:v>2.1214184819327786E-7</c:v>
                </c:pt>
                <c:pt idx="156">
                  <c:v>1.8613508234355468E-7</c:v>
                </c:pt>
                <c:pt idx="157">
                  <c:v>1.6331652228972952E-7</c:v>
                </c:pt>
                <c:pt idx="158">
                  <c:v>1.4329532142458745E-7</c:v>
                </c:pt>
                <c:pt idx="159">
                  <c:v>1.2572854757308976E-7</c:v>
                </c:pt>
                <c:pt idx="160">
                  <c:v>1.103153090951253E-7</c:v>
                </c:pt>
                <c:pt idx="161">
                  <c:v>9.6791601077540155E-8</c:v>
                </c:pt>
                <c:pt idx="162">
                  <c:v>8.4925783338694021E-8</c:v>
                </c:pt>
                <c:pt idx="163">
                  <c:v>7.4514612790761913E-8</c:v>
                </c:pt>
                <c:pt idx="164">
                  <c:v>6.5379762200290156E-8</c:v>
                </c:pt>
                <c:pt idx="165">
                  <c:v>5.7364765718764232E-8</c:v>
                </c:pt>
                <c:pt idx="166">
                  <c:v>5.0332338864856008E-8</c:v>
                </c:pt>
                <c:pt idx="167">
                  <c:v>4.4162027053795288E-8</c:v>
                </c:pt>
                <c:pt idx="168">
                  <c:v>3.8748142396814219E-8</c:v>
                </c:pt>
                <c:pt idx="169">
                  <c:v>3.3997953431233168E-8</c:v>
                </c:pt>
                <c:pt idx="170">
                  <c:v>2.9830096774067068E-8</c:v>
                </c:pt>
                <c:pt idx="171">
                  <c:v>2.6173183493237421E-8</c:v>
                </c:pt>
                <c:pt idx="172">
                  <c:v>2.2964576325686429E-8</c:v>
                </c:pt>
                <c:pt idx="173">
                  <c:v>2.0149316798032573E-8</c:v>
                </c:pt>
                <c:pt idx="174">
                  <c:v>1.7679183873005424E-8</c:v>
                </c:pt>
                <c:pt idx="175">
                  <c:v>1.5511867997730499E-8</c:v>
                </c:pt>
                <c:pt idx="176">
                  <c:v>1.3610246406589981E-8</c:v>
                </c:pt>
                <c:pt idx="177">
                  <c:v>1.1941747265719208E-8</c:v>
                </c:pt>
                <c:pt idx="178">
                  <c:v>1.0477791767918598E-8</c:v>
                </c:pt>
                <c:pt idx="179">
                  <c:v>9.1933046219305361E-9</c:v>
                </c:pt>
                <c:pt idx="180">
                  <c:v>8.0662845515203958E-9</c:v>
                </c:pt>
                <c:pt idx="181">
                  <c:v>7.0774274476758674E-9</c:v>
                </c:pt>
                <c:pt idx="182">
                  <c:v>6.209795719105198E-9</c:v>
                </c:pt>
                <c:pt idx="183">
                  <c:v>5.4485281775202574E-9</c:v>
                </c:pt>
                <c:pt idx="184">
                  <c:v>4.7805854884884841E-9</c:v>
                </c:pt>
                <c:pt idx="185">
                  <c:v>4.194526827820871E-9</c:v>
                </c:pt>
                <c:pt idx="186">
                  <c:v>3.6803139179656992E-9</c:v>
                </c:pt>
                <c:pt idx="187">
                  <c:v>3.2291390878548144E-9</c:v>
                </c:pt>
                <c:pt idx="188">
                  <c:v>2.8332744111338074E-9</c:v>
                </c:pt>
                <c:pt idx="189">
                  <c:v>2.4859393387475375E-9</c:v>
                </c:pt>
                <c:pt idx="190">
                  <c:v>2.1811845586321094E-9</c:v>
                </c:pt>
                <c:pt idx="191">
                  <c:v>1.9137900932096358E-9</c:v>
                </c:pt>
                <c:pt idx="192">
                  <c:v>1.6791758892536245E-9</c:v>
                </c:pt>
                <c:pt idx="193">
                  <c:v>1.4733233686678088E-9</c:v>
                </c:pt>
                <c:pt idx="194">
                  <c:v>1.2927065964647127E-9</c:v>
                </c:pt>
                <c:pt idx="195">
                  <c:v>1.1342318869579834E-9</c:v>
                </c:pt>
                <c:pt idx="196">
                  <c:v>9.9518481371606816E-10</c:v>
                </c:pt>
                <c:pt idx="197">
                  <c:v>8.7318371563977507E-10</c:v>
                </c:pt>
                <c:pt idx="198">
                  <c:v>7.6613890279480771E-10</c:v>
                </c:pt>
                <c:pt idx="199">
                  <c:v>6.7221686325833997E-10</c:v>
                </c:pt>
                <c:pt idx="200">
                  <c:v>5.8980885789832539E-10</c:v>
                </c:pt>
                <c:pt idx="201">
                  <c:v>5.1750336516273199E-10</c:v>
                </c:pt>
                <c:pt idx="202">
                  <c:v>4.5406190390059982E-10</c:v>
                </c:pt>
                <c:pt idx="203">
                  <c:v>3.9839782009727701E-10</c:v>
                </c:pt>
                <c:pt idx="204">
                  <c:v>3.4955767417345013E-10</c:v>
                </c:pt>
                <c:pt idx="205">
                  <c:v>3.0670491004121602E-10</c:v>
                </c:pt>
                <c:pt idx="206">
                  <c:v>2.6910552619340871E-10</c:v>
                </c:pt>
                <c:pt idx="207">
                  <c:v>2.3611550339412447E-10</c:v>
                </c:pt>
                <c:pt idx="208">
                  <c:v>2.0716977362624791E-10</c:v>
                </c:pt>
                <c:pt idx="209">
                  <c:v>1.8177254135112762E-10</c:v>
                </c:pt>
                <c:pt idx="210">
                  <c:v>1.5948879129856398E-10</c:v>
                </c:pt>
                <c:pt idx="211">
                  <c:v>1.3993683732869869E-10</c:v>
                </c:pt>
                <c:pt idx="212">
                  <c:v>1.2278178473934547E-10</c:v>
                </c:pt>
                <c:pt idx="213">
                  <c:v>1.077297940382083E-10</c:v>
                </c:pt>
                <c:pt idx="214">
                  <c:v>9.4523047927285307E-11</c:v>
                </c:pt>
                <c:pt idx="215">
                  <c:v>8.293533529169338E-11</c:v>
                </c:pt>
                <c:pt idx="216">
                  <c:v>7.276817655347843E-11</c:v>
                </c:pt>
                <c:pt idx="217">
                  <c:v>6.3847424023720855E-11</c:v>
                </c:pt>
                <c:pt idx="218">
                  <c:v>5.6020279022230696E-11</c:v>
                </c:pt>
                <c:pt idx="219">
                  <c:v>4.9152674672710946E-11</c:v>
                </c:pt>
                <c:pt idx="220">
                  <c:v>4.3126979544721961E-11</c:v>
                </c:pt>
                <c:pt idx="221">
                  <c:v>3.7839982809388886E-11</c:v>
                </c:pt>
                <c:pt idx="222">
                  <c:v>3.3201126397688641E-11</c:v>
                </c:pt>
                <c:pt idx="223">
                  <c:v>2.9130953880924871E-11</c:v>
                </c:pt>
                <c:pt idx="224">
                  <c:v>2.5559749505114669E-11</c:v>
                </c:pt>
                <c:pt idx="225">
                  <c:v>2.2426344068053154E-11</c:v>
                </c:pt>
                <c:pt idx="226">
                  <c:v>1.9677067185578685E-11</c:v>
                </c:pt>
                <c:pt idx="227">
                  <c:v>1.7264828000981859E-11</c:v>
                </c:pt>
                <c:pt idx="228">
                  <c:v>1.514830859153369E-11</c:v>
                </c:pt>
                <c:pt idx="229">
                  <c:v>1.3291256256435528E-11</c:v>
                </c:pt>
                <c:pt idx="230">
                  <c:v>1.1661862564178914E-11</c:v>
                </c:pt>
                <c:pt idx="231">
                  <c:v>1.0232218523358006E-11</c:v>
                </c:pt>
                <c:pt idx="232">
                  <c:v>8.9778365448540392E-12</c:v>
                </c:pt>
                <c:pt idx="233">
                  <c:v>7.8772310073441365E-12</c:v>
                </c:pt>
                <c:pt idx="234">
                  <c:v>6.9115502418709642E-12</c:v>
                </c:pt>
                <c:pt idx="235">
                  <c:v>6.0642536319386699E-12</c:v>
                </c:pt>
                <c:pt idx="236">
                  <c:v>5.3208282983596264E-12</c:v>
                </c:pt>
                <c:pt idx="237">
                  <c:v>4.6685405161020352E-12</c:v>
                </c:pt>
                <c:pt idx="238">
                  <c:v>4.0962176052938193E-12</c:v>
                </c:pt>
                <c:pt idx="239">
                  <c:v>3.5940565605133781E-12</c:v>
                </c:pt>
                <c:pt idx="240">
                  <c:v>3.1534561404832172E-12</c:v>
                </c:pt>
                <c:pt idx="241">
                  <c:v>2.7668695421228588E-12</c:v>
                </c:pt>
                <c:pt idx="242">
                  <c:v>2.427675135495642E-12</c:v>
                </c:pt>
                <c:pt idx="243">
                  <c:v>2.1300630455391693E-12</c:v>
                </c:pt>
                <c:pt idx="244">
                  <c:v>1.8689356379000349E-12</c:v>
                </c:pt>
                <c:pt idx="245">
                  <c:v>1.6398202043492426E-12</c:v>
                </c:pt>
                <c:pt idx="246">
                  <c:v>1.4387923522146571E-12</c:v>
                </c:pt>
                <c:pt idx="247">
                  <c:v>1.262408785610071E-12</c:v>
                </c:pt>
                <c:pt idx="248">
                  <c:v>1.1076483271074057E-12</c:v>
                </c:pt>
                <c:pt idx="249">
                  <c:v>9.7186016964459781E-13</c:v>
                </c:pt>
                <c:pt idx="250">
                  <c:v>8.5271847230446784E-13</c:v>
                </c:pt>
                <c:pt idx="251">
                  <c:v>7.4818252226055441E-13</c:v>
                </c:pt>
                <c:pt idx="252">
                  <c:v>6.5646178052572262E-13</c:v>
                </c:pt>
                <c:pt idx="253">
                  <c:v>5.7598521279133339E-13</c:v>
                </c:pt>
                <c:pt idx="254">
                  <c:v>5.0537438004173045E-13</c:v>
                </c:pt>
                <c:pt idx="255">
                  <c:v>4.4341982802792951E-13</c:v>
                </c:pt>
                <c:pt idx="256">
                  <c:v>3.8906037118874708E-13</c:v>
                </c:pt>
                <c:pt idx="257">
                  <c:v>3.4136491618500989E-13</c:v>
                </c:pt>
                <c:pt idx="258">
                  <c:v>2.9951651371212502E-13</c:v>
                </c:pt>
                <c:pt idx="259">
                  <c:v>2.627983654232507E-13</c:v>
                </c:pt>
                <c:pt idx="260">
                  <c:v>2.3058154628332468E-13</c:v>
                </c:pt>
                <c:pt idx="261">
                  <c:v>2.0231423205688272E-13</c:v>
                </c:pt>
                <c:pt idx="262">
                  <c:v>1.7751224741321057E-13</c:v>
                </c:pt>
                <c:pt idx="263">
                  <c:v>1.5575077275250389E-13</c:v>
                </c:pt>
                <c:pt idx="264">
                  <c:v>1.3665706770380731E-13</c:v>
                </c:pt>
                <c:pt idx="265">
                  <c:v>1.1990408665951706E-13</c:v>
                </c:pt>
                <c:pt idx="266">
                  <c:v>1.0520487699043779E-13</c:v>
                </c:pt>
                <c:pt idx="267">
                  <c:v>9.2307663991489558E-14</c:v>
                </c:pt>
                <c:pt idx="268">
                  <c:v>8.0991538370794316E-14</c:v>
                </c:pt>
                <c:pt idx="269">
                  <c:v>7.106267241550628E-14</c:v>
                </c:pt>
                <c:pt idx="270">
                  <c:v>6.2351000023164898E-14</c:v>
                </c:pt>
                <c:pt idx="271">
                  <c:v>5.4707303732647164E-14</c:v>
                </c:pt>
                <c:pt idx="272">
                  <c:v>4.8000658860069283E-14</c:v>
                </c:pt>
                <c:pt idx="273">
                  <c:v>4.211619096164254E-14</c:v>
                </c:pt>
                <c:pt idx="274">
                  <c:v>3.6953108212293834E-14</c:v>
                </c:pt>
                <c:pt idx="275">
                  <c:v>3.2422974997742813E-14</c:v>
                </c:pt>
                <c:pt idx="276">
                  <c:v>2.8448197149340695E-14</c:v>
                </c:pt>
                <c:pt idx="277">
                  <c:v>2.4960692876088544E-14</c:v>
                </c:pt>
                <c:pt idx="278">
                  <c:v>2.1900726628958158E-14</c:v>
                </c:pt>
                <c:pt idx="279">
                  <c:v>1.9215885923416684E-14</c:v>
                </c:pt>
                <c:pt idx="280">
                  <c:v>1.6860183594708847E-14</c:v>
                </c:pt>
                <c:pt idx="281">
                  <c:v>1.4793270108919619E-14</c:v>
                </c:pt>
                <c:pt idx="282">
                  <c:v>1.297974243792532E-14</c:v>
                </c:pt>
                <c:pt idx="283">
                  <c:v>1.138853766033097E-14</c:v>
                </c:pt>
                <c:pt idx="284">
                  <c:v>9.992400901716803E-15</c:v>
                </c:pt>
                <c:pt idx="285">
                  <c:v>8.7674185008340227E-15</c:v>
                </c:pt>
                <c:pt idx="286">
                  <c:v>7.6926084056095083E-15</c:v>
                </c:pt>
                <c:pt idx="287">
                  <c:v>6.7495607830771135E-15</c:v>
                </c:pt>
                <c:pt idx="288">
                  <c:v>5.9221226874401073E-15</c:v>
                </c:pt>
                <c:pt idx="289">
                  <c:v>5.1961213851168227E-15</c:v>
                </c:pt>
                <c:pt idx="290">
                  <c:v>4.5591215977558938E-15</c:v>
                </c:pt>
                <c:pt idx="291">
                  <c:v>4.0002125051697454E-15</c:v>
                </c:pt>
                <c:pt idx="292">
                  <c:v>3.5098208598763458E-15</c:v>
                </c:pt>
                <c:pt idx="293">
                  <c:v>3.0795470121906417E-15</c:v>
                </c:pt>
                <c:pt idx="294">
                  <c:v>2.7020210372293543E-15</c:v>
                </c:pt>
                <c:pt idx="295">
                  <c:v>2.3707764995074629E-15</c:v>
                </c:pt>
                <c:pt idx="296">
                  <c:v>2.080139692909345E-15</c:v>
                </c:pt>
                <c:pt idx="297">
                  <c:v>1.8251324588867529E-15</c:v>
                </c:pt>
                <c:pt idx="298">
                  <c:v>1.6013869183098073E-15</c:v>
                </c:pt>
                <c:pt idx="299">
                  <c:v>1.405070656459626E-15</c:v>
                </c:pt>
                <c:pt idx="300">
                  <c:v>1.232821079697335E-15</c:v>
                </c:pt>
                <c:pt idx="301">
                  <c:v>1.0816878194408258E-15</c:v>
                </c:pt>
                <c:pt idx="302">
                  <c:v>9.4908219691855255E-16</c:v>
                </c:pt>
                <c:pt idx="303">
                  <c:v>8.3273288310983188E-16</c:v>
                </c:pt>
                <c:pt idx="304">
                  <c:v>7.3064699439507266E-16</c:v>
                </c:pt>
                <c:pt idx="305">
                  <c:v>6.41075957544651E-16</c:v>
                </c:pt>
                <c:pt idx="306">
                  <c:v>5.6248555936653651E-16</c:v>
                </c:pt>
                <c:pt idx="307">
                  <c:v>4.935296680095024E-16</c:v>
                </c:pt>
                <c:pt idx="308">
                  <c:v>4.3302717580852491E-16</c:v>
                </c:pt>
                <c:pt idx="309">
                  <c:v>3.7994176873901082E-16</c:v>
                </c:pt>
                <c:pt idx="310">
                  <c:v>3.3336417596192372E-16</c:v>
                </c:pt>
                <c:pt idx="311">
                  <c:v>2.9249659542199709E-16</c:v>
                </c:pt>
                <c:pt idx="312">
                  <c:v>2.5663902873364326E-16</c:v>
                </c:pt>
                <c:pt idx="313">
                  <c:v>2.2517729129230926E-16</c:v>
                </c:pt>
                <c:pt idx="314">
                  <c:v>1.9757249224304953E-16</c:v>
                </c:pt>
                <c:pt idx="315">
                  <c:v>1.7335180411446344E-16</c:v>
                </c:pt>
                <c:pt idx="316">
                  <c:v>1.5210036401611708E-16</c:v>
                </c:pt>
                <c:pt idx="317">
                  <c:v>1.3345416767949933E-16</c:v>
                </c:pt>
                <c:pt idx="318">
                  <c:v>1.1709383462843463E-16</c:v>
                </c:pt>
                <c:pt idx="319">
                  <c:v>1.027391376859744E-16</c:v>
                </c:pt>
                <c:pt idx="320">
                  <c:v>9.0144203116689021E-17</c:v>
                </c:pt>
                <c:pt idx="321">
                  <c:v>7.9093299190228825E-17</c:v>
                </c:pt>
                <c:pt idx="322">
                  <c:v>6.9397141030767851E-17</c:v>
                </c:pt>
                <c:pt idx="323">
                  <c:v>6.088964846012197E-17</c:v>
                </c:pt>
                <c:pt idx="324">
                  <c:v>5.3425101301413246E-17</c:v>
                </c:pt>
                <c:pt idx="325">
                  <c:v>4.6875643418036409E-17</c:v>
                </c:pt>
                <c:pt idx="326">
                  <c:v>4.1129092735979043E-17</c:v>
                </c:pt>
                <c:pt idx="327">
                  <c:v>3.6087019738568197E-17</c:v>
                </c:pt>
                <c:pt idx="328">
                  <c:v>3.1663061521233216E-17</c:v>
                </c:pt>
                <c:pt idx="329">
                  <c:v>2.7781442528653022E-17</c:v>
                </c:pt>
                <c:pt idx="330">
                  <c:v>2.4375676636805218E-17</c:v>
                </c:pt>
                <c:pt idx="331">
                  <c:v>2.1387428348591951E-17</c:v>
                </c:pt>
                <c:pt idx="332">
                  <c:v>1.8765513597086606E-17</c:v>
                </c:pt>
                <c:pt idx="333">
                  <c:v>1.6465023041707858E-17</c:v>
                </c:pt>
                <c:pt idx="334">
                  <c:v>1.4446552840741816E-17</c:v>
                </c:pt>
                <c:pt idx="335">
                  <c:v>1.2675529724536446E-17</c:v>
                </c:pt>
                <c:pt idx="336">
                  <c:v>1.1121618808916963E-17</c:v>
                </c:pt>
                <c:pt idx="337">
                  <c:v>9.7582040055828154E-18</c:v>
                </c:pt>
                <c:pt idx="338">
                  <c:v>8.5619321297207253E-18</c:v>
                </c:pt>
                <c:pt idx="339">
                  <c:v>7.5123128961030355E-18</c:v>
                </c:pt>
                <c:pt idx="340">
                  <c:v>6.5913679522237437E-18</c:v>
                </c:pt>
                <c:pt idx="341">
                  <c:v>5.7833229369532298E-18</c:v>
                </c:pt>
                <c:pt idx="342">
                  <c:v>5.0743372901531471E-18</c:v>
                </c:pt>
                <c:pt idx="343">
                  <c:v>4.45226718530849E-18</c:v>
                </c:pt>
                <c:pt idx="344">
                  <c:v>3.9064575245798295E-18</c:v>
                </c:pt>
                <c:pt idx="345">
                  <c:v>3.427559433472994E-18</c:v>
                </c:pt>
                <c:pt idx="346">
                  <c:v>3.0073701290924236E-18</c:v>
                </c:pt>
                <c:pt idx="347">
                  <c:v>2.6386924191692913E-18</c:v>
                </c:pt>
                <c:pt idx="348">
                  <c:v>2.3152114253002568E-18</c:v>
                </c:pt>
                <c:pt idx="349">
                  <c:v>2.0313864188567822E-18</c:v>
                </c:pt>
                <c:pt idx="350">
                  <c:v>1.7823559168815946E-18</c:v>
                </c:pt>
                <c:pt idx="351">
                  <c:v>1.5638544124119212E-18</c:v>
                </c:pt>
                <c:pt idx="352">
                  <c:v>1.3721393129488535E-18</c:v>
                </c:pt>
                <c:pt idx="353">
                  <c:v>1.2039268356419287E-18</c:v>
                </c:pt>
                <c:pt idx="354">
                  <c:v>1.0563357611726815E-18</c:v>
                </c:pt>
                <c:pt idx="355">
                  <c:v>9.2683808292827397E-19</c:v>
                </c:pt>
                <c:pt idx="356">
                  <c:v>8.1321570616194519E-19</c:v>
                </c:pt>
                <c:pt idx="357">
                  <c:v>7.1352245546393815E-19</c:v>
                </c:pt>
                <c:pt idx="358">
                  <c:v>6.2605073978969824E-19</c:v>
                </c:pt>
                <c:pt idx="359">
                  <c:v>5.4930230406888331E-19</c:v>
                </c:pt>
                <c:pt idx="360">
                  <c:v>4.8196256641552968E-19</c:v>
                </c:pt>
                <c:pt idx="361">
                  <c:v>4.2287810137551261E-19</c:v>
                </c:pt>
                <c:pt idx="362">
                  <c:v>3.7103688353419025E-19</c:v>
                </c:pt>
                <c:pt idx="363">
                  <c:v>3.2555095308781613E-19</c:v>
                </c:pt>
                <c:pt idx="364">
                  <c:v>2.8564120646679403E-19</c:v>
                </c:pt>
              </c:numCache>
            </c:numRef>
          </c:yVal>
          <c:smooth val="1"/>
          <c:extLst>
            <c:ext xmlns:c16="http://schemas.microsoft.com/office/drawing/2014/chart" uri="{C3380CC4-5D6E-409C-BE32-E72D297353CC}">
              <c16:uniqueId val="{00000006-A669-4CB9-84F4-49AE9BAF6CDE}"/>
            </c:ext>
          </c:extLst>
        </c:ser>
        <c:ser>
          <c:idx val="7"/>
          <c:order val="7"/>
          <c:tx>
            <c:strRef>
              <c:f>'Min rate concentrations'!$Z$2</c:f>
              <c:strCache>
                <c:ptCount val="1"/>
                <c:pt idx="0">
                  <c:v>Seeds, fruit and pods</c:v>
                </c:pt>
              </c:strCache>
            </c:strRef>
          </c:tx>
          <c:spPr>
            <a:ln w="19050" cap="rnd">
              <a:solidFill>
                <a:srgbClr val="7030A0"/>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concentrations'!$Z$3:$Z$368</c:f>
              <c:numCache>
                <c:formatCode>0</c:formatCode>
                <c:ptCount val="366"/>
                <c:pt idx="0" formatCode="General">
                  <c:v>21</c:v>
                </c:pt>
                <c:pt idx="1">
                  <c:v>18.425580631565872</c:v>
                </c:pt>
                <c:pt idx="2">
                  <c:v>16.166762933825495</c:v>
                </c:pt>
                <c:pt idx="3">
                  <c:v>14.184856856600577</c:v>
                </c:pt>
                <c:pt idx="4">
                  <c:v>12.445915417072094</c:v>
                </c:pt>
                <c:pt idx="5">
                  <c:v>10.920153240519555</c:v>
                </c:pt>
                <c:pt idx="6">
                  <c:v>9.5814363829642115</c:v>
                </c:pt>
                <c:pt idx="7">
                  <c:v>8.406834697167902</c:v>
                </c:pt>
                <c:pt idx="8">
                  <c:v>7.3762290747101353</c:v>
                </c:pt>
                <c:pt idx="9">
                  <c:v>6.4719668368081971</c:v>
                </c:pt>
                <c:pt idx="10">
                  <c:v>5.6785593712585607</c:v>
                </c:pt>
                <c:pt idx="11">
                  <c:v>4.9824168364885058</c:v>
                </c:pt>
                <c:pt idx="12">
                  <c:v>4.3716153886090625</c:v>
                </c:pt>
                <c:pt idx="13">
                  <c:v>3.8356929444290695</c:v>
                </c:pt>
                <c:pt idx="14">
                  <c:v>3.3654699821669589</c:v>
                </c:pt>
                <c:pt idx="15">
                  <c:v>2.9528923104538984</c:v>
                </c:pt>
                <c:pt idx="16">
                  <c:v>2.5908931125047214</c:v>
                </c:pt>
                <c:pt idx="17">
                  <c:v>2.273271902486877</c:v>
                </c:pt>
                <c:pt idx="18">
                  <c:v>1.994588320797386</c:v>
                </c:pt>
                <c:pt idx="19">
                  <c:v>1.7500689491253245</c:v>
                </c:pt>
                <c:pt idx="20">
                  <c:v>1.5355255491861153</c:v>
                </c:pt>
                <c:pt idx="21">
                  <c:v>1.3472833246837255</c:v>
                </c:pt>
                <c:pt idx="22">
                  <c:v>1.1821179777392441</c:v>
                </c:pt>
                <c:pt idx="23">
                  <c:v>1.0372004816599063</c:v>
                </c:pt>
                <c:pt idx="24">
                  <c:v>0.91004862409159826</c:v>
                </c:pt>
                <c:pt idx="25">
                  <c:v>0.79848449056406312</c:v>
                </c:pt>
                <c:pt idx="26">
                  <c:v>0.7005971601877593</c:v>
                </c:pt>
                <c:pt idx="27">
                  <c:v>0.61470997453741105</c:v>
                </c:pt>
                <c:pt idx="28">
                  <c:v>0.53935181908889862</c:v>
                </c:pt>
                <c:pt idx="29">
                  <c:v>0.47323192530496339</c:v>
                </c:pt>
                <c:pt idx="30">
                  <c:v>0.41521776176846481</c:v>
                </c:pt>
                <c:pt idx="31">
                  <c:v>0.36431563567253133</c:v>
                </c:pt>
                <c:pt idx="32">
                  <c:v>0.31965367240116205</c:v>
                </c:pt>
                <c:pt idx="33">
                  <c:v>0.28046688166684541</c:v>
                </c:pt>
                <c:pt idx="34">
                  <c:v>0.24608405441125258</c:v>
                </c:pt>
                <c:pt idx="35">
                  <c:v>0.21591626603319897</c:v>
                </c:pt>
                <c:pt idx="36">
                  <c:v>0.18944678902196835</c:v>
                </c:pt>
                <c:pt idx="37">
                  <c:v>0.16622224221502507</c:v>
                </c:pt>
                <c:pt idx="38">
                  <c:v>0.14584482508060082</c:v>
                </c:pt>
                <c:pt idx="39">
                  <c:v>0.12796550401043957</c:v>
                </c:pt>
                <c:pt idx="40">
                  <c:v>0.11227803391444383</c:v>
                </c:pt>
                <c:pt idx="41">
                  <c:v>9.851371271639392E-2</c:v>
                </c:pt>
                <c:pt idx="42">
                  <c:v>8.6436778903372979E-2</c:v>
                </c:pt>
                <c:pt idx="43">
                  <c:v>7.5840373296044331E-2</c:v>
                </c:pt>
                <c:pt idx="44">
                  <c:v>6.6542995871158098E-2</c:v>
                </c:pt>
                <c:pt idx="45">
                  <c:v>5.8385396947141836E-2</c:v>
                </c:pt>
                <c:pt idx="46">
                  <c:v>5.1227849483597231E-2</c:v>
                </c:pt>
                <c:pt idx="47">
                  <c:v>4.4947755773416233E-2</c:v>
                </c:pt>
                <c:pt idx="48">
                  <c:v>3.9437547533857684E-2</c:v>
                </c:pt>
                <c:pt idx="49">
                  <c:v>3.4602843428395549E-2</c:v>
                </c:pt>
                <c:pt idx="50">
                  <c:v>3.0360832460540547E-2</c:v>
                </c:pt>
                <c:pt idx="51">
                  <c:v>2.663885554967392E-2</c:v>
                </c:pt>
                <c:pt idx="52">
                  <c:v>2.337316099348347E-2</c:v>
                </c:pt>
                <c:pt idx="53">
                  <c:v>2.05078125E-2</c:v>
                </c:pt>
                <c:pt idx="54">
                  <c:v>1.7993731085513547E-2</c:v>
                </c:pt>
                <c:pt idx="55">
                  <c:v>1.578785442756396E-2</c:v>
                </c:pt>
                <c:pt idx="56">
                  <c:v>1.3852399274024001E-2</c:v>
                </c:pt>
                <c:pt idx="57">
                  <c:v>1.2154214274484466E-2</c:v>
                </c:pt>
                <c:pt idx="58">
                  <c:v>1.0664212148944878E-2</c:v>
                </c:pt>
                <c:pt idx="59">
                  <c:v>9.3568714677384878E-3</c:v>
                </c:pt>
                <c:pt idx="60">
                  <c:v>8.2097995089530293E-3</c:v>
                </c:pt>
                <c:pt idx="61">
                  <c:v>7.2033487057716165E-3</c:v>
                </c:pt>
                <c:pt idx="62">
                  <c:v>6.3202801140705049E-3</c:v>
                </c:pt>
                <c:pt idx="63">
                  <c:v>5.5454681359946882E-3</c:v>
                </c:pt>
                <c:pt idx="64">
                  <c:v>4.8656414418833064E-3</c:v>
                </c:pt>
                <c:pt idx="65">
                  <c:v>4.2691556529385376E-3</c:v>
                </c:pt>
                <c:pt idx="66">
                  <c:v>3.7457938910440132E-3</c:v>
                </c:pt>
                <c:pt idx="67">
                  <c:v>3.2865917794599208E-3</c:v>
                </c:pt>
                <c:pt idx="68">
                  <c:v>2.8836838969276352E-3</c:v>
                </c:pt>
                <c:pt idx="69">
                  <c:v>2.530169055180392E-3</c:v>
                </c:pt>
                <c:pt idx="70">
                  <c:v>2.2199920922723409E-3</c:v>
                </c:pt>
                <c:pt idx="71">
                  <c:v>1.9478401570286973E-3</c:v>
                </c:pt>
                <c:pt idx="72">
                  <c:v>1.7090517081301997E-3</c:v>
                </c:pt>
                <c:pt idx="73">
                  <c:v>1.4995366691270657E-3</c:v>
                </c:pt>
                <c:pt idx="74">
                  <c:v>1.3157063717614507E-3</c:v>
                </c:pt>
                <c:pt idx="75">
                  <c:v>1.1544120876359806E-3</c:v>
                </c:pt>
                <c:pt idx="76">
                  <c:v>1.0128910953710022E-3</c:v>
                </c:pt>
                <c:pt idx="77">
                  <c:v>8.8871935946445142E-4</c:v>
                </c:pt>
                <c:pt idx="78">
                  <c:v>7.7977001031646789E-4</c:v>
                </c:pt>
                <c:pt idx="79">
                  <c:v>6.841769142458587E-4</c:v>
                </c:pt>
                <c:pt idx="80">
                  <c:v>6.0030270950919048E-4</c:v>
                </c:pt>
                <c:pt idx="81">
                  <c:v>5.2671076082900256E-4</c:v>
                </c:pt>
                <c:pt idx="82">
                  <c:v>4.6214055205562831E-4</c:v>
                </c:pt>
                <c:pt idx="83">
                  <c:v>4.0548609547701642E-4</c:v>
                </c:pt>
                <c:pt idx="84">
                  <c:v>3.5577698796145638E-4</c:v>
                </c:pt>
                <c:pt idx="85">
                  <c:v>3.1216178945425981E-4</c:v>
                </c:pt>
                <c:pt idx="86">
                  <c:v>2.7389343912777872E-4</c:v>
                </c:pt>
                <c:pt idx="87">
                  <c:v>2.4031645938598885E-4</c:v>
                </c:pt>
                <c:pt idx="88">
                  <c:v>2.1085572854804587E-4</c:v>
                </c:pt>
                <c:pt idx="89">
                  <c:v>1.8500662990426596E-4</c:v>
                </c:pt>
                <c:pt idx="90">
                  <c:v>1.6232640841311042E-4</c:v>
                </c:pt>
                <c:pt idx="91">
                  <c:v>1.4242658699277423E-4</c:v>
                </c:pt>
                <c:pt idx="92">
                  <c:v>1.249663125101949E-4</c:v>
                </c:pt>
                <c:pt idx="93">
                  <c:v>1.0964651749457405E-4</c:v>
                </c:pt>
                <c:pt idx="94">
                  <c:v>9.6204797574603437E-5</c:v>
                </c:pt>
                <c:pt idx="95">
                  <c:v>8.4410916897825175E-5</c:v>
                </c:pt>
                <c:pt idx="96">
                  <c:v>7.4062864546918292E-5</c:v>
                </c:pt>
                <c:pt idx="97">
                  <c:v>6.498339440542783E-5</c:v>
                </c:pt>
                <c:pt idx="98">
                  <c:v>5.70169892061932E-5</c:v>
                </c:pt>
                <c:pt idx="99">
                  <c:v>5.0027196761325421E-5</c:v>
                </c:pt>
                <c:pt idx="100">
                  <c:v>4.389429274747679E-5</c:v>
                </c:pt>
                <c:pt idx="101">
                  <c:v>3.8513230013532894E-5</c:v>
                </c:pt>
                <c:pt idx="102">
                  <c:v>3.3791839285542529E-5</c:v>
                </c:pt>
                <c:pt idx="103">
                  <c:v>2.9649250449746628E-5</c:v>
                </c:pt>
                <c:pt idx="104">
                  <c:v>2.6014507372728438E-5</c:v>
                </c:pt>
                <c:pt idx="105">
                  <c:v>2.2825352532698701E-5</c:v>
                </c:pt>
                <c:pt idx="106">
                  <c:v>2.002716064453125E-5</c:v>
                </c:pt>
                <c:pt idx="107">
                  <c:v>1.7572003013196823E-5</c:v>
                </c:pt>
                <c:pt idx="108">
                  <c:v>1.541782658941793E-5</c:v>
                </c:pt>
                <c:pt idx="109">
                  <c:v>1.3527733666039063E-5</c:v>
                </c:pt>
                <c:pt idx="110">
                  <c:v>1.1869349877426237E-5</c:v>
                </c:pt>
                <c:pt idx="111">
                  <c:v>1.0414269676703983E-5</c:v>
                </c:pt>
                <c:pt idx="112">
                  <c:v>9.137569792713367E-6</c:v>
                </c:pt>
                <c:pt idx="113">
                  <c:v>8.0173823329619427E-6</c:v>
                </c:pt>
                <c:pt idx="114">
                  <c:v>7.0345202204800943E-6</c:v>
                </c:pt>
                <c:pt idx="115">
                  <c:v>6.1721485488969775E-6</c:v>
                </c:pt>
                <c:pt idx="116">
                  <c:v>5.4154962265573127E-6</c:v>
                </c:pt>
                <c:pt idx="117">
                  <c:v>4.7516029705891664E-6</c:v>
                </c:pt>
                <c:pt idx="118">
                  <c:v>4.1690973173227906E-6</c:v>
                </c:pt>
                <c:pt idx="119">
                  <c:v>3.6580018467226691E-6</c:v>
                </c:pt>
                <c:pt idx="120">
                  <c:v>3.2095622846288289E-6</c:v>
                </c:pt>
                <c:pt idx="121">
                  <c:v>2.8160975555933937E-6</c:v>
                </c:pt>
                <c:pt idx="122">
                  <c:v>2.4708682179496016E-6</c:v>
                </c:pt>
                <c:pt idx="123">
                  <c:v>2.1679610276097079E-6</c:v>
                </c:pt>
                <c:pt idx="124">
                  <c:v>1.9021876533483372E-6</c:v>
                </c:pt>
                <c:pt idx="125">
                  <c:v>1.6689958087208982E-6</c:v>
                </c:pt>
                <c:pt idx="126">
                  <c:v>1.4643912784444001E-6</c:v>
                </c:pt>
                <c:pt idx="127">
                  <c:v>1.2848695036732917E-6</c:v>
                </c:pt>
                <c:pt idx="128">
                  <c:v>1.1273555543320123E-6</c:v>
                </c:pt>
                <c:pt idx="129">
                  <c:v>9.8915146032324438E-7</c:v>
                </c:pt>
                <c:pt idx="130">
                  <c:v>8.6788999947700334E-7</c:v>
                </c:pt>
                <c:pt idx="131">
                  <c:v>7.6149415069967568E-7</c:v>
                </c:pt>
                <c:pt idx="132">
                  <c:v>6.6814151781822138E-7</c:v>
                </c:pt>
                <c:pt idx="133">
                  <c:v>5.8623311475506883E-7</c:v>
                </c:pt>
                <c:pt idx="134">
                  <c:v>5.1436597737207281E-7</c:v>
                </c:pt>
                <c:pt idx="135">
                  <c:v>4.5130913286682452E-7</c:v>
                </c:pt>
                <c:pt idx="136">
                  <c:v>3.9598251511427384E-7</c:v>
                </c:pt>
                <c:pt idx="137">
                  <c:v>3.4743846480610975E-7</c:v>
                </c:pt>
                <c:pt idx="138">
                  <c:v>3.048454975139256E-7</c:v>
                </c:pt>
                <c:pt idx="139">
                  <c:v>2.6747406164822141E-7</c:v>
                </c:pt>
                <c:pt idx="140">
                  <c:v>2.3468404236912974E-7</c:v>
                </c:pt>
                <c:pt idx="141">
                  <c:v>2.0591379741020104E-7</c:v>
                </c:pt>
                <c:pt idx="142">
                  <c:v>1.8067053701588473E-7</c:v>
                </c:pt>
                <c:pt idx="143">
                  <c:v>1.5852188321592815E-7</c:v>
                </c:pt>
                <c:pt idx="144">
                  <c:v>1.3908846386013109E-7</c:v>
                </c:pt>
                <c:pt idx="145">
                  <c:v>1.220374145607372E-7</c:v>
                </c:pt>
                <c:pt idx="146">
                  <c:v>1.0707667724079497E-7</c:v>
                </c:pt>
                <c:pt idx="147">
                  <c:v>9.3949997631448669E-8</c:v>
                </c:pt>
                <c:pt idx="148">
                  <c:v>8.2432536033032398E-8</c:v>
                </c:pt>
                <c:pt idx="149">
                  <c:v>7.2327016159099894E-8</c:v>
                </c:pt>
                <c:pt idx="150">
                  <c:v>6.3460346099050615E-8</c:v>
                </c:pt>
                <c:pt idx="151">
                  <c:v>5.5680653521673046E-8</c:v>
                </c:pt>
                <c:pt idx="152">
                  <c:v>4.8854684337231856E-8</c:v>
                </c:pt>
                <c:pt idx="153">
                  <c:v>4.2865520261207803E-8</c:v>
                </c:pt>
                <c:pt idx="154">
                  <c:v>3.7610576185090717E-8</c:v>
                </c:pt>
                <c:pt idx="155">
                  <c:v>3.2999843052287626E-8</c:v>
                </c:pt>
                <c:pt idx="156">
                  <c:v>2.8954346142330692E-8</c:v>
                </c:pt>
                <c:pt idx="157">
                  <c:v>2.5404792356180115E-8</c:v>
                </c:pt>
                <c:pt idx="158">
                  <c:v>2.2290383332713575E-8</c:v>
                </c:pt>
                <c:pt idx="159">
                  <c:v>1.9557774066925049E-8</c:v>
                </c:pt>
                <c:pt idx="160">
                  <c:v>1.7160159192575022E-8</c:v>
                </c:pt>
                <c:pt idx="161">
                  <c:v>1.5056471278728447E-8</c:v>
                </c:pt>
                <c:pt idx="162">
                  <c:v>1.3210677408241273E-8</c:v>
                </c:pt>
                <c:pt idx="163">
                  <c:v>1.1591161989674059E-8</c:v>
                </c:pt>
                <c:pt idx="164">
                  <c:v>1.0170185231156233E-8</c:v>
                </c:pt>
                <c:pt idx="165">
                  <c:v>8.9234080006966475E-9</c:v>
                </c:pt>
                <c:pt idx="166">
                  <c:v>7.8294749345331471E-9</c:v>
                </c:pt>
                <c:pt idx="167">
                  <c:v>6.8696486528125921E-9</c:v>
                </c:pt>
                <c:pt idx="168">
                  <c:v>6.0274888172822046E-9</c:v>
                </c:pt>
                <c:pt idx="169">
                  <c:v>5.2885705337473757E-9</c:v>
                </c:pt>
                <c:pt idx="170">
                  <c:v>4.6402372759659828E-9</c:v>
                </c:pt>
                <c:pt idx="171">
                  <c:v>4.0713840989480377E-9</c:v>
                </c:pt>
                <c:pt idx="172">
                  <c:v>3.5722674284401066E-9</c:v>
                </c:pt>
                <c:pt idx="173">
                  <c:v>3.1343381685828407E-9</c:v>
                </c:pt>
                <c:pt idx="174">
                  <c:v>2.7500952691341736E-9</c:v>
                </c:pt>
                <c:pt idx="175">
                  <c:v>2.4129572440914078E-9</c:v>
                </c:pt>
                <c:pt idx="176">
                  <c:v>2.1171494410251054E-9</c:v>
                </c:pt>
                <c:pt idx="177">
                  <c:v>1.8576051302229855E-9</c:v>
                </c:pt>
                <c:pt idx="178">
                  <c:v>1.6298787194540021E-9</c:v>
                </c:pt>
                <c:pt idx="179">
                  <c:v>1.4300696078558595E-9</c:v>
                </c:pt>
                <c:pt idx="180">
                  <c:v>1.2547553746809489E-9</c:v>
                </c:pt>
                <c:pt idx="181">
                  <c:v>1.1009331585273557E-9</c:v>
                </c:pt>
                <c:pt idx="182">
                  <c:v>9.6596822297191834E-10</c:v>
                </c:pt>
                <c:pt idx="183">
                  <c:v>8.4754882761426108E-10</c:v>
                </c:pt>
                <c:pt idx="184">
                  <c:v>7.4364663154265203E-10</c:v>
                </c:pt>
                <c:pt idx="185">
                  <c:v>6.5248195099435682E-10</c:v>
                </c:pt>
                <c:pt idx="186">
                  <c:v>5.724932761279969E-10</c:v>
                </c:pt>
                <c:pt idx="187">
                  <c:v>5.0231052477741486E-10</c:v>
                </c:pt>
                <c:pt idx="188">
                  <c:v>4.4073157506525832E-10</c:v>
                </c:pt>
                <c:pt idx="189">
                  <c:v>3.8670167491628305E-10</c:v>
                </c:pt>
                <c:pt idx="190">
                  <c:v>3.3929537578721655E-10</c:v>
                </c:pt>
                <c:pt idx="191">
                  <c:v>2.9770068116594297E-10</c:v>
                </c:pt>
                <c:pt idx="192">
                  <c:v>2.6120513832834122E-10</c:v>
                </c:pt>
                <c:pt idx="193">
                  <c:v>2.2918363512610326E-10</c:v>
                </c:pt>
                <c:pt idx="194">
                  <c:v>2.0108769278339945E-10</c:v>
                </c:pt>
                <c:pt idx="195">
                  <c:v>1.7643607130457493E-10</c:v>
                </c:pt>
                <c:pt idx="196">
                  <c:v>1.5480652657805483E-10</c:v>
                </c:pt>
                <c:pt idx="197">
                  <c:v>1.3582857798840927E-10</c:v>
                </c:pt>
                <c:pt idx="198">
                  <c:v>1.1917716265696992E-10</c:v>
                </c:pt>
                <c:pt idx="199">
                  <c:v>1.0456706761796384E-10</c:v>
                </c:pt>
                <c:pt idx="200">
                  <c:v>9.1748044561961591E-11</c:v>
                </c:pt>
                <c:pt idx="201">
                  <c:v>8.0500523469758201E-11</c:v>
                </c:pt>
                <c:pt idx="202">
                  <c:v>7.063185171787099E-11</c:v>
                </c:pt>
                <c:pt idx="203">
                  <c:v>6.1972994237354116E-11</c:v>
                </c:pt>
                <c:pt idx="204">
                  <c:v>5.4375638204758834E-11</c:v>
                </c:pt>
                <c:pt idx="205">
                  <c:v>4.7709652673077984E-11</c:v>
                </c:pt>
                <c:pt idx="206">
                  <c:v>4.1860859630085745E-11</c:v>
                </c:pt>
                <c:pt idx="207">
                  <c:v>3.6729078305752653E-11</c:v>
                </c:pt>
                <c:pt idx="208">
                  <c:v>3.2226409230749634E-11</c:v>
                </c:pt>
                <c:pt idx="209">
                  <c:v>2.8275728654619816E-11</c:v>
                </c:pt>
                <c:pt idx="210">
                  <c:v>2.4809367535332144E-11</c:v>
                </c:pt>
                <c:pt idx="211">
                  <c:v>2.1767952473353101E-11</c:v>
                </c:pt>
                <c:pt idx="212">
                  <c:v>1.9099388737231493E-11</c:v>
                </c:pt>
                <c:pt idx="213">
                  <c:v>1.6757967961499045E-11</c:v>
                </c:pt>
                <c:pt idx="214">
                  <c:v>1.4703585233133249E-11</c:v>
                </c:pt>
                <c:pt idx="215">
                  <c:v>1.2901052156485618E-11</c:v>
                </c:pt>
                <c:pt idx="216">
                  <c:v>1.1319494130541074E-11</c:v>
                </c:pt>
                <c:pt idx="217">
                  <c:v>9.9318215148010089E-12</c:v>
                </c:pt>
                <c:pt idx="218">
                  <c:v>8.7142656256803198E-12</c:v>
                </c:pt>
                <c:pt idx="219">
                  <c:v>7.6459716157550265E-12</c:v>
                </c:pt>
                <c:pt idx="220">
                  <c:v>6.7086412625122969E-12</c:v>
                </c:pt>
                <c:pt idx="221">
                  <c:v>5.8862195481271529E-12</c:v>
                </c:pt>
                <c:pt idx="222">
                  <c:v>5.1646196618626715E-12</c:v>
                </c:pt>
                <c:pt idx="223">
                  <c:v>4.5314817148105301E-12</c:v>
                </c:pt>
                <c:pt idx="224">
                  <c:v>3.9759610341289431E-12</c:v>
                </c:pt>
                <c:pt idx="225">
                  <c:v>3.4885424105860416E-12</c:v>
                </c:pt>
                <c:pt idx="226">
                  <c:v>3.0608771177566804E-12</c:v>
                </c:pt>
                <c:pt idx="227">
                  <c:v>2.6856399112638414E-12</c:v>
                </c:pt>
                <c:pt idx="228">
                  <c:v>2.3564035586830154E-12</c:v>
                </c:pt>
                <c:pt idx="229">
                  <c:v>2.0675287510010794E-12</c:v>
                </c:pt>
                <c:pt idx="230">
                  <c:v>1.8140675099833843E-12</c:v>
                </c:pt>
                <c:pt idx="231">
                  <c:v>1.5916784369667989E-12</c:v>
                </c:pt>
                <c:pt idx="232">
                  <c:v>1.3965523514217378E-12</c:v>
                </c:pt>
                <c:pt idx="233">
                  <c:v>1.2253470455868641E-12</c:v>
                </c:pt>
                <c:pt idx="234">
                  <c:v>1.0751300376243708E-12</c:v>
                </c:pt>
                <c:pt idx="235">
                  <c:v>9.4332834274601401E-13</c:v>
                </c:pt>
                <c:pt idx="236">
                  <c:v>8.2768440196705183E-13</c:v>
                </c:pt>
                <c:pt idx="237">
                  <c:v>7.2621741361587112E-13</c:v>
                </c:pt>
                <c:pt idx="238">
                  <c:v>6.3718940526792658E-13</c:v>
                </c:pt>
                <c:pt idx="239">
                  <c:v>5.5907546496874698E-13</c:v>
                </c:pt>
                <c:pt idx="240">
                  <c:v>4.9053762185294419E-13</c:v>
                </c:pt>
                <c:pt idx="241">
                  <c:v>4.3040192877466633E-13</c:v>
                </c:pt>
                <c:pt idx="242">
                  <c:v>3.7763835441043267E-13</c:v>
                </c:pt>
                <c:pt idx="243">
                  <c:v>3.3134314041720366E-13</c:v>
                </c:pt>
                <c:pt idx="244">
                  <c:v>2.9072332145111618E-13</c:v>
                </c:pt>
                <c:pt idx="245">
                  <c:v>2.5508314289877072E-13</c:v>
                </c:pt>
                <c:pt idx="246">
                  <c:v>2.2381214367783521E-13</c:v>
                </c:pt>
                <c:pt idx="247">
                  <c:v>1.9637469998378853E-13</c:v>
                </c:pt>
                <c:pt idx="248">
                  <c:v>1.7230085088337396E-13</c:v>
                </c:pt>
                <c:pt idx="249">
                  <c:v>1.5117824861138167E-13</c:v>
                </c:pt>
                <c:pt idx="250">
                  <c:v>1.3264509569180592E-13</c:v>
                </c:pt>
                <c:pt idx="251">
                  <c:v>1.1638394790719719E-13</c:v>
                </c:pt>
                <c:pt idx="252">
                  <c:v>1.0211627697066781E-13</c:v>
                </c:pt>
                <c:pt idx="253">
                  <c:v>8.9597699767540616E-14</c:v>
                </c:pt>
                <c:pt idx="254">
                  <c:v>7.8613792450935743E-14</c:v>
                </c:pt>
                <c:pt idx="255">
                  <c:v>6.8976417693233389E-14</c:v>
                </c:pt>
                <c:pt idx="256">
                  <c:v>6.0520502184916129E-14</c:v>
                </c:pt>
                <c:pt idx="257">
                  <c:v>5.3101209184334799E-14</c:v>
                </c:pt>
                <c:pt idx="258">
                  <c:v>4.6591457688552719E-14</c:v>
                </c:pt>
                <c:pt idx="259">
                  <c:v>4.087974573250561E-14</c:v>
                </c:pt>
                <c:pt idx="260">
                  <c:v>3.5868240532961575E-14</c:v>
                </c:pt>
                <c:pt idx="261">
                  <c:v>3.147110276440394E-14</c:v>
                </c:pt>
                <c:pt idx="262">
                  <c:v>2.7613016264277164E-14</c:v>
                </c:pt>
                <c:pt idx="263">
                  <c:v>2.4227897983722797E-14</c:v>
                </c:pt>
                <c:pt idx="264">
                  <c:v>2.1257766087258887E-14</c:v>
                </c:pt>
                <c:pt idx="265">
                  <c:v>1.865174681370263E-14</c:v>
                </c:pt>
                <c:pt idx="266">
                  <c:v>1.6365203087401411E-14</c:v>
                </c:pt>
                <c:pt idx="267">
                  <c:v>1.4358969954231689E-14</c:v>
                </c:pt>
                <c:pt idx="268">
                  <c:v>1.2598683746567986E-14</c:v>
                </c:pt>
                <c:pt idx="269">
                  <c:v>1.1054193486856517E-14</c:v>
                </c:pt>
                <c:pt idx="270">
                  <c:v>9.6990444480478603E-15</c:v>
                </c:pt>
                <c:pt idx="271">
                  <c:v>8.5100250250784373E-15</c:v>
                </c:pt>
                <c:pt idx="272">
                  <c:v>7.4667691560107681E-15</c:v>
                </c:pt>
                <c:pt idx="273">
                  <c:v>6.551407482922165E-15</c:v>
                </c:pt>
                <c:pt idx="274">
                  <c:v>5.7482612774679228E-15</c:v>
                </c:pt>
                <c:pt idx="275">
                  <c:v>5.0435738885377652E-15</c:v>
                </c:pt>
                <c:pt idx="276">
                  <c:v>4.4252751121196583E-15</c:v>
                </c:pt>
                <c:pt idx="277">
                  <c:v>3.882774447391546E-15</c:v>
                </c:pt>
                <c:pt idx="278">
                  <c:v>3.4067796978379312E-15</c:v>
                </c:pt>
                <c:pt idx="279">
                  <c:v>2.9891378103092582E-15</c:v>
                </c:pt>
                <c:pt idx="280">
                  <c:v>2.6226952258435951E-15</c:v>
                </c:pt>
                <c:pt idx="281">
                  <c:v>2.3011753502763823E-15</c:v>
                </c:pt>
                <c:pt idx="282">
                  <c:v>2.0190710458994916E-15</c:v>
                </c:pt>
                <c:pt idx="283">
                  <c:v>1.7715503027181487E-15</c:v>
                </c:pt>
                <c:pt idx="284">
                  <c:v>1.5543734736003896E-15</c:v>
                </c:pt>
                <c:pt idx="285">
                  <c:v>1.3638206556852908E-15</c:v>
                </c:pt>
                <c:pt idx="286">
                  <c:v>1.196627974205922E-15</c:v>
                </c:pt>
                <c:pt idx="287">
                  <c:v>1.0499316773675496E-15</c:v>
                </c:pt>
                <c:pt idx="288">
                  <c:v>9.212190847129043E-16</c:v>
                </c:pt>
                <c:pt idx="289">
                  <c:v>8.0828554879594906E-16</c:v>
                </c:pt>
                <c:pt idx="290">
                  <c:v>7.0919669298424914E-16</c:v>
                </c:pt>
                <c:pt idx="291">
                  <c:v>6.2225527858195955E-16</c:v>
                </c:pt>
                <c:pt idx="292">
                  <c:v>5.4597213375854197E-16</c:v>
                </c:pt>
                <c:pt idx="293">
                  <c:v>4.7904064634076582E-16</c:v>
                </c:pt>
                <c:pt idx="294">
                  <c:v>4.2031438356901008E-16</c:v>
                </c:pt>
                <c:pt idx="295">
                  <c:v>3.6878745547893815E-16</c:v>
                </c:pt>
                <c:pt idx="296">
                  <c:v>3.2357728556367545E-16</c:v>
                </c:pt>
                <c:pt idx="297">
                  <c:v>2.8390949360460564E-16</c:v>
                </c:pt>
                <c:pt idx="298">
                  <c:v>2.4910463173708078E-16</c:v>
                </c:pt>
                <c:pt idx="299">
                  <c:v>2.1856654656038595E-16</c:v>
                </c:pt>
                <c:pt idx="300">
                  <c:v>1.9177216795291849E-16</c:v>
                </c:pt>
                <c:pt idx="301">
                  <c:v>1.6826254969079488E-16</c:v>
                </c:pt>
                <c:pt idx="302">
                  <c:v>1.4763500840955241E-16</c:v>
                </c:pt>
                <c:pt idx="303">
                  <c:v>1.2953622626152922E-16</c:v>
                </c:pt>
                <c:pt idx="304">
                  <c:v>1.1365619912812226E-16</c:v>
                </c:pt>
                <c:pt idx="305">
                  <c:v>9.9722926729167783E-17</c:v>
                </c:pt>
                <c:pt idx="306">
                  <c:v>8.7497753679238883E-17</c:v>
                </c:pt>
                <c:pt idx="307">
                  <c:v>7.6771281690366937E-17</c:v>
                </c:pt>
                <c:pt idx="308">
                  <c:v>6.7359782903548231E-17</c:v>
                </c:pt>
                <c:pt idx="309">
                  <c:v>5.9102052914957157E-17</c:v>
                </c:pt>
                <c:pt idx="310">
                  <c:v>5.1856649594076952E-17</c:v>
                </c:pt>
                <c:pt idx="311">
                  <c:v>4.5499470398977265E-17</c:v>
                </c:pt>
                <c:pt idx="312">
                  <c:v>3.992162669190001E-17</c:v>
                </c:pt>
                <c:pt idx="313">
                  <c:v>3.5027578645470289E-17</c:v>
                </c:pt>
                <c:pt idx="314">
                  <c:v>3.0733498793363223E-17</c:v>
                </c:pt>
                <c:pt idx="315">
                  <c:v>2.6965836195583168E-17</c:v>
                </c:pt>
                <c:pt idx="316">
                  <c:v>2.3660056624729294E-17</c:v>
                </c:pt>
                <c:pt idx="317">
                  <c:v>2.0759537194588757E-17</c:v>
                </c:pt>
                <c:pt idx="318">
                  <c:v>1.8214596497756474E-17</c:v>
                </c:pt>
                <c:pt idx="319">
                  <c:v>1.5981643640040441E-17</c:v>
                </c:pt>
                <c:pt idx="320">
                  <c:v>1.4022431595929384E-17</c:v>
                </c:pt>
                <c:pt idx="321">
                  <c:v>1.2303402096257799E-17</c:v>
                </c:pt>
                <c:pt idx="322">
                  <c:v>1.0795110827008317E-17</c:v>
                </c:pt>
                <c:pt idx="323">
                  <c:v>9.4717230937967385E-18</c:v>
                </c:pt>
                <c:pt idx="324">
                  <c:v>8.3105713135531614E-18</c:v>
                </c:pt>
                <c:pt idx="325">
                  <c:v>7.2917667539167657E-18</c:v>
                </c:pt>
                <c:pt idx="326">
                  <c:v>6.3978588700411767E-18</c:v>
                </c:pt>
                <c:pt idx="327">
                  <c:v>5.6135364037772683E-18</c:v>
                </c:pt>
                <c:pt idx="328">
                  <c:v>4.9253651255251613E-18</c:v>
                </c:pt>
                <c:pt idx="329">
                  <c:v>4.3215577266793538E-18</c:v>
                </c:pt>
                <c:pt idx="330">
                  <c:v>3.7917719212808066E-18</c:v>
                </c:pt>
                <c:pt idx="331">
                  <c:v>3.3269332986698547E-18</c:v>
                </c:pt>
                <c:pt idx="332">
                  <c:v>2.919079892880135E-18</c:v>
                </c:pt>
                <c:pt idx="333">
                  <c:v>2.5612258064878858E-18</c:v>
                </c:pt>
                <c:pt idx="334">
                  <c:v>2.2472415530042795E-18</c:v>
                </c:pt>
                <c:pt idx="335">
                  <c:v>1.9717490682612223E-18</c:v>
                </c:pt>
                <c:pt idx="336">
                  <c:v>1.7300295924981921E-18</c:v>
                </c:pt>
                <c:pt idx="337">
                  <c:v>1.5179428453128805E-18</c:v>
                </c:pt>
                <c:pt idx="338">
                  <c:v>1.3318561090676668E-18</c:v>
                </c:pt>
                <c:pt idx="339">
                  <c:v>1.1685820060604707E-18</c:v>
                </c:pt>
                <c:pt idx="340">
                  <c:v>1.0253239036792477E-18</c:v>
                </c:pt>
                <c:pt idx="341">
                  <c:v>8.9962801241494561E-19</c:v>
                </c:pt>
                <c:pt idx="342">
                  <c:v>7.89341356246044E-19</c:v>
                </c:pt>
                <c:pt idx="343">
                  <c:v>6.925748954924308E-19</c:v>
                </c:pt>
                <c:pt idx="344">
                  <c:v>6.0767117049019487E-19</c:v>
                </c:pt>
                <c:pt idx="345">
                  <c:v>5.3317591187357614E-19</c:v>
                </c:pt>
                <c:pt idx="346">
                  <c:v>4.6781313119215412E-19</c:v>
                </c:pt>
                <c:pt idx="347">
                  <c:v>4.1046326520411141E-19</c:v>
                </c:pt>
                <c:pt idx="348">
                  <c:v>3.6014399949115054E-19</c:v>
                </c:pt>
                <c:pt idx="349">
                  <c:v>3.1599344293327681E-19</c:v>
                </c:pt>
                <c:pt idx="350">
                  <c:v>2.772553648482477E-19</c:v>
                </c:pt>
                <c:pt idx="351">
                  <c:v>2.4326624193074295E-19</c:v>
                </c:pt>
                <c:pt idx="352">
                  <c:v>2.1344389312537691E-19</c:v>
                </c:pt>
                <c:pt idx="353">
                  <c:v>1.8727750776652196E-19</c:v>
                </c:pt>
                <c:pt idx="354">
                  <c:v>1.6431889618241688E-19</c:v>
                </c:pt>
                <c:pt idx="355">
                  <c:v>1.4417481289995353E-19</c:v>
                </c:pt>
                <c:pt idx="356">
                  <c:v>1.2650022095852463E-19</c:v>
                </c:pt>
                <c:pt idx="357">
                  <c:v>1.1099238196105689E-19</c:v>
                </c:pt>
                <c:pt idx="358">
                  <c:v>9.7385670633952913E-20</c:v>
                </c:pt>
                <c:pt idx="359">
                  <c:v>8.5447025077381722E-20</c:v>
                </c:pt>
                <c:pt idx="360">
                  <c:v>7.4971954775748961E-20</c:v>
                </c:pt>
                <c:pt idx="361">
                  <c:v>6.578103799174632E-20</c:v>
                </c:pt>
                <c:pt idx="362">
                  <c:v>5.7716848549762849E-20</c:v>
                </c:pt>
                <c:pt idx="363">
                  <c:v>5.0641259369215774E-20</c:v>
                </c:pt>
                <c:pt idx="364">
                  <c:v>4.4433076561501235E-20</c:v>
                </c:pt>
                <c:pt idx="365">
                  <c:v>3.8985963566308603E-20</c:v>
                </c:pt>
              </c:numCache>
            </c:numRef>
          </c:yVal>
          <c:smooth val="1"/>
          <c:extLst>
            <c:ext xmlns:c16="http://schemas.microsoft.com/office/drawing/2014/chart" uri="{C3380CC4-5D6E-409C-BE32-E72D297353CC}">
              <c16:uniqueId val="{00000007-A669-4CB9-84F4-49AE9BAF6CDE}"/>
            </c:ext>
          </c:extLst>
        </c:ser>
        <c:dLbls>
          <c:showLegendKey val="0"/>
          <c:showVal val="0"/>
          <c:showCatName val="0"/>
          <c:showSerName val="0"/>
          <c:showPercent val="0"/>
          <c:showBubbleSize val="0"/>
        </c:dLbls>
        <c:axId val="34285160"/>
        <c:axId val="34217880"/>
      </c:scatterChart>
      <c:valAx>
        <c:axId val="34285160"/>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17880"/>
        <c:crosses val="autoZero"/>
        <c:crossBetween val="midCat"/>
      </c:valAx>
      <c:valAx>
        <c:axId val="34217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85160"/>
        <c:crosses val="autoZero"/>
        <c:crossBetween val="midCat"/>
      </c:valAx>
      <c:spPr>
        <a:noFill/>
        <a:ln>
          <a:noFill/>
        </a:ln>
        <a:effectLst/>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0.7308670847281814"/>
          <c:y val="4.1308054512848563E-3"/>
          <c:w val="0.2663583070080312"/>
          <c:h val="0.15899399033872949"/>
        </c:manualLayout>
      </c:layout>
      <c:overlay val="0"/>
      <c:spPr>
        <a:solidFill>
          <a:schemeClr val="bg1"/>
        </a:solidFill>
        <a:ln>
          <a:solidFill>
            <a:schemeClr val="bg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970122746632716E-2"/>
          <c:y val="5.0925925925925923E-2"/>
          <c:w val="0.85747434265327593"/>
          <c:h val="0.74445246427529888"/>
        </c:manualLayout>
      </c:layout>
      <c:scatterChart>
        <c:scatterStyle val="smoothMarker"/>
        <c:varyColors val="0"/>
        <c:ser>
          <c:idx val="0"/>
          <c:order val="0"/>
          <c:tx>
            <c:strRef>
              <c:f>'Max rate concentrations'!$H$2</c:f>
              <c:strCache>
                <c:ptCount val="1"/>
                <c:pt idx="0">
                  <c:v>Arthropods (above ground)</c:v>
                </c:pt>
              </c:strCache>
            </c:strRef>
          </c:tx>
          <c:spPr>
            <a:ln w="19050" cap="rnd">
              <a:solidFill>
                <a:schemeClr val="accent1"/>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concentrations'!$H$3:$H$368</c:f>
              <c:numCache>
                <c:formatCode>0</c:formatCode>
                <c:ptCount val="366"/>
                <c:pt idx="0" formatCode="General">
                  <c:v>282</c:v>
                </c:pt>
                <c:pt idx="1">
                  <c:v>247.42922562388458</c:v>
                </c:pt>
                <c:pt idx="2">
                  <c:v>217.09653082565669</c:v>
                </c:pt>
                <c:pt idx="3">
                  <c:v>190.48236350292206</c:v>
                </c:pt>
                <c:pt idx="4">
                  <c:v>167.13086417211099</c:v>
                </c:pt>
                <c:pt idx="5">
                  <c:v>146.64205780126261</c:v>
                </c:pt>
                <c:pt idx="6">
                  <c:v>128.66500285694798</c:v>
                </c:pt>
                <c:pt idx="7">
                  <c:v>112.89178021911182</c:v>
                </c:pt>
                <c:pt idx="8">
                  <c:v>99.052219003250386</c:v>
                </c:pt>
                <c:pt idx="9">
                  <c:v>86.909268951424352</c:v>
                </c:pt>
                <c:pt idx="10">
                  <c:v>76.254940128329224</c:v>
                </c:pt>
                <c:pt idx="11">
                  <c:v>66.906740375702768</c:v>
                </c:pt>
                <c:pt idx="12">
                  <c:v>58.704549504178821</c:v>
                </c:pt>
                <c:pt idx="13">
                  <c:v>51.507876682333205</c:v>
                </c:pt>
                <c:pt idx="14">
                  <c:v>45.19345404624201</c:v>
                </c:pt>
                <c:pt idx="15">
                  <c:v>39.653125311809482</c:v>
                </c:pt>
                <c:pt idx="16">
                  <c:v>34.791993225063393</c:v>
                </c:pt>
                <c:pt idx="17">
                  <c:v>30.526794119109482</c:v>
                </c:pt>
                <c:pt idx="18">
                  <c:v>26.784471736422031</c:v>
                </c:pt>
                <c:pt idx="19">
                  <c:v>23.500925888254347</c:v>
                </c:pt>
                <c:pt idx="20">
                  <c:v>20.619914517642108</c:v>
                </c:pt>
                <c:pt idx="21">
                  <c:v>18.09209036003859</c:v>
                </c:pt>
                <c:pt idx="22">
                  <c:v>15.874155701069842</c:v>
                </c:pt>
                <c:pt idx="23">
                  <c:v>13.928120753718737</c:v>
                </c:pt>
                <c:pt idx="24">
                  <c:v>12.220652952087173</c:v>
                </c:pt>
                <c:pt idx="25">
                  <c:v>10.722506016145987</c:v>
                </c:pt>
                <c:pt idx="26">
                  <c:v>9.4080190082356214</c:v>
                </c:pt>
                <c:pt idx="27">
                  <c:v>8.2546768009309446</c:v>
                </c:pt>
                <c:pt idx="28">
                  <c:v>7.2427244277652072</c:v>
                </c:pt>
                <c:pt idx="29">
                  <c:v>6.3548287112380777</c:v>
                </c:pt>
                <c:pt idx="30">
                  <c:v>5.5757813723193834</c:v>
                </c:pt>
                <c:pt idx="31">
                  <c:v>4.8922385361739913</c:v>
                </c:pt>
                <c:pt idx="32">
                  <c:v>4.2924921722441747</c:v>
                </c:pt>
                <c:pt idx="33">
                  <c:v>3.7662695538119233</c:v>
                </c:pt>
                <c:pt idx="34">
                  <c:v>3.3045573020939627</c:v>
                </c:pt>
                <c:pt idx="35">
                  <c:v>2.8994470010172426</c:v>
                </c:pt>
                <c:pt idx="36">
                  <c:v>2.5439997382950028</c:v>
                </c:pt>
                <c:pt idx="37">
                  <c:v>2.2321272526017646</c:v>
                </c:pt>
                <c:pt idx="38">
                  <c:v>1.9584876510823532</c:v>
                </c:pt>
                <c:pt idx="39">
                  <c:v>1.718393910997331</c:v>
                </c:pt>
                <c:pt idx="40">
                  <c:v>1.507733598279674</c:v>
                </c:pt>
                <c:pt idx="41">
                  <c:v>1.3228984279058611</c:v>
                </c:pt>
                <c:pt idx="42">
                  <c:v>1.1607224595595798</c:v>
                </c:pt>
                <c:pt idx="43">
                  <c:v>1.0184278699754521</c:v>
                </c:pt>
                <c:pt idx="44">
                  <c:v>0.89357737312697993</c:v>
                </c:pt>
                <c:pt idx="45">
                  <c:v>0.7840324732901901</c:v>
                </c:pt>
                <c:pt idx="46">
                  <c:v>0.68791683592259112</c:v>
                </c:pt>
                <c:pt idx="47">
                  <c:v>0.6035841489573035</c:v>
                </c:pt>
                <c:pt idx="48">
                  <c:v>0.52958992402608873</c:v>
                </c:pt>
                <c:pt idx="49">
                  <c:v>0.46466675460988299</c:v>
                </c:pt>
                <c:pt idx="50">
                  <c:v>0.40770260732725871</c:v>
                </c:pt>
                <c:pt idx="51">
                  <c:v>0.35772177452419263</c:v>
                </c:pt>
                <c:pt idx="52">
                  <c:v>0.31386816191249228</c:v>
                </c:pt>
                <c:pt idx="53">
                  <c:v>0.27539062499999994</c:v>
                </c:pt>
                <c:pt idx="54">
                  <c:v>0.24163010314832473</c:v>
                </c:pt>
                <c:pt idx="55">
                  <c:v>0.2120083308844303</c:v>
                </c:pt>
                <c:pt idx="56">
                  <c:v>0.18601793310832229</c:v>
                </c:pt>
                <c:pt idx="57">
                  <c:v>0.16321373454307711</c:v>
                </c:pt>
                <c:pt idx="58">
                  <c:v>0.14320513457154549</c:v>
                </c:pt>
                <c:pt idx="59">
                  <c:v>0.12564941685248823</c:v>
                </c:pt>
                <c:pt idx="60">
                  <c:v>0.11024587912022638</c:v>
                </c:pt>
                <c:pt idx="61">
                  <c:v>9.6730682620361691E-2</c:v>
                </c:pt>
                <c:pt idx="62">
                  <c:v>8.487233296037533E-2</c:v>
                </c:pt>
                <c:pt idx="63">
                  <c:v>7.4467714969071508E-2</c:v>
                </c:pt>
                <c:pt idx="64">
                  <c:v>6.5338613648147234E-2</c:v>
                </c:pt>
                <c:pt idx="65">
                  <c:v>5.732866162517463E-2</c:v>
                </c:pt>
                <c:pt idx="66">
                  <c:v>5.030066082259102E-2</c:v>
                </c:pt>
                <c:pt idx="67">
                  <c:v>4.4134232467033213E-2</c:v>
                </c:pt>
                <c:pt idx="68">
                  <c:v>3.8723755187313948E-2</c:v>
                </c:pt>
                <c:pt idx="69">
                  <c:v>3.397655588385097E-2</c:v>
                </c:pt>
                <c:pt idx="70">
                  <c:v>2.9811322381942854E-2</c:v>
                </c:pt>
                <c:pt idx="71">
                  <c:v>2.6156710680099639E-2</c:v>
                </c:pt>
                <c:pt idx="72">
                  <c:v>2.2950122937748386E-2</c:v>
                </c:pt>
                <c:pt idx="73">
                  <c:v>2.0136635271134871E-2</c:v>
                </c:pt>
                <c:pt idx="74">
                  <c:v>1.7668056992225185E-2</c:v>
                </c:pt>
                <c:pt idx="75">
                  <c:v>1.5502105176826018E-2</c:v>
                </c:pt>
                <c:pt idx="76">
                  <c:v>1.3601680423553454E-2</c:v>
                </c:pt>
                <c:pt idx="77">
                  <c:v>1.193423139852263E-2</c:v>
                </c:pt>
                <c:pt idx="78">
                  <c:v>1.0471197281392565E-2</c:v>
                </c:pt>
                <c:pt idx="79">
                  <c:v>9.1875185627300991E-3</c:v>
                </c:pt>
                <c:pt idx="80">
                  <c:v>8.0612078134091256E-3</c:v>
                </c:pt>
                <c:pt idx="81">
                  <c:v>7.0729730739894602E-3</c:v>
                </c:pt>
                <c:pt idx="82">
                  <c:v>6.2058874133184352E-3</c:v>
                </c:pt>
                <c:pt idx="83">
                  <c:v>5.4450989964056479E-3</c:v>
                </c:pt>
                <c:pt idx="84">
                  <c:v>4.7775766954824134E-3</c:v>
                </c:pt>
                <c:pt idx="85">
                  <c:v>4.1918868869572018E-3</c:v>
                </c:pt>
                <c:pt idx="86">
                  <c:v>3.6779976111444563E-3</c:v>
                </c:pt>
                <c:pt idx="87">
                  <c:v>3.2271067403261354E-3</c:v>
                </c:pt>
                <c:pt idx="88">
                  <c:v>2.831491211930901E-3</c:v>
                </c:pt>
                <c:pt idx="89">
                  <c:v>2.4843747444287137E-3</c:v>
                </c:pt>
                <c:pt idx="90">
                  <c:v>2.1798117701189107E-3</c:v>
                </c:pt>
                <c:pt idx="91">
                  <c:v>1.9125855967601106E-3</c:v>
                </c:pt>
                <c:pt idx="92">
                  <c:v>1.678119053708331E-3</c:v>
                </c:pt>
                <c:pt idx="93">
                  <c:v>1.4723960920699942E-3</c:v>
                </c:pt>
                <c:pt idx="94">
                  <c:v>1.2918929960018175E-3</c:v>
                </c:pt>
                <c:pt idx="95">
                  <c:v>1.1335180269136521E-3</c:v>
                </c:pt>
                <c:pt idx="96">
                  <c:v>9.9455846677290244E-4</c:v>
                </c:pt>
                <c:pt idx="97">
                  <c:v>8.7263415344431634E-4</c:v>
                </c:pt>
                <c:pt idx="98">
                  <c:v>7.6565671219745127E-4</c:v>
                </c:pt>
                <c:pt idx="99">
                  <c:v>6.7179378508065539E-4</c:v>
                </c:pt>
                <c:pt idx="100">
                  <c:v>5.894376454661167E-4</c:v>
                </c:pt>
                <c:pt idx="101">
                  <c:v>5.1717766018172728E-4</c:v>
                </c:pt>
                <c:pt idx="102">
                  <c:v>4.5377612754871386E-4</c:v>
                </c:pt>
                <c:pt idx="103">
                  <c:v>3.9814707746802609E-4</c:v>
                </c:pt>
                <c:pt idx="104">
                  <c:v>3.4933767043378186E-4</c:v>
                </c:pt>
                <c:pt idx="105">
                  <c:v>3.0651187686766824E-4</c:v>
                </c:pt>
                <c:pt idx="106">
                  <c:v>2.6893615722656245E-4</c:v>
                </c:pt>
                <c:pt idx="107">
                  <c:v>2.3596689760578587E-4</c:v>
                </c:pt>
                <c:pt idx="108">
                  <c:v>2.0703938562932647E-4</c:v>
                </c:pt>
                <c:pt idx="109">
                  <c:v>1.8165813780109599E-4</c:v>
                </c:pt>
                <c:pt idx="110">
                  <c:v>1.5938841263972374E-4</c:v>
                </c:pt>
                <c:pt idx="111">
                  <c:v>1.3984876423002489E-4</c:v>
                </c:pt>
                <c:pt idx="112">
                  <c:v>1.2270450864500804E-4</c:v>
                </c:pt>
                <c:pt idx="113">
                  <c:v>1.0766199132834607E-4</c:v>
                </c:pt>
                <c:pt idx="114">
                  <c:v>9.4463557246446964E-5</c:v>
                </c:pt>
                <c:pt idx="115">
                  <c:v>8.2883137656616533E-5</c:v>
                </c:pt>
                <c:pt idx="116">
                  <c:v>7.2722377899483894E-5</c:v>
                </c:pt>
                <c:pt idx="117">
                  <c:v>6.3807239890768783E-5</c:v>
                </c:pt>
                <c:pt idx="118">
                  <c:v>5.59850211183346E-5</c:v>
                </c:pt>
                <c:pt idx="119">
                  <c:v>4.9121739084561543E-5</c:v>
                </c:pt>
                <c:pt idx="120">
                  <c:v>4.3099836393587122E-5</c:v>
                </c:pt>
                <c:pt idx="121">
                  <c:v>3.7816167175111277E-5</c:v>
                </c:pt>
                <c:pt idx="122">
                  <c:v>3.3180230355323213E-5</c:v>
                </c:pt>
                <c:pt idx="123">
                  <c:v>2.9112619513616068E-5</c:v>
                </c:pt>
                <c:pt idx="124">
                  <c:v>2.5543662773534804E-5</c:v>
                </c:pt>
                <c:pt idx="125">
                  <c:v>2.2412229431394908E-5</c:v>
                </c:pt>
                <c:pt idx="126">
                  <c:v>1.9664682881967648E-5</c:v>
                </c:pt>
                <c:pt idx="127">
                  <c:v>1.7253961906469908E-5</c:v>
                </c:pt>
                <c:pt idx="128">
                  <c:v>1.5138774586744158E-5</c:v>
                </c:pt>
                <c:pt idx="129">
                  <c:v>1.328289103862642E-5</c:v>
                </c:pt>
                <c:pt idx="130">
                  <c:v>1.1654522850119756E-5</c:v>
                </c:pt>
                <c:pt idx="131">
                  <c:v>1.0225778595109927E-5</c:v>
                </c:pt>
                <c:pt idx="132">
                  <c:v>8.9721860964161124E-6</c:v>
                </c:pt>
                <c:pt idx="133">
                  <c:v>7.8722732552823492E-6</c:v>
                </c:pt>
                <c:pt idx="134">
                  <c:v>6.9072002675678322E-6</c:v>
                </c:pt>
                <c:pt idx="135">
                  <c:v>6.0604369270687844E-6</c:v>
                </c:pt>
                <c:pt idx="136">
                  <c:v>5.3174794886773905E-6</c:v>
                </c:pt>
                <c:pt idx="137">
                  <c:v>4.6656022416820443E-6</c:v>
                </c:pt>
                <c:pt idx="138">
                  <c:v>4.0936395380441424E-6</c:v>
                </c:pt>
                <c:pt idx="139">
                  <c:v>3.5917945421332582E-6</c:v>
                </c:pt>
                <c:pt idx="140">
                  <c:v>3.1514714260997417E-6</c:v>
                </c:pt>
                <c:pt idx="141">
                  <c:v>2.7651281366512705E-6</c:v>
                </c:pt>
                <c:pt idx="142">
                  <c:v>2.4261472113561657E-6</c:v>
                </c:pt>
                <c:pt idx="143">
                  <c:v>2.1287224317567488E-6</c:v>
                </c:pt>
                <c:pt idx="144">
                  <c:v>1.8677593718360455E-6</c:v>
                </c:pt>
                <c:pt idx="145">
                  <c:v>1.638788138387042E-6</c:v>
                </c:pt>
                <c:pt idx="146">
                  <c:v>1.4378868086621037E-6</c:v>
                </c:pt>
                <c:pt idx="147">
                  <c:v>1.2616142539080249E-6</c:v>
                </c:pt>
                <c:pt idx="148">
                  <c:v>1.1069511981578634E-6</c:v>
                </c:pt>
                <c:pt idx="149">
                  <c:v>9.7124850270791253E-7</c:v>
                </c:pt>
                <c:pt idx="150">
                  <c:v>8.5218179047296518E-7</c:v>
                </c:pt>
                <c:pt idx="151">
                  <c:v>7.4771163300532351E-7</c:v>
                </c:pt>
                <c:pt idx="152">
                  <c:v>6.5604861824282753E-7</c:v>
                </c:pt>
                <c:pt idx="153">
                  <c:v>5.7562270065050459E-7</c:v>
                </c:pt>
                <c:pt idx="154">
                  <c:v>5.0505630877121804E-7</c:v>
                </c:pt>
                <c:pt idx="155">
                  <c:v>4.4314074955929088E-7</c:v>
                </c:pt>
                <c:pt idx="156">
                  <c:v>3.8881550533986923E-7</c:v>
                </c:pt>
                <c:pt idx="157">
                  <c:v>3.411500687829901E-7</c:v>
                </c:pt>
                <c:pt idx="158">
                  <c:v>2.9932800475358227E-7</c:v>
                </c:pt>
                <c:pt idx="159">
                  <c:v>2.6263296604156489E-7</c:v>
                </c:pt>
                <c:pt idx="160">
                  <c:v>2.3043642344315026E-7</c:v>
                </c:pt>
                <c:pt idx="161">
                  <c:v>2.0218690002863913E-7</c:v>
                </c:pt>
                <c:pt idx="162">
                  <c:v>1.774005251963828E-7</c:v>
                </c:pt>
                <c:pt idx="163">
                  <c:v>1.5565274671848022E-7</c:v>
                </c:pt>
                <c:pt idx="164">
                  <c:v>1.3657105881838368E-7</c:v>
                </c:pt>
                <c:pt idx="165">
                  <c:v>1.1982862172364066E-7</c:v>
                </c:pt>
                <c:pt idx="166">
                  <c:v>1.0513866340658796E-7</c:v>
                </c:pt>
                <c:pt idx="167">
                  <c:v>9.2249567623483363E-8</c:v>
                </c:pt>
                <c:pt idx="168">
                  <c:v>8.0940564117789583E-8</c:v>
                </c:pt>
                <c:pt idx="169">
                  <c:v>7.1017947167464741E-8</c:v>
                </c:pt>
                <c:pt idx="170">
                  <c:v>6.231175770582889E-8</c:v>
                </c:pt>
                <c:pt idx="171">
                  <c:v>5.4672872185873633E-8</c:v>
                </c:pt>
                <c:pt idx="172">
                  <c:v>4.7970448324767132E-8</c:v>
                </c:pt>
                <c:pt idx="173">
                  <c:v>4.2089683978112424E-8</c:v>
                </c:pt>
                <c:pt idx="174">
                  <c:v>3.6929850756944606E-8</c:v>
                </c:pt>
                <c:pt idx="175">
                  <c:v>3.2402568706370325E-8</c:v>
                </c:pt>
                <c:pt idx="176">
                  <c:v>2.8430292493765691E-8</c:v>
                </c:pt>
                <c:pt idx="177">
                  <c:v>2.4944983177280082E-8</c:v>
                </c:pt>
                <c:pt idx="178">
                  <c:v>2.188694280409659E-8</c:v>
                </c:pt>
                <c:pt idx="179">
                  <c:v>1.9203791876921531E-8</c:v>
                </c:pt>
                <c:pt idx="180">
                  <c:v>1.6849572174287019E-8</c:v>
                </c:pt>
                <c:pt idx="181">
                  <c:v>1.4783959557367342E-8</c:v>
                </c:pt>
                <c:pt idx="182">
                  <c:v>1.2971573279908613E-8</c:v>
                </c:pt>
                <c:pt idx="183">
                  <c:v>1.1381369970820074E-8</c:v>
                </c:pt>
                <c:pt idx="184">
                  <c:v>9.9861119092870381E-9</c:v>
                </c:pt>
                <c:pt idx="185">
                  <c:v>8.7619004847813597E-9</c:v>
                </c:pt>
                <c:pt idx="186">
                  <c:v>7.6877668508616691E-9</c:v>
                </c:pt>
                <c:pt idx="187">
                  <c:v>6.7453127612967111E-9</c:v>
                </c:pt>
                <c:pt idx="188">
                  <c:v>5.9183954365906098E-9</c:v>
                </c:pt>
                <c:pt idx="189">
                  <c:v>5.1928510631615142E-9</c:v>
                </c:pt>
                <c:pt idx="190">
                  <c:v>4.5562521891426214E-9</c:v>
                </c:pt>
                <c:pt idx="191">
                  <c:v>3.9976948613712328E-9</c:v>
                </c:pt>
                <c:pt idx="192">
                  <c:v>3.5076118575520099E-9</c:v>
                </c:pt>
                <c:pt idx="193">
                  <c:v>3.077608814550529E-9</c:v>
                </c:pt>
                <c:pt idx="194">
                  <c:v>2.7003204459485064E-9</c:v>
                </c:pt>
                <c:pt idx="195">
                  <c:v>2.3692843860900056E-9</c:v>
                </c:pt>
                <c:pt idx="196">
                  <c:v>2.07883049976245E-9</c:v>
                </c:pt>
                <c:pt idx="197">
                  <c:v>1.8239837615586382E-9</c:v>
                </c:pt>
                <c:pt idx="198">
                  <c:v>1.6003790413935957E-9</c:v>
                </c:pt>
                <c:pt idx="199">
                  <c:v>1.4041863365840856E-9</c:v>
                </c:pt>
                <c:pt idx="200">
                  <c:v>1.2320451698320555E-9</c:v>
                </c:pt>
                <c:pt idx="201">
                  <c:v>1.0810070294510385E-9</c:v>
                </c:pt>
                <c:pt idx="202">
                  <c:v>9.4848486592569583E-10</c:v>
                </c:pt>
                <c:pt idx="203">
                  <c:v>8.3220877975875506E-10</c:v>
                </c:pt>
                <c:pt idx="204">
                  <c:v>7.3018714160676124E-10</c:v>
                </c:pt>
                <c:pt idx="205">
                  <c:v>6.4067247875276126E-10</c:v>
                </c:pt>
                <c:pt idx="206">
                  <c:v>5.6213154360400839E-10</c:v>
                </c:pt>
                <c:pt idx="207">
                  <c:v>4.9321905153439262E-10</c:v>
                </c:pt>
                <c:pt idx="208">
                  <c:v>4.32754638241495E-10</c:v>
                </c:pt>
                <c:pt idx="209">
                  <c:v>3.7970264193346604E-10</c:v>
                </c:pt>
                <c:pt idx="210">
                  <c:v>3.3315436404588877E-10</c:v>
                </c:pt>
                <c:pt idx="211">
                  <c:v>2.9231250464217019E-10</c:v>
                </c:pt>
                <c:pt idx="212">
                  <c:v>2.5647750589996571E-10</c:v>
                </c:pt>
                <c:pt idx="213">
                  <c:v>2.2503556976870143E-10</c:v>
                </c:pt>
                <c:pt idx="214">
                  <c:v>1.974481445592179E-10</c:v>
                </c:pt>
                <c:pt idx="215">
                  <c:v>1.7324270038709258E-10</c:v>
                </c:pt>
                <c:pt idx="216">
                  <c:v>1.5200463546726584E-10</c:v>
                </c:pt>
                <c:pt idx="217">
                  <c:v>1.3337017462732782E-10</c:v>
                </c:pt>
                <c:pt idx="218">
                  <c:v>1.1702013840199284E-10</c:v>
                </c:pt>
                <c:pt idx="219">
                  <c:v>1.0267447598299605E-10</c:v>
                </c:pt>
                <c:pt idx="220">
                  <c:v>9.0087468382307972E-11</c:v>
                </c:pt>
                <c:pt idx="221">
                  <c:v>7.9043519646278889E-11</c:v>
                </c:pt>
                <c:pt idx="222">
                  <c:v>6.9353464030727286E-11</c:v>
                </c:pt>
                <c:pt idx="223">
                  <c:v>6.0851325884598525E-11</c:v>
                </c:pt>
                <c:pt idx="224">
                  <c:v>5.3391476744017219E-11</c:v>
                </c:pt>
                <c:pt idx="225">
                  <c:v>4.6846140942155402E-11</c:v>
                </c:pt>
                <c:pt idx="226">
                  <c:v>4.1103207009875414E-11</c:v>
                </c:pt>
                <c:pt idx="227">
                  <c:v>3.6064307379828717E-11</c:v>
                </c:pt>
                <c:pt idx="228">
                  <c:v>3.1643133502314771E-11</c:v>
                </c:pt>
                <c:pt idx="229">
                  <c:v>2.7763957513443058E-11</c:v>
                </c:pt>
                <c:pt idx="230">
                  <c:v>2.436033513406258E-11</c:v>
                </c:pt>
                <c:pt idx="231">
                  <c:v>2.1373967582125576E-11</c:v>
                </c:pt>
                <c:pt idx="232">
                  <c:v>1.8753703004806183E-11</c:v>
                </c:pt>
                <c:pt idx="233">
                  <c:v>1.6454660326452167E-11</c:v>
                </c:pt>
                <c:pt idx="234">
                  <c:v>1.4437460505241545E-11</c:v>
                </c:pt>
                <c:pt idx="235">
                  <c:v>1.2667552031160755E-11</c:v>
                </c:pt>
                <c:pt idx="236">
                  <c:v>1.1114619112128978E-11</c:v>
                </c:pt>
                <c:pt idx="237">
                  <c:v>9.7520624114131232E-12</c:v>
                </c:pt>
                <c:pt idx="238">
                  <c:v>8.5565434421692966E-12</c:v>
                </c:pt>
                <c:pt idx="239">
                  <c:v>7.5075848152945988E-12</c:v>
                </c:pt>
                <c:pt idx="240">
                  <c:v>6.5872194934538194E-12</c:v>
                </c:pt>
                <c:pt idx="241">
                  <c:v>5.7796830435455174E-12</c:v>
                </c:pt>
                <c:pt idx="242">
                  <c:v>5.0711436163686662E-12</c:v>
                </c:pt>
                <c:pt idx="243">
                  <c:v>4.4494650284595912E-12</c:v>
                </c:pt>
                <c:pt idx="244">
                  <c:v>3.9039988880578446E-12</c:v>
                </c:pt>
                <c:pt idx="245">
                  <c:v>3.4254022046406347E-12</c:v>
                </c:pt>
                <c:pt idx="246">
                  <c:v>3.0054773579595009E-12</c:v>
                </c:pt>
                <c:pt idx="247">
                  <c:v>2.6370316854965882E-12</c:v>
                </c:pt>
                <c:pt idx="248">
                  <c:v>2.3137542832910211E-12</c:v>
                </c:pt>
                <c:pt idx="249">
                  <c:v>2.0301079099242675E-12</c:v>
                </c:pt>
                <c:pt idx="250">
                  <c:v>1.7812341421471076E-12</c:v>
                </c:pt>
                <c:pt idx="251">
                  <c:v>1.5628701576109333E-12</c:v>
                </c:pt>
                <c:pt idx="252">
                  <c:v>1.3712757193203961E-12</c:v>
                </c:pt>
                <c:pt idx="253">
                  <c:v>1.2031691111641167E-12</c:v>
                </c:pt>
                <c:pt idx="254">
                  <c:v>1.0556709271982797E-12</c:v>
                </c:pt>
                <c:pt idx="255">
                  <c:v>9.2625475188056234E-13</c:v>
                </c:pt>
                <c:pt idx="256">
                  <c:v>8.1270388648315924E-13</c:v>
                </c:pt>
                <c:pt idx="257">
                  <c:v>7.1307338047535277E-13</c:v>
                </c:pt>
                <c:pt idx="258">
                  <c:v>6.2565671753199342E-13</c:v>
                </c:pt>
                <c:pt idx="259">
                  <c:v>5.4895658555078944E-13</c:v>
                </c:pt>
                <c:pt idx="260">
                  <c:v>4.8165923001405529E-13</c:v>
                </c:pt>
                <c:pt idx="261">
                  <c:v>4.2261195140770996E-13</c:v>
                </c:pt>
                <c:pt idx="262">
                  <c:v>3.7080336126315043E-13</c:v>
                </c:pt>
                <c:pt idx="263">
                  <c:v>3.2534605863856325E-13</c:v>
                </c:pt>
                <c:pt idx="264">
                  <c:v>2.8546143031461932E-13</c:v>
                </c:pt>
                <c:pt idx="265">
                  <c:v>2.5046631435543527E-13</c:v>
                </c:pt>
                <c:pt idx="266">
                  <c:v>2.1976129860224749E-13</c:v>
                </c:pt>
                <c:pt idx="267">
                  <c:v>1.9282045367111123E-13</c:v>
                </c:pt>
                <c:pt idx="268">
                  <c:v>1.691823245967701E-13</c:v>
                </c:pt>
                <c:pt idx="269">
                  <c:v>1.4844202682350179E-13</c:v>
                </c:pt>
                <c:pt idx="270">
                  <c:v>1.3024431115949982E-13</c:v>
                </c:pt>
                <c:pt idx="271">
                  <c:v>1.1427747890819613E-13</c:v>
                </c:pt>
                <c:pt idx="272">
                  <c:v>1.0026804295214458E-13</c:v>
                </c:pt>
                <c:pt idx="273">
                  <c:v>8.7976043342097629E-14</c:v>
                </c:pt>
                <c:pt idx="274">
                  <c:v>7.7190937154569228E-14</c:v>
                </c:pt>
                <c:pt idx="275">
                  <c:v>6.7727992217507115E-14</c:v>
                </c:pt>
                <c:pt idx="276">
                  <c:v>5.9425122934178247E-14</c:v>
                </c:pt>
                <c:pt idx="277">
                  <c:v>5.2140114007829316E-14</c:v>
                </c:pt>
                <c:pt idx="278">
                  <c:v>4.5748184513823635E-14</c:v>
                </c:pt>
                <c:pt idx="279">
                  <c:v>4.0139850595581459E-14</c:v>
                </c:pt>
                <c:pt idx="280">
                  <c:v>3.5219050175613982E-14</c:v>
                </c:pt>
                <c:pt idx="281">
                  <c:v>3.0901497560854268E-14</c:v>
                </c:pt>
                <c:pt idx="282">
                  <c:v>2.7113239759221736E-14</c:v>
                </c:pt>
                <c:pt idx="283">
                  <c:v>2.3789389779357989E-14</c:v>
                </c:pt>
                <c:pt idx="284">
                  <c:v>2.0873015216919508E-14</c:v>
                </c:pt>
                <c:pt idx="285">
                  <c:v>1.8314163090631038E-14</c:v>
                </c:pt>
                <c:pt idx="286">
                  <c:v>1.6069004225050944E-14</c:v>
                </c:pt>
                <c:pt idx="287">
                  <c:v>1.4099082524649946E-14</c:v>
                </c:pt>
                <c:pt idx="288">
                  <c:v>1.2370656280430425E-14</c:v>
                </c:pt>
                <c:pt idx="289">
                  <c:v>1.0854120226688456E-14</c:v>
                </c:pt>
                <c:pt idx="290">
                  <c:v>9.5234984486456281E-15</c:v>
                </c:pt>
                <c:pt idx="291">
                  <c:v>8.3559994552434537E-15</c:v>
                </c:pt>
                <c:pt idx="292">
                  <c:v>7.3316257961861316E-15</c:v>
                </c:pt>
                <c:pt idx="293">
                  <c:v>6.4328315365759956E-15</c:v>
                </c:pt>
                <c:pt idx="294">
                  <c:v>5.6442217222124193E-15</c:v>
                </c:pt>
                <c:pt idx="295">
                  <c:v>4.9522886878600256E-15</c:v>
                </c:pt>
                <c:pt idx="296">
                  <c:v>4.3451806918550695E-15</c:v>
                </c:pt>
                <c:pt idx="297">
                  <c:v>3.8124989141189888E-15</c:v>
                </c:pt>
                <c:pt idx="298">
                  <c:v>3.3451193404693698E-15</c:v>
                </c:pt>
                <c:pt idx="299">
                  <c:v>2.9350364823823251E-15</c:v>
                </c:pt>
                <c:pt idx="300">
                  <c:v>2.5752262553677619E-15</c:v>
                </c:pt>
                <c:pt idx="301">
                  <c:v>2.2595256672763878E-15</c:v>
                </c:pt>
                <c:pt idx="302">
                  <c:v>1.9825272557854175E-15</c:v>
                </c:pt>
                <c:pt idx="303">
                  <c:v>1.7394864669405348E-15</c:v>
                </c:pt>
                <c:pt idx="304">
                  <c:v>1.5262403882919271E-15</c:v>
                </c:pt>
                <c:pt idx="305">
                  <c:v>1.3391364446488243E-15</c:v>
                </c:pt>
                <c:pt idx="306">
                  <c:v>1.1749698351212078E-15</c:v>
                </c:pt>
                <c:pt idx="307">
                  <c:v>1.0309286398420701E-15</c:v>
                </c:pt>
                <c:pt idx="308">
                  <c:v>9.0454565613336166E-16</c:v>
                </c:pt>
                <c:pt idx="309">
                  <c:v>7.9365613914371019E-16</c:v>
                </c:pt>
                <c:pt idx="310">
                  <c:v>6.9636072312046169E-16</c:v>
                </c:pt>
                <c:pt idx="311">
                  <c:v>6.1099288821483732E-16</c:v>
                </c:pt>
                <c:pt idx="312">
                  <c:v>5.3609041557694281E-16</c:v>
                </c:pt>
                <c:pt idx="313">
                  <c:v>4.7037034181060087E-16</c:v>
                </c:pt>
                <c:pt idx="314">
                  <c:v>4.1270698379659176E-16</c:v>
                </c:pt>
                <c:pt idx="315">
                  <c:v>3.6211265748354534E-16</c:v>
                </c:pt>
                <c:pt idx="316">
                  <c:v>3.1772076038922192E-16</c:v>
                </c:pt>
                <c:pt idx="317">
                  <c:v>2.7877092804162043E-16</c:v>
                </c:pt>
                <c:pt idx="318">
                  <c:v>2.4459601011272975E-16</c:v>
                </c:pt>
                <c:pt idx="319">
                  <c:v>2.1461064316625731E-16</c:v>
                </c:pt>
                <c:pt idx="320">
                  <c:v>1.8830122428819456E-16</c:v>
                </c:pt>
                <c:pt idx="321">
                  <c:v>1.652171138640333E-16</c:v>
                </c:pt>
                <c:pt idx="322">
                  <c:v>1.4496291681982597E-16</c:v>
                </c:pt>
                <c:pt idx="323">
                  <c:v>1.2719171011669904E-16</c:v>
                </c:pt>
                <c:pt idx="324">
                  <c:v>1.1159910049628528E-16</c:v>
                </c:pt>
                <c:pt idx="325">
                  <c:v>9.7918010695453695E-17</c:v>
                </c:pt>
                <c:pt idx="326">
                  <c:v>8.5914104826267216E-17</c:v>
                </c:pt>
                <c:pt idx="327">
                  <c:v>7.5381774565009012E-17</c:v>
                </c:pt>
                <c:pt idx="328">
                  <c:v>6.6140617399909292E-17</c:v>
                </c:pt>
                <c:pt idx="329">
                  <c:v>5.8032346615408445E-17</c:v>
                </c:pt>
                <c:pt idx="330">
                  <c:v>5.0918080085770816E-17</c:v>
                </c:pt>
                <c:pt idx="331">
                  <c:v>4.4675961439280894E-17</c:v>
                </c:pt>
                <c:pt idx="332">
                  <c:v>3.9199072847247519E-17</c:v>
                </c:pt>
                <c:pt idx="333">
                  <c:v>3.4393603687123029E-17</c:v>
                </c:pt>
                <c:pt idx="334">
                  <c:v>3.0177243711771746E-17</c:v>
                </c:pt>
                <c:pt idx="335">
                  <c:v>2.6477773202364977E-17</c:v>
                </c:pt>
                <c:pt idx="336">
                  <c:v>2.3231825956404286E-17</c:v>
                </c:pt>
                <c:pt idx="337">
                  <c:v>2.0383803922772957E-17</c:v>
                </c:pt>
                <c:pt idx="338">
                  <c:v>1.7884924893194373E-17</c:v>
                </c:pt>
                <c:pt idx="339">
                  <c:v>1.5692386938526313E-17</c:v>
                </c:pt>
                <c:pt idx="340">
                  <c:v>1.3768635277978463E-17</c:v>
                </c:pt>
                <c:pt idx="341">
                  <c:v>1.2080719023857837E-17</c:v>
                </c:pt>
                <c:pt idx="342">
                  <c:v>1.0599726783875445E-17</c:v>
                </c:pt>
                <c:pt idx="343">
                  <c:v>9.3002914537554962E-18</c:v>
                </c:pt>
                <c:pt idx="344">
                  <c:v>8.1601557180111853E-18</c:v>
                </c:pt>
                <c:pt idx="345">
                  <c:v>7.1597908165880191E-18</c:v>
                </c:pt>
                <c:pt idx="346">
                  <c:v>6.2820620474374957E-18</c:v>
                </c:pt>
                <c:pt idx="347">
                  <c:v>5.5119352755980657E-18</c:v>
                </c:pt>
                <c:pt idx="348">
                  <c:v>4.8362194217383062E-18</c:v>
                </c:pt>
                <c:pt idx="349">
                  <c:v>4.2433405193897163E-18</c:v>
                </c:pt>
                <c:pt idx="350">
                  <c:v>3.723143470819325E-18</c:v>
                </c:pt>
                <c:pt idx="351">
                  <c:v>3.266718105927119E-18</c:v>
                </c:pt>
                <c:pt idx="352">
                  <c:v>2.8662465648264894E-18</c:v>
                </c:pt>
                <c:pt idx="353">
                  <c:v>2.51486939000758E-18</c:v>
                </c:pt>
                <c:pt idx="354">
                  <c:v>2.2065680344495974E-18</c:v>
                </c:pt>
                <c:pt idx="355">
                  <c:v>1.9360617732279468E-18</c:v>
                </c:pt>
                <c:pt idx="356">
                  <c:v>1.698717252871616E-18</c:v>
                </c:pt>
                <c:pt idx="357">
                  <c:v>1.490469129191335E-18</c:v>
                </c:pt>
                <c:pt idx="358">
                  <c:v>1.3077504342273675E-18</c:v>
                </c:pt>
                <c:pt idx="359">
                  <c:v>1.1474314796105545E-18</c:v>
                </c:pt>
                <c:pt idx="360">
                  <c:v>1.0067662498457715E-18</c:v>
                </c:pt>
                <c:pt idx="361">
                  <c:v>8.8334536731773599E-19</c:v>
                </c:pt>
                <c:pt idx="362">
                  <c:v>7.7505482338252948E-19</c:v>
                </c:pt>
                <c:pt idx="363">
                  <c:v>6.8003976867232587E-19</c:v>
                </c:pt>
                <c:pt idx="364">
                  <c:v>5.9667274239730207E-19</c:v>
                </c:pt>
                <c:pt idx="365">
                  <c:v>5.2352579646185822E-19</c:v>
                </c:pt>
              </c:numCache>
            </c:numRef>
          </c:yVal>
          <c:smooth val="1"/>
          <c:extLst>
            <c:ext xmlns:c16="http://schemas.microsoft.com/office/drawing/2014/chart" uri="{C3380CC4-5D6E-409C-BE32-E72D297353CC}">
              <c16:uniqueId val="{00000000-E4EA-4872-A2F3-AF2AEA925602}"/>
            </c:ext>
          </c:extLst>
        </c:ser>
        <c:ser>
          <c:idx val="1"/>
          <c:order val="1"/>
          <c:tx>
            <c:strRef>
              <c:f>'Max rate concentrations'!$I$2</c:f>
              <c:strCache>
                <c:ptCount val="1"/>
                <c:pt idx="0">
                  <c:v>Soil-dwelling invertebrates (earthworms)</c:v>
                </c:pt>
              </c:strCache>
            </c:strRef>
          </c:tx>
          <c:spPr>
            <a:ln w="19050" cap="rnd">
              <a:solidFill>
                <a:srgbClr val="FF0000"/>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concentrations'!$I$3:$I$368</c:f>
              <c:numCache>
                <c:formatCode>General</c:formatCode>
                <c:ptCount val="366"/>
                <c:pt idx="0">
                  <c:v>56.865414300472793</c:v>
                </c:pt>
                <c:pt idx="1">
                  <c:v>55.717854409094507</c:v>
                </c:pt>
                <c:pt idx="2">
                  <c:v>54.593452595794091</c:v>
                </c:pt>
                <c:pt idx="3">
                  <c:v>53.491741524108924</c:v>
                </c:pt>
                <c:pt idx="4">
                  <c:v>52.412263288556325</c:v>
                </c:pt>
                <c:pt idx="5">
                  <c:v>51.354569224313735</c:v>
                </c:pt>
                <c:pt idx="6">
                  <c:v>50.318219720739606</c:v>
                </c:pt>
                <c:pt idx="7">
                  <c:v>49.302784038657535</c:v>
                </c:pt>
                <c:pt idx="8">
                  <c:v>48.307840131327588</c:v>
                </c:pt>
                <c:pt idx="9">
                  <c:v>47.33297446903056</c:v>
                </c:pt>
                <c:pt idx="10">
                  <c:v>46.377781867192077</c:v>
                </c:pt>
                <c:pt idx="11">
                  <c:v>45.441865317975306</c:v>
                </c:pt>
                <c:pt idx="12">
                  <c:v>44.524835825272071</c:v>
                </c:pt>
                <c:pt idx="13">
                  <c:v>43.626312243023932</c:v>
                </c:pt>
                <c:pt idx="14">
                  <c:v>42.745921116806052</c:v>
                </c:pt>
                <c:pt idx="15">
                  <c:v>41.883296528607829</c:v>
                </c:pt>
                <c:pt idx="16">
                  <c:v>41.038079944745988</c:v>
                </c:pt>
                <c:pt idx="17">
                  <c:v>40.209920066846813</c:v>
                </c:pt>
                <c:pt idx="18">
                  <c:v>39.398472685835529</c:v>
                </c:pt>
                <c:pt idx="19">
                  <c:v>38.60340053887235</c:v>
                </c:pt>
                <c:pt idx="20">
                  <c:v>37.824373169175466</c:v>
                </c:pt>
                <c:pt idx="21">
                  <c:v>37.061066788672939</c:v>
                </c:pt>
                <c:pt idx="22">
                  <c:v>36.313164143426242</c:v>
                </c:pt>
                <c:pt idx="23">
                  <c:v>35.580354381769666</c:v>
                </c:pt>
                <c:pt idx="24">
                  <c:v>34.862332925110643</c:v>
                </c:pt>
                <c:pt idx="25">
                  <c:v>34.158801341337401</c:v>
                </c:pt>
                <c:pt idx="26">
                  <c:v>33.469467220781247</c:v>
                </c:pt>
                <c:pt idx="27">
                  <c:v>32.79404405468204</c:v>
                </c:pt>
                <c:pt idx="28">
                  <c:v>32.132251116106147</c:v>
                </c:pt>
                <c:pt idx="29">
                  <c:v>31.48381334326762</c:v>
                </c:pt>
                <c:pt idx="30">
                  <c:v>30.848461225203938</c:v>
                </c:pt>
                <c:pt idx="31">
                  <c:v>30.225930689758812</c:v>
                </c:pt>
                <c:pt idx="32">
                  <c:v>29.615962993825597</c:v>
                </c:pt>
                <c:pt idx="33">
                  <c:v>29.018304615805562</c:v>
                </c:pt>
                <c:pt idx="34">
                  <c:v>28.432707150236428</c:v>
                </c:pt>
                <c:pt idx="35">
                  <c:v>27.858927204547285</c:v>
                </c:pt>
                <c:pt idx="36">
                  <c:v>27.296726297897077</c:v>
                </c:pt>
                <c:pt idx="37">
                  <c:v>26.745870762054494</c:v>
                </c:pt>
                <c:pt idx="38">
                  <c:v>26.206131644278194</c:v>
                </c:pt>
                <c:pt idx="39">
                  <c:v>25.6772846121569</c:v>
                </c:pt>
                <c:pt idx="40">
                  <c:v>25.159109860369835</c:v>
                </c:pt>
                <c:pt idx="41">
                  <c:v>24.651392019328799</c:v>
                </c:pt>
                <c:pt idx="42">
                  <c:v>24.153920065663826</c:v>
                </c:pt>
                <c:pt idx="43">
                  <c:v>23.666487234515301</c:v>
                </c:pt>
                <c:pt idx="44">
                  <c:v>23.188890933596063</c:v>
                </c:pt>
                <c:pt idx="45">
                  <c:v>22.720932658987678</c:v>
                </c:pt>
                <c:pt idx="46">
                  <c:v>22.262417912636053</c:v>
                </c:pt>
                <c:pt idx="47">
                  <c:v>21.813156121511984</c:v>
                </c:pt>
                <c:pt idx="48">
                  <c:v>21.372960558403044</c:v>
                </c:pt>
                <c:pt idx="49">
                  <c:v>20.941648264303932</c:v>
                </c:pt>
                <c:pt idx="50">
                  <c:v>20.519039972373012</c:v>
                </c:pt>
                <c:pt idx="51">
                  <c:v>20.104960033423421</c:v>
                </c:pt>
                <c:pt idx="52">
                  <c:v>19.699236342917782</c:v>
                </c:pt>
                <c:pt idx="53">
                  <c:v>19.301700269436193</c:v>
                </c:pt>
                <c:pt idx="54">
                  <c:v>18.912186584587751</c:v>
                </c:pt>
                <c:pt idx="55">
                  <c:v>18.530533394336487</c:v>
                </c:pt>
                <c:pt idx="56">
                  <c:v>18.156582071713139</c:v>
                </c:pt>
                <c:pt idx="57">
                  <c:v>17.790177190884851</c:v>
                </c:pt>
                <c:pt idx="58">
                  <c:v>17.431166462555339</c:v>
                </c:pt>
                <c:pt idx="59">
                  <c:v>17.079400670668718</c:v>
                </c:pt>
                <c:pt idx="60">
                  <c:v>16.734733610390641</c:v>
                </c:pt>
                <c:pt idx="61">
                  <c:v>16.397022027341038</c:v>
                </c:pt>
                <c:pt idx="62">
                  <c:v>16.066125558053088</c:v>
                </c:pt>
                <c:pt idx="63">
                  <c:v>15.741906671633826</c:v>
                </c:pt>
                <c:pt idx="64">
                  <c:v>15.424230612601985</c:v>
                </c:pt>
                <c:pt idx="65">
                  <c:v>15.112965344879422</c:v>
                </c:pt>
                <c:pt idx="66">
                  <c:v>14.807981496912815</c:v>
                </c:pt>
                <c:pt idx="67">
                  <c:v>14.509152307902799</c:v>
                </c:pt>
                <c:pt idx="68">
                  <c:v>14.21635357511823</c:v>
                </c:pt>
                <c:pt idx="69">
                  <c:v>13.929463602273659</c:v>
                </c:pt>
                <c:pt idx="70">
                  <c:v>13.648363148948555</c:v>
                </c:pt>
                <c:pt idx="71">
                  <c:v>13.37293538102726</c:v>
                </c:pt>
                <c:pt idx="72">
                  <c:v>13.103065822139113</c:v>
                </c:pt>
                <c:pt idx="73">
                  <c:v>12.838642306078466</c:v>
                </c:pt>
                <c:pt idx="74">
                  <c:v>12.579554930184932</c:v>
                </c:pt>
                <c:pt idx="75">
                  <c:v>12.325696009664412</c:v>
                </c:pt>
                <c:pt idx="76">
                  <c:v>12.076960032831924</c:v>
                </c:pt>
                <c:pt idx="77">
                  <c:v>11.833243617257663</c:v>
                </c:pt>
                <c:pt idx="78">
                  <c:v>11.594445466798042</c:v>
                </c:pt>
                <c:pt idx="79">
                  <c:v>11.36046632949385</c:v>
                </c:pt>
                <c:pt idx="80">
                  <c:v>11.131208956318039</c:v>
                </c:pt>
                <c:pt idx="81">
                  <c:v>10.906578060756003</c:v>
                </c:pt>
                <c:pt idx="82">
                  <c:v>10.686480279201533</c:v>
                </c:pt>
                <c:pt idx="83">
                  <c:v>10.470824132151979</c:v>
                </c:pt>
                <c:pt idx="84">
                  <c:v>10.25951998618652</c:v>
                </c:pt>
                <c:pt idx="85">
                  <c:v>10.052480016711723</c:v>
                </c:pt>
                <c:pt idx="86">
                  <c:v>9.8496181714589017</c:v>
                </c:pt>
                <c:pt idx="87">
                  <c:v>9.650850134718107</c:v>
                </c:pt>
                <c:pt idx="88">
                  <c:v>9.4560932922938861</c:v>
                </c:pt>
                <c:pt idx="89">
                  <c:v>9.2652666971682525</c:v>
                </c:pt>
                <c:pt idx="90">
                  <c:v>9.0782910358565783</c:v>
                </c:pt>
                <c:pt idx="91">
                  <c:v>8.8950885954424344</c:v>
                </c:pt>
                <c:pt idx="92">
                  <c:v>8.7155832312776766</c:v>
                </c:pt>
                <c:pt idx="93">
                  <c:v>8.5397003353343663</c:v>
                </c:pt>
                <c:pt idx="94">
                  <c:v>8.3673668051953278</c:v>
                </c:pt>
                <c:pt idx="95">
                  <c:v>8.1985110136705259</c:v>
                </c:pt>
                <c:pt idx="96">
                  <c:v>8.0330627790265527</c:v>
                </c:pt>
                <c:pt idx="97">
                  <c:v>7.870953335816921</c:v>
                </c:pt>
                <c:pt idx="98">
                  <c:v>7.7121153063009995</c:v>
                </c:pt>
                <c:pt idx="99">
                  <c:v>7.5564826724397181</c:v>
                </c:pt>
                <c:pt idx="100">
                  <c:v>7.4039907484564145</c:v>
                </c:pt>
                <c:pt idx="101">
                  <c:v>7.2545761539514055</c:v>
                </c:pt>
                <c:pt idx="102">
                  <c:v>7.1081767875591213</c:v>
                </c:pt>
                <c:pt idx="103">
                  <c:v>6.9647318011368355</c:v>
                </c:pt>
                <c:pt idx="104">
                  <c:v>6.8241815744742818</c:v>
                </c:pt>
                <c:pt idx="105">
                  <c:v>6.686467690513636</c:v>
                </c:pt>
                <c:pt idx="106">
                  <c:v>6.551532911069561</c:v>
                </c:pt>
                <c:pt idx="107">
                  <c:v>6.4193211530392364</c:v>
                </c:pt>
                <c:pt idx="108">
                  <c:v>6.2897774650924703</c:v>
                </c:pt>
                <c:pt idx="109">
                  <c:v>6.1628480048322105</c:v>
                </c:pt>
                <c:pt idx="110">
                  <c:v>6.0384800164159662</c:v>
                </c:pt>
                <c:pt idx="111">
                  <c:v>5.916621808628836</c:v>
                </c:pt>
                <c:pt idx="112">
                  <c:v>5.7972227333990256</c:v>
                </c:pt>
                <c:pt idx="113">
                  <c:v>5.6802331647469284</c:v>
                </c:pt>
                <c:pt idx="114">
                  <c:v>5.565604478159023</c:v>
                </c:pt>
                <c:pt idx="115">
                  <c:v>5.4532890303780048</c:v>
                </c:pt>
                <c:pt idx="116">
                  <c:v>5.3432401396007698</c:v>
                </c:pt>
                <c:pt idx="117">
                  <c:v>5.235412066075992</c:v>
                </c:pt>
                <c:pt idx="118">
                  <c:v>5.1297599930932618</c:v>
                </c:pt>
                <c:pt idx="119">
                  <c:v>5.0262400083558632</c:v>
                </c:pt>
                <c:pt idx="120">
                  <c:v>4.9248090857294535</c:v>
                </c:pt>
                <c:pt idx="121">
                  <c:v>4.8254250673590562</c:v>
                </c:pt>
                <c:pt idx="122">
                  <c:v>4.7280466461469457</c:v>
                </c:pt>
                <c:pt idx="123">
                  <c:v>4.6326333485841289</c:v>
                </c:pt>
                <c:pt idx="124">
                  <c:v>4.5391455179282918</c:v>
                </c:pt>
                <c:pt idx="125">
                  <c:v>4.4475442977212198</c:v>
                </c:pt>
                <c:pt idx="126">
                  <c:v>4.357791615638841</c:v>
                </c:pt>
                <c:pt idx="127">
                  <c:v>4.2698501676671849</c:v>
                </c:pt>
                <c:pt idx="128">
                  <c:v>4.1836834025976666</c:v>
                </c:pt>
                <c:pt idx="129">
                  <c:v>4.0992555068352647</c:v>
                </c:pt>
                <c:pt idx="130">
                  <c:v>4.0165313895132781</c:v>
                </c:pt>
                <c:pt idx="131">
                  <c:v>3.9354766679084623</c:v>
                </c:pt>
                <c:pt idx="132">
                  <c:v>3.8560576531505011</c:v>
                </c:pt>
                <c:pt idx="133">
                  <c:v>3.7782413362198604</c:v>
                </c:pt>
                <c:pt idx="134">
                  <c:v>3.7019953742282086</c:v>
                </c:pt>
                <c:pt idx="135">
                  <c:v>3.6272880769757045</c:v>
                </c:pt>
                <c:pt idx="136">
                  <c:v>3.554088393779562</c:v>
                </c:pt>
                <c:pt idx="137">
                  <c:v>3.4823659005684191</c:v>
                </c:pt>
                <c:pt idx="138">
                  <c:v>3.4120907872371427</c:v>
                </c:pt>
                <c:pt idx="139">
                  <c:v>3.3432338452568193</c:v>
                </c:pt>
                <c:pt idx="140">
                  <c:v>3.2757664555347823</c:v>
                </c:pt>
                <c:pt idx="141">
                  <c:v>3.2096605765196204</c:v>
                </c:pt>
                <c:pt idx="142">
                  <c:v>3.1448887325462369</c:v>
                </c:pt>
                <c:pt idx="143">
                  <c:v>3.081424002416107</c:v>
                </c:pt>
                <c:pt idx="144">
                  <c:v>3.0192400082079849</c:v>
                </c:pt>
                <c:pt idx="145">
                  <c:v>2.9583109043144198</c:v>
                </c:pt>
                <c:pt idx="146">
                  <c:v>2.8986113666995146</c:v>
                </c:pt>
                <c:pt idx="147">
                  <c:v>2.840116582373466</c:v>
                </c:pt>
                <c:pt idx="148">
                  <c:v>2.7828022390795133</c:v>
                </c:pt>
                <c:pt idx="149">
                  <c:v>2.7266445151890042</c:v>
                </c:pt>
                <c:pt idx="150">
                  <c:v>2.6716200698003867</c:v>
                </c:pt>
                <c:pt idx="151">
                  <c:v>2.6177060330379978</c:v>
                </c:pt>
                <c:pt idx="152">
                  <c:v>2.5648799965466327</c:v>
                </c:pt>
                <c:pt idx="153">
                  <c:v>2.5131200041779334</c:v>
                </c:pt>
                <c:pt idx="154">
                  <c:v>2.4624045428647285</c:v>
                </c:pt>
                <c:pt idx="155">
                  <c:v>2.4127125336795299</c:v>
                </c:pt>
                <c:pt idx="156">
                  <c:v>2.3640233230734746</c:v>
                </c:pt>
                <c:pt idx="157">
                  <c:v>2.3163166742920662</c:v>
                </c:pt>
                <c:pt idx="158">
                  <c:v>2.2695727589641477</c:v>
                </c:pt>
                <c:pt idx="159">
                  <c:v>2.2237721488606117</c:v>
                </c:pt>
                <c:pt idx="160">
                  <c:v>2.1788958078194223</c:v>
                </c:pt>
                <c:pt idx="161">
                  <c:v>2.1349250838335938</c:v>
                </c:pt>
                <c:pt idx="162">
                  <c:v>2.0918417012988346</c:v>
                </c:pt>
                <c:pt idx="163">
                  <c:v>2.0496277534176337</c:v>
                </c:pt>
                <c:pt idx="164">
                  <c:v>2.00826569475664</c:v>
                </c:pt>
                <c:pt idx="165">
                  <c:v>1.9677383339542323</c:v>
                </c:pt>
                <c:pt idx="166">
                  <c:v>1.9280288265752521</c:v>
                </c:pt>
                <c:pt idx="167">
                  <c:v>1.8891206681099317</c:v>
                </c:pt>
                <c:pt idx="168">
                  <c:v>1.8509976871141056</c:v>
                </c:pt>
                <c:pt idx="169">
                  <c:v>1.8136440384878534</c:v>
                </c:pt>
                <c:pt idx="170">
                  <c:v>1.7770441968897825</c:v>
                </c:pt>
                <c:pt idx="171">
                  <c:v>1.7411829502842111</c:v>
                </c:pt>
                <c:pt idx="172">
                  <c:v>1.7060453936185727</c:v>
                </c:pt>
                <c:pt idx="173">
                  <c:v>1.6716169226284112</c:v>
                </c:pt>
                <c:pt idx="174">
                  <c:v>1.6378832277673925</c:v>
                </c:pt>
                <c:pt idx="175">
                  <c:v>1.6048302882598113</c:v>
                </c:pt>
                <c:pt idx="176">
                  <c:v>1.5724443662731198</c:v>
                </c:pt>
                <c:pt idx="177">
                  <c:v>1.5407120012080548</c:v>
                </c:pt>
                <c:pt idx="178">
                  <c:v>1.5096200041039938</c:v>
                </c:pt>
                <c:pt idx="179">
                  <c:v>1.4791554521572112</c:v>
                </c:pt>
                <c:pt idx="180">
                  <c:v>1.4493056833497588</c:v>
                </c:pt>
                <c:pt idx="181">
                  <c:v>1.4200582911867343</c:v>
                </c:pt>
                <c:pt idx="182">
                  <c:v>1.3914011195397578</c:v>
                </c:pt>
                <c:pt idx="183">
                  <c:v>1.3633222575945037</c:v>
                </c:pt>
                <c:pt idx="184">
                  <c:v>1.3358100349001947</c:v>
                </c:pt>
                <c:pt idx="185">
                  <c:v>1.3088530165190002</c:v>
                </c:pt>
                <c:pt idx="186">
                  <c:v>1.2824399982733179</c:v>
                </c:pt>
                <c:pt idx="187">
                  <c:v>1.2565600020889682</c:v>
                </c:pt>
                <c:pt idx="188">
                  <c:v>1.2312022714323654</c:v>
                </c:pt>
                <c:pt idx="189">
                  <c:v>1.206356266839766</c:v>
                </c:pt>
                <c:pt idx="190">
                  <c:v>1.1820116615367382</c:v>
                </c:pt>
                <c:pt idx="191">
                  <c:v>1.1581583371460342</c:v>
                </c:pt>
                <c:pt idx="192">
                  <c:v>1.1347863794820749</c:v>
                </c:pt>
                <c:pt idx="193">
                  <c:v>1.111886074430307</c:v>
                </c:pt>
                <c:pt idx="194">
                  <c:v>1.0894479039097122</c:v>
                </c:pt>
                <c:pt idx="195">
                  <c:v>1.067462541916798</c:v>
                </c:pt>
                <c:pt idx="196">
                  <c:v>1.0459208506494184</c:v>
                </c:pt>
                <c:pt idx="197">
                  <c:v>1.024813876708818</c:v>
                </c:pt>
                <c:pt idx="198">
                  <c:v>1.0041328473783211</c:v>
                </c:pt>
                <c:pt idx="199">
                  <c:v>0.98386916697711724</c:v>
                </c:pt>
                <c:pt idx="200">
                  <c:v>0.96401441328762705</c:v>
                </c:pt>
                <c:pt idx="201">
                  <c:v>0.94456033405496675</c:v>
                </c:pt>
                <c:pt idx="202">
                  <c:v>0.92549884355705359</c:v>
                </c:pt>
                <c:pt idx="203">
                  <c:v>0.90682201924392758</c:v>
                </c:pt>
                <c:pt idx="204">
                  <c:v>0.88852209844489194</c:v>
                </c:pt>
                <c:pt idx="205">
                  <c:v>0.87059147514210622</c:v>
                </c:pt>
                <c:pt idx="206">
                  <c:v>0.853022696809287</c:v>
                </c:pt>
                <c:pt idx="207">
                  <c:v>0.83580846131420616</c:v>
                </c:pt>
                <c:pt idx="208">
                  <c:v>0.81894161388369668</c:v>
                </c:pt>
                <c:pt idx="209">
                  <c:v>0.80241514412990611</c:v>
                </c:pt>
                <c:pt idx="210">
                  <c:v>0.78622218313656034</c:v>
                </c:pt>
                <c:pt idx="211">
                  <c:v>0.77035600060402787</c:v>
                </c:pt>
                <c:pt idx="212">
                  <c:v>0.75481000205199733</c:v>
                </c:pt>
                <c:pt idx="213">
                  <c:v>0.73957772607860606</c:v>
                </c:pt>
                <c:pt idx="214">
                  <c:v>0.72465284167487976</c:v>
                </c:pt>
                <c:pt idx="215">
                  <c:v>0.71002914559336761</c:v>
                </c:pt>
                <c:pt idx="216">
                  <c:v>0.69570055976987932</c:v>
                </c:pt>
                <c:pt idx="217">
                  <c:v>0.68166112879725216</c:v>
                </c:pt>
                <c:pt idx="218">
                  <c:v>0.66790501745009778</c:v>
                </c:pt>
                <c:pt idx="219">
                  <c:v>0.65442650825950055</c:v>
                </c:pt>
                <c:pt idx="220">
                  <c:v>0.64121999913665928</c:v>
                </c:pt>
                <c:pt idx="221">
                  <c:v>0.62828000104448456</c:v>
                </c:pt>
                <c:pt idx="222">
                  <c:v>0.61560113571618313</c:v>
                </c:pt>
                <c:pt idx="223">
                  <c:v>0.60317813341988324</c:v>
                </c:pt>
                <c:pt idx="224">
                  <c:v>0.59100583076836954</c:v>
                </c:pt>
                <c:pt idx="225">
                  <c:v>0.57907916857301744</c:v>
                </c:pt>
                <c:pt idx="226">
                  <c:v>0.56739318974103781</c:v>
                </c:pt>
                <c:pt idx="227">
                  <c:v>0.5559430372151537</c:v>
                </c:pt>
                <c:pt idx="228">
                  <c:v>0.54472395195485646</c:v>
                </c:pt>
                <c:pt idx="229">
                  <c:v>0.53373127095839934</c:v>
                </c:pt>
                <c:pt idx="230">
                  <c:v>0.52296042532470954</c:v>
                </c:pt>
                <c:pt idx="231">
                  <c:v>0.51240693835440931</c:v>
                </c:pt>
                <c:pt idx="232">
                  <c:v>0.50206642368916099</c:v>
                </c:pt>
                <c:pt idx="233">
                  <c:v>0.49193458348855895</c:v>
                </c:pt>
                <c:pt idx="234">
                  <c:v>0.4820072066438138</c:v>
                </c:pt>
                <c:pt idx="235">
                  <c:v>0.47228016702748365</c:v>
                </c:pt>
                <c:pt idx="236">
                  <c:v>0.46274942177852707</c:v>
                </c:pt>
                <c:pt idx="237">
                  <c:v>0.45341100962196407</c:v>
                </c:pt>
                <c:pt idx="238">
                  <c:v>0.44426104922244625</c:v>
                </c:pt>
                <c:pt idx="239">
                  <c:v>0.43529573757105339</c:v>
                </c:pt>
                <c:pt idx="240">
                  <c:v>0.42651134840464372</c:v>
                </c:pt>
                <c:pt idx="241">
                  <c:v>0.4179042306571033</c:v>
                </c:pt>
                <c:pt idx="242">
                  <c:v>0.40947080694184862</c:v>
                </c:pt>
                <c:pt idx="243">
                  <c:v>0.40120757206495333</c:v>
                </c:pt>
                <c:pt idx="244">
                  <c:v>0.39311109156828045</c:v>
                </c:pt>
                <c:pt idx="245">
                  <c:v>0.38517800030201416</c:v>
                </c:pt>
                <c:pt idx="246">
                  <c:v>0.37740500102599889</c:v>
                </c:pt>
                <c:pt idx="247">
                  <c:v>0.36978886303930331</c:v>
                </c:pt>
                <c:pt idx="248">
                  <c:v>0.3623264208374401</c:v>
                </c:pt>
                <c:pt idx="249">
                  <c:v>0.35501457279668408</c:v>
                </c:pt>
                <c:pt idx="250">
                  <c:v>0.34785027988493994</c:v>
                </c:pt>
                <c:pt idx="251">
                  <c:v>0.34083056439862641</c:v>
                </c:pt>
                <c:pt idx="252">
                  <c:v>0.33395250872504917</c:v>
                </c:pt>
                <c:pt idx="253">
                  <c:v>0.32721325412975055</c:v>
                </c:pt>
                <c:pt idx="254">
                  <c:v>0.32060999956832997</c:v>
                </c:pt>
                <c:pt idx="255">
                  <c:v>0.3141400005222425</c:v>
                </c:pt>
                <c:pt idx="256">
                  <c:v>0.30780056785809184</c:v>
                </c:pt>
                <c:pt idx="257">
                  <c:v>0.3015890667099419</c:v>
                </c:pt>
                <c:pt idx="258">
                  <c:v>0.29550291538418505</c:v>
                </c:pt>
                <c:pt idx="259">
                  <c:v>0.28953958428650894</c:v>
                </c:pt>
                <c:pt idx="260">
                  <c:v>0.28369659487051918</c:v>
                </c:pt>
                <c:pt idx="261">
                  <c:v>0.27797151860757718</c:v>
                </c:pt>
                <c:pt idx="262">
                  <c:v>0.27236197597742851</c:v>
                </c:pt>
                <c:pt idx="263">
                  <c:v>0.26686563547919995</c:v>
                </c:pt>
                <c:pt idx="264">
                  <c:v>0.26148021266235499</c:v>
                </c:pt>
                <c:pt idx="265">
                  <c:v>0.25620346917720488</c:v>
                </c:pt>
                <c:pt idx="266">
                  <c:v>0.25103321184458066</c:v>
                </c:pt>
                <c:pt idx="267">
                  <c:v>0.24596729174427967</c:v>
                </c:pt>
                <c:pt idx="268">
                  <c:v>0.24100360332190712</c:v>
                </c:pt>
                <c:pt idx="269">
                  <c:v>0.23614008351374208</c:v>
                </c:pt>
                <c:pt idx="270">
                  <c:v>0.23137471088926376</c:v>
                </c:pt>
                <c:pt idx="271">
                  <c:v>0.22670550481098226</c:v>
                </c:pt>
                <c:pt idx="272">
                  <c:v>0.22213052461122335</c:v>
                </c:pt>
                <c:pt idx="273">
                  <c:v>0.21764786878552692</c:v>
                </c:pt>
                <c:pt idx="274">
                  <c:v>0.21325567420232211</c:v>
                </c:pt>
                <c:pt idx="275">
                  <c:v>0.2089521153285519</c:v>
                </c:pt>
                <c:pt idx="276">
                  <c:v>0.20473540347092453</c:v>
                </c:pt>
                <c:pt idx="277">
                  <c:v>0.20060378603247689</c:v>
                </c:pt>
                <c:pt idx="278">
                  <c:v>0.19655554578414045</c:v>
                </c:pt>
                <c:pt idx="279">
                  <c:v>0.19258900015100733</c:v>
                </c:pt>
                <c:pt idx="280">
                  <c:v>0.18870250051299969</c:v>
                </c:pt>
                <c:pt idx="281">
                  <c:v>0.18489443151965188</c:v>
                </c:pt>
                <c:pt idx="282">
                  <c:v>0.1811632104187203</c:v>
                </c:pt>
                <c:pt idx="283">
                  <c:v>0.17750728639834226</c:v>
                </c:pt>
                <c:pt idx="284">
                  <c:v>0.17392513994247019</c:v>
                </c:pt>
                <c:pt idx="285">
                  <c:v>0.1704152821993134</c:v>
                </c:pt>
                <c:pt idx="286">
                  <c:v>0.16697625436252481</c:v>
                </c:pt>
                <c:pt idx="287">
                  <c:v>0.1636066270648755</c:v>
                </c:pt>
                <c:pt idx="288">
                  <c:v>0.16030499978416515</c:v>
                </c:pt>
                <c:pt idx="289">
                  <c:v>0.15707000026112145</c:v>
                </c:pt>
                <c:pt idx="290">
                  <c:v>0.15390028392904609</c:v>
                </c:pt>
                <c:pt idx="291">
                  <c:v>0.15079453335497114</c:v>
                </c:pt>
                <c:pt idx="292">
                  <c:v>0.14775145769209272</c:v>
                </c:pt>
                <c:pt idx="293">
                  <c:v>0.14476979214325467</c:v>
                </c:pt>
                <c:pt idx="294">
                  <c:v>0.14184829743525976</c:v>
                </c:pt>
                <c:pt idx="295">
                  <c:v>0.13898575930378873</c:v>
                </c:pt>
                <c:pt idx="296">
                  <c:v>0.13618098798871439</c:v>
                </c:pt>
                <c:pt idx="297">
                  <c:v>0.13343281773960011</c:v>
                </c:pt>
                <c:pt idx="298">
                  <c:v>0.13074010633117764</c:v>
                </c:pt>
                <c:pt idx="299">
                  <c:v>0.12810173458860258</c:v>
                </c:pt>
                <c:pt idx="300">
                  <c:v>0.12551660592229047</c:v>
                </c:pt>
                <c:pt idx="301">
                  <c:v>0.12298364587213997</c:v>
                </c:pt>
                <c:pt idx="302">
                  <c:v>0.1205018016609537</c:v>
                </c:pt>
                <c:pt idx="303">
                  <c:v>0.11807004175687116</c:v>
                </c:pt>
                <c:pt idx="304">
                  <c:v>0.11568735544463202</c:v>
                </c:pt>
                <c:pt idx="305">
                  <c:v>0.11335275240549125</c:v>
                </c:pt>
                <c:pt idx="306">
                  <c:v>0.1110652623056118</c:v>
                </c:pt>
                <c:pt idx="307">
                  <c:v>0.10882393439276358</c:v>
                </c:pt>
                <c:pt idx="308">
                  <c:v>0.10662783710116117</c:v>
                </c:pt>
                <c:pt idx="309">
                  <c:v>0.10447605766427608</c:v>
                </c:pt>
                <c:pt idx="310">
                  <c:v>0.10236770173546239</c:v>
                </c:pt>
                <c:pt idx="311">
                  <c:v>0.10030189301623857</c:v>
                </c:pt>
                <c:pt idx="312">
                  <c:v>9.8277772892070347E-2</c:v>
                </c:pt>
                <c:pt idx="313">
                  <c:v>9.6294500075503789E-2</c:v>
                </c:pt>
                <c:pt idx="314">
                  <c:v>9.4351250256499958E-2</c:v>
                </c:pt>
                <c:pt idx="315">
                  <c:v>9.2447215759826021E-2</c:v>
                </c:pt>
                <c:pt idx="316">
                  <c:v>9.0581605209360219E-2</c:v>
                </c:pt>
                <c:pt idx="317">
                  <c:v>8.8753643199171214E-2</c:v>
                </c:pt>
                <c:pt idx="318">
                  <c:v>8.6962569971235165E-2</c:v>
                </c:pt>
                <c:pt idx="319">
                  <c:v>8.520764109965677E-2</c:v>
                </c:pt>
                <c:pt idx="320">
                  <c:v>8.3488127181262459E-2</c:v>
                </c:pt>
                <c:pt idx="321">
                  <c:v>8.1803313532437805E-2</c:v>
                </c:pt>
                <c:pt idx="322">
                  <c:v>8.0152499892082632E-2</c:v>
                </c:pt>
                <c:pt idx="323">
                  <c:v>7.8535000130560778E-2</c:v>
                </c:pt>
                <c:pt idx="324">
                  <c:v>7.6950141964523114E-2</c:v>
                </c:pt>
                <c:pt idx="325">
                  <c:v>7.5397266677485628E-2</c:v>
                </c:pt>
                <c:pt idx="326">
                  <c:v>7.3875728846046415E-2</c:v>
                </c:pt>
                <c:pt idx="327">
                  <c:v>7.2384896071627389E-2</c:v>
                </c:pt>
                <c:pt idx="328">
                  <c:v>7.0924148717629934E-2</c:v>
                </c:pt>
                <c:pt idx="329">
                  <c:v>6.9492879651894421E-2</c:v>
                </c:pt>
                <c:pt idx="330">
                  <c:v>6.8090493994357251E-2</c:v>
                </c:pt>
                <c:pt idx="331">
                  <c:v>6.6716408869800112E-2</c:v>
                </c:pt>
                <c:pt idx="332">
                  <c:v>6.5370053165588859E-2</c:v>
                </c:pt>
                <c:pt idx="333">
                  <c:v>6.4050867294301345E-2</c:v>
                </c:pt>
                <c:pt idx="334">
                  <c:v>6.275830296114529E-2</c:v>
                </c:pt>
                <c:pt idx="335">
                  <c:v>6.1491822936070042E-2</c:v>
                </c:pt>
                <c:pt idx="336">
                  <c:v>6.0250900830476892E-2</c:v>
                </c:pt>
                <c:pt idx="337">
                  <c:v>5.903502087843563E-2</c:v>
                </c:pt>
                <c:pt idx="338">
                  <c:v>5.7843677722316064E-2</c:v>
                </c:pt>
                <c:pt idx="339">
                  <c:v>5.6676376202745682E-2</c:v>
                </c:pt>
                <c:pt idx="340">
                  <c:v>5.5532631152805954E-2</c:v>
                </c:pt>
                <c:pt idx="341">
                  <c:v>5.4411967196381833E-2</c:v>
                </c:pt>
                <c:pt idx="342">
                  <c:v>5.3313918550580625E-2</c:v>
                </c:pt>
                <c:pt idx="343">
                  <c:v>5.2238028832138073E-2</c:v>
                </c:pt>
                <c:pt idx="344">
                  <c:v>5.1183850867731237E-2</c:v>
                </c:pt>
                <c:pt idx="345">
                  <c:v>5.0150946508119326E-2</c:v>
                </c:pt>
                <c:pt idx="346">
                  <c:v>4.9138886446035208E-2</c:v>
                </c:pt>
                <c:pt idx="347">
                  <c:v>4.8147250037751922E-2</c:v>
                </c:pt>
                <c:pt idx="348">
                  <c:v>4.7175625128250014E-2</c:v>
                </c:pt>
                <c:pt idx="349">
                  <c:v>4.6223607879913045E-2</c:v>
                </c:pt>
                <c:pt idx="350">
                  <c:v>4.5290802604680151E-2</c:v>
                </c:pt>
                <c:pt idx="351">
                  <c:v>4.4376821599585635E-2</c:v>
                </c:pt>
                <c:pt idx="352">
                  <c:v>4.3481284985617617E-2</c:v>
                </c:pt>
                <c:pt idx="353">
                  <c:v>4.2603820549828413E-2</c:v>
                </c:pt>
                <c:pt idx="354">
                  <c:v>4.1744063590631257E-2</c:v>
                </c:pt>
                <c:pt idx="355">
                  <c:v>4.0901656766218923E-2</c:v>
                </c:pt>
                <c:pt idx="356">
                  <c:v>4.0076249946041344E-2</c:v>
                </c:pt>
                <c:pt idx="357">
                  <c:v>3.9267500065280417E-2</c:v>
                </c:pt>
                <c:pt idx="358">
                  <c:v>3.8475070982261585E-2</c:v>
                </c:pt>
                <c:pt idx="359">
                  <c:v>3.7698633338742842E-2</c:v>
                </c:pt>
                <c:pt idx="360">
                  <c:v>3.6937864423023228E-2</c:v>
                </c:pt>
                <c:pt idx="361">
                  <c:v>3.6192448035813722E-2</c:v>
                </c:pt>
                <c:pt idx="362">
                  <c:v>3.5462074358814995E-2</c:v>
                </c:pt>
                <c:pt idx="363">
                  <c:v>3.4746439825947231E-2</c:v>
                </c:pt>
                <c:pt idx="364">
                  <c:v>3.4045246997178646E-2</c:v>
                </c:pt>
                <c:pt idx="365">
                  <c:v>3.3358204434900084E-2</c:v>
                </c:pt>
              </c:numCache>
            </c:numRef>
          </c:yVal>
          <c:smooth val="1"/>
          <c:extLst>
            <c:ext xmlns:c16="http://schemas.microsoft.com/office/drawing/2014/chart" uri="{C3380CC4-5D6E-409C-BE32-E72D297353CC}">
              <c16:uniqueId val="{00000001-E4EA-4872-A2F3-AF2AEA925602}"/>
            </c:ext>
          </c:extLst>
        </c:ser>
        <c:ser>
          <c:idx val="4"/>
          <c:order val="2"/>
          <c:tx>
            <c:v>arthropods (mean)</c:v>
          </c:tx>
          <c:spPr>
            <a:ln w="19050" cap="rnd">
              <a:solidFill>
                <a:schemeClr val="accent5"/>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concentrations'!$AA$3:$AA$368</c:f>
              <c:numCache>
                <c:formatCode>0</c:formatCode>
                <c:ptCount val="366"/>
                <c:pt idx="0" formatCode="General">
                  <c:v>195</c:v>
                </c:pt>
                <c:pt idx="1">
                  <c:v>171.09467729311169</c:v>
                </c:pt>
                <c:pt idx="2">
                  <c:v>150.11994152837963</c:v>
                </c:pt>
                <c:pt idx="3">
                  <c:v>131.71652795414823</c:v>
                </c:pt>
                <c:pt idx="4">
                  <c:v>115.56921458709803</c:v>
                </c:pt>
                <c:pt idx="5">
                  <c:v>101.40142294768161</c:v>
                </c:pt>
                <c:pt idx="6">
                  <c:v>88.970480698953409</c:v>
                </c:pt>
                <c:pt idx="7">
                  <c:v>78.063465045130542</c:v>
                </c:pt>
                <c:pt idx="8">
                  <c:v>68.493555693736994</c:v>
                </c:pt>
                <c:pt idx="9">
                  <c:v>60.096834913218991</c:v>
                </c:pt>
                <c:pt idx="10">
                  <c:v>52.729479875972359</c:v>
                </c:pt>
                <c:pt idx="11">
                  <c:v>46.265299195964701</c:v>
                </c:pt>
                <c:pt idx="12">
                  <c:v>40.593571465655586</c:v>
                </c:pt>
                <c:pt idx="13">
                  <c:v>35.61714876969851</c:v>
                </c:pt>
                <c:pt idx="14">
                  <c:v>31.250792691550341</c:v>
                </c:pt>
                <c:pt idx="15">
                  <c:v>27.419714311357634</c:v>
                </c:pt>
                <c:pt idx="16">
                  <c:v>24.058293187543846</c:v>
                </c:pt>
                <c:pt idx="17">
                  <c:v>21.108953380235288</c:v>
                </c:pt>
                <c:pt idx="18">
                  <c:v>18.521177264547156</c:v>
                </c:pt>
                <c:pt idx="19">
                  <c:v>16.250640241878013</c:v>
                </c:pt>
                <c:pt idx="20">
                  <c:v>14.258451528156785</c:v>
                </c:pt>
                <c:pt idx="21">
                  <c:v>12.510488014920309</c:v>
                </c:pt>
                <c:pt idx="22">
                  <c:v>10.976809793292983</c:v>
                </c:pt>
                <c:pt idx="23">
                  <c:v>9.6311473296991323</c:v>
                </c:pt>
                <c:pt idx="24">
                  <c:v>8.4504515094219865</c:v>
                </c:pt>
                <c:pt idx="25">
                  <c:v>7.4144988409520165</c:v>
                </c:pt>
                <c:pt idx="26">
                  <c:v>6.5055450588863373</c:v>
                </c:pt>
                <c:pt idx="27">
                  <c:v>5.7080211921331028</c:v>
                </c:pt>
                <c:pt idx="28">
                  <c:v>5.0082668915397734</c:v>
                </c:pt>
                <c:pt idx="29">
                  <c:v>4.3942964492603744</c:v>
                </c:pt>
                <c:pt idx="30">
                  <c:v>3.8555935021357448</c:v>
                </c:pt>
                <c:pt idx="31">
                  <c:v>3.3829309026735053</c:v>
                </c:pt>
                <c:pt idx="32">
                  <c:v>2.9682126722965045</c:v>
                </c:pt>
                <c:pt idx="33">
                  <c:v>2.6043353297635647</c:v>
                </c:pt>
                <c:pt idx="34">
                  <c:v>2.2850662195330602</c:v>
                </c:pt>
                <c:pt idx="35">
                  <c:v>2.0049367560225622</c:v>
                </c:pt>
                <c:pt idx="36">
                  <c:v>1.7591487552039922</c:v>
                </c:pt>
                <c:pt idx="37">
                  <c:v>1.5434922491395187</c:v>
                </c:pt>
                <c:pt idx="38">
                  <c:v>1.3542733757484362</c:v>
                </c:pt>
                <c:pt idx="39">
                  <c:v>1.1882511086683676</c:v>
                </c:pt>
                <c:pt idx="40">
                  <c:v>1.0425817434912643</c:v>
                </c:pt>
                <c:pt idx="41">
                  <c:v>0.91477018950937239</c:v>
                </c:pt>
                <c:pt idx="42">
                  <c:v>0.8026272326741779</c:v>
                </c:pt>
                <c:pt idx="43">
                  <c:v>0.70423203774898324</c:v>
                </c:pt>
                <c:pt idx="44">
                  <c:v>0.61789924737503965</c:v>
                </c:pt>
                <c:pt idx="45">
                  <c:v>0.54215011450917427</c:v>
                </c:pt>
                <c:pt idx="46">
                  <c:v>0.47568717377626007</c:v>
                </c:pt>
                <c:pt idx="47">
                  <c:v>0.41737201789600797</c:v>
                </c:pt>
                <c:pt idx="48">
                  <c:v>0.36620579852867857</c:v>
                </c:pt>
                <c:pt idx="49">
                  <c:v>0.32131211754938732</c:v>
                </c:pt>
                <c:pt idx="50">
                  <c:v>0.28192201570501946</c:v>
                </c:pt>
                <c:pt idx="51">
                  <c:v>0.2473608015326865</c:v>
                </c:pt>
                <c:pt idx="52">
                  <c:v>0.21703649493948945</c:v>
                </c:pt>
                <c:pt idx="53">
                  <c:v>0.19042968750000008</c:v>
                </c:pt>
                <c:pt idx="54">
                  <c:v>0.16708464579405444</c:v>
                </c:pt>
                <c:pt idx="55">
                  <c:v>0.14660150539880829</c:v>
                </c:pt>
                <c:pt idx="56">
                  <c:v>0.12862942183022294</c:v>
                </c:pt>
                <c:pt idx="57">
                  <c:v>0.11286056112021296</c:v>
                </c:pt>
                <c:pt idx="58">
                  <c:v>9.902482709734535E-2</c:v>
                </c:pt>
                <c:pt idx="59">
                  <c:v>8.6885235057571716E-2</c:v>
                </c:pt>
                <c:pt idx="60">
                  <c:v>7.6233852583135309E-2</c:v>
                </c:pt>
                <c:pt idx="61">
                  <c:v>6.6888237982165047E-2</c:v>
                </c:pt>
                <c:pt idx="62">
                  <c:v>5.8688315344940435E-2</c:v>
                </c:pt>
                <c:pt idx="63">
                  <c:v>5.1493632691379271E-2</c:v>
                </c:pt>
                <c:pt idx="64">
                  <c:v>4.5180956246059292E-2</c:v>
                </c:pt>
                <c:pt idx="65">
                  <c:v>3.9642159634429297E-2</c:v>
                </c:pt>
                <c:pt idx="66">
                  <c:v>3.4782371845408708E-2</c:v>
                </c:pt>
                <c:pt idx="67">
                  <c:v>3.0518352237842133E-2</c:v>
                </c:pt>
                <c:pt idx="68">
                  <c:v>2.6777064757185193E-2</c:v>
                </c:pt>
                <c:pt idx="69">
                  <c:v>2.3494426940960791E-2</c:v>
                </c:pt>
                <c:pt idx="70">
                  <c:v>2.0614212285386027E-2</c:v>
                </c:pt>
                <c:pt idx="71">
                  <c:v>1.8087087172409335E-2</c:v>
                </c:pt>
                <c:pt idx="72">
                  <c:v>1.5869765861209001E-2</c:v>
                </c:pt>
                <c:pt idx="73">
                  <c:v>1.3924269070465614E-2</c:v>
                </c:pt>
                <c:pt idx="74">
                  <c:v>1.2217273452070618E-2</c:v>
                </c:pt>
                <c:pt idx="75">
                  <c:v>1.0719540813762682E-2</c:v>
                </c:pt>
                <c:pt idx="76">
                  <c:v>9.4054173141593124E-3</c:v>
                </c:pt>
                <c:pt idx="77">
                  <c:v>8.2523940521699122E-3</c:v>
                </c:pt>
                <c:pt idx="78">
                  <c:v>7.2407215243672071E-3</c:v>
                </c:pt>
                <c:pt idx="79">
                  <c:v>6.3530713465686922E-3</c:v>
                </c:pt>
                <c:pt idx="80">
                  <c:v>5.5742394454424866E-3</c:v>
                </c:pt>
                <c:pt idx="81">
                  <c:v>4.8908856362693135E-3</c:v>
                </c:pt>
                <c:pt idx="82">
                  <c:v>4.2913051262308379E-3</c:v>
                </c:pt>
                <c:pt idx="83">
                  <c:v>3.7652280294294413E-3</c:v>
                </c:pt>
                <c:pt idx="84">
                  <c:v>3.3036434596420976E-3</c:v>
                </c:pt>
                <c:pt idx="85">
                  <c:v>2.8986451877895574E-3</c:v>
                </c:pt>
                <c:pt idx="86">
                  <c:v>2.5432962204722329E-3</c:v>
                </c:pt>
                <c:pt idx="87">
                  <c:v>2.2315099800127554E-3</c:v>
                </c:pt>
                <c:pt idx="88">
                  <c:v>1.9579460508032847E-3</c:v>
                </c:pt>
                <c:pt idx="89">
                  <c:v>1.7179187062538997E-3</c:v>
                </c:pt>
                <c:pt idx="90">
                  <c:v>1.5073166495503123E-3</c:v>
                </c:pt>
                <c:pt idx="91">
                  <c:v>1.3225325935043333E-3</c:v>
                </c:pt>
                <c:pt idx="92">
                  <c:v>1.1604014733089536E-3</c:v>
                </c:pt>
                <c:pt idx="93">
                  <c:v>1.0181462338781885E-3</c:v>
                </c:pt>
                <c:pt idx="94">
                  <c:v>8.9333026319274702E-4</c:v>
                </c:pt>
                <c:pt idx="95">
                  <c:v>7.8381565690837729E-4</c:v>
                </c:pt>
                <c:pt idx="96">
                  <c:v>6.8772659936424177E-4</c:v>
                </c:pt>
                <c:pt idx="97">
                  <c:v>6.0341723376468748E-4</c:v>
                </c:pt>
                <c:pt idx="98">
                  <c:v>5.2944347120036583E-4</c:v>
                </c:pt>
                <c:pt idx="99">
                  <c:v>4.6453825564087925E-4</c:v>
                </c:pt>
                <c:pt idx="100">
                  <c:v>4.075898612265705E-4</c:v>
                </c:pt>
                <c:pt idx="101">
                  <c:v>3.5762285012566283E-4</c:v>
                </c:pt>
                <c:pt idx="102">
                  <c:v>3.1378136479432372E-4</c:v>
                </c:pt>
                <c:pt idx="103">
                  <c:v>2.7531446846193317E-4</c:v>
                </c:pt>
                <c:pt idx="104">
                  <c:v>2.4156328274676427E-4</c:v>
                </c:pt>
                <c:pt idx="105">
                  <c:v>2.1194970208934525E-4</c:v>
                </c:pt>
                <c:pt idx="106">
                  <c:v>1.8596649169921889E-4</c:v>
                </c:pt>
                <c:pt idx="107">
                  <c:v>1.6316859940825634E-4</c:v>
                </c:pt>
                <c:pt idx="108">
                  <c:v>1.4316553261602374E-4</c:v>
                </c:pt>
                <c:pt idx="109">
                  <c:v>1.2561466975607712E-4</c:v>
                </c:pt>
                <c:pt idx="110">
                  <c:v>1.10215391718958E-4</c:v>
                </c:pt>
                <c:pt idx="111">
                  <c:v>9.6703932712251345E-5</c:v>
                </c:pt>
                <c:pt idx="112">
                  <c:v>8.4848862360909893E-5</c:v>
                </c:pt>
                <c:pt idx="113">
                  <c:v>7.4447121663218088E-5</c:v>
                </c:pt>
                <c:pt idx="114">
                  <c:v>6.5320544904458067E-5</c:v>
                </c:pt>
                <c:pt idx="115">
                  <c:v>5.73128079540434E-5</c:v>
                </c:pt>
                <c:pt idx="116">
                  <c:v>5.0286750675175076E-5</c:v>
                </c:pt>
                <c:pt idx="117">
                  <c:v>4.4122027584042284E-5</c:v>
                </c:pt>
                <c:pt idx="118">
                  <c:v>3.8713046517997367E-5</c:v>
                </c:pt>
                <c:pt idx="119">
                  <c:v>3.3967160005281948E-5</c:v>
                </c:pt>
                <c:pt idx="120">
                  <c:v>2.9803078357267715E-5</c:v>
                </c:pt>
                <c:pt idx="121">
                  <c:v>2.6149477301938672E-5</c:v>
                </c:pt>
                <c:pt idx="122">
                  <c:v>2.2943776309532029E-5</c:v>
                </c:pt>
                <c:pt idx="123">
                  <c:v>2.0131066684947299E-5</c:v>
                </c:pt>
                <c:pt idx="124">
                  <c:v>1.7663171066805998E-5</c:v>
                </c:pt>
                <c:pt idx="125">
                  <c:v>1.5497818223836918E-5</c:v>
                </c:pt>
                <c:pt idx="126">
                  <c:v>1.3597919014126578E-5</c:v>
                </c:pt>
                <c:pt idx="127">
                  <c:v>1.1930931105537713E-5</c:v>
                </c:pt>
                <c:pt idx="128">
                  <c:v>1.0468301575940119E-5</c:v>
                </c:pt>
                <c:pt idx="129">
                  <c:v>9.1849778458587035E-6</c:v>
                </c:pt>
                <c:pt idx="130">
                  <c:v>8.0589785665721799E-6</c:v>
                </c:pt>
                <c:pt idx="131">
                  <c:v>7.0710171136398507E-6</c:v>
                </c:pt>
                <c:pt idx="132">
                  <c:v>6.2041712368834885E-6</c:v>
                </c:pt>
                <c:pt idx="133">
                  <c:v>5.4435932084399284E-6</c:v>
                </c:pt>
                <c:pt idx="134">
                  <c:v>4.7762555041692514E-6</c:v>
                </c:pt>
                <c:pt idx="135">
                  <c:v>4.1907276623348026E-6</c:v>
                </c:pt>
                <c:pt idx="136">
                  <c:v>3.6769804974896888E-6</c:v>
                </c:pt>
                <c:pt idx="137">
                  <c:v>3.2262143160567359E-6</c:v>
                </c:pt>
                <c:pt idx="138">
                  <c:v>2.8307081912007396E-6</c:v>
                </c:pt>
                <c:pt idx="139">
                  <c:v>2.483687715304915E-6</c:v>
                </c:pt>
                <c:pt idx="140">
                  <c:v>2.1792089648562065E-6</c:v>
                </c:pt>
                <c:pt idx="141">
                  <c:v>1.9120566902375827E-6</c:v>
                </c:pt>
                <c:pt idx="142">
                  <c:v>1.6776549865760739E-6</c:v>
                </c:pt>
                <c:pt idx="143">
                  <c:v>1.4719889155764768E-6</c:v>
                </c:pt>
                <c:pt idx="144">
                  <c:v>1.2915357358440755E-6</c:v>
                </c:pt>
                <c:pt idx="145">
                  <c:v>1.133204563778275E-6</c:v>
                </c:pt>
                <c:pt idx="146">
                  <c:v>9.9428343152166841E-7</c:v>
                </c:pt>
                <c:pt idx="147">
                  <c:v>8.7239283514916701E-7</c:v>
                </c:pt>
                <c:pt idx="148">
                  <c:v>7.654449774495872E-7</c:v>
                </c:pt>
                <c:pt idx="149">
                  <c:v>6.7160800719164236E-7</c:v>
                </c:pt>
                <c:pt idx="150">
                  <c:v>5.8927464234832762E-7</c:v>
                </c:pt>
                <c:pt idx="151">
                  <c:v>5.1703463984410725E-7</c:v>
                </c:pt>
                <c:pt idx="152">
                  <c:v>4.5365064027429614E-7</c:v>
                </c:pt>
                <c:pt idx="153">
                  <c:v>3.9803697385407276E-7</c:v>
                </c:pt>
                <c:pt idx="154">
                  <c:v>3.4924106457584261E-7</c:v>
                </c:pt>
                <c:pt idx="155">
                  <c:v>3.0642711405695676E-7</c:v>
                </c:pt>
                <c:pt idx="156">
                  <c:v>2.6886178560735661E-7</c:v>
                </c:pt>
                <c:pt idx="157">
                  <c:v>2.3590164330738698E-7</c:v>
                </c:pt>
                <c:pt idx="158">
                  <c:v>2.0698213094662622E-7</c:v>
                </c:pt>
                <c:pt idx="159">
                  <c:v>1.8160790205001844E-7</c:v>
                </c:pt>
                <c:pt idx="160">
                  <c:v>1.5934433535962533E-7</c:v>
                </c:pt>
                <c:pt idx="161">
                  <c:v>1.3981009044533569E-7</c:v>
                </c:pt>
                <c:pt idx="162">
                  <c:v>1.2267057593366906E-7</c:v>
                </c:pt>
                <c:pt idx="163">
                  <c:v>1.0763221847554492E-7</c:v>
                </c:pt>
                <c:pt idx="164">
                  <c:v>9.4437434289307954E-8</c:v>
                </c:pt>
                <c:pt idx="165">
                  <c:v>8.2860217149326067E-8</c:v>
                </c:pt>
                <c:pt idx="166">
                  <c:v>7.2702267249236414E-8</c:v>
                </c:pt>
                <c:pt idx="167">
                  <c:v>6.3789594633259831E-8</c:v>
                </c:pt>
                <c:pt idx="168">
                  <c:v>5.5969539017620508E-8</c:v>
                </c:pt>
                <c:pt idx="169">
                  <c:v>4.910815495622566E-8</c:v>
                </c:pt>
                <c:pt idx="170">
                  <c:v>4.3087917562541293E-8</c:v>
                </c:pt>
                <c:pt idx="171">
                  <c:v>3.7805709490231804E-8</c:v>
                </c:pt>
                <c:pt idx="172">
                  <c:v>3.3171054692658152E-8</c:v>
                </c:pt>
                <c:pt idx="173">
                  <c:v>2.9104568708269253E-8</c:v>
                </c:pt>
                <c:pt idx="174">
                  <c:v>2.5536598927674484E-8</c:v>
                </c:pt>
                <c:pt idx="175">
                  <c:v>2.2406031552277372E-8</c:v>
                </c:pt>
                <c:pt idx="176">
                  <c:v>1.9659244809518847E-8</c:v>
                </c:pt>
                <c:pt idx="177">
                  <c:v>1.7249190494927732E-8</c:v>
                </c:pt>
                <c:pt idx="178">
                  <c:v>1.5134588109215741E-8</c:v>
                </c:pt>
                <c:pt idx="179">
                  <c:v>1.3279217787232986E-8</c:v>
                </c:pt>
                <c:pt idx="180">
                  <c:v>1.1651299907751673E-8</c:v>
                </c:pt>
                <c:pt idx="181">
                  <c:v>1.0222950757754022E-8</c:v>
                </c:pt>
                <c:pt idx="182">
                  <c:v>8.9697049275963901E-9</c:v>
                </c:pt>
                <c:pt idx="183">
                  <c:v>7.8700962564181444E-9</c:v>
                </c:pt>
                <c:pt idx="184">
                  <c:v>6.9052901500389167E-9</c:v>
                </c:pt>
                <c:pt idx="185">
                  <c:v>6.0587609735190317E-9</c:v>
                </c:pt>
                <c:pt idx="186">
                  <c:v>5.3160089926171175E-9</c:v>
                </c:pt>
                <c:pt idx="187">
                  <c:v>4.6643120157902846E-9</c:v>
                </c:pt>
                <c:pt idx="188">
                  <c:v>4.0925074827488307E-9</c:v>
                </c:pt>
                <c:pt idx="189">
                  <c:v>3.5908012670797742E-9</c:v>
                </c:pt>
                <c:pt idx="190">
                  <c:v>3.1505999180241562E-9</c:v>
                </c:pt>
                <c:pt idx="191">
                  <c:v>2.7643634679694723E-9</c:v>
                </c:pt>
                <c:pt idx="192">
                  <c:v>2.425476284477456E-9</c:v>
                </c:pt>
                <c:pt idx="193">
                  <c:v>2.1281337547423891E-9</c:v>
                </c:pt>
                <c:pt idx="194">
                  <c:v>1.8672428615601393E-9</c:v>
                </c:pt>
                <c:pt idx="195">
                  <c:v>1.6383349478281972E-9</c:v>
                </c:pt>
                <c:pt idx="196">
                  <c:v>1.4374891753676532E-9</c:v>
                </c:pt>
                <c:pt idx="197">
                  <c:v>1.26126536703523E-9</c:v>
                </c:pt>
                <c:pt idx="198">
                  <c:v>1.1066450818147217E-9</c:v>
                </c:pt>
                <c:pt idx="199">
                  <c:v>9.7097991359537931E-10</c:v>
                </c:pt>
                <c:pt idx="200">
                  <c:v>8.5194612807535841E-10</c:v>
                </c:pt>
                <c:pt idx="201">
                  <c:v>7.475048607906125E-10</c:v>
                </c:pt>
                <c:pt idx="202">
                  <c:v>6.5586719452308824E-10</c:v>
                </c:pt>
                <c:pt idx="203">
                  <c:v>5.7546351791828869E-10</c:v>
                </c:pt>
                <c:pt idx="204">
                  <c:v>5.0491664047276099E-10</c:v>
                </c:pt>
                <c:pt idx="205">
                  <c:v>4.4301820339286733E-10</c:v>
                </c:pt>
                <c:pt idx="206">
                  <c:v>3.8870798227936793E-10</c:v>
                </c:pt>
                <c:pt idx="207">
                  <c:v>3.410557271248463E-10</c:v>
                </c:pt>
                <c:pt idx="208">
                  <c:v>2.9924522857124683E-10</c:v>
                </c:pt>
                <c:pt idx="209">
                  <c:v>2.6256033750718419E-10</c:v>
                </c:pt>
                <c:pt idx="210">
                  <c:v>2.303726985423701E-10</c:v>
                </c:pt>
                <c:pt idx="211">
                  <c:v>2.0213098725256467E-10</c:v>
                </c:pt>
                <c:pt idx="212">
                  <c:v>1.7735146684572114E-10</c:v>
                </c:pt>
                <c:pt idx="213">
                  <c:v>1.5560970249963411E-10</c:v>
                </c:pt>
                <c:pt idx="214">
                  <c:v>1.3653329145052313E-10</c:v>
                </c:pt>
                <c:pt idx="215">
                  <c:v>1.1979548431022369E-10</c:v>
                </c:pt>
                <c:pt idx="216">
                  <c:v>1.0510958835502434E-10</c:v>
                </c:pt>
                <c:pt idx="217">
                  <c:v>9.2224056923152299E-11</c:v>
                </c:pt>
                <c:pt idx="218">
                  <c:v>8.0918180809888738E-11</c:v>
                </c:pt>
                <c:pt idx="219">
                  <c:v>7.0998307860582436E-11</c:v>
                </c:pt>
                <c:pt idx="220">
                  <c:v>6.2294526009042804E-11</c:v>
                </c:pt>
                <c:pt idx="221">
                  <c:v>5.4657752946895028E-11</c:v>
                </c:pt>
                <c:pt idx="222">
                  <c:v>4.7957182574439121E-11</c:v>
                </c:pt>
                <c:pt idx="223">
                  <c:v>4.2078044494669232E-11</c:v>
                </c:pt>
                <c:pt idx="224">
                  <c:v>3.6919638174054496E-11</c:v>
                </c:pt>
                <c:pt idx="225">
                  <c:v>3.2393608098298977E-11</c:v>
                </c:pt>
                <c:pt idx="226">
                  <c:v>2.8422430379169193E-11</c:v>
                </c:pt>
                <c:pt idx="227">
                  <c:v>2.4938084890307113E-11</c:v>
                </c:pt>
                <c:pt idx="228">
                  <c:v>2.1880890187770871E-11</c:v>
                </c:pt>
                <c:pt idx="229">
                  <c:v>1.9198481259295749E-11</c:v>
                </c:pt>
                <c:pt idx="230">
                  <c:v>1.6844912592702864E-11</c:v>
                </c:pt>
                <c:pt idx="231">
                  <c:v>1.4779871200405997E-11</c:v>
                </c:pt>
                <c:pt idx="232">
                  <c:v>1.2967986120344713E-11</c:v>
                </c:pt>
                <c:pt idx="233">
                  <c:v>1.1378222566163743E-11</c:v>
                </c:pt>
                <c:pt idx="234">
                  <c:v>9.9833503493691626E-12</c:v>
                </c:pt>
                <c:pt idx="235">
                  <c:v>8.7594774683558498E-12</c:v>
                </c:pt>
                <c:pt idx="236">
                  <c:v>7.6856408754083441E-12</c:v>
                </c:pt>
                <c:pt idx="237">
                  <c:v>6.7434474121473796E-12</c:v>
                </c:pt>
                <c:pt idx="238">
                  <c:v>5.9167587632021794E-12</c:v>
                </c:pt>
                <c:pt idx="239">
                  <c:v>5.1914150318526539E-12</c:v>
                </c:pt>
                <c:pt idx="240">
                  <c:v>4.5549922029201998E-12</c:v>
                </c:pt>
                <c:pt idx="241">
                  <c:v>3.996589338621905E-12</c:v>
                </c:pt>
                <c:pt idx="242">
                  <c:v>3.506641862382592E-12</c:v>
                </c:pt>
                <c:pt idx="243">
                  <c:v>3.076757732445465E-12</c:v>
                </c:pt>
                <c:pt idx="244">
                  <c:v>2.6995736991889378E-12</c:v>
                </c:pt>
                <c:pt idx="245">
                  <c:v>2.3686291840600157E-12</c:v>
                </c:pt>
                <c:pt idx="246">
                  <c:v>2.0782556198656144E-12</c:v>
                </c:pt>
                <c:pt idx="247">
                  <c:v>1.8234793569923236E-12</c:v>
                </c:pt>
                <c:pt idx="248">
                  <c:v>1.5999364724884738E-12</c:v>
                </c:pt>
                <c:pt idx="249">
                  <c:v>1.4037980228199738E-12</c:v>
                </c:pt>
                <c:pt idx="250">
                  <c:v>1.2317044599953418E-12</c:v>
                </c:pt>
                <c:pt idx="251">
                  <c:v>1.0807080877096891E-12</c:v>
                </c:pt>
                <c:pt idx="252">
                  <c:v>9.4822257187048761E-13</c:v>
                </c:pt>
                <c:pt idx="253">
                  <c:v>8.3197864069859219E-13</c:v>
                </c:pt>
                <c:pt idx="254">
                  <c:v>7.2998521561583252E-13</c:v>
                </c:pt>
                <c:pt idx="255">
                  <c:v>6.4049530715145336E-13</c:v>
                </c:pt>
                <c:pt idx="256">
                  <c:v>5.619760917170788E-13</c:v>
                </c:pt>
                <c:pt idx="257">
                  <c:v>4.9308265671168065E-13</c:v>
                </c:pt>
                <c:pt idx="258">
                  <c:v>4.32634964250847E-13</c:v>
                </c:pt>
                <c:pt idx="259">
                  <c:v>3.7959763894469524E-13</c:v>
                </c:pt>
                <c:pt idx="260">
                  <c:v>3.3306223352035771E-13</c:v>
                </c:pt>
                <c:pt idx="261">
                  <c:v>2.9223166852660824E-13</c:v>
                </c:pt>
                <c:pt idx="262">
                  <c:v>2.5640657959685956E-13</c:v>
                </c:pt>
                <c:pt idx="263">
                  <c:v>2.249733384202833E-13</c:v>
                </c:pt>
                <c:pt idx="264">
                  <c:v>1.9739354223883269E-13</c:v>
                </c:pt>
                <c:pt idx="265">
                  <c:v>1.7319479184152455E-13</c:v>
                </c:pt>
                <c:pt idx="266">
                  <c:v>1.5196260009729894E-13</c:v>
                </c:pt>
                <c:pt idx="267">
                  <c:v>1.333332924321515E-13</c:v>
                </c:pt>
                <c:pt idx="268">
                  <c:v>1.1698777764670282E-13</c:v>
                </c:pt>
                <c:pt idx="269">
                  <c:v>1.0264608237795345E-13</c:v>
                </c:pt>
                <c:pt idx="270">
                  <c:v>9.0062555589015917E-14</c:v>
                </c:pt>
                <c:pt idx="271">
                  <c:v>7.902166094715697E-14</c:v>
                </c:pt>
                <c:pt idx="272">
                  <c:v>6.9334285020100035E-14</c:v>
                </c:pt>
                <c:pt idx="273">
                  <c:v>6.0834498055705863E-14</c:v>
                </c:pt>
                <c:pt idx="274">
                  <c:v>5.3376711862202175E-14</c:v>
                </c:pt>
                <c:pt idx="275">
                  <c:v>4.6833186107850704E-14</c:v>
                </c:pt>
                <c:pt idx="276">
                  <c:v>4.1091840326825422E-14</c:v>
                </c:pt>
                <c:pt idx="277">
                  <c:v>3.6054334154350094E-14</c:v>
                </c:pt>
                <c:pt idx="278">
                  <c:v>3.1634382908495095E-14</c:v>
                </c:pt>
                <c:pt idx="279">
                  <c:v>2.7756279667157415E-14</c:v>
                </c:pt>
                <c:pt idx="280">
                  <c:v>2.435359852569054E-14</c:v>
                </c:pt>
                <c:pt idx="281">
                  <c:v>2.1368056823994991E-14</c:v>
                </c:pt>
                <c:pt idx="282">
                  <c:v>1.8748516854781004E-14</c:v>
                </c:pt>
                <c:pt idx="283">
                  <c:v>1.645010995381139E-14</c:v>
                </c:pt>
                <c:pt idx="284">
                  <c:v>1.4433467969146481E-14</c:v>
                </c:pt>
                <c:pt idx="285">
                  <c:v>1.2664048945649134E-14</c:v>
                </c:pt>
                <c:pt idx="286">
                  <c:v>1.111154547476928E-14</c:v>
                </c:pt>
                <c:pt idx="287">
                  <c:v>9.7493655755558228E-15</c:v>
                </c:pt>
                <c:pt idx="288">
                  <c:v>8.5541772151912595E-15</c:v>
                </c:pt>
                <c:pt idx="289">
                  <c:v>7.5055086673909611E-15</c:v>
                </c:pt>
                <c:pt idx="290">
                  <c:v>6.5853978634251753E-15</c:v>
                </c:pt>
                <c:pt idx="291">
                  <c:v>5.7780847296896283E-15</c:v>
                </c:pt>
                <c:pt idx="292">
                  <c:v>5.0697412420436073E-15</c:v>
                </c:pt>
                <c:pt idx="293">
                  <c:v>4.4482345731642576E-15</c:v>
                </c:pt>
                <c:pt idx="294">
                  <c:v>3.9029192759979541E-15</c:v>
                </c:pt>
                <c:pt idx="295">
                  <c:v>3.424454943733E-15</c:v>
                </c:pt>
                <c:pt idx="296">
                  <c:v>3.0046462230912744E-15</c:v>
                </c:pt>
                <c:pt idx="297">
                  <c:v>2.6363024406141971E-15</c:v>
                </c:pt>
                <c:pt idx="298">
                  <c:v>2.313114437558609E-15</c:v>
                </c:pt>
                <c:pt idx="299">
                  <c:v>2.029546503775014E-15</c:v>
                </c:pt>
                <c:pt idx="300">
                  <c:v>1.780741559562816E-15</c:v>
                </c:pt>
                <c:pt idx="301">
                  <c:v>1.5624379614145252E-15</c:v>
                </c:pt>
                <c:pt idx="302">
                  <c:v>1.3708965066601306E-15</c:v>
                </c:pt>
                <c:pt idx="303">
                  <c:v>1.202836386714201E-15</c:v>
                </c:pt>
                <c:pt idx="304">
                  <c:v>1.0553789919039933E-15</c:v>
                </c:pt>
                <c:pt idx="305">
                  <c:v>9.2599860534227305E-16</c:v>
                </c:pt>
                <c:pt idx="306">
                  <c:v>8.1247914130721894E-16</c:v>
                </c:pt>
                <c:pt idx="307">
                  <c:v>7.1287618712483645E-16</c:v>
                </c:pt>
                <c:pt idx="308">
                  <c:v>6.2548369839009117E-16</c:v>
                </c:pt>
                <c:pt idx="309">
                  <c:v>5.4880477706745977E-16</c:v>
                </c:pt>
                <c:pt idx="310">
                  <c:v>4.8152603194500064E-16</c:v>
                </c:pt>
                <c:pt idx="311">
                  <c:v>4.2249508227621777E-16</c:v>
                </c:pt>
                <c:pt idx="312">
                  <c:v>3.7070081928192895E-16</c:v>
                </c:pt>
                <c:pt idx="313">
                  <c:v>3.2525608742222433E-16</c:v>
                </c:pt>
                <c:pt idx="314">
                  <c:v>2.8538248879551585E-16</c:v>
                </c:pt>
                <c:pt idx="315">
                  <c:v>2.5039705038755817E-16</c:v>
                </c:pt>
                <c:pt idx="316">
                  <c:v>2.1970052580105791E-16</c:v>
                </c:pt>
                <c:pt idx="317">
                  <c:v>1.9276713109261005E-16</c:v>
                </c:pt>
                <c:pt idx="318">
                  <c:v>1.6913553890773881E-16</c:v>
                </c:pt>
                <c:pt idx="319">
                  <c:v>1.484009766575185E-16</c:v>
                </c:pt>
                <c:pt idx="320">
                  <c:v>1.3020829339077294E-16</c:v>
                </c:pt>
                <c:pt idx="321">
                  <c:v>1.1424587660810823E-16</c:v>
                </c:pt>
                <c:pt idx="322">
                  <c:v>1.0024031482222017E-16</c:v>
                </c:pt>
                <c:pt idx="323">
                  <c:v>8.7951714442398357E-17</c:v>
                </c:pt>
                <c:pt idx="324">
                  <c:v>7.7169590768707979E-17</c:v>
                </c:pt>
                <c:pt idx="325">
                  <c:v>6.7709262714941441E-17</c:v>
                </c:pt>
                <c:pt idx="326">
                  <c:v>5.9408689507525257E-17</c:v>
                </c:pt>
                <c:pt idx="327">
                  <c:v>5.2125695177931812E-17</c:v>
                </c:pt>
                <c:pt idx="328">
                  <c:v>4.5735533308447953E-17</c:v>
                </c:pt>
                <c:pt idx="329">
                  <c:v>4.0128750319165451E-17</c:v>
                </c:pt>
                <c:pt idx="330">
                  <c:v>3.5209310697607513E-17</c:v>
                </c:pt>
                <c:pt idx="331">
                  <c:v>3.0892952059077241E-17</c:v>
                </c:pt>
                <c:pt idx="332">
                  <c:v>2.7105741862458413E-17</c:v>
                </c:pt>
                <c:pt idx="333">
                  <c:v>2.3782811060244668E-17</c:v>
                </c:pt>
                <c:pt idx="334">
                  <c:v>2.0867242992182609E-17</c:v>
                </c:pt>
                <c:pt idx="335">
                  <c:v>1.8309098490997075E-17</c:v>
                </c:pt>
                <c:pt idx="336">
                  <c:v>1.6064560501768936E-17</c:v>
                </c:pt>
                <c:pt idx="337">
                  <c:v>1.409518356361961E-17</c:v>
                </c:pt>
                <c:pt idx="338">
                  <c:v>1.2367235298485482E-17</c:v>
                </c:pt>
                <c:pt idx="339">
                  <c:v>1.0851118627704375E-17</c:v>
                </c:pt>
                <c:pt idx="340">
                  <c:v>9.5208648198787332E-18</c:v>
                </c:pt>
                <c:pt idx="341">
                  <c:v>8.3536886867102144E-18</c:v>
                </c:pt>
                <c:pt idx="342">
                  <c:v>7.3295983079989854E-18</c:v>
                </c:pt>
                <c:pt idx="343">
                  <c:v>6.4310526010011478E-18</c:v>
                </c:pt>
                <c:pt idx="344">
                  <c:v>5.6426608688375277E-18</c:v>
                </c:pt>
                <c:pt idx="345">
                  <c:v>4.9509191816832102E-18</c:v>
                </c:pt>
                <c:pt idx="346">
                  <c:v>4.3439790753557203E-18</c:v>
                </c:pt>
                <c:pt idx="347">
                  <c:v>3.811444605466752E-18</c:v>
                </c:pt>
                <c:pt idx="348">
                  <c:v>3.3441942809892578E-18</c:v>
                </c:pt>
                <c:pt idx="349">
                  <c:v>2.9342248272375727E-18</c:v>
                </c:pt>
                <c:pt idx="350">
                  <c:v>2.5745141021623018E-18</c:v>
                </c:pt>
                <c:pt idx="351">
                  <c:v>2.2589008179283291E-18</c:v>
                </c:pt>
                <c:pt idx="352">
                  <c:v>1.9819790075927872E-18</c:v>
                </c:pt>
                <c:pt idx="353">
                  <c:v>1.7390054292605625E-18</c:v>
                </c:pt>
                <c:pt idx="354">
                  <c:v>1.5258183216938723E-18</c:v>
                </c:pt>
                <c:pt idx="355">
                  <c:v>1.3387661197852838E-18</c:v>
                </c:pt>
                <c:pt idx="356">
                  <c:v>1.1746449089005869E-18</c:v>
                </c:pt>
                <c:pt idx="357">
                  <c:v>1.0306435467812434E-18</c:v>
                </c:pt>
                <c:pt idx="358">
                  <c:v>9.0429551302956353E-19</c:v>
                </c:pt>
                <c:pt idx="359">
                  <c:v>7.9343666143283099E-19</c:v>
                </c:pt>
                <c:pt idx="360">
                  <c:v>6.9616815148909809E-19</c:v>
                </c:pt>
                <c:pt idx="361">
                  <c:v>6.1082392420907341E-19</c:v>
                </c:pt>
                <c:pt idx="362">
                  <c:v>5.3594216510494118E-19</c:v>
                </c:pt>
                <c:pt idx="363">
                  <c:v>4.7024026557128969E-19</c:v>
                </c:pt>
                <c:pt idx="364">
                  <c:v>4.1259285378536892E-19</c:v>
                </c:pt>
                <c:pt idx="365">
                  <c:v>3.6201251883000874E-19</c:v>
                </c:pt>
              </c:numCache>
            </c:numRef>
          </c:yVal>
          <c:smooth val="1"/>
          <c:extLst>
            <c:ext xmlns:c16="http://schemas.microsoft.com/office/drawing/2014/chart" uri="{C3380CC4-5D6E-409C-BE32-E72D297353CC}">
              <c16:uniqueId val="{00000002-E4EA-4872-A2F3-AF2AEA925602}"/>
            </c:ext>
          </c:extLst>
        </c:ser>
        <c:ser>
          <c:idx val="5"/>
          <c:order val="3"/>
          <c:tx>
            <c:v>soil dwelling (mean)</c:v>
          </c:tx>
          <c:spPr>
            <a:ln w="19050" cap="rnd">
              <a:solidFill>
                <a:schemeClr val="accent6"/>
              </a:solidFill>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concentrations'!#REF!</c:f>
              <c:numCache>
                <c:formatCode>General</c:formatCode>
                <c:ptCount val="1"/>
                <c:pt idx="0">
                  <c:v>1</c:v>
                </c:pt>
              </c:numCache>
            </c:numRef>
          </c:yVal>
          <c:smooth val="1"/>
          <c:extLst>
            <c:ext xmlns:c16="http://schemas.microsoft.com/office/drawing/2014/chart" uri="{C3380CC4-5D6E-409C-BE32-E72D297353CC}">
              <c16:uniqueId val="{00000003-E4EA-4872-A2F3-AF2AEA925602}"/>
            </c:ext>
          </c:extLst>
        </c:ser>
        <c:dLbls>
          <c:showLegendKey val="0"/>
          <c:showVal val="0"/>
          <c:showCatName val="0"/>
          <c:showSerName val="0"/>
          <c:showPercent val="0"/>
          <c:showBubbleSize val="0"/>
        </c:dLbls>
        <c:axId val="165294096"/>
        <c:axId val="161940376"/>
      </c:scatterChart>
      <c:valAx>
        <c:axId val="165294096"/>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40376"/>
        <c:crosses val="autoZero"/>
        <c:crossBetween val="midCat"/>
      </c:valAx>
      <c:valAx>
        <c:axId val="161940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94096"/>
        <c:crosses val="autoZero"/>
        <c:crossBetween val="midCat"/>
      </c:valAx>
      <c:spPr>
        <a:noFill/>
        <a:ln>
          <a:noFill/>
        </a:ln>
        <a:effectLst/>
      </c:spPr>
    </c:plotArea>
    <c:legend>
      <c:legendPos val="r"/>
      <c:legendEntry>
        <c:idx val="2"/>
        <c:delete val="1"/>
      </c:legendEntry>
      <c:legendEntry>
        <c:idx val="3"/>
        <c:delete val="1"/>
      </c:legendEntry>
      <c:layout>
        <c:manualLayout>
          <c:xMode val="edge"/>
          <c:yMode val="edge"/>
          <c:x val="0.63897134864130012"/>
          <c:y val="9.6411903502321723E-3"/>
          <c:w val="0.359032643374668"/>
          <c:h val="0.10547176163247012"/>
        </c:manualLayout>
      </c:layout>
      <c:overlay val="0"/>
      <c:spPr>
        <a:solidFill>
          <a:schemeClr val="bg1"/>
        </a:solidFill>
        <a:ln>
          <a:solidFill>
            <a:schemeClr val="bg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970122746632716E-2"/>
          <c:y val="5.0925925925925923E-2"/>
          <c:w val="0.85747434265327593"/>
          <c:h val="0.74445246427529888"/>
        </c:manualLayout>
      </c:layout>
      <c:scatterChart>
        <c:scatterStyle val="smoothMarker"/>
        <c:varyColors val="0"/>
        <c:ser>
          <c:idx val="0"/>
          <c:order val="0"/>
          <c:tx>
            <c:strRef>
              <c:f>'Max rate concentrations'!$J$2</c:f>
              <c:strCache>
                <c:ptCount val="1"/>
                <c:pt idx="0">
                  <c:v>Small mammals (15 g, short grass diet)</c:v>
                </c:pt>
              </c:strCache>
            </c:strRef>
          </c:tx>
          <c:spPr>
            <a:ln w="19050" cap="rnd">
              <a:solidFill>
                <a:schemeClr val="accent1"/>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concentrations'!$J$3:$J$368</c:f>
              <c:numCache>
                <c:formatCode>General</c:formatCode>
                <c:ptCount val="366"/>
                <c:pt idx="0">
                  <c:v>686.46486205830786</c:v>
                </c:pt>
                <c:pt idx="1">
                  <c:v>670.95666080545425</c:v>
                </c:pt>
                <c:pt idx="2">
                  <c:v>595.56779404711131</c:v>
                </c:pt>
                <c:pt idx="3">
                  <c:v>523.24277013724236</c:v>
                </c:pt>
                <c:pt idx="4">
                  <c:v>459.16635367895094</c:v>
                </c:pt>
                <c:pt idx="5">
                  <c:v>402.88337288736358</c:v>
                </c:pt>
                <c:pt idx="6">
                  <c:v>353.49402323883055</c:v>
                </c:pt>
                <c:pt idx="7">
                  <c:v>310.15876521618583</c:v>
                </c:pt>
                <c:pt idx="8">
                  <c:v>272.13597529692203</c:v>
                </c:pt>
                <c:pt idx="9">
                  <c:v>238.77444619042939</c:v>
                </c:pt>
                <c:pt idx="10">
                  <c:v>209.50275297527713</c:v>
                </c:pt>
                <c:pt idx="11">
                  <c:v>183.81951750595974</c:v>
                </c:pt>
                <c:pt idx="12">
                  <c:v>161.28482578457198</c:v>
                </c:pt>
                <c:pt idx="13">
                  <c:v>141.51269343538701</c:v>
                </c:pt>
                <c:pt idx="14">
                  <c:v>124.16445444209189</c:v>
                </c:pt>
                <c:pt idx="15">
                  <c:v>108.94296032843648</c:v>
                </c:pt>
                <c:pt idx="16">
                  <c:v>95.58749046538523</c:v>
                </c:pt>
                <c:pt idx="17">
                  <c:v>83.869286330428096</c:v>
                </c:pt>
                <c:pt idx="18">
                  <c:v>73.587633228247071</c:v>
                </c:pt>
                <c:pt idx="19">
                  <c:v>64.566422358722022</c:v>
                </c:pt>
                <c:pt idx="20">
                  <c:v>56.651134345827153</c:v>
                </c:pt>
                <c:pt idx="21">
                  <c:v>49.706192559938522</c:v>
                </c:pt>
                <c:pt idx="22">
                  <c:v>43.612640900061287</c:v>
                </c:pt>
                <c:pt idx="23">
                  <c:v>38.266106259981278</c:v>
                </c:pt>
                <c:pt idx="24">
                  <c:v>33.575010778540602</c:v>
                </c:pt>
                <c:pt idx="25">
                  <c:v>29.459003252652053</c:v>
                </c:pt>
                <c:pt idx="26">
                  <c:v>25.847582845585798</c:v>
                </c:pt>
                <c:pt idx="27">
                  <c:v>22.678891516781903</c:v>
                </c:pt>
                <c:pt idx="28">
                  <c:v>19.898654489380966</c:v>
                </c:pt>
                <c:pt idx="29">
                  <c:v>17.45925060732187</c:v>
                </c:pt>
                <c:pt idx="30">
                  <c:v>15.318896658663075</c:v>
                </c:pt>
                <c:pt idx="31">
                  <c:v>13.440931693848643</c:v>
                </c:pt>
                <c:pt idx="32">
                  <c:v>11.793189080398928</c:v>
                </c:pt>
                <c:pt idx="33">
                  <c:v>10.347445538294886</c:v>
                </c:pt>
                <c:pt idx="34">
                  <c:v>9.0789377188851876</c:v>
                </c:pt>
                <c:pt idx="35">
                  <c:v>7.9659380470611323</c:v>
                </c:pt>
                <c:pt idx="36">
                  <c:v>6.989382561532536</c:v>
                </c:pt>
                <c:pt idx="37">
                  <c:v>6.1325443786846749</c:v>
                </c:pt>
                <c:pt idx="38">
                  <c:v>5.3807471869576435</c:v>
                </c:pt>
                <c:pt idx="39">
                  <c:v>4.7211138643504444</c:v>
                </c:pt>
                <c:pt idx="40">
                  <c:v>4.1423459132567935</c:v>
                </c:pt>
                <c:pt idx="41">
                  <c:v>3.6345299346928774</c:v>
                </c:pt>
                <c:pt idx="42">
                  <c:v>3.1889678271201651</c:v>
                </c:pt>
                <c:pt idx="43">
                  <c:v>2.7980278014320006</c:v>
                </c:pt>
                <c:pt idx="44">
                  <c:v>2.4550136602213484</c:v>
                </c:pt>
                <c:pt idx="45">
                  <c:v>2.1540501022859107</c:v>
                </c:pt>
                <c:pt idx="46">
                  <c:v>1.8899820878143696</c:v>
                </c:pt>
                <c:pt idx="47">
                  <c:v>1.658286540535185</c:v>
                </c:pt>
                <c:pt idx="48">
                  <c:v>1.4549948744224515</c:v>
                </c:pt>
                <c:pt idx="49">
                  <c:v>1.2766250179612351</c:v>
                </c:pt>
                <c:pt idx="50">
                  <c:v>1.1201217716532843</c:v>
                </c:pt>
                <c:pt idx="51">
                  <c:v>0.98280447717952424</c:v>
                </c:pt>
                <c:pt idx="52">
                  <c:v>0.86232110187310795</c:v>
                </c:pt>
                <c:pt idx="53">
                  <c:v>0.75660795204112763</c:v>
                </c:pt>
                <c:pt idx="54">
                  <c:v>0.66385432508655817</c:v>
                </c:pt>
                <c:pt idx="55">
                  <c:v>0.58247149497600592</c:v>
                </c:pt>
                <c:pt idx="56">
                  <c:v>0.51106549982233873</c:v>
                </c:pt>
                <c:pt idx="57">
                  <c:v>0.44841326547561988</c:v>
                </c:pt>
                <c:pt idx="58">
                  <c:v>0.39344165615641841</c:v>
                </c:pt>
                <c:pt idx="59">
                  <c:v>0.34520909330128113</c:v>
                </c:pt>
                <c:pt idx="60">
                  <c:v>0.30288942777964295</c:v>
                </c:pt>
                <c:pt idx="61">
                  <c:v>0.26575778923822185</c:v>
                </c:pt>
                <c:pt idx="62">
                  <c:v>0.23317817019407361</c:v>
                </c:pt>
                <c:pt idx="63">
                  <c:v>0.20459253221104257</c:v>
                </c:pt>
                <c:pt idx="64">
                  <c:v>0.17951124756527634</c:v>
                </c:pt>
                <c:pt idx="65">
                  <c:v>0.1575047126803325</c:v>
                </c:pt>
                <c:pt idx="66">
                  <c:v>0.13819598968300389</c:v>
                </c:pt>
                <c:pt idx="67">
                  <c:v>0.12125435004110638</c:v>
                </c:pt>
                <c:pt idx="68">
                  <c:v>0.10638960969573899</c:v>
                </c:pt>
                <c:pt idx="69">
                  <c:v>9.3347158657602902E-2</c:v>
                </c:pt>
                <c:pt idx="70">
                  <c:v>8.1903599932058799E-2</c:v>
                </c:pt>
                <c:pt idx="71">
                  <c:v>7.1862923074460128E-2</c:v>
                </c:pt>
                <c:pt idx="72">
                  <c:v>6.3053146834689558E-2</c:v>
                </c:pt>
                <c:pt idx="73">
                  <c:v>5.5323373384596905E-2</c:v>
                </c:pt>
                <c:pt idx="74">
                  <c:v>4.8541203671815025E-2</c:v>
                </c:pt>
                <c:pt idx="75">
                  <c:v>4.2590469628966163E-2</c:v>
                </c:pt>
                <c:pt idx="76">
                  <c:v>3.7369244394513022E-2</c:v>
                </c:pt>
                <c:pt idx="77">
                  <c:v>3.2788096463418598E-2</c:v>
                </c:pt>
                <c:pt idx="78">
                  <c:v>2.8768557863918062E-2</c:v>
                </c:pt>
                <c:pt idx="79">
                  <c:v>2.5241780122642415E-2</c:v>
                </c:pt>
                <c:pt idx="80">
                  <c:v>2.2147354996857362E-2</c:v>
                </c:pt>
                <c:pt idx="81">
                  <c:v>1.9432279774786128E-2</c:v>
                </c:pt>
                <c:pt idx="82">
                  <c:v>1.7050049421212788E-2</c:v>
                </c:pt>
                <c:pt idx="83">
                  <c:v>1.495986001822568E-2</c:v>
                </c:pt>
                <c:pt idx="84">
                  <c:v>1.3125909857274081E-2</c:v>
                </c:pt>
                <c:pt idx="85">
                  <c:v>1.1516786211327091E-2</c:v>
                </c:pt>
                <c:pt idx="86">
                  <c:v>1.0104927283491112E-2</c:v>
                </c:pt>
                <c:pt idx="87">
                  <c:v>8.8661501160988282E-3</c:v>
                </c:pt>
                <c:pt idx="88">
                  <c:v>7.7792363740831465E-3</c:v>
                </c:pt>
                <c:pt idx="89">
                  <c:v>6.8255689077466267E-3</c:v>
                </c:pt>
                <c:pt idx="90">
                  <c:v>5.9888128698092607E-3</c:v>
                </c:pt>
                <c:pt idx="91">
                  <c:v>5.2546359247633307E-3</c:v>
                </c:pt>
                <c:pt idx="92">
                  <c:v>4.610462758154737E-3</c:v>
                </c:pt>
                <c:pt idx="93">
                  <c:v>4.0452596809148426E-3</c:v>
                </c:pt>
                <c:pt idx="94">
                  <c:v>3.5493456393485179E-3</c:v>
                </c:pt>
                <c:pt idx="95">
                  <c:v>3.1142263936720402E-3</c:v>
                </c:pt>
                <c:pt idx="96">
                  <c:v>2.7324490248359424E-3</c:v>
                </c:pt>
                <c:pt idx="97">
                  <c:v>2.397474277559914E-3</c:v>
                </c:pt>
                <c:pt idx="98">
                  <c:v>2.1035645530135872E-3</c:v>
                </c:pt>
                <c:pt idx="99">
                  <c:v>1.8456856326312227E-3</c:v>
                </c:pt>
                <c:pt idx="100">
                  <c:v>1.6194204497413933E-3</c:v>
                </c:pt>
                <c:pt idx="101">
                  <c:v>1.4208934320531768E-3</c:v>
                </c:pt>
                <c:pt idx="102">
                  <c:v>1.2467041191027704E-3</c:v>
                </c:pt>
                <c:pt idx="103">
                  <c:v>1.0938689176301618E-3</c:v>
                </c:pt>
                <c:pt idx="104">
                  <c:v>9.5976999724563011E-4</c:v>
                </c:pt>
                <c:pt idx="105">
                  <c:v>8.4211045104795774E-4</c:v>
                </c:pt>
                <c:pt idx="106">
                  <c:v>7.3887495316516435E-4</c:v>
                </c:pt>
                <c:pt idx="107">
                  <c:v>6.4829523934234262E-4</c:v>
                </c:pt>
                <c:pt idx="108">
                  <c:v>5.6881981931250622E-4</c:v>
                </c:pt>
                <c:pt idx="109">
                  <c:v>4.990874021702531E-4</c:v>
                </c:pt>
                <c:pt idx="110">
                  <c:v>4.3790357956603537E-4</c:v>
                </c:pt>
                <c:pt idx="111">
                  <c:v>3.8422036734025268E-4</c:v>
                </c:pt>
                <c:pt idx="112">
                  <c:v>3.3711825517703252E-4</c:v>
                </c:pt>
                <c:pt idx="113">
                  <c:v>2.9579045681605779E-4</c:v>
                </c:pt>
                <c:pt idx="114">
                  <c:v>2.5952909105295125E-4</c:v>
                </c:pt>
                <c:pt idx="115">
                  <c:v>2.277130568301502E-4</c:v>
                </c:pt>
                <c:pt idx="116">
                  <c:v>1.9979739473734642E-4</c:v>
                </c:pt>
                <c:pt idx="117">
                  <c:v>1.7530395270046531E-4</c:v>
                </c:pt>
                <c:pt idx="118">
                  <c:v>1.5381319597688732E-4</c:v>
                </c:pt>
                <c:pt idx="119">
                  <c:v>1.349570211748086E-4</c:v>
                </c:pt>
                <c:pt idx="120">
                  <c:v>1.1841245121201803E-4</c:v>
                </c:pt>
                <c:pt idx="121">
                  <c:v>1.0389610321849518E-4</c:v>
                </c:pt>
                <c:pt idx="122">
                  <c:v>9.1159334626565416E-5</c:v>
                </c:pt>
                <c:pt idx="123">
                  <c:v>7.9983984308651238E-5</c:v>
                </c:pt>
                <c:pt idx="124">
                  <c:v>7.0178635814902509E-5</c:v>
                </c:pt>
                <c:pt idx="125">
                  <c:v>6.1575338705751562E-5</c:v>
                </c:pt>
                <c:pt idx="126">
                  <c:v>5.4026731820895442E-5</c:v>
                </c:pt>
                <c:pt idx="127">
                  <c:v>4.7403519210756894E-5</c:v>
                </c:pt>
                <c:pt idx="128">
                  <c:v>4.1592255497037289E-5</c:v>
                </c:pt>
                <c:pt idx="129">
                  <c:v>3.6493402729016644E-5</c:v>
                </c:pt>
                <c:pt idx="130">
                  <c:v>3.2019625452557252E-5</c:v>
                </c:pt>
                <c:pt idx="131">
                  <c:v>2.8094294788982496E-5</c:v>
                </c:pt>
                <c:pt idx="132">
                  <c:v>2.4650175901017997E-5</c:v>
                </c:pt>
                <c:pt idx="133">
                  <c:v>2.1628276364118527E-5</c:v>
                </c:pt>
                <c:pt idx="134">
                  <c:v>1.8976835717564585E-5</c:v>
                </c:pt>
                <c:pt idx="135">
                  <c:v>1.6650438887903117E-5</c:v>
                </c:pt>
                <c:pt idx="136">
                  <c:v>1.4609238299048519E-5</c:v>
                </c:pt>
                <c:pt idx="137">
                  <c:v>1.2818271344994225E-5</c:v>
                </c:pt>
                <c:pt idx="138">
                  <c:v>1.1246861534499115E-5</c:v>
                </c:pt>
                <c:pt idx="139">
                  <c:v>9.8680930502842926E-6</c:v>
                </c:pt>
                <c:pt idx="140">
                  <c:v>8.6583497227527636E-6</c:v>
                </c:pt>
                <c:pt idx="141">
                  <c:v>7.5969105215655745E-6</c:v>
                </c:pt>
                <c:pt idx="142">
                  <c:v>6.665594636471316E-6</c:v>
                </c:pt>
                <c:pt idx="143">
                  <c:v>5.8484500681731078E-6</c:v>
                </c:pt>
                <c:pt idx="144">
                  <c:v>5.1314803952766918E-6</c:v>
                </c:pt>
                <c:pt idx="145">
                  <c:v>4.5024050372604853E-6</c:v>
                </c:pt>
                <c:pt idx="146">
                  <c:v>3.950448907143401E-6</c:v>
                </c:pt>
                <c:pt idx="147">
                  <c:v>3.4661578509262874E-6</c:v>
                </c:pt>
                <c:pt idx="148">
                  <c:v>3.0412367125703517E-6</c:v>
                </c:pt>
                <c:pt idx="149">
                  <c:v>2.66840725081635E-6</c:v>
                </c:pt>
                <c:pt idx="150">
                  <c:v>2.3412834741796035E-6</c:v>
                </c:pt>
                <c:pt idx="151">
                  <c:v>2.0542622588023313E-6</c:v>
                </c:pt>
                <c:pt idx="152">
                  <c:v>1.8024273756164284E-6</c:v>
                </c:pt>
                <c:pt idx="153">
                  <c:v>1.5814652829505794E-6</c:v>
                </c:pt>
                <c:pt idx="154">
                  <c:v>1.3875912422394304E-6</c:v>
                </c:pt>
                <c:pt idx="155">
                  <c:v>1.2174844913112992E-6</c:v>
                </c:pt>
                <c:pt idx="156">
                  <c:v>1.0682313648732048E-6</c:v>
                </c:pt>
                <c:pt idx="157">
                  <c:v>9.3727538793518566E-7</c:v>
                </c:pt>
                <c:pt idx="158">
                  <c:v>8.2237348735152124E-7</c:v>
                </c:pt>
                <c:pt idx="159">
                  <c:v>7.2155757145035581E-7</c:v>
                </c:pt>
                <c:pt idx="160">
                  <c:v>6.3310081967025646E-7</c:v>
                </c:pt>
                <c:pt idx="161">
                  <c:v>5.5548810479736935E-7</c:v>
                </c:pt>
                <c:pt idx="162">
                  <c:v>4.8739004118188779E-7</c:v>
                </c:pt>
                <c:pt idx="163">
                  <c:v>4.2764021441995641E-7</c:v>
                </c:pt>
                <c:pt idx="164">
                  <c:v>3.752152024807155E-7</c:v>
                </c:pt>
                <c:pt idx="165">
                  <c:v>3.2921704607132082E-7</c:v>
                </c:pt>
                <c:pt idx="166">
                  <c:v>2.8885786798443143E-7</c:v>
                </c:pt>
                <c:pt idx="167">
                  <c:v>2.534463779813977E-7</c:v>
                </c:pt>
                <c:pt idx="168">
                  <c:v>2.2237603206069355E-7</c:v>
                </c:pt>
                <c:pt idx="169">
                  <c:v>1.9511464329818986E-7</c:v>
                </c:pt>
                <c:pt idx="170">
                  <c:v>1.7119526630904815E-7</c:v>
                </c:pt>
                <c:pt idx="171">
                  <c:v>1.5020819919617902E-7</c:v>
                </c:pt>
                <c:pt idx="172">
                  <c:v>1.3179396599102402E-7</c:v>
                </c:pt>
                <c:pt idx="173">
                  <c:v>1.1563715938673636E-7</c:v>
                </c:pt>
                <c:pt idx="174">
                  <c:v>1.0146103829931169E-7</c:v>
                </c:pt>
                <c:pt idx="175">
                  <c:v>8.9022787721255289E-8</c:v>
                </c:pt>
                <c:pt idx="176">
                  <c:v>7.8109359676417225E-8</c:v>
                </c:pt>
                <c:pt idx="177">
                  <c:v>6.8533824037990732E-8</c:v>
                </c:pt>
                <c:pt idx="178">
                  <c:v>6.013216670483551E-8</c:v>
                </c:pt>
                <c:pt idx="179">
                  <c:v>5.2760480293843205E-8</c:v>
                </c:pt>
                <c:pt idx="180">
                  <c:v>4.629249922925478E-8</c:v>
                </c:pt>
                <c:pt idx="181">
                  <c:v>4.0617437008825477E-8</c:v>
                </c:pt>
                <c:pt idx="182">
                  <c:v>3.5638088602555316E-8</c:v>
                </c:pt>
                <c:pt idx="183">
                  <c:v>3.1269165481012941E-8</c:v>
                </c:pt>
                <c:pt idx="184">
                  <c:v>2.7435834754865719E-8</c:v>
                </c:pt>
                <c:pt idx="185">
                  <c:v>2.4072437403337888E-8</c:v>
                </c:pt>
                <c:pt idx="186">
                  <c:v>2.1121363636834499E-8</c:v>
                </c:pt>
                <c:pt idx="187">
                  <c:v>1.8532066130434165E-8</c:v>
                </c:pt>
                <c:pt idx="188">
                  <c:v>1.6260194226467887E-8</c:v>
                </c:pt>
                <c:pt idx="189">
                  <c:v>1.4266834276414569E-8</c:v>
                </c:pt>
                <c:pt idx="190">
                  <c:v>1.2517843110345923E-8</c:v>
                </c:pt>
                <c:pt idx="191">
                  <c:v>1.0983263217284292E-8</c:v>
                </c:pt>
                <c:pt idx="192">
                  <c:v>9.6368096194182545E-9</c:v>
                </c:pt>
                <c:pt idx="193">
                  <c:v>8.4554196511257457E-9</c:v>
                </c:pt>
                <c:pt idx="194">
                  <c:v>7.4188579312163813E-9</c:v>
                </c:pt>
                <c:pt idx="195">
                  <c:v>6.5093697621790196E-9</c:v>
                </c:pt>
                <c:pt idx="196">
                  <c:v>5.7113770197003006E-9</c:v>
                </c:pt>
                <c:pt idx="197">
                  <c:v>5.0112113235123944E-9</c:v>
                </c:pt>
                <c:pt idx="198">
                  <c:v>4.3968799191996927E-9</c:v>
                </c:pt>
                <c:pt idx="199">
                  <c:v>3.8578602608822275E-9</c:v>
                </c:pt>
                <c:pt idx="200">
                  <c:v>3.3849197762952026E-9</c:v>
                </c:pt>
                <c:pt idx="201">
                  <c:v>2.9699577271194841E-9</c:v>
                </c:pt>
                <c:pt idx="202">
                  <c:v>2.6058664558753418E-9</c:v>
                </c:pt>
                <c:pt idx="203">
                  <c:v>2.286409642753519E-9</c:v>
                </c:pt>
                <c:pt idx="204">
                  <c:v>2.0061154871116516E-9</c:v>
                </c:pt>
                <c:pt idx="205">
                  <c:v>1.7601829840004184E-9</c:v>
                </c:pt>
                <c:pt idx="206">
                  <c:v>1.5443996903814252E-9</c:v>
                </c:pt>
                <c:pt idx="207">
                  <c:v>1.3550695724994438E-9</c:v>
                </c:pt>
                <c:pt idx="208">
                  <c:v>1.1889496985461906E-9</c:v>
                </c:pt>
                <c:pt idx="209">
                  <c:v>1.0431946922589891E-9</c:v>
                </c:pt>
                <c:pt idx="210">
                  <c:v>9.1530799603045475E-10</c:v>
                </c:pt>
                <c:pt idx="211">
                  <c:v>8.0309910874171996E-10</c:v>
                </c:pt>
                <c:pt idx="212">
                  <c:v>7.046460658694881E-10</c:v>
                </c:pt>
                <c:pt idx="213">
                  <c:v>6.1826251920923482E-10</c:v>
                </c:pt>
                <c:pt idx="214">
                  <c:v>5.4246885234118101E-10</c:v>
                </c:pt>
                <c:pt idx="215">
                  <c:v>4.759668370916873E-10</c:v>
                </c:pt>
                <c:pt idx="216">
                  <c:v>4.1761739689448868E-10</c:v>
                </c:pt>
                <c:pt idx="217">
                  <c:v>3.6642109617257373E-10</c:v>
                </c:pt>
                <c:pt idx="218">
                  <c:v>3.2150102155402424E-10</c:v>
                </c:pt>
                <c:pt idx="219">
                  <c:v>2.8208776170354632E-10</c:v>
                </c:pt>
                <c:pt idx="220">
                  <c:v>2.4750622849745869E-10</c:v>
                </c:pt>
                <c:pt idx="221">
                  <c:v>2.1716409380927105E-10</c:v>
                </c:pt>
                <c:pt idx="222">
                  <c:v>1.9054164384588854E-10</c:v>
                </c:pt>
                <c:pt idx="223">
                  <c:v>1.6718287725492984E-10</c:v>
                </c:pt>
                <c:pt idx="224">
                  <c:v>1.4668769452751858E-10</c:v>
                </c:pt>
                <c:pt idx="225">
                  <c:v>1.287050449131094E-10</c:v>
                </c:pt>
                <c:pt idx="226">
                  <c:v>1.1292691346360972E-10</c:v>
                </c:pt>
                <c:pt idx="227">
                  <c:v>9.9083045214171577E-11</c:v>
                </c:pt>
                <c:pt idx="228">
                  <c:v>8.6936316134038368E-11</c:v>
                </c:pt>
                <c:pt idx="229">
                  <c:v>7.6278671559001196E-11</c:v>
                </c:pt>
                <c:pt idx="230">
                  <c:v>6.6927562537100324E-11</c:v>
                </c:pt>
                <c:pt idx="231">
                  <c:v>5.8722819047690928E-11</c:v>
                </c:pt>
                <c:pt idx="232">
                  <c:v>5.1523906536956255E-11</c:v>
                </c:pt>
                <c:pt idx="233">
                  <c:v>4.5207518778569121E-11</c:v>
                </c:pt>
                <c:pt idx="234">
                  <c:v>3.966546582893113E-11</c:v>
                </c:pt>
                <c:pt idx="235">
                  <c:v>3.4802820900932926E-11</c:v>
                </c:pt>
                <c:pt idx="236">
                  <c:v>3.05362944150517E-11</c:v>
                </c:pt>
                <c:pt idx="237">
                  <c:v>2.6792807377798554E-11</c:v>
                </c:pt>
                <c:pt idx="238">
                  <c:v>2.3508239651697156E-11</c:v>
                </c:pt>
                <c:pt idx="239">
                  <c:v>2.0626331676596191E-11</c:v>
                </c:pt>
                <c:pt idx="240">
                  <c:v>1.8097720830502114E-11</c:v>
                </c:pt>
                <c:pt idx="241">
                  <c:v>1.5879095924285046E-11</c:v>
                </c:pt>
                <c:pt idx="242">
                  <c:v>1.3932455348061103E-11</c:v>
                </c:pt>
                <c:pt idx="243">
                  <c:v>1.222445616244719E-11</c:v>
                </c:pt>
                <c:pt idx="244">
                  <c:v>1.0725842985629192E-11</c:v>
                </c:pt>
                <c:pt idx="245">
                  <c:v>9.4109468939631392E-12</c:v>
                </c:pt>
                <c:pt idx="246">
                  <c:v>8.257245753052486E-12</c:v>
                </c:pt>
                <c:pt idx="247">
                  <c:v>7.2449784484534974E-12</c:v>
                </c:pt>
                <c:pt idx="248">
                  <c:v>6.3568064083779488E-12</c:v>
                </c:pt>
                <c:pt idx="249">
                  <c:v>5.5775166208010748E-12</c:v>
                </c:pt>
                <c:pt idx="250">
                  <c:v>4.8937610581175726E-12</c:v>
                </c:pt>
                <c:pt idx="251">
                  <c:v>4.2938280460934499E-12</c:v>
                </c:pt>
                <c:pt idx="252">
                  <c:v>3.7674416610178003E-12</c:v>
                </c:pt>
                <c:pt idx="253">
                  <c:v>3.3055857190382838E-12</c:v>
                </c:pt>
                <c:pt idx="254">
                  <c:v>2.9003493428901212E-12</c:v>
                </c:pt>
                <c:pt idx="255">
                  <c:v>2.5447914608157635E-12</c:v>
                </c:pt>
                <c:pt idx="256">
                  <c:v>2.2328219167514834E-12</c:v>
                </c:pt>
                <c:pt idx="257">
                  <c:v>1.9590971553824723E-12</c:v>
                </c:pt>
                <c:pt idx="258">
                  <c:v>1.7189286953129086E-12</c:v>
                </c:pt>
                <c:pt idx="259">
                  <c:v>1.5082028226381106E-12</c:v>
                </c:pt>
                <c:pt idx="260">
                  <c:v>1.3233101293939881E-12</c:v>
                </c:pt>
                <c:pt idx="261">
                  <c:v>1.1610836899865143E-12</c:v>
                </c:pt>
                <c:pt idx="262">
                  <c:v>1.018744816659169E-12</c:v>
                </c:pt>
                <c:pt idx="263">
                  <c:v>8.9385546487349096E-13</c:v>
                </c:pt>
                <c:pt idx="264">
                  <c:v>7.8427647338058589E-13</c:v>
                </c:pt>
                <c:pt idx="265">
                  <c:v>6.8813092370067197E-13</c:v>
                </c:pt>
                <c:pt idx="266">
                  <c:v>6.0377199141526838E-13</c:v>
                </c:pt>
                <c:pt idx="267">
                  <c:v>5.2975473861443458E-13</c:v>
                </c:pt>
                <c:pt idx="268">
                  <c:v>4.6481136434735088E-13</c:v>
                </c:pt>
                <c:pt idx="269">
                  <c:v>4.0782948915477411E-13</c:v>
                </c:pt>
                <c:pt idx="270">
                  <c:v>3.5783310173102904E-13</c:v>
                </c:pt>
                <c:pt idx="271">
                  <c:v>3.139658413613518E-13</c:v>
                </c:pt>
                <c:pt idx="272">
                  <c:v>2.7547632978861945E-13</c:v>
                </c:pt>
                <c:pt idx="273">
                  <c:v>2.417053012670495E-13</c:v>
                </c:pt>
                <c:pt idx="274">
                  <c:v>2.1207431036061626E-13</c:v>
                </c:pt>
                <c:pt idx="275">
                  <c:v>1.8607582406825052E-13</c:v>
                </c:pt>
                <c:pt idx="276">
                  <c:v>1.6326452856926742E-13</c:v>
                </c:pt>
                <c:pt idx="277">
                  <c:v>1.4324970168702986E-13</c:v>
                </c:pt>
                <c:pt idx="278">
                  <c:v>1.256885204229584E-13</c:v>
                </c:pt>
                <c:pt idx="279">
                  <c:v>1.1028018892930637E-13</c:v>
                </c:pt>
                <c:pt idx="280">
                  <c:v>9.6760786341964431E-14</c:v>
                </c:pt>
                <c:pt idx="281">
                  <c:v>8.4898746224646844E-14</c:v>
                </c:pt>
                <c:pt idx="282">
                  <c:v>7.4490890194337106E-14</c:v>
                </c:pt>
                <c:pt idx="283">
                  <c:v>6.5358947790137035E-14</c:v>
                </c:pt>
                <c:pt idx="284">
                  <c:v>5.7346502976260671E-14</c:v>
                </c:pt>
                <c:pt idx="285">
                  <c:v>5.0316314977496343E-14</c:v>
                </c:pt>
                <c:pt idx="286">
                  <c:v>4.4147967557196407E-14</c:v>
                </c:pt>
                <c:pt idx="287">
                  <c:v>3.8735806473565557E-14</c:v>
                </c:pt>
                <c:pt idx="288">
                  <c:v>3.398712978606731E-14</c:v>
                </c:pt>
                <c:pt idx="289">
                  <c:v>2.9820600014698926E-14</c:v>
                </c:pt>
                <c:pt idx="290">
                  <c:v>2.61648509548814E-14</c:v>
                </c:pt>
                <c:pt idx="291">
                  <c:v>2.2957265284860504E-14</c:v>
                </c:pt>
                <c:pt idx="292">
                  <c:v>2.0142902027925968E-14</c:v>
                </c:pt>
                <c:pt idx="293">
                  <c:v>1.7673555498537221E-14</c:v>
                </c:pt>
                <c:pt idx="294">
                  <c:v>1.5506929613559616E-14</c:v>
                </c:pt>
                <c:pt idx="295">
                  <c:v>1.3605913425840921E-14</c:v>
                </c:pt>
                <c:pt idx="296">
                  <c:v>1.1937945471139834E-14</c:v>
                </c:pt>
                <c:pt idx="297">
                  <c:v>1.0474456040653507E-14</c:v>
                </c:pt>
                <c:pt idx="298">
                  <c:v>9.1903778261358781E-15</c:v>
                </c:pt>
                <c:pt idx="299">
                  <c:v>8.0637165557153184E-15</c:v>
                </c:pt>
                <c:pt idx="300">
                  <c:v>7.0751742660678686E-15</c:v>
                </c:pt>
                <c:pt idx="301">
                  <c:v>6.2078187581815906E-15</c:v>
                </c:pt>
                <c:pt idx="302">
                  <c:v>5.4467935750010496E-15</c:v>
                </c:pt>
                <c:pt idx="303">
                  <c:v>4.779063533317942E-15</c:v>
                </c:pt>
                <c:pt idx="304">
                  <c:v>4.1931914512631347E-15</c:v>
                </c:pt>
                <c:pt idx="305">
                  <c:v>3.6791422470876956E-15</c:v>
                </c:pt>
                <c:pt idx="306">
                  <c:v>3.228111053748324E-15</c:v>
                </c:pt>
                <c:pt idx="307">
                  <c:v>2.832372405166134E-15</c:v>
                </c:pt>
                <c:pt idx="308">
                  <c:v>2.485147910952894E-15</c:v>
                </c:pt>
                <c:pt idx="309">
                  <c:v>2.1804901530776206E-15</c:v>
                </c:pt>
                <c:pt idx="310">
                  <c:v>1.9131808158031956E-15</c:v>
                </c:pt>
                <c:pt idx="311">
                  <c:v>1.6786413040165123E-15</c:v>
                </c:pt>
                <c:pt idx="312">
                  <c:v>1.4728543189825298E-15</c:v>
                </c:pt>
                <c:pt idx="313">
                  <c:v>1.2922950482363165E-15</c:v>
                </c:pt>
                <c:pt idx="314">
                  <c:v>1.1338707910024553E-15</c:v>
                </c:pt>
                <c:pt idx="315">
                  <c:v>9.9486798501871977E-16</c:v>
                </c:pt>
                <c:pt idx="316">
                  <c:v>8.7290572741551852E-16</c:v>
                </c:pt>
                <c:pt idx="317">
                  <c:v>7.6589499353572841E-16</c:v>
                </c:pt>
                <c:pt idx="318">
                  <c:v>6.7200285517643747E-16</c:v>
                </c:pt>
                <c:pt idx="319">
                  <c:v>5.8962108536647303E-16</c:v>
                </c:pt>
                <c:pt idx="320">
                  <c:v>5.1733861192815877E-16</c:v>
                </c:pt>
                <c:pt idx="321">
                  <c:v>4.5391734799545984E-16</c:v>
                </c:pt>
                <c:pt idx="322">
                  <c:v>3.9827098550270909E-16</c:v>
                </c:pt>
                <c:pt idx="323">
                  <c:v>3.4944638840920804E-16</c:v>
                </c:pt>
                <c:pt idx="324">
                  <c:v>3.0660726695444511E-16</c:v>
                </c:pt>
                <c:pt idx="325">
                  <c:v>2.6901985330919868E-16</c:v>
                </c:pt>
                <c:pt idx="326">
                  <c:v>2.3604033326860303E-16</c:v>
                </c:pt>
                <c:pt idx="327">
                  <c:v>2.0710381871153931E-16</c:v>
                </c:pt>
                <c:pt idx="328">
                  <c:v>1.817146719416509E-16</c:v>
                </c:pt>
                <c:pt idx="329">
                  <c:v>1.5943801618092521E-16</c:v>
                </c:pt>
                <c:pt idx="330">
                  <c:v>1.398922868037401E-16</c:v>
                </c:pt>
                <c:pt idx="331">
                  <c:v>1.2274269572554531E-16</c:v>
                </c:pt>
                <c:pt idx="332">
                  <c:v>1.0769549700127575E-16</c:v>
                </c:pt>
                <c:pt idx="333">
                  <c:v>9.4492955412074639E-17</c:v>
                </c:pt>
                <c:pt idx="334">
                  <c:v>8.2908931860006683E-17</c:v>
                </c:pt>
                <c:pt idx="335">
                  <c:v>7.274500995540733E-17</c:v>
                </c:pt>
                <c:pt idx="336">
                  <c:v>6.3827097451305698E-17</c:v>
                </c:pt>
                <c:pt idx="337">
                  <c:v>5.6002444312754562E-17</c:v>
                </c:pt>
                <c:pt idx="338">
                  <c:v>4.9137026345211272E-17</c:v>
                </c:pt>
                <c:pt idx="339">
                  <c:v>4.3113249567574616E-17</c:v>
                </c:pt>
                <c:pt idx="340">
                  <c:v>3.7827936009341364E-17</c:v>
                </c:pt>
                <c:pt idx="341">
                  <c:v>3.3190556431706358E-17</c:v>
                </c:pt>
                <c:pt idx="342">
                  <c:v>2.912167970185442E-17</c:v>
                </c:pt>
                <c:pt idx="343">
                  <c:v>2.5551612260626367E-17</c:v>
                </c:pt>
                <c:pt idx="344">
                  <c:v>2.2419204379746586E-17</c:v>
                </c:pt>
                <c:pt idx="345">
                  <c:v>1.9670802761646453E-17</c:v>
                </c:pt>
                <c:pt idx="346">
                  <c:v>1.7259331541540255E-17</c:v>
                </c:pt>
                <c:pt idx="347">
                  <c:v>1.5143485950741812E-17</c:v>
                </c:pt>
                <c:pt idx="348">
                  <c:v>1.3287024829922774E-17</c:v>
                </c:pt>
                <c:pt idx="349">
                  <c:v>1.1658149874159995E-17</c:v>
                </c:pt>
                <c:pt idx="350">
                  <c:v>1.0228960977200691E-17</c:v>
                </c:pt>
                <c:pt idx="351">
                  <c:v>8.9749783458358185E-18</c:v>
                </c:pt>
                <c:pt idx="352">
                  <c:v>7.8747231989407406E-18</c:v>
                </c:pt>
                <c:pt idx="353">
                  <c:v>6.9093498692069029E-18</c:v>
                </c:pt>
                <c:pt idx="354">
                  <c:v>6.0623230060367096E-18</c:v>
                </c:pt>
                <c:pt idx="355">
                  <c:v>5.3191343505869625E-18</c:v>
                </c:pt>
                <c:pt idx="356">
                  <c:v>4.6670542317558028E-18</c:v>
                </c:pt>
                <c:pt idx="357">
                  <c:v>4.094913526624155E-18</c:v>
                </c:pt>
                <c:pt idx="358">
                  <c:v>3.5929123506715777E-18</c:v>
                </c:pt>
                <c:pt idx="359">
                  <c:v>3.1524522009260976E-18</c:v>
                </c:pt>
                <c:pt idx="360">
                  <c:v>2.7659886769200527E-18</c:v>
                </c:pt>
                <c:pt idx="361">
                  <c:v>2.4269022567899356E-18</c:v>
                </c:pt>
                <c:pt idx="362">
                  <c:v>2.1293849151148638E-18</c:v>
                </c:pt>
                <c:pt idx="363">
                  <c:v>1.8683406404328082E-18</c:v>
                </c:pt>
                <c:pt idx="364">
                  <c:v>1.6392981484536253E-18</c:v>
                </c:pt>
                <c:pt idx="365">
                  <c:v>1.4383342958813768E-18</c:v>
                </c:pt>
              </c:numCache>
            </c:numRef>
          </c:yVal>
          <c:smooth val="1"/>
          <c:extLst>
            <c:ext xmlns:c16="http://schemas.microsoft.com/office/drawing/2014/chart" uri="{C3380CC4-5D6E-409C-BE32-E72D297353CC}">
              <c16:uniqueId val="{00000000-0CF0-4AA2-A727-45757B791E30}"/>
            </c:ext>
          </c:extLst>
        </c:ser>
        <c:ser>
          <c:idx val="1"/>
          <c:order val="1"/>
          <c:tx>
            <c:strRef>
              <c:f>'Max rate concentrations'!$K$2</c:f>
              <c:strCache>
                <c:ptCount val="1"/>
                <c:pt idx="0">
                  <c:v>Large mammals  (1000 g, short grass diet)</c:v>
                </c:pt>
              </c:strCache>
            </c:strRef>
          </c:tx>
          <c:spPr>
            <a:ln w="19050" cap="rnd">
              <a:solidFill>
                <a:srgbClr val="FF0000"/>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concentrations'!$K$3:$K$368</c:f>
              <c:numCache>
                <c:formatCode>General</c:formatCode>
                <c:ptCount val="366"/>
                <c:pt idx="0">
                  <c:v>110.00035859694511</c:v>
                </c:pt>
                <c:pt idx="1">
                  <c:v>107.51529666108367</c:v>
                </c:pt>
                <c:pt idx="2">
                  <c:v>95.434849669565736</c:v>
                </c:pt>
                <c:pt idx="3">
                  <c:v>83.845358341832707</c:v>
                </c:pt>
                <c:pt idx="4">
                  <c:v>73.577638641096499</c:v>
                </c:pt>
                <c:pt idx="5">
                  <c:v>64.558753025573623</c:v>
                </c:pt>
                <c:pt idx="6">
                  <c:v>56.644515207313546</c:v>
                </c:pt>
                <c:pt idx="7">
                  <c:v>49.700395870907997</c:v>
                </c:pt>
                <c:pt idx="8">
                  <c:v>43.607555935249259</c:v>
                </c:pt>
                <c:pt idx="9">
                  <c:v>38.261644778117223</c:v>
                </c:pt>
                <c:pt idx="10">
                  <c:v>33.57109624697766</c:v>
                </c:pt>
                <c:pt idx="11">
                  <c:v>29.455568610087884</c:v>
                </c:pt>
                <c:pt idx="12">
                  <c:v>25.844569260766907</c:v>
                </c:pt>
                <c:pt idx="13">
                  <c:v>22.676247371551447</c:v>
                </c:pt>
                <c:pt idx="14">
                  <c:v>19.896334493613239</c:v>
                </c:pt>
                <c:pt idx="15">
                  <c:v>17.457215023079925</c:v>
                </c:pt>
                <c:pt idx="16">
                  <c:v>15.317110619540118</c:v>
                </c:pt>
                <c:pt idx="17">
                  <c:v>13.439364607759542</c:v>
                </c:pt>
                <c:pt idx="18">
                  <c:v>11.791814105585052</c:v>
                </c:pt>
                <c:pt idx="19">
                  <c:v>10.346239123566342</c:v>
                </c:pt>
                <c:pt idx="20">
                  <c:v>9.0778792002253859</c:v>
                </c:pt>
                <c:pt idx="21">
                  <c:v>7.9650092936841697</c:v>
                </c:pt>
                <c:pt idx="22">
                  <c:v>6.9885676653309146</c:v>
                </c:pt>
                <c:pt idx="23">
                  <c:v>6.1318293817480392</c:v>
                </c:pt>
                <c:pt idx="24">
                  <c:v>5.3801198424953913</c:v>
                </c:pt>
                <c:pt idx="25">
                  <c:v>4.7205634269231576</c:v>
                </c:pt>
                <c:pt idx="26">
                  <c:v>4.1418629547235035</c:v>
                </c:pt>
                <c:pt idx="27">
                  <c:v>3.6341061827215992</c:v>
                </c:pt>
                <c:pt idx="28">
                  <c:v>3.1885960234956618</c:v>
                </c:pt>
                <c:pt idx="29">
                  <c:v>2.7977015777337924</c:v>
                </c:pt>
                <c:pt idx="30">
                  <c:v>2.454727428742526</c:v>
                </c:pt>
                <c:pt idx="31">
                  <c:v>2.1537989603243703</c:v>
                </c:pt>
                <c:pt idx="32">
                  <c:v>1.8897617336971162</c:v>
                </c:pt>
                <c:pt idx="33">
                  <c:v>1.6580931999373298</c:v>
                </c:pt>
                <c:pt idx="34">
                  <c:v>1.4548252357188736</c:v>
                </c:pt>
                <c:pt idx="35">
                  <c:v>1.2764761755035681</c:v>
                </c:pt>
                <c:pt idx="36">
                  <c:v>1.1199911760006582</c:v>
                </c:pt>
                <c:pt idx="37">
                  <c:v>0.98268989143059127</c:v>
                </c:pt>
                <c:pt idx="38">
                  <c:v>0.86222056335138442</c:v>
                </c:pt>
                <c:pt idx="39">
                  <c:v>0.75651973867738509</c:v>
                </c:pt>
                <c:pt idx="40">
                  <c:v>0.66377692592244286</c:v>
                </c:pt>
                <c:pt idx="41">
                  <c:v>0.5824035842836619</c:v>
                </c:pt>
                <c:pt idx="42">
                  <c:v>0.51100591439674214</c:v>
                </c:pt>
                <c:pt idx="43">
                  <c:v>0.44836098471067709</c:v>
                </c:pt>
                <c:pt idx="44">
                  <c:v>0.39339578456356461</c:v>
                </c:pt>
                <c:pt idx="45">
                  <c:v>0.34516884517114654</c:v>
                </c:pt>
                <c:pt idx="46">
                  <c:v>0.3028541137240684</c:v>
                </c:pt>
                <c:pt idx="47">
                  <c:v>0.26572680438210683</c:v>
                </c:pt>
                <c:pt idx="48">
                  <c:v>0.23315098381480195</c:v>
                </c:pt>
                <c:pt idx="49">
                  <c:v>0.20456867864802586</c:v>
                </c:pt>
                <c:pt idx="50">
                  <c:v>0.17949031824390899</c:v>
                </c:pt>
                <c:pt idx="51">
                  <c:v>0.15748634911374115</c:v>
                </c:pt>
                <c:pt idx="52">
                  <c:v>0.13817987733172241</c:v>
                </c:pt>
                <c:pt idx="53">
                  <c:v>0.12124021292550155</c:v>
                </c:pt>
                <c:pt idx="54">
                  <c:v>0.10637720566890685</c:v>
                </c:pt>
                <c:pt idx="55">
                  <c:v>9.3336275257767137E-2</c:v>
                </c:pt>
                <c:pt idx="56">
                  <c:v>8.18940507434293E-2</c:v>
                </c:pt>
                <c:pt idx="57">
                  <c:v>7.1854544534219231E-2</c:v>
                </c:pt>
                <c:pt idx="58">
                  <c:v>6.3045795431414156E-2</c:v>
                </c:pt>
                <c:pt idx="59">
                  <c:v>5.5316923200129944E-2</c:v>
                </c:pt>
                <c:pt idx="60">
                  <c:v>4.8535544224482433E-2</c:v>
                </c:pt>
                <c:pt idx="61">
                  <c:v>4.2585503981196787E-2</c:v>
                </c:pt>
                <c:pt idx="62">
                  <c:v>3.736488749244813E-2</c:v>
                </c:pt>
                <c:pt idx="63">
                  <c:v>3.2784273680070961E-2</c:v>
                </c:pt>
                <c:pt idx="64">
                  <c:v>2.8765203720927165E-2</c:v>
                </c:pt>
                <c:pt idx="65">
                  <c:v>2.5238837168731529E-2</c:v>
                </c:pt>
                <c:pt idx="66">
                  <c:v>2.2144772823782122E-2</c:v>
                </c:pt>
                <c:pt idx="67">
                  <c:v>1.9430014153919338E-2</c:v>
                </c:pt>
                <c:pt idx="68">
                  <c:v>1.7048061545976524E-2</c:v>
                </c:pt>
                <c:pt idx="69">
                  <c:v>1.4958115839394666E-2</c:v>
                </c:pt>
                <c:pt idx="70">
                  <c:v>1.3124379499765196E-2</c:v>
                </c:pt>
                <c:pt idx="71">
                  <c:v>1.1515443462485418E-2</c:v>
                </c:pt>
                <c:pt idx="72">
                  <c:v>1.0103749144107771E-2</c:v>
                </c:pt>
                <c:pt idx="73">
                  <c:v>8.8651164064701155E-3</c:v>
                </c:pt>
                <c:pt idx="74">
                  <c:v>7.7783293883634573E-3</c:v>
                </c:pt>
                <c:pt idx="75">
                  <c:v>6.8247731106747308E-3</c:v>
                </c:pt>
                <c:pt idx="76">
                  <c:v>5.9881146306133273E-3</c:v>
                </c:pt>
                <c:pt idx="77">
                  <c:v>5.2540232836869134E-3</c:v>
                </c:pt>
                <c:pt idx="78">
                  <c:v>4.6099252216046521E-3</c:v>
                </c:pt>
                <c:pt idx="79">
                  <c:v>4.0447880417221766E-3</c:v>
                </c:pt>
                <c:pt idx="80">
                  <c:v>3.548931819064067E-3</c:v>
                </c:pt>
                <c:pt idx="81">
                  <c:v>3.1138633041949862E-3</c:v>
                </c:pt>
                <c:pt idx="82">
                  <c:v>2.7321304470056596E-3</c:v>
                </c:pt>
                <c:pt idx="83">
                  <c:v>2.3971947546313757E-3</c:v>
                </c:pt>
                <c:pt idx="84">
                  <c:v>2.1033192971917705E-3</c:v>
                </c:pt>
                <c:pt idx="85">
                  <c:v>1.845470443063592E-3</c:v>
                </c:pt>
                <c:pt idx="86">
                  <c:v>1.6192316405638004E-3</c:v>
                </c:pt>
                <c:pt idx="87">
                  <c:v>1.4207277692567142E-3</c:v>
                </c:pt>
                <c:pt idx="88">
                  <c:v>1.2465587651402049E-3</c:v>
                </c:pt>
                <c:pt idx="89">
                  <c:v>1.0937413828131443E-3</c:v>
                </c:pt>
                <c:pt idx="90">
                  <c:v>9.5965809710018798E-4</c:v>
                </c:pt>
                <c:pt idx="91">
                  <c:v>8.4201226889783743E-4</c:v>
                </c:pt>
                <c:pt idx="92">
                  <c:v>7.3878880730213474E-4</c:v>
                </c:pt>
                <c:pt idx="93">
                  <c:v>6.4821965422113647E-4</c:v>
                </c:pt>
                <c:pt idx="94">
                  <c:v>5.6875350027701433E-4</c:v>
                </c:pt>
                <c:pt idx="95">
                  <c:v>4.9902921327806915E-4</c:v>
                </c:pt>
                <c:pt idx="96">
                  <c:v>4.3785252413152125E-4</c:v>
                </c:pt>
                <c:pt idx="97">
                  <c:v>3.8417557086285655E-4</c:v>
                </c:pt>
                <c:pt idx="98">
                  <c:v>3.3707895036244818E-4</c:v>
                </c:pt>
                <c:pt idx="99">
                  <c:v>2.9575597043366092E-4</c:v>
                </c:pt>
                <c:pt idx="100">
                  <c:v>2.5949883240440147E-4</c:v>
                </c:pt>
                <c:pt idx="101">
                  <c:v>2.276865076316428E-4</c:v>
                </c:pt>
                <c:pt idx="102">
                  <c:v>1.9977410024221297E-4</c:v>
                </c:pt>
                <c:pt idx="103">
                  <c:v>1.7528351391006756E-4</c:v>
                </c:pt>
                <c:pt idx="104">
                  <c:v>1.5379526280638801E-4</c:v>
                </c:pt>
                <c:pt idx="105">
                  <c:v>1.349412864567603E-4</c:v>
                </c:pt>
                <c:pt idx="106">
                  <c:v>1.1839864543506024E-4</c:v>
                </c:pt>
                <c:pt idx="107">
                  <c:v>1.0388398991104195E-4</c:v>
                </c:pt>
                <c:pt idx="108">
                  <c:v>9.1148706306413274E-5</c:v>
                </c:pt>
                <c:pt idx="109">
                  <c:v>7.9974658929130244E-5</c:v>
                </c:pt>
                <c:pt idx="110">
                  <c:v>7.0170453646698508E-5</c:v>
                </c:pt>
                <c:pt idx="111">
                  <c:v>6.1568159600990427E-5</c:v>
                </c:pt>
                <c:pt idx="112">
                  <c:v>5.4020432812626933E-5</c:v>
                </c:pt>
                <c:pt idx="113">
                  <c:v>4.7397992406721166E-5</c:v>
                </c:pt>
                <c:pt idx="114">
                  <c:v>4.1587406231637515E-5</c:v>
                </c:pt>
                <c:pt idx="115">
                  <c:v>3.6489147941843911E-5</c:v>
                </c:pt>
                <c:pt idx="116">
                  <c:v>3.2015892265694331E-5</c:v>
                </c:pt>
                <c:pt idx="117">
                  <c:v>2.8091019258717958E-5</c:v>
                </c:pt>
                <c:pt idx="118">
                  <c:v>2.4647301922589401E-5</c:v>
                </c:pt>
                <c:pt idx="119">
                  <c:v>2.1625754710724746E-5</c:v>
                </c:pt>
                <c:pt idx="120">
                  <c:v>1.8974623197186874E-5</c:v>
                </c:pt>
                <c:pt idx="121">
                  <c:v>1.6648497603492713E-5</c:v>
                </c:pt>
                <c:pt idx="122">
                  <c:v>1.4607534999408865E-5</c:v>
                </c:pt>
                <c:pt idx="123">
                  <c:v>1.2816776855239458E-5</c:v>
                </c:pt>
                <c:pt idx="124">
                  <c:v>1.1245550256333425E-5</c:v>
                </c:pt>
                <c:pt idx="125">
                  <c:v>9.8669425235427522E-6</c:v>
                </c:pt>
                <c:pt idx="126">
                  <c:v>8.6573402406934773E-6</c:v>
                </c:pt>
                <c:pt idx="127">
                  <c:v>7.5960247933236939E-6</c:v>
                </c:pt>
                <c:pt idx="128">
                  <c:v>6.6648174908932952E-6</c:v>
                </c:pt>
                <c:pt idx="129">
                  <c:v>5.8477681939583317E-6</c:v>
                </c:pt>
                <c:pt idx="130">
                  <c:v>5.1308821129755048E-6</c:v>
                </c:pt>
                <c:pt idx="131">
                  <c:v>4.5018800992232965E-6</c:v>
                </c:pt>
                <c:pt idx="132">
                  <c:v>3.9499883219943156E-6</c:v>
                </c:pt>
                <c:pt idx="133">
                  <c:v>3.4657537295547542E-6</c:v>
                </c:pt>
                <c:pt idx="134">
                  <c:v>3.0408821330029175E-6</c:v>
                </c:pt>
                <c:pt idx="135">
                  <c:v>2.6680961396539653E-6</c:v>
                </c:pt>
                <c:pt idx="136">
                  <c:v>2.3410105025697037E-6</c:v>
                </c:pt>
                <c:pt idx="137">
                  <c:v>2.0540227511638392E-6</c:v>
                </c:pt>
                <c:pt idx="138">
                  <c:v>1.8022172295542897E-6</c:v>
                </c:pt>
                <c:pt idx="139">
                  <c:v>1.581280898988087E-6</c:v>
                </c:pt>
                <c:pt idx="140">
                  <c:v>1.3874294621647602E-6</c:v>
                </c:pt>
                <c:pt idx="141">
                  <c:v>1.2173425440822314E-6</c:v>
                </c:pt>
                <c:pt idx="142">
                  <c:v>1.0681068191534612E-6</c:v>
                </c:pt>
                <c:pt idx="143">
                  <c:v>9.3716611044940243E-7</c:v>
                </c:pt>
                <c:pt idx="144">
                  <c:v>8.2227760634554447E-7</c:v>
                </c:pt>
                <c:pt idx="145">
                  <c:v>7.2147344463099107E-7</c:v>
                </c:pt>
                <c:pt idx="146">
                  <c:v>6.3302700607532859E-7</c:v>
                </c:pt>
                <c:pt idx="147">
                  <c:v>5.5542334011427181E-7</c:v>
                </c:pt>
                <c:pt idx="148">
                  <c:v>4.8733321609186441E-7</c:v>
                </c:pt>
                <c:pt idx="149">
                  <c:v>4.2759035559718872E-7</c:v>
                </c:pt>
                <c:pt idx="150">
                  <c:v>3.7517145592075835E-7</c:v>
                </c:pt>
                <c:pt idx="151">
                  <c:v>3.291786624633283E-7</c:v>
                </c:pt>
                <c:pt idx="152">
                  <c:v>2.88824189876622E-7</c:v>
                </c:pt>
                <c:pt idx="153">
                  <c:v>2.5341682851992331E-7</c:v>
                </c:pt>
                <c:pt idx="154">
                  <c:v>2.2235010510902618E-7</c:v>
                </c:pt>
                <c:pt idx="155">
                  <c:v>1.950918947677861E-7</c:v>
                </c:pt>
                <c:pt idx="156">
                  <c:v>1.7117530655280035E-7</c:v>
                </c:pt>
                <c:pt idx="157">
                  <c:v>1.5019068633436329E-7</c:v>
                </c:pt>
                <c:pt idx="158">
                  <c:v>1.3177860005542998E-7</c:v>
                </c:pt>
                <c:pt idx="159">
                  <c:v>1.1562367718267602E-7</c:v>
                </c:pt>
                <c:pt idx="160">
                  <c:v>1.0144920889750191E-7</c:v>
                </c:pt>
                <c:pt idx="161">
                  <c:v>8.9012408502356713E-8</c:v>
                </c:pt>
                <c:pt idx="162">
                  <c:v>7.8100252860478754E-8</c:v>
                </c:pt>
                <c:pt idx="163">
                  <c:v>6.8525833639354012E-8</c:v>
                </c:pt>
                <c:pt idx="164">
                  <c:v>6.0125155860342214E-8</c:v>
                </c:pt>
                <c:pt idx="165">
                  <c:v>5.2754328918580989E-8</c:v>
                </c:pt>
                <c:pt idx="166">
                  <c:v>4.6287101959688639E-8</c:v>
                </c:pt>
                <c:pt idx="167">
                  <c:v>4.061270139808351E-8</c:v>
                </c:pt>
                <c:pt idx="168">
                  <c:v>3.5633933536956944E-8</c:v>
                </c:pt>
                <c:pt idx="169">
                  <c:v>3.126551979071712E-8</c:v>
                </c:pt>
                <c:pt idx="170">
                  <c:v>2.7432635994841756E-8</c:v>
                </c:pt>
                <c:pt idx="171">
                  <c:v>2.4069630783778711E-8</c:v>
                </c:pt>
                <c:pt idx="172">
                  <c:v>2.1118901084692135E-8</c:v>
                </c:pt>
                <c:pt idx="173">
                  <c:v>1.8529905466002806E-8</c:v>
                </c:pt>
                <c:pt idx="174">
                  <c:v>1.6258298440910852E-8</c:v>
                </c:pt>
                <c:pt idx="175">
                  <c:v>1.426517089786022E-8</c:v>
                </c:pt>
                <c:pt idx="176">
                  <c:v>1.2516383647694783E-8</c:v>
                </c:pt>
                <c:pt idx="177">
                  <c:v>1.098198267220061E-8</c:v>
                </c:pt>
                <c:pt idx="178">
                  <c:v>9.6356860581472189E-9</c:v>
                </c:pt>
                <c:pt idx="179">
                  <c:v>8.4544338288022239E-9</c:v>
                </c:pt>
                <c:pt idx="180">
                  <c:v>7.4179929622301698E-9</c:v>
                </c:pt>
                <c:pt idx="181">
                  <c:v>6.5086108309504836E-9</c:v>
                </c:pt>
                <c:pt idx="182">
                  <c:v>5.7107111269124333E-9</c:v>
                </c:pt>
                <c:pt idx="183">
                  <c:v>5.0106270634526414E-9</c:v>
                </c:pt>
                <c:pt idx="184">
                  <c:v>4.3963672843977505E-9</c:v>
                </c:pt>
                <c:pt idx="185">
                  <c:v>3.8574104706975739E-9</c:v>
                </c:pt>
                <c:pt idx="186">
                  <c:v>3.3845251265183146E-9</c:v>
                </c:pt>
                <c:pt idx="187">
                  <c:v>2.9696114580106616E-9</c:v>
                </c:pt>
                <c:pt idx="188">
                  <c:v>2.6055626363808255E-9</c:v>
                </c:pt>
                <c:pt idx="189">
                  <c:v>2.2861430689157262E-9</c:v>
                </c:pt>
                <c:pt idx="190">
                  <c:v>2.0058815929334368E-9</c:v>
                </c:pt>
                <c:pt idx="191">
                  <c:v>1.759977763236611E-9</c:v>
                </c:pt>
                <c:pt idx="192">
                  <c:v>1.5442196279180537E-9</c:v>
                </c:pt>
                <c:pt idx="193">
                  <c:v>1.3549115841452736E-9</c:v>
                </c:pt>
                <c:pt idx="194">
                  <c:v>1.1888110782053041E-9</c:v>
                </c:pt>
                <c:pt idx="195">
                  <c:v>1.043073065579552E-9</c:v>
                </c:pt>
                <c:pt idx="196">
                  <c:v>9.1520127973574456E-10</c:v>
                </c:pt>
                <c:pt idx="197">
                  <c:v>8.0300547494682077E-10</c:v>
                </c:pt>
                <c:pt idx="198">
                  <c:v>7.0456391077245221E-10</c:v>
                </c:pt>
                <c:pt idx="199">
                  <c:v>6.1819043562043807E-10</c:v>
                </c:pt>
                <c:pt idx="200">
                  <c:v>5.4240560558034357E-10</c:v>
                </c:pt>
                <c:pt idx="201">
                  <c:v>4.7591134383971133E-10</c:v>
                </c:pt>
                <c:pt idx="202">
                  <c:v>4.1756870663787961E-10</c:v>
                </c:pt>
                <c:pt idx="203">
                  <c:v>3.6637837492261558E-10</c:v>
                </c:pt>
                <c:pt idx="204">
                  <c:v>3.2146353756184404E-10</c:v>
                </c:pt>
                <c:pt idx="205">
                  <c:v>2.8205487292638867E-10</c:v>
                </c:pt>
                <c:pt idx="206">
                  <c:v>2.4747737160148761E-10</c:v>
                </c:pt>
                <c:pt idx="207">
                  <c:v>2.1713877452053338E-10</c:v>
                </c:pt>
                <c:pt idx="208">
                  <c:v>1.9051942848416612E-10</c:v>
                </c:pt>
                <c:pt idx="209">
                  <c:v>1.6716338530546909E-10</c:v>
                </c:pt>
                <c:pt idx="210">
                  <c:v>1.4667059212340165E-10</c:v>
                </c:pt>
                <c:pt idx="211">
                  <c:v>1.2869003911663084E-10</c:v>
                </c:pt>
                <c:pt idx="212">
                  <c:v>1.1291374724870705E-10</c:v>
                </c:pt>
                <c:pt idx="213">
                  <c:v>9.9071493063966706E-11</c:v>
                </c:pt>
                <c:pt idx="214">
                  <c:v>8.6926180178082728E-11</c:v>
                </c:pt>
                <c:pt idx="215">
                  <c:v>7.6269778184061283E-11</c:v>
                </c:pt>
                <c:pt idx="216">
                  <c:v>6.6919759413431652E-11</c:v>
                </c:pt>
                <c:pt idx="217">
                  <c:v>5.8715972519865444E-11</c:v>
                </c:pt>
                <c:pt idx="218">
                  <c:v>5.1517899334551747E-11</c:v>
                </c:pt>
                <c:pt idx="219">
                  <c:v>4.5202248007508436E-11</c:v>
                </c:pt>
                <c:pt idx="220">
                  <c:v>3.9660841209065928E-11</c:v>
                </c:pt>
                <c:pt idx="221">
                  <c:v>3.4798763219684516E-11</c:v>
                </c:pt>
                <c:pt idx="222">
                  <c:v>3.0532734170622188E-11</c:v>
                </c:pt>
                <c:pt idx="223">
                  <c:v>2.6789683588712652E-11</c:v>
                </c:pt>
                <c:pt idx="224">
                  <c:v>2.3505498812283898E-11</c:v>
                </c:pt>
                <c:pt idx="225">
                  <c:v>2.0623926840519663E-11</c:v>
                </c:pt>
                <c:pt idx="226">
                  <c:v>1.8095610806643366E-11</c:v>
                </c:pt>
                <c:pt idx="227">
                  <c:v>1.5877244571202004E-11</c:v>
                </c:pt>
                <c:pt idx="228">
                  <c:v>1.3930830954941621E-11</c:v>
                </c:pt>
                <c:pt idx="229">
                  <c:v>1.2223030905951937E-11</c:v>
                </c:pt>
                <c:pt idx="230">
                  <c:v>1.0724592453320908E-11</c:v>
                </c:pt>
                <c:pt idx="231">
                  <c:v>9.4098496661593935E-12</c:v>
                </c:pt>
                <c:pt idx="232">
                  <c:v>8.2562830359396718E-12</c:v>
                </c:pt>
                <c:pt idx="233">
                  <c:v>7.2441337521779002E-12</c:v>
                </c:pt>
                <c:pt idx="234">
                  <c:v>6.3560652646000816E-12</c:v>
                </c:pt>
                <c:pt idx="235">
                  <c:v>5.5768663348754231E-12</c:v>
                </c:pt>
                <c:pt idx="236">
                  <c:v>4.8931904916529701E-12</c:v>
                </c:pt>
                <c:pt idx="237">
                  <c:v>4.2933274261696782E-12</c:v>
                </c:pt>
                <c:pt idx="238">
                  <c:v>3.7670024127905995E-12</c:v>
                </c:pt>
                <c:pt idx="239">
                  <c:v>3.3052003188655416E-12</c:v>
                </c:pt>
                <c:pt idx="240">
                  <c:v>2.9000111894635367E-12</c:v>
                </c:pt>
                <c:pt idx="241">
                  <c:v>2.5444947620906499E-12</c:v>
                </c:pt>
                <c:pt idx="242">
                  <c:v>2.2325615907380139E-12</c:v>
                </c:pt>
                <c:pt idx="243">
                  <c:v>1.9588687430990593E-12</c:v>
                </c:pt>
                <c:pt idx="244">
                  <c:v>1.718728284410753E-12</c:v>
                </c:pt>
                <c:pt idx="245">
                  <c:v>1.5080269803887243E-12</c:v>
                </c:pt>
                <c:pt idx="246">
                  <c:v>1.3231558438918688E-12</c:v>
                </c:pt>
                <c:pt idx="247">
                  <c:v>1.1609483185598673E-12</c:v>
                </c:pt>
                <c:pt idx="248">
                  <c:v>1.0186260406050313E-12</c:v>
                </c:pt>
                <c:pt idx="249">
                  <c:v>8.9375124974193804E-13</c:v>
                </c:pt>
                <c:pt idx="250">
                  <c:v>7.8418503412775466E-13</c:v>
                </c:pt>
                <c:pt idx="251">
                  <c:v>6.8805069411372286E-13</c:v>
                </c:pt>
                <c:pt idx="252">
                  <c:v>6.0370159728558406E-13</c:v>
                </c:pt>
                <c:pt idx="253">
                  <c:v>5.2969297419955426E-13</c:v>
                </c:pt>
                <c:pt idx="254">
                  <c:v>4.647571717184681E-13</c:v>
                </c:pt>
                <c:pt idx="255">
                  <c:v>4.077819400760543E-13</c:v>
                </c:pt>
                <c:pt idx="256">
                  <c:v>3.5779138176036678E-13</c:v>
                </c:pt>
                <c:pt idx="257">
                  <c:v>3.1392923590023832E-13</c:v>
                </c:pt>
                <c:pt idx="258">
                  <c:v>2.7544421184217643E-13</c:v>
                </c:pt>
                <c:pt idx="259">
                  <c:v>2.4167712070457774E-13</c:v>
                </c:pt>
                <c:pt idx="260">
                  <c:v>2.1204958449270837E-13</c:v>
                </c:pt>
                <c:pt idx="261">
                  <c:v>1.8605412937906847E-13</c:v>
                </c:pt>
                <c:pt idx="262">
                  <c:v>1.6324549346237216E-13</c:v>
                </c:pt>
                <c:pt idx="263">
                  <c:v>1.4323300012050942E-13</c:v>
                </c:pt>
                <c:pt idx="264">
                  <c:v>1.256738663248348E-13</c:v>
                </c:pt>
                <c:pt idx="265">
                  <c:v>1.1026733129756548E-13</c:v>
                </c:pt>
                <c:pt idx="266">
                  <c:v>9.6749504945279987E-14</c:v>
                </c:pt>
                <c:pt idx="267">
                  <c:v>8.4888847830158914E-14</c:v>
                </c:pt>
                <c:pt idx="268">
                  <c:v>7.4482205257872347E-14</c:v>
                </c:pt>
                <c:pt idx="269">
                  <c:v>6.5351327552179348E-14</c:v>
                </c:pt>
                <c:pt idx="270">
                  <c:v>5.7339816913931097E-14</c:v>
                </c:pt>
                <c:pt idx="271">
                  <c:v>5.031044856889819E-14</c:v>
                </c:pt>
                <c:pt idx="272">
                  <c:v>4.4142820319832457E-14</c:v>
                </c:pt>
                <c:pt idx="273">
                  <c:v>3.8731290243228445E-14</c:v>
                </c:pt>
                <c:pt idx="274">
                  <c:v>3.398316720672316E-14</c:v>
                </c:pt>
                <c:pt idx="275">
                  <c:v>2.981712321349823E-14</c:v>
                </c:pt>
                <c:pt idx="276">
                  <c:v>2.6161800379602199E-14</c:v>
                </c:pt>
                <c:pt idx="277">
                  <c:v>2.2954588683870994E-14</c:v>
                </c:pt>
                <c:pt idx="278">
                  <c:v>2.0140553555194983E-14</c:v>
                </c:pt>
                <c:pt idx="279">
                  <c:v>1.7671494928362662E-14</c:v>
                </c:pt>
                <c:pt idx="280">
                  <c:v>1.5505121651564457E-14</c:v>
                </c:pt>
                <c:pt idx="281">
                  <c:v>1.3604327104435177E-14</c:v>
                </c:pt>
                <c:pt idx="282">
                  <c:v>1.1936553619093688E-14</c:v>
                </c:pt>
                <c:pt idx="283">
                  <c:v>1.0473234817696199E-14</c:v>
                </c:pt>
                <c:pt idx="284">
                  <c:v>9.1893063146087827E-15</c:v>
                </c:pt>
                <c:pt idx="285">
                  <c:v>8.0627764022848357E-15</c:v>
                </c:pt>
                <c:pt idx="286">
                  <c:v>7.0743493673612307E-15</c:v>
                </c:pt>
                <c:pt idx="287">
                  <c:v>6.2070949849610172E-15</c:v>
                </c:pt>
                <c:pt idx="288">
                  <c:v>5.4461585301517804E-15</c:v>
                </c:pt>
                <c:pt idx="289">
                  <c:v>4.7785063395048536E-15</c:v>
                </c:pt>
                <c:pt idx="290">
                  <c:v>4.1927025646188264E-15</c:v>
                </c:pt>
                <c:pt idx="291">
                  <c:v>3.6787132937408198E-15</c:v>
                </c:pt>
                <c:pt idx="292">
                  <c:v>3.2277346863921305E-15</c:v>
                </c:pt>
                <c:pt idx="293">
                  <c:v>2.8320421772104851E-15</c:v>
                </c:pt>
                <c:pt idx="294">
                  <c:v>2.4848581661041503E-15</c:v>
                </c:pt>
                <c:pt idx="295">
                  <c:v>2.1802359284550917E-15</c:v>
                </c:pt>
                <c:pt idx="296">
                  <c:v>1.9129577569326751E-15</c:v>
                </c:pt>
                <c:pt idx="297">
                  <c:v>1.6784455902448759E-15</c:v>
                </c:pt>
                <c:pt idx="298">
                  <c:v>1.4726825980358636E-15</c:v>
                </c:pt>
                <c:pt idx="299">
                  <c:v>1.2921443788006531E-15</c:v>
                </c:pt>
                <c:pt idx="300">
                  <c:v>1.1337385923436204E-15</c:v>
                </c:pt>
                <c:pt idx="301">
                  <c:v>9.9475199277835083E-16</c:v>
                </c:pt>
                <c:pt idx="302">
                  <c:v>8.7280395482611137E-16</c:v>
                </c:pt>
                <c:pt idx="303">
                  <c:v>7.6580569739038541E-16</c:v>
                </c:pt>
                <c:pt idx="304">
                  <c:v>6.7192450597043249E-16</c:v>
                </c:pt>
                <c:pt idx="305">
                  <c:v>5.8955234109920318E-16</c:v>
                </c:pt>
                <c:pt idx="306">
                  <c:v>5.1727829511675221E-16</c:v>
                </c:pt>
                <c:pt idx="307">
                  <c:v>4.538644255063165E-16</c:v>
                </c:pt>
                <c:pt idx="308">
                  <c:v>3.9822455085552178E-16</c:v>
                </c:pt>
                <c:pt idx="309">
                  <c:v>3.4940564625035818E-16</c:v>
                </c:pt>
                <c:pt idx="310">
                  <c:v>3.0657151943382648E-16</c:v>
                </c:pt>
                <c:pt idx="311">
                  <c:v>2.6898848812712542E-16</c:v>
                </c:pt>
                <c:pt idx="312">
                  <c:v>2.360128131880642E-16</c:v>
                </c:pt>
                <c:pt idx="313">
                  <c:v>2.0707967235616052E-16</c:v>
                </c:pt>
                <c:pt idx="314">
                  <c:v>1.8169348572174656E-16</c:v>
                </c:pt>
                <c:pt idx="315">
                  <c:v>1.5941942720934781E-16</c:v>
                </c:pt>
                <c:pt idx="316">
                  <c:v>1.3987597668018498E-16</c:v>
                </c:pt>
                <c:pt idx="317">
                  <c:v>1.2272838508284649E-16</c:v>
                </c:pt>
                <c:pt idx="318">
                  <c:v>1.0768294072027879E-16</c:v>
                </c:pt>
                <c:pt idx="319">
                  <c:v>9.4481938423124987E-17</c:v>
                </c:pt>
                <c:pt idx="320">
                  <c:v>8.2899265459139564E-17</c:v>
                </c:pt>
                <c:pt idx="321">
                  <c:v>7.2736528572140963E-17</c:v>
                </c:pt>
                <c:pt idx="322">
                  <c:v>6.3819655812675144E-17</c:v>
                </c:pt>
                <c:pt idx="323">
                  <c:v>5.5995914955010837E-17</c:v>
                </c:pt>
                <c:pt idx="324">
                  <c:v>4.9131297430564639E-17</c:v>
                </c:pt>
                <c:pt idx="325">
                  <c:v>4.3108222968586384E-17</c:v>
                </c:pt>
                <c:pt idx="326">
                  <c:v>3.7823525628152779E-17</c:v>
                </c:pt>
                <c:pt idx="327">
                  <c:v>3.3186686725315586E-17</c:v>
                </c:pt>
                <c:pt idx="328">
                  <c:v>2.9118284388181866E-17</c:v>
                </c:pt>
                <c:pt idx="329">
                  <c:v>2.5548633183205273E-17</c:v>
                </c:pt>
                <c:pt idx="330">
                  <c:v>2.2416590511592768E-17</c:v>
                </c:pt>
                <c:pt idx="331">
                  <c:v>1.9668509331245101E-17</c:v>
                </c:pt>
                <c:pt idx="332">
                  <c:v>1.7257319265979162E-17</c:v>
                </c:pt>
                <c:pt idx="333">
                  <c:v>1.5141720362855915E-17</c:v>
                </c:pt>
                <c:pt idx="334">
                  <c:v>1.3285475687924977E-17</c:v>
                </c:pt>
                <c:pt idx="335">
                  <c:v>1.165679064364618E-17</c:v>
                </c:pt>
                <c:pt idx="336">
                  <c:v>1.0227768376656445E-17</c:v>
                </c:pt>
                <c:pt idx="337">
                  <c:v>8.9739319478601393E-18</c:v>
                </c:pt>
                <c:pt idx="338">
                  <c:v>7.8738050803562849E-18</c:v>
                </c:pt>
                <c:pt idx="339">
                  <c:v>6.9085443040637018E-18</c:v>
                </c:pt>
                <c:pt idx="340">
                  <c:v>6.0616161962509934E-18</c:v>
                </c:pt>
                <c:pt idx="341">
                  <c:v>5.318514189601348E-18</c:v>
                </c:pt>
                <c:pt idx="342">
                  <c:v>4.6665100971727086E-18</c:v>
                </c:pt>
                <c:pt idx="343">
                  <c:v>4.0944360982605726E-18</c:v>
                </c:pt>
                <c:pt idx="344">
                  <c:v>3.5924934509187693E-18</c:v>
                </c:pt>
                <c:pt idx="345">
                  <c:v>3.1520846546798149E-18</c:v>
                </c:pt>
                <c:pt idx="346">
                  <c:v>2.7656661886821143E-18</c:v>
                </c:pt>
                <c:pt idx="347">
                  <c:v>2.4266193028360843E-18</c:v>
                </c:pt>
                <c:pt idx="348">
                  <c:v>2.1291366488819255E-18</c:v>
                </c:pt>
                <c:pt idx="349">
                  <c:v>1.8681228095045656E-18</c:v>
                </c:pt>
                <c:pt idx="350">
                  <c:v>1.6391070217235116E-18</c:v>
                </c:pt>
                <c:pt idx="351">
                  <c:v>1.438166599644398E-18</c:v>
                </c:pt>
                <c:pt idx="352">
                  <c:v>1.2618597449225128E-18</c:v>
                </c:pt>
                <c:pt idx="353">
                  <c:v>1.1071665940855668E-18</c:v>
                </c:pt>
                <c:pt idx="354">
                  <c:v>9.7143749294760823E-19</c:v>
                </c:pt>
                <c:pt idx="355">
                  <c:v>8.5234761213487439E-19</c:v>
                </c:pt>
                <c:pt idx="356">
                  <c:v>7.4785712635779825E-19</c:v>
                </c:pt>
                <c:pt idx="357">
                  <c:v>6.5617627536175047E-19</c:v>
                </c:pt>
                <c:pt idx="358">
                  <c:v>5.7573470810469061E-19</c:v>
                </c:pt>
                <c:pt idx="359">
                  <c:v>5.0515458507495333E-19</c:v>
                </c:pt>
                <c:pt idx="360">
                  <c:v>4.4322697803351221E-19</c:v>
                </c:pt>
                <c:pt idx="361">
                  <c:v>3.8889116294484549E-19</c:v>
                </c:pt>
                <c:pt idx="362">
                  <c:v>3.4121645141636541E-19</c:v>
                </c:pt>
                <c:pt idx="363">
                  <c:v>2.9938624944709618E-19</c:v>
                </c:pt>
                <c:pt idx="364">
                  <c:v>2.6268407043664592E-19</c:v>
                </c:pt>
                <c:pt idx="365">
                  <c:v>2.3048126287896895E-19</c:v>
                </c:pt>
              </c:numCache>
            </c:numRef>
          </c:yVal>
          <c:smooth val="1"/>
          <c:extLst>
            <c:ext xmlns:c16="http://schemas.microsoft.com/office/drawing/2014/chart" uri="{C3380CC4-5D6E-409C-BE32-E72D297353CC}">
              <c16:uniqueId val="{00000001-0CF0-4AA2-A727-45757B791E30}"/>
            </c:ext>
          </c:extLst>
        </c:ser>
        <c:ser>
          <c:idx val="2"/>
          <c:order val="2"/>
          <c:tx>
            <c:strRef>
              <c:f>'Max rate concentrations'!$L$2</c:f>
              <c:strCache>
                <c:ptCount val="1"/>
                <c:pt idx="0">
                  <c:v>Small birds (20 g, insect diet)</c:v>
                </c:pt>
              </c:strCache>
            </c:strRef>
          </c:tx>
          <c:spPr>
            <a:ln w="19050" cap="rnd">
              <a:solidFill>
                <a:schemeClr val="accent6"/>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concentrations'!$L$3:$L$368</c:f>
              <c:numCache>
                <c:formatCode>General</c:formatCode>
                <c:ptCount val="366"/>
                <c:pt idx="0">
                  <c:v>321.16976211344019</c:v>
                </c:pt>
                <c:pt idx="1">
                  <c:v>350.52744091332482</c:v>
                </c:pt>
                <c:pt idx="2">
                  <c:v>322.26408214598092</c:v>
                </c:pt>
                <c:pt idx="3">
                  <c:v>285.90485178150698</c:v>
                </c:pt>
                <c:pt idx="4">
                  <c:v>251.52895703291117</c:v>
                </c:pt>
                <c:pt idx="5">
                  <c:v>220.83781673361338</c:v>
                </c:pt>
                <c:pt idx="6">
                  <c:v>193.79584724869213</c:v>
                </c:pt>
                <c:pt idx="7">
                  <c:v>170.04474463581198</c:v>
                </c:pt>
                <c:pt idx="8">
                  <c:v>149.20013426724921</c:v>
                </c:pt>
                <c:pt idx="9">
                  <c:v>130.90978346575145</c:v>
                </c:pt>
                <c:pt idx="10">
                  <c:v>114.86143472901165</c:v>
                </c:pt>
                <c:pt idx="11">
                  <c:v>100.78042465700905</c:v>
                </c:pt>
                <c:pt idx="12">
                  <c:v>88.425614419982139</c:v>
                </c:pt>
                <c:pt idx="13">
                  <c:v>77.58539531932783</c:v>
                </c:pt>
                <c:pt idx="14">
                  <c:v>68.074093339883092</c:v>
                </c:pt>
                <c:pt idx="15">
                  <c:v>59.72879506497712</c:v>
                </c:pt>
                <c:pt idx="16">
                  <c:v>52.406558553642796</c:v>
                </c:pt>
                <c:pt idx="17">
                  <c:v>45.981965251473731</c:v>
                </c:pt>
                <c:pt idx="18">
                  <c:v>40.344971825945962</c:v>
                </c:pt>
                <c:pt idx="19">
                  <c:v>35.399025307547596</c:v>
                </c:pt>
                <c:pt idx="20">
                  <c:v>31.059409289682513</c:v>
                </c:pt>
                <c:pt idx="21">
                  <c:v>27.251792868376661</c:v>
                </c:pt>
                <c:pt idx="22">
                  <c:v>23.910957469096118</c:v>
                </c:pt>
                <c:pt idx="23">
                  <c:v>20.979679753560738</c:v>
                </c:pt>
                <c:pt idx="24">
                  <c:v>18.407751472555429</c:v>
                </c:pt>
                <c:pt idx="25">
                  <c:v>16.151119476352171</c:v>
                </c:pt>
                <c:pt idx="26">
                  <c:v>14.171131152456235</c:v>
                </c:pt>
                <c:pt idx="27">
                  <c:v>12.433872366194162</c:v>
                </c:pt>
                <c:pt idx="28">
                  <c:v>10.909586564090919</c:v>
                </c:pt>
                <c:pt idx="29">
                  <c:v>9.5721650901764246</c:v>
                </c:pt>
                <c:pt idx="30">
                  <c:v>8.3986999851288449</c:v>
                </c:pt>
                <c:pt idx="31">
                  <c:v>7.3690916083963156</c:v>
                </c:pt>
                <c:pt idx="32">
                  <c:v>6.465704362471512</c:v>
                </c:pt>
                <c:pt idx="33">
                  <c:v>5.6730646224088606</c:v>
                </c:pt>
                <c:pt idx="34">
                  <c:v>4.9775956965846788</c:v>
                </c:pt>
                <c:pt idx="35">
                  <c:v>4.3673852789883956</c:v>
                </c:pt>
                <c:pt idx="36">
                  <c:v>3.8319814098625948</c:v>
                </c:pt>
                <c:pt idx="37">
                  <c:v>3.3622134498135581</c:v>
                </c:pt>
                <c:pt idx="38">
                  <c:v>2.9500350009559511</c:v>
                </c:pt>
                <c:pt idx="39">
                  <c:v>2.5883860845740658</c:v>
                </c:pt>
                <c:pt idx="40">
                  <c:v>2.2710722146163111</c:v>
                </c:pt>
                <c:pt idx="41">
                  <c:v>1.9926582957391294</c:v>
                </c:pt>
                <c:pt idx="42">
                  <c:v>1.7483755285380935</c:v>
                </c:pt>
                <c:pt idx="43">
                  <c:v>1.5340397273969162</c:v>
                </c:pt>
                <c:pt idx="44">
                  <c:v>1.3459796518655818</c:v>
                </c:pt>
                <c:pt idx="45">
                  <c:v>1.1809741239950589</c:v>
                </c:pt>
                <c:pt idx="46">
                  <c:v>1.0361968545458966</c:v>
                </c:pt>
                <c:pt idx="47">
                  <c:v>0.90916803302906435</c:v>
                </c:pt>
                <c:pt idx="48">
                  <c:v>0.79771185239138909</c:v>
                </c:pt>
                <c:pt idx="49">
                  <c:v>0.69991924080920553</c:v>
                </c:pt>
                <c:pt idx="50">
                  <c:v>0.61411516224354223</c:v>
                </c:pt>
                <c:pt idx="51">
                  <c:v>0.53882992566597843</c:v>
                </c:pt>
                <c:pt idx="52">
                  <c:v>0.47277401152662524</c:v>
                </c:pt>
                <c:pt idx="53">
                  <c:v>0.41481598428060412</c:v>
                </c:pt>
                <c:pt idx="54">
                  <c:v>0.363963112648792</c:v>
                </c:pt>
                <c:pt idx="55">
                  <c:v>0.31934436566790525</c:v>
                </c:pt>
                <c:pt idx="56">
                  <c:v>0.28019549327858312</c:v>
                </c:pt>
                <c:pt idx="57">
                  <c:v>0.24584593590504319</c:v>
                </c:pt>
                <c:pt idx="58">
                  <c:v>0.21570733880767373</c:v>
                </c:pt>
                <c:pt idx="59">
                  <c:v>0.18926347447720432</c:v>
                </c:pt>
                <c:pt idx="60">
                  <c:v>0.16606140045666848</c:v>
                </c:pt>
                <c:pt idx="61">
                  <c:v>0.14570370113833786</c:v>
                </c:pt>
                <c:pt idx="62">
                  <c:v>0.12784168064962001</c:v>
                </c:pt>
                <c:pt idx="63">
                  <c:v>0.11216939023259372</c:v>
                </c:pt>
                <c:pt idx="64">
                  <c:v>9.8418387815439656E-2</c:v>
                </c:pt>
                <c:pt idx="65">
                  <c:v>8.6353140015338267E-2</c:v>
                </c:pt>
                <c:pt idx="66">
                  <c:v>7.576698781626251E-2</c:v>
                </c:pt>
                <c:pt idx="67">
                  <c:v>6.6478606819972114E-2</c:v>
                </c:pt>
                <c:pt idx="68">
                  <c:v>5.8328901439788618E-2</c:v>
                </c:pt>
                <c:pt idx="69">
                  <c:v>5.1178279839499234E-2</c:v>
                </c:pt>
                <c:pt idx="70">
                  <c:v>4.490426294131121E-2</c:v>
                </c:pt>
                <c:pt idx="71">
                  <c:v>3.9399386548864997E-2</c:v>
                </c:pt>
                <c:pt idx="72">
                  <c:v>3.4569360651921135E-2</c:v>
                </c:pt>
                <c:pt idx="73">
                  <c:v>3.0331454384459687E-2</c:v>
                </c:pt>
                <c:pt idx="74">
                  <c:v>2.6613078973024961E-2</c:v>
                </c:pt>
                <c:pt idx="75">
                  <c:v>2.3350544403414365E-2</c:v>
                </c:pt>
                <c:pt idx="76">
                  <c:v>2.04879685093367E-2</c:v>
                </c:pt>
                <c:pt idx="77">
                  <c:v>1.7976319797417418E-2</c:v>
                </c:pt>
                <c:pt idx="78">
                  <c:v>1.5772577613625167E-2</c:v>
                </c:pt>
                <c:pt idx="79">
                  <c:v>1.3838995266070542E-2</c:v>
                </c:pt>
                <c:pt idx="80">
                  <c:v>1.2142453482611486E-2</c:v>
                </c:pt>
                <c:pt idx="81">
                  <c:v>1.0653893128995038E-2</c:v>
                </c:pt>
                <c:pt idx="82">
                  <c:v>9.3478174708754146E-3</c:v>
                </c:pt>
                <c:pt idx="83">
                  <c:v>8.2018554542273876E-3</c:v>
                </c:pt>
                <c:pt idx="84">
                  <c:v>7.196378523824527E-3</c:v>
                </c:pt>
                <c:pt idx="85">
                  <c:v>6.314164416476086E-3</c:v>
                </c:pt>
                <c:pt idx="86">
                  <c:v>5.5401021703211529E-3</c:v>
                </c:pt>
                <c:pt idx="87">
                  <c:v>4.8609332974459754E-3</c:v>
                </c:pt>
                <c:pt idx="88">
                  <c:v>4.265024686512105E-3</c:v>
                </c:pt>
                <c:pt idx="89">
                  <c:v>3.7421693455689403E-3</c:v>
                </c:pt>
                <c:pt idx="90">
                  <c:v>3.2834115720835528E-3</c:v>
                </c:pt>
                <c:pt idx="91">
                  <c:v>2.880893555621046E-3</c:v>
                </c:pt>
                <c:pt idx="92">
                  <c:v>2.5277207857168612E-3</c:v>
                </c:pt>
                <c:pt idx="93">
                  <c:v>2.2178439595862414E-3</c:v>
                </c:pt>
                <c:pt idx="94">
                  <c:v>1.9459553669327436E-3</c:v>
                </c:pt>
                <c:pt idx="95">
                  <c:v>1.707397977087982E-3</c:v>
                </c:pt>
                <c:pt idx="96">
                  <c:v>1.498085671286051E-3</c:v>
                </c:pt>
                <c:pt idx="97">
                  <c:v>1.3144332537749822E-3</c:v>
                </c:pt>
                <c:pt idx="98">
                  <c:v>1.1532950429639247E-3</c:v>
                </c:pt>
                <c:pt idx="99">
                  <c:v>1.0119109907674772E-3</c:v>
                </c:pt>
                <c:pt idx="100">
                  <c:v>8.8785940725494565E-4</c:v>
                </c:pt>
                <c:pt idx="101">
                  <c:v>7.7901548085096591E-4</c:v>
                </c:pt>
                <c:pt idx="102">
                  <c:v>6.8351488360273978E-4</c:v>
                </c:pt>
                <c:pt idx="103">
                  <c:v>5.9972183812845921E-4</c:v>
                </c:pt>
                <c:pt idx="104">
                  <c:v>5.2620109928318206E-4</c:v>
                </c:pt>
                <c:pt idx="105">
                  <c:v>4.6169337063146996E-4</c:v>
                </c:pt>
                <c:pt idx="106">
                  <c:v>4.0509373464902746E-4</c:v>
                </c:pt>
                <c:pt idx="107">
                  <c:v>3.5543272719608594E-4</c:v>
                </c:pt>
                <c:pt idx="108">
                  <c:v>3.1185973209756372E-4</c:v>
                </c:pt>
                <c:pt idx="109">
                  <c:v>2.7362841140486633E-4</c:v>
                </c:pt>
                <c:pt idx="110">
                  <c:v>2.4008392178226874E-4</c:v>
                </c:pt>
                <c:pt idx="111">
                  <c:v>2.1065169805436888E-4</c:v>
                </c:pt>
                <c:pt idx="112">
                  <c:v>1.8482761179414484E-4</c:v>
                </c:pt>
                <c:pt idx="113">
                  <c:v>1.6216933638346531E-4</c:v>
                </c:pt>
                <c:pt idx="114">
                  <c:v>1.4228877064290807E-4</c:v>
                </c:pt>
                <c:pt idx="115">
                  <c:v>1.2484539125939454E-4</c:v>
                </c:pt>
                <c:pt idx="116">
                  <c:v>1.095404201490173E-4</c:v>
                </c:pt>
                <c:pt idx="117">
                  <c:v>9.6111706851015289E-5</c:v>
                </c:pt>
                <c:pt idx="118">
                  <c:v>8.4329238296228777E-5</c:v>
                </c:pt>
                <c:pt idx="119">
                  <c:v>7.3991199039318857E-5</c:v>
                </c:pt>
                <c:pt idx="120">
                  <c:v>6.4920514472629017E-5</c:v>
                </c:pt>
                <c:pt idx="121">
                  <c:v>5.6961817812293572E-5</c:v>
                </c:pt>
                <c:pt idx="122">
                  <c:v>4.9978788905760971E-5</c:v>
                </c:pt>
                <c:pt idx="123">
                  <c:v>4.3851819278624228E-5</c:v>
                </c:pt>
                <c:pt idx="124">
                  <c:v>3.8475963426625973E-5</c:v>
                </c:pt>
                <c:pt idx="125">
                  <c:v>3.3759141261641734E-5</c:v>
                </c:pt>
                <c:pt idx="126">
                  <c:v>2.9620560922323913E-5</c:v>
                </c:pt>
                <c:pt idx="127">
                  <c:v>2.5989334934594689E-5</c:v>
                </c:pt>
                <c:pt idx="128">
                  <c:v>2.2803266018959341E-5</c:v>
                </c:pt>
                <c:pt idx="129">
                  <c:v>2.0007781747399121E-5</c:v>
                </c:pt>
                <c:pt idx="130">
                  <c:v>1.7554999802165447E-5</c:v>
                </c:pt>
                <c:pt idx="131">
                  <c:v>1.5402907825805828E-5</c:v>
                </c:pt>
                <c:pt idx="132">
                  <c:v>1.3514643814522014E-5</c:v>
                </c:pt>
                <c:pt idx="133">
                  <c:v>1.185786472911278E-5</c:v>
                </c:pt>
                <c:pt idx="134">
                  <c:v>1.0404192508784217E-5</c:v>
                </c:pt>
                <c:pt idx="135">
                  <c:v>9.1287279989017721E-6</c:v>
                </c:pt>
                <c:pt idx="136">
                  <c:v>8.0096244670189332E-6</c:v>
                </c:pt>
                <c:pt idx="137">
                  <c:v>7.0277134021723896E-6</c:v>
                </c:pt>
                <c:pt idx="138">
                  <c:v>6.1661761879649277E-6</c:v>
                </c:pt>
                <c:pt idx="139">
                  <c:v>5.4102560257042509E-6</c:v>
                </c:pt>
                <c:pt idx="140">
                  <c:v>4.7470051732870854E-6</c:v>
                </c:pt>
                <c:pt idx="141">
                  <c:v>4.1650631704219776E-6</c:v>
                </c:pt>
                <c:pt idx="142">
                  <c:v>3.6544622515321682E-6</c:v>
                </c:pt>
                <c:pt idx="143">
                  <c:v>3.2064566133628445E-6</c:v>
                </c:pt>
                <c:pt idx="144">
                  <c:v>2.8133726129111777E-6</c:v>
                </c:pt>
                <c:pt idx="145">
                  <c:v>2.4684773298016222E-6</c:v>
                </c:pt>
                <c:pt idx="146">
                  <c:v>2.1658632417834388E-6</c:v>
                </c:pt>
                <c:pt idx="147">
                  <c:v>1.9003470380202574E-6</c:v>
                </c:pt>
                <c:pt idx="148">
                  <c:v>1.6673808369999824E-6</c:v>
                </c:pt>
                <c:pt idx="149">
                  <c:v>1.4629742883652841E-6</c:v>
                </c:pt>
                <c:pt idx="150">
                  <c:v>1.2836262243896311E-6</c:v>
                </c:pt>
                <c:pt idx="151">
                  <c:v>1.1262646903944577E-6</c:v>
                </c:pt>
                <c:pt idx="152">
                  <c:v>9.8819432692136441E-7</c:v>
                </c:pt>
                <c:pt idx="153">
                  <c:v>8.6705020239740786E-7</c:v>
                </c:pt>
                <c:pt idx="154">
                  <c:v>7.6075730551852139E-7</c:v>
                </c:pt>
                <c:pt idx="155">
                  <c:v>6.6749500351830057E-7</c:v>
                </c:pt>
                <c:pt idx="156">
                  <c:v>5.8566585754732345E-7</c:v>
                </c:pt>
                <c:pt idx="157">
                  <c:v>5.1386826101873248E-7</c:v>
                </c:pt>
                <c:pt idx="158">
                  <c:v>4.5087243225729488E-7</c:v>
                </c:pt>
                <c:pt idx="159">
                  <c:v>3.9559935024319088E-7</c:v>
                </c:pt>
                <c:pt idx="160">
                  <c:v>3.4710227265242767E-7</c:v>
                </c:pt>
                <c:pt idx="161">
                  <c:v>3.0455051962652707E-7</c:v>
                </c:pt>
                <c:pt idx="162">
                  <c:v>2.6721524551256477E-7</c:v>
                </c:pt>
                <c:pt idx="163">
                  <c:v>2.3445695486549682E-7</c:v>
                </c:pt>
                <c:pt idx="164">
                  <c:v>2.0571454888121961E-7</c:v>
                </c:pt>
                <c:pt idx="165">
                  <c:v>1.8049571464271957E-7</c:v>
                </c:pt>
                <c:pt idx="166">
                  <c:v>1.5836849256197784E-7</c:v>
                </c:pt>
                <c:pt idx="167">
                  <c:v>1.3895387758096491E-7</c:v>
                </c:pt>
                <c:pt idx="168">
                  <c:v>1.2191932740175248E-7</c:v>
                </c:pt>
                <c:pt idx="169">
                  <c:v>1.0697306655177471E-7</c:v>
                </c:pt>
                <c:pt idx="170">
                  <c:v>9.3859088721694619E-8</c:v>
                </c:pt>
                <c:pt idx="171">
                  <c:v>8.2352771773660915E-8</c:v>
                </c:pt>
                <c:pt idx="172">
                  <c:v>7.2257030311834822E-8</c:v>
                </c:pt>
                <c:pt idx="173">
                  <c:v>6.3398939914676775E-8</c:v>
                </c:pt>
                <c:pt idx="174">
                  <c:v>5.5626775207317941E-8</c:v>
                </c:pt>
                <c:pt idx="175">
                  <c:v>4.8807411040782198E-8</c:v>
                </c:pt>
                <c:pt idx="176">
                  <c:v>4.2824042264281473E-8</c:v>
                </c:pt>
                <c:pt idx="177">
                  <c:v>3.7574183033814427E-8</c:v>
                </c:pt>
                <c:pt idx="178">
                  <c:v>3.2967911388322006E-8</c:v>
                </c:pt>
                <c:pt idx="179">
                  <c:v>2.8926329025706946E-8</c:v>
                </c:pt>
                <c:pt idx="180">
                  <c:v>2.5380209897065125E-8</c:v>
                </c:pt>
                <c:pt idx="181">
                  <c:v>2.2268814471639982E-8</c:v>
                </c:pt>
                <c:pt idx="182">
                  <c:v>1.9538849362694454E-8</c:v>
                </c:pt>
                <c:pt idx="183">
                  <c:v>1.7143554494302194E-8</c:v>
                </c:pt>
                <c:pt idx="184">
                  <c:v>1.5041902173638504E-8</c:v>
                </c:pt>
                <c:pt idx="185">
                  <c:v>1.3197894350119154E-8</c:v>
                </c:pt>
                <c:pt idx="186">
                  <c:v>1.1579946024524199E-8</c:v>
                </c:pt>
                <c:pt idx="187">
                  <c:v>1.0160344246859587E-8</c:v>
                </c:pt>
                <c:pt idx="188">
                  <c:v>8.9147734364275118E-9</c:v>
                </c:pt>
                <c:pt idx="189">
                  <c:v>7.8218988935731769E-9</c:v>
                </c:pt>
                <c:pt idx="190">
                  <c:v>6.8630013693089742E-9</c:v>
                </c:pt>
                <c:pt idx="191">
                  <c:v>6.0216564335594997E-9</c:v>
                </c:pt>
                <c:pt idx="192">
                  <c:v>5.2834531501018075E-9</c:v>
                </c:pt>
                <c:pt idx="193">
                  <c:v>4.6357472395381693E-9</c:v>
                </c:pt>
                <c:pt idx="194">
                  <c:v>4.0674445023652125E-9</c:v>
                </c:pt>
                <c:pt idx="195">
                  <c:v>3.568810792511883E-9</c:v>
                </c:pt>
                <c:pt idx="196">
                  <c:v>3.1313052864871529E-9</c:v>
                </c:pt>
                <c:pt idx="197">
                  <c:v>2.747434192296072E-9</c:v>
                </c:pt>
                <c:pt idx="198">
                  <c:v>2.4106223923843967E-9</c:v>
                </c:pt>
                <c:pt idx="199">
                  <c:v>2.1151008220541395E-9</c:v>
                </c:pt>
                <c:pt idx="200">
                  <c:v>1.8558076543166576E-9</c:v>
                </c:pt>
                <c:pt idx="201">
                  <c:v>1.6283015986327953E-9</c:v>
                </c:pt>
                <c:pt idx="202">
                  <c:v>1.4286858284817228E-9</c:v>
                </c:pt>
                <c:pt idx="203">
                  <c:v>1.2535412347554991E-9</c:v>
                </c:pt>
                <c:pt idx="204">
                  <c:v>1.0998678617133376E-9</c:v>
                </c:pt>
                <c:pt idx="205">
                  <c:v>9.6503352238414493E-10</c:v>
                </c:pt>
                <c:pt idx="206">
                  <c:v>8.4672871327871862E-10</c:v>
                </c:pt>
                <c:pt idx="207">
                  <c:v>7.4292705617043105E-10</c:v>
                </c:pt>
                <c:pt idx="208">
                  <c:v>6.518505893733404E-10</c:v>
                </c:pt>
                <c:pt idx="209">
                  <c:v>5.7193931401105806E-10</c:v>
                </c:pt>
                <c:pt idx="210">
                  <c:v>5.0182447365110594E-10</c:v>
                </c:pt>
                <c:pt idx="211">
                  <c:v>4.4030510962626453E-10</c:v>
                </c:pt>
                <c:pt idx="212">
                  <c:v>3.863274904718661E-10</c:v>
                </c:pt>
                <c:pt idx="213">
                  <c:v>3.389670631371364E-10</c:v>
                </c:pt>
                <c:pt idx="214">
                  <c:v>2.9741261682278034E-10</c:v>
                </c:pt>
                <c:pt idx="215">
                  <c:v>2.6095238819586404E-10</c:v>
                </c:pt>
                <c:pt idx="216">
                  <c:v>2.2896186998583674E-10</c:v>
                </c:pt>
                <c:pt idx="217">
                  <c:v>2.0089311414181602E-10</c:v>
                </c:pt>
                <c:pt idx="218">
                  <c:v>1.7626534633078083E-10</c:v>
                </c:pt>
                <c:pt idx="219">
                  <c:v>1.5465673101755649E-10</c:v>
                </c:pt>
                <c:pt idx="220">
                  <c:v>1.3569714607516104E-10</c:v>
                </c:pt>
                <c:pt idx="221">
                  <c:v>1.1906184316577391E-10</c:v>
                </c:pt>
                <c:pt idx="222">
                  <c:v>1.0446588530446749E-10</c:v>
                </c:pt>
                <c:pt idx="223">
                  <c:v>9.1659266329779901E-11</c:v>
                </c:pt>
                <c:pt idx="224">
                  <c:v>8.0422628685215737E-11</c:v>
                </c:pt>
                <c:pt idx="225">
                  <c:v>7.0563506163901193E-11</c:v>
                </c:pt>
                <c:pt idx="226">
                  <c:v>6.1913027260426538E-11</c:v>
                </c:pt>
                <c:pt idx="227">
                  <c:v>5.4323022663396427E-11</c:v>
                </c:pt>
                <c:pt idx="228">
                  <c:v>4.7663487344513865E-11</c:v>
                </c:pt>
                <c:pt idx="229">
                  <c:v>4.1820353773712376E-11</c:v>
                </c:pt>
                <c:pt idx="230">
                  <c:v>3.6693538118959401E-11</c:v>
                </c:pt>
                <c:pt idx="231">
                  <c:v>3.2195225965158209E-11</c:v>
                </c:pt>
                <c:pt idx="232">
                  <c:v>2.824836818916694E-11</c:v>
                </c:pt>
                <c:pt idx="233">
                  <c:v>2.4785361227602662E-11</c:v>
                </c:pt>
                <c:pt idx="234">
                  <c:v>2.1746889132460919E-11</c:v>
                </c:pt>
                <c:pt idx="235">
                  <c:v>1.9080907580756303E-11</c:v>
                </c:pt>
                <c:pt idx="236">
                  <c:v>1.6741752435841987E-11</c:v>
                </c:pt>
                <c:pt idx="237">
                  <c:v>1.4689357591443851E-11</c:v>
                </c:pt>
                <c:pt idx="238">
                  <c:v>1.2888568701288236E-11</c:v>
                </c:pt>
                <c:pt idx="239">
                  <c:v>1.1308541039574413E-11</c:v>
                </c:pt>
                <c:pt idx="240">
                  <c:v>9.9222111785738151E-12</c:v>
                </c:pt>
                <c:pt idx="241">
                  <c:v>8.705833434011242E-12</c:v>
                </c:pt>
                <c:pt idx="242">
                  <c:v>7.6385731382550556E-12</c:v>
                </c:pt>
                <c:pt idx="243">
                  <c:v>6.7021497747157951E-12</c:v>
                </c:pt>
                <c:pt idx="244">
                  <c:v>5.8805238608979489E-12</c:v>
                </c:pt>
                <c:pt idx="245">
                  <c:v>5.1596222168962964E-12</c:v>
                </c:pt>
                <c:pt idx="246">
                  <c:v>4.5270969136114935E-12</c:v>
                </c:pt>
                <c:pt idx="247">
                  <c:v>3.9721137718410278E-12</c:v>
                </c:pt>
                <c:pt idx="248">
                  <c:v>3.4851667895623858E-12</c:v>
                </c:pt>
                <c:pt idx="249">
                  <c:v>3.0579153188351102E-12</c:v>
                </c:pt>
                <c:pt idx="250">
                  <c:v>2.6830412034141328E-12</c:v>
                </c:pt>
                <c:pt idx="251">
                  <c:v>2.3541234300628874E-12</c:v>
                </c:pt>
                <c:pt idx="252">
                  <c:v>2.0655281465372456E-12</c:v>
                </c:pt>
                <c:pt idx="253">
                  <c:v>1.812312162418611E-12</c:v>
                </c:pt>
                <c:pt idx="254">
                  <c:v>1.5901382799148392E-12</c:v>
                </c:pt>
                <c:pt idx="255">
                  <c:v>1.3952010043766824E-12</c:v>
                </c:pt>
                <c:pt idx="256">
                  <c:v>1.2241613620659171E-12</c:v>
                </c:pt>
                <c:pt idx="257">
                  <c:v>1.0740897087044312E-12</c:v>
                </c:pt>
                <c:pt idx="258">
                  <c:v>9.4241554920326653E-13</c:v>
                </c:pt>
                <c:pt idx="259">
                  <c:v>8.2688350906124865E-13</c:v>
                </c:pt>
                <c:pt idx="260">
                  <c:v>7.2551470329143657E-13</c:v>
                </c:pt>
                <c:pt idx="261">
                  <c:v>6.3657284118490273E-13</c:v>
                </c:pt>
                <c:pt idx="262">
                  <c:v>5.5853448633892388E-13</c:v>
                </c:pt>
                <c:pt idx="263">
                  <c:v>4.9006296254990814E-13</c:v>
                </c:pt>
                <c:pt idx="264">
                  <c:v>4.2998545861939896E-13</c:v>
                </c:pt>
                <c:pt idx="265">
                  <c:v>3.7727293991393173E-13</c:v>
                </c:pt>
                <c:pt idx="266">
                  <c:v>3.3102252259485976E-13</c:v>
                </c:pt>
                <c:pt idx="267">
                  <c:v>2.9044200861599643E-13</c:v>
                </c:pt>
                <c:pt idx="268">
                  <c:v>2.5483631659752347E-13</c:v>
                </c:pt>
                <c:pt idx="269">
                  <c:v>2.2359557615804369E-13</c:v>
                </c:pt>
                <c:pt idx="270">
                  <c:v>1.9618468177911721E-13</c:v>
                </c:pt>
                <c:pt idx="271">
                  <c:v>1.7213412727615316E-13</c:v>
                </c:pt>
                <c:pt idx="272">
                  <c:v>1.5103196388433251E-13</c:v>
                </c:pt>
                <c:pt idx="273">
                  <c:v>1.3251674421402446E-13</c:v>
                </c:pt>
                <c:pt idx="274">
                  <c:v>1.1627133121657608E-13</c:v>
                </c:pt>
                <c:pt idx="275">
                  <c:v>1.0201746611764403E-13</c:v>
                </c:pt>
                <c:pt idx="276">
                  <c:v>8.9511002275175684E-14</c:v>
                </c:pt>
                <c:pt idx="277">
                  <c:v>7.8537723325405993E-14</c:v>
                </c:pt>
                <c:pt idx="278">
                  <c:v>6.8909673988184759E-14</c:v>
                </c:pt>
                <c:pt idx="279">
                  <c:v>6.0461940684010291E-14</c:v>
                </c:pt>
                <c:pt idx="280">
                  <c:v>5.3049826819723073E-14</c:v>
                </c:pt>
                <c:pt idx="281">
                  <c:v>4.6546374359876822E-14</c:v>
                </c:pt>
                <c:pt idx="282">
                  <c:v>4.0840189232140992E-14</c:v>
                </c:pt>
                <c:pt idx="283">
                  <c:v>3.583353331929629E-14</c:v>
                </c:pt>
                <c:pt idx="284">
                  <c:v>3.1440650356599813E-14</c:v>
                </c:pt>
                <c:pt idx="285">
                  <c:v>2.758629705973334E-14</c:v>
                </c:pt>
                <c:pt idx="286">
                  <c:v>2.4204454323830724E-14</c:v>
                </c:pt>
                <c:pt idx="287">
                  <c:v>2.1237196418418867E-14</c:v>
                </c:pt>
                <c:pt idx="288">
                  <c:v>1.8633698809332327E-14</c:v>
                </c:pt>
                <c:pt idx="289">
                  <c:v>1.634936761312694E-14</c:v>
                </c:pt>
                <c:pt idx="290">
                  <c:v>1.4345075772894386E-14</c:v>
                </c:pt>
                <c:pt idx="291">
                  <c:v>1.2586492872351793E-14</c:v>
                </c:pt>
                <c:pt idx="292">
                  <c:v>1.1043497108959388E-14</c:v>
                </c:pt>
                <c:pt idx="293">
                  <c:v>9.6896593540759913E-15</c:v>
                </c:pt>
                <c:pt idx="294">
                  <c:v>8.5017904629016035E-15</c:v>
                </c:pt>
                <c:pt idx="295">
                  <c:v>7.4595440803272027E-15</c:v>
                </c:pt>
                <c:pt idx="296">
                  <c:v>6.5450681393708937E-15</c:v>
                </c:pt>
                <c:pt idx="297">
                  <c:v>5.7426990829081533E-15</c:v>
                </c:pt>
                <c:pt idx="298">
                  <c:v>5.0386935711877894E-15</c:v>
                </c:pt>
                <c:pt idx="299">
                  <c:v>4.4209930796987241E-15</c:v>
                </c:pt>
                <c:pt idx="300">
                  <c:v>3.8790173553135037E-15</c:v>
                </c:pt>
                <c:pt idx="301">
                  <c:v>3.4034831929320174E-15</c:v>
                </c:pt>
                <c:pt idx="302">
                  <c:v>2.9862454285499123E-15</c:v>
                </c:pt>
                <c:pt idx="303">
                  <c:v>2.620157425209114E-15</c:v>
                </c:pt>
                <c:pt idx="304">
                  <c:v>2.2989486621707885E-15</c:v>
                </c:pt>
                <c:pt idx="305">
                  <c:v>2.0171173306027789E-15</c:v>
                </c:pt>
                <c:pt idx="306">
                  <c:v>1.7698360961119248E-15</c:v>
                </c:pt>
                <c:pt idx="307">
                  <c:v>1.5528694139793351E-15</c:v>
                </c:pt>
                <c:pt idx="308">
                  <c:v>1.3625009808366039E-15</c:v>
                </c:pt>
                <c:pt idx="309">
                  <c:v>1.1954700801424971E-15</c:v>
                </c:pt>
                <c:pt idx="310">
                  <c:v>1.0489157311566711E-15</c:v>
                </c:pt>
                <c:pt idx="311">
                  <c:v>9.2032768476881497E-16</c:v>
                </c:pt>
                <c:pt idx="312">
                  <c:v>8.0750342681762563E-16</c:v>
                </c:pt>
                <c:pt idx="313">
                  <c:v>7.0851045243304352E-16</c:v>
                </c:pt>
                <c:pt idx="314">
                  <c:v>6.2165316521963157E-16</c:v>
                </c:pt>
                <c:pt idx="315">
                  <c:v>5.4544383431535536E-16</c:v>
                </c:pt>
                <c:pt idx="316">
                  <c:v>4.7857711186514467E-16</c:v>
                </c:pt>
                <c:pt idx="317">
                  <c:v>4.1990767443300679E-16</c:v>
                </c:pt>
                <c:pt idx="318">
                  <c:v>3.6843060538469896E-16</c:v>
                </c:pt>
                <c:pt idx="319">
                  <c:v>3.2326418222154274E-16</c:v>
                </c:pt>
                <c:pt idx="320">
                  <c:v>2.8363477403905901E-16</c:v>
                </c:pt>
                <c:pt idx="321">
                  <c:v>2.4886359042726902E-16</c:v>
                </c:pt>
                <c:pt idx="322">
                  <c:v>2.1835505484183954E-16</c:v>
                </c:pt>
                <c:pt idx="323">
                  <c:v>1.9158660329991915E-16</c:v>
                </c:pt>
                <c:pt idx="324">
                  <c:v>1.6809973366811832E-16</c:v>
                </c:pt>
                <c:pt idx="325">
                  <c:v>1.4749215223079346E-16</c:v>
                </c:pt>
                <c:pt idx="326">
                  <c:v>1.2941088302150826E-16</c:v>
                </c:pt>
                <c:pt idx="327">
                  <c:v>1.1354622189118758E-16</c:v>
                </c:pt>
                <c:pt idx="328">
                  <c:v>9.9626431755511749E-17</c:v>
                </c:pt>
                <c:pt idx="329">
                  <c:v>8.7413088159351254E-17</c:v>
                </c:pt>
                <c:pt idx="330">
                  <c:v>7.669699543496679E-17</c:v>
                </c:pt>
                <c:pt idx="331">
                  <c:v>6.7294603504086678E-17</c:v>
                </c:pt>
                <c:pt idx="332">
                  <c:v>5.90448639492288E-17</c:v>
                </c:pt>
                <c:pt idx="333">
                  <c:v>5.1806471503635814E-17</c:v>
                </c:pt>
                <c:pt idx="334">
                  <c:v>4.5455443710817209E-17</c:v>
                </c:pt>
                <c:pt idx="335">
                  <c:v>3.9882997297012688E-17</c:v>
                </c:pt>
                <c:pt idx="336">
                  <c:v>3.4993684882125284E-17</c:v>
                </c:pt>
                <c:pt idx="337">
                  <c:v>3.0703760113867005E-17</c:v>
                </c:pt>
                <c:pt idx="338">
                  <c:v>2.693974322239584E-17</c:v>
                </c:pt>
                <c:pt idx="339">
                  <c:v>2.3637162425615942E-17</c:v>
                </c:pt>
                <c:pt idx="340">
                  <c:v>2.0739449627362174E-17</c:v>
                </c:pt>
                <c:pt idx="341">
                  <c:v>1.8196971493488601E-17</c:v>
                </c:pt>
                <c:pt idx="342">
                  <c:v>1.5966179309694278E-17</c:v>
                </c:pt>
                <c:pt idx="343">
                  <c:v>1.4008863059467174E-17</c:v>
                </c:pt>
                <c:pt idx="344">
                  <c:v>1.2291496945656048E-17</c:v>
                </c:pt>
                <c:pt idx="345">
                  <c:v>1.0784665145468152E-17</c:v>
                </c:pt>
                <c:pt idx="346">
                  <c:v>9.4625579629648353E-18</c:v>
                </c:pt>
                <c:pt idx="347">
                  <c:v>8.3025297489273472E-18</c:v>
                </c:pt>
                <c:pt idx="348">
                  <c:v>7.2847110159445339E-18</c:v>
                </c:pt>
                <c:pt idx="349">
                  <c:v>6.3916681048543884E-18</c:v>
                </c:pt>
                <c:pt idx="350">
                  <c:v>5.6081045731524934E-18</c:v>
                </c:pt>
                <c:pt idx="351">
                  <c:v>4.9205991906130756E-18</c:v>
                </c:pt>
                <c:pt idx="352">
                  <c:v>4.3173760543932852E-18</c:v>
                </c:pt>
                <c:pt idx="353">
                  <c:v>3.7881028860483435E-18</c:v>
                </c:pt>
                <c:pt idx="354">
                  <c:v>3.3237140555976732E-18</c:v>
                </c:pt>
                <c:pt idx="355">
                  <c:v>2.9162553013182738E-18</c:v>
                </c:pt>
                <c:pt idx="356">
                  <c:v>2.5587474855557754E-18</c:v>
                </c:pt>
                <c:pt idx="357">
                  <c:v>2.2450670529011606E-18</c:v>
                </c:pt>
                <c:pt idx="358">
                  <c:v>1.9698411431667763E-18</c:v>
                </c:pt>
                <c:pt idx="359">
                  <c:v>1.7283555626093015E-18</c:v>
                </c:pt>
                <c:pt idx="360">
                  <c:v>1.5164740370891944E-18</c:v>
                </c:pt>
                <c:pt idx="361">
                  <c:v>1.330567364098246E-18</c:v>
                </c:pt>
                <c:pt idx="362">
                  <c:v>1.1674512501391574E-18</c:v>
                </c:pt>
                <c:pt idx="363">
                  <c:v>1.0243317687076866E-18</c:v>
                </c:pt>
                <c:pt idx="364">
                  <c:v>8.9875750465704587E-19</c:v>
                </c:pt>
                <c:pt idx="365">
                  <c:v>7.8857756525158753E-19</c:v>
                </c:pt>
              </c:numCache>
            </c:numRef>
          </c:yVal>
          <c:smooth val="1"/>
          <c:extLst>
            <c:ext xmlns:c16="http://schemas.microsoft.com/office/drawing/2014/chart" uri="{C3380CC4-5D6E-409C-BE32-E72D297353CC}">
              <c16:uniqueId val="{00000002-0CF0-4AA2-A727-45757B791E30}"/>
            </c:ext>
          </c:extLst>
        </c:ser>
        <c:ser>
          <c:idx val="3"/>
          <c:order val="3"/>
          <c:tx>
            <c:strRef>
              <c:f>'Max rate concentrations'!$M$2</c:f>
              <c:strCache>
                <c:ptCount val="1"/>
                <c:pt idx="0">
                  <c:v>Small terrestrial phase amphibians or reptiles (2 g; insect diet)</c:v>
                </c:pt>
              </c:strCache>
            </c:strRef>
          </c:tx>
          <c:spPr>
            <a:ln w="19050" cap="rnd">
              <a:solidFill>
                <a:schemeClr val="accent4"/>
              </a:solidFill>
              <a:round/>
            </a:ln>
            <a:effectLst/>
          </c:spPr>
          <c:marker>
            <c:symbol val="none"/>
          </c:marker>
          <c:xVal>
            <c:numRef>
              <c:f>'Max rate concentrations'!$C$3:$C$368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concentrations'!$M$3:$M$368</c:f>
              <c:numCache>
                <c:formatCode>General</c:formatCode>
                <c:ptCount val="366"/>
                <c:pt idx="0">
                  <c:v>15.661330550508806</c:v>
                </c:pt>
                <c:pt idx="1">
                  <c:v>17.092910873809167</c:v>
                </c:pt>
                <c:pt idx="2">
                  <c:v>15.714693319297762</c:v>
                </c:pt>
                <c:pt idx="3">
                  <c:v>13.941693515228433</c:v>
                </c:pt>
                <c:pt idx="4">
                  <c:v>12.265407905136966</c:v>
                </c:pt>
                <c:pt idx="5">
                  <c:v>10.768803461317724</c:v>
                </c:pt>
                <c:pt idx="6">
                  <c:v>9.4501450046398006</c:v>
                </c:pt>
                <c:pt idx="7">
                  <c:v>8.2919604155563977</c:v>
                </c:pt>
                <c:pt idx="8">
                  <c:v>7.2755062791818848</c:v>
                </c:pt>
                <c:pt idx="9">
                  <c:v>6.3836065315155919</c:v>
                </c:pt>
                <c:pt idx="10">
                  <c:v>5.6010344341238483</c:v>
                </c:pt>
                <c:pt idx="11">
                  <c:v>4.9143964649342582</c:v>
                </c:pt>
                <c:pt idx="12">
                  <c:v>4.3119338740053363</c:v>
                </c:pt>
                <c:pt idx="13">
                  <c:v>3.783327901082763</c:v>
                </c:pt>
                <c:pt idx="14">
                  <c:v>3.3195244493332212</c:v>
                </c:pt>
                <c:pt idx="15">
                  <c:v>2.9125793061608407</c:v>
                </c:pt>
                <c:pt idx="16">
                  <c:v>2.5555221360885643</c:v>
                </c:pt>
                <c:pt idx="17">
                  <c:v>2.242237103600619</c:v>
                </c:pt>
                <c:pt idx="18">
                  <c:v>1.9673581213225395</c:v>
                </c:pt>
                <c:pt idx="19">
                  <c:v>1.7261769378884173</c:v>
                </c:pt>
                <c:pt idx="20">
                  <c:v>1.5145624930202786</c:v>
                </c:pt>
                <c:pt idx="21">
                  <c:v>1.3288901588901629</c:v>
                </c:pt>
                <c:pt idx="22">
                  <c:v>1.1659796558631284</c:v>
                </c:pt>
                <c:pt idx="23">
                  <c:v>1.0230405792319823</c:v>
                </c:pt>
                <c:pt idx="24">
                  <c:v>0.89762460390489407</c:v>
                </c:pt>
                <c:pt idx="25">
                  <c:v>0.78758354838700062</c:v>
                </c:pt>
                <c:pt idx="26">
                  <c:v>0.69103257975711641</c:v>
                </c:pt>
                <c:pt idx="27">
                  <c:v>0.60631792939779627</c:v>
                </c:pt>
                <c:pt idx="28">
                  <c:v>0.53198856649919801</c:v>
                </c:pt>
                <c:pt idx="29">
                  <c:v>0.46677134414771987</c:v>
                </c:pt>
                <c:pt idx="30">
                  <c:v>0.40954919229039027</c:v>
                </c:pt>
                <c:pt idx="31">
                  <c:v>0.35934198405425061</c:v>
                </c:pt>
                <c:pt idx="32">
                  <c:v>0.31528974769040252</c:v>
                </c:pt>
                <c:pt idx="33">
                  <c:v>0.2766379365893129</c:v>
                </c:pt>
                <c:pt idx="34">
                  <c:v>0.24272450506554252</c:v>
                </c:pt>
                <c:pt idx="35">
                  <c:v>0.21296856854009871</c:v>
                </c:pt>
                <c:pt idx="36">
                  <c:v>0.18686045388689293</c:v>
                </c:pt>
                <c:pt idx="37">
                  <c:v>0.16395296952114014</c:v>
                </c:pt>
                <c:pt idx="38">
                  <c:v>0.14385374569982998</c:v>
                </c:pt>
                <c:pt idx="39">
                  <c:v>0.12621851383547569</c:v>
                </c:pt>
                <c:pt idx="40">
                  <c:v>0.11074520970818907</c:v>
                </c:pt>
                <c:pt idx="41">
                  <c:v>9.716879957323378E-2</c:v>
                </c:pt>
                <c:pt idx="42">
                  <c:v>8.5256740543289647E-2</c:v>
                </c:pt>
                <c:pt idx="43">
                  <c:v>7.4804997488803551E-2</c:v>
                </c:pt>
                <c:pt idx="44">
                  <c:v>6.5634548232096787E-2</c:v>
                </c:pt>
                <c:pt idx="45">
                  <c:v>5.7588317174614212E-2</c:v>
                </c:pt>
                <c:pt idx="46">
                  <c:v>5.052848483509733E-2</c:v>
                </c:pt>
                <c:pt idx="47">
                  <c:v>4.4334127215235206E-2</c:v>
                </c:pt>
                <c:pt idx="48">
                  <c:v>3.8899144558781684E-2</c:v>
                </c:pt>
                <c:pt idx="49">
                  <c:v>3.413044402698899E-2</c:v>
                </c:pt>
                <c:pt idx="50">
                  <c:v>2.9946345162401501E-2</c:v>
                </c:pt>
                <c:pt idx="51">
                  <c:v>2.6275180829072931E-2</c:v>
                </c:pt>
                <c:pt idx="52">
                  <c:v>2.3054069665478912E-2</c:v>
                </c:pt>
                <c:pt idx="53">
                  <c:v>2.022783902414374E-2</c:v>
                </c:pt>
                <c:pt idx="54">
                  <c:v>1.7748079949604534E-2</c:v>
                </c:pt>
                <c:pt idx="55">
                  <c:v>1.5572318007948376E-2</c:v>
                </c:pt>
                <c:pt idx="56">
                  <c:v>1.3663285765516099E-2</c:v>
                </c:pt>
                <c:pt idx="57">
                  <c:v>1.1988284455459196E-2</c:v>
                </c:pt>
                <c:pt idx="58">
                  <c:v>1.0518623898486247E-2</c:v>
                </c:pt>
                <c:pt idx="59">
                  <c:v>9.2291310845082908E-3</c:v>
                </c:pt>
                <c:pt idx="60">
                  <c:v>8.0977189979475478E-3</c:v>
                </c:pt>
                <c:pt idx="61">
                  <c:v>7.1050083013545397E-3</c:v>
                </c:pt>
                <c:pt idx="62">
                  <c:v>6.2339953973596643E-3</c:v>
                </c:pt>
                <c:pt idx="63">
                  <c:v>5.4697611833743349E-3</c:v>
                </c:pt>
                <c:pt idx="64">
                  <c:v>4.7992155104606173E-3</c:v>
                </c:pt>
                <c:pt idx="65">
                  <c:v>4.210872969345413E-3</c:v>
                </c:pt>
                <c:pt idx="66">
                  <c:v>3.6946561631407203E-3</c:v>
                </c:pt>
                <c:pt idx="67">
                  <c:v>3.241723097136245E-3</c:v>
                </c:pt>
                <c:pt idx="68">
                  <c:v>2.8443157291187298E-3</c:v>
                </c:pt>
                <c:pt idx="69">
                  <c:v>2.4956270861194395E-3</c:v>
                </c:pt>
                <c:pt idx="70">
                  <c:v>2.1896846715054059E-3</c:v>
                </c:pt>
                <c:pt idx="71">
                  <c:v>1.9212481653584138E-3</c:v>
                </c:pt>
                <c:pt idx="72">
                  <c:v>1.685719665907593E-3</c:v>
                </c:pt>
                <c:pt idx="73">
                  <c:v>1.4790649345903161E-3</c:v>
                </c:pt>
                <c:pt idx="74">
                  <c:v>1.2977442957912177E-3</c:v>
                </c:pt>
                <c:pt idx="75">
                  <c:v>1.1386520076788454E-3</c:v>
                </c:pt>
                <c:pt idx="76">
                  <c:v>9.9906306565623469E-4</c:v>
                </c:pt>
                <c:pt idx="77">
                  <c:v>8.7658652725087355E-4</c:v>
                </c:pt>
                <c:pt idx="78">
                  <c:v>7.6912455897168029E-4</c:v>
                </c:pt>
                <c:pt idx="79">
                  <c:v>6.7483650366905899E-4</c:v>
                </c:pt>
                <c:pt idx="80">
                  <c:v>5.9210735292753542E-4</c:v>
                </c:pt>
                <c:pt idx="81">
                  <c:v>5.1952008447187306E-4</c:v>
                </c:pt>
                <c:pt idx="82">
                  <c:v>4.5583139076925768E-4</c:v>
                </c:pt>
                <c:pt idx="83">
                  <c:v>3.9995038309608425E-4</c:v>
                </c:pt>
                <c:pt idx="84">
                  <c:v>3.5091990630297911E-4</c:v>
                </c:pt>
                <c:pt idx="85">
                  <c:v>3.0790014422890871E-4</c:v>
                </c:pt>
                <c:pt idx="86">
                  <c:v>2.7015423495050088E-4</c:v>
                </c:pt>
                <c:pt idx="87">
                  <c:v>2.3703564947806887E-4</c:v>
                </c:pt>
                <c:pt idx="88">
                  <c:v>2.0797711771494015E-4</c:v>
                </c:pt>
                <c:pt idx="89">
                  <c:v>1.8248091199891888E-4</c:v>
                </c:pt>
                <c:pt idx="90">
                  <c:v>1.6011032179798841E-4</c:v>
                </c:pt>
                <c:pt idx="91">
                  <c:v>1.4048217353499021E-4</c:v>
                </c:pt>
                <c:pt idx="92">
                  <c:v>1.2326026741745673E-4</c:v>
                </c:pt>
                <c:pt idx="93">
                  <c:v>1.0814961885565339E-4</c:v>
                </c:pt>
                <c:pt idx="94">
                  <c:v>9.4891405833236113E-5</c:v>
                </c:pt>
                <c:pt idx="95">
                  <c:v>8.3258535686806296E-5</c:v>
                </c:pt>
                <c:pt idx="96">
                  <c:v>7.3051755360159718E-5</c:v>
                </c:pt>
                <c:pt idx="97">
                  <c:v>6.4096238507907019E-5</c:v>
                </c:pt>
                <c:pt idx="98">
                  <c:v>5.6238590990834191E-5</c:v>
                </c:pt>
                <c:pt idx="99">
                  <c:v>4.9344223471774736E-5</c:v>
                </c:pt>
                <c:pt idx="100">
                  <c:v>4.329504610862813E-5</c:v>
                </c:pt>
                <c:pt idx="101">
                  <c:v>3.7987445858185238E-5</c:v>
                </c:pt>
                <c:pt idx="102">
                  <c:v>3.3330511745106436E-5</c:v>
                </c:pt>
                <c:pt idx="103">
                  <c:v>2.9244477697657716E-5</c:v>
                </c:pt>
                <c:pt idx="104">
                  <c:v>2.5659356278391534E-5</c:v>
                </c:pt>
                <c:pt idx="105">
                  <c:v>2.251373990769425E-5</c:v>
                </c:pt>
                <c:pt idx="106">
                  <c:v>1.9753749047015371E-5</c:v>
                </c:pt>
                <c:pt idx="107">
                  <c:v>1.7332109325785678E-5</c:v>
                </c:pt>
                <c:pt idx="108">
                  <c:v>1.5207341804637086E-5</c:v>
                </c:pt>
                <c:pt idx="109">
                  <c:v>1.3343052505386816E-5</c:v>
                </c:pt>
                <c:pt idx="110">
                  <c:v>1.1707309038534372E-5</c:v>
                </c:pt>
                <c:pt idx="111">
                  <c:v>1.0272093650865475E-5</c:v>
                </c:pt>
                <c:pt idx="112">
                  <c:v>9.0128233247151277E-6</c:v>
                </c:pt>
                <c:pt idx="113">
                  <c:v>7.9079287089331521E-6</c:v>
                </c:pt>
                <c:pt idx="114">
                  <c:v>6.9384846692915427E-6</c:v>
                </c:pt>
                <c:pt idx="115">
                  <c:v>6.0878861302340471E-6</c:v>
                </c:pt>
                <c:pt idx="116">
                  <c:v>5.3415636556389989E-6</c:v>
                </c:pt>
                <c:pt idx="117">
                  <c:v>4.6867338969341965E-6</c:v>
                </c:pt>
                <c:pt idx="118">
                  <c:v>4.1121806341263799E-6</c:v>
                </c:pt>
                <c:pt idx="119">
                  <c:v>3.6080626593171096E-6</c:v>
                </c:pt>
                <c:pt idx="120">
                  <c:v>3.1657452120471142E-6</c:v>
                </c:pt>
                <c:pt idx="121">
                  <c:v>2.7776520792175096E-6</c:v>
                </c:pt>
                <c:pt idx="122">
                  <c:v>2.4371358262885152E-6</c:v>
                </c:pt>
                <c:pt idx="123">
                  <c:v>2.1383639370169979E-6</c:v>
                </c:pt>
                <c:pt idx="124">
                  <c:v>1.876218911482826E-6</c:v>
                </c:pt>
                <c:pt idx="125">
                  <c:v>1.6462106112378838E-6</c:v>
                </c:pt>
                <c:pt idx="126">
                  <c:v>1.4443993501858556E-6</c:v>
                </c:pt>
                <c:pt idx="127">
                  <c:v>1.267328413858611E-6</c:v>
                </c:pt>
                <c:pt idx="128">
                  <c:v>1.1119648512488724E-6</c:v>
                </c:pt>
                <c:pt idx="129">
                  <c:v>9.7564752505491669E-7</c:v>
                </c:pt>
                <c:pt idx="130">
                  <c:v>8.560415305184312E-7</c:v>
                </c:pt>
                <c:pt idx="131">
                  <c:v>7.5109820212078154E-7</c:v>
                </c:pt>
                <c:pt idx="132">
                  <c:v>6.5902002311431542E-7</c:v>
                </c:pt>
                <c:pt idx="133">
                  <c:v>5.7822983684329631E-7</c:v>
                </c:pt>
                <c:pt idx="134">
                  <c:v>5.0734383249206353E-7</c:v>
                </c:pt>
                <c:pt idx="135">
                  <c:v>4.4514784254810321E-7</c:v>
                </c:pt>
                <c:pt idx="136">
                  <c:v>3.9057654599226978E-7</c:v>
                </c:pt>
                <c:pt idx="137">
                  <c:v>3.4269522099900304E-7</c:v>
                </c:pt>
                <c:pt idx="138">
                  <c:v>3.0068373459854366E-7</c:v>
                </c:pt>
                <c:pt idx="139">
                  <c:v>2.6382249506884852E-7</c:v>
                </c:pt>
                <c:pt idx="140">
                  <c:v>2.3148012644342663E-7</c:v>
                </c:pt>
                <c:pt idx="141">
                  <c:v>2.0310265401849624E-7</c:v>
                </c:pt>
                <c:pt idx="142">
                  <c:v>1.7820401562394422E-7</c:v>
                </c:pt>
                <c:pt idx="143">
                  <c:v>1.5635773613084806E-7</c:v>
                </c:pt>
                <c:pt idx="144">
                  <c:v>1.3718962259276388E-7</c:v>
                </c:pt>
                <c:pt idx="145">
                  <c:v>1.2037135489986009E-7</c:v>
                </c:pt>
                <c:pt idx="146">
                  <c:v>1.0561486216372402E-7</c:v>
                </c:pt>
                <c:pt idx="147">
                  <c:v>9.2667388509019642E-8</c:v>
                </c:pt>
                <c:pt idx="148">
                  <c:v>8.1307163756646773E-8</c:v>
                </c:pt>
                <c:pt idx="149">
                  <c:v>7.1339604843905975E-8</c:v>
                </c:pt>
                <c:pt idx="150">
                  <c:v>6.2593982917877948E-8</c:v>
                </c:pt>
                <c:pt idx="151">
                  <c:v>5.4920499014486515E-8</c:v>
                </c:pt>
                <c:pt idx="152">
                  <c:v>4.8187718234155016E-8</c:v>
                </c:pt>
                <c:pt idx="153">
                  <c:v>4.2280318465457159E-8</c:v>
                </c:pt>
                <c:pt idx="154">
                  <c:v>3.7097115095884022E-8</c:v>
                </c:pt>
                <c:pt idx="155">
                  <c:v>3.2549327876080504E-8</c:v>
                </c:pt>
                <c:pt idx="156">
                  <c:v>2.8559060251618863E-8</c:v>
                </c:pt>
                <c:pt idx="157">
                  <c:v>2.5057965115616732E-8</c:v>
                </c:pt>
                <c:pt idx="158">
                  <c:v>2.1986074128607666E-8</c:v>
                </c:pt>
                <c:pt idx="159">
                  <c:v>1.9290770553725948E-8</c:v>
                </c:pt>
                <c:pt idx="160">
                  <c:v>1.6925888013462576E-8</c:v>
                </c:pt>
                <c:pt idx="161">
                  <c:v>1.4850919731090904E-8</c:v>
                </c:pt>
                <c:pt idx="162">
                  <c:v>1.3030324712291812E-8</c:v>
                </c:pt>
                <c:pt idx="163">
                  <c:v>1.1432918982943722E-8</c:v>
                </c:pt>
                <c:pt idx="164">
                  <c:v>1.0031341455923316E-8</c:v>
                </c:pt>
                <c:pt idx="165">
                  <c:v>8.8015852780421169E-9</c:v>
                </c:pt>
                <c:pt idx="166">
                  <c:v>7.7225866298175314E-9</c:v>
                </c:pt>
                <c:pt idx="167">
                  <c:v>6.7758639348550222E-9</c:v>
                </c:pt>
                <c:pt idx="168">
                  <c:v>5.9452012990566866E-9</c:v>
                </c:pt>
                <c:pt idx="169">
                  <c:v>5.2163707574599599E-9</c:v>
                </c:pt>
                <c:pt idx="170">
                  <c:v>4.5768885712248013E-9</c:v>
                </c:pt>
                <c:pt idx="171">
                  <c:v>4.0158014005140429E-9</c:v>
                </c:pt>
                <c:pt idx="172">
                  <c:v>3.5234986907393649E-9</c:v>
                </c:pt>
                <c:pt idx="173">
                  <c:v>3.09154805863976E-9</c:v>
                </c:pt>
                <c:pt idx="174">
                  <c:v>2.7125508586108492E-9</c:v>
                </c:pt>
                <c:pt idx="175">
                  <c:v>2.3800154553598781E-9</c:v>
                </c:pt>
                <c:pt idx="176">
                  <c:v>2.088246032243162E-9</c:v>
                </c:pt>
                <c:pt idx="177">
                  <c:v>1.8322450307449472E-9</c:v>
                </c:pt>
                <c:pt idx="178">
                  <c:v>1.6076275500369959E-9</c:v>
                </c:pt>
                <c:pt idx="179">
                  <c:v>1.4105462404158746E-9</c:v>
                </c:pt>
                <c:pt idx="180">
                  <c:v>1.2376254041587998E-9</c:v>
                </c:pt>
                <c:pt idx="181">
                  <c:v>1.085903175047727E-9</c:v>
                </c:pt>
                <c:pt idx="182">
                  <c:v>9.5278078618644208E-10</c:v>
                </c:pt>
                <c:pt idx="183">
                  <c:v>8.3597805714690547E-10</c:v>
                </c:pt>
                <c:pt idx="184">
                  <c:v>7.3349433800857572E-10</c:v>
                </c:pt>
                <c:pt idx="185">
                  <c:v>6.4357424132257365E-10</c:v>
                </c:pt>
                <c:pt idx="186">
                  <c:v>5.6467757504228155E-10</c:v>
                </c:pt>
                <c:pt idx="187">
                  <c:v>4.954529614180308E-10</c:v>
                </c:pt>
                <c:pt idx="188">
                  <c:v>4.3471468998838204E-10</c:v>
                </c:pt>
                <c:pt idx="189">
                  <c:v>3.8142240819557595E-10</c:v>
                </c:pt>
                <c:pt idx="190">
                  <c:v>3.346633017568389E-10</c:v>
                </c:pt>
                <c:pt idx="191">
                  <c:v>2.936364595688903E-10</c:v>
                </c:pt>
                <c:pt idx="192">
                  <c:v>2.5763915534067238E-10</c:v>
                </c:pt>
                <c:pt idx="193">
                  <c:v>2.2605481097990882E-10</c:v>
                </c:pt>
                <c:pt idx="194">
                  <c:v>1.9834243556493773E-10</c:v>
                </c:pt>
                <c:pt idx="195">
                  <c:v>1.7402735900775802E-10</c:v>
                </c:pt>
                <c:pt idx="196">
                  <c:v>1.5269310169028131E-10</c:v>
                </c:pt>
                <c:pt idx="197">
                  <c:v>1.3397424081324598E-10</c:v>
                </c:pt>
                <c:pt idx="198">
                  <c:v>1.1755015126939462E-10</c:v>
                </c:pt>
                <c:pt idx="199">
                  <c:v>1.0313951383176173E-10</c:v>
                </c:pt>
                <c:pt idx="200">
                  <c:v>9.0495496590839494E-11</c:v>
                </c:pt>
                <c:pt idx="201">
                  <c:v>7.9401527106100365E-11</c:v>
                </c:pt>
                <c:pt idx="202">
                  <c:v>6.9667582855376928E-11</c:v>
                </c:pt>
                <c:pt idx="203">
                  <c:v>6.1126936443240184E-11</c:v>
                </c:pt>
                <c:pt idx="204">
                  <c:v>5.3633299818834487E-11</c:v>
                </c:pt>
                <c:pt idx="205">
                  <c:v>4.7058318588042008E-11</c:v>
                </c:pt>
                <c:pt idx="206">
                  <c:v>4.1289373501423007E-11</c:v>
                </c:pt>
                <c:pt idx="207">
                  <c:v>3.622765146082424E-11</c:v>
                </c:pt>
                <c:pt idx="208">
                  <c:v>3.1786453003984867E-11</c:v>
                </c:pt>
                <c:pt idx="209">
                  <c:v>2.7889707276971546E-11</c:v>
                </c:pt>
                <c:pt idx="210">
                  <c:v>2.4470669058219465E-11</c:v>
                </c:pt>
                <c:pt idx="211">
                  <c:v>2.1470775516218423E-11</c:v>
                </c:pt>
                <c:pt idx="212">
                  <c:v>1.8838643118872996E-11</c:v>
                </c:pt>
                <c:pt idx="213">
                  <c:v>1.6529187513147047E-11</c:v>
                </c:pt>
                <c:pt idx="214">
                  <c:v>1.4502851299893461E-11</c:v>
                </c:pt>
                <c:pt idx="215">
                  <c:v>1.2724926476847473E-11</c:v>
                </c:pt>
                <c:pt idx="216">
                  <c:v>1.1164959944280979E-11</c:v>
                </c:pt>
                <c:pt idx="217">
                  <c:v>9.796231890550113E-12</c:v>
                </c:pt>
                <c:pt idx="218">
                  <c:v>8.5952981230880048E-12</c:v>
                </c:pt>
                <c:pt idx="219">
                  <c:v>7.541588505681183E-12</c:v>
                </c:pt>
                <c:pt idx="220">
                  <c:v>6.6170546238818576E-12</c:v>
                </c:pt>
                <c:pt idx="221">
                  <c:v>5.8058606436100456E-12</c:v>
                </c:pt>
                <c:pt idx="222">
                  <c:v>5.0941120678319921E-12</c:v>
                </c:pt>
                <c:pt idx="223">
                  <c:v>4.46961774533672E-12</c:v>
                </c:pt>
                <c:pt idx="224">
                  <c:v>3.921681055189495E-12</c:v>
                </c:pt>
                <c:pt idx="225">
                  <c:v>3.440916690175161E-12</c:v>
                </c:pt>
                <c:pt idx="226">
                  <c:v>3.0190899010153906E-12</c:v>
                </c:pt>
                <c:pt idx="227">
                  <c:v>2.6489754478621574E-12</c:v>
                </c:pt>
                <c:pt idx="228">
                  <c:v>2.324233843124881E-12</c:v>
                </c:pt>
                <c:pt idx="229">
                  <c:v>2.0393027658624629E-12</c:v>
                </c:pt>
                <c:pt idx="230">
                  <c:v>1.7893017878368625E-12</c:v>
                </c:pt>
                <c:pt idx="231">
                  <c:v>1.5699487793330038E-12</c:v>
                </c:pt>
                <c:pt idx="232">
                  <c:v>1.3774865629061276E-12</c:v>
                </c:pt>
                <c:pt idx="233">
                  <c:v>1.2086185587488279E-12</c:v>
                </c:pt>
                <c:pt idx="234">
                  <c:v>1.0604523193825459E-12</c:v>
                </c:pt>
                <c:pt idx="235">
                  <c:v>9.3044998651019735E-13</c:v>
                </c:pt>
                <c:pt idx="236">
                  <c:v>8.1638482143252487E-13</c:v>
                </c:pt>
                <c:pt idx="237">
                  <c:v>7.1630306446149973E-13</c:v>
                </c:pt>
                <c:pt idx="238">
                  <c:v>6.2849047004157583E-13</c:v>
                </c:pt>
                <c:pt idx="239">
                  <c:v>5.5144294437722808E-13</c:v>
                </c:pt>
                <c:pt idx="240">
                  <c:v>4.838407826347957E-13</c:v>
                </c:pt>
                <c:pt idx="241">
                  <c:v>4.2452606444177933E-13</c:v>
                </c:pt>
                <c:pt idx="242">
                  <c:v>3.7248282050349214E-13</c:v>
                </c:pt>
                <c:pt idx="243">
                  <c:v>3.2681963062191299E-13</c:v>
                </c:pt>
                <c:pt idx="244">
                  <c:v>2.8675435504774443E-13</c:v>
                </c:pt>
                <c:pt idx="245">
                  <c:v>2.5160073763737537E-13</c:v>
                </c:pt>
                <c:pt idx="246">
                  <c:v>2.2075665134756721E-13</c:v>
                </c:pt>
                <c:pt idx="247">
                  <c:v>1.9369378473138451E-13</c:v>
                </c:pt>
                <c:pt idx="248">
                  <c:v>1.6994859278101369E-13</c:v>
                </c:pt>
                <c:pt idx="249">
                  <c:v>1.4911435711941534E-13</c:v>
                </c:pt>
                <c:pt idx="250">
                  <c:v>1.3083421954418552E-13</c:v>
                </c:pt>
                <c:pt idx="251">
                  <c:v>1.1479506959901818E-13</c:v>
                </c:pt>
                <c:pt idx="252">
                  <c:v>1.0072218147632982E-13</c:v>
                </c:pt>
                <c:pt idx="253">
                  <c:v>8.8374508389491693E-14</c:v>
                </c:pt>
                <c:pt idx="254">
                  <c:v>7.7540553814551137E-14</c:v>
                </c:pt>
                <c:pt idx="255">
                  <c:v>6.8034748882204032E-14</c:v>
                </c:pt>
                <c:pt idx="256">
                  <c:v>5.9694273870351742E-14</c:v>
                </c:pt>
                <c:pt idx="257">
                  <c:v>5.2376269354330554E-14</c:v>
                </c:pt>
                <c:pt idx="258">
                  <c:v>4.5955389246134773E-14</c:v>
                </c:pt>
                <c:pt idx="259">
                  <c:v>4.0321653809983405E-14</c:v>
                </c:pt>
                <c:pt idx="260">
                  <c:v>3.5378565879711172E-14</c:v>
                </c:pt>
                <c:pt idx="261">
                  <c:v>3.1041458011703972E-14</c:v>
                </c:pt>
                <c:pt idx="262">
                  <c:v>2.7236042262667526E-14</c:v>
                </c:pt>
                <c:pt idx="263">
                  <c:v>2.3897137752167446E-14</c:v>
                </c:pt>
                <c:pt idx="264">
                  <c:v>2.0967554215057054E-14</c:v>
                </c:pt>
                <c:pt idx="265">
                  <c:v>1.8397112420774411E-14</c:v>
                </c:pt>
                <c:pt idx="266">
                  <c:v>1.6141784680807663E-14</c:v>
                </c:pt>
                <c:pt idx="267">
                  <c:v>1.4162940722552208E-14</c:v>
                </c:pt>
                <c:pt idx="268">
                  <c:v>1.242668601254636E-14</c:v>
                </c:pt>
                <c:pt idx="269">
                  <c:v>1.0903281195586893E-14</c:v>
                </c:pt>
                <c:pt idx="270">
                  <c:v>9.5666327056153448E-15</c:v>
                </c:pt>
                <c:pt idx="271">
                  <c:v>8.3938458233281297E-15</c:v>
                </c:pt>
                <c:pt idx="272">
                  <c:v>7.3648325250792803E-15</c:v>
                </c:pt>
                <c:pt idx="273">
                  <c:v>6.4619674061346266E-15</c:v>
                </c:pt>
                <c:pt idx="274">
                  <c:v>5.6697857847754351E-15</c:v>
                </c:pt>
                <c:pt idx="275">
                  <c:v>4.9747188162421797E-15</c:v>
                </c:pt>
                <c:pt idx="276">
                  <c:v>4.3648610794303907E-15</c:v>
                </c:pt>
                <c:pt idx="277">
                  <c:v>3.8297666554584912E-15</c:v>
                </c:pt>
                <c:pt idx="278">
                  <c:v>3.3602702052491807E-15</c:v>
                </c:pt>
                <c:pt idx="279">
                  <c:v>2.9483299814603424E-15</c:v>
                </c:pt>
                <c:pt idx="280">
                  <c:v>2.5868900858028881E-15</c:v>
                </c:pt>
                <c:pt idx="281">
                  <c:v>2.2697596124266416E-15</c:v>
                </c:pt>
                <c:pt idx="282">
                  <c:v>1.9915066072875614E-15</c:v>
                </c:pt>
                <c:pt idx="283">
                  <c:v>1.7473650271844361E-15</c:v>
                </c:pt>
                <c:pt idx="284">
                  <c:v>1.5331531048173865E-15</c:v>
                </c:pt>
                <c:pt idx="285">
                  <c:v>1.3452017215880152E-15</c:v>
                </c:pt>
                <c:pt idx="286">
                  <c:v>1.1802915612781523E-15</c:v>
                </c:pt>
                <c:pt idx="287">
                  <c:v>1.0355979681470175E-15</c:v>
                </c:pt>
                <c:pt idx="288">
                  <c:v>9.086425649513646E-16</c:v>
                </c:pt>
                <c:pt idx="289">
                  <c:v>7.9725080218020007E-16</c:v>
                </c:pt>
                <c:pt idx="290">
                  <c:v>6.9951471138818333E-16</c:v>
                </c:pt>
                <c:pt idx="291">
                  <c:v>6.137602246499764E-16</c:v>
                </c:pt>
                <c:pt idx="292">
                  <c:v>5.385185003683868E-16</c:v>
                </c:pt>
                <c:pt idx="293">
                  <c:v>4.7250076429179267E-16</c:v>
                </c:pt>
                <c:pt idx="294">
                  <c:v>4.1457623480642513E-16</c:v>
                </c:pt>
                <c:pt idx="295">
                  <c:v>3.6375275439794155E-16</c:v>
                </c:pt>
                <c:pt idx="296">
                  <c:v>3.191597955292119E-16</c:v>
                </c:pt>
                <c:pt idx="297">
                  <c:v>2.8003354985131292E-16</c:v>
                </c:pt>
                <c:pt idx="298">
                  <c:v>2.4570384534899939E-16</c:v>
                </c:pt>
                <c:pt idx="299">
                  <c:v>2.155826673316086E-16</c:v>
                </c:pt>
                <c:pt idx="300">
                  <c:v>1.8915408665174268E-16</c:v>
                </c:pt>
                <c:pt idx="301">
                  <c:v>1.6596542263770869E-16</c:v>
                </c:pt>
                <c:pt idx="302">
                  <c:v>1.4561948937442904E-16</c:v>
                </c:pt>
                <c:pt idx="303">
                  <c:v>1.2776779252361867E-16</c:v>
                </c:pt>
                <c:pt idx="304">
                  <c:v>1.1210456015529119E-16</c:v>
                </c:pt>
                <c:pt idx="305">
                  <c:v>9.8361505347978339E-17</c:v>
                </c:pt>
                <c:pt idx="306">
                  <c:v>8.6303230849112982E-17</c:v>
                </c:pt>
                <c:pt idx="307">
                  <c:v>7.5723197084522595E-17</c:v>
                </c:pt>
                <c:pt idx="308">
                  <c:v>6.6440184455277375E-17</c:v>
                </c:pt>
                <c:pt idx="309">
                  <c:v>5.8295189326515373E-17</c:v>
                </c:pt>
                <c:pt idx="310">
                  <c:v>5.1148700541338432E-17</c:v>
                </c:pt>
                <c:pt idx="311">
                  <c:v>4.487830981067849E-17</c:v>
                </c:pt>
                <c:pt idx="312">
                  <c:v>3.9376615048811919E-17</c:v>
                </c:pt>
                <c:pt idx="313">
                  <c:v>3.4549380741905441E-17</c:v>
                </c:pt>
                <c:pt idx="314">
                  <c:v>3.031392383955466E-17</c:v>
                </c:pt>
                <c:pt idx="315">
                  <c:v>2.6597697522136255E-17</c:v>
                </c:pt>
                <c:pt idx="316">
                  <c:v>2.3337048586101022E-17</c:v>
                </c:pt>
                <c:pt idx="317">
                  <c:v>2.0476127163141654E-17</c:v>
                </c:pt>
                <c:pt idx="318">
                  <c:v>1.796593009841251E-17</c:v>
                </c:pt>
                <c:pt idx="319">
                  <c:v>1.5763461602351233E-17</c:v>
                </c:pt>
                <c:pt idx="320">
                  <c:v>1.3830996799367391E-17</c:v>
                </c:pt>
                <c:pt idx="321">
                  <c:v>1.2135435559127305E-17</c:v>
                </c:pt>
                <c:pt idx="322">
                  <c:v>1.0647735542565325E-17</c:v>
                </c:pt>
                <c:pt idx="323">
                  <c:v>9.3424147515774851E-18</c:v>
                </c:pt>
                <c:pt idx="324">
                  <c:v>8.1971150618438766E-18</c:v>
                </c:pt>
                <c:pt idx="325">
                  <c:v>7.1922192627727346E-18</c:v>
                </c:pt>
                <c:pt idx="326">
                  <c:v>6.3105150450533463E-18</c:v>
                </c:pt>
                <c:pt idx="327">
                  <c:v>5.5369001804447609E-18</c:v>
                </c:pt>
                <c:pt idx="328">
                  <c:v>4.8581238439865037E-18</c:v>
                </c:pt>
                <c:pt idx="329">
                  <c:v>4.2625596478812409E-18</c:v>
                </c:pt>
                <c:pt idx="330">
                  <c:v>3.7400064994711828E-18</c:v>
                </c:pt>
                <c:pt idx="331">
                  <c:v>3.281513872313653E-18</c:v>
                </c:pt>
                <c:pt idx="332">
                  <c:v>2.8792284975198656E-18</c:v>
                </c:pt>
                <c:pt idx="333">
                  <c:v>2.5262598494168829E-18</c:v>
                </c:pt>
                <c:pt idx="334">
                  <c:v>2.2165621215103921E-18</c:v>
                </c:pt>
                <c:pt idx="335">
                  <c:v>1.9448306711792592E-18</c:v>
                </c:pt>
                <c:pt idx="336">
                  <c:v>1.7064111593598008E-18</c:v>
                </c:pt>
                <c:pt idx="337">
                  <c:v>1.497219828923229E-18</c:v>
                </c:pt>
                <c:pt idx="338">
                  <c:v>1.3136735562382961E-18</c:v>
                </c:pt>
                <c:pt idx="339">
                  <c:v>1.1526284778106956E-18</c:v>
                </c:pt>
                <c:pt idx="340">
                  <c:v>1.0113261407685718E-18</c:v>
                </c:pt>
                <c:pt idx="341">
                  <c:v>8.8734625483531699E-19</c:v>
                </c:pt>
                <c:pt idx="342">
                  <c:v>7.7856523650410163E-19</c:v>
                </c:pt>
                <c:pt idx="343">
                  <c:v>6.8311983534002278E-19</c:v>
                </c:pt>
                <c:pt idx="344">
                  <c:v>5.9937521938474258E-19</c:v>
                </c:pt>
                <c:pt idx="345">
                  <c:v>5.2589697301600273E-19</c:v>
                </c:pt>
                <c:pt idx="346">
                  <c:v>4.6142652762870378E-19</c:v>
                </c:pt>
                <c:pt idx="347">
                  <c:v>4.0485960430314954E-19</c:v>
                </c:pt>
                <c:pt idx="348">
                  <c:v>3.5522729921673979E-19</c:v>
                </c:pt>
                <c:pt idx="349">
                  <c:v>3.11679487821496E-19</c:v>
                </c:pt>
                <c:pt idx="350">
                  <c:v>2.7347026352667277E-19</c:v>
                </c:pt>
                <c:pt idx="351">
                  <c:v>2.3994516147363221E-19</c:v>
                </c:pt>
                <c:pt idx="352">
                  <c:v>2.1052994856602402E-19</c:v>
                </c:pt>
                <c:pt idx="353">
                  <c:v>1.8472078774584246E-19</c:v>
                </c:pt>
                <c:pt idx="354">
                  <c:v>1.6207560804463739E-19</c:v>
                </c:pt>
                <c:pt idx="355">
                  <c:v>1.4220653259221586E-19</c:v>
                </c:pt>
                <c:pt idx="356">
                  <c:v>1.2477323488634636E-19</c:v>
                </c:pt>
                <c:pt idx="357">
                  <c:v>1.0947710952665156E-19</c:v>
                </c:pt>
                <c:pt idx="358">
                  <c:v>9.6056157566385097E-20</c:v>
                </c:pt>
                <c:pt idx="359">
                  <c:v>8.4280498876086896E-20</c:v>
                </c:pt>
                <c:pt idx="360">
                  <c:v>7.3948434652854097E-20</c:v>
                </c:pt>
                <c:pt idx="361">
                  <c:v>6.4882992632106811E-20</c:v>
                </c:pt>
                <c:pt idx="362">
                  <c:v>5.6928895826675169E-20</c:v>
                </c:pt>
                <c:pt idx="363">
                  <c:v>4.9949902872400812E-20</c:v>
                </c:pt>
                <c:pt idx="364">
                  <c:v>4.3826474424490712E-20</c:v>
                </c:pt>
                <c:pt idx="365">
                  <c:v>3.8453725633605389E-20</c:v>
                </c:pt>
              </c:numCache>
            </c:numRef>
          </c:yVal>
          <c:smooth val="1"/>
          <c:extLst>
            <c:ext xmlns:c16="http://schemas.microsoft.com/office/drawing/2014/chart" uri="{C3380CC4-5D6E-409C-BE32-E72D297353CC}">
              <c16:uniqueId val="{00000003-0CF0-4AA2-A727-45757B791E30}"/>
            </c:ext>
          </c:extLst>
        </c:ser>
        <c:ser>
          <c:idx val="4"/>
          <c:order val="4"/>
          <c:tx>
            <c:v>small mammals (mean)</c:v>
          </c:tx>
          <c:spPr>
            <a:ln w="19050" cap="rnd">
              <a:solidFill>
                <a:schemeClr val="accent5"/>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concentrations'!$AB$3:$AB$368</c:f>
              <c:numCache>
                <c:formatCode>General</c:formatCode>
                <c:ptCount val="366"/>
                <c:pt idx="0">
                  <c:v>243.122971978984</c:v>
                </c:pt>
                <c:pt idx="1">
                  <c:v>237.63048403526508</c:v>
                </c:pt>
                <c:pt idx="2">
                  <c:v>210.93026039168527</c:v>
                </c:pt>
                <c:pt idx="3">
                  <c:v>185.31514775694006</c:v>
                </c:pt>
                <c:pt idx="4">
                  <c:v>162.62141692796183</c:v>
                </c:pt>
                <c:pt idx="5">
                  <c:v>142.68786123094131</c:v>
                </c:pt>
                <c:pt idx="6">
                  <c:v>125.19579989708585</c:v>
                </c:pt>
                <c:pt idx="7">
                  <c:v>109.84789601406585</c:v>
                </c:pt>
                <c:pt idx="8">
                  <c:v>96.38149125099325</c:v>
                </c:pt>
                <c:pt idx="9">
                  <c:v>84.56594969244378</c:v>
                </c:pt>
                <c:pt idx="10">
                  <c:v>74.198891678744005</c:v>
                </c:pt>
                <c:pt idx="11">
                  <c:v>65.102745783360746</c:v>
                </c:pt>
                <c:pt idx="12">
                  <c:v>57.12170913203591</c:v>
                </c:pt>
                <c:pt idx="13">
                  <c:v>50.119078925032902</c:v>
                </c:pt>
                <c:pt idx="14">
                  <c:v>43.974910948240883</c:v>
                </c:pt>
                <c:pt idx="15">
                  <c:v>38.583965116321259</c:v>
                </c:pt>
                <c:pt idx="16">
                  <c:v>33.853902873157281</c:v>
                </c:pt>
                <c:pt idx="17">
                  <c:v>29.703705575359958</c:v>
                </c:pt>
                <c:pt idx="18">
                  <c:v>26.062286768337511</c:v>
                </c:pt>
                <c:pt idx="19">
                  <c:v>22.86727458538072</c:v>
                </c:pt>
                <c:pt idx="20">
                  <c:v>20.063943414147118</c:v>
                </c:pt>
                <c:pt idx="21">
                  <c:v>17.604276531644896</c:v>
                </c:pt>
                <c:pt idx="22">
                  <c:v>15.446143652105039</c:v>
                </c:pt>
                <c:pt idx="23">
                  <c:v>13.552579300410038</c:v>
                </c:pt>
                <c:pt idx="24">
                  <c:v>11.89114965073313</c:v>
                </c:pt>
                <c:pt idx="25">
                  <c:v>10.433396985314269</c:v>
                </c:pt>
                <c:pt idx="26">
                  <c:v>9.1543522578116381</c:v>
                </c:pt>
                <c:pt idx="27">
                  <c:v>8.0321074121935911</c:v>
                </c:pt>
                <c:pt idx="28">
                  <c:v>7.0474401316557582</c:v>
                </c:pt>
                <c:pt idx="29">
                  <c:v>6.1834845900931619</c:v>
                </c:pt>
                <c:pt idx="30">
                  <c:v>5.4254425666098376</c:v>
                </c:pt>
                <c:pt idx="31">
                  <c:v>4.7603299749047263</c:v>
                </c:pt>
                <c:pt idx="32">
                  <c:v>4.1767544659746187</c:v>
                </c:pt>
                <c:pt idx="33">
                  <c:v>3.6647202948127715</c:v>
                </c:pt>
                <c:pt idx="34">
                  <c:v>3.2154571087718371</c:v>
                </c:pt>
                <c:pt idx="35">
                  <c:v>2.8212697250008176</c:v>
                </c:pt>
                <c:pt idx="36">
                  <c:v>2.4754063238761064</c:v>
                </c:pt>
                <c:pt idx="37">
                  <c:v>2.1719428007841555</c:v>
                </c:pt>
                <c:pt idx="38">
                  <c:v>1.9056812953808318</c:v>
                </c:pt>
                <c:pt idx="39">
                  <c:v>1.6720611602907818</c:v>
                </c:pt>
                <c:pt idx="40">
                  <c:v>1.4670808442784473</c:v>
                </c:pt>
                <c:pt idx="41">
                  <c:v>1.2872293518703937</c:v>
                </c:pt>
                <c:pt idx="42">
                  <c:v>1.1294261054383914</c:v>
                </c:pt>
                <c:pt idx="43">
                  <c:v>0.99096817967383333</c:v>
                </c:pt>
                <c:pt idx="44">
                  <c:v>0.86948400466172737</c:v>
                </c:pt>
                <c:pt idx="45">
                  <c:v>0.76289274455959299</c:v>
                </c:pt>
                <c:pt idx="46">
                  <c:v>0.66936865610092222</c:v>
                </c:pt>
                <c:pt idx="47">
                  <c:v>0.58730981643954427</c:v>
                </c:pt>
                <c:pt idx="48">
                  <c:v>0.51531068469128449</c:v>
                </c:pt>
                <c:pt idx="49">
                  <c:v>0.45213802719460389</c:v>
                </c:pt>
                <c:pt idx="50">
                  <c:v>0.39670979412720458</c:v>
                </c:pt>
                <c:pt idx="51">
                  <c:v>0.34807658566774785</c:v>
                </c:pt>
                <c:pt idx="52">
                  <c:v>0.30540539024672542</c:v>
                </c:pt>
                <c:pt idx="53">
                  <c:v>0.26796531634789911</c:v>
                </c:pt>
                <c:pt idx="54">
                  <c:v>0.2351150734681558</c:v>
                </c:pt>
                <c:pt idx="55">
                  <c:v>0.20629198780400188</c:v>
                </c:pt>
                <c:pt idx="56">
                  <c:v>0.18100236452041146</c:v>
                </c:pt>
                <c:pt idx="57">
                  <c:v>0.15881303152261519</c:v>
                </c:pt>
                <c:pt idx="58">
                  <c:v>0.13934391988873135</c:v>
                </c:pt>
                <c:pt idx="59">
                  <c:v>0.12226155387753693</c:v>
                </c:pt>
                <c:pt idx="60">
                  <c:v>0.10727333900529008</c:v>
                </c:pt>
                <c:pt idx="61">
                  <c:v>9.4122550355203477E-2</c:v>
                </c:pt>
                <c:pt idx="62">
                  <c:v>8.2583935277067658E-2</c:v>
                </c:pt>
                <c:pt idx="63">
                  <c:v>7.2459855158077499E-2</c:v>
                </c:pt>
                <c:pt idx="64">
                  <c:v>6.3576900179368637E-2</c:v>
                </c:pt>
                <c:pt idx="65">
                  <c:v>5.5782919074284364E-2</c:v>
                </c:pt>
                <c:pt idx="66">
                  <c:v>4.8944413012730496E-2</c:v>
                </c:pt>
                <c:pt idx="67">
                  <c:v>4.2944248972891792E-2</c:v>
                </c:pt>
                <c:pt idx="68">
                  <c:v>3.7679653433907508E-2</c:v>
                </c:pt>
                <c:pt idx="69">
                  <c:v>3.3060452024567658E-2</c:v>
                </c:pt>
                <c:pt idx="70">
                  <c:v>2.9007524975937459E-2</c:v>
                </c:pt>
                <c:pt idx="71">
                  <c:v>2.5451451922204601E-2</c:v>
                </c:pt>
                <c:pt idx="72">
                  <c:v>2.2331322837285859E-2</c:v>
                </c:pt>
                <c:pt idx="73">
                  <c:v>1.9593694740378045E-2</c:v>
                </c:pt>
                <c:pt idx="74">
                  <c:v>1.7191676300434468E-2</c:v>
                </c:pt>
                <c:pt idx="75">
                  <c:v>1.5084124660258828E-2</c:v>
                </c:pt>
                <c:pt idx="76">
                  <c:v>1.3234940723056678E-2</c:v>
                </c:pt>
                <c:pt idx="77">
                  <c:v>1.1612450830794072E-2</c:v>
                </c:pt>
                <c:pt idx="78">
                  <c:v>1.0188864243470966E-2</c:v>
                </c:pt>
                <c:pt idx="79">
                  <c:v>8.9397971267691778E-3</c:v>
                </c:pt>
                <c:pt idx="80">
                  <c:v>7.8438548947203039E-3</c:v>
                </c:pt>
                <c:pt idx="81">
                  <c:v>6.8822657535700764E-3</c:v>
                </c:pt>
                <c:pt idx="82">
                  <c:v>6.0385591700128534E-3</c:v>
                </c:pt>
                <c:pt idx="83">
                  <c:v>5.2982837564549195E-3</c:v>
                </c:pt>
                <c:pt idx="84">
                  <c:v>4.6487597411178968E-3</c:v>
                </c:pt>
                <c:pt idx="85">
                  <c:v>4.0788617831783386E-3</c:v>
                </c:pt>
                <c:pt idx="86">
                  <c:v>3.5788284129030972E-3</c:v>
                </c:pt>
                <c:pt idx="87">
                  <c:v>3.1400948327849972E-3</c:v>
                </c:pt>
                <c:pt idx="88">
                  <c:v>2.755146215821111E-3</c:v>
                </c:pt>
                <c:pt idx="89">
                  <c:v>2.4173889881602601E-3</c:v>
                </c:pt>
                <c:pt idx="90">
                  <c:v>2.1210378913907768E-3</c:v>
                </c:pt>
                <c:pt idx="91">
                  <c:v>1.8610168900203435E-3</c:v>
                </c:pt>
                <c:pt idx="92">
                  <c:v>1.6328722268464666E-3</c:v>
                </c:pt>
                <c:pt idx="93">
                  <c:v>1.4326961369906712E-3</c:v>
                </c:pt>
                <c:pt idx="94">
                  <c:v>1.2570599139359313E-3</c:v>
                </c:pt>
                <c:pt idx="95">
                  <c:v>1.1029551810921791E-3</c:v>
                </c:pt>
                <c:pt idx="96">
                  <c:v>9.6774236296272786E-4</c:v>
                </c:pt>
                <c:pt idx="97">
                  <c:v>8.4910547330246814E-4</c:v>
                </c:pt>
                <c:pt idx="98">
                  <c:v>7.4501244585897753E-4</c:v>
                </c:pt>
                <c:pt idx="99">
                  <c:v>6.5368032822355686E-4</c:v>
                </c:pt>
                <c:pt idx="100">
                  <c:v>5.7354474261674246E-4</c:v>
                </c:pt>
                <c:pt idx="101">
                  <c:v>5.0323309051883251E-4</c:v>
                </c:pt>
                <c:pt idx="102">
                  <c:v>4.4154104218223036E-4</c:v>
                </c:pt>
                <c:pt idx="103">
                  <c:v>3.8741190832734823E-4</c:v>
                </c:pt>
                <c:pt idx="104">
                  <c:v>3.3991854069116001E-4</c:v>
                </c:pt>
                <c:pt idx="105">
                  <c:v>2.9824745141281779E-4</c:v>
                </c:pt>
                <c:pt idx="106">
                  <c:v>2.6168487924599522E-4</c:v>
                </c:pt>
                <c:pt idx="107">
                  <c:v>2.296045639337459E-4</c:v>
                </c:pt>
                <c:pt idx="108">
                  <c:v>2.0145701933984558E-4</c:v>
                </c:pt>
                <c:pt idx="109">
                  <c:v>1.7676012160196432E-4</c:v>
                </c:pt>
                <c:pt idx="110">
                  <c:v>1.550908510963039E-4</c:v>
                </c:pt>
                <c:pt idx="111">
                  <c:v>1.3607804676633921E-4</c:v>
                </c:pt>
                <c:pt idx="112">
                  <c:v>1.1939604870853216E-4</c:v>
                </c:pt>
                <c:pt idx="113">
                  <c:v>1.047591201223536E-4</c:v>
                </c:pt>
                <c:pt idx="114">
                  <c:v>9.1916553081253396E-5</c:v>
                </c:pt>
                <c:pt idx="115">
                  <c:v>8.0648374294011384E-5</c:v>
                </c:pt>
                <c:pt idx="116">
                  <c:v>7.0761577302810058E-5</c:v>
                </c:pt>
                <c:pt idx="117">
                  <c:v>6.2086816581414684E-5</c:v>
                </c:pt>
                <c:pt idx="118">
                  <c:v>5.4475506908480824E-5</c:v>
                </c:pt>
                <c:pt idx="119">
                  <c:v>4.7797278332744625E-5</c:v>
                </c:pt>
                <c:pt idx="120">
                  <c:v>4.1937743137589641E-5</c:v>
                </c:pt>
                <c:pt idx="121">
                  <c:v>3.67965365565503E-5</c:v>
                </c:pt>
                <c:pt idx="122">
                  <c:v>3.2285597680241853E-5</c:v>
                </c:pt>
                <c:pt idx="123">
                  <c:v>2.8327661109313925E-5</c:v>
                </c:pt>
                <c:pt idx="124">
                  <c:v>2.485493351777793E-5</c:v>
                </c:pt>
                <c:pt idx="125">
                  <c:v>2.1807932458286972E-5</c:v>
                </c:pt>
                <c:pt idx="126">
                  <c:v>1.9134467519900435E-5</c:v>
                </c:pt>
                <c:pt idx="127">
                  <c:v>1.6788746387143036E-5</c:v>
                </c:pt>
                <c:pt idx="128">
                  <c:v>1.4730590488534011E-5</c:v>
                </c:pt>
                <c:pt idx="129">
                  <c:v>1.2924746799860037E-5</c:v>
                </c:pt>
                <c:pt idx="130">
                  <c:v>1.1340284014447336E-5</c:v>
                </c:pt>
                <c:pt idx="131">
                  <c:v>9.9500627377646154E-6</c:v>
                </c:pt>
                <c:pt idx="132">
                  <c:v>8.7302706316105252E-6</c:v>
                </c:pt>
                <c:pt idx="133">
                  <c:v>7.6600145456252967E-6</c:v>
                </c:pt>
                <c:pt idx="134">
                  <c:v>6.7209626499707777E-6</c:v>
                </c:pt>
                <c:pt idx="135">
                  <c:v>5.8970304394656771E-6</c:v>
                </c:pt>
                <c:pt idx="136">
                  <c:v>5.1741052309130073E-6</c:v>
                </c:pt>
                <c:pt idx="137">
                  <c:v>4.5398044346854461E-6</c:v>
                </c:pt>
                <c:pt idx="138">
                  <c:v>3.9832634601350963E-6</c:v>
                </c:pt>
                <c:pt idx="139">
                  <c:v>3.4949496219756808E-6</c:v>
                </c:pt>
                <c:pt idx="140">
                  <c:v>3.0664988601415988E-6</c:v>
                </c:pt>
                <c:pt idx="141">
                  <c:v>2.6905724763878037E-6</c:v>
                </c:pt>
                <c:pt idx="142">
                  <c:v>2.360731433750254E-6</c:v>
                </c:pt>
                <c:pt idx="143">
                  <c:v>2.0713260658113055E-6</c:v>
                </c:pt>
                <c:pt idx="144">
                  <c:v>1.8173993066604917E-6</c:v>
                </c:pt>
                <c:pt idx="145">
                  <c:v>1.5946017840297525E-6</c:v>
                </c:pt>
                <c:pt idx="146">
                  <c:v>1.3991173212799524E-6</c:v>
                </c:pt>
                <c:pt idx="147">
                  <c:v>1.2275975722030579E-6</c:v>
                </c:pt>
                <c:pt idx="148">
                  <c:v>1.0771046690353311E-6</c:v>
                </c:pt>
                <c:pt idx="149">
                  <c:v>9.4506090133078892E-7</c:v>
                </c:pt>
                <c:pt idx="150">
                  <c:v>8.2920456377194154E-7</c:v>
                </c:pt>
                <c:pt idx="151">
                  <c:v>7.2755121665915775E-7</c:v>
                </c:pt>
                <c:pt idx="152">
                  <c:v>6.3835969553081724E-7</c:v>
                </c:pt>
                <c:pt idx="153">
                  <c:v>5.6010228771166255E-7</c:v>
                </c:pt>
                <c:pt idx="154">
                  <c:v>4.9143856495979738E-7</c:v>
                </c:pt>
                <c:pt idx="155">
                  <c:v>4.3119242400608433E-7</c:v>
                </c:pt>
                <c:pt idx="156">
                  <c:v>3.78331941725926E-7</c:v>
                </c:pt>
                <c:pt idx="157">
                  <c:v>3.3195169989371095E-7</c:v>
                </c:pt>
                <c:pt idx="158">
                  <c:v>2.9125727677032987E-7</c:v>
                </c:pt>
                <c:pt idx="159">
                  <c:v>2.5555163988866721E-7</c:v>
                </c:pt>
                <c:pt idx="160">
                  <c:v>2.2422320696654873E-7</c:v>
                </c:pt>
                <c:pt idx="161">
                  <c:v>1.9673537044906795E-7</c:v>
                </c:pt>
                <c:pt idx="162">
                  <c:v>1.7261730625191828E-7</c:v>
                </c:pt>
                <c:pt idx="163">
                  <c:v>1.5145590927373428E-7</c:v>
                </c:pt>
                <c:pt idx="164">
                  <c:v>1.3288871754525313E-7</c:v>
                </c:pt>
                <c:pt idx="165">
                  <c:v>1.1659770381692593E-7</c:v>
                </c:pt>
                <c:pt idx="166">
                  <c:v>1.0230382824448593E-7</c:v>
                </c:pt>
                <c:pt idx="167">
                  <c:v>8.9762258868411519E-8</c:v>
                </c:pt>
                <c:pt idx="168">
                  <c:v>7.8758178021495493E-8</c:v>
                </c:pt>
                <c:pt idx="169">
                  <c:v>6.9103102834775447E-8</c:v>
                </c:pt>
                <c:pt idx="170">
                  <c:v>6.0631656817787778E-8</c:v>
                </c:pt>
                <c:pt idx="171">
                  <c:v>5.3198737215313305E-8</c:v>
                </c:pt>
                <c:pt idx="172">
                  <c:v>4.6677029621820923E-8</c:v>
                </c:pt>
                <c:pt idx="173">
                  <c:v>4.0954827282802384E-8</c:v>
                </c:pt>
                <c:pt idx="174">
                  <c:v>3.5934117731006153E-8</c:v>
                </c:pt>
                <c:pt idx="175">
                  <c:v>3.1528903984611185E-8</c:v>
                </c:pt>
                <c:pt idx="176">
                  <c:v>2.766373155206438E-8</c:v>
                </c:pt>
                <c:pt idx="177">
                  <c:v>2.427239601345501E-8</c:v>
                </c:pt>
                <c:pt idx="178">
                  <c:v>2.1296809041295871E-8</c:v>
                </c:pt>
                <c:pt idx="179">
                  <c:v>1.8686003437402768E-8</c:v>
                </c:pt>
                <c:pt idx="180">
                  <c:v>1.6395260143694371E-8</c:v>
                </c:pt>
                <c:pt idx="181">
                  <c:v>1.4385342273958995E-8</c:v>
                </c:pt>
                <c:pt idx="182">
                  <c:v>1.2621823046738317E-8</c:v>
                </c:pt>
                <c:pt idx="183">
                  <c:v>1.1074496107858727E-8</c:v>
                </c:pt>
                <c:pt idx="184">
                  <c:v>9.7168581423482573E-9</c:v>
                </c:pt>
                <c:pt idx="185">
                  <c:v>8.5256549136821535E-9</c:v>
                </c:pt>
                <c:pt idx="186">
                  <c:v>7.4804829547122038E-9</c:v>
                </c:pt>
                <c:pt idx="187">
                  <c:v>6.5634400878620876E-9</c:v>
                </c:pt>
                <c:pt idx="188">
                  <c:v>5.7588187885407003E-9</c:v>
                </c:pt>
                <c:pt idx="189">
                  <c:v>5.0528371395634837E-9</c:v>
                </c:pt>
                <c:pt idx="190">
                  <c:v>4.4334027682475059E-9</c:v>
                </c:pt>
                <c:pt idx="191">
                  <c:v>3.88990572278818E-9</c:v>
                </c:pt>
                <c:pt idx="192">
                  <c:v>3.4130367402106258E-9</c:v>
                </c:pt>
                <c:pt idx="193">
                  <c:v>2.9946277931070301E-9</c:v>
                </c:pt>
                <c:pt idx="194">
                  <c:v>2.6275121839724645E-9</c:v>
                </c:pt>
                <c:pt idx="195">
                  <c:v>2.3054017907717325E-9</c:v>
                </c:pt>
                <c:pt idx="196">
                  <c:v>2.022779361143853E-9</c:v>
                </c:pt>
                <c:pt idx="197">
                  <c:v>1.7748040104106364E-9</c:v>
                </c:pt>
                <c:pt idx="198">
                  <c:v>1.5572283047165552E-9</c:v>
                </c:pt>
                <c:pt idx="199">
                  <c:v>1.3663255090624535E-9</c:v>
                </c:pt>
                <c:pt idx="200">
                  <c:v>1.1988257541045488E-9</c:v>
                </c:pt>
                <c:pt idx="201">
                  <c:v>1.0518600283548156E-9</c:v>
                </c:pt>
                <c:pt idx="202">
                  <c:v>9.2291103645584856E-10</c:v>
                </c:pt>
                <c:pt idx="203">
                  <c:v>8.0977008180853666E-10</c:v>
                </c:pt>
                <c:pt idx="204">
                  <c:v>7.1049923501870874E-10</c:v>
                </c:pt>
                <c:pt idx="205">
                  <c:v>6.2339814016681371E-10</c:v>
                </c:pt>
                <c:pt idx="206">
                  <c:v>5.4697489034342046E-10</c:v>
                </c:pt>
                <c:pt idx="207">
                  <c:v>4.7992047359355212E-10</c:v>
                </c:pt>
                <c:pt idx="208">
                  <c:v>4.2108635156844173E-10</c:v>
                </c:pt>
                <c:pt idx="209">
                  <c:v>3.6946478684172461E-10</c:v>
                </c:pt>
                <c:pt idx="210">
                  <c:v>3.241715819274521E-10</c:v>
                </c:pt>
                <c:pt idx="211">
                  <c:v>2.8443093434602527E-10</c:v>
                </c:pt>
                <c:pt idx="212">
                  <c:v>2.4956214832877657E-10</c:v>
                </c:pt>
                <c:pt idx="213">
                  <c:v>2.1896797555327024E-10</c:v>
                </c:pt>
                <c:pt idx="214">
                  <c:v>1.9212438520416792E-10</c:v>
                </c:pt>
                <c:pt idx="215">
                  <c:v>1.6857158813663895E-10</c:v>
                </c:pt>
                <c:pt idx="216">
                  <c:v>1.4790616140013113E-10</c:v>
                </c:pt>
                <c:pt idx="217">
                  <c:v>1.2977413822778626E-10</c:v>
                </c:pt>
                <c:pt idx="218">
                  <c:v>1.1386494513371673E-10</c:v>
                </c:pt>
                <c:pt idx="219">
                  <c:v>9.9906082270005795E-11</c:v>
                </c:pt>
                <c:pt idx="220">
                  <c:v>8.7658455926183124E-11</c:v>
                </c:pt>
                <c:pt idx="221">
                  <c:v>7.6912283224116692E-11</c:v>
                </c:pt>
                <c:pt idx="222">
                  <c:v>6.7483498862085397E-11</c:v>
                </c:pt>
                <c:pt idx="223">
                  <c:v>5.9210602361120877E-11</c:v>
                </c:pt>
                <c:pt idx="224">
                  <c:v>5.1951891811829399E-11</c:v>
                </c:pt>
                <c:pt idx="225">
                  <c:v>4.5583036740059495E-11</c:v>
                </c:pt>
                <c:pt idx="226">
                  <c:v>3.9994948518361703E-11</c:v>
                </c:pt>
                <c:pt idx="227">
                  <c:v>3.5091911846685696E-11</c:v>
                </c:pt>
                <c:pt idx="228">
                  <c:v>3.078994529747186E-11</c:v>
                </c:pt>
                <c:pt idx="229">
                  <c:v>2.7015362843812871E-11</c:v>
                </c:pt>
                <c:pt idx="230">
                  <c:v>2.3703511731889658E-11</c:v>
                </c:pt>
                <c:pt idx="231">
                  <c:v>2.0797665079390499E-11</c:v>
                </c:pt>
                <c:pt idx="232">
                  <c:v>1.8248050231838641E-11</c:v>
                </c:pt>
                <c:pt idx="233">
                  <c:v>1.6010996234076534E-11</c:v>
                </c:pt>
                <c:pt idx="234">
                  <c:v>1.4048185814413081E-11</c:v>
                </c:pt>
                <c:pt idx="235">
                  <c:v>1.2325999069080388E-11</c:v>
                </c:pt>
                <c:pt idx="236">
                  <c:v>1.0814937605330788E-11</c:v>
                </c:pt>
                <c:pt idx="237">
                  <c:v>9.48911927963697E-12</c:v>
                </c:pt>
                <c:pt idx="238">
                  <c:v>8.3258348766427281E-12</c:v>
                </c:pt>
                <c:pt idx="239">
                  <c:v>7.3051591354611366E-12</c:v>
                </c:pt>
                <c:pt idx="240">
                  <c:v>6.4096094608028199E-12</c:v>
                </c:pt>
                <c:pt idx="241">
                  <c:v>5.6238464731842777E-12</c:v>
                </c:pt>
                <c:pt idx="242">
                  <c:v>4.9344112691049646E-12</c:v>
                </c:pt>
                <c:pt idx="243">
                  <c:v>4.329494890866705E-12</c:v>
                </c:pt>
                <c:pt idx="244">
                  <c:v>3.798736057410332E-12</c:v>
                </c:pt>
                <c:pt idx="245">
                  <c:v>3.3330436916119393E-12</c:v>
                </c:pt>
                <c:pt idx="246">
                  <c:v>2.9244412042060841E-12</c:v>
                </c:pt>
                <c:pt idx="247">
                  <c:v>2.5659298671606099E-12</c:v>
                </c:pt>
                <c:pt idx="248">
                  <c:v>2.25136893630052E-12</c:v>
                </c:pt>
                <c:pt idx="249">
                  <c:v>1.975370469867044E-12</c:v>
                </c:pt>
                <c:pt idx="250">
                  <c:v>1.7332070414166371E-12</c:v>
                </c:pt>
                <c:pt idx="251">
                  <c:v>1.5207307663247609E-12</c:v>
                </c:pt>
                <c:pt idx="252">
                  <c:v>1.3343022549438022E-12</c:v>
                </c:pt>
                <c:pt idx="253">
                  <c:v>1.1707282754927234E-12</c:v>
                </c:pt>
                <c:pt idx="254">
                  <c:v>1.0272070589402496E-12</c:v>
                </c:pt>
                <c:pt idx="255">
                  <c:v>9.0128030903891461E-13</c:v>
                </c:pt>
                <c:pt idx="256">
                  <c:v>7.9079109551614908E-13</c:v>
                </c:pt>
                <c:pt idx="257">
                  <c:v>6.9384690919795775E-13</c:v>
                </c:pt>
                <c:pt idx="258">
                  <c:v>6.0878724625665402E-13</c:v>
                </c:pt>
                <c:pt idx="259">
                  <c:v>5.3415516635099655E-13</c:v>
                </c:pt>
                <c:pt idx="260">
                  <c:v>4.6867233749370325E-13</c:v>
                </c:pt>
                <c:pt idx="261">
                  <c:v>4.1121714020355638E-13</c:v>
                </c:pt>
                <c:pt idx="262">
                  <c:v>3.6080545590012169E-13</c:v>
                </c:pt>
                <c:pt idx="263">
                  <c:v>3.1657381047602744E-13</c:v>
                </c:pt>
                <c:pt idx="264">
                  <c:v>2.777645843222903E-13</c:v>
                </c:pt>
                <c:pt idx="265">
                  <c:v>2.4371303547732087E-13</c:v>
                </c:pt>
                <c:pt idx="266">
                  <c:v>2.1383591362624047E-13</c:v>
                </c:pt>
                <c:pt idx="267">
                  <c:v>1.8762146992594523E-13</c:v>
                </c:pt>
                <c:pt idx="268">
                  <c:v>1.6462069153968647E-13</c:v>
                </c:pt>
                <c:pt idx="269">
                  <c:v>1.4443961074231556E-13</c:v>
                </c:pt>
                <c:pt idx="270">
                  <c:v>1.2673255686307252E-13</c:v>
                </c:pt>
                <c:pt idx="271">
                  <c:v>1.1119623548214525E-13</c:v>
                </c:pt>
                <c:pt idx="272">
                  <c:v>9.7564533466802534E-14</c:v>
                </c:pt>
                <c:pt idx="273">
                  <c:v>8.5603960865413207E-14</c:v>
                </c:pt>
                <c:pt idx="274">
                  <c:v>7.5109651586051457E-14</c:v>
                </c:pt>
                <c:pt idx="275">
                  <c:v>6.5901854357505271E-14</c:v>
                </c:pt>
                <c:pt idx="276">
                  <c:v>5.7822853868282106E-14</c:v>
                </c:pt>
                <c:pt idx="277">
                  <c:v>5.0734269347489647E-14</c:v>
                </c:pt>
                <c:pt idx="278">
                  <c:v>4.4514684316464351E-14</c:v>
                </c:pt>
                <c:pt idx="279">
                  <c:v>3.90575669124626E-14</c:v>
                </c:pt>
                <c:pt idx="280">
                  <c:v>3.4269445162779E-14</c:v>
                </c:pt>
                <c:pt idx="281">
                  <c:v>3.0068305954562363E-14</c:v>
                </c:pt>
                <c:pt idx="282">
                  <c:v>2.6382190277161007E-14</c:v>
                </c:pt>
                <c:pt idx="283">
                  <c:v>2.3147960675673495E-14</c:v>
                </c:pt>
                <c:pt idx="284">
                  <c:v>2.0310219804092284E-14</c:v>
                </c:pt>
                <c:pt idx="285">
                  <c:v>1.7820361554529923E-14</c:v>
                </c:pt>
                <c:pt idx="286">
                  <c:v>1.5635738509840365E-14</c:v>
                </c:pt>
                <c:pt idx="287">
                  <c:v>1.3718931459387775E-14</c:v>
                </c:pt>
                <c:pt idx="288">
                  <c:v>1.2037108465898816E-14</c:v>
                </c:pt>
                <c:pt idx="289">
                  <c:v>1.0561462505205848E-14</c:v>
                </c:pt>
                <c:pt idx="290">
                  <c:v>9.2667180465204785E-15</c:v>
                </c:pt>
                <c:pt idx="291">
                  <c:v>8.1306981217214141E-15</c:v>
                </c:pt>
                <c:pt idx="292">
                  <c:v>7.1339444682237662E-15</c:v>
                </c:pt>
                <c:pt idx="293">
                  <c:v>6.2593842390652538E-15</c:v>
                </c:pt>
                <c:pt idx="294">
                  <c:v>5.4920375714690212E-15</c:v>
                </c:pt>
                <c:pt idx="295">
                  <c:v>4.818761004985317E-15</c:v>
                </c:pt>
                <c:pt idx="296">
                  <c:v>4.2280223543620166E-15</c:v>
                </c:pt>
                <c:pt idx="297">
                  <c:v>3.7097031810647774E-15</c:v>
                </c:pt>
                <c:pt idx="298">
                  <c:v>3.2549254800897844E-15</c:v>
                </c:pt>
                <c:pt idx="299">
                  <c:v>2.855899613482504E-15</c:v>
                </c:pt>
                <c:pt idx="300">
                  <c:v>2.5057908858990331E-15</c:v>
                </c:pt>
                <c:pt idx="301">
                  <c:v>2.1986024768559765E-15</c:v>
                </c:pt>
                <c:pt idx="302">
                  <c:v>1.9290727244795351E-15</c:v>
                </c:pt>
                <c:pt idx="303">
                  <c:v>1.6925850013834347E-15</c:v>
                </c:pt>
                <c:pt idx="304">
                  <c:v>1.4850886389890243E-15</c:v>
                </c:pt>
                <c:pt idx="305">
                  <c:v>1.3030295458435568E-15</c:v>
                </c:pt>
                <c:pt idx="306">
                  <c:v>1.1432893315358627E-15</c:v>
                </c:pt>
                <c:pt idx="307">
                  <c:v>1.0031318934963375E-15</c:v>
                </c:pt>
                <c:pt idx="308">
                  <c:v>8.8015655179581505E-16</c:v>
                </c:pt>
                <c:pt idx="309">
                  <c:v>7.7225692921498934E-16</c:v>
                </c:pt>
                <c:pt idx="310">
                  <c:v>6.7758487226363062E-16</c:v>
                </c:pt>
                <c:pt idx="311">
                  <c:v>5.9451879517251369E-16</c:v>
                </c:pt>
                <c:pt idx="312">
                  <c:v>5.2163590463964506E-16</c:v>
                </c:pt>
                <c:pt idx="313">
                  <c:v>4.5768782958369458E-16</c:v>
                </c:pt>
                <c:pt idx="314">
                  <c:v>4.0157923848003553E-16</c:v>
                </c:pt>
                <c:pt idx="315">
                  <c:v>3.5234907802746259E-16</c:v>
                </c:pt>
                <c:pt idx="316">
                  <c:v>3.0915411179299555E-16</c:v>
                </c:pt>
                <c:pt idx="317">
                  <c:v>2.7125447687723662E-16</c:v>
                </c:pt>
                <c:pt idx="318">
                  <c:v>2.3800101120832116E-16</c:v>
                </c:pt>
                <c:pt idx="319">
                  <c:v>2.0882413440062546E-16</c:v>
                </c:pt>
                <c:pt idx="320">
                  <c:v>1.8322409172455589E-16</c:v>
                </c:pt>
                <c:pt idx="321">
                  <c:v>1.6076239408172507E-16</c:v>
                </c:pt>
                <c:pt idx="322">
                  <c:v>1.4105430736554254E-16</c:v>
                </c:pt>
                <c:pt idx="323">
                  <c:v>1.2376226256159426E-16</c:v>
                </c:pt>
                <c:pt idx="324">
                  <c:v>1.0859007371303247E-16</c:v>
                </c:pt>
                <c:pt idx="325">
                  <c:v>9.527786471367435E-17</c:v>
                </c:pt>
                <c:pt idx="326">
                  <c:v>8.3597618032630085E-17</c:v>
                </c:pt>
                <c:pt idx="327">
                  <c:v>7.3349269127003376E-17</c:v>
                </c:pt>
                <c:pt idx="328">
                  <c:v>6.4357279646001241E-17</c:v>
                </c:pt>
                <c:pt idx="329">
                  <c:v>5.6467630730744244E-17</c:v>
                </c:pt>
                <c:pt idx="330">
                  <c:v>4.9545184909657859E-17</c:v>
                </c:pt>
                <c:pt idx="331">
                  <c:v>4.3471371402797218E-17</c:v>
                </c:pt>
                <c:pt idx="332">
                  <c:v>3.8142155187951758E-17</c:v>
                </c:pt>
                <c:pt idx="333">
                  <c:v>3.3466255041776367E-17</c:v>
                </c:pt>
                <c:pt idx="334">
                  <c:v>2.9363580033752308E-17</c:v>
                </c:pt>
                <c:pt idx="335">
                  <c:v>2.5763857692540046E-17</c:v>
                </c:pt>
                <c:pt idx="336">
                  <c:v>2.2605430347337397E-17</c:v>
                </c:pt>
                <c:pt idx="337">
                  <c:v>1.9834199027433871E-17</c:v>
                </c:pt>
                <c:pt idx="338">
                  <c:v>1.7402696830595628E-17</c:v>
                </c:pt>
                <c:pt idx="339">
                  <c:v>1.5269275888515982E-17</c:v>
                </c:pt>
                <c:pt idx="340">
                  <c:v>1.3397394003308374E-17</c:v>
                </c:pt>
                <c:pt idx="341">
                  <c:v>1.1754988736229313E-17</c:v>
                </c:pt>
                <c:pt idx="342">
                  <c:v>1.0313928227740085E-17</c:v>
                </c:pt>
                <c:pt idx="343">
                  <c:v>9.0495293423051548E-18</c:v>
                </c:pt>
                <c:pt idx="344">
                  <c:v>7.9401348844935685E-18</c:v>
                </c:pt>
                <c:pt idx="345">
                  <c:v>6.9667426447497717E-18</c:v>
                </c:pt>
                <c:pt idx="346">
                  <c:v>6.112679920962162E-18</c:v>
                </c:pt>
                <c:pt idx="347">
                  <c:v>5.363317940887716E-18</c:v>
                </c:pt>
                <c:pt idx="348">
                  <c:v>4.7058212939309736E-18</c:v>
                </c:pt>
                <c:pt idx="349">
                  <c:v>4.1289280804316569E-18</c:v>
                </c:pt>
                <c:pt idx="350">
                  <c:v>3.6227570127585716E-18</c:v>
                </c:pt>
                <c:pt idx="351">
                  <c:v>3.1786381641501801E-18</c:v>
                </c:pt>
                <c:pt idx="352">
                  <c:v>2.7889644662915078E-18</c:v>
                </c:pt>
                <c:pt idx="353">
                  <c:v>2.4470614120107745E-18</c:v>
                </c:pt>
                <c:pt idx="354">
                  <c:v>2.1470727313046646E-18</c:v>
                </c:pt>
                <c:pt idx="355">
                  <c:v>1.883860082499546E-18</c:v>
                </c:pt>
                <c:pt idx="356">
                  <c:v>1.6529150404135105E-18</c:v>
                </c:pt>
                <c:pt idx="357">
                  <c:v>1.4502818740127191E-18</c:v>
                </c:pt>
                <c:pt idx="358">
                  <c:v>1.2724897908628485E-18</c:v>
                </c:pt>
                <c:pt idx="359">
                  <c:v>1.1164934878279909E-18</c:v>
                </c:pt>
                <c:pt idx="360">
                  <c:v>9.7962098974251707E-19</c:v>
                </c:pt>
                <c:pt idx="361">
                  <c:v>8.5952788261310063E-19</c:v>
                </c:pt>
                <c:pt idx="362">
                  <c:v>7.5415715743651303E-19</c:v>
                </c:pt>
                <c:pt idx="363">
                  <c:v>6.6170397681995177E-19</c:v>
                </c:pt>
                <c:pt idx="364">
                  <c:v>5.805847609106579E-19</c:v>
                </c:pt>
                <c:pt idx="365">
                  <c:v>5.0941006312465338E-19</c:v>
                </c:pt>
              </c:numCache>
            </c:numRef>
          </c:yVal>
          <c:smooth val="1"/>
          <c:extLst>
            <c:ext xmlns:c16="http://schemas.microsoft.com/office/drawing/2014/chart" uri="{C3380CC4-5D6E-409C-BE32-E72D297353CC}">
              <c16:uniqueId val="{00000004-0CF0-4AA2-A727-45757B791E30}"/>
            </c:ext>
          </c:extLst>
        </c:ser>
        <c:ser>
          <c:idx val="5"/>
          <c:order val="5"/>
          <c:tx>
            <c:v>large mammals (mean)</c:v>
          </c:tx>
          <c:spPr>
            <a:ln w="19050" cap="rnd">
              <a:solidFill>
                <a:srgbClr val="FF0000"/>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concentrations'!$AC$3:$AC$368</c:f>
              <c:numCache>
                <c:formatCode>General</c:formatCode>
                <c:ptCount val="366"/>
                <c:pt idx="0">
                  <c:v>38.958460336418057</c:v>
                </c:pt>
                <c:pt idx="1">
                  <c:v>38.078334234133798</c:v>
                </c:pt>
                <c:pt idx="2">
                  <c:v>33.799842591304539</c:v>
                </c:pt>
                <c:pt idx="3">
                  <c:v>29.6952310793991</c:v>
                </c:pt>
                <c:pt idx="4">
                  <c:v>26.058747018721686</c:v>
                </c:pt>
                <c:pt idx="5">
                  <c:v>22.864558363223992</c:v>
                </c:pt>
                <c:pt idx="6">
                  <c:v>20.061599135923551</c:v>
                </c:pt>
                <c:pt idx="7">
                  <c:v>17.602223537613256</c:v>
                </c:pt>
                <c:pt idx="8">
                  <c:v>15.444342727067447</c:v>
                </c:pt>
                <c:pt idx="9">
                  <c:v>13.550999192249852</c:v>
                </c:pt>
                <c:pt idx="10">
                  <c:v>11.889763254137925</c:v>
                </c:pt>
                <c:pt idx="11">
                  <c:v>10.432180549406127</c:v>
                </c:pt>
                <c:pt idx="12">
                  <c:v>9.1532849465216142</c:v>
                </c:pt>
                <c:pt idx="13">
                  <c:v>8.031170944091139</c:v>
                </c:pt>
                <c:pt idx="14">
                  <c:v>7.0466184664880229</c:v>
                </c:pt>
                <c:pt idx="15">
                  <c:v>6.1827636540074744</c:v>
                </c:pt>
                <c:pt idx="16">
                  <c:v>5.4248100110871267</c:v>
                </c:pt>
                <c:pt idx="17">
                  <c:v>4.7597749652481722</c:v>
                </c:pt>
                <c:pt idx="18">
                  <c:v>4.1762674957280401</c:v>
                </c:pt>
                <c:pt idx="19">
                  <c:v>3.6642930229297472</c:v>
                </c:pt>
                <c:pt idx="20">
                  <c:v>3.2150822167464908</c:v>
                </c:pt>
                <c:pt idx="21">
                  <c:v>2.8209407915131433</c:v>
                </c:pt>
                <c:pt idx="22">
                  <c:v>2.475117714804699</c:v>
                </c:pt>
                <c:pt idx="23">
                  <c:v>2.1716895727024306</c:v>
                </c:pt>
                <c:pt idx="24">
                  <c:v>1.9054591108837846</c:v>
                </c:pt>
                <c:pt idx="25">
                  <c:v>1.671866213701952</c:v>
                </c:pt>
                <c:pt idx="26">
                  <c:v>1.4669097964645739</c:v>
                </c:pt>
                <c:pt idx="27">
                  <c:v>1.2870792730472331</c:v>
                </c:pt>
                <c:pt idx="28">
                  <c:v>1.1292944249880468</c:v>
                </c:pt>
                <c:pt idx="29">
                  <c:v>0.99085264211405111</c:v>
                </c:pt>
                <c:pt idx="30">
                  <c:v>0.86938263101297775</c:v>
                </c:pt>
                <c:pt idx="31">
                  <c:v>0.76280379844821444</c:v>
                </c:pt>
                <c:pt idx="32">
                  <c:v>0.66929061401772838</c:v>
                </c:pt>
                <c:pt idx="33">
                  <c:v>0.58724134164447084</c:v>
                </c:pt>
                <c:pt idx="34">
                  <c:v>0.5152506043171009</c:v>
                </c:pt>
                <c:pt idx="35">
                  <c:v>0.45208531215751369</c:v>
                </c:pt>
                <c:pt idx="36">
                  <c:v>0.39666354150023309</c:v>
                </c:pt>
                <c:pt idx="37">
                  <c:v>0.34803600321500106</c:v>
                </c:pt>
                <c:pt idx="38">
                  <c:v>0.30536978285361521</c:v>
                </c:pt>
                <c:pt idx="39">
                  <c:v>0.26793407411490711</c:v>
                </c:pt>
                <c:pt idx="40">
                  <c:v>0.23508766126419847</c:v>
                </c:pt>
                <c:pt idx="41">
                  <c:v>0.20626793610046351</c:v>
                </c:pt>
                <c:pt idx="42">
                  <c:v>0.1809812613488461</c:v>
                </c:pt>
                <c:pt idx="43">
                  <c:v>0.15879451541836476</c:v>
                </c:pt>
                <c:pt idx="44">
                  <c:v>0.13932767369959573</c:v>
                </c:pt>
                <c:pt idx="45">
                  <c:v>0.12224729933144766</c:v>
                </c:pt>
                <c:pt idx="46">
                  <c:v>0.10726083194394084</c:v>
                </c:pt>
                <c:pt idx="47">
                  <c:v>9.4111576551996118E-2</c:v>
                </c:pt>
                <c:pt idx="48">
                  <c:v>8.25743067677423E-2</c:v>
                </c:pt>
                <c:pt idx="49">
                  <c:v>7.2451407021175779E-2</c:v>
                </c:pt>
                <c:pt idx="50">
                  <c:v>6.3569487711384376E-2</c:v>
                </c:pt>
                <c:pt idx="51">
                  <c:v>5.5776415311116614E-2</c:v>
                </c:pt>
                <c:pt idx="52">
                  <c:v>4.893870655498498E-2</c:v>
                </c:pt>
                <c:pt idx="53">
                  <c:v>4.2939242077781756E-2</c:v>
                </c:pt>
                <c:pt idx="54">
                  <c:v>3.7675260341071139E-2</c:v>
                </c:pt>
                <c:pt idx="55">
                  <c:v>3.3056597487125826E-2</c:v>
                </c:pt>
                <c:pt idx="56">
                  <c:v>2.9004142971631182E-2</c:v>
                </c:pt>
                <c:pt idx="57">
                  <c:v>2.5448484522535945E-2</c:v>
                </c:pt>
                <c:pt idx="58">
                  <c:v>2.2328719215292486E-2</c:v>
                </c:pt>
                <c:pt idx="59">
                  <c:v>1.9591410300045999E-2</c:v>
                </c:pt>
                <c:pt idx="60">
                  <c:v>1.7189671912837511E-2</c:v>
                </c:pt>
                <c:pt idx="61">
                  <c:v>1.5082365993340509E-2</c:v>
                </c:pt>
                <c:pt idx="62">
                  <c:v>1.3233397653575367E-2</c:v>
                </c:pt>
                <c:pt idx="63">
                  <c:v>1.1611096928358454E-2</c:v>
                </c:pt>
                <c:pt idx="64">
                  <c:v>1.0187676317828359E-2</c:v>
                </c:pt>
                <c:pt idx="65">
                  <c:v>8.9387548305924075E-3</c:v>
                </c:pt>
                <c:pt idx="66">
                  <c:v>7.8429403750894938E-3</c:v>
                </c:pt>
                <c:pt idx="67">
                  <c:v>6.8814633461797593E-3</c:v>
                </c:pt>
                <c:pt idx="68">
                  <c:v>6.0378551308666794E-3</c:v>
                </c:pt>
                <c:pt idx="69">
                  <c:v>5.2976660264522722E-3</c:v>
                </c:pt>
                <c:pt idx="70">
                  <c:v>4.6482177395001682E-3</c:v>
                </c:pt>
                <c:pt idx="71">
                  <c:v>4.0783862262969142E-3</c:v>
                </c:pt>
                <c:pt idx="72">
                  <c:v>3.5784111552048313E-3</c:v>
                </c:pt>
                <c:pt idx="73">
                  <c:v>3.1397287272914949E-3</c:v>
                </c:pt>
                <c:pt idx="74">
                  <c:v>2.754824991712054E-3</c:v>
                </c:pt>
                <c:pt idx="75">
                  <c:v>2.4171071433639639E-3</c:v>
                </c:pt>
                <c:pt idx="76">
                  <c:v>2.1207905983422174E-3</c:v>
                </c:pt>
                <c:pt idx="77">
                  <c:v>1.8607999129724459E-3</c:v>
                </c:pt>
                <c:pt idx="78">
                  <c:v>1.6326818493183125E-3</c:v>
                </c:pt>
                <c:pt idx="79">
                  <c:v>1.4325290981099354E-3</c:v>
                </c:pt>
                <c:pt idx="80">
                  <c:v>1.2569133525851886E-3</c:v>
                </c:pt>
                <c:pt idx="81">
                  <c:v>1.1028265869023894E-3</c:v>
                </c:pt>
                <c:pt idx="82">
                  <c:v>9.6762953331450303E-4</c:v>
                </c:pt>
                <c:pt idx="83">
                  <c:v>8.4900647559861108E-4</c:v>
                </c:pt>
                <c:pt idx="84">
                  <c:v>7.4492558442208442E-4</c:v>
                </c:pt>
                <c:pt idx="85">
                  <c:v>6.5360411525168787E-4</c:v>
                </c:pt>
                <c:pt idx="86">
                  <c:v>5.7347787269967855E-4</c:v>
                </c:pt>
                <c:pt idx="87">
                  <c:v>5.0317441827841885E-4</c:v>
                </c:pt>
                <c:pt idx="88">
                  <c:v>4.4148956265382196E-4</c:v>
                </c:pt>
                <c:pt idx="89">
                  <c:v>3.8736673974632137E-4</c:v>
                </c:pt>
                <c:pt idx="90">
                  <c:v>3.3987890938964947E-4</c:v>
                </c:pt>
                <c:pt idx="91">
                  <c:v>2.9821267856798361E-4</c:v>
                </c:pt>
                <c:pt idx="92">
                  <c:v>2.6165436925283897E-4</c:v>
                </c:pt>
                <c:pt idx="93">
                  <c:v>2.2957779420331882E-4</c:v>
                </c:pt>
                <c:pt idx="94">
                  <c:v>2.014335313481089E-4</c:v>
                </c:pt>
                <c:pt idx="95">
                  <c:v>1.7673951303598251E-4</c:v>
                </c:pt>
                <c:pt idx="96">
                  <c:v>1.5507276896324683E-4</c:v>
                </c:pt>
                <c:pt idx="97">
                  <c:v>1.3606218134726145E-4</c:v>
                </c:pt>
                <c:pt idx="98">
                  <c:v>1.1938212825336686E-4</c:v>
                </c:pt>
                <c:pt idx="99">
                  <c:v>1.0474690619525473E-4</c:v>
                </c:pt>
                <c:pt idx="100">
                  <c:v>9.1905836476558709E-5</c:v>
                </c:pt>
                <c:pt idx="101">
                  <c:v>8.063897145287334E-5</c:v>
                </c:pt>
                <c:pt idx="102">
                  <c:v>7.0753327169116971E-5</c:v>
                </c:pt>
                <c:pt idx="103">
                  <c:v>6.2079577843148805E-5</c:v>
                </c:pt>
                <c:pt idx="104">
                  <c:v>5.4469155577262319E-5</c:v>
                </c:pt>
                <c:pt idx="105">
                  <c:v>4.779170562010252E-5</c:v>
                </c:pt>
                <c:pt idx="106">
                  <c:v>4.1932853591583746E-5</c:v>
                </c:pt>
                <c:pt idx="107">
                  <c:v>3.6792246426827284E-5</c:v>
                </c:pt>
                <c:pt idx="108">
                  <c:v>3.2281833483521314E-5</c:v>
                </c:pt>
                <c:pt idx="109">
                  <c:v>2.8324358370733576E-5</c:v>
                </c:pt>
                <c:pt idx="110">
                  <c:v>2.4852035666539009E-5</c:v>
                </c:pt>
                <c:pt idx="111">
                  <c:v>2.1805389858684068E-5</c:v>
                </c:pt>
                <c:pt idx="112">
                  <c:v>1.913223662113867E-5</c:v>
                </c:pt>
                <c:pt idx="113">
                  <c:v>1.6786788977380381E-5</c:v>
                </c:pt>
                <c:pt idx="114">
                  <c:v>1.4728873040371591E-5</c:v>
                </c:pt>
                <c:pt idx="115">
                  <c:v>1.2923239896069694E-5</c:v>
                </c:pt>
                <c:pt idx="116">
                  <c:v>1.1338961844100053E-5</c:v>
                </c:pt>
                <c:pt idx="117">
                  <c:v>9.9489026541292566E-6</c:v>
                </c:pt>
                <c:pt idx="118">
                  <c:v>8.7292527642503979E-6</c:v>
                </c:pt>
                <c:pt idx="119">
                  <c:v>7.6591214600483338E-6</c:v>
                </c:pt>
                <c:pt idx="120">
                  <c:v>6.7201790490036712E-6</c:v>
                </c:pt>
                <c:pt idx="121">
                  <c:v>5.8963429012369916E-6</c:v>
                </c:pt>
                <c:pt idx="122">
                  <c:v>5.173501978957297E-6</c:v>
                </c:pt>
                <c:pt idx="123">
                  <c:v>4.539275136230633E-6</c:v>
                </c:pt>
                <c:pt idx="124">
                  <c:v>3.9827990491180803E-6</c:v>
                </c:pt>
                <c:pt idx="125">
                  <c:v>3.4945421437547181E-6</c:v>
                </c:pt>
                <c:pt idx="126">
                  <c:v>3.0661413352456005E-6</c:v>
                </c:pt>
                <c:pt idx="127">
                  <c:v>2.6902587809688027E-6</c:v>
                </c:pt>
                <c:pt idx="128">
                  <c:v>2.360456194691371E-6</c:v>
                </c:pt>
                <c:pt idx="129">
                  <c:v>2.0710845686935716E-6</c:v>
                </c:pt>
                <c:pt idx="130">
                  <c:v>1.8171874150121542E-6</c:v>
                </c:pt>
                <c:pt idx="131">
                  <c:v>1.5944158684749145E-6</c:v>
                </c:pt>
                <c:pt idx="132">
                  <c:v>1.3989541973729838E-6</c:v>
                </c:pt>
                <c:pt idx="133">
                  <c:v>1.2274544458839732E-6</c:v>
                </c:pt>
                <c:pt idx="134">
                  <c:v>1.0769790887718647E-6</c:v>
                </c:pt>
                <c:pt idx="135">
                  <c:v>9.4495071612744437E-7</c:v>
                </c:pt>
                <c:pt idx="136">
                  <c:v>8.2910788632676863E-7</c:v>
                </c:pt>
                <c:pt idx="137">
                  <c:v>7.2746639103719181E-7</c:v>
                </c:pt>
                <c:pt idx="138">
                  <c:v>6.3828526880047644E-7</c:v>
                </c:pt>
                <c:pt idx="139">
                  <c:v>5.6003698505827984E-7</c:v>
                </c:pt>
                <c:pt idx="140">
                  <c:v>4.9138126785001841E-7</c:v>
                </c:pt>
                <c:pt idx="141">
                  <c:v>4.3114215102912301E-7</c:v>
                </c:pt>
                <c:pt idx="142">
                  <c:v>3.7828783178351697E-7</c:v>
                </c:pt>
                <c:pt idx="143">
                  <c:v>3.3191299745082956E-7</c:v>
                </c:pt>
                <c:pt idx="144">
                  <c:v>2.9122331891404649E-7</c:v>
                </c:pt>
                <c:pt idx="145">
                  <c:v>2.5552184497347556E-7</c:v>
                </c:pt>
                <c:pt idx="146">
                  <c:v>2.2419706465167854E-7</c:v>
                </c:pt>
                <c:pt idx="147">
                  <c:v>1.967124329571376E-7</c:v>
                </c:pt>
                <c:pt idx="148">
                  <c:v>1.7259718069920167E-7</c:v>
                </c:pt>
                <c:pt idx="149">
                  <c:v>1.5143825094067074E-7</c:v>
                </c:pt>
                <c:pt idx="150">
                  <c:v>1.3287322397193501E-7</c:v>
                </c:pt>
                <c:pt idx="151">
                  <c:v>1.1658410962242857E-7</c:v>
                </c:pt>
                <c:pt idx="152">
                  <c:v>1.0229190058130345E-7</c:v>
                </c:pt>
                <c:pt idx="153">
                  <c:v>8.9751793434139364E-8</c:v>
                </c:pt>
                <c:pt idx="154">
                  <c:v>7.8748995559446621E-8</c:v>
                </c:pt>
                <c:pt idx="155">
                  <c:v>6.9095046063590792E-8</c:v>
                </c:pt>
                <c:pt idx="156">
                  <c:v>6.0624587737450005E-8</c:v>
                </c:pt>
                <c:pt idx="157">
                  <c:v>5.3192534743420233E-8</c:v>
                </c:pt>
                <c:pt idx="158">
                  <c:v>4.6671587519631367E-8</c:v>
                </c:pt>
                <c:pt idx="159">
                  <c:v>4.0950052335531002E-8</c:v>
                </c:pt>
                <c:pt idx="160">
                  <c:v>3.5929928151198519E-8</c:v>
                </c:pt>
                <c:pt idx="161">
                  <c:v>3.1525228011251284E-8</c:v>
                </c:pt>
                <c:pt idx="162">
                  <c:v>2.7660506221419508E-8</c:v>
                </c:pt>
                <c:pt idx="163">
                  <c:v>2.4269566080604501E-8</c:v>
                </c:pt>
                <c:pt idx="164">
                  <c:v>2.129432603387116E-8</c:v>
                </c:pt>
                <c:pt idx="165">
                  <c:v>1.8683824825330733E-8</c:v>
                </c:pt>
                <c:pt idx="166">
                  <c:v>1.6393348610723029E-8</c:v>
                </c:pt>
                <c:pt idx="167">
                  <c:v>1.4383665078487882E-8</c:v>
                </c:pt>
                <c:pt idx="168">
                  <c:v>1.2620351461005561E-8</c:v>
                </c:pt>
                <c:pt idx="169">
                  <c:v>1.1073204925878958E-8</c:v>
                </c:pt>
                <c:pt idx="170">
                  <c:v>9.7157252481731022E-9</c:v>
                </c:pt>
                <c:pt idx="171">
                  <c:v>8.5246609025882792E-9</c:v>
                </c:pt>
                <c:pt idx="172">
                  <c:v>7.479610800828451E-9</c:v>
                </c:pt>
                <c:pt idx="173">
                  <c:v>6.5626748525426477E-9</c:v>
                </c:pt>
                <c:pt idx="174">
                  <c:v>5.7581473644892496E-9</c:v>
                </c:pt>
                <c:pt idx="175">
                  <c:v>5.0522480263254854E-9</c:v>
                </c:pt>
                <c:pt idx="176">
                  <c:v>4.4328858752252275E-9</c:v>
                </c:pt>
                <c:pt idx="177">
                  <c:v>3.8894521964043753E-9</c:v>
                </c:pt>
                <c:pt idx="178">
                  <c:v>3.4126388122604668E-9</c:v>
                </c:pt>
                <c:pt idx="179">
                  <c:v>2.9942786477007817E-9</c:v>
                </c:pt>
                <c:pt idx="180">
                  <c:v>2.6272058407898464E-9</c:v>
                </c:pt>
                <c:pt idx="181">
                  <c:v>2.305133002628292E-9</c:v>
                </c:pt>
                <c:pt idx="182">
                  <c:v>2.022543524114816E-9</c:v>
                </c:pt>
                <c:pt idx="183">
                  <c:v>1.7745970849728068E-9</c:v>
                </c:pt>
                <c:pt idx="184">
                  <c:v>1.5570467465575337E-9</c:v>
                </c:pt>
                <c:pt idx="185">
                  <c:v>1.3661662083720545E-9</c:v>
                </c:pt>
                <c:pt idx="186">
                  <c:v>1.1986859823085676E-9</c:v>
                </c:pt>
                <c:pt idx="187">
                  <c:v>1.0517373913787741E-9</c:v>
                </c:pt>
                <c:pt idx="188">
                  <c:v>9.2280343371820739E-10</c:v>
                </c:pt>
                <c:pt idx="189">
                  <c:v>8.0967567024098499E-10</c:v>
                </c:pt>
                <c:pt idx="190">
                  <c:v>7.1041639749725763E-10</c:v>
                </c:pt>
                <c:pt idx="191">
                  <c:v>6.2332545781296527E-10</c:v>
                </c:pt>
                <c:pt idx="192">
                  <c:v>5.469111182209764E-10</c:v>
                </c:pt>
                <c:pt idx="193">
                  <c:v>4.798645193847836E-10</c:v>
                </c:pt>
                <c:pt idx="194">
                  <c:v>4.2103725686437794E-10</c:v>
                </c:pt>
                <c:pt idx="195">
                  <c:v>3.6942171072609079E-10</c:v>
                </c:pt>
                <c:pt idx="196">
                  <c:v>3.2413378657307574E-10</c:v>
                </c:pt>
                <c:pt idx="197">
                  <c:v>2.8439777237699853E-10</c:v>
                </c:pt>
                <c:pt idx="198">
                  <c:v>2.4953305173190972E-10</c:v>
                </c:pt>
                <c:pt idx="199">
                  <c:v>2.1894244594890482E-10</c:v>
                </c:pt>
                <c:pt idx="200">
                  <c:v>1.9210198530970468E-10</c:v>
                </c:pt>
                <c:pt idx="201">
                  <c:v>1.6855193427656414E-10</c:v>
                </c:pt>
                <c:pt idx="202">
                  <c:v>1.4788891693424876E-10</c:v>
                </c:pt>
                <c:pt idx="203">
                  <c:v>1.2975900778509279E-10</c:v>
                </c:pt>
                <c:pt idx="204">
                  <c:v>1.138516695531529E-10</c:v>
                </c:pt>
                <c:pt idx="205">
                  <c:v>9.9894434161429147E-11</c:v>
                </c:pt>
                <c:pt idx="206">
                  <c:v>8.7648235775526723E-11</c:v>
                </c:pt>
                <c:pt idx="207">
                  <c:v>7.6903315976022091E-11</c:v>
                </c:pt>
                <c:pt idx="208">
                  <c:v>6.7475630921475383E-11</c:v>
                </c:pt>
                <c:pt idx="209">
                  <c:v>5.920369896235352E-11</c:v>
                </c:pt>
                <c:pt idx="210">
                  <c:v>5.1945834710371321E-11</c:v>
                </c:pt>
                <c:pt idx="211">
                  <c:v>4.5577722187140007E-11</c:v>
                </c:pt>
                <c:pt idx="212">
                  <c:v>3.9990285483916994E-11</c:v>
                </c:pt>
                <c:pt idx="213">
                  <c:v>3.5087820460154804E-11</c:v>
                </c:pt>
                <c:pt idx="214">
                  <c:v>3.0786355479737582E-11</c:v>
                </c:pt>
                <c:pt idx="215">
                  <c:v>2.7012213106854988E-11</c:v>
                </c:pt>
                <c:pt idx="216">
                  <c:v>2.3700748125590333E-11</c:v>
                </c:pt>
                <c:pt idx="217">
                  <c:v>2.0795240267452305E-11</c:v>
                </c:pt>
                <c:pt idx="218">
                  <c:v>1.8245922680987044E-11</c:v>
                </c:pt>
                <c:pt idx="219">
                  <c:v>1.6009129502659208E-11</c:v>
                </c:pt>
                <c:pt idx="220">
                  <c:v>1.4046547928210822E-11</c:v>
                </c:pt>
                <c:pt idx="221">
                  <c:v>1.2324561973638243E-11</c:v>
                </c:pt>
                <c:pt idx="222">
                  <c:v>1.081367668542867E-11</c:v>
                </c:pt>
                <c:pt idx="223">
                  <c:v>9.4880129376690451E-12</c:v>
                </c:pt>
                <c:pt idx="224">
                  <c:v>8.3248641626838664E-12</c:v>
                </c:pt>
                <c:pt idx="225">
                  <c:v>7.3043074226840342E-12</c:v>
                </c:pt>
                <c:pt idx="226">
                  <c:v>6.4088621606861794E-12</c:v>
                </c:pt>
                <c:pt idx="227">
                  <c:v>5.6231907856340329E-12</c:v>
                </c:pt>
                <c:pt idx="228">
                  <c:v>4.9338359632084818E-12</c:v>
                </c:pt>
                <c:pt idx="229">
                  <c:v>4.3289901125246363E-12</c:v>
                </c:pt>
                <c:pt idx="230">
                  <c:v>3.7982931605511477E-12</c:v>
                </c:pt>
                <c:pt idx="231">
                  <c:v>3.3326550900981122E-12</c:v>
                </c:pt>
                <c:pt idx="232">
                  <c:v>2.9241002418952946E-12</c:v>
                </c:pt>
                <c:pt idx="233">
                  <c:v>2.5656307038963344E-12</c:v>
                </c:pt>
                <c:pt idx="234">
                  <c:v>2.2511064478791914E-12</c:v>
                </c:pt>
                <c:pt idx="235">
                  <c:v>1.975140160268375E-12</c:v>
                </c:pt>
                <c:pt idx="236">
                  <c:v>1.7330049657937567E-12</c:v>
                </c:pt>
                <c:pt idx="237">
                  <c:v>1.5205534634350915E-12</c:v>
                </c:pt>
                <c:pt idx="238">
                  <c:v>1.3341466878633345E-12</c:v>
                </c:pt>
                <c:pt idx="239">
                  <c:v>1.1705917795982106E-12</c:v>
                </c:pt>
                <c:pt idx="240">
                  <c:v>1.0270872962683341E-12</c:v>
                </c:pt>
                <c:pt idx="241">
                  <c:v>9.0117522824043691E-13</c:v>
                </c:pt>
                <c:pt idx="242">
                  <c:v>7.9069889671971191E-13</c:v>
                </c:pt>
                <c:pt idx="243">
                  <c:v>6.9376601318091565E-13</c:v>
                </c:pt>
                <c:pt idx="244">
                  <c:v>6.087162673954739E-13</c:v>
                </c:pt>
                <c:pt idx="245">
                  <c:v>5.3409288888767227E-13</c:v>
                </c:pt>
                <c:pt idx="246">
                  <c:v>4.6861769471170274E-13</c:v>
                </c:pt>
                <c:pt idx="247">
                  <c:v>4.1116919615661908E-13</c:v>
                </c:pt>
                <c:pt idx="248">
                  <c:v>3.6076338938094803E-13</c:v>
                </c:pt>
                <c:pt idx="249">
                  <c:v>3.1653690095026928E-13</c:v>
                </c:pt>
                <c:pt idx="250">
                  <c:v>2.7773219958691262E-13</c:v>
                </c:pt>
                <c:pt idx="251">
                  <c:v>2.4368462083194309E-13</c:v>
                </c:pt>
                <c:pt idx="252">
                  <c:v>2.1381098237197736E-13</c:v>
                </c:pt>
                <c:pt idx="253">
                  <c:v>1.8759959502900848E-13</c:v>
                </c:pt>
                <c:pt idx="254">
                  <c:v>1.6460149831695716E-13</c:v>
                </c:pt>
                <c:pt idx="255">
                  <c:v>1.4442277044360231E-13</c:v>
                </c:pt>
                <c:pt idx="256">
                  <c:v>1.2671778104012967E-13</c:v>
                </c:pt>
                <c:pt idx="257">
                  <c:v>1.1118327104800088E-13</c:v>
                </c:pt>
                <c:pt idx="258">
                  <c:v>9.7553158360770652E-14</c:v>
                </c:pt>
                <c:pt idx="259">
                  <c:v>8.5593980249537815E-14</c:v>
                </c:pt>
                <c:pt idx="260">
                  <c:v>7.5100894507834073E-14</c:v>
                </c:pt>
                <c:pt idx="261">
                  <c:v>6.5894170821753304E-14</c:v>
                </c:pt>
                <c:pt idx="262">
                  <c:v>5.7816112267923359E-14</c:v>
                </c:pt>
                <c:pt idx="263">
                  <c:v>5.0728354209346994E-14</c:v>
                </c:pt>
                <c:pt idx="264">
                  <c:v>4.4509494323378913E-14</c:v>
                </c:pt>
                <c:pt idx="265">
                  <c:v>3.9053013167887689E-14</c:v>
                </c:pt>
                <c:pt idx="266">
                  <c:v>3.4265449668119926E-14</c:v>
                </c:pt>
                <c:pt idx="267">
                  <c:v>3.0064800273181232E-14</c:v>
                </c:pt>
                <c:pt idx="268">
                  <c:v>2.6379114362163074E-14</c:v>
                </c:pt>
                <c:pt idx="269">
                  <c:v>2.314526184139681E-14</c:v>
                </c:pt>
                <c:pt idx="270">
                  <c:v>2.0307851823683891E-14</c:v>
                </c:pt>
                <c:pt idx="271">
                  <c:v>1.781828386815141E-14</c:v>
                </c:pt>
                <c:pt idx="272">
                  <c:v>1.5633915529940633E-14</c:v>
                </c:pt>
                <c:pt idx="273">
                  <c:v>1.3717331961143381E-14</c:v>
                </c:pt>
                <c:pt idx="274">
                  <c:v>1.2035705052381096E-14</c:v>
                </c:pt>
                <c:pt idx="275">
                  <c:v>1.0560231138113935E-14</c:v>
                </c:pt>
                <c:pt idx="276">
                  <c:v>9.2656376344424269E-15</c:v>
                </c:pt>
                <c:pt idx="277">
                  <c:v>8.1297501588709633E-15</c:v>
                </c:pt>
                <c:pt idx="278">
                  <c:v>7.1331127174648771E-15</c:v>
                </c:pt>
                <c:pt idx="279">
                  <c:v>6.258654453795097E-15</c:v>
                </c:pt>
                <c:pt idx="280">
                  <c:v>5.4913972515957352E-15</c:v>
                </c:pt>
                <c:pt idx="281">
                  <c:v>4.818199182820783E-15</c:v>
                </c:pt>
                <c:pt idx="282">
                  <c:v>4.2275294067623401E-15</c:v>
                </c:pt>
                <c:pt idx="283">
                  <c:v>3.7092706646007302E-15</c:v>
                </c:pt>
                <c:pt idx="284">
                  <c:v>3.2545459864239377E-15</c:v>
                </c:pt>
                <c:pt idx="285">
                  <c:v>2.8555666424758737E-15</c:v>
                </c:pt>
                <c:pt idx="286">
                  <c:v>2.505498734273764E-15</c:v>
                </c:pt>
                <c:pt idx="287">
                  <c:v>2.1983461405070228E-15</c:v>
                </c:pt>
                <c:pt idx="288">
                  <c:v>1.928847812762085E-15</c:v>
                </c:pt>
                <c:pt idx="289">
                  <c:v>1.6923876619079655E-15</c:v>
                </c:pt>
                <c:pt idx="290">
                  <c:v>1.4849154916358316E-15</c:v>
                </c:pt>
                <c:pt idx="291">
                  <c:v>1.3028776248665376E-15</c:v>
                </c:pt>
                <c:pt idx="292">
                  <c:v>1.1431560347638775E-15</c:v>
                </c:pt>
                <c:pt idx="293">
                  <c:v>1.003014937762045E-15</c:v>
                </c:pt>
                <c:pt idx="294">
                  <c:v>8.8005393382855167E-16</c:v>
                </c:pt>
                <c:pt idx="295">
                  <c:v>7.7216689132784366E-16</c:v>
                </c:pt>
                <c:pt idx="296">
                  <c:v>6.7750587224698794E-16</c:v>
                </c:pt>
                <c:pt idx="297">
                  <c:v>5.9444947987839248E-16</c:v>
                </c:pt>
                <c:pt idx="298">
                  <c:v>5.2157508680436745E-16</c:v>
                </c:pt>
                <c:pt idx="299">
                  <c:v>4.576344674918972E-16</c:v>
                </c:pt>
                <c:pt idx="300">
                  <c:v>4.0153241812169832E-16</c:v>
                </c:pt>
                <c:pt idx="301">
                  <c:v>3.5230799744233206E-16</c:v>
                </c:pt>
                <c:pt idx="302">
                  <c:v>3.0911806733424734E-16</c:v>
                </c:pt>
                <c:pt idx="303">
                  <c:v>2.7122285115909436E-16</c:v>
                </c:pt>
                <c:pt idx="304">
                  <c:v>2.3797326253119442E-16</c:v>
                </c:pt>
                <c:pt idx="305">
                  <c:v>2.0879978747263414E-16</c:v>
                </c:pt>
                <c:pt idx="306">
                  <c:v>1.8320272952051609E-16</c:v>
                </c:pt>
                <c:pt idx="307">
                  <c:v>1.6074365070015348E-16</c:v>
                </c:pt>
                <c:pt idx="308">
                  <c:v>1.4103786176133038E-16</c:v>
                </c:pt>
                <c:pt idx="309">
                  <c:v>1.2374783304700163E-16</c:v>
                </c:pt>
                <c:pt idx="310">
                  <c:v>1.0857741313281336E-16</c:v>
                </c:pt>
                <c:pt idx="311">
                  <c:v>9.526675621169009E-17</c:v>
                </c:pt>
                <c:pt idx="312">
                  <c:v>8.3587871337439273E-17</c:v>
                </c:pt>
                <c:pt idx="313">
                  <c:v>7.3340717292806712E-17</c:v>
                </c:pt>
                <c:pt idx="314">
                  <c:v>6.4349776193118461E-17</c:v>
                </c:pt>
                <c:pt idx="315">
                  <c:v>5.6461047136643906E-17</c:v>
                </c:pt>
                <c:pt idx="316">
                  <c:v>4.9539408407565423E-17</c:v>
                </c:pt>
                <c:pt idx="317">
                  <c:v>4.3466303050174719E-17</c:v>
                </c:pt>
                <c:pt idx="318">
                  <c:v>3.8137708171765322E-17</c:v>
                </c:pt>
                <c:pt idx="319">
                  <c:v>3.3462353191523365E-17</c:v>
                </c:pt>
                <c:pt idx="320">
                  <c:v>2.9360156516778547E-17</c:v>
                </c:pt>
                <c:pt idx="321">
                  <c:v>2.5760853869299877E-17</c:v>
                </c:pt>
                <c:pt idx="322">
                  <c:v>2.2602794766989072E-17</c:v>
                </c:pt>
                <c:pt idx="323">
                  <c:v>1.98318865465663E-17</c:v>
                </c:pt>
                <c:pt idx="324">
                  <c:v>1.7400667839991611E-17</c:v>
                </c:pt>
                <c:pt idx="325">
                  <c:v>1.5267495634707649E-17</c:v>
                </c:pt>
                <c:pt idx="326">
                  <c:v>1.3395831993304083E-17</c:v>
                </c:pt>
                <c:pt idx="327">
                  <c:v>1.1753618215215914E-17</c:v>
                </c:pt>
                <c:pt idx="328">
                  <c:v>1.031272572081439E-17</c:v>
                </c:pt>
                <c:pt idx="329">
                  <c:v>9.0484742523851825E-18</c:v>
                </c:pt>
                <c:pt idx="330">
                  <c:v>7.9392091395224251E-18</c:v>
                </c:pt>
                <c:pt idx="331">
                  <c:v>6.9659303881492941E-18</c:v>
                </c:pt>
                <c:pt idx="332">
                  <c:v>6.1119672400342745E-18</c:v>
                </c:pt>
                <c:pt idx="333">
                  <c:v>5.3626926285114602E-18</c:v>
                </c:pt>
                <c:pt idx="334">
                  <c:v>4.7052726394734209E-18</c:v>
                </c:pt>
                <c:pt idx="335">
                  <c:v>4.1284466862913478E-18</c:v>
                </c:pt>
                <c:pt idx="336">
                  <c:v>3.6223346333991506E-18</c:v>
                </c:pt>
                <c:pt idx="337">
                  <c:v>3.1782675648671266E-18</c:v>
                </c:pt>
                <c:pt idx="338">
                  <c:v>2.7886392992928454E-18</c:v>
                </c:pt>
                <c:pt idx="339">
                  <c:v>2.4467761076892227E-18</c:v>
                </c:pt>
                <c:pt idx="340">
                  <c:v>2.1468224028388895E-18</c:v>
                </c:pt>
                <c:pt idx="341">
                  <c:v>1.8836404421504736E-18</c:v>
                </c:pt>
                <c:pt idx="342">
                  <c:v>1.6527223260819976E-18</c:v>
                </c:pt>
                <c:pt idx="343">
                  <c:v>1.4501127848006168E-18</c:v>
                </c:pt>
                <c:pt idx="344">
                  <c:v>1.2723414305337281E-18</c:v>
                </c:pt>
                <c:pt idx="345">
                  <c:v>1.1163633151990991E-18</c:v>
                </c:pt>
                <c:pt idx="346">
                  <c:v>9.7950677515824707E-19</c:v>
                </c:pt>
                <c:pt idx="347">
                  <c:v>8.5942766975444499E-19</c:v>
                </c:pt>
                <c:pt idx="348">
                  <c:v>7.5406922981234732E-19</c:v>
                </c:pt>
                <c:pt idx="349">
                  <c:v>6.6162682836619916E-19</c:v>
                </c:pt>
                <c:pt idx="350">
                  <c:v>5.8051707019374265E-19</c:v>
                </c:pt>
                <c:pt idx="351">
                  <c:v>5.0935067070739009E-19</c:v>
                </c:pt>
                <c:pt idx="352">
                  <c:v>4.4690865966005586E-19</c:v>
                </c:pt>
                <c:pt idx="353">
                  <c:v>3.9212150207197101E-19</c:v>
                </c:pt>
                <c:pt idx="354">
                  <c:v>3.4405077875227741E-19</c:v>
                </c:pt>
                <c:pt idx="355">
                  <c:v>3.0187311263110092E-19</c:v>
                </c:pt>
                <c:pt idx="356">
                  <c:v>2.6486606558505308E-19</c:v>
                </c:pt>
                <c:pt idx="357">
                  <c:v>2.3239576419061955E-19</c:v>
                </c:pt>
                <c:pt idx="358">
                  <c:v>2.0390604245374428E-19</c:v>
                </c:pt>
                <c:pt idx="359">
                  <c:v>1.78908915547379E-19</c:v>
                </c:pt>
                <c:pt idx="360">
                  <c:v>1.5697622138686863E-19</c:v>
                </c:pt>
                <c:pt idx="361">
                  <c:v>1.377322868762992E-19</c:v>
                </c:pt>
                <c:pt idx="362">
                  <c:v>1.2084749320996253E-19</c:v>
                </c:pt>
                <c:pt idx="363">
                  <c:v>1.0603263001251305E-19</c:v>
                </c:pt>
                <c:pt idx="364">
                  <c:v>9.3033941612978603E-20</c:v>
                </c:pt>
                <c:pt idx="365">
                  <c:v>8.162878060296804E-20</c:v>
                </c:pt>
              </c:numCache>
            </c:numRef>
          </c:yVal>
          <c:smooth val="1"/>
          <c:extLst>
            <c:ext xmlns:c16="http://schemas.microsoft.com/office/drawing/2014/chart" uri="{C3380CC4-5D6E-409C-BE32-E72D297353CC}">
              <c16:uniqueId val="{00000005-0CF0-4AA2-A727-45757B791E30}"/>
            </c:ext>
          </c:extLst>
        </c:ser>
        <c:ser>
          <c:idx val="6"/>
          <c:order val="6"/>
          <c:tx>
            <c:v>small birds (mean)</c:v>
          </c:tx>
          <c:spPr>
            <a:ln w="19050" cap="rnd">
              <a:solidFill>
                <a:schemeClr val="accent6"/>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concentrations'!$AD$3:$AD$368</c:f>
              <c:numCache>
                <c:formatCode>General</c:formatCode>
                <c:ptCount val="366"/>
                <c:pt idx="0">
                  <c:v>222.08547380184692</c:v>
                </c:pt>
                <c:pt idx="1">
                  <c:v>242.38599637623525</c:v>
                </c:pt>
                <c:pt idx="2">
                  <c:v>222.84218446264637</c:v>
                </c:pt>
                <c:pt idx="3">
                  <c:v>197.70016346593565</c:v>
                </c:pt>
                <c:pt idx="4">
                  <c:v>173.92959794828963</c:v>
                </c:pt>
                <c:pt idx="5">
                  <c:v>152.70700093281778</c:v>
                </c:pt>
                <c:pt idx="6">
                  <c:v>134.00776671452118</c:v>
                </c:pt>
                <c:pt idx="7">
                  <c:v>117.58413192901897</c:v>
                </c:pt>
                <c:pt idx="8">
                  <c:v>103.17030561033195</c:v>
                </c:pt>
                <c:pt idx="9">
                  <c:v>90.522722609296238</c:v>
                </c:pt>
                <c:pt idx="10">
                  <c:v>79.4254601849549</c:v>
                </c:pt>
                <c:pt idx="11">
                  <c:v>69.688591518144591</c:v>
                </c:pt>
                <c:pt idx="12">
                  <c:v>61.145371673391935</c:v>
                </c:pt>
                <c:pt idx="13">
                  <c:v>53.649475486769262</c:v>
                </c:pt>
                <c:pt idx="14">
                  <c:v>47.072511352046831</c:v>
                </c:pt>
                <c:pt idx="15">
                  <c:v>41.301826374718239</c:v>
                </c:pt>
                <c:pt idx="16">
                  <c:v>36.238577723263653</c:v>
                </c:pt>
                <c:pt idx="17">
                  <c:v>31.796039801550997</c:v>
                </c:pt>
                <c:pt idx="18">
                  <c:v>27.89811881581371</c:v>
                </c:pt>
                <c:pt idx="19">
                  <c:v>24.478049414793563</c:v>
                </c:pt>
                <c:pt idx="20">
                  <c:v>21.477251104567706</c:v>
                </c:pt>
                <c:pt idx="21">
                  <c:v>18.844324855792379</c:v>
                </c:pt>
                <c:pt idx="22">
                  <c:v>16.534172717992007</c:v>
                </c:pt>
                <c:pt idx="23">
                  <c:v>14.507225361504775</c:v>
                </c:pt>
                <c:pt idx="24">
                  <c:v>12.728764316128762</c:v>
                </c:pt>
                <c:pt idx="25">
                  <c:v>11.168327297477571</c:v>
                </c:pt>
                <c:pt idx="26">
                  <c:v>9.7991864352091049</c:v>
                </c:pt>
                <c:pt idx="27">
                  <c:v>8.5978904659853299</c:v>
                </c:pt>
                <c:pt idx="28">
                  <c:v>7.5438630496373404</c:v>
                </c:pt>
                <c:pt idx="29">
                  <c:v>6.6190503283134881</c:v>
                </c:pt>
                <c:pt idx="30">
                  <c:v>5.8076116918444152</c:v>
                </c:pt>
                <c:pt idx="31">
                  <c:v>5.0956484526144745</c:v>
                </c:pt>
                <c:pt idx="32">
                  <c:v>4.4709657825600893</c:v>
                </c:pt>
                <c:pt idx="33">
                  <c:v>3.9228638346444256</c:v>
                </c:pt>
                <c:pt idx="34">
                  <c:v>3.4419544710425987</c:v>
                </c:pt>
                <c:pt idx="35">
                  <c:v>3.0200004588749549</c:v>
                </c:pt>
                <c:pt idx="36">
                  <c:v>2.6497743791603061</c:v>
                </c:pt>
                <c:pt idx="37">
                  <c:v>2.3249348323178869</c:v>
                </c:pt>
                <c:pt idx="38">
                  <c:v>2.039917819809967</c:v>
                </c:pt>
                <c:pt idx="39">
                  <c:v>1.789841441460791</c:v>
                </c:pt>
                <c:pt idx="40">
                  <c:v>1.5704222760644713</c:v>
                </c:pt>
                <c:pt idx="41">
                  <c:v>1.3779020130111008</c:v>
                </c:pt>
                <c:pt idx="42">
                  <c:v>1.2089830782444271</c:v>
                </c:pt>
                <c:pt idx="43">
                  <c:v>1.0607721519234001</c:v>
                </c:pt>
                <c:pt idx="44">
                  <c:v>0.93073061033258342</c:v>
                </c:pt>
                <c:pt idx="45">
                  <c:v>0.81663104318807289</c:v>
                </c:pt>
                <c:pt idx="46">
                  <c:v>0.71651910154769483</c:v>
                </c:pt>
                <c:pt idx="47">
                  <c:v>0.62868002283924707</c:v>
                </c:pt>
                <c:pt idx="48">
                  <c:v>0.55160925963234386</c:v>
                </c:pt>
                <c:pt idx="49">
                  <c:v>0.48398670907019548</c:v>
                </c:pt>
                <c:pt idx="50">
                  <c:v>0.42465410155138578</c:v>
                </c:pt>
                <c:pt idx="51">
                  <c:v>0.37259516136477244</c:v>
                </c:pt>
                <c:pt idx="52">
                  <c:v>0.32691819945990064</c:v>
                </c:pt>
                <c:pt idx="53">
                  <c:v>0.28684084019403494</c:v>
                </c:pt>
                <c:pt idx="54">
                  <c:v>0.25167662044863298</c:v>
                </c:pt>
                <c:pt idx="55">
                  <c:v>0.22082323157887085</c:v>
                </c:pt>
                <c:pt idx="56">
                  <c:v>0.19375220279902039</c:v>
                </c:pt>
                <c:pt idx="57">
                  <c:v>0.16999984929604062</c:v>
                </c:pt>
                <c:pt idx="58">
                  <c:v>0.14915933002658299</c:v>
                </c:pt>
                <c:pt idx="59">
                  <c:v>0.13087367915976905</c:v>
                </c:pt>
                <c:pt idx="60">
                  <c:v>0.11482969180514317</c:v>
                </c:pt>
                <c:pt idx="61">
                  <c:v>0.10075255929778687</c:v>
                </c:pt>
                <c:pt idx="62">
                  <c:v>8.8401162151333063E-2</c:v>
                </c:pt>
                <c:pt idx="63">
                  <c:v>7.7563940054453162E-2</c:v>
                </c:pt>
                <c:pt idx="64">
                  <c:v>6.8055268170250885E-2</c:v>
                </c:pt>
                <c:pt idx="65">
                  <c:v>5.9712277670180773E-2</c:v>
                </c:pt>
                <c:pt idx="66">
                  <c:v>5.2392066043160296E-2</c:v>
                </c:pt>
                <c:pt idx="67">
                  <c:v>4.5969249396789251E-2</c:v>
                </c:pt>
                <c:pt idx="68">
                  <c:v>4.0333814825385769E-2</c:v>
                </c:pt>
                <c:pt idx="69">
                  <c:v>3.538923605922821E-2</c:v>
                </c:pt>
                <c:pt idx="70">
                  <c:v>3.1050820118991806E-2</c:v>
                </c:pt>
                <c:pt idx="71">
                  <c:v>2.7244256656130065E-2</c:v>
                </c:pt>
                <c:pt idx="72">
                  <c:v>2.390434513164761E-2</c:v>
                </c:pt>
                <c:pt idx="73">
                  <c:v>2.0973878031807246E-2</c:v>
                </c:pt>
                <c:pt idx="74">
                  <c:v>1.8402660991985363E-2</c:v>
                </c:pt>
                <c:pt idx="75">
                  <c:v>1.6146653044914205E-2</c:v>
                </c:pt>
                <c:pt idx="76">
                  <c:v>1.4167212267094539E-2</c:v>
                </c:pt>
                <c:pt idx="77">
                  <c:v>1.2430433902469505E-2</c:v>
                </c:pt>
                <c:pt idx="78">
                  <c:v>1.0906569626442948E-2</c:v>
                </c:pt>
                <c:pt idx="79">
                  <c:v>9.5695180031338967E-3</c:v>
                </c:pt>
                <c:pt idx="80">
                  <c:v>8.3963774081888022E-3</c:v>
                </c:pt>
                <c:pt idx="81">
                  <c:v>7.3670537594114705E-3</c:v>
                </c:pt>
                <c:pt idx="82">
                  <c:v>6.463916336243645E-3</c:v>
                </c:pt>
                <c:pt idx="83">
                  <c:v>5.671495792816816E-3</c:v>
                </c:pt>
                <c:pt idx="84">
                  <c:v>4.9762191920063271E-3</c:v>
                </c:pt>
                <c:pt idx="85">
                  <c:v>4.3661775220313406E-3</c:v>
                </c:pt>
                <c:pt idx="86">
                  <c:v>3.8309217135199499E-3</c:v>
                </c:pt>
                <c:pt idx="87">
                  <c:v>3.3612836631275399E-3</c:v>
                </c:pt>
                <c:pt idx="88">
                  <c:v>2.9492191981200754E-3</c:v>
                </c:pt>
                <c:pt idx="89">
                  <c:v>2.5876702921487377E-3</c:v>
                </c:pt>
                <c:pt idx="90">
                  <c:v>2.2704441721854377E-3</c:v>
                </c:pt>
                <c:pt idx="91">
                  <c:v>1.9921072459081722E-3</c:v>
                </c:pt>
                <c:pt idx="92">
                  <c:v>1.7478920326765548E-3</c:v>
                </c:pt>
                <c:pt idx="93">
                  <c:v>1.5336155039692111E-3</c:v>
                </c:pt>
                <c:pt idx="94">
                  <c:v>1.3456074345811538E-3</c:v>
                </c:pt>
                <c:pt idx="95">
                  <c:v>1.1806475373480738E-3</c:v>
                </c:pt>
                <c:pt idx="96">
                  <c:v>1.0359103046126959E-3</c:v>
                </c:pt>
                <c:pt idx="97">
                  <c:v>9.0891661165291393E-4</c:v>
                </c:pt>
                <c:pt idx="98">
                  <c:v>7.9749125311335298E-4</c:v>
                </c:pt>
                <c:pt idx="99">
                  <c:v>6.9972568510517105E-4</c:v>
                </c:pt>
                <c:pt idx="100">
                  <c:v>6.1394533480395243E-4</c:v>
                </c:pt>
                <c:pt idx="101">
                  <c:v>5.3868091760971102E-4</c:v>
                </c:pt>
                <c:pt idx="102">
                  <c:v>4.7264327057636304E-4</c:v>
                </c:pt>
                <c:pt idx="103">
                  <c:v>4.1470127104627539E-4</c:v>
                </c:pt>
                <c:pt idx="104">
                  <c:v>3.6386246227028575E-4</c:v>
                </c:pt>
                <c:pt idx="105">
                  <c:v>3.1925605416005933E-4</c:v>
                </c:pt>
                <c:pt idx="106">
                  <c:v>2.8011800800198736E-4</c:v>
                </c:pt>
                <c:pt idx="107">
                  <c:v>2.457779496568682E-4</c:v>
                </c:pt>
                <c:pt idx="108">
                  <c:v>2.1564768708874109E-4</c:v>
                </c:pt>
                <c:pt idx="109">
                  <c:v>1.8921113554591838E-4</c:v>
                </c:pt>
                <c:pt idx="110">
                  <c:v>1.6601547782816469E-4</c:v>
                </c:pt>
                <c:pt idx="111">
                  <c:v>1.4566340822908501E-4</c:v>
                </c:pt>
                <c:pt idx="112">
                  <c:v>1.2780632730446196E-4</c:v>
                </c:pt>
                <c:pt idx="113">
                  <c:v>1.1213837090346016E-4</c:v>
                </c:pt>
                <c:pt idx="114">
                  <c:v>9.8391171189245031E-5</c:v>
                </c:pt>
                <c:pt idx="115">
                  <c:v>8.6329259913411207E-5</c:v>
                </c:pt>
                <c:pt idx="116">
                  <c:v>7.574603520942693E-5</c:v>
                </c:pt>
                <c:pt idx="117">
                  <c:v>6.6460222822510643E-5</c:v>
                </c:pt>
                <c:pt idx="118">
                  <c:v>5.8312771162285918E-5</c:v>
                </c:pt>
                <c:pt idx="119">
                  <c:v>5.1164126995273733E-5</c:v>
                </c:pt>
                <c:pt idx="120">
                  <c:v>4.489184511405201E-5</c:v>
                </c:pt>
                <c:pt idx="121">
                  <c:v>3.9388491040415804E-5</c:v>
                </c:pt>
                <c:pt idx="122">
                  <c:v>3.4559800839090063E-5</c:v>
                </c:pt>
                <c:pt idx="123">
                  <c:v>3.0323066522452949E-5</c:v>
                </c:pt>
                <c:pt idx="124">
                  <c:v>2.6605719390752027E-5</c:v>
                </c:pt>
                <c:pt idx="125">
                  <c:v>2.3344087042624626E-5</c:v>
                </c:pt>
                <c:pt idx="126">
                  <c:v>2.048230276543677E-5</c:v>
                </c:pt>
                <c:pt idx="127">
                  <c:v>1.7971348624985706E-5</c:v>
                </c:pt>
                <c:pt idx="128">
                  <c:v>1.5768215864174028E-5</c:v>
                </c:pt>
                <c:pt idx="129">
                  <c:v>1.3835168229584511E-5</c:v>
                </c:pt>
                <c:pt idx="130">
                  <c:v>1.2139095607880376E-5</c:v>
                </c:pt>
                <c:pt idx="131">
                  <c:v>1.0650946900823191E-5</c:v>
                </c:pt>
                <c:pt idx="132">
                  <c:v>9.345232424935446E-6</c:v>
                </c:pt>
                <c:pt idx="133">
                  <c:v>8.1995873126843772E-6</c:v>
                </c:pt>
                <c:pt idx="134">
                  <c:v>7.1943884369252641E-6</c:v>
                </c:pt>
                <c:pt idx="135">
                  <c:v>6.3124182971129346E-6</c:v>
                </c:pt>
                <c:pt idx="136">
                  <c:v>5.5385701101726719E-6</c:v>
                </c:pt>
                <c:pt idx="137">
                  <c:v>4.8595890546936788E-6</c:v>
                </c:pt>
                <c:pt idx="138">
                  <c:v>4.2638452363587311E-6</c:v>
                </c:pt>
                <c:pt idx="139">
                  <c:v>3.741134485859326E-6</c:v>
                </c:pt>
                <c:pt idx="140">
                  <c:v>3.2825035772729882E-6</c:v>
                </c:pt>
                <c:pt idx="141">
                  <c:v>2.8800968731641361E-6</c:v>
                </c:pt>
                <c:pt idx="142">
                  <c:v>2.5270217696765017E-6</c:v>
                </c:pt>
                <c:pt idx="143">
                  <c:v>2.2172306368998415E-6</c:v>
                </c:pt>
                <c:pt idx="144">
                  <c:v>1.9454172323321994E-6</c:v>
                </c:pt>
                <c:pt idx="145">
                  <c:v>1.7069258131606981E-6</c:v>
                </c:pt>
                <c:pt idx="146">
                  <c:v>1.4976713905949327E-6</c:v>
                </c:pt>
                <c:pt idx="147">
                  <c:v>1.314069760333158E-6</c:v>
                </c:pt>
                <c:pt idx="148">
                  <c:v>1.1529761106914783E-6</c:v>
                </c:pt>
                <c:pt idx="149">
                  <c:v>1.0116311568483358E-6</c:v>
                </c:pt>
                <c:pt idx="150">
                  <c:v>8.8761387856729876E-7</c:v>
                </c:pt>
                <c:pt idx="151">
                  <c:v>7.7880005186850876E-7</c:v>
                </c:pt>
                <c:pt idx="152">
                  <c:v>6.8332586436051861E-7</c:v>
                </c:pt>
                <c:pt idx="153">
                  <c:v>5.9955599101948479E-7</c:v>
                </c:pt>
                <c:pt idx="154">
                  <c:v>5.2605558360323342E-7</c:v>
                </c:pt>
                <c:pt idx="155">
                  <c:v>4.6156569392222953E-7</c:v>
                </c:pt>
                <c:pt idx="156">
                  <c:v>4.0498171000612831E-7</c:v>
                </c:pt>
                <c:pt idx="157">
                  <c:v>3.5533443581082593E-7</c:v>
                </c:pt>
                <c:pt idx="158">
                  <c:v>3.1177349039068293E-7</c:v>
                </c:pt>
                <c:pt idx="159">
                  <c:v>2.7355274218944078E-7</c:v>
                </c:pt>
                <c:pt idx="160">
                  <c:v>2.4001752896178535E-7</c:v>
                </c:pt>
                <c:pt idx="161">
                  <c:v>2.1059344442259872E-7</c:v>
                </c:pt>
                <c:pt idx="162">
                  <c:v>1.8477649955656091E-7</c:v>
                </c:pt>
                <c:pt idx="163">
                  <c:v>1.6212449006656708E-7</c:v>
                </c:pt>
                <c:pt idx="164">
                  <c:v>1.4224942209871583E-7</c:v>
                </c:pt>
                <c:pt idx="165">
                  <c:v>1.2481086650826364E-7</c:v>
                </c:pt>
                <c:pt idx="166">
                  <c:v>1.0951012783541031E-7</c:v>
                </c:pt>
                <c:pt idx="167">
                  <c:v>9.6085128114497101E-8</c:v>
                </c:pt>
                <c:pt idx="168">
                  <c:v>8.4305917884190632E-8</c:v>
                </c:pt>
                <c:pt idx="169">
                  <c:v>7.3970737509205986E-8</c:v>
                </c:pt>
                <c:pt idx="170">
                  <c:v>6.490256135010805E-8</c:v>
                </c:pt>
                <c:pt idx="171">
                  <c:v>5.6946065588169842E-8</c:v>
                </c:pt>
                <c:pt idx="172">
                  <c:v>4.9964967768822005E-8</c:v>
                </c:pt>
                <c:pt idx="173">
                  <c:v>4.3839692494191416E-8</c:v>
                </c:pt>
                <c:pt idx="174">
                  <c:v>3.8465323281656058E-8</c:v>
                </c:pt>
                <c:pt idx="175">
                  <c:v>3.3749805506923889E-8</c:v>
                </c:pt>
                <c:pt idx="176">
                  <c:v>2.9612369650832958E-8</c:v>
                </c:pt>
                <c:pt idx="177">
                  <c:v>2.5982147842531276E-8</c:v>
                </c:pt>
                <c:pt idx="178">
                  <c:v>2.2796960002563111E-8</c:v>
                </c:pt>
                <c:pt idx="179">
                  <c:v>2.0002248794371846E-8</c:v>
                </c:pt>
                <c:pt idx="180">
                  <c:v>1.7550145141587604E-8</c:v>
                </c:pt>
                <c:pt idx="181">
                  <c:v>1.5398648304857449E-8</c:v>
                </c:pt>
                <c:pt idx="182">
                  <c:v>1.3510906474203624E-8</c:v>
                </c:pt>
                <c:pt idx="183">
                  <c:v>1.1854585554570679E-8</c:v>
                </c:pt>
                <c:pt idx="184">
                  <c:v>1.0401315332835147E-8</c:v>
                </c:pt>
                <c:pt idx="185">
                  <c:v>9.1262035399760215E-9</c:v>
                </c:pt>
                <c:pt idx="186">
                  <c:v>8.0074094850433371E-9</c:v>
                </c:pt>
                <c:pt idx="187">
                  <c:v>7.0257699579348283E-9</c:v>
                </c:pt>
                <c:pt idx="188">
                  <c:v>6.1644709932743502E-9</c:v>
                </c:pt>
                <c:pt idx="189">
                  <c:v>5.4087598732154999E-9</c:v>
                </c:pt>
                <c:pt idx="190">
                  <c:v>4.7456924362242957E-9</c:v>
                </c:pt>
                <c:pt idx="191">
                  <c:v>4.1639113636315733E-9</c:v>
                </c:pt>
                <c:pt idx="192">
                  <c:v>3.6534516463469981E-9</c:v>
                </c:pt>
                <c:pt idx="193">
                  <c:v>3.2055698996806525E-9</c:v>
                </c:pt>
                <c:pt idx="194">
                  <c:v>2.8125946026993516E-9</c:v>
                </c:pt>
                <c:pt idx="195">
                  <c:v>2.4677946969497087E-9</c:v>
                </c:pt>
                <c:pt idx="196">
                  <c:v>2.1652642938475015E-9</c:v>
                </c:pt>
                <c:pt idx="197">
                  <c:v>1.8998215159494135E-9</c:v>
                </c:pt>
                <c:pt idx="198">
                  <c:v>1.6669197394147442E-9</c:v>
                </c:pt>
                <c:pt idx="199">
                  <c:v>1.462569717377864E-9</c:v>
                </c:pt>
                <c:pt idx="200">
                  <c:v>1.2832712503253496E-9</c:v>
                </c:pt>
                <c:pt idx="201">
                  <c:v>1.1259532330971468E-9</c:v>
                </c:pt>
                <c:pt idx="202">
                  <c:v>9.8792105160970294E-10</c:v>
                </c:pt>
                <c:pt idx="203">
                  <c:v>8.6681042828837769E-10</c:v>
                </c:pt>
                <c:pt idx="204">
                  <c:v>7.6054692565284059E-10</c:v>
                </c:pt>
                <c:pt idx="205">
                  <c:v>6.6731041441456895E-10</c:v>
                </c:pt>
                <c:pt idx="206">
                  <c:v>5.8550389747996562E-10</c:v>
                </c:pt>
                <c:pt idx="207">
                  <c:v>5.1372615586253263E-10</c:v>
                </c:pt>
                <c:pt idx="208">
                  <c:v>4.5074774797092728E-10</c:v>
                </c:pt>
                <c:pt idx="209">
                  <c:v>3.9548995117785968E-10</c:v>
                </c:pt>
                <c:pt idx="210">
                  <c:v>3.470062849715097E-10</c:v>
                </c:pt>
                <c:pt idx="211">
                  <c:v>3.044662992096513E-10</c:v>
                </c:pt>
                <c:pt idx="212">
                  <c:v>2.6714134979437576E-10</c:v>
                </c:pt>
                <c:pt idx="213">
                  <c:v>2.3439211812674351E-10</c:v>
                </c:pt>
                <c:pt idx="214">
                  <c:v>2.0565766056894406E-10</c:v>
                </c:pt>
                <c:pt idx="215">
                  <c:v>1.8044580034820402E-10</c:v>
                </c:pt>
                <c:pt idx="216">
                  <c:v>1.5832469733063192E-10</c:v>
                </c:pt>
                <c:pt idx="217">
                  <c:v>1.3891545126827718E-10</c:v>
                </c:pt>
                <c:pt idx="218">
                  <c:v>1.2188561182447621E-10</c:v>
                </c:pt>
                <c:pt idx="219">
                  <c:v>1.0694348421426788E-10</c:v>
                </c:pt>
                <c:pt idx="220">
                  <c:v>9.3833132924313575E-11</c:v>
                </c:pt>
                <c:pt idx="221">
                  <c:v>8.2329997933779914E-11</c:v>
                </c:pt>
                <c:pt idx="222">
                  <c:v>7.2237048348833971E-11</c:v>
                </c:pt>
                <c:pt idx="223">
                  <c:v>6.3381407568464893E-11</c:v>
                </c:pt>
                <c:pt idx="224">
                  <c:v>5.5611392175947111E-11</c:v>
                </c:pt>
                <c:pt idx="225">
                  <c:v>4.8793913836740239E-11</c:v>
                </c:pt>
                <c:pt idx="226">
                  <c:v>4.2812199701358804E-11</c:v>
                </c:pt>
                <c:pt idx="227">
                  <c:v>3.7563792267242245E-11</c:v>
                </c:pt>
                <c:pt idx="228">
                  <c:v>3.2958794440355361E-11</c:v>
                </c:pt>
                <c:pt idx="229">
                  <c:v>2.891832973714156E-11</c:v>
                </c:pt>
                <c:pt idx="230">
                  <c:v>2.5373191252471949E-11</c:v>
                </c:pt>
                <c:pt idx="231">
                  <c:v>2.2262656252503038E-11</c:v>
                </c:pt>
                <c:pt idx="232">
                  <c:v>1.9533446088253756E-11</c:v>
                </c:pt>
                <c:pt idx="233">
                  <c:v>1.7138813614831644E-11</c:v>
                </c:pt>
                <c:pt idx="234">
                  <c:v>1.5037742485212353E-11</c:v>
                </c:pt>
                <c:pt idx="235">
                  <c:v>1.3194244603714477E-11</c:v>
                </c:pt>
                <c:pt idx="236">
                  <c:v>1.1576743705635429E-11</c:v>
                </c:pt>
                <c:pt idx="237">
                  <c:v>1.0157534504721824E-11</c:v>
                </c:pt>
                <c:pt idx="238">
                  <c:v>8.9123081445078335E-12</c:v>
                </c:pt>
                <c:pt idx="239">
                  <c:v>7.8197358252376339E-12</c:v>
                </c:pt>
                <c:pt idx="240">
                  <c:v>6.8611034745457307E-12</c:v>
                </c:pt>
                <c:pt idx="241">
                  <c:v>6.0199912043694826E-12</c:v>
                </c:pt>
                <c:pt idx="242">
                  <c:v>5.2819920636870116E-12</c:v>
                </c:pt>
                <c:pt idx="243">
                  <c:v>4.6344652697502888E-12</c:v>
                </c:pt>
                <c:pt idx="244">
                  <c:v>4.0663196910464583E-12</c:v>
                </c:pt>
                <c:pt idx="245">
                  <c:v>3.5678238733857403E-12</c:v>
                </c:pt>
                <c:pt idx="246">
                  <c:v>3.1304393551568873E-12</c:v>
                </c:pt>
                <c:pt idx="247">
                  <c:v>2.7466744166985856E-12</c:v>
                </c:pt>
                <c:pt idx="248">
                  <c:v>2.4099557587399499E-12</c:v>
                </c:pt>
                <c:pt idx="249">
                  <c:v>2.1145159119604507E-12</c:v>
                </c:pt>
                <c:pt idx="250">
                  <c:v>1.8552944491693491E-12</c:v>
                </c:pt>
                <c:pt idx="251">
                  <c:v>1.6278513080222112E-12</c:v>
                </c:pt>
                <c:pt idx="252">
                  <c:v>1.4282907396268203E-12</c:v>
                </c:pt>
                <c:pt idx="253">
                  <c:v>1.2531945803958492E-12</c:v>
                </c:pt>
                <c:pt idx="254">
                  <c:v>1.0995637041964324E-12</c:v>
                </c:pt>
                <c:pt idx="255">
                  <c:v>9.6476665196260053E-13</c:v>
                </c:pt>
                <c:pt idx="256">
                  <c:v>8.4649455887536884E-13</c:v>
                </c:pt>
                <c:pt idx="257">
                  <c:v>7.4272160708285214E-13</c:v>
                </c:pt>
                <c:pt idx="258">
                  <c:v>6.5167032657672749E-13</c:v>
                </c:pt>
                <c:pt idx="259">
                  <c:v>5.7178114988277893E-13</c:v>
                </c:pt>
                <c:pt idx="260">
                  <c:v>5.0168569908450453E-13</c:v>
                </c:pt>
                <c:pt idx="261">
                  <c:v>4.4018334762785867E-13</c:v>
                </c:pt>
                <c:pt idx="262">
                  <c:v>3.8622065544712859E-13</c:v>
                </c:pt>
                <c:pt idx="263">
                  <c:v>3.3887332516748994E-13</c:v>
                </c:pt>
                <c:pt idx="264">
                  <c:v>2.973303703219251E-13</c:v>
                </c:pt>
                <c:pt idx="265">
                  <c:v>2.6088022440857008E-13</c:v>
                </c:pt>
                <c:pt idx="266">
                  <c:v>2.2889855285814796E-13</c:v>
                </c:pt>
                <c:pt idx="267">
                  <c:v>2.0083755914935944E-13</c:v>
                </c:pt>
                <c:pt idx="268">
                  <c:v>1.7621660190254299E-13</c:v>
                </c:pt>
                <c:pt idx="269">
                  <c:v>1.5461396223694523E-13</c:v>
                </c:pt>
                <c:pt idx="270">
                  <c:v>1.3565962037917693E-13</c:v>
                </c:pt>
                <c:pt idx="271">
                  <c:v>1.1902891779734005E-13</c:v>
                </c:pt>
                <c:pt idx="272">
                  <c:v>1.0443699630299598E-13</c:v>
                </c:pt>
                <c:pt idx="273">
                  <c:v>9.1633918871399975E-14</c:v>
                </c:pt>
                <c:pt idx="274">
                  <c:v>8.0400388607206948E-14</c:v>
                </c:pt>
                <c:pt idx="275">
                  <c:v>7.0543992528158175E-14</c:v>
                </c:pt>
                <c:pt idx="276">
                  <c:v>6.1895905828578997E-14</c:v>
                </c:pt>
                <c:pt idx="277">
                  <c:v>5.4308000171823351E-14</c:v>
                </c:pt>
                <c:pt idx="278">
                  <c:v>4.765030648119164E-14</c:v>
                </c:pt>
                <c:pt idx="279">
                  <c:v>4.1808788770858207E-14</c:v>
                </c:pt>
                <c:pt idx="280">
                  <c:v>3.6683390885978754E-14</c:v>
                </c:pt>
                <c:pt idx="281">
                  <c:v>3.2186322695659532E-14</c:v>
                </c:pt>
                <c:pt idx="282">
                  <c:v>2.8240556383927305E-14</c:v>
                </c:pt>
                <c:pt idx="283">
                  <c:v>2.4778507082492138E-14</c:v>
                </c:pt>
                <c:pt idx="284">
                  <c:v>2.1740875246584998E-14</c:v>
                </c:pt>
                <c:pt idx="285">
                  <c:v>1.9075630945560308E-14</c:v>
                </c:pt>
                <c:pt idx="286">
                  <c:v>1.6737122670734028E-14</c:v>
                </c:pt>
                <c:pt idx="287">
                  <c:v>1.4685295395715188E-14</c:v>
                </c:pt>
                <c:pt idx="288">
                  <c:v>1.2885004495814919E-14</c:v>
                </c:pt>
                <c:pt idx="289">
                  <c:v>1.1305413775034599E-14</c:v>
                </c:pt>
                <c:pt idx="290">
                  <c:v>9.9194672897674059E-15</c:v>
                </c:pt>
                <c:pt idx="291">
                  <c:v>8.7034259223709312E-15</c:v>
                </c:pt>
                <c:pt idx="292">
                  <c:v>7.6364607668336268E-15</c:v>
                </c:pt>
                <c:pt idx="293">
                  <c:v>6.7002963618610652E-15</c:v>
                </c:pt>
                <c:pt idx="294">
                  <c:v>5.8788976605170728E-15</c:v>
                </c:pt>
                <c:pt idx="295">
                  <c:v>5.1581953746943473E-15</c:v>
                </c:pt>
                <c:pt idx="296">
                  <c:v>4.5258449899905164E-15</c:v>
                </c:pt>
                <c:pt idx="297">
                  <c:v>3.971015323287557E-15</c:v>
                </c:pt>
                <c:pt idx="298">
                  <c:v>3.484203001353262E-15</c:v>
                </c:pt>
                <c:pt idx="299">
                  <c:v>3.0570696827703977E-15</c:v>
                </c:pt>
                <c:pt idx="300">
                  <c:v>2.6822992350572125E-15</c:v>
                </c:pt>
                <c:pt idx="301">
                  <c:v>2.3534724206444823E-15</c:v>
                </c:pt>
                <c:pt idx="302">
                  <c:v>2.0649569452738776E-15</c:v>
                </c:pt>
                <c:pt idx="303">
                  <c:v>1.8118109855169425E-15</c:v>
                </c:pt>
                <c:pt idx="304">
                  <c:v>1.5896985429904406E-15</c:v>
                </c:pt>
                <c:pt idx="305">
                  <c:v>1.3948151754168167E-15</c:v>
                </c:pt>
                <c:pt idx="306">
                  <c:v>1.2238228324178215E-15</c:v>
                </c:pt>
                <c:pt idx="307">
                  <c:v>1.0737926798793285E-15</c:v>
                </c:pt>
                <c:pt idx="308">
                  <c:v>9.4215493355722708E-16</c:v>
                </c:pt>
                <c:pt idx="309">
                  <c:v>8.2665484265172738E-16</c:v>
                </c:pt>
                <c:pt idx="310">
                  <c:v>7.2531406941684779E-16</c:v>
                </c:pt>
                <c:pt idx="311">
                  <c:v>6.3639680329758544E-16</c:v>
                </c:pt>
                <c:pt idx="312">
                  <c:v>5.5838002918240129E-16</c:v>
                </c:pt>
                <c:pt idx="313">
                  <c:v>4.8992744051221145E-16</c:v>
                </c:pt>
                <c:pt idx="314">
                  <c:v>4.2986655041783073E-16</c:v>
                </c:pt>
                <c:pt idx="315">
                  <c:v>3.7716860883508651E-16</c:v>
                </c:pt>
                <c:pt idx="316">
                  <c:v>3.3093098160887689E-16</c:v>
                </c:pt>
                <c:pt idx="317">
                  <c:v>2.9036168976750498E-16</c:v>
                </c:pt>
                <c:pt idx="318">
                  <c:v>2.5476584414899422E-16</c:v>
                </c:pt>
                <c:pt idx="319">
                  <c:v>2.2353374302553511E-16</c:v>
                </c:pt>
                <c:pt idx="320">
                  <c:v>1.9613042885679633E-16</c:v>
                </c:pt>
                <c:pt idx="321">
                  <c:v>1.7208652529545214E-16</c:v>
                </c:pt>
                <c:pt idx="322">
                  <c:v>1.5099019749701683E-16</c:v>
                </c:pt>
                <c:pt idx="323">
                  <c:v>1.3248009802653997E-16</c:v>
                </c:pt>
                <c:pt idx="324">
                  <c:v>1.1623917753646489E-16</c:v>
                </c:pt>
                <c:pt idx="325">
                  <c:v>1.0198925420214451E-16</c:v>
                </c:pt>
                <c:pt idx="326">
                  <c:v>8.9486248897851538E-17</c:v>
                </c:pt>
                <c:pt idx="327">
                  <c:v>7.8516004499225535E-17</c:v>
                </c:pt>
                <c:pt idx="328">
                  <c:v>6.8890617703279467E-17</c:v>
                </c:pt>
                <c:pt idx="329">
                  <c:v>6.0445220535721677E-17</c:v>
                </c:pt>
                <c:pt idx="330">
                  <c:v>5.3035156417796241E-17</c:v>
                </c:pt>
                <c:pt idx="331">
                  <c:v>4.6533502423038711E-17</c:v>
                </c:pt>
                <c:pt idx="332">
                  <c:v>4.0828895284041218E-17</c:v>
                </c:pt>
                <c:pt idx="333">
                  <c:v>3.5823623912088627E-17</c:v>
                </c:pt>
                <c:pt idx="334">
                  <c:v>3.1431955757480011E-17</c:v>
                </c:pt>
                <c:pt idx="335">
                  <c:v>2.7578668343679009E-17</c:v>
                </c:pt>
                <c:pt idx="336">
                  <c:v>2.4197760822746228E-17</c:v>
                </c:pt>
                <c:pt idx="337">
                  <c:v>2.1231323482993162E-17</c:v>
                </c:pt>
                <c:pt idx="338">
                  <c:v>1.8628545845273739E-17</c:v>
                </c:pt>
                <c:pt idx="339">
                  <c:v>1.6344846358138699E-17</c:v>
                </c:pt>
                <c:pt idx="340">
                  <c:v>1.4341108784878114E-17</c:v>
                </c:pt>
                <c:pt idx="341">
                  <c:v>1.2583012202944257E-17</c:v>
                </c:pt>
                <c:pt idx="342">
                  <c:v>1.1040443139682225E-17</c:v>
                </c:pt>
                <c:pt idx="343">
                  <c:v>9.6869797751634823E-18</c:v>
                </c:pt>
                <c:pt idx="344">
                  <c:v>8.4994393773153625E-18</c:v>
                </c:pt>
                <c:pt idx="345">
                  <c:v>7.4574812176109637E-18</c:v>
                </c:pt>
                <c:pt idx="346">
                  <c:v>6.5432581658799464E-18</c:v>
                </c:pt>
                <c:pt idx="347">
                  <c:v>5.741110996598704E-18</c:v>
                </c:pt>
                <c:pt idx="348">
                  <c:v>5.0373001705999485E-18</c:v>
                </c:pt>
                <c:pt idx="349">
                  <c:v>4.4197704980376137E-18</c:v>
                </c:pt>
                <c:pt idx="350">
                  <c:v>3.8779446516480048E-18</c:v>
                </c:pt>
                <c:pt idx="351">
                  <c:v>3.402541993509045E-18</c:v>
                </c:pt>
                <c:pt idx="352">
                  <c:v>2.9854196120804665E-18</c:v>
                </c:pt>
                <c:pt idx="353">
                  <c:v>2.6194328467355591E-18</c:v>
                </c:pt>
                <c:pt idx="354">
                  <c:v>2.2983129107856273E-18</c:v>
                </c:pt>
                <c:pt idx="355">
                  <c:v>2.0165595168690211E-18</c:v>
                </c:pt>
                <c:pt idx="356">
                  <c:v>1.7693466655438892E-18</c:v>
                </c:pt>
                <c:pt idx="357">
                  <c:v>1.5524399833891021E-18</c:v>
                </c:pt>
                <c:pt idx="358">
                  <c:v>1.362124194742985E-18</c:v>
                </c:pt>
                <c:pt idx="359">
                  <c:v>1.1951394847830288E-18</c:v>
                </c:pt>
                <c:pt idx="360">
                  <c:v>1.0486256639446567E-18</c:v>
                </c:pt>
                <c:pt idx="361">
                  <c:v>9.2007317730197957E-19</c:v>
                </c:pt>
                <c:pt idx="362">
                  <c:v>8.0728011977707752E-19</c:v>
                </c:pt>
                <c:pt idx="363">
                  <c:v>7.0831452091489042E-19</c:v>
                </c:pt>
                <c:pt idx="364">
                  <c:v>6.2148125322029828E-19</c:v>
                </c:pt>
                <c:pt idx="365">
                  <c:v>5.4529299724843876E-19</c:v>
                </c:pt>
              </c:numCache>
            </c:numRef>
          </c:yVal>
          <c:smooth val="1"/>
          <c:extLst>
            <c:ext xmlns:c16="http://schemas.microsoft.com/office/drawing/2014/chart" uri="{C3380CC4-5D6E-409C-BE32-E72D297353CC}">
              <c16:uniqueId val="{00000006-0CF0-4AA2-A727-45757B791E30}"/>
            </c:ext>
          </c:extLst>
        </c:ser>
        <c:ser>
          <c:idx val="7"/>
          <c:order val="7"/>
          <c:tx>
            <c:v>herps (mean)</c:v>
          </c:tx>
          <c:spPr>
            <a:ln w="19050" cap="rnd">
              <a:solidFill>
                <a:schemeClr val="accent4"/>
              </a:solidFill>
              <a:prstDash val="sysDash"/>
              <a:round/>
            </a:ln>
            <a:effectLst/>
          </c:spPr>
          <c:marker>
            <c:symbol val="none"/>
          </c:marker>
          <c:xVal>
            <c:numRef>
              <c:f>'Max rate concentrations'!$V$3:$V$368</c:f>
              <c:numCache>
                <c:formatCode>General</c:formatCode>
                <c:ptCount val="3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numCache>
            </c:numRef>
          </c:xVal>
          <c:yVal>
            <c:numRef>
              <c:f>'Max rate concentrations'!$AE$3:$AE$368</c:f>
              <c:numCache>
                <c:formatCode>General</c:formatCode>
                <c:ptCount val="366"/>
                <c:pt idx="0">
                  <c:v>10.829643465777366</c:v>
                </c:pt>
                <c:pt idx="1">
                  <c:v>11.81956602976166</c:v>
                </c:pt>
                <c:pt idx="2">
                  <c:v>10.866543252705901</c:v>
                </c:pt>
                <c:pt idx="3">
                  <c:v>9.6405327498920013</c:v>
                </c:pt>
                <c:pt idx="4">
                  <c:v>8.4813990833393937</c:v>
                </c:pt>
                <c:pt idx="5">
                  <c:v>7.4465130317622563</c:v>
                </c:pt>
                <c:pt idx="6">
                  <c:v>6.5346747372509277</c:v>
                </c:pt>
                <c:pt idx="7">
                  <c:v>5.7338024150124047</c:v>
                </c:pt>
                <c:pt idx="8">
                  <c:v>5.0309351930513051</c:v>
                </c:pt>
                <c:pt idx="9">
                  <c:v>4.4141960058352518</c:v>
                </c:pt>
                <c:pt idx="10">
                  <c:v>3.8730557257239395</c:v>
                </c:pt>
                <c:pt idx="11">
                  <c:v>3.3982528746885841</c:v>
                </c:pt>
                <c:pt idx="12">
                  <c:v>2.9816564022377343</c:v>
                </c:pt>
                <c:pt idx="13">
                  <c:v>2.6161309954295717</c:v>
                </c:pt>
                <c:pt idx="14">
                  <c:v>2.295415842624037</c:v>
                </c:pt>
                <c:pt idx="15">
                  <c:v>2.0140176053239864</c:v>
                </c:pt>
                <c:pt idx="16">
                  <c:v>1.7671163706995399</c:v>
                </c:pt>
                <c:pt idx="17">
                  <c:v>1.5504831035536202</c:v>
                </c:pt>
                <c:pt idx="18">
                  <c:v>1.3604072115528203</c:v>
                </c:pt>
                <c:pt idx="19">
                  <c:v>1.1936329889653954</c:v>
                </c:pt>
                <c:pt idx="20">
                  <c:v>1.0473038515565762</c:v>
                </c:pt>
                <c:pt idx="21">
                  <c:v>0.91891340774319841</c:v>
                </c:pt>
                <c:pt idx="22">
                  <c:v>0.80626252799046161</c:v>
                </c:pt>
                <c:pt idx="23">
                  <c:v>0.7074216771284989</c:v>
                </c:pt>
                <c:pt idx="24">
                  <c:v>0.62069786440232078</c:v>
                </c:pt>
                <c:pt idx="25">
                  <c:v>0.54460564516122412</c:v>
                </c:pt>
                <c:pt idx="26">
                  <c:v>0.47784167749162321</c:v>
                </c:pt>
                <c:pt idx="27">
                  <c:v>0.41926239798783804</c:v>
                </c:pt>
                <c:pt idx="28">
                  <c:v>0.36786443428136051</c:v>
                </c:pt>
                <c:pt idx="29">
                  <c:v>0.3227674188255511</c:v>
                </c:pt>
                <c:pt idx="30">
                  <c:v>0.28319890956250404</c:v>
                </c:pt>
                <c:pt idx="31">
                  <c:v>0.24848115918644997</c:v>
                </c:pt>
                <c:pt idx="32">
                  <c:v>0.2180195063816614</c:v>
                </c:pt>
                <c:pt idx="33">
                  <c:v>0.19129219019473775</c:v>
                </c:pt>
                <c:pt idx="34">
                  <c:v>0.16784141307723693</c:v>
                </c:pt>
                <c:pt idx="35">
                  <c:v>0.14726549952240875</c:v>
                </c:pt>
                <c:pt idx="36">
                  <c:v>0.12921201598561752</c:v>
                </c:pt>
                <c:pt idx="37">
                  <c:v>0.11337173424334163</c:v>
                </c:pt>
                <c:pt idx="38">
                  <c:v>9.9473334792435669E-2</c:v>
                </c:pt>
                <c:pt idx="39">
                  <c:v>8.7278759567084294E-2</c:v>
                </c:pt>
                <c:pt idx="40">
                  <c:v>7.657913437268396E-2</c:v>
                </c:pt>
                <c:pt idx="41">
                  <c:v>6.7191191194257427E-2</c:v>
                </c:pt>
                <c:pt idx="42">
                  <c:v>5.8954129099083291E-2</c:v>
                </c:pt>
                <c:pt idx="43">
                  <c:v>5.172685996566205E-2</c:v>
                </c:pt>
                <c:pt idx="44">
                  <c:v>4.5385591862620138E-2</c:v>
                </c:pt>
                <c:pt idx="45">
                  <c:v>3.982170868457368E-2</c:v>
                </c:pt>
                <c:pt idx="46">
                  <c:v>3.4939909726397114E-2</c:v>
                </c:pt>
                <c:pt idx="47">
                  <c:v>3.0656577329683937E-2</c:v>
                </c:pt>
                <c:pt idx="48">
                  <c:v>2.6898344641710752E-2</c:v>
                </c:pt>
                <c:pt idx="49">
                  <c:v>2.3600838954832823E-2</c:v>
                </c:pt>
                <c:pt idx="50">
                  <c:v>2.0707579101660621E-2</c:v>
                </c:pt>
                <c:pt idx="51">
                  <c:v>1.8169008020103627E-2</c:v>
                </c:pt>
                <c:pt idx="52">
                  <c:v>1.5941643917618403E-2</c:v>
                </c:pt>
                <c:pt idx="53">
                  <c:v>1.3987335495418552E-2</c:v>
                </c:pt>
                <c:pt idx="54">
                  <c:v>1.2272608475790375E-2</c:v>
                </c:pt>
                <c:pt idx="55">
                  <c:v>1.0768092239538778E-2</c:v>
                </c:pt>
                <c:pt idx="56">
                  <c:v>9.4480167527504991E-3</c:v>
                </c:pt>
                <c:pt idx="57">
                  <c:v>8.2897711660090238E-3</c:v>
                </c:pt>
                <c:pt idx="58">
                  <c:v>7.2735165255490052E-3</c:v>
                </c:pt>
                <c:pt idx="59">
                  <c:v>6.3818459626919077E-3</c:v>
                </c:pt>
                <c:pt idx="60">
                  <c:v>5.5994865411339457E-3</c:v>
                </c:pt>
                <c:pt idx="61">
                  <c:v>4.9130376551919722E-3</c:v>
                </c:pt>
                <c:pt idx="62">
                  <c:v>4.3107414981742396E-3</c:v>
                </c:pt>
                <c:pt idx="63">
                  <c:v>3.7822816693545962E-3</c:v>
                </c:pt>
                <c:pt idx="64">
                  <c:v>3.3186064699993658E-3</c:v>
                </c:pt>
                <c:pt idx="65">
                  <c:v>2.9117738617814048E-3</c:v>
                </c:pt>
                <c:pt idx="66">
                  <c:v>2.5548154319590104E-3</c:v>
                </c:pt>
                <c:pt idx="67">
                  <c:v>2.2416170352537877E-3</c:v>
                </c:pt>
                <c:pt idx="68">
                  <c:v>1.9668140680076337E-3</c:v>
                </c:pt>
                <c:pt idx="69">
                  <c:v>1.7256995808272732E-3</c:v>
                </c:pt>
                <c:pt idx="70">
                  <c:v>1.5141436558282072E-3</c:v>
                </c:pt>
                <c:pt idx="71">
                  <c:v>1.328522667535074E-3</c:v>
                </c:pt>
                <c:pt idx="72">
                  <c:v>1.1656572157871662E-3</c:v>
                </c:pt>
                <c:pt idx="73">
                  <c:v>1.0227576675358578E-3</c:v>
                </c:pt>
                <c:pt idx="74">
                  <c:v>8.9737637474924712E-4</c:v>
                </c:pt>
                <c:pt idx="75">
                  <c:v>7.8736574999069178E-4</c:v>
                </c:pt>
                <c:pt idx="76">
                  <c:v>6.9084148157080145E-4</c:v>
                </c:pt>
                <c:pt idx="77">
                  <c:v>6.0615025820539192E-4</c:v>
                </c:pt>
                <c:pt idx="78">
                  <c:v>5.3184145035275825E-4</c:v>
                </c:pt>
                <c:pt idx="79">
                  <c:v>4.6664226317541361E-4</c:v>
                </c:pt>
                <c:pt idx="80">
                  <c:v>4.0943593553499836E-4</c:v>
                </c:pt>
                <c:pt idx="81">
                  <c:v>3.5924261160289145E-4</c:v>
                </c:pt>
                <c:pt idx="82">
                  <c:v>3.1520255744682752E-4</c:v>
                </c:pt>
                <c:pt idx="83">
                  <c:v>2.7656143511963307E-4</c:v>
                </c:pt>
                <c:pt idx="84">
                  <c:v>2.4265738201801774E-4</c:v>
                </c:pt>
                <c:pt idx="85">
                  <c:v>2.1290967420084135E-4</c:v>
                </c:pt>
                <c:pt idx="86">
                  <c:v>1.868087794870487E-4</c:v>
                </c:pt>
                <c:pt idx="87">
                  <c:v>1.6390762995823925E-4</c:v>
                </c:pt>
                <c:pt idx="88">
                  <c:v>1.4381396437735238E-4</c:v>
                </c:pt>
                <c:pt idx="89">
                  <c:v>1.2618360936095469E-4</c:v>
                </c:pt>
                <c:pt idx="90">
                  <c:v>1.1071458422201339E-4</c:v>
                </c:pt>
                <c:pt idx="91">
                  <c:v>9.7141928508238026E-5</c:v>
                </c:pt>
                <c:pt idx="92">
                  <c:v>8.523316363973081E-5</c:v>
                </c:pt>
                <c:pt idx="93">
                  <c:v>7.4784310910824221E-5</c:v>
                </c:pt>
                <c:pt idx="94">
                  <c:v>6.5616397650642059E-5</c:v>
                </c:pt>
                <c:pt idx="95">
                  <c:v>5.757239169832356E-5</c:v>
                </c:pt>
                <c:pt idx="96">
                  <c:v>5.0514511685216873E-5</c:v>
                </c:pt>
                <c:pt idx="97">
                  <c:v>4.4321867053340006E-5</c:v>
                </c:pt>
                <c:pt idx="98">
                  <c:v>3.8888387387279011E-5</c:v>
                </c:pt>
                <c:pt idx="99">
                  <c:v>3.4121005592184695E-5</c:v>
                </c:pt>
                <c:pt idx="100">
                  <c:v>2.9938063798519487E-5</c:v>
                </c:pt>
                <c:pt idx="101">
                  <c:v>2.6267914689170669E-5</c:v>
                </c:pt>
                <c:pt idx="102">
                  <c:v>2.3047694291828942E-5</c:v>
                </c:pt>
                <c:pt idx="103">
                  <c:v>2.0222245216465461E-5</c:v>
                </c:pt>
                <c:pt idx="104">
                  <c:v>1.7743171894632459E-5</c:v>
                </c:pt>
                <c:pt idx="105">
                  <c:v>1.5568011638299229E-5</c:v>
                </c:pt>
                <c:pt idx="106">
                  <c:v>1.3659507319744683E-5</c:v>
                </c:pt>
                <c:pt idx="107">
                  <c:v>1.1984969214639043E-5</c:v>
                </c:pt>
                <c:pt idx="108">
                  <c:v>1.0515715077674591E-5</c:v>
                </c:pt>
                <c:pt idx="109">
                  <c:v>9.2265788601079127E-6</c:v>
                </c:pt>
                <c:pt idx="110">
                  <c:v>8.095479654305689E-6</c:v>
                </c:pt>
                <c:pt idx="111">
                  <c:v>7.1030434819814521E-6</c:v>
                </c:pt>
                <c:pt idx="112">
                  <c:v>6.2322714479413169E-6</c:v>
                </c:pt>
                <c:pt idx="113">
                  <c:v>5.4682485753261205E-6</c:v>
                </c:pt>
                <c:pt idx="114">
                  <c:v>4.797888335148412E-6</c:v>
                </c:pt>
                <c:pt idx="115">
                  <c:v>4.2097084943107808E-6</c:v>
                </c:pt>
                <c:pt idx="116">
                  <c:v>3.6936344427290983E-6</c:v>
                </c:pt>
                <c:pt idx="117">
                  <c:v>3.2408266308587565E-6</c:v>
                </c:pt>
                <c:pt idx="118">
                  <c:v>2.843529161895904E-6</c:v>
                </c:pt>
                <c:pt idx="119">
                  <c:v>2.4949369452724716E-6</c:v>
                </c:pt>
                <c:pt idx="120">
                  <c:v>2.1890791359900275E-6</c:v>
                </c:pt>
                <c:pt idx="121">
                  <c:v>1.9207168632887052E-6</c:v>
                </c:pt>
                <c:pt idx="122">
                  <c:v>1.6852534969016344E-6</c:v>
                </c:pt>
                <c:pt idx="123">
                  <c:v>1.478655913894734E-6</c:v>
                </c:pt>
                <c:pt idx="124">
                  <c:v>1.2973854175147214E-6</c:v>
                </c:pt>
                <c:pt idx="125">
                  <c:v>1.1383371247921547E-6</c:v>
                </c:pt>
                <c:pt idx="126">
                  <c:v>9.9878678470298609E-7</c:v>
                </c:pt>
                <c:pt idx="127">
                  <c:v>8.7634411596606164E-7</c:v>
                </c:pt>
                <c:pt idx="128">
                  <c:v>7.6891186522528494E-7</c:v>
                </c:pt>
                <c:pt idx="129">
                  <c:v>6.7464988434648579E-7</c:v>
                </c:pt>
                <c:pt idx="130">
                  <c:v>5.9194361152870305E-7</c:v>
                </c:pt>
                <c:pt idx="131">
                  <c:v>5.1937641636011548E-7</c:v>
                </c:pt>
                <c:pt idx="132">
                  <c:v>4.5570533513223986E-7</c:v>
                </c:pt>
                <c:pt idx="133">
                  <c:v>3.9983978079589684E-7</c:v>
                </c:pt>
                <c:pt idx="134">
                  <c:v>3.5082286289344868E-7</c:v>
                </c:pt>
                <c:pt idx="135">
                  <c:v>3.078149975066675E-7</c:v>
                </c:pt>
                <c:pt idx="136">
                  <c:v>2.7007952648401667E-7</c:v>
                </c:pt>
                <c:pt idx="137">
                  <c:v>2.3697009962697045E-7</c:v>
                </c:pt>
                <c:pt idx="138">
                  <c:v>2.0791960371175913E-7</c:v>
                </c:pt>
                <c:pt idx="139">
                  <c:v>1.8243044871782099E-7</c:v>
                </c:pt>
                <c:pt idx="140">
                  <c:v>1.6006604488109302E-7</c:v>
                </c:pt>
                <c:pt idx="141">
                  <c:v>1.4044332458725818E-7</c:v>
                </c:pt>
                <c:pt idx="142">
                  <c:v>1.2322618101655731E-7</c:v>
                </c:pt>
                <c:pt idx="143">
                  <c:v>1.0811971115430995E-7</c:v>
                </c:pt>
                <c:pt idx="144">
                  <c:v>9.4865164558826197E-8</c:v>
                </c:pt>
                <c:pt idx="145">
                  <c:v>8.3235511366924619E-8</c:v>
                </c:pt>
                <c:pt idx="146">
                  <c:v>7.3031553623851778E-8</c:v>
                </c:pt>
                <c:pt idx="147">
                  <c:v>6.4078513330705136E-8</c:v>
                </c:pt>
                <c:pt idx="148">
                  <c:v>5.6223038767894102E-8</c:v>
                </c:pt>
                <c:pt idx="149">
                  <c:v>4.9330577817594603E-8</c:v>
                </c:pt>
                <c:pt idx="150">
                  <c:v>4.3283073294277349E-8</c:v>
                </c:pt>
                <c:pt idx="151">
                  <c:v>3.7976940807889659E-8</c:v>
                </c:pt>
                <c:pt idx="152">
                  <c:v>3.3321294523617867E-8</c:v>
                </c:pt>
                <c:pt idx="153">
                  <c:v>2.9236390428241686E-8</c:v>
                </c:pt>
                <c:pt idx="154">
                  <c:v>2.5652260438643232E-8</c:v>
                </c:pt>
                <c:pt idx="155">
                  <c:v>2.2507513956864201E-8</c:v>
                </c:pt>
                <c:pt idx="156">
                  <c:v>1.9748286344204551E-8</c:v>
                </c:pt>
                <c:pt idx="157">
                  <c:v>1.7327316303352011E-8</c:v>
                </c:pt>
                <c:pt idx="158">
                  <c:v>1.5203136365526591E-8</c:v>
                </c:pt>
                <c:pt idx="159">
                  <c:v>1.3339362616938167E-8</c:v>
                </c:pt>
                <c:pt idx="160">
                  <c:v>1.1704071498670941E-8</c:v>
                </c:pt>
                <c:pt idx="161">
                  <c:v>1.0269253005541593E-8</c:v>
                </c:pt>
                <c:pt idx="162">
                  <c:v>9.0103309180741335E-9</c:v>
                </c:pt>
                <c:pt idx="163">
                  <c:v>7.9057418499078994E-9</c:v>
                </c:pt>
                <c:pt idx="164">
                  <c:v>6.9365659003725118E-9</c:v>
                </c:pt>
                <c:pt idx="165">
                  <c:v>6.0862025858801923E-9</c:v>
                </c:pt>
                <c:pt idx="166">
                  <c:v>5.3400864993419146E-9</c:v>
                </c:pt>
                <c:pt idx="167">
                  <c:v>4.6854378272933711E-9</c:v>
                </c:pt>
                <c:pt idx="168">
                  <c:v>4.1110434514753719E-9</c:v>
                </c:pt>
                <c:pt idx="169">
                  <c:v>3.6070648854776351E-9</c:v>
                </c:pt>
                <c:pt idx="170">
                  <c:v>3.1648697566980044E-9</c:v>
                </c:pt>
                <c:pt idx="171">
                  <c:v>2.7768839471639687E-9</c:v>
                </c:pt>
                <c:pt idx="172">
                  <c:v>2.436461860617648E-9</c:v>
                </c:pt>
                <c:pt idx="173">
                  <c:v>2.1377725937402612E-9</c:v>
                </c:pt>
                <c:pt idx="174">
                  <c:v>1.8757000618053762E-9</c:v>
                </c:pt>
                <c:pt idx="175">
                  <c:v>1.6457553680680024E-9</c:v>
                </c:pt>
                <c:pt idx="176">
                  <c:v>1.4439999159128262E-9</c:v>
                </c:pt>
                <c:pt idx="177">
                  <c:v>1.2669779467917201E-9</c:v>
                </c:pt>
                <c:pt idx="178">
                  <c:v>1.1116573484298386E-9</c:v>
                </c:pt>
                <c:pt idx="179">
                  <c:v>9.7537771943650986E-10</c:v>
                </c:pt>
                <c:pt idx="180">
                  <c:v>8.5580480074810707E-10</c:v>
                </c:pt>
                <c:pt idx="181">
                  <c:v>7.5089049338406732E-10</c:v>
                </c:pt>
                <c:pt idx="182">
                  <c:v>6.5883777768211503E-10</c:v>
                </c:pt>
                <c:pt idx="183">
                  <c:v>5.7806993313349907E-10</c:v>
                </c:pt>
                <c:pt idx="184">
                  <c:v>5.0720353160167527E-10</c:v>
                </c:pt>
                <c:pt idx="185">
                  <c:v>4.4502474134007798E-10</c:v>
                </c:pt>
                <c:pt idx="186">
                  <c:v>3.90468535933493E-10</c:v>
                </c:pt>
                <c:pt idx="187">
                  <c:v>3.4260045204438348E-10</c:v>
                </c:pt>
                <c:pt idx="188">
                  <c:v>3.0060058350260498E-10</c:v>
                </c:pt>
                <c:pt idx="189">
                  <c:v>2.6374953758204753E-10</c:v>
                </c:pt>
                <c:pt idx="190">
                  <c:v>2.3141611291696333E-10</c:v>
                </c:pt>
                <c:pt idx="191">
                  <c:v>2.0304648799976477E-10</c:v>
                </c:pt>
                <c:pt idx="192">
                  <c:v>1.7815473507599706E-10</c:v>
                </c:pt>
                <c:pt idx="193">
                  <c:v>1.563144969541924E-10</c:v>
                </c:pt>
                <c:pt idx="194">
                  <c:v>1.3715168416724432E-10</c:v>
                </c:pt>
                <c:pt idx="195">
                  <c:v>1.2033806739898175E-10</c:v>
                </c:pt>
                <c:pt idx="196">
                  <c:v>1.0558565542413081E-10</c:v>
                </c:pt>
                <c:pt idx="197">
                  <c:v>9.2641762264478708E-11</c:v>
                </c:pt>
                <c:pt idx="198">
                  <c:v>8.1284679069262323E-11</c:v>
                </c:pt>
                <c:pt idx="199">
                  <c:v>7.1319876585792752E-11</c:v>
                </c:pt>
                <c:pt idx="200">
                  <c:v>6.2576673174516734E-11</c:v>
                </c:pt>
                <c:pt idx="201">
                  <c:v>5.4905311296771584E-11</c:v>
                </c:pt>
                <c:pt idx="202">
                  <c:v>4.8174392399994729E-11</c:v>
                </c:pt>
                <c:pt idx="203">
                  <c:v>4.2268626263942724E-11</c:v>
                </c:pt>
                <c:pt idx="204">
                  <c:v>3.7086856257704746E-11</c:v>
                </c:pt>
                <c:pt idx="205">
                  <c:v>3.2540326683220573E-11</c:v>
                </c:pt>
                <c:pt idx="206">
                  <c:v>2.8551162527579772E-11</c:v>
                </c:pt>
                <c:pt idx="207">
                  <c:v>2.5051035584612531E-11</c:v>
                </c:pt>
                <c:pt idx="208">
                  <c:v>2.1979994098500197E-11</c:v>
                </c:pt>
                <c:pt idx="209">
                  <c:v>1.9285435883012257E-11</c:v>
                </c:pt>
                <c:pt idx="210">
                  <c:v>1.6921207327492198E-11</c:v>
                </c:pt>
                <c:pt idx="211">
                  <c:v>1.4846812856959561E-11</c:v>
                </c:pt>
                <c:pt idx="212">
                  <c:v>1.3026721305603679E-11</c:v>
                </c:pt>
                <c:pt idx="213">
                  <c:v>1.142975732292084E-11</c:v>
                </c:pt>
                <c:pt idx="214">
                  <c:v>1.0028567388224212E-11</c:v>
                </c:pt>
                <c:pt idx="215">
                  <c:v>8.799151287181771E-12</c:v>
                </c:pt>
                <c:pt idx="216">
                  <c:v>7.7204510253006831E-12</c:v>
                </c:pt>
                <c:pt idx="217">
                  <c:v>6.773990137082531E-12</c:v>
                </c:pt>
                <c:pt idx="218">
                  <c:v>5.9435572127736253E-12</c:v>
                </c:pt>
                <c:pt idx="219">
                  <c:v>5.2149282220135885E-12</c:v>
                </c:pt>
                <c:pt idx="220">
                  <c:v>4.5756228782161827E-12</c:v>
                </c:pt>
                <c:pt idx="221">
                  <c:v>4.0146908705814179E-12</c:v>
                </c:pt>
                <c:pt idx="222">
                  <c:v>3.522524302224253E-12</c:v>
                </c:pt>
                <c:pt idx="223">
                  <c:v>3.0906931217753949E-12</c:v>
                </c:pt>
                <c:pt idx="224">
                  <c:v>2.7118007296523132E-12</c:v>
                </c:pt>
                <c:pt idx="225">
                  <c:v>2.3793572857594219E-12</c:v>
                </c:pt>
                <c:pt idx="226">
                  <c:v>2.0876685485744739E-12</c:v>
                </c:pt>
                <c:pt idx="227">
                  <c:v>1.8317383416068127E-12</c:v>
                </c:pt>
                <c:pt idx="228">
                  <c:v>1.6071829766289086E-12</c:v>
                </c:pt>
                <c:pt idx="229">
                  <c:v>1.4101561678836193E-12</c:v>
                </c:pt>
                <c:pt idx="230">
                  <c:v>1.2372831511637892E-12</c:v>
                </c:pt>
                <c:pt idx="231">
                  <c:v>1.0856028793260142E-12</c:v>
                </c:pt>
                <c:pt idx="232">
                  <c:v>9.5251730413721666E-13</c:v>
                </c:pt>
                <c:pt idx="233">
                  <c:v>8.3574687573057331E-13</c:v>
                </c:pt>
                <c:pt idx="234">
                  <c:v>7.3329149744537825E-13</c:v>
                </c:pt>
                <c:pt idx="235">
                  <c:v>6.4339626726769046E-13</c:v>
                </c:pt>
                <c:pt idx="236">
                  <c:v>5.6452141907568269E-13</c:v>
                </c:pt>
                <c:pt idx="237">
                  <c:v>4.9531594882976101E-13</c:v>
                </c:pt>
                <c:pt idx="238">
                  <c:v>4.3459447396491991E-13</c:v>
                </c:pt>
                <c:pt idx="239">
                  <c:v>3.8131692962255176E-13</c:v>
                </c:pt>
                <c:pt idx="240">
                  <c:v>3.3457075394959324E-13</c:v>
                </c:pt>
                <c:pt idx="241">
                  <c:v>2.9355525732676267E-13</c:v>
                </c:pt>
                <c:pt idx="242">
                  <c:v>2.5756790779496829E-13</c:v>
                </c:pt>
                <c:pt idx="243">
                  <c:v>2.25992297770472E-13</c:v>
                </c:pt>
                <c:pt idx="244">
                  <c:v>1.9828758593727028E-13</c:v>
                </c:pt>
                <c:pt idx="245">
                  <c:v>1.7397923347265338E-13</c:v>
                </c:pt>
                <c:pt idx="246">
                  <c:v>1.5265087593182851E-13</c:v>
                </c:pt>
                <c:pt idx="247">
                  <c:v>1.3393719156957453E-13</c:v>
                </c:pt>
                <c:pt idx="248">
                  <c:v>1.1751764394431812E-13</c:v>
                </c:pt>
                <c:pt idx="249">
                  <c:v>1.0311099162512774E-13</c:v>
                </c:pt>
                <c:pt idx="250">
                  <c:v>9.0470470961404989E-14</c:v>
                </c:pt>
                <c:pt idx="251">
                  <c:v>7.9379569403576487E-14</c:v>
                </c:pt>
                <c:pt idx="252">
                  <c:v>6.9648316978313234E-14</c:v>
                </c:pt>
                <c:pt idx="253">
                  <c:v>6.1110032396988998E-14</c:v>
                </c:pt>
                <c:pt idx="254">
                  <c:v>5.36184680632535E-14</c:v>
                </c:pt>
                <c:pt idx="255">
                  <c:v>4.7045305078119853E-14</c:v>
                </c:pt>
                <c:pt idx="256">
                  <c:v>4.1277955335881566E-14</c:v>
                </c:pt>
                <c:pt idx="257">
                  <c:v>3.6217633064164791E-14</c:v>
                </c:pt>
                <c:pt idx="258">
                  <c:v>3.1777662776582591E-14</c:v>
                </c:pt>
                <c:pt idx="259">
                  <c:v>2.7881994655839621E-14</c:v>
                </c:pt>
                <c:pt idx="260">
                  <c:v>2.4463901938098175E-14</c:v>
                </c:pt>
                <c:pt idx="261">
                  <c:v>2.1464837986816598E-14</c:v>
                </c:pt>
                <c:pt idx="262">
                  <c:v>1.8833433479504157E-14</c:v>
                </c:pt>
                <c:pt idx="263">
                  <c:v>1.6524616530754099E-14</c:v>
                </c:pt>
                <c:pt idx="264">
                  <c:v>1.4498840680624571E-14</c:v>
                </c:pt>
                <c:pt idx="265">
                  <c:v>1.2721407525003592E-14</c:v>
                </c:pt>
                <c:pt idx="266">
                  <c:v>1.1161872385664883E-14</c:v>
                </c:pt>
                <c:pt idx="267">
                  <c:v>9.7935228400627067E-15</c:v>
                </c:pt>
                <c:pt idx="268">
                  <c:v>8.5929211788884482E-15</c:v>
                </c:pt>
                <c:pt idx="269">
                  <c:v>7.5395029543951983E-15</c:v>
                </c:pt>
                <c:pt idx="270">
                  <c:v>6.6152247432446592E-15</c:v>
                </c:pt>
                <c:pt idx="271">
                  <c:v>5.8042550905992435E-15</c:v>
                </c:pt>
                <c:pt idx="272">
                  <c:v>5.092703341810145E-15</c:v>
                </c:pt>
                <c:pt idx="273">
                  <c:v>4.4683817170079909E-15</c:v>
                </c:pt>
                <c:pt idx="274">
                  <c:v>3.9205965533021659E-15</c:v>
                </c:pt>
                <c:pt idx="275">
                  <c:v>3.4399651388908721E-15</c:v>
                </c:pt>
                <c:pt idx="276">
                  <c:v>3.0182550017337841E-15</c:v>
                </c:pt>
                <c:pt idx="277">
                  <c:v>2.6482429000510871E-15</c:v>
                </c:pt>
                <c:pt idx="278">
                  <c:v>2.3235910993744354E-15</c:v>
                </c:pt>
                <c:pt idx="279">
                  <c:v>2.0387388169672596E-15</c:v>
                </c:pt>
                <c:pt idx="280">
                  <c:v>1.788806974225403E-15</c:v>
                </c:pt>
                <c:pt idx="281">
                  <c:v>1.5695146256141685E-15</c:v>
                </c:pt>
                <c:pt idx="282">
                  <c:v>1.377105632698847E-15</c:v>
                </c:pt>
                <c:pt idx="283">
                  <c:v>1.2082843273083878E-15</c:v>
                </c:pt>
                <c:pt idx="284">
                  <c:v>1.0601590618418108E-15</c:v>
                </c:pt>
                <c:pt idx="285">
                  <c:v>9.3019267982150064E-16</c:v>
                </c:pt>
                <c:pt idx="286">
                  <c:v>8.16159058330638E-16</c:v>
                </c:pt>
                <c:pt idx="287">
                  <c:v>7.1610497797400219E-16</c:v>
                </c:pt>
                <c:pt idx="288">
                  <c:v>6.2831666725360396E-16</c:v>
                </c:pt>
                <c:pt idx="289">
                  <c:v>5.5129044831609638E-16</c:v>
                </c:pt>
                <c:pt idx="290">
                  <c:v>4.8370698127906349E-16</c:v>
                </c:pt>
                <c:pt idx="291">
                  <c:v>4.244086659813671E-16</c:v>
                </c:pt>
                <c:pt idx="292">
                  <c:v>3.723798140845232E-16</c:v>
                </c:pt>
                <c:pt idx="293">
                  <c:v>3.2672925190389965E-16</c:v>
                </c:pt>
                <c:pt idx="294">
                  <c:v>2.8667505598316667E-16</c:v>
                </c:pt>
                <c:pt idx="295">
                  <c:v>2.5153115995602372E-16</c:v>
                </c:pt>
                <c:pt idx="296">
                  <c:v>2.2069560329147657E-16</c:v>
                </c:pt>
                <c:pt idx="297">
                  <c:v>1.9364022064186551E-16</c:v>
                </c:pt>
                <c:pt idx="298">
                  <c:v>1.6990159518813807E-16</c:v>
                </c:pt>
                <c:pt idx="299">
                  <c:v>1.4907312102717628E-16</c:v>
                </c:pt>
                <c:pt idx="300">
                  <c:v>1.3079803864216262E-16</c:v>
                </c:pt>
                <c:pt idx="301">
                  <c:v>1.1476332416437316E-16</c:v>
                </c:pt>
                <c:pt idx="302">
                  <c:v>1.0069432775891381E-16</c:v>
                </c:pt>
                <c:pt idx="303">
                  <c:v>8.8350069298247059E-17</c:v>
                </c:pt>
                <c:pt idx="304">
                  <c:v>7.7519110745680163E-17</c:v>
                </c:pt>
                <c:pt idx="305">
                  <c:v>6.8015934549134018E-17</c:v>
                </c:pt>
                <c:pt idx="306">
                  <c:v>5.9677766012684569E-17</c:v>
                </c:pt>
                <c:pt idx="307">
                  <c:v>5.2361785218020996E-17</c:v>
                </c:pt>
                <c:pt idx="308">
                  <c:v>4.5942680740351419E-17</c:v>
                </c:pt>
                <c:pt idx="309">
                  <c:v>4.0310503257696842E-17</c:v>
                </c:pt>
                <c:pt idx="310">
                  <c:v>3.5368782289223428E-17</c:v>
                </c:pt>
                <c:pt idx="311">
                  <c:v>3.1032873805256436E-17</c:v>
                </c:pt>
                <c:pt idx="312">
                  <c:v>2.722851040609338E-17</c:v>
                </c:pt>
                <c:pt idx="313">
                  <c:v>2.3890529236423999E-17</c:v>
                </c:pt>
                <c:pt idx="314">
                  <c:v>2.0961755846500584E-17</c:v>
                </c:pt>
                <c:pt idx="315">
                  <c:v>1.8392024882328279E-17</c:v>
                </c:pt>
                <c:pt idx="316">
                  <c:v>1.613732083081455E-17</c:v>
                </c:pt>
                <c:pt idx="317">
                  <c:v>1.4159024102172433E-17</c:v>
                </c:pt>
                <c:pt idx="318">
                  <c:v>1.2423249536136321E-17</c:v>
                </c:pt>
                <c:pt idx="319">
                  <c:v>1.0900266001625862E-17</c:v>
                </c:pt>
                <c:pt idx="320">
                  <c:v>9.563987148498737E-18</c:v>
                </c:pt>
                <c:pt idx="321">
                  <c:v>8.3915245887582502E-18</c:v>
                </c:pt>
                <c:pt idx="322">
                  <c:v>7.3627958539015608E-18</c:v>
                </c:pt>
                <c:pt idx="323">
                  <c:v>6.4601804133248625E-18</c:v>
                </c:pt>
                <c:pt idx="324">
                  <c:v>5.6682178619133237E-18</c:v>
                </c:pt>
                <c:pt idx="325">
                  <c:v>4.9733431072364697E-18</c:v>
                </c:pt>
                <c:pt idx="326">
                  <c:v>4.3636540205156161E-18</c:v>
                </c:pt>
                <c:pt idx="327">
                  <c:v>3.8287075715841464E-18</c:v>
                </c:pt>
                <c:pt idx="328">
                  <c:v>3.3593409559481173E-18</c:v>
                </c:pt>
                <c:pt idx="329">
                  <c:v>2.9475146501306485E-18</c:v>
                </c:pt>
                <c:pt idx="330">
                  <c:v>2.5861747070811398E-18</c:v>
                </c:pt>
                <c:pt idx="331">
                  <c:v>2.2691319329828471E-18</c:v>
                </c:pt>
                <c:pt idx="332">
                  <c:v>1.9909558759445895E-18</c:v>
                </c:pt>
                <c:pt idx="333">
                  <c:v>1.7468818107669951E-18</c:v>
                </c:pt>
                <c:pt idx="334">
                  <c:v>1.5327291265763365E-18</c:v>
                </c:pt>
                <c:pt idx="335">
                  <c:v>1.3448297194324678E-18</c:v>
                </c:pt>
                <c:pt idx="336">
                  <c:v>1.1799651633870975E-18</c:v>
                </c:pt>
                <c:pt idx="337">
                  <c:v>1.0353115838298933E-18</c:v>
                </c:pt>
                <c:pt idx="338">
                  <c:v>9.0839128888818422E-19</c:v>
                </c:pt>
                <c:pt idx="339">
                  <c:v>7.9703033040101367E-19</c:v>
                </c:pt>
                <c:pt idx="340">
                  <c:v>6.9932126755273652E-19</c:v>
                </c:pt>
                <c:pt idx="341">
                  <c:v>6.1359049536484762E-19</c:v>
                </c:pt>
                <c:pt idx="342">
                  <c:v>5.3836957843368787E-19</c:v>
                </c:pt>
                <c:pt idx="343">
                  <c:v>4.7237009890533544E-19</c:v>
                </c:pt>
                <c:pt idx="344">
                  <c:v>4.1446158787242881E-19</c:v>
                </c:pt>
                <c:pt idx="345">
                  <c:v>3.6365216219191719E-19</c:v>
                </c:pt>
                <c:pt idx="346">
                  <c:v>3.19071535062402E-19</c:v>
                </c:pt>
                <c:pt idx="347">
                  <c:v>2.799561093585612E-19</c:v>
                </c:pt>
                <c:pt idx="348">
                  <c:v>2.4563589839455442E-19</c:v>
                </c:pt>
                <c:pt idx="349">
                  <c:v>2.1552305008933258E-19</c:v>
                </c:pt>
                <c:pt idx="350">
                  <c:v>1.8910177797057179E-19</c:v>
                </c:pt>
                <c:pt idx="351">
                  <c:v>1.6591952655091608E-19</c:v>
                </c:pt>
                <c:pt idx="352">
                  <c:v>1.4557921975310184E-19</c:v>
                </c:pt>
                <c:pt idx="353">
                  <c:v>1.2773245961148694E-19</c:v>
                </c:pt>
                <c:pt idx="354">
                  <c:v>1.1207355875427066E-19</c:v>
                </c:pt>
                <c:pt idx="355">
                  <c:v>9.833430445206427E-20</c:v>
                </c:pt>
                <c:pt idx="356">
                  <c:v>8.6279364549069394E-20</c:v>
                </c:pt>
                <c:pt idx="357">
                  <c:v>7.5702256587578285E-20</c:v>
                </c:pt>
                <c:pt idx="358">
                  <c:v>6.6421811083138689E-20</c:v>
                </c:pt>
                <c:pt idx="359">
                  <c:v>5.8279068371762274E-20</c:v>
                </c:pt>
                <c:pt idx="360">
                  <c:v>5.1134555876973629E-20</c:v>
                </c:pt>
                <c:pt idx="361">
                  <c:v>4.4865899160499432E-20</c:v>
                </c:pt>
                <c:pt idx="362">
                  <c:v>3.9365725837594572E-20</c:v>
                </c:pt>
                <c:pt idx="363">
                  <c:v>3.4539826454319754E-20</c:v>
                </c:pt>
                <c:pt idx="364">
                  <c:v>3.0305540825445739E-20</c:v>
                </c:pt>
                <c:pt idx="365">
                  <c:v>2.6590342193450566E-20</c:v>
                </c:pt>
              </c:numCache>
            </c:numRef>
          </c:yVal>
          <c:smooth val="1"/>
          <c:extLst>
            <c:ext xmlns:c16="http://schemas.microsoft.com/office/drawing/2014/chart" uri="{C3380CC4-5D6E-409C-BE32-E72D297353CC}">
              <c16:uniqueId val="{00000007-0CF0-4AA2-A727-45757B791E30}"/>
            </c:ext>
          </c:extLst>
        </c:ser>
        <c:dLbls>
          <c:showLegendKey val="0"/>
          <c:showVal val="0"/>
          <c:showCatName val="0"/>
          <c:showSerName val="0"/>
          <c:showPercent val="0"/>
          <c:showBubbleSize val="0"/>
        </c:dLbls>
        <c:axId val="405848488"/>
        <c:axId val="405848880"/>
      </c:scatterChart>
      <c:valAx>
        <c:axId val="40584848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848880"/>
        <c:crosses val="autoZero"/>
        <c:crossBetween val="midCat"/>
      </c:valAx>
      <c:valAx>
        <c:axId val="40584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848488"/>
        <c:crosses val="autoZero"/>
        <c:crossBetween val="midCat"/>
      </c:valAx>
      <c:spPr>
        <a:noFill/>
        <a:ln>
          <a:noFill/>
        </a:ln>
        <a:effectLst/>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0.39920159680638723"/>
          <c:y val="5.7035012313335319E-3"/>
          <c:w val="0.5988023952095809"/>
          <c:h val="0.26132036041110229"/>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339958606495754E-2"/>
          <c:y val="5.0925925925925923E-2"/>
          <c:w val="0.87299856240436902"/>
          <c:h val="0.69078036999184511"/>
        </c:manualLayout>
      </c:layout>
      <c:scatterChart>
        <c:scatterStyle val="lineMarker"/>
        <c:varyColors val="0"/>
        <c:ser>
          <c:idx val="0"/>
          <c:order val="0"/>
          <c:tx>
            <c:v>aquatic invertebrates - upper</c:v>
          </c:tx>
          <c:spPr>
            <a:ln w="25400" cap="rnd">
              <a:solidFill>
                <a:srgbClr val="00B0F0"/>
              </a:solidFill>
              <a:round/>
            </a:ln>
            <a:effectLst/>
          </c:spPr>
          <c:marker>
            <c:symbol val="circle"/>
            <c:size val="5"/>
            <c:spPr>
              <a:solidFill>
                <a:srgbClr val="00B0F0"/>
              </a:solidFill>
              <a:ln w="9525">
                <a:solidFill>
                  <a:srgbClr val="00B0F0"/>
                </a:solidFill>
              </a:ln>
              <a:effectLst/>
            </c:spPr>
          </c:marker>
          <c:xVal>
            <c:numRef>
              <c:f>'aquatic organism tissue concs'!$A$4:$A$8</c:f>
              <c:numCache>
                <c:formatCode>General</c:formatCode>
                <c:ptCount val="5"/>
                <c:pt idx="0">
                  <c:v>0.01</c:v>
                </c:pt>
                <c:pt idx="1">
                  <c:v>0.1</c:v>
                </c:pt>
                <c:pt idx="2">
                  <c:v>1</c:v>
                </c:pt>
                <c:pt idx="3">
                  <c:v>10</c:v>
                </c:pt>
                <c:pt idx="4">
                  <c:v>100</c:v>
                </c:pt>
              </c:numCache>
            </c:numRef>
          </c:xVal>
          <c:yVal>
            <c:numRef>
              <c:f>'aquatic organism tissue concs'!$C$4:$C$8</c:f>
              <c:numCache>
                <c:formatCode>General</c:formatCode>
                <c:ptCount val="5"/>
                <c:pt idx="0">
                  <c:v>8.2000000000000009E-4</c:v>
                </c:pt>
                <c:pt idx="1">
                  <c:v>8.2000000000000007E-3</c:v>
                </c:pt>
                <c:pt idx="2">
                  <c:v>8.2000000000000003E-2</c:v>
                </c:pt>
                <c:pt idx="3">
                  <c:v>0.82</c:v>
                </c:pt>
                <c:pt idx="4">
                  <c:v>8.1999999999999993</c:v>
                </c:pt>
              </c:numCache>
            </c:numRef>
          </c:yVal>
          <c:smooth val="0"/>
          <c:extLst>
            <c:ext xmlns:c16="http://schemas.microsoft.com/office/drawing/2014/chart" uri="{C3380CC4-5D6E-409C-BE32-E72D297353CC}">
              <c16:uniqueId val="{00000000-9E3A-4895-A792-E4873639DEB2}"/>
            </c:ext>
          </c:extLst>
        </c:ser>
        <c:ser>
          <c:idx val="1"/>
          <c:order val="1"/>
          <c:tx>
            <c:v>Fish - upper</c:v>
          </c:tx>
          <c:spPr>
            <a:ln w="25400" cap="rnd">
              <a:solidFill>
                <a:srgbClr val="FF0000"/>
              </a:solidFill>
              <a:round/>
            </a:ln>
            <a:effectLst/>
          </c:spPr>
          <c:marker>
            <c:symbol val="circle"/>
            <c:size val="5"/>
            <c:spPr>
              <a:noFill/>
              <a:ln w="9525">
                <a:noFill/>
              </a:ln>
              <a:effectLst/>
            </c:spPr>
          </c:marker>
          <c:xVal>
            <c:numRef>
              <c:f>'aquatic organism tissue concs'!$A$4:$A$8</c:f>
              <c:numCache>
                <c:formatCode>General</c:formatCode>
                <c:ptCount val="5"/>
                <c:pt idx="0">
                  <c:v>0.01</c:v>
                </c:pt>
                <c:pt idx="1">
                  <c:v>0.1</c:v>
                </c:pt>
                <c:pt idx="2">
                  <c:v>1</c:v>
                </c:pt>
                <c:pt idx="3">
                  <c:v>10</c:v>
                </c:pt>
                <c:pt idx="4">
                  <c:v>100</c:v>
                </c:pt>
              </c:numCache>
            </c:numRef>
          </c:xVal>
          <c:yVal>
            <c:numRef>
              <c:f>'aquatic organism tissue concs'!$E$4:$E$8</c:f>
              <c:numCache>
                <c:formatCode>General</c:formatCode>
                <c:ptCount val="5"/>
                <c:pt idx="0">
                  <c:v>2.1299999999999999E-3</c:v>
                </c:pt>
                <c:pt idx="1">
                  <c:v>2.1299999999999999E-2</c:v>
                </c:pt>
                <c:pt idx="2">
                  <c:v>0.21299999999999999</c:v>
                </c:pt>
                <c:pt idx="3">
                  <c:v>2.13</c:v>
                </c:pt>
                <c:pt idx="4">
                  <c:v>21.3</c:v>
                </c:pt>
              </c:numCache>
            </c:numRef>
          </c:yVal>
          <c:smooth val="0"/>
          <c:extLst>
            <c:ext xmlns:c16="http://schemas.microsoft.com/office/drawing/2014/chart" uri="{C3380CC4-5D6E-409C-BE32-E72D297353CC}">
              <c16:uniqueId val="{00000001-9E3A-4895-A792-E4873639DEB2}"/>
            </c:ext>
          </c:extLst>
        </c:ser>
        <c:ser>
          <c:idx val="2"/>
          <c:order val="2"/>
          <c:tx>
            <c:v>aquatic invertebrates - mean</c:v>
          </c:tx>
          <c:spPr>
            <a:ln w="19050" cap="rnd">
              <a:solidFill>
                <a:srgbClr val="00B0F0"/>
              </a:solidFill>
              <a:prstDash val="sysDash"/>
              <a:round/>
            </a:ln>
            <a:effectLst/>
          </c:spPr>
          <c:marker>
            <c:symbol val="circle"/>
            <c:size val="5"/>
            <c:spPr>
              <a:noFill/>
              <a:ln w="9525">
                <a:noFill/>
                <a:prstDash val="sysDash"/>
              </a:ln>
              <a:effectLst/>
            </c:spPr>
          </c:marker>
          <c:xVal>
            <c:numRef>
              <c:f>'aquatic organism tissue concs'!$A$4:$A$8</c:f>
              <c:numCache>
                <c:formatCode>General</c:formatCode>
                <c:ptCount val="5"/>
                <c:pt idx="0">
                  <c:v>0.01</c:v>
                </c:pt>
                <c:pt idx="1">
                  <c:v>0.1</c:v>
                </c:pt>
                <c:pt idx="2">
                  <c:v>1</c:v>
                </c:pt>
                <c:pt idx="3">
                  <c:v>10</c:v>
                </c:pt>
                <c:pt idx="4">
                  <c:v>100</c:v>
                </c:pt>
              </c:numCache>
            </c:numRef>
          </c:xVal>
          <c:yVal>
            <c:numRef>
              <c:f>'aquatic organism tissue concs'!$B$4:$B$8</c:f>
              <c:numCache>
                <c:formatCode>General</c:formatCode>
                <c:ptCount val="5"/>
                <c:pt idx="0">
                  <c:v>2.5000000000000001E-4</c:v>
                </c:pt>
                <c:pt idx="1">
                  <c:v>2.5000000000000001E-3</c:v>
                </c:pt>
                <c:pt idx="2">
                  <c:v>2.5000000000000001E-2</c:v>
                </c:pt>
                <c:pt idx="3">
                  <c:v>0.25</c:v>
                </c:pt>
                <c:pt idx="4">
                  <c:v>2.5</c:v>
                </c:pt>
              </c:numCache>
            </c:numRef>
          </c:yVal>
          <c:smooth val="0"/>
          <c:extLst>
            <c:ext xmlns:c16="http://schemas.microsoft.com/office/drawing/2014/chart" uri="{C3380CC4-5D6E-409C-BE32-E72D297353CC}">
              <c16:uniqueId val="{00000000-69BE-4774-A4DB-A6C7E7B5E29C}"/>
            </c:ext>
          </c:extLst>
        </c:ser>
        <c:ser>
          <c:idx val="3"/>
          <c:order val="3"/>
          <c:tx>
            <c:v>fish - mean</c:v>
          </c:tx>
          <c:spPr>
            <a:ln w="19050" cap="rnd">
              <a:solidFill>
                <a:srgbClr val="FF0000"/>
              </a:solidFill>
              <a:prstDash val="sysDash"/>
              <a:round/>
            </a:ln>
            <a:effectLst/>
          </c:spPr>
          <c:marker>
            <c:symbol val="circle"/>
            <c:size val="5"/>
            <c:spPr>
              <a:noFill/>
              <a:ln w="9525">
                <a:noFill/>
                <a:prstDash val="sysDash"/>
              </a:ln>
              <a:effectLst/>
            </c:spPr>
          </c:marker>
          <c:xVal>
            <c:numRef>
              <c:f>'aquatic organism tissue concs'!$A$4:$A$8</c:f>
              <c:numCache>
                <c:formatCode>General</c:formatCode>
                <c:ptCount val="5"/>
                <c:pt idx="0">
                  <c:v>0.01</c:v>
                </c:pt>
                <c:pt idx="1">
                  <c:v>0.1</c:v>
                </c:pt>
                <c:pt idx="2">
                  <c:v>1</c:v>
                </c:pt>
                <c:pt idx="3">
                  <c:v>10</c:v>
                </c:pt>
                <c:pt idx="4">
                  <c:v>100</c:v>
                </c:pt>
              </c:numCache>
            </c:numRef>
          </c:xVal>
          <c:yVal>
            <c:numRef>
              <c:f>'aquatic organism tissue concs'!$D$4:$D$8</c:f>
              <c:numCache>
                <c:formatCode>General</c:formatCode>
                <c:ptCount val="5"/>
                <c:pt idx="0">
                  <c:v>8.8000000000000003E-4</c:v>
                </c:pt>
                <c:pt idx="1">
                  <c:v>8.8000000000000005E-3</c:v>
                </c:pt>
                <c:pt idx="2">
                  <c:v>8.7999999999999995E-2</c:v>
                </c:pt>
                <c:pt idx="3">
                  <c:v>0.88</c:v>
                </c:pt>
                <c:pt idx="4">
                  <c:v>8.8000000000000007</c:v>
                </c:pt>
              </c:numCache>
            </c:numRef>
          </c:yVal>
          <c:smooth val="0"/>
          <c:extLst>
            <c:ext xmlns:c16="http://schemas.microsoft.com/office/drawing/2014/chart" uri="{C3380CC4-5D6E-409C-BE32-E72D297353CC}">
              <c16:uniqueId val="{00000001-69BE-4774-A4DB-A6C7E7B5E29C}"/>
            </c:ext>
          </c:extLst>
        </c:ser>
        <c:dLbls>
          <c:showLegendKey val="0"/>
          <c:showVal val="0"/>
          <c:showCatName val="0"/>
          <c:showSerName val="0"/>
          <c:showPercent val="0"/>
          <c:showBubbleSize val="0"/>
        </c:dLbls>
        <c:axId val="405850056"/>
        <c:axId val="405850448"/>
      </c:scatterChart>
      <c:valAx>
        <c:axId val="40585005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850448"/>
        <c:crosses val="autoZero"/>
        <c:crossBetween val="midCat"/>
      </c:valAx>
      <c:valAx>
        <c:axId val="405850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850056"/>
        <c:crosses val="autoZero"/>
        <c:crossBetween val="midCat"/>
      </c:valAx>
      <c:spPr>
        <a:noFill/>
        <a:ln>
          <a:noFill/>
        </a:ln>
        <a:effectLst/>
      </c:spPr>
    </c:plotArea>
    <c:legend>
      <c:legendPos val="r"/>
      <c:layout>
        <c:manualLayout>
          <c:xMode val="edge"/>
          <c:yMode val="edge"/>
          <c:x val="7.9673322772979366E-2"/>
          <c:y val="7.0022601341498986E-2"/>
          <c:w val="0.27589223414753111"/>
          <c:h val="0.279158281393485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53340</xdr:colOff>
      <xdr:row>166</xdr:row>
      <xdr:rowOff>13335</xdr:rowOff>
    </xdr:from>
    <xdr:to>
      <xdr:col>6</xdr:col>
      <xdr:colOff>539115</xdr:colOff>
      <xdr:row>187</xdr:row>
      <xdr:rowOff>51435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188</xdr:row>
      <xdr:rowOff>76200</xdr:rowOff>
    </xdr:from>
    <xdr:to>
      <xdr:col>6</xdr:col>
      <xdr:colOff>295275</xdr:colOff>
      <xdr:row>209</xdr:row>
      <xdr:rowOff>104775</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209</xdr:row>
      <xdr:rowOff>161925</xdr:rowOff>
    </xdr:from>
    <xdr:to>
      <xdr:col>6</xdr:col>
      <xdr:colOff>314325</xdr:colOff>
      <xdr:row>231</xdr:row>
      <xdr:rowOff>0</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0.45087</cdr:x>
      <cdr:y>0.83618</cdr:y>
    </cdr:from>
    <cdr:to>
      <cdr:x>0.71707</cdr:x>
      <cdr:y>0.8961</cdr:y>
    </cdr:to>
    <cdr:sp macro="" textlink="">
      <cdr:nvSpPr>
        <cdr:cNvPr id="2" name="TextBox 1"/>
        <cdr:cNvSpPr txBox="1"/>
      </cdr:nvSpPr>
      <cdr:spPr>
        <a:xfrm xmlns:a="http://schemas.openxmlformats.org/drawingml/2006/main">
          <a:off x="2868770" y="3373000"/>
          <a:ext cx="1693705" cy="24173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day after first application</a:t>
          </a:r>
        </a:p>
      </cdr:txBody>
    </cdr:sp>
  </cdr:relSizeAnchor>
  <cdr:relSizeAnchor xmlns:cdr="http://schemas.openxmlformats.org/drawingml/2006/chartDrawing">
    <cdr:from>
      <cdr:x>4.37445E-7</cdr:x>
      <cdr:y>0.01042</cdr:y>
    </cdr:from>
    <cdr:to>
      <cdr:x>0.06146</cdr:x>
      <cdr:y>0.68577</cdr:y>
    </cdr:to>
    <cdr:sp macro="" textlink="">
      <cdr:nvSpPr>
        <cdr:cNvPr id="3" name="TextBox 1"/>
        <cdr:cNvSpPr txBox="1"/>
      </cdr:nvSpPr>
      <cdr:spPr>
        <a:xfrm xmlns:a="http://schemas.openxmlformats.org/drawingml/2006/main" rot="16200000">
          <a:off x="-785812" y="814389"/>
          <a:ext cx="1852616" cy="2809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concentration (mg</a:t>
          </a:r>
          <a:r>
            <a:rPr lang="en-US" sz="1100" baseline="0"/>
            <a:t> a.i./kg)</a:t>
          </a:r>
          <a:endParaRPr lang="en-US" sz="1100"/>
        </a:p>
      </cdr:txBody>
    </cdr:sp>
  </cdr:relSizeAnchor>
  <cdr:relSizeAnchor xmlns:cdr="http://schemas.openxmlformats.org/drawingml/2006/chartDrawing">
    <cdr:from>
      <cdr:x>0</cdr:x>
      <cdr:y>0.89846</cdr:y>
    </cdr:from>
    <cdr:to>
      <cdr:x>0.99701</cdr:x>
      <cdr:y>1</cdr:y>
    </cdr:to>
    <cdr:sp macro="" textlink="">
      <cdr:nvSpPr>
        <cdr:cNvPr id="4" name="TextBox 1"/>
        <cdr:cNvSpPr txBox="1"/>
      </cdr:nvSpPr>
      <cdr:spPr>
        <a:xfrm xmlns:a="http://schemas.openxmlformats.org/drawingml/2006/main">
          <a:off x="0" y="3624262"/>
          <a:ext cx="6343650" cy="4095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Estimated pesticide</a:t>
          </a:r>
          <a:r>
            <a:rPr lang="en-US" sz="1100" baseline="0"/>
            <a:t> concentrations over time on plant food items. Solid lines represent upper bound. Dashed lines represent mean.</a:t>
          </a:r>
          <a:endParaRPr lang="en-US" sz="1100"/>
        </a:p>
      </cdr:txBody>
    </cdr:sp>
  </cdr:relSizeAnchor>
</c:userShapes>
</file>

<file path=xl/drawings/drawing3.xml><?xml version="1.0" encoding="utf-8"?>
<c:userShapes xmlns:c="http://schemas.openxmlformats.org/drawingml/2006/chart">
  <cdr:relSizeAnchor xmlns:cdr="http://schemas.openxmlformats.org/drawingml/2006/chartDrawing">
    <cdr:from>
      <cdr:x>0.45087</cdr:x>
      <cdr:y>0.83618</cdr:y>
    </cdr:from>
    <cdr:to>
      <cdr:x>0.71707</cdr:x>
      <cdr:y>0.8961</cdr:y>
    </cdr:to>
    <cdr:sp macro="" textlink="">
      <cdr:nvSpPr>
        <cdr:cNvPr id="2" name="TextBox 1"/>
        <cdr:cNvSpPr txBox="1"/>
      </cdr:nvSpPr>
      <cdr:spPr>
        <a:xfrm xmlns:a="http://schemas.openxmlformats.org/drawingml/2006/main">
          <a:off x="2868770" y="3373000"/>
          <a:ext cx="1693705" cy="24173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day after first application</a:t>
          </a:r>
        </a:p>
      </cdr:txBody>
    </cdr:sp>
  </cdr:relSizeAnchor>
  <cdr:relSizeAnchor xmlns:cdr="http://schemas.openxmlformats.org/drawingml/2006/chartDrawing">
    <cdr:from>
      <cdr:x>4.37445E-7</cdr:x>
      <cdr:y>0.01042</cdr:y>
    </cdr:from>
    <cdr:to>
      <cdr:x>0.06146</cdr:x>
      <cdr:y>0.68577</cdr:y>
    </cdr:to>
    <cdr:sp macro="" textlink="">
      <cdr:nvSpPr>
        <cdr:cNvPr id="3" name="TextBox 1"/>
        <cdr:cNvSpPr txBox="1"/>
      </cdr:nvSpPr>
      <cdr:spPr>
        <a:xfrm xmlns:a="http://schemas.openxmlformats.org/drawingml/2006/main" rot="16200000">
          <a:off x="-785812" y="814389"/>
          <a:ext cx="1852616" cy="2809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concentration (mg</a:t>
          </a:r>
          <a:r>
            <a:rPr lang="en-US" sz="1100" baseline="0"/>
            <a:t> a.i./kg)</a:t>
          </a:r>
          <a:endParaRPr lang="en-US" sz="1100"/>
        </a:p>
      </cdr:txBody>
    </cdr:sp>
  </cdr:relSizeAnchor>
  <cdr:relSizeAnchor xmlns:cdr="http://schemas.openxmlformats.org/drawingml/2006/chartDrawing">
    <cdr:from>
      <cdr:x>0</cdr:x>
      <cdr:y>0.89846</cdr:y>
    </cdr:from>
    <cdr:to>
      <cdr:x>0.99701</cdr:x>
      <cdr:y>1</cdr:y>
    </cdr:to>
    <cdr:sp macro="" textlink="">
      <cdr:nvSpPr>
        <cdr:cNvPr id="4" name="TextBox 1"/>
        <cdr:cNvSpPr txBox="1"/>
      </cdr:nvSpPr>
      <cdr:spPr>
        <a:xfrm xmlns:a="http://schemas.openxmlformats.org/drawingml/2006/main">
          <a:off x="0" y="3624262"/>
          <a:ext cx="6343650" cy="4095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Estimated pesticide</a:t>
          </a:r>
          <a:r>
            <a:rPr lang="en-US" sz="1100" baseline="0"/>
            <a:t> concentrations over time on invertebrate (terrestrial) food items. Solid lines represent upper bound. Dashed lines represent mean.</a:t>
          </a:r>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0.45087</cdr:x>
      <cdr:y>0.83618</cdr:y>
    </cdr:from>
    <cdr:to>
      <cdr:x>0.71707</cdr:x>
      <cdr:y>0.8961</cdr:y>
    </cdr:to>
    <cdr:sp macro="" textlink="">
      <cdr:nvSpPr>
        <cdr:cNvPr id="2" name="TextBox 1"/>
        <cdr:cNvSpPr txBox="1"/>
      </cdr:nvSpPr>
      <cdr:spPr>
        <a:xfrm xmlns:a="http://schemas.openxmlformats.org/drawingml/2006/main">
          <a:off x="2868770" y="3373000"/>
          <a:ext cx="1693705" cy="24173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day after first application</a:t>
          </a:r>
        </a:p>
      </cdr:txBody>
    </cdr:sp>
  </cdr:relSizeAnchor>
  <cdr:relSizeAnchor xmlns:cdr="http://schemas.openxmlformats.org/drawingml/2006/chartDrawing">
    <cdr:from>
      <cdr:x>4.37445E-7</cdr:x>
      <cdr:y>0.01042</cdr:y>
    </cdr:from>
    <cdr:to>
      <cdr:x>0.06146</cdr:x>
      <cdr:y>0.68577</cdr:y>
    </cdr:to>
    <cdr:sp macro="" textlink="">
      <cdr:nvSpPr>
        <cdr:cNvPr id="3" name="TextBox 1"/>
        <cdr:cNvSpPr txBox="1"/>
      </cdr:nvSpPr>
      <cdr:spPr>
        <a:xfrm xmlns:a="http://schemas.openxmlformats.org/drawingml/2006/main" rot="16200000">
          <a:off x="-785812" y="814389"/>
          <a:ext cx="1852616" cy="2809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concentration (mg</a:t>
          </a:r>
          <a:r>
            <a:rPr lang="en-US" sz="1100" baseline="0"/>
            <a:t> a.i./kg)</a:t>
          </a:r>
          <a:endParaRPr lang="en-US" sz="1100"/>
        </a:p>
      </cdr:txBody>
    </cdr:sp>
  </cdr:relSizeAnchor>
  <cdr:relSizeAnchor xmlns:cdr="http://schemas.openxmlformats.org/drawingml/2006/chartDrawing">
    <cdr:from>
      <cdr:x>0</cdr:x>
      <cdr:y>0.89846</cdr:y>
    </cdr:from>
    <cdr:to>
      <cdr:x>0.99701</cdr:x>
      <cdr:y>1</cdr:y>
    </cdr:to>
    <cdr:sp macro="" textlink="">
      <cdr:nvSpPr>
        <cdr:cNvPr id="4" name="TextBox 1"/>
        <cdr:cNvSpPr txBox="1"/>
      </cdr:nvSpPr>
      <cdr:spPr>
        <a:xfrm xmlns:a="http://schemas.openxmlformats.org/drawingml/2006/main">
          <a:off x="0" y="3624262"/>
          <a:ext cx="6343650" cy="4095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Estimated pesticide</a:t>
          </a:r>
          <a:r>
            <a:rPr lang="en-US" sz="1100" baseline="0"/>
            <a:t> concentrations over time in terrestrial vertebrate food items. Solid lines represent upper bound. Dashed lines represent mean.</a:t>
          </a:r>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38100</xdr:colOff>
      <xdr:row>166</xdr:row>
      <xdr:rowOff>66675</xdr:rowOff>
    </xdr:from>
    <xdr:to>
      <xdr:col>6</xdr:col>
      <xdr:colOff>523875</xdr:colOff>
      <xdr:row>187</xdr:row>
      <xdr:rowOff>104775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188</xdr:row>
      <xdr:rowOff>76200</xdr:rowOff>
    </xdr:from>
    <xdr:to>
      <xdr:col>6</xdr:col>
      <xdr:colOff>295275</xdr:colOff>
      <xdr:row>209</xdr:row>
      <xdr:rowOff>104775</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66675</xdr:colOff>
      <xdr:row>209</xdr:row>
      <xdr:rowOff>161925</xdr:rowOff>
    </xdr:from>
    <xdr:to>
      <xdr:col>6</xdr:col>
      <xdr:colOff>314325</xdr:colOff>
      <xdr:row>231</xdr:row>
      <xdr:rowOff>0</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231</xdr:row>
      <xdr:rowOff>76200</xdr:rowOff>
    </xdr:from>
    <xdr:to>
      <xdr:col>6</xdr:col>
      <xdr:colOff>314325</xdr:colOff>
      <xdr:row>248</xdr:row>
      <xdr:rowOff>38100</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0.45087</cdr:x>
      <cdr:y>0.83618</cdr:y>
    </cdr:from>
    <cdr:to>
      <cdr:x>0.71707</cdr:x>
      <cdr:y>0.8961</cdr:y>
    </cdr:to>
    <cdr:sp macro="" textlink="">
      <cdr:nvSpPr>
        <cdr:cNvPr id="2" name="TextBox 1"/>
        <cdr:cNvSpPr txBox="1"/>
      </cdr:nvSpPr>
      <cdr:spPr>
        <a:xfrm xmlns:a="http://schemas.openxmlformats.org/drawingml/2006/main">
          <a:off x="2868770" y="3373000"/>
          <a:ext cx="1693705" cy="24173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day after first application</a:t>
          </a:r>
        </a:p>
      </cdr:txBody>
    </cdr:sp>
  </cdr:relSizeAnchor>
  <cdr:relSizeAnchor xmlns:cdr="http://schemas.openxmlformats.org/drawingml/2006/chartDrawing">
    <cdr:from>
      <cdr:x>4.37445E-7</cdr:x>
      <cdr:y>0.01042</cdr:y>
    </cdr:from>
    <cdr:to>
      <cdr:x>0.06146</cdr:x>
      <cdr:y>0.68577</cdr:y>
    </cdr:to>
    <cdr:sp macro="" textlink="">
      <cdr:nvSpPr>
        <cdr:cNvPr id="3" name="TextBox 1"/>
        <cdr:cNvSpPr txBox="1"/>
      </cdr:nvSpPr>
      <cdr:spPr>
        <a:xfrm xmlns:a="http://schemas.openxmlformats.org/drawingml/2006/main" rot="16200000">
          <a:off x="-785812" y="814389"/>
          <a:ext cx="1852616" cy="2809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concentration (mg</a:t>
          </a:r>
          <a:r>
            <a:rPr lang="en-US" sz="1100" baseline="0"/>
            <a:t> a.i./kg)</a:t>
          </a:r>
          <a:endParaRPr lang="en-US" sz="1100"/>
        </a:p>
      </cdr:txBody>
    </cdr:sp>
  </cdr:relSizeAnchor>
  <cdr:relSizeAnchor xmlns:cdr="http://schemas.openxmlformats.org/drawingml/2006/chartDrawing">
    <cdr:from>
      <cdr:x>0</cdr:x>
      <cdr:y>0.89846</cdr:y>
    </cdr:from>
    <cdr:to>
      <cdr:x>0.99701</cdr:x>
      <cdr:y>1</cdr:y>
    </cdr:to>
    <cdr:sp macro="" textlink="">
      <cdr:nvSpPr>
        <cdr:cNvPr id="4" name="TextBox 1"/>
        <cdr:cNvSpPr txBox="1"/>
      </cdr:nvSpPr>
      <cdr:spPr>
        <a:xfrm xmlns:a="http://schemas.openxmlformats.org/drawingml/2006/main">
          <a:off x="0" y="3624262"/>
          <a:ext cx="6343650" cy="4095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Estimated pesticide</a:t>
          </a:r>
          <a:r>
            <a:rPr lang="en-US" sz="1100" baseline="0"/>
            <a:t> concentrations over time on plant food items. Solid lines represent upper bound. Dashed lines represent mean.</a:t>
          </a:r>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0.45087</cdr:x>
      <cdr:y>0.83618</cdr:y>
    </cdr:from>
    <cdr:to>
      <cdr:x>0.71707</cdr:x>
      <cdr:y>0.8961</cdr:y>
    </cdr:to>
    <cdr:sp macro="" textlink="">
      <cdr:nvSpPr>
        <cdr:cNvPr id="2" name="TextBox 1"/>
        <cdr:cNvSpPr txBox="1"/>
      </cdr:nvSpPr>
      <cdr:spPr>
        <a:xfrm xmlns:a="http://schemas.openxmlformats.org/drawingml/2006/main">
          <a:off x="2868770" y="3373000"/>
          <a:ext cx="1693705" cy="24173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day after first application</a:t>
          </a:r>
        </a:p>
      </cdr:txBody>
    </cdr:sp>
  </cdr:relSizeAnchor>
  <cdr:relSizeAnchor xmlns:cdr="http://schemas.openxmlformats.org/drawingml/2006/chartDrawing">
    <cdr:from>
      <cdr:x>4.37445E-7</cdr:x>
      <cdr:y>0.01042</cdr:y>
    </cdr:from>
    <cdr:to>
      <cdr:x>0.06146</cdr:x>
      <cdr:y>0.68577</cdr:y>
    </cdr:to>
    <cdr:sp macro="" textlink="">
      <cdr:nvSpPr>
        <cdr:cNvPr id="3" name="TextBox 1"/>
        <cdr:cNvSpPr txBox="1"/>
      </cdr:nvSpPr>
      <cdr:spPr>
        <a:xfrm xmlns:a="http://schemas.openxmlformats.org/drawingml/2006/main" rot="16200000">
          <a:off x="-785812" y="814389"/>
          <a:ext cx="1852616" cy="2809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concentration (mg</a:t>
          </a:r>
          <a:r>
            <a:rPr lang="en-US" sz="1100" baseline="0"/>
            <a:t> a.i./kg)</a:t>
          </a:r>
          <a:endParaRPr lang="en-US" sz="1100"/>
        </a:p>
      </cdr:txBody>
    </cdr:sp>
  </cdr:relSizeAnchor>
  <cdr:relSizeAnchor xmlns:cdr="http://schemas.openxmlformats.org/drawingml/2006/chartDrawing">
    <cdr:from>
      <cdr:x>0</cdr:x>
      <cdr:y>0.89846</cdr:y>
    </cdr:from>
    <cdr:to>
      <cdr:x>0.99701</cdr:x>
      <cdr:y>1</cdr:y>
    </cdr:to>
    <cdr:sp macro="" textlink="">
      <cdr:nvSpPr>
        <cdr:cNvPr id="4" name="TextBox 1"/>
        <cdr:cNvSpPr txBox="1"/>
      </cdr:nvSpPr>
      <cdr:spPr>
        <a:xfrm xmlns:a="http://schemas.openxmlformats.org/drawingml/2006/main">
          <a:off x="0" y="3624262"/>
          <a:ext cx="6343650" cy="4095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Estimated pesticide</a:t>
          </a:r>
          <a:r>
            <a:rPr lang="en-US" sz="1100" baseline="0"/>
            <a:t> concentrations over time on invertebrate (terrestrial) food items. Solid lines represent upper bound. Dashed lines represent mean.</a:t>
          </a:r>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0.45087</cdr:x>
      <cdr:y>0.83618</cdr:y>
    </cdr:from>
    <cdr:to>
      <cdr:x>0.71707</cdr:x>
      <cdr:y>0.8961</cdr:y>
    </cdr:to>
    <cdr:sp macro="" textlink="">
      <cdr:nvSpPr>
        <cdr:cNvPr id="2" name="TextBox 1"/>
        <cdr:cNvSpPr txBox="1"/>
      </cdr:nvSpPr>
      <cdr:spPr>
        <a:xfrm xmlns:a="http://schemas.openxmlformats.org/drawingml/2006/main">
          <a:off x="2868770" y="3373000"/>
          <a:ext cx="1693705" cy="24173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day after first application</a:t>
          </a:r>
        </a:p>
      </cdr:txBody>
    </cdr:sp>
  </cdr:relSizeAnchor>
  <cdr:relSizeAnchor xmlns:cdr="http://schemas.openxmlformats.org/drawingml/2006/chartDrawing">
    <cdr:from>
      <cdr:x>4.37445E-7</cdr:x>
      <cdr:y>0.01042</cdr:y>
    </cdr:from>
    <cdr:to>
      <cdr:x>0.06146</cdr:x>
      <cdr:y>0.68577</cdr:y>
    </cdr:to>
    <cdr:sp macro="" textlink="">
      <cdr:nvSpPr>
        <cdr:cNvPr id="3" name="TextBox 1"/>
        <cdr:cNvSpPr txBox="1"/>
      </cdr:nvSpPr>
      <cdr:spPr>
        <a:xfrm xmlns:a="http://schemas.openxmlformats.org/drawingml/2006/main" rot="16200000">
          <a:off x="-785812" y="814389"/>
          <a:ext cx="1852616" cy="2809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concentration (mg</a:t>
          </a:r>
          <a:r>
            <a:rPr lang="en-US" sz="1100" baseline="0"/>
            <a:t> a.i./kg)</a:t>
          </a:r>
          <a:endParaRPr lang="en-US" sz="1100"/>
        </a:p>
      </cdr:txBody>
    </cdr:sp>
  </cdr:relSizeAnchor>
  <cdr:relSizeAnchor xmlns:cdr="http://schemas.openxmlformats.org/drawingml/2006/chartDrawing">
    <cdr:from>
      <cdr:x>0</cdr:x>
      <cdr:y>0.89846</cdr:y>
    </cdr:from>
    <cdr:to>
      <cdr:x>0.99701</cdr:x>
      <cdr:y>1</cdr:y>
    </cdr:to>
    <cdr:sp macro="" textlink="">
      <cdr:nvSpPr>
        <cdr:cNvPr id="4" name="TextBox 1"/>
        <cdr:cNvSpPr txBox="1"/>
      </cdr:nvSpPr>
      <cdr:spPr>
        <a:xfrm xmlns:a="http://schemas.openxmlformats.org/drawingml/2006/main">
          <a:off x="0" y="3624262"/>
          <a:ext cx="6343650" cy="4095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Estimated pesticide</a:t>
          </a:r>
          <a:r>
            <a:rPr lang="en-US" sz="1100" baseline="0"/>
            <a:t> concentrations over time in terrestrial vertebrate food items. Solid lines represent upper bound. Dashed lines represent mean.</a:t>
          </a:r>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0.35879</cdr:x>
      <cdr:y>0.80905</cdr:y>
    </cdr:from>
    <cdr:to>
      <cdr:x>0.74449</cdr:x>
      <cdr:y>0.89716</cdr:y>
    </cdr:to>
    <cdr:sp macro="" textlink="">
      <cdr:nvSpPr>
        <cdr:cNvPr id="2" name="TextBox 1"/>
        <cdr:cNvSpPr txBox="1"/>
      </cdr:nvSpPr>
      <cdr:spPr>
        <a:xfrm xmlns:a="http://schemas.openxmlformats.org/drawingml/2006/main">
          <a:off x="2327274" y="2585421"/>
          <a:ext cx="2501901" cy="28157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concentration in water (ug</a:t>
          </a:r>
          <a:r>
            <a:rPr lang="en-US" sz="1100" baseline="0"/>
            <a:t> a.i./L)</a:t>
          </a:r>
        </a:p>
      </cdr:txBody>
    </cdr:sp>
  </cdr:relSizeAnchor>
  <cdr:relSizeAnchor xmlns:cdr="http://schemas.openxmlformats.org/drawingml/2006/chartDrawing">
    <cdr:from>
      <cdr:x>0</cdr:x>
      <cdr:y>0</cdr:y>
    </cdr:from>
    <cdr:to>
      <cdr:x>0.03726</cdr:x>
      <cdr:y>0.84203</cdr:y>
    </cdr:to>
    <cdr:sp macro="" textlink="">
      <cdr:nvSpPr>
        <cdr:cNvPr id="3" name="TextBox 1"/>
        <cdr:cNvSpPr txBox="1"/>
      </cdr:nvSpPr>
      <cdr:spPr>
        <a:xfrm xmlns:a="http://schemas.openxmlformats.org/drawingml/2006/main" rot="16200000">
          <a:off x="-1224553" y="1224552"/>
          <a:ext cx="2690813" cy="24170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concentration in organism (mg</a:t>
          </a:r>
          <a:r>
            <a:rPr lang="en-US" sz="1100" baseline="0"/>
            <a:t> a.i./kg(ww))</a:t>
          </a:r>
        </a:p>
      </cdr:txBody>
    </cdr:sp>
  </cdr:relSizeAnchor>
  <cdr:relSizeAnchor xmlns:cdr="http://schemas.openxmlformats.org/drawingml/2006/chartDrawing">
    <cdr:from>
      <cdr:x>0</cdr:x>
      <cdr:y>0.89568</cdr:y>
    </cdr:from>
    <cdr:to>
      <cdr:x>1</cdr:x>
      <cdr:y>0.9697</cdr:y>
    </cdr:to>
    <cdr:sp macro="" textlink="">
      <cdr:nvSpPr>
        <cdr:cNvPr id="4" name="TextBox 1"/>
        <cdr:cNvSpPr txBox="1"/>
      </cdr:nvSpPr>
      <cdr:spPr>
        <a:xfrm xmlns:a="http://schemas.openxmlformats.org/drawingml/2006/main">
          <a:off x="0" y="2862263"/>
          <a:ext cx="6486525" cy="23655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Estimated pesticide</a:t>
          </a:r>
          <a:r>
            <a:rPr lang="en-US" sz="1100" baseline="0"/>
            <a:t> concentrations in fish and aquatic invertebrates (steady state). </a:t>
          </a:r>
          <a:endParaRPr lang="en-US"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garber\Documents\TED%20tool\TEDtool_v1.0be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crossmei\Documents\ESA%20process\OSS%20WoE%20Tool\AQUA%20WoE%2010_8_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crossmei\Documents\ESA%20process\ESA%20Species%20groupings\OSS%20Bird%20Files\CYP-Passerine%20Effects%20Matrix%20Worksheet_8-1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Plants"/>
      <sheetName val="Min rate concentrations"/>
      <sheetName val="Max rate concentrations"/>
      <sheetName val="Max rate - dietary conc results"/>
      <sheetName val="Min rate - dietary conc results"/>
      <sheetName val="listed species info"/>
      <sheetName val="Min rate doses"/>
      <sheetName val="Max rate doses"/>
      <sheetName val="aquatic organism tissue concs"/>
    </sheetNames>
    <sheetDataSet>
      <sheetData sheetId="0">
        <row r="4">
          <cell r="G4" t="str">
            <v>aerial</v>
          </cell>
        </row>
        <row r="5">
          <cell r="G5" t="str">
            <v>ground</v>
          </cell>
        </row>
        <row r="6">
          <cell r="G6" t="str">
            <v>airblast</v>
          </cell>
        </row>
      </sheetData>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es Summary (2)"/>
      <sheetName val="HUC Bin Summary Table"/>
      <sheetName val="Thresholds"/>
      <sheetName val="notes to colleen"/>
      <sheetName val="READ ME"/>
      <sheetName val="inputs"/>
      <sheetName val="aquatic organism tissue concs"/>
      <sheetName val="Max rate - dietary conc results"/>
      <sheetName val="Max rate concentrations"/>
      <sheetName val="Min rate concentrations"/>
      <sheetName val="Min rate - dietary conc results"/>
      <sheetName val="PercentOverlap_CDL_CH"/>
      <sheetName val="Dietary categories cross"/>
      <sheetName val="Max rate doses"/>
      <sheetName val="Min rate doses"/>
      <sheetName val="Species ID name cross"/>
      <sheetName val="Species Summary"/>
      <sheetName val="listed species info- AqWoE"/>
      <sheetName val="All aq thresholds"/>
      <sheetName val="PercentOverlap_CDL"/>
      <sheetName val="Spray Drift"/>
      <sheetName val="AQUA WoE Matrix"/>
      <sheetName val="Sheet2"/>
      <sheetName val="Aquatic dependent sp thresholds"/>
      <sheetName val="Plants"/>
    </sheetNames>
    <sheetDataSet>
      <sheetData sheetId="0"/>
      <sheetData sheetId="1"/>
      <sheetData sheetId="2"/>
      <sheetData sheetId="3"/>
      <sheetData sheetId="4"/>
      <sheetData sheetId="5">
        <row r="4">
          <cell r="G4" t="str">
            <v>aerial</v>
          </cell>
        </row>
        <row r="5">
          <cell r="G5" t="str">
            <v>ground</v>
          </cell>
        </row>
        <row r="6">
          <cell r="G6" t="str">
            <v>airblast</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11">
          <cell r="DY111">
            <v>188</v>
          </cell>
        </row>
        <row r="112">
          <cell r="DY112">
            <v>189</v>
          </cell>
        </row>
        <row r="113">
          <cell r="DY113">
            <v>190</v>
          </cell>
        </row>
        <row r="114">
          <cell r="DY114">
            <v>191</v>
          </cell>
        </row>
        <row r="115">
          <cell r="DY115">
            <v>192</v>
          </cell>
        </row>
        <row r="116">
          <cell r="DY116">
            <v>193</v>
          </cell>
        </row>
        <row r="117">
          <cell r="DY117">
            <v>194</v>
          </cell>
        </row>
        <row r="118">
          <cell r="DY118">
            <v>195</v>
          </cell>
        </row>
        <row r="119">
          <cell r="DY119">
            <v>196</v>
          </cell>
        </row>
        <row r="120">
          <cell r="DY120">
            <v>197</v>
          </cell>
        </row>
        <row r="121">
          <cell r="DY121">
            <v>198</v>
          </cell>
        </row>
        <row r="122">
          <cell r="DY122">
            <v>199</v>
          </cell>
        </row>
        <row r="123">
          <cell r="DY123">
            <v>200</v>
          </cell>
        </row>
        <row r="124">
          <cell r="DY124">
            <v>201</v>
          </cell>
        </row>
        <row r="125">
          <cell r="DY125">
            <v>202</v>
          </cell>
        </row>
        <row r="126">
          <cell r="DY126">
            <v>203</v>
          </cell>
        </row>
        <row r="127">
          <cell r="DY127">
            <v>204</v>
          </cell>
        </row>
        <row r="128">
          <cell r="DY128">
            <v>205</v>
          </cell>
        </row>
        <row r="129">
          <cell r="DY129">
            <v>206</v>
          </cell>
        </row>
        <row r="130">
          <cell r="DY130">
            <v>207</v>
          </cell>
        </row>
        <row r="131">
          <cell r="DY131">
            <v>208</v>
          </cell>
        </row>
        <row r="132">
          <cell r="DY132">
            <v>209</v>
          </cell>
        </row>
        <row r="133">
          <cell r="DY133">
            <v>210</v>
          </cell>
        </row>
        <row r="134">
          <cell r="DY134">
            <v>211</v>
          </cell>
        </row>
        <row r="135">
          <cell r="DY135">
            <v>212</v>
          </cell>
        </row>
        <row r="136">
          <cell r="DY136">
            <v>213</v>
          </cell>
        </row>
        <row r="137">
          <cell r="DY137">
            <v>214</v>
          </cell>
        </row>
        <row r="138">
          <cell r="DY138">
            <v>215</v>
          </cell>
        </row>
        <row r="139">
          <cell r="DY139">
            <v>216</v>
          </cell>
        </row>
        <row r="140">
          <cell r="DY140">
            <v>217</v>
          </cell>
        </row>
        <row r="141">
          <cell r="DY141">
            <v>218</v>
          </cell>
        </row>
        <row r="142">
          <cell r="DY142">
            <v>219</v>
          </cell>
        </row>
        <row r="143">
          <cell r="DY143">
            <v>220</v>
          </cell>
        </row>
        <row r="144">
          <cell r="DY144">
            <v>221</v>
          </cell>
        </row>
        <row r="145">
          <cell r="DY145">
            <v>222</v>
          </cell>
        </row>
        <row r="146">
          <cell r="DY146">
            <v>223</v>
          </cell>
        </row>
        <row r="147">
          <cell r="DY147">
            <v>224</v>
          </cell>
        </row>
        <row r="148">
          <cell r="DY148">
            <v>225</v>
          </cell>
        </row>
        <row r="149">
          <cell r="DY149">
            <v>226</v>
          </cell>
        </row>
        <row r="150">
          <cell r="DY150">
            <v>227</v>
          </cell>
        </row>
        <row r="151">
          <cell r="DY151">
            <v>228</v>
          </cell>
        </row>
        <row r="152">
          <cell r="DY152">
            <v>229</v>
          </cell>
        </row>
        <row r="153">
          <cell r="DY153">
            <v>230</v>
          </cell>
        </row>
        <row r="154">
          <cell r="DY154">
            <v>231</v>
          </cell>
        </row>
        <row r="155">
          <cell r="DY155">
            <v>232</v>
          </cell>
        </row>
        <row r="156">
          <cell r="DY156">
            <v>233</v>
          </cell>
        </row>
        <row r="157">
          <cell r="DY157">
            <v>234</v>
          </cell>
        </row>
        <row r="158">
          <cell r="DY158">
            <v>235</v>
          </cell>
        </row>
        <row r="159">
          <cell r="DY159">
            <v>236</v>
          </cell>
        </row>
        <row r="160">
          <cell r="DY160">
            <v>237</v>
          </cell>
        </row>
        <row r="161">
          <cell r="DY161">
            <v>238</v>
          </cell>
        </row>
        <row r="162">
          <cell r="DY162">
            <v>239</v>
          </cell>
        </row>
        <row r="163">
          <cell r="DY163">
            <v>240</v>
          </cell>
        </row>
        <row r="164">
          <cell r="DY164">
            <v>241</v>
          </cell>
        </row>
        <row r="165">
          <cell r="DY165">
            <v>242</v>
          </cell>
        </row>
        <row r="166">
          <cell r="DY166">
            <v>243</v>
          </cell>
        </row>
        <row r="167">
          <cell r="DY167">
            <v>244</v>
          </cell>
        </row>
        <row r="168">
          <cell r="DY168">
            <v>245</v>
          </cell>
        </row>
        <row r="169">
          <cell r="DY169">
            <v>246</v>
          </cell>
        </row>
        <row r="170">
          <cell r="DY170">
            <v>247</v>
          </cell>
        </row>
        <row r="171">
          <cell r="DY171">
            <v>248</v>
          </cell>
        </row>
        <row r="172">
          <cell r="DY172">
            <v>249</v>
          </cell>
        </row>
        <row r="173">
          <cell r="DY173">
            <v>250</v>
          </cell>
        </row>
        <row r="174">
          <cell r="DY174">
            <v>251</v>
          </cell>
        </row>
        <row r="175">
          <cell r="DY175">
            <v>252</v>
          </cell>
        </row>
        <row r="176">
          <cell r="DY176">
            <v>253</v>
          </cell>
        </row>
        <row r="177">
          <cell r="DY177">
            <v>254</v>
          </cell>
        </row>
        <row r="178">
          <cell r="DY178">
            <v>255</v>
          </cell>
        </row>
        <row r="179">
          <cell r="DY179">
            <v>256</v>
          </cell>
        </row>
        <row r="180">
          <cell r="DY180">
            <v>257</v>
          </cell>
        </row>
        <row r="181">
          <cell r="DY181">
            <v>258</v>
          </cell>
        </row>
        <row r="182">
          <cell r="DY182">
            <v>259</v>
          </cell>
        </row>
        <row r="183">
          <cell r="DY183">
            <v>260</v>
          </cell>
        </row>
        <row r="184">
          <cell r="DY184">
            <v>261</v>
          </cell>
        </row>
        <row r="185">
          <cell r="DY185">
            <v>262</v>
          </cell>
        </row>
        <row r="186">
          <cell r="DY186">
            <v>263</v>
          </cell>
        </row>
        <row r="187">
          <cell r="DY187">
            <v>264</v>
          </cell>
        </row>
        <row r="188">
          <cell r="DY188">
            <v>265</v>
          </cell>
        </row>
        <row r="189">
          <cell r="DY189">
            <v>266</v>
          </cell>
        </row>
        <row r="190">
          <cell r="DY190">
            <v>267</v>
          </cell>
        </row>
        <row r="191">
          <cell r="DY191">
            <v>268</v>
          </cell>
        </row>
        <row r="192">
          <cell r="DY192">
            <v>269</v>
          </cell>
        </row>
        <row r="193">
          <cell r="DY193">
            <v>270</v>
          </cell>
        </row>
        <row r="194">
          <cell r="DY194">
            <v>271</v>
          </cell>
        </row>
        <row r="195">
          <cell r="DY195">
            <v>272</v>
          </cell>
        </row>
        <row r="196">
          <cell r="DY196">
            <v>273</v>
          </cell>
        </row>
        <row r="197">
          <cell r="DY197">
            <v>274</v>
          </cell>
        </row>
        <row r="198">
          <cell r="DY198">
            <v>275</v>
          </cell>
        </row>
        <row r="199">
          <cell r="DY199">
            <v>276</v>
          </cell>
        </row>
        <row r="200">
          <cell r="DY200">
            <v>277</v>
          </cell>
        </row>
        <row r="201">
          <cell r="DY201">
            <v>278</v>
          </cell>
        </row>
        <row r="202">
          <cell r="DY202">
            <v>279</v>
          </cell>
        </row>
        <row r="203">
          <cell r="DY203">
            <v>280</v>
          </cell>
        </row>
        <row r="204">
          <cell r="DY204">
            <v>281</v>
          </cell>
        </row>
        <row r="205">
          <cell r="DY205">
            <v>282</v>
          </cell>
        </row>
        <row r="206">
          <cell r="DY206">
            <v>283</v>
          </cell>
        </row>
        <row r="207">
          <cell r="DY207">
            <v>284</v>
          </cell>
        </row>
        <row r="208">
          <cell r="DY208">
            <v>285</v>
          </cell>
        </row>
        <row r="209">
          <cell r="DY209">
            <v>286</v>
          </cell>
        </row>
        <row r="210">
          <cell r="DY210">
            <v>287</v>
          </cell>
        </row>
        <row r="211">
          <cell r="DY211">
            <v>288</v>
          </cell>
        </row>
        <row r="212">
          <cell r="DY212">
            <v>289</v>
          </cell>
        </row>
        <row r="213">
          <cell r="DY213">
            <v>290</v>
          </cell>
        </row>
        <row r="214">
          <cell r="DY214">
            <v>291</v>
          </cell>
        </row>
        <row r="215">
          <cell r="DY215">
            <v>292</v>
          </cell>
        </row>
        <row r="216">
          <cell r="DY216">
            <v>293</v>
          </cell>
        </row>
        <row r="217">
          <cell r="DY217">
            <v>294</v>
          </cell>
        </row>
        <row r="218">
          <cell r="DY218">
            <v>295</v>
          </cell>
        </row>
        <row r="219">
          <cell r="DY219">
            <v>296</v>
          </cell>
        </row>
        <row r="220">
          <cell r="DY220">
            <v>297</v>
          </cell>
        </row>
        <row r="221">
          <cell r="DY221">
            <v>298</v>
          </cell>
        </row>
        <row r="222">
          <cell r="DY222">
            <v>299</v>
          </cell>
        </row>
        <row r="223">
          <cell r="DY223">
            <v>300</v>
          </cell>
        </row>
        <row r="224">
          <cell r="DY224">
            <v>301</v>
          </cell>
        </row>
        <row r="225">
          <cell r="DY225">
            <v>303</v>
          </cell>
        </row>
        <row r="226">
          <cell r="DY226">
            <v>304</v>
          </cell>
        </row>
        <row r="227">
          <cell r="DY227">
            <v>305</v>
          </cell>
        </row>
        <row r="228">
          <cell r="DY228">
            <v>306</v>
          </cell>
        </row>
        <row r="229">
          <cell r="DY229">
            <v>307</v>
          </cell>
        </row>
        <row r="230">
          <cell r="DY230">
            <v>308</v>
          </cell>
        </row>
        <row r="231">
          <cell r="DY231">
            <v>309</v>
          </cell>
        </row>
        <row r="232">
          <cell r="DY232">
            <v>311</v>
          </cell>
        </row>
        <row r="233">
          <cell r="DY233">
            <v>312</v>
          </cell>
        </row>
        <row r="234">
          <cell r="DY234">
            <v>313</v>
          </cell>
        </row>
        <row r="235">
          <cell r="DY235">
            <v>314</v>
          </cell>
        </row>
        <row r="236">
          <cell r="DY236">
            <v>315</v>
          </cell>
        </row>
        <row r="237">
          <cell r="DY237">
            <v>316</v>
          </cell>
        </row>
        <row r="238">
          <cell r="DY238">
            <v>317</v>
          </cell>
        </row>
        <row r="239">
          <cell r="DY239">
            <v>318</v>
          </cell>
        </row>
        <row r="240">
          <cell r="DY240">
            <v>319</v>
          </cell>
        </row>
        <row r="241">
          <cell r="DY241">
            <v>320</v>
          </cell>
        </row>
        <row r="242">
          <cell r="DY242">
            <v>321</v>
          </cell>
        </row>
        <row r="243">
          <cell r="DY243">
            <v>322</v>
          </cell>
        </row>
        <row r="244">
          <cell r="DY244">
            <v>323</v>
          </cell>
        </row>
        <row r="245">
          <cell r="DY245">
            <v>324</v>
          </cell>
        </row>
        <row r="246">
          <cell r="DY246">
            <v>325</v>
          </cell>
        </row>
        <row r="247">
          <cell r="DY247">
            <v>326</v>
          </cell>
        </row>
        <row r="248">
          <cell r="DY248">
            <v>327</v>
          </cell>
        </row>
        <row r="249">
          <cell r="DY249">
            <v>328</v>
          </cell>
        </row>
        <row r="250">
          <cell r="DY250">
            <v>329</v>
          </cell>
        </row>
        <row r="251">
          <cell r="DY251">
            <v>330</v>
          </cell>
        </row>
        <row r="252">
          <cell r="DY252">
            <v>331</v>
          </cell>
        </row>
        <row r="253">
          <cell r="DY253">
            <v>332</v>
          </cell>
        </row>
        <row r="254">
          <cell r="DY254">
            <v>333</v>
          </cell>
        </row>
        <row r="255">
          <cell r="DY255">
            <v>334</v>
          </cell>
        </row>
        <row r="256">
          <cell r="DY256">
            <v>335</v>
          </cell>
        </row>
        <row r="257">
          <cell r="DY257">
            <v>336</v>
          </cell>
        </row>
        <row r="258">
          <cell r="DY258">
            <v>337</v>
          </cell>
        </row>
        <row r="259">
          <cell r="DY259">
            <v>338</v>
          </cell>
        </row>
        <row r="260">
          <cell r="DY260">
            <v>339</v>
          </cell>
        </row>
        <row r="261">
          <cell r="DY261">
            <v>340</v>
          </cell>
        </row>
        <row r="262">
          <cell r="DY262">
            <v>341</v>
          </cell>
        </row>
        <row r="263">
          <cell r="DY263">
            <v>342</v>
          </cell>
        </row>
        <row r="264">
          <cell r="DY264">
            <v>343</v>
          </cell>
        </row>
        <row r="265">
          <cell r="DY265">
            <v>344</v>
          </cell>
        </row>
        <row r="266">
          <cell r="DY266">
            <v>345</v>
          </cell>
        </row>
        <row r="267">
          <cell r="DY267">
            <v>346</v>
          </cell>
        </row>
        <row r="268">
          <cell r="DY268">
            <v>347</v>
          </cell>
        </row>
        <row r="269">
          <cell r="DY269">
            <v>348</v>
          </cell>
        </row>
        <row r="270">
          <cell r="DY270">
            <v>349</v>
          </cell>
        </row>
        <row r="271">
          <cell r="DY271">
            <v>350</v>
          </cell>
        </row>
        <row r="272">
          <cell r="DY272">
            <v>351</v>
          </cell>
        </row>
        <row r="273">
          <cell r="DY273">
            <v>352</v>
          </cell>
        </row>
        <row r="274">
          <cell r="DY274">
            <v>353</v>
          </cell>
        </row>
        <row r="275">
          <cell r="DY275">
            <v>354</v>
          </cell>
        </row>
        <row r="276">
          <cell r="DY276">
            <v>355</v>
          </cell>
        </row>
        <row r="277">
          <cell r="DY277">
            <v>356</v>
          </cell>
        </row>
        <row r="278">
          <cell r="DY278">
            <v>357</v>
          </cell>
        </row>
        <row r="279">
          <cell r="DY279">
            <v>358</v>
          </cell>
        </row>
        <row r="280">
          <cell r="DY280">
            <v>359</v>
          </cell>
        </row>
        <row r="281">
          <cell r="DY281">
            <v>360</v>
          </cell>
        </row>
        <row r="282">
          <cell r="DY282">
            <v>361</v>
          </cell>
        </row>
        <row r="283">
          <cell r="DY283">
            <v>362</v>
          </cell>
        </row>
        <row r="284">
          <cell r="DY284">
            <v>363</v>
          </cell>
        </row>
        <row r="285">
          <cell r="DY285">
            <v>364</v>
          </cell>
        </row>
        <row r="286">
          <cell r="DY286">
            <v>365</v>
          </cell>
        </row>
        <row r="287">
          <cell r="DY287">
            <v>366</v>
          </cell>
        </row>
        <row r="288">
          <cell r="DY288">
            <v>367</v>
          </cell>
        </row>
        <row r="289">
          <cell r="DY289">
            <v>368</v>
          </cell>
        </row>
        <row r="290">
          <cell r="DY290">
            <v>369</v>
          </cell>
        </row>
        <row r="291">
          <cell r="DY291">
            <v>370</v>
          </cell>
        </row>
        <row r="292">
          <cell r="DY292">
            <v>371</v>
          </cell>
        </row>
        <row r="293">
          <cell r="DY293">
            <v>372</v>
          </cell>
        </row>
        <row r="294">
          <cell r="DY294">
            <v>373</v>
          </cell>
        </row>
        <row r="295">
          <cell r="DY295">
            <v>374</v>
          </cell>
        </row>
        <row r="296">
          <cell r="DY296">
            <v>375</v>
          </cell>
        </row>
        <row r="297">
          <cell r="DY297">
            <v>376</v>
          </cell>
        </row>
        <row r="298">
          <cell r="DY298">
            <v>377</v>
          </cell>
        </row>
        <row r="299">
          <cell r="DY299">
            <v>378</v>
          </cell>
        </row>
        <row r="300">
          <cell r="DY300">
            <v>379</v>
          </cell>
        </row>
        <row r="301">
          <cell r="DY301">
            <v>380</v>
          </cell>
        </row>
        <row r="302">
          <cell r="DY302">
            <v>381</v>
          </cell>
        </row>
        <row r="303">
          <cell r="DY303">
            <v>382</v>
          </cell>
        </row>
        <row r="304">
          <cell r="DY304">
            <v>383</v>
          </cell>
        </row>
        <row r="305">
          <cell r="DY305">
            <v>384</v>
          </cell>
        </row>
        <row r="306">
          <cell r="DY306">
            <v>385</v>
          </cell>
        </row>
        <row r="307">
          <cell r="DY307">
            <v>386</v>
          </cell>
        </row>
        <row r="308">
          <cell r="DY308">
            <v>387</v>
          </cell>
        </row>
        <row r="309">
          <cell r="DY309">
            <v>389</v>
          </cell>
        </row>
        <row r="310">
          <cell r="DY310">
            <v>390</v>
          </cell>
        </row>
        <row r="311">
          <cell r="DY311">
            <v>391</v>
          </cell>
        </row>
        <row r="312">
          <cell r="DY312">
            <v>392</v>
          </cell>
        </row>
        <row r="313">
          <cell r="DY313">
            <v>393</v>
          </cell>
        </row>
        <row r="314">
          <cell r="DY314">
            <v>394</v>
          </cell>
        </row>
        <row r="315">
          <cell r="DY315">
            <v>395</v>
          </cell>
        </row>
        <row r="316">
          <cell r="DY316">
            <v>396</v>
          </cell>
        </row>
        <row r="317">
          <cell r="DY317">
            <v>397</v>
          </cell>
        </row>
        <row r="318">
          <cell r="DY318">
            <v>398</v>
          </cell>
        </row>
        <row r="319">
          <cell r="DY319">
            <v>399</v>
          </cell>
        </row>
        <row r="320">
          <cell r="DY320">
            <v>400</v>
          </cell>
        </row>
        <row r="321">
          <cell r="DY321">
            <v>401</v>
          </cell>
        </row>
        <row r="322">
          <cell r="DY322">
            <v>402</v>
          </cell>
        </row>
        <row r="323">
          <cell r="DY323">
            <v>403</v>
          </cell>
        </row>
        <row r="324">
          <cell r="DY324">
            <v>404</v>
          </cell>
        </row>
        <row r="325">
          <cell r="DY325">
            <v>406</v>
          </cell>
        </row>
        <row r="326">
          <cell r="DY326">
            <v>407</v>
          </cell>
        </row>
        <row r="327">
          <cell r="DY327">
            <v>408</v>
          </cell>
        </row>
        <row r="328">
          <cell r="DY328">
            <v>409</v>
          </cell>
        </row>
        <row r="329">
          <cell r="DY329">
            <v>411</v>
          </cell>
        </row>
        <row r="330">
          <cell r="DY330">
            <v>412</v>
          </cell>
        </row>
        <row r="331">
          <cell r="DY331">
            <v>413</v>
          </cell>
        </row>
        <row r="332">
          <cell r="DY332">
            <v>414</v>
          </cell>
        </row>
        <row r="333">
          <cell r="DY333">
            <v>415</v>
          </cell>
        </row>
        <row r="334">
          <cell r="DY334">
            <v>416</v>
          </cell>
        </row>
        <row r="335">
          <cell r="DY335">
            <v>417</v>
          </cell>
        </row>
        <row r="336">
          <cell r="DY336">
            <v>418</v>
          </cell>
        </row>
        <row r="337">
          <cell r="DY337">
            <v>419</v>
          </cell>
        </row>
        <row r="338">
          <cell r="DY338">
            <v>420</v>
          </cell>
        </row>
        <row r="339">
          <cell r="DY339">
            <v>421</v>
          </cell>
        </row>
        <row r="340">
          <cell r="DY340">
            <v>422</v>
          </cell>
        </row>
        <row r="341">
          <cell r="DY341">
            <v>423</v>
          </cell>
        </row>
        <row r="342">
          <cell r="DY342">
            <v>424</v>
          </cell>
        </row>
        <row r="343">
          <cell r="DY343">
            <v>425</v>
          </cell>
        </row>
        <row r="344">
          <cell r="DY344">
            <v>426</v>
          </cell>
        </row>
        <row r="345">
          <cell r="DY345">
            <v>427</v>
          </cell>
        </row>
        <row r="346">
          <cell r="DY346">
            <v>428</v>
          </cell>
        </row>
        <row r="347">
          <cell r="DY347">
            <v>429</v>
          </cell>
        </row>
        <row r="348">
          <cell r="DY348">
            <v>430</v>
          </cell>
        </row>
        <row r="349">
          <cell r="DY349">
            <v>431</v>
          </cell>
        </row>
        <row r="350">
          <cell r="DY350">
            <v>432</v>
          </cell>
        </row>
        <row r="351">
          <cell r="DY351">
            <v>433</v>
          </cell>
        </row>
        <row r="352">
          <cell r="DY352">
            <v>434</v>
          </cell>
        </row>
        <row r="353">
          <cell r="DY353">
            <v>435</v>
          </cell>
        </row>
        <row r="354">
          <cell r="DY354">
            <v>436</v>
          </cell>
        </row>
        <row r="355">
          <cell r="DY355">
            <v>437</v>
          </cell>
        </row>
        <row r="356">
          <cell r="DY356">
            <v>438</v>
          </cell>
        </row>
        <row r="357">
          <cell r="DY357">
            <v>439</v>
          </cell>
        </row>
        <row r="358">
          <cell r="DY358">
            <v>440</v>
          </cell>
        </row>
        <row r="359">
          <cell r="DY359">
            <v>441</v>
          </cell>
        </row>
        <row r="360">
          <cell r="DY360">
            <v>442</v>
          </cell>
        </row>
        <row r="361">
          <cell r="DY361">
            <v>443</v>
          </cell>
        </row>
        <row r="362">
          <cell r="DY362">
            <v>444</v>
          </cell>
        </row>
        <row r="363">
          <cell r="DY363">
            <v>445</v>
          </cell>
        </row>
        <row r="364">
          <cell r="DY364">
            <v>446</v>
          </cell>
        </row>
        <row r="365">
          <cell r="DY365">
            <v>447</v>
          </cell>
        </row>
        <row r="366">
          <cell r="DY366">
            <v>448</v>
          </cell>
        </row>
        <row r="367">
          <cell r="DY367">
            <v>449</v>
          </cell>
        </row>
        <row r="368">
          <cell r="DY368">
            <v>450</v>
          </cell>
        </row>
        <row r="369">
          <cell r="DY369">
            <v>451</v>
          </cell>
        </row>
        <row r="370">
          <cell r="DY370">
            <v>452</v>
          </cell>
        </row>
        <row r="371">
          <cell r="DY371">
            <v>453</v>
          </cell>
        </row>
        <row r="372">
          <cell r="DY372">
            <v>454</v>
          </cell>
        </row>
        <row r="373">
          <cell r="DY373">
            <v>455</v>
          </cell>
        </row>
        <row r="374">
          <cell r="DY374">
            <v>456</v>
          </cell>
        </row>
        <row r="375">
          <cell r="DY375">
            <v>457</v>
          </cell>
        </row>
        <row r="376">
          <cell r="DY376">
            <v>458</v>
          </cell>
        </row>
        <row r="377">
          <cell r="DY377">
            <v>459</v>
          </cell>
        </row>
        <row r="378">
          <cell r="DY378">
            <v>460</v>
          </cell>
        </row>
        <row r="379">
          <cell r="DY379">
            <v>461</v>
          </cell>
        </row>
        <row r="380">
          <cell r="DY380">
            <v>462</v>
          </cell>
        </row>
        <row r="381">
          <cell r="DY381">
            <v>463</v>
          </cell>
        </row>
        <row r="382">
          <cell r="DY382">
            <v>464</v>
          </cell>
        </row>
        <row r="383">
          <cell r="DY383">
            <v>465</v>
          </cell>
        </row>
        <row r="384">
          <cell r="DY384">
            <v>466</v>
          </cell>
        </row>
        <row r="385">
          <cell r="DY385">
            <v>467</v>
          </cell>
        </row>
        <row r="386">
          <cell r="DY386">
            <v>468</v>
          </cell>
        </row>
        <row r="387">
          <cell r="DY387">
            <v>469</v>
          </cell>
        </row>
        <row r="388">
          <cell r="DY388">
            <v>470</v>
          </cell>
        </row>
        <row r="389">
          <cell r="DY389">
            <v>471</v>
          </cell>
        </row>
        <row r="390">
          <cell r="DY390">
            <v>472</v>
          </cell>
        </row>
        <row r="391">
          <cell r="DY391">
            <v>473</v>
          </cell>
        </row>
        <row r="392">
          <cell r="DY392">
            <v>474</v>
          </cell>
        </row>
        <row r="393">
          <cell r="DY393">
            <v>475</v>
          </cell>
        </row>
        <row r="394">
          <cell r="DY394">
            <v>476</v>
          </cell>
        </row>
        <row r="395">
          <cell r="DY395">
            <v>477</v>
          </cell>
        </row>
        <row r="396">
          <cell r="DY396">
            <v>478</v>
          </cell>
        </row>
        <row r="397">
          <cell r="DY397">
            <v>479</v>
          </cell>
        </row>
        <row r="398">
          <cell r="DY398">
            <v>480</v>
          </cell>
        </row>
        <row r="399">
          <cell r="DY399">
            <v>481</v>
          </cell>
        </row>
        <row r="400">
          <cell r="DY400">
            <v>482</v>
          </cell>
        </row>
        <row r="401">
          <cell r="DY401">
            <v>483</v>
          </cell>
        </row>
        <row r="402">
          <cell r="DY402">
            <v>484</v>
          </cell>
        </row>
        <row r="403">
          <cell r="DY403">
            <v>485</v>
          </cell>
        </row>
        <row r="404">
          <cell r="DY404">
            <v>486</v>
          </cell>
        </row>
        <row r="405">
          <cell r="DY405">
            <v>487</v>
          </cell>
        </row>
        <row r="406">
          <cell r="DY406">
            <v>488</v>
          </cell>
        </row>
        <row r="407">
          <cell r="DY407">
            <v>489</v>
          </cell>
        </row>
        <row r="408">
          <cell r="DY408">
            <v>490</v>
          </cell>
        </row>
        <row r="409">
          <cell r="DY409">
            <v>491</v>
          </cell>
        </row>
        <row r="410">
          <cell r="DY410">
            <v>492</v>
          </cell>
        </row>
        <row r="411">
          <cell r="DY411">
            <v>493</v>
          </cell>
        </row>
        <row r="412">
          <cell r="DY412">
            <v>494</v>
          </cell>
        </row>
        <row r="413">
          <cell r="DY413">
            <v>495</v>
          </cell>
        </row>
        <row r="414">
          <cell r="DY414">
            <v>496</v>
          </cell>
        </row>
        <row r="415">
          <cell r="DY415">
            <v>497</v>
          </cell>
        </row>
        <row r="416">
          <cell r="DY416">
            <v>498</v>
          </cell>
        </row>
        <row r="417">
          <cell r="DY417">
            <v>499</v>
          </cell>
        </row>
        <row r="418">
          <cell r="DY418">
            <v>500</v>
          </cell>
        </row>
        <row r="419">
          <cell r="DY419">
            <v>501</v>
          </cell>
        </row>
        <row r="420">
          <cell r="DY420">
            <v>502</v>
          </cell>
        </row>
        <row r="421">
          <cell r="DY421">
            <v>503</v>
          </cell>
        </row>
        <row r="422">
          <cell r="DY422">
            <v>504</v>
          </cell>
        </row>
        <row r="423">
          <cell r="DY423">
            <v>505</v>
          </cell>
        </row>
        <row r="424">
          <cell r="DY424">
            <v>506</v>
          </cell>
        </row>
        <row r="425">
          <cell r="DY425">
            <v>507</v>
          </cell>
        </row>
        <row r="426">
          <cell r="DY426">
            <v>508</v>
          </cell>
        </row>
        <row r="427">
          <cell r="DY427">
            <v>509</v>
          </cell>
        </row>
        <row r="428">
          <cell r="DY428">
            <v>510</v>
          </cell>
        </row>
        <row r="429">
          <cell r="DY429">
            <v>511</v>
          </cell>
        </row>
        <row r="430">
          <cell r="DY430">
            <v>512</v>
          </cell>
        </row>
        <row r="431">
          <cell r="DY431">
            <v>513</v>
          </cell>
        </row>
        <row r="432">
          <cell r="DY432">
            <v>514</v>
          </cell>
        </row>
        <row r="433">
          <cell r="DY433">
            <v>515</v>
          </cell>
        </row>
        <row r="434">
          <cell r="DY434">
            <v>516</v>
          </cell>
        </row>
        <row r="435">
          <cell r="DY435">
            <v>517</v>
          </cell>
        </row>
        <row r="436">
          <cell r="DY436">
            <v>518</v>
          </cell>
        </row>
        <row r="437">
          <cell r="DY437">
            <v>519</v>
          </cell>
        </row>
        <row r="438">
          <cell r="DY438">
            <v>520</v>
          </cell>
        </row>
        <row r="439">
          <cell r="DY439">
            <v>521</v>
          </cell>
        </row>
        <row r="440">
          <cell r="DY440">
            <v>522</v>
          </cell>
        </row>
        <row r="441">
          <cell r="DY441">
            <v>523</v>
          </cell>
        </row>
        <row r="442">
          <cell r="DY442">
            <v>524</v>
          </cell>
        </row>
        <row r="443">
          <cell r="DY443">
            <v>525</v>
          </cell>
        </row>
        <row r="444">
          <cell r="DY444">
            <v>526</v>
          </cell>
        </row>
        <row r="445">
          <cell r="DY445">
            <v>527</v>
          </cell>
        </row>
        <row r="446">
          <cell r="DY446">
            <v>528</v>
          </cell>
        </row>
        <row r="447">
          <cell r="DY447">
            <v>529</v>
          </cell>
        </row>
        <row r="448">
          <cell r="DY448">
            <v>530</v>
          </cell>
        </row>
        <row r="449">
          <cell r="DY449">
            <v>531</v>
          </cell>
        </row>
        <row r="450">
          <cell r="DY450">
            <v>532</v>
          </cell>
        </row>
        <row r="451">
          <cell r="DY451">
            <v>533</v>
          </cell>
        </row>
        <row r="452">
          <cell r="DY452">
            <v>534</v>
          </cell>
        </row>
        <row r="453">
          <cell r="DY453">
            <v>535</v>
          </cell>
        </row>
        <row r="454">
          <cell r="DY454">
            <v>536</v>
          </cell>
        </row>
        <row r="455">
          <cell r="DY455">
            <v>537</v>
          </cell>
        </row>
        <row r="456">
          <cell r="DY456">
            <v>538</v>
          </cell>
        </row>
        <row r="457">
          <cell r="DY457">
            <v>539</v>
          </cell>
        </row>
        <row r="458">
          <cell r="DY458">
            <v>540</v>
          </cell>
        </row>
        <row r="459">
          <cell r="DY459">
            <v>541</v>
          </cell>
        </row>
        <row r="460">
          <cell r="DY460">
            <v>542</v>
          </cell>
        </row>
        <row r="461">
          <cell r="DY461">
            <v>543</v>
          </cell>
        </row>
        <row r="462">
          <cell r="DY462">
            <v>544</v>
          </cell>
        </row>
        <row r="463">
          <cell r="DY463">
            <v>545</v>
          </cell>
        </row>
        <row r="464">
          <cell r="DY464">
            <v>546</v>
          </cell>
        </row>
        <row r="465">
          <cell r="DY465">
            <v>547</v>
          </cell>
        </row>
        <row r="466">
          <cell r="DY466">
            <v>548</v>
          </cell>
        </row>
        <row r="467">
          <cell r="DY467">
            <v>549</v>
          </cell>
        </row>
        <row r="468">
          <cell r="DY468">
            <v>550</v>
          </cell>
        </row>
        <row r="469">
          <cell r="DY469">
            <v>551</v>
          </cell>
        </row>
        <row r="470">
          <cell r="DY470">
            <v>552</v>
          </cell>
        </row>
        <row r="471">
          <cell r="DY471">
            <v>553</v>
          </cell>
        </row>
        <row r="472">
          <cell r="DY472">
            <v>554</v>
          </cell>
        </row>
        <row r="473">
          <cell r="DY473">
            <v>555</v>
          </cell>
        </row>
        <row r="474">
          <cell r="DY474">
            <v>556</v>
          </cell>
        </row>
        <row r="475">
          <cell r="DY475">
            <v>557</v>
          </cell>
        </row>
        <row r="476">
          <cell r="DY476">
            <v>558</v>
          </cell>
        </row>
        <row r="477">
          <cell r="DY477">
            <v>559</v>
          </cell>
        </row>
        <row r="478">
          <cell r="DY478">
            <v>560</v>
          </cell>
        </row>
        <row r="479">
          <cell r="DY479">
            <v>561</v>
          </cell>
        </row>
        <row r="480">
          <cell r="DY480">
            <v>562</v>
          </cell>
        </row>
        <row r="481">
          <cell r="DY481">
            <v>563</v>
          </cell>
        </row>
        <row r="482">
          <cell r="DY482">
            <v>564</v>
          </cell>
        </row>
        <row r="483">
          <cell r="DY483">
            <v>565</v>
          </cell>
        </row>
        <row r="484">
          <cell r="DY484">
            <v>566</v>
          </cell>
        </row>
        <row r="485">
          <cell r="DY485">
            <v>567</v>
          </cell>
        </row>
        <row r="486">
          <cell r="DY486">
            <v>568</v>
          </cell>
        </row>
        <row r="487">
          <cell r="DY487">
            <v>569</v>
          </cell>
        </row>
        <row r="488">
          <cell r="DY488">
            <v>570</v>
          </cell>
        </row>
        <row r="489">
          <cell r="DY489">
            <v>571</v>
          </cell>
        </row>
        <row r="490">
          <cell r="DY490">
            <v>572</v>
          </cell>
        </row>
        <row r="491">
          <cell r="DY491">
            <v>573</v>
          </cell>
        </row>
        <row r="492">
          <cell r="DY492">
            <v>574</v>
          </cell>
        </row>
        <row r="493">
          <cell r="DY493">
            <v>575</v>
          </cell>
        </row>
        <row r="494">
          <cell r="DY494">
            <v>576</v>
          </cell>
        </row>
        <row r="495">
          <cell r="DY495">
            <v>577</v>
          </cell>
        </row>
        <row r="496">
          <cell r="DY496">
            <v>578</v>
          </cell>
        </row>
        <row r="497">
          <cell r="DY497">
            <v>579</v>
          </cell>
        </row>
        <row r="498">
          <cell r="DY498">
            <v>580</v>
          </cell>
        </row>
        <row r="499">
          <cell r="DY499">
            <v>581</v>
          </cell>
        </row>
        <row r="500">
          <cell r="DY500">
            <v>582</v>
          </cell>
        </row>
        <row r="501">
          <cell r="DY501">
            <v>583</v>
          </cell>
        </row>
        <row r="502">
          <cell r="DY502">
            <v>584</v>
          </cell>
        </row>
        <row r="503">
          <cell r="DY503">
            <v>585</v>
          </cell>
        </row>
        <row r="504">
          <cell r="DY504">
            <v>586</v>
          </cell>
        </row>
        <row r="505">
          <cell r="DY505">
            <v>587</v>
          </cell>
        </row>
        <row r="506">
          <cell r="DY506">
            <v>588</v>
          </cell>
        </row>
        <row r="507">
          <cell r="DY507">
            <v>589</v>
          </cell>
        </row>
        <row r="508">
          <cell r="DY508">
            <v>590</v>
          </cell>
        </row>
        <row r="509">
          <cell r="DY509">
            <v>591</v>
          </cell>
        </row>
        <row r="510">
          <cell r="DY510">
            <v>592</v>
          </cell>
        </row>
        <row r="511">
          <cell r="DY511">
            <v>593</v>
          </cell>
        </row>
        <row r="512">
          <cell r="DY512">
            <v>594</v>
          </cell>
        </row>
        <row r="513">
          <cell r="DY513">
            <v>595</v>
          </cell>
        </row>
        <row r="514">
          <cell r="DY514">
            <v>596</v>
          </cell>
        </row>
        <row r="515">
          <cell r="DY515">
            <v>597</v>
          </cell>
        </row>
        <row r="516">
          <cell r="DY516">
            <v>598</v>
          </cell>
        </row>
        <row r="517">
          <cell r="DY517">
            <v>599</v>
          </cell>
        </row>
        <row r="518">
          <cell r="DY518">
            <v>600</v>
          </cell>
        </row>
        <row r="519">
          <cell r="DY519">
            <v>601</v>
          </cell>
        </row>
        <row r="520">
          <cell r="DY520">
            <v>602</v>
          </cell>
        </row>
        <row r="521">
          <cell r="DY521">
            <v>603</v>
          </cell>
        </row>
        <row r="522">
          <cell r="DY522">
            <v>604</v>
          </cell>
        </row>
        <row r="523">
          <cell r="DY523">
            <v>605</v>
          </cell>
        </row>
        <row r="524">
          <cell r="DY524">
            <v>606</v>
          </cell>
        </row>
        <row r="525">
          <cell r="DY525">
            <v>607</v>
          </cell>
        </row>
        <row r="526">
          <cell r="DY526">
            <v>608</v>
          </cell>
        </row>
        <row r="527">
          <cell r="DY527">
            <v>609</v>
          </cell>
        </row>
        <row r="528">
          <cell r="DY528">
            <v>610</v>
          </cell>
        </row>
        <row r="529">
          <cell r="DY529">
            <v>611</v>
          </cell>
        </row>
        <row r="530">
          <cell r="DY530">
            <v>612</v>
          </cell>
        </row>
        <row r="531">
          <cell r="DY531">
            <v>613</v>
          </cell>
        </row>
        <row r="532">
          <cell r="DY532">
            <v>614</v>
          </cell>
        </row>
        <row r="533">
          <cell r="DY533">
            <v>615</v>
          </cell>
        </row>
        <row r="534">
          <cell r="DY534">
            <v>616</v>
          </cell>
        </row>
        <row r="535">
          <cell r="DY535">
            <v>617</v>
          </cell>
        </row>
        <row r="536">
          <cell r="DY536">
            <v>618</v>
          </cell>
        </row>
        <row r="537">
          <cell r="DY537">
            <v>619</v>
          </cell>
        </row>
        <row r="538">
          <cell r="DY538">
            <v>620</v>
          </cell>
        </row>
        <row r="539">
          <cell r="DY539">
            <v>621</v>
          </cell>
        </row>
        <row r="540">
          <cell r="DY540">
            <v>622</v>
          </cell>
        </row>
        <row r="541">
          <cell r="DY541">
            <v>623</v>
          </cell>
        </row>
        <row r="542">
          <cell r="DY542">
            <v>624</v>
          </cell>
        </row>
        <row r="543">
          <cell r="DY543">
            <v>625</v>
          </cell>
        </row>
        <row r="544">
          <cell r="DY544">
            <v>626</v>
          </cell>
        </row>
        <row r="545">
          <cell r="DY545">
            <v>627</v>
          </cell>
        </row>
        <row r="546">
          <cell r="DY546">
            <v>628</v>
          </cell>
        </row>
        <row r="547">
          <cell r="DY547">
            <v>629</v>
          </cell>
        </row>
        <row r="548">
          <cell r="DY548">
            <v>630</v>
          </cell>
        </row>
        <row r="549">
          <cell r="DY549">
            <v>631</v>
          </cell>
        </row>
        <row r="550">
          <cell r="DY550">
            <v>632</v>
          </cell>
        </row>
        <row r="551">
          <cell r="DY551">
            <v>633</v>
          </cell>
        </row>
        <row r="552">
          <cell r="DY552">
            <v>634</v>
          </cell>
        </row>
        <row r="553">
          <cell r="DY553">
            <v>635</v>
          </cell>
        </row>
        <row r="554">
          <cell r="DY554">
            <v>636</v>
          </cell>
        </row>
        <row r="555">
          <cell r="DY555">
            <v>637</v>
          </cell>
        </row>
        <row r="556">
          <cell r="DY556">
            <v>638</v>
          </cell>
        </row>
        <row r="557">
          <cell r="DY557">
            <v>639</v>
          </cell>
        </row>
        <row r="558">
          <cell r="DY558">
            <v>640</v>
          </cell>
        </row>
        <row r="559">
          <cell r="DY559">
            <v>641</v>
          </cell>
        </row>
        <row r="560">
          <cell r="DY560">
            <v>642</v>
          </cell>
        </row>
        <row r="561">
          <cell r="DY561">
            <v>643</v>
          </cell>
        </row>
        <row r="562">
          <cell r="DY562">
            <v>644</v>
          </cell>
        </row>
        <row r="563">
          <cell r="DY563">
            <v>645</v>
          </cell>
        </row>
        <row r="564">
          <cell r="DY564">
            <v>646</v>
          </cell>
        </row>
        <row r="565">
          <cell r="DY565">
            <v>647</v>
          </cell>
        </row>
        <row r="566">
          <cell r="DY566">
            <v>648</v>
          </cell>
        </row>
        <row r="567">
          <cell r="DY567">
            <v>649</v>
          </cell>
        </row>
        <row r="568">
          <cell r="DY568">
            <v>650</v>
          </cell>
        </row>
        <row r="569">
          <cell r="DY569">
            <v>651</v>
          </cell>
        </row>
        <row r="570">
          <cell r="DY570">
            <v>652</v>
          </cell>
        </row>
        <row r="571">
          <cell r="DY571">
            <v>653</v>
          </cell>
        </row>
        <row r="572">
          <cell r="DY572">
            <v>654</v>
          </cell>
        </row>
        <row r="573">
          <cell r="DY573">
            <v>655</v>
          </cell>
        </row>
        <row r="574">
          <cell r="DY574">
            <v>656</v>
          </cell>
        </row>
        <row r="575">
          <cell r="DY575">
            <v>657</v>
          </cell>
        </row>
        <row r="576">
          <cell r="DY576">
            <v>658</v>
          </cell>
        </row>
        <row r="577">
          <cell r="DY577">
            <v>659</v>
          </cell>
        </row>
        <row r="578">
          <cell r="DY578">
            <v>660</v>
          </cell>
        </row>
        <row r="579">
          <cell r="DY579">
            <v>661</v>
          </cell>
        </row>
        <row r="580">
          <cell r="DY580">
            <v>662</v>
          </cell>
        </row>
        <row r="581">
          <cell r="DY581">
            <v>663</v>
          </cell>
        </row>
        <row r="582">
          <cell r="DY582">
            <v>664</v>
          </cell>
        </row>
        <row r="583">
          <cell r="DY583">
            <v>665</v>
          </cell>
        </row>
        <row r="584">
          <cell r="DY584">
            <v>666</v>
          </cell>
        </row>
        <row r="585">
          <cell r="DY585">
            <v>667</v>
          </cell>
        </row>
        <row r="586">
          <cell r="DY586">
            <v>668</v>
          </cell>
        </row>
        <row r="587">
          <cell r="DY587">
            <v>669</v>
          </cell>
        </row>
        <row r="588">
          <cell r="DY588">
            <v>670</v>
          </cell>
        </row>
        <row r="589">
          <cell r="DY589">
            <v>671</v>
          </cell>
        </row>
        <row r="590">
          <cell r="DY590">
            <v>672</v>
          </cell>
        </row>
        <row r="591">
          <cell r="DY591">
            <v>673</v>
          </cell>
        </row>
        <row r="592">
          <cell r="DY592">
            <v>674</v>
          </cell>
        </row>
        <row r="593">
          <cell r="DY593">
            <v>675</v>
          </cell>
        </row>
        <row r="594">
          <cell r="DY594">
            <v>676</v>
          </cell>
        </row>
        <row r="595">
          <cell r="DY595">
            <v>677</v>
          </cell>
        </row>
        <row r="596">
          <cell r="DY596">
            <v>678</v>
          </cell>
        </row>
        <row r="597">
          <cell r="DY597">
            <v>679</v>
          </cell>
        </row>
        <row r="598">
          <cell r="DY598">
            <v>680</v>
          </cell>
        </row>
        <row r="599">
          <cell r="DY599">
            <v>681</v>
          </cell>
        </row>
        <row r="600">
          <cell r="DY600">
            <v>682</v>
          </cell>
        </row>
        <row r="601">
          <cell r="DY601">
            <v>683</v>
          </cell>
        </row>
        <row r="602">
          <cell r="DY602">
            <v>684</v>
          </cell>
        </row>
        <row r="603">
          <cell r="DY603">
            <v>685</v>
          </cell>
        </row>
        <row r="604">
          <cell r="DY604">
            <v>686</v>
          </cell>
        </row>
        <row r="605">
          <cell r="DY605">
            <v>687</v>
          </cell>
        </row>
        <row r="606">
          <cell r="DY606">
            <v>688</v>
          </cell>
        </row>
        <row r="607">
          <cell r="DY607">
            <v>689</v>
          </cell>
        </row>
        <row r="608">
          <cell r="DY608">
            <v>690</v>
          </cell>
        </row>
        <row r="609">
          <cell r="DY609">
            <v>691</v>
          </cell>
        </row>
        <row r="610">
          <cell r="DY610">
            <v>692</v>
          </cell>
        </row>
        <row r="611">
          <cell r="DY611">
            <v>693</v>
          </cell>
        </row>
        <row r="612">
          <cell r="DY612">
            <v>694</v>
          </cell>
        </row>
        <row r="613">
          <cell r="DY613">
            <v>695</v>
          </cell>
        </row>
        <row r="614">
          <cell r="DY614">
            <v>696</v>
          </cell>
        </row>
        <row r="615">
          <cell r="DY615">
            <v>697</v>
          </cell>
        </row>
        <row r="616">
          <cell r="DY616">
            <v>698</v>
          </cell>
        </row>
        <row r="617">
          <cell r="DY617">
            <v>700</v>
          </cell>
        </row>
        <row r="618">
          <cell r="DY618">
            <v>701</v>
          </cell>
        </row>
        <row r="619">
          <cell r="DY619">
            <v>702</v>
          </cell>
        </row>
        <row r="620">
          <cell r="DY620">
            <v>703</v>
          </cell>
        </row>
        <row r="621">
          <cell r="DY621">
            <v>704</v>
          </cell>
        </row>
        <row r="622">
          <cell r="DY622">
            <v>705</v>
          </cell>
        </row>
        <row r="623">
          <cell r="DY623">
            <v>707</v>
          </cell>
        </row>
        <row r="624">
          <cell r="DY624">
            <v>708</v>
          </cell>
        </row>
        <row r="625">
          <cell r="DY625">
            <v>709</v>
          </cell>
        </row>
        <row r="626">
          <cell r="DY626">
            <v>710</v>
          </cell>
        </row>
        <row r="627">
          <cell r="DY627">
            <v>711</v>
          </cell>
        </row>
        <row r="628">
          <cell r="DY628">
            <v>712</v>
          </cell>
        </row>
        <row r="629">
          <cell r="DY629">
            <v>713</v>
          </cell>
        </row>
        <row r="630">
          <cell r="DY630">
            <v>715</v>
          </cell>
        </row>
        <row r="631">
          <cell r="DY631">
            <v>716</v>
          </cell>
        </row>
        <row r="632">
          <cell r="DY632">
            <v>717</v>
          </cell>
        </row>
        <row r="633">
          <cell r="DY633">
            <v>718</v>
          </cell>
        </row>
        <row r="634">
          <cell r="DY634">
            <v>719</v>
          </cell>
        </row>
        <row r="635">
          <cell r="DY635">
            <v>720</v>
          </cell>
        </row>
        <row r="636">
          <cell r="DY636">
            <v>721</v>
          </cell>
        </row>
        <row r="637">
          <cell r="DY637">
            <v>722</v>
          </cell>
        </row>
        <row r="638">
          <cell r="DY638">
            <v>723</v>
          </cell>
        </row>
        <row r="639">
          <cell r="DY639">
            <v>724</v>
          </cell>
        </row>
        <row r="640">
          <cell r="DY640">
            <v>725</v>
          </cell>
        </row>
        <row r="641">
          <cell r="DY641">
            <v>726</v>
          </cell>
        </row>
        <row r="642">
          <cell r="DY642">
            <v>727</v>
          </cell>
        </row>
        <row r="643">
          <cell r="DY643">
            <v>728</v>
          </cell>
        </row>
        <row r="644">
          <cell r="DY644">
            <v>729</v>
          </cell>
        </row>
        <row r="645">
          <cell r="DY645">
            <v>730</v>
          </cell>
        </row>
        <row r="646">
          <cell r="DY646">
            <v>731</v>
          </cell>
        </row>
        <row r="647">
          <cell r="DY647">
            <v>732</v>
          </cell>
        </row>
        <row r="648">
          <cell r="DY648">
            <v>733</v>
          </cell>
        </row>
        <row r="649">
          <cell r="DY649">
            <v>734</v>
          </cell>
        </row>
        <row r="650">
          <cell r="DY650">
            <v>735</v>
          </cell>
        </row>
        <row r="651">
          <cell r="DY651">
            <v>736</v>
          </cell>
        </row>
        <row r="652">
          <cell r="DY652">
            <v>737</v>
          </cell>
        </row>
        <row r="653">
          <cell r="DY653">
            <v>738</v>
          </cell>
        </row>
        <row r="654">
          <cell r="DY654">
            <v>739</v>
          </cell>
        </row>
        <row r="655">
          <cell r="DY655">
            <v>740</v>
          </cell>
        </row>
        <row r="656">
          <cell r="DY656">
            <v>741</v>
          </cell>
        </row>
        <row r="657">
          <cell r="DY657">
            <v>742</v>
          </cell>
        </row>
        <row r="658">
          <cell r="DY658">
            <v>743</v>
          </cell>
        </row>
        <row r="659">
          <cell r="DY659">
            <v>744</v>
          </cell>
        </row>
        <row r="660">
          <cell r="DY660">
            <v>745</v>
          </cell>
        </row>
        <row r="661">
          <cell r="DY661">
            <v>746</v>
          </cell>
        </row>
        <row r="662">
          <cell r="DY662">
            <v>747</v>
          </cell>
        </row>
        <row r="663">
          <cell r="DY663">
            <v>748</v>
          </cell>
        </row>
        <row r="664">
          <cell r="DY664">
            <v>749</v>
          </cell>
        </row>
        <row r="665">
          <cell r="DY665">
            <v>750</v>
          </cell>
        </row>
        <row r="666">
          <cell r="DY666">
            <v>751</v>
          </cell>
        </row>
        <row r="667">
          <cell r="DY667">
            <v>752</v>
          </cell>
        </row>
        <row r="668">
          <cell r="DY668">
            <v>753</v>
          </cell>
        </row>
        <row r="669">
          <cell r="DY669">
            <v>754</v>
          </cell>
        </row>
        <row r="670">
          <cell r="DY670">
            <v>755</v>
          </cell>
        </row>
        <row r="671">
          <cell r="DY671">
            <v>756</v>
          </cell>
        </row>
        <row r="672">
          <cell r="DY672">
            <v>757</v>
          </cell>
        </row>
        <row r="673">
          <cell r="DY673">
            <v>758</v>
          </cell>
        </row>
        <row r="674">
          <cell r="DY674">
            <v>759</v>
          </cell>
        </row>
        <row r="675">
          <cell r="DY675">
            <v>760</v>
          </cell>
        </row>
        <row r="676">
          <cell r="DY676">
            <v>761</v>
          </cell>
        </row>
        <row r="677">
          <cell r="DY677">
            <v>762</v>
          </cell>
        </row>
        <row r="678">
          <cell r="DY678">
            <v>763</v>
          </cell>
        </row>
        <row r="679">
          <cell r="DY679">
            <v>764</v>
          </cell>
        </row>
        <row r="680">
          <cell r="DY680">
            <v>765</v>
          </cell>
        </row>
        <row r="681">
          <cell r="DY681">
            <v>766</v>
          </cell>
        </row>
        <row r="682">
          <cell r="DY682">
            <v>767</v>
          </cell>
        </row>
        <row r="683">
          <cell r="DY683">
            <v>768</v>
          </cell>
        </row>
        <row r="684">
          <cell r="DY684">
            <v>769</v>
          </cell>
        </row>
        <row r="685">
          <cell r="DY685">
            <v>770</v>
          </cell>
        </row>
        <row r="686">
          <cell r="DY686">
            <v>771</v>
          </cell>
        </row>
        <row r="687">
          <cell r="DY687">
            <v>772</v>
          </cell>
        </row>
        <row r="688">
          <cell r="DY688">
            <v>773</v>
          </cell>
        </row>
        <row r="689">
          <cell r="DY689">
            <v>774</v>
          </cell>
        </row>
        <row r="690">
          <cell r="DY690">
            <v>775</v>
          </cell>
        </row>
        <row r="691">
          <cell r="DY691">
            <v>776</v>
          </cell>
        </row>
        <row r="692">
          <cell r="DY692">
            <v>777</v>
          </cell>
        </row>
        <row r="693">
          <cell r="DY693">
            <v>778</v>
          </cell>
        </row>
        <row r="694">
          <cell r="DY694">
            <v>779</v>
          </cell>
        </row>
        <row r="695">
          <cell r="DY695">
            <v>780</v>
          </cell>
        </row>
        <row r="696">
          <cell r="DY696">
            <v>781</v>
          </cell>
        </row>
        <row r="697">
          <cell r="DY697">
            <v>782</v>
          </cell>
        </row>
        <row r="698">
          <cell r="DY698">
            <v>783</v>
          </cell>
        </row>
        <row r="699">
          <cell r="DY699">
            <v>784</v>
          </cell>
        </row>
        <row r="700">
          <cell r="DY700">
            <v>785</v>
          </cell>
        </row>
        <row r="701">
          <cell r="DY701">
            <v>786</v>
          </cell>
        </row>
        <row r="702">
          <cell r="DY702">
            <v>787</v>
          </cell>
        </row>
        <row r="703">
          <cell r="DY703">
            <v>788</v>
          </cell>
        </row>
        <row r="704">
          <cell r="DY704">
            <v>789</v>
          </cell>
        </row>
        <row r="705">
          <cell r="DY705">
            <v>790</v>
          </cell>
        </row>
        <row r="706">
          <cell r="DY706">
            <v>791</v>
          </cell>
        </row>
        <row r="707">
          <cell r="DY707">
            <v>792</v>
          </cell>
        </row>
        <row r="708">
          <cell r="DY708">
            <v>793</v>
          </cell>
        </row>
        <row r="709">
          <cell r="DY709">
            <v>794</v>
          </cell>
        </row>
        <row r="710">
          <cell r="DY710">
            <v>795</v>
          </cell>
        </row>
        <row r="711">
          <cell r="DY711">
            <v>796</v>
          </cell>
        </row>
        <row r="712">
          <cell r="DY712">
            <v>797</v>
          </cell>
        </row>
        <row r="713">
          <cell r="DY713">
            <v>798</v>
          </cell>
        </row>
        <row r="714">
          <cell r="DY714">
            <v>799</v>
          </cell>
        </row>
        <row r="715">
          <cell r="DY715">
            <v>800</v>
          </cell>
        </row>
        <row r="716">
          <cell r="DY716">
            <v>801</v>
          </cell>
        </row>
        <row r="717">
          <cell r="DY717">
            <v>802</v>
          </cell>
        </row>
        <row r="718">
          <cell r="DY718">
            <v>803</v>
          </cell>
        </row>
        <row r="719">
          <cell r="DY719">
            <v>804</v>
          </cell>
        </row>
        <row r="720">
          <cell r="DY720">
            <v>805</v>
          </cell>
        </row>
        <row r="721">
          <cell r="DY721">
            <v>806</v>
          </cell>
        </row>
        <row r="722">
          <cell r="DY722">
            <v>807</v>
          </cell>
        </row>
        <row r="723">
          <cell r="DY723">
            <v>808</v>
          </cell>
        </row>
        <row r="724">
          <cell r="DY724">
            <v>809</v>
          </cell>
        </row>
        <row r="725">
          <cell r="DY725">
            <v>810</v>
          </cell>
        </row>
        <row r="726">
          <cell r="DY726">
            <v>811</v>
          </cell>
        </row>
        <row r="727">
          <cell r="DY727">
            <v>812</v>
          </cell>
        </row>
        <row r="728">
          <cell r="DY728">
            <v>813</v>
          </cell>
        </row>
        <row r="729">
          <cell r="DY729">
            <v>814</v>
          </cell>
        </row>
        <row r="730">
          <cell r="DY730">
            <v>815</v>
          </cell>
        </row>
        <row r="731">
          <cell r="DY731">
            <v>816</v>
          </cell>
        </row>
        <row r="732">
          <cell r="DY732">
            <v>817</v>
          </cell>
        </row>
        <row r="733">
          <cell r="DY733">
            <v>818</v>
          </cell>
        </row>
        <row r="734">
          <cell r="DY734">
            <v>819</v>
          </cell>
        </row>
        <row r="735">
          <cell r="DY735">
            <v>820</v>
          </cell>
        </row>
        <row r="736">
          <cell r="DY736">
            <v>821</v>
          </cell>
        </row>
        <row r="737">
          <cell r="DY737">
            <v>822</v>
          </cell>
        </row>
        <row r="738">
          <cell r="DY738">
            <v>823</v>
          </cell>
        </row>
        <row r="739">
          <cell r="DY739">
            <v>824</v>
          </cell>
        </row>
        <row r="740">
          <cell r="DY740">
            <v>825</v>
          </cell>
        </row>
        <row r="741">
          <cell r="DY741">
            <v>826</v>
          </cell>
        </row>
        <row r="742">
          <cell r="DY742">
            <v>827</v>
          </cell>
        </row>
        <row r="743">
          <cell r="DY743">
            <v>828</v>
          </cell>
        </row>
        <row r="744">
          <cell r="DY744">
            <v>829</v>
          </cell>
        </row>
        <row r="745">
          <cell r="DY745">
            <v>830</v>
          </cell>
        </row>
        <row r="746">
          <cell r="DY746">
            <v>831</v>
          </cell>
        </row>
        <row r="747">
          <cell r="DY747">
            <v>832</v>
          </cell>
        </row>
        <row r="748">
          <cell r="DY748">
            <v>833</v>
          </cell>
        </row>
        <row r="749">
          <cell r="DY749">
            <v>834</v>
          </cell>
        </row>
        <row r="750">
          <cell r="DY750">
            <v>835</v>
          </cell>
        </row>
        <row r="751">
          <cell r="DY751">
            <v>836</v>
          </cell>
        </row>
        <row r="752">
          <cell r="DY752">
            <v>837</v>
          </cell>
        </row>
        <row r="753">
          <cell r="DY753">
            <v>838</v>
          </cell>
        </row>
        <row r="754">
          <cell r="DY754">
            <v>839</v>
          </cell>
        </row>
        <row r="755">
          <cell r="DY755">
            <v>840</v>
          </cell>
        </row>
        <row r="756">
          <cell r="DY756">
            <v>841</v>
          </cell>
        </row>
        <row r="757">
          <cell r="DY757">
            <v>842</v>
          </cell>
        </row>
        <row r="758">
          <cell r="DY758">
            <v>843</v>
          </cell>
        </row>
        <row r="759">
          <cell r="DY759">
            <v>844</v>
          </cell>
        </row>
        <row r="760">
          <cell r="DY760">
            <v>845</v>
          </cell>
        </row>
        <row r="761">
          <cell r="DY761">
            <v>846</v>
          </cell>
        </row>
        <row r="762">
          <cell r="DY762">
            <v>847</v>
          </cell>
        </row>
        <row r="763">
          <cell r="DY763">
            <v>848</v>
          </cell>
        </row>
        <row r="764">
          <cell r="DY764">
            <v>849</v>
          </cell>
        </row>
        <row r="765">
          <cell r="DY765">
            <v>850</v>
          </cell>
        </row>
        <row r="766">
          <cell r="DY766">
            <v>851</v>
          </cell>
        </row>
        <row r="767">
          <cell r="DY767">
            <v>852</v>
          </cell>
        </row>
        <row r="768">
          <cell r="DY768">
            <v>853</v>
          </cell>
        </row>
        <row r="769">
          <cell r="DY769">
            <v>854</v>
          </cell>
        </row>
        <row r="770">
          <cell r="DY770">
            <v>855</v>
          </cell>
        </row>
        <row r="771">
          <cell r="DY771">
            <v>856</v>
          </cell>
        </row>
        <row r="772">
          <cell r="DY772">
            <v>857</v>
          </cell>
        </row>
        <row r="773">
          <cell r="DY773">
            <v>858</v>
          </cell>
        </row>
        <row r="774">
          <cell r="DY774">
            <v>859</v>
          </cell>
        </row>
        <row r="775">
          <cell r="DY775">
            <v>860</v>
          </cell>
        </row>
        <row r="776">
          <cell r="DY776">
            <v>861</v>
          </cell>
        </row>
        <row r="777">
          <cell r="DY777">
            <v>862</v>
          </cell>
        </row>
        <row r="778">
          <cell r="DY778">
            <v>863</v>
          </cell>
        </row>
        <row r="779">
          <cell r="DY779">
            <v>864</v>
          </cell>
        </row>
        <row r="780">
          <cell r="DY780">
            <v>865</v>
          </cell>
        </row>
        <row r="781">
          <cell r="DY781">
            <v>866</v>
          </cell>
        </row>
        <row r="782">
          <cell r="DY782">
            <v>867</v>
          </cell>
        </row>
        <row r="783">
          <cell r="DY783">
            <v>868</v>
          </cell>
        </row>
        <row r="784">
          <cell r="DY784">
            <v>869</v>
          </cell>
        </row>
        <row r="785">
          <cell r="DY785">
            <v>870</v>
          </cell>
        </row>
        <row r="786">
          <cell r="DY786">
            <v>871</v>
          </cell>
        </row>
        <row r="787">
          <cell r="DY787">
            <v>872</v>
          </cell>
        </row>
        <row r="788">
          <cell r="DY788">
            <v>873</v>
          </cell>
        </row>
        <row r="789">
          <cell r="DY789">
            <v>874</v>
          </cell>
        </row>
        <row r="790">
          <cell r="DY790">
            <v>875</v>
          </cell>
        </row>
        <row r="791">
          <cell r="DY791">
            <v>876</v>
          </cell>
        </row>
        <row r="792">
          <cell r="DY792">
            <v>878</v>
          </cell>
        </row>
        <row r="793">
          <cell r="DY793">
            <v>879</v>
          </cell>
        </row>
        <row r="794">
          <cell r="DY794">
            <v>880</v>
          </cell>
        </row>
        <row r="795">
          <cell r="DY795">
            <v>881</v>
          </cell>
        </row>
        <row r="796">
          <cell r="DY796">
            <v>882</v>
          </cell>
        </row>
        <row r="797">
          <cell r="DY797">
            <v>883</v>
          </cell>
        </row>
        <row r="798">
          <cell r="DY798">
            <v>884</v>
          </cell>
        </row>
        <row r="799">
          <cell r="DY799">
            <v>885</v>
          </cell>
        </row>
        <row r="800">
          <cell r="DY800">
            <v>886</v>
          </cell>
        </row>
        <row r="801">
          <cell r="DY801">
            <v>887</v>
          </cell>
        </row>
        <row r="802">
          <cell r="DY802">
            <v>888</v>
          </cell>
        </row>
        <row r="803">
          <cell r="DY803">
            <v>889</v>
          </cell>
        </row>
        <row r="804">
          <cell r="DY804">
            <v>890</v>
          </cell>
        </row>
        <row r="805">
          <cell r="DY805">
            <v>891</v>
          </cell>
        </row>
        <row r="806">
          <cell r="DY806">
            <v>892</v>
          </cell>
        </row>
        <row r="807">
          <cell r="DY807">
            <v>893</v>
          </cell>
        </row>
        <row r="808">
          <cell r="DY808">
            <v>894</v>
          </cell>
        </row>
        <row r="809">
          <cell r="DY809">
            <v>895</v>
          </cell>
        </row>
        <row r="810">
          <cell r="DY810">
            <v>896</v>
          </cell>
        </row>
        <row r="811">
          <cell r="DY811">
            <v>897</v>
          </cell>
        </row>
        <row r="812">
          <cell r="DY812">
            <v>898</v>
          </cell>
        </row>
        <row r="813">
          <cell r="DY813">
            <v>899</v>
          </cell>
        </row>
        <row r="814">
          <cell r="DY814">
            <v>900</v>
          </cell>
        </row>
        <row r="815">
          <cell r="DY815">
            <v>901</v>
          </cell>
        </row>
        <row r="816">
          <cell r="DY816">
            <v>902</v>
          </cell>
        </row>
        <row r="817">
          <cell r="DY817">
            <v>903</v>
          </cell>
        </row>
        <row r="818">
          <cell r="DY818">
            <v>904</v>
          </cell>
        </row>
        <row r="819">
          <cell r="DY819">
            <v>905</v>
          </cell>
        </row>
        <row r="820">
          <cell r="DY820">
            <v>906</v>
          </cell>
        </row>
        <row r="821">
          <cell r="DY821">
            <v>907</v>
          </cell>
        </row>
        <row r="822">
          <cell r="DY822">
            <v>908</v>
          </cell>
        </row>
        <row r="823">
          <cell r="DY823">
            <v>909</v>
          </cell>
        </row>
        <row r="824">
          <cell r="DY824">
            <v>910</v>
          </cell>
        </row>
        <row r="825">
          <cell r="DY825">
            <v>911</v>
          </cell>
        </row>
        <row r="826">
          <cell r="DY826">
            <v>912</v>
          </cell>
        </row>
        <row r="827">
          <cell r="DY827">
            <v>913</v>
          </cell>
        </row>
        <row r="828">
          <cell r="DY828">
            <v>914</v>
          </cell>
        </row>
        <row r="829">
          <cell r="DY829">
            <v>915</v>
          </cell>
        </row>
        <row r="830">
          <cell r="DY830">
            <v>916</v>
          </cell>
        </row>
        <row r="831">
          <cell r="DY831">
            <v>917</v>
          </cell>
        </row>
        <row r="832">
          <cell r="DY832">
            <v>918</v>
          </cell>
        </row>
        <row r="833">
          <cell r="DY833">
            <v>919</v>
          </cell>
        </row>
        <row r="834">
          <cell r="DY834">
            <v>920</v>
          </cell>
        </row>
        <row r="835">
          <cell r="DY835">
            <v>921</v>
          </cell>
        </row>
        <row r="836">
          <cell r="DY836">
            <v>922</v>
          </cell>
        </row>
        <row r="837">
          <cell r="DY837">
            <v>923</v>
          </cell>
        </row>
        <row r="838">
          <cell r="DY838">
            <v>924</v>
          </cell>
        </row>
        <row r="839">
          <cell r="DY839">
            <v>925</v>
          </cell>
        </row>
        <row r="840">
          <cell r="DY840">
            <v>926</v>
          </cell>
        </row>
        <row r="841">
          <cell r="DY841">
            <v>927</v>
          </cell>
        </row>
        <row r="842">
          <cell r="DY842">
            <v>928</v>
          </cell>
        </row>
        <row r="843">
          <cell r="DY843">
            <v>929</v>
          </cell>
        </row>
        <row r="844">
          <cell r="DY844">
            <v>930</v>
          </cell>
        </row>
        <row r="845">
          <cell r="DY845">
            <v>931</v>
          </cell>
        </row>
        <row r="846">
          <cell r="DY846">
            <v>932</v>
          </cell>
        </row>
        <row r="847">
          <cell r="DY847">
            <v>933</v>
          </cell>
        </row>
        <row r="848">
          <cell r="DY848">
            <v>934</v>
          </cell>
        </row>
        <row r="849">
          <cell r="DY849">
            <v>935</v>
          </cell>
        </row>
        <row r="850">
          <cell r="DY850">
            <v>936</v>
          </cell>
        </row>
        <row r="851">
          <cell r="DY851">
            <v>937</v>
          </cell>
        </row>
        <row r="852">
          <cell r="DY852">
            <v>938</v>
          </cell>
        </row>
        <row r="853">
          <cell r="DY853">
            <v>939</v>
          </cell>
        </row>
        <row r="854">
          <cell r="DY854">
            <v>940</v>
          </cell>
        </row>
        <row r="855">
          <cell r="DY855">
            <v>941</v>
          </cell>
        </row>
        <row r="856">
          <cell r="DY856">
            <v>942</v>
          </cell>
        </row>
        <row r="857">
          <cell r="DY857">
            <v>943</v>
          </cell>
        </row>
        <row r="858">
          <cell r="DY858">
            <v>945</v>
          </cell>
        </row>
        <row r="859">
          <cell r="DY859">
            <v>946</v>
          </cell>
        </row>
        <row r="860">
          <cell r="DY860">
            <v>947</v>
          </cell>
        </row>
        <row r="861">
          <cell r="DY861">
            <v>948</v>
          </cell>
        </row>
        <row r="862">
          <cell r="DY862">
            <v>949</v>
          </cell>
        </row>
        <row r="863">
          <cell r="DY863">
            <v>950</v>
          </cell>
        </row>
        <row r="864">
          <cell r="DY864">
            <v>951</v>
          </cell>
        </row>
        <row r="865">
          <cell r="DY865">
            <v>952</v>
          </cell>
        </row>
        <row r="866">
          <cell r="DY866">
            <v>953</v>
          </cell>
        </row>
        <row r="867">
          <cell r="DY867">
            <v>954</v>
          </cell>
        </row>
        <row r="868">
          <cell r="DY868">
            <v>955</v>
          </cell>
        </row>
        <row r="869">
          <cell r="DY869">
            <v>956</v>
          </cell>
        </row>
        <row r="870">
          <cell r="DY870">
            <v>957</v>
          </cell>
        </row>
        <row r="871">
          <cell r="DY871">
            <v>958</v>
          </cell>
        </row>
        <row r="872">
          <cell r="DY872">
            <v>959</v>
          </cell>
        </row>
        <row r="873">
          <cell r="DY873">
            <v>960</v>
          </cell>
        </row>
        <row r="874">
          <cell r="DY874">
            <v>961</v>
          </cell>
        </row>
        <row r="875">
          <cell r="DY875">
            <v>962</v>
          </cell>
        </row>
        <row r="876">
          <cell r="DY876">
            <v>963</v>
          </cell>
        </row>
        <row r="877">
          <cell r="DY877">
            <v>964</v>
          </cell>
        </row>
        <row r="878">
          <cell r="DY878">
            <v>965</v>
          </cell>
        </row>
        <row r="879">
          <cell r="DY879">
            <v>966</v>
          </cell>
        </row>
        <row r="880">
          <cell r="DY880">
            <v>967</v>
          </cell>
        </row>
        <row r="881">
          <cell r="DY881">
            <v>968</v>
          </cell>
        </row>
        <row r="882">
          <cell r="DY882">
            <v>969</v>
          </cell>
        </row>
        <row r="883">
          <cell r="DY883">
            <v>970</v>
          </cell>
        </row>
        <row r="884">
          <cell r="DY884">
            <v>971</v>
          </cell>
        </row>
        <row r="885">
          <cell r="DY885">
            <v>972</v>
          </cell>
        </row>
        <row r="886">
          <cell r="DY886">
            <v>973</v>
          </cell>
        </row>
        <row r="887">
          <cell r="DY887">
            <v>974</v>
          </cell>
        </row>
        <row r="888">
          <cell r="DY888">
            <v>975</v>
          </cell>
        </row>
        <row r="889">
          <cell r="DY889">
            <v>976</v>
          </cell>
        </row>
        <row r="890">
          <cell r="DY890">
            <v>977</v>
          </cell>
        </row>
        <row r="891">
          <cell r="DY891">
            <v>978</v>
          </cell>
        </row>
        <row r="892">
          <cell r="DY892">
            <v>979</v>
          </cell>
        </row>
        <row r="893">
          <cell r="DY893">
            <v>980</v>
          </cell>
        </row>
        <row r="894">
          <cell r="DY894">
            <v>981</v>
          </cell>
        </row>
        <row r="895">
          <cell r="DY895">
            <v>982</v>
          </cell>
        </row>
        <row r="896">
          <cell r="DY896">
            <v>983</v>
          </cell>
        </row>
        <row r="897">
          <cell r="DY897">
            <v>984</v>
          </cell>
        </row>
        <row r="898">
          <cell r="DY898">
            <v>985</v>
          </cell>
        </row>
        <row r="899">
          <cell r="DY899">
            <v>986</v>
          </cell>
        </row>
        <row r="900">
          <cell r="DY900">
            <v>987</v>
          </cell>
        </row>
        <row r="901">
          <cell r="DY901">
            <v>988</v>
          </cell>
        </row>
        <row r="902">
          <cell r="DY902">
            <v>989</v>
          </cell>
        </row>
        <row r="903">
          <cell r="DY903">
            <v>990</v>
          </cell>
        </row>
        <row r="904">
          <cell r="DY904">
            <v>991</v>
          </cell>
        </row>
        <row r="905">
          <cell r="DY905">
            <v>992</v>
          </cell>
        </row>
        <row r="906">
          <cell r="DY906">
            <v>993</v>
          </cell>
        </row>
        <row r="907">
          <cell r="DY907">
            <v>994</v>
          </cell>
        </row>
        <row r="908">
          <cell r="DY908">
            <v>995</v>
          </cell>
        </row>
        <row r="909">
          <cell r="DY909">
            <v>996</v>
          </cell>
        </row>
        <row r="910">
          <cell r="DY910">
            <v>997</v>
          </cell>
        </row>
        <row r="911">
          <cell r="DY911">
            <v>998</v>
          </cell>
        </row>
        <row r="912">
          <cell r="DY912">
            <v>999</v>
          </cell>
        </row>
        <row r="913">
          <cell r="DY913">
            <v>1000</v>
          </cell>
        </row>
        <row r="914">
          <cell r="DY914">
            <v>1001</v>
          </cell>
        </row>
        <row r="915">
          <cell r="DY915">
            <v>1002</v>
          </cell>
        </row>
        <row r="916">
          <cell r="DY916">
            <v>1003</v>
          </cell>
        </row>
        <row r="917">
          <cell r="DY917">
            <v>1004</v>
          </cell>
        </row>
        <row r="918">
          <cell r="DY918">
            <v>1005</v>
          </cell>
        </row>
        <row r="919">
          <cell r="DY919">
            <v>1006</v>
          </cell>
        </row>
        <row r="920">
          <cell r="DY920">
            <v>1007</v>
          </cell>
        </row>
        <row r="921">
          <cell r="DY921">
            <v>1008</v>
          </cell>
        </row>
        <row r="922">
          <cell r="DY922">
            <v>1009</v>
          </cell>
        </row>
        <row r="923">
          <cell r="DY923">
            <v>1010</v>
          </cell>
        </row>
        <row r="924">
          <cell r="DY924">
            <v>1011</v>
          </cell>
        </row>
        <row r="925">
          <cell r="DY925">
            <v>1012</v>
          </cell>
        </row>
        <row r="926">
          <cell r="DY926">
            <v>1013</v>
          </cell>
        </row>
        <row r="927">
          <cell r="DY927">
            <v>1014</v>
          </cell>
        </row>
        <row r="928">
          <cell r="DY928">
            <v>1015</v>
          </cell>
        </row>
        <row r="929">
          <cell r="DY929">
            <v>1016</v>
          </cell>
        </row>
        <row r="930">
          <cell r="DY930">
            <v>1017</v>
          </cell>
        </row>
        <row r="931">
          <cell r="DY931">
            <v>1018</v>
          </cell>
        </row>
        <row r="932">
          <cell r="DY932">
            <v>1019</v>
          </cell>
        </row>
        <row r="933">
          <cell r="DY933">
            <v>1020</v>
          </cell>
        </row>
        <row r="934">
          <cell r="DY934">
            <v>1021</v>
          </cell>
        </row>
        <row r="935">
          <cell r="DY935">
            <v>1022</v>
          </cell>
        </row>
        <row r="936">
          <cell r="DY936">
            <v>1023</v>
          </cell>
        </row>
        <row r="937">
          <cell r="DY937">
            <v>1024</v>
          </cell>
        </row>
        <row r="938">
          <cell r="DY938">
            <v>1025</v>
          </cell>
        </row>
        <row r="939">
          <cell r="DY939">
            <v>1026</v>
          </cell>
        </row>
        <row r="940">
          <cell r="DY940">
            <v>1027</v>
          </cell>
        </row>
        <row r="941">
          <cell r="DY941">
            <v>1028</v>
          </cell>
        </row>
        <row r="942">
          <cell r="DY942">
            <v>1029</v>
          </cell>
        </row>
        <row r="943">
          <cell r="DY943">
            <v>1030</v>
          </cell>
        </row>
        <row r="944">
          <cell r="DY944">
            <v>1031</v>
          </cell>
        </row>
        <row r="945">
          <cell r="DY945">
            <v>1032</v>
          </cell>
        </row>
        <row r="946">
          <cell r="DY946">
            <v>1033</v>
          </cell>
        </row>
        <row r="947">
          <cell r="DY947">
            <v>1034</v>
          </cell>
        </row>
        <row r="948">
          <cell r="DY948">
            <v>1035</v>
          </cell>
        </row>
        <row r="949">
          <cell r="DY949">
            <v>1036</v>
          </cell>
        </row>
        <row r="950">
          <cell r="DY950">
            <v>1037</v>
          </cell>
        </row>
        <row r="951">
          <cell r="DY951">
            <v>1038</v>
          </cell>
        </row>
        <row r="952">
          <cell r="DY952">
            <v>1039</v>
          </cell>
        </row>
        <row r="953">
          <cell r="DY953">
            <v>1040</v>
          </cell>
        </row>
        <row r="954">
          <cell r="DY954">
            <v>1041</v>
          </cell>
        </row>
        <row r="955">
          <cell r="DY955">
            <v>1042</v>
          </cell>
        </row>
        <row r="956">
          <cell r="DY956">
            <v>1043</v>
          </cell>
        </row>
        <row r="957">
          <cell r="DY957">
            <v>1044</v>
          </cell>
        </row>
        <row r="958">
          <cell r="DY958">
            <v>1045</v>
          </cell>
        </row>
        <row r="959">
          <cell r="DY959">
            <v>1046</v>
          </cell>
        </row>
        <row r="960">
          <cell r="DY960">
            <v>1047</v>
          </cell>
        </row>
        <row r="961">
          <cell r="DY961">
            <v>1048</v>
          </cell>
        </row>
        <row r="962">
          <cell r="DY962">
            <v>1049</v>
          </cell>
        </row>
        <row r="963">
          <cell r="DY963">
            <v>1050</v>
          </cell>
        </row>
        <row r="964">
          <cell r="DY964">
            <v>1051</v>
          </cell>
        </row>
        <row r="965">
          <cell r="DY965">
            <v>1052</v>
          </cell>
        </row>
        <row r="966">
          <cell r="DY966">
            <v>1053</v>
          </cell>
        </row>
        <row r="967">
          <cell r="DY967">
            <v>1054</v>
          </cell>
        </row>
        <row r="968">
          <cell r="DY968">
            <v>1055</v>
          </cell>
        </row>
        <row r="969">
          <cell r="DY969">
            <v>1056</v>
          </cell>
        </row>
        <row r="970">
          <cell r="DY970">
            <v>1057</v>
          </cell>
        </row>
        <row r="971">
          <cell r="DY971">
            <v>1058</v>
          </cell>
        </row>
        <row r="972">
          <cell r="DY972">
            <v>1059</v>
          </cell>
        </row>
        <row r="973">
          <cell r="DY973">
            <v>1060</v>
          </cell>
        </row>
        <row r="974">
          <cell r="DY974">
            <v>1061</v>
          </cell>
        </row>
        <row r="975">
          <cell r="DY975">
            <v>1062</v>
          </cell>
        </row>
        <row r="976">
          <cell r="DY976">
            <v>1063</v>
          </cell>
        </row>
        <row r="977">
          <cell r="DY977">
            <v>1064</v>
          </cell>
        </row>
        <row r="978">
          <cell r="DY978">
            <v>1065</v>
          </cell>
        </row>
        <row r="979">
          <cell r="DY979">
            <v>1066</v>
          </cell>
        </row>
        <row r="980">
          <cell r="DY980">
            <v>1067</v>
          </cell>
        </row>
        <row r="981">
          <cell r="DY981">
            <v>1068</v>
          </cell>
        </row>
        <row r="982">
          <cell r="DY982">
            <v>1069</v>
          </cell>
        </row>
        <row r="983">
          <cell r="DY983">
            <v>1070</v>
          </cell>
        </row>
        <row r="984">
          <cell r="DY984">
            <v>1071</v>
          </cell>
        </row>
        <row r="985">
          <cell r="DY985">
            <v>1072</v>
          </cell>
        </row>
        <row r="986">
          <cell r="DY986">
            <v>1073</v>
          </cell>
        </row>
        <row r="987">
          <cell r="DY987">
            <v>1074</v>
          </cell>
        </row>
        <row r="988">
          <cell r="DY988">
            <v>1075</v>
          </cell>
        </row>
        <row r="989">
          <cell r="DY989">
            <v>1076</v>
          </cell>
        </row>
        <row r="990">
          <cell r="DY990">
            <v>1077</v>
          </cell>
        </row>
        <row r="991">
          <cell r="DY991">
            <v>1078</v>
          </cell>
        </row>
        <row r="992">
          <cell r="DY992">
            <v>1079</v>
          </cell>
        </row>
        <row r="993">
          <cell r="DY993">
            <v>1080</v>
          </cell>
        </row>
        <row r="994">
          <cell r="DY994">
            <v>1081</v>
          </cell>
        </row>
        <row r="995">
          <cell r="DY995">
            <v>1082</v>
          </cell>
        </row>
        <row r="996">
          <cell r="DY996">
            <v>1083</v>
          </cell>
        </row>
        <row r="997">
          <cell r="DY997">
            <v>1084</v>
          </cell>
        </row>
        <row r="998">
          <cell r="DY998">
            <v>1085</v>
          </cell>
        </row>
        <row r="999">
          <cell r="DY999">
            <v>1086</v>
          </cell>
        </row>
        <row r="1000">
          <cell r="DY1000">
            <v>1087</v>
          </cell>
        </row>
        <row r="1001">
          <cell r="DY1001">
            <v>1088</v>
          </cell>
        </row>
        <row r="1002">
          <cell r="DY1002">
            <v>1089</v>
          </cell>
        </row>
        <row r="1003">
          <cell r="DY1003">
            <v>1090</v>
          </cell>
        </row>
        <row r="1004">
          <cell r="DY1004">
            <v>1091</v>
          </cell>
        </row>
        <row r="1005">
          <cell r="DY1005">
            <v>1092</v>
          </cell>
        </row>
        <row r="1006">
          <cell r="DY1006">
            <v>1093</v>
          </cell>
        </row>
        <row r="1007">
          <cell r="DY1007">
            <v>1094</v>
          </cell>
        </row>
        <row r="1008">
          <cell r="DY1008">
            <v>1095</v>
          </cell>
        </row>
        <row r="1009">
          <cell r="DY1009">
            <v>1096</v>
          </cell>
        </row>
        <row r="1010">
          <cell r="DY1010">
            <v>1097</v>
          </cell>
        </row>
        <row r="1011">
          <cell r="DY1011">
            <v>1098</v>
          </cell>
        </row>
        <row r="1012">
          <cell r="DY1012">
            <v>1099</v>
          </cell>
        </row>
        <row r="1013">
          <cell r="DY1013">
            <v>1100</v>
          </cell>
        </row>
        <row r="1014">
          <cell r="DY1014">
            <v>1101</v>
          </cell>
        </row>
        <row r="1015">
          <cell r="DY1015">
            <v>1102</v>
          </cell>
        </row>
        <row r="1016">
          <cell r="DY1016">
            <v>1103</v>
          </cell>
        </row>
        <row r="1017">
          <cell r="DY1017">
            <v>1104</v>
          </cell>
        </row>
        <row r="1018">
          <cell r="DY1018">
            <v>1105</v>
          </cell>
        </row>
        <row r="1019">
          <cell r="DY1019">
            <v>1106</v>
          </cell>
        </row>
        <row r="1020">
          <cell r="DY1020">
            <v>1107</v>
          </cell>
        </row>
        <row r="1021">
          <cell r="DY1021">
            <v>1108</v>
          </cell>
        </row>
        <row r="1022">
          <cell r="DY1022">
            <v>1109</v>
          </cell>
        </row>
        <row r="1023">
          <cell r="DY1023">
            <v>1110</v>
          </cell>
        </row>
        <row r="1024">
          <cell r="DY1024">
            <v>1111</v>
          </cell>
        </row>
        <row r="1025">
          <cell r="DY1025">
            <v>1112</v>
          </cell>
        </row>
        <row r="1026">
          <cell r="DY1026">
            <v>1113</v>
          </cell>
        </row>
        <row r="1027">
          <cell r="DY1027">
            <v>1114</v>
          </cell>
        </row>
        <row r="1028">
          <cell r="DY1028">
            <v>1115</v>
          </cell>
        </row>
        <row r="1029">
          <cell r="DY1029">
            <v>1116</v>
          </cell>
        </row>
        <row r="1030">
          <cell r="DY1030">
            <v>1117</v>
          </cell>
        </row>
        <row r="1031">
          <cell r="DY1031">
            <v>1118</v>
          </cell>
        </row>
        <row r="1032">
          <cell r="DY1032">
            <v>1119</v>
          </cell>
        </row>
        <row r="1033">
          <cell r="DY1033">
            <v>1120</v>
          </cell>
        </row>
        <row r="1034">
          <cell r="DY1034">
            <v>1121</v>
          </cell>
        </row>
        <row r="1035">
          <cell r="DY1035">
            <v>1122</v>
          </cell>
        </row>
        <row r="1036">
          <cell r="DY1036">
            <v>1123</v>
          </cell>
        </row>
        <row r="1037">
          <cell r="DY1037">
            <v>1124</v>
          </cell>
        </row>
        <row r="1038">
          <cell r="DY1038">
            <v>1125</v>
          </cell>
        </row>
        <row r="1039">
          <cell r="DY1039">
            <v>1126</v>
          </cell>
        </row>
        <row r="1040">
          <cell r="DY1040">
            <v>1127</v>
          </cell>
        </row>
        <row r="1041">
          <cell r="DY1041">
            <v>1128</v>
          </cell>
        </row>
        <row r="1042">
          <cell r="DY1042">
            <v>1129</v>
          </cell>
        </row>
        <row r="1043">
          <cell r="DY1043">
            <v>1130</v>
          </cell>
        </row>
        <row r="1044">
          <cell r="DY1044">
            <v>1131</v>
          </cell>
        </row>
        <row r="1045">
          <cell r="DY1045">
            <v>1132</v>
          </cell>
        </row>
        <row r="1046">
          <cell r="DY1046">
            <v>1133</v>
          </cell>
        </row>
        <row r="1047">
          <cell r="DY1047">
            <v>1134</v>
          </cell>
        </row>
        <row r="1048">
          <cell r="DY1048">
            <v>1135</v>
          </cell>
        </row>
        <row r="1049">
          <cell r="DY1049">
            <v>1136</v>
          </cell>
        </row>
        <row r="1050">
          <cell r="DY1050">
            <v>1137</v>
          </cell>
        </row>
        <row r="1051">
          <cell r="DY1051">
            <v>1138</v>
          </cell>
        </row>
        <row r="1052">
          <cell r="DY1052">
            <v>1139</v>
          </cell>
        </row>
        <row r="1053">
          <cell r="DY1053">
            <v>1140</v>
          </cell>
        </row>
        <row r="1054">
          <cell r="DY1054">
            <v>1141</v>
          </cell>
        </row>
        <row r="1055">
          <cell r="DY1055">
            <v>1142</v>
          </cell>
        </row>
        <row r="1056">
          <cell r="DY1056">
            <v>1143</v>
          </cell>
        </row>
        <row r="1057">
          <cell r="DY1057">
            <v>1144</v>
          </cell>
        </row>
        <row r="1058">
          <cell r="DY1058">
            <v>1145</v>
          </cell>
        </row>
        <row r="1059">
          <cell r="DY1059">
            <v>1146</v>
          </cell>
        </row>
        <row r="1060">
          <cell r="DY1060">
            <v>1147</v>
          </cell>
        </row>
        <row r="1061">
          <cell r="DY1061">
            <v>1148</v>
          </cell>
        </row>
        <row r="1062">
          <cell r="DY1062">
            <v>1149</v>
          </cell>
        </row>
        <row r="1063">
          <cell r="DY1063">
            <v>1150</v>
          </cell>
        </row>
        <row r="1064">
          <cell r="DY1064">
            <v>1151</v>
          </cell>
        </row>
        <row r="1065">
          <cell r="DY1065">
            <v>1152</v>
          </cell>
        </row>
        <row r="1066">
          <cell r="DY1066">
            <v>1153</v>
          </cell>
        </row>
        <row r="1067">
          <cell r="DY1067">
            <v>1154</v>
          </cell>
        </row>
        <row r="1068">
          <cell r="DY1068">
            <v>1155</v>
          </cell>
        </row>
        <row r="1069">
          <cell r="DY1069">
            <v>1156</v>
          </cell>
        </row>
        <row r="1070">
          <cell r="DY1070">
            <v>1157</v>
          </cell>
        </row>
        <row r="1071">
          <cell r="DY1071">
            <v>1158</v>
          </cell>
        </row>
        <row r="1072">
          <cell r="DY1072">
            <v>1159</v>
          </cell>
        </row>
        <row r="1073">
          <cell r="DY1073">
            <v>1160</v>
          </cell>
        </row>
        <row r="1074">
          <cell r="DY1074">
            <v>1162</v>
          </cell>
        </row>
        <row r="1075">
          <cell r="DY1075">
            <v>1163</v>
          </cell>
        </row>
        <row r="1076">
          <cell r="DY1076">
            <v>1164</v>
          </cell>
        </row>
        <row r="1077">
          <cell r="DY1077">
            <v>1165</v>
          </cell>
        </row>
        <row r="1078">
          <cell r="DY1078">
            <v>1166</v>
          </cell>
        </row>
        <row r="1079">
          <cell r="DY1079">
            <v>1167</v>
          </cell>
        </row>
        <row r="1080">
          <cell r="DY1080">
            <v>1168</v>
          </cell>
        </row>
        <row r="1081">
          <cell r="DY1081">
            <v>1169</v>
          </cell>
        </row>
        <row r="1082">
          <cell r="DY1082">
            <v>1170</v>
          </cell>
        </row>
        <row r="1083">
          <cell r="DY1083">
            <v>1171</v>
          </cell>
        </row>
        <row r="1084">
          <cell r="DY1084">
            <v>1172</v>
          </cell>
        </row>
        <row r="1085">
          <cell r="DY1085">
            <v>1173</v>
          </cell>
        </row>
        <row r="1086">
          <cell r="DY1086">
            <v>1174</v>
          </cell>
        </row>
        <row r="1087">
          <cell r="DY1087">
            <v>1175</v>
          </cell>
        </row>
        <row r="1088">
          <cell r="DY1088">
            <v>1176</v>
          </cell>
        </row>
        <row r="1089">
          <cell r="DY1089">
            <v>1177</v>
          </cell>
        </row>
        <row r="1090">
          <cell r="DY1090">
            <v>1178</v>
          </cell>
        </row>
        <row r="1091">
          <cell r="DY1091">
            <v>1179</v>
          </cell>
        </row>
        <row r="1092">
          <cell r="DY1092">
            <v>1180</v>
          </cell>
        </row>
        <row r="1093">
          <cell r="DY1093">
            <v>1181</v>
          </cell>
        </row>
        <row r="1094">
          <cell r="DY1094">
            <v>1182</v>
          </cell>
        </row>
        <row r="1095">
          <cell r="DY1095">
            <v>1183</v>
          </cell>
        </row>
        <row r="1096">
          <cell r="DY1096">
            <v>1184</v>
          </cell>
        </row>
        <row r="1097">
          <cell r="DY1097">
            <v>1185</v>
          </cell>
        </row>
        <row r="1098">
          <cell r="DY1098">
            <v>1186</v>
          </cell>
        </row>
        <row r="1099">
          <cell r="DY1099">
            <v>1187</v>
          </cell>
        </row>
        <row r="1100">
          <cell r="DY1100">
            <v>1188</v>
          </cell>
        </row>
        <row r="1101">
          <cell r="DY1101">
            <v>1189</v>
          </cell>
        </row>
        <row r="1102">
          <cell r="DY1102">
            <v>1190</v>
          </cell>
        </row>
        <row r="1103">
          <cell r="DY1103">
            <v>1191</v>
          </cell>
        </row>
        <row r="1104">
          <cell r="DY1104">
            <v>1192</v>
          </cell>
        </row>
        <row r="1105">
          <cell r="DY1105">
            <v>1193</v>
          </cell>
        </row>
        <row r="1106">
          <cell r="DY1106">
            <v>1194</v>
          </cell>
        </row>
        <row r="1107">
          <cell r="DY1107">
            <v>1195</v>
          </cell>
        </row>
        <row r="1108">
          <cell r="DY1108">
            <v>1196</v>
          </cell>
        </row>
        <row r="1109">
          <cell r="DY1109">
            <v>1197</v>
          </cell>
        </row>
        <row r="1110">
          <cell r="DY1110">
            <v>1198</v>
          </cell>
        </row>
        <row r="1111">
          <cell r="DY1111">
            <v>1199</v>
          </cell>
        </row>
        <row r="1112">
          <cell r="DY1112">
            <v>1200</v>
          </cell>
        </row>
        <row r="1113">
          <cell r="DY1113">
            <v>1201</v>
          </cell>
        </row>
        <row r="1114">
          <cell r="DY1114">
            <v>1202</v>
          </cell>
        </row>
        <row r="1115">
          <cell r="DY1115">
            <v>1203</v>
          </cell>
        </row>
        <row r="1116">
          <cell r="DY1116">
            <v>1204</v>
          </cell>
        </row>
        <row r="1117">
          <cell r="DY1117">
            <v>1205</v>
          </cell>
        </row>
        <row r="1118">
          <cell r="DY1118">
            <v>1206</v>
          </cell>
        </row>
        <row r="1119">
          <cell r="DY1119">
            <v>1207</v>
          </cell>
        </row>
        <row r="1120">
          <cell r="DY1120">
            <v>1208</v>
          </cell>
        </row>
        <row r="1121">
          <cell r="DY1121">
            <v>1209</v>
          </cell>
        </row>
        <row r="1122">
          <cell r="DY1122">
            <v>1210</v>
          </cell>
        </row>
        <row r="1123">
          <cell r="DY1123">
            <v>1211</v>
          </cell>
        </row>
        <row r="1124">
          <cell r="DY1124">
            <v>1212</v>
          </cell>
        </row>
        <row r="1125">
          <cell r="DY1125">
            <v>1213</v>
          </cell>
        </row>
        <row r="1126">
          <cell r="DY1126">
            <v>1214</v>
          </cell>
        </row>
        <row r="1127">
          <cell r="DY1127">
            <v>1215</v>
          </cell>
        </row>
        <row r="1128">
          <cell r="DY1128">
            <v>1216</v>
          </cell>
        </row>
        <row r="1129">
          <cell r="DY1129">
            <v>1217</v>
          </cell>
        </row>
        <row r="1130">
          <cell r="DY1130">
            <v>1218</v>
          </cell>
        </row>
        <row r="1131">
          <cell r="DY1131">
            <v>1219</v>
          </cell>
        </row>
        <row r="1132">
          <cell r="DY1132">
            <v>1220</v>
          </cell>
        </row>
        <row r="1133">
          <cell r="DY1133">
            <v>1223</v>
          </cell>
        </row>
        <row r="1134">
          <cell r="DY1134">
            <v>1224</v>
          </cell>
        </row>
        <row r="1135">
          <cell r="DY1135">
            <v>1225</v>
          </cell>
        </row>
        <row r="1136">
          <cell r="DY1136">
            <v>1226</v>
          </cell>
        </row>
        <row r="1137">
          <cell r="DY1137">
            <v>1227</v>
          </cell>
        </row>
        <row r="1138">
          <cell r="DY1138">
            <v>1228</v>
          </cell>
        </row>
        <row r="1139">
          <cell r="DY1139">
            <v>1229</v>
          </cell>
        </row>
        <row r="1140">
          <cell r="DY1140">
            <v>1230</v>
          </cell>
        </row>
        <row r="1141">
          <cell r="DY1141">
            <v>1231</v>
          </cell>
        </row>
        <row r="1142">
          <cell r="DY1142">
            <v>1232</v>
          </cell>
        </row>
        <row r="1143">
          <cell r="DY1143">
            <v>1233</v>
          </cell>
        </row>
        <row r="1144">
          <cell r="DY1144">
            <v>1234</v>
          </cell>
        </row>
        <row r="1145">
          <cell r="DY1145">
            <v>1235</v>
          </cell>
        </row>
        <row r="1146">
          <cell r="DY1146">
            <v>1245</v>
          </cell>
        </row>
        <row r="1147">
          <cell r="DY1147">
            <v>1246</v>
          </cell>
        </row>
        <row r="1148">
          <cell r="DY1148">
            <v>1247</v>
          </cell>
        </row>
        <row r="1149">
          <cell r="DY1149">
            <v>1248</v>
          </cell>
        </row>
        <row r="1150">
          <cell r="DY1150">
            <v>1249</v>
          </cell>
        </row>
        <row r="1151">
          <cell r="DY1151">
            <v>1250</v>
          </cell>
        </row>
        <row r="1152">
          <cell r="DY1152">
            <v>1251</v>
          </cell>
        </row>
        <row r="1153">
          <cell r="DY1153">
            <v>1252</v>
          </cell>
        </row>
        <row r="1154">
          <cell r="DY1154">
            <v>1253</v>
          </cell>
        </row>
        <row r="1155">
          <cell r="DY1155">
            <v>1254</v>
          </cell>
        </row>
        <row r="1156">
          <cell r="DY1156">
            <v>1255</v>
          </cell>
        </row>
        <row r="1157">
          <cell r="DY1157">
            <v>1256</v>
          </cell>
        </row>
        <row r="1158">
          <cell r="DY1158">
            <v>1257</v>
          </cell>
        </row>
        <row r="1159">
          <cell r="DY1159">
            <v>1258</v>
          </cell>
        </row>
        <row r="1160">
          <cell r="DY1160">
            <v>1259</v>
          </cell>
        </row>
        <row r="1161">
          <cell r="DY1161">
            <v>1261</v>
          </cell>
        </row>
        <row r="1162">
          <cell r="DY1162">
            <v>1262</v>
          </cell>
        </row>
        <row r="1163">
          <cell r="DY1163">
            <v>1263</v>
          </cell>
        </row>
        <row r="1164">
          <cell r="DY1164">
            <v>1264</v>
          </cell>
        </row>
        <row r="1165">
          <cell r="DY1165">
            <v>1265</v>
          </cell>
        </row>
        <row r="1166">
          <cell r="DY1166">
            <v>1266</v>
          </cell>
        </row>
        <row r="1167">
          <cell r="DY1167">
            <v>1267</v>
          </cell>
        </row>
        <row r="1168">
          <cell r="DY1168">
            <v>1278</v>
          </cell>
        </row>
        <row r="1169">
          <cell r="DY1169">
            <v>1283</v>
          </cell>
        </row>
        <row r="1170">
          <cell r="DY1170">
            <v>1311</v>
          </cell>
        </row>
        <row r="1171">
          <cell r="DY1171">
            <v>1349</v>
          </cell>
        </row>
        <row r="1172">
          <cell r="DY1172">
            <v>1358</v>
          </cell>
        </row>
        <row r="1173">
          <cell r="DY1173">
            <v>1361</v>
          </cell>
        </row>
        <row r="1174">
          <cell r="DY1174">
            <v>1369</v>
          </cell>
        </row>
        <row r="1175">
          <cell r="DY1175">
            <v>1378</v>
          </cell>
        </row>
        <row r="1176">
          <cell r="DY1176">
            <v>1380</v>
          </cell>
        </row>
        <row r="1177">
          <cell r="DY1177">
            <v>1400</v>
          </cell>
        </row>
        <row r="1178">
          <cell r="DY1178">
            <v>1407</v>
          </cell>
        </row>
        <row r="1179">
          <cell r="DY1179">
            <v>1415</v>
          </cell>
        </row>
        <row r="1180">
          <cell r="DY1180">
            <v>1450</v>
          </cell>
        </row>
        <row r="1181">
          <cell r="DY1181">
            <v>1497</v>
          </cell>
        </row>
        <row r="1182">
          <cell r="DY1182">
            <v>1502</v>
          </cell>
        </row>
        <row r="1183">
          <cell r="DY1183">
            <v>1509</v>
          </cell>
        </row>
        <row r="1184">
          <cell r="DY1184">
            <v>1521</v>
          </cell>
        </row>
        <row r="1185">
          <cell r="DY1185">
            <v>1525</v>
          </cell>
        </row>
        <row r="1186">
          <cell r="DY1186">
            <v>1535</v>
          </cell>
        </row>
        <row r="1187">
          <cell r="DY1187">
            <v>1538</v>
          </cell>
        </row>
        <row r="1188">
          <cell r="DY1188">
            <v>1559</v>
          </cell>
        </row>
        <row r="1189">
          <cell r="DY1189">
            <v>1607</v>
          </cell>
        </row>
        <row r="1190">
          <cell r="DY1190">
            <v>1609</v>
          </cell>
        </row>
        <row r="1191">
          <cell r="DY1191">
            <v>1623</v>
          </cell>
        </row>
        <row r="1192">
          <cell r="DY1192">
            <v>1632</v>
          </cell>
        </row>
        <row r="1193">
          <cell r="DY1193">
            <v>1636</v>
          </cell>
        </row>
        <row r="1194">
          <cell r="DY1194">
            <v>1645</v>
          </cell>
        </row>
        <row r="1195">
          <cell r="DY1195">
            <v>1678</v>
          </cell>
        </row>
        <row r="1196">
          <cell r="DY1196">
            <v>1680</v>
          </cell>
        </row>
        <row r="1197">
          <cell r="DY1197">
            <v>1693</v>
          </cell>
        </row>
        <row r="1198">
          <cell r="DY1198">
            <v>1707</v>
          </cell>
        </row>
        <row r="1199">
          <cell r="DY1199">
            <v>1709</v>
          </cell>
        </row>
        <row r="1200">
          <cell r="DY1200">
            <v>1710</v>
          </cell>
        </row>
        <row r="1201">
          <cell r="DY1201">
            <v>1740</v>
          </cell>
        </row>
        <row r="1202">
          <cell r="DY1202">
            <v>1760</v>
          </cell>
        </row>
        <row r="1203">
          <cell r="DY1203">
            <v>1831</v>
          </cell>
        </row>
        <row r="1204">
          <cell r="DY1204">
            <v>1840</v>
          </cell>
        </row>
        <row r="1205">
          <cell r="DY1205">
            <v>1849</v>
          </cell>
        </row>
        <row r="1206">
          <cell r="DY1206">
            <v>1862</v>
          </cell>
        </row>
        <row r="1207">
          <cell r="DY1207">
            <v>1881</v>
          </cell>
        </row>
        <row r="1208">
          <cell r="DY1208">
            <v>1897</v>
          </cell>
        </row>
        <row r="1209">
          <cell r="DY1209">
            <v>1905</v>
          </cell>
        </row>
        <row r="1210">
          <cell r="DY1210">
            <v>1934</v>
          </cell>
        </row>
        <row r="1211">
          <cell r="DY1211">
            <v>1935</v>
          </cell>
        </row>
        <row r="1212">
          <cell r="DY1212">
            <v>1953</v>
          </cell>
        </row>
        <row r="1213">
          <cell r="DY1213">
            <v>1968</v>
          </cell>
        </row>
        <row r="1214">
          <cell r="DY1214">
            <v>1984</v>
          </cell>
        </row>
        <row r="1215">
          <cell r="DY1215">
            <v>1989</v>
          </cell>
        </row>
        <row r="1216">
          <cell r="DY1216">
            <v>2036</v>
          </cell>
        </row>
        <row r="1217">
          <cell r="DY1217">
            <v>2065</v>
          </cell>
        </row>
        <row r="1218">
          <cell r="DY1218">
            <v>2085</v>
          </cell>
        </row>
        <row r="1219">
          <cell r="DY1219">
            <v>2118</v>
          </cell>
        </row>
        <row r="1220">
          <cell r="DY1220">
            <v>2142</v>
          </cell>
        </row>
        <row r="1221">
          <cell r="DY1221">
            <v>2144</v>
          </cell>
        </row>
        <row r="1222">
          <cell r="DY1222">
            <v>2154</v>
          </cell>
        </row>
        <row r="1223">
          <cell r="DY1223">
            <v>2192</v>
          </cell>
        </row>
        <row r="1224">
          <cell r="DY1224">
            <v>2211</v>
          </cell>
        </row>
        <row r="1225">
          <cell r="DY1225">
            <v>2265</v>
          </cell>
        </row>
        <row r="1226">
          <cell r="DY1226">
            <v>2268</v>
          </cell>
        </row>
        <row r="1227">
          <cell r="DY1227">
            <v>2273</v>
          </cell>
        </row>
        <row r="1228">
          <cell r="DY1228">
            <v>2278</v>
          </cell>
        </row>
        <row r="1229">
          <cell r="DY1229">
            <v>2308</v>
          </cell>
        </row>
        <row r="1230">
          <cell r="DY1230">
            <v>2316</v>
          </cell>
        </row>
        <row r="1231">
          <cell r="DY1231">
            <v>2364</v>
          </cell>
        </row>
        <row r="1232">
          <cell r="DY1232">
            <v>2381</v>
          </cell>
        </row>
        <row r="1233">
          <cell r="DY1233">
            <v>2404</v>
          </cell>
        </row>
        <row r="1234">
          <cell r="DY1234">
            <v>2448</v>
          </cell>
        </row>
        <row r="1235">
          <cell r="DY1235">
            <v>2458</v>
          </cell>
        </row>
        <row r="1236">
          <cell r="DY1236">
            <v>2514</v>
          </cell>
        </row>
        <row r="1237">
          <cell r="DY1237">
            <v>2517</v>
          </cell>
        </row>
        <row r="1238">
          <cell r="DY1238">
            <v>2528</v>
          </cell>
        </row>
        <row r="1239">
          <cell r="DY1239">
            <v>2561</v>
          </cell>
        </row>
        <row r="1240">
          <cell r="DY1240">
            <v>2567</v>
          </cell>
        </row>
        <row r="1241">
          <cell r="DY1241">
            <v>2599</v>
          </cell>
        </row>
        <row r="1242">
          <cell r="DY1242">
            <v>2619</v>
          </cell>
        </row>
        <row r="1243">
          <cell r="DY1243">
            <v>2682</v>
          </cell>
        </row>
        <row r="1244">
          <cell r="DY1244">
            <v>2683</v>
          </cell>
        </row>
        <row r="1245">
          <cell r="DY1245">
            <v>2727</v>
          </cell>
        </row>
        <row r="1246">
          <cell r="DY1246">
            <v>2730</v>
          </cell>
        </row>
        <row r="1247">
          <cell r="DY1247">
            <v>2758</v>
          </cell>
        </row>
        <row r="1248">
          <cell r="DY1248">
            <v>2767</v>
          </cell>
        </row>
        <row r="1249">
          <cell r="DY1249">
            <v>2778</v>
          </cell>
        </row>
        <row r="1250">
          <cell r="DY1250">
            <v>2780</v>
          </cell>
        </row>
        <row r="1251">
          <cell r="DY1251">
            <v>2782</v>
          </cell>
        </row>
        <row r="1252">
          <cell r="DY1252">
            <v>2810</v>
          </cell>
        </row>
        <row r="1253">
          <cell r="DY1253">
            <v>2823</v>
          </cell>
        </row>
        <row r="1254">
          <cell r="DY1254">
            <v>2842</v>
          </cell>
        </row>
        <row r="1255">
          <cell r="DY1255">
            <v>2860</v>
          </cell>
        </row>
        <row r="1256">
          <cell r="DY1256">
            <v>2862</v>
          </cell>
        </row>
        <row r="1257">
          <cell r="DY1257">
            <v>2917</v>
          </cell>
        </row>
        <row r="1258">
          <cell r="DY1258">
            <v>2929</v>
          </cell>
        </row>
        <row r="1259">
          <cell r="DY1259">
            <v>2934</v>
          </cell>
        </row>
        <row r="1260">
          <cell r="DY1260">
            <v>2956</v>
          </cell>
        </row>
        <row r="1261">
          <cell r="DY1261">
            <v>2970</v>
          </cell>
        </row>
        <row r="1262">
          <cell r="DY1262">
            <v>3020</v>
          </cell>
        </row>
        <row r="1263">
          <cell r="DY1263">
            <v>3049</v>
          </cell>
        </row>
        <row r="1264">
          <cell r="DY1264">
            <v>3084</v>
          </cell>
        </row>
        <row r="1265">
          <cell r="DY1265">
            <v>3116</v>
          </cell>
        </row>
        <row r="1266">
          <cell r="DY1266">
            <v>3145</v>
          </cell>
        </row>
        <row r="1267">
          <cell r="DY1267">
            <v>3154</v>
          </cell>
        </row>
        <row r="1268">
          <cell r="DY1268">
            <v>3175</v>
          </cell>
        </row>
        <row r="1269">
          <cell r="DY1269">
            <v>3224</v>
          </cell>
        </row>
        <row r="1270">
          <cell r="DY1270">
            <v>3226</v>
          </cell>
        </row>
        <row r="1271">
          <cell r="DY1271">
            <v>3267</v>
          </cell>
        </row>
        <row r="1272">
          <cell r="DY1272">
            <v>3280</v>
          </cell>
        </row>
        <row r="1273">
          <cell r="DY1273">
            <v>3292</v>
          </cell>
        </row>
        <row r="1274">
          <cell r="DY1274">
            <v>3364</v>
          </cell>
        </row>
        <row r="1275">
          <cell r="DY1275">
            <v>3379</v>
          </cell>
        </row>
        <row r="1276">
          <cell r="DY1276">
            <v>3385</v>
          </cell>
        </row>
        <row r="1277">
          <cell r="DY1277">
            <v>3387</v>
          </cell>
        </row>
        <row r="1278">
          <cell r="DY1278">
            <v>3388</v>
          </cell>
        </row>
        <row r="1279">
          <cell r="DY1279">
            <v>3398</v>
          </cell>
        </row>
        <row r="1280">
          <cell r="DY1280">
            <v>3412</v>
          </cell>
        </row>
        <row r="1281">
          <cell r="DY1281">
            <v>3472</v>
          </cell>
        </row>
        <row r="1282">
          <cell r="DY1282">
            <v>3497</v>
          </cell>
        </row>
        <row r="1283">
          <cell r="DY1283">
            <v>3525</v>
          </cell>
        </row>
        <row r="1284">
          <cell r="DY1284">
            <v>3540</v>
          </cell>
        </row>
        <row r="1285">
          <cell r="DY1285">
            <v>3592</v>
          </cell>
        </row>
        <row r="1286">
          <cell r="DY1286">
            <v>3596</v>
          </cell>
        </row>
        <row r="1287">
          <cell r="DY1287">
            <v>3628</v>
          </cell>
        </row>
        <row r="1288">
          <cell r="DY1288">
            <v>3645</v>
          </cell>
        </row>
        <row r="1289">
          <cell r="DY1289">
            <v>3653</v>
          </cell>
        </row>
        <row r="1290">
          <cell r="DY1290">
            <v>3654</v>
          </cell>
        </row>
        <row r="1291">
          <cell r="DY1291">
            <v>3670</v>
          </cell>
        </row>
        <row r="1292">
          <cell r="DY1292">
            <v>3671</v>
          </cell>
        </row>
        <row r="1293">
          <cell r="DY1293">
            <v>3728</v>
          </cell>
        </row>
        <row r="1294">
          <cell r="DY1294">
            <v>3737</v>
          </cell>
        </row>
        <row r="1295">
          <cell r="DY1295">
            <v>3748</v>
          </cell>
        </row>
        <row r="1296">
          <cell r="DY1296">
            <v>3753</v>
          </cell>
        </row>
        <row r="1297">
          <cell r="DY1297">
            <v>3784</v>
          </cell>
        </row>
        <row r="1298">
          <cell r="DY1298">
            <v>3832</v>
          </cell>
        </row>
        <row r="1299">
          <cell r="DY1299">
            <v>3833</v>
          </cell>
        </row>
        <row r="1300">
          <cell r="DY1300">
            <v>3842</v>
          </cell>
        </row>
        <row r="1301">
          <cell r="DY1301">
            <v>3849</v>
          </cell>
        </row>
        <row r="1302">
          <cell r="DY1302">
            <v>3871</v>
          </cell>
        </row>
        <row r="1303">
          <cell r="DY1303">
            <v>3876</v>
          </cell>
        </row>
        <row r="1304">
          <cell r="DY1304">
            <v>3879</v>
          </cell>
        </row>
        <row r="1305">
          <cell r="DY1305">
            <v>3899</v>
          </cell>
        </row>
        <row r="1306">
          <cell r="DY1306">
            <v>3990</v>
          </cell>
        </row>
        <row r="1307">
          <cell r="DY1307">
            <v>3999</v>
          </cell>
        </row>
        <row r="1308">
          <cell r="DY1308">
            <v>4000</v>
          </cell>
        </row>
        <row r="1309">
          <cell r="DY1309">
            <v>4007</v>
          </cell>
        </row>
        <row r="1310">
          <cell r="DY1310">
            <v>4030</v>
          </cell>
        </row>
        <row r="1311">
          <cell r="DY1311">
            <v>4042</v>
          </cell>
        </row>
        <row r="1312">
          <cell r="DY1312">
            <v>4086</v>
          </cell>
        </row>
        <row r="1313">
          <cell r="DY1313">
            <v>4090</v>
          </cell>
        </row>
        <row r="1314">
          <cell r="DY1314">
            <v>4093</v>
          </cell>
        </row>
        <row r="1315">
          <cell r="DY1315">
            <v>4112</v>
          </cell>
        </row>
        <row r="1316">
          <cell r="DY1316">
            <v>4162</v>
          </cell>
        </row>
        <row r="1317">
          <cell r="DY1317">
            <v>4179</v>
          </cell>
        </row>
        <row r="1318">
          <cell r="DY1318">
            <v>4201</v>
          </cell>
        </row>
        <row r="1319">
          <cell r="DY1319">
            <v>4210</v>
          </cell>
        </row>
        <row r="1320">
          <cell r="DY1320">
            <v>4238</v>
          </cell>
        </row>
        <row r="1321">
          <cell r="DY1321">
            <v>4248</v>
          </cell>
        </row>
        <row r="1322">
          <cell r="DY1322">
            <v>4253</v>
          </cell>
        </row>
        <row r="1323">
          <cell r="DY1323">
            <v>4274</v>
          </cell>
        </row>
        <row r="1324">
          <cell r="DY1324">
            <v>4297</v>
          </cell>
        </row>
        <row r="1325">
          <cell r="DY1325">
            <v>4300</v>
          </cell>
        </row>
        <row r="1326">
          <cell r="DY1326">
            <v>4308</v>
          </cell>
        </row>
        <row r="1327">
          <cell r="DY1327">
            <v>4326</v>
          </cell>
        </row>
        <row r="1328">
          <cell r="DY1328">
            <v>4330</v>
          </cell>
        </row>
        <row r="1329">
          <cell r="DY1329">
            <v>4377</v>
          </cell>
        </row>
        <row r="1330">
          <cell r="DY1330">
            <v>4395</v>
          </cell>
        </row>
        <row r="1331">
          <cell r="DY1331">
            <v>4411</v>
          </cell>
        </row>
        <row r="1332">
          <cell r="DY1332">
            <v>4413</v>
          </cell>
        </row>
        <row r="1333">
          <cell r="DY1333">
            <v>4420</v>
          </cell>
        </row>
        <row r="1334">
          <cell r="DY1334">
            <v>4431</v>
          </cell>
        </row>
        <row r="1335">
          <cell r="DY1335">
            <v>4437</v>
          </cell>
        </row>
        <row r="1336">
          <cell r="DY1336">
            <v>4479</v>
          </cell>
        </row>
        <row r="1337">
          <cell r="DY1337">
            <v>4487</v>
          </cell>
        </row>
        <row r="1338">
          <cell r="DY1338">
            <v>4490</v>
          </cell>
        </row>
        <row r="1339">
          <cell r="DY1339">
            <v>4496</v>
          </cell>
        </row>
        <row r="1340">
          <cell r="DY1340">
            <v>4508</v>
          </cell>
        </row>
        <row r="1341">
          <cell r="DY1341">
            <v>4533</v>
          </cell>
        </row>
        <row r="1342">
          <cell r="DY1342">
            <v>4551</v>
          </cell>
        </row>
        <row r="1343">
          <cell r="DY1343">
            <v>4565</v>
          </cell>
        </row>
        <row r="1344">
          <cell r="DY1344">
            <v>4579</v>
          </cell>
        </row>
        <row r="1345">
          <cell r="DY1345">
            <v>4589</v>
          </cell>
        </row>
        <row r="1346">
          <cell r="DY1346">
            <v>4630</v>
          </cell>
        </row>
        <row r="1347">
          <cell r="DY1347">
            <v>4680</v>
          </cell>
        </row>
        <row r="1348">
          <cell r="DY1348">
            <v>4712</v>
          </cell>
        </row>
        <row r="1349">
          <cell r="DY1349">
            <v>4724</v>
          </cell>
        </row>
        <row r="1350">
          <cell r="DY1350">
            <v>4740</v>
          </cell>
        </row>
        <row r="1351">
          <cell r="DY1351">
            <v>4754</v>
          </cell>
        </row>
        <row r="1352">
          <cell r="DY1352">
            <v>4766</v>
          </cell>
        </row>
        <row r="1353">
          <cell r="DY1353">
            <v>4773</v>
          </cell>
        </row>
        <row r="1354">
          <cell r="DY1354">
            <v>4799</v>
          </cell>
        </row>
        <row r="1355">
          <cell r="DY1355">
            <v>4858</v>
          </cell>
        </row>
        <row r="1356">
          <cell r="DY1356">
            <v>4881</v>
          </cell>
        </row>
        <row r="1357">
          <cell r="DY1357">
            <v>4910</v>
          </cell>
        </row>
        <row r="1358">
          <cell r="DY1358">
            <v>4961</v>
          </cell>
        </row>
        <row r="1359">
          <cell r="DY1359">
            <v>4992</v>
          </cell>
        </row>
        <row r="1360">
          <cell r="DY1360">
            <v>5018</v>
          </cell>
        </row>
        <row r="1361">
          <cell r="DY1361">
            <v>5064</v>
          </cell>
        </row>
        <row r="1362">
          <cell r="DY1362">
            <v>5065</v>
          </cell>
        </row>
        <row r="1363">
          <cell r="DY1363">
            <v>5067</v>
          </cell>
        </row>
        <row r="1364">
          <cell r="DY1364">
            <v>5089</v>
          </cell>
        </row>
        <row r="1365">
          <cell r="DY1365">
            <v>5104</v>
          </cell>
        </row>
        <row r="1366">
          <cell r="DY1366">
            <v>5168</v>
          </cell>
        </row>
        <row r="1367">
          <cell r="DY1367">
            <v>5180</v>
          </cell>
        </row>
        <row r="1368">
          <cell r="DY1368">
            <v>5186</v>
          </cell>
        </row>
        <row r="1369">
          <cell r="DY1369">
            <v>5212</v>
          </cell>
        </row>
        <row r="1370">
          <cell r="DY1370">
            <v>5233</v>
          </cell>
        </row>
        <row r="1371">
          <cell r="DY1371">
            <v>5265</v>
          </cell>
        </row>
        <row r="1372">
          <cell r="DY1372">
            <v>5273</v>
          </cell>
        </row>
        <row r="1373">
          <cell r="DY1373">
            <v>5281</v>
          </cell>
        </row>
        <row r="1374">
          <cell r="DY1374">
            <v>5318</v>
          </cell>
        </row>
        <row r="1375">
          <cell r="DY1375">
            <v>5333</v>
          </cell>
        </row>
        <row r="1376">
          <cell r="DY1376">
            <v>5334</v>
          </cell>
        </row>
        <row r="1377">
          <cell r="DY1377">
            <v>5362</v>
          </cell>
        </row>
        <row r="1378">
          <cell r="DY1378">
            <v>5386</v>
          </cell>
        </row>
        <row r="1379">
          <cell r="DY1379">
            <v>5434</v>
          </cell>
        </row>
        <row r="1380">
          <cell r="DY1380">
            <v>5449</v>
          </cell>
        </row>
        <row r="1381">
          <cell r="DY1381">
            <v>5468</v>
          </cell>
        </row>
        <row r="1382">
          <cell r="DY1382">
            <v>5580</v>
          </cell>
        </row>
        <row r="1383">
          <cell r="DY1383">
            <v>5658</v>
          </cell>
        </row>
        <row r="1384">
          <cell r="DY1384">
            <v>5666</v>
          </cell>
        </row>
        <row r="1385">
          <cell r="DY1385">
            <v>5709</v>
          </cell>
        </row>
        <row r="1386">
          <cell r="DY1386">
            <v>5714</v>
          </cell>
        </row>
        <row r="1387">
          <cell r="DY1387">
            <v>5715</v>
          </cell>
        </row>
        <row r="1388">
          <cell r="DY1388">
            <v>5718</v>
          </cell>
        </row>
        <row r="1389">
          <cell r="DY1389">
            <v>5719</v>
          </cell>
        </row>
        <row r="1390">
          <cell r="DY1390">
            <v>5763</v>
          </cell>
        </row>
        <row r="1391">
          <cell r="DY1391">
            <v>5815</v>
          </cell>
        </row>
        <row r="1392">
          <cell r="DY1392">
            <v>5819</v>
          </cell>
        </row>
        <row r="1393">
          <cell r="DY1393">
            <v>5833</v>
          </cell>
        </row>
        <row r="1394">
          <cell r="DY1394">
            <v>5856</v>
          </cell>
        </row>
        <row r="1395">
          <cell r="DY1395">
            <v>5956</v>
          </cell>
        </row>
        <row r="1396">
          <cell r="DY1396">
            <v>5981</v>
          </cell>
        </row>
        <row r="1397">
          <cell r="DY1397">
            <v>5991</v>
          </cell>
        </row>
        <row r="1398">
          <cell r="DY1398">
            <v>6019</v>
          </cell>
        </row>
        <row r="1399">
          <cell r="DY1399">
            <v>6062</v>
          </cell>
        </row>
        <row r="1400">
          <cell r="DY1400">
            <v>6138</v>
          </cell>
        </row>
        <row r="1401">
          <cell r="DY1401">
            <v>6176</v>
          </cell>
        </row>
        <row r="1402">
          <cell r="DY1402">
            <v>6220</v>
          </cell>
        </row>
        <row r="1403">
          <cell r="DY1403">
            <v>6223</v>
          </cell>
        </row>
        <row r="1404">
          <cell r="DY1404">
            <v>6231</v>
          </cell>
        </row>
        <row r="1405">
          <cell r="DY1405">
            <v>6257</v>
          </cell>
        </row>
        <row r="1406">
          <cell r="DY1406">
            <v>6297</v>
          </cell>
        </row>
        <row r="1407">
          <cell r="DY1407">
            <v>6303</v>
          </cell>
        </row>
        <row r="1408">
          <cell r="DY1408">
            <v>6346</v>
          </cell>
        </row>
        <row r="1409">
          <cell r="DY1409">
            <v>6416</v>
          </cell>
        </row>
        <row r="1410">
          <cell r="DY1410">
            <v>6464</v>
          </cell>
        </row>
        <row r="1411">
          <cell r="DY1411">
            <v>6490</v>
          </cell>
        </row>
        <row r="1412">
          <cell r="DY1412">
            <v>6503</v>
          </cell>
        </row>
        <row r="1413">
          <cell r="DY1413">
            <v>6534</v>
          </cell>
        </row>
        <row r="1414">
          <cell r="DY1414">
            <v>6536</v>
          </cell>
        </row>
        <row r="1415">
          <cell r="DY1415">
            <v>6557</v>
          </cell>
        </row>
        <row r="1416">
          <cell r="DY1416">
            <v>6578</v>
          </cell>
        </row>
        <row r="1417">
          <cell r="DY1417">
            <v>6596</v>
          </cell>
        </row>
        <row r="1418">
          <cell r="DY1418">
            <v>6617</v>
          </cell>
        </row>
        <row r="1419">
          <cell r="DY1419">
            <v>6632</v>
          </cell>
        </row>
        <row r="1420">
          <cell r="DY1420">
            <v>6662</v>
          </cell>
        </row>
        <row r="1421">
          <cell r="DY1421">
            <v>6672</v>
          </cell>
        </row>
        <row r="1422">
          <cell r="DY1422">
            <v>6679</v>
          </cell>
        </row>
        <row r="1423">
          <cell r="DY1423">
            <v>6739</v>
          </cell>
        </row>
        <row r="1424">
          <cell r="DY1424">
            <v>6747</v>
          </cell>
        </row>
        <row r="1425">
          <cell r="DY1425">
            <v>6765</v>
          </cell>
        </row>
        <row r="1426">
          <cell r="DY1426">
            <v>6782</v>
          </cell>
        </row>
        <row r="1427">
          <cell r="DY1427">
            <v>6841</v>
          </cell>
        </row>
        <row r="1428">
          <cell r="DY1428">
            <v>6843</v>
          </cell>
        </row>
        <row r="1429">
          <cell r="DY1429">
            <v>6845</v>
          </cell>
        </row>
        <row r="1430">
          <cell r="DY1430">
            <v>6867</v>
          </cell>
        </row>
        <row r="1431">
          <cell r="DY1431">
            <v>6870</v>
          </cell>
        </row>
        <row r="1432">
          <cell r="DY1432">
            <v>6966</v>
          </cell>
        </row>
        <row r="1433">
          <cell r="DY1433">
            <v>6969</v>
          </cell>
        </row>
        <row r="1434">
          <cell r="DY1434">
            <v>7046</v>
          </cell>
        </row>
        <row r="1435">
          <cell r="DY1435">
            <v>7054</v>
          </cell>
        </row>
        <row r="1436">
          <cell r="DY1436">
            <v>7067</v>
          </cell>
        </row>
        <row r="1437">
          <cell r="DY1437">
            <v>7091</v>
          </cell>
        </row>
        <row r="1438">
          <cell r="DY1438">
            <v>7116</v>
          </cell>
        </row>
        <row r="1439">
          <cell r="DY1439">
            <v>7134</v>
          </cell>
        </row>
        <row r="1440">
          <cell r="DY1440">
            <v>7136</v>
          </cell>
        </row>
        <row r="1441">
          <cell r="DY1441">
            <v>7150</v>
          </cell>
        </row>
        <row r="1442">
          <cell r="DY1442">
            <v>7167</v>
          </cell>
        </row>
        <row r="1443">
          <cell r="DY1443">
            <v>7170</v>
          </cell>
        </row>
        <row r="1444">
          <cell r="DY1444">
            <v>7177</v>
          </cell>
        </row>
        <row r="1445">
          <cell r="DY1445">
            <v>7206</v>
          </cell>
        </row>
        <row r="1446">
          <cell r="DY1446">
            <v>7220</v>
          </cell>
        </row>
        <row r="1447">
          <cell r="DY1447">
            <v>7229</v>
          </cell>
        </row>
        <row r="1448">
          <cell r="DY1448">
            <v>7254</v>
          </cell>
        </row>
        <row r="1449">
          <cell r="DY1449">
            <v>7261</v>
          </cell>
        </row>
        <row r="1450">
          <cell r="DY1450">
            <v>7264</v>
          </cell>
        </row>
        <row r="1451">
          <cell r="DY1451">
            <v>7280</v>
          </cell>
        </row>
        <row r="1452">
          <cell r="DY1452">
            <v>7332</v>
          </cell>
        </row>
        <row r="1453">
          <cell r="DY1453">
            <v>7349</v>
          </cell>
        </row>
        <row r="1454">
          <cell r="DY1454">
            <v>7363</v>
          </cell>
        </row>
        <row r="1455">
          <cell r="DY1455">
            <v>7367</v>
          </cell>
        </row>
        <row r="1456">
          <cell r="DY1456">
            <v>7482</v>
          </cell>
        </row>
        <row r="1457">
          <cell r="DY1457">
            <v>7495</v>
          </cell>
        </row>
        <row r="1458">
          <cell r="DY1458">
            <v>7512</v>
          </cell>
        </row>
        <row r="1459">
          <cell r="DY1459">
            <v>7529</v>
          </cell>
        </row>
        <row r="1460">
          <cell r="DY1460">
            <v>7590</v>
          </cell>
        </row>
        <row r="1461">
          <cell r="DY1461">
            <v>7610</v>
          </cell>
        </row>
        <row r="1462">
          <cell r="DY1462">
            <v>7617</v>
          </cell>
        </row>
        <row r="1463">
          <cell r="DY1463">
            <v>7659</v>
          </cell>
        </row>
        <row r="1464">
          <cell r="DY1464">
            <v>7670</v>
          </cell>
        </row>
        <row r="1465">
          <cell r="DY1465">
            <v>7731</v>
          </cell>
        </row>
        <row r="1466">
          <cell r="DY1466">
            <v>7745</v>
          </cell>
        </row>
        <row r="1467">
          <cell r="DY1467">
            <v>7805</v>
          </cell>
        </row>
        <row r="1468">
          <cell r="DY1468">
            <v>7816</v>
          </cell>
        </row>
        <row r="1469">
          <cell r="DY1469">
            <v>7834</v>
          </cell>
        </row>
        <row r="1470">
          <cell r="DY1470">
            <v>7840</v>
          </cell>
        </row>
        <row r="1471">
          <cell r="DY1471">
            <v>7847</v>
          </cell>
        </row>
        <row r="1472">
          <cell r="DY1472">
            <v>7855</v>
          </cell>
        </row>
        <row r="1473">
          <cell r="DY1473">
            <v>7886</v>
          </cell>
        </row>
        <row r="1474">
          <cell r="DY1474">
            <v>7892</v>
          </cell>
        </row>
        <row r="1475">
          <cell r="DY1475">
            <v>7907</v>
          </cell>
        </row>
        <row r="1476">
          <cell r="DY1476">
            <v>7918</v>
          </cell>
        </row>
        <row r="1477">
          <cell r="DY1477">
            <v>7948</v>
          </cell>
        </row>
        <row r="1478">
          <cell r="DY1478">
            <v>7949</v>
          </cell>
        </row>
        <row r="1479">
          <cell r="DY1479">
            <v>7955</v>
          </cell>
        </row>
        <row r="1480">
          <cell r="DY1480">
            <v>7979</v>
          </cell>
        </row>
        <row r="1481">
          <cell r="DY1481">
            <v>7989</v>
          </cell>
        </row>
        <row r="1482">
          <cell r="DY1482">
            <v>7992</v>
          </cell>
        </row>
        <row r="1483">
          <cell r="DY1483">
            <v>8083</v>
          </cell>
        </row>
        <row r="1484">
          <cell r="DY1484">
            <v>8172</v>
          </cell>
        </row>
        <row r="1485">
          <cell r="DY1485">
            <v>8181</v>
          </cell>
        </row>
        <row r="1486">
          <cell r="DY1486">
            <v>8231</v>
          </cell>
        </row>
        <row r="1487">
          <cell r="DY1487">
            <v>8241</v>
          </cell>
        </row>
        <row r="1488">
          <cell r="DY1488">
            <v>8254</v>
          </cell>
        </row>
        <row r="1489">
          <cell r="DY1489">
            <v>8277</v>
          </cell>
        </row>
        <row r="1490">
          <cell r="DY1490">
            <v>8278</v>
          </cell>
        </row>
        <row r="1491">
          <cell r="DY1491">
            <v>8303</v>
          </cell>
        </row>
        <row r="1492">
          <cell r="DY1492">
            <v>8336</v>
          </cell>
        </row>
        <row r="1493">
          <cell r="DY1493">
            <v>8338</v>
          </cell>
        </row>
        <row r="1494">
          <cell r="DY1494">
            <v>8347</v>
          </cell>
        </row>
        <row r="1495">
          <cell r="DY1495">
            <v>8349</v>
          </cell>
        </row>
        <row r="1496">
          <cell r="DY1496">
            <v>8356</v>
          </cell>
        </row>
        <row r="1497">
          <cell r="DY1497">
            <v>8357</v>
          </cell>
        </row>
        <row r="1498">
          <cell r="DY1498">
            <v>8389</v>
          </cell>
        </row>
        <row r="1499">
          <cell r="DY1499">
            <v>8391</v>
          </cell>
        </row>
        <row r="1500">
          <cell r="DY1500">
            <v>8392</v>
          </cell>
        </row>
        <row r="1501">
          <cell r="DY1501">
            <v>8395</v>
          </cell>
        </row>
        <row r="1502">
          <cell r="DY1502">
            <v>8434</v>
          </cell>
        </row>
        <row r="1503">
          <cell r="DY1503">
            <v>8442</v>
          </cell>
        </row>
        <row r="1504">
          <cell r="DY1504">
            <v>8462</v>
          </cell>
        </row>
        <row r="1505">
          <cell r="DY1505">
            <v>8503</v>
          </cell>
        </row>
        <row r="1506">
          <cell r="DY1506">
            <v>8561</v>
          </cell>
        </row>
        <row r="1507">
          <cell r="DY1507">
            <v>8765</v>
          </cell>
        </row>
        <row r="1508">
          <cell r="DY1508">
            <v>8921</v>
          </cell>
        </row>
        <row r="1509">
          <cell r="DY1509">
            <v>9001</v>
          </cell>
        </row>
        <row r="1510">
          <cell r="DY1510">
            <v>9021</v>
          </cell>
        </row>
        <row r="1511">
          <cell r="DY1511">
            <v>9061</v>
          </cell>
        </row>
        <row r="1512">
          <cell r="DY1512">
            <v>9220</v>
          </cell>
        </row>
        <row r="1513">
          <cell r="DY1513">
            <v>9282</v>
          </cell>
        </row>
        <row r="1514">
          <cell r="DY1514">
            <v>9338</v>
          </cell>
        </row>
        <row r="1515">
          <cell r="DY1515">
            <v>9378</v>
          </cell>
        </row>
        <row r="1516">
          <cell r="DY1516">
            <v>9382</v>
          </cell>
        </row>
        <row r="1517">
          <cell r="DY1517">
            <v>9384</v>
          </cell>
        </row>
        <row r="1518">
          <cell r="DY1518">
            <v>9395</v>
          </cell>
        </row>
        <row r="1519">
          <cell r="DY1519">
            <v>9397</v>
          </cell>
        </row>
        <row r="1520">
          <cell r="DY1520">
            <v>9399</v>
          </cell>
        </row>
        <row r="1521">
          <cell r="DY1521">
            <v>9401</v>
          </cell>
        </row>
        <row r="1522">
          <cell r="DY1522">
            <v>9403</v>
          </cell>
        </row>
        <row r="1523">
          <cell r="DY1523">
            <v>9405</v>
          </cell>
        </row>
        <row r="1524">
          <cell r="DY1524">
            <v>9407</v>
          </cell>
        </row>
        <row r="1525">
          <cell r="DY1525">
            <v>9409</v>
          </cell>
        </row>
        <row r="1526">
          <cell r="DY1526">
            <v>9411</v>
          </cell>
        </row>
        <row r="1527">
          <cell r="DY1527">
            <v>9413</v>
          </cell>
        </row>
        <row r="1528">
          <cell r="DY1528">
            <v>9415</v>
          </cell>
        </row>
        <row r="1529">
          <cell r="DY1529">
            <v>9417</v>
          </cell>
        </row>
        <row r="1530">
          <cell r="DY1530">
            <v>9419</v>
          </cell>
        </row>
        <row r="1531">
          <cell r="DY1531">
            <v>9421</v>
          </cell>
        </row>
        <row r="1532">
          <cell r="DY1532">
            <v>9423</v>
          </cell>
        </row>
        <row r="1533">
          <cell r="DY1533">
            <v>9433</v>
          </cell>
        </row>
        <row r="1534">
          <cell r="DY1534">
            <v>9435</v>
          </cell>
        </row>
        <row r="1535">
          <cell r="DY1535">
            <v>9437</v>
          </cell>
        </row>
        <row r="1536">
          <cell r="DY1536">
            <v>9439</v>
          </cell>
        </row>
        <row r="1537">
          <cell r="DY1537">
            <v>9441</v>
          </cell>
        </row>
        <row r="1538">
          <cell r="DY1538">
            <v>9443</v>
          </cell>
        </row>
        <row r="1539">
          <cell r="DY1539">
            <v>9445</v>
          </cell>
        </row>
        <row r="1540">
          <cell r="DY1540">
            <v>9447</v>
          </cell>
        </row>
        <row r="1541">
          <cell r="DY1541">
            <v>9449</v>
          </cell>
        </row>
        <row r="1542">
          <cell r="DY1542">
            <v>9451</v>
          </cell>
        </row>
        <row r="1543">
          <cell r="DY1543">
            <v>9453</v>
          </cell>
        </row>
        <row r="1544">
          <cell r="DY1544">
            <v>9455</v>
          </cell>
        </row>
        <row r="1545">
          <cell r="DY1545">
            <v>9457</v>
          </cell>
        </row>
        <row r="1546">
          <cell r="DY1546">
            <v>9459</v>
          </cell>
        </row>
        <row r="1547">
          <cell r="DY1547">
            <v>9461</v>
          </cell>
        </row>
        <row r="1548">
          <cell r="DY1548">
            <v>9463</v>
          </cell>
        </row>
        <row r="1549">
          <cell r="DY1549">
            <v>9465</v>
          </cell>
        </row>
        <row r="1550">
          <cell r="DY1550">
            <v>9467</v>
          </cell>
        </row>
        <row r="1551">
          <cell r="DY1551">
            <v>9469</v>
          </cell>
        </row>
        <row r="1552">
          <cell r="DY1552">
            <v>9471</v>
          </cell>
        </row>
        <row r="1553">
          <cell r="DY1553">
            <v>9473</v>
          </cell>
        </row>
        <row r="1554">
          <cell r="DY1554">
            <v>9475</v>
          </cell>
        </row>
        <row r="1555">
          <cell r="DY1555">
            <v>9477</v>
          </cell>
        </row>
        <row r="1556">
          <cell r="DY1556">
            <v>9479</v>
          </cell>
        </row>
        <row r="1557">
          <cell r="DY1557">
            <v>9481</v>
          </cell>
        </row>
        <row r="1558">
          <cell r="DY1558">
            <v>9483</v>
          </cell>
        </row>
        <row r="1559">
          <cell r="DY1559">
            <v>9487</v>
          </cell>
        </row>
        <row r="1560">
          <cell r="DY1560">
            <v>9488</v>
          </cell>
        </row>
        <row r="1561">
          <cell r="DY1561">
            <v>9489</v>
          </cell>
        </row>
        <row r="1562">
          <cell r="DY1562">
            <v>9490</v>
          </cell>
        </row>
        <row r="1563">
          <cell r="DY1563">
            <v>9491</v>
          </cell>
        </row>
        <row r="1564">
          <cell r="DY1564">
            <v>9492</v>
          </cell>
        </row>
        <row r="1565">
          <cell r="DY1565">
            <v>9493</v>
          </cell>
        </row>
        <row r="1566">
          <cell r="DY1566">
            <v>9494</v>
          </cell>
        </row>
        <row r="1567">
          <cell r="DY1567">
            <v>9495</v>
          </cell>
        </row>
        <row r="1568">
          <cell r="DY1568">
            <v>9496</v>
          </cell>
        </row>
        <row r="1569">
          <cell r="DY1569">
            <v>9497</v>
          </cell>
        </row>
        <row r="1570">
          <cell r="DY1570">
            <v>9498</v>
          </cell>
        </row>
        <row r="1571">
          <cell r="DY1571">
            <v>9499</v>
          </cell>
        </row>
        <row r="1572">
          <cell r="DY1572">
            <v>9500</v>
          </cell>
        </row>
        <row r="1573">
          <cell r="DY1573">
            <v>9501</v>
          </cell>
        </row>
        <row r="1574">
          <cell r="DY1574">
            <v>9502</v>
          </cell>
        </row>
        <row r="1575">
          <cell r="DY1575">
            <v>9503</v>
          </cell>
        </row>
        <row r="1576">
          <cell r="DY1576">
            <v>9504</v>
          </cell>
        </row>
        <row r="1577">
          <cell r="DY1577">
            <v>9505</v>
          </cell>
        </row>
        <row r="1578">
          <cell r="DY1578">
            <v>9506</v>
          </cell>
        </row>
        <row r="1579">
          <cell r="DY1579">
            <v>9507</v>
          </cell>
        </row>
        <row r="1580">
          <cell r="DY1580">
            <v>9694</v>
          </cell>
        </row>
        <row r="1581">
          <cell r="DY1581">
            <v>9721</v>
          </cell>
        </row>
        <row r="1582">
          <cell r="DY1582">
            <v>9929</v>
          </cell>
        </row>
        <row r="1583">
          <cell r="DY1583">
            <v>9943</v>
          </cell>
        </row>
        <row r="1584">
          <cell r="DY1584">
            <v>9951</v>
          </cell>
        </row>
        <row r="1585">
          <cell r="DY1585">
            <v>9952</v>
          </cell>
        </row>
        <row r="1586">
          <cell r="DY1586">
            <v>9953</v>
          </cell>
        </row>
        <row r="1587">
          <cell r="DY1587">
            <v>9954</v>
          </cell>
        </row>
        <row r="1588">
          <cell r="DY1588">
            <v>9955</v>
          </cell>
        </row>
        <row r="1589">
          <cell r="DY1589">
            <v>9956</v>
          </cell>
        </row>
        <row r="1590">
          <cell r="DY1590">
            <v>9957</v>
          </cell>
        </row>
        <row r="1591">
          <cell r="DY1591">
            <v>9958</v>
          </cell>
        </row>
        <row r="1592">
          <cell r="DY1592">
            <v>9959</v>
          </cell>
        </row>
        <row r="1593">
          <cell r="DY1593">
            <v>9960</v>
          </cell>
        </row>
        <row r="1594">
          <cell r="DY1594">
            <v>9961</v>
          </cell>
        </row>
        <row r="1595">
          <cell r="DY1595">
            <v>9962</v>
          </cell>
        </row>
        <row r="1596">
          <cell r="DY1596">
            <v>9963</v>
          </cell>
        </row>
        <row r="1597">
          <cell r="DY1597">
            <v>9965</v>
          </cell>
        </row>
        <row r="1598">
          <cell r="DY1598">
            <v>9967</v>
          </cell>
        </row>
        <row r="1599">
          <cell r="DY1599">
            <v>9968</v>
          </cell>
        </row>
        <row r="1600">
          <cell r="DY1600">
            <v>9969</v>
          </cell>
        </row>
        <row r="1601">
          <cell r="DY1601">
            <v>10007</v>
          </cell>
        </row>
        <row r="1602">
          <cell r="DY1602">
            <v>10008</v>
          </cell>
        </row>
        <row r="1603">
          <cell r="DY1603">
            <v>10009</v>
          </cell>
        </row>
        <row r="1604">
          <cell r="DY1604">
            <v>10013</v>
          </cell>
        </row>
        <row r="1605">
          <cell r="DY1605">
            <v>10028</v>
          </cell>
        </row>
        <row r="1606">
          <cell r="DY1606">
            <v>10034</v>
          </cell>
        </row>
        <row r="1607">
          <cell r="DY1607">
            <v>10037</v>
          </cell>
        </row>
        <row r="1608">
          <cell r="DY1608">
            <v>10038</v>
          </cell>
        </row>
        <row r="1609">
          <cell r="DY1609">
            <v>10039</v>
          </cell>
        </row>
        <row r="1610">
          <cell r="DY1610">
            <v>10052</v>
          </cell>
        </row>
        <row r="1611">
          <cell r="DY1611">
            <v>10060</v>
          </cell>
        </row>
        <row r="1612">
          <cell r="DY1612">
            <v>10076</v>
          </cell>
        </row>
        <row r="1613">
          <cell r="DY1613">
            <v>10077</v>
          </cell>
        </row>
        <row r="1614">
          <cell r="DY1614">
            <v>10130</v>
          </cell>
        </row>
        <row r="1615">
          <cell r="DY1615">
            <v>10142</v>
          </cell>
        </row>
        <row r="1616">
          <cell r="DY1616">
            <v>10147</v>
          </cell>
        </row>
        <row r="1617">
          <cell r="DY1617">
            <v>10150</v>
          </cell>
        </row>
        <row r="1618">
          <cell r="DY1618">
            <v>10151</v>
          </cell>
        </row>
        <row r="1619">
          <cell r="DY1619">
            <v>10153</v>
          </cell>
        </row>
        <row r="1620">
          <cell r="DY1620">
            <v>10161</v>
          </cell>
        </row>
        <row r="1621">
          <cell r="DY1621">
            <v>10221</v>
          </cell>
        </row>
        <row r="1622">
          <cell r="DY1622">
            <v>10222</v>
          </cell>
        </row>
        <row r="1623">
          <cell r="DY1623">
            <v>10223</v>
          </cell>
        </row>
        <row r="1624">
          <cell r="DY1624">
            <v>10224</v>
          </cell>
        </row>
        <row r="1625">
          <cell r="DY1625">
            <v>10225</v>
          </cell>
        </row>
        <row r="1626">
          <cell r="DY1626">
            <v>10226</v>
          </cell>
        </row>
        <row r="1627">
          <cell r="DY1627">
            <v>10227</v>
          </cell>
        </row>
        <row r="1628">
          <cell r="DY1628">
            <v>10228</v>
          </cell>
        </row>
        <row r="1629">
          <cell r="DY1629">
            <v>10229</v>
          </cell>
        </row>
        <row r="1630">
          <cell r="DY1630">
            <v>10230</v>
          </cell>
        </row>
        <row r="1631">
          <cell r="DY1631">
            <v>10231</v>
          </cell>
        </row>
        <row r="1632">
          <cell r="DY1632">
            <v>10232</v>
          </cell>
        </row>
        <row r="1633">
          <cell r="DY1633">
            <v>10233</v>
          </cell>
        </row>
        <row r="1634">
          <cell r="DY1634">
            <v>10234</v>
          </cell>
        </row>
        <row r="1635">
          <cell r="DY1635">
            <v>10235</v>
          </cell>
        </row>
        <row r="1636">
          <cell r="DY1636">
            <v>10290</v>
          </cell>
        </row>
        <row r="1637">
          <cell r="DY1637">
            <v>10297</v>
          </cell>
        </row>
        <row r="1638">
          <cell r="DY1638">
            <v>10298</v>
          </cell>
        </row>
        <row r="1639">
          <cell r="DY1639">
            <v>10299</v>
          </cell>
        </row>
        <row r="1640">
          <cell r="DY1640">
            <v>10300</v>
          </cell>
        </row>
        <row r="1641">
          <cell r="DY1641">
            <v>10301</v>
          </cell>
        </row>
        <row r="1642">
          <cell r="DY1642">
            <v>10309</v>
          </cell>
        </row>
        <row r="1643">
          <cell r="DY1643">
            <v>10310</v>
          </cell>
        </row>
        <row r="1644">
          <cell r="DY1644">
            <v>10311</v>
          </cell>
        </row>
        <row r="1645">
          <cell r="DY1645">
            <v>10312</v>
          </cell>
        </row>
        <row r="1646">
          <cell r="DY1646">
            <v>10314</v>
          </cell>
        </row>
        <row r="1647">
          <cell r="DY1647">
            <v>10319</v>
          </cell>
        </row>
        <row r="1648">
          <cell r="DY1648">
            <v>10321</v>
          </cell>
        </row>
        <row r="1649">
          <cell r="DY1649">
            <v>10323</v>
          </cell>
        </row>
        <row r="1650">
          <cell r="DY1650">
            <v>10326</v>
          </cell>
        </row>
        <row r="1651">
          <cell r="DY1651">
            <v>10332</v>
          </cell>
        </row>
        <row r="1652">
          <cell r="DY1652">
            <v>10340</v>
          </cell>
        </row>
        <row r="1653">
          <cell r="DY1653">
            <v>10341</v>
          </cell>
        </row>
        <row r="1654">
          <cell r="DY1654">
            <v>10370</v>
          </cell>
        </row>
        <row r="1655">
          <cell r="DY1655">
            <v>10479</v>
          </cell>
        </row>
        <row r="1656">
          <cell r="DY1656">
            <v>10480</v>
          </cell>
        </row>
        <row r="1657">
          <cell r="DY1657">
            <v>10481</v>
          </cell>
        </row>
        <row r="1658">
          <cell r="DY1658">
            <v>10482</v>
          </cell>
        </row>
        <row r="1659">
          <cell r="DY1659">
            <v>10483</v>
          </cell>
        </row>
        <row r="1660">
          <cell r="DY1660">
            <v>10517</v>
          </cell>
        </row>
        <row r="1661">
          <cell r="DY1661">
            <v>10583</v>
          </cell>
        </row>
        <row r="1662">
          <cell r="DY1662">
            <v>10584</v>
          </cell>
        </row>
        <row r="1663">
          <cell r="DY1663">
            <v>10585</v>
          </cell>
        </row>
        <row r="1664">
          <cell r="DY1664">
            <v>10586</v>
          </cell>
        </row>
        <row r="1665">
          <cell r="DY1665">
            <v>10587</v>
          </cell>
        </row>
        <row r="1666">
          <cell r="DY1666">
            <v>10588</v>
          </cell>
        </row>
        <row r="1667">
          <cell r="DY1667">
            <v>10590</v>
          </cell>
        </row>
        <row r="1668">
          <cell r="DY1668">
            <v>10591</v>
          </cell>
        </row>
        <row r="1669">
          <cell r="DY1669">
            <v>10592</v>
          </cell>
        </row>
        <row r="1670">
          <cell r="DY1670">
            <v>10593</v>
          </cell>
        </row>
        <row r="1671">
          <cell r="DY1671">
            <v>10594</v>
          </cell>
        </row>
        <row r="1672">
          <cell r="DY1672">
            <v>10599</v>
          </cell>
        </row>
        <row r="1673">
          <cell r="DY1673">
            <v>10733</v>
          </cell>
        </row>
        <row r="1674">
          <cell r="DY1674">
            <v>10734</v>
          </cell>
        </row>
        <row r="1675">
          <cell r="DY1675">
            <v>10736</v>
          </cell>
        </row>
        <row r="1676">
          <cell r="DY1676">
            <v>10903</v>
          </cell>
        </row>
        <row r="1677">
          <cell r="DY1677">
            <v>10908</v>
          </cell>
        </row>
        <row r="1678">
          <cell r="DY1678">
            <v>10910</v>
          </cell>
        </row>
        <row r="1679">
          <cell r="DY1679" t="str">
            <v>NMFS125</v>
          </cell>
        </row>
        <row r="1680">
          <cell r="DY1680" t="str">
            <v>NMFS134</v>
          </cell>
        </row>
        <row r="1681">
          <cell r="DY1681" t="str">
            <v>NMFS136</v>
          </cell>
        </row>
        <row r="1682">
          <cell r="DY1682" t="str">
            <v>NMFS137</v>
          </cell>
        </row>
        <row r="1683">
          <cell r="DY1683" t="str">
            <v>NMFS138</v>
          </cell>
        </row>
        <row r="1684">
          <cell r="DY1684" t="str">
            <v>NMFS139</v>
          </cell>
        </row>
        <row r="1685">
          <cell r="DY1685" t="str">
            <v>NMFS166</v>
          </cell>
        </row>
        <row r="1686">
          <cell r="DY1686" t="str">
            <v>NMFS52</v>
          </cell>
        </row>
        <row r="1687">
          <cell r="DY1687" t="str">
            <v>NMFS88</v>
          </cell>
        </row>
        <row r="1688">
          <cell r="DY1688" t="str">
            <v>NMFS94</v>
          </cell>
        </row>
      </sheetData>
      <sheetData sheetId="22"/>
      <sheetData sheetId="23"/>
      <sheetData sheetId="2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 CYP Passerine Template"/>
      <sheetName val="Species WoE Matrix"/>
      <sheetName val="Nihoa millerbird "/>
      <sheetName val="Nightingale reed warbler"/>
      <sheetName val="Yellow-shouldered blackbird"/>
      <sheetName val="Cape Sable seaside sparrow"/>
      <sheetName val="Florida grasshopper sparrow"/>
      <sheetName val="San Clemente sage sparrow"/>
      <sheetName val="Sprague's pipit"/>
      <sheetName val="Florida Scrub Jay"/>
      <sheetName val="Mariana crow (=aga)"/>
      <sheetName val="Elfin-woods warbler"/>
      <sheetName val="Golden-cheeked warbler (=wood)"/>
      <sheetName val="Southwestern willow flycatcher"/>
      <sheetName val="Streaked Horned lark"/>
      <sheetName val="San Clemente loggerhead shrike"/>
      <sheetName val="Inyo California towhee"/>
      <sheetName val="Coastal California gnatcatcher"/>
      <sheetName val="Kirtland's warbler"/>
      <sheetName val="Bachman's warbler (=wood)"/>
      <sheetName val="Black-capped vireo"/>
      <sheetName val="Least Bell's vireo"/>
      <sheetName val="Rota bridled white-eye"/>
    </sheetNames>
    <sheetDataSet>
      <sheetData sheetId="0"/>
      <sheetData sheetId="1">
        <row r="5">
          <cell r="C5" t="str">
            <v>1. T-REX EECs based on empirical residues.</v>
          </cell>
        </row>
      </sheetData>
      <sheetData sheetId="2">
        <row r="9">
          <cell r="DD9">
            <v>1</v>
          </cell>
        </row>
        <row r="10">
          <cell r="DD10">
            <v>2</v>
          </cell>
        </row>
        <row r="11">
          <cell r="DD11">
            <v>3</v>
          </cell>
        </row>
        <row r="12">
          <cell r="DD12">
            <v>4</v>
          </cell>
        </row>
        <row r="13">
          <cell r="DD13">
            <v>5</v>
          </cell>
        </row>
        <row r="14">
          <cell r="DD14">
            <v>6</v>
          </cell>
        </row>
        <row r="15">
          <cell r="DD15">
            <v>8</v>
          </cell>
        </row>
        <row r="16">
          <cell r="DD16">
            <v>9</v>
          </cell>
        </row>
        <row r="17">
          <cell r="DD17">
            <v>10</v>
          </cell>
        </row>
        <row r="18">
          <cell r="DD18">
            <v>11</v>
          </cell>
        </row>
        <row r="19">
          <cell r="DD19">
            <v>12</v>
          </cell>
        </row>
        <row r="20">
          <cell r="DD20">
            <v>13</v>
          </cell>
        </row>
        <row r="21">
          <cell r="DD21">
            <v>14</v>
          </cell>
        </row>
        <row r="22">
          <cell r="DD22">
            <v>15</v>
          </cell>
        </row>
        <row r="23">
          <cell r="DD23">
            <v>16</v>
          </cell>
        </row>
        <row r="24">
          <cell r="DD24">
            <v>17</v>
          </cell>
        </row>
        <row r="25">
          <cell r="DD25">
            <v>18</v>
          </cell>
        </row>
        <row r="26">
          <cell r="DD26">
            <v>20</v>
          </cell>
        </row>
        <row r="27">
          <cell r="DD27">
            <v>21</v>
          </cell>
        </row>
        <row r="28">
          <cell r="DD28">
            <v>22</v>
          </cell>
        </row>
        <row r="29">
          <cell r="DD29">
            <v>23</v>
          </cell>
        </row>
        <row r="30">
          <cell r="DD30">
            <v>24</v>
          </cell>
        </row>
        <row r="31">
          <cell r="DD31">
            <v>25</v>
          </cell>
        </row>
        <row r="32">
          <cell r="DD32">
            <v>27</v>
          </cell>
        </row>
        <row r="33">
          <cell r="DD33">
            <v>28</v>
          </cell>
        </row>
        <row r="34">
          <cell r="DD34">
            <v>29</v>
          </cell>
        </row>
        <row r="35">
          <cell r="DD35">
            <v>30</v>
          </cell>
        </row>
        <row r="36">
          <cell r="DD36">
            <v>31</v>
          </cell>
        </row>
        <row r="37">
          <cell r="DD37">
            <v>32</v>
          </cell>
        </row>
        <row r="38">
          <cell r="DD38">
            <v>33</v>
          </cell>
        </row>
        <row r="39">
          <cell r="DD39">
            <v>34</v>
          </cell>
        </row>
        <row r="40">
          <cell r="DD40">
            <v>35</v>
          </cell>
        </row>
        <row r="41">
          <cell r="DD41">
            <v>36</v>
          </cell>
        </row>
        <row r="42">
          <cell r="DD42">
            <v>37</v>
          </cell>
        </row>
        <row r="43">
          <cell r="DD43">
            <v>38</v>
          </cell>
        </row>
        <row r="44">
          <cell r="DD44">
            <v>39</v>
          </cell>
        </row>
        <row r="45">
          <cell r="DD45">
            <v>40</v>
          </cell>
        </row>
        <row r="46">
          <cell r="DD46">
            <v>41</v>
          </cell>
        </row>
        <row r="47">
          <cell r="DD47">
            <v>42</v>
          </cell>
        </row>
        <row r="48">
          <cell r="DD48">
            <v>43</v>
          </cell>
        </row>
        <row r="49">
          <cell r="DD49">
            <v>46</v>
          </cell>
        </row>
        <row r="50">
          <cell r="DD50">
            <v>47</v>
          </cell>
        </row>
        <row r="51">
          <cell r="DD51">
            <v>48</v>
          </cell>
        </row>
        <row r="52">
          <cell r="DD52">
            <v>49</v>
          </cell>
        </row>
        <row r="53">
          <cell r="DD53">
            <v>50</v>
          </cell>
        </row>
        <row r="54">
          <cell r="DD54">
            <v>51</v>
          </cell>
        </row>
        <row r="55">
          <cell r="DD55">
            <v>52</v>
          </cell>
        </row>
        <row r="56">
          <cell r="DD56">
            <v>53</v>
          </cell>
        </row>
        <row r="57">
          <cell r="DD57">
            <v>54</v>
          </cell>
        </row>
        <row r="58">
          <cell r="DD58">
            <v>55</v>
          </cell>
        </row>
        <row r="59">
          <cell r="DD59">
            <v>56</v>
          </cell>
        </row>
        <row r="60">
          <cell r="DD60">
            <v>57</v>
          </cell>
        </row>
        <row r="61">
          <cell r="DD61">
            <v>58</v>
          </cell>
        </row>
        <row r="62">
          <cell r="DD62">
            <v>59</v>
          </cell>
        </row>
        <row r="63">
          <cell r="DD63">
            <v>60</v>
          </cell>
        </row>
        <row r="64">
          <cell r="DD64">
            <v>61</v>
          </cell>
        </row>
        <row r="65">
          <cell r="DD65">
            <v>62</v>
          </cell>
        </row>
        <row r="66">
          <cell r="DD66">
            <v>63</v>
          </cell>
        </row>
        <row r="67">
          <cell r="DD67">
            <v>64</v>
          </cell>
        </row>
        <row r="68">
          <cell r="DD68">
            <v>150</v>
          </cell>
        </row>
        <row r="69">
          <cell r="DD69">
            <v>6901</v>
          </cell>
        </row>
        <row r="70">
          <cell r="DD70">
            <v>89</v>
          </cell>
        </row>
        <row r="71">
          <cell r="DD71">
            <v>101</v>
          </cell>
        </row>
        <row r="72">
          <cell r="DD72">
            <v>118</v>
          </cell>
        </row>
        <row r="73">
          <cell r="DD73">
            <v>4237</v>
          </cell>
        </row>
        <row r="74">
          <cell r="DD74">
            <v>139</v>
          </cell>
        </row>
        <row r="75">
          <cell r="DD75">
            <v>149</v>
          </cell>
        </row>
        <row r="76">
          <cell r="DD76">
            <v>4296</v>
          </cell>
        </row>
        <row r="77">
          <cell r="DD77">
            <v>9122</v>
          </cell>
        </row>
        <row r="78">
          <cell r="DD78">
            <v>126</v>
          </cell>
        </row>
        <row r="79">
          <cell r="DD79">
            <v>108</v>
          </cell>
        </row>
        <row r="80">
          <cell r="DD80">
            <v>5170</v>
          </cell>
        </row>
        <row r="81">
          <cell r="DD81">
            <v>120</v>
          </cell>
        </row>
        <row r="82">
          <cell r="DD82">
            <v>76</v>
          </cell>
        </row>
        <row r="83">
          <cell r="DD83" t="str">
            <v>none</v>
          </cell>
        </row>
        <row r="84">
          <cell r="DD84">
            <v>7342</v>
          </cell>
        </row>
        <row r="85">
          <cell r="DD85">
            <v>65</v>
          </cell>
        </row>
        <row r="86">
          <cell r="DD86">
            <v>66</v>
          </cell>
        </row>
        <row r="87">
          <cell r="DD87">
            <v>67</v>
          </cell>
        </row>
        <row r="88">
          <cell r="DD88">
            <v>69</v>
          </cell>
        </row>
        <row r="89">
          <cell r="DD89">
            <v>70</v>
          </cell>
        </row>
        <row r="90">
          <cell r="DD90">
            <v>71</v>
          </cell>
        </row>
        <row r="91">
          <cell r="DD91">
            <v>72</v>
          </cell>
        </row>
        <row r="92">
          <cell r="DD92">
            <v>73</v>
          </cell>
        </row>
        <row r="93">
          <cell r="DD93">
            <v>74</v>
          </cell>
        </row>
        <row r="94">
          <cell r="DD94">
            <v>75</v>
          </cell>
        </row>
        <row r="95">
          <cell r="DD95">
            <v>77</v>
          </cell>
        </row>
        <row r="96">
          <cell r="DD96">
            <v>78</v>
          </cell>
        </row>
        <row r="97">
          <cell r="DD97">
            <v>79</v>
          </cell>
        </row>
        <row r="98">
          <cell r="DD98">
            <v>80</v>
          </cell>
        </row>
        <row r="99">
          <cell r="DD99">
            <v>81</v>
          </cell>
        </row>
        <row r="100">
          <cell r="DD100">
            <v>82</v>
          </cell>
        </row>
        <row r="101">
          <cell r="DD101">
            <v>83</v>
          </cell>
        </row>
        <row r="102">
          <cell r="DD102">
            <v>84</v>
          </cell>
        </row>
        <row r="103">
          <cell r="DD103">
            <v>85</v>
          </cell>
        </row>
        <row r="104">
          <cell r="DD104">
            <v>86</v>
          </cell>
        </row>
        <row r="105">
          <cell r="DD105">
            <v>87</v>
          </cell>
        </row>
        <row r="106">
          <cell r="DD106">
            <v>88</v>
          </cell>
        </row>
        <row r="107">
          <cell r="DD107">
            <v>91</v>
          </cell>
        </row>
        <row r="108">
          <cell r="DD108">
            <v>93</v>
          </cell>
        </row>
        <row r="109">
          <cell r="DD109">
            <v>94</v>
          </cell>
        </row>
        <row r="110">
          <cell r="DD110">
            <v>95</v>
          </cell>
        </row>
        <row r="111">
          <cell r="DD111">
            <v>96</v>
          </cell>
        </row>
        <row r="112">
          <cell r="DD112">
            <v>97</v>
          </cell>
        </row>
        <row r="113">
          <cell r="DD113">
            <v>98</v>
          </cell>
        </row>
        <row r="114">
          <cell r="DD114">
            <v>99</v>
          </cell>
        </row>
        <row r="115">
          <cell r="DD115">
            <v>100</v>
          </cell>
        </row>
        <row r="116">
          <cell r="DD116">
            <v>102</v>
          </cell>
        </row>
        <row r="117">
          <cell r="DD117">
            <v>103</v>
          </cell>
        </row>
        <row r="118">
          <cell r="DD118">
            <v>104</v>
          </cell>
        </row>
        <row r="119">
          <cell r="DD119">
            <v>105</v>
          </cell>
        </row>
        <row r="120">
          <cell r="DD120">
            <v>106</v>
          </cell>
        </row>
        <row r="121">
          <cell r="DD121">
            <v>107</v>
          </cell>
        </row>
        <row r="122">
          <cell r="DD122">
            <v>109</v>
          </cell>
        </row>
        <row r="123">
          <cell r="DD123">
            <v>110</v>
          </cell>
        </row>
        <row r="124">
          <cell r="DD124">
            <v>111</v>
          </cell>
        </row>
        <row r="125">
          <cell r="DD125">
            <v>112</v>
          </cell>
        </row>
        <row r="126">
          <cell r="DD126">
            <v>113</v>
          </cell>
        </row>
        <row r="127">
          <cell r="DD127">
            <v>114</v>
          </cell>
        </row>
        <row r="128">
          <cell r="DD128">
            <v>115</v>
          </cell>
        </row>
        <row r="129">
          <cell r="DD129">
            <v>116</v>
          </cell>
        </row>
        <row r="130">
          <cell r="DD130">
            <v>117</v>
          </cell>
        </row>
        <row r="131">
          <cell r="DD131">
            <v>119</v>
          </cell>
        </row>
        <row r="132">
          <cell r="DD132">
            <v>121</v>
          </cell>
        </row>
        <row r="133">
          <cell r="DD133">
            <v>123</v>
          </cell>
        </row>
        <row r="134">
          <cell r="DD134">
            <v>124</v>
          </cell>
        </row>
        <row r="135">
          <cell r="DD135">
            <v>125</v>
          </cell>
        </row>
        <row r="136">
          <cell r="DD136">
            <v>127</v>
          </cell>
        </row>
        <row r="137">
          <cell r="DD137">
            <v>128</v>
          </cell>
        </row>
        <row r="138">
          <cell r="DD138">
            <v>129</v>
          </cell>
        </row>
        <row r="139">
          <cell r="DD139">
            <v>130</v>
          </cell>
        </row>
        <row r="140">
          <cell r="DD140">
            <v>131</v>
          </cell>
        </row>
        <row r="141">
          <cell r="DD141">
            <v>132</v>
          </cell>
        </row>
        <row r="142">
          <cell r="DD142">
            <v>133</v>
          </cell>
        </row>
        <row r="143">
          <cell r="DD143">
            <v>134</v>
          </cell>
        </row>
        <row r="144">
          <cell r="DD144">
            <v>135</v>
          </cell>
        </row>
        <row r="145">
          <cell r="DD145">
            <v>136</v>
          </cell>
        </row>
        <row r="146">
          <cell r="DD146">
            <v>137</v>
          </cell>
        </row>
        <row r="147">
          <cell r="DD147">
            <v>138</v>
          </cell>
        </row>
        <row r="148">
          <cell r="DD148">
            <v>140</v>
          </cell>
        </row>
        <row r="149">
          <cell r="DD149">
            <v>142</v>
          </cell>
        </row>
        <row r="150">
          <cell r="DD150">
            <v>143</v>
          </cell>
        </row>
        <row r="151">
          <cell r="DD151">
            <v>145</v>
          </cell>
        </row>
        <row r="152">
          <cell r="DD152">
            <v>146</v>
          </cell>
        </row>
        <row r="153">
          <cell r="DD153">
            <v>147</v>
          </cell>
        </row>
        <row r="154">
          <cell r="DD154">
            <v>148</v>
          </cell>
        </row>
        <row r="155">
          <cell r="DD155">
            <v>151</v>
          </cell>
        </row>
        <row r="156">
          <cell r="DD156">
            <v>152</v>
          </cell>
        </row>
        <row r="157">
          <cell r="DD157">
            <v>156</v>
          </cell>
        </row>
        <row r="158">
          <cell r="DD158">
            <v>162</v>
          </cell>
        </row>
        <row r="159">
          <cell r="DD159">
            <v>163</v>
          </cell>
        </row>
        <row r="160">
          <cell r="DD160">
            <v>164</v>
          </cell>
        </row>
        <row r="161">
          <cell r="DD161">
            <v>165</v>
          </cell>
        </row>
        <row r="162">
          <cell r="DD162">
            <v>166</v>
          </cell>
        </row>
        <row r="163">
          <cell r="DD163">
            <v>167</v>
          </cell>
        </row>
        <row r="164">
          <cell r="DD164">
            <v>168</v>
          </cell>
        </row>
        <row r="165">
          <cell r="DD165">
            <v>169</v>
          </cell>
        </row>
        <row r="166">
          <cell r="DD166">
            <v>170</v>
          </cell>
        </row>
        <row r="167">
          <cell r="DD167">
            <v>171</v>
          </cell>
        </row>
        <row r="168">
          <cell r="DD168">
            <v>172</v>
          </cell>
        </row>
        <row r="169">
          <cell r="DD169">
            <v>173</v>
          </cell>
        </row>
        <row r="170">
          <cell r="DD170">
            <v>174</v>
          </cell>
        </row>
        <row r="171">
          <cell r="DD171">
            <v>176</v>
          </cell>
        </row>
        <row r="172">
          <cell r="DD172">
            <v>177</v>
          </cell>
        </row>
        <row r="173">
          <cell r="DD173">
            <v>178</v>
          </cell>
        </row>
        <row r="174">
          <cell r="DD174">
            <v>179</v>
          </cell>
        </row>
        <row r="175">
          <cell r="DD175">
            <v>180</v>
          </cell>
        </row>
        <row r="176">
          <cell r="DD176">
            <v>181</v>
          </cell>
        </row>
        <row r="177">
          <cell r="DD177">
            <v>182</v>
          </cell>
        </row>
        <row r="178">
          <cell r="DD178">
            <v>183</v>
          </cell>
        </row>
        <row r="179">
          <cell r="DD179">
            <v>186</v>
          </cell>
        </row>
        <row r="180">
          <cell r="DD180">
            <v>187</v>
          </cell>
        </row>
        <row r="181">
          <cell r="DD181">
            <v>188</v>
          </cell>
        </row>
        <row r="182">
          <cell r="DD182">
            <v>190</v>
          </cell>
        </row>
        <row r="183">
          <cell r="DD183">
            <v>191</v>
          </cell>
        </row>
        <row r="184">
          <cell r="DD184">
            <v>192</v>
          </cell>
        </row>
        <row r="185">
          <cell r="DD185">
            <v>193</v>
          </cell>
        </row>
        <row r="186">
          <cell r="DD186">
            <v>195</v>
          </cell>
        </row>
        <row r="187">
          <cell r="DD187">
            <v>196</v>
          </cell>
        </row>
        <row r="188">
          <cell r="DD188">
            <v>198</v>
          </cell>
        </row>
        <row r="189">
          <cell r="DD189">
            <v>199</v>
          </cell>
        </row>
        <row r="190">
          <cell r="DD190">
            <v>200</v>
          </cell>
        </row>
        <row r="191">
          <cell r="DD191">
            <v>201</v>
          </cell>
        </row>
        <row r="192">
          <cell r="DD192">
            <v>202</v>
          </cell>
        </row>
        <row r="193">
          <cell r="DD193">
            <v>203</v>
          </cell>
        </row>
        <row r="194">
          <cell r="DD194">
            <v>204</v>
          </cell>
        </row>
        <row r="195">
          <cell r="DD195">
            <v>205</v>
          </cell>
        </row>
        <row r="196">
          <cell r="DD196">
            <v>206</v>
          </cell>
        </row>
        <row r="197">
          <cell r="DD197">
            <v>207</v>
          </cell>
        </row>
        <row r="198">
          <cell r="DD198">
            <v>208</v>
          </cell>
        </row>
        <row r="199">
          <cell r="DD199">
            <v>1221</v>
          </cell>
        </row>
        <row r="200">
          <cell r="DD200">
            <v>1222</v>
          </cell>
        </row>
        <row r="201">
          <cell r="DD201">
            <v>1236</v>
          </cell>
        </row>
        <row r="202">
          <cell r="DD202">
            <v>1237</v>
          </cell>
        </row>
        <row r="203">
          <cell r="DD203">
            <v>1238</v>
          </cell>
        </row>
        <row r="204">
          <cell r="DD204">
            <v>1239</v>
          </cell>
        </row>
        <row r="205">
          <cell r="DD205">
            <v>1240</v>
          </cell>
        </row>
        <row r="206">
          <cell r="DD206">
            <v>1241</v>
          </cell>
        </row>
        <row r="207">
          <cell r="DD207">
            <v>1302</v>
          </cell>
        </row>
        <row r="208">
          <cell r="DD208">
            <v>1353</v>
          </cell>
        </row>
        <row r="209">
          <cell r="DD209">
            <v>1473</v>
          </cell>
        </row>
        <row r="210">
          <cell r="DD210">
            <v>1707</v>
          </cell>
        </row>
        <row r="211">
          <cell r="DD211">
            <v>1737</v>
          </cell>
        </row>
        <row r="212">
          <cell r="DD212">
            <v>1740</v>
          </cell>
        </row>
        <row r="213">
          <cell r="DD213">
            <v>1783</v>
          </cell>
        </row>
        <row r="214">
          <cell r="DD214">
            <v>2299</v>
          </cell>
        </row>
        <row r="215">
          <cell r="DD215">
            <v>2389</v>
          </cell>
        </row>
        <row r="216">
          <cell r="DD216">
            <v>2691</v>
          </cell>
        </row>
        <row r="217">
          <cell r="DD217">
            <v>2859</v>
          </cell>
        </row>
        <row r="218">
          <cell r="DD218">
            <v>3194</v>
          </cell>
        </row>
        <row r="219">
          <cell r="DD219">
            <v>3271</v>
          </cell>
        </row>
        <row r="220">
          <cell r="DD220">
            <v>3534</v>
          </cell>
        </row>
        <row r="221">
          <cell r="DD221">
            <v>3628</v>
          </cell>
        </row>
        <row r="222">
          <cell r="DD222">
            <v>3722</v>
          </cell>
        </row>
        <row r="223">
          <cell r="DD223">
            <v>3778</v>
          </cell>
        </row>
        <row r="224">
          <cell r="DD224">
            <v>3849</v>
          </cell>
        </row>
        <row r="225">
          <cell r="DD225">
            <v>4064</v>
          </cell>
        </row>
        <row r="226">
          <cell r="DD226">
            <v>4090</v>
          </cell>
        </row>
        <row r="227">
          <cell r="DD227">
            <v>4110</v>
          </cell>
        </row>
        <row r="228">
          <cell r="DD228">
            <v>4120</v>
          </cell>
        </row>
        <row r="229">
          <cell r="DD229">
            <v>4136</v>
          </cell>
        </row>
        <row r="230">
          <cell r="DD230">
            <v>4228</v>
          </cell>
        </row>
        <row r="231">
          <cell r="DD231">
            <v>4369</v>
          </cell>
        </row>
        <row r="232">
          <cell r="DD232">
            <v>4564</v>
          </cell>
        </row>
        <row r="233">
          <cell r="DD233">
            <v>4648</v>
          </cell>
        </row>
        <row r="234">
          <cell r="DD234">
            <v>4679</v>
          </cell>
        </row>
        <row r="235">
          <cell r="DD235">
            <v>4773</v>
          </cell>
        </row>
        <row r="236">
          <cell r="DD236">
            <v>4889</v>
          </cell>
        </row>
        <row r="237">
          <cell r="DD237">
            <v>5210</v>
          </cell>
        </row>
        <row r="238">
          <cell r="DD238">
            <v>5819</v>
          </cell>
        </row>
        <row r="239">
          <cell r="DD239">
            <v>6097</v>
          </cell>
        </row>
        <row r="240">
          <cell r="DD240">
            <v>6334</v>
          </cell>
        </row>
        <row r="241">
          <cell r="DD241">
            <v>6522</v>
          </cell>
        </row>
        <row r="242">
          <cell r="DD242">
            <v>6618</v>
          </cell>
        </row>
        <row r="243">
          <cell r="DD243">
            <v>6620</v>
          </cell>
        </row>
        <row r="244">
          <cell r="DD244">
            <v>6654</v>
          </cell>
        </row>
        <row r="245">
          <cell r="DD245">
            <v>7482</v>
          </cell>
        </row>
        <row r="246">
          <cell r="DD246">
            <v>7572</v>
          </cell>
        </row>
        <row r="247">
          <cell r="DD247">
            <v>7753</v>
          </cell>
        </row>
        <row r="248">
          <cell r="DD248">
            <v>7800</v>
          </cell>
        </row>
        <row r="249">
          <cell r="DD249">
            <v>8166</v>
          </cell>
        </row>
        <row r="250">
          <cell r="DD250">
            <v>8386</v>
          </cell>
        </row>
        <row r="251">
          <cell r="DD251">
            <v>8395</v>
          </cell>
        </row>
        <row r="252">
          <cell r="DD252">
            <v>8621</v>
          </cell>
        </row>
        <row r="253">
          <cell r="DD253">
            <v>8683</v>
          </cell>
        </row>
        <row r="254">
          <cell r="DD254">
            <v>8684</v>
          </cell>
        </row>
        <row r="255">
          <cell r="DD255">
            <v>8685</v>
          </cell>
        </row>
        <row r="256">
          <cell r="DD256">
            <v>8741</v>
          </cell>
        </row>
        <row r="257">
          <cell r="DD257">
            <v>8962</v>
          </cell>
        </row>
        <row r="258">
          <cell r="DD258">
            <v>9337</v>
          </cell>
        </row>
        <row r="259">
          <cell r="DD259">
            <v>9378</v>
          </cell>
        </row>
        <row r="260">
          <cell r="DD260">
            <v>9694</v>
          </cell>
        </row>
        <row r="261">
          <cell r="DD261">
            <v>9725</v>
          </cell>
        </row>
        <row r="262">
          <cell r="DD262">
            <v>9943</v>
          </cell>
        </row>
        <row r="263">
          <cell r="DD263">
            <v>9966</v>
          </cell>
        </row>
        <row r="264">
          <cell r="DD264">
            <v>10010</v>
          </cell>
        </row>
        <row r="265">
          <cell r="DD265">
            <v>10021</v>
          </cell>
        </row>
        <row r="266">
          <cell r="DD266">
            <v>10043</v>
          </cell>
        </row>
        <row r="267">
          <cell r="DD267">
            <v>10124</v>
          </cell>
        </row>
        <row r="268">
          <cell r="DD268">
            <v>10141</v>
          </cell>
        </row>
        <row r="269">
          <cell r="DD269">
            <v>10178</v>
          </cell>
        </row>
        <row r="270">
          <cell r="DD270">
            <v>10291</v>
          </cell>
        </row>
        <row r="271">
          <cell r="DD271">
            <v>10484</v>
          </cell>
        </row>
        <row r="272">
          <cell r="DD272">
            <v>10517</v>
          </cell>
        </row>
        <row r="273">
          <cell r="DD273">
            <v>0</v>
          </cell>
        </row>
        <row r="274">
          <cell r="DD274">
            <v>0</v>
          </cell>
        </row>
        <row r="275">
          <cell r="DD275">
            <v>0</v>
          </cell>
        </row>
        <row r="276">
          <cell r="DD276">
            <v>0</v>
          </cell>
        </row>
        <row r="277">
          <cell r="DD277">
            <v>0</v>
          </cell>
        </row>
        <row r="278">
          <cell r="DD278">
            <v>0</v>
          </cell>
        </row>
        <row r="279">
          <cell r="DD279">
            <v>0</v>
          </cell>
        </row>
        <row r="280">
          <cell r="DD280">
            <v>0</v>
          </cell>
        </row>
        <row r="281">
          <cell r="DD281">
            <v>0</v>
          </cell>
        </row>
        <row r="282">
          <cell r="DD282">
            <v>0</v>
          </cell>
        </row>
        <row r="283">
          <cell r="DD283">
            <v>0</v>
          </cell>
        </row>
        <row r="284">
          <cell r="DD284">
            <v>0</v>
          </cell>
        </row>
        <row r="285">
          <cell r="DD285">
            <v>0</v>
          </cell>
        </row>
        <row r="286">
          <cell r="DD286">
            <v>0</v>
          </cell>
        </row>
        <row r="287">
          <cell r="DD287">
            <v>0</v>
          </cell>
        </row>
        <row r="288">
          <cell r="DD288">
            <v>0</v>
          </cell>
        </row>
        <row r="289">
          <cell r="DD289">
            <v>0</v>
          </cell>
        </row>
        <row r="290">
          <cell r="DD290">
            <v>0</v>
          </cell>
        </row>
        <row r="291">
          <cell r="DD291">
            <v>0</v>
          </cell>
        </row>
        <row r="292">
          <cell r="DD292">
            <v>0</v>
          </cell>
        </row>
        <row r="293">
          <cell r="DD293">
            <v>0</v>
          </cell>
        </row>
        <row r="294">
          <cell r="DD294">
            <v>0</v>
          </cell>
        </row>
        <row r="295">
          <cell r="DD295">
            <v>0</v>
          </cell>
        </row>
        <row r="296">
          <cell r="DD296">
            <v>0</v>
          </cell>
        </row>
        <row r="297">
          <cell r="DD297">
            <v>0</v>
          </cell>
        </row>
        <row r="298">
          <cell r="DD298">
            <v>0</v>
          </cell>
        </row>
        <row r="299">
          <cell r="DD299">
            <v>0</v>
          </cell>
        </row>
        <row r="300">
          <cell r="DD300">
            <v>0</v>
          </cell>
        </row>
        <row r="301">
          <cell r="DD301">
            <v>0</v>
          </cell>
        </row>
        <row r="302">
          <cell r="DD302">
            <v>0</v>
          </cell>
        </row>
        <row r="303">
          <cell r="DD303">
            <v>0</v>
          </cell>
        </row>
        <row r="304">
          <cell r="DD304">
            <v>0</v>
          </cell>
        </row>
        <row r="305">
          <cell r="DD305">
            <v>0</v>
          </cell>
        </row>
        <row r="306">
          <cell r="DD306">
            <v>0</v>
          </cell>
        </row>
        <row r="307">
          <cell r="DD307">
            <v>0</v>
          </cell>
        </row>
        <row r="308">
          <cell r="DD308">
            <v>0</v>
          </cell>
        </row>
        <row r="309">
          <cell r="DD309">
            <v>0</v>
          </cell>
        </row>
        <row r="310">
          <cell r="DD310">
            <v>0</v>
          </cell>
        </row>
        <row r="311">
          <cell r="DD311">
            <v>0</v>
          </cell>
        </row>
        <row r="312">
          <cell r="DD312">
            <v>0</v>
          </cell>
        </row>
        <row r="313">
          <cell r="DD313">
            <v>0</v>
          </cell>
        </row>
        <row r="314">
          <cell r="DD314">
            <v>0</v>
          </cell>
        </row>
        <row r="315">
          <cell r="DD315">
            <v>0</v>
          </cell>
        </row>
        <row r="316">
          <cell r="DD316">
            <v>0</v>
          </cell>
        </row>
        <row r="317">
          <cell r="DD317">
            <v>0</v>
          </cell>
        </row>
        <row r="318">
          <cell r="DD318">
            <v>0</v>
          </cell>
        </row>
        <row r="319">
          <cell r="DD319">
            <v>0</v>
          </cell>
        </row>
        <row r="320">
          <cell r="DD320">
            <v>0</v>
          </cell>
        </row>
        <row r="321">
          <cell r="DD321">
            <v>0</v>
          </cell>
        </row>
        <row r="322">
          <cell r="DD322">
            <v>0</v>
          </cell>
        </row>
        <row r="323">
          <cell r="DD323">
            <v>0</v>
          </cell>
        </row>
        <row r="324">
          <cell r="DD324">
            <v>0</v>
          </cell>
        </row>
        <row r="325">
          <cell r="DD325">
            <v>0</v>
          </cell>
        </row>
        <row r="326">
          <cell r="DD326">
            <v>0</v>
          </cell>
        </row>
        <row r="327">
          <cell r="DD327">
            <v>0</v>
          </cell>
        </row>
        <row r="328">
          <cell r="DD328">
            <v>0</v>
          </cell>
        </row>
        <row r="329">
          <cell r="DD329">
            <v>0</v>
          </cell>
        </row>
        <row r="330">
          <cell r="DD330">
            <v>0</v>
          </cell>
        </row>
        <row r="331">
          <cell r="DD331">
            <v>0</v>
          </cell>
        </row>
        <row r="332">
          <cell r="DD332">
            <v>0</v>
          </cell>
        </row>
        <row r="333">
          <cell r="DD333">
            <v>0</v>
          </cell>
        </row>
        <row r="334">
          <cell r="DD334">
            <v>0</v>
          </cell>
        </row>
        <row r="335">
          <cell r="DD335">
            <v>0</v>
          </cell>
        </row>
        <row r="336">
          <cell r="DD336">
            <v>0</v>
          </cell>
        </row>
        <row r="337">
          <cell r="DD337">
            <v>0</v>
          </cell>
        </row>
        <row r="338">
          <cell r="DD338">
            <v>0</v>
          </cell>
        </row>
        <row r="339">
          <cell r="DD339">
            <v>0</v>
          </cell>
        </row>
        <row r="340">
          <cell r="DD340">
            <v>0</v>
          </cell>
        </row>
        <row r="341">
          <cell r="DD341">
            <v>0</v>
          </cell>
        </row>
        <row r="342">
          <cell r="DD342">
            <v>0</v>
          </cell>
        </row>
        <row r="343">
          <cell r="DD343">
            <v>0</v>
          </cell>
        </row>
        <row r="344">
          <cell r="DD344">
            <v>0</v>
          </cell>
        </row>
        <row r="345">
          <cell r="DD345">
            <v>0</v>
          </cell>
        </row>
        <row r="346">
          <cell r="DD346">
            <v>0</v>
          </cell>
        </row>
        <row r="347">
          <cell r="DD347">
            <v>0</v>
          </cell>
        </row>
        <row r="348">
          <cell r="DD348">
            <v>0</v>
          </cell>
        </row>
        <row r="349">
          <cell r="DD349">
            <v>0</v>
          </cell>
        </row>
        <row r="350">
          <cell r="DD350">
            <v>0</v>
          </cell>
        </row>
        <row r="351">
          <cell r="DD351">
            <v>0</v>
          </cell>
        </row>
        <row r="352">
          <cell r="DD352">
            <v>0</v>
          </cell>
        </row>
        <row r="353">
          <cell r="DD353">
            <v>0</v>
          </cell>
        </row>
        <row r="354">
          <cell r="DD354">
            <v>0</v>
          </cell>
        </row>
        <row r="355">
          <cell r="DD355">
            <v>0</v>
          </cell>
        </row>
        <row r="356">
          <cell r="DD356">
            <v>0</v>
          </cell>
        </row>
        <row r="357">
          <cell r="DD357">
            <v>0</v>
          </cell>
        </row>
        <row r="358">
          <cell r="DD358">
            <v>0</v>
          </cell>
        </row>
        <row r="359">
          <cell r="DD359">
            <v>0</v>
          </cell>
        </row>
        <row r="360">
          <cell r="DD360">
            <v>0</v>
          </cell>
        </row>
        <row r="361">
          <cell r="DD361">
            <v>0</v>
          </cell>
        </row>
        <row r="362">
          <cell r="DD362">
            <v>0</v>
          </cell>
        </row>
        <row r="363">
          <cell r="DD363">
            <v>0</v>
          </cell>
        </row>
        <row r="364">
          <cell r="DD364">
            <v>0</v>
          </cell>
        </row>
        <row r="365">
          <cell r="DD365">
            <v>0</v>
          </cell>
        </row>
        <row r="366">
          <cell r="DD366">
            <v>0</v>
          </cell>
        </row>
        <row r="367">
          <cell r="DD367">
            <v>0</v>
          </cell>
        </row>
        <row r="368">
          <cell r="DD368">
            <v>0</v>
          </cell>
        </row>
        <row r="369">
          <cell r="DD369">
            <v>0</v>
          </cell>
        </row>
        <row r="370">
          <cell r="DD370">
            <v>0</v>
          </cell>
        </row>
        <row r="371">
          <cell r="DD371">
            <v>0</v>
          </cell>
        </row>
        <row r="372">
          <cell r="DD372">
            <v>0</v>
          </cell>
        </row>
        <row r="373">
          <cell r="DD373">
            <v>0</v>
          </cell>
        </row>
        <row r="374">
          <cell r="DD374">
            <v>0</v>
          </cell>
        </row>
        <row r="375">
          <cell r="DD375">
            <v>0</v>
          </cell>
        </row>
        <row r="376">
          <cell r="DD376">
            <v>0</v>
          </cell>
        </row>
        <row r="377">
          <cell r="DD377">
            <v>0</v>
          </cell>
        </row>
        <row r="378">
          <cell r="DD378">
            <v>0</v>
          </cell>
        </row>
        <row r="379">
          <cell r="DD379">
            <v>0</v>
          </cell>
        </row>
        <row r="380">
          <cell r="DD380">
            <v>0</v>
          </cell>
        </row>
        <row r="381">
          <cell r="DD381">
            <v>0</v>
          </cell>
        </row>
        <row r="382">
          <cell r="DD382">
            <v>0</v>
          </cell>
        </row>
        <row r="383">
          <cell r="DD383">
            <v>0</v>
          </cell>
        </row>
        <row r="384">
          <cell r="DD384">
            <v>0</v>
          </cell>
        </row>
        <row r="385">
          <cell r="DD385">
            <v>0</v>
          </cell>
        </row>
        <row r="386">
          <cell r="DD386">
            <v>0</v>
          </cell>
        </row>
        <row r="387">
          <cell r="DD387">
            <v>0</v>
          </cell>
        </row>
        <row r="388">
          <cell r="DD388">
            <v>0</v>
          </cell>
        </row>
        <row r="389">
          <cell r="DD389">
            <v>0</v>
          </cell>
        </row>
        <row r="390">
          <cell r="DD390">
            <v>0</v>
          </cell>
        </row>
        <row r="391">
          <cell r="DD391">
            <v>0</v>
          </cell>
        </row>
        <row r="392">
          <cell r="DD392">
            <v>0</v>
          </cell>
        </row>
        <row r="393">
          <cell r="DD393">
            <v>0</v>
          </cell>
        </row>
        <row r="394">
          <cell r="DD394">
            <v>0</v>
          </cell>
        </row>
        <row r="395">
          <cell r="DD395">
            <v>0</v>
          </cell>
        </row>
        <row r="396">
          <cell r="DD396">
            <v>0</v>
          </cell>
        </row>
        <row r="397">
          <cell r="DD397">
            <v>0</v>
          </cell>
        </row>
        <row r="398">
          <cell r="DD398">
            <v>0</v>
          </cell>
        </row>
        <row r="399">
          <cell r="DD399">
            <v>0</v>
          </cell>
        </row>
        <row r="400">
          <cell r="DD400">
            <v>0</v>
          </cell>
        </row>
        <row r="401">
          <cell r="DD401">
            <v>0</v>
          </cell>
        </row>
        <row r="402">
          <cell r="DD402">
            <v>0</v>
          </cell>
        </row>
        <row r="403">
          <cell r="DD403">
            <v>0</v>
          </cell>
        </row>
        <row r="404">
          <cell r="DD404">
            <v>0</v>
          </cell>
        </row>
        <row r="405">
          <cell r="DD405">
            <v>0</v>
          </cell>
        </row>
        <row r="406">
          <cell r="DD406">
            <v>0</v>
          </cell>
        </row>
        <row r="407">
          <cell r="DD407">
            <v>0</v>
          </cell>
        </row>
        <row r="408">
          <cell r="DD408">
            <v>0</v>
          </cell>
        </row>
        <row r="409">
          <cell r="DD409">
            <v>0</v>
          </cell>
        </row>
        <row r="410">
          <cell r="DD410">
            <v>0</v>
          </cell>
        </row>
        <row r="411">
          <cell r="DD411">
            <v>0</v>
          </cell>
        </row>
        <row r="412">
          <cell r="DD412">
            <v>0</v>
          </cell>
        </row>
        <row r="413">
          <cell r="DD413">
            <v>0</v>
          </cell>
        </row>
        <row r="414">
          <cell r="DD414">
            <v>0</v>
          </cell>
        </row>
        <row r="415">
          <cell r="DD415">
            <v>0</v>
          </cell>
        </row>
        <row r="416">
          <cell r="DD416">
            <v>0</v>
          </cell>
        </row>
        <row r="417">
          <cell r="DD417">
            <v>0</v>
          </cell>
        </row>
        <row r="418">
          <cell r="DD418">
            <v>0</v>
          </cell>
        </row>
        <row r="419">
          <cell r="DD419">
            <v>0</v>
          </cell>
        </row>
        <row r="420">
          <cell r="DD420">
            <v>0</v>
          </cell>
        </row>
        <row r="421">
          <cell r="DD421">
            <v>0</v>
          </cell>
        </row>
        <row r="422">
          <cell r="DD422">
            <v>0</v>
          </cell>
        </row>
        <row r="423">
          <cell r="DD423">
            <v>0</v>
          </cell>
        </row>
        <row r="424">
          <cell r="DD424">
            <v>0</v>
          </cell>
        </row>
        <row r="425">
          <cell r="DD425">
            <v>0</v>
          </cell>
        </row>
        <row r="426">
          <cell r="DD426">
            <v>0</v>
          </cell>
        </row>
        <row r="427">
          <cell r="DD427">
            <v>0</v>
          </cell>
        </row>
        <row r="428">
          <cell r="DD428">
            <v>0</v>
          </cell>
        </row>
        <row r="429">
          <cell r="DD429">
            <v>0</v>
          </cell>
        </row>
        <row r="430">
          <cell r="DD430">
            <v>0</v>
          </cell>
        </row>
        <row r="431">
          <cell r="DD431">
            <v>0</v>
          </cell>
        </row>
        <row r="432">
          <cell r="DD432">
            <v>0</v>
          </cell>
        </row>
        <row r="433">
          <cell r="DD433">
            <v>0</v>
          </cell>
        </row>
        <row r="434">
          <cell r="DD434">
            <v>0</v>
          </cell>
        </row>
        <row r="435">
          <cell r="DD435">
            <v>0</v>
          </cell>
        </row>
        <row r="436">
          <cell r="DD436">
            <v>0</v>
          </cell>
        </row>
        <row r="437">
          <cell r="DD437">
            <v>0</v>
          </cell>
        </row>
        <row r="438">
          <cell r="DD438">
            <v>0</v>
          </cell>
        </row>
        <row r="439">
          <cell r="DD439">
            <v>0</v>
          </cell>
        </row>
        <row r="440">
          <cell r="DD440">
            <v>0</v>
          </cell>
        </row>
        <row r="441">
          <cell r="DD441">
            <v>0</v>
          </cell>
        </row>
        <row r="442">
          <cell r="DD442">
            <v>0</v>
          </cell>
        </row>
        <row r="443">
          <cell r="DD443">
            <v>0</v>
          </cell>
        </row>
        <row r="444">
          <cell r="DD444">
            <v>0</v>
          </cell>
        </row>
        <row r="445">
          <cell r="DD445">
            <v>0</v>
          </cell>
        </row>
        <row r="446">
          <cell r="DD446">
            <v>0</v>
          </cell>
        </row>
        <row r="447">
          <cell r="DD447">
            <v>0</v>
          </cell>
        </row>
        <row r="448">
          <cell r="DD448">
            <v>0</v>
          </cell>
        </row>
        <row r="449">
          <cell r="DD449">
            <v>0</v>
          </cell>
        </row>
        <row r="450">
          <cell r="DD450">
            <v>0</v>
          </cell>
        </row>
        <row r="451">
          <cell r="DD451">
            <v>0</v>
          </cell>
        </row>
        <row r="452">
          <cell r="DD452">
            <v>0</v>
          </cell>
        </row>
        <row r="453">
          <cell r="DD453">
            <v>0</v>
          </cell>
        </row>
        <row r="454">
          <cell r="DD454">
            <v>0</v>
          </cell>
        </row>
        <row r="455">
          <cell r="DD455">
            <v>0</v>
          </cell>
        </row>
        <row r="456">
          <cell r="DD456">
            <v>0</v>
          </cell>
        </row>
        <row r="457">
          <cell r="DD457">
            <v>0</v>
          </cell>
        </row>
        <row r="458">
          <cell r="DD458">
            <v>0</v>
          </cell>
        </row>
        <row r="459">
          <cell r="DD459">
            <v>0</v>
          </cell>
        </row>
        <row r="460">
          <cell r="DD460">
            <v>0</v>
          </cell>
        </row>
        <row r="461">
          <cell r="DD461">
            <v>0</v>
          </cell>
        </row>
        <row r="462">
          <cell r="DD462">
            <v>0</v>
          </cell>
        </row>
        <row r="463">
          <cell r="DD463">
            <v>0</v>
          </cell>
        </row>
        <row r="464">
          <cell r="DD464">
            <v>0</v>
          </cell>
        </row>
        <row r="465">
          <cell r="DD465">
            <v>0</v>
          </cell>
        </row>
        <row r="466">
          <cell r="DD466">
            <v>0</v>
          </cell>
        </row>
        <row r="467">
          <cell r="DD467">
            <v>0</v>
          </cell>
        </row>
        <row r="468">
          <cell r="DD468">
            <v>0</v>
          </cell>
        </row>
        <row r="469">
          <cell r="DD469">
            <v>0</v>
          </cell>
        </row>
        <row r="470">
          <cell r="DD470">
            <v>0</v>
          </cell>
        </row>
        <row r="471">
          <cell r="DD471">
            <v>0</v>
          </cell>
        </row>
        <row r="472">
          <cell r="DD472">
            <v>0</v>
          </cell>
        </row>
        <row r="473">
          <cell r="DD473">
            <v>0</v>
          </cell>
        </row>
        <row r="474">
          <cell r="DD474">
            <v>0</v>
          </cell>
        </row>
        <row r="475">
          <cell r="DD475">
            <v>0</v>
          </cell>
        </row>
        <row r="476">
          <cell r="DD476">
            <v>0</v>
          </cell>
        </row>
        <row r="477">
          <cell r="DD477">
            <v>0</v>
          </cell>
        </row>
        <row r="478">
          <cell r="DD478">
            <v>0</v>
          </cell>
        </row>
        <row r="479">
          <cell r="DD479">
            <v>0</v>
          </cell>
        </row>
        <row r="480">
          <cell r="DD480">
            <v>0</v>
          </cell>
        </row>
        <row r="481">
          <cell r="DD481">
            <v>0</v>
          </cell>
        </row>
        <row r="482">
          <cell r="DD482">
            <v>0</v>
          </cell>
        </row>
        <row r="483">
          <cell r="DD483">
            <v>0</v>
          </cell>
        </row>
        <row r="484">
          <cell r="DD484">
            <v>0</v>
          </cell>
        </row>
        <row r="485">
          <cell r="DD485">
            <v>0</v>
          </cell>
        </row>
        <row r="486">
          <cell r="DD486">
            <v>0</v>
          </cell>
        </row>
        <row r="487">
          <cell r="DD487">
            <v>0</v>
          </cell>
        </row>
        <row r="488">
          <cell r="DD488">
            <v>0</v>
          </cell>
        </row>
        <row r="489">
          <cell r="DD489">
            <v>0</v>
          </cell>
        </row>
        <row r="490">
          <cell r="DD490">
            <v>0</v>
          </cell>
        </row>
        <row r="491">
          <cell r="DD491">
            <v>0</v>
          </cell>
        </row>
        <row r="492">
          <cell r="DD492">
            <v>0</v>
          </cell>
        </row>
        <row r="493">
          <cell r="DD493">
            <v>0</v>
          </cell>
        </row>
        <row r="494">
          <cell r="DD494">
            <v>0</v>
          </cell>
        </row>
        <row r="495">
          <cell r="DD495">
            <v>0</v>
          </cell>
        </row>
        <row r="496">
          <cell r="DD496">
            <v>0</v>
          </cell>
        </row>
        <row r="497">
          <cell r="DD497">
            <v>0</v>
          </cell>
        </row>
        <row r="498">
          <cell r="DD498">
            <v>0</v>
          </cell>
        </row>
        <row r="499">
          <cell r="DD499">
            <v>0</v>
          </cell>
        </row>
        <row r="500">
          <cell r="DD500">
            <v>0</v>
          </cell>
        </row>
        <row r="501">
          <cell r="DD501">
            <v>0</v>
          </cell>
        </row>
        <row r="502">
          <cell r="DD502">
            <v>0</v>
          </cell>
        </row>
        <row r="503">
          <cell r="DD503">
            <v>0</v>
          </cell>
        </row>
        <row r="504">
          <cell r="DD504">
            <v>0</v>
          </cell>
        </row>
        <row r="505">
          <cell r="DD505">
            <v>0</v>
          </cell>
        </row>
        <row r="506">
          <cell r="DD506">
            <v>0</v>
          </cell>
        </row>
        <row r="507">
          <cell r="DD507">
            <v>0</v>
          </cell>
        </row>
        <row r="508">
          <cell r="DD508">
            <v>0</v>
          </cell>
        </row>
        <row r="509">
          <cell r="DD509">
            <v>0</v>
          </cell>
        </row>
        <row r="510">
          <cell r="DD510">
            <v>0</v>
          </cell>
        </row>
        <row r="511">
          <cell r="DD511">
            <v>0</v>
          </cell>
        </row>
        <row r="512">
          <cell r="DD512">
            <v>0</v>
          </cell>
        </row>
        <row r="513">
          <cell r="DD513">
            <v>0</v>
          </cell>
        </row>
        <row r="514">
          <cell r="DD514">
            <v>0</v>
          </cell>
        </row>
        <row r="515">
          <cell r="DD515">
            <v>0</v>
          </cell>
        </row>
        <row r="516">
          <cell r="DD516">
            <v>0</v>
          </cell>
        </row>
        <row r="517">
          <cell r="DD517">
            <v>0</v>
          </cell>
        </row>
        <row r="518">
          <cell r="DD518">
            <v>0</v>
          </cell>
        </row>
        <row r="519">
          <cell r="DD519">
            <v>0</v>
          </cell>
        </row>
        <row r="520">
          <cell r="DD520">
            <v>0</v>
          </cell>
        </row>
        <row r="521">
          <cell r="DD521">
            <v>0</v>
          </cell>
        </row>
        <row r="522">
          <cell r="DD522">
            <v>0</v>
          </cell>
        </row>
        <row r="523">
          <cell r="DD523">
            <v>0</v>
          </cell>
        </row>
        <row r="524">
          <cell r="DD524">
            <v>0</v>
          </cell>
        </row>
        <row r="525">
          <cell r="DD525">
            <v>0</v>
          </cell>
        </row>
        <row r="526">
          <cell r="DD526">
            <v>0</v>
          </cell>
        </row>
        <row r="527">
          <cell r="DD527">
            <v>0</v>
          </cell>
        </row>
        <row r="528">
          <cell r="DD528">
            <v>0</v>
          </cell>
        </row>
        <row r="529">
          <cell r="DD529">
            <v>0</v>
          </cell>
        </row>
        <row r="530">
          <cell r="DD530">
            <v>0</v>
          </cell>
        </row>
        <row r="531">
          <cell r="DD531">
            <v>0</v>
          </cell>
        </row>
        <row r="532">
          <cell r="DD532">
            <v>0</v>
          </cell>
        </row>
        <row r="533">
          <cell r="DD533">
            <v>0</v>
          </cell>
        </row>
        <row r="534">
          <cell r="DD534">
            <v>0</v>
          </cell>
        </row>
        <row r="535">
          <cell r="DD535">
            <v>0</v>
          </cell>
        </row>
        <row r="536">
          <cell r="DD536">
            <v>0</v>
          </cell>
        </row>
        <row r="537">
          <cell r="DD537">
            <v>0</v>
          </cell>
        </row>
        <row r="538">
          <cell r="DD538">
            <v>0</v>
          </cell>
        </row>
        <row r="539">
          <cell r="DD539">
            <v>0</v>
          </cell>
        </row>
        <row r="540">
          <cell r="DD540">
            <v>0</v>
          </cell>
        </row>
        <row r="541">
          <cell r="DD541">
            <v>0</v>
          </cell>
        </row>
        <row r="542">
          <cell r="DD542">
            <v>0</v>
          </cell>
        </row>
        <row r="543">
          <cell r="DD543">
            <v>0</v>
          </cell>
        </row>
        <row r="544">
          <cell r="DD544">
            <v>0</v>
          </cell>
        </row>
        <row r="545">
          <cell r="DD545">
            <v>0</v>
          </cell>
        </row>
        <row r="546">
          <cell r="DD546">
            <v>0</v>
          </cell>
        </row>
        <row r="547">
          <cell r="DD547">
            <v>0</v>
          </cell>
        </row>
        <row r="548">
          <cell r="DD548">
            <v>0</v>
          </cell>
        </row>
        <row r="549">
          <cell r="DD549">
            <v>0</v>
          </cell>
        </row>
        <row r="550">
          <cell r="DD550">
            <v>0</v>
          </cell>
        </row>
        <row r="551">
          <cell r="DD551">
            <v>0</v>
          </cell>
        </row>
        <row r="552">
          <cell r="DD552">
            <v>0</v>
          </cell>
        </row>
        <row r="553">
          <cell r="DD553">
            <v>0</v>
          </cell>
        </row>
        <row r="554">
          <cell r="DD554">
            <v>0</v>
          </cell>
        </row>
        <row r="555">
          <cell r="DD555">
            <v>0</v>
          </cell>
        </row>
        <row r="556">
          <cell r="DD556">
            <v>0</v>
          </cell>
        </row>
        <row r="557">
          <cell r="DD557">
            <v>0</v>
          </cell>
        </row>
        <row r="558">
          <cell r="DD558">
            <v>0</v>
          </cell>
        </row>
        <row r="559">
          <cell r="DD559">
            <v>0</v>
          </cell>
        </row>
        <row r="560">
          <cell r="DD560">
            <v>0</v>
          </cell>
        </row>
        <row r="561">
          <cell r="DD561">
            <v>0</v>
          </cell>
        </row>
        <row r="562">
          <cell r="DD562">
            <v>0</v>
          </cell>
        </row>
        <row r="563">
          <cell r="DD563">
            <v>0</v>
          </cell>
        </row>
        <row r="564">
          <cell r="DD564">
            <v>0</v>
          </cell>
        </row>
        <row r="565">
          <cell r="DD565">
            <v>0</v>
          </cell>
        </row>
        <row r="566">
          <cell r="DD566">
            <v>0</v>
          </cell>
        </row>
        <row r="567">
          <cell r="DD567">
            <v>0</v>
          </cell>
        </row>
        <row r="568">
          <cell r="DD568">
            <v>0</v>
          </cell>
        </row>
        <row r="569">
          <cell r="DD569">
            <v>0</v>
          </cell>
        </row>
        <row r="570">
          <cell r="DD570">
            <v>0</v>
          </cell>
        </row>
        <row r="571">
          <cell r="DD571">
            <v>0</v>
          </cell>
        </row>
        <row r="572">
          <cell r="DD572">
            <v>0</v>
          </cell>
        </row>
        <row r="573">
          <cell r="DD573">
            <v>0</v>
          </cell>
        </row>
        <row r="574">
          <cell r="DD574">
            <v>0</v>
          </cell>
        </row>
        <row r="575">
          <cell r="DD575">
            <v>0</v>
          </cell>
        </row>
        <row r="576">
          <cell r="DD576">
            <v>0</v>
          </cell>
        </row>
        <row r="577">
          <cell r="DD577">
            <v>0</v>
          </cell>
        </row>
        <row r="578">
          <cell r="DD578">
            <v>0</v>
          </cell>
        </row>
        <row r="579">
          <cell r="DD579">
            <v>0</v>
          </cell>
        </row>
        <row r="580">
          <cell r="DD580">
            <v>0</v>
          </cell>
        </row>
        <row r="581">
          <cell r="DD581">
            <v>0</v>
          </cell>
        </row>
        <row r="582">
          <cell r="DD582">
            <v>0</v>
          </cell>
        </row>
        <row r="583">
          <cell r="DD583">
            <v>0</v>
          </cell>
        </row>
        <row r="584">
          <cell r="DD584">
            <v>0</v>
          </cell>
        </row>
        <row r="585">
          <cell r="DD585">
            <v>0</v>
          </cell>
        </row>
        <row r="586">
          <cell r="DD586">
            <v>0</v>
          </cell>
        </row>
        <row r="587">
          <cell r="DD587">
            <v>0</v>
          </cell>
        </row>
        <row r="588">
          <cell r="DD588">
            <v>0</v>
          </cell>
        </row>
        <row r="589">
          <cell r="DD589">
            <v>0</v>
          </cell>
        </row>
        <row r="590">
          <cell r="DD590">
            <v>0</v>
          </cell>
        </row>
        <row r="591">
          <cell r="DD591">
            <v>0</v>
          </cell>
        </row>
        <row r="592">
          <cell r="DD592">
            <v>0</v>
          </cell>
        </row>
        <row r="593">
          <cell r="DD593">
            <v>0</v>
          </cell>
        </row>
        <row r="594">
          <cell r="DD594">
            <v>0</v>
          </cell>
        </row>
        <row r="595">
          <cell r="DD595">
            <v>0</v>
          </cell>
        </row>
        <row r="596">
          <cell r="DD596">
            <v>0</v>
          </cell>
        </row>
        <row r="597">
          <cell r="DD597">
            <v>0</v>
          </cell>
        </row>
        <row r="598">
          <cell r="DD598">
            <v>0</v>
          </cell>
        </row>
        <row r="599">
          <cell r="DD599">
            <v>0</v>
          </cell>
        </row>
        <row r="600">
          <cell r="DD600">
            <v>0</v>
          </cell>
        </row>
        <row r="601">
          <cell r="DD601">
            <v>0</v>
          </cell>
        </row>
        <row r="602">
          <cell r="DD602">
            <v>0</v>
          </cell>
        </row>
        <row r="603">
          <cell r="DD603">
            <v>0</v>
          </cell>
        </row>
        <row r="604">
          <cell r="DD604">
            <v>0</v>
          </cell>
        </row>
        <row r="605">
          <cell r="DD605">
            <v>0</v>
          </cell>
        </row>
        <row r="606">
          <cell r="DD606">
            <v>0</v>
          </cell>
        </row>
        <row r="607">
          <cell r="DD607">
            <v>0</v>
          </cell>
        </row>
        <row r="608">
          <cell r="DD608">
            <v>0</v>
          </cell>
        </row>
        <row r="609">
          <cell r="DD609">
            <v>0</v>
          </cell>
        </row>
        <row r="610">
          <cell r="DD610">
            <v>0</v>
          </cell>
        </row>
        <row r="611">
          <cell r="DD611">
            <v>0</v>
          </cell>
        </row>
        <row r="612">
          <cell r="DD612">
            <v>0</v>
          </cell>
        </row>
        <row r="613">
          <cell r="DD613">
            <v>0</v>
          </cell>
        </row>
        <row r="614">
          <cell r="DD614">
            <v>0</v>
          </cell>
        </row>
        <row r="615">
          <cell r="DD615">
            <v>0</v>
          </cell>
        </row>
        <row r="616">
          <cell r="DD616">
            <v>0</v>
          </cell>
        </row>
        <row r="617">
          <cell r="DD617">
            <v>0</v>
          </cell>
        </row>
        <row r="618">
          <cell r="DD618">
            <v>0</v>
          </cell>
        </row>
        <row r="619">
          <cell r="DD619">
            <v>0</v>
          </cell>
        </row>
        <row r="620">
          <cell r="DD620">
            <v>0</v>
          </cell>
        </row>
        <row r="621">
          <cell r="DD621">
            <v>0</v>
          </cell>
        </row>
        <row r="622">
          <cell r="DD622">
            <v>0</v>
          </cell>
        </row>
        <row r="623">
          <cell r="DD623">
            <v>0</v>
          </cell>
        </row>
        <row r="624">
          <cell r="DD624">
            <v>0</v>
          </cell>
        </row>
        <row r="625">
          <cell r="DD625">
            <v>0</v>
          </cell>
        </row>
        <row r="626">
          <cell r="DD626">
            <v>0</v>
          </cell>
        </row>
        <row r="627">
          <cell r="DD627">
            <v>0</v>
          </cell>
        </row>
        <row r="628">
          <cell r="DD628">
            <v>0</v>
          </cell>
        </row>
        <row r="629">
          <cell r="DD629">
            <v>0</v>
          </cell>
        </row>
        <row r="630">
          <cell r="DD630">
            <v>0</v>
          </cell>
        </row>
        <row r="631">
          <cell r="DD631">
            <v>0</v>
          </cell>
        </row>
        <row r="632">
          <cell r="DD632">
            <v>0</v>
          </cell>
        </row>
        <row r="633">
          <cell r="DD633">
            <v>0</v>
          </cell>
        </row>
        <row r="634">
          <cell r="DD634">
            <v>0</v>
          </cell>
        </row>
        <row r="635">
          <cell r="DD635">
            <v>0</v>
          </cell>
        </row>
        <row r="636">
          <cell r="DD636">
            <v>0</v>
          </cell>
        </row>
        <row r="637">
          <cell r="DD637">
            <v>0</v>
          </cell>
        </row>
        <row r="638">
          <cell r="DD638">
            <v>0</v>
          </cell>
        </row>
        <row r="639">
          <cell r="DD639">
            <v>0</v>
          </cell>
        </row>
        <row r="640">
          <cell r="DD640">
            <v>0</v>
          </cell>
        </row>
        <row r="641">
          <cell r="DD641">
            <v>0</v>
          </cell>
        </row>
        <row r="642">
          <cell r="DD642">
            <v>0</v>
          </cell>
        </row>
        <row r="643">
          <cell r="DD643">
            <v>0</v>
          </cell>
        </row>
        <row r="644">
          <cell r="DD644">
            <v>0</v>
          </cell>
        </row>
        <row r="645">
          <cell r="DD645">
            <v>0</v>
          </cell>
        </row>
        <row r="646">
          <cell r="DD646">
            <v>0</v>
          </cell>
        </row>
        <row r="647">
          <cell r="DD647">
            <v>0</v>
          </cell>
        </row>
        <row r="648">
          <cell r="DD648">
            <v>0</v>
          </cell>
        </row>
        <row r="649">
          <cell r="DD649">
            <v>0</v>
          </cell>
        </row>
        <row r="650">
          <cell r="DD650">
            <v>0</v>
          </cell>
        </row>
        <row r="651">
          <cell r="DD651">
            <v>0</v>
          </cell>
        </row>
        <row r="652">
          <cell r="DD652">
            <v>0</v>
          </cell>
        </row>
        <row r="653">
          <cell r="DD653">
            <v>0</v>
          </cell>
        </row>
        <row r="654">
          <cell r="DD654">
            <v>0</v>
          </cell>
        </row>
        <row r="655">
          <cell r="DD655">
            <v>0</v>
          </cell>
        </row>
        <row r="656">
          <cell r="DD656">
            <v>0</v>
          </cell>
        </row>
        <row r="657">
          <cell r="DD657">
            <v>0</v>
          </cell>
        </row>
        <row r="658">
          <cell r="DD658">
            <v>0</v>
          </cell>
        </row>
        <row r="659">
          <cell r="DD659">
            <v>0</v>
          </cell>
        </row>
        <row r="660">
          <cell r="DD660">
            <v>0</v>
          </cell>
        </row>
        <row r="661">
          <cell r="DD661">
            <v>0</v>
          </cell>
        </row>
        <row r="662">
          <cell r="DD662">
            <v>0</v>
          </cell>
        </row>
        <row r="663">
          <cell r="DD663">
            <v>0</v>
          </cell>
        </row>
        <row r="664">
          <cell r="DD664">
            <v>0</v>
          </cell>
        </row>
        <row r="665">
          <cell r="DD665">
            <v>0</v>
          </cell>
        </row>
        <row r="666">
          <cell r="DD666">
            <v>0</v>
          </cell>
        </row>
        <row r="667">
          <cell r="DD667">
            <v>0</v>
          </cell>
        </row>
        <row r="668">
          <cell r="DD668">
            <v>0</v>
          </cell>
        </row>
        <row r="669">
          <cell r="DD669">
            <v>0</v>
          </cell>
        </row>
        <row r="670">
          <cell r="DD670">
            <v>0</v>
          </cell>
        </row>
        <row r="671">
          <cell r="DD671">
            <v>0</v>
          </cell>
        </row>
        <row r="672">
          <cell r="DD672">
            <v>0</v>
          </cell>
        </row>
        <row r="673">
          <cell r="DD673">
            <v>0</v>
          </cell>
        </row>
        <row r="674">
          <cell r="DD674">
            <v>0</v>
          </cell>
        </row>
        <row r="675">
          <cell r="DD675">
            <v>0</v>
          </cell>
        </row>
        <row r="676">
          <cell r="DD676">
            <v>0</v>
          </cell>
        </row>
        <row r="677">
          <cell r="DD677">
            <v>0</v>
          </cell>
        </row>
        <row r="678">
          <cell r="DD678">
            <v>0</v>
          </cell>
        </row>
        <row r="679">
          <cell r="DD679">
            <v>0</v>
          </cell>
        </row>
        <row r="680">
          <cell r="DD680">
            <v>0</v>
          </cell>
        </row>
        <row r="681">
          <cell r="DD681">
            <v>0</v>
          </cell>
        </row>
        <row r="682">
          <cell r="DD682">
            <v>0</v>
          </cell>
        </row>
        <row r="683">
          <cell r="DD683">
            <v>0</v>
          </cell>
        </row>
        <row r="684">
          <cell r="DD684">
            <v>0</v>
          </cell>
        </row>
        <row r="685">
          <cell r="DD685">
            <v>0</v>
          </cell>
        </row>
        <row r="686">
          <cell r="DD686">
            <v>0</v>
          </cell>
        </row>
        <row r="687">
          <cell r="DD687">
            <v>0</v>
          </cell>
        </row>
        <row r="688">
          <cell r="DD688">
            <v>0</v>
          </cell>
        </row>
        <row r="689">
          <cell r="DD689">
            <v>0</v>
          </cell>
        </row>
        <row r="690">
          <cell r="DD690">
            <v>0</v>
          </cell>
        </row>
        <row r="691">
          <cell r="DD691">
            <v>0</v>
          </cell>
        </row>
        <row r="692">
          <cell r="DD692">
            <v>0</v>
          </cell>
        </row>
        <row r="693">
          <cell r="DD693">
            <v>0</v>
          </cell>
        </row>
        <row r="694">
          <cell r="DD694">
            <v>0</v>
          </cell>
        </row>
        <row r="695">
          <cell r="DD695">
            <v>0</v>
          </cell>
        </row>
        <row r="696">
          <cell r="DD696">
            <v>0</v>
          </cell>
        </row>
        <row r="697">
          <cell r="DD697">
            <v>0</v>
          </cell>
        </row>
        <row r="698">
          <cell r="DD698">
            <v>0</v>
          </cell>
        </row>
        <row r="699">
          <cell r="DD699">
            <v>0</v>
          </cell>
        </row>
        <row r="700">
          <cell r="DD700">
            <v>0</v>
          </cell>
        </row>
        <row r="701">
          <cell r="DD701">
            <v>0</v>
          </cell>
        </row>
        <row r="702">
          <cell r="DD702">
            <v>0</v>
          </cell>
        </row>
        <row r="703">
          <cell r="DD703">
            <v>0</v>
          </cell>
        </row>
        <row r="704">
          <cell r="DD704">
            <v>0</v>
          </cell>
        </row>
        <row r="705">
          <cell r="DD705">
            <v>0</v>
          </cell>
        </row>
        <row r="706">
          <cell r="DD706">
            <v>0</v>
          </cell>
        </row>
        <row r="707">
          <cell r="DD707">
            <v>0</v>
          </cell>
        </row>
        <row r="708">
          <cell r="DD708">
            <v>0</v>
          </cell>
        </row>
        <row r="709">
          <cell r="DD709">
            <v>0</v>
          </cell>
        </row>
        <row r="710">
          <cell r="DD710">
            <v>0</v>
          </cell>
        </row>
        <row r="711">
          <cell r="DD711">
            <v>0</v>
          </cell>
        </row>
        <row r="712">
          <cell r="DD712">
            <v>0</v>
          </cell>
        </row>
        <row r="713">
          <cell r="DD713">
            <v>0</v>
          </cell>
        </row>
        <row r="714">
          <cell r="DD714">
            <v>0</v>
          </cell>
        </row>
        <row r="715">
          <cell r="DD715">
            <v>0</v>
          </cell>
        </row>
        <row r="716">
          <cell r="DD716">
            <v>0</v>
          </cell>
        </row>
        <row r="717">
          <cell r="DD717">
            <v>0</v>
          </cell>
        </row>
        <row r="718">
          <cell r="DD718">
            <v>0</v>
          </cell>
        </row>
        <row r="719">
          <cell r="DD719">
            <v>0</v>
          </cell>
        </row>
        <row r="720">
          <cell r="DD720">
            <v>0</v>
          </cell>
        </row>
        <row r="721">
          <cell r="DD721">
            <v>0</v>
          </cell>
        </row>
        <row r="722">
          <cell r="DD722">
            <v>0</v>
          </cell>
        </row>
        <row r="723">
          <cell r="DD723">
            <v>0</v>
          </cell>
        </row>
        <row r="724">
          <cell r="DD724">
            <v>0</v>
          </cell>
        </row>
        <row r="725">
          <cell r="DD725">
            <v>0</v>
          </cell>
        </row>
        <row r="726">
          <cell r="DD726">
            <v>0</v>
          </cell>
        </row>
        <row r="727">
          <cell r="DD727">
            <v>0</v>
          </cell>
        </row>
        <row r="728">
          <cell r="DD728">
            <v>0</v>
          </cell>
        </row>
        <row r="729">
          <cell r="DD729">
            <v>0</v>
          </cell>
        </row>
        <row r="730">
          <cell r="DD730">
            <v>0</v>
          </cell>
        </row>
        <row r="731">
          <cell r="DD731">
            <v>0</v>
          </cell>
        </row>
        <row r="732">
          <cell r="DD732">
            <v>0</v>
          </cell>
        </row>
        <row r="733">
          <cell r="DD733">
            <v>0</v>
          </cell>
        </row>
        <row r="734">
          <cell r="DD734">
            <v>0</v>
          </cell>
        </row>
        <row r="735">
          <cell r="DD735">
            <v>0</v>
          </cell>
        </row>
        <row r="736">
          <cell r="DD736">
            <v>0</v>
          </cell>
        </row>
        <row r="737">
          <cell r="DD737">
            <v>0</v>
          </cell>
        </row>
        <row r="738">
          <cell r="DD738">
            <v>0</v>
          </cell>
        </row>
        <row r="739">
          <cell r="DD739">
            <v>0</v>
          </cell>
        </row>
        <row r="740">
          <cell r="DD740">
            <v>0</v>
          </cell>
        </row>
        <row r="741">
          <cell r="DD741">
            <v>0</v>
          </cell>
        </row>
        <row r="742">
          <cell r="DD742">
            <v>0</v>
          </cell>
        </row>
        <row r="743">
          <cell r="DD743">
            <v>0</v>
          </cell>
        </row>
        <row r="744">
          <cell r="DD744">
            <v>0</v>
          </cell>
        </row>
        <row r="745">
          <cell r="DD745">
            <v>0</v>
          </cell>
        </row>
        <row r="746">
          <cell r="DD746">
            <v>0</v>
          </cell>
        </row>
        <row r="747">
          <cell r="DD747">
            <v>0</v>
          </cell>
        </row>
        <row r="748">
          <cell r="DD748">
            <v>0</v>
          </cell>
        </row>
        <row r="749">
          <cell r="DD749">
            <v>0</v>
          </cell>
        </row>
        <row r="750">
          <cell r="DD750">
            <v>0</v>
          </cell>
        </row>
        <row r="751">
          <cell r="DD751">
            <v>0</v>
          </cell>
        </row>
        <row r="752">
          <cell r="DD752">
            <v>0</v>
          </cell>
        </row>
        <row r="753">
          <cell r="DD753">
            <v>0</v>
          </cell>
        </row>
        <row r="754">
          <cell r="DD754">
            <v>0</v>
          </cell>
        </row>
        <row r="755">
          <cell r="DD755">
            <v>0</v>
          </cell>
        </row>
        <row r="756">
          <cell r="DD756">
            <v>0</v>
          </cell>
        </row>
        <row r="757">
          <cell r="DD757">
            <v>0</v>
          </cell>
        </row>
        <row r="758">
          <cell r="DD758">
            <v>0</v>
          </cell>
        </row>
        <row r="759">
          <cell r="DD759">
            <v>0</v>
          </cell>
        </row>
        <row r="760">
          <cell r="DD760">
            <v>0</v>
          </cell>
        </row>
        <row r="761">
          <cell r="DD761">
            <v>0</v>
          </cell>
        </row>
        <row r="762">
          <cell r="DD762">
            <v>0</v>
          </cell>
        </row>
        <row r="763">
          <cell r="DD763">
            <v>0</v>
          </cell>
        </row>
        <row r="764">
          <cell r="DD764">
            <v>0</v>
          </cell>
        </row>
        <row r="765">
          <cell r="DD765">
            <v>0</v>
          </cell>
        </row>
        <row r="766">
          <cell r="DD766">
            <v>0</v>
          </cell>
        </row>
        <row r="767">
          <cell r="DD767">
            <v>0</v>
          </cell>
        </row>
        <row r="768">
          <cell r="DD768">
            <v>0</v>
          </cell>
        </row>
        <row r="769">
          <cell r="DD769">
            <v>0</v>
          </cell>
        </row>
        <row r="770">
          <cell r="DD770">
            <v>0</v>
          </cell>
        </row>
        <row r="771">
          <cell r="DD771">
            <v>0</v>
          </cell>
        </row>
        <row r="772">
          <cell r="DD772">
            <v>0</v>
          </cell>
        </row>
        <row r="773">
          <cell r="DD773">
            <v>0</v>
          </cell>
        </row>
        <row r="774">
          <cell r="DD774">
            <v>0</v>
          </cell>
        </row>
        <row r="775">
          <cell r="DD775">
            <v>0</v>
          </cell>
        </row>
        <row r="776">
          <cell r="DD776">
            <v>0</v>
          </cell>
        </row>
        <row r="777">
          <cell r="DD777">
            <v>0</v>
          </cell>
        </row>
        <row r="778">
          <cell r="DD778">
            <v>0</v>
          </cell>
        </row>
        <row r="779">
          <cell r="DD779">
            <v>0</v>
          </cell>
        </row>
        <row r="780">
          <cell r="DD780">
            <v>0</v>
          </cell>
        </row>
        <row r="781">
          <cell r="DD781">
            <v>0</v>
          </cell>
        </row>
        <row r="782">
          <cell r="DD782">
            <v>0</v>
          </cell>
        </row>
        <row r="783">
          <cell r="DD783">
            <v>0</v>
          </cell>
        </row>
        <row r="784">
          <cell r="DD784">
            <v>0</v>
          </cell>
        </row>
        <row r="785">
          <cell r="DD785">
            <v>0</v>
          </cell>
        </row>
        <row r="786">
          <cell r="DD786">
            <v>0</v>
          </cell>
        </row>
        <row r="787">
          <cell r="DD787">
            <v>0</v>
          </cell>
        </row>
        <row r="788">
          <cell r="DD788">
            <v>0</v>
          </cell>
        </row>
        <row r="789">
          <cell r="DD789">
            <v>0</v>
          </cell>
        </row>
        <row r="790">
          <cell r="DD790">
            <v>0</v>
          </cell>
        </row>
        <row r="791">
          <cell r="DD791">
            <v>0</v>
          </cell>
        </row>
        <row r="792">
          <cell r="DD792">
            <v>0</v>
          </cell>
        </row>
        <row r="793">
          <cell r="DD793">
            <v>0</v>
          </cell>
        </row>
        <row r="794">
          <cell r="DD794">
            <v>0</v>
          </cell>
        </row>
        <row r="795">
          <cell r="DD795">
            <v>0</v>
          </cell>
        </row>
        <row r="796">
          <cell r="DD796">
            <v>0</v>
          </cell>
        </row>
        <row r="797">
          <cell r="DD797">
            <v>0</v>
          </cell>
        </row>
        <row r="798">
          <cell r="DD798">
            <v>0</v>
          </cell>
        </row>
        <row r="799">
          <cell r="DD799">
            <v>0</v>
          </cell>
        </row>
        <row r="800">
          <cell r="DD800">
            <v>0</v>
          </cell>
        </row>
        <row r="801">
          <cell r="DD801">
            <v>0</v>
          </cell>
        </row>
        <row r="802">
          <cell r="DD802">
            <v>0</v>
          </cell>
        </row>
        <row r="803">
          <cell r="DD803">
            <v>0</v>
          </cell>
        </row>
        <row r="804">
          <cell r="DD804">
            <v>0</v>
          </cell>
        </row>
        <row r="805">
          <cell r="DD805">
            <v>0</v>
          </cell>
        </row>
        <row r="806">
          <cell r="DD806">
            <v>0</v>
          </cell>
        </row>
        <row r="807">
          <cell r="DD807">
            <v>0</v>
          </cell>
        </row>
        <row r="808">
          <cell r="DD808">
            <v>0</v>
          </cell>
        </row>
        <row r="809">
          <cell r="DD809">
            <v>0</v>
          </cell>
        </row>
        <row r="810">
          <cell r="DD810">
            <v>0</v>
          </cell>
        </row>
        <row r="811">
          <cell r="DD811">
            <v>0</v>
          </cell>
        </row>
        <row r="812">
          <cell r="DD812">
            <v>0</v>
          </cell>
        </row>
        <row r="813">
          <cell r="DD813">
            <v>0</v>
          </cell>
        </row>
        <row r="814">
          <cell r="DD814">
            <v>0</v>
          </cell>
        </row>
        <row r="815">
          <cell r="DD815">
            <v>0</v>
          </cell>
        </row>
        <row r="816">
          <cell r="DD816">
            <v>0</v>
          </cell>
        </row>
        <row r="817">
          <cell r="DD817">
            <v>0</v>
          </cell>
        </row>
        <row r="818">
          <cell r="DD818">
            <v>0</v>
          </cell>
        </row>
        <row r="819">
          <cell r="DD819">
            <v>0</v>
          </cell>
        </row>
        <row r="820">
          <cell r="DD820">
            <v>0</v>
          </cell>
        </row>
        <row r="821">
          <cell r="DD821">
            <v>0</v>
          </cell>
        </row>
        <row r="822">
          <cell r="DD822">
            <v>0</v>
          </cell>
        </row>
        <row r="823">
          <cell r="DD823">
            <v>0</v>
          </cell>
        </row>
        <row r="824">
          <cell r="DD824">
            <v>0</v>
          </cell>
        </row>
        <row r="825">
          <cell r="DD825">
            <v>0</v>
          </cell>
        </row>
        <row r="826">
          <cell r="DD826">
            <v>0</v>
          </cell>
        </row>
        <row r="827">
          <cell r="DD827">
            <v>0</v>
          </cell>
        </row>
        <row r="828">
          <cell r="DD828">
            <v>0</v>
          </cell>
        </row>
        <row r="829">
          <cell r="DD829">
            <v>0</v>
          </cell>
        </row>
        <row r="830">
          <cell r="DD830">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7">
          <cell r="C17">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
  <sheetViews>
    <sheetView workbookViewId="0"/>
  </sheetViews>
  <sheetFormatPr defaultColWidth="9.109375" defaultRowHeight="14.4" x14ac:dyDescent="0.3"/>
  <cols>
    <col min="1" max="1" width="104.5546875" style="5" customWidth="1"/>
    <col min="2" max="2" width="9.88671875" style="4" customWidth="1"/>
    <col min="3" max="16384" width="9.109375" style="4"/>
  </cols>
  <sheetData>
    <row r="1" spans="1:1" x14ac:dyDescent="0.3">
      <c r="A1" s="5" t="s">
        <v>809</v>
      </c>
    </row>
    <row r="2" spans="1:1" x14ac:dyDescent="0.3">
      <c r="A2" s="5" t="s">
        <v>866</v>
      </c>
    </row>
    <row r="3" spans="1:1" x14ac:dyDescent="0.3">
      <c r="A3" s="183">
        <v>42726</v>
      </c>
    </row>
    <row r="4" spans="1:1" x14ac:dyDescent="0.3">
      <c r="A4" s="183"/>
    </row>
    <row r="5" spans="1:1" ht="43.2" x14ac:dyDescent="0.3">
      <c r="A5" s="124" t="s">
        <v>816</v>
      </c>
    </row>
    <row r="6" spans="1:1" x14ac:dyDescent="0.3">
      <c r="A6" s="124"/>
    </row>
    <row r="7" spans="1:1" x14ac:dyDescent="0.3">
      <c r="A7" s="125" t="s">
        <v>865</v>
      </c>
    </row>
    <row r="8" spans="1:1" x14ac:dyDescent="0.3">
      <c r="A8" s="125" t="s">
        <v>814</v>
      </c>
    </row>
    <row r="9" spans="1:1" x14ac:dyDescent="0.3">
      <c r="A9" s="125" t="s">
        <v>815</v>
      </c>
    </row>
    <row r="10" spans="1:1" x14ac:dyDescent="0.3">
      <c r="A10" s="125"/>
    </row>
    <row r="11" spans="1:1" ht="28.8" x14ac:dyDescent="0.3">
      <c r="A11" s="5" t="s">
        <v>811</v>
      </c>
    </row>
    <row r="13" spans="1:1" ht="28.8" x14ac:dyDescent="0.3">
      <c r="A13" s="5" t="s">
        <v>810</v>
      </c>
    </row>
    <row r="15" spans="1:1" ht="25.2" customHeight="1" x14ac:dyDescent="0.3">
      <c r="A15" s="5" t="s">
        <v>812</v>
      </c>
    </row>
    <row r="16" spans="1:1" ht="25.2" customHeight="1" x14ac:dyDescent="0.3"/>
    <row r="17" spans="1:1" x14ac:dyDescent="0.3">
      <c r="A17" s="5" t="s">
        <v>813</v>
      </c>
    </row>
    <row r="19" spans="1:1" ht="28.8" x14ac:dyDescent="0.3">
      <c r="A19" s="125" t="s">
        <v>817</v>
      </c>
    </row>
    <row r="21" spans="1:1" ht="28.8" x14ac:dyDescent="0.3">
      <c r="A21" s="5" t="s">
        <v>857</v>
      </c>
    </row>
    <row r="23" spans="1:1" ht="28.8" x14ac:dyDescent="0.3">
      <c r="A23" s="5" t="s">
        <v>856</v>
      </c>
    </row>
    <row r="25" spans="1:1" ht="28.8" x14ac:dyDescent="0.3">
      <c r="A25" s="5" t="s">
        <v>855</v>
      </c>
    </row>
    <row r="27" spans="1:1" ht="28.8" x14ac:dyDescent="0.3">
      <c r="A27" s="5" t="s">
        <v>854</v>
      </c>
    </row>
    <row r="28" spans="1:1" x14ac:dyDescent="0.3">
      <c r="A28" s="5" t="s">
        <v>853</v>
      </c>
    </row>
    <row r="29" spans="1:1" x14ac:dyDescent="0.3">
      <c r="A29" s="5" t="s">
        <v>852</v>
      </c>
    </row>
    <row r="30" spans="1:1" x14ac:dyDescent="0.3">
      <c r="A30" s="5" t="s">
        <v>851</v>
      </c>
    </row>
    <row r="31" spans="1:1" x14ac:dyDescent="0.3">
      <c r="A31" s="5" t="s">
        <v>850</v>
      </c>
    </row>
    <row r="32" spans="1:1" ht="28.8" x14ac:dyDescent="0.3">
      <c r="A32" s="5" t="s">
        <v>849</v>
      </c>
    </row>
    <row r="34" spans="1:1" ht="28.8" x14ac:dyDescent="0.3">
      <c r="A34" s="5" t="s">
        <v>848</v>
      </c>
    </row>
    <row r="36" spans="1:1" ht="57.6" x14ac:dyDescent="0.3">
      <c r="A36" s="5" t="s">
        <v>847</v>
      </c>
    </row>
    <row r="38" spans="1:1" ht="28.8" x14ac:dyDescent="0.3">
      <c r="A38" s="5" t="s">
        <v>846</v>
      </c>
    </row>
    <row r="40" spans="1:1" x14ac:dyDescent="0.3">
      <c r="A40" s="182" t="s">
        <v>845</v>
      </c>
    </row>
    <row r="41" spans="1:1" x14ac:dyDescent="0.3">
      <c r="A41" s="182" t="s">
        <v>858</v>
      </c>
    </row>
    <row r="42" spans="1:1" x14ac:dyDescent="0.3">
      <c r="A42" s="182" t="s">
        <v>859</v>
      </c>
    </row>
    <row r="43" spans="1:1" ht="57.6" x14ac:dyDescent="0.3">
      <c r="A43" s="182" t="s">
        <v>860</v>
      </c>
    </row>
    <row r="44" spans="1:1" x14ac:dyDescent="0.3">
      <c r="A44" s="182" t="s">
        <v>861</v>
      </c>
    </row>
    <row r="45" spans="1:1" x14ac:dyDescent="0.3">
      <c r="A45" s="184" t="s">
        <v>862</v>
      </c>
    </row>
    <row r="46" spans="1:1" x14ac:dyDescent="0.3">
      <c r="A46" s="184" t="s">
        <v>863</v>
      </c>
    </row>
    <row r="47" spans="1:1" x14ac:dyDescent="0.3">
      <c r="A47" s="184" t="s">
        <v>864</v>
      </c>
    </row>
    <row r="48" spans="1:1" x14ac:dyDescent="0.3">
      <c r="A48" s="182" t="s">
        <v>875</v>
      </c>
    </row>
    <row r="49" spans="1:1" x14ac:dyDescent="0.3">
      <c r="A49" s="182" t="s">
        <v>876</v>
      </c>
    </row>
    <row r="50" spans="1:1" x14ac:dyDescent="0.3">
      <c r="A50" s="182" t="s">
        <v>879</v>
      </c>
    </row>
  </sheetData>
  <printOptions gridLines="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Q226"/>
  <sheetViews>
    <sheetView topLeftCell="A52" zoomScale="90" zoomScaleNormal="90" workbookViewId="0">
      <selection activeCell="F1" sqref="F1:F1048576"/>
    </sheetView>
  </sheetViews>
  <sheetFormatPr defaultColWidth="9.109375" defaultRowHeight="14.4" x14ac:dyDescent="0.3"/>
  <cols>
    <col min="1" max="1" width="1.88671875" style="128" customWidth="1"/>
    <col min="2" max="2" width="31.109375" style="128" customWidth="1"/>
    <col min="3" max="3" width="18.88671875" style="128" customWidth="1"/>
    <col min="4" max="4" width="25.109375" style="128" customWidth="1"/>
    <col min="5" max="5" width="18.88671875" style="128" customWidth="1"/>
    <col min="6" max="6" width="17.44140625" style="128" customWidth="1"/>
    <col min="7" max="7" width="21.44140625" style="128" customWidth="1"/>
    <col min="8" max="8" width="15.109375" style="128" customWidth="1"/>
    <col min="9" max="9" width="14.44140625" style="128" customWidth="1"/>
    <col min="10" max="10" width="9.109375" style="128" customWidth="1"/>
    <col min="11" max="11" width="14.44140625" style="128" customWidth="1"/>
    <col min="12" max="12" width="9.109375" style="128" customWidth="1"/>
    <col min="13" max="13" width="20.33203125" style="128" customWidth="1"/>
    <col min="14" max="16" width="9.109375" style="128" customWidth="1"/>
    <col min="17" max="16384" width="9.109375" style="128"/>
  </cols>
  <sheetData>
    <row r="1" spans="1:17" s="126" customFormat="1" x14ac:dyDescent="0.3">
      <c r="A1" s="126" t="s">
        <v>620</v>
      </c>
      <c r="C1" s="127"/>
      <c r="G1" s="149"/>
      <c r="H1" s="149"/>
      <c r="I1" s="149"/>
      <c r="J1" s="149"/>
      <c r="K1" s="150" t="s">
        <v>768</v>
      </c>
      <c r="L1" s="149"/>
      <c r="M1" s="149"/>
      <c r="N1" s="149"/>
      <c r="O1" s="149"/>
      <c r="P1" s="149"/>
      <c r="Q1" s="149"/>
    </row>
    <row r="2" spans="1:17" ht="28.8" x14ac:dyDescent="0.3">
      <c r="B2" s="129" t="s">
        <v>771</v>
      </c>
      <c r="C2" s="130"/>
      <c r="D2" s="131"/>
      <c r="G2" s="151" t="s">
        <v>0</v>
      </c>
      <c r="H2" s="152"/>
      <c r="I2" s="153"/>
      <c r="J2" s="154"/>
      <c r="K2" s="155" t="s">
        <v>1</v>
      </c>
      <c r="L2" s="155" t="s">
        <v>2</v>
      </c>
      <c r="M2" s="155" t="s">
        <v>3</v>
      </c>
      <c r="N2" s="155" t="s">
        <v>4</v>
      </c>
      <c r="O2" s="155" t="s">
        <v>5</v>
      </c>
      <c r="P2" s="155" t="s">
        <v>6</v>
      </c>
      <c r="Q2" s="154"/>
    </row>
    <row r="3" spans="1:17" x14ac:dyDescent="0.3">
      <c r="B3" s="132" t="s">
        <v>7</v>
      </c>
      <c r="C3" s="132" t="s">
        <v>8</v>
      </c>
      <c r="D3" s="132" t="s">
        <v>9</v>
      </c>
      <c r="E3" s="132" t="s">
        <v>10</v>
      </c>
      <c r="G3" s="156" t="s">
        <v>11</v>
      </c>
      <c r="H3" s="157"/>
      <c r="I3" s="158"/>
      <c r="J3" s="154"/>
      <c r="K3" s="242" t="s">
        <v>12</v>
      </c>
      <c r="L3" s="242" t="s">
        <v>13</v>
      </c>
      <c r="M3" s="159" t="s">
        <v>14</v>
      </c>
      <c r="N3" s="159">
        <v>2.92E-2</v>
      </c>
      <c r="O3" s="159">
        <v>0.82199999999999995</v>
      </c>
      <c r="P3" s="159">
        <v>0.65390000000000004</v>
      </c>
      <c r="Q3" s="154"/>
    </row>
    <row r="4" spans="1:17" x14ac:dyDescent="0.3">
      <c r="B4" s="133" t="s">
        <v>15</v>
      </c>
      <c r="C4" s="206" t="s">
        <v>886</v>
      </c>
      <c r="D4" s="133" t="s">
        <v>16</v>
      </c>
      <c r="E4" s="133"/>
      <c r="G4" s="156" t="s">
        <v>17</v>
      </c>
      <c r="H4" s="157"/>
      <c r="I4" s="158"/>
      <c r="J4" s="154"/>
      <c r="K4" s="242"/>
      <c r="L4" s="242"/>
      <c r="M4" s="159" t="s">
        <v>18</v>
      </c>
      <c r="N4" s="159">
        <v>4.2999999999999997E-2</v>
      </c>
      <c r="O4" s="159">
        <v>1.03</v>
      </c>
      <c r="P4" s="159">
        <v>0.5</v>
      </c>
      <c r="Q4" s="154"/>
    </row>
    <row r="5" spans="1:17" x14ac:dyDescent="0.3">
      <c r="B5" s="133" t="s">
        <v>19</v>
      </c>
      <c r="C5" s="206" t="s">
        <v>881</v>
      </c>
      <c r="D5" s="133" t="s">
        <v>16</v>
      </c>
      <c r="E5" s="133"/>
      <c r="G5" s="156" t="s">
        <v>20</v>
      </c>
      <c r="H5" s="157"/>
      <c r="I5" s="158"/>
      <c r="J5" s="154"/>
      <c r="K5" s="242"/>
      <c r="L5" s="242"/>
      <c r="M5" s="159" t="s">
        <v>21</v>
      </c>
      <c r="N5" s="159">
        <v>7.2099999999999997E-2</v>
      </c>
      <c r="O5" s="159">
        <v>1.0976999999999999</v>
      </c>
      <c r="P5" s="159">
        <v>0.49990000000000001</v>
      </c>
      <c r="Q5" s="154"/>
    </row>
    <row r="6" spans="1:17" x14ac:dyDescent="0.3">
      <c r="B6" s="133" t="s">
        <v>1</v>
      </c>
      <c r="C6" s="206" t="s">
        <v>22</v>
      </c>
      <c r="D6" s="133" t="s">
        <v>16</v>
      </c>
      <c r="E6" s="133"/>
      <c r="G6" s="156" t="s">
        <v>22</v>
      </c>
      <c r="H6" s="157"/>
      <c r="I6" s="158"/>
      <c r="J6" s="154"/>
      <c r="K6" s="242"/>
      <c r="L6" s="242"/>
      <c r="M6" s="159" t="s">
        <v>23</v>
      </c>
      <c r="N6" s="159">
        <v>0.1014</v>
      </c>
      <c r="O6" s="159">
        <v>1.1344000000000001</v>
      </c>
      <c r="P6" s="159">
        <v>0.49990000000000001</v>
      </c>
      <c r="Q6" s="154"/>
    </row>
    <row r="7" spans="1:17" x14ac:dyDescent="0.3">
      <c r="B7" s="133" t="s">
        <v>24</v>
      </c>
      <c r="C7" s="206">
        <v>0.5</v>
      </c>
      <c r="D7" s="133" t="s">
        <v>25</v>
      </c>
      <c r="E7" s="133"/>
      <c r="G7" s="156"/>
      <c r="H7" s="157"/>
      <c r="I7" s="158"/>
      <c r="J7" s="154"/>
      <c r="K7" s="242" t="s">
        <v>26</v>
      </c>
      <c r="L7" s="242" t="s">
        <v>27</v>
      </c>
      <c r="M7" s="159" t="s">
        <v>14</v>
      </c>
      <c r="N7" s="159">
        <v>0.1913</v>
      </c>
      <c r="O7" s="159">
        <v>1.2365999999999999</v>
      </c>
      <c r="P7" s="159">
        <v>1.0551999999999999</v>
      </c>
      <c r="Q7" s="154"/>
    </row>
    <row r="8" spans="1:17" x14ac:dyDescent="0.3">
      <c r="B8" s="133" t="s">
        <v>28</v>
      </c>
      <c r="C8" s="206">
        <v>1</v>
      </c>
      <c r="D8" s="133" t="s">
        <v>16</v>
      </c>
      <c r="E8" s="133"/>
      <c r="G8" s="156" t="s">
        <v>976</v>
      </c>
      <c r="H8" s="157"/>
      <c r="I8" s="158" t="s">
        <v>2</v>
      </c>
      <c r="J8" s="154"/>
      <c r="K8" s="242"/>
      <c r="L8" s="242"/>
      <c r="M8" s="159" t="s">
        <v>29</v>
      </c>
      <c r="N8" s="159">
        <v>2.4154</v>
      </c>
      <c r="O8" s="159">
        <v>0.90769999999999995</v>
      </c>
      <c r="P8" s="159">
        <v>1.0127999999999999</v>
      </c>
      <c r="Q8" s="154"/>
    </row>
    <row r="9" spans="1:17" x14ac:dyDescent="0.3">
      <c r="B9" s="133" t="s">
        <v>30</v>
      </c>
      <c r="C9" s="206">
        <v>0</v>
      </c>
      <c r="D9" s="133" t="s">
        <v>31</v>
      </c>
      <c r="E9" s="133"/>
      <c r="G9" s="156" t="s">
        <v>32</v>
      </c>
      <c r="H9" s="157"/>
      <c r="I9" s="158" t="s">
        <v>33</v>
      </c>
      <c r="J9" s="154"/>
      <c r="K9" s="242"/>
      <c r="L9" s="242" t="s">
        <v>34</v>
      </c>
      <c r="M9" s="159" t="s">
        <v>14</v>
      </c>
      <c r="N9" s="159">
        <v>1.0063</v>
      </c>
      <c r="O9" s="159">
        <v>0.99980000000000002</v>
      </c>
      <c r="P9" s="159">
        <v>1.0193000000000001</v>
      </c>
      <c r="Q9" s="154"/>
    </row>
    <row r="10" spans="1:17" x14ac:dyDescent="0.3">
      <c r="B10" s="134" t="s">
        <v>3</v>
      </c>
      <c r="C10" s="206" t="s">
        <v>35</v>
      </c>
      <c r="D10" s="133" t="s">
        <v>16</v>
      </c>
      <c r="E10" s="133"/>
      <c r="G10" s="156" t="s">
        <v>36</v>
      </c>
      <c r="H10" s="157"/>
      <c r="I10" s="158" t="s">
        <v>37</v>
      </c>
      <c r="J10" s="154"/>
      <c r="K10" s="242"/>
      <c r="L10" s="242"/>
      <c r="M10" s="159" t="s">
        <v>38</v>
      </c>
      <c r="N10" s="159">
        <v>5.5513000000000003</v>
      </c>
      <c r="O10" s="159">
        <v>0.85229999999999995</v>
      </c>
      <c r="P10" s="159">
        <v>1.0079</v>
      </c>
      <c r="Q10" s="154"/>
    </row>
    <row r="11" spans="1:17" x14ac:dyDescent="0.3">
      <c r="B11" s="134" t="s">
        <v>3</v>
      </c>
      <c r="C11" s="206" t="s">
        <v>36</v>
      </c>
      <c r="D11" s="133" t="s">
        <v>16</v>
      </c>
      <c r="E11" s="133"/>
      <c r="G11" s="156" t="s">
        <v>39</v>
      </c>
      <c r="H11" s="157"/>
      <c r="I11" s="158"/>
      <c r="J11" s="154"/>
      <c r="K11" s="159" t="s">
        <v>40</v>
      </c>
      <c r="L11" s="159" t="s">
        <v>13</v>
      </c>
      <c r="M11" s="159" t="s">
        <v>13</v>
      </c>
      <c r="N11" s="159">
        <v>3.5099999999999999E-2</v>
      </c>
      <c r="O11" s="159">
        <v>2.4586000000000001</v>
      </c>
      <c r="P11" s="159">
        <v>0.4763</v>
      </c>
      <c r="Q11" s="154"/>
    </row>
    <row r="12" spans="1:17" ht="28.8" x14ac:dyDescent="0.3">
      <c r="B12" s="134" t="s">
        <v>2</v>
      </c>
      <c r="C12" s="206" t="s">
        <v>33</v>
      </c>
      <c r="D12" s="133" t="s">
        <v>16</v>
      </c>
      <c r="E12" s="133"/>
      <c r="G12" s="160" t="s">
        <v>35</v>
      </c>
      <c r="H12" s="161"/>
      <c r="I12" s="162"/>
      <c r="J12" s="154"/>
      <c r="K12" s="163" t="s">
        <v>41</v>
      </c>
      <c r="L12" s="164"/>
      <c r="M12" s="165" t="s">
        <v>716</v>
      </c>
      <c r="N12" s="166">
        <f>IF(AND($C$6=$G$4, $C$10=$G$9), N3,IF(AND($C$6=$G$4, $C$10=$G$10), N4, IF(AND($C$6=$G$4, $C$10=$G$11), N5, IF(AND($C$6=$G$4, $C$10=$G$12), N6, IF(AND($C$6=$G$5, $C$11=$G$9, $C$12=$I$10),N7, IF(AND($C$6=$G$5, $C$11=$G$10, $C$12=$I$10), N8, IF(AND($C$6=$G$5, $C$11=$G$9, $C$12=$I$9), N9, IF(AND($C$6=$G$5, $C$11=$G$10, $C$12=$I$9), N10, IF($C$6=$G$6, N11,  0)))))))))</f>
        <v>3.5099999999999999E-2</v>
      </c>
      <c r="O12" s="166">
        <f>IF(AND($C$6=$G$4, $C$10=$G$9), O3,IF(AND($C$6=$G$4, $C$10=$G$10), O4, IF(AND($C$6=$G$4, $C$10=$G$11), O5, IF(AND($C$6=$G$4, $C$10=$G$12), O6, IF(AND($C$6=$G$5, $C$11=$G$9, $C$12=$I$10),O7, IF(AND($C$6=$G$5, $C$11=$G$10, $C$12=$I$10), O8, IF(AND($C$6=$G$5, $C$11=$G$9, $C$12=$I$9), O9, IF(AND($C$6=$G$5, $C$11=$G$10, $C$12=$I$9), O10, IF($C$6=$G$6, O11,  0)))))))))</f>
        <v>2.4586000000000001</v>
      </c>
      <c r="P12" s="166">
        <f>IF(AND($C$6=$G$4, $C$10=$G$9), P3,IF(AND($C$6=$G$4, $C$10=$G$10), P4, IF(AND($C$6=$G$4, $C$10=$G$11), P5, IF(AND($C$6=$G$4, $C$10=$G$12), P6, IF(AND($C$6=$G$5, $C$11=$G$9, $C$12=$I$10),P7, IF(AND($C$6=$G$5, $C$11=$G$10, $C$12=$I$10), P8, IF(AND($C$6=$G$5, $C$11=$G$9, $C$12=$I$9), P9, IF(AND($C$6=$G$5, $C$11=$G$10, $C$12=$I$9), P10, IF($C$6=$G$6, P11,  0)))))))))</f>
        <v>0.4763</v>
      </c>
      <c r="Q12" s="154"/>
    </row>
    <row r="13" spans="1:17" x14ac:dyDescent="0.3">
      <c r="C13" s="203"/>
      <c r="G13" s="167" t="s">
        <v>42</v>
      </c>
      <c r="H13" s="152" t="s">
        <v>738</v>
      </c>
      <c r="I13" s="153" t="s">
        <v>737</v>
      </c>
      <c r="J13" s="154"/>
      <c r="K13" s="154"/>
      <c r="L13" s="154"/>
      <c r="M13" s="166" t="s">
        <v>717</v>
      </c>
      <c r="N13" s="166">
        <f>IF(AND($C$17=$G$4, $C$21=$G$9), N3,IF(AND($C$17=$G$4, $C$21=$G$10), N4, IF(AND($C$17=$G$4, $C$21=$G$11), N5, IF(AND($C$17=$G$4, $C$21=$G$12), N6, IF(AND($C$17=$G$5, $C$22=$G$9, $C$23=$I$10),N7, IF(AND($C$17=$G$5, $C$22=$G$10, $C$23=$I$10), N8, IF(AND($C$17=$G$5, $C$22=$G$9, $C$23=$I$9), N9, IF(AND($C$17=$G$5, $C$22=$G$10, $C$23=$I$9), N10, IF($C$17=$G$6, N11,  0)))))))))</f>
        <v>0.1913</v>
      </c>
      <c r="O13" s="166">
        <f>IF(AND($C$17=$G$4, $C$21=$G$9), O3,IF(AND($C$17=$G$4, $C$21=$G$10), O4, IF(AND($C$17=$G$4, $C$21=$G$11), O5, IF(AND($C$17=$G$4, $C$21=$G$12), O6, IF(AND($C$17=$G$5, $C$22=$G$9, $C$23=$I$10),O7, IF(AND($C$17=$G$5, $C$22=$G$10, $C$23=$I$10), O8, IF(AND($C$17=$G$5, $C$22=$G$9, $C$23=$I$9), O9, IF(AND($C$17=$G$5, $C$22=$G$10, $C$23=$I$9), O10, IF($C$17=$G$6, O11,  0)))))))))</f>
        <v>1.2365999999999999</v>
      </c>
      <c r="P13" s="166">
        <f>IF(AND($C$17=$G$4, $C$21=$G$9), P3,IF(AND($C$17=$G$4, $C$21=$G$10), P4, IF(AND($C$17=$G$4, $C$21=$G$11), P5, IF(AND($C$17=$G$4, $C$21=$G$12), P6, IF(AND($C$17=$G$5, $C$22=$G$9, $C$23=$I$10),P7, IF(AND($C$17=$G$5, $C$22=$G$10, $C$23=$I$10), P8, IF(AND($C$17=$G$5, $C$22=$G$9, $C$23=$I$9), P9, IF(AND($C$17=$G$5, $C$22=$G$10, $C$23=$I$9), P10, IF($C$17=$G$6, P11,  0)))))))))</f>
        <v>1.0551999999999999</v>
      </c>
      <c r="Q13" s="154"/>
    </row>
    <row r="14" spans="1:17" x14ac:dyDescent="0.3">
      <c r="B14" s="129" t="s">
        <v>772</v>
      </c>
      <c r="C14" s="207"/>
      <c r="D14" s="131"/>
      <c r="G14" s="156"/>
      <c r="H14" s="157">
        <f>IF(C6="ground",0,IF(C6="airblast",0,IF(C10="very fine to fine",0.28,IF(C10="fine to medium",0.067,IF(C10="medium to coarse",0.028,IF(C10="coarse to very coarse",0.02,0))))))</f>
        <v>0</v>
      </c>
      <c r="I14" s="158">
        <f>IF(C17="ground",0,IF(C17="airblast",0,IF(C21="very fine to fine",0.28,IF(C21="fine to medium",0.067,IF(C21="medium to coarse",0.028,IF(C21="coarse to very coarse",0.02,0))))))</f>
        <v>0</v>
      </c>
      <c r="J14" s="154"/>
      <c r="K14" s="154"/>
      <c r="L14" s="154"/>
      <c r="M14" s="154"/>
      <c r="N14" s="154"/>
      <c r="O14" s="154"/>
      <c r="P14" s="154"/>
      <c r="Q14" s="154"/>
    </row>
    <row r="15" spans="1:17" x14ac:dyDescent="0.3">
      <c r="B15" s="132" t="s">
        <v>7</v>
      </c>
      <c r="C15" s="9" t="s">
        <v>8</v>
      </c>
      <c r="D15" s="132" t="s">
        <v>9</v>
      </c>
      <c r="E15" s="132" t="s">
        <v>10</v>
      </c>
      <c r="G15" s="156"/>
      <c r="H15" s="157">
        <f>IF(C6="airblast",0.28,0)</f>
        <v>0.28000000000000003</v>
      </c>
      <c r="I15" s="158">
        <f>IF(C17="airblast",0.28,0)</f>
        <v>0</v>
      </c>
      <c r="J15" s="154"/>
      <c r="K15" s="154"/>
      <c r="L15" s="154"/>
      <c r="M15" s="154"/>
      <c r="N15" s="154"/>
      <c r="O15" s="154"/>
      <c r="P15" s="154"/>
      <c r="Q15" s="154"/>
    </row>
    <row r="16" spans="1:17" x14ac:dyDescent="0.3">
      <c r="B16" s="133" t="s">
        <v>19</v>
      </c>
      <c r="C16" s="206" t="s">
        <v>882</v>
      </c>
      <c r="D16" s="133" t="s">
        <v>16</v>
      </c>
      <c r="E16" s="133"/>
      <c r="F16" s="135"/>
      <c r="G16" s="160"/>
      <c r="H16" s="161">
        <f>IF(C6="aerial",0,IF(C6="airblast",0,IF(C11="very fine to fine",0.28,IF(C11="fine to medium",0.067,0))))</f>
        <v>0</v>
      </c>
      <c r="I16" s="162">
        <f>IF(C17="aerial",0,IF(C17="airblast",0,IF(C22="very fine to fine",0.28,IF(C22="fine to medium",0.067,0))))</f>
        <v>0.28000000000000003</v>
      </c>
      <c r="J16" s="154"/>
      <c r="K16" s="154"/>
      <c r="L16" s="154"/>
      <c r="M16" s="154"/>
      <c r="N16" s="154"/>
      <c r="O16" s="154"/>
      <c r="P16" s="154"/>
      <c r="Q16" s="154"/>
    </row>
    <row r="17" spans="2:17" x14ac:dyDescent="0.3">
      <c r="B17" s="133" t="s">
        <v>1</v>
      </c>
      <c r="C17" s="206" t="s">
        <v>20</v>
      </c>
      <c r="D17" s="133" t="s">
        <v>16</v>
      </c>
      <c r="E17" s="133"/>
      <c r="G17" s="154" t="s">
        <v>739</v>
      </c>
      <c r="H17" s="154">
        <f>IF(C6="aerial", 2600, 1000)</f>
        <v>1000</v>
      </c>
      <c r="I17" s="154">
        <f>IF(C17="aerial", 2600, 1000)</f>
        <v>1000</v>
      </c>
      <c r="J17" s="154"/>
      <c r="K17" s="154"/>
      <c r="L17" s="154"/>
      <c r="M17" s="154"/>
      <c r="N17" s="154"/>
      <c r="O17" s="154"/>
      <c r="P17" s="154"/>
      <c r="Q17" s="154"/>
    </row>
    <row r="18" spans="2:17" x14ac:dyDescent="0.3">
      <c r="B18" s="133" t="s">
        <v>24</v>
      </c>
      <c r="C18" s="206">
        <v>3</v>
      </c>
      <c r="D18" s="133" t="s">
        <v>25</v>
      </c>
      <c r="E18" s="133"/>
      <c r="F18" s="135"/>
    </row>
    <row r="19" spans="2:17" x14ac:dyDescent="0.3">
      <c r="B19" s="133" t="s">
        <v>28</v>
      </c>
      <c r="C19" s="206">
        <v>1</v>
      </c>
      <c r="D19" s="133" t="s">
        <v>16</v>
      </c>
      <c r="E19" s="133"/>
    </row>
    <row r="20" spans="2:17" x14ac:dyDescent="0.3">
      <c r="B20" s="133" t="s">
        <v>30</v>
      </c>
      <c r="C20" s="206">
        <v>0</v>
      </c>
      <c r="D20" s="133" t="s">
        <v>31</v>
      </c>
      <c r="E20" s="133"/>
      <c r="F20" s="136"/>
      <c r="G20" s="136"/>
    </row>
    <row r="21" spans="2:17" x14ac:dyDescent="0.3">
      <c r="B21" s="134" t="s">
        <v>3</v>
      </c>
      <c r="C21" s="206" t="s">
        <v>36</v>
      </c>
      <c r="D21" s="133" t="s">
        <v>16</v>
      </c>
      <c r="E21" s="133"/>
      <c r="F21" s="137"/>
      <c r="G21" s="137"/>
    </row>
    <row r="22" spans="2:17" x14ac:dyDescent="0.3">
      <c r="B22" s="134" t="s">
        <v>3</v>
      </c>
      <c r="C22" s="206" t="s">
        <v>32</v>
      </c>
      <c r="D22" s="133" t="s">
        <v>16</v>
      </c>
      <c r="E22" s="133"/>
      <c r="F22" s="137"/>
      <c r="G22" s="137"/>
    </row>
    <row r="23" spans="2:17" x14ac:dyDescent="0.3">
      <c r="B23" s="134" t="s">
        <v>2</v>
      </c>
      <c r="C23" s="206" t="s">
        <v>37</v>
      </c>
      <c r="D23" s="133" t="s">
        <v>16</v>
      </c>
      <c r="E23" s="133"/>
      <c r="F23" s="137"/>
      <c r="G23" s="137"/>
    </row>
    <row r="24" spans="2:17" x14ac:dyDescent="0.3">
      <c r="B24" s="138"/>
      <c r="C24" s="139"/>
      <c r="D24" s="140"/>
      <c r="E24" s="138"/>
      <c r="F24" s="137"/>
      <c r="G24" s="137"/>
    </row>
    <row r="25" spans="2:17" x14ac:dyDescent="0.3">
      <c r="B25" s="173" t="s">
        <v>773</v>
      </c>
      <c r="C25" s="139"/>
      <c r="D25" s="140"/>
      <c r="E25" s="138"/>
      <c r="F25" s="137"/>
      <c r="G25" s="137"/>
    </row>
    <row r="26" spans="2:17" x14ac:dyDescent="0.3">
      <c r="B26" s="91" t="s">
        <v>740</v>
      </c>
      <c r="C26" s="141" t="s">
        <v>741</v>
      </c>
      <c r="D26" s="140"/>
      <c r="E26" s="138"/>
      <c r="F26" s="137"/>
      <c r="G26" s="137"/>
    </row>
    <row r="27" spans="2:17" x14ac:dyDescent="0.3">
      <c r="B27" s="123" t="s">
        <v>707</v>
      </c>
      <c r="C27" s="208" t="s">
        <v>758</v>
      </c>
      <c r="D27" s="140"/>
      <c r="E27" s="138"/>
      <c r="F27" s="137"/>
      <c r="G27" s="137"/>
    </row>
    <row r="28" spans="2:17" x14ac:dyDescent="0.3">
      <c r="B28" s="123" t="s">
        <v>708</v>
      </c>
      <c r="C28" s="208" t="s">
        <v>758</v>
      </c>
      <c r="D28" s="140"/>
      <c r="E28" s="138"/>
      <c r="F28" s="137"/>
      <c r="G28" s="137"/>
    </row>
    <row r="29" spans="2:17" x14ac:dyDescent="0.3">
      <c r="B29" s="123" t="s">
        <v>832</v>
      </c>
      <c r="C29" s="208" t="s">
        <v>880</v>
      </c>
      <c r="D29" s="140"/>
      <c r="E29" s="138"/>
      <c r="F29" s="137"/>
      <c r="G29" s="137"/>
    </row>
    <row r="30" spans="2:17" x14ac:dyDescent="0.3">
      <c r="B30" s="123" t="s">
        <v>833</v>
      </c>
      <c r="C30" s="208" t="s">
        <v>758</v>
      </c>
      <c r="D30" s="140"/>
      <c r="E30" s="138"/>
      <c r="F30" s="137"/>
      <c r="G30" s="137"/>
    </row>
    <row r="31" spans="2:17" x14ac:dyDescent="0.3">
      <c r="B31" s="123" t="s">
        <v>834</v>
      </c>
      <c r="C31" s="208" t="s">
        <v>758</v>
      </c>
      <c r="D31" s="140"/>
      <c r="E31" s="138"/>
      <c r="F31" s="137"/>
      <c r="G31" s="137"/>
    </row>
    <row r="32" spans="2:17" x14ac:dyDescent="0.3">
      <c r="B32" s="123" t="s">
        <v>835</v>
      </c>
      <c r="C32" s="208" t="s">
        <v>758</v>
      </c>
      <c r="D32" s="140"/>
      <c r="E32" s="138"/>
      <c r="F32" s="137"/>
      <c r="G32" s="137"/>
    </row>
    <row r="33" spans="2:7" x14ac:dyDescent="0.3">
      <c r="B33" s="123" t="s">
        <v>836</v>
      </c>
      <c r="C33" s="208" t="s">
        <v>758</v>
      </c>
      <c r="D33" s="140"/>
      <c r="E33" s="138"/>
      <c r="F33" s="137"/>
      <c r="G33" s="137"/>
    </row>
    <row r="34" spans="2:7" x14ac:dyDescent="0.3">
      <c r="B34" s="123" t="s">
        <v>709</v>
      </c>
      <c r="C34" s="208" t="s">
        <v>758</v>
      </c>
      <c r="D34" s="140"/>
      <c r="E34" s="138"/>
      <c r="F34" s="137"/>
      <c r="G34" s="137"/>
    </row>
    <row r="35" spans="2:7" x14ac:dyDescent="0.3">
      <c r="B35" s="123" t="s">
        <v>837</v>
      </c>
      <c r="C35" s="208" t="s">
        <v>758</v>
      </c>
      <c r="D35" s="140"/>
      <c r="E35" s="138"/>
      <c r="F35" s="137"/>
      <c r="G35" s="137"/>
    </row>
    <row r="36" spans="2:7" x14ac:dyDescent="0.3">
      <c r="B36" s="123" t="s">
        <v>838</v>
      </c>
      <c r="C36" s="208" t="s">
        <v>620</v>
      </c>
      <c r="D36" s="140"/>
      <c r="E36" s="138"/>
      <c r="F36" s="137"/>
      <c r="G36" s="137"/>
    </row>
    <row r="37" spans="2:7" x14ac:dyDescent="0.3">
      <c r="B37" s="123" t="s">
        <v>710</v>
      </c>
      <c r="C37" s="208" t="s">
        <v>758</v>
      </c>
      <c r="D37" s="140"/>
      <c r="E37" s="138"/>
      <c r="F37" s="137"/>
      <c r="G37" s="137"/>
    </row>
    <row r="38" spans="2:7" x14ac:dyDescent="0.3">
      <c r="B38" s="123" t="s">
        <v>711</v>
      </c>
      <c r="C38" s="208" t="s">
        <v>758</v>
      </c>
      <c r="D38" s="140"/>
      <c r="E38" s="138"/>
      <c r="F38" s="137"/>
      <c r="G38" s="137"/>
    </row>
    <row r="39" spans="2:7" x14ac:dyDescent="0.3">
      <c r="B39" s="123" t="s">
        <v>839</v>
      </c>
      <c r="C39" s="208" t="s">
        <v>758</v>
      </c>
      <c r="D39" s="140"/>
      <c r="E39" s="138"/>
      <c r="F39" s="137"/>
      <c r="G39" s="137"/>
    </row>
    <row r="40" spans="2:7" x14ac:dyDescent="0.3">
      <c r="B40" s="123" t="s">
        <v>712</v>
      </c>
      <c r="C40" s="208" t="s">
        <v>880</v>
      </c>
      <c r="D40" s="140"/>
      <c r="E40" s="138"/>
      <c r="F40" s="137"/>
      <c r="G40" s="137"/>
    </row>
    <row r="41" spans="2:7" x14ac:dyDescent="0.3">
      <c r="B41" s="123" t="s">
        <v>843</v>
      </c>
      <c r="C41" s="208" t="s">
        <v>758</v>
      </c>
      <c r="D41" s="140"/>
      <c r="E41" s="138"/>
      <c r="F41" s="137"/>
      <c r="G41" s="137"/>
    </row>
    <row r="42" spans="2:7" x14ac:dyDescent="0.3">
      <c r="B42" s="123" t="s">
        <v>844</v>
      </c>
      <c r="C42" s="208" t="s">
        <v>758</v>
      </c>
      <c r="D42" s="140"/>
      <c r="E42" s="138"/>
      <c r="F42" s="137"/>
      <c r="G42" s="137"/>
    </row>
    <row r="43" spans="2:7" x14ac:dyDescent="0.3">
      <c r="B43" s="123" t="s">
        <v>714</v>
      </c>
      <c r="C43" s="208" t="s">
        <v>758</v>
      </c>
      <c r="D43" s="140"/>
      <c r="E43" s="138"/>
      <c r="F43" s="137"/>
      <c r="G43" s="137"/>
    </row>
    <row r="44" spans="2:7" x14ac:dyDescent="0.3">
      <c r="B44" s="123" t="s">
        <v>715</v>
      </c>
      <c r="C44" s="208" t="s">
        <v>758</v>
      </c>
      <c r="D44" s="140"/>
      <c r="E44" s="138"/>
      <c r="F44" s="137"/>
      <c r="G44" s="137"/>
    </row>
    <row r="45" spans="2:7" x14ac:dyDescent="0.3">
      <c r="B45" s="123" t="s">
        <v>840</v>
      </c>
      <c r="C45" s="208" t="s">
        <v>758</v>
      </c>
      <c r="D45" s="140"/>
      <c r="E45" s="138"/>
      <c r="F45" s="137"/>
      <c r="G45" s="137"/>
    </row>
    <row r="46" spans="2:7" x14ac:dyDescent="0.3">
      <c r="B46" s="123" t="s">
        <v>713</v>
      </c>
      <c r="C46" s="208" t="s">
        <v>880</v>
      </c>
      <c r="D46" s="140"/>
      <c r="E46" s="138"/>
      <c r="F46" s="137"/>
      <c r="G46" s="137"/>
    </row>
    <row r="47" spans="2:7" x14ac:dyDescent="0.3">
      <c r="B47" s="123" t="s">
        <v>841</v>
      </c>
      <c r="C47" s="208" t="s">
        <v>758</v>
      </c>
      <c r="D47" s="140"/>
      <c r="E47" s="138"/>
      <c r="F47" s="137"/>
      <c r="G47" s="137"/>
    </row>
    <row r="48" spans="2:7" x14ac:dyDescent="0.3">
      <c r="B48" s="123" t="s">
        <v>842</v>
      </c>
      <c r="C48" s="208" t="s">
        <v>758</v>
      </c>
      <c r="D48" s="140"/>
      <c r="E48" s="138"/>
      <c r="F48" s="137"/>
      <c r="G48" s="137"/>
    </row>
    <row r="49" spans="2:9" x14ac:dyDescent="0.3">
      <c r="B49" s="150" t="s">
        <v>774</v>
      </c>
      <c r="C49" s="131"/>
      <c r="D49" s="131"/>
      <c r="F49" s="137"/>
      <c r="G49" s="137"/>
    </row>
    <row r="50" spans="2:9" x14ac:dyDescent="0.3">
      <c r="B50" s="91" t="s">
        <v>7</v>
      </c>
      <c r="C50" s="132" t="s">
        <v>8</v>
      </c>
      <c r="D50" s="91" t="s">
        <v>9</v>
      </c>
      <c r="E50" s="132" t="s">
        <v>803</v>
      </c>
      <c r="F50" s="132" t="s">
        <v>10</v>
      </c>
      <c r="G50" s="137"/>
      <c r="H50" s="137"/>
      <c r="I50" s="138"/>
    </row>
    <row r="51" spans="2:9" ht="28.8" x14ac:dyDescent="0.3">
      <c r="B51" s="95" t="s">
        <v>44</v>
      </c>
      <c r="C51" s="17">
        <v>5.3</v>
      </c>
      <c r="D51" s="22" t="s">
        <v>31</v>
      </c>
      <c r="E51" s="22" t="s">
        <v>887</v>
      </c>
      <c r="F51" s="133"/>
      <c r="G51" s="137"/>
      <c r="H51" s="137"/>
      <c r="I51" s="138"/>
    </row>
    <row r="52" spans="2:9" x14ac:dyDescent="0.3">
      <c r="B52" s="95" t="s">
        <v>45</v>
      </c>
      <c r="C52" s="17">
        <v>34</v>
      </c>
      <c r="D52" s="22" t="s">
        <v>31</v>
      </c>
      <c r="E52" s="22"/>
      <c r="F52" s="133"/>
      <c r="G52" s="137"/>
      <c r="H52" s="137"/>
      <c r="I52" s="138"/>
    </row>
    <row r="53" spans="2:9" x14ac:dyDescent="0.3">
      <c r="B53" s="171" t="s">
        <v>46</v>
      </c>
      <c r="C53" s="17">
        <v>0.1</v>
      </c>
      <c r="D53" s="17" t="s">
        <v>16</v>
      </c>
      <c r="E53" s="17" t="s">
        <v>888</v>
      </c>
      <c r="F53" s="209"/>
      <c r="G53" s="137"/>
      <c r="H53" s="137"/>
      <c r="I53" s="138"/>
    </row>
    <row r="54" spans="2:9" x14ac:dyDescent="0.3">
      <c r="B54" s="171" t="s">
        <v>47</v>
      </c>
      <c r="C54" s="17">
        <f>1-0.786</f>
        <v>0.21399999999999997</v>
      </c>
      <c r="D54" s="17" t="s">
        <v>16</v>
      </c>
      <c r="E54" s="17" t="s">
        <v>889</v>
      </c>
      <c r="F54" s="209"/>
      <c r="G54" s="137"/>
      <c r="H54" s="137"/>
      <c r="I54" s="138"/>
    </row>
    <row r="55" spans="2:9" x14ac:dyDescent="0.3">
      <c r="B55" s="95" t="s">
        <v>48</v>
      </c>
      <c r="C55" s="17">
        <v>3.8</v>
      </c>
      <c r="D55" s="22" t="s">
        <v>16</v>
      </c>
      <c r="E55" s="22"/>
      <c r="F55" s="133"/>
      <c r="G55" s="137"/>
      <c r="H55" s="137"/>
      <c r="I55" s="138"/>
    </row>
    <row r="56" spans="2:9" x14ac:dyDescent="0.3">
      <c r="B56" s="95" t="s">
        <v>49</v>
      </c>
      <c r="C56" s="17">
        <v>618</v>
      </c>
      <c r="D56" s="22" t="s">
        <v>50</v>
      </c>
      <c r="E56" s="22"/>
      <c r="F56" s="133"/>
      <c r="G56" s="137"/>
      <c r="H56" s="137"/>
      <c r="I56" s="138"/>
    </row>
    <row r="57" spans="2:9" x14ac:dyDescent="0.3">
      <c r="B57" s="95" t="s">
        <v>51</v>
      </c>
      <c r="C57" s="17">
        <v>65.5</v>
      </c>
      <c r="D57" s="22" t="s">
        <v>52</v>
      </c>
      <c r="E57" s="22"/>
      <c r="F57" s="133"/>
      <c r="G57" s="137"/>
      <c r="H57" s="137"/>
      <c r="I57" s="138"/>
    </row>
    <row r="58" spans="2:9" ht="16.2" x14ac:dyDescent="0.3">
      <c r="B58" s="95" t="s">
        <v>53</v>
      </c>
      <c r="C58" s="210">
        <v>4.4999999999999998E-7</v>
      </c>
      <c r="D58" s="211" t="s">
        <v>54</v>
      </c>
      <c r="E58" s="22"/>
      <c r="F58" s="133"/>
      <c r="G58" s="137"/>
      <c r="H58" s="137"/>
      <c r="I58" s="138"/>
    </row>
    <row r="59" spans="2:9" ht="15.6" x14ac:dyDescent="0.3">
      <c r="B59" s="95" t="s">
        <v>723</v>
      </c>
      <c r="C59" s="212">
        <v>280</v>
      </c>
      <c r="D59" s="211" t="s">
        <v>55</v>
      </c>
      <c r="E59" s="211" t="s">
        <v>883</v>
      </c>
      <c r="F59" s="133"/>
      <c r="G59" s="137"/>
      <c r="H59" s="137"/>
      <c r="I59" s="138"/>
    </row>
    <row r="60" spans="2:9" ht="28.8" x14ac:dyDescent="0.3">
      <c r="B60" s="95" t="s">
        <v>724</v>
      </c>
      <c r="C60" s="212">
        <v>280</v>
      </c>
      <c r="D60" s="211" t="s">
        <v>55</v>
      </c>
      <c r="E60" s="211" t="s">
        <v>883</v>
      </c>
      <c r="F60" s="142"/>
      <c r="G60" s="137"/>
      <c r="H60" s="137"/>
      <c r="I60" s="138"/>
    </row>
    <row r="61" spans="2:9" ht="15.6" x14ac:dyDescent="0.3">
      <c r="B61" s="172" t="s">
        <v>725</v>
      </c>
      <c r="C61" s="213">
        <v>25</v>
      </c>
      <c r="D61" s="211" t="s">
        <v>55</v>
      </c>
      <c r="E61" s="211" t="s">
        <v>890</v>
      </c>
      <c r="F61" s="143"/>
      <c r="G61" s="137"/>
      <c r="H61" s="137"/>
      <c r="I61" s="138"/>
    </row>
    <row r="62" spans="2:9" ht="28.8" x14ac:dyDescent="0.3">
      <c r="B62" s="172" t="s">
        <v>726</v>
      </c>
      <c r="C62" s="213">
        <v>82</v>
      </c>
      <c r="D62" s="211" t="s">
        <v>55</v>
      </c>
      <c r="E62" s="4" t="s">
        <v>891</v>
      </c>
      <c r="F62" s="144"/>
      <c r="G62" s="137"/>
      <c r="H62" s="137"/>
      <c r="I62" s="138"/>
    </row>
    <row r="63" spans="2:9" x14ac:dyDescent="0.3">
      <c r="B63" s="99" t="s">
        <v>727</v>
      </c>
      <c r="C63" s="214">
        <v>88</v>
      </c>
      <c r="D63" s="211" t="s">
        <v>55</v>
      </c>
      <c r="E63" s="211" t="s">
        <v>890</v>
      </c>
      <c r="F63" s="145"/>
      <c r="G63" s="137"/>
      <c r="H63" s="137"/>
      <c r="I63" s="138"/>
    </row>
    <row r="64" spans="2:9" x14ac:dyDescent="0.3">
      <c r="B64" s="95" t="s">
        <v>728</v>
      </c>
      <c r="C64" s="214">
        <v>213</v>
      </c>
      <c r="D64" s="211" t="s">
        <v>55</v>
      </c>
      <c r="E64" s="4" t="s">
        <v>892</v>
      </c>
      <c r="F64" s="146"/>
      <c r="G64" s="137"/>
      <c r="H64" s="137"/>
      <c r="I64" s="138"/>
    </row>
    <row r="65" spans="2:11" x14ac:dyDescent="0.3">
      <c r="B65" s="95" t="s">
        <v>759</v>
      </c>
      <c r="C65" s="214">
        <v>10</v>
      </c>
      <c r="D65" s="211" t="s">
        <v>56</v>
      </c>
      <c r="E65" s="211"/>
      <c r="F65" s="133"/>
      <c r="G65" s="137"/>
      <c r="H65" s="137"/>
      <c r="I65" s="138"/>
    </row>
    <row r="66" spans="2:11" x14ac:dyDescent="0.3">
      <c r="B66" s="95" t="s">
        <v>760</v>
      </c>
      <c r="C66" s="214">
        <v>100</v>
      </c>
      <c r="D66" s="211" t="s">
        <v>56</v>
      </c>
      <c r="E66" s="211"/>
      <c r="F66" s="133"/>
      <c r="G66" s="137"/>
      <c r="H66" s="137"/>
      <c r="I66" s="138"/>
    </row>
    <row r="67" spans="2:11" x14ac:dyDescent="0.3">
      <c r="B67" s="138"/>
      <c r="C67" s="139"/>
      <c r="D67" s="140"/>
      <c r="E67" s="138"/>
      <c r="F67" s="137"/>
      <c r="G67" s="137"/>
      <c r="H67" s="138"/>
    </row>
    <row r="68" spans="2:11" x14ac:dyDescent="0.3">
      <c r="B68" s="150" t="s">
        <v>775</v>
      </c>
      <c r="C68" s="169"/>
      <c r="D68" s="169"/>
      <c r="E68" s="129" t="s">
        <v>797</v>
      </c>
      <c r="F68" s="131"/>
      <c r="H68" s="138"/>
    </row>
    <row r="69" spans="2:11" ht="28.8" x14ac:dyDescent="0.3">
      <c r="B69" s="90" t="s">
        <v>57</v>
      </c>
      <c r="C69" s="91" t="s">
        <v>58</v>
      </c>
      <c r="D69" s="92" t="s">
        <v>59</v>
      </c>
      <c r="E69" s="132" t="s">
        <v>8</v>
      </c>
      <c r="F69" s="132" t="s">
        <v>60</v>
      </c>
      <c r="G69" s="132" t="s">
        <v>820</v>
      </c>
      <c r="H69" s="132" t="s">
        <v>803</v>
      </c>
      <c r="I69" s="132" t="s">
        <v>10</v>
      </c>
      <c r="J69" s="138"/>
    </row>
    <row r="70" spans="2:11" ht="86.4" x14ac:dyDescent="0.3">
      <c r="B70" s="94" t="s">
        <v>61</v>
      </c>
      <c r="C70" s="95" t="s">
        <v>62</v>
      </c>
      <c r="D70" s="96" t="s">
        <v>63</v>
      </c>
      <c r="E70" s="198">
        <v>2.38</v>
      </c>
      <c r="F70" s="22">
        <v>20</v>
      </c>
      <c r="G70" s="22" t="s">
        <v>885</v>
      </c>
      <c r="H70" s="198" t="s">
        <v>893</v>
      </c>
      <c r="I70" s="22" t="s">
        <v>894</v>
      </c>
    </row>
    <row r="71" spans="2:11" ht="86.4" x14ac:dyDescent="0.3">
      <c r="B71" s="98"/>
      <c r="C71" s="95" t="s">
        <v>64</v>
      </c>
      <c r="D71" s="96" t="s">
        <v>65</v>
      </c>
      <c r="E71" s="198">
        <v>37.799999999999997</v>
      </c>
      <c r="F71" s="22">
        <v>20</v>
      </c>
      <c r="G71" s="22" t="s">
        <v>885</v>
      </c>
      <c r="H71" s="198" t="s">
        <v>893</v>
      </c>
      <c r="I71" s="22" t="s">
        <v>894</v>
      </c>
      <c r="J71" s="148"/>
    </row>
    <row r="72" spans="2:11" ht="86.4" x14ac:dyDescent="0.3">
      <c r="B72" s="98"/>
      <c r="C72" s="95" t="s">
        <v>66</v>
      </c>
      <c r="D72" s="96" t="s">
        <v>67</v>
      </c>
      <c r="E72" s="198">
        <v>105</v>
      </c>
      <c r="F72" s="22">
        <v>20</v>
      </c>
      <c r="G72" s="22" t="s">
        <v>885</v>
      </c>
      <c r="H72" s="198" t="s">
        <v>893</v>
      </c>
      <c r="I72" s="22" t="s">
        <v>894</v>
      </c>
    </row>
    <row r="73" spans="2:11" ht="86.4" x14ac:dyDescent="0.3">
      <c r="B73" s="98"/>
      <c r="C73" s="95" t="s">
        <v>66</v>
      </c>
      <c r="D73" s="96" t="s">
        <v>68</v>
      </c>
      <c r="E73" s="198">
        <v>105</v>
      </c>
      <c r="F73" s="22">
        <v>20</v>
      </c>
      <c r="G73" s="22" t="s">
        <v>885</v>
      </c>
      <c r="H73" s="215" t="s">
        <v>893</v>
      </c>
      <c r="I73" s="22" t="s">
        <v>894</v>
      </c>
    </row>
    <row r="74" spans="2:11" ht="57.6" x14ac:dyDescent="0.3">
      <c r="B74" s="98"/>
      <c r="C74" s="95" t="s">
        <v>66</v>
      </c>
      <c r="D74" s="170" t="s">
        <v>69</v>
      </c>
      <c r="E74" s="198">
        <v>455</v>
      </c>
      <c r="F74" s="198">
        <v>350</v>
      </c>
      <c r="G74" s="198" t="s">
        <v>885</v>
      </c>
      <c r="H74" s="216" t="s">
        <v>895</v>
      </c>
      <c r="I74" s="217"/>
    </row>
    <row r="75" spans="2:11" ht="72" x14ac:dyDescent="0.3">
      <c r="B75" s="98"/>
      <c r="C75" s="95" t="s">
        <v>66</v>
      </c>
      <c r="D75" s="96" t="s">
        <v>70</v>
      </c>
      <c r="E75" s="22">
        <v>120</v>
      </c>
      <c r="F75" s="22">
        <v>350</v>
      </c>
      <c r="G75" s="22" t="s">
        <v>885</v>
      </c>
      <c r="H75" s="218" t="s">
        <v>896</v>
      </c>
      <c r="I75" s="17" t="s">
        <v>897</v>
      </c>
    </row>
    <row r="76" spans="2:11" ht="115.2" x14ac:dyDescent="0.3">
      <c r="B76" s="98"/>
      <c r="C76" s="95" t="s">
        <v>62</v>
      </c>
      <c r="D76" s="96" t="s">
        <v>71</v>
      </c>
      <c r="E76" s="198">
        <v>0.35</v>
      </c>
      <c r="F76" s="22">
        <v>350</v>
      </c>
      <c r="G76" s="22" t="s">
        <v>898</v>
      </c>
      <c r="H76" s="219" t="s">
        <v>899</v>
      </c>
      <c r="I76" s="220" t="s">
        <v>900</v>
      </c>
      <c r="K76" s="135"/>
    </row>
    <row r="77" spans="2:11" ht="111" thickBot="1" x14ac:dyDescent="0.35">
      <c r="B77" s="99"/>
      <c r="C77" s="95" t="s">
        <v>64</v>
      </c>
      <c r="D77" s="95" t="s">
        <v>72</v>
      </c>
      <c r="E77" s="201">
        <v>0.52</v>
      </c>
      <c r="F77" s="202">
        <v>350</v>
      </c>
      <c r="G77" s="202" t="s">
        <v>898</v>
      </c>
      <c r="H77" s="221" t="s">
        <v>901</v>
      </c>
      <c r="I77" s="222" t="s">
        <v>900</v>
      </c>
    </row>
    <row r="78" spans="2:11" x14ac:dyDescent="0.3">
      <c r="B78" s="98" t="s">
        <v>73</v>
      </c>
      <c r="C78" s="99" t="s">
        <v>62</v>
      </c>
      <c r="D78" s="162" t="s">
        <v>63</v>
      </c>
      <c r="E78" s="17">
        <v>1.9E-2</v>
      </c>
      <c r="F78" s="17">
        <v>100</v>
      </c>
      <c r="G78" s="223"/>
      <c r="H78" s="17" t="s">
        <v>902</v>
      </c>
      <c r="I78" s="223"/>
    </row>
    <row r="79" spans="2:11" x14ac:dyDescent="0.3">
      <c r="B79" s="98"/>
      <c r="C79" s="95" t="s">
        <v>64</v>
      </c>
      <c r="D79" s="96" t="s">
        <v>65</v>
      </c>
      <c r="E79" s="17">
        <v>0.19</v>
      </c>
      <c r="F79" s="17">
        <v>100</v>
      </c>
      <c r="G79" s="17"/>
      <c r="H79" s="17" t="s">
        <v>902</v>
      </c>
      <c r="I79" s="17"/>
    </row>
    <row r="80" spans="2:11" ht="28.8" x14ac:dyDescent="0.3">
      <c r="B80" s="98"/>
      <c r="C80" s="95" t="s">
        <v>66</v>
      </c>
      <c r="D80" s="96" t="s">
        <v>67</v>
      </c>
      <c r="E80" s="17">
        <v>1.18</v>
      </c>
      <c r="F80" s="17">
        <v>1580</v>
      </c>
      <c r="G80" s="17"/>
      <c r="H80" s="17" t="s">
        <v>903</v>
      </c>
      <c r="I80" s="17"/>
      <c r="K80" s="135"/>
    </row>
    <row r="81" spans="2:11" x14ac:dyDescent="0.3">
      <c r="B81" s="98"/>
      <c r="C81" s="95" t="s">
        <v>66</v>
      </c>
      <c r="D81" s="96" t="s">
        <v>74</v>
      </c>
      <c r="E81" s="17">
        <v>0.43</v>
      </c>
      <c r="F81" s="17">
        <v>100</v>
      </c>
      <c r="G81" s="17"/>
      <c r="H81" s="17" t="s">
        <v>902</v>
      </c>
      <c r="I81" s="17"/>
    </row>
    <row r="82" spans="2:11" x14ac:dyDescent="0.3">
      <c r="B82" s="98"/>
      <c r="C82" s="95" t="s">
        <v>66</v>
      </c>
      <c r="D82" s="96" t="s">
        <v>75</v>
      </c>
      <c r="E82" s="17">
        <v>1.51</v>
      </c>
      <c r="F82" s="17">
        <v>100</v>
      </c>
      <c r="G82" s="17"/>
      <c r="H82" s="17" t="s">
        <v>902</v>
      </c>
      <c r="I82" s="17"/>
      <c r="J82" s="128" t="s">
        <v>620</v>
      </c>
    </row>
    <row r="83" spans="2:11" x14ac:dyDescent="0.3">
      <c r="B83" s="98"/>
      <c r="C83" s="95" t="s">
        <v>66</v>
      </c>
      <c r="D83" s="96" t="s">
        <v>76</v>
      </c>
      <c r="E83" s="17">
        <v>14.15</v>
      </c>
      <c r="F83" s="17">
        <v>100</v>
      </c>
      <c r="G83" s="17"/>
      <c r="H83" s="17" t="s">
        <v>902</v>
      </c>
      <c r="I83" s="17"/>
    </row>
    <row r="84" spans="2:11" x14ac:dyDescent="0.3">
      <c r="B84" s="98"/>
      <c r="C84" s="95" t="s">
        <v>66</v>
      </c>
      <c r="D84" s="96" t="s">
        <v>77</v>
      </c>
      <c r="E84" s="17">
        <v>0.63</v>
      </c>
      <c r="F84" s="17" t="s">
        <v>904</v>
      </c>
      <c r="G84" s="17"/>
      <c r="H84" s="17" t="s">
        <v>905</v>
      </c>
      <c r="I84" s="17"/>
    </row>
    <row r="85" spans="2:11" ht="28.8" x14ac:dyDescent="0.3">
      <c r="B85" s="98"/>
      <c r="C85" s="95" t="s">
        <v>62</v>
      </c>
      <c r="D85" s="96" t="s">
        <v>72</v>
      </c>
      <c r="E85" s="17">
        <v>0.316</v>
      </c>
      <c r="F85" s="17">
        <v>1580</v>
      </c>
      <c r="G85" s="17" t="s">
        <v>906</v>
      </c>
      <c r="H85" s="224" t="s">
        <v>907</v>
      </c>
      <c r="I85" s="225" t="s">
        <v>908</v>
      </c>
    </row>
    <row r="86" spans="2:11" ht="29.4" thickBot="1" x14ac:dyDescent="0.35">
      <c r="B86" s="99"/>
      <c r="C86" s="95" t="s">
        <v>64</v>
      </c>
      <c r="D86" s="96" t="s">
        <v>72</v>
      </c>
      <c r="E86" s="17">
        <v>0.68100000000000005</v>
      </c>
      <c r="F86" s="17">
        <v>1580</v>
      </c>
      <c r="G86" s="226" t="s">
        <v>909</v>
      </c>
      <c r="H86" s="224" t="s">
        <v>907</v>
      </c>
      <c r="I86" s="225" t="s">
        <v>908</v>
      </c>
    </row>
    <row r="87" spans="2:11" x14ac:dyDescent="0.3">
      <c r="B87" s="98" t="s">
        <v>705</v>
      </c>
      <c r="C87" s="95" t="s">
        <v>62</v>
      </c>
      <c r="D87" s="96" t="s">
        <v>63</v>
      </c>
      <c r="E87" s="17">
        <v>1.9E-2</v>
      </c>
      <c r="F87" s="17">
        <v>100</v>
      </c>
      <c r="G87" s="223"/>
      <c r="H87" s="17" t="s">
        <v>902</v>
      </c>
      <c r="I87" s="22"/>
    </row>
    <row r="88" spans="2:11" x14ac:dyDescent="0.3">
      <c r="B88" s="98" t="s">
        <v>78</v>
      </c>
      <c r="C88" s="95" t="s">
        <v>64</v>
      </c>
      <c r="D88" s="96" t="s">
        <v>65</v>
      </c>
      <c r="E88" s="17">
        <v>0.19</v>
      </c>
      <c r="F88" s="17">
        <v>100</v>
      </c>
      <c r="G88" s="17"/>
      <c r="H88" s="17" t="s">
        <v>902</v>
      </c>
      <c r="I88" s="22"/>
    </row>
    <row r="89" spans="2:11" ht="100.8" x14ac:dyDescent="0.3">
      <c r="B89" s="98"/>
      <c r="C89" s="95" t="s">
        <v>66</v>
      </c>
      <c r="D89" s="96" t="s">
        <v>67</v>
      </c>
      <c r="E89" s="17">
        <v>1.18</v>
      </c>
      <c r="F89" s="17">
        <v>1580</v>
      </c>
      <c r="G89" s="17"/>
      <c r="H89" s="17" t="s">
        <v>903</v>
      </c>
      <c r="I89" s="22" t="s">
        <v>910</v>
      </c>
    </row>
    <row r="90" spans="2:11" ht="28.8" x14ac:dyDescent="0.3">
      <c r="B90" s="98"/>
      <c r="C90" s="95" t="s">
        <v>62</v>
      </c>
      <c r="D90" s="96" t="s">
        <v>72</v>
      </c>
      <c r="E90" s="17">
        <v>0.316</v>
      </c>
      <c r="F90" s="17">
        <v>1580</v>
      </c>
      <c r="G90" s="17" t="s">
        <v>906</v>
      </c>
      <c r="H90" s="227" t="s">
        <v>907</v>
      </c>
      <c r="I90" s="225" t="s">
        <v>908</v>
      </c>
    </row>
    <row r="91" spans="2:11" ht="29.4" thickBot="1" x14ac:dyDescent="0.35">
      <c r="B91" s="99"/>
      <c r="C91" s="95" t="s">
        <v>64</v>
      </c>
      <c r="D91" s="96" t="s">
        <v>72</v>
      </c>
      <c r="E91" s="17">
        <v>0.68100000000000005</v>
      </c>
      <c r="F91" s="17">
        <v>1580</v>
      </c>
      <c r="G91" s="226" t="s">
        <v>911</v>
      </c>
      <c r="H91" s="227" t="s">
        <v>907</v>
      </c>
      <c r="I91" s="225" t="s">
        <v>908</v>
      </c>
    </row>
    <row r="92" spans="2:11" x14ac:dyDescent="0.3">
      <c r="E92" s="203"/>
      <c r="F92" s="203"/>
      <c r="G92" s="203"/>
      <c r="H92" s="203"/>
      <c r="I92" s="203"/>
    </row>
    <row r="93" spans="2:11" x14ac:dyDescent="0.3">
      <c r="B93" s="150" t="s">
        <v>776</v>
      </c>
      <c r="C93" s="169"/>
      <c r="D93" s="169"/>
      <c r="E93" s="204" t="s">
        <v>797</v>
      </c>
      <c r="F93" s="203"/>
      <c r="G93" s="203"/>
      <c r="H93" s="203"/>
      <c r="I93" s="203"/>
    </row>
    <row r="94" spans="2:11" x14ac:dyDescent="0.3">
      <c r="B94" s="90" t="s">
        <v>57</v>
      </c>
      <c r="C94" s="91" t="s">
        <v>58</v>
      </c>
      <c r="D94" s="92" t="s">
        <v>59</v>
      </c>
      <c r="E94" s="9" t="s">
        <v>8</v>
      </c>
      <c r="F94" s="9" t="s">
        <v>884</v>
      </c>
      <c r="G94" s="9" t="s">
        <v>803</v>
      </c>
      <c r="H94" s="9" t="s">
        <v>10</v>
      </c>
      <c r="I94" s="203"/>
    </row>
    <row r="95" spans="2:11" ht="43.2" x14ac:dyDescent="0.3">
      <c r="B95" s="94" t="s">
        <v>61</v>
      </c>
      <c r="C95" s="95" t="s">
        <v>62</v>
      </c>
      <c r="D95" s="96" t="s">
        <v>63</v>
      </c>
      <c r="E95" s="22">
        <v>15.9</v>
      </c>
      <c r="F95" s="22"/>
      <c r="G95" s="22" t="s">
        <v>912</v>
      </c>
      <c r="H95" s="22" t="s">
        <v>913</v>
      </c>
      <c r="I95" s="203"/>
    </row>
    <row r="96" spans="2:11" ht="43.2" x14ac:dyDescent="0.3">
      <c r="B96" s="98"/>
      <c r="C96" s="95" t="s">
        <v>64</v>
      </c>
      <c r="D96" s="96" t="s">
        <v>65</v>
      </c>
      <c r="E96" s="22">
        <v>252</v>
      </c>
      <c r="F96" s="22"/>
      <c r="G96" s="22" t="s">
        <v>912</v>
      </c>
      <c r="H96" s="22" t="s">
        <v>913</v>
      </c>
      <c r="I96" s="203"/>
      <c r="J96" s="138"/>
      <c r="K96" s="138"/>
    </row>
    <row r="97" spans="2:11" ht="43.2" x14ac:dyDescent="0.3">
      <c r="B97" s="98"/>
      <c r="C97" s="95" t="s">
        <v>66</v>
      </c>
      <c r="D97" s="95" t="s">
        <v>80</v>
      </c>
      <c r="E97" s="22">
        <v>700</v>
      </c>
      <c r="F97" s="22"/>
      <c r="G97" s="22" t="s">
        <v>912</v>
      </c>
      <c r="H97" s="22" t="s">
        <v>913</v>
      </c>
      <c r="I97" s="203"/>
      <c r="J97" s="138"/>
      <c r="K97" s="138"/>
    </row>
    <row r="98" spans="2:11" ht="43.8" thickBot="1" x14ac:dyDescent="0.35">
      <c r="B98" s="98"/>
      <c r="C98" s="95" t="s">
        <v>62</v>
      </c>
      <c r="D98" s="95" t="s">
        <v>71</v>
      </c>
      <c r="E98" s="22">
        <v>2.2999999999999998</v>
      </c>
      <c r="F98" s="202" t="s">
        <v>898</v>
      </c>
      <c r="G98" s="22" t="s">
        <v>912</v>
      </c>
      <c r="H98" s="22" t="s">
        <v>913</v>
      </c>
      <c r="I98" s="23"/>
      <c r="J98" s="138"/>
      <c r="K98" s="138"/>
    </row>
    <row r="99" spans="2:11" x14ac:dyDescent="0.3">
      <c r="B99" s="98"/>
      <c r="C99" s="95" t="s">
        <v>62</v>
      </c>
      <c r="D99" s="96" t="s">
        <v>81</v>
      </c>
      <c r="E99" s="22" t="s">
        <v>13</v>
      </c>
      <c r="F99" s="198"/>
      <c r="G99" s="22"/>
      <c r="H99" s="198"/>
      <c r="I99" s="23"/>
      <c r="J99" s="138"/>
      <c r="K99" s="138"/>
    </row>
    <row r="100" spans="2:11" ht="57.6" x14ac:dyDescent="0.3">
      <c r="B100" s="98"/>
      <c r="C100" s="95" t="s">
        <v>66</v>
      </c>
      <c r="D100" s="96" t="s">
        <v>82</v>
      </c>
      <c r="E100" s="198">
        <v>3.8</v>
      </c>
      <c r="F100" s="198" t="s">
        <v>914</v>
      </c>
      <c r="G100" s="22" t="s">
        <v>915</v>
      </c>
      <c r="H100" s="198"/>
      <c r="I100" s="205"/>
      <c r="J100" s="138"/>
      <c r="K100" s="138"/>
    </row>
    <row r="101" spans="2:11" x14ac:dyDescent="0.3">
      <c r="B101" s="98"/>
      <c r="C101" s="95" t="s">
        <v>62</v>
      </c>
      <c r="D101" s="96" t="s">
        <v>83</v>
      </c>
      <c r="E101" s="22" t="s">
        <v>13</v>
      </c>
      <c r="F101" s="198"/>
      <c r="G101" s="22"/>
      <c r="H101" s="198"/>
      <c r="I101" s="205"/>
      <c r="J101" s="138"/>
      <c r="K101" s="138"/>
    </row>
    <row r="102" spans="2:11" ht="72" x14ac:dyDescent="0.3">
      <c r="B102" s="98"/>
      <c r="C102" s="95" t="s">
        <v>66</v>
      </c>
      <c r="D102" s="96" t="s">
        <v>84</v>
      </c>
      <c r="E102" s="198">
        <v>13.4</v>
      </c>
      <c r="F102" s="198" t="s">
        <v>916</v>
      </c>
      <c r="G102" s="22" t="s">
        <v>917</v>
      </c>
      <c r="H102" s="198"/>
      <c r="I102" s="205"/>
      <c r="J102" s="138"/>
      <c r="K102" s="138"/>
    </row>
    <row r="103" spans="2:11" ht="57.6" x14ac:dyDescent="0.3">
      <c r="B103" s="98"/>
      <c r="C103" s="95" t="s">
        <v>62</v>
      </c>
      <c r="D103" s="96" t="s">
        <v>85</v>
      </c>
      <c r="E103" s="22">
        <v>0.1</v>
      </c>
      <c r="F103" s="198" t="s">
        <v>918</v>
      </c>
      <c r="G103" s="198" t="s">
        <v>919</v>
      </c>
      <c r="H103" s="198"/>
      <c r="I103" s="205"/>
      <c r="J103" s="138"/>
      <c r="K103" s="138"/>
    </row>
    <row r="104" spans="2:11" ht="57.6" x14ac:dyDescent="0.3">
      <c r="B104" s="98"/>
      <c r="C104" s="95" t="s">
        <v>66</v>
      </c>
      <c r="D104" s="96" t="s">
        <v>86</v>
      </c>
      <c r="E104" s="198">
        <v>1</v>
      </c>
      <c r="F104" s="198" t="s">
        <v>918</v>
      </c>
      <c r="G104" s="198" t="s">
        <v>920</v>
      </c>
      <c r="H104" s="198"/>
      <c r="I104" s="205"/>
      <c r="J104" s="138"/>
      <c r="K104" s="138"/>
    </row>
    <row r="105" spans="2:11" x14ac:dyDescent="0.3">
      <c r="B105" s="98"/>
      <c r="C105" s="95" t="s">
        <v>62</v>
      </c>
      <c r="D105" s="96" t="s">
        <v>87</v>
      </c>
      <c r="E105" s="198" t="s">
        <v>13</v>
      </c>
      <c r="F105" s="22"/>
      <c r="G105" s="198"/>
      <c r="H105" s="198"/>
      <c r="I105" s="203"/>
      <c r="J105" s="138"/>
      <c r="K105" s="138"/>
    </row>
    <row r="106" spans="2:11" x14ac:dyDescent="0.3">
      <c r="B106" s="98"/>
      <c r="C106" s="95" t="s">
        <v>66</v>
      </c>
      <c r="D106" s="96" t="s">
        <v>88</v>
      </c>
      <c r="E106" s="198" t="s">
        <v>13</v>
      </c>
      <c r="F106" s="22"/>
      <c r="G106" s="198"/>
      <c r="H106" s="198"/>
      <c r="I106" s="203"/>
      <c r="J106" s="138"/>
      <c r="K106" s="138"/>
    </row>
    <row r="107" spans="2:11" ht="58.2" thickBot="1" x14ac:dyDescent="0.35">
      <c r="B107" s="99"/>
      <c r="C107" s="95" t="s">
        <v>64</v>
      </c>
      <c r="D107" s="95" t="s">
        <v>71</v>
      </c>
      <c r="E107" s="22">
        <f>0.52*20</f>
        <v>10.4</v>
      </c>
      <c r="F107" s="202" t="s">
        <v>898</v>
      </c>
      <c r="G107" s="22" t="s">
        <v>921</v>
      </c>
      <c r="H107" s="199"/>
      <c r="I107" s="203"/>
      <c r="J107" s="138"/>
      <c r="K107" s="138"/>
    </row>
    <row r="108" spans="2:11" ht="28.8" x14ac:dyDescent="0.3">
      <c r="B108" s="98" t="s">
        <v>73</v>
      </c>
      <c r="C108" s="95" t="s">
        <v>62</v>
      </c>
      <c r="D108" s="96" t="s">
        <v>63</v>
      </c>
      <c r="E108" s="22">
        <v>2.5</v>
      </c>
      <c r="F108" s="22"/>
      <c r="G108" s="22" t="s">
        <v>922</v>
      </c>
      <c r="H108" s="22" t="s">
        <v>923</v>
      </c>
      <c r="I108" s="203"/>
      <c r="J108" s="138"/>
      <c r="K108" s="138"/>
    </row>
    <row r="109" spans="2:11" ht="28.8" x14ac:dyDescent="0.3">
      <c r="B109" s="98"/>
      <c r="C109" s="95" t="s">
        <v>64</v>
      </c>
      <c r="D109" s="96" t="s">
        <v>65</v>
      </c>
      <c r="E109" s="22">
        <v>18</v>
      </c>
      <c r="F109" s="22"/>
      <c r="G109" s="22" t="s">
        <v>922</v>
      </c>
      <c r="H109" s="22" t="s">
        <v>923</v>
      </c>
      <c r="I109" s="203"/>
      <c r="J109" s="138"/>
      <c r="K109" s="138"/>
    </row>
    <row r="110" spans="2:11" ht="15.75" customHeight="1" x14ac:dyDescent="0.3">
      <c r="B110" s="98"/>
      <c r="C110" s="95" t="s">
        <v>66</v>
      </c>
      <c r="D110" s="95" t="s">
        <v>80</v>
      </c>
      <c r="E110" s="22">
        <v>38</v>
      </c>
      <c r="F110" s="22"/>
      <c r="G110" s="22" t="s">
        <v>922</v>
      </c>
      <c r="H110" s="22" t="s">
        <v>923</v>
      </c>
      <c r="I110" s="203"/>
      <c r="J110" s="138"/>
      <c r="K110" s="138"/>
    </row>
    <row r="111" spans="2:11" ht="43.2" x14ac:dyDescent="0.3">
      <c r="B111" s="98"/>
      <c r="C111" s="95" t="s">
        <v>62</v>
      </c>
      <c r="D111" s="96" t="s">
        <v>72</v>
      </c>
      <c r="E111" s="22">
        <v>4</v>
      </c>
      <c r="F111" s="22" t="s">
        <v>924</v>
      </c>
      <c r="G111" s="22" t="s">
        <v>925</v>
      </c>
      <c r="H111" s="22" t="s">
        <v>926</v>
      </c>
      <c r="I111" s="203"/>
      <c r="J111" s="138"/>
      <c r="K111" s="138"/>
    </row>
    <row r="112" spans="2:11" ht="43.2" x14ac:dyDescent="0.3">
      <c r="B112" s="98"/>
      <c r="C112" s="95" t="s">
        <v>62</v>
      </c>
      <c r="D112" s="96" t="s">
        <v>81</v>
      </c>
      <c r="E112" s="22">
        <v>8.3000000000000007</v>
      </c>
      <c r="F112" s="22" t="s">
        <v>16</v>
      </c>
      <c r="G112" s="22" t="s">
        <v>925</v>
      </c>
      <c r="H112" s="22" t="s">
        <v>926</v>
      </c>
      <c r="I112" s="203"/>
      <c r="J112" s="138"/>
      <c r="K112" s="138"/>
    </row>
    <row r="113" spans="2:11" ht="43.2" x14ac:dyDescent="0.3">
      <c r="B113" s="98"/>
      <c r="C113" s="95" t="s">
        <v>66</v>
      </c>
      <c r="D113" s="96" t="s">
        <v>82</v>
      </c>
      <c r="E113" s="22">
        <v>16.3</v>
      </c>
      <c r="F113" s="22" t="s">
        <v>927</v>
      </c>
      <c r="G113" s="22" t="s">
        <v>925</v>
      </c>
      <c r="H113" s="22" t="s">
        <v>926</v>
      </c>
      <c r="I113" s="203"/>
      <c r="J113" s="138"/>
      <c r="K113" s="138"/>
    </row>
    <row r="114" spans="2:11" ht="43.2" x14ac:dyDescent="0.3">
      <c r="B114" s="98"/>
      <c r="C114" s="95" t="s">
        <v>62</v>
      </c>
      <c r="D114" s="96" t="s">
        <v>83</v>
      </c>
      <c r="E114" s="22">
        <v>8.3000000000000007</v>
      </c>
      <c r="F114" s="22" t="s">
        <v>16</v>
      </c>
      <c r="G114" s="22" t="s">
        <v>925</v>
      </c>
      <c r="H114" s="22" t="s">
        <v>926</v>
      </c>
      <c r="I114" s="203"/>
      <c r="J114" s="138"/>
      <c r="K114" s="138"/>
    </row>
    <row r="115" spans="2:11" ht="43.2" x14ac:dyDescent="0.3">
      <c r="B115" s="98"/>
      <c r="C115" s="95" t="s">
        <v>66</v>
      </c>
      <c r="D115" s="96" t="s">
        <v>84</v>
      </c>
      <c r="E115" s="24">
        <v>16.3</v>
      </c>
      <c r="F115" s="24" t="s">
        <v>928</v>
      </c>
      <c r="G115" s="24" t="s">
        <v>925</v>
      </c>
      <c r="H115" s="24" t="s">
        <v>926</v>
      </c>
      <c r="I115" s="203"/>
      <c r="J115" s="138"/>
      <c r="K115" s="138"/>
    </row>
    <row r="116" spans="2:11" ht="43.2" x14ac:dyDescent="0.3">
      <c r="B116" s="98"/>
      <c r="C116" s="95" t="s">
        <v>62</v>
      </c>
      <c r="D116" s="96" t="s">
        <v>85</v>
      </c>
      <c r="E116" s="228">
        <v>35</v>
      </c>
      <c r="F116" s="229" t="s">
        <v>929</v>
      </c>
      <c r="G116" s="230" t="s">
        <v>930</v>
      </c>
      <c r="H116" s="230" t="s">
        <v>931</v>
      </c>
      <c r="I116" s="203"/>
      <c r="J116" s="138"/>
      <c r="K116" s="138"/>
    </row>
    <row r="117" spans="2:11" ht="43.2" x14ac:dyDescent="0.3">
      <c r="B117" s="98"/>
      <c r="C117" s="95" t="s">
        <v>66</v>
      </c>
      <c r="D117" s="96" t="s">
        <v>86</v>
      </c>
      <c r="E117" s="228">
        <v>50</v>
      </c>
      <c r="F117" s="229" t="s">
        <v>929</v>
      </c>
      <c r="G117" s="230" t="s">
        <v>930</v>
      </c>
      <c r="H117" s="230" t="s">
        <v>931</v>
      </c>
      <c r="I117" s="203"/>
      <c r="J117" s="138"/>
      <c r="K117" s="138"/>
    </row>
    <row r="118" spans="2:11" x14ac:dyDescent="0.3">
      <c r="B118" s="98"/>
      <c r="C118" s="95" t="s">
        <v>62</v>
      </c>
      <c r="D118" s="96" t="s">
        <v>87</v>
      </c>
      <c r="E118" s="231" t="s">
        <v>13</v>
      </c>
      <c r="F118" s="229"/>
      <c r="G118" s="231"/>
      <c r="H118" s="229"/>
      <c r="I118" s="203"/>
      <c r="J118" s="138"/>
      <c r="K118" s="138"/>
    </row>
    <row r="119" spans="2:11" x14ac:dyDescent="0.3">
      <c r="B119" s="98"/>
      <c r="C119" s="95" t="s">
        <v>66</v>
      </c>
      <c r="D119" s="96" t="s">
        <v>88</v>
      </c>
      <c r="E119" s="231" t="s">
        <v>13</v>
      </c>
      <c r="F119" s="229"/>
      <c r="G119" s="231"/>
      <c r="H119" s="229"/>
      <c r="I119" s="203"/>
      <c r="J119" s="138"/>
      <c r="K119" s="138"/>
    </row>
    <row r="120" spans="2:11" ht="43.2" x14ac:dyDescent="0.3">
      <c r="B120" s="98"/>
      <c r="C120" s="95" t="s">
        <v>64</v>
      </c>
      <c r="D120" s="96" t="s">
        <v>72</v>
      </c>
      <c r="E120" s="228">
        <v>4</v>
      </c>
      <c r="F120" s="229" t="s">
        <v>932</v>
      </c>
      <c r="G120" s="229" t="s">
        <v>925</v>
      </c>
      <c r="H120" s="229" t="s">
        <v>926</v>
      </c>
      <c r="I120" s="203"/>
      <c r="J120" s="138"/>
      <c r="K120" s="138"/>
    </row>
    <row r="121" spans="2:11" ht="28.8" x14ac:dyDescent="0.3">
      <c r="B121" s="94" t="s">
        <v>705</v>
      </c>
      <c r="C121" s="95" t="s">
        <v>62</v>
      </c>
      <c r="D121" s="96" t="s">
        <v>63</v>
      </c>
      <c r="E121" s="200">
        <v>2.5</v>
      </c>
      <c r="F121" s="200"/>
      <c r="G121" s="200" t="s">
        <v>922</v>
      </c>
      <c r="H121" s="200" t="s">
        <v>923</v>
      </c>
      <c r="I121" s="203"/>
    </row>
    <row r="122" spans="2:11" ht="28.8" x14ac:dyDescent="0.3">
      <c r="B122" s="98" t="s">
        <v>78</v>
      </c>
      <c r="C122" s="95" t="s">
        <v>64</v>
      </c>
      <c r="D122" s="96" t="s">
        <v>65</v>
      </c>
      <c r="E122" s="22">
        <v>18</v>
      </c>
      <c r="F122" s="22"/>
      <c r="G122" s="22" t="s">
        <v>922</v>
      </c>
      <c r="H122" s="22" t="s">
        <v>923</v>
      </c>
      <c r="I122" s="203"/>
    </row>
    <row r="123" spans="2:11" ht="28.8" x14ac:dyDescent="0.3">
      <c r="B123" s="98"/>
      <c r="C123" s="95" t="s">
        <v>66</v>
      </c>
      <c r="D123" s="95" t="s">
        <v>80</v>
      </c>
      <c r="E123" s="22">
        <v>38</v>
      </c>
      <c r="F123" s="22"/>
      <c r="G123" s="22" t="s">
        <v>922</v>
      </c>
      <c r="H123" s="22" t="s">
        <v>923</v>
      </c>
      <c r="I123" s="203"/>
    </row>
    <row r="124" spans="2:11" ht="43.2" x14ac:dyDescent="0.3">
      <c r="B124" s="98"/>
      <c r="C124" s="95" t="s">
        <v>62</v>
      </c>
      <c r="D124" s="96" t="s">
        <v>72</v>
      </c>
      <c r="E124" s="22">
        <v>4</v>
      </c>
      <c r="F124" s="22" t="s">
        <v>924</v>
      </c>
      <c r="G124" s="22" t="s">
        <v>925</v>
      </c>
      <c r="H124" s="22" t="s">
        <v>926</v>
      </c>
      <c r="I124" s="203"/>
    </row>
    <row r="125" spans="2:11" ht="43.2" x14ac:dyDescent="0.3">
      <c r="B125" s="98"/>
      <c r="C125" s="95" t="s">
        <v>62</v>
      </c>
      <c r="D125" s="96" t="s">
        <v>81</v>
      </c>
      <c r="E125" s="22">
        <v>8.3000000000000007</v>
      </c>
      <c r="F125" s="22" t="s">
        <v>16</v>
      </c>
      <c r="G125" s="22" t="s">
        <v>925</v>
      </c>
      <c r="H125" s="22" t="s">
        <v>926</v>
      </c>
      <c r="I125" s="203"/>
    </row>
    <row r="126" spans="2:11" ht="43.2" x14ac:dyDescent="0.3">
      <c r="B126" s="98"/>
      <c r="C126" s="95" t="s">
        <v>66</v>
      </c>
      <c r="D126" s="96" t="s">
        <v>82</v>
      </c>
      <c r="E126" s="22">
        <v>16.3</v>
      </c>
      <c r="F126" s="22" t="s">
        <v>927</v>
      </c>
      <c r="G126" s="22" t="s">
        <v>925</v>
      </c>
      <c r="H126" s="22" t="s">
        <v>926</v>
      </c>
      <c r="I126" s="203"/>
    </row>
    <row r="127" spans="2:11" ht="43.2" x14ac:dyDescent="0.3">
      <c r="B127" s="98"/>
      <c r="C127" s="95" t="s">
        <v>62</v>
      </c>
      <c r="D127" s="96" t="s">
        <v>83</v>
      </c>
      <c r="E127" s="22">
        <v>8.3000000000000007</v>
      </c>
      <c r="F127" s="22" t="s">
        <v>16</v>
      </c>
      <c r="G127" s="22" t="s">
        <v>925</v>
      </c>
      <c r="H127" s="22" t="s">
        <v>926</v>
      </c>
      <c r="I127" s="203"/>
    </row>
    <row r="128" spans="2:11" ht="43.2" x14ac:dyDescent="0.3">
      <c r="B128" s="98"/>
      <c r="C128" s="95" t="s">
        <v>66</v>
      </c>
      <c r="D128" s="96" t="s">
        <v>84</v>
      </c>
      <c r="E128" s="22">
        <v>16.3</v>
      </c>
      <c r="F128" s="22" t="s">
        <v>928</v>
      </c>
      <c r="G128" s="22" t="s">
        <v>925</v>
      </c>
      <c r="H128" s="22" t="s">
        <v>926</v>
      </c>
      <c r="I128" s="203"/>
    </row>
    <row r="129" spans="2:9" ht="43.2" x14ac:dyDescent="0.3">
      <c r="B129" s="98"/>
      <c r="C129" s="95" t="s">
        <v>62</v>
      </c>
      <c r="D129" s="96" t="s">
        <v>85</v>
      </c>
      <c r="E129" s="22">
        <v>4</v>
      </c>
      <c r="F129" s="22" t="s">
        <v>932</v>
      </c>
      <c r="G129" s="22" t="s">
        <v>925</v>
      </c>
      <c r="H129" s="22" t="s">
        <v>926</v>
      </c>
      <c r="I129" s="203"/>
    </row>
    <row r="130" spans="2:9" ht="43.2" x14ac:dyDescent="0.3">
      <c r="B130" s="98"/>
      <c r="C130" s="95" t="s">
        <v>66</v>
      </c>
      <c r="D130" s="96" t="s">
        <v>86</v>
      </c>
      <c r="E130" s="22">
        <v>4</v>
      </c>
      <c r="F130" s="22" t="s">
        <v>932</v>
      </c>
      <c r="G130" s="22" t="s">
        <v>925</v>
      </c>
      <c r="H130" s="22" t="s">
        <v>926</v>
      </c>
      <c r="I130" s="203"/>
    </row>
    <row r="131" spans="2:9" x14ac:dyDescent="0.3">
      <c r="B131" s="98"/>
      <c r="C131" s="95" t="s">
        <v>62</v>
      </c>
      <c r="D131" s="96" t="s">
        <v>87</v>
      </c>
      <c r="E131" s="198" t="s">
        <v>13</v>
      </c>
      <c r="F131" s="22"/>
      <c r="G131" s="198"/>
      <c r="H131" s="22"/>
      <c r="I131" s="203"/>
    </row>
    <row r="132" spans="2:9" x14ac:dyDescent="0.3">
      <c r="B132" s="98"/>
      <c r="C132" s="95" t="s">
        <v>66</v>
      </c>
      <c r="D132" s="96" t="s">
        <v>88</v>
      </c>
      <c r="E132" s="198" t="s">
        <v>13</v>
      </c>
      <c r="F132" s="22"/>
      <c r="G132" s="198"/>
      <c r="H132" s="22"/>
      <c r="I132" s="203"/>
    </row>
    <row r="133" spans="2:9" ht="43.2" x14ac:dyDescent="0.3">
      <c r="B133" s="99"/>
      <c r="C133" s="95" t="s">
        <v>64</v>
      </c>
      <c r="D133" s="96" t="s">
        <v>72</v>
      </c>
      <c r="E133" s="22">
        <v>4</v>
      </c>
      <c r="F133" s="22" t="s">
        <v>932</v>
      </c>
      <c r="G133" s="22" t="s">
        <v>925</v>
      </c>
      <c r="H133" s="22" t="s">
        <v>926</v>
      </c>
      <c r="I133" s="203"/>
    </row>
    <row r="134" spans="2:9" x14ac:dyDescent="0.3">
      <c r="B134" s="138"/>
      <c r="C134" s="138"/>
      <c r="D134" s="138"/>
      <c r="E134" s="23"/>
      <c r="F134" s="23"/>
      <c r="G134" s="203"/>
      <c r="H134" s="203"/>
      <c r="I134" s="203"/>
    </row>
    <row r="135" spans="2:9" x14ac:dyDescent="0.3">
      <c r="B135" s="150" t="s">
        <v>777</v>
      </c>
      <c r="C135" s="169"/>
      <c r="D135" s="169"/>
      <c r="E135" s="204" t="s">
        <v>797</v>
      </c>
      <c r="F135" s="203"/>
      <c r="G135" s="203"/>
      <c r="H135" s="203"/>
      <c r="I135" s="203"/>
    </row>
    <row r="136" spans="2:9" ht="28.8" x14ac:dyDescent="0.3">
      <c r="B136" s="90" t="s">
        <v>9</v>
      </c>
      <c r="C136" s="91" t="s">
        <v>818</v>
      </c>
      <c r="D136" s="92" t="s">
        <v>819</v>
      </c>
      <c r="E136" s="9" t="s">
        <v>8</v>
      </c>
      <c r="F136" s="9" t="s">
        <v>884</v>
      </c>
      <c r="G136" s="9" t="s">
        <v>803</v>
      </c>
      <c r="H136" s="9" t="s">
        <v>10</v>
      </c>
      <c r="I136" s="203"/>
    </row>
    <row r="137" spans="2:9" ht="30" x14ac:dyDescent="0.3">
      <c r="B137" s="94" t="s">
        <v>766</v>
      </c>
      <c r="C137" s="95" t="s">
        <v>62</v>
      </c>
      <c r="D137" s="96" t="s">
        <v>63</v>
      </c>
      <c r="E137" s="198">
        <v>0.02</v>
      </c>
      <c r="F137" s="198"/>
      <c r="G137" s="232" t="s">
        <v>933</v>
      </c>
      <c r="H137" s="198" t="s">
        <v>934</v>
      </c>
      <c r="I137" s="203"/>
    </row>
    <row r="138" spans="2:9" ht="30" x14ac:dyDescent="0.3">
      <c r="B138" s="98"/>
      <c r="C138" s="95" t="s">
        <v>64</v>
      </c>
      <c r="D138" s="96" t="s">
        <v>65</v>
      </c>
      <c r="E138" s="198">
        <v>0.08</v>
      </c>
      <c r="F138" s="198"/>
      <c r="G138" s="232" t="s">
        <v>933</v>
      </c>
      <c r="H138" s="198" t="s">
        <v>934</v>
      </c>
      <c r="I138" s="203"/>
    </row>
    <row r="139" spans="2:9" ht="30" x14ac:dyDescent="0.3">
      <c r="B139" s="98"/>
      <c r="C139" s="95" t="s">
        <v>66</v>
      </c>
      <c r="D139" s="95" t="s">
        <v>80</v>
      </c>
      <c r="E139" s="198">
        <v>0.15</v>
      </c>
      <c r="F139" s="198"/>
      <c r="G139" s="232" t="s">
        <v>933</v>
      </c>
      <c r="H139" s="198" t="s">
        <v>934</v>
      </c>
      <c r="I139" s="203"/>
    </row>
    <row r="140" spans="2:9" ht="30" x14ac:dyDescent="0.3">
      <c r="B140" s="98"/>
      <c r="C140" s="95" t="s">
        <v>62</v>
      </c>
      <c r="D140" s="96" t="s">
        <v>72</v>
      </c>
      <c r="E140" s="198">
        <v>0.15</v>
      </c>
      <c r="F140" s="198" t="s">
        <v>885</v>
      </c>
      <c r="G140" s="232" t="s">
        <v>933</v>
      </c>
      <c r="H140" s="198" t="s">
        <v>934</v>
      </c>
      <c r="I140" s="203"/>
    </row>
    <row r="141" spans="2:9" x14ac:dyDescent="0.3">
      <c r="B141" s="98"/>
      <c r="C141" s="95" t="s">
        <v>62</v>
      </c>
      <c r="D141" s="96" t="s">
        <v>81</v>
      </c>
      <c r="E141" s="198" t="s">
        <v>13</v>
      </c>
      <c r="F141" s="198"/>
      <c r="G141" s="198"/>
      <c r="H141" s="198"/>
      <c r="I141" s="203"/>
    </row>
    <row r="142" spans="2:9" x14ac:dyDescent="0.3">
      <c r="B142" s="98"/>
      <c r="C142" s="95" t="s">
        <v>66</v>
      </c>
      <c r="D142" s="96" t="s">
        <v>82</v>
      </c>
      <c r="E142" s="198" t="s">
        <v>13</v>
      </c>
      <c r="F142" s="198"/>
      <c r="G142" s="198"/>
      <c r="H142" s="198"/>
      <c r="I142" s="203"/>
    </row>
    <row r="143" spans="2:9" x14ac:dyDescent="0.3">
      <c r="B143" s="98"/>
      <c r="C143" s="95" t="s">
        <v>62</v>
      </c>
      <c r="D143" s="96" t="s">
        <v>83</v>
      </c>
      <c r="E143" s="198" t="s">
        <v>13</v>
      </c>
      <c r="F143" s="198"/>
      <c r="G143" s="198"/>
      <c r="H143" s="198"/>
      <c r="I143" s="203"/>
    </row>
    <row r="144" spans="2:9" x14ac:dyDescent="0.3">
      <c r="B144" s="98"/>
      <c r="C144" s="95" t="s">
        <v>66</v>
      </c>
      <c r="D144" s="96" t="s">
        <v>84</v>
      </c>
      <c r="E144" s="198" t="s">
        <v>13</v>
      </c>
      <c r="F144" s="198"/>
      <c r="G144" s="198"/>
      <c r="H144" s="198"/>
      <c r="I144" s="203"/>
    </row>
    <row r="145" spans="2:9" x14ac:dyDescent="0.3">
      <c r="B145" s="98"/>
      <c r="C145" s="95" t="s">
        <v>62</v>
      </c>
      <c r="D145" s="96" t="s">
        <v>85</v>
      </c>
      <c r="E145" s="198" t="s">
        <v>13</v>
      </c>
      <c r="F145" s="198"/>
      <c r="G145" s="198"/>
      <c r="H145" s="198"/>
      <c r="I145" s="203"/>
    </row>
    <row r="146" spans="2:9" x14ac:dyDescent="0.3">
      <c r="B146" s="98"/>
      <c r="C146" s="95" t="s">
        <v>66</v>
      </c>
      <c r="D146" s="96" t="s">
        <v>86</v>
      </c>
      <c r="E146" s="198" t="s">
        <v>13</v>
      </c>
      <c r="F146" s="198"/>
      <c r="G146" s="198"/>
      <c r="H146" s="198"/>
      <c r="I146" s="203"/>
    </row>
    <row r="147" spans="2:9" x14ac:dyDescent="0.3">
      <c r="B147" s="98"/>
      <c r="C147" s="95" t="s">
        <v>62</v>
      </c>
      <c r="D147" s="96" t="s">
        <v>87</v>
      </c>
      <c r="E147" s="198" t="s">
        <v>13</v>
      </c>
      <c r="F147" s="198"/>
      <c r="G147" s="198"/>
      <c r="H147" s="198"/>
      <c r="I147" s="203"/>
    </row>
    <row r="148" spans="2:9" x14ac:dyDescent="0.3">
      <c r="B148" s="98"/>
      <c r="C148" s="95" t="s">
        <v>66</v>
      </c>
      <c r="D148" s="96" t="s">
        <v>88</v>
      </c>
      <c r="E148" s="198" t="s">
        <v>13</v>
      </c>
      <c r="F148" s="198"/>
      <c r="G148" s="198"/>
      <c r="H148" s="198"/>
      <c r="I148" s="203"/>
    </row>
    <row r="149" spans="2:9" ht="30" x14ac:dyDescent="0.3">
      <c r="B149" s="99"/>
      <c r="C149" s="95" t="s">
        <v>64</v>
      </c>
      <c r="D149" s="96" t="s">
        <v>72</v>
      </c>
      <c r="E149" s="198">
        <v>0.15</v>
      </c>
      <c r="F149" s="198" t="s">
        <v>885</v>
      </c>
      <c r="G149" s="232" t="s">
        <v>933</v>
      </c>
      <c r="H149" s="198" t="s">
        <v>934</v>
      </c>
      <c r="I149" s="203"/>
    </row>
    <row r="150" spans="2:9" ht="60" x14ac:dyDescent="0.3">
      <c r="B150" s="98" t="s">
        <v>767</v>
      </c>
      <c r="C150" s="95" t="s">
        <v>62</v>
      </c>
      <c r="D150" s="96" t="s">
        <v>63</v>
      </c>
      <c r="E150" s="22" t="s">
        <v>13</v>
      </c>
      <c r="F150" s="198"/>
      <c r="G150" s="198"/>
      <c r="H150" s="233" t="s">
        <v>935</v>
      </c>
      <c r="I150" s="203"/>
    </row>
    <row r="151" spans="2:9" ht="60" x14ac:dyDescent="0.3">
      <c r="B151" s="98"/>
      <c r="C151" s="95" t="s">
        <v>64</v>
      </c>
      <c r="D151" s="96" t="s">
        <v>65</v>
      </c>
      <c r="E151" s="22" t="s">
        <v>13</v>
      </c>
      <c r="F151" s="198"/>
      <c r="G151" s="198"/>
      <c r="H151" s="233" t="s">
        <v>935</v>
      </c>
      <c r="I151" s="203"/>
    </row>
    <row r="152" spans="2:9" ht="60" x14ac:dyDescent="0.3">
      <c r="B152" s="98"/>
      <c r="C152" s="95" t="s">
        <v>66</v>
      </c>
      <c r="D152" s="95" t="s">
        <v>80</v>
      </c>
      <c r="E152" s="22" t="s">
        <v>13</v>
      </c>
      <c r="F152" s="198"/>
      <c r="G152" s="198"/>
      <c r="H152" s="233" t="s">
        <v>935</v>
      </c>
      <c r="I152" s="203"/>
    </row>
    <row r="153" spans="2:9" ht="43.2" x14ac:dyDescent="0.3">
      <c r="B153" s="98"/>
      <c r="C153" s="95" t="s">
        <v>62</v>
      </c>
      <c r="D153" s="96" t="s">
        <v>72</v>
      </c>
      <c r="E153" s="22">
        <v>5</v>
      </c>
      <c r="F153" s="198" t="s">
        <v>885</v>
      </c>
      <c r="G153" s="198" t="s">
        <v>936</v>
      </c>
      <c r="H153" s="198" t="s">
        <v>937</v>
      </c>
      <c r="I153" s="203"/>
    </row>
    <row r="154" spans="2:9" x14ac:dyDescent="0.3">
      <c r="B154" s="98"/>
      <c r="C154" s="95" t="s">
        <v>62</v>
      </c>
      <c r="D154" s="96" t="s">
        <v>81</v>
      </c>
      <c r="E154" s="22" t="s">
        <v>13</v>
      </c>
      <c r="F154" s="198"/>
      <c r="G154" s="198"/>
      <c r="H154" s="198"/>
      <c r="I154" s="203"/>
    </row>
    <row r="155" spans="2:9" ht="43.2" x14ac:dyDescent="0.3">
      <c r="B155" s="98"/>
      <c r="C155" s="95" t="s">
        <v>66</v>
      </c>
      <c r="D155" s="96" t="s">
        <v>82</v>
      </c>
      <c r="E155" s="22">
        <v>100</v>
      </c>
      <c r="F155" s="198" t="s">
        <v>938</v>
      </c>
      <c r="G155" s="198" t="s">
        <v>939</v>
      </c>
      <c r="H155" s="198" t="s">
        <v>937</v>
      </c>
      <c r="I155" s="203"/>
    </row>
    <row r="156" spans="2:9" x14ac:dyDescent="0.3">
      <c r="B156" s="98"/>
      <c r="C156" s="95" t="s">
        <v>62</v>
      </c>
      <c r="D156" s="96" t="s">
        <v>83</v>
      </c>
      <c r="E156" s="22" t="s">
        <v>13</v>
      </c>
      <c r="F156" s="198"/>
      <c r="G156" s="198"/>
      <c r="H156" s="198"/>
      <c r="I156" s="203"/>
    </row>
    <row r="157" spans="2:9" x14ac:dyDescent="0.3">
      <c r="B157" s="98"/>
      <c r="C157" s="95" t="s">
        <v>66</v>
      </c>
      <c r="D157" s="96" t="s">
        <v>84</v>
      </c>
      <c r="E157" s="22" t="s">
        <v>13</v>
      </c>
      <c r="F157" s="198"/>
      <c r="G157" s="198"/>
      <c r="H157" s="198"/>
      <c r="I157" s="203"/>
    </row>
    <row r="158" spans="2:9" x14ac:dyDescent="0.3">
      <c r="B158" s="98"/>
      <c r="C158" s="95" t="s">
        <v>62</v>
      </c>
      <c r="D158" s="96" t="s">
        <v>85</v>
      </c>
      <c r="E158" s="22" t="s">
        <v>13</v>
      </c>
      <c r="F158" s="198"/>
      <c r="G158" s="198"/>
      <c r="H158" s="198"/>
      <c r="I158" s="203"/>
    </row>
    <row r="159" spans="2:9" ht="43.2" x14ac:dyDescent="0.3">
      <c r="B159" s="98"/>
      <c r="C159" s="95" t="s">
        <v>66</v>
      </c>
      <c r="D159" s="96" t="s">
        <v>86</v>
      </c>
      <c r="E159" s="22">
        <v>5</v>
      </c>
      <c r="F159" s="198" t="s">
        <v>940</v>
      </c>
      <c r="G159" s="198" t="s">
        <v>941</v>
      </c>
      <c r="H159" s="198" t="s">
        <v>937</v>
      </c>
      <c r="I159" s="203"/>
    </row>
    <row r="160" spans="2:9" x14ac:dyDescent="0.3">
      <c r="B160" s="98"/>
      <c r="C160" s="95" t="s">
        <v>62</v>
      </c>
      <c r="D160" s="96" t="s">
        <v>87</v>
      </c>
      <c r="E160" s="22" t="s">
        <v>13</v>
      </c>
      <c r="F160" s="198"/>
      <c r="G160" s="198"/>
      <c r="H160" s="198"/>
      <c r="I160" s="203"/>
    </row>
    <row r="161" spans="2:9" x14ac:dyDescent="0.3">
      <c r="B161" s="98"/>
      <c r="C161" s="95" t="s">
        <v>66</v>
      </c>
      <c r="D161" s="96" t="s">
        <v>88</v>
      </c>
      <c r="E161" s="22" t="s">
        <v>13</v>
      </c>
      <c r="F161" s="198"/>
      <c r="G161" s="198"/>
      <c r="H161" s="198"/>
      <c r="I161" s="203"/>
    </row>
    <row r="162" spans="2:9" ht="43.2" x14ac:dyDescent="0.3">
      <c r="B162" s="98"/>
      <c r="C162" s="95" t="s">
        <v>64</v>
      </c>
      <c r="D162" s="96" t="s">
        <v>72</v>
      </c>
      <c r="E162" s="22">
        <v>10</v>
      </c>
      <c r="F162" s="198" t="s">
        <v>885</v>
      </c>
      <c r="G162" s="198" t="s">
        <v>942</v>
      </c>
      <c r="H162" s="198" t="s">
        <v>937</v>
      </c>
      <c r="I162" s="203"/>
    </row>
    <row r="163" spans="2:9" ht="60" x14ac:dyDescent="0.3">
      <c r="B163" s="94" t="s">
        <v>765</v>
      </c>
      <c r="C163" s="95" t="s">
        <v>62</v>
      </c>
      <c r="D163" s="96" t="s">
        <v>63</v>
      </c>
      <c r="E163" s="198" t="s">
        <v>13</v>
      </c>
      <c r="F163" s="198"/>
      <c r="G163" s="198"/>
      <c r="H163" s="232" t="s">
        <v>935</v>
      </c>
      <c r="I163" s="203"/>
    </row>
    <row r="164" spans="2:9" ht="60" x14ac:dyDescent="0.3">
      <c r="B164" s="98"/>
      <c r="C164" s="95" t="s">
        <v>64</v>
      </c>
      <c r="D164" s="96" t="s">
        <v>65</v>
      </c>
      <c r="E164" s="198" t="s">
        <v>13</v>
      </c>
      <c r="F164" s="198"/>
      <c r="G164" s="198"/>
      <c r="H164" s="232" t="s">
        <v>935</v>
      </c>
      <c r="I164" s="203"/>
    </row>
    <row r="165" spans="2:9" ht="60" x14ac:dyDescent="0.3">
      <c r="B165" s="98"/>
      <c r="C165" s="95" t="s">
        <v>66</v>
      </c>
      <c r="D165" s="95" t="s">
        <v>80</v>
      </c>
      <c r="E165" s="198" t="s">
        <v>13</v>
      </c>
      <c r="F165" s="198"/>
      <c r="G165" s="198"/>
      <c r="H165" s="232" t="s">
        <v>935</v>
      </c>
      <c r="I165" s="203"/>
    </row>
    <row r="166" spans="2:9" ht="28.8" x14ac:dyDescent="0.3">
      <c r="B166" s="98"/>
      <c r="C166" s="95" t="s">
        <v>62</v>
      </c>
      <c r="D166" s="96" t="s">
        <v>72</v>
      </c>
      <c r="E166" s="198">
        <v>3.09</v>
      </c>
      <c r="F166" s="198" t="s">
        <v>885</v>
      </c>
      <c r="G166" s="198" t="s">
        <v>943</v>
      </c>
      <c r="H166" s="198" t="s">
        <v>944</v>
      </c>
      <c r="I166" s="203"/>
    </row>
    <row r="167" spans="2:9" x14ac:dyDescent="0.3">
      <c r="B167" s="98"/>
      <c r="C167" s="95" t="s">
        <v>62</v>
      </c>
      <c r="D167" s="96" t="s">
        <v>81</v>
      </c>
      <c r="E167" s="198" t="s">
        <v>13</v>
      </c>
      <c r="F167" s="198"/>
      <c r="G167" s="198"/>
      <c r="H167" s="198"/>
      <c r="I167" s="203"/>
    </row>
    <row r="168" spans="2:9" x14ac:dyDescent="0.3">
      <c r="B168" s="98"/>
      <c r="C168" s="95" t="s">
        <v>66</v>
      </c>
      <c r="D168" s="96" t="s">
        <v>82</v>
      </c>
      <c r="E168" s="198" t="s">
        <v>13</v>
      </c>
      <c r="F168" s="198"/>
      <c r="G168" s="198"/>
      <c r="H168" s="198"/>
      <c r="I168" s="203"/>
    </row>
    <row r="169" spans="2:9" x14ac:dyDescent="0.3">
      <c r="B169" s="98"/>
      <c r="C169" s="95" t="s">
        <v>62</v>
      </c>
      <c r="D169" s="96" t="s">
        <v>808</v>
      </c>
      <c r="E169" s="198" t="s">
        <v>13</v>
      </c>
      <c r="F169" s="198"/>
      <c r="G169" s="198"/>
      <c r="H169" s="198"/>
      <c r="I169" s="203"/>
    </row>
    <row r="170" spans="2:9" ht="28.8" x14ac:dyDescent="0.3">
      <c r="B170" s="98"/>
      <c r="C170" s="95" t="s">
        <v>66</v>
      </c>
      <c r="D170" s="96" t="s">
        <v>84</v>
      </c>
      <c r="E170" s="198">
        <v>9.7000000000000003E-2</v>
      </c>
      <c r="F170" s="198" t="s">
        <v>916</v>
      </c>
      <c r="G170" s="198" t="s">
        <v>945</v>
      </c>
      <c r="H170" s="198" t="s">
        <v>946</v>
      </c>
      <c r="I170" s="203"/>
    </row>
    <row r="171" spans="2:9" x14ac:dyDescent="0.3">
      <c r="B171" s="98"/>
      <c r="C171" s="95" t="s">
        <v>62</v>
      </c>
      <c r="D171" s="96" t="s">
        <v>85</v>
      </c>
      <c r="E171" s="198" t="s">
        <v>13</v>
      </c>
      <c r="F171" s="198"/>
      <c r="G171" s="198"/>
      <c r="H171" s="198"/>
      <c r="I171" s="203"/>
    </row>
    <row r="172" spans="2:9" ht="28.8" x14ac:dyDescent="0.3">
      <c r="B172" s="98"/>
      <c r="C172" s="95" t="s">
        <v>66</v>
      </c>
      <c r="D172" s="96" t="s">
        <v>86</v>
      </c>
      <c r="E172" s="198">
        <v>9</v>
      </c>
      <c r="F172" s="198" t="s">
        <v>918</v>
      </c>
      <c r="G172" s="198" t="s">
        <v>947</v>
      </c>
      <c r="H172" s="198" t="s">
        <v>948</v>
      </c>
      <c r="I172" s="203"/>
    </row>
    <row r="173" spans="2:9" x14ac:dyDescent="0.3">
      <c r="B173" s="98"/>
      <c r="C173" s="95" t="s">
        <v>62</v>
      </c>
      <c r="D173" s="96" t="s">
        <v>87</v>
      </c>
      <c r="E173" s="198" t="s">
        <v>13</v>
      </c>
      <c r="F173" s="198"/>
      <c r="G173" s="198"/>
      <c r="H173" s="198"/>
      <c r="I173" s="203"/>
    </row>
    <row r="174" spans="2:9" ht="28.8" x14ac:dyDescent="0.3">
      <c r="B174" s="98"/>
      <c r="C174" s="95" t="s">
        <v>66</v>
      </c>
      <c r="D174" s="96" t="s">
        <v>88</v>
      </c>
      <c r="E174" s="198">
        <v>1.75</v>
      </c>
      <c r="F174" s="198" t="s">
        <v>949</v>
      </c>
      <c r="G174" s="198" t="s">
        <v>950</v>
      </c>
      <c r="H174" s="198" t="s">
        <v>951</v>
      </c>
      <c r="I174" s="203"/>
    </row>
    <row r="175" spans="2:9" ht="28.8" x14ac:dyDescent="0.3">
      <c r="B175" s="99"/>
      <c r="C175" s="95" t="s">
        <v>64</v>
      </c>
      <c r="D175" s="96" t="s">
        <v>72</v>
      </c>
      <c r="E175" s="198">
        <v>3.09</v>
      </c>
      <c r="F175" s="198" t="s">
        <v>885</v>
      </c>
      <c r="G175" s="198" t="s">
        <v>943</v>
      </c>
      <c r="H175" s="198" t="s">
        <v>944</v>
      </c>
      <c r="I175" s="203"/>
    </row>
    <row r="176" spans="2:9" x14ac:dyDescent="0.3">
      <c r="B176" s="138"/>
      <c r="C176" s="138"/>
      <c r="D176" s="138"/>
      <c r="E176" s="23"/>
      <c r="F176" s="23"/>
      <c r="G176" s="23"/>
      <c r="H176" s="23"/>
      <c r="I176" s="203"/>
    </row>
    <row r="177" spans="2:9" x14ac:dyDescent="0.3">
      <c r="B177" s="150" t="s">
        <v>778</v>
      </c>
      <c r="C177" s="169"/>
      <c r="D177" s="131"/>
      <c r="E177" s="204" t="s">
        <v>797</v>
      </c>
      <c r="F177" s="204"/>
      <c r="G177" s="234"/>
      <c r="H177" s="203"/>
      <c r="I177" s="203"/>
    </row>
    <row r="178" spans="2:9" x14ac:dyDescent="0.3">
      <c r="B178" s="90" t="s">
        <v>57</v>
      </c>
      <c r="C178" s="91" t="s">
        <v>718</v>
      </c>
      <c r="D178" s="132" t="s">
        <v>761</v>
      </c>
      <c r="E178" s="9" t="s">
        <v>8</v>
      </c>
      <c r="F178" s="9" t="s">
        <v>884</v>
      </c>
      <c r="G178" s="9" t="s">
        <v>803</v>
      </c>
      <c r="H178" s="9" t="s">
        <v>10</v>
      </c>
      <c r="I178" s="203"/>
    </row>
    <row r="179" spans="2:9" ht="57.6" x14ac:dyDescent="0.3">
      <c r="B179" s="94" t="s">
        <v>61</v>
      </c>
      <c r="C179" s="96" t="s">
        <v>764</v>
      </c>
      <c r="D179" s="133"/>
      <c r="E179" s="22" t="s">
        <v>13</v>
      </c>
      <c r="F179" s="22"/>
      <c r="G179" s="22"/>
      <c r="H179" s="22" t="s">
        <v>952</v>
      </c>
      <c r="I179" s="203"/>
    </row>
    <row r="180" spans="2:9" x14ac:dyDescent="0.3">
      <c r="B180" s="98"/>
      <c r="C180" s="96" t="s">
        <v>719</v>
      </c>
      <c r="D180" s="133"/>
      <c r="E180" s="22" t="s">
        <v>13</v>
      </c>
      <c r="F180" s="22"/>
      <c r="G180" s="22"/>
      <c r="H180" s="22"/>
      <c r="I180" s="203"/>
    </row>
    <row r="181" spans="2:9" ht="28.8" x14ac:dyDescent="0.3">
      <c r="B181" s="98"/>
      <c r="C181" s="96" t="s">
        <v>720</v>
      </c>
      <c r="D181" s="133"/>
      <c r="E181" s="22">
        <v>0.5</v>
      </c>
      <c r="F181" s="22" t="s">
        <v>953</v>
      </c>
      <c r="G181" s="22" t="s">
        <v>954</v>
      </c>
      <c r="H181" s="22" t="s">
        <v>955</v>
      </c>
      <c r="I181" s="203"/>
    </row>
    <row r="182" spans="2:9" ht="28.8" x14ac:dyDescent="0.3">
      <c r="B182" s="98"/>
      <c r="C182" s="96" t="s">
        <v>721</v>
      </c>
      <c r="D182" s="133"/>
      <c r="E182" s="22">
        <v>0.5</v>
      </c>
      <c r="F182" s="22" t="s">
        <v>953</v>
      </c>
      <c r="G182" s="22" t="s">
        <v>954</v>
      </c>
      <c r="H182" s="22" t="s">
        <v>955</v>
      </c>
      <c r="I182" s="203"/>
    </row>
    <row r="183" spans="2:9" x14ac:dyDescent="0.3">
      <c r="B183" s="98"/>
      <c r="C183" s="96" t="s">
        <v>722</v>
      </c>
      <c r="D183" s="133"/>
      <c r="E183" s="22" t="s">
        <v>13</v>
      </c>
      <c r="F183" s="22"/>
      <c r="G183" s="22"/>
      <c r="H183" s="22"/>
      <c r="I183" s="203"/>
    </row>
    <row r="184" spans="2:9" ht="129.6" x14ac:dyDescent="0.3">
      <c r="B184" s="94" t="s">
        <v>73</v>
      </c>
      <c r="C184" s="96" t="s">
        <v>764</v>
      </c>
      <c r="D184" s="133"/>
      <c r="E184" s="22">
        <v>0.31</v>
      </c>
      <c r="F184" s="22" t="s">
        <v>956</v>
      </c>
      <c r="G184" t="s">
        <v>957</v>
      </c>
      <c r="H184" s="22" t="s">
        <v>958</v>
      </c>
      <c r="I184" s="203"/>
    </row>
    <row r="185" spans="2:9" ht="72" x14ac:dyDescent="0.3">
      <c r="B185" s="98"/>
      <c r="C185" s="96" t="s">
        <v>719</v>
      </c>
      <c r="D185" s="133"/>
      <c r="E185" s="22">
        <v>2</v>
      </c>
      <c r="F185" s="22" t="s">
        <v>959</v>
      </c>
      <c r="G185" t="s">
        <v>960</v>
      </c>
      <c r="H185" s="22" t="s">
        <v>961</v>
      </c>
      <c r="I185" s="203"/>
    </row>
    <row r="186" spans="2:9" ht="57.6" x14ac:dyDescent="0.3">
      <c r="B186" s="98"/>
      <c r="C186" s="96" t="s">
        <v>720</v>
      </c>
      <c r="D186" s="133"/>
      <c r="E186" s="22">
        <v>2</v>
      </c>
      <c r="F186" s="22" t="s">
        <v>962</v>
      </c>
      <c r="G186" t="s">
        <v>963</v>
      </c>
      <c r="H186" s="22" t="s">
        <v>964</v>
      </c>
      <c r="I186" s="203"/>
    </row>
    <row r="187" spans="2:9" ht="57.6" x14ac:dyDescent="0.3">
      <c r="B187" s="98"/>
      <c r="C187" s="96" t="s">
        <v>721</v>
      </c>
      <c r="D187" s="133"/>
      <c r="E187" s="22">
        <v>2</v>
      </c>
      <c r="F187" s="22" t="s">
        <v>962</v>
      </c>
      <c r="G187" t="s">
        <v>963</v>
      </c>
      <c r="H187" s="22" t="s">
        <v>964</v>
      </c>
      <c r="I187" s="203"/>
    </row>
    <row r="188" spans="2:9" x14ac:dyDescent="0.3">
      <c r="B188" s="99"/>
      <c r="C188" s="96" t="s">
        <v>722</v>
      </c>
      <c r="D188" s="133"/>
      <c r="E188" s="22" t="s">
        <v>13</v>
      </c>
      <c r="F188" s="22"/>
      <c r="G188" s="22"/>
      <c r="H188" s="22"/>
      <c r="I188" s="203"/>
    </row>
    <row r="189" spans="2:9" ht="129.6" x14ac:dyDescent="0.3">
      <c r="B189" s="98" t="s">
        <v>762</v>
      </c>
      <c r="C189" s="96" t="s">
        <v>764</v>
      </c>
      <c r="D189" s="133"/>
      <c r="E189" s="22">
        <v>0.31</v>
      </c>
      <c r="F189" s="22" t="s">
        <v>956</v>
      </c>
      <c r="G189" t="s">
        <v>957</v>
      </c>
      <c r="H189" s="22" t="s">
        <v>958</v>
      </c>
      <c r="I189" s="203"/>
    </row>
    <row r="190" spans="2:9" ht="72" x14ac:dyDescent="0.3">
      <c r="B190" s="98"/>
      <c r="C190" s="96" t="s">
        <v>719</v>
      </c>
      <c r="D190" s="133"/>
      <c r="E190" s="22">
        <v>2</v>
      </c>
      <c r="F190" s="22" t="s">
        <v>959</v>
      </c>
      <c r="G190" t="s">
        <v>960</v>
      </c>
      <c r="H190" s="22" t="s">
        <v>961</v>
      </c>
      <c r="I190" s="203"/>
    </row>
    <row r="191" spans="2:9" ht="57.6" x14ac:dyDescent="0.3">
      <c r="B191" s="98"/>
      <c r="C191" s="96" t="s">
        <v>720</v>
      </c>
      <c r="D191" s="133"/>
      <c r="E191" s="22">
        <v>2</v>
      </c>
      <c r="F191" s="22" t="s">
        <v>962</v>
      </c>
      <c r="G191" t="s">
        <v>963</v>
      </c>
      <c r="H191" s="22" t="s">
        <v>964</v>
      </c>
      <c r="I191" s="203"/>
    </row>
    <row r="192" spans="2:9" ht="57.6" x14ac:dyDescent="0.3">
      <c r="B192" s="98"/>
      <c r="C192" s="96" t="s">
        <v>721</v>
      </c>
      <c r="D192" s="133"/>
      <c r="E192" s="22">
        <v>2</v>
      </c>
      <c r="F192" s="22" t="s">
        <v>962</v>
      </c>
      <c r="G192" t="s">
        <v>963</v>
      </c>
      <c r="H192" s="22" t="s">
        <v>964</v>
      </c>
      <c r="I192" s="203"/>
    </row>
    <row r="193" spans="2:9" x14ac:dyDescent="0.3">
      <c r="B193" s="98"/>
      <c r="C193" s="96" t="s">
        <v>722</v>
      </c>
      <c r="D193" s="133"/>
      <c r="E193" s="22" t="s">
        <v>13</v>
      </c>
      <c r="F193" s="22"/>
      <c r="G193" s="22"/>
      <c r="H193" s="22"/>
      <c r="I193" s="203"/>
    </row>
    <row r="194" spans="2:9" ht="60" x14ac:dyDescent="0.3">
      <c r="B194" s="94" t="s">
        <v>763</v>
      </c>
      <c r="C194" s="96" t="s">
        <v>799</v>
      </c>
      <c r="D194" s="147" t="s">
        <v>63</v>
      </c>
      <c r="E194" s="198" t="s">
        <v>13</v>
      </c>
      <c r="F194" s="198"/>
      <c r="G194" s="198"/>
      <c r="H194" s="233" t="s">
        <v>935</v>
      </c>
      <c r="I194" s="203"/>
    </row>
    <row r="195" spans="2:9" ht="60" x14ac:dyDescent="0.3">
      <c r="B195" s="98"/>
      <c r="C195" s="96" t="s">
        <v>800</v>
      </c>
      <c r="D195" s="147" t="s">
        <v>65</v>
      </c>
      <c r="E195" s="198" t="s">
        <v>13</v>
      </c>
      <c r="F195" s="198"/>
      <c r="G195" s="198"/>
      <c r="H195" s="235" t="s">
        <v>935</v>
      </c>
      <c r="I195" s="203"/>
    </row>
    <row r="196" spans="2:9" ht="28.8" x14ac:dyDescent="0.3">
      <c r="B196" s="98"/>
      <c r="C196" s="96" t="s">
        <v>801</v>
      </c>
      <c r="D196" s="147" t="s">
        <v>72</v>
      </c>
      <c r="E196" s="198">
        <v>0.25</v>
      </c>
      <c r="F196" s="198" t="s">
        <v>965</v>
      </c>
      <c r="G196" s="198" t="s">
        <v>966</v>
      </c>
      <c r="H196" s="198" t="s">
        <v>934</v>
      </c>
      <c r="I196" s="203"/>
    </row>
    <row r="197" spans="2:9" ht="28.8" x14ac:dyDescent="0.3">
      <c r="B197" s="98"/>
      <c r="C197" s="96" t="s">
        <v>802</v>
      </c>
      <c r="D197" s="147" t="s">
        <v>72</v>
      </c>
      <c r="E197" s="198">
        <v>0.25</v>
      </c>
      <c r="F197" s="198" t="s">
        <v>965</v>
      </c>
      <c r="G197" s="198" t="s">
        <v>966</v>
      </c>
      <c r="H197" s="198" t="s">
        <v>934</v>
      </c>
      <c r="I197" s="203"/>
    </row>
    <row r="198" spans="2:9" x14ac:dyDescent="0.3">
      <c r="B198" s="98"/>
      <c r="C198" s="96" t="s">
        <v>719</v>
      </c>
      <c r="D198" s="133" t="s">
        <v>804</v>
      </c>
      <c r="E198" s="22" t="s">
        <v>13</v>
      </c>
      <c r="F198" s="22"/>
      <c r="G198" s="22"/>
      <c r="H198" s="22"/>
      <c r="I198" s="203"/>
    </row>
    <row r="199" spans="2:9" ht="57.6" x14ac:dyDescent="0.3">
      <c r="B199" s="98"/>
      <c r="C199" s="96" t="s">
        <v>720</v>
      </c>
      <c r="D199" s="133" t="s">
        <v>805</v>
      </c>
      <c r="E199" s="22">
        <v>1.34</v>
      </c>
      <c r="F199" s="22" t="s">
        <v>916</v>
      </c>
      <c r="G199" s="22" t="s">
        <v>967</v>
      </c>
      <c r="H199" s="22" t="s">
        <v>968</v>
      </c>
      <c r="I199" s="203"/>
    </row>
    <row r="200" spans="2:9" x14ac:dyDescent="0.3">
      <c r="B200" s="98"/>
      <c r="C200" s="96" t="s">
        <v>721</v>
      </c>
      <c r="D200" s="133" t="s">
        <v>806</v>
      </c>
      <c r="E200" s="22" t="s">
        <v>13</v>
      </c>
      <c r="F200" s="22"/>
      <c r="G200" s="22"/>
      <c r="H200" s="22"/>
      <c r="I200" s="203"/>
    </row>
    <row r="201" spans="2:9" x14ac:dyDescent="0.3">
      <c r="B201" s="99"/>
      <c r="C201" s="96" t="s">
        <v>722</v>
      </c>
      <c r="D201" s="133" t="s">
        <v>807</v>
      </c>
      <c r="E201" s="22" t="s">
        <v>13</v>
      </c>
      <c r="F201" s="22"/>
      <c r="G201" s="22"/>
      <c r="H201" s="22"/>
      <c r="I201" s="203"/>
    </row>
    <row r="202" spans="2:9" s="138" customFormat="1" x14ac:dyDescent="0.3"/>
    <row r="203" spans="2:9" x14ac:dyDescent="0.3">
      <c r="B203" s="150" t="s">
        <v>779</v>
      </c>
      <c r="C203" s="169"/>
      <c r="D203" s="169"/>
      <c r="E203" s="129" t="s">
        <v>797</v>
      </c>
    </row>
    <row r="204" spans="2:9" ht="28.8" x14ac:dyDescent="0.3">
      <c r="B204" s="91" t="s">
        <v>57</v>
      </c>
      <c r="C204" s="91" t="s">
        <v>818</v>
      </c>
      <c r="D204" s="91" t="s">
        <v>819</v>
      </c>
      <c r="E204" s="132" t="s">
        <v>8</v>
      </c>
      <c r="F204" s="132" t="s">
        <v>43</v>
      </c>
      <c r="G204" s="91" t="s">
        <v>756</v>
      </c>
      <c r="H204" s="91" t="s">
        <v>757</v>
      </c>
    </row>
    <row r="205" spans="2:9" ht="100.8" x14ac:dyDescent="0.3">
      <c r="B205" s="94" t="s">
        <v>89</v>
      </c>
      <c r="C205" s="95" t="s">
        <v>62</v>
      </c>
      <c r="D205" s="95" t="s">
        <v>822</v>
      </c>
      <c r="E205" s="198">
        <v>4</v>
      </c>
      <c r="F205" s="236" t="s">
        <v>969</v>
      </c>
      <c r="G205" s="168">
        <f>IF(E205="NA", "NA", E205/$C$7)</f>
        <v>8</v>
      </c>
      <c r="H205" s="168">
        <f>IF(E205="NA", "NA", E205/$C$18)</f>
        <v>1.3333333333333333</v>
      </c>
    </row>
    <row r="206" spans="2:9" ht="216" x14ac:dyDescent="0.3">
      <c r="B206" s="98"/>
      <c r="C206" s="95" t="s">
        <v>90</v>
      </c>
      <c r="D206" s="95" t="s">
        <v>823</v>
      </c>
      <c r="E206" s="198">
        <v>4</v>
      </c>
      <c r="F206" s="236" t="s">
        <v>970</v>
      </c>
      <c r="G206" s="168">
        <f t="shared" ref="G206:G220" si="0">IF(E206="NA", "NA", E206/$C$7)</f>
        <v>8</v>
      </c>
      <c r="H206" s="168">
        <f t="shared" ref="H206:H220" si="1">IF(E206="NA", "NA", E206/$C$18)</f>
        <v>1.3333333333333333</v>
      </c>
    </row>
    <row r="207" spans="2:9" ht="28.8" x14ac:dyDescent="0.3">
      <c r="B207" s="98"/>
      <c r="C207" s="95" t="s">
        <v>64</v>
      </c>
      <c r="D207" s="95" t="s">
        <v>824</v>
      </c>
      <c r="E207" s="198">
        <v>4</v>
      </c>
      <c r="F207" s="237"/>
      <c r="G207" s="168">
        <f t="shared" si="0"/>
        <v>8</v>
      </c>
      <c r="H207" s="168">
        <f t="shared" si="1"/>
        <v>1.3333333333333333</v>
      </c>
    </row>
    <row r="208" spans="2:9" ht="28.8" x14ac:dyDescent="0.3">
      <c r="B208" s="98"/>
      <c r="C208" s="95" t="s">
        <v>62</v>
      </c>
      <c r="D208" s="95" t="s">
        <v>825</v>
      </c>
      <c r="E208" s="198">
        <v>4</v>
      </c>
      <c r="F208" s="237"/>
      <c r="G208" s="168">
        <f t="shared" si="0"/>
        <v>8</v>
      </c>
      <c r="H208" s="168">
        <f t="shared" si="1"/>
        <v>1.3333333333333333</v>
      </c>
    </row>
    <row r="209" spans="2:8" ht="28.8" x14ac:dyDescent="0.3">
      <c r="B209" s="98"/>
      <c r="C209" s="95" t="s">
        <v>90</v>
      </c>
      <c r="D209" s="95" t="s">
        <v>826</v>
      </c>
      <c r="E209" s="198">
        <v>4</v>
      </c>
      <c r="F209" s="237"/>
      <c r="G209" s="168">
        <f t="shared" si="0"/>
        <v>8</v>
      </c>
      <c r="H209" s="168">
        <f t="shared" si="1"/>
        <v>1.3333333333333333</v>
      </c>
    </row>
    <row r="210" spans="2:8" ht="28.8" x14ac:dyDescent="0.3">
      <c r="B210" s="98"/>
      <c r="C210" s="95" t="s">
        <v>64</v>
      </c>
      <c r="D210" s="95" t="s">
        <v>827</v>
      </c>
      <c r="E210" s="198">
        <v>4</v>
      </c>
      <c r="F210" s="238"/>
      <c r="G210" s="168">
        <f t="shared" si="0"/>
        <v>8</v>
      </c>
      <c r="H210" s="168">
        <f t="shared" si="1"/>
        <v>1.3333333333333333</v>
      </c>
    </row>
    <row r="211" spans="2:8" ht="187.2" x14ac:dyDescent="0.3">
      <c r="B211" s="98"/>
      <c r="C211" s="95" t="s">
        <v>62</v>
      </c>
      <c r="D211" s="95" t="s">
        <v>764</v>
      </c>
      <c r="E211" s="198">
        <v>4</v>
      </c>
      <c r="F211" s="236" t="s">
        <v>971</v>
      </c>
      <c r="G211" s="168">
        <f t="shared" ref="G211:G214" si="2">IF(E211="NA", "NA", E211/$C$7)</f>
        <v>8</v>
      </c>
      <c r="H211" s="168">
        <f t="shared" ref="H211:H214" si="3">IF(E211="NA", "NA", E211/$C$18)</f>
        <v>1.3333333333333333</v>
      </c>
    </row>
    <row r="212" spans="2:8" ht="187.2" x14ac:dyDescent="0.3">
      <c r="B212" s="98"/>
      <c r="C212" s="95" t="s">
        <v>64</v>
      </c>
      <c r="D212" s="95" t="s">
        <v>764</v>
      </c>
      <c r="E212" s="198">
        <v>4</v>
      </c>
      <c r="F212" s="236" t="s">
        <v>971</v>
      </c>
      <c r="G212" s="168">
        <f t="shared" si="2"/>
        <v>8</v>
      </c>
      <c r="H212" s="168">
        <f t="shared" si="3"/>
        <v>1.3333333333333333</v>
      </c>
    </row>
    <row r="213" spans="2:8" ht="100.8" x14ac:dyDescent="0.3">
      <c r="B213" s="98"/>
      <c r="C213" s="95" t="s">
        <v>62</v>
      </c>
      <c r="D213" s="95" t="s">
        <v>720</v>
      </c>
      <c r="E213" s="198">
        <v>4</v>
      </c>
      <c r="F213" s="236" t="s">
        <v>969</v>
      </c>
      <c r="G213" s="168">
        <f t="shared" si="2"/>
        <v>8</v>
      </c>
      <c r="H213" s="168">
        <f t="shared" si="3"/>
        <v>1.3333333333333333</v>
      </c>
    </row>
    <row r="214" spans="2:8" ht="100.8" x14ac:dyDescent="0.3">
      <c r="B214" s="99"/>
      <c r="C214" s="95" t="s">
        <v>64</v>
      </c>
      <c r="D214" s="95" t="s">
        <v>720</v>
      </c>
      <c r="E214" s="198">
        <v>4</v>
      </c>
      <c r="F214" s="236" t="s">
        <v>969</v>
      </c>
      <c r="G214" s="168">
        <f t="shared" si="2"/>
        <v>8</v>
      </c>
      <c r="H214" s="168">
        <f t="shared" si="3"/>
        <v>1.3333333333333333</v>
      </c>
    </row>
    <row r="215" spans="2:8" ht="28.8" x14ac:dyDescent="0.3">
      <c r="B215" s="94" t="s">
        <v>91</v>
      </c>
      <c r="C215" s="95" t="s">
        <v>62</v>
      </c>
      <c r="D215" s="95" t="s">
        <v>822</v>
      </c>
      <c r="E215" s="198">
        <v>4</v>
      </c>
      <c r="F215" s="239" t="s">
        <v>972</v>
      </c>
      <c r="G215" s="168">
        <f t="shared" si="0"/>
        <v>8</v>
      </c>
      <c r="H215" s="168">
        <f t="shared" si="1"/>
        <v>1.3333333333333333</v>
      </c>
    </row>
    <row r="216" spans="2:8" ht="28.8" x14ac:dyDescent="0.3">
      <c r="B216" s="98"/>
      <c r="C216" s="95" t="s">
        <v>90</v>
      </c>
      <c r="D216" s="95" t="s">
        <v>823</v>
      </c>
      <c r="E216" s="198">
        <v>4</v>
      </c>
      <c r="F216" s="240"/>
      <c r="G216" s="168">
        <f t="shared" si="0"/>
        <v>8</v>
      </c>
      <c r="H216" s="168">
        <f t="shared" si="1"/>
        <v>1.3333333333333333</v>
      </c>
    </row>
    <row r="217" spans="2:8" ht="28.8" x14ac:dyDescent="0.3">
      <c r="B217" s="98"/>
      <c r="C217" s="95" t="s">
        <v>64</v>
      </c>
      <c r="D217" s="95" t="s">
        <v>824</v>
      </c>
      <c r="E217" s="198">
        <v>4</v>
      </c>
      <c r="F217" s="241"/>
      <c r="G217" s="168">
        <f t="shared" si="0"/>
        <v>8</v>
      </c>
      <c r="H217" s="168">
        <f t="shared" si="1"/>
        <v>1.3333333333333333</v>
      </c>
    </row>
    <row r="218" spans="2:8" ht="57.6" x14ac:dyDescent="0.3">
      <c r="B218" s="98"/>
      <c r="C218" s="95" t="s">
        <v>62</v>
      </c>
      <c r="D218" s="95" t="s">
        <v>825</v>
      </c>
      <c r="E218" s="198">
        <v>0.38</v>
      </c>
      <c r="F218" s="198" t="s">
        <v>973</v>
      </c>
      <c r="G218" s="168">
        <f t="shared" si="0"/>
        <v>0.76</v>
      </c>
      <c r="H218" s="168">
        <f t="shared" si="1"/>
        <v>0.12666666666666668</v>
      </c>
    </row>
    <row r="219" spans="2:8" ht="43.2" x14ac:dyDescent="0.3">
      <c r="B219" s="98"/>
      <c r="C219" s="95" t="s">
        <v>90</v>
      </c>
      <c r="D219" s="95" t="s">
        <v>826</v>
      </c>
      <c r="E219" s="198">
        <v>0.38</v>
      </c>
      <c r="F219" s="198" t="s">
        <v>974</v>
      </c>
      <c r="G219" s="168">
        <f t="shared" si="0"/>
        <v>0.76</v>
      </c>
      <c r="H219" s="168">
        <f t="shared" si="1"/>
        <v>0.12666666666666668</v>
      </c>
    </row>
    <row r="220" spans="2:8" ht="43.2" x14ac:dyDescent="0.3">
      <c r="B220" s="98"/>
      <c r="C220" s="95" t="s">
        <v>64</v>
      </c>
      <c r="D220" s="95" t="s">
        <v>827</v>
      </c>
      <c r="E220" s="198">
        <v>3.2</v>
      </c>
      <c r="F220" s="198" t="s">
        <v>975</v>
      </c>
      <c r="G220" s="168">
        <f t="shared" si="0"/>
        <v>6.4</v>
      </c>
      <c r="H220" s="168">
        <f t="shared" si="1"/>
        <v>1.0666666666666667</v>
      </c>
    </row>
    <row r="221" spans="2:8" ht="100.8" x14ac:dyDescent="0.3">
      <c r="B221" s="98"/>
      <c r="C221" s="95" t="s">
        <v>62</v>
      </c>
      <c r="D221" s="95" t="s">
        <v>764</v>
      </c>
      <c r="E221" s="142">
        <v>4</v>
      </c>
      <c r="F221" s="236" t="s">
        <v>969</v>
      </c>
      <c r="G221" s="168">
        <f t="shared" ref="G221:G224" si="4">IF(E221="NA", "NA", E221/$C$7)</f>
        <v>8</v>
      </c>
      <c r="H221" s="168">
        <f t="shared" ref="H221:H224" si="5">IF(E221="NA", "NA", E221/$C$18)</f>
        <v>1.3333333333333333</v>
      </c>
    </row>
    <row r="222" spans="2:8" ht="100.8" x14ac:dyDescent="0.3">
      <c r="B222" s="98"/>
      <c r="C222" s="95" t="s">
        <v>64</v>
      </c>
      <c r="D222" s="95" t="s">
        <v>764</v>
      </c>
      <c r="E222" s="142">
        <v>4</v>
      </c>
      <c r="F222" s="236" t="s">
        <v>969</v>
      </c>
      <c r="G222" s="168">
        <f t="shared" si="4"/>
        <v>8</v>
      </c>
      <c r="H222" s="168">
        <f t="shared" si="5"/>
        <v>1.3333333333333333</v>
      </c>
    </row>
    <row r="223" spans="2:8" ht="100.8" x14ac:dyDescent="0.3">
      <c r="B223" s="98"/>
      <c r="C223" s="95" t="s">
        <v>62</v>
      </c>
      <c r="D223" s="95" t="s">
        <v>720</v>
      </c>
      <c r="E223" s="142">
        <v>4</v>
      </c>
      <c r="F223" s="236" t="s">
        <v>969</v>
      </c>
      <c r="G223" s="168">
        <f t="shared" si="4"/>
        <v>8</v>
      </c>
      <c r="H223" s="168">
        <f t="shared" si="5"/>
        <v>1.3333333333333333</v>
      </c>
    </row>
    <row r="224" spans="2:8" ht="100.8" x14ac:dyDescent="0.3">
      <c r="B224" s="99"/>
      <c r="C224" s="95" t="s">
        <v>64</v>
      </c>
      <c r="D224" s="95" t="s">
        <v>720</v>
      </c>
      <c r="E224" s="142">
        <v>4</v>
      </c>
      <c r="F224" s="236" t="s">
        <v>969</v>
      </c>
      <c r="G224" s="168">
        <f t="shared" si="4"/>
        <v>8</v>
      </c>
      <c r="H224" s="168">
        <f t="shared" si="5"/>
        <v>1.3333333333333333</v>
      </c>
    </row>
    <row r="225" spans="2:4" s="126" customFormat="1" x14ac:dyDescent="0.3">
      <c r="B225" s="149" t="s">
        <v>92</v>
      </c>
      <c r="C225" s="149"/>
      <c r="D225" s="149"/>
    </row>
    <row r="226" spans="2:4" s="126" customFormat="1" x14ac:dyDescent="0.3">
      <c r="B226" s="149" t="s">
        <v>93</v>
      </c>
      <c r="C226" s="149"/>
      <c r="D226" s="149"/>
    </row>
  </sheetData>
  <mergeCells count="6">
    <mergeCell ref="F215:F217"/>
    <mergeCell ref="K3:K6"/>
    <mergeCell ref="L3:L6"/>
    <mergeCell ref="K7:K10"/>
    <mergeCell ref="L7:L8"/>
    <mergeCell ref="L9:L10"/>
  </mergeCells>
  <conditionalFormatting sqref="B11:B12 D11:E12">
    <cfRule type="expression" dxfId="17" priority="38">
      <formula>$C$6=$G$4</formula>
    </cfRule>
  </conditionalFormatting>
  <conditionalFormatting sqref="B10 D10">
    <cfRule type="expression" dxfId="16" priority="37">
      <formula>$C$6=$G$5</formula>
    </cfRule>
  </conditionalFormatting>
  <conditionalFormatting sqref="B10:B12 D10:E12">
    <cfRule type="expression" dxfId="15" priority="36">
      <formula>$C$6=$G$7</formula>
    </cfRule>
    <cfRule type="expression" dxfId="14" priority="39">
      <formula>$C$6=$G$6</formula>
    </cfRule>
  </conditionalFormatting>
  <conditionalFormatting sqref="B22:B23 D22:E23">
    <cfRule type="expression" dxfId="13" priority="34">
      <formula>$C$17=$G$4</formula>
    </cfRule>
  </conditionalFormatting>
  <conditionalFormatting sqref="B21 D21">
    <cfRule type="expression" dxfId="12" priority="33">
      <formula>$C$17=$G$5</formula>
    </cfRule>
  </conditionalFormatting>
  <conditionalFormatting sqref="B21:B23 D21:E23">
    <cfRule type="expression" dxfId="11" priority="32">
      <formula>$C$17=$G$7</formula>
    </cfRule>
    <cfRule type="expression" dxfId="10" priority="35">
      <formula>$C$17=$G$6</formula>
    </cfRule>
  </conditionalFormatting>
  <conditionalFormatting sqref="C11:C12">
    <cfRule type="expression" dxfId="9" priority="9">
      <formula>$C$6=$G$4</formula>
    </cfRule>
  </conditionalFormatting>
  <conditionalFormatting sqref="C10">
    <cfRule type="expression" dxfId="8" priority="8">
      <formula>$C$6=$G$5</formula>
    </cfRule>
  </conditionalFormatting>
  <conditionalFormatting sqref="C10:C12">
    <cfRule type="expression" dxfId="7" priority="7">
      <formula>$C$6=$G$7</formula>
    </cfRule>
    <cfRule type="expression" dxfId="6" priority="10">
      <formula>$C$6=$G$6</formula>
    </cfRule>
  </conditionalFormatting>
  <conditionalFormatting sqref="C22:C23">
    <cfRule type="expression" dxfId="5" priority="5">
      <formula>$C$17=$G$4</formula>
    </cfRule>
  </conditionalFormatting>
  <conditionalFormatting sqref="C22:C23">
    <cfRule type="expression" dxfId="4" priority="4">
      <formula>$C$17=$G$7</formula>
    </cfRule>
    <cfRule type="expression" dxfId="3" priority="6">
      <formula>$C$17=$G$6</formula>
    </cfRule>
  </conditionalFormatting>
  <conditionalFormatting sqref="C21">
    <cfRule type="expression" dxfId="2" priority="2">
      <formula>$C$17=$G$5</formula>
    </cfRule>
  </conditionalFormatting>
  <conditionalFormatting sqref="C21">
    <cfRule type="expression" dxfId="1" priority="1">
      <formula>$C$17=$G$7</formula>
    </cfRule>
    <cfRule type="expression" dxfId="0" priority="3">
      <formula>$C$17=$G$6</formula>
    </cfRule>
  </conditionalFormatting>
  <dataValidations count="4">
    <dataValidation type="list" allowBlank="1" showInputMessage="1" showErrorMessage="1" sqref="C6 C17">
      <formula1>Application_methods</formula1>
    </dataValidation>
    <dataValidation type="list" allowBlank="1" showInputMessage="1" showErrorMessage="1" sqref="C10 C21">
      <formula1>$G$9:$G$12</formula1>
    </dataValidation>
    <dataValidation type="list" allowBlank="1" showInputMessage="1" showErrorMessage="1" sqref="C11 C22">
      <formula1>$G$9:$G$10</formula1>
    </dataValidation>
    <dataValidation type="list" allowBlank="1" showInputMessage="1" showErrorMessage="1" sqref="C12 C23">
      <formula1>$I$9:$I$10</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rgb="FF00B050"/>
  </sheetPr>
  <dimension ref="A1:F54"/>
  <sheetViews>
    <sheetView topLeftCell="A6" workbookViewId="0">
      <selection activeCell="C14" sqref="C14"/>
    </sheetView>
  </sheetViews>
  <sheetFormatPr defaultRowHeight="13.8" x14ac:dyDescent="0.3"/>
  <cols>
    <col min="1" max="1" width="14.33203125" style="29" customWidth="1"/>
    <col min="2" max="2" width="31.33203125" style="29" customWidth="1"/>
    <col min="3" max="4" width="20.5546875" style="29" customWidth="1"/>
    <col min="5" max="5" width="17.109375" style="29" customWidth="1"/>
    <col min="6" max="255" width="9.109375" style="29"/>
    <col min="256" max="256" width="23.6640625" style="29" customWidth="1"/>
    <col min="257" max="260" width="17.109375" style="29" customWidth="1"/>
    <col min="261" max="511" width="9.109375" style="29"/>
    <col min="512" max="512" width="23.6640625" style="29" customWidth="1"/>
    <col min="513" max="516" width="17.109375" style="29" customWidth="1"/>
    <col min="517" max="767" width="9.109375" style="29"/>
    <col min="768" max="768" width="23.6640625" style="29" customWidth="1"/>
    <col min="769" max="772" width="17.109375" style="29" customWidth="1"/>
    <col min="773" max="1023" width="9.109375" style="29"/>
    <col min="1024" max="1024" width="23.6640625" style="29" customWidth="1"/>
    <col min="1025" max="1028" width="17.109375" style="29" customWidth="1"/>
    <col min="1029" max="1279" width="9.109375" style="29"/>
    <col min="1280" max="1280" width="23.6640625" style="29" customWidth="1"/>
    <col min="1281" max="1284" width="17.109375" style="29" customWidth="1"/>
    <col min="1285" max="1535" width="9.109375" style="29"/>
    <col min="1536" max="1536" width="23.6640625" style="29" customWidth="1"/>
    <col min="1537" max="1540" width="17.109375" style="29" customWidth="1"/>
    <col min="1541" max="1791" width="9.109375" style="29"/>
    <col min="1792" max="1792" width="23.6640625" style="29" customWidth="1"/>
    <col min="1793" max="1796" width="17.109375" style="29" customWidth="1"/>
    <col min="1797" max="2047" width="9.109375" style="29"/>
    <col min="2048" max="2048" width="23.6640625" style="29" customWidth="1"/>
    <col min="2049" max="2052" width="17.109375" style="29" customWidth="1"/>
    <col min="2053" max="2303" width="9.109375" style="29"/>
    <col min="2304" max="2304" width="23.6640625" style="29" customWidth="1"/>
    <col min="2305" max="2308" width="17.109375" style="29" customWidth="1"/>
    <col min="2309" max="2559" width="9.109375" style="29"/>
    <col min="2560" max="2560" width="23.6640625" style="29" customWidth="1"/>
    <col min="2561" max="2564" width="17.109375" style="29" customWidth="1"/>
    <col min="2565" max="2815" width="9.109375" style="29"/>
    <col min="2816" max="2816" width="23.6640625" style="29" customWidth="1"/>
    <col min="2817" max="2820" width="17.109375" style="29" customWidth="1"/>
    <col min="2821" max="3071" width="9.109375" style="29"/>
    <col min="3072" max="3072" width="23.6640625" style="29" customWidth="1"/>
    <col min="3073" max="3076" width="17.109375" style="29" customWidth="1"/>
    <col min="3077" max="3327" width="9.109375" style="29"/>
    <col min="3328" max="3328" width="23.6640625" style="29" customWidth="1"/>
    <col min="3329" max="3332" width="17.109375" style="29" customWidth="1"/>
    <col min="3333" max="3583" width="9.109375" style="29"/>
    <col min="3584" max="3584" width="23.6640625" style="29" customWidth="1"/>
    <col min="3585" max="3588" width="17.109375" style="29" customWidth="1"/>
    <col min="3589" max="3839" width="9.109375" style="29"/>
    <col min="3840" max="3840" width="23.6640625" style="29" customWidth="1"/>
    <col min="3841" max="3844" width="17.109375" style="29" customWidth="1"/>
    <col min="3845" max="4095" width="9.109375" style="29"/>
    <col min="4096" max="4096" width="23.6640625" style="29" customWidth="1"/>
    <col min="4097" max="4100" width="17.109375" style="29" customWidth="1"/>
    <col min="4101" max="4351" width="9.109375" style="29"/>
    <col min="4352" max="4352" width="23.6640625" style="29" customWidth="1"/>
    <col min="4353" max="4356" width="17.109375" style="29" customWidth="1"/>
    <col min="4357" max="4607" width="9.109375" style="29"/>
    <col min="4608" max="4608" width="23.6640625" style="29" customWidth="1"/>
    <col min="4609" max="4612" width="17.109375" style="29" customWidth="1"/>
    <col min="4613" max="4863" width="9.109375" style="29"/>
    <col min="4864" max="4864" width="23.6640625" style="29" customWidth="1"/>
    <col min="4865" max="4868" width="17.109375" style="29" customWidth="1"/>
    <col min="4869" max="5119" width="9.109375" style="29"/>
    <col min="5120" max="5120" width="23.6640625" style="29" customWidth="1"/>
    <col min="5121" max="5124" width="17.109375" style="29" customWidth="1"/>
    <col min="5125" max="5375" width="9.109375" style="29"/>
    <col min="5376" max="5376" width="23.6640625" style="29" customWidth="1"/>
    <col min="5377" max="5380" width="17.109375" style="29" customWidth="1"/>
    <col min="5381" max="5631" width="9.109375" style="29"/>
    <col min="5632" max="5632" width="23.6640625" style="29" customWidth="1"/>
    <col min="5633" max="5636" width="17.109375" style="29" customWidth="1"/>
    <col min="5637" max="5887" width="9.109375" style="29"/>
    <col min="5888" max="5888" width="23.6640625" style="29" customWidth="1"/>
    <col min="5889" max="5892" width="17.109375" style="29" customWidth="1"/>
    <col min="5893" max="6143" width="9.109375" style="29"/>
    <col min="6144" max="6144" width="23.6640625" style="29" customWidth="1"/>
    <col min="6145" max="6148" width="17.109375" style="29" customWidth="1"/>
    <col min="6149" max="6399" width="9.109375" style="29"/>
    <col min="6400" max="6400" width="23.6640625" style="29" customWidth="1"/>
    <col min="6401" max="6404" width="17.109375" style="29" customWidth="1"/>
    <col min="6405" max="6655" width="9.109375" style="29"/>
    <col min="6656" max="6656" width="23.6640625" style="29" customWidth="1"/>
    <col min="6657" max="6660" width="17.109375" style="29" customWidth="1"/>
    <col min="6661" max="6911" width="9.109375" style="29"/>
    <col min="6912" max="6912" width="23.6640625" style="29" customWidth="1"/>
    <col min="6913" max="6916" width="17.109375" style="29" customWidth="1"/>
    <col min="6917" max="7167" width="9.109375" style="29"/>
    <col min="7168" max="7168" width="23.6640625" style="29" customWidth="1"/>
    <col min="7169" max="7172" width="17.109375" style="29" customWidth="1"/>
    <col min="7173" max="7423" width="9.109375" style="29"/>
    <col min="7424" max="7424" width="23.6640625" style="29" customWidth="1"/>
    <col min="7425" max="7428" width="17.109375" style="29" customWidth="1"/>
    <col min="7429" max="7679" width="9.109375" style="29"/>
    <col min="7680" max="7680" width="23.6640625" style="29" customWidth="1"/>
    <col min="7681" max="7684" width="17.109375" style="29" customWidth="1"/>
    <col min="7685" max="7935" width="9.109375" style="29"/>
    <col min="7936" max="7936" width="23.6640625" style="29" customWidth="1"/>
    <col min="7937" max="7940" width="17.109375" style="29" customWidth="1"/>
    <col min="7941" max="8191" width="9.109375" style="29"/>
    <col min="8192" max="8192" width="23.6640625" style="29" customWidth="1"/>
    <col min="8193" max="8196" width="17.109375" style="29" customWidth="1"/>
    <col min="8197" max="8447" width="9.109375" style="29"/>
    <col min="8448" max="8448" width="23.6640625" style="29" customWidth="1"/>
    <col min="8449" max="8452" width="17.109375" style="29" customWidth="1"/>
    <col min="8453" max="8703" width="9.109375" style="29"/>
    <col min="8704" max="8704" width="23.6640625" style="29" customWidth="1"/>
    <col min="8705" max="8708" width="17.109375" style="29" customWidth="1"/>
    <col min="8709" max="8959" width="9.109375" style="29"/>
    <col min="8960" max="8960" width="23.6640625" style="29" customWidth="1"/>
    <col min="8961" max="8964" width="17.109375" style="29" customWidth="1"/>
    <col min="8965" max="9215" width="9.109375" style="29"/>
    <col min="9216" max="9216" width="23.6640625" style="29" customWidth="1"/>
    <col min="9217" max="9220" width="17.109375" style="29" customWidth="1"/>
    <col min="9221" max="9471" width="9.109375" style="29"/>
    <col min="9472" max="9472" width="23.6640625" style="29" customWidth="1"/>
    <col min="9473" max="9476" width="17.109375" style="29" customWidth="1"/>
    <col min="9477" max="9727" width="9.109375" style="29"/>
    <col min="9728" max="9728" width="23.6640625" style="29" customWidth="1"/>
    <col min="9729" max="9732" width="17.109375" style="29" customWidth="1"/>
    <col min="9733" max="9983" width="9.109375" style="29"/>
    <col min="9984" max="9984" width="23.6640625" style="29" customWidth="1"/>
    <col min="9985" max="9988" width="17.109375" style="29" customWidth="1"/>
    <col min="9989" max="10239" width="9.109375" style="29"/>
    <col min="10240" max="10240" width="23.6640625" style="29" customWidth="1"/>
    <col min="10241" max="10244" width="17.109375" style="29" customWidth="1"/>
    <col min="10245" max="10495" width="9.109375" style="29"/>
    <col min="10496" max="10496" width="23.6640625" style="29" customWidth="1"/>
    <col min="10497" max="10500" width="17.109375" style="29" customWidth="1"/>
    <col min="10501" max="10751" width="9.109375" style="29"/>
    <col min="10752" max="10752" width="23.6640625" style="29" customWidth="1"/>
    <col min="10753" max="10756" width="17.109375" style="29" customWidth="1"/>
    <col min="10757" max="11007" width="9.109375" style="29"/>
    <col min="11008" max="11008" width="23.6640625" style="29" customWidth="1"/>
    <col min="11009" max="11012" width="17.109375" style="29" customWidth="1"/>
    <col min="11013" max="11263" width="9.109375" style="29"/>
    <col min="11264" max="11264" width="23.6640625" style="29" customWidth="1"/>
    <col min="11265" max="11268" width="17.109375" style="29" customWidth="1"/>
    <col min="11269" max="11519" width="9.109375" style="29"/>
    <col min="11520" max="11520" width="23.6640625" style="29" customWidth="1"/>
    <col min="11521" max="11524" width="17.109375" style="29" customWidth="1"/>
    <col min="11525" max="11775" width="9.109375" style="29"/>
    <col min="11776" max="11776" width="23.6640625" style="29" customWidth="1"/>
    <col min="11777" max="11780" width="17.109375" style="29" customWidth="1"/>
    <col min="11781" max="12031" width="9.109375" style="29"/>
    <col min="12032" max="12032" width="23.6640625" style="29" customWidth="1"/>
    <col min="12033" max="12036" width="17.109375" style="29" customWidth="1"/>
    <col min="12037" max="12287" width="9.109375" style="29"/>
    <col min="12288" max="12288" width="23.6640625" style="29" customWidth="1"/>
    <col min="12289" max="12292" width="17.109375" style="29" customWidth="1"/>
    <col min="12293" max="12543" width="9.109375" style="29"/>
    <col min="12544" max="12544" width="23.6640625" style="29" customWidth="1"/>
    <col min="12545" max="12548" width="17.109375" style="29" customWidth="1"/>
    <col min="12549" max="12799" width="9.109375" style="29"/>
    <col min="12800" max="12800" width="23.6640625" style="29" customWidth="1"/>
    <col min="12801" max="12804" width="17.109375" style="29" customWidth="1"/>
    <col min="12805" max="13055" width="9.109375" style="29"/>
    <col min="13056" max="13056" width="23.6640625" style="29" customWidth="1"/>
    <col min="13057" max="13060" width="17.109375" style="29" customWidth="1"/>
    <col min="13061" max="13311" width="9.109375" style="29"/>
    <col min="13312" max="13312" width="23.6640625" style="29" customWidth="1"/>
    <col min="13313" max="13316" width="17.109375" style="29" customWidth="1"/>
    <col min="13317" max="13567" width="9.109375" style="29"/>
    <col min="13568" max="13568" width="23.6640625" style="29" customWidth="1"/>
    <col min="13569" max="13572" width="17.109375" style="29" customWidth="1"/>
    <col min="13573" max="13823" width="9.109375" style="29"/>
    <col min="13824" max="13824" width="23.6640625" style="29" customWidth="1"/>
    <col min="13825" max="13828" width="17.109375" style="29" customWidth="1"/>
    <col min="13829" max="14079" width="9.109375" style="29"/>
    <col min="14080" max="14080" width="23.6640625" style="29" customWidth="1"/>
    <col min="14081" max="14084" width="17.109375" style="29" customWidth="1"/>
    <col min="14085" max="14335" width="9.109375" style="29"/>
    <col min="14336" max="14336" width="23.6640625" style="29" customWidth="1"/>
    <col min="14337" max="14340" width="17.109375" style="29" customWidth="1"/>
    <col min="14341" max="14591" width="9.109375" style="29"/>
    <col min="14592" max="14592" width="23.6640625" style="29" customWidth="1"/>
    <col min="14593" max="14596" width="17.109375" style="29" customWidth="1"/>
    <col min="14597" max="14847" width="9.109375" style="29"/>
    <col min="14848" max="14848" width="23.6640625" style="29" customWidth="1"/>
    <col min="14849" max="14852" width="17.109375" style="29" customWidth="1"/>
    <col min="14853" max="15103" width="9.109375" style="29"/>
    <col min="15104" max="15104" width="23.6640625" style="29" customWidth="1"/>
    <col min="15105" max="15108" width="17.109375" style="29" customWidth="1"/>
    <col min="15109" max="15359" width="9.109375" style="29"/>
    <col min="15360" max="15360" width="23.6640625" style="29" customWidth="1"/>
    <col min="15361" max="15364" width="17.109375" style="29" customWidth="1"/>
    <col min="15365" max="15615" width="9.109375" style="29"/>
    <col min="15616" max="15616" width="23.6640625" style="29" customWidth="1"/>
    <col min="15617" max="15620" width="17.109375" style="29" customWidth="1"/>
    <col min="15621" max="15871" width="9.109375" style="29"/>
    <col min="15872" max="15872" width="23.6640625" style="29" customWidth="1"/>
    <col min="15873" max="15876" width="17.109375" style="29" customWidth="1"/>
    <col min="15877" max="16127" width="9.109375" style="29"/>
    <col min="16128" max="16128" width="23.6640625" style="29" customWidth="1"/>
    <col min="16129" max="16132" width="17.109375" style="29" customWidth="1"/>
    <col min="16133" max="16382" width="9.109375" style="29"/>
    <col min="16383" max="16384" width="9.109375" style="29" customWidth="1"/>
  </cols>
  <sheetData>
    <row r="1" spans="1:5" x14ac:dyDescent="0.3">
      <c r="A1" s="243" t="s">
        <v>780</v>
      </c>
      <c r="B1" s="244"/>
      <c r="C1" s="244"/>
      <c r="D1" s="244"/>
      <c r="E1" s="28"/>
    </row>
    <row r="2" spans="1:5" ht="16.95" customHeight="1" x14ac:dyDescent="0.3">
      <c r="A2" s="64" t="s">
        <v>615</v>
      </c>
      <c r="B2" s="64" t="s">
        <v>616</v>
      </c>
      <c r="C2" s="64" t="s">
        <v>748</v>
      </c>
      <c r="D2" s="64" t="s">
        <v>749</v>
      </c>
      <c r="E2" s="30"/>
    </row>
    <row r="3" spans="1:5" ht="27.6" x14ac:dyDescent="0.3">
      <c r="A3" s="65" t="s">
        <v>750</v>
      </c>
      <c r="B3" s="65" t="s">
        <v>617</v>
      </c>
      <c r="C3" s="65">
        <f>inputs!C7</f>
        <v>0.5</v>
      </c>
      <c r="D3" s="65">
        <f>inputs!C18</f>
        <v>3</v>
      </c>
      <c r="E3" s="31"/>
    </row>
    <row r="4" spans="1:5" x14ac:dyDescent="0.3">
      <c r="A4" s="65" t="s">
        <v>618</v>
      </c>
      <c r="B4" s="65" t="s">
        <v>619</v>
      </c>
      <c r="C4" s="65">
        <v>1</v>
      </c>
      <c r="D4" s="65">
        <v>1</v>
      </c>
      <c r="E4" s="31"/>
    </row>
    <row r="5" spans="1:5" x14ac:dyDescent="0.3">
      <c r="A5" s="65" t="s">
        <v>621</v>
      </c>
      <c r="B5" s="65" t="s">
        <v>622</v>
      </c>
      <c r="C5" s="65">
        <f>IF(inputs!C57&lt;10, 0.01, IF(inputs!C57&gt;100, 0.05, 0.02))</f>
        <v>0.02</v>
      </c>
      <c r="D5" s="65">
        <f>IF(inputs!C57&lt;10, 0.01, IF(inputs!C57&gt;100, 0.05, 0.02))</f>
        <v>0.02</v>
      </c>
      <c r="E5" s="31"/>
    </row>
    <row r="6" spans="1:5" ht="13.5" customHeight="1" x14ac:dyDescent="0.3">
      <c r="E6" s="28"/>
    </row>
    <row r="7" spans="1:5" x14ac:dyDescent="0.3">
      <c r="A7" s="74" t="s">
        <v>781</v>
      </c>
      <c r="B7" s="76"/>
      <c r="C7" s="76"/>
      <c r="D7" s="76"/>
      <c r="E7" s="32"/>
    </row>
    <row r="8" spans="1:5" x14ac:dyDescent="0.3">
      <c r="A8" s="64" t="s">
        <v>623</v>
      </c>
      <c r="B8" s="64" t="s">
        <v>624</v>
      </c>
      <c r="C8" s="64" t="s">
        <v>751</v>
      </c>
      <c r="D8" s="75" t="s">
        <v>752</v>
      </c>
      <c r="E8" s="30"/>
    </row>
    <row r="9" spans="1:5" ht="27.6" x14ac:dyDescent="0.3">
      <c r="A9" s="65" t="s">
        <v>625</v>
      </c>
      <c r="B9" s="65" t="s">
        <v>626</v>
      </c>
      <c r="C9" s="33">
        <f>((C3/C4)*C5)</f>
        <v>0.01</v>
      </c>
      <c r="D9" s="33">
        <f>((D3/D4)*D5)</f>
        <v>0.06</v>
      </c>
      <c r="E9" s="31"/>
    </row>
    <row r="10" spans="1:5" ht="27.6" x14ac:dyDescent="0.3">
      <c r="A10" s="65" t="s">
        <v>627</v>
      </c>
      <c r="B10" s="65" t="s">
        <v>628</v>
      </c>
      <c r="C10" s="33">
        <f>((C3/C4)*C5*10)</f>
        <v>0.1</v>
      </c>
      <c r="D10" s="33">
        <f>((D3/D4)*D5*10)</f>
        <v>0.6</v>
      </c>
      <c r="E10" s="31"/>
    </row>
    <row r="11" spans="1:5" ht="13.5" customHeight="1" x14ac:dyDescent="0.3"/>
    <row r="12" spans="1:5" s="38" customFormat="1" x14ac:dyDescent="0.3">
      <c r="A12" s="35" t="s">
        <v>782</v>
      </c>
      <c r="B12" s="10"/>
      <c r="C12" s="10"/>
      <c r="D12" s="11"/>
      <c r="E12" s="12"/>
    </row>
    <row r="13" spans="1:5" ht="27.6" x14ac:dyDescent="0.3">
      <c r="A13" s="79" t="s">
        <v>57</v>
      </c>
      <c r="B13" s="79" t="s">
        <v>629</v>
      </c>
      <c r="C13" s="13" t="s">
        <v>753</v>
      </c>
      <c r="D13" s="13" t="s">
        <v>754</v>
      </c>
    </row>
    <row r="14" spans="1:5" ht="14.4" x14ac:dyDescent="0.3">
      <c r="A14" s="80" t="s">
        <v>89</v>
      </c>
      <c r="B14" s="22" t="s">
        <v>822</v>
      </c>
      <c r="C14" s="81" t="str">
        <f>IF(inputs!E205="NA", "NA", IF($C$9&gt;inputs!E205, "yes", "no"))</f>
        <v>no</v>
      </c>
      <c r="D14" s="81" t="str">
        <f>IF(inputs!E205="NA", "NA", IF($D$9&gt;inputs!E205, "yes", "no"))</f>
        <v>no</v>
      </c>
    </row>
    <row r="15" spans="1:5" ht="14.4" x14ac:dyDescent="0.3">
      <c r="A15" s="82"/>
      <c r="B15" s="22" t="s">
        <v>823</v>
      </c>
      <c r="C15" s="81" t="str">
        <f>IF(inputs!E206="NA", "NA", IF($C$9&gt;inputs!E206, "yes", "no"))</f>
        <v>no</v>
      </c>
      <c r="D15" s="81" t="str">
        <f>IF(inputs!E206="NA", "NA", IF($D$9&gt;inputs!E206, "yes", "no"))</f>
        <v>no</v>
      </c>
    </row>
    <row r="16" spans="1:5" ht="14.4" x14ac:dyDescent="0.3">
      <c r="A16" s="83"/>
      <c r="B16" s="22" t="s">
        <v>824</v>
      </c>
      <c r="C16" s="81" t="str">
        <f>IF(inputs!E207="NA", "NA", IF($C$9&gt;inputs!E207, "yes", "no"))</f>
        <v>no</v>
      </c>
      <c r="D16" s="81" t="str">
        <f>IF(inputs!E207="NA", "NA", IF($D$9&gt;inputs!E207, "yes", "no"))</f>
        <v>no</v>
      </c>
    </row>
    <row r="17" spans="1:6" ht="14.4" x14ac:dyDescent="0.3">
      <c r="A17" s="82" t="s">
        <v>91</v>
      </c>
      <c r="B17" s="22" t="s">
        <v>822</v>
      </c>
      <c r="C17" s="81" t="str">
        <f>IF(inputs!E215="NA", "NA", IF($C$9&gt;inputs!E215, "yes", "no"))</f>
        <v>no</v>
      </c>
      <c r="D17" s="81" t="str">
        <f>IF(inputs!E215="NA", "NA", IF($D$9&gt;inputs!E215, "yes", "no"))</f>
        <v>no</v>
      </c>
    </row>
    <row r="18" spans="1:6" ht="14.4" x14ac:dyDescent="0.3">
      <c r="A18" s="82"/>
      <c r="B18" s="22" t="s">
        <v>823</v>
      </c>
      <c r="C18" s="81" t="str">
        <f>IF(inputs!E216="NA", "NA", IF($C$9&gt;inputs!E216, "yes", "no"))</f>
        <v>no</v>
      </c>
      <c r="D18" s="81" t="str">
        <f>IF(inputs!E216="NA", "NA", IF($D$9&gt;inputs!E216, "yes", "no"))</f>
        <v>no</v>
      </c>
    </row>
    <row r="19" spans="1:6" ht="13.5" customHeight="1" x14ac:dyDescent="0.3">
      <c r="A19" s="83"/>
      <c r="B19" s="22" t="s">
        <v>824</v>
      </c>
      <c r="C19" s="81" t="str">
        <f>IF(inputs!E217="NA", "NA", IF($C$9&gt;inputs!E217, "yes", "no"))</f>
        <v>no</v>
      </c>
      <c r="D19" s="81" t="str">
        <f>IF(inputs!E217="NA", "NA", IF($D$9&gt;inputs!E217, "yes", "no"))</f>
        <v>no</v>
      </c>
    </row>
    <row r="20" spans="1:6" ht="13.5" customHeight="1" x14ac:dyDescent="0.3">
      <c r="A20" s="84"/>
      <c r="B20" s="84"/>
      <c r="C20" s="85"/>
      <c r="D20" s="85"/>
    </row>
    <row r="21" spans="1:6" ht="13.5" customHeight="1" x14ac:dyDescent="0.3">
      <c r="A21" s="35" t="s">
        <v>783</v>
      </c>
      <c r="B21" s="10"/>
      <c r="C21" s="10"/>
      <c r="D21" s="11"/>
    </row>
    <row r="22" spans="1:6" ht="26.4" customHeight="1" x14ac:dyDescent="0.3">
      <c r="A22" s="79" t="s">
        <v>57</v>
      </c>
      <c r="B22" s="79" t="s">
        <v>629</v>
      </c>
      <c r="C22" s="13" t="s">
        <v>753</v>
      </c>
      <c r="D22" s="13" t="s">
        <v>754</v>
      </c>
    </row>
    <row r="23" spans="1:6" ht="13.5" customHeight="1" x14ac:dyDescent="0.3">
      <c r="A23" s="80" t="s">
        <v>89</v>
      </c>
      <c r="B23" s="22" t="s">
        <v>822</v>
      </c>
      <c r="C23" s="81" t="str">
        <f>IF(inputs!E205="NA", "NA", IF($C$10&gt;inputs!E205, "yes", "no"))</f>
        <v>no</v>
      </c>
      <c r="D23" s="81" t="str">
        <f>IF(inputs!E205="NA", "NA", IF($D$10&gt;inputs!E205, "yes", "no"))</f>
        <v>no</v>
      </c>
    </row>
    <row r="24" spans="1:6" ht="13.5" customHeight="1" x14ac:dyDescent="0.3">
      <c r="A24" s="82"/>
      <c r="B24" s="22" t="s">
        <v>823</v>
      </c>
      <c r="C24" s="81" t="str">
        <f>IF(inputs!E206="NA", "NA", IF($C$10&gt;inputs!E206, "yes", "no"))</f>
        <v>no</v>
      </c>
      <c r="D24" s="81" t="str">
        <f>IF(inputs!E206="NA", "NA", IF($D$10&gt;inputs!E206, "yes", "no"))</f>
        <v>no</v>
      </c>
    </row>
    <row r="25" spans="1:6" ht="13.5" customHeight="1" x14ac:dyDescent="0.3">
      <c r="A25" s="83"/>
      <c r="B25" s="22" t="s">
        <v>824</v>
      </c>
      <c r="C25" s="81" t="str">
        <f>IF(inputs!E207="NA", "NA", IF($C$10&gt;inputs!E207, "yes", "no"))</f>
        <v>no</v>
      </c>
      <c r="D25" s="81" t="str">
        <f>IF(inputs!E207="NA", "NA", IF($D$10&gt;inputs!E207, "yes", "no"))</f>
        <v>no</v>
      </c>
    </row>
    <row r="26" spans="1:6" ht="13.5" customHeight="1" x14ac:dyDescent="0.3">
      <c r="A26" s="82" t="s">
        <v>91</v>
      </c>
      <c r="B26" s="22" t="s">
        <v>822</v>
      </c>
      <c r="C26" s="81" t="str">
        <f>IF(inputs!E215="NA", "NA", IF($C$10&gt;inputs!E215, "yes", "no"))</f>
        <v>no</v>
      </c>
      <c r="D26" s="81" t="str">
        <f>IF(inputs!E215="NA", "NA", IF($D$10&gt;inputs!E215, "yes", "no"))</f>
        <v>no</v>
      </c>
    </row>
    <row r="27" spans="1:6" ht="13.5" customHeight="1" x14ac:dyDescent="0.3">
      <c r="A27" s="82"/>
      <c r="B27" s="22" t="s">
        <v>823</v>
      </c>
      <c r="C27" s="81" t="str">
        <f>IF(inputs!E216="NA", "NA", IF($C$10&gt;inputs!E216, "yes", "no"))</f>
        <v>no</v>
      </c>
      <c r="D27" s="81" t="str">
        <f>IF(inputs!E216="NA", "NA", IF($D$10&gt;inputs!E216, "yes", "no"))</f>
        <v>no</v>
      </c>
    </row>
    <row r="28" spans="1:6" ht="13.5" customHeight="1" x14ac:dyDescent="0.3">
      <c r="A28" s="83"/>
      <c r="B28" s="22" t="s">
        <v>824</v>
      </c>
      <c r="C28" s="81" t="str">
        <f>IF(inputs!E217="NA", "NA", IF($C$10&gt;inputs!E217, "yes", "no"))</f>
        <v>no</v>
      </c>
      <c r="D28" s="81" t="str">
        <f>IF(inputs!E217="NA", "NA", IF($D$10&gt;inputs!E217, "yes", "no"))</f>
        <v>no</v>
      </c>
    </row>
    <row r="30" spans="1:6" s="38" customFormat="1" x14ac:dyDescent="0.3">
      <c r="A30" s="35" t="s">
        <v>784</v>
      </c>
      <c r="B30" s="36"/>
      <c r="C30" s="36"/>
      <c r="D30" s="37"/>
    </row>
    <row r="31" spans="1:6" ht="41.4" x14ac:dyDescent="0.3">
      <c r="A31" s="86" t="s">
        <v>57</v>
      </c>
      <c r="B31" s="79" t="s">
        <v>629</v>
      </c>
      <c r="C31" s="13" t="s">
        <v>755</v>
      </c>
      <c r="D31" s="13" t="s">
        <v>821</v>
      </c>
    </row>
    <row r="32" spans="1:6" ht="14.4" x14ac:dyDescent="0.3">
      <c r="A32" s="80" t="s">
        <v>89</v>
      </c>
      <c r="B32" s="22" t="s">
        <v>822</v>
      </c>
      <c r="C32" s="34">
        <f>IF(inputs!G205="NA", "NA", IF(inputs!G205&gt;1, 0, IF((((inputs!$P$12/inputs!G205)^(1/inputs!$O$12))-1)/inputs!$N$12&lt;0, 0, IF((((inputs!$P$12/inputs!G205)^(1/inputs!$O$12))-1)/inputs!$N$12&gt;inputs!$H$17, inputs!$H$17, (((inputs!$P$12/inputs!G205)^(1/inputs!$O$12))-1)/inputs!$N$12))))</f>
        <v>0</v>
      </c>
      <c r="D32" s="34">
        <f>IF(inputs!H205="NA", "NA", IF(inputs!H205&gt;1, 0, IF((((inputs!$P$13/inputs!H205)^(1/inputs!$O$13))-1)/inputs!$N$13&lt;0, 0, IF((((inputs!$P$13/inputs!H205)^(1/inputs!$O$13))-1)/inputs!$N$13&gt;inputs!$I$17, inputs!$I$17, (((inputs!$P$13/inputs!H205)^(1/inputs!$O$13))-1)/inputs!$N$13))))</f>
        <v>0</v>
      </c>
      <c r="F32" s="87"/>
    </row>
    <row r="33" spans="1:4" ht="14.4" x14ac:dyDescent="0.3">
      <c r="A33" s="82"/>
      <c r="B33" s="22" t="s">
        <v>823</v>
      </c>
      <c r="C33" s="34">
        <f>IF(inputs!G206="NA", "NA", IF(inputs!G206&gt;1, 0, IF((((inputs!$P$12/inputs!G206)^(1/inputs!$O$12))-1)/inputs!$N$12&lt;0, 0, IF((((inputs!$P$12/inputs!G206)^(1/inputs!$O$12))-1)/inputs!$N$12&gt;inputs!$H$17, inputs!$H$17, (((inputs!$P$12/inputs!G206)^(1/inputs!$O$12))-1)/inputs!$N$12))))</f>
        <v>0</v>
      </c>
      <c r="D33" s="34">
        <f>IF(inputs!H206="NA", "NA", IF(inputs!H206&gt;1, 0, IF((((inputs!$P$13/inputs!H206)^(1/inputs!$O$13))-1)/inputs!$N$13&lt;0, 0, IF((((inputs!$P$13/inputs!H206)^(1/inputs!$O$13))-1)/inputs!$N$13&gt;inputs!$I$17, inputs!$I$17, (((inputs!$P$13/inputs!H206)^(1/inputs!$O$13))-1)/inputs!$N$13))))</f>
        <v>0</v>
      </c>
    </row>
    <row r="34" spans="1:4" ht="14.4" x14ac:dyDescent="0.3">
      <c r="A34" s="82"/>
      <c r="B34" s="22" t="s">
        <v>824</v>
      </c>
      <c r="C34" s="34">
        <f>IF(inputs!G207="NA", "NA", IF(inputs!G207&gt;1, 0, IF((((inputs!$P$12/inputs!G207)^(1/inputs!$O$12))-1)/inputs!$N$12&lt;0, 0, IF((((inputs!$P$12/inputs!G207)^(1/inputs!$O$12))-1)/inputs!$N$12&gt;inputs!$H$17, inputs!$H$17, (((inputs!$P$12/inputs!G207)^(1/inputs!$O$12))-1)/inputs!$N$12))))</f>
        <v>0</v>
      </c>
      <c r="D34" s="34">
        <f>IF(inputs!H207="NA", "NA", IF(inputs!H207&gt;1, 0, IF((((inputs!$P$13/inputs!H207)^(1/inputs!$O$13))-1)/inputs!$N$13&lt;0, 0, IF((((inputs!$P$13/inputs!H207)^(1/inputs!$O$13))-1)/inputs!$N$13&gt;inputs!$I$17, inputs!$I$17, (((inputs!$P$13/inputs!H207)^(1/inputs!$O$13))-1)/inputs!$N$13))))</f>
        <v>0</v>
      </c>
    </row>
    <row r="35" spans="1:4" ht="14.4" x14ac:dyDescent="0.3">
      <c r="A35" s="82"/>
      <c r="B35" s="22" t="s">
        <v>825</v>
      </c>
      <c r="C35" s="34">
        <f>IF(inputs!G208="NA", "NA", IF(inputs!G208&gt;1, 0, IF((((inputs!$P$12/inputs!G208)^(1/inputs!$O$12))-1)/inputs!$N$12&lt;0, 0, IF((((inputs!$P$12/inputs!G208)^(1/inputs!$O$12))-1)/inputs!$N$12&gt;inputs!$H$17, inputs!$H$17, (((inputs!$P$12/inputs!G208)^(1/inputs!$O$12))-1)/inputs!$N$12))))</f>
        <v>0</v>
      </c>
      <c r="D35" s="34">
        <f>IF(inputs!H208="NA", "NA", IF(inputs!H208&gt;1, 0, IF((((inputs!$P$13/inputs!H208)^(1/inputs!$O$13))-1)/inputs!$N$13&lt;0, 0, IF((((inputs!$P$13/inputs!H208)^(1/inputs!$O$13))-1)/inputs!$N$13&gt;inputs!$I$17, inputs!$I$17, (((inputs!$P$13/inputs!H208)^(1/inputs!$O$13))-1)/inputs!$N$13))))</f>
        <v>0</v>
      </c>
    </row>
    <row r="36" spans="1:4" ht="14.4" x14ac:dyDescent="0.3">
      <c r="A36" s="82"/>
      <c r="B36" s="22" t="s">
        <v>826</v>
      </c>
      <c r="C36" s="34">
        <f>IF(inputs!G209="NA", "NA", IF(inputs!G209&gt;1, 0, IF((((inputs!$P$12/inputs!G209)^(1/inputs!$O$12))-1)/inputs!$N$12&lt;0, 0, IF((((inputs!$P$12/inputs!G209)^(1/inputs!$O$12))-1)/inputs!$N$12&gt;inputs!$H$17, inputs!$H$17, (((inputs!$P$12/inputs!G209)^(1/inputs!$O$12))-1)/inputs!$N$12))))</f>
        <v>0</v>
      </c>
      <c r="D36" s="34">
        <f>IF(inputs!H209="NA", "NA", IF(inputs!H209&gt;1, 0, IF((((inputs!$P$13/inputs!H209)^(1/inputs!$O$13))-1)/inputs!$N$13&lt;0, 0, IF((((inputs!$P$13/inputs!H209)^(1/inputs!$O$13))-1)/inputs!$N$13&gt;inputs!$I$17, inputs!$I$17, (((inputs!$P$13/inputs!H209)^(1/inputs!$O$13))-1)/inputs!$N$13))))</f>
        <v>0</v>
      </c>
    </row>
    <row r="37" spans="1:4" ht="14.4" x14ac:dyDescent="0.3">
      <c r="A37" s="82"/>
      <c r="B37" s="22" t="s">
        <v>827</v>
      </c>
      <c r="C37" s="34">
        <f>IF(inputs!G210="NA", "NA", IF(inputs!G210&gt;1, 0, IF((((inputs!$P$12/inputs!G210)^(1/inputs!$O$12))-1)/inputs!$N$12&lt;0, 0, IF((((inputs!$P$12/inputs!G210)^(1/inputs!$O$12))-1)/inputs!$N$12&gt;inputs!$H$17, inputs!$H$17, (((inputs!$P$12/inputs!G210)^(1/inputs!$O$12))-1)/inputs!$N$12))))</f>
        <v>0</v>
      </c>
      <c r="D37" s="34">
        <f>IF(inputs!H210="NA", "NA", IF(inputs!H210&gt;1, 0, IF((((inputs!$P$13/inputs!H210)^(1/inputs!$O$13))-1)/inputs!$N$13&lt;0, 0, IF((((inputs!$P$13/inputs!H210)^(1/inputs!$O$13))-1)/inputs!$N$13&gt;inputs!$I$17, inputs!$I$17, (((inputs!$P$13/inputs!H210)^(1/inputs!$O$13))-1)/inputs!$N$13))))</f>
        <v>0</v>
      </c>
    </row>
    <row r="38" spans="1:4" ht="14.4" x14ac:dyDescent="0.3">
      <c r="A38" s="82"/>
      <c r="B38" s="22" t="s">
        <v>828</v>
      </c>
      <c r="C38" s="34">
        <f>IF(inputs!G211="NA", "NA", IF(inputs!G211&gt;1, 0, IF((((inputs!$P$12/inputs!G211)^(1/inputs!$O$12))-1)/inputs!$N$12&lt;0, 0, IF((((inputs!$P$12/inputs!G211)^(1/inputs!$O$12))-1)/inputs!$N$12&gt;inputs!$H$17, inputs!$H$17, (((inputs!$P$12/inputs!G211)^(1/inputs!$O$12))-1)/inputs!$N$12))))</f>
        <v>0</v>
      </c>
      <c r="D38" s="34">
        <f>IF(inputs!H211="NA", "NA", IF(inputs!H211&gt;1, 0, IF((((inputs!$P$13/inputs!H211)^(1/inputs!$O$13))-1)/inputs!$N$13&lt;0, 0, IF((((inputs!$P$13/inputs!H211)^(1/inputs!$O$13))-1)/inputs!$N$13&gt;inputs!$I$17, inputs!$I$17, (((inputs!$P$13/inputs!H211)^(1/inputs!$O$13))-1)/inputs!$N$13))))</f>
        <v>0</v>
      </c>
    </row>
    <row r="39" spans="1:4" ht="14.4" x14ac:dyDescent="0.3">
      <c r="A39" s="82"/>
      <c r="B39" s="22" t="s">
        <v>829</v>
      </c>
      <c r="C39" s="34">
        <f>IF(inputs!G212="NA", "NA", IF(inputs!G212&gt;1, 0, IF((((inputs!$P$12/inputs!G212)^(1/inputs!$O$12))-1)/inputs!$N$12&lt;0, 0, IF((((inputs!$P$12/inputs!G212)^(1/inputs!$O$12))-1)/inputs!$N$12&gt;inputs!$H$17, inputs!$H$17, (((inputs!$P$12/inputs!G212)^(1/inputs!$O$12))-1)/inputs!$N$12))))</f>
        <v>0</v>
      </c>
      <c r="D39" s="34">
        <f>IF(inputs!H212="NA", "NA", IF(inputs!H212&gt;1, 0, IF((((inputs!$P$13/inputs!H212)^(1/inputs!$O$13))-1)/inputs!$N$13&lt;0, 0, IF((((inputs!$P$13/inputs!H212)^(1/inputs!$O$13))-1)/inputs!$N$13&gt;inputs!$I$17, inputs!$I$17, (((inputs!$P$13/inputs!H212)^(1/inputs!$O$13))-1)/inputs!$N$13))))</f>
        <v>0</v>
      </c>
    </row>
    <row r="40" spans="1:4" ht="14.4" x14ac:dyDescent="0.3">
      <c r="A40" s="82"/>
      <c r="B40" s="22" t="s">
        <v>830</v>
      </c>
      <c r="C40" s="34">
        <f>IF(inputs!G213="NA", "NA", IF(inputs!G213&gt;1, 0, IF((((inputs!$P$12/inputs!G213)^(1/inputs!$O$12))-1)/inputs!$N$12&lt;0, 0, IF((((inputs!$P$12/inputs!G213)^(1/inputs!$O$12))-1)/inputs!$N$12&gt;inputs!$H$17, inputs!$H$17, (((inputs!$P$12/inputs!G213)^(1/inputs!$O$12))-1)/inputs!$N$12))))</f>
        <v>0</v>
      </c>
      <c r="D40" s="34">
        <f>IF(inputs!H213="NA", "NA", IF(inputs!H213&gt;1, 0, IF((((inputs!$P$13/inputs!H213)^(1/inputs!$O$13))-1)/inputs!$N$13&lt;0, 0, IF((((inputs!$P$13/inputs!H213)^(1/inputs!$O$13))-1)/inputs!$N$13&gt;inputs!$I$17, inputs!$I$17, (((inputs!$P$13/inputs!H213)^(1/inputs!$O$13))-1)/inputs!$N$13))))</f>
        <v>0</v>
      </c>
    </row>
    <row r="41" spans="1:4" ht="14.4" x14ac:dyDescent="0.3">
      <c r="A41" s="83"/>
      <c r="B41" s="22" t="s">
        <v>831</v>
      </c>
      <c r="C41" s="34">
        <f>IF(inputs!G214="NA", "NA", IF(inputs!G214&gt;1, 0, IF((((inputs!$P$12/inputs!G214)^(1/inputs!$O$12))-1)/inputs!$N$12&lt;0, 0, IF((((inputs!$P$12/inputs!G214)^(1/inputs!$O$12))-1)/inputs!$N$12&gt;inputs!$H$17, inputs!$H$17, (((inputs!$P$12/inputs!G214)^(1/inputs!$O$12))-1)/inputs!$N$12))))</f>
        <v>0</v>
      </c>
      <c r="D41" s="34">
        <f>IF(inputs!H214="NA", "NA", IF(inputs!H214&gt;1, 0, IF((((inputs!$P$13/inputs!H214)^(1/inputs!$O$13))-1)/inputs!$N$13&lt;0, 0, IF((((inputs!$P$13/inputs!H214)^(1/inputs!$O$13))-1)/inputs!$N$13&gt;inputs!$I$17, inputs!$I$17, (((inputs!$P$13/inputs!H214)^(1/inputs!$O$13))-1)/inputs!$N$13))))</f>
        <v>0</v>
      </c>
    </row>
    <row r="42" spans="1:4" ht="14.4" x14ac:dyDescent="0.3">
      <c r="A42" s="80" t="s">
        <v>91</v>
      </c>
      <c r="B42" s="22" t="s">
        <v>822</v>
      </c>
      <c r="C42" s="34">
        <f>IF(inputs!G215="NA", "NA", IF(inputs!G215&gt;1, 0, IF((((inputs!$P$12/inputs!G215)^(1/inputs!$O$12))-1)/inputs!$N$12&lt;0, 0, IF((((inputs!$P$12/inputs!G215)^(1/inputs!$O$12))-1)/inputs!$N$12&gt;inputs!$H$17, inputs!$H$17, (((inputs!$P$12/inputs!G215)^(1/inputs!$O$12))-1)/inputs!$N$12))))</f>
        <v>0</v>
      </c>
      <c r="D42" s="34">
        <f>IF(inputs!H215="NA", "NA", IF(inputs!H215&gt;1, 0, IF((((inputs!$P$13/inputs!H215)^(1/inputs!$O$13))-1)/inputs!$N$13&lt;0, 0, IF((((inputs!$P$13/inputs!H215)^(1/inputs!$O$13))-1)/inputs!$N$13&gt;inputs!$I$17, inputs!$I$17, (((inputs!$P$13/inputs!H215)^(1/inputs!$O$13))-1)/inputs!$N$13))))</f>
        <v>0</v>
      </c>
    </row>
    <row r="43" spans="1:4" ht="14.4" x14ac:dyDescent="0.3">
      <c r="A43" s="82"/>
      <c r="B43" s="22" t="s">
        <v>823</v>
      </c>
      <c r="C43" s="34">
        <f>IF(inputs!G216="NA", "NA", IF(inputs!G216&gt;1, 0, IF((((inputs!$P$12/inputs!G216)^(1/inputs!$O$12))-1)/inputs!$N$12&lt;0, 0, IF((((inputs!$P$12/inputs!G216)^(1/inputs!$O$12))-1)/inputs!$N$12&gt;inputs!$H$17, inputs!$H$17, (((inputs!$P$12/inputs!G216)^(1/inputs!$O$12))-1)/inputs!$N$12))))</f>
        <v>0</v>
      </c>
      <c r="D43" s="34">
        <f>IF(inputs!H216="NA", "NA", IF(inputs!H216&gt;1, 0, IF((((inputs!$P$13/inputs!H216)^(1/inputs!$O$13))-1)/inputs!$N$13&lt;0, 0, IF((((inputs!$P$13/inputs!H216)^(1/inputs!$O$13))-1)/inputs!$N$13&gt;inputs!$I$17, inputs!$I$17, (((inputs!$P$13/inputs!H216)^(1/inputs!$O$13))-1)/inputs!$N$13))))</f>
        <v>0</v>
      </c>
    </row>
    <row r="44" spans="1:4" ht="14.4" x14ac:dyDescent="0.3">
      <c r="A44" s="82"/>
      <c r="B44" s="22" t="s">
        <v>824</v>
      </c>
      <c r="C44" s="34">
        <f>IF(inputs!G217="NA", "NA", IF(inputs!G217&gt;1, 0, IF((((inputs!$P$12/inputs!G217)^(1/inputs!$O$12))-1)/inputs!$N$12&lt;0, 0, IF((((inputs!$P$12/inputs!G217)^(1/inputs!$O$12))-1)/inputs!$N$12&gt;inputs!$H$17, inputs!$H$17, (((inputs!$P$12/inputs!G217)^(1/inputs!$O$12))-1)/inputs!$N$12))))</f>
        <v>0</v>
      </c>
      <c r="D44" s="34">
        <f>IF(inputs!H217="NA", "NA", IF(inputs!H217&gt;1, 0, IF((((inputs!$P$13/inputs!H217)^(1/inputs!$O$13))-1)/inputs!$N$13&lt;0, 0, IF((((inputs!$P$13/inputs!H217)^(1/inputs!$O$13))-1)/inputs!$N$13&gt;inputs!$I$17, inputs!$I$17, (((inputs!$P$13/inputs!H217)^(1/inputs!$O$13))-1)/inputs!$N$13))))</f>
        <v>0</v>
      </c>
    </row>
    <row r="45" spans="1:4" ht="14.4" x14ac:dyDescent="0.3">
      <c r="A45" s="82"/>
      <c r="B45" s="22" t="s">
        <v>825</v>
      </c>
      <c r="C45" s="34">
        <f>IF(inputs!G218="NA", "NA", IF(inputs!G218&gt;1, 0, IF((((inputs!$P$12/inputs!G218)^(1/inputs!$O$12))-1)/inputs!$N$12&lt;0, 0, IF((((inputs!$P$12/inputs!G218)^(1/inputs!$O$12))-1)/inputs!$N$12&gt;inputs!$H$17, inputs!$H$17, (((inputs!$P$12/inputs!G218)^(1/inputs!$O$12))-1)/inputs!$N$12))))</f>
        <v>0</v>
      </c>
      <c r="D45" s="34">
        <f>IF(inputs!H218="NA", "NA", IF(inputs!H218&gt;1, 0, IF((((inputs!$P$13/inputs!H218)^(1/inputs!$O$13))-1)/inputs!$N$13&lt;0, 0, IF((((inputs!$P$13/inputs!H218)^(1/inputs!$O$13))-1)/inputs!$N$13&gt;inputs!$I$17, inputs!$I$17, (((inputs!$P$13/inputs!H218)^(1/inputs!$O$13))-1)/inputs!$N$13))))</f>
        <v>23.799747180247397</v>
      </c>
    </row>
    <row r="46" spans="1:4" ht="14.4" x14ac:dyDescent="0.3">
      <c r="A46" s="82"/>
      <c r="B46" s="22" t="s">
        <v>826</v>
      </c>
      <c r="C46" s="34">
        <f>IF(inputs!G219="NA", "NA", IF(inputs!G219&gt;1, 0, IF((((inputs!$P$12/inputs!G219)^(1/inputs!$O$12))-1)/inputs!$N$12&lt;0, 0, IF((((inputs!$P$12/inputs!G219)^(1/inputs!$O$12))-1)/inputs!$N$12&gt;inputs!$H$17, inputs!$H$17, (((inputs!$P$12/inputs!G219)^(1/inputs!$O$12))-1)/inputs!$N$12))))</f>
        <v>0</v>
      </c>
      <c r="D46" s="34">
        <f>IF(inputs!H219="NA", "NA", IF(inputs!H219&gt;1, 0, IF((((inputs!$P$13/inputs!H219)^(1/inputs!$O$13))-1)/inputs!$N$13&lt;0, 0, IF((((inputs!$P$13/inputs!H219)^(1/inputs!$O$13))-1)/inputs!$N$13&gt;inputs!$I$17, inputs!$I$17, (((inputs!$P$13/inputs!H219)^(1/inputs!$O$13))-1)/inputs!$N$13))))</f>
        <v>23.799747180247397</v>
      </c>
    </row>
    <row r="47" spans="1:4" ht="14.4" x14ac:dyDescent="0.3">
      <c r="A47" s="82"/>
      <c r="B47" s="22" t="s">
        <v>827</v>
      </c>
      <c r="C47" s="34">
        <f>IF(inputs!G220="NA", "NA", IF(inputs!G220&gt;1, 0, IF((((inputs!$P$12/inputs!G220)^(1/inputs!$O$12))-1)/inputs!$N$12&lt;0, 0, IF((((inputs!$P$12/inputs!G220)^(1/inputs!$O$12))-1)/inputs!$N$12&gt;inputs!$H$17, inputs!$H$17, (((inputs!$P$12/inputs!G220)^(1/inputs!$O$12))-1)/inputs!$N$12))))</f>
        <v>0</v>
      </c>
      <c r="D47" s="34">
        <f>IF(inputs!H220="NA", "NA", IF(inputs!H220&gt;1, 0, IF((((inputs!$P$13/inputs!H220)^(1/inputs!$O$13))-1)/inputs!$N$13&lt;0, 0, IF((((inputs!$P$13/inputs!H220)^(1/inputs!$O$13))-1)/inputs!$N$13&gt;inputs!$I$17, inputs!$I$17, (((inputs!$P$13/inputs!H220)^(1/inputs!$O$13))-1)/inputs!$N$13))))</f>
        <v>0</v>
      </c>
    </row>
    <row r="48" spans="1:4" ht="14.4" x14ac:dyDescent="0.3">
      <c r="A48" s="82"/>
      <c r="B48" s="22" t="s">
        <v>828</v>
      </c>
      <c r="C48" s="34">
        <f>IF(inputs!G221="NA", "NA", IF(inputs!G221&gt;1, 0, IF((((inputs!$P$12/inputs!G221)^(1/inputs!$O$12))-1)/inputs!$N$12&lt;0, 0, IF((((inputs!$P$12/inputs!G221)^(1/inputs!$O$12))-1)/inputs!$N$12&gt;inputs!$H$17, inputs!$H$17, (((inputs!$P$12/inputs!G221)^(1/inputs!$O$12))-1)/inputs!$N$12))))</f>
        <v>0</v>
      </c>
      <c r="D48" s="34">
        <f>IF(inputs!H221="NA", "NA", IF(inputs!H221&gt;1, 0, IF((((inputs!$P$13/inputs!H221)^(1/inputs!$O$13))-1)/inputs!$N$13&lt;0, 0, IF((((inputs!$P$13/inputs!H221)^(1/inputs!$O$13))-1)/inputs!$N$13&gt;inputs!$I$17, inputs!$I$17, (((inputs!$P$13/inputs!H221)^(1/inputs!$O$13))-1)/inputs!$N$13))))</f>
        <v>0</v>
      </c>
    </row>
    <row r="49" spans="1:4" ht="14.4" x14ac:dyDescent="0.3">
      <c r="A49" s="82"/>
      <c r="B49" s="22" t="s">
        <v>829</v>
      </c>
      <c r="C49" s="34">
        <f>IF(inputs!G222="NA", "NA", IF(inputs!G222&gt;1, 0, IF((((inputs!$P$12/inputs!G222)^(1/inputs!$O$12))-1)/inputs!$N$12&lt;0, 0, IF((((inputs!$P$12/inputs!G222)^(1/inputs!$O$12))-1)/inputs!$N$12&gt;inputs!$H$17, inputs!$H$17, (((inputs!$P$12/inputs!G222)^(1/inputs!$O$12))-1)/inputs!$N$12))))</f>
        <v>0</v>
      </c>
      <c r="D49" s="34">
        <f>IF(inputs!H222="NA", "NA", IF(inputs!H222&gt;1, 0, IF((((inputs!$P$13/inputs!H222)^(1/inputs!$O$13))-1)/inputs!$N$13&lt;0, 0, IF((((inputs!$P$13/inputs!H222)^(1/inputs!$O$13))-1)/inputs!$N$13&gt;inputs!$I$17, inputs!$I$17, (((inputs!$P$13/inputs!H222)^(1/inputs!$O$13))-1)/inputs!$N$13))))</f>
        <v>0</v>
      </c>
    </row>
    <row r="50" spans="1:4" ht="14.4" x14ac:dyDescent="0.3">
      <c r="A50" s="82"/>
      <c r="B50" s="22" t="s">
        <v>830</v>
      </c>
      <c r="C50" s="34">
        <f>IF(inputs!G223="NA", "NA", IF(inputs!G223&gt;1, 0, IF((((inputs!$P$12/inputs!G223)^(1/inputs!$O$12))-1)/inputs!$N$12&lt;0, 0, IF((((inputs!$P$12/inputs!G223)^(1/inputs!$O$12))-1)/inputs!$N$12&gt;inputs!$H$17, inputs!$H$17, (((inputs!$P$12/inputs!G223)^(1/inputs!$O$12))-1)/inputs!$N$12))))</f>
        <v>0</v>
      </c>
      <c r="D50" s="34">
        <f>IF(inputs!H223="NA", "NA", IF(inputs!H223&gt;1, 0, IF((((inputs!$P$13/inputs!H223)^(1/inputs!$O$13))-1)/inputs!$N$13&lt;0, 0, IF((((inputs!$P$13/inputs!H223)^(1/inputs!$O$13))-1)/inputs!$N$13&gt;inputs!$I$17, inputs!$I$17, (((inputs!$P$13/inputs!H223)^(1/inputs!$O$13))-1)/inputs!$N$13))))</f>
        <v>0</v>
      </c>
    </row>
    <row r="51" spans="1:4" ht="14.4" x14ac:dyDescent="0.3">
      <c r="A51" s="83"/>
      <c r="B51" s="22" t="s">
        <v>831</v>
      </c>
      <c r="C51" s="34">
        <f>IF(inputs!G224="NA", "NA", IF(inputs!G224&gt;1, 0, IF((((inputs!$P$12/inputs!G224)^(1/inputs!$O$12))-1)/inputs!$N$12&lt;0, 0, IF((((inputs!$P$12/inputs!G224)^(1/inputs!$O$12))-1)/inputs!$N$12&gt;inputs!$H$17, inputs!$H$17, (((inputs!$P$12/inputs!G224)^(1/inputs!$O$12))-1)/inputs!$N$12))))</f>
        <v>0</v>
      </c>
      <c r="D51" s="34">
        <f>IF(inputs!H224="NA", "NA", IF(inputs!H224&gt;1, 0, IF((((inputs!$P$13/inputs!H224)^(1/inputs!$O$13))-1)/inputs!$N$13&lt;0, 0, IF((((inputs!$P$13/inputs!H224)^(1/inputs!$O$13))-1)/inputs!$N$13&gt;inputs!$I$17, inputs!$I$17, (((inputs!$P$13/inputs!H224)^(1/inputs!$O$13))-1)/inputs!$N$13))))</f>
        <v>0</v>
      </c>
    </row>
    <row r="52" spans="1:4" ht="14.4" x14ac:dyDescent="0.3">
      <c r="A52" s="27" t="s">
        <v>92</v>
      </c>
    </row>
    <row r="53" spans="1:4" ht="14.4" x14ac:dyDescent="0.3">
      <c r="A53" s="27" t="s">
        <v>93</v>
      </c>
    </row>
    <row r="54" spans="1:4" x14ac:dyDescent="0.3">
      <c r="A54" s="38" t="s">
        <v>798</v>
      </c>
    </row>
  </sheetData>
  <sheetProtection algorithmName="SHA-512" hashValue="n0NESYKbIbgByLdOjyRII80uLnTZHFvb6OJsNkg1NoPOx4LVVUiw/eLx0/7R2Y9FiVdIWqFynhWU/b9p4HWfJw==" saltValue="Lp4BJLtzyoU3wgu3XFIi4A==" spinCount="100000" sheet="1" objects="1" scenarios="1" formatCells="0" formatColumns="0" formatRows="0"/>
  <mergeCells count="1">
    <mergeCell ref="A1:D1"/>
  </mergeCells>
  <pageMargins left="0.7" right="0.7" top="0.75" bottom="0.75"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41"/>
  <sheetViews>
    <sheetView topLeftCell="B1" zoomScale="96" zoomScaleNormal="96" workbookViewId="0">
      <selection activeCell="D3" sqref="D3"/>
    </sheetView>
  </sheetViews>
  <sheetFormatPr defaultColWidth="8.88671875" defaultRowHeight="14.4" x14ac:dyDescent="0.3"/>
  <cols>
    <col min="1" max="3" width="33.109375" style="89" customWidth="1"/>
    <col min="4" max="4" width="12" style="89" customWidth="1"/>
    <col min="5" max="5" width="15.5546875" style="89" customWidth="1"/>
    <col min="6" max="6" width="18.109375" style="89" customWidth="1"/>
    <col min="7" max="16384" width="8.88671875" style="89"/>
  </cols>
  <sheetData>
    <row r="1" spans="1:6" x14ac:dyDescent="0.3">
      <c r="A1" s="88" t="s">
        <v>785</v>
      </c>
      <c r="D1" s="245" t="s">
        <v>736</v>
      </c>
      <c r="E1" s="246"/>
      <c r="F1" s="247"/>
    </row>
    <row r="2" spans="1:6" x14ac:dyDescent="0.3">
      <c r="A2" s="90" t="s">
        <v>57</v>
      </c>
      <c r="B2" s="91" t="s">
        <v>58</v>
      </c>
      <c r="C2" s="92" t="s">
        <v>59</v>
      </c>
      <c r="D2" s="91" t="s">
        <v>733</v>
      </c>
      <c r="E2" s="93" t="s">
        <v>734</v>
      </c>
      <c r="F2" s="93" t="s">
        <v>735</v>
      </c>
    </row>
    <row r="3" spans="1:6" x14ac:dyDescent="0.3">
      <c r="A3" s="94" t="s">
        <v>61</v>
      </c>
      <c r="B3" s="95" t="s">
        <v>62</v>
      </c>
      <c r="C3" s="96" t="s">
        <v>63</v>
      </c>
      <c r="D3" s="97">
        <f>inputs!E95*1000/inputs!$C$60</f>
        <v>56.785714285714285</v>
      </c>
      <c r="E3" s="97">
        <f>inputs!E95*1000/inputs!$C$62</f>
        <v>193.90243902439025</v>
      </c>
      <c r="F3" s="97">
        <f>inputs!E95*1000/inputs!$C$64</f>
        <v>74.647887323943664</v>
      </c>
    </row>
    <row r="4" spans="1:6" x14ac:dyDescent="0.3">
      <c r="A4" s="98"/>
      <c r="B4" s="95" t="s">
        <v>64</v>
      </c>
      <c r="C4" s="96" t="s">
        <v>65</v>
      </c>
      <c r="D4" s="97">
        <f>inputs!E96*1000/inputs!$C$60</f>
        <v>900</v>
      </c>
      <c r="E4" s="97">
        <f>inputs!E96*1000/inputs!$C$62</f>
        <v>3073.1707317073169</v>
      </c>
      <c r="F4" s="97">
        <f>inputs!E96*1000/inputs!$C$64</f>
        <v>1183.0985915492959</v>
      </c>
    </row>
    <row r="5" spans="1:6" x14ac:dyDescent="0.3">
      <c r="A5" s="98"/>
      <c r="B5" s="95" t="s">
        <v>66</v>
      </c>
      <c r="C5" s="95" t="s">
        <v>80</v>
      </c>
      <c r="D5" s="97">
        <f>inputs!E97*1000/inputs!$C$60</f>
        <v>2500</v>
      </c>
      <c r="E5" s="97">
        <f>inputs!E97*1000/inputs!$C$62</f>
        <v>8536.585365853658</v>
      </c>
      <c r="F5" s="97">
        <f>inputs!E97*1000/inputs!$C$64</f>
        <v>3286.3849765258215</v>
      </c>
    </row>
    <row r="6" spans="1:6" x14ac:dyDescent="0.3">
      <c r="A6" s="98"/>
      <c r="B6" s="95" t="s">
        <v>62</v>
      </c>
      <c r="C6" s="95" t="s">
        <v>71</v>
      </c>
      <c r="D6" s="97">
        <f>inputs!E98*1000/inputs!$C$60</f>
        <v>8.2142857142857135</v>
      </c>
      <c r="E6" s="97">
        <f>inputs!E98*1000/inputs!$C$62</f>
        <v>28.048780487804876</v>
      </c>
      <c r="F6" s="97">
        <f>inputs!E98*1000/inputs!$C$64</f>
        <v>10.7981220657277</v>
      </c>
    </row>
    <row r="7" spans="1:6" x14ac:dyDescent="0.3">
      <c r="A7" s="98"/>
      <c r="B7" s="95" t="s">
        <v>62</v>
      </c>
      <c r="C7" s="96" t="s">
        <v>81</v>
      </c>
      <c r="D7" s="97" t="e">
        <f>inputs!E99*1000/inputs!$C$60</f>
        <v>#VALUE!</v>
      </c>
      <c r="E7" s="97" t="e">
        <f>inputs!E99*1000/inputs!$C$62</f>
        <v>#VALUE!</v>
      </c>
      <c r="F7" s="97" t="e">
        <f>inputs!E99*1000/inputs!$C$64</f>
        <v>#VALUE!</v>
      </c>
    </row>
    <row r="8" spans="1:6" x14ac:dyDescent="0.3">
      <c r="A8" s="98"/>
      <c r="B8" s="95" t="s">
        <v>62</v>
      </c>
      <c r="C8" s="96" t="s">
        <v>82</v>
      </c>
      <c r="D8" s="97">
        <f>inputs!E100*1000/inputs!$C$60</f>
        <v>13.571428571428571</v>
      </c>
      <c r="E8" s="97">
        <f>inputs!E100*1000/inputs!$C$62</f>
        <v>46.341463414634148</v>
      </c>
      <c r="F8" s="97">
        <f>inputs!E100*1000/inputs!$C$64</f>
        <v>17.84037558685446</v>
      </c>
    </row>
    <row r="9" spans="1:6" x14ac:dyDescent="0.3">
      <c r="A9" s="98"/>
      <c r="B9" s="95" t="s">
        <v>62</v>
      </c>
      <c r="C9" s="96" t="s">
        <v>83</v>
      </c>
      <c r="D9" s="97" t="e">
        <f>inputs!E101*1000/inputs!$C$60</f>
        <v>#VALUE!</v>
      </c>
      <c r="E9" s="97" t="e">
        <f>inputs!E101*1000/inputs!$C$62</f>
        <v>#VALUE!</v>
      </c>
      <c r="F9" s="97" t="e">
        <f>inputs!E101*1000/inputs!$C$64</f>
        <v>#VALUE!</v>
      </c>
    </row>
    <row r="10" spans="1:6" x14ac:dyDescent="0.3">
      <c r="A10" s="98"/>
      <c r="B10" s="95" t="s">
        <v>62</v>
      </c>
      <c r="C10" s="96" t="s">
        <v>84</v>
      </c>
      <c r="D10" s="97">
        <f>inputs!E102*1000/inputs!$C$60</f>
        <v>47.857142857142854</v>
      </c>
      <c r="E10" s="97">
        <f>inputs!E102*1000/inputs!$C$62</f>
        <v>163.41463414634146</v>
      </c>
      <c r="F10" s="97">
        <f>inputs!E102*1000/inputs!$C$64</f>
        <v>62.910798122065728</v>
      </c>
    </row>
    <row r="11" spans="1:6" x14ac:dyDescent="0.3">
      <c r="A11" s="98"/>
      <c r="B11" s="95" t="s">
        <v>62</v>
      </c>
      <c r="C11" s="96" t="s">
        <v>85</v>
      </c>
      <c r="D11" s="97">
        <f>inputs!E103*1000/inputs!$C$60</f>
        <v>0.35714285714285715</v>
      </c>
      <c r="E11" s="97">
        <f>inputs!E103*1000/inputs!$C$62</f>
        <v>1.2195121951219512</v>
      </c>
      <c r="F11" s="97">
        <f>inputs!E103*1000/inputs!$C$64</f>
        <v>0.46948356807511737</v>
      </c>
    </row>
    <row r="12" spans="1:6" x14ac:dyDescent="0.3">
      <c r="A12" s="98"/>
      <c r="B12" s="95" t="s">
        <v>62</v>
      </c>
      <c r="C12" s="96" t="s">
        <v>86</v>
      </c>
      <c r="D12" s="97">
        <f>inputs!E104*1000/inputs!$C$60</f>
        <v>3.5714285714285716</v>
      </c>
      <c r="E12" s="97">
        <f>inputs!E104*1000/inputs!$C$62</f>
        <v>12.195121951219512</v>
      </c>
      <c r="F12" s="97">
        <f>inputs!E104*1000/inputs!$C$64</f>
        <v>4.694835680751174</v>
      </c>
    </row>
    <row r="13" spans="1:6" x14ac:dyDescent="0.3">
      <c r="A13" s="98"/>
      <c r="B13" s="95" t="s">
        <v>62</v>
      </c>
      <c r="C13" s="96" t="s">
        <v>87</v>
      </c>
      <c r="D13" s="97" t="e">
        <f>inputs!E105*1000/inputs!$C$60</f>
        <v>#VALUE!</v>
      </c>
      <c r="E13" s="97" t="e">
        <f>inputs!E105*1000/inputs!$C$62</f>
        <v>#VALUE!</v>
      </c>
      <c r="F13" s="97" t="e">
        <f>inputs!E105*1000/inputs!$C$64</f>
        <v>#VALUE!</v>
      </c>
    </row>
    <row r="14" spans="1:6" x14ac:dyDescent="0.3">
      <c r="A14" s="98"/>
      <c r="B14" s="95" t="s">
        <v>62</v>
      </c>
      <c r="C14" s="96" t="s">
        <v>88</v>
      </c>
      <c r="D14" s="97" t="e">
        <f>inputs!E106*1000/inputs!$C$60</f>
        <v>#VALUE!</v>
      </c>
      <c r="E14" s="97" t="e">
        <f>inputs!E106*1000/inputs!$C$62</f>
        <v>#VALUE!</v>
      </c>
      <c r="F14" s="97" t="e">
        <f>inputs!E106*1000/inputs!$C$64</f>
        <v>#VALUE!</v>
      </c>
    </row>
    <row r="15" spans="1:6" x14ac:dyDescent="0.3">
      <c r="A15" s="99"/>
      <c r="B15" s="95" t="s">
        <v>64</v>
      </c>
      <c r="C15" s="95" t="s">
        <v>71</v>
      </c>
      <c r="D15" s="97">
        <f>inputs!E107*1000/inputs!$C$60</f>
        <v>37.142857142857146</v>
      </c>
      <c r="E15" s="97">
        <f>inputs!E107*1000/inputs!$C$62</f>
        <v>126.82926829268293</v>
      </c>
      <c r="F15" s="97">
        <f>inputs!E107*1000/inputs!$C$64</f>
        <v>48.826291079812208</v>
      </c>
    </row>
    <row r="16" spans="1:6" x14ac:dyDescent="0.3">
      <c r="A16" s="98" t="s">
        <v>73</v>
      </c>
      <c r="B16" s="95" t="s">
        <v>62</v>
      </c>
      <c r="C16" s="96" t="s">
        <v>63</v>
      </c>
      <c r="D16" s="97">
        <f>inputs!E108*1000/inputs!$C$60</f>
        <v>8.9285714285714288</v>
      </c>
      <c r="E16" s="97">
        <f>inputs!E108*1000/inputs!$C$62</f>
        <v>30.487804878048781</v>
      </c>
      <c r="F16" s="97">
        <f>inputs!E108*1000/inputs!$C$64</f>
        <v>11.737089201877934</v>
      </c>
    </row>
    <row r="17" spans="1:6" x14ac:dyDescent="0.3">
      <c r="A17" s="98"/>
      <c r="B17" s="95" t="s">
        <v>64</v>
      </c>
      <c r="C17" s="96" t="s">
        <v>65</v>
      </c>
      <c r="D17" s="97">
        <f>inputs!E109*1000/inputs!$C$60</f>
        <v>64.285714285714292</v>
      </c>
      <c r="E17" s="97">
        <f>inputs!E109*1000/inputs!$C$62</f>
        <v>219.51219512195121</v>
      </c>
      <c r="F17" s="97">
        <f>inputs!E109*1000/inputs!$C$64</f>
        <v>84.507042253521121</v>
      </c>
    </row>
    <row r="18" spans="1:6" x14ac:dyDescent="0.3">
      <c r="A18" s="98"/>
      <c r="B18" s="95" t="s">
        <v>66</v>
      </c>
      <c r="C18" s="95" t="s">
        <v>80</v>
      </c>
      <c r="D18" s="97">
        <f>inputs!E110*1000/inputs!$C$60</f>
        <v>135.71428571428572</v>
      </c>
      <c r="E18" s="97">
        <f>inputs!E110*1000/inputs!$C$62</f>
        <v>463.41463414634148</v>
      </c>
      <c r="F18" s="97">
        <f>inputs!E110*1000/inputs!$C$64</f>
        <v>178.40375586854461</v>
      </c>
    </row>
    <row r="19" spans="1:6" x14ac:dyDescent="0.3">
      <c r="A19" s="98"/>
      <c r="B19" s="95" t="s">
        <v>62</v>
      </c>
      <c r="C19" s="96" t="s">
        <v>72</v>
      </c>
      <c r="D19" s="97">
        <f>inputs!E111*1000/inputs!$C$60</f>
        <v>14.285714285714286</v>
      </c>
      <c r="E19" s="97">
        <f>inputs!E111*1000/inputs!$C$62</f>
        <v>48.780487804878049</v>
      </c>
      <c r="F19" s="97">
        <f>inputs!E111*1000/inputs!$C$64</f>
        <v>18.779342723004696</v>
      </c>
    </row>
    <row r="20" spans="1:6" x14ac:dyDescent="0.3">
      <c r="A20" s="98"/>
      <c r="B20" s="95" t="s">
        <v>62</v>
      </c>
      <c r="C20" s="96" t="s">
        <v>81</v>
      </c>
      <c r="D20" s="97">
        <f>inputs!E112*1000/inputs!$C$60</f>
        <v>29.642857142857142</v>
      </c>
      <c r="E20" s="97">
        <f>inputs!E112*1000/inputs!$C$62</f>
        <v>101.21951219512195</v>
      </c>
      <c r="F20" s="97">
        <f>inputs!E112*1000/inputs!$C$64</f>
        <v>38.967136150234744</v>
      </c>
    </row>
    <row r="21" spans="1:6" x14ac:dyDescent="0.3">
      <c r="A21" s="98"/>
      <c r="B21" s="95" t="s">
        <v>62</v>
      </c>
      <c r="C21" s="96" t="s">
        <v>82</v>
      </c>
      <c r="D21" s="97">
        <f>inputs!E113*1000/inputs!$C$60</f>
        <v>58.214285714285715</v>
      </c>
      <c r="E21" s="97">
        <f>inputs!E113*1000/inputs!$C$62</f>
        <v>198.78048780487805</v>
      </c>
      <c r="F21" s="97">
        <f>inputs!E113*1000/inputs!$C$64</f>
        <v>76.525821596244128</v>
      </c>
    </row>
    <row r="22" spans="1:6" x14ac:dyDescent="0.3">
      <c r="A22" s="98"/>
      <c r="B22" s="95" t="s">
        <v>62</v>
      </c>
      <c r="C22" s="96" t="s">
        <v>83</v>
      </c>
      <c r="D22" s="97">
        <f>inputs!E114*1000/inputs!$C$60</f>
        <v>29.642857142857142</v>
      </c>
      <c r="E22" s="97">
        <f>inputs!E114*1000/inputs!$C$62</f>
        <v>101.21951219512195</v>
      </c>
      <c r="F22" s="97">
        <f>inputs!E114*1000/inputs!$C$64</f>
        <v>38.967136150234744</v>
      </c>
    </row>
    <row r="23" spans="1:6" x14ac:dyDescent="0.3">
      <c r="A23" s="98"/>
      <c r="B23" s="95" t="s">
        <v>62</v>
      </c>
      <c r="C23" s="96" t="s">
        <v>84</v>
      </c>
      <c r="D23" s="97">
        <f>inputs!E115*1000/inputs!$C$60</f>
        <v>58.214285714285715</v>
      </c>
      <c r="E23" s="97">
        <f>inputs!E115*1000/inputs!$C$62</f>
        <v>198.78048780487805</v>
      </c>
      <c r="F23" s="97">
        <f>inputs!E115*1000/inputs!$C$64</f>
        <v>76.525821596244128</v>
      </c>
    </row>
    <row r="24" spans="1:6" x14ac:dyDescent="0.3">
      <c r="A24" s="98"/>
      <c r="B24" s="95" t="s">
        <v>62</v>
      </c>
      <c r="C24" s="96" t="s">
        <v>85</v>
      </c>
      <c r="D24" s="97">
        <f>inputs!E116*1000/inputs!$C$60</f>
        <v>125</v>
      </c>
      <c r="E24" s="97">
        <f>inputs!E116*1000/inputs!$C$62</f>
        <v>426.82926829268291</v>
      </c>
      <c r="F24" s="97">
        <f>inputs!E116*1000/inputs!$C$64</f>
        <v>164.31924882629107</v>
      </c>
    </row>
    <row r="25" spans="1:6" x14ac:dyDescent="0.3">
      <c r="A25" s="98"/>
      <c r="B25" s="95" t="s">
        <v>62</v>
      </c>
      <c r="C25" s="96" t="s">
        <v>86</v>
      </c>
      <c r="D25" s="97">
        <f>inputs!E117*1000/inputs!$C$60</f>
        <v>178.57142857142858</v>
      </c>
      <c r="E25" s="97">
        <f>inputs!E117*1000/inputs!$C$62</f>
        <v>609.7560975609756</v>
      </c>
      <c r="F25" s="97">
        <f>inputs!E117*1000/inputs!$C$64</f>
        <v>234.74178403755869</v>
      </c>
    </row>
    <row r="26" spans="1:6" x14ac:dyDescent="0.3">
      <c r="A26" s="98"/>
      <c r="B26" s="95" t="s">
        <v>62</v>
      </c>
      <c r="C26" s="96" t="s">
        <v>87</v>
      </c>
      <c r="D26" s="97" t="e">
        <f>inputs!E118*1000/inputs!$C$60</f>
        <v>#VALUE!</v>
      </c>
      <c r="E26" s="97" t="e">
        <f>inputs!E118*1000/inputs!$C$62</f>
        <v>#VALUE!</v>
      </c>
      <c r="F26" s="97" t="e">
        <f>inputs!E118*1000/inputs!$C$64</f>
        <v>#VALUE!</v>
      </c>
    </row>
    <row r="27" spans="1:6" x14ac:dyDescent="0.3">
      <c r="A27" s="98"/>
      <c r="B27" s="95" t="s">
        <v>62</v>
      </c>
      <c r="C27" s="96" t="s">
        <v>88</v>
      </c>
      <c r="D27" s="97" t="e">
        <f>inputs!E119*1000/inputs!$C$60</f>
        <v>#VALUE!</v>
      </c>
      <c r="E27" s="97" t="e">
        <f>inputs!E119*1000/inputs!$C$62</f>
        <v>#VALUE!</v>
      </c>
      <c r="F27" s="97" t="e">
        <f>inputs!E119*1000/inputs!$C$64</f>
        <v>#VALUE!</v>
      </c>
    </row>
    <row r="28" spans="1:6" x14ac:dyDescent="0.3">
      <c r="A28" s="98"/>
      <c r="B28" s="95" t="s">
        <v>64</v>
      </c>
      <c r="C28" s="96" t="s">
        <v>72</v>
      </c>
      <c r="D28" s="97">
        <f>inputs!E120*1000/inputs!$C$60</f>
        <v>14.285714285714286</v>
      </c>
      <c r="E28" s="97">
        <f>inputs!E120*1000/inputs!$C$62</f>
        <v>48.780487804878049</v>
      </c>
      <c r="F28" s="97">
        <f>inputs!E120*1000/inputs!$C$64</f>
        <v>18.779342723004696</v>
      </c>
    </row>
    <row r="29" spans="1:6" x14ac:dyDescent="0.3">
      <c r="A29" s="94" t="s">
        <v>705</v>
      </c>
      <c r="B29" s="95" t="s">
        <v>62</v>
      </c>
      <c r="C29" s="96" t="s">
        <v>63</v>
      </c>
      <c r="D29" s="97">
        <f>inputs!E121*1000/inputs!$C$60</f>
        <v>8.9285714285714288</v>
      </c>
      <c r="E29" s="97">
        <f>inputs!E121*1000/inputs!$C$62</f>
        <v>30.487804878048781</v>
      </c>
      <c r="F29" s="97">
        <f>inputs!E121*1000/inputs!$C$64</f>
        <v>11.737089201877934</v>
      </c>
    </row>
    <row r="30" spans="1:6" x14ac:dyDescent="0.3">
      <c r="A30" s="98" t="s">
        <v>78</v>
      </c>
      <c r="B30" s="95" t="s">
        <v>64</v>
      </c>
      <c r="C30" s="96" t="s">
        <v>65</v>
      </c>
      <c r="D30" s="97">
        <f>inputs!E122*1000/inputs!$C$60</f>
        <v>64.285714285714292</v>
      </c>
      <c r="E30" s="97">
        <f>inputs!E122*1000/inputs!$C$62</f>
        <v>219.51219512195121</v>
      </c>
      <c r="F30" s="97">
        <f>inputs!E122*1000/inputs!$C$64</f>
        <v>84.507042253521121</v>
      </c>
    </row>
    <row r="31" spans="1:6" x14ac:dyDescent="0.3">
      <c r="A31" s="98"/>
      <c r="B31" s="95" t="s">
        <v>66</v>
      </c>
      <c r="C31" s="95" t="s">
        <v>80</v>
      </c>
      <c r="D31" s="97">
        <f>inputs!E123*1000/inputs!$C$60</f>
        <v>135.71428571428572</v>
      </c>
      <c r="E31" s="97">
        <f>inputs!E123*1000/inputs!$C$62</f>
        <v>463.41463414634148</v>
      </c>
      <c r="F31" s="97">
        <f>inputs!E123*1000/inputs!$C$64</f>
        <v>178.40375586854461</v>
      </c>
    </row>
    <row r="32" spans="1:6" x14ac:dyDescent="0.3">
      <c r="A32" s="98"/>
      <c r="B32" s="95" t="s">
        <v>62</v>
      </c>
      <c r="C32" s="96" t="s">
        <v>72</v>
      </c>
      <c r="D32" s="97">
        <f>inputs!E124*1000/inputs!$C$60</f>
        <v>14.285714285714286</v>
      </c>
      <c r="E32" s="97">
        <f>inputs!E124*1000/inputs!$C$62</f>
        <v>48.780487804878049</v>
      </c>
      <c r="F32" s="97">
        <f>inputs!E124*1000/inputs!$C$64</f>
        <v>18.779342723004696</v>
      </c>
    </row>
    <row r="33" spans="1:6" x14ac:dyDescent="0.3">
      <c r="A33" s="98"/>
      <c r="B33" s="95" t="s">
        <v>62</v>
      </c>
      <c r="C33" s="96" t="s">
        <v>81</v>
      </c>
      <c r="D33" s="97">
        <f>inputs!E125*1000/inputs!$C$60</f>
        <v>29.642857142857142</v>
      </c>
      <c r="E33" s="97">
        <f>inputs!E125*1000/inputs!$C$62</f>
        <v>101.21951219512195</v>
      </c>
      <c r="F33" s="97">
        <f>inputs!E125*1000/inputs!$C$64</f>
        <v>38.967136150234744</v>
      </c>
    </row>
    <row r="34" spans="1:6" x14ac:dyDescent="0.3">
      <c r="A34" s="98"/>
      <c r="B34" s="95" t="s">
        <v>62</v>
      </c>
      <c r="C34" s="96" t="s">
        <v>82</v>
      </c>
      <c r="D34" s="97">
        <f>inputs!E126*1000/inputs!$C$60</f>
        <v>58.214285714285715</v>
      </c>
      <c r="E34" s="97">
        <f>inputs!E126*1000/inputs!$C$62</f>
        <v>198.78048780487805</v>
      </c>
      <c r="F34" s="97">
        <f>inputs!E126*1000/inputs!$C$64</f>
        <v>76.525821596244128</v>
      </c>
    </row>
    <row r="35" spans="1:6" x14ac:dyDescent="0.3">
      <c r="A35" s="98"/>
      <c r="B35" s="95" t="s">
        <v>62</v>
      </c>
      <c r="C35" s="96" t="s">
        <v>83</v>
      </c>
      <c r="D35" s="97">
        <f>inputs!E127*1000/inputs!$C$60</f>
        <v>29.642857142857142</v>
      </c>
      <c r="E35" s="97">
        <f>inputs!E127*1000/inputs!$C$62</f>
        <v>101.21951219512195</v>
      </c>
      <c r="F35" s="97">
        <f>inputs!E127*1000/inputs!$C$64</f>
        <v>38.967136150234744</v>
      </c>
    </row>
    <row r="36" spans="1:6" x14ac:dyDescent="0.3">
      <c r="A36" s="98"/>
      <c r="B36" s="95" t="s">
        <v>62</v>
      </c>
      <c r="C36" s="96" t="s">
        <v>84</v>
      </c>
      <c r="D36" s="97">
        <f>inputs!E128*1000/inputs!$C$60</f>
        <v>58.214285714285715</v>
      </c>
      <c r="E36" s="97">
        <f>inputs!E128*1000/inputs!$C$62</f>
        <v>198.78048780487805</v>
      </c>
      <c r="F36" s="97">
        <f>inputs!E128*1000/inputs!$C$64</f>
        <v>76.525821596244128</v>
      </c>
    </row>
    <row r="37" spans="1:6" x14ac:dyDescent="0.3">
      <c r="A37" s="98"/>
      <c r="B37" s="95" t="s">
        <v>62</v>
      </c>
      <c r="C37" s="96" t="s">
        <v>85</v>
      </c>
      <c r="D37" s="97">
        <f>inputs!E129*1000/inputs!$C$60</f>
        <v>14.285714285714286</v>
      </c>
      <c r="E37" s="97">
        <f>inputs!E129*1000/inputs!$C$62</f>
        <v>48.780487804878049</v>
      </c>
      <c r="F37" s="97">
        <f>inputs!E129*1000/inputs!$C$64</f>
        <v>18.779342723004696</v>
      </c>
    </row>
    <row r="38" spans="1:6" x14ac:dyDescent="0.3">
      <c r="A38" s="98"/>
      <c r="B38" s="95" t="s">
        <v>62</v>
      </c>
      <c r="C38" s="96" t="s">
        <v>86</v>
      </c>
      <c r="D38" s="97">
        <f>inputs!E130*1000/inputs!$C$60</f>
        <v>14.285714285714286</v>
      </c>
      <c r="E38" s="97">
        <f>inputs!E130*1000/inputs!$C$62</f>
        <v>48.780487804878049</v>
      </c>
      <c r="F38" s="97">
        <f>inputs!E130*1000/inputs!$C$64</f>
        <v>18.779342723004696</v>
      </c>
    </row>
    <row r="39" spans="1:6" x14ac:dyDescent="0.3">
      <c r="A39" s="98"/>
      <c r="B39" s="95" t="s">
        <v>62</v>
      </c>
      <c r="C39" s="96" t="s">
        <v>87</v>
      </c>
      <c r="D39" s="97" t="e">
        <f>inputs!E131*1000/inputs!$C$60</f>
        <v>#VALUE!</v>
      </c>
      <c r="E39" s="97" t="e">
        <f>inputs!E131*1000/inputs!$C$62</f>
        <v>#VALUE!</v>
      </c>
      <c r="F39" s="97" t="e">
        <f>inputs!E131*1000/inputs!$C$64</f>
        <v>#VALUE!</v>
      </c>
    </row>
    <row r="40" spans="1:6" x14ac:dyDescent="0.3">
      <c r="A40" s="98"/>
      <c r="B40" s="95" t="s">
        <v>62</v>
      </c>
      <c r="C40" s="96" t="s">
        <v>88</v>
      </c>
      <c r="D40" s="97" t="e">
        <f>inputs!E132*1000/inputs!$C$60</f>
        <v>#VALUE!</v>
      </c>
      <c r="E40" s="97" t="e">
        <f>inputs!E132*1000/inputs!$C$62</f>
        <v>#VALUE!</v>
      </c>
      <c r="F40" s="97" t="e">
        <f>inputs!E132*1000/inputs!$C$64</f>
        <v>#VALUE!</v>
      </c>
    </row>
    <row r="41" spans="1:6" x14ac:dyDescent="0.3">
      <c r="A41" s="99"/>
      <c r="B41" s="95" t="s">
        <v>64</v>
      </c>
      <c r="C41" s="96" t="s">
        <v>72</v>
      </c>
      <c r="D41" s="97">
        <f>inputs!E133*1000/inputs!$C$60</f>
        <v>14.285714285714286</v>
      </c>
      <c r="E41" s="97">
        <f>inputs!E133*1000/inputs!$C$62</f>
        <v>48.780487804878049</v>
      </c>
      <c r="F41" s="97">
        <f>inputs!E133*1000/inputs!$C$64</f>
        <v>18.779342723004696</v>
      </c>
    </row>
  </sheetData>
  <sheetProtection algorithmName="SHA-512" hashValue="A/szoxWO5BE4FKkeFtMiKB71tPerI+QJb020j6mqq6kd58wx2T0gI9IivOEhSVOAOWWvTm9EPksq15hngwVnhw==" saltValue="7CeH1mHy+CIKpLrAOY/GCg==" spinCount="100000" sheet="1" objects="1" scenarios="1"/>
  <mergeCells count="1">
    <mergeCell ref="D1:F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E8"/>
  <sheetViews>
    <sheetView workbookViewId="0">
      <selection activeCell="D24" sqref="D24"/>
    </sheetView>
  </sheetViews>
  <sheetFormatPr defaultColWidth="8.88671875" defaultRowHeight="14.4" x14ac:dyDescent="0.3"/>
  <cols>
    <col min="1" max="1" width="28.33203125" style="4" customWidth="1"/>
    <col min="2" max="2" width="16.33203125" style="4" customWidth="1"/>
    <col min="3" max="4" width="23.44140625" style="4" customWidth="1"/>
    <col min="5" max="5" width="18.6640625" style="4" customWidth="1"/>
    <col min="6" max="16384" width="8.88671875" style="4"/>
  </cols>
  <sheetData>
    <row r="1" spans="1:5" x14ac:dyDescent="0.3">
      <c r="A1" s="1" t="s">
        <v>786</v>
      </c>
      <c r="B1" s="1"/>
      <c r="C1" s="1"/>
      <c r="D1" s="1"/>
      <c r="E1" s="1"/>
    </row>
    <row r="2" spans="1:5" s="5" customFormat="1" ht="18" customHeight="1" x14ac:dyDescent="0.3">
      <c r="A2" s="100" t="s">
        <v>94</v>
      </c>
      <c r="B2" s="248" t="s">
        <v>731</v>
      </c>
      <c r="C2" s="249"/>
      <c r="D2" s="248" t="s">
        <v>732</v>
      </c>
      <c r="E2" s="250"/>
    </row>
    <row r="3" spans="1:5" s="5" customFormat="1" x14ac:dyDescent="0.3">
      <c r="A3" s="100"/>
      <c r="B3" s="100" t="s">
        <v>729</v>
      </c>
      <c r="C3" s="100" t="s">
        <v>730</v>
      </c>
      <c r="D3" s="100" t="s">
        <v>729</v>
      </c>
      <c r="E3" s="100" t="s">
        <v>730</v>
      </c>
    </row>
    <row r="4" spans="1:5" x14ac:dyDescent="0.3">
      <c r="A4" s="101">
        <v>0.01</v>
      </c>
      <c r="B4" s="101">
        <f>A4*inputs!$C$61/1000</f>
        <v>2.5000000000000001E-4</v>
      </c>
      <c r="C4" s="101">
        <f>A4*inputs!$C$62/1000</f>
        <v>8.2000000000000009E-4</v>
      </c>
      <c r="D4" s="101">
        <f>A4*inputs!$C$63/1000</f>
        <v>8.8000000000000003E-4</v>
      </c>
      <c r="E4" s="101">
        <f>A4*inputs!$C$64/1000</f>
        <v>2.1299999999999999E-3</v>
      </c>
    </row>
    <row r="5" spans="1:5" x14ac:dyDescent="0.3">
      <c r="A5" s="101">
        <v>0.1</v>
      </c>
      <c r="B5" s="101">
        <f>A5*inputs!$C$61/1000</f>
        <v>2.5000000000000001E-3</v>
      </c>
      <c r="C5" s="101">
        <f>A5*inputs!$C$62/1000</f>
        <v>8.2000000000000007E-3</v>
      </c>
      <c r="D5" s="101">
        <f>A5*inputs!$C$63/1000</f>
        <v>8.8000000000000005E-3</v>
      </c>
      <c r="E5" s="101">
        <f>A5*inputs!$C$64/1000</f>
        <v>2.1299999999999999E-2</v>
      </c>
    </row>
    <row r="6" spans="1:5" x14ac:dyDescent="0.3">
      <c r="A6" s="101">
        <v>1</v>
      </c>
      <c r="B6" s="101">
        <f>A6*inputs!$C$61/1000</f>
        <v>2.5000000000000001E-2</v>
      </c>
      <c r="C6" s="101">
        <f>A6*inputs!$C$62/1000</f>
        <v>8.2000000000000003E-2</v>
      </c>
      <c r="D6" s="101">
        <f>A6*inputs!$C$63/1000</f>
        <v>8.7999999999999995E-2</v>
      </c>
      <c r="E6" s="101">
        <f>A6*inputs!$C$64/1000</f>
        <v>0.21299999999999999</v>
      </c>
    </row>
    <row r="7" spans="1:5" x14ac:dyDescent="0.3">
      <c r="A7" s="101">
        <v>10</v>
      </c>
      <c r="B7" s="101">
        <f>A7*inputs!$C$61/1000</f>
        <v>0.25</v>
      </c>
      <c r="C7" s="101">
        <f>A7*inputs!$C$62/1000</f>
        <v>0.82</v>
      </c>
      <c r="D7" s="101">
        <f>A7*inputs!$C$63/1000</f>
        <v>0.88</v>
      </c>
      <c r="E7" s="101">
        <f>A7*inputs!$C$64/1000</f>
        <v>2.13</v>
      </c>
    </row>
    <row r="8" spans="1:5" x14ac:dyDescent="0.3">
      <c r="A8" s="101">
        <v>100</v>
      </c>
      <c r="B8" s="101">
        <f>A8*inputs!$C$61/1000</f>
        <v>2.5</v>
      </c>
      <c r="C8" s="101">
        <f>A8*inputs!$C$62/1000</f>
        <v>8.1999999999999993</v>
      </c>
      <c r="D8" s="101">
        <f>A8*inputs!$C$63/1000</f>
        <v>8.8000000000000007</v>
      </c>
      <c r="E8" s="101">
        <f>A8*inputs!$C$64/1000</f>
        <v>21.3</v>
      </c>
    </row>
  </sheetData>
  <sheetProtection algorithmName="SHA-512" hashValue="0W7hauRNvlzzK6k7eWrksk+pXq6Ujh6uq/WaU6rxrIdiI6Gy1cx9a6iFfPpEya2VhG97YFY21+62OVlGmViDeQ==" saltValue="R+sUFueLvXOF5+/UiEpYfA==" spinCount="100000" sheet="1" objects="1" scenarios="1"/>
  <mergeCells count="2">
    <mergeCell ref="B2:C2"/>
    <mergeCell ref="D2:E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A1:AH368"/>
  <sheetViews>
    <sheetView tabSelected="1" workbookViewId="0">
      <pane ySplit="2" topLeftCell="A9" activePane="bottomLeft" state="frozen"/>
      <selection pane="bottomLeft" activeCell="L9" sqref="L9"/>
    </sheetView>
  </sheetViews>
  <sheetFormatPr defaultColWidth="9.109375" defaultRowHeight="14.4" x14ac:dyDescent="0.3"/>
  <cols>
    <col min="1" max="1" width="7.6640625" style="4" customWidth="1"/>
    <col min="2" max="2" width="6.5546875" style="4" customWidth="1"/>
    <col min="3" max="3" width="4.44140625" style="4" customWidth="1"/>
    <col min="4" max="4" width="6.44140625" style="4" customWidth="1"/>
    <col min="5" max="5" width="10.5546875" style="4" customWidth="1"/>
    <col min="6" max="6" width="9.6640625" style="4" customWidth="1"/>
    <col min="7" max="7" width="10.109375" style="4" customWidth="1"/>
    <col min="8" max="8" width="11.5546875" style="4" customWidth="1"/>
    <col min="9" max="9" width="13.33203125" style="4" customWidth="1"/>
    <col min="10" max="14" width="12.6640625" style="4" customWidth="1"/>
    <col min="15" max="15" width="9.5546875" style="4" customWidth="1"/>
    <col min="16" max="16" width="9.109375" style="16"/>
    <col min="17" max="17" width="6.44140625" style="16" customWidth="1"/>
    <col min="18" max="18" width="12" style="16" bestFit="1" customWidth="1"/>
    <col min="19" max="19" width="3.109375" style="4" customWidth="1"/>
    <col min="20" max="20" width="12.33203125" style="4" customWidth="1"/>
    <col min="21" max="21" width="6.33203125" style="4" customWidth="1"/>
    <col min="22" max="22" width="5.33203125" style="4" customWidth="1"/>
    <col min="23" max="23" width="10.44140625" style="4" customWidth="1"/>
    <col min="24" max="24" width="11.88671875" style="4" customWidth="1"/>
    <col min="25" max="25" width="9.6640625" style="4" customWidth="1"/>
    <col min="26" max="26" width="10.109375" style="4" customWidth="1"/>
    <col min="27" max="27" width="11.5546875" style="4" customWidth="1"/>
    <col min="28" max="31" width="12.6640625" style="4" customWidth="1"/>
    <col min="32" max="16384" width="9.109375" style="4"/>
  </cols>
  <sheetData>
    <row r="1" spans="1:34" x14ac:dyDescent="0.3">
      <c r="A1" s="1" t="s">
        <v>795</v>
      </c>
      <c r="T1" s="1" t="s">
        <v>796</v>
      </c>
      <c r="AH1" s="174"/>
    </row>
    <row r="2" spans="1:34" s="5" customFormat="1" ht="90" customHeight="1" x14ac:dyDescent="0.3">
      <c r="A2" s="6" t="s">
        <v>95</v>
      </c>
      <c r="B2" s="6" t="s">
        <v>96</v>
      </c>
      <c r="C2" s="6" t="s">
        <v>97</v>
      </c>
      <c r="D2" s="6" t="s">
        <v>98</v>
      </c>
      <c r="E2" s="6" t="s">
        <v>99</v>
      </c>
      <c r="F2" s="6" t="s">
        <v>100</v>
      </c>
      <c r="G2" s="6" t="s">
        <v>101</v>
      </c>
      <c r="H2" s="6" t="s">
        <v>102</v>
      </c>
      <c r="I2" s="6" t="s">
        <v>103</v>
      </c>
      <c r="J2" s="6" t="s">
        <v>104</v>
      </c>
      <c r="K2" s="6" t="s">
        <v>105</v>
      </c>
      <c r="L2" s="6" t="s">
        <v>106</v>
      </c>
      <c r="M2" s="6" t="s">
        <v>107</v>
      </c>
      <c r="N2" s="6" t="s">
        <v>769</v>
      </c>
      <c r="O2" s="6" t="s">
        <v>108</v>
      </c>
      <c r="P2" s="17" t="s">
        <v>109</v>
      </c>
      <c r="Q2" s="17" t="s">
        <v>110</v>
      </c>
      <c r="R2" s="17" t="s">
        <v>111</v>
      </c>
      <c r="T2" s="6" t="s">
        <v>95</v>
      </c>
      <c r="U2" s="6" t="s">
        <v>96</v>
      </c>
      <c r="V2" s="6" t="s">
        <v>97</v>
      </c>
      <c r="W2" s="6" t="s">
        <v>98</v>
      </c>
      <c r="X2" s="6" t="s">
        <v>99</v>
      </c>
      <c r="Y2" s="6" t="s">
        <v>100</v>
      </c>
      <c r="Z2" s="6" t="s">
        <v>101</v>
      </c>
      <c r="AA2" s="6" t="s">
        <v>102</v>
      </c>
      <c r="AB2" s="6" t="s">
        <v>104</v>
      </c>
      <c r="AC2" s="6" t="s">
        <v>105</v>
      </c>
      <c r="AD2" s="6" t="s">
        <v>106</v>
      </c>
      <c r="AE2" s="6" t="s">
        <v>107</v>
      </c>
      <c r="AH2" s="174"/>
    </row>
    <row r="3" spans="1:34" x14ac:dyDescent="0.3">
      <c r="A3" s="7">
        <v>0</v>
      </c>
      <c r="B3" s="7">
        <v>1</v>
      </c>
      <c r="C3" s="7">
        <v>0</v>
      </c>
      <c r="D3" s="7">
        <f>240*inputs!C7</f>
        <v>120</v>
      </c>
      <c r="E3" s="7">
        <f>110*inputs!C7</f>
        <v>55</v>
      </c>
      <c r="F3" s="7">
        <f>135*inputs!C7</f>
        <v>67.5</v>
      </c>
      <c r="G3" s="7">
        <f>15*inputs!C7</f>
        <v>7.5</v>
      </c>
      <c r="H3" s="7">
        <f>94*inputs!C7</f>
        <v>47</v>
      </c>
      <c r="I3" s="7">
        <f>O3*(10^inputs!$C$55)*0.01/1</f>
        <v>9.4775690500787988</v>
      </c>
      <c r="J3" s="7">
        <f>(((0.621*15^0.564)/0.2))*D3/15</f>
        <v>114.4108103430513</v>
      </c>
      <c r="K3" s="7">
        <f>(((0.621*1000^0.564)/0.2))*D3/1000</f>
        <v>18.333393099490852</v>
      </c>
      <c r="L3" s="7">
        <f>(((0.648*20^0.651)/0.2))*H3/20</f>
        <v>53.52829368557336</v>
      </c>
      <c r="M3" s="7">
        <f>(((0.013*2^0.773)/0.2))*H3/2</f>
        <v>2.6102217584181342</v>
      </c>
      <c r="N3" s="7">
        <f>O3*0.015*inputs!$C$56</f>
        <v>1.3924406437745867</v>
      </c>
      <c r="O3" s="7">
        <f>(inputs!$C$7*11.2)/(2.6*((1-1.5/2.65)+1.5*inputs!$C$56*0.015))</f>
        <v>0.15020934668550018</v>
      </c>
      <c r="P3" s="3">
        <f>(inputs!$C$7*11.2)/(1.3+2.6*((1-1.5/2.65)+1.5*inputs!$C$56*0.015))</f>
        <v>0.14514803094078713</v>
      </c>
      <c r="Q3" s="19">
        <f>IF((F3*0.62*1/(0.012*(10^inputs!$C$55)))&gt;inputs!$C$57, inputs!$C$57, (F3*0.62*1/(0.012*(10^inputs!$C$55))))</f>
        <v>0.5527315008708128</v>
      </c>
      <c r="R3" s="18">
        <f>(inputs!$C$7*1.12*(10^6))/((1*10^7)+(25000*(10^(1.065*inputs!C55-LOG10(inputs!C58/(0.00008205*298))-1.654))/0.77))</f>
        <v>1.2842407552286549E-6</v>
      </c>
      <c r="T3" s="7">
        <v>0</v>
      </c>
      <c r="U3" s="7">
        <v>1</v>
      </c>
      <c r="V3" s="7">
        <v>0</v>
      </c>
      <c r="W3" s="7">
        <f>85*inputs!C7</f>
        <v>42.5</v>
      </c>
      <c r="X3" s="7">
        <f>36*inputs!C7</f>
        <v>18</v>
      </c>
      <c r="Y3" s="7">
        <f>45*inputs!C7</f>
        <v>22.5</v>
      </c>
      <c r="Z3" s="7">
        <f>7*inputs!C7</f>
        <v>3.5</v>
      </c>
      <c r="AA3" s="7">
        <f>65*inputs!C7</f>
        <v>32.5</v>
      </c>
      <c r="AB3" s="7">
        <f>(((0.621*15^0.564)/0.2))*W3/15</f>
        <v>40.520495329830666</v>
      </c>
      <c r="AC3" s="7">
        <f>(((0.621*1000^0.564)/0.2))*W3/1000</f>
        <v>6.4930767227363431</v>
      </c>
      <c r="AD3" s="7">
        <f>(((0.648*20^0.651)/0.2))*AA3/20</f>
        <v>37.014245633641153</v>
      </c>
      <c r="AE3" s="7">
        <f>(((0.013*2^0.773)/0.2))*AA3/2</f>
        <v>1.8049405776295611</v>
      </c>
    </row>
    <row r="4" spans="1:34" x14ac:dyDescent="0.3">
      <c r="A4" s="7">
        <f>IF(A3&lt;(inputs!$C$9-1),(1+A3),0)</f>
        <v>0</v>
      </c>
      <c r="B4" s="7">
        <f>IF(inputs!$C$8&gt;B3,IF(A3=(inputs!$C$9-1),(B3+1),B3), B3)</f>
        <v>1</v>
      </c>
      <c r="C4" s="7">
        <f>C3+1</f>
        <v>1</v>
      </c>
      <c r="D4" s="8">
        <f>IF((B4&gt;B3), (EXP(-LN(2)/inputs!$C$51)*D3+$D$3), (EXP(-LN(2)/inputs!$C$51)*D3))</f>
        <v>105.28903218037642</v>
      </c>
      <c r="E4" s="8">
        <f>IF((B4&gt;B3), (EXP(-LN(2)/inputs!$C$51)*E3+$E$3), (EXP(-LN(2)/inputs!$C$51)*E3))</f>
        <v>48.257473082672526</v>
      </c>
      <c r="F4" s="8">
        <f>IF((B4&gt;B3), (EXP(-LN(2)/inputs!$C$51)*F3+$F$3), (EXP(-LN(2)/inputs!$C$51)*F3))</f>
        <v>59.225080601461734</v>
      </c>
      <c r="G4" s="8">
        <f>IF((B4&gt;B3), (EXP(-LN(2)/inputs!$C$51)*G3+$G$3), (EXP(-LN(2)/inputs!$C$51)*G3))</f>
        <v>6.5805645112735265</v>
      </c>
      <c r="H4" s="8">
        <f>IF((B4&gt;B3), (EXP(-LN(2)/inputs!$C$51)*H3+$H$3), (EXP(-LN(2)/inputs!$C$51)*H3))</f>
        <v>41.238204270647429</v>
      </c>
      <c r="I4" s="7">
        <f>O4*(10^inputs!$C$55)*0.01/1</f>
        <v>9.286309068182419</v>
      </c>
      <c r="J4" s="7">
        <f>(((0.621*15^0.564)/0.2))*D4/15+J3*inputs!$C$53</f>
        <v>111.8261101342424</v>
      </c>
      <c r="K4" s="7">
        <f>(((0.621*1000^0.564)/0.2))*D4/1000+K3*inputs!$C$53</f>
        <v>17.919216110180614</v>
      </c>
      <c r="L4" s="7">
        <f>(((0.648*20^0.651)/0.2))*H4/20+L3*inputs!$C$54</f>
        <v>58.421240152220811</v>
      </c>
      <c r="M4" s="7">
        <f>(((0.013*2^0.773)/0.2))*H4/2+M3*inputs!$C$54</f>
        <v>2.8488184789681945</v>
      </c>
      <c r="N4" s="7">
        <f>O4*0.015*inputs!$C$56</f>
        <v>1.3643408039408798</v>
      </c>
      <c r="O4" s="7">
        <f>IF((B4&gt;B3), (EXP(-LN(2)/inputs!$C$52)*O3+$O$3), (EXP(-LN(2)/inputs!$C$52)*O3))</f>
        <v>0.14717808025252208</v>
      </c>
      <c r="P4" s="3">
        <f>IF((B4&gt;B3), (EXP(-LN(2)/inputs!$C$52)*P3+$P$3), (EXP(-LN(2)/inputs!$C$52)*P3))</f>
        <v>0.14221890326855988</v>
      </c>
      <c r="Q4" s="19">
        <f>IF((F4*0.62*1/(0.012*(10^inputs!$C$55)))&gt;inputs!$C$57, inputs!$C$57, (F4*0.62*1/(0.012*(10^inputs!$C$55))))</f>
        <v>0.48497137318578964</v>
      </c>
      <c r="R4" s="3">
        <f>IF((B4&gt;B3), (EXP(-LN(2)/inputs!$C$51)*R3+$R$3), (EXP(-LN(2)/inputs!$C$51)*R3))</f>
        <v>1.1268038850385063E-6</v>
      </c>
      <c r="S4"/>
      <c r="T4" s="7">
        <f>IF(T3&lt;(inputs!$C$9-1),(1+T3),0)</f>
        <v>0</v>
      </c>
      <c r="U4" s="7">
        <f>IF(inputs!$C$8&gt;U3,IF(T3=(inputs!$C$9-1),(U3+1),U3), U3)</f>
        <v>1</v>
      </c>
      <c r="V4" s="7">
        <f t="shared" ref="V4:V67" si="0">V3+1</f>
        <v>1</v>
      </c>
      <c r="W4" s="8">
        <f>IF((U4&gt;U3), (EXP(-LN(2)/inputs!$C$51)*W3+$W$3), (EXP(-LN(2)/inputs!$C$51)*W3))</f>
        <v>37.289865563883318</v>
      </c>
      <c r="X4" s="8">
        <f>IF((U4&gt;U3), (EXP(-LN(2)/inputs!$C$51)*X3+$X$3), (EXP(-LN(2)/inputs!$C$51)*X3))</f>
        <v>15.793354827056463</v>
      </c>
      <c r="Y4" s="8">
        <f>IF((U4&gt;U3), (EXP(-LN(2)/inputs!$C$51)*Y3+$Y$3), (EXP(-LN(2)/inputs!$C$51)*Y3))</f>
        <v>19.741693533820577</v>
      </c>
      <c r="Z4" s="8">
        <f>IF((U4&gt;U3), (EXP(-LN(2)/inputs!$C$51)*Z3+$Z$3), (EXP(-LN(2)/inputs!$C$51)*Z3))</f>
        <v>3.0709301052609788</v>
      </c>
      <c r="AA4" s="8">
        <f>IF((U4&gt;U3), (EXP(-LN(2)/inputs!$C$51)*AA3+$AA$3), (EXP(-LN(2)/inputs!$C$51)*AA3))</f>
        <v>28.515779548851945</v>
      </c>
      <c r="AB4" s="7">
        <f>(((0.621*15^0.564)/0.2))*W4/15+AB3*inputs!$C$53</f>
        <v>39.605080672544183</v>
      </c>
      <c r="AC4" s="7">
        <f>(((0.621*1000^0.564)/0.2))*W4/1000+AC3*inputs!$C$53</f>
        <v>6.3463890390223003</v>
      </c>
      <c r="AD4" s="7">
        <f>(((0.648*20^0.651)/0.2))*AA4/20+AD3*inputs!$C$54</f>
        <v>40.397666062705881</v>
      </c>
      <c r="AE4" s="7">
        <f>(((0.013*2^0.773)/0.2))*AA4/2+AE3*inputs!$C$54</f>
        <v>1.9699276716269429</v>
      </c>
    </row>
    <row r="5" spans="1:34" x14ac:dyDescent="0.3">
      <c r="A5" s="7">
        <f>IF(A4&lt;(inputs!$C$9-1),(1+A4),0)</f>
        <v>0</v>
      </c>
      <c r="B5" s="7">
        <f>IF(inputs!$C$8&gt;B4,IF(A4=(inputs!$C$9-1),(B4+1),B4), B4)</f>
        <v>1</v>
      </c>
      <c r="C5" s="7">
        <f t="shared" ref="C5:C68" si="1">C4+1</f>
        <v>2</v>
      </c>
      <c r="D5" s="8">
        <f>IF((B5&gt;B4), (EXP(-LN(2)/inputs!$C$51)*D4+$D$3), (EXP(-LN(2)/inputs!$C$51)*D4))</f>
        <v>92.381502479002847</v>
      </c>
      <c r="E5" s="8">
        <f>IF((B5&gt;B4), (EXP(-LN(2)/inputs!$C$51)*E4+$E$3), (EXP(-LN(2)/inputs!$C$51)*E4))</f>
        <v>42.341521969542967</v>
      </c>
      <c r="F5" s="8">
        <f>IF((B5&gt;B4), (EXP(-LN(2)/inputs!$C$51)*F4+$F$3), (EXP(-LN(2)/inputs!$C$51)*F4))</f>
        <v>51.964595144439095</v>
      </c>
      <c r="G5" s="8">
        <f>IF((B5&gt;B4), (EXP(-LN(2)/inputs!$C$51)*G4+$G$3), (EXP(-LN(2)/inputs!$C$51)*G4))</f>
        <v>5.773843904937678</v>
      </c>
      <c r="H5" s="8">
        <f>IF((B5&gt;B4), (EXP(-LN(2)/inputs!$C$51)*H4+$H$3), (EXP(-LN(2)/inputs!$C$51)*H4))</f>
        <v>36.182755137609448</v>
      </c>
      <c r="I5" s="7">
        <f>O5*(10^inputs!$C$55)*0.01/1</f>
        <v>9.0989087659656818</v>
      </c>
      <c r="J5" s="7">
        <f>(((0.621*15^0.564)/0.2))*D5/15+J4*inputs!$C$53</f>
        <v>99.261299007851875</v>
      </c>
      <c r="K5" s="7">
        <f>(((0.621*1000^0.564)/0.2))*D5/1000+K4*inputs!$C$53</f>
        <v>15.905808278260961</v>
      </c>
      <c r="L5" s="7">
        <f>(((0.648*20^0.651)/0.2))*H5/20+L4*inputs!$C$54</f>
        <v>53.710680357663485</v>
      </c>
      <c r="M5" s="7">
        <f>(((0.013*2^0.773)/0.2))*H5/2+M4*inputs!$C$54</f>
        <v>2.619115553216294</v>
      </c>
      <c r="N5" s="7">
        <f>O5*0.015*inputs!$C$56</f>
        <v>1.3368080266977471</v>
      </c>
      <c r="O5" s="7">
        <f>IF((B5&gt;B4), (EXP(-LN(2)/inputs!$C$52)*O4+$O$3), (EXP(-LN(2)/inputs!$C$52)*O4))</f>
        <v>0.14420798562003745</v>
      </c>
      <c r="P5" s="3">
        <f>IF((B5&gt;B4), (EXP(-LN(2)/inputs!$C$52)*P4+$P$3), (EXP(-LN(2)/inputs!$C$52)*P4))</f>
        <v>0.13934888620819968</v>
      </c>
      <c r="Q5" s="19">
        <f>IF((F5*0.62*1/(0.012*(10^inputs!$C$55)))&gt;inputs!$C$57, inputs!$C$57, (F5*0.62*1/(0.012*(10^inputs!$C$55))))</f>
        <v>0.42551805431599954</v>
      </c>
      <c r="R5" s="3">
        <f>IF((B5&gt;B4), (EXP(-LN(2)/inputs!$C$51)*R4+$R$3), (EXP(-LN(2)/inputs!$C$51)*R4))</f>
        <v>9.8866742093993715E-7</v>
      </c>
      <c r="T5" s="7">
        <f>IF(T4&lt;(inputs!$C$9-1),(1+T4),0)</f>
        <v>0</v>
      </c>
      <c r="U5" s="7">
        <f>IF(inputs!$C$8&gt;U4,IF(T4=(inputs!$C$9-1),(U4+1),U4), U4)</f>
        <v>1</v>
      </c>
      <c r="V5" s="7">
        <f t="shared" si="0"/>
        <v>2</v>
      </c>
      <c r="W5" s="8">
        <f>IF((U5&gt;U4), (EXP(-LN(2)/inputs!$C$51)*W4+$W$3), (EXP(-LN(2)/inputs!$C$51)*W4))</f>
        <v>32.718448794646839</v>
      </c>
      <c r="X5" s="8">
        <f>IF((U5&gt;U4), (EXP(-LN(2)/inputs!$C$51)*X4+$X$3), (EXP(-LN(2)/inputs!$C$51)*X4))</f>
        <v>13.857225371850427</v>
      </c>
      <c r="Y5" s="8">
        <f>IF((U5&gt;U4), (EXP(-LN(2)/inputs!$C$51)*Y4+$Y$3), (EXP(-LN(2)/inputs!$C$51)*Y4))</f>
        <v>17.32153171481303</v>
      </c>
      <c r="Z5" s="8">
        <f>IF((U5&gt;U4), (EXP(-LN(2)/inputs!$C$51)*Z4+$Z$3), (EXP(-LN(2)/inputs!$C$51)*Z4))</f>
        <v>2.6944604889709161</v>
      </c>
      <c r="AA5" s="8">
        <f>IF((U5&gt;U4), (EXP(-LN(2)/inputs!$C$51)*AA4+$AA$3), (EXP(-LN(2)/inputs!$C$51)*AA4))</f>
        <v>25.019990254729937</v>
      </c>
      <c r="AB5" s="7">
        <f>(((0.621*15^0.564)/0.2))*W5/15+AB4*inputs!$C$53</f>
        <v>35.155043398614211</v>
      </c>
      <c r="AC5" s="7">
        <f>(((0.621*1000^0.564)/0.2))*W5/1000+AC4*inputs!$C$53</f>
        <v>5.6333070985507563</v>
      </c>
      <c r="AD5" s="7">
        <f>(((0.648*20^0.651)/0.2))*AA5/20+AD4*inputs!$C$54</f>
        <v>37.140364077107733</v>
      </c>
      <c r="AE5" s="7">
        <f>(((0.013*2^0.773)/0.2))*AA5/2+AE4*inputs!$C$54</f>
        <v>1.81109054211765</v>
      </c>
    </row>
    <row r="6" spans="1:34" x14ac:dyDescent="0.3">
      <c r="A6" s="7">
        <f>IF(A5&lt;(inputs!$C$9-1),(1+A5),0)</f>
        <v>0</v>
      </c>
      <c r="B6" s="7">
        <f>IF(inputs!$C$8&gt;B5,IF(A5=(inputs!$C$9-1),(B5+1),B5), B5)</f>
        <v>1</v>
      </c>
      <c r="C6" s="7">
        <f t="shared" si="1"/>
        <v>3</v>
      </c>
      <c r="D6" s="8">
        <f>IF((B6&gt;B5), (EXP(-LN(2)/inputs!$C$51)*D5+$D$3), (EXP(-LN(2)/inputs!$C$51)*D5))</f>
        <v>81.056324894860452</v>
      </c>
      <c r="E6" s="8">
        <f>IF((B6&gt;B5), (EXP(-LN(2)/inputs!$C$51)*E5+$E$3), (EXP(-LN(2)/inputs!$C$51)*E5))</f>
        <v>37.150815576811041</v>
      </c>
      <c r="F6" s="8">
        <f>IF((B6&gt;B5), (EXP(-LN(2)/inputs!$C$51)*F5+$F$3), (EXP(-LN(2)/inputs!$C$51)*F5))</f>
        <v>45.594182753359</v>
      </c>
      <c r="G6" s="8">
        <f>IF((B6&gt;B5), (EXP(-LN(2)/inputs!$C$51)*G5+$G$3), (EXP(-LN(2)/inputs!$C$51)*G5))</f>
        <v>5.0660203059287783</v>
      </c>
      <c r="H6" s="8">
        <f>IF((B6&gt;B5), (EXP(-LN(2)/inputs!$C$51)*H5+$H$3), (EXP(-LN(2)/inputs!$C$51)*H5))</f>
        <v>31.747060583820343</v>
      </c>
      <c r="I6" s="7">
        <f>O6*(10^inputs!$C$55)*0.01/1</f>
        <v>8.9152902540181547</v>
      </c>
      <c r="J6" s="7">
        <f>(((0.621*15^0.564)/0.2))*D6/15+J5*inputs!$C$53</f>
        <v>87.207128356207079</v>
      </c>
      <c r="K6" s="7">
        <f>(((0.621*1000^0.564)/0.2))*D6/1000+K5*inputs!$C$53</f>
        <v>13.974226390305457</v>
      </c>
      <c r="L6" s="7">
        <f>(((0.648*20^0.651)/0.2))*H6/20+L5*inputs!$C$54</f>
        <v>47.650808630251156</v>
      </c>
      <c r="M6" s="7">
        <f>(((0.013*2^0.773)/0.2))*H6/2+M5*inputs!$C$54</f>
        <v>2.3236155858714054</v>
      </c>
      <c r="N6" s="7">
        <f>O6*0.015*inputs!$C$56</f>
        <v>1.3098308685642466</v>
      </c>
      <c r="O6" s="7">
        <f>IF((B6&gt;B5), (EXP(-LN(2)/inputs!$C$52)*O5+$O$3), (EXP(-LN(2)/inputs!$C$52)*O5))</f>
        <v>0.14129782832408269</v>
      </c>
      <c r="P6" s="3">
        <f>IF((B6&gt;B5), (EXP(-LN(2)/inputs!$C$52)*P5+$P$3), (EXP(-LN(2)/inputs!$C$52)*P5))</f>
        <v>0.13653678689110324</v>
      </c>
      <c r="Q6" s="19">
        <f>IF((F6*0.62*1/(0.012*(10^inputs!$C$55)))&gt;inputs!$C$57, inputs!$C$57, (F6*0.62*1/(0.012*(10^inputs!$C$55))))</f>
        <v>0.37335320095173696</v>
      </c>
      <c r="R6" s="3">
        <f>IF((B6&gt;B5), (EXP(-LN(2)/inputs!$C$51)*R5+$R$3), (EXP(-LN(2)/inputs!$C$51)*R5))</f>
        <v>8.674652991586233E-7</v>
      </c>
      <c r="T6" s="7">
        <f>IF(T5&lt;(inputs!$C$9-1),(1+T5),0)</f>
        <v>0</v>
      </c>
      <c r="U6" s="7">
        <f>IF(inputs!$C$8&gt;U5,IF(T5=(inputs!$C$9-1),(U5+1),U5), U5)</f>
        <v>1</v>
      </c>
      <c r="V6" s="7">
        <f t="shared" si="0"/>
        <v>3</v>
      </c>
      <c r="W6" s="8">
        <f>IF((U6&gt;U5), (EXP(-LN(2)/inputs!$C$51)*W5+$W$3), (EXP(-LN(2)/inputs!$C$51)*W5))</f>
        <v>28.707448400263075</v>
      </c>
      <c r="X6" s="8">
        <f>IF((U6&gt;U5), (EXP(-LN(2)/inputs!$C$51)*X5+$X$3), (EXP(-LN(2)/inputs!$C$51)*X5))</f>
        <v>12.158448734229069</v>
      </c>
      <c r="Y6" s="8">
        <f>IF((U6&gt;U5), (EXP(-LN(2)/inputs!$C$51)*Y5+$Y$3), (EXP(-LN(2)/inputs!$C$51)*Y5))</f>
        <v>15.198060917786332</v>
      </c>
      <c r="Z6" s="8">
        <f>IF((U6&gt;U5), (EXP(-LN(2)/inputs!$C$51)*Z5+$Z$3), (EXP(-LN(2)/inputs!$C$51)*Z5))</f>
        <v>2.3641428094334298</v>
      </c>
      <c r="AA6" s="8">
        <f>IF((U6&gt;U5), (EXP(-LN(2)/inputs!$C$51)*AA5+$AA$3), (EXP(-LN(2)/inputs!$C$51)*AA5))</f>
        <v>21.952754659024706</v>
      </c>
      <c r="AB6" s="7">
        <f>(((0.621*15^0.564)/0.2))*W6/15+AB5*inputs!$C$53</f>
        <v>30.885857959490007</v>
      </c>
      <c r="AC6" s="7">
        <f>(((0.621*1000^0.564)/0.2))*W6/1000+AC5*inputs!$C$53</f>
        <v>4.9492051798998489</v>
      </c>
      <c r="AD6" s="7">
        <f>(((0.648*20^0.651)/0.2))*AA6/20+AD5*inputs!$C$54</f>
        <v>32.950027244322612</v>
      </c>
      <c r="AE6" s="7">
        <f>(((0.013*2^0.773)/0.2))*AA6/2+AE5*inputs!$C$54</f>
        <v>1.6067554583153336</v>
      </c>
    </row>
    <row r="7" spans="1:34" x14ac:dyDescent="0.3">
      <c r="A7" s="7">
        <f>IF(A6&lt;(inputs!$C$9-1),(1+A6),0)</f>
        <v>0</v>
      </c>
      <c r="B7" s="7">
        <f>IF(inputs!$C$8&gt;B6,IF(A6=(inputs!$C$9-1),(B6+1),B6), B6)</f>
        <v>1</v>
      </c>
      <c r="C7" s="7">
        <f t="shared" si="1"/>
        <v>4</v>
      </c>
      <c r="D7" s="8">
        <f>IF((B7&gt;B6), (EXP(-LN(2)/inputs!$C$51)*D6+$D$3), (EXP(-LN(2)/inputs!$C$51)*D6))</f>
        <v>71.119516668983408</v>
      </c>
      <c r="E7" s="8">
        <f>IF((B7&gt;B6), (EXP(-LN(2)/inputs!$C$51)*E6+$E$3), (EXP(-LN(2)/inputs!$C$51)*E6))</f>
        <v>32.596445139950724</v>
      </c>
      <c r="F7" s="8">
        <f>IF((B7&gt;B6), (EXP(-LN(2)/inputs!$C$51)*F6+$F$3), (EXP(-LN(2)/inputs!$C$51)*F6))</f>
        <v>40.004728126303164</v>
      </c>
      <c r="G7" s="8">
        <f>IF((B7&gt;B6), (EXP(-LN(2)/inputs!$C$51)*G6+$G$3), (EXP(-LN(2)/inputs!$C$51)*G6))</f>
        <v>4.444969791811463</v>
      </c>
      <c r="H7" s="8">
        <f>IF((B7&gt;B6), (EXP(-LN(2)/inputs!$C$51)*H6+$H$3), (EXP(-LN(2)/inputs!$C$51)*H6))</f>
        <v>27.855144028685164</v>
      </c>
      <c r="I7" s="7">
        <f>O7*(10^inputs!$C$55)*0.01/1</f>
        <v>8.7353772147593887</v>
      </c>
      <c r="J7" s="7">
        <f>(((0.621*15^0.564)/0.2))*D7/15+J6*inputs!$C$53</f>
        <v>76.527725613158495</v>
      </c>
      <c r="K7" s="7">
        <f>(((0.621*1000^0.564)/0.2))*D7/1000+K6*inputs!$C$53</f>
        <v>12.26293977351609</v>
      </c>
      <c r="L7" s="7">
        <f>(((0.648*20^0.651)/0.2))*H7/20+L6*inputs!$C$54</f>
        <v>41.921492838818523</v>
      </c>
      <c r="M7" s="7">
        <f>(((0.013*2^0.773)/0.2))*H7/2+M6*inputs!$C$54</f>
        <v>2.0442346508561613</v>
      </c>
      <c r="N7" s="7">
        <f>O7*0.015*inputs!$C$56</f>
        <v>1.2833981169920661</v>
      </c>
      <c r="O7" s="7">
        <f>IF((B7&gt;B6), (EXP(-LN(2)/inputs!$C$52)*O6+$O$3), (EXP(-LN(2)/inputs!$C$52)*O6))</f>
        <v>0.13844639881252063</v>
      </c>
      <c r="P7" s="3">
        <f>IF((B7&gt;B6), (EXP(-LN(2)/inputs!$C$52)*P6+$P$3), (EXP(-LN(2)/inputs!$C$52)*P6))</f>
        <v>0.1337814365210877</v>
      </c>
      <c r="Q7" s="19">
        <f>IF((F7*0.62*1/(0.012*(10^inputs!$C$55)))&gt;inputs!$C$57, inputs!$C$57, (F7*0.62*1/(0.012*(10^inputs!$C$55))))</f>
        <v>0.3275833099137832</v>
      </c>
      <c r="R7" s="3">
        <f>IF((B7&gt;B6), (EXP(-LN(2)/inputs!$C$51)*R6+$R$3), (EXP(-LN(2)/inputs!$C$51)*R6))</f>
        <v>7.6112151498726784E-7</v>
      </c>
      <c r="T7" s="7">
        <f>IF(T6&lt;(inputs!$C$9-1),(1+T6),0)</f>
        <v>0</v>
      </c>
      <c r="U7" s="7">
        <f>IF(inputs!$C$8&gt;U6,IF(T6=(inputs!$C$9-1),(U6+1),U6), U6)</f>
        <v>1</v>
      </c>
      <c r="V7" s="7">
        <f t="shared" si="0"/>
        <v>4</v>
      </c>
      <c r="W7" s="8">
        <f>IF((U7&gt;U6), (EXP(-LN(2)/inputs!$C$51)*W6+$W$3), (EXP(-LN(2)/inputs!$C$51)*W6))</f>
        <v>25.188162153598288</v>
      </c>
      <c r="X7" s="8">
        <f>IF((U7&gt;U6), (EXP(-LN(2)/inputs!$C$51)*X6+$X$3), (EXP(-LN(2)/inputs!$C$51)*X6))</f>
        <v>10.667927500347512</v>
      </c>
      <c r="Y7" s="8">
        <f>IF((U7&gt;U6), (EXP(-LN(2)/inputs!$C$51)*Y6+$Y$3), (EXP(-LN(2)/inputs!$C$51)*Y6))</f>
        <v>13.334909375434385</v>
      </c>
      <c r="Z7" s="8">
        <f>IF((U7&gt;U6), (EXP(-LN(2)/inputs!$C$51)*Z6+$Z$3), (EXP(-LN(2)/inputs!$C$51)*Z6))</f>
        <v>2.0743192361786824</v>
      </c>
      <c r="AA7" s="8">
        <f>IF((U7&gt;U6), (EXP(-LN(2)/inputs!$C$51)*AA6+$AA$3), (EXP(-LN(2)/inputs!$C$51)*AA6))</f>
        <v>19.261535764516339</v>
      </c>
      <c r="AB7" s="7">
        <f>(((0.621*15^0.564)/0.2))*W7/15+AB6*inputs!$C$53</f>
        <v>27.103569487993635</v>
      </c>
      <c r="AC7" s="7">
        <f>(((0.621*1000^0.564)/0.2))*W7/1000+AC6*inputs!$C$53</f>
        <v>4.343124503120281</v>
      </c>
      <c r="AD7" s="7">
        <f>(((0.648*20^0.651)/0.2))*AA7/20+AD6*inputs!$C$54</f>
        <v>28.988266324714942</v>
      </c>
      <c r="AE7" s="7">
        <f>(((0.013*2^0.773)/0.2))*AA7/2+AE6*inputs!$C$54</f>
        <v>1.413566513889899</v>
      </c>
    </row>
    <row r="8" spans="1:34" x14ac:dyDescent="0.3">
      <c r="A8" s="7">
        <f>IF(A7&lt;(inputs!$C$9-1),(1+A7),0)</f>
        <v>0</v>
      </c>
      <c r="B8" s="7">
        <f>IF(inputs!$C$8&gt;B7,IF(A7=(inputs!$C$9-1),(B7+1),B7), B7)</f>
        <v>1</v>
      </c>
      <c r="C8" s="7">
        <f t="shared" si="1"/>
        <v>5</v>
      </c>
      <c r="D8" s="8">
        <f>IF((B8&gt;B7), (EXP(-LN(2)/inputs!$C$51)*D7+$D$3), (EXP(-LN(2)/inputs!$C$51)*D7))</f>
        <v>62.400875660111758</v>
      </c>
      <c r="E8" s="8">
        <f>IF((B8&gt;B7), (EXP(-LN(2)/inputs!$C$51)*E7+$E$3), (EXP(-LN(2)/inputs!$C$51)*E7))</f>
        <v>28.600401344217886</v>
      </c>
      <c r="F8" s="8">
        <f>IF((B8&gt;B7), (EXP(-LN(2)/inputs!$C$51)*F7+$F$3), (EXP(-LN(2)/inputs!$C$51)*F7))</f>
        <v>35.10049255881286</v>
      </c>
      <c r="G8" s="8">
        <f>IF((B8&gt;B7), (EXP(-LN(2)/inputs!$C$51)*G7+$G$3), (EXP(-LN(2)/inputs!$C$51)*G7))</f>
        <v>3.9000547287569849</v>
      </c>
      <c r="H8" s="8">
        <f>IF((B8&gt;B7), (EXP(-LN(2)/inputs!$C$51)*H7+$H$3), (EXP(-LN(2)/inputs!$C$51)*H7))</f>
        <v>24.4403429668771</v>
      </c>
      <c r="I8" s="7">
        <f>O8*(10^inputs!$C$55)*0.01/1</f>
        <v>8.5590948707189565</v>
      </c>
      <c r="J8" s="7">
        <f>(((0.621*15^0.564)/0.2))*D8/15+J7*inputs!$C$53</f>
        <v>67.147228814560606</v>
      </c>
      <c r="K8" s="7">
        <f>(((0.621*1000^0.564)/0.2))*D8/1000+K7*inputs!$C$53</f>
        <v>10.759792170928939</v>
      </c>
      <c r="L8" s="7">
        <f>(((0.648*20^0.651)/0.2))*H8/20+L7*inputs!$C$54</f>
        <v>36.806302788935561</v>
      </c>
      <c r="M8" s="7">
        <f>(((0.013*2^0.773)/0.2))*H8/2+M7*inputs!$C$54</f>
        <v>1.7948005768862871</v>
      </c>
      <c r="N8" s="7">
        <f>O8*0.015*inputs!$C$56</f>
        <v>1.2574987857052411</v>
      </c>
      <c r="O8" s="7">
        <f>IF((B8&gt;B7), (EXP(-LN(2)/inputs!$C$52)*O7+$O$3), (EXP(-LN(2)/inputs!$C$52)*O7))</f>
        <v>0.13565251194231295</v>
      </c>
      <c r="P8" s="3">
        <f>IF((B8&gt;B7), (EXP(-LN(2)/inputs!$C$52)*P7+$P$3), (EXP(-LN(2)/inputs!$C$52)*P7))</f>
        <v>0.13108168988860264</v>
      </c>
      <c r="Q8" s="19">
        <f>IF((F8*0.62*1/(0.012*(10^inputs!$C$55)))&gt;inputs!$C$57, inputs!$C$57, (F8*0.62*1/(0.012*(10^inputs!$C$55))))</f>
        <v>0.28742441382722111</v>
      </c>
      <c r="R8" s="3">
        <f>IF((B8&gt;B7), (EXP(-LN(2)/inputs!$C$51)*R7+$R$3), (EXP(-LN(2)/inputs!$C$51)*R7))</f>
        <v>6.678145640389275E-7</v>
      </c>
      <c r="T8" s="7">
        <f>IF(T7&lt;(inputs!$C$9-1),(1+T7),0)</f>
        <v>0</v>
      </c>
      <c r="U8" s="7">
        <f>IF(inputs!$C$8&gt;U7,IF(T7=(inputs!$C$9-1),(U7+1),U7), U7)</f>
        <v>1</v>
      </c>
      <c r="V8" s="7">
        <f t="shared" si="0"/>
        <v>5</v>
      </c>
      <c r="W8" s="8">
        <f>IF((U8&gt;U7), (EXP(-LN(2)/inputs!$C$51)*W7+$W$3), (EXP(-LN(2)/inputs!$C$51)*W7))</f>
        <v>22.100310129622912</v>
      </c>
      <c r="X8" s="8">
        <f>IF((U8&gt;U7), (EXP(-LN(2)/inputs!$C$51)*X7+$X$3), (EXP(-LN(2)/inputs!$C$51)*X7))</f>
        <v>9.3601313490167648</v>
      </c>
      <c r="Y8" s="8">
        <f>IF((U8&gt;U7), (EXP(-LN(2)/inputs!$C$51)*Y7+$Y$3), (EXP(-LN(2)/inputs!$C$51)*Y7))</f>
        <v>11.700164186270952</v>
      </c>
      <c r="Z8" s="8">
        <f>IF((U8&gt;U7), (EXP(-LN(2)/inputs!$C$51)*Z7+$Z$3), (EXP(-LN(2)/inputs!$C$51)*Z7))</f>
        <v>1.8200255400865928</v>
      </c>
      <c r="AA8" s="8">
        <f>IF((U8&gt;U7), (EXP(-LN(2)/inputs!$C$51)*AA7+$AA$3), (EXP(-LN(2)/inputs!$C$51)*AA7))</f>
        <v>16.900237157946933</v>
      </c>
      <c r="AB8" s="7">
        <f>(((0.621*15^0.564)/0.2))*W8/15+AB7*inputs!$C$53</f>
        <v>23.781310205156885</v>
      </c>
      <c r="AC8" s="7">
        <f>(((0.621*1000^0.564)/0.2))*W8/1000+AC7*inputs!$C$53</f>
        <v>3.8107597272039984</v>
      </c>
      <c r="AD8" s="7">
        <f>(((0.648*20^0.651)/0.2))*AA8/20+AD7*inputs!$C$54</f>
        <v>25.451166822136297</v>
      </c>
      <c r="AE8" s="7">
        <f>(((0.013*2^0.773)/0.2))*AA8/2+AE7*inputs!$C$54</f>
        <v>1.2410855052937093</v>
      </c>
    </row>
    <row r="9" spans="1:34" x14ac:dyDescent="0.3">
      <c r="A9" s="7">
        <f>IF(A8&lt;(inputs!$C$9-1),(1+A8),0)</f>
        <v>0</v>
      </c>
      <c r="B9" s="7">
        <f>IF(inputs!$C$8&gt;B8,IF(A8=(inputs!$C$9-1),(B8+1),B8), B8)</f>
        <v>1</v>
      </c>
      <c r="C9" s="7">
        <f t="shared" si="1"/>
        <v>6</v>
      </c>
      <c r="D9" s="8">
        <f>IF((B9&gt;B8), (EXP(-LN(2)/inputs!$C$51)*D8+$D$3), (EXP(-LN(2)/inputs!$C$51)*D8))</f>
        <v>54.75106504550979</v>
      </c>
      <c r="E9" s="8">
        <f>IF((B9&gt;B8), (EXP(-LN(2)/inputs!$C$51)*E8+$E$3), (EXP(-LN(2)/inputs!$C$51)*E8))</f>
        <v>25.09423814585865</v>
      </c>
      <c r="F9" s="8">
        <f>IF((B9&gt;B8), (EXP(-LN(2)/inputs!$C$51)*F8+$F$3), (EXP(-LN(2)/inputs!$C$51)*F8))</f>
        <v>30.797474088099253</v>
      </c>
      <c r="G9" s="8">
        <f>IF((B9&gt;B8), (EXP(-LN(2)/inputs!$C$51)*G8+$G$3), (EXP(-LN(2)/inputs!$C$51)*G8))</f>
        <v>3.4219415653443619</v>
      </c>
      <c r="H9" s="8">
        <f>IF((B9&gt;B8), (EXP(-LN(2)/inputs!$C$51)*H8+$H$3), (EXP(-LN(2)/inputs!$C$51)*H8))</f>
        <v>21.444167142824661</v>
      </c>
      <c r="I9" s="7">
        <f>O9*(10^inputs!$C$55)*0.01/1</f>
        <v>8.3863699534566027</v>
      </c>
      <c r="J9" s="7">
        <f>(((0.621*15^0.564)/0.2))*D9/15+J8*inputs!$C$53</f>
        <v>58.915670539805106</v>
      </c>
      <c r="K9" s="7">
        <f>(((0.621*1000^0.564)/0.2))*D9/1000+K8*inputs!$C$53</f>
        <v>9.44075253455226</v>
      </c>
      <c r="L9" s="7">
        <f>(((0.648*20^0.651)/0.2))*H9/20+L8*inputs!$C$54</f>
        <v>32.299307874782016</v>
      </c>
      <c r="M9" s="7">
        <f>(((0.013*2^0.773)/0.2))*H9/2+M8*inputs!$C$54</f>
        <v>1.5750241674399668</v>
      </c>
      <c r="N9" s="7">
        <f>O9*0.015*inputs!$C$56</f>
        <v>1.2321221101339135</v>
      </c>
      <c r="O9" s="7">
        <f>IF((B9&gt;B8), (EXP(-LN(2)/inputs!$C$52)*O8+$O$3), (EXP(-LN(2)/inputs!$C$52)*O8))</f>
        <v>0.13291500648693783</v>
      </c>
      <c r="P9" s="3">
        <f>IF((B9&gt;B8), (EXP(-LN(2)/inputs!$C$52)*P8+$P$3), (EXP(-LN(2)/inputs!$C$52)*P8))</f>
        <v>0.1284364248947451</v>
      </c>
      <c r="Q9" s="19">
        <f>IF((F9*0.62*1/(0.012*(10^inputs!$C$55)))&gt;inputs!$C$57, inputs!$C$57, (F9*0.62*1/(0.012*(10^inputs!$C$55))))</f>
        <v>0.252188652974001</v>
      </c>
      <c r="R9" s="3">
        <f>IF((B9&gt;B8), (EXP(-LN(2)/inputs!$C$51)*R8+$R$3), (EXP(-LN(2)/inputs!$C$51)*R8))</f>
        <v>5.8594624269682235E-7</v>
      </c>
      <c r="T9" s="7">
        <f>IF(T8&lt;(inputs!$C$9-1),(1+T8),0)</f>
        <v>0</v>
      </c>
      <c r="U9" s="7">
        <f>IF(inputs!$C$8&gt;U8,IF(T8=(inputs!$C$9-1),(U8+1),U8), U8)</f>
        <v>1</v>
      </c>
      <c r="V9" s="7">
        <f t="shared" si="0"/>
        <v>6</v>
      </c>
      <c r="W9" s="8">
        <f>IF((U9&gt;U8), (EXP(-LN(2)/inputs!$C$51)*W8+$W$3), (EXP(-LN(2)/inputs!$C$51)*W8))</f>
        <v>19.391002203618047</v>
      </c>
      <c r="X9" s="8">
        <f>IF((U9&gt;U8), (EXP(-LN(2)/inputs!$C$51)*X8+$X$3), (EXP(-LN(2)/inputs!$C$51)*X8))</f>
        <v>8.2126597568264685</v>
      </c>
      <c r="Y9" s="8">
        <f>IF((U9&gt;U8), (EXP(-LN(2)/inputs!$C$51)*Y8+$Y$3), (EXP(-LN(2)/inputs!$C$51)*Y8))</f>
        <v>10.265824696033082</v>
      </c>
      <c r="Z9" s="8">
        <f>IF((U9&gt;U8), (EXP(-LN(2)/inputs!$C$51)*Z8+$Z$3), (EXP(-LN(2)/inputs!$C$51)*Z8))</f>
        <v>1.5969060638273687</v>
      </c>
      <c r="AA9" s="8">
        <f>IF((U9&gt;U8), (EXP(-LN(2)/inputs!$C$51)*AA8+$AA$3), (EXP(-LN(2)/inputs!$C$51)*AA8))</f>
        <v>14.828413449825566</v>
      </c>
      <c r="AB9" s="7">
        <f>(((0.621*15^0.564)/0.2))*W9/15+AB8*inputs!$C$53</f>
        <v>20.865966649514306</v>
      </c>
      <c r="AC9" s="7">
        <f>(((0.621*1000^0.564)/0.2))*W9/1000+AC8*inputs!$C$53</f>
        <v>3.3435998559872582</v>
      </c>
      <c r="AD9" s="7">
        <f>(((0.648*20^0.651)/0.2))*AA9/20+AD8*inputs!$C$54</f>
        <v>22.334627785753526</v>
      </c>
      <c r="AE9" s="7">
        <f>(((0.013*2^0.773)/0.2))*AA9/2+AE8*inputs!$C$54</f>
        <v>1.0891124562084877</v>
      </c>
    </row>
    <row r="10" spans="1:34" x14ac:dyDescent="0.3">
      <c r="A10" s="7">
        <f>IF(A9&lt;(inputs!$C$9-1),(1+A9),0)</f>
        <v>0</v>
      </c>
      <c r="B10" s="7">
        <f>IF(inputs!$C$8&gt;B9,IF(A9=(inputs!$C$9-1),(B9+1),B9), B9)</f>
        <v>1</v>
      </c>
      <c r="C10" s="7">
        <f t="shared" si="1"/>
        <v>7</v>
      </c>
      <c r="D10" s="8">
        <f>IF((B10&gt;B9), (EXP(-LN(2)/inputs!$C$51)*D9+$D$3), (EXP(-LN(2)/inputs!$C$51)*D9))</f>
        <v>48.039055412388024</v>
      </c>
      <c r="E10" s="8">
        <f>IF((B10&gt;B9), (EXP(-LN(2)/inputs!$C$51)*E9+$E$3), (EXP(-LN(2)/inputs!$C$51)*E9))</f>
        <v>22.017900397344508</v>
      </c>
      <c r="F10" s="8">
        <f>IF((B10&gt;B9), (EXP(-LN(2)/inputs!$C$51)*F9+$F$3), (EXP(-LN(2)/inputs!$C$51)*F9))</f>
        <v>27.021968669468261</v>
      </c>
      <c r="G10" s="8">
        <f>IF((B10&gt;B9), (EXP(-LN(2)/inputs!$C$51)*G9+$G$3), (EXP(-LN(2)/inputs!$C$51)*G9))</f>
        <v>3.0024409632742515</v>
      </c>
      <c r="H10" s="8">
        <f>IF((B10&gt;B9), (EXP(-LN(2)/inputs!$C$51)*H9+$H$3), (EXP(-LN(2)/inputs!$C$51)*H9))</f>
        <v>18.815296703185304</v>
      </c>
      <c r="I10" s="7">
        <f>O10*(10^inputs!$C$55)*0.01/1</f>
        <v>8.2171306731095903</v>
      </c>
      <c r="J10" s="7">
        <f>(((0.621*15^0.564)/0.2))*D10/15+J9*inputs!$C$53</f>
        <v>51.693127536030993</v>
      </c>
      <c r="K10" s="7">
        <f>(((0.621*1000^0.564)/0.2))*D10/1000+K9*inputs!$C$53</f>
        <v>8.2833993118180018</v>
      </c>
      <c r="L10" s="7">
        <f>(((0.648*20^0.651)/0.2))*H10/20+L9*inputs!$C$54</f>
        <v>28.340790772635334</v>
      </c>
      <c r="M10" s="7">
        <f>(((0.013*2^0.773)/0.2))*H10/2+M9*inputs!$C$54</f>
        <v>1.381993402592733</v>
      </c>
      <c r="N10" s="7">
        <f>O10*0.015*inputs!$C$56</f>
        <v>1.2072575429402426</v>
      </c>
      <c r="O10" s="7">
        <f>IF((B10&gt;B9), (EXP(-LN(2)/inputs!$C$52)*O9+$O$3), (EXP(-LN(2)/inputs!$C$52)*O9))</f>
        <v>0.13023274465374785</v>
      </c>
      <c r="P10" s="3">
        <f>IF((B10&gt;B9), (EXP(-LN(2)/inputs!$C$52)*P9+$P$3), (EXP(-LN(2)/inputs!$C$52)*P9))</f>
        <v>0.12584454208488041</v>
      </c>
      <c r="Q10" s="19">
        <f>IF((F10*0.62*1/(0.012*(10^inputs!$C$55)))&gt;inputs!$C$57, inputs!$C$57, (F10*0.62*1/(0.012*(10^inputs!$C$55))))</f>
        <v>0.22127249332087809</v>
      </c>
      <c r="R10" s="3">
        <f>IF((B10&gt;B9), (EXP(-LN(2)/inputs!$C$51)*R9+$R$3), (EXP(-LN(2)/inputs!$C$51)*R9))</f>
        <v>5.1411427336063654E-7</v>
      </c>
      <c r="T10" s="7">
        <f>IF(T9&lt;(inputs!$C$9-1),(1+T9),0)</f>
        <v>0</v>
      </c>
      <c r="U10" s="7">
        <f>IF(inputs!$C$8&gt;U9,IF(T9=(inputs!$C$9-1),(U9+1),U9), U9)</f>
        <v>1</v>
      </c>
      <c r="V10" s="7">
        <f t="shared" si="0"/>
        <v>7</v>
      </c>
      <c r="W10" s="8">
        <f>IF((U10&gt;U9), (EXP(-LN(2)/inputs!$C$51)*W9+$W$3), (EXP(-LN(2)/inputs!$C$51)*W9))</f>
        <v>17.013832125220755</v>
      </c>
      <c r="X10" s="8">
        <f>IF((U10&gt;U9), (EXP(-LN(2)/inputs!$C$51)*X9+$X$3), (EXP(-LN(2)/inputs!$C$51)*X9))</f>
        <v>7.2058583118582034</v>
      </c>
      <c r="Y10" s="8">
        <f>IF((U10&gt;U9), (EXP(-LN(2)/inputs!$C$51)*Y9+$Y$3), (EXP(-LN(2)/inputs!$C$51)*Y9))</f>
        <v>9.0073228898227509</v>
      </c>
      <c r="Z10" s="8">
        <f>IF((U10&gt;U9), (EXP(-LN(2)/inputs!$C$51)*Z9+$Z$3), (EXP(-LN(2)/inputs!$C$51)*Z9))</f>
        <v>1.4011391161946505</v>
      </c>
      <c r="AA10" s="8">
        <f>IF((U10&gt;U9), (EXP(-LN(2)/inputs!$C$51)*AA9+$AA$3), (EXP(-LN(2)/inputs!$C$51)*AA9))</f>
        <v>13.010577507521754</v>
      </c>
      <c r="AB10" s="7">
        <f>(((0.621*15^0.564)/0.2))*W10/15+AB9*inputs!$C$53</f>
        <v>18.307982669010972</v>
      </c>
      <c r="AC10" s="7">
        <f>(((0.621*1000^0.564)/0.2))*W10/1000+AC9*inputs!$C$53</f>
        <v>2.9337039229355422</v>
      </c>
      <c r="AD10" s="7">
        <f>(((0.648*20^0.651)/0.2))*AA10/20+AD9*inputs!$C$54</f>
        <v>19.597355321503159</v>
      </c>
      <c r="AE10" s="7">
        <f>(((0.013*2^0.773)/0.2))*AA10/2+AE9*inputs!$C$54</f>
        <v>0.95563373583540057</v>
      </c>
    </row>
    <row r="11" spans="1:34" x14ac:dyDescent="0.3">
      <c r="A11" s="7">
        <f>IF(A10&lt;(inputs!$C$9-1),(1+A10),0)</f>
        <v>0</v>
      </c>
      <c r="B11" s="7">
        <f>IF(inputs!$C$8&gt;B10,IF(A10=(inputs!$C$9-1),(B10+1),B10), B10)</f>
        <v>1</v>
      </c>
      <c r="C11" s="7">
        <f t="shared" si="1"/>
        <v>8</v>
      </c>
      <c r="D11" s="8">
        <f>IF((B11&gt;B10), (EXP(-LN(2)/inputs!$C$51)*D10+$D$3), (EXP(-LN(2)/inputs!$C$51)*D10))</f>
        <v>42.149880426915068</v>
      </c>
      <c r="E11" s="8">
        <f>IF((B11&gt;B10), (EXP(-LN(2)/inputs!$C$51)*E10+$E$3), (EXP(-LN(2)/inputs!$C$51)*E10))</f>
        <v>19.318695195669406</v>
      </c>
      <c r="F11" s="8">
        <f>IF((B11&gt;B10), (EXP(-LN(2)/inputs!$C$51)*F10+$F$3), (EXP(-LN(2)/inputs!$C$51)*F10))</f>
        <v>23.709307740139725</v>
      </c>
      <c r="G11" s="8">
        <f>IF((B11&gt;B10), (EXP(-LN(2)/inputs!$C$51)*G10+$G$3), (EXP(-LN(2)/inputs!$C$51)*G10))</f>
        <v>2.6343675266821918</v>
      </c>
      <c r="H11" s="8">
        <f>IF((B11&gt;B10), (EXP(-LN(2)/inputs!$C$51)*H10+$H$3), (EXP(-LN(2)/inputs!$C$51)*H10))</f>
        <v>16.508703167208399</v>
      </c>
      <c r="I11" s="7">
        <f>O11*(10^inputs!$C$55)*0.01/1</f>
        <v>8.0513066885545985</v>
      </c>
      <c r="J11" s="7">
        <f>(((0.621*15^0.564)/0.2))*D11/15+J10*inputs!$C$53</f>
        <v>45.355995882820352</v>
      </c>
      <c r="K11" s="7">
        <f>(((0.621*1000^0.564)/0.2))*D11/1000+K10*inputs!$C$53</f>
        <v>7.2679259892082104</v>
      </c>
      <c r="L11" s="7">
        <f>(((0.648*20^0.651)/0.2))*H11/20+L10*inputs!$C$54</f>
        <v>24.866689044541538</v>
      </c>
      <c r="M11" s="7">
        <f>(((0.013*2^0.773)/0.2))*H11/2+M10*inputs!$C$54</f>
        <v>1.2125843798636475</v>
      </c>
      <c r="N11" s="7">
        <f>O11*0.015*inputs!$C$56</f>
        <v>1.1828947496346005</v>
      </c>
      <c r="O11" s="7">
        <f>IF((B11&gt;B10), (EXP(-LN(2)/inputs!$C$52)*O10+$O$3), (EXP(-LN(2)/inputs!$C$52)*O10))</f>
        <v>0.12760461161106801</v>
      </c>
      <c r="P11" s="3">
        <f>IF((B11&gt;B10), (EXP(-LN(2)/inputs!$C$52)*P10+$P$3), (EXP(-LN(2)/inputs!$C$52)*P10))</f>
        <v>0.12330496419167451</v>
      </c>
      <c r="Q11" s="19">
        <f>IF((F11*0.62*1/(0.012*(10^inputs!$C$55)))&gt;inputs!$C$57, inputs!$C$57, (F11*0.62*1/(0.012*(10^inputs!$C$55))))</f>
        <v>0.19414638891578381</v>
      </c>
      <c r="R11" s="3">
        <f>IF((B11&gt;B10), (EXP(-LN(2)/inputs!$C$51)*R10+$R$3), (EXP(-LN(2)/inputs!$C$51)*R10))</f>
        <v>4.5108828560215749E-7</v>
      </c>
      <c r="T11" s="7">
        <f>IF(T10&lt;(inputs!$C$9-1),(1+T10),0)</f>
        <v>0</v>
      </c>
      <c r="U11" s="7">
        <f>IF(inputs!$C$8&gt;U10,IF(T10=(inputs!$C$9-1),(U10+1),U10), U10)</f>
        <v>1</v>
      </c>
      <c r="V11" s="7">
        <f t="shared" si="0"/>
        <v>8</v>
      </c>
      <c r="W11" s="8">
        <f>IF((U11&gt;U10), (EXP(-LN(2)/inputs!$C$51)*W10+$W$3), (EXP(-LN(2)/inputs!$C$51)*W10))</f>
        <v>14.928082651199086</v>
      </c>
      <c r="X11" s="8">
        <f>IF((U11&gt;U10), (EXP(-LN(2)/inputs!$C$51)*X10+$X$3), (EXP(-LN(2)/inputs!$C$51)*X10))</f>
        <v>6.3224820640372608</v>
      </c>
      <c r="Y11" s="8">
        <f>IF((U11&gt;U10), (EXP(-LN(2)/inputs!$C$51)*Y10+$Y$3), (EXP(-LN(2)/inputs!$C$51)*Y10))</f>
        <v>7.9031025800465731</v>
      </c>
      <c r="Z11" s="8">
        <f>IF((U11&gt;U10), (EXP(-LN(2)/inputs!$C$51)*Z10+$Z$3), (EXP(-LN(2)/inputs!$C$51)*Z10))</f>
        <v>1.2293715124516893</v>
      </c>
      <c r="AA11" s="8">
        <f>IF((U11&gt;U10), (EXP(-LN(2)/inputs!$C$51)*AA10+$AA$3), (EXP(-LN(2)/inputs!$C$51)*AA10))</f>
        <v>11.415592615622829</v>
      </c>
      <c r="AB11" s="7">
        <f>(((0.621*15^0.564)/0.2))*W11/15+AB10*inputs!$C$53</f>
        <v>16.063581875165539</v>
      </c>
      <c r="AC11" s="7">
        <f>(((0.621*1000^0.564)/0.2))*W11/1000+AC10*inputs!$C$53</f>
        <v>2.5740571211779075</v>
      </c>
      <c r="AD11" s="7">
        <f>(((0.648*20^0.651)/0.2))*AA11/20+AD10*inputs!$C$54</f>
        <v>17.19505093505532</v>
      </c>
      <c r="AE11" s="7">
        <f>(((0.013*2^0.773)/0.2))*AA11/2+AE10*inputs!$C$54</f>
        <v>0.838489198841884</v>
      </c>
    </row>
    <row r="12" spans="1:34" x14ac:dyDescent="0.3">
      <c r="A12" s="7">
        <f>IF(A11&lt;(inputs!$C$9-1),(1+A11),0)</f>
        <v>0</v>
      </c>
      <c r="B12" s="7">
        <f>IF(inputs!$C$8&gt;B11,IF(A11=(inputs!$C$9-1),(B11+1),B11), B11)</f>
        <v>1</v>
      </c>
      <c r="C12" s="7">
        <f t="shared" si="1"/>
        <v>9</v>
      </c>
      <c r="D12" s="8">
        <f>IF((B12&gt;B11), (EXP(-LN(2)/inputs!$C$51)*D11+$D$3), (EXP(-LN(2)/inputs!$C$51)*D11))</f>
        <v>36.98266763890399</v>
      </c>
      <c r="E12" s="8">
        <f>IF((B12&gt;B11), (EXP(-LN(2)/inputs!$C$51)*E11+$E$3), (EXP(-LN(2)/inputs!$C$51)*E11))</f>
        <v>16.950389334497661</v>
      </c>
      <c r="F12" s="8">
        <f>IF((B12&gt;B11), (EXP(-LN(2)/inputs!$C$51)*F11+$F$3), (EXP(-LN(2)/inputs!$C$51)*F11))</f>
        <v>20.802750546883495</v>
      </c>
      <c r="G12" s="8">
        <f>IF((B12&gt;B11), (EXP(-LN(2)/inputs!$C$51)*G11+$G$3), (EXP(-LN(2)/inputs!$C$51)*G11))</f>
        <v>2.3114167274314994</v>
      </c>
      <c r="H12" s="8">
        <f>IF((B12&gt;B11), (EXP(-LN(2)/inputs!$C$51)*H11+$H$3), (EXP(-LN(2)/inputs!$C$51)*H11))</f>
        <v>14.484878158570726</v>
      </c>
      <c r="I12" s="7">
        <f>O12*(10^inputs!$C$55)*0.01/1</f>
        <v>7.8888290781717583</v>
      </c>
      <c r="J12" s="7">
        <f>(((0.621*15^0.564)/0.2))*D12/15+J11*inputs!$C$53</f>
        <v>39.795741031738238</v>
      </c>
      <c r="K12" s="7">
        <f>(((0.621*1000^0.564)/0.2))*D12/1000+K11*inputs!$C$53</f>
        <v>6.3769407963528719</v>
      </c>
      <c r="L12" s="7">
        <f>(((0.648*20^0.651)/0.2))*H12/20+L11*inputs!$C$54</f>
        <v>21.818297244291909</v>
      </c>
      <c r="M12" s="7">
        <f>(((0.013*2^0.773)/0.2))*H12/2+M11*inputs!$C$54</f>
        <v>1.0639344219192655</v>
      </c>
      <c r="N12" s="7">
        <f>O12*0.015*inputs!$C$56</f>
        <v>1.159023604280238</v>
      </c>
      <c r="O12" s="7">
        <f>IF((B12&gt;B11), (EXP(-LN(2)/inputs!$C$52)*O11+$O$3), (EXP(-LN(2)/inputs!$C$52)*O11))</f>
        <v>0.12502951502483689</v>
      </c>
      <c r="P12" s="3">
        <f>IF((B12&gt;B11), (EXP(-LN(2)/inputs!$C$52)*P11+$P$3), (EXP(-LN(2)/inputs!$C$52)*P11))</f>
        <v>0.12081663568734803</v>
      </c>
      <c r="Q12" s="19">
        <f>IF((F12*0.62*1/(0.012*(10^inputs!$C$55)))&gt;inputs!$C$57, inputs!$C$57, (F12*0.62*1/(0.012*(10^inputs!$C$55))))</f>
        <v>0.17034571158548198</v>
      </c>
      <c r="R12" s="3">
        <f>IF((B12&gt;B11), (EXP(-LN(2)/inputs!$C$51)*R11+$R$3), (EXP(-LN(2)/inputs!$C$51)*R11))</f>
        <v>3.9578874182463656E-7</v>
      </c>
      <c r="T12" s="7">
        <f>IF(T11&lt;(inputs!$C$9-1),(1+T11),0)</f>
        <v>0</v>
      </c>
      <c r="U12" s="7">
        <f>IF(inputs!$C$8&gt;U11,IF(T11=(inputs!$C$9-1),(U11+1),U11), U11)</f>
        <v>1</v>
      </c>
      <c r="V12" s="7">
        <f t="shared" si="0"/>
        <v>9</v>
      </c>
      <c r="W12" s="8">
        <f>IF((U12&gt;U11), (EXP(-LN(2)/inputs!$C$51)*W11+$W$3), (EXP(-LN(2)/inputs!$C$51)*W11))</f>
        <v>13.098028122111829</v>
      </c>
      <c r="X12" s="8">
        <f>IF((U12&gt;U11), (EXP(-LN(2)/inputs!$C$51)*X11+$X$3), (EXP(-LN(2)/inputs!$C$51)*X11))</f>
        <v>5.5474001458355993</v>
      </c>
      <c r="Y12" s="8">
        <f>IF((U12&gt;U11), (EXP(-LN(2)/inputs!$C$51)*Y11+$Y$3), (EXP(-LN(2)/inputs!$C$51)*Y11))</f>
        <v>6.9342501822944964</v>
      </c>
      <c r="Z12" s="8">
        <f>IF((U12&gt;U11), (EXP(-LN(2)/inputs!$C$51)*Z11+$Z$3), (EXP(-LN(2)/inputs!$C$51)*Z11))</f>
        <v>1.0786611394680328</v>
      </c>
      <c r="AA12" s="8">
        <f>IF((U12&gt;U11), (EXP(-LN(2)/inputs!$C$51)*AA11+$AA$3), (EXP(-LN(2)/inputs!$C$51)*AA11))</f>
        <v>10.016139152203163</v>
      </c>
      <c r="AB12" s="7">
        <f>(((0.621*15^0.564)/0.2))*W12/15+AB11*inputs!$C$53</f>
        <v>14.094324948740628</v>
      </c>
      <c r="AC12" s="7">
        <f>(((0.621*1000^0.564)/0.2))*W12/1000+AC11*inputs!$C$53</f>
        <v>2.2584998653749753</v>
      </c>
      <c r="AD12" s="7">
        <f>(((0.648*20^0.651)/0.2))*AA12/20+AD11*inputs!$C$54</f>
        <v>15.087120434882703</v>
      </c>
      <c r="AE12" s="7">
        <f>(((0.013*2^0.773)/0.2))*AA12/2+AE11*inputs!$C$54</f>
        <v>0.73569933430587509</v>
      </c>
    </row>
    <row r="13" spans="1:34" x14ac:dyDescent="0.3">
      <c r="A13" s="7">
        <f>IF(A12&lt;(inputs!$C$9-1),(1+A12),0)</f>
        <v>0</v>
      </c>
      <c r="B13" s="7">
        <f>IF(inputs!$C$8&gt;B12,IF(A12=(inputs!$C$9-1),(B12+1),B12), B12)</f>
        <v>1</v>
      </c>
      <c r="C13" s="7">
        <f t="shared" si="1"/>
        <v>10</v>
      </c>
      <c r="D13" s="8">
        <f>IF((B13&gt;B12), (EXP(-LN(2)/inputs!$C$51)*D12+$D$3), (EXP(-LN(2)/inputs!$C$51)*D12))</f>
        <v>32.448910692906068</v>
      </c>
      <c r="E13" s="8">
        <f>IF((B13&gt;B12), (EXP(-LN(2)/inputs!$C$51)*E12+$E$3), (EXP(-LN(2)/inputs!$C$51)*E12))</f>
        <v>14.872417400915278</v>
      </c>
      <c r="F13" s="8">
        <f>IF((B13&gt;B12), (EXP(-LN(2)/inputs!$C$51)*F12+$F$3), (EXP(-LN(2)/inputs!$C$51)*F12))</f>
        <v>18.252512264759662</v>
      </c>
      <c r="G13" s="8">
        <f>IF((B13&gt;B12), (EXP(-LN(2)/inputs!$C$51)*G12+$G$3), (EXP(-LN(2)/inputs!$C$51)*G12))</f>
        <v>2.0280569183066293</v>
      </c>
      <c r="H13" s="8">
        <f>IF((B13&gt;B12), (EXP(-LN(2)/inputs!$C$51)*H12+$H$3), (EXP(-LN(2)/inputs!$C$51)*H12))</f>
        <v>12.709156688054874</v>
      </c>
      <c r="I13" s="7">
        <f>O13*(10^inputs!$C$55)*0.01/1</f>
        <v>7.7296303111986786</v>
      </c>
      <c r="J13" s="7">
        <f>(((0.621*15^0.564)/0.2))*D13/15+J12*inputs!$C$53</f>
        <v>34.917125495879532</v>
      </c>
      <c r="K13" s="7">
        <f>(((0.621*1000^0.564)/0.2))*D13/1000+K12*inputs!$C$53</f>
        <v>5.595182707829613</v>
      </c>
      <c r="L13" s="7">
        <f>(((0.648*20^0.651)/0.2))*H13/20+L12*inputs!$C$54</f>
        <v>19.143572454835279</v>
      </c>
      <c r="M13" s="7">
        <f>(((0.013*2^0.773)/0.2))*H13/2+M12*inputs!$C$54</f>
        <v>0.9335057390206416</v>
      </c>
      <c r="N13" s="7">
        <f>O13*0.015*inputs!$C$56</f>
        <v>1.1356341852846283</v>
      </c>
      <c r="O13" s="7">
        <f>IF((B13&gt;B12), (EXP(-LN(2)/inputs!$C$52)*O12+$O$3), (EXP(-LN(2)/inputs!$C$52)*O12))</f>
        <v>0.12250638460459852</v>
      </c>
      <c r="P13" s="3">
        <f>IF((B13&gt;B12), (EXP(-LN(2)/inputs!$C$52)*P12+$P$3), (EXP(-LN(2)/inputs!$C$52)*P12))</f>
        <v>0.11837852234496604</v>
      </c>
      <c r="Q13" s="19">
        <f>IF((F13*0.62*1/(0.012*(10^inputs!$C$55)))&gt;inputs!$C$57, inputs!$C$57, (F13*0.62*1/(0.012*(10^inputs!$C$55))))</f>
        <v>0.14946279257427444</v>
      </c>
      <c r="R13" s="3">
        <f>IF((B13&gt;B12), (EXP(-LN(2)/inputs!$C$51)*R12+$R$3), (EXP(-LN(2)/inputs!$C$51)*R12))</f>
        <v>3.4726844645504043E-7</v>
      </c>
      <c r="T13" s="7">
        <f>IF(T12&lt;(inputs!$C$9-1),(1+T12),0)</f>
        <v>0</v>
      </c>
      <c r="U13" s="7">
        <f>IF(inputs!$C$8&gt;U12,IF(T12=(inputs!$C$9-1),(U12+1),U12), U12)</f>
        <v>1</v>
      </c>
      <c r="V13" s="7">
        <f t="shared" si="0"/>
        <v>10</v>
      </c>
      <c r="W13" s="8">
        <f>IF((U13&gt;U12), (EXP(-LN(2)/inputs!$C$51)*W12+$W$3), (EXP(-LN(2)/inputs!$C$51)*W12))</f>
        <v>11.492322537070898</v>
      </c>
      <c r="X13" s="8">
        <f>IF((U13&gt;U12), (EXP(-LN(2)/inputs!$C$51)*X12+$X$3), (EXP(-LN(2)/inputs!$C$51)*X12))</f>
        <v>4.8673366039359101</v>
      </c>
      <c r="Y13" s="8">
        <f>IF((U13&gt;U12), (EXP(-LN(2)/inputs!$C$51)*Y12+$Y$3), (EXP(-LN(2)/inputs!$C$51)*Y12))</f>
        <v>6.084170754919886</v>
      </c>
      <c r="Z13" s="8">
        <f>IF((U13&gt;U12), (EXP(-LN(2)/inputs!$C$51)*Z12+$Z$3), (EXP(-LN(2)/inputs!$C$51)*Z12))</f>
        <v>0.9464265618764266</v>
      </c>
      <c r="AA13" s="8">
        <f>IF((U13&gt;U12), (EXP(-LN(2)/inputs!$C$51)*AA12+$AA$3), (EXP(-LN(2)/inputs!$C$51)*AA12))</f>
        <v>8.7882466459953914</v>
      </c>
      <c r="AB13" s="7">
        <f>(((0.621*15^0.564)/0.2))*W13/15+AB12*inputs!$C$53</f>
        <v>12.366481946457332</v>
      </c>
      <c r="AC13" s="7">
        <f>(((0.621*1000^0.564)/0.2))*W13/1000+AC12*inputs!$C$53</f>
        <v>1.9816272090229874</v>
      </c>
      <c r="AD13" s="7">
        <f>(((0.648*20^0.651)/0.2))*AA13/20+AD12*inputs!$C$54</f>
        <v>13.23757669749248</v>
      </c>
      <c r="AE13" s="7">
        <f>(((0.013*2^0.773)/0.2))*AA13/2+AE12*inputs!$C$54</f>
        <v>0.6455092876206564</v>
      </c>
    </row>
    <row r="14" spans="1:34" x14ac:dyDescent="0.3">
      <c r="A14" s="7">
        <f>IF(A13&lt;(inputs!$C$9-1),(1+A13),0)</f>
        <v>0</v>
      </c>
      <c r="B14" s="7">
        <f>IF(inputs!$C$8&gt;B13,IF(A13=(inputs!$C$9-1),(B13+1),B13), B13)</f>
        <v>1</v>
      </c>
      <c r="C14" s="7">
        <f t="shared" si="1"/>
        <v>11</v>
      </c>
      <c r="D14" s="8">
        <f>IF((B14&gt;B13), (EXP(-LN(2)/inputs!$C$51)*D13+$D$3), (EXP(-LN(2)/inputs!$C$51)*D13))</f>
        <v>28.470953351362894</v>
      </c>
      <c r="E14" s="8">
        <f>IF((B14&gt;B13), (EXP(-LN(2)/inputs!$C$51)*E13+$E$3), (EXP(-LN(2)/inputs!$C$51)*E13))</f>
        <v>13.049186952707991</v>
      </c>
      <c r="F14" s="8">
        <f>IF((B14&gt;B13), (EXP(-LN(2)/inputs!$C$51)*F13+$F$3), (EXP(-LN(2)/inputs!$C$51)*F13))</f>
        <v>16.014911260141627</v>
      </c>
      <c r="G14" s="8">
        <f>IF((B14&gt;B13), (EXP(-LN(2)/inputs!$C$51)*G13+$G$3), (EXP(-LN(2)/inputs!$C$51)*G13))</f>
        <v>1.7794345844601809</v>
      </c>
      <c r="H14" s="8">
        <f>IF((B14&gt;B13), (EXP(-LN(2)/inputs!$C$51)*H13+$H$3), (EXP(-LN(2)/inputs!$C$51)*H13))</f>
        <v>11.151123395950465</v>
      </c>
      <c r="I14" s="7">
        <f>O14*(10^inputs!$C$55)*0.01/1</f>
        <v>7.5736442196625493</v>
      </c>
      <c r="J14" s="7">
        <f>(((0.621*15^0.564)/0.2))*D14/15+J13*inputs!$C$53</f>
        <v>30.636586250993297</v>
      </c>
      <c r="K14" s="7">
        <f>(((0.621*1000^0.564)/0.2))*D14/1000+K13*inputs!$C$53</f>
        <v>4.9092614350146482</v>
      </c>
      <c r="L14" s="7">
        <f>(((0.648*20^0.651)/0.2))*H14/20+L13*inputs!$C$54</f>
        <v>16.79673744283485</v>
      </c>
      <c r="M14" s="7">
        <f>(((0.013*2^0.773)/0.2))*H14/2+M13*inputs!$C$54</f>
        <v>0.81906607748904325</v>
      </c>
      <c r="N14" s="7">
        <f>O14*0.015*inputs!$C$56</f>
        <v>1.1127167712757433</v>
      </c>
      <c r="O14" s="7">
        <f>IF((B14&gt;B13), (EXP(-LN(2)/inputs!$C$52)*O13+$O$3), (EXP(-LN(2)/inputs!$C$52)*O13))</f>
        <v>0.12003417165865625</v>
      </c>
      <c r="P14" s="3">
        <f>IF((B14&gt;B13), (EXP(-LN(2)/inputs!$C$52)*P13+$P$3), (EXP(-LN(2)/inputs!$C$52)*P13))</f>
        <v>0.11598961080858106</v>
      </c>
      <c r="Q14" s="19">
        <f>IF((F14*0.62*1/(0.012*(10^inputs!$C$55)))&gt;inputs!$C$57, inputs!$C$57, (F14*0.62*1/(0.012*(10^inputs!$C$55))))</f>
        <v>0.13113993980934757</v>
      </c>
      <c r="R14" s="3">
        <f>IF((B14&gt;B13), (EXP(-LN(2)/inputs!$C$51)*R13+$R$3), (EXP(-LN(2)/inputs!$C$51)*R13))</f>
        <v>3.0469632195028395E-7</v>
      </c>
      <c r="T14" s="7">
        <f>IF(T13&lt;(inputs!$C$9-1),(1+T13),0)</f>
        <v>0</v>
      </c>
      <c r="U14" s="7">
        <f>IF(inputs!$C$8&gt;U13,IF(T13=(inputs!$C$9-1),(U13+1),U13), U13)</f>
        <v>1</v>
      </c>
      <c r="V14" s="7">
        <f t="shared" si="0"/>
        <v>11</v>
      </c>
      <c r="W14" s="8">
        <f>IF((U14&gt;U13), (EXP(-LN(2)/inputs!$C$51)*W13+$W$3), (EXP(-LN(2)/inputs!$C$51)*W13))</f>
        <v>10.083462645274357</v>
      </c>
      <c r="X14" s="8">
        <f>IF((U14&gt;U13), (EXP(-LN(2)/inputs!$C$51)*X13+$X$3), (EXP(-LN(2)/inputs!$C$51)*X13))</f>
        <v>4.2706430027044338</v>
      </c>
      <c r="Y14" s="8">
        <f>IF((U14&gt;U13), (EXP(-LN(2)/inputs!$C$51)*Y13+$Y$3), (EXP(-LN(2)/inputs!$C$51)*Y13))</f>
        <v>5.3383037533805417</v>
      </c>
      <c r="Z14" s="8">
        <f>IF((U14&gt;U13), (EXP(-LN(2)/inputs!$C$51)*Z13+$Z$3), (EXP(-LN(2)/inputs!$C$51)*Z13))</f>
        <v>0.83040280608141748</v>
      </c>
      <c r="AA14" s="8">
        <f>IF((U14&gt;U13), (EXP(-LN(2)/inputs!$C$51)*AA13+$AA$3), (EXP(-LN(2)/inputs!$C$51)*AA13))</f>
        <v>7.7108831993274487</v>
      </c>
      <c r="AB14" s="7">
        <f>(((0.621*15^0.564)/0.2))*W14/15+AB13*inputs!$C$53</f>
        <v>10.850457630560124</v>
      </c>
      <c r="AC14" s="7">
        <f>(((0.621*1000^0.564)/0.2))*W14/1000+AC13*inputs!$C$53</f>
        <v>1.7386967582343544</v>
      </c>
      <c r="AD14" s="7">
        <f>(((0.648*20^0.651)/0.2))*AA14/20+AD13*inputs!$C$54</f>
        <v>11.614765253024096</v>
      </c>
      <c r="AE14" s="7">
        <f>(((0.013*2^0.773)/0.2))*AA14/2+AE13*inputs!$C$54</f>
        <v>0.56637547911476394</v>
      </c>
    </row>
    <row r="15" spans="1:34" x14ac:dyDescent="0.3">
      <c r="A15" s="7">
        <f>IF(A14&lt;(inputs!$C$9-1),(1+A14),0)</f>
        <v>0</v>
      </c>
      <c r="B15" s="7">
        <f>IF(inputs!$C$8&gt;B14,IF(A14=(inputs!$C$9-1),(B14+1),B14), B14)</f>
        <v>1</v>
      </c>
      <c r="C15" s="7">
        <f t="shared" si="1"/>
        <v>12</v>
      </c>
      <c r="D15" s="8">
        <f>IF((B15&gt;B14), (EXP(-LN(2)/inputs!$C$51)*D14+$D$3), (EXP(-LN(2)/inputs!$C$51)*D14))</f>
        <v>24.980659363480363</v>
      </c>
      <c r="E15" s="8">
        <f>IF((B15&gt;B14), (EXP(-LN(2)/inputs!$C$51)*E14+$E$3), (EXP(-LN(2)/inputs!$C$51)*E14))</f>
        <v>11.449468874928499</v>
      </c>
      <c r="F15" s="8">
        <f>IF((B15&gt;B14), (EXP(-LN(2)/inputs!$C$51)*F14+$F$3), (EXP(-LN(2)/inputs!$C$51)*F14))</f>
        <v>14.051620891957704</v>
      </c>
      <c r="G15" s="8">
        <f>IF((B15&gt;B14), (EXP(-LN(2)/inputs!$C$51)*G14+$G$3), (EXP(-LN(2)/inputs!$C$51)*G14))</f>
        <v>1.5612912102175227</v>
      </c>
      <c r="H15" s="8">
        <f>IF((B15&gt;B14), (EXP(-LN(2)/inputs!$C$51)*H14+$H$3), (EXP(-LN(2)/inputs!$C$51)*H14))</f>
        <v>9.7840915840298077</v>
      </c>
      <c r="I15" s="7">
        <f>O15*(10^inputs!$C$55)*0.01/1</f>
        <v>7.4208059708786758</v>
      </c>
      <c r="J15" s="7">
        <f>(((0.621*15^0.564)/0.2))*D15/15+J14*inputs!$C$53</f>
        <v>26.880804297428664</v>
      </c>
      <c r="K15" s="7">
        <f>(((0.621*1000^0.564)/0.2))*D15/1000+K14*inputs!$C$53</f>
        <v>4.3074282101278181</v>
      </c>
      <c r="L15" s="7">
        <f>(((0.648*20^0.651)/0.2))*H15/20+L14*inputs!$C$54</f>
        <v>14.737602403330364</v>
      </c>
      <c r="M15" s="7">
        <f>(((0.013*2^0.773)/0.2))*H15/2+M14*inputs!$C$54</f>
        <v>0.71865564566755635</v>
      </c>
      <c r="N15" s="7">
        <f>O15*0.015*inputs!$C$56</f>
        <v>1.0902618370615498</v>
      </c>
      <c r="O15" s="7">
        <f>IF((B15&gt;B14), (EXP(-LN(2)/inputs!$C$52)*O14+$O$3), (EXP(-LN(2)/inputs!$C$52)*O14))</f>
        <v>0.11761184865820386</v>
      </c>
      <c r="P15" s="3">
        <f>IF((B15&gt;B14), (EXP(-LN(2)/inputs!$C$52)*P14+$P$3), (EXP(-LN(2)/inputs!$C$52)*P14))</f>
        <v>0.11364890817205076</v>
      </c>
      <c r="Q15" s="19">
        <f>IF((F15*0.62*1/(0.012*(10^inputs!$C$55)))&gt;inputs!$C$57, inputs!$C$57, (F15*0.62*1/(0.012*(10^inputs!$C$55))))</f>
        <v>0.1150633111893252</v>
      </c>
      <c r="R15" s="3">
        <f>IF((B15&gt;B14), (EXP(-LN(2)/inputs!$C$51)*R14+$R$3), (EXP(-LN(2)/inputs!$C$51)*R14))</f>
        <v>2.6734317372554818E-7</v>
      </c>
      <c r="T15" s="7">
        <f>IF(T14&lt;(inputs!$C$9-1),(1+T14),0)</f>
        <v>0</v>
      </c>
      <c r="U15" s="7">
        <f>IF(inputs!$C$8&gt;U14,IF(T14=(inputs!$C$9-1),(U14+1),U14), U14)</f>
        <v>1</v>
      </c>
      <c r="V15" s="7">
        <f t="shared" si="0"/>
        <v>12</v>
      </c>
      <c r="W15" s="8">
        <f>IF((U15&gt;U14), (EXP(-LN(2)/inputs!$C$51)*W14+$W$3), (EXP(-LN(2)/inputs!$C$51)*W14))</f>
        <v>8.847316857899294</v>
      </c>
      <c r="X15" s="8">
        <f>IF((U15&gt;U14), (EXP(-LN(2)/inputs!$C$51)*X14+$X$3), (EXP(-LN(2)/inputs!$C$51)*X14))</f>
        <v>3.747098904522054</v>
      </c>
      <c r="Y15" s="8">
        <f>IF((U15&gt;U14), (EXP(-LN(2)/inputs!$C$51)*Y14+$Y$3), (EXP(-LN(2)/inputs!$C$51)*Y14))</f>
        <v>4.6838736306525677</v>
      </c>
      <c r="Z15" s="8">
        <f>IF((U15&gt;U14), (EXP(-LN(2)/inputs!$C$51)*Z14+$Z$3), (EXP(-LN(2)/inputs!$C$51)*Z14))</f>
        <v>0.72860256476817697</v>
      </c>
      <c r="AA15" s="8">
        <f>IF((U15&gt;U14), (EXP(-LN(2)/inputs!$C$51)*AA14+$AA$3), (EXP(-LN(2)/inputs!$C$51)*AA14))</f>
        <v>6.7655952442759304</v>
      </c>
      <c r="AB15" s="7">
        <f>(((0.621*15^0.564)/0.2))*W15/15+AB14*inputs!$C$53</f>
        <v>9.5202848553393178</v>
      </c>
      <c r="AC15" s="7">
        <f>(((0.621*1000^0.564)/0.2))*W15/1000+AC14*inputs!$C$53</f>
        <v>1.5255474910869355</v>
      </c>
      <c r="AD15" s="7">
        <f>(((0.648*20^0.651)/0.2))*AA15/20+AD14*inputs!$C$54</f>
        <v>10.190895278898655</v>
      </c>
      <c r="AE15" s="7">
        <f>(((0.013*2^0.773)/0.2))*AA15/2+AE14*inputs!$C$54</f>
        <v>0.49694273370628894</v>
      </c>
    </row>
    <row r="16" spans="1:34" x14ac:dyDescent="0.3">
      <c r="A16" s="7">
        <f>IF(A15&lt;(inputs!$C$9-1),(1+A15),0)</f>
        <v>0</v>
      </c>
      <c r="B16" s="7">
        <f>IF(inputs!$C$8&gt;B15,IF(A15=(inputs!$C$9-1),(B15+1),B15), B15)</f>
        <v>1</v>
      </c>
      <c r="C16" s="7">
        <f t="shared" si="1"/>
        <v>13</v>
      </c>
      <c r="D16" s="8">
        <f>IF((B16&gt;B15), (EXP(-LN(2)/inputs!$C$51)*D15+$D$3), (EXP(-LN(2)/inputs!$C$51)*D15))</f>
        <v>21.918245396737547</v>
      </c>
      <c r="E16" s="8">
        <f>IF((B16&gt;B15), (EXP(-LN(2)/inputs!$C$51)*E15+$E$3), (EXP(-LN(2)/inputs!$C$51)*E15))</f>
        <v>10.045862473504707</v>
      </c>
      <c r="F16" s="8">
        <f>IF((B16&gt;B15), (EXP(-LN(2)/inputs!$C$51)*F15+$F$3), (EXP(-LN(2)/inputs!$C$51)*F15))</f>
        <v>12.329013035664868</v>
      </c>
      <c r="G16" s="8">
        <f>IF((B16&gt;B15), (EXP(-LN(2)/inputs!$C$51)*G15+$G$3), (EXP(-LN(2)/inputs!$C$51)*G15))</f>
        <v>1.3698903372960967</v>
      </c>
      <c r="H16" s="8">
        <f>IF((B16&gt;B15), (EXP(-LN(2)/inputs!$C$51)*H15+$H$3), (EXP(-LN(2)/inputs!$C$51)*H15))</f>
        <v>8.5846461137222043</v>
      </c>
      <c r="I16" s="7">
        <f>O16*(10^inputs!$C$55)*0.01/1</f>
        <v>7.2710520405039869</v>
      </c>
      <c r="J16" s="7">
        <f>(((0.621*15^0.564)/0.2))*D16/15+J15*inputs!$C$53</f>
        <v>23.585448905897834</v>
      </c>
      <c r="K16" s="7">
        <f>(((0.621*1000^0.564)/0.2))*D16/1000+K15*inputs!$C$53</f>
        <v>3.7793745619252421</v>
      </c>
      <c r="L16" s="7">
        <f>(((0.648*20^0.651)/0.2))*H16/20+L15*inputs!$C$54</f>
        <v>12.930899219887976</v>
      </c>
      <c r="M16" s="7">
        <f>(((0.013*2^0.773)/0.2))*H16/2+M15*inputs!$C$54</f>
        <v>0.63055465018046075</v>
      </c>
      <c r="N16" s="7">
        <f>O16*0.015*inputs!$C$56</f>
        <v>1.0682600496710404</v>
      </c>
      <c r="O16" s="7">
        <f>IF((B16&gt;B15), (EXP(-LN(2)/inputs!$C$52)*O15+$O$3), (EXP(-LN(2)/inputs!$C$52)*O15))</f>
        <v>0.11523840881025246</v>
      </c>
      <c r="P16" s="3">
        <f>IF((B16&gt;B15), (EXP(-LN(2)/inputs!$C$52)*P15+$P$3), (EXP(-LN(2)/inputs!$C$52)*P15))</f>
        <v>0.11135544156635516</v>
      </c>
      <c r="Q16" s="19">
        <f>IF((F16*0.62*1/(0.012*(10^inputs!$C$55)))&gt;inputs!$C$57, inputs!$C$57, (F16*0.62*1/(0.012*(10^inputs!$C$55))))</f>
        <v>0.10095753895494605</v>
      </c>
      <c r="R16" s="3">
        <f>IF((B16&gt;B15), (EXP(-LN(2)/inputs!$C$51)*R15+$R$3), (EXP(-LN(2)/inputs!$C$51)*R15))</f>
        <v>2.3456920017994339E-7</v>
      </c>
      <c r="T16" s="7">
        <f>IF(T15&lt;(inputs!$C$9-1),(1+T15),0)</f>
        <v>0</v>
      </c>
      <c r="U16" s="7">
        <f>IF(inputs!$C$8&gt;U15,IF(T15=(inputs!$C$9-1),(U15+1),U15), U15)</f>
        <v>1</v>
      </c>
      <c r="V16" s="7">
        <f t="shared" si="0"/>
        <v>13</v>
      </c>
      <c r="W16" s="8">
        <f>IF((U16&gt;U15), (EXP(-LN(2)/inputs!$C$51)*W15+$W$3), (EXP(-LN(2)/inputs!$C$51)*W15))</f>
        <v>7.762711911344546</v>
      </c>
      <c r="X16" s="8">
        <f>IF((U16&gt;U15), (EXP(-LN(2)/inputs!$C$51)*X15+$X$3), (EXP(-LN(2)/inputs!$C$51)*X15))</f>
        <v>3.2877368095106312</v>
      </c>
      <c r="Y16" s="8">
        <f>IF((U16&gt;U15), (EXP(-LN(2)/inputs!$C$51)*Y15+$Y$3), (EXP(-LN(2)/inputs!$C$51)*Y15))</f>
        <v>4.1096710118882891</v>
      </c>
      <c r="Z16" s="8">
        <f>IF((U16&gt;U15), (EXP(-LN(2)/inputs!$C$51)*Z15+$Z$3), (EXP(-LN(2)/inputs!$C$51)*Z15))</f>
        <v>0.63928215740484484</v>
      </c>
      <c r="AA16" s="8">
        <f>IF((U16&gt;U15), (EXP(-LN(2)/inputs!$C$51)*AA15+$AA$3), (EXP(-LN(2)/inputs!$C$51)*AA15))</f>
        <v>5.9361914616164171</v>
      </c>
      <c r="AB16" s="7">
        <f>(((0.621*15^0.564)/0.2))*W16/15+AB15*inputs!$C$53</f>
        <v>8.3531798208388164</v>
      </c>
      <c r="AC16" s="7">
        <f>(((0.621*1000^0.564)/0.2))*W16/1000+AC15*inputs!$C$53</f>
        <v>1.3385284906818564</v>
      </c>
      <c r="AD16" s="7">
        <f>(((0.648*20^0.651)/0.2))*AA16/20+AD15*inputs!$C$54</f>
        <v>8.941579247794877</v>
      </c>
      <c r="AE16" s="7">
        <f>(((0.013*2^0.773)/0.2))*AA16/2+AE15*inputs!$C$54</f>
        <v>0.43602183257159516</v>
      </c>
    </row>
    <row r="17" spans="1:31" x14ac:dyDescent="0.3">
      <c r="A17" s="7">
        <f>IF(A16&lt;(inputs!$C$9-1),(1+A16),0)</f>
        <v>0</v>
      </c>
      <c r="B17" s="7">
        <f>IF(inputs!$C$8&gt;B16,IF(A16=(inputs!$C$9-1),(B16+1),B16), B16)</f>
        <v>1</v>
      </c>
      <c r="C17" s="7">
        <f t="shared" si="1"/>
        <v>14</v>
      </c>
      <c r="D17" s="8">
        <f>IF((B17&gt;B16), (EXP(-LN(2)/inputs!$C$51)*D16+$D$3), (EXP(-LN(2)/inputs!$C$51)*D16))</f>
        <v>19.231257040954056</v>
      </c>
      <c r="E17" s="8">
        <f>IF((B17&gt;B16), (EXP(-LN(2)/inputs!$C$51)*E16+$E$3), (EXP(-LN(2)/inputs!$C$51)*E16))</f>
        <v>8.8143261437706073</v>
      </c>
      <c r="F17" s="8">
        <f>IF((B17&gt;B16), (EXP(-LN(2)/inputs!$C$51)*F16+$F$3), (EXP(-LN(2)/inputs!$C$51)*F16))</f>
        <v>10.817582085536655</v>
      </c>
      <c r="G17" s="8">
        <f>IF((B17&gt;B16), (EXP(-LN(2)/inputs!$C$51)*G16+$G$3), (EXP(-LN(2)/inputs!$C$51)*G16))</f>
        <v>1.2019535650596285</v>
      </c>
      <c r="H17" s="8">
        <f>IF((B17&gt;B16), (EXP(-LN(2)/inputs!$C$51)*H16+$H$3), (EXP(-LN(2)/inputs!$C$51)*H16))</f>
        <v>7.5322423410403374</v>
      </c>
      <c r="I17" s="7">
        <f>O17*(10^inputs!$C$55)*0.01/1</f>
        <v>7.1243201861343408</v>
      </c>
      <c r="J17" s="7">
        <f>(((0.621*15^0.564)/0.2))*D17/15+J16*inputs!$C$53</f>
        <v>20.694075740348651</v>
      </c>
      <c r="K17" s="7">
        <f>(((0.621*1000^0.564)/0.2))*D17/1000+K16*inputs!$C$53</f>
        <v>3.3160557489355407</v>
      </c>
      <c r="L17" s="7">
        <f>(((0.648*20^0.651)/0.2))*H17/20+L16*inputs!$C$54</f>
        <v>11.345682223313851</v>
      </c>
      <c r="M17" s="7">
        <f>(((0.013*2^0.773)/0.2))*H17/2+M16*inputs!$C$54</f>
        <v>0.55325407488887035</v>
      </c>
      <c r="N17" s="7">
        <f>O17*0.015*inputs!$C$56</f>
        <v>1.0467022644751613</v>
      </c>
      <c r="O17" s="7">
        <f>IF((B17&gt;B16), (EXP(-LN(2)/inputs!$C$52)*O16+$O$3), (EXP(-LN(2)/inputs!$C$52)*O16))</f>
        <v>0.11291286563917598</v>
      </c>
      <c r="P17" s="3">
        <f>IF((B17&gt;B16), (EXP(-LN(2)/inputs!$C$52)*P16+$P$3), (EXP(-LN(2)/inputs!$C$52)*P16))</f>
        <v>0.10910825775524197</v>
      </c>
      <c r="Q17" s="19">
        <f>IF((F17*0.62*1/(0.012*(10^inputs!$C$55)))&gt;inputs!$C$57, inputs!$C$57, (F17*0.62*1/(0.012*(10^inputs!$C$55))))</f>
        <v>8.858101306565766E-2</v>
      </c>
      <c r="R17" s="3">
        <f>IF((B17&gt;B16), (EXP(-LN(2)/inputs!$C$51)*R16+$R$3), (EXP(-LN(2)/inputs!$C$51)*R16))</f>
        <v>2.0581303388559347E-7</v>
      </c>
      <c r="T17" s="7">
        <f>IF(T16&lt;(inputs!$C$9-1),(1+T16),0)</f>
        <v>0</v>
      </c>
      <c r="U17" s="7">
        <f>IF(inputs!$C$8&gt;U16,IF(T16=(inputs!$C$9-1),(U16+1),U16), U16)</f>
        <v>1</v>
      </c>
      <c r="V17" s="7">
        <f t="shared" si="0"/>
        <v>14</v>
      </c>
      <c r="W17" s="8">
        <f>IF((U17&gt;U16), (EXP(-LN(2)/inputs!$C$51)*W16+$W$3), (EXP(-LN(2)/inputs!$C$51)*W16))</f>
        <v>6.8110702020045606</v>
      </c>
      <c r="X17" s="8">
        <f>IF((U17&gt;U16), (EXP(-LN(2)/inputs!$C$51)*X16+$X$3), (EXP(-LN(2)/inputs!$C$51)*X16))</f>
        <v>2.8846885561431077</v>
      </c>
      <c r="Y17" s="8">
        <f>IF((U17&gt;U16), (EXP(-LN(2)/inputs!$C$51)*Y16+$Y$3), (EXP(-LN(2)/inputs!$C$51)*Y16))</f>
        <v>3.605860695178885</v>
      </c>
      <c r="Z17" s="8">
        <f>IF((U17&gt;U16), (EXP(-LN(2)/inputs!$C$51)*Z16+$Z$3), (EXP(-LN(2)/inputs!$C$51)*Z16))</f>
        <v>0.56091166369449308</v>
      </c>
      <c r="AA17" s="8">
        <f>IF((U17&gt;U16), (EXP(-LN(2)/inputs!$C$51)*AA16+$AA$3), (EXP(-LN(2)/inputs!$C$51)*AA16))</f>
        <v>5.2084654485917223</v>
      </c>
      <c r="AB17" s="7">
        <f>(((0.621*15^0.564)/0.2))*W17/15+AB16*inputs!$C$53</f>
        <v>7.3291518247068135</v>
      </c>
      <c r="AC17" s="7">
        <f>(((0.621*1000^0.564)/0.2))*W17/1000+AC16*inputs!$C$53</f>
        <v>1.1744364110813372</v>
      </c>
      <c r="AD17" s="7">
        <f>(((0.648*20^0.651)/0.2))*AA17/20+AD16*inputs!$C$54</f>
        <v>7.8454185586744725</v>
      </c>
      <c r="AE17" s="7">
        <f>(((0.013*2^0.773)/0.2))*AA17/2+AE16*inputs!$C$54</f>
        <v>0.38256930710400605</v>
      </c>
    </row>
    <row r="18" spans="1:31" x14ac:dyDescent="0.3">
      <c r="A18" s="7">
        <f>IF(A17&lt;(inputs!$C$9-1),(1+A17),0)</f>
        <v>0</v>
      </c>
      <c r="B18" s="7">
        <f>IF(inputs!$C$8&gt;B17,IF(A17=(inputs!$C$9-1),(B17+1),B17), B17)</f>
        <v>1</v>
      </c>
      <c r="C18" s="7">
        <f t="shared" si="1"/>
        <v>15</v>
      </c>
      <c r="D18" s="8">
        <f>IF((B18&gt;B17), (EXP(-LN(2)/inputs!$C$51)*D17+$D$3), (EXP(-LN(2)/inputs!$C$51)*D17))</f>
        <v>16.873670345450851</v>
      </c>
      <c r="E18" s="8">
        <f>IF((B18&gt;B17), (EXP(-LN(2)/inputs!$C$51)*E17+$E$3), (EXP(-LN(2)/inputs!$C$51)*E17))</f>
        <v>7.7337655749983059</v>
      </c>
      <c r="F18" s="8">
        <f>IF((B18&gt;B17), (EXP(-LN(2)/inputs!$C$51)*F17+$F$3), (EXP(-LN(2)/inputs!$C$51)*F17))</f>
        <v>9.4914395693161033</v>
      </c>
      <c r="G18" s="8">
        <f>IF((B18&gt;B17), (EXP(-LN(2)/inputs!$C$51)*G17+$G$3), (EXP(-LN(2)/inputs!$C$51)*G17))</f>
        <v>1.0546043965906782</v>
      </c>
      <c r="H18" s="8">
        <f>IF((B18&gt;B17), (EXP(-LN(2)/inputs!$C$51)*H17+$H$3), (EXP(-LN(2)/inputs!$C$51)*H17))</f>
        <v>6.6088542186349155</v>
      </c>
      <c r="I18" s="7">
        <f>O18*(10^inputs!$C$55)*0.01/1</f>
        <v>6.9805494214346373</v>
      </c>
      <c r="J18" s="7">
        <f>(((0.621*15^0.564)/0.2))*D18/15+J17*inputs!$C$53</f>
        <v>18.157160054739418</v>
      </c>
      <c r="K18" s="7">
        <f>(((0.621*1000^0.564)/0.2))*D18/1000+K17*inputs!$C$53</f>
        <v>2.909535837179988</v>
      </c>
      <c r="L18" s="7">
        <f>(((0.648*20^0.651)/0.2))*H18/20+L17*inputs!$C$54</f>
        <v>9.9547991774961897</v>
      </c>
      <c r="M18" s="7">
        <f>(((0.013*2^0.773)/0.2))*H18/2+M17*inputs!$C$54</f>
        <v>0.48542988436014023</v>
      </c>
      <c r="N18" s="7">
        <f>O18*0.015*inputs!$C$56</f>
        <v>1.025579521386019</v>
      </c>
      <c r="O18" s="7">
        <f>IF((B18&gt;B17), (EXP(-LN(2)/inputs!$C$52)*O17+$O$3), (EXP(-LN(2)/inputs!$C$52)*O17))</f>
        <v>0.11063425257670109</v>
      </c>
      <c r="P18" s="3">
        <f>IF((B18&gt;B17), (EXP(-LN(2)/inputs!$C$52)*P17+$P$3), (EXP(-LN(2)/inputs!$C$52)*P17))</f>
        <v>0.10690642273903181</v>
      </c>
      <c r="Q18" s="19">
        <f>IF((F18*0.62*1/(0.012*(10^inputs!$C$55)))&gt;inputs!$C$57, inputs!$C$57, (F18*0.62*1/(0.012*(10^inputs!$C$55))))</f>
        <v>7.7721742793669779E-2</v>
      </c>
      <c r="R18" s="3">
        <f>IF((B18&gt;B17), (EXP(-LN(2)/inputs!$C$51)*R17+$R$3), (EXP(-LN(2)/inputs!$C$51)*R17))</f>
        <v>1.8058212623267627E-7</v>
      </c>
      <c r="T18" s="7">
        <f>IF(T17&lt;(inputs!$C$9-1),(1+T17),0)</f>
        <v>0</v>
      </c>
      <c r="U18" s="7">
        <f>IF(inputs!$C$8&gt;U17,IF(T17=(inputs!$C$9-1),(U17+1),U17), U17)</f>
        <v>1</v>
      </c>
      <c r="V18" s="7">
        <f t="shared" si="0"/>
        <v>15</v>
      </c>
      <c r="W18" s="8">
        <f>IF((U18&gt;U17), (EXP(-LN(2)/inputs!$C$51)*W17+$W$3), (EXP(-LN(2)/inputs!$C$51)*W17))</f>
        <v>5.9760915806805093</v>
      </c>
      <c r="X18" s="8">
        <f>IF((U18&gt;U17), (EXP(-LN(2)/inputs!$C$51)*X17+$X$3), (EXP(-LN(2)/inputs!$C$51)*X17))</f>
        <v>2.5310505518176272</v>
      </c>
      <c r="Y18" s="8">
        <f>IF((U18&gt;U17), (EXP(-LN(2)/inputs!$C$51)*Y17+$Y$3), (EXP(-LN(2)/inputs!$C$51)*Y17))</f>
        <v>3.1638131897720343</v>
      </c>
      <c r="Z18" s="8">
        <f>IF((U18&gt;U17), (EXP(-LN(2)/inputs!$C$51)*Z17+$Z$3), (EXP(-LN(2)/inputs!$C$51)*Z17))</f>
        <v>0.492148718408983</v>
      </c>
      <c r="AA18" s="8">
        <f>IF((U18&gt;U17), (EXP(-LN(2)/inputs!$C$51)*AA17+$AA$3), (EXP(-LN(2)/inputs!$C$51)*AA17))</f>
        <v>4.5699523852262711</v>
      </c>
      <c r="AB18" s="7">
        <f>(((0.621*15^0.564)/0.2))*W18/15+AB17*inputs!$C$53</f>
        <v>6.4306608527202096</v>
      </c>
      <c r="AC18" s="7">
        <f>(((0.621*1000^0.564)/0.2))*W18/1000+AC17*inputs!$C$53</f>
        <v>1.0304606090012456</v>
      </c>
      <c r="AD18" s="7">
        <f>(((0.648*20^0.651)/0.2))*AA18/20+AD17*inputs!$C$54</f>
        <v>6.8836377291197053</v>
      </c>
      <c r="AE18" s="7">
        <f>(((0.013*2^0.773)/0.2))*AA18/2+AE17*inputs!$C$54</f>
        <v>0.335669600887331</v>
      </c>
    </row>
    <row r="19" spans="1:31" x14ac:dyDescent="0.3">
      <c r="A19" s="7">
        <f>IF(A18&lt;(inputs!$C$9-1),(1+A18),0)</f>
        <v>0</v>
      </c>
      <c r="B19" s="7">
        <f>IF(inputs!$C$8&gt;B18,IF(A18=(inputs!$C$9-1),(B18+1),B18), B18)</f>
        <v>1</v>
      </c>
      <c r="C19" s="7">
        <f t="shared" si="1"/>
        <v>16</v>
      </c>
      <c r="D19" s="8">
        <f>IF((B19&gt;B18), (EXP(-LN(2)/inputs!$C$51)*D18+$D$3), (EXP(-LN(2)/inputs!$C$51)*D18))</f>
        <v>14.805103500026982</v>
      </c>
      <c r="E19" s="8">
        <f>IF((B19&gt;B18), (EXP(-LN(2)/inputs!$C$51)*E18+$E$3), (EXP(-LN(2)/inputs!$C$51)*E18))</f>
        <v>6.7856724375123667</v>
      </c>
      <c r="F19" s="8">
        <f>IF((B19&gt;B18), (EXP(-LN(2)/inputs!$C$51)*F18+$F$3), (EXP(-LN(2)/inputs!$C$51)*F18))</f>
        <v>8.3278707187651779</v>
      </c>
      <c r="G19" s="8">
        <f>IF((B19&gt;B18), (EXP(-LN(2)/inputs!$C$51)*G18+$G$3), (EXP(-LN(2)/inputs!$C$51)*G18))</f>
        <v>0.9253189687516864</v>
      </c>
      <c r="H19" s="8">
        <f>IF((B19&gt;B18), (EXP(-LN(2)/inputs!$C$51)*H18+$H$3), (EXP(-LN(2)/inputs!$C$51)*H18))</f>
        <v>5.7986655375105673</v>
      </c>
      <c r="I19" s="7">
        <f>O19*(10^inputs!$C$55)*0.01/1</f>
        <v>6.839679990790998</v>
      </c>
      <c r="J19" s="7">
        <f>(((0.621*15^0.564)/0.2))*D19/15+J18*inputs!$C$53</f>
        <v>15.931248410897542</v>
      </c>
      <c r="K19" s="7">
        <f>(((0.621*1000^0.564)/0.2))*D19/1000+K18*inputs!$C$53</f>
        <v>2.5528517699233535</v>
      </c>
      <c r="L19" s="7">
        <f>(((0.648*20^0.651)/0.2))*H19/20+L18*inputs!$C$54</f>
        <v>8.7344264256071362</v>
      </c>
      <c r="M19" s="7">
        <f>(((0.013*2^0.773)/0.2))*H19/2+M18*inputs!$C$54</f>
        <v>0.42592035601476086</v>
      </c>
      <c r="N19" s="7">
        <f>O19*0.015*inputs!$C$56</f>
        <v>1.0048830411327883</v>
      </c>
      <c r="O19" s="7">
        <f>IF((B19&gt;B18), (EXP(-LN(2)/inputs!$C$52)*O18+$O$3), (EXP(-LN(2)/inputs!$C$52)*O18))</f>
        <v>0.10840162256017133</v>
      </c>
      <c r="P19" s="3">
        <f>IF((B19&gt;B18), (EXP(-LN(2)/inputs!$C$52)*P18+$P$3), (EXP(-LN(2)/inputs!$C$52)*P18))</f>
        <v>0.10474902136641887</v>
      </c>
      <c r="Q19" s="19">
        <f>IF((F19*0.62*1/(0.012*(10^inputs!$C$55)))&gt;inputs!$C$57, inputs!$C$57, (F19*0.62*1/(0.012*(10^inputs!$C$55))))</f>
        <v>6.8193725650980322E-2</v>
      </c>
      <c r="R19" s="3">
        <f>IF((B19&gt;B18), (EXP(-LN(2)/inputs!$C$51)*R18+$R$3), (EXP(-LN(2)/inputs!$C$51)*R18))</f>
        <v>1.5844431083427541E-7</v>
      </c>
      <c r="T19" s="7">
        <f>IF(T18&lt;(inputs!$C$9-1),(1+T18),0)</f>
        <v>0</v>
      </c>
      <c r="U19" s="7">
        <f>IF(inputs!$C$8&gt;U18,IF(T18=(inputs!$C$9-1),(U18+1),U18), U18)</f>
        <v>1</v>
      </c>
      <c r="V19" s="7">
        <f t="shared" si="0"/>
        <v>16</v>
      </c>
      <c r="W19" s="8">
        <f>IF((U19&gt;U18), (EXP(-LN(2)/inputs!$C$51)*W18+$W$3), (EXP(-LN(2)/inputs!$C$51)*W18))</f>
        <v>5.2434741562595564</v>
      </c>
      <c r="X19" s="8">
        <f>IF((U19&gt;U18), (EXP(-LN(2)/inputs!$C$51)*X18+$X$3), (EXP(-LN(2)/inputs!$C$51)*X18))</f>
        <v>2.220765525004047</v>
      </c>
      <c r="Y19" s="8">
        <f>IF((U19&gt;U18), (EXP(-LN(2)/inputs!$C$51)*Y18+$Y$3), (EXP(-LN(2)/inputs!$C$51)*Y18))</f>
        <v>2.7759569062550589</v>
      </c>
      <c r="Z19" s="8">
        <f>IF((U19&gt;U18), (EXP(-LN(2)/inputs!$C$51)*Z18+$Z$3), (EXP(-LN(2)/inputs!$C$51)*Z18))</f>
        <v>0.43181551875078689</v>
      </c>
      <c r="AA19" s="8">
        <f>IF((U19&gt;U18), (EXP(-LN(2)/inputs!$C$51)*AA18+$AA$3), (EXP(-LN(2)/inputs!$C$51)*AA18))</f>
        <v>4.0097155312573065</v>
      </c>
      <c r="AB19" s="7">
        <f>(((0.621*15^0.564)/0.2))*W19/15+AB18*inputs!$C$53</f>
        <v>5.6423171455262127</v>
      </c>
      <c r="AC19" s="7">
        <f>(((0.621*1000^0.564)/0.2))*W19/1000+AC18*inputs!$C$53</f>
        <v>0.90413500184785434</v>
      </c>
      <c r="AD19" s="7">
        <f>(((0.648*20^0.651)/0.2))*AA19/20+AD18*inputs!$C$54</f>
        <v>6.0397629538772746</v>
      </c>
      <c r="AE19" s="7">
        <f>(((0.013*2^0.773)/0.2))*AA19/2+AE18*inputs!$C$54</f>
        <v>0.29451939511658987</v>
      </c>
    </row>
    <row r="20" spans="1:31" x14ac:dyDescent="0.3">
      <c r="A20" s="7">
        <f>IF(A19&lt;(inputs!$C$9-1),(1+A19),0)</f>
        <v>0</v>
      </c>
      <c r="B20" s="7">
        <f>IF(inputs!$C$8&gt;B19,IF(A19=(inputs!$C$9-1),(B19+1),B19), B19)</f>
        <v>1</v>
      </c>
      <c r="C20" s="7">
        <f t="shared" si="1"/>
        <v>17</v>
      </c>
      <c r="D20" s="8">
        <f>IF((B20&gt;B19), (EXP(-LN(2)/inputs!$C$51)*D19+$D$3), (EXP(-LN(2)/inputs!$C$51)*D19))</f>
        <v>12.990125157067871</v>
      </c>
      <c r="E20" s="8">
        <f>IF((B20&gt;B19), (EXP(-LN(2)/inputs!$C$51)*E19+$E$3), (EXP(-LN(2)/inputs!$C$51)*E19))</f>
        <v>5.9538073636561073</v>
      </c>
      <c r="F20" s="8">
        <f>IF((B20&gt;B19), (EXP(-LN(2)/inputs!$C$51)*F19+$F$3), (EXP(-LN(2)/inputs!$C$51)*F19))</f>
        <v>7.3069454008506778</v>
      </c>
      <c r="G20" s="8">
        <f>IF((B20&gt;B19), (EXP(-LN(2)/inputs!$C$51)*G19+$G$3), (EXP(-LN(2)/inputs!$C$51)*G19))</f>
        <v>0.81188282231674191</v>
      </c>
      <c r="H20" s="8">
        <f>IF((B20&gt;B19), (EXP(-LN(2)/inputs!$C$51)*H19+$H$3), (EXP(-LN(2)/inputs!$C$51)*H19))</f>
        <v>5.0877990198515821</v>
      </c>
      <c r="I20" s="7">
        <f>O20*(10^inputs!$C$55)*0.01/1</f>
        <v>6.7016533444744661</v>
      </c>
      <c r="J20" s="7">
        <f>(((0.621*15^0.564)/0.2))*D20/15+J19*inputs!$C$53</f>
        <v>13.978214388404682</v>
      </c>
      <c r="K20" s="7">
        <f>(((0.621*1000^0.564)/0.2))*D20/1000+K19*inputs!$C$53</f>
        <v>2.2398941012932574</v>
      </c>
      <c r="L20" s="7">
        <f>(((0.648*20^0.651)/0.2))*H20/20+L19*inputs!$C$54</f>
        <v>7.6636608752456246</v>
      </c>
      <c r="M20" s="7">
        <f>(((0.013*2^0.773)/0.2))*H20/2+M19*inputs!$C$54</f>
        <v>0.37370618393343658</v>
      </c>
      <c r="N20" s="7">
        <f>O20*0.015*inputs!$C$56</f>
        <v>0.98460422161277217</v>
      </c>
      <c r="O20" s="7">
        <f>IF((B20&gt;B19), (EXP(-LN(2)/inputs!$C$52)*O19+$O$3), (EXP(-LN(2)/inputs!$C$52)*O19))</f>
        <v>0.10621404763891826</v>
      </c>
      <c r="P20" s="3">
        <f>IF((B20&gt;B19), (EXP(-LN(2)/inputs!$C$52)*P19+$P$3), (EXP(-LN(2)/inputs!$C$52)*P19))</f>
        <v>0.10263515695410542</v>
      </c>
      <c r="Q20" s="19">
        <f>IF((F20*0.62*1/(0.012*(10^inputs!$C$55)))&gt;inputs!$C$57, inputs!$C$57, (F20*0.62*1/(0.012*(10^inputs!$C$55))))</f>
        <v>5.9833761454715223E-2</v>
      </c>
      <c r="R20" s="3">
        <f>IF((B20&gt;B19), (EXP(-LN(2)/inputs!$C$51)*R19+$R$3), (EXP(-LN(2)/inputs!$C$51)*R19))</f>
        <v>1.3902040118522989E-7</v>
      </c>
      <c r="T20" s="7">
        <f>IF(T19&lt;(inputs!$C$9-1),(1+T19),0)</f>
        <v>0</v>
      </c>
      <c r="U20" s="7">
        <f>IF(inputs!$C$8&gt;U19,IF(T19=(inputs!$C$9-1),(U19+1),U19), U19)</f>
        <v>1</v>
      </c>
      <c r="V20" s="7">
        <f t="shared" si="0"/>
        <v>17</v>
      </c>
      <c r="W20" s="8">
        <f>IF((U20&gt;U19), (EXP(-LN(2)/inputs!$C$51)*W19+$W$3), (EXP(-LN(2)/inputs!$C$51)*W19))</f>
        <v>4.6006693264615377</v>
      </c>
      <c r="X20" s="8">
        <f>IF((U20&gt;U19), (EXP(-LN(2)/inputs!$C$51)*X19+$X$3), (EXP(-LN(2)/inputs!$C$51)*X19))</f>
        <v>1.9485187735601803</v>
      </c>
      <c r="Y20" s="8">
        <f>IF((U20&gt;U19), (EXP(-LN(2)/inputs!$C$51)*Y19+$Y$3), (EXP(-LN(2)/inputs!$C$51)*Y19))</f>
        <v>2.4356484669502256</v>
      </c>
      <c r="Z20" s="8">
        <f>IF((U20&gt;U19), (EXP(-LN(2)/inputs!$C$51)*Z19+$Z$3), (EXP(-LN(2)/inputs!$C$51)*Z19))</f>
        <v>0.37887865041447949</v>
      </c>
      <c r="AA20" s="8">
        <f>IF((U20&gt;U19), (EXP(-LN(2)/inputs!$C$51)*AA19+$AA$3), (EXP(-LN(2)/inputs!$C$51)*AA19))</f>
        <v>3.5181588967058808</v>
      </c>
      <c r="AB20" s="7">
        <f>(((0.621*15^0.564)/0.2))*W20/15+AB19*inputs!$C$53</f>
        <v>4.9506175958933252</v>
      </c>
      <c r="AC20" s="7">
        <f>(((0.621*1000^0.564)/0.2))*W20/1000+AC19*inputs!$C$53</f>
        <v>0.79329582754136196</v>
      </c>
      <c r="AD20" s="7">
        <f>(((0.648*20^0.651)/0.2))*AA20/20+AD19*inputs!$C$54</f>
        <v>5.2993399669251646</v>
      </c>
      <c r="AE20" s="7">
        <f>(((0.013*2^0.773)/0.2))*AA20/2+AE19*inputs!$C$54</f>
        <v>0.25841385059226996</v>
      </c>
    </row>
    <row r="21" spans="1:31" x14ac:dyDescent="0.3">
      <c r="A21" s="7">
        <f>IF(A20&lt;(inputs!$C$9-1),(1+A20),0)</f>
        <v>0</v>
      </c>
      <c r="B21" s="7">
        <f>IF(inputs!$C$8&gt;B20,IF(A20=(inputs!$C$9-1),(B20+1),B20), B20)</f>
        <v>1</v>
      </c>
      <c r="C21" s="7">
        <f t="shared" si="1"/>
        <v>18</v>
      </c>
      <c r="D21" s="8">
        <f>IF((B21&gt;B20), (EXP(-LN(2)/inputs!$C$51)*D20+$D$3), (EXP(-LN(2)/inputs!$C$51)*D20))</f>
        <v>11.397647547413635</v>
      </c>
      <c r="E21" s="8">
        <f>IF((B21&gt;B20), (EXP(-LN(2)/inputs!$C$51)*E20+$E$3), (EXP(-LN(2)/inputs!$C$51)*E20))</f>
        <v>5.2239217925645827</v>
      </c>
      <c r="F21" s="8">
        <f>IF((B21&gt;B20), (EXP(-LN(2)/inputs!$C$51)*F20+$F$3), (EXP(-LN(2)/inputs!$C$51)*F20))</f>
        <v>6.4111767454201702</v>
      </c>
      <c r="G21" s="8">
        <f>IF((B21&gt;B20), (EXP(-LN(2)/inputs!$C$51)*G20+$G$3), (EXP(-LN(2)/inputs!$C$51)*G20))</f>
        <v>0.71235297171335221</v>
      </c>
      <c r="H21" s="8">
        <f>IF((B21&gt;B20), (EXP(-LN(2)/inputs!$C$51)*H20+$H$3), (EXP(-LN(2)/inputs!$C$51)*H20))</f>
        <v>4.4640786227370066</v>
      </c>
      <c r="I21" s="7">
        <f>O21*(10^inputs!$C$55)*0.01/1</f>
        <v>6.56641211430592</v>
      </c>
      <c r="J21" s="7">
        <f>(((0.621*15^0.564)/0.2))*D21/15+J20*inputs!$C$53</f>
        <v>12.264605538041179</v>
      </c>
      <c r="K21" s="7">
        <f>(((0.621*1000^0.564)/0.2))*D21/1000+K20*inputs!$C$53</f>
        <v>1.9653023509308425</v>
      </c>
      <c r="L21" s="7">
        <f>(((0.648*20^0.651)/0.2))*H21/20+L20*inputs!$C$54</f>
        <v>6.7241619709909957</v>
      </c>
      <c r="M21" s="7">
        <f>(((0.013*2^0.773)/0.2))*H21/2+M20*inputs!$C$54</f>
        <v>0.32789302022042333</v>
      </c>
      <c r="N21" s="7">
        <f>O21*0.015*inputs!$C$56</f>
        <v>0.96473463431610218</v>
      </c>
      <c r="O21" s="7">
        <f>IF((B21&gt;B20), (EXP(-LN(2)/inputs!$C$52)*O20+$O$3), (EXP(-LN(2)/inputs!$C$52)*O20))</f>
        <v>0.10407061858857629</v>
      </c>
      <c r="P21" s="3">
        <f>IF((B21&gt;B20), (EXP(-LN(2)/inputs!$C$52)*P20+$P$3), (EXP(-LN(2)/inputs!$C$52)*P20))</f>
        <v>0.10056395091411238</v>
      </c>
      <c r="Q21" s="19">
        <f>IF((F21*0.62*1/(0.012*(10^inputs!$C$55)))&gt;inputs!$C$57, inputs!$C$57, (F21*0.62*1/(0.012*(10^inputs!$C$55))))</f>
        <v>5.2498656960653978E-2</v>
      </c>
      <c r="R21" s="3">
        <f>IF((B21&gt;B20), (EXP(-LN(2)/inputs!$C$51)*R20+$R$3), (EXP(-LN(2)/inputs!$C$51)*R20))</f>
        <v>1.2197769578433757E-7</v>
      </c>
      <c r="T21" s="7">
        <f>IF(T20&lt;(inputs!$C$9-1),(1+T20),0)</f>
        <v>0</v>
      </c>
      <c r="U21" s="7">
        <f>IF(inputs!$C$8&gt;U20,IF(T20=(inputs!$C$9-1),(U20+1),U20), U20)</f>
        <v>1</v>
      </c>
      <c r="V21" s="7">
        <f t="shared" si="0"/>
        <v>18</v>
      </c>
      <c r="W21" s="8">
        <f>IF((U21&gt;U20), (EXP(-LN(2)/inputs!$C$51)*W20+$W$3), (EXP(-LN(2)/inputs!$C$51)*W20))</f>
        <v>4.036666839708996</v>
      </c>
      <c r="X21" s="8">
        <f>IF((U21&gt;U20), (EXP(-LN(2)/inputs!$C$51)*X20+$X$3), (EXP(-LN(2)/inputs!$C$51)*X20))</f>
        <v>1.7096471321120452</v>
      </c>
      <c r="Y21" s="8">
        <f>IF((U21&gt;U20), (EXP(-LN(2)/inputs!$C$51)*Y20+$Y$3), (EXP(-LN(2)/inputs!$C$51)*Y20))</f>
        <v>2.1370589151400567</v>
      </c>
      <c r="Z21" s="8">
        <f>IF((U21&gt;U20), (EXP(-LN(2)/inputs!$C$51)*Z20+$Z$3), (EXP(-LN(2)/inputs!$C$51)*Z20))</f>
        <v>0.3324313867995643</v>
      </c>
      <c r="AA21" s="8">
        <f>IF((U21&gt;U20), (EXP(-LN(2)/inputs!$C$51)*AA20+$AA$3), (EXP(-LN(2)/inputs!$C$51)*AA20))</f>
        <v>3.0868628774245255</v>
      </c>
      <c r="AB21" s="7">
        <f>(((0.621*15^0.564)/0.2))*W21/15+AB20*inputs!$C$53</f>
        <v>4.3437144613895846</v>
      </c>
      <c r="AC21" s="7">
        <f>(((0.621*1000^0.564)/0.2))*W21/1000+AC20*inputs!$C$53</f>
        <v>0.69604458262133995</v>
      </c>
      <c r="AD21" s="7">
        <f>(((0.648*20^0.651)/0.2))*AA21/20+AD20*inputs!$C$54</f>
        <v>4.6496864693022841</v>
      </c>
      <c r="AE21" s="7">
        <f>(((0.013*2^0.773)/0.2))*AA21/2+AE20*inputs!$C$54</f>
        <v>0.22673453525880335</v>
      </c>
    </row>
    <row r="22" spans="1:31" x14ac:dyDescent="0.3">
      <c r="A22" s="7">
        <f>IF(A21&lt;(inputs!$C$9-1),(1+A21),0)</f>
        <v>0</v>
      </c>
      <c r="B22" s="7">
        <f>IF(inputs!$C$8&gt;B21,IF(A21=(inputs!$C$9-1),(B21+1),B21), B21)</f>
        <v>1</v>
      </c>
      <c r="C22" s="7">
        <f t="shared" si="1"/>
        <v>19</v>
      </c>
      <c r="D22" s="8">
        <f>IF((B22&gt;B21), (EXP(-LN(2)/inputs!$C$51)*D21+$D$3), (EXP(-LN(2)/inputs!$C$51)*D21))</f>
        <v>10.000393995001856</v>
      </c>
      <c r="E22" s="8">
        <f>IF((B22&gt;B21), (EXP(-LN(2)/inputs!$C$51)*E21+$E$3), (EXP(-LN(2)/inputs!$C$51)*E21))</f>
        <v>4.5835139143758497</v>
      </c>
      <c r="F22" s="8">
        <f>IF((B22&gt;B21), (EXP(-LN(2)/inputs!$C$51)*F21+$F$3), (EXP(-LN(2)/inputs!$C$51)*F21))</f>
        <v>5.625221622188544</v>
      </c>
      <c r="G22" s="8">
        <f>IF((B22&gt;B21), (EXP(-LN(2)/inputs!$C$51)*G21+$G$3), (EXP(-LN(2)/inputs!$C$51)*G21))</f>
        <v>0.62502462468761599</v>
      </c>
      <c r="H22" s="8">
        <f>IF((B22&gt;B21), (EXP(-LN(2)/inputs!$C$51)*H21+$H$3), (EXP(-LN(2)/inputs!$C$51)*H21))</f>
        <v>3.916820981375726</v>
      </c>
      <c r="I22" s="7">
        <f>O22*(10^inputs!$C$55)*0.01/1</f>
        <v>6.433900089812056</v>
      </c>
      <c r="J22" s="7">
        <f>(((0.621*15^0.564)/0.2))*D22/15+J21*inputs!$C$53</f>
        <v>10.76107039312034</v>
      </c>
      <c r="K22" s="7">
        <f>(((0.621*1000^0.564)/0.2))*D22/1000+K21*inputs!$C$53</f>
        <v>1.7243731872610575</v>
      </c>
      <c r="L22" s="7">
        <f>(((0.648*20^0.651)/0.2))*H22/20+L21*inputs!$C$54</f>
        <v>5.8998375512579351</v>
      </c>
      <c r="M22" s="7">
        <f>(((0.013*2^0.773)/0.2))*H22/2+M21*inputs!$C$54</f>
        <v>0.28769615631473633</v>
      </c>
      <c r="N22" s="7">
        <f>O22*0.015*inputs!$C$56</f>
        <v>0.9452660208225846</v>
      </c>
      <c r="O22" s="7">
        <f>IF((B22&gt;B21), (EXP(-LN(2)/inputs!$C$52)*O21+$O$3), (EXP(-LN(2)/inputs!$C$52)*O21))</f>
        <v>0.10197044453318065</v>
      </c>
      <c r="P22" s="3">
        <f>IF((B22&gt;B21), (EXP(-LN(2)/inputs!$C$52)*P21+$P$3), (EXP(-LN(2)/inputs!$C$52)*P21))</f>
        <v>9.8534542388610619E-2</v>
      </c>
      <c r="Q22" s="19">
        <f>IF((F22*0.62*1/(0.012*(10^inputs!$C$55)))&gt;inputs!$C$57, inputs!$C$57, (F22*0.62*1/(0.012*(10^inputs!$C$55))))</f>
        <v>4.6062773184640325E-2</v>
      </c>
      <c r="R22" s="3">
        <f>IF((B22&gt;B21), (EXP(-LN(2)/inputs!$C$51)*R21+$R$3), (EXP(-LN(2)/inputs!$C$51)*R21))</f>
        <v>1.0702427947271069E-7</v>
      </c>
      <c r="T22" s="7">
        <f>IF(T21&lt;(inputs!$C$9-1),(1+T21),0)</f>
        <v>0</v>
      </c>
      <c r="U22" s="7">
        <f>IF(inputs!$C$8&gt;U21,IF(T21=(inputs!$C$9-1),(U21+1),U21), U21)</f>
        <v>1</v>
      </c>
      <c r="V22" s="7">
        <f t="shared" si="0"/>
        <v>19</v>
      </c>
      <c r="W22" s="8">
        <f>IF((U22&gt;U21), (EXP(-LN(2)/inputs!$C$51)*W21+$W$3), (EXP(-LN(2)/inputs!$C$51)*W21))</f>
        <v>3.541806206563157</v>
      </c>
      <c r="X22" s="8">
        <f>IF((U22&gt;U21), (EXP(-LN(2)/inputs!$C$51)*X21+$X$3), (EXP(-LN(2)/inputs!$C$51)*X21))</f>
        <v>1.5000590992502782</v>
      </c>
      <c r="Y22" s="8">
        <f>IF((U22&gt;U21), (EXP(-LN(2)/inputs!$C$51)*Y21+$Y$3), (EXP(-LN(2)/inputs!$C$51)*Y21))</f>
        <v>1.8750738740628479</v>
      </c>
      <c r="Z22" s="8">
        <f>IF((U22&gt;U21), (EXP(-LN(2)/inputs!$C$51)*Z21+$Z$3), (EXP(-LN(2)/inputs!$C$51)*Z21))</f>
        <v>0.29167815818755405</v>
      </c>
      <c r="AA22" s="8">
        <f>IF((U22&gt;U21), (EXP(-LN(2)/inputs!$C$51)*AA21+$AA$3), (EXP(-LN(2)/inputs!$C$51)*AA21))</f>
        <v>2.7084400403130018</v>
      </c>
      <c r="AB22" s="7">
        <f>(((0.621*15^0.564)/0.2))*W22/15+AB21*inputs!$C$53</f>
        <v>3.8112124308967861</v>
      </c>
      <c r="AC22" s="7">
        <f>(((0.621*1000^0.564)/0.2))*W22/1000+AC21*inputs!$C$53</f>
        <v>0.61071550382162443</v>
      </c>
      <c r="AD22" s="7">
        <f>(((0.648*20^0.651)/0.2))*AA22/20+AD21*inputs!$C$54</f>
        <v>4.0796749024655927</v>
      </c>
      <c r="AE22" s="7">
        <f>(((0.013*2^0.773)/0.2))*AA22/2+AE21*inputs!$C$54</f>
        <v>0.19893883149423253</v>
      </c>
    </row>
    <row r="23" spans="1:31" x14ac:dyDescent="0.3">
      <c r="A23" s="7">
        <f>IF(A22&lt;(inputs!$C$9-1),(1+A22),0)</f>
        <v>0</v>
      </c>
      <c r="B23" s="7">
        <f>IF(inputs!$C$8&gt;B22,IF(A22=(inputs!$C$9-1),(B22+1),B22), B22)</f>
        <v>1</v>
      </c>
      <c r="C23" s="7">
        <f t="shared" si="1"/>
        <v>20</v>
      </c>
      <c r="D23" s="8">
        <f>IF((B23&gt;B22), (EXP(-LN(2)/inputs!$C$51)*D22+$D$3), (EXP(-LN(2)/inputs!$C$51)*D22))</f>
        <v>8.7744317096349462</v>
      </c>
      <c r="E23" s="8">
        <f>IF((B23&gt;B22), (EXP(-LN(2)/inputs!$C$51)*E22+$E$3), (EXP(-LN(2)/inputs!$C$51)*E22))</f>
        <v>4.0216145335826825</v>
      </c>
      <c r="F23" s="8">
        <f>IF((B23&gt;B22), (EXP(-LN(2)/inputs!$C$51)*F22+$F$3), (EXP(-LN(2)/inputs!$C$51)*F22))</f>
        <v>4.9356178366696568</v>
      </c>
      <c r="G23" s="8">
        <f>IF((B23&gt;B22), (EXP(-LN(2)/inputs!$C$51)*G22+$G$3), (EXP(-LN(2)/inputs!$C$51)*G22))</f>
        <v>0.54840198185218414</v>
      </c>
      <c r="H23" s="8">
        <f>IF((B23&gt;B22), (EXP(-LN(2)/inputs!$C$51)*H22+$H$3), (EXP(-LN(2)/inputs!$C$51)*H22))</f>
        <v>3.4366524196070198</v>
      </c>
      <c r="I23" s="7">
        <f>O23*(10^inputs!$C$55)*0.01/1</f>
        <v>6.3040621948625759</v>
      </c>
      <c r="J23" s="7">
        <f>(((0.621*15^0.564)/0.2))*D23/15+J22*inputs!$C$53</f>
        <v>9.4418557243045278</v>
      </c>
      <c r="K23" s="7">
        <f>(((0.621*1000^0.564)/0.2))*D23/1000+K22*inputs!$C$53</f>
        <v>1.5129798667042311</v>
      </c>
      <c r="L23" s="7">
        <f>(((0.648*20^0.651)/0.2))*H23/20+L22*inputs!$C$54</f>
        <v>5.1765682149470891</v>
      </c>
      <c r="M23" s="7">
        <f>(((0.013*2^0.773)/0.2))*H23/2+M22*inputs!$C$54</f>
        <v>0.25242708217004656</v>
      </c>
      <c r="N23" s="7">
        <f>O23*0.015*inputs!$C$56</f>
        <v>0.92619028936924441</v>
      </c>
      <c r="O23" s="7">
        <f>IF((B23&gt;B22), (EXP(-LN(2)/inputs!$C$52)*O22+$O$3), (EXP(-LN(2)/inputs!$C$52)*O22))</f>
        <v>9.9912652574891528E-2</v>
      </c>
      <c r="P23" s="3">
        <f>IF((B23&gt;B22), (EXP(-LN(2)/inputs!$C$52)*P22+$P$3), (EXP(-LN(2)/inputs!$C$52)*P22))</f>
        <v>9.6546087892121657E-2</v>
      </c>
      <c r="Q23" s="19">
        <f>IF((F23*0.62*1/(0.012*(10^inputs!$C$55)))&gt;inputs!$C$57, inputs!$C$57, (F23*0.62*1/(0.012*(10^inputs!$C$55))))</f>
        <v>4.0415873401291456E-2</v>
      </c>
      <c r="R23" s="3">
        <f>IF((B23&gt;B22), (EXP(-LN(2)/inputs!$C$51)*R22+$R$3), (EXP(-LN(2)/inputs!$C$51)*R22))</f>
        <v>9.3904023379031967E-8</v>
      </c>
      <c r="T23" s="7">
        <f>IF(T22&lt;(inputs!$C$9-1),(1+T22),0)</f>
        <v>0</v>
      </c>
      <c r="U23" s="7">
        <f>IF(inputs!$C$8&gt;U22,IF(T22=(inputs!$C$9-1),(U22+1),U22), U22)</f>
        <v>1</v>
      </c>
      <c r="V23" s="7">
        <f t="shared" si="0"/>
        <v>20</v>
      </c>
      <c r="W23" s="8">
        <f>IF((U23&gt;U22), (EXP(-LN(2)/inputs!$C$51)*W22+$W$3), (EXP(-LN(2)/inputs!$C$51)*W22))</f>
        <v>3.1076112304957095</v>
      </c>
      <c r="X23" s="8">
        <f>IF((U23&gt;U22), (EXP(-LN(2)/inputs!$C$51)*X22+$X$3), (EXP(-LN(2)/inputs!$C$51)*X22))</f>
        <v>1.3161647564452417</v>
      </c>
      <c r="Y23" s="8">
        <f>IF((U23&gt;U22), (EXP(-LN(2)/inputs!$C$51)*Y22+$Y$3), (EXP(-LN(2)/inputs!$C$51)*Y22))</f>
        <v>1.6452059455565522</v>
      </c>
      <c r="Z23" s="8">
        <f>IF((U23&gt;U22), (EXP(-LN(2)/inputs!$C$51)*Z22+$Z$3), (EXP(-LN(2)/inputs!$C$51)*Z22))</f>
        <v>0.25592092486435253</v>
      </c>
      <c r="AA23" s="8">
        <f>IF((U23&gt;U22), (EXP(-LN(2)/inputs!$C$51)*AA22+$AA$3), (EXP(-LN(2)/inputs!$C$51)*AA22))</f>
        <v>2.3764085880261305</v>
      </c>
      <c r="AB23" s="7">
        <f>(((0.621*15^0.564)/0.2))*W23/15+AB22*inputs!$C$53</f>
        <v>3.3439905690245197</v>
      </c>
      <c r="AC23" s="7">
        <f>(((0.621*1000^0.564)/0.2))*W23/1000+AC22*inputs!$C$53</f>
        <v>0.53584703612441498</v>
      </c>
      <c r="AD23" s="7">
        <f>(((0.648*20^0.651)/0.2))*AA23/20+AD22*inputs!$C$54</f>
        <v>3.5795418507612844</v>
      </c>
      <c r="AE23" s="7">
        <f>(((0.013*2^0.773)/0.2))*AA23/2+AE22*inputs!$C$54</f>
        <v>0.17455064192609601</v>
      </c>
    </row>
    <row r="24" spans="1:31" x14ac:dyDescent="0.3">
      <c r="A24" s="7">
        <f>IF(A23&lt;(inputs!$C$9-1),(1+A23),0)</f>
        <v>0</v>
      </c>
      <c r="B24" s="7">
        <f>IF(inputs!$C$8&gt;B23,IF(A23=(inputs!$C$9-1),(B23+1),B23), B23)</f>
        <v>1</v>
      </c>
      <c r="C24" s="7">
        <f t="shared" si="1"/>
        <v>21</v>
      </c>
      <c r="D24" s="8">
        <f>IF((B24&gt;B23), (EXP(-LN(2)/inputs!$C$51)*D23+$D$3), (EXP(-LN(2)/inputs!$C$51)*D23))</f>
        <v>7.6987618553355759</v>
      </c>
      <c r="E24" s="8">
        <f>IF((B24&gt;B23), (EXP(-LN(2)/inputs!$C$51)*E23+$E$3), (EXP(-LN(2)/inputs!$C$51)*E23))</f>
        <v>3.5285991836954715</v>
      </c>
      <c r="F24" s="8">
        <f>IF((B24&gt;B23), (EXP(-LN(2)/inputs!$C$51)*F23+$F$3), (EXP(-LN(2)/inputs!$C$51)*F23))</f>
        <v>4.3305535436262614</v>
      </c>
      <c r="G24" s="8">
        <f>IF((B24&gt;B23), (EXP(-LN(2)/inputs!$C$51)*G23+$G$3), (EXP(-LN(2)/inputs!$C$51)*G23))</f>
        <v>0.48117261595847349</v>
      </c>
      <c r="H24" s="8">
        <f>IF((B24&gt;B23), (EXP(-LN(2)/inputs!$C$51)*H23+$H$3), (EXP(-LN(2)/inputs!$C$51)*H23))</f>
        <v>3.0153483933397665</v>
      </c>
      <c r="I24" s="7">
        <f>O24*(10^inputs!$C$55)*0.01/1</f>
        <v>6.1768444647788217</v>
      </c>
      <c r="J24" s="7">
        <f>(((0.621*15^0.564)/0.2))*D24/15+J23*inputs!$C$53</f>
        <v>8.2843654266564215</v>
      </c>
      <c r="K24" s="7">
        <f>(((0.621*1000^0.564)/0.2))*D24/1000+K23*inputs!$C$53</f>
        <v>1.3275015489473616</v>
      </c>
      <c r="L24" s="7">
        <f>(((0.648*20^0.651)/0.2))*H24/20+L23*inputs!$C$54</f>
        <v>4.5419654780627789</v>
      </c>
      <c r="M24" s="7">
        <f>(((0.013*2^0.773)/0.2))*H24/2+M23*inputs!$C$54</f>
        <v>0.22148169314836061</v>
      </c>
      <c r="N24" s="7">
        <f>O24*0.015*inputs!$C$56</f>
        <v>0.90749951148713626</v>
      </c>
      <c r="O24" s="7">
        <f>IF((B24&gt;B23), (EXP(-LN(2)/inputs!$C$52)*O23+$O$3), (EXP(-LN(2)/inputs!$C$52)*O23))</f>
        <v>9.7896387431190543E-2</v>
      </c>
      <c r="P24" s="3">
        <f>IF((B24&gt;B23), (EXP(-LN(2)/inputs!$C$52)*P23+$P$3), (EXP(-LN(2)/inputs!$C$52)*P23))</f>
        <v>9.4597760960938818E-2</v>
      </c>
      <c r="Q24" s="19">
        <f>IF((F24*0.62*1/(0.012*(10^inputs!$C$55)))&gt;inputs!$C$57, inputs!$C$57, (F24*0.62*1/(0.012*(10^inputs!$C$55))))</f>
        <v>3.5461234959554964E-2</v>
      </c>
      <c r="R24" s="3">
        <f>IF((B24&gt;B23), (EXP(-LN(2)/inputs!$C$51)*R23+$R$3), (EXP(-LN(2)/inputs!$C$51)*R23))</f>
        <v>8.2392197828514306E-8</v>
      </c>
      <c r="T24" s="7">
        <f>IF(T23&lt;(inputs!$C$9-1),(1+T23),0)</f>
        <v>0</v>
      </c>
      <c r="U24" s="7">
        <f>IF(inputs!$C$8&gt;U23,IF(T23=(inputs!$C$9-1),(U23+1),U23), U23)</f>
        <v>1</v>
      </c>
      <c r="V24" s="7">
        <f t="shared" si="0"/>
        <v>21</v>
      </c>
      <c r="W24" s="8">
        <f>IF((U24&gt;U23), (EXP(-LN(2)/inputs!$C$51)*W23+$W$3), (EXP(-LN(2)/inputs!$C$51)*W23))</f>
        <v>2.7266448237646825</v>
      </c>
      <c r="X24" s="8">
        <f>IF((U24&gt;U23), (EXP(-LN(2)/inputs!$C$51)*X23+$X$3), (EXP(-LN(2)/inputs!$C$51)*X23))</f>
        <v>1.1548142783003361</v>
      </c>
      <c r="Y24" s="8">
        <f>IF((U24&gt;U23), (EXP(-LN(2)/inputs!$C$51)*Y23+$Y$3), (EXP(-LN(2)/inputs!$C$51)*Y23))</f>
        <v>1.4435178478754203</v>
      </c>
      <c r="Z24" s="8">
        <f>IF((U24&gt;U23), (EXP(-LN(2)/inputs!$C$51)*Z23+$Z$3), (EXP(-LN(2)/inputs!$C$51)*Z23))</f>
        <v>0.22454722078062089</v>
      </c>
      <c r="AA24" s="8">
        <f>IF((U24&gt;U23), (EXP(-LN(2)/inputs!$C$51)*AA23+$AA$3), (EXP(-LN(2)/inputs!$C$51)*AA23))</f>
        <v>2.0850813358200511</v>
      </c>
      <c r="AB24" s="7">
        <f>(((0.621*15^0.564)/0.2))*W24/15+AB23*inputs!$C$53</f>
        <v>2.9340460886074822</v>
      </c>
      <c r="AC24" s="7">
        <f>(((0.621*1000^0.564)/0.2))*W24/1000+AC23*inputs!$C$53</f>
        <v>0.47015679858552384</v>
      </c>
      <c r="AD24" s="7">
        <f>(((0.648*20^0.651)/0.2))*AA24/20+AD23*inputs!$C$54</f>
        <v>3.1407208092987302</v>
      </c>
      <c r="AE24" s="7">
        <f>(((0.013*2^0.773)/0.2))*AA24/2+AE23*inputs!$C$54</f>
        <v>0.15315223462386637</v>
      </c>
    </row>
    <row r="25" spans="1:31" x14ac:dyDescent="0.3">
      <c r="A25" s="7">
        <f>IF(A24&lt;(inputs!$C$9-1),(1+A24),0)</f>
        <v>0</v>
      </c>
      <c r="B25" s="7">
        <f>IF(inputs!$C$8&gt;B24,IF(A24=(inputs!$C$9-1),(B24+1),B24), B24)</f>
        <v>1</v>
      </c>
      <c r="C25" s="7">
        <f t="shared" si="1"/>
        <v>22</v>
      </c>
      <c r="D25" s="8">
        <f>IF((B25&gt;B24), (EXP(-LN(2)/inputs!$C$51)*D24+$D$3), (EXP(-LN(2)/inputs!$C$51)*D24))</f>
        <v>6.7549598727956823</v>
      </c>
      <c r="E25" s="8">
        <f>IF((B25&gt;B24), (EXP(-LN(2)/inputs!$C$51)*E24+$E$3), (EXP(-LN(2)/inputs!$C$51)*E24))</f>
        <v>3.0960232750313539</v>
      </c>
      <c r="F25" s="8">
        <f>IF((B25&gt;B24), (EXP(-LN(2)/inputs!$C$51)*F24+$F$3), (EXP(-LN(2)/inputs!$C$51)*F24))</f>
        <v>3.7996649284475716</v>
      </c>
      <c r="G25" s="8">
        <f>IF((B25&gt;B24), (EXP(-LN(2)/inputs!$C$51)*G24+$G$3), (EXP(-LN(2)/inputs!$C$51)*G24))</f>
        <v>0.42218499204973015</v>
      </c>
      <c r="H25" s="8">
        <f>IF((B25&gt;B24), (EXP(-LN(2)/inputs!$C$51)*H24+$H$3), (EXP(-LN(2)/inputs!$C$51)*H24))</f>
        <v>2.645692616844975</v>
      </c>
      <c r="I25" s="7">
        <f>O25*(10^inputs!$C$55)*0.01/1</f>
        <v>6.0521940239043719</v>
      </c>
      <c r="J25" s="7">
        <f>(((0.621*15^0.564)/0.2))*D25/15+J24*inputs!$C$53</f>
        <v>7.2687734833435487</v>
      </c>
      <c r="K25" s="7">
        <f>(((0.621*1000^0.564)/0.2))*D25/1000+K24*inputs!$C$53</f>
        <v>1.1647612775551524</v>
      </c>
      <c r="L25" s="7">
        <f>(((0.648*20^0.651)/0.2))*H25/20+L24*inputs!$C$54</f>
        <v>3.9851595781826887</v>
      </c>
      <c r="M25" s="7">
        <f>(((0.013*2^0.773)/0.2))*H25/2+M24*inputs!$C$54</f>
        <v>0.19432994264385484</v>
      </c>
      <c r="N25" s="7">
        <f>O25*0.015*inputs!$C$56</f>
        <v>0.88918591870602526</v>
      </c>
      <c r="O25" s="7">
        <f>IF((B25&gt;B24), (EXP(-LN(2)/inputs!$C$52)*O24+$O$3), (EXP(-LN(2)/inputs!$C$52)*O24))</f>
        <v>9.5920811079398635E-2</v>
      </c>
      <c r="P25" s="3">
        <f>IF((B25&gt;B24), (EXP(-LN(2)/inputs!$C$52)*P24+$P$3), (EXP(-LN(2)/inputs!$C$52)*P24))</f>
        <v>9.2688751809623077E-2</v>
      </c>
      <c r="Q25" s="19">
        <f>IF((F25*0.62*1/(0.012*(10^inputs!$C$55)))&gt;inputs!$C$57, inputs!$C$57, (F25*0.62*1/(0.012*(10^inputs!$C$55))))</f>
        <v>3.111399257343727E-2</v>
      </c>
      <c r="R25" s="3">
        <f>IF((B25&gt;B24), (EXP(-LN(2)/inputs!$C$51)*R24+$R$3), (EXP(-LN(2)/inputs!$C$51)*R24))</f>
        <v>7.2291623071486529E-8</v>
      </c>
      <c r="T25" s="7">
        <f>IF(T24&lt;(inputs!$C$9-1),(1+T24),0)</f>
        <v>0</v>
      </c>
      <c r="U25" s="7">
        <f>IF(inputs!$C$8&gt;U24,IF(T24=(inputs!$C$9-1),(U24+1),U24), U24)</f>
        <v>1</v>
      </c>
      <c r="V25" s="7">
        <f t="shared" si="0"/>
        <v>22</v>
      </c>
      <c r="W25" s="8">
        <f>IF((U25&gt;U24), (EXP(-LN(2)/inputs!$C$51)*W24+$W$3), (EXP(-LN(2)/inputs!$C$51)*W24))</f>
        <v>2.392381621615137</v>
      </c>
      <c r="X25" s="8">
        <f>IF((U25&gt;U24), (EXP(-LN(2)/inputs!$C$51)*X24+$X$3), (EXP(-LN(2)/inputs!$C$51)*X24))</f>
        <v>1.0132439809193521</v>
      </c>
      <c r="Y25" s="8">
        <f>IF((U25&gt;U24), (EXP(-LN(2)/inputs!$C$51)*Y24+$Y$3), (EXP(-LN(2)/inputs!$C$51)*Y24))</f>
        <v>1.2665549761491903</v>
      </c>
      <c r="Z25" s="8">
        <f>IF((U25&gt;U24), (EXP(-LN(2)/inputs!$C$51)*Z24+$Z$3), (EXP(-LN(2)/inputs!$C$51)*Z24))</f>
        <v>0.19701966295654069</v>
      </c>
      <c r="AA25" s="8">
        <f>IF((U25&gt;U24), (EXP(-LN(2)/inputs!$C$51)*AA24+$AA$3), (EXP(-LN(2)/inputs!$C$51)*AA24))</f>
        <v>1.8294682988821633</v>
      </c>
      <c r="AB25" s="7">
        <f>(((0.621*15^0.564)/0.2))*W25/15+AB24*inputs!$C$53</f>
        <v>2.5743572753508395</v>
      </c>
      <c r="AC25" s="7">
        <f>(((0.621*1000^0.564)/0.2))*W25/1000+AC24*inputs!$C$53</f>
        <v>0.41251961913411644</v>
      </c>
      <c r="AD25" s="7">
        <f>(((0.648*20^0.651)/0.2))*AA25/20+AD24*inputs!$C$54</f>
        <v>2.7556954529986672</v>
      </c>
      <c r="AE25" s="7">
        <f>(((0.013*2^0.773)/0.2))*AA25/2+AE24*inputs!$C$54</f>
        <v>0.13437708799841025</v>
      </c>
    </row>
    <row r="26" spans="1:31" x14ac:dyDescent="0.3">
      <c r="A26" s="7">
        <f>IF(A25&lt;(inputs!$C$9-1),(1+A25),0)</f>
        <v>0</v>
      </c>
      <c r="B26" s="7">
        <f>IF(inputs!$C$8&gt;B25,IF(A25=(inputs!$C$9-1),(B25+1),B25), B25)</f>
        <v>1</v>
      </c>
      <c r="C26" s="7">
        <f t="shared" si="1"/>
        <v>23</v>
      </c>
      <c r="D26" s="8">
        <f>IF((B26&gt;B25), (EXP(-LN(2)/inputs!$C$51)*D25+$D$3), (EXP(-LN(2)/inputs!$C$51)*D25))</f>
        <v>5.9268598951994669</v>
      </c>
      <c r="E26" s="8">
        <f>IF((B26&gt;B25), (EXP(-LN(2)/inputs!$C$51)*E25+$E$3), (EXP(-LN(2)/inputs!$C$51)*E25))</f>
        <v>2.7164774519664219</v>
      </c>
      <c r="F26" s="8">
        <f>IF((B26&gt;B25), (EXP(-LN(2)/inputs!$C$51)*F25+$F$3), (EXP(-LN(2)/inputs!$C$51)*F25))</f>
        <v>3.3338586910497003</v>
      </c>
      <c r="G26" s="8">
        <f>IF((B26&gt;B25), (EXP(-LN(2)/inputs!$C$51)*G25+$G$3), (EXP(-LN(2)/inputs!$C$51)*G25))</f>
        <v>0.37042874344996668</v>
      </c>
      <c r="H26" s="8">
        <f>IF((B26&gt;B25), (EXP(-LN(2)/inputs!$C$51)*H25+$H$3), (EXP(-LN(2)/inputs!$C$51)*H25))</f>
        <v>2.3213534589531237</v>
      </c>
      <c r="I26" s="7">
        <f>O26*(10^inputs!$C$55)*0.01/1</f>
        <v>5.930059063628276</v>
      </c>
      <c r="J26" s="7">
        <f>(((0.621*15^0.564)/0.2))*D26/15+J25*inputs!$C$53</f>
        <v>6.3776843766635478</v>
      </c>
      <c r="K26" s="7">
        <f>(((0.621*1000^0.564)/0.2))*D26/1000+K25*inputs!$C$53</f>
        <v>1.0219715636246733</v>
      </c>
      <c r="L26" s="7">
        <f>(((0.648*20^0.651)/0.2))*H26/20+L25*inputs!$C$54</f>
        <v>3.4966132922601245</v>
      </c>
      <c r="M26" s="7">
        <f>(((0.013*2^0.773)/0.2))*H26/2+M25*inputs!$C$54</f>
        <v>0.17050676320533048</v>
      </c>
      <c r="N26" s="7">
        <f>O26*0.015*inputs!$C$56</f>
        <v>0.8712418993255685</v>
      </c>
      <c r="O26" s="7">
        <f>IF((B26&gt;B25), (EXP(-LN(2)/inputs!$C$52)*O25+$O$3), (EXP(-LN(2)/inputs!$C$52)*O25))</f>
        <v>9.3985102408367702E-2</v>
      </c>
      <c r="P26" s="3">
        <f>IF((B26&gt;B25), (EXP(-LN(2)/inputs!$C$52)*P25+$P$3), (EXP(-LN(2)/inputs!$C$52)*P25))</f>
        <v>9.0818266994431018E-2</v>
      </c>
      <c r="Q26" s="19">
        <f>IF((F26*0.62*1/(0.012*(10^inputs!$C$55)))&gt;inputs!$C$57, inputs!$C$57, (F26*0.62*1/(0.012*(10^inputs!$C$55))))</f>
        <v>2.729968471103858E-2</v>
      </c>
      <c r="R26" s="3">
        <f>IF((B26&gt;B25), (EXP(-LN(2)/inputs!$C$51)*R25+$R$3), (EXP(-LN(2)/inputs!$C$51)*R25))</f>
        <v>6.3429291899544889E-8</v>
      </c>
      <c r="T26" s="7">
        <f>IF(T25&lt;(inputs!$C$9-1),(1+T25),0)</f>
        <v>0</v>
      </c>
      <c r="U26" s="7">
        <f>IF(inputs!$C$8&gt;U25,IF(T25=(inputs!$C$9-1),(U25+1),U25), U25)</f>
        <v>1</v>
      </c>
      <c r="V26" s="7">
        <f t="shared" si="0"/>
        <v>23</v>
      </c>
      <c r="W26" s="8">
        <f>IF((U26&gt;U25), (EXP(-LN(2)/inputs!$C$51)*W25+$W$3), (EXP(-LN(2)/inputs!$C$51)*W25))</f>
        <v>2.0990962128831439</v>
      </c>
      <c r="X26" s="8">
        <f>IF((U26&gt;U25), (EXP(-LN(2)/inputs!$C$51)*X25+$X$3), (EXP(-LN(2)/inputs!$C$51)*X25))</f>
        <v>0.88902898427991972</v>
      </c>
      <c r="Y26" s="8">
        <f>IF((U26&gt;U25), (EXP(-LN(2)/inputs!$C$51)*Y25+$Y$3), (EXP(-LN(2)/inputs!$C$51)*Y25))</f>
        <v>1.1112862303498998</v>
      </c>
      <c r="Z26" s="8">
        <f>IF((U26&gt;U25), (EXP(-LN(2)/inputs!$C$51)*Z25+$Z$3), (EXP(-LN(2)/inputs!$C$51)*Z25))</f>
        <v>0.17286674694331775</v>
      </c>
      <c r="AA26" s="8">
        <f>IF((U26&gt;U25), (EXP(-LN(2)/inputs!$C$51)*AA25+$AA$3), (EXP(-LN(2)/inputs!$C$51)*AA25))</f>
        <v>1.6051912216165216</v>
      </c>
      <c r="AB26" s="7">
        <f>(((0.621*15^0.564)/0.2))*W26/15+AB25*inputs!$C$53</f>
        <v>2.2587632167350056</v>
      </c>
      <c r="AC26" s="7">
        <f>(((0.621*1000^0.564)/0.2))*W26/1000+AC25*inputs!$C$53</f>
        <v>0.36194826211707171</v>
      </c>
      <c r="AD26" s="7">
        <f>(((0.648*20^0.651)/0.2))*AA26/20+AD25*inputs!$C$54</f>
        <v>2.4178708935841282</v>
      </c>
      <c r="AE26" s="7">
        <f>(((0.013*2^0.773)/0.2))*AA26/2+AE25*inputs!$C$54</f>
        <v>0.11790361285474979</v>
      </c>
    </row>
    <row r="27" spans="1:31" x14ac:dyDescent="0.3">
      <c r="A27" s="7">
        <f>IF(A26&lt;(inputs!$C$9-1),(1+A26),0)</f>
        <v>0</v>
      </c>
      <c r="B27" s="7">
        <f>IF(inputs!$C$8&gt;B26,IF(A26=(inputs!$C$9-1),(B26+1),B26), B26)</f>
        <v>1</v>
      </c>
      <c r="C27" s="7">
        <f t="shared" si="1"/>
        <v>24</v>
      </c>
      <c r="D27" s="8">
        <f>IF((B27&gt;B26), (EXP(-LN(2)/inputs!$C$51)*D26+$D$3), (EXP(-LN(2)/inputs!$C$51)*D26))</f>
        <v>5.2002778519519923</v>
      </c>
      <c r="E27" s="8">
        <f>IF((B27&gt;B26), (EXP(-LN(2)/inputs!$C$51)*E26+$E$3), (EXP(-LN(2)/inputs!$C$51)*E26))</f>
        <v>2.3834606821446629</v>
      </c>
      <c r="F27" s="8">
        <f>IF((B27&gt;B26), (EXP(-LN(2)/inputs!$C$51)*F26+$F$3), (EXP(-LN(2)/inputs!$C$51)*F26))</f>
        <v>2.9251562917229958</v>
      </c>
      <c r="G27" s="8">
        <f>IF((B27&gt;B26), (EXP(-LN(2)/inputs!$C$51)*G26+$G$3), (EXP(-LN(2)/inputs!$C$51)*G26))</f>
        <v>0.32501736574699952</v>
      </c>
      <c r="H27" s="8">
        <f>IF((B27&gt;B26), (EXP(-LN(2)/inputs!$C$51)*H26+$H$3), (EXP(-LN(2)/inputs!$C$51)*H26))</f>
        <v>2.0367754920145296</v>
      </c>
      <c r="I27" s="7">
        <f>O27*(10^inputs!$C$55)*0.01/1</f>
        <v>5.8103888208517711</v>
      </c>
      <c r="J27" s="7">
        <f>(((0.621*15^0.564)/0.2))*D27/15+J26*inputs!$C$53</f>
        <v>5.5958351297567681</v>
      </c>
      <c r="K27" s="7">
        <f>(((0.621*1000^0.564)/0.2))*D27/1000+K26*inputs!$C$53</f>
        <v>0.89668664041589885</v>
      </c>
      <c r="L27" s="7">
        <f>(((0.648*20^0.651)/0.2))*H27/20+L26*inputs!$C$54</f>
        <v>3.0679585787592396</v>
      </c>
      <c r="M27" s="7">
        <f>(((0.013*2^0.773)/0.2))*H27/2+M26*inputs!$C$54</f>
        <v>0.14960410065081575</v>
      </c>
      <c r="N27" s="7">
        <f>O27*0.015*inputs!$C$56</f>
        <v>0.85365999525165515</v>
      </c>
      <c r="O27" s="7">
        <f>IF((B27&gt;B26), (EXP(-LN(2)/inputs!$C$52)*O26+$O$3), (EXP(-LN(2)/inputs!$C$52)*O26))</f>
        <v>9.20884568772012E-2</v>
      </c>
      <c r="P27" s="3">
        <f>IF((B27&gt;B26), (EXP(-LN(2)/inputs!$C$52)*P26+$P$3), (EXP(-LN(2)/inputs!$C$52)*P26))</f>
        <v>8.8985529083534853E-2</v>
      </c>
      <c r="Q27" s="19">
        <f>IF((F27*0.62*1/(0.012*(10^inputs!$C$55)))&gt;inputs!$C$57, inputs!$C$57, (F27*0.62*1/(0.012*(10^inputs!$C$55))))</f>
        <v>2.3952978183788925E-2</v>
      </c>
      <c r="R27" s="3">
        <f>IF((B27&gt;B26), (EXP(-LN(2)/inputs!$C$51)*R26+$R$3), (EXP(-LN(2)/inputs!$C$51)*R26))</f>
        <v>5.5653406299913925E-8</v>
      </c>
      <c r="T27" s="7">
        <f>IF(T26&lt;(inputs!$C$9-1),(1+T26),0)</f>
        <v>0</v>
      </c>
      <c r="U27" s="7">
        <f>IF(inputs!$C$8&gt;U26,IF(T26=(inputs!$C$9-1),(U26+1),U26), U26)</f>
        <v>1</v>
      </c>
      <c r="V27" s="7">
        <f t="shared" si="0"/>
        <v>24</v>
      </c>
      <c r="W27" s="8">
        <f>IF((U27&gt;U26), (EXP(-LN(2)/inputs!$C$51)*W26+$W$3), (EXP(-LN(2)/inputs!$C$51)*W26))</f>
        <v>1.8417650725663299</v>
      </c>
      <c r="X27" s="8">
        <f>IF((U27&gt;U26), (EXP(-LN(2)/inputs!$C$51)*X26+$X$3), (EXP(-LN(2)/inputs!$C$51)*X26))</f>
        <v>0.78004167779279854</v>
      </c>
      <c r="Y27" s="8">
        <f>IF((U27&gt;U26), (EXP(-LN(2)/inputs!$C$51)*Y26+$Y$3), (EXP(-LN(2)/inputs!$C$51)*Y26))</f>
        <v>0.97505209724099839</v>
      </c>
      <c r="Z27" s="8">
        <f>IF((U27&gt;U26), (EXP(-LN(2)/inputs!$C$51)*Z26+$Z$3), (EXP(-LN(2)/inputs!$C$51)*Z26))</f>
        <v>0.15167477068193308</v>
      </c>
      <c r="AA27" s="8">
        <f>IF((U27&gt;U26), (EXP(-LN(2)/inputs!$C$51)*AA26+$AA$3), (EXP(-LN(2)/inputs!$C$51)*AA26))</f>
        <v>1.4084085849036641</v>
      </c>
      <c r="AB27" s="7">
        <f>(((0.621*15^0.564)/0.2))*W27/15+AB26*inputs!$C$53</f>
        <v>1.9818582751221876</v>
      </c>
      <c r="AC27" s="7">
        <f>(((0.621*1000^0.564)/0.2))*W27/1000+AC26*inputs!$C$53</f>
        <v>0.31757651848063068</v>
      </c>
      <c r="AD27" s="7">
        <f>(((0.648*20^0.651)/0.2))*AA27/20+AD26*inputs!$C$54</f>
        <v>2.121460719354793</v>
      </c>
      <c r="AE27" s="7">
        <f>(((0.013*2^0.773)/0.2))*AA27/2+AE26*inputs!$C$54</f>
        <v>0.10344964406705343</v>
      </c>
    </row>
    <row r="28" spans="1:31" x14ac:dyDescent="0.3">
      <c r="A28" s="7">
        <f>IF(A27&lt;(inputs!$C$9-1),(1+A27),0)</f>
        <v>0</v>
      </c>
      <c r="B28" s="7">
        <f>IF(inputs!$C$8&gt;B27,IF(A27=(inputs!$C$9-1),(B27+1),B27), B27)</f>
        <v>1</v>
      </c>
      <c r="C28" s="7">
        <f t="shared" si="1"/>
        <v>25</v>
      </c>
      <c r="D28" s="8">
        <f>IF((B28&gt;B27), (EXP(-LN(2)/inputs!$C$51)*D27+$D$3), (EXP(-LN(2)/inputs!$C$51)*D27))</f>
        <v>4.5627685175089336</v>
      </c>
      <c r="E28" s="8">
        <f>IF((B28&gt;B27), (EXP(-LN(2)/inputs!$C$51)*E27+$E$3), (EXP(-LN(2)/inputs!$C$51)*E27))</f>
        <v>2.091268903858261</v>
      </c>
      <c r="F28" s="8">
        <f>IF((B28&gt;B27), (EXP(-LN(2)/inputs!$C$51)*F27+$F$3), (EXP(-LN(2)/inputs!$C$51)*F27))</f>
        <v>2.5665572910987753</v>
      </c>
      <c r="G28" s="8">
        <f>IF((B28&gt;B27), (EXP(-LN(2)/inputs!$C$51)*G27+$G$3), (EXP(-LN(2)/inputs!$C$51)*G27))</f>
        <v>0.28517303234430835</v>
      </c>
      <c r="H28" s="8">
        <f>IF((B28&gt;B27), (EXP(-LN(2)/inputs!$C$51)*H27+$H$3), (EXP(-LN(2)/inputs!$C$51)*H27))</f>
        <v>1.7870843360243318</v>
      </c>
      <c r="I28" s="7">
        <f>O28*(10^inputs!$C$55)*0.01/1</f>
        <v>5.6931335568895634</v>
      </c>
      <c r="J28" s="7">
        <f>(((0.621*15^0.564)/0.2))*D28/15+J27*inputs!$C$53</f>
        <v>4.9098338754420094</v>
      </c>
      <c r="K28" s="7">
        <f>(((0.621*1000^0.564)/0.2))*D28/1000+K27*inputs!$C$53</f>
        <v>0.78676057115385989</v>
      </c>
      <c r="L28" s="7">
        <f>(((0.648*20^0.651)/0.2))*H28/20+L27*inputs!$C$54</f>
        <v>2.6918532460586961</v>
      </c>
      <c r="M28" s="7">
        <f>(((0.013*2^0.773)/0.2))*H28/2+M27*inputs!$C$54</f>
        <v>0.13126392473116683</v>
      </c>
      <c r="N28" s="7">
        <f>O28*0.015*inputs!$C$56</f>
        <v>0.83643289889658934</v>
      </c>
      <c r="O28" s="7">
        <f>IF((B28&gt;B27), (EXP(-LN(2)/inputs!$C$52)*O27+$O$3), (EXP(-LN(2)/inputs!$C$52)*O27))</f>
        <v>9.0230086180861854E-2</v>
      </c>
      <c r="P28" s="3">
        <f>IF((B28&gt;B27), (EXP(-LN(2)/inputs!$C$52)*P27+$P$3), (EXP(-LN(2)/inputs!$C$52)*P27))</f>
        <v>8.7189776333897517E-2</v>
      </c>
      <c r="Q28" s="19">
        <f>IF((F28*0.62*1/(0.012*(10^inputs!$C$55)))&gt;inputs!$C$57, inputs!$C$57, (F28*0.62*1/(0.012*(10^inputs!$C$55))))</f>
        <v>2.1016549090073385E-2</v>
      </c>
      <c r="R28" s="3">
        <f>IF((B28&gt;B27), (EXP(-LN(2)/inputs!$C$51)*R27+$R$3), (EXP(-LN(2)/inputs!$C$51)*R27))</f>
        <v>4.883077739049334E-8</v>
      </c>
      <c r="T28" s="7">
        <f>IF(T27&lt;(inputs!$C$9-1),(1+T27),0)</f>
        <v>0</v>
      </c>
      <c r="U28" s="7">
        <f>IF(inputs!$C$8&gt;U27,IF(T27=(inputs!$C$9-1),(U27+1),U27), U27)</f>
        <v>1</v>
      </c>
      <c r="V28" s="7">
        <f t="shared" si="0"/>
        <v>25</v>
      </c>
      <c r="W28" s="8">
        <f>IF((U28&gt;U27), (EXP(-LN(2)/inputs!$C$51)*W27+$W$3), (EXP(-LN(2)/inputs!$C$51)*W27))</f>
        <v>1.6159805166177468</v>
      </c>
      <c r="X28" s="8">
        <f>IF((U28&gt;U27), (EXP(-LN(2)/inputs!$C$51)*X27+$X$3), (EXP(-LN(2)/inputs!$C$51)*X27))</f>
        <v>0.6844152776263398</v>
      </c>
      <c r="Y28" s="8">
        <f>IF((U28&gt;U27), (EXP(-LN(2)/inputs!$C$51)*Y27+$Y$3), (EXP(-LN(2)/inputs!$C$51)*Y27))</f>
        <v>0.85551909703292495</v>
      </c>
      <c r="Z28" s="8">
        <f>IF((U28&gt;U27), (EXP(-LN(2)/inputs!$C$51)*Z27+$Z$3), (EXP(-LN(2)/inputs!$C$51)*Z27))</f>
        <v>0.13308074842734388</v>
      </c>
      <c r="AA28" s="8">
        <f>IF((U28&gt;U27), (EXP(-LN(2)/inputs!$C$51)*AA27+$AA$3), (EXP(-LN(2)/inputs!$C$51)*AA27))</f>
        <v>1.2357498068253359</v>
      </c>
      <c r="AB28" s="7">
        <f>(((0.621*15^0.564)/0.2))*W28/15+AB27*inputs!$C$53</f>
        <v>1.7388994975523777</v>
      </c>
      <c r="AC28" s="7">
        <f>(((0.621*1000^0.564)/0.2))*W28/1000+AC27*inputs!$C$53</f>
        <v>0.27864436895032524</v>
      </c>
      <c r="AD28" s="7">
        <f>(((0.648*20^0.651)/0.2))*AA28/20+AD27*inputs!$C$54</f>
        <v>1.8613878829129282</v>
      </c>
      <c r="AE28" s="7">
        <f>(((0.013*2^0.773)/0.2))*AA28/2+AE27*inputs!$C$54</f>
        <v>9.0767607526870658E-2</v>
      </c>
    </row>
    <row r="29" spans="1:31" x14ac:dyDescent="0.3">
      <c r="A29" s="7">
        <f>IF(A28&lt;(inputs!$C$9-1),(1+A28),0)</f>
        <v>0</v>
      </c>
      <c r="B29" s="7">
        <f>IF(inputs!$C$8&gt;B28,IF(A28=(inputs!$C$9-1),(B28+1),B28), B28)</f>
        <v>1</v>
      </c>
      <c r="C29" s="7">
        <f t="shared" si="1"/>
        <v>26</v>
      </c>
      <c r="D29" s="8">
        <f>IF((B29&gt;B28), (EXP(-LN(2)/inputs!$C$51)*D28+$D$3), (EXP(-LN(2)/inputs!$C$51)*D28))</f>
        <v>4.0034123439300542</v>
      </c>
      <c r="E29" s="8">
        <f>IF((B29&gt;B28), (EXP(-LN(2)/inputs!$C$51)*E28+$E$3), (EXP(-LN(2)/inputs!$C$51)*E28))</f>
        <v>1.8348973243012747</v>
      </c>
      <c r="F29" s="8">
        <f>IF((B29&gt;B28), (EXP(-LN(2)/inputs!$C$51)*F28+$F$3), (EXP(-LN(2)/inputs!$C$51)*F28))</f>
        <v>2.2519194434606558</v>
      </c>
      <c r="G29" s="8">
        <f>IF((B29&gt;B28), (EXP(-LN(2)/inputs!$C$51)*G28+$G$3), (EXP(-LN(2)/inputs!$C$51)*G28))</f>
        <v>0.25021327149562839</v>
      </c>
      <c r="H29" s="8">
        <f>IF((B29&gt;B28), (EXP(-LN(2)/inputs!$C$51)*H28+$H$3), (EXP(-LN(2)/inputs!$C$51)*H28))</f>
        <v>1.5680031680392708</v>
      </c>
      <c r="I29" s="7">
        <f>O29*(10^inputs!$C$55)*0.01/1</f>
        <v>5.5782445367968716</v>
      </c>
      <c r="J29" s="7">
        <f>(((0.621*15^0.564)/0.2))*D29/15+J28*inputs!$C$53</f>
        <v>4.3079304742642996</v>
      </c>
      <c r="K29" s="7">
        <f>(((0.621*1000^0.564)/0.2))*D29/1000+K28*inputs!$C$53</f>
        <v>0.69031049245391718</v>
      </c>
      <c r="L29" s="7">
        <f>(((0.648*20^0.651)/0.2))*H29/20+L28*inputs!$C$54</f>
        <v>2.3618551920760402</v>
      </c>
      <c r="M29" s="7">
        <f>(((0.013*2^0.773)/0.2))*H29/2+M28*inputs!$C$54</f>
        <v>0.11517209662618609</v>
      </c>
      <c r="N29" s="7">
        <f>O29*0.015*inputs!$C$56</f>
        <v>0.81955345014183001</v>
      </c>
      <c r="O29" s="7">
        <f>IF((B29&gt;B28), (EXP(-LN(2)/inputs!$C$52)*O28+$O$3), (EXP(-LN(2)/inputs!$C$52)*O28))</f>
        <v>8.8409217922527511E-2</v>
      </c>
      <c r="P29" s="3">
        <f>IF((B29&gt;B28), (EXP(-LN(2)/inputs!$C$52)*P28+$P$3), (EXP(-LN(2)/inputs!$C$52)*P28))</f>
        <v>8.5430262374668484E-2</v>
      </c>
      <c r="Q29" s="19">
        <f>IF((F29*0.62*1/(0.012*(10^inputs!$C$55)))&gt;inputs!$C$57, inputs!$C$57, (F29*0.62*1/(0.012*(10^inputs!$C$55))))</f>
        <v>1.8440100945543311E-2</v>
      </c>
      <c r="R29" s="3">
        <f>IF((B29&gt;B28), (EXP(-LN(2)/inputs!$C$51)*R28+$R$3), (EXP(-LN(2)/inputs!$C$51)*R28))</f>
        <v>4.2844544100503752E-8</v>
      </c>
      <c r="T29" s="7">
        <f>IF(T28&lt;(inputs!$C$9-1),(1+T28),0)</f>
        <v>0</v>
      </c>
      <c r="U29" s="7">
        <f>IF(inputs!$C$8&gt;U28,IF(T28=(inputs!$C$9-1),(U28+1),U28), U28)</f>
        <v>1</v>
      </c>
      <c r="V29" s="7">
        <f t="shared" si="0"/>
        <v>26</v>
      </c>
      <c r="W29" s="8">
        <f>IF((U29&gt;U28), (EXP(-LN(2)/inputs!$C$51)*W28+$W$3), (EXP(-LN(2)/inputs!$C$51)*W28))</f>
        <v>1.4178752051418937</v>
      </c>
      <c r="X29" s="8">
        <f>IF((U29&gt;U28), (EXP(-LN(2)/inputs!$C$51)*X28+$X$3), (EXP(-LN(2)/inputs!$C$51)*X28))</f>
        <v>0.60051185158950793</v>
      </c>
      <c r="Y29" s="8">
        <f>IF((U29&gt;U28), (EXP(-LN(2)/inputs!$C$51)*Y28+$Y$3), (EXP(-LN(2)/inputs!$C$51)*Y28))</f>
        <v>0.7506398144868851</v>
      </c>
      <c r="Z29" s="8">
        <f>IF((U29&gt;U28), (EXP(-LN(2)/inputs!$C$51)*Z28+$Z$3), (EXP(-LN(2)/inputs!$C$51)*Z28))</f>
        <v>0.11676619336462657</v>
      </c>
      <c r="AA29" s="8">
        <f>IF((U29&gt;U28), (EXP(-LN(2)/inputs!$C$51)*AA28+$AA$3), (EXP(-LN(2)/inputs!$C$51)*AA28))</f>
        <v>1.0842575098143894</v>
      </c>
      <c r="AB29" s="7">
        <f>(((0.621*15^0.564)/0.2))*W29/15+AB28*inputs!$C$53</f>
        <v>1.5257253763019389</v>
      </c>
      <c r="AC29" s="7">
        <f>(((0.621*1000^0.564)/0.2))*W29/1000+AC28*inputs!$C$53</f>
        <v>0.24448496607742892</v>
      </c>
      <c r="AD29" s="7">
        <f>(((0.648*20^0.651)/0.2))*AA29/20+AD28*inputs!$C$54</f>
        <v>1.6331977392015173</v>
      </c>
      <c r="AE29" s="7">
        <f>(((0.013*2^0.773)/0.2))*AA29/2+AE28*inputs!$C$54</f>
        <v>7.9640279581937201E-2</v>
      </c>
    </row>
    <row r="30" spans="1:31" x14ac:dyDescent="0.3">
      <c r="A30" s="7">
        <f>IF(A29&lt;(inputs!$C$9-1),(1+A29),0)</f>
        <v>0</v>
      </c>
      <c r="B30" s="7">
        <f>IF(inputs!$C$8&gt;B29,IF(A29=(inputs!$C$9-1),(B29+1),B29), B29)</f>
        <v>1</v>
      </c>
      <c r="C30" s="7">
        <f t="shared" si="1"/>
        <v>27</v>
      </c>
      <c r="D30" s="8">
        <f>IF((B30&gt;B29), (EXP(-LN(2)/inputs!$C$51)*D29+$D$3), (EXP(-LN(2)/inputs!$C$51)*D29))</f>
        <v>3.5126284259280638</v>
      </c>
      <c r="E30" s="8">
        <f>IF((B30&gt;B29), (EXP(-LN(2)/inputs!$C$51)*E29+$E$3), (EXP(-LN(2)/inputs!$C$51)*E29))</f>
        <v>1.6099546952170292</v>
      </c>
      <c r="F30" s="8">
        <f>IF((B30&gt;B29), (EXP(-LN(2)/inputs!$C$51)*F29+$F$3), (EXP(-LN(2)/inputs!$C$51)*F29))</f>
        <v>1.9758534895845361</v>
      </c>
      <c r="G30" s="8">
        <f>IF((B30&gt;B29), (EXP(-LN(2)/inputs!$C$51)*G29+$G$3), (EXP(-LN(2)/inputs!$C$51)*G29))</f>
        <v>0.21953927662050399</v>
      </c>
      <c r="H30" s="8">
        <f>IF((B30&gt;B29), (EXP(-LN(2)/inputs!$C$51)*H29+$H$3), (EXP(-LN(2)/inputs!$C$51)*H29))</f>
        <v>1.3757794668218246</v>
      </c>
      <c r="I30" s="7">
        <f>O30*(10^inputs!$C$55)*0.01/1</f>
        <v>5.4656740091136706</v>
      </c>
      <c r="J30" s="7">
        <f>(((0.621*15^0.564)/0.2))*D30/15+J29*inputs!$C$53</f>
        <v>3.7798152527969839</v>
      </c>
      <c r="K30" s="7">
        <f>(((0.621*1000^0.564)/0.2))*D30/1000+K29*inputs!$C$53</f>
        <v>0.60568436378693324</v>
      </c>
      <c r="L30" s="7">
        <f>(((0.648*20^0.651)/0.2))*H30/20+L29*inputs!$C$54</f>
        <v>2.0723120610323607</v>
      </c>
      <c r="M30" s="7">
        <f>(((0.013*2^0.773)/0.2))*H30/2+M29*inputs!$C$54</f>
        <v>0.10105298823296607</v>
      </c>
      <c r="N30" s="7">
        <f>O30*0.015*inputs!$C$56</f>
        <v>0.80301463336202095</v>
      </c>
      <c r="O30" s="7">
        <f>IF((B30&gt;B29), (EXP(-LN(2)/inputs!$C$52)*O29+$O$3), (EXP(-LN(2)/inputs!$C$52)*O29))</f>
        <v>8.6625095292558893E-2</v>
      </c>
      <c r="P30" s="3">
        <f>IF((B30&gt;B29), (EXP(-LN(2)/inputs!$C$52)*P29+$P$3), (EXP(-LN(2)/inputs!$C$52)*P29))</f>
        <v>8.370625589696877E-2</v>
      </c>
      <c r="Q30" s="19">
        <f>IF((F30*0.62*1/(0.012*(10^inputs!$C$55)))&gt;inputs!$C$57, inputs!$C$57, (F30*0.62*1/(0.012*(10^inputs!$C$55))))</f>
        <v>1.6179503182205828E-2</v>
      </c>
      <c r="R30" s="3">
        <f>IF((B30&gt;B29), (EXP(-LN(2)/inputs!$C$51)*R29+$R$3), (EXP(-LN(2)/inputs!$C$51)*R29))</f>
        <v>3.7592171521262469E-8</v>
      </c>
      <c r="T30" s="7">
        <f>IF(T29&lt;(inputs!$C$9-1),(1+T29),0)</f>
        <v>0</v>
      </c>
      <c r="U30" s="7">
        <f>IF(inputs!$C$8&gt;U29,IF(T29=(inputs!$C$9-1),(U29+1),U29), U29)</f>
        <v>1</v>
      </c>
      <c r="V30" s="7">
        <f t="shared" si="0"/>
        <v>27</v>
      </c>
      <c r="W30" s="8">
        <f>IF((U30&gt;U29), (EXP(-LN(2)/inputs!$C$51)*W29+$W$3), (EXP(-LN(2)/inputs!$C$51)*W29))</f>
        <v>1.2440559008495222</v>
      </c>
      <c r="X30" s="8">
        <f>IF((U30&gt;U29), (EXP(-LN(2)/inputs!$C$51)*X29+$X$3), (EXP(-LN(2)/inputs!$C$51)*X29))</f>
        <v>0.52689426388920935</v>
      </c>
      <c r="Y30" s="8">
        <f>IF((U30&gt;U29), (EXP(-LN(2)/inputs!$C$51)*Y29+$Y$3), (EXP(-LN(2)/inputs!$C$51)*Y29))</f>
        <v>0.65861782986151196</v>
      </c>
      <c r="Z30" s="8">
        <f>IF((U30&gt;U29), (EXP(-LN(2)/inputs!$C$51)*Z29+$Z$3), (EXP(-LN(2)/inputs!$C$51)*Z29))</f>
        <v>0.10245166242290185</v>
      </c>
      <c r="AA30" s="8">
        <f>IF((U30&gt;U29), (EXP(-LN(2)/inputs!$C$51)*AA29+$AA$3), (EXP(-LN(2)/inputs!$C$51)*AA29))</f>
        <v>0.95133686535551709</v>
      </c>
      <c r="AB30" s="7">
        <f>(((0.621*15^0.564)/0.2))*W30/15+AB29*inputs!$C$53</f>
        <v>1.3386845686989315</v>
      </c>
      <c r="AC30" s="7">
        <f>(((0.621*1000^0.564)/0.2))*W30/1000+AC29*inputs!$C$53</f>
        <v>0.21451321217453878</v>
      </c>
      <c r="AD30" s="7">
        <f>(((0.648*20^0.651)/0.2))*AA30/20+AD29*inputs!$C$54</f>
        <v>1.4329817443308881</v>
      </c>
      <c r="AE30" s="7">
        <f>(((0.013*2^0.773)/0.2))*AA30/2+AE29*inputs!$C$54</f>
        <v>6.9877066331306331E-2</v>
      </c>
    </row>
    <row r="31" spans="1:31" x14ac:dyDescent="0.3">
      <c r="A31" s="7">
        <f>IF(A30&lt;(inputs!$C$9-1),(1+A30),0)</f>
        <v>0</v>
      </c>
      <c r="B31" s="7">
        <f>IF(inputs!$C$8&gt;B30,IF(A30=(inputs!$C$9-1),(B30+1),B30), B30)</f>
        <v>1</v>
      </c>
      <c r="C31" s="7">
        <f t="shared" si="1"/>
        <v>28</v>
      </c>
      <c r="D31" s="8">
        <f>IF((B31&gt;B30), (EXP(-LN(2)/inputs!$C$51)*D30+$D$3), (EXP(-LN(2)/inputs!$C$51)*D30))</f>
        <v>3.0820103947937074</v>
      </c>
      <c r="E31" s="8">
        <f>IF((B31&gt;B30), (EXP(-LN(2)/inputs!$C$51)*E30+$E$3), (EXP(-LN(2)/inputs!$C$51)*E30))</f>
        <v>1.4125880976137823</v>
      </c>
      <c r="F31" s="8">
        <f>IF((B31&gt;B30), (EXP(-LN(2)/inputs!$C$51)*F30+$F$3), (EXP(-LN(2)/inputs!$C$51)*F30))</f>
        <v>1.7336308470714605</v>
      </c>
      <c r="G31" s="8">
        <f>IF((B31&gt;B30), (EXP(-LN(2)/inputs!$C$51)*G30+$G$3), (EXP(-LN(2)/inputs!$C$51)*G30))</f>
        <v>0.19262564967460671</v>
      </c>
      <c r="H31" s="8">
        <f>IF((B31&gt;B30), (EXP(-LN(2)/inputs!$C$51)*H30+$H$3), (EXP(-LN(2)/inputs!$C$51)*H30))</f>
        <v>1.2071207379608684</v>
      </c>
      <c r="I31" s="7">
        <f>O31*(10^inputs!$C$55)*0.01/1</f>
        <v>5.3553751860176879</v>
      </c>
      <c r="J31" s="7">
        <f>(((0.621*15^0.564)/0.2))*D31/15+J30*inputs!$C$53</f>
        <v>3.3164424148968275</v>
      </c>
      <c r="K31" s="7">
        <f>(((0.621*1000^0.564)/0.2))*D31/1000+K30*inputs!$C$53</f>
        <v>0.53143267058261023</v>
      </c>
      <c r="L31" s="7">
        <f>(((0.648*20^0.651)/0.2))*H31/20+L30*inputs!$C$54</f>
        <v>1.8182644273484869</v>
      </c>
      <c r="M31" s="7">
        <f>(((0.013*2^0.773)/0.2))*H31/2+M30*inputs!$C$54</f>
        <v>8.8664761083199706E-2</v>
      </c>
      <c r="N31" s="7">
        <f>O31*0.015*inputs!$C$56</f>
        <v>0.78680957450907874</v>
      </c>
      <c r="O31" s="7">
        <f>IF((B31&gt;B30), (EXP(-LN(2)/inputs!$C$52)*O30+$O$3), (EXP(-LN(2)/inputs!$C$52)*O30))</f>
        <v>8.487697675394594E-2</v>
      </c>
      <c r="P31" s="3">
        <f>IF((B31&gt;B30), (EXP(-LN(2)/inputs!$C$52)*P30+$P$3), (EXP(-LN(2)/inputs!$C$52)*P30))</f>
        <v>8.2017040349936177E-2</v>
      </c>
      <c r="Q31" s="19">
        <f>IF((F31*0.62*1/(0.012*(10^inputs!$C$55)))&gt;inputs!$C$57, inputs!$C$57, (F31*0.62*1/(0.012*(10^inputs!$C$55))))</f>
        <v>1.4196035260114769E-2</v>
      </c>
      <c r="R31" s="3">
        <f>IF((B31&gt;B30), (EXP(-LN(2)/inputs!$C$51)*R30+$R$3), (EXP(-LN(2)/inputs!$C$51)*R30))</f>
        <v>3.298369464193695E-8</v>
      </c>
      <c r="T31" s="7">
        <f>IF(T30&lt;(inputs!$C$9-1),(1+T30),0)</f>
        <v>0</v>
      </c>
      <c r="U31" s="7">
        <f>IF(inputs!$C$8&gt;U30,IF(T30=(inputs!$C$9-1),(U30+1),U30), U30)</f>
        <v>1</v>
      </c>
      <c r="V31" s="7">
        <f t="shared" si="0"/>
        <v>28</v>
      </c>
      <c r="W31" s="8">
        <f>IF((U31&gt;U30), (EXP(-LN(2)/inputs!$C$51)*W30+$W$3), (EXP(-LN(2)/inputs!$C$51)*W30))</f>
        <v>1.0915453481561044</v>
      </c>
      <c r="X31" s="8">
        <f>IF((U31&gt;U30), (EXP(-LN(2)/inputs!$C$51)*X30+$X$3), (EXP(-LN(2)/inputs!$C$51)*X30))</f>
        <v>0.46230155921905591</v>
      </c>
      <c r="Y31" s="8">
        <f>IF((U31&gt;U30), (EXP(-LN(2)/inputs!$C$51)*Y30+$Y$3), (EXP(-LN(2)/inputs!$C$51)*Y30))</f>
        <v>0.57787694902382014</v>
      </c>
      <c r="Z31" s="8">
        <f>IF((U31&gt;U30), (EXP(-LN(2)/inputs!$C$51)*Z30+$Z$3), (EXP(-LN(2)/inputs!$C$51)*Z30))</f>
        <v>8.9891969848149789E-2</v>
      </c>
      <c r="AA31" s="8">
        <f>IF((U31&gt;U30), (EXP(-LN(2)/inputs!$C$51)*AA30+$AA$3), (EXP(-LN(2)/inputs!$C$51)*AA30))</f>
        <v>0.8347111485899622</v>
      </c>
      <c r="AB31" s="7">
        <f>(((0.621*15^0.564)/0.2))*W31/15+AB30*inputs!$C$53</f>
        <v>1.1745733552759594</v>
      </c>
      <c r="AC31" s="7">
        <f>(((0.621*1000^0.564)/0.2))*W31/1000+AC30*inputs!$C$53</f>
        <v>0.18821573749800774</v>
      </c>
      <c r="AD31" s="7">
        <f>(((0.648*20^0.651)/0.2))*AA31/20+AD30*inputs!$C$54</f>
        <v>1.2573105082728899</v>
      </c>
      <c r="AE31" s="7">
        <f>(((0.013*2^0.773)/0.2))*AA31/2+AE30*inputs!$C$54</f>
        <v>6.1310739046893416E-2</v>
      </c>
    </row>
    <row r="32" spans="1:31" x14ac:dyDescent="0.3">
      <c r="A32" s="7">
        <f>IF(A31&lt;(inputs!$C$9-1),(1+A31),0)</f>
        <v>0</v>
      </c>
      <c r="B32" s="7">
        <f>IF(inputs!$C$8&gt;B31,IF(A31=(inputs!$C$9-1),(B31+1),B31), B31)</f>
        <v>1</v>
      </c>
      <c r="C32" s="7">
        <f t="shared" si="1"/>
        <v>29</v>
      </c>
      <c r="D32" s="8">
        <f>IF((B32&gt;B31), (EXP(-LN(2)/inputs!$C$51)*D31+$D$3), (EXP(-LN(2)/inputs!$C$51)*D31))</f>
        <v>2.7041824303140776</v>
      </c>
      <c r="E32" s="8">
        <f>IF((B32&gt;B31), (EXP(-LN(2)/inputs!$C$51)*E31+$E$3), (EXP(-LN(2)/inputs!$C$51)*E31))</f>
        <v>1.2394169472272853</v>
      </c>
      <c r="F32" s="8">
        <f>IF((B32&gt;B31), (EXP(-LN(2)/inputs!$C$51)*F31+$F$3), (EXP(-LN(2)/inputs!$C$51)*F31))</f>
        <v>1.5211026170516686</v>
      </c>
      <c r="G32" s="8">
        <f>IF((B32&gt;B31), (EXP(-LN(2)/inputs!$C$51)*G31+$G$3), (EXP(-LN(2)/inputs!$C$51)*G31))</f>
        <v>0.16901140189462985</v>
      </c>
      <c r="H32" s="8">
        <f>IF((B32&gt;B31), (EXP(-LN(2)/inputs!$C$51)*H31+$H$3), (EXP(-LN(2)/inputs!$C$51)*H31))</f>
        <v>1.05913811853968</v>
      </c>
      <c r="I32" s="7">
        <f>O32*(10^inputs!$C$55)*0.01/1</f>
        <v>5.2473022238779334</v>
      </c>
      <c r="J32" s="7">
        <f>(((0.621*15^0.564)/0.2))*D32/15+J31*inputs!$C$53</f>
        <v>2.9098751012203117</v>
      </c>
      <c r="K32" s="7">
        <f>(((0.621*1000^0.564)/0.2))*D32/1000+K31*inputs!$C$53</f>
        <v>0.46628359628896532</v>
      </c>
      <c r="L32" s="7">
        <f>(((0.648*20^0.651)/0.2))*H32/20+L31*inputs!$C$54</f>
        <v>1.5953608483627377</v>
      </c>
      <c r="M32" s="7">
        <f>(((0.013*2^0.773)/0.2))*H32/2+M31*inputs!$C$54</f>
        <v>7.7795224024619997E-2</v>
      </c>
      <c r="N32" s="7">
        <f>O32*0.015*inputs!$C$56</f>
        <v>0.77093153825512462</v>
      </c>
      <c r="O32" s="7">
        <f>IF((B32&gt;B31), (EXP(-LN(2)/inputs!$C$52)*O31+$O$3), (EXP(-LN(2)/inputs!$C$52)*O31))</f>
        <v>8.3164135734101904E-2</v>
      </c>
      <c r="P32" s="3">
        <f>IF((B32&gt;B31), (EXP(-LN(2)/inputs!$C$52)*P31+$P$3), (EXP(-LN(2)/inputs!$C$52)*P31))</f>
        <v>8.0361913642904376E-2</v>
      </c>
      <c r="Q32" s="19">
        <f>IF((F32*0.62*1/(0.012*(10^inputs!$C$55)))&gt;inputs!$C$57, inputs!$C$57, (F32*0.62*1/(0.012*(10^inputs!$C$55))))</f>
        <v>1.2455723444466518E-2</v>
      </c>
      <c r="R32" s="3">
        <f>IF((B32&gt;B31), (EXP(-LN(2)/inputs!$C$51)*R31+$R$3), (EXP(-LN(2)/inputs!$C$51)*R31))</f>
        <v>2.8940177388188407E-8</v>
      </c>
      <c r="T32" s="7">
        <f>IF(T31&lt;(inputs!$C$9-1),(1+T31),0)</f>
        <v>0</v>
      </c>
      <c r="U32" s="7">
        <f>IF(inputs!$C$8&gt;U31,IF(T31=(inputs!$C$9-1),(U31+1),U31), U31)</f>
        <v>1</v>
      </c>
      <c r="V32" s="7">
        <f t="shared" si="0"/>
        <v>29</v>
      </c>
      <c r="W32" s="8">
        <f>IF((U32&gt;U31), (EXP(-LN(2)/inputs!$C$51)*W31+$W$3), (EXP(-LN(2)/inputs!$C$51)*W31))</f>
        <v>0.95773127740290209</v>
      </c>
      <c r="X32" s="8">
        <f>IF((U32&gt;U31), (EXP(-LN(2)/inputs!$C$51)*X31+$X$3), (EXP(-LN(2)/inputs!$C$51)*X31))</f>
        <v>0.40562736454711146</v>
      </c>
      <c r="Y32" s="8">
        <f>IF((U32&gt;U31), (EXP(-LN(2)/inputs!$C$51)*Y31+$Y$3), (EXP(-LN(2)/inputs!$C$51)*Y31))</f>
        <v>0.50703420568388957</v>
      </c>
      <c r="Z32" s="8">
        <f>IF((U32&gt;U31), (EXP(-LN(2)/inputs!$C$51)*Z31+$Z$3), (EXP(-LN(2)/inputs!$C$51)*Z31))</f>
        <v>7.8871987550827249E-2</v>
      </c>
      <c r="AA32" s="8">
        <f>IF((U32&gt;U31), (EXP(-LN(2)/inputs!$C$51)*AA31+$AA$3), (EXP(-LN(2)/inputs!$C$51)*AA31))</f>
        <v>0.73238274154339578</v>
      </c>
      <c r="AB32" s="7">
        <f>(((0.621*15^0.564)/0.2))*W32/15+AB31*inputs!$C$53</f>
        <v>1.0305807650155265</v>
      </c>
      <c r="AC32" s="7">
        <f>(((0.621*1000^0.564)/0.2))*W32/1000+AC31*inputs!$C$53</f>
        <v>0.1651421070190085</v>
      </c>
      <c r="AD32" s="7">
        <f>(((0.648*20^0.651)/0.2))*AA32/20+AD31*inputs!$C$54</f>
        <v>1.1031750547189145</v>
      </c>
      <c r="AE32" s="7">
        <f>(((0.013*2^0.773)/0.2))*AA32/2+AE31*inputs!$C$54</f>
        <v>5.3794569804258521E-2</v>
      </c>
    </row>
    <row r="33" spans="1:31" x14ac:dyDescent="0.3">
      <c r="A33" s="7">
        <f>IF(A32&lt;(inputs!$C$9-1),(1+A32),0)</f>
        <v>0</v>
      </c>
      <c r="B33" s="7">
        <f>IF(inputs!$C$8&gt;B32,IF(A32=(inputs!$C$9-1),(B32+1),B32), B32)</f>
        <v>1</v>
      </c>
      <c r="C33" s="7">
        <f t="shared" si="1"/>
        <v>30</v>
      </c>
      <c r="D33" s="8">
        <f>IF((B33&gt;B32), (EXP(-LN(2)/inputs!$C$51)*D32+$D$3), (EXP(-LN(2)/inputs!$C$51)*D32))</f>
        <v>2.3726729243912286</v>
      </c>
      <c r="E33" s="8">
        <f>IF((B33&gt;B32), (EXP(-LN(2)/inputs!$C$51)*E32+$E$3), (EXP(-LN(2)/inputs!$C$51)*E32))</f>
        <v>1.0874750903459796</v>
      </c>
      <c r="F33" s="8">
        <f>IF((B33&gt;B32), (EXP(-LN(2)/inputs!$C$51)*F32+$F$3), (EXP(-LN(2)/inputs!$C$51)*F32))</f>
        <v>1.334628519970066</v>
      </c>
      <c r="G33" s="8">
        <f>IF((B33&gt;B32), (EXP(-LN(2)/inputs!$C$51)*G32+$G$3), (EXP(-LN(2)/inputs!$C$51)*G32))</f>
        <v>0.14829205777445179</v>
      </c>
      <c r="H33" s="8">
        <f>IF((B33&gt;B32), (EXP(-LN(2)/inputs!$C$51)*H32+$H$3), (EXP(-LN(2)/inputs!$C$51)*H32))</f>
        <v>0.92929689538656413</v>
      </c>
      <c r="I33" s="7">
        <f>O33*(10^inputs!$C$55)*0.01/1</f>
        <v>5.1414102042006524</v>
      </c>
      <c r="J33" s="7">
        <f>(((0.621*15^0.564)/0.2))*D33/15+J32*inputs!$C$53</f>
        <v>2.5531494431105126</v>
      </c>
      <c r="K33" s="7">
        <f>(((0.621*1000^0.564)/0.2))*D33/1000+K32*inputs!$C$53</f>
        <v>0.40912123812375428</v>
      </c>
      <c r="L33" s="7">
        <f>(((0.648*20^0.651)/0.2))*H33/20+L32*inputs!$C$54</f>
        <v>1.3997833308548078</v>
      </c>
      <c r="M33" s="7">
        <f>(((0.013*2^0.773)/0.2))*H33/2+M32*inputs!$C$54</f>
        <v>6.8258198715065069E-2</v>
      </c>
      <c r="N33" s="7">
        <f>O33*0.015*inputs!$C$56</f>
        <v>0.75537392519307078</v>
      </c>
      <c r="O33" s="7">
        <f>IF((B33&gt;B32), (EXP(-LN(2)/inputs!$C$52)*O32+$O$3), (EXP(-LN(2)/inputs!$C$52)*O32))</f>
        <v>8.1485860322877107E-2</v>
      </c>
      <c r="P33" s="3">
        <f>IF((B33&gt;B32), (EXP(-LN(2)/inputs!$C$52)*P32+$P$3), (EXP(-LN(2)/inputs!$C$52)*P32))</f>
        <v>7.8740187853592131E-2</v>
      </c>
      <c r="Q33" s="19">
        <f>IF((F33*0.62*1/(0.012*(10^inputs!$C$55)))&gt;inputs!$C$57, inputs!$C$57, (F33*0.62*1/(0.012*(10^inputs!$C$55))))</f>
        <v>1.0928758888119202E-2</v>
      </c>
      <c r="R33" s="3">
        <f>IF((B33&gt;B32), (EXP(-LN(2)/inputs!$C$51)*R32+$R$3), (EXP(-LN(2)/inputs!$C$51)*R32))</f>
        <v>2.5392360569423092E-8</v>
      </c>
      <c r="T33" s="7">
        <f>IF(T32&lt;(inputs!$C$9-1),(1+T32),0)</f>
        <v>0</v>
      </c>
      <c r="U33" s="7">
        <f>IF(inputs!$C$8&gt;U32,IF(T32=(inputs!$C$9-1),(U32+1),U32), U32)</f>
        <v>1</v>
      </c>
      <c r="V33" s="7">
        <f t="shared" si="0"/>
        <v>30</v>
      </c>
      <c r="W33" s="8">
        <f>IF((U33&gt;U32), (EXP(-LN(2)/inputs!$C$51)*W32+$W$3), (EXP(-LN(2)/inputs!$C$51)*W32))</f>
        <v>0.84032166072189307</v>
      </c>
      <c r="X33" s="8">
        <f>IF((U33&gt;U32), (EXP(-LN(2)/inputs!$C$51)*X32+$X$3), (EXP(-LN(2)/inputs!$C$51)*X32))</f>
        <v>0.35590093865868411</v>
      </c>
      <c r="Y33" s="8">
        <f>IF((U33&gt;U32), (EXP(-LN(2)/inputs!$C$51)*Y32+$Y$3), (EXP(-LN(2)/inputs!$C$51)*Y32))</f>
        <v>0.44487617332335538</v>
      </c>
      <c r="Z33" s="8">
        <f>IF((U33&gt;U32), (EXP(-LN(2)/inputs!$C$51)*Z32+$Z$3), (EXP(-LN(2)/inputs!$C$51)*Z32))</f>
        <v>6.9202960294744154E-2</v>
      </c>
      <c r="AA33" s="8">
        <f>IF((U33&gt;U32), (EXP(-LN(2)/inputs!$C$51)*AA32+$AA$3), (EXP(-LN(2)/inputs!$C$51)*AA32))</f>
        <v>0.64259891702262417</v>
      </c>
      <c r="AB33" s="7">
        <f>(((0.621*15^0.564)/0.2))*W33/15+AB32*inputs!$C$53</f>
        <v>0.90424042776830604</v>
      </c>
      <c r="AC33" s="7">
        <f>(((0.621*1000^0.564)/0.2))*W33/1000+AC32*inputs!$C$53</f>
        <v>0.14489710516882956</v>
      </c>
      <c r="AD33" s="7">
        <f>(((0.648*20^0.651)/0.2))*AA33/20+AD32*inputs!$C$54</f>
        <v>0.96793528197406919</v>
      </c>
      <c r="AE33" s="7">
        <f>(((0.013*2^0.773)/0.2))*AA33/2+AE32*inputs!$C$54</f>
        <v>4.7199818260417338E-2</v>
      </c>
    </row>
    <row r="34" spans="1:31" x14ac:dyDescent="0.3">
      <c r="A34" s="7">
        <f>IF(A33&lt;(inputs!$C$9-1),(1+A33),0)</f>
        <v>0</v>
      </c>
      <c r="B34" s="7">
        <f>IF(inputs!$C$8&gt;B33,IF(A33=(inputs!$C$9-1),(B33+1),B33), B33)</f>
        <v>1</v>
      </c>
      <c r="C34" s="7">
        <f t="shared" si="1"/>
        <v>31</v>
      </c>
      <c r="D34" s="8">
        <f>IF((B34&gt;B33), (EXP(-LN(2)/inputs!$C$51)*D33+$D$3), (EXP(-LN(2)/inputs!$C$51)*D33))</f>
        <v>2.0818036324144655</v>
      </c>
      <c r="E34" s="8">
        <f>IF((B34&gt;B33), (EXP(-LN(2)/inputs!$C$51)*E33+$E$3), (EXP(-LN(2)/inputs!$C$51)*E33))</f>
        <v>0.95415999818996333</v>
      </c>
      <c r="F34" s="8">
        <f>IF((B34&gt;B33), (EXP(-LN(2)/inputs!$C$51)*F33+$F$3), (EXP(-LN(2)/inputs!$C$51)*F33))</f>
        <v>1.1710145432331369</v>
      </c>
      <c r="G34" s="8">
        <f>IF((B34&gt;B33), (EXP(-LN(2)/inputs!$C$51)*G33+$G$3), (EXP(-LN(2)/inputs!$C$51)*G33))</f>
        <v>0.1301127270259041</v>
      </c>
      <c r="H34" s="8">
        <f>IF((B34&gt;B33), (EXP(-LN(2)/inputs!$C$51)*H33+$H$3), (EXP(-LN(2)/inputs!$C$51)*H33))</f>
        <v>0.8153730893623321</v>
      </c>
      <c r="I34" s="7">
        <f>O34*(10^inputs!$C$55)*0.01/1</f>
        <v>5.037655114959799</v>
      </c>
      <c r="J34" s="7">
        <f>(((0.621*15^0.564)/0.2))*D34/15+J33*inputs!$C$53</f>
        <v>2.2401552823081072</v>
      </c>
      <c r="K34" s="7">
        <f>(((0.621*1000^0.564)/0.2))*D34/1000+K33*inputs!$C$53</f>
        <v>0.35896649338739506</v>
      </c>
      <c r="L34" s="7">
        <f>(((0.648*20^0.651)/0.2))*H34/20+L33*inputs!$C$54</f>
        <v>1.2281819347327196</v>
      </c>
      <c r="M34" s="7">
        <f>(((0.013*2^0.773)/0.2))*H34/2+M33*inputs!$C$54</f>
        <v>5.9890330675708453E-2</v>
      </c>
      <c r="N34" s="7">
        <f>O34*0.015*inputs!$C$56</f>
        <v>0.74013026909370183</v>
      </c>
      <c r="O34" s="7">
        <f>IF((B34&gt;B33), (EXP(-LN(2)/inputs!$C$52)*O33+$O$3), (EXP(-LN(2)/inputs!$C$52)*O33))</f>
        <v>7.9841452976666866E-2</v>
      </c>
      <c r="P34" s="3">
        <f>IF((B34&gt;B33), (EXP(-LN(2)/inputs!$C$52)*P33+$P$3), (EXP(-LN(2)/inputs!$C$52)*P33))</f>
        <v>7.7151188942181356E-2</v>
      </c>
      <c r="Q34" s="19">
        <f>IF((F34*0.62*1/(0.012*(10^inputs!$C$55)))&gt;inputs!$C$57, inputs!$C$57, (F34*0.62*1/(0.012*(10^inputs!$C$55))))</f>
        <v>9.5889870521896452E-3</v>
      </c>
      <c r="R34" s="3">
        <f>IF((B34&gt;B33), (EXP(-LN(2)/inputs!$C$51)*R33+$R$3), (EXP(-LN(2)/inputs!$C$51)*R33))</f>
        <v>2.2279475576080911E-8</v>
      </c>
      <c r="T34" s="7">
        <f>IF(T33&lt;(inputs!$C$9-1),(1+T33),0)</f>
        <v>0</v>
      </c>
      <c r="U34" s="7">
        <f>IF(inputs!$C$8&gt;U33,IF(T33=(inputs!$C$9-1),(U33+1),U33), U33)</f>
        <v>1</v>
      </c>
      <c r="V34" s="7">
        <f t="shared" si="0"/>
        <v>31</v>
      </c>
      <c r="W34" s="8">
        <f>IF((U34&gt;U33), (EXP(-LN(2)/inputs!$C$51)*W33+$W$3), (EXP(-LN(2)/inputs!$C$51)*W33))</f>
        <v>0.73730545314678964</v>
      </c>
      <c r="X34" s="8">
        <f>IF((U34&gt;U33), (EXP(-LN(2)/inputs!$C$51)*X33+$X$3), (EXP(-LN(2)/inputs!$C$51)*X33))</f>
        <v>0.31227054486216971</v>
      </c>
      <c r="Y34" s="8">
        <f>IF((U34&gt;U33), (EXP(-LN(2)/inputs!$C$51)*Y33+$Y$3), (EXP(-LN(2)/inputs!$C$51)*Y33))</f>
        <v>0.39033818107771234</v>
      </c>
      <c r="Z34" s="8">
        <f>IF((U34&gt;U33), (EXP(-LN(2)/inputs!$C$51)*Z33+$Z$3), (EXP(-LN(2)/inputs!$C$51)*Z33))</f>
        <v>6.0719272612088572E-2</v>
      </c>
      <c r="AA34" s="8">
        <f>IF((U34&gt;U33), (EXP(-LN(2)/inputs!$C$51)*AA33+$AA$3), (EXP(-LN(2)/inputs!$C$51)*AA33))</f>
        <v>0.56382181711225099</v>
      </c>
      <c r="AB34" s="7">
        <f>(((0.621*15^0.564)/0.2))*W34/15+AB33*inputs!$C$53</f>
        <v>0.79338832915078761</v>
      </c>
      <c r="AC34" s="7">
        <f>(((0.621*1000^0.564)/0.2))*W34/1000+AC33*inputs!$C$53</f>
        <v>0.1271339664080357</v>
      </c>
      <c r="AD34" s="7">
        <f>(((0.648*20^0.651)/0.2))*AA34/20+AD33*inputs!$C$54</f>
        <v>0.84927474210241249</v>
      </c>
      <c r="AE34" s="7">
        <f>(((0.013*2^0.773)/0.2))*AA34/2+AE33*inputs!$C$54</f>
        <v>4.1413526531075003E-2</v>
      </c>
    </row>
    <row r="35" spans="1:31" x14ac:dyDescent="0.3">
      <c r="A35" s="7">
        <f>IF(A34&lt;(inputs!$C$9-1),(1+A34),0)</f>
        <v>0</v>
      </c>
      <c r="B35" s="7">
        <f>IF(inputs!$C$8&gt;B34,IF(A34=(inputs!$C$9-1),(B34+1),B34), B34)</f>
        <v>1</v>
      </c>
      <c r="C35" s="7">
        <f t="shared" si="1"/>
        <v>32</v>
      </c>
      <c r="D35" s="8">
        <f>IF((B35&gt;B34), (EXP(-LN(2)/inputs!$C$51)*D34+$D$3), (EXP(-LN(2)/inputs!$C$51)*D34))</f>
        <v>1.8265924137209266</v>
      </c>
      <c r="E35" s="8">
        <f>IF((B35&gt;B34), (EXP(-LN(2)/inputs!$C$51)*E34+$E$3), (EXP(-LN(2)/inputs!$C$51)*E34))</f>
        <v>0.83718818962209129</v>
      </c>
      <c r="F35" s="8">
        <f>IF((B35&gt;B34), (EXP(-LN(2)/inputs!$C$51)*F34+$F$3), (EXP(-LN(2)/inputs!$C$51)*F34))</f>
        <v>1.0274582327180213</v>
      </c>
      <c r="G35" s="8">
        <f>IF((B35&gt;B34), (EXP(-LN(2)/inputs!$C$51)*G34+$G$3), (EXP(-LN(2)/inputs!$C$51)*G34))</f>
        <v>0.11416202585755791</v>
      </c>
      <c r="H35" s="8">
        <f>IF((B35&gt;B34), (EXP(-LN(2)/inputs!$C$51)*H34+$H$3), (EXP(-LN(2)/inputs!$C$51)*H34))</f>
        <v>0.715415362040696</v>
      </c>
      <c r="I35" s="7">
        <f>O35*(10^inputs!$C$55)*0.01/1</f>
        <v>4.9359938323042636</v>
      </c>
      <c r="J35" s="7">
        <f>(((0.621*15^0.564)/0.2))*D35/15+J34*inputs!$C$53</f>
        <v>1.9655315133998208</v>
      </c>
      <c r="K35" s="7">
        <f>(((0.621*1000^0.564)/0.2))*D35/1000+K34*inputs!$C$53</f>
        <v>0.31496028894951927</v>
      </c>
      <c r="L35" s="7">
        <f>(((0.648*20^0.651)/0.2))*H35/20+L34*inputs!$C$54</f>
        <v>1.0776173937452522</v>
      </c>
      <c r="M35" s="7">
        <f>(((0.013*2^0.773)/0.2))*H35/2+M34*inputs!$C$54</f>
        <v>5.2548291281733772E-2</v>
      </c>
      <c r="N35" s="7">
        <f>O35*0.015*inputs!$C$56</f>
        <v>0.72519423421810802</v>
      </c>
      <c r="O35" s="7">
        <f>IF((B35&gt;B34), (EXP(-LN(2)/inputs!$C$52)*O34+$O$3), (EXP(-LN(2)/inputs!$C$52)*O34))</f>
        <v>7.8230230228490627E-2</v>
      </c>
      <c r="P35" s="3">
        <f>IF((B35&gt;B34), (EXP(-LN(2)/inputs!$C$52)*P34+$P$3), (EXP(-LN(2)/inputs!$C$52)*P34))</f>
        <v>7.5594256471165161E-2</v>
      </c>
      <c r="Q35" s="19">
        <f>IF((F35*0.62*1/(0.012*(10^inputs!$C$55)))&gt;inputs!$C$57, inputs!$C$57, (F35*0.62*1/(0.012*(10^inputs!$C$55))))</f>
        <v>8.4134597192934025E-3</v>
      </c>
      <c r="R35" s="3">
        <f>IF((B35&gt;B34), (EXP(-LN(2)/inputs!$C$51)*R34+$R$3), (EXP(-LN(2)/inputs!$C$51)*R34))</f>
        <v>1.9548203507432447E-8</v>
      </c>
      <c r="T35" s="7">
        <f>IF(T34&lt;(inputs!$C$9-1),(1+T34),0)</f>
        <v>0</v>
      </c>
      <c r="U35" s="7">
        <f>IF(inputs!$C$8&gt;U34,IF(T34=(inputs!$C$9-1),(U34+1),U34), U34)</f>
        <v>1</v>
      </c>
      <c r="V35" s="7">
        <f t="shared" si="0"/>
        <v>32</v>
      </c>
      <c r="W35" s="8">
        <f>IF((U35&gt;U34), (EXP(-LN(2)/inputs!$C$51)*W34+$W$3), (EXP(-LN(2)/inputs!$C$51)*W34))</f>
        <v>0.64691814652616131</v>
      </c>
      <c r="X35" s="8">
        <f>IF((U35&gt;U34), (EXP(-LN(2)/inputs!$C$51)*X34+$X$3), (EXP(-LN(2)/inputs!$C$51)*X34))</f>
        <v>0.27398886205813888</v>
      </c>
      <c r="Y35" s="8">
        <f>IF((U35&gt;U34), (EXP(-LN(2)/inputs!$C$51)*Y34+$Y$3), (EXP(-LN(2)/inputs!$C$51)*Y34))</f>
        <v>0.3424860775726738</v>
      </c>
      <c r="Z35" s="8">
        <f>IF((U35&gt;U34), (EXP(-LN(2)/inputs!$C$51)*Z34+$Z$3), (EXP(-LN(2)/inputs!$C$51)*Z34))</f>
        <v>5.3275612066860351E-2</v>
      </c>
      <c r="AA35" s="8">
        <f>IF((U35&gt;U34), (EXP(-LN(2)/inputs!$C$51)*AA34+$AA$3), (EXP(-LN(2)/inputs!$C$51)*AA34))</f>
        <v>0.4947021120494175</v>
      </c>
      <c r="AB35" s="7">
        <f>(((0.621*15^0.564)/0.2))*W35/15+AB34*inputs!$C$53</f>
        <v>0.69612574432910312</v>
      </c>
      <c r="AC35" s="7">
        <f>(((0.621*1000^0.564)/0.2))*W35/1000+AC34*inputs!$C$53</f>
        <v>0.11154843566962139</v>
      </c>
      <c r="AD35" s="7">
        <f>(((0.648*20^0.651)/0.2))*AA35/20+AD34*inputs!$C$54</f>
        <v>0.74516096376001495</v>
      </c>
      <c r="AE35" s="7">
        <f>(((0.013*2^0.773)/0.2))*AA35/2+AE34*inputs!$C$54</f>
        <v>3.6336584396943566E-2</v>
      </c>
    </row>
    <row r="36" spans="1:31" x14ac:dyDescent="0.3">
      <c r="A36" s="7">
        <f>IF(A35&lt;(inputs!$C$9-1),(1+A35),0)</f>
        <v>0</v>
      </c>
      <c r="B36" s="7">
        <f>IF(inputs!$C$8&gt;B35,IF(A35=(inputs!$C$9-1),(B35+1),B35), B35)</f>
        <v>1</v>
      </c>
      <c r="C36" s="7">
        <f t="shared" si="1"/>
        <v>33</v>
      </c>
      <c r="D36" s="8">
        <f>IF((B36&gt;B35), (EXP(-LN(2)/inputs!$C$51)*D35+$D$3), (EXP(-LN(2)/inputs!$C$51)*D35))</f>
        <v>1.6026678952391173</v>
      </c>
      <c r="E36" s="8">
        <f>IF((B36&gt;B35), (EXP(-LN(2)/inputs!$C$51)*E35+$E$3), (EXP(-LN(2)/inputs!$C$51)*E35))</f>
        <v>0.73455611865126202</v>
      </c>
      <c r="F36" s="8">
        <f>IF((B36&gt;B35), (EXP(-LN(2)/inputs!$C$51)*F35+$F$3), (EXP(-LN(2)/inputs!$C$51)*F35))</f>
        <v>0.90150069107200359</v>
      </c>
      <c r="G36" s="8">
        <f>IF((B36&gt;B35), (EXP(-LN(2)/inputs!$C$51)*G35+$G$3), (EXP(-LN(2)/inputs!$C$51)*G35))</f>
        <v>0.10016674345244483</v>
      </c>
      <c r="H36" s="8">
        <f>IF((B36&gt;B35), (EXP(-LN(2)/inputs!$C$51)*H35+$H$3), (EXP(-LN(2)/inputs!$C$51)*H35))</f>
        <v>0.62771159230198736</v>
      </c>
      <c r="I36" s="7">
        <f>O36*(10^inputs!$C$55)*0.01/1</f>
        <v>4.8363841026342582</v>
      </c>
      <c r="J36" s="7">
        <f>(((0.621*15^0.564)/0.2))*D36/15+J35*inputs!$C$53</f>
        <v>1.7245742563824809</v>
      </c>
      <c r="K36" s="7">
        <f>(((0.621*1000^0.564)/0.2))*D36/1000+K35*inputs!$C$53</f>
        <v>0.2763488666562216</v>
      </c>
      <c r="L36" s="7">
        <f>(((0.648*20^0.651)/0.2))*H36/20+L35*inputs!$C$54</f>
        <v>0.94551077040147691</v>
      </c>
      <c r="M36" s="7">
        <f>(((0.013*2^0.773)/0.2))*H36/2+M35*inputs!$C$54</f>
        <v>4.6106322764885507E-2</v>
      </c>
      <c r="N36" s="7">
        <f>O36*0.015*inputs!$C$56</f>
        <v>0.71055961268435497</v>
      </c>
      <c r="O36" s="7">
        <f>IF((B36&gt;B35), (EXP(-LN(2)/inputs!$C$52)*O35+$O$3), (EXP(-LN(2)/inputs!$C$52)*O35))</f>
        <v>7.6651522403921798E-2</v>
      </c>
      <c r="P36" s="3">
        <f>IF((B36&gt;B35), (EXP(-LN(2)/inputs!$C$52)*P35+$P$3), (EXP(-LN(2)/inputs!$C$52)*P35))</f>
        <v>7.4068743330849382E-2</v>
      </c>
      <c r="Q36" s="19">
        <f>IF((F36*0.62*1/(0.012*(10^inputs!$C$55)))&gt;inputs!$C$57, inputs!$C$57, (F36*0.62*1/(0.012*(10^inputs!$C$55))))</f>
        <v>7.3820419261081995E-3</v>
      </c>
      <c r="R36" s="3">
        <f>IF((B36&gt;B35), (EXP(-LN(2)/inputs!$C$51)*R35+$R$3), (EXP(-LN(2)/inputs!$C$51)*R35))</f>
        <v>1.7151761901355017E-8</v>
      </c>
      <c r="T36" s="7">
        <f>IF(T35&lt;(inputs!$C$9-1),(1+T35),0)</f>
        <v>0</v>
      </c>
      <c r="U36" s="7">
        <f>IF(inputs!$C$8&gt;U35,IF(T35=(inputs!$C$9-1),(U35+1),U35), U35)</f>
        <v>1</v>
      </c>
      <c r="V36" s="7">
        <f t="shared" si="0"/>
        <v>33</v>
      </c>
      <c r="W36" s="8">
        <f>IF((U36&gt;U35), (EXP(-LN(2)/inputs!$C$51)*W35+$W$3), (EXP(-LN(2)/inputs!$C$51)*W35))</f>
        <v>0.56761154623052057</v>
      </c>
      <c r="X36" s="8">
        <f>IF((U36&gt;U35), (EXP(-LN(2)/inputs!$C$51)*X35+$X$3), (EXP(-LN(2)/inputs!$C$51)*X35))</f>
        <v>0.24040018428586751</v>
      </c>
      <c r="Y36" s="8">
        <f>IF((U36&gt;U35), (EXP(-LN(2)/inputs!$C$51)*Y35+$Y$3), (EXP(-LN(2)/inputs!$C$51)*Y35))</f>
        <v>0.30050023035733453</v>
      </c>
      <c r="Z36" s="8">
        <f>IF((U36&gt;U35), (EXP(-LN(2)/inputs!$C$51)*Z35+$Z$3), (EXP(-LN(2)/inputs!$C$51)*Z35))</f>
        <v>4.674448027780758E-2</v>
      </c>
      <c r="AA36" s="8">
        <f>IF((U36&gt;U35), (EXP(-LN(2)/inputs!$C$51)*AA35+$AA$3), (EXP(-LN(2)/inputs!$C$51)*AA35))</f>
        <v>0.43405588829392749</v>
      </c>
      <c r="AB36" s="7">
        <f>(((0.621*15^0.564)/0.2))*W36/15+AB35*inputs!$C$53</f>
        <v>0.61078671580212851</v>
      </c>
      <c r="AC36" s="7">
        <f>(((0.621*1000^0.564)/0.2))*W36/1000+AC35*inputs!$C$53</f>
        <v>9.7873556940745135E-2</v>
      </c>
      <c r="AD36" s="7">
        <f>(((0.648*20^0.651)/0.2))*AA36/20+AD35*inputs!$C$54</f>
        <v>0.65381063910740433</v>
      </c>
      <c r="AE36" s="7">
        <f>(((0.013*2^0.773)/0.2))*AA36/2+AE35*inputs!$C$54</f>
        <v>3.1882031699122959E-2</v>
      </c>
    </row>
    <row r="37" spans="1:31" x14ac:dyDescent="0.3">
      <c r="A37" s="7">
        <f>IF(A36&lt;(inputs!$C$9-1),(1+A36),0)</f>
        <v>0</v>
      </c>
      <c r="B37" s="7">
        <f>IF(inputs!$C$8&gt;B36,IF(A36=(inputs!$C$9-1),(B36+1),B36), B36)</f>
        <v>1</v>
      </c>
      <c r="C37" s="7">
        <f t="shared" si="1"/>
        <v>34</v>
      </c>
      <c r="D37" s="8">
        <f>IF((B37&gt;B36), (EXP(-LN(2)/inputs!$C$51)*D36+$D$3), (EXP(-LN(2)/inputs!$C$51)*D36))</f>
        <v>1.4061945966357297</v>
      </c>
      <c r="E37" s="8">
        <f>IF((B37&gt;B36), (EXP(-LN(2)/inputs!$C$51)*E36+$E$3), (EXP(-LN(2)/inputs!$C$51)*E36))</f>
        <v>0.64450585679137606</v>
      </c>
      <c r="F37" s="8">
        <f>IF((B37&gt;B36), (EXP(-LN(2)/inputs!$C$51)*F36+$F$3), (EXP(-LN(2)/inputs!$C$51)*F36))</f>
        <v>0.79098446060759808</v>
      </c>
      <c r="G37" s="8">
        <f>IF((B37&gt;B36), (EXP(-LN(2)/inputs!$C$51)*G36+$G$3), (EXP(-LN(2)/inputs!$C$51)*G36))</f>
        <v>8.7887162289733103E-2</v>
      </c>
      <c r="H37" s="8">
        <f>IF((B37&gt;B36), (EXP(-LN(2)/inputs!$C$51)*H36+$H$3), (EXP(-LN(2)/inputs!$C$51)*H36))</f>
        <v>0.55075955034899393</v>
      </c>
      <c r="I37" s="7">
        <f>O37*(10^inputs!$C$55)*0.01/1</f>
        <v>4.738784525039403</v>
      </c>
      <c r="J37" s="7">
        <f>(((0.621*15^0.564)/0.2))*D37/15+J36*inputs!$C$53</f>
        <v>1.5131562864808648</v>
      </c>
      <c r="K37" s="7">
        <f>(((0.621*1000^0.564)/0.2))*D37/1000+K36*inputs!$C$53</f>
        <v>0.24247087261981223</v>
      </c>
      <c r="L37" s="7">
        <f>(((0.648*20^0.651)/0.2))*H37/20+L36*inputs!$C$54</f>
        <v>0.82959928276411332</v>
      </c>
      <c r="M37" s="7">
        <f>(((0.013*2^0.773)/0.2))*H37/2+M36*inputs!$C$54</f>
        <v>4.045408417759043E-2</v>
      </c>
      <c r="N37" s="7">
        <f>O37*0.015*inputs!$C$56</f>
        <v>0.69622032188729377</v>
      </c>
      <c r="O37" s="7">
        <f>IF((B37&gt;B36), (EXP(-LN(2)/inputs!$C$52)*O36+$O$3), (EXP(-LN(2)/inputs!$C$52)*O36))</f>
        <v>7.5104673342750131E-2</v>
      </c>
      <c r="P37" s="3">
        <f>IF((B37&gt;B36), (EXP(-LN(2)/inputs!$C$52)*P36+$P$3), (EXP(-LN(2)/inputs!$C$52)*P36))</f>
        <v>7.2574015470393632E-2</v>
      </c>
      <c r="Q37" s="19">
        <f>IF((F37*0.62*1/(0.012*(10^inputs!$C$55)))&gt;inputs!$C$57, inputs!$C$57, (F37*0.62*1/(0.012*(10^inputs!$C$55))))</f>
        <v>6.477067082624118E-3</v>
      </c>
      <c r="R37" s="3">
        <f>IF((B37&gt;B36), (EXP(-LN(2)/inputs!$C$51)*R36+$R$3), (EXP(-LN(2)/inputs!$C$51)*R36))</f>
        <v>1.5049103423182687E-8</v>
      </c>
      <c r="T37" s="7">
        <f>IF(T36&lt;(inputs!$C$9-1),(1+T36),0)</f>
        <v>0</v>
      </c>
      <c r="U37" s="7">
        <f>IF(inputs!$C$8&gt;U36,IF(T36=(inputs!$C$9-1),(U36+1),U36), U36)</f>
        <v>1</v>
      </c>
      <c r="V37" s="7">
        <f t="shared" si="0"/>
        <v>34</v>
      </c>
      <c r="W37" s="8">
        <f>IF((U37&gt;U36), (EXP(-LN(2)/inputs!$C$51)*W36+$W$3), (EXP(-LN(2)/inputs!$C$51)*W36))</f>
        <v>0.49802725297515416</v>
      </c>
      <c r="X37" s="8">
        <f>IF((U37&gt;U36), (EXP(-LN(2)/inputs!$C$51)*X36+$X$3), (EXP(-LN(2)/inputs!$C$51)*X36))</f>
        <v>0.21092918949535938</v>
      </c>
      <c r="Y37" s="8">
        <f>IF((U37&gt;U36), (EXP(-LN(2)/inputs!$C$51)*Y36+$Y$3), (EXP(-LN(2)/inputs!$C$51)*Y36))</f>
        <v>0.26366148686919932</v>
      </c>
      <c r="Z37" s="8">
        <f>IF((U37&gt;U36), (EXP(-LN(2)/inputs!$C$51)*Z36+$Z$3), (EXP(-LN(2)/inputs!$C$51)*Z36))</f>
        <v>4.1014009068542107E-2</v>
      </c>
      <c r="AA37" s="8">
        <f>IF((U37&gt;U36), (EXP(-LN(2)/inputs!$C$51)*AA36+$AA$3), (EXP(-LN(2)/inputs!$C$51)*AA36))</f>
        <v>0.38084436992217668</v>
      </c>
      <c r="AB37" s="7">
        <f>(((0.621*15^0.564)/0.2))*W37/15+AB36*inputs!$C$53</f>
        <v>0.53590951812863952</v>
      </c>
      <c r="AC37" s="7">
        <f>(((0.621*1000^0.564)/0.2))*W37/1000+AC36*inputs!$C$53</f>
        <v>8.5875100719516817E-2</v>
      </c>
      <c r="AD37" s="7">
        <f>(((0.648*20^0.651)/0.2))*AA37/20+AD36*inputs!$C$54</f>
        <v>0.57365907850709974</v>
      </c>
      <c r="AE37" s="7">
        <f>(((0.013*2^0.773)/0.2))*AA37/2+AE36*inputs!$C$54</f>
        <v>2.7973568846206151E-2</v>
      </c>
    </row>
    <row r="38" spans="1:31" x14ac:dyDescent="0.3">
      <c r="A38" s="7">
        <f>IF(A37&lt;(inputs!$C$9-1),(1+A37),0)</f>
        <v>0</v>
      </c>
      <c r="B38" s="7">
        <f>IF(inputs!$C$8&gt;B37,IF(A37=(inputs!$C$9-1),(B37+1),B37), B37)</f>
        <v>1</v>
      </c>
      <c r="C38" s="7">
        <f t="shared" si="1"/>
        <v>35</v>
      </c>
      <c r="D38" s="8">
        <f>IF((B38&gt;B37), (EXP(-LN(2)/inputs!$C$51)*D37+$D$3), (EXP(-LN(2)/inputs!$C$51)*D37))</f>
        <v>1.2338072344754232</v>
      </c>
      <c r="E38" s="8">
        <f>IF((B38&gt;B37), (EXP(-LN(2)/inputs!$C$51)*E37+$E$3), (EXP(-LN(2)/inputs!$C$51)*E37))</f>
        <v>0.5654949824679022</v>
      </c>
      <c r="F38" s="8">
        <f>IF((B38&gt;B37), (EXP(-LN(2)/inputs!$C$51)*F37+$F$3), (EXP(-LN(2)/inputs!$C$51)*F37))</f>
        <v>0.69401656939242562</v>
      </c>
      <c r="G38" s="8">
        <f>IF((B38&gt;B37), (EXP(-LN(2)/inputs!$C$51)*G37+$G$3), (EXP(-LN(2)/inputs!$C$51)*G37))</f>
        <v>7.7112952154713948E-2</v>
      </c>
      <c r="H38" s="8">
        <f>IF((B38&gt;B37), (EXP(-LN(2)/inputs!$C$51)*H37+$H$3), (EXP(-LN(2)/inputs!$C$51)*H37))</f>
        <v>0.48324116683620721</v>
      </c>
      <c r="I38" s="7">
        <f>O38*(10^inputs!$C$55)*0.01/1</f>
        <v>4.6431545340912121</v>
      </c>
      <c r="J38" s="7">
        <f>(((0.621*15^0.564)/0.2))*D38/15+J37*inputs!$C$53</f>
        <v>1.3276563411768554</v>
      </c>
      <c r="K38" s="7">
        <f>(((0.621*1000^0.564)/0.2))*D38/1000+K37*inputs!$C$53</f>
        <v>0.21274602925059469</v>
      </c>
      <c r="L38" s="7">
        <f>(((0.648*20^0.651)/0.2))*H38/20+L37*inputs!$C$54</f>
        <v>0.72789754649806615</v>
      </c>
      <c r="M38" s="7">
        <f>(((0.013*2^0.773)/0.2))*H38/2+M37*inputs!$C$54</f>
        <v>3.5494761423349792E-2</v>
      </c>
      <c r="N38" s="7">
        <f>O38*0.015*inputs!$C$56</f>
        <v>0.6821704019704401</v>
      </c>
      <c r="O38" s="7">
        <f>IF((B38&gt;B37), (EXP(-LN(2)/inputs!$C$52)*O37+$O$3), (EXP(-LN(2)/inputs!$C$52)*O37))</f>
        <v>7.3589040126261079E-2</v>
      </c>
      <c r="P38" s="3">
        <f>IF((B38&gt;B37), (EXP(-LN(2)/inputs!$C$52)*P37+$P$3), (EXP(-LN(2)/inputs!$C$52)*P37))</f>
        <v>7.1109451634280008E-2</v>
      </c>
      <c r="Q38" s="19">
        <f>IF((F38*0.62*1/(0.012*(10^inputs!$C$55)))&gt;inputs!$C$57, inputs!$C$57, (F38*0.62*1/(0.012*(10^inputs!$C$55))))</f>
        <v>5.6830343708072287E-3</v>
      </c>
      <c r="R38" s="3">
        <f>IF((B38&gt;B37), (EXP(-LN(2)/inputs!$C$51)*R37+$R$3), (EXP(-LN(2)/inputs!$C$51)*R37))</f>
        <v>1.3204212788410791E-8</v>
      </c>
      <c r="T38" s="7">
        <f>IF(T37&lt;(inputs!$C$9-1),(1+T37),0)</f>
        <v>0</v>
      </c>
      <c r="U38" s="7">
        <f>IF(inputs!$C$8&gt;U37,IF(T37=(inputs!$C$9-1),(U37+1),U37), U37)</f>
        <v>1</v>
      </c>
      <c r="V38" s="7">
        <f t="shared" si="0"/>
        <v>35</v>
      </c>
      <c r="W38" s="8">
        <f>IF((U38&gt;U37), (EXP(-LN(2)/inputs!$C$51)*W37+$W$3), (EXP(-LN(2)/inputs!$C$51)*W37))</f>
        <v>0.43697339554337894</v>
      </c>
      <c r="X38" s="8">
        <f>IF((U38&gt;U37), (EXP(-LN(2)/inputs!$C$51)*X37+$X$3), (EXP(-LN(2)/inputs!$C$51)*X37))</f>
        <v>0.1850710851713134</v>
      </c>
      <c r="Y38" s="8">
        <f>IF((U38&gt;U37), (EXP(-LN(2)/inputs!$C$51)*Y37+$Y$3), (EXP(-LN(2)/inputs!$C$51)*Y37))</f>
        <v>0.23133885646414185</v>
      </c>
      <c r="Z38" s="8">
        <f>IF((U38&gt;U37), (EXP(-LN(2)/inputs!$C$51)*Z37+$Z$3), (EXP(-LN(2)/inputs!$C$51)*Z37))</f>
        <v>3.5986044338866499E-2</v>
      </c>
      <c r="AA38" s="8">
        <f>IF((U38&gt;U37), (EXP(-LN(2)/inputs!$C$51)*AA37+$AA$3), (EXP(-LN(2)/inputs!$C$51)*AA37))</f>
        <v>0.33415612600376032</v>
      </c>
      <c r="AB38" s="7">
        <f>(((0.621*15^0.564)/0.2))*W38/15+AB37*inputs!$C$53</f>
        <v>0.47021162083346946</v>
      </c>
      <c r="AC38" s="7">
        <f>(((0.621*1000^0.564)/0.2))*W38/1000+AC37*inputs!$C$53</f>
        <v>7.5347552026252276E-2</v>
      </c>
      <c r="AD38" s="7">
        <f>(((0.648*20^0.651)/0.2))*AA38/20+AD37*inputs!$C$54</f>
        <v>0.50333340981249253</v>
      </c>
      <c r="AE38" s="7">
        <f>(((0.013*2^0.773)/0.2))*AA38/2+AE37*inputs!$C$54</f>
        <v>2.4544249920401454E-2</v>
      </c>
    </row>
    <row r="39" spans="1:31" x14ac:dyDescent="0.3">
      <c r="A39" s="7">
        <f>IF(A38&lt;(inputs!$C$9-1),(1+A38),0)</f>
        <v>0</v>
      </c>
      <c r="B39" s="7">
        <f>IF(inputs!$C$8&gt;B38,IF(A38=(inputs!$C$9-1),(B38+1),B38), B38)</f>
        <v>1</v>
      </c>
      <c r="C39" s="7">
        <f t="shared" si="1"/>
        <v>36</v>
      </c>
      <c r="D39" s="8">
        <f>IF((B39&gt;B38), (EXP(-LN(2)/inputs!$C$51)*D38+$D$3), (EXP(-LN(2)/inputs!$C$51)*D38))</f>
        <v>1.0825530801255339</v>
      </c>
      <c r="E39" s="8">
        <f>IF((B39&gt;B38), (EXP(-LN(2)/inputs!$C$51)*E38+$E$3), (EXP(-LN(2)/inputs!$C$51)*E38))</f>
        <v>0.49617016172420292</v>
      </c>
      <c r="F39" s="8">
        <f>IF((B39&gt;B38), (EXP(-LN(2)/inputs!$C$51)*F38+$F$3), (EXP(-LN(2)/inputs!$C$51)*F38))</f>
        <v>0.60893610757061289</v>
      </c>
      <c r="G39" s="8">
        <f>IF((B39&gt;B38), (EXP(-LN(2)/inputs!$C$51)*G38+$G$3), (EXP(-LN(2)/inputs!$C$51)*G38))</f>
        <v>6.7659567507845866E-2</v>
      </c>
      <c r="H39" s="8">
        <f>IF((B39&gt;B38), (EXP(-LN(2)/inputs!$C$51)*H38+$H$3), (EXP(-LN(2)/inputs!$C$51)*H38))</f>
        <v>0.4239999563825006</v>
      </c>
      <c r="I39" s="7">
        <f>O39*(10^inputs!$C$55)*0.01/1</f>
        <v>4.5494543829828435</v>
      </c>
      <c r="J39" s="7">
        <f>(((0.621*15^0.564)/0.2))*D39/15+J38*inputs!$C$53</f>
        <v>1.1648970935887559</v>
      </c>
      <c r="K39" s="7">
        <f>(((0.621*1000^0.564)/0.2))*D39/1000+K38*inputs!$C$53</f>
        <v>0.18666519600010972</v>
      </c>
      <c r="L39" s="7">
        <f>(((0.648*20^0.651)/0.2))*H39/20+L38*inputs!$C$54</f>
        <v>0.63866356831043269</v>
      </c>
      <c r="M39" s="7">
        <f>(((0.013*2^0.773)/0.2))*H39/2+M38*inputs!$C$54</f>
        <v>3.1143408981148833E-2</v>
      </c>
      <c r="N39" s="7">
        <f>O39*0.015*inputs!$C$56</f>
        <v>0.668404013348874</v>
      </c>
      <c r="O39" s="7">
        <f>IF((B39&gt;B38), (EXP(-LN(2)/inputs!$C$52)*O38+$O$3), (EXP(-LN(2)/inputs!$C$52)*O38))</f>
        <v>7.2103992810018766E-2</v>
      </c>
      <c r="P39" s="3">
        <f>IF((B39&gt;B38), (EXP(-LN(2)/inputs!$C$52)*P38+$P$3), (EXP(-LN(2)/inputs!$C$52)*P38))</f>
        <v>6.9674443104099912E-2</v>
      </c>
      <c r="Q39" s="19">
        <f>IF((F39*0.62*1/(0.012*(10^inputs!$C$55)))&gt;inputs!$C$57, inputs!$C$57, (F39*0.62*1/(0.012*(10^inputs!$C$55))))</f>
        <v>4.9863432395842299E-3</v>
      </c>
      <c r="R39" s="3">
        <f>IF((B39&gt;B38), (EXP(-LN(2)/inputs!$C$51)*R38+$R$3), (EXP(-LN(2)/inputs!$C$51)*R38))</f>
        <v>1.1585489876629347E-8</v>
      </c>
      <c r="T39" s="7">
        <f>IF(T38&lt;(inputs!$C$9-1),(1+T38),0)</f>
        <v>0</v>
      </c>
      <c r="U39" s="7">
        <f>IF(inputs!$C$8&gt;U38,IF(T38=(inputs!$C$9-1),(U38+1),U38), U38)</f>
        <v>1</v>
      </c>
      <c r="V39" s="7">
        <f t="shared" si="0"/>
        <v>36</v>
      </c>
      <c r="W39" s="8">
        <f>IF((U39&gt;U38), (EXP(-LN(2)/inputs!$C$51)*W38+$W$3), (EXP(-LN(2)/inputs!$C$51)*W38))</f>
        <v>0.38340421587779316</v>
      </c>
      <c r="X39" s="8">
        <f>IF((U39&gt;U38), (EXP(-LN(2)/inputs!$C$51)*X38+$X$3), (EXP(-LN(2)/inputs!$C$51)*X38))</f>
        <v>0.16238296201883001</v>
      </c>
      <c r="Y39" s="8">
        <f>IF((U39&gt;U38), (EXP(-LN(2)/inputs!$C$51)*Y38+$Y$3), (EXP(-LN(2)/inputs!$C$51)*Y38))</f>
        <v>0.20297870252353761</v>
      </c>
      <c r="Z39" s="8">
        <f>IF((U39&gt;U38), (EXP(-LN(2)/inputs!$C$51)*Z38+$Z$3), (EXP(-LN(2)/inputs!$C$51)*Z38))</f>
        <v>3.1574464836994727E-2</v>
      </c>
      <c r="AA39" s="8">
        <f>IF((U39&gt;U38), (EXP(-LN(2)/inputs!$C$51)*AA38+$AA$3), (EXP(-LN(2)/inputs!$C$51)*AA38))</f>
        <v>0.29319145920066531</v>
      </c>
      <c r="AB39" s="7">
        <f>(((0.621*15^0.564)/0.2))*W39/15+AB38*inputs!$C$53</f>
        <v>0.41256772064601771</v>
      </c>
      <c r="AC39" s="7">
        <f>(((0.621*1000^0.564)/0.2))*W39/1000+AC38*inputs!$C$53</f>
        <v>6.6110590250038848E-2</v>
      </c>
      <c r="AD39" s="7">
        <f>(((0.648*20^0.651)/0.2))*AA39/20+AD38*inputs!$C$54</f>
        <v>0.4416290631933843</v>
      </c>
      <c r="AE39" s="7">
        <f>(((0.013*2^0.773)/0.2))*AA39/2+AE38*inputs!$C$54</f>
        <v>2.1535335997602916E-2</v>
      </c>
    </row>
    <row r="40" spans="1:31" x14ac:dyDescent="0.3">
      <c r="A40" s="7">
        <f>IF(A39&lt;(inputs!$C$9-1),(1+A39),0)</f>
        <v>0</v>
      </c>
      <c r="B40" s="7">
        <f>IF(inputs!$C$8&gt;B39,IF(A39=(inputs!$C$9-1),(B39+1),B39), B39)</f>
        <v>1</v>
      </c>
      <c r="C40" s="7">
        <f t="shared" si="1"/>
        <v>37</v>
      </c>
      <c r="D40" s="8">
        <f>IF((B40&gt;B39), (EXP(-LN(2)/inputs!$C$51)*D39+$D$3), (EXP(-LN(2)/inputs!$C$51)*D39))</f>
        <v>0.94984138408585783</v>
      </c>
      <c r="E40" s="8">
        <f>IF((B40&gt;B39), (EXP(-LN(2)/inputs!$C$51)*E39+$E$3), (EXP(-LN(2)/inputs!$C$51)*E39))</f>
        <v>0.43534396770601813</v>
      </c>
      <c r="F40" s="8">
        <f>IF((B40&gt;B39), (EXP(-LN(2)/inputs!$C$51)*F39+$F$3), (EXP(-LN(2)/inputs!$C$51)*F39))</f>
        <v>0.53428577854829518</v>
      </c>
      <c r="G40" s="8">
        <f>IF((B40&gt;B39), (EXP(-LN(2)/inputs!$C$51)*G39+$G$3), (EXP(-LN(2)/inputs!$C$51)*G39))</f>
        <v>5.9365086505366114E-2</v>
      </c>
      <c r="H40" s="8">
        <f>IF((B40&gt;B39), (EXP(-LN(2)/inputs!$C$51)*H39+$H$3), (EXP(-LN(2)/inputs!$C$51)*H39))</f>
        <v>0.37202120876696088</v>
      </c>
      <c r="I40" s="7">
        <f>O40*(10^inputs!$C$55)*0.01/1</f>
        <v>4.4576451270090791</v>
      </c>
      <c r="J40" s="7">
        <f>(((0.621*15^0.564)/0.2))*D40/15+J39*inputs!$C$53</f>
        <v>1.0220907297807791</v>
      </c>
      <c r="K40" s="7">
        <f>(((0.621*1000^0.564)/0.2))*D40/1000+K39*inputs!$C$53</f>
        <v>0.16378164857176519</v>
      </c>
      <c r="L40" s="7">
        <f>(((0.648*20^0.651)/0.2))*H40/20+L39*inputs!$C$54</f>
        <v>0.56036890830225983</v>
      </c>
      <c r="M40" s="7">
        <f>(((0.013*2^0.773)/0.2))*H40/2+M39*inputs!$C$54</f>
        <v>2.7325494920190031E-2</v>
      </c>
      <c r="N40" s="7">
        <f>O40*0.015*inputs!$C$56</f>
        <v>0.65491543428212362</v>
      </c>
      <c r="O40" s="7">
        <f>IF((B40&gt;B39), (EXP(-LN(2)/inputs!$C$52)*O39+$O$3), (EXP(-LN(2)/inputs!$C$52)*O39))</f>
        <v>7.0648914162041387E-2</v>
      </c>
      <c r="P40" s="3">
        <f>IF((B40&gt;B39), (EXP(-LN(2)/inputs!$C$52)*P39+$P$3), (EXP(-LN(2)/inputs!$C$52)*P39))</f>
        <v>6.8268393445551689E-2</v>
      </c>
      <c r="Q40" s="19">
        <f>IF((F40*0.62*1/(0.012*(10^inputs!$C$55)))&gt;inputs!$C$57, inputs!$C$57, (F40*0.62*1/(0.012*(10^inputs!$C$55))))</f>
        <v>4.3750604484582211E-3</v>
      </c>
      <c r="R40" s="3">
        <f>IF((B40&gt;B39), (EXP(-LN(2)/inputs!$C$51)*R39+$R$3), (EXP(-LN(2)/inputs!$C$51)*R39))</f>
        <v>1.0165208470382104E-8</v>
      </c>
      <c r="T40" s="7">
        <f>IF(T39&lt;(inputs!$C$9-1),(1+T39),0)</f>
        <v>0</v>
      </c>
      <c r="U40" s="7">
        <f>IF(inputs!$C$8&gt;U39,IF(T39=(inputs!$C$9-1),(U39+1),U39), U39)</f>
        <v>1</v>
      </c>
      <c r="V40" s="7">
        <f t="shared" si="0"/>
        <v>37</v>
      </c>
      <c r="W40" s="8">
        <f>IF((U40&gt;U39), (EXP(-LN(2)/inputs!$C$51)*W39+$W$3), (EXP(-LN(2)/inputs!$C$51)*W39))</f>
        <v>0.33640215686374125</v>
      </c>
      <c r="X40" s="8">
        <f>IF((U40&gt;U39), (EXP(-LN(2)/inputs!$C$51)*X39+$X$3), (EXP(-LN(2)/inputs!$C$51)*X39))</f>
        <v>0.14247620761287863</v>
      </c>
      <c r="Y40" s="8">
        <f>IF((U40&gt;U39), (EXP(-LN(2)/inputs!$C$51)*Y39+$Y$3), (EXP(-LN(2)/inputs!$C$51)*Y39))</f>
        <v>0.17809525951609836</v>
      </c>
      <c r="Z40" s="8">
        <f>IF((U40&gt;U39), (EXP(-LN(2)/inputs!$C$51)*Z39+$Z$3), (EXP(-LN(2)/inputs!$C$51)*Z39))</f>
        <v>2.7703707035837511E-2</v>
      </c>
      <c r="AA40" s="8">
        <f>IF((U40&gt;U39), (EXP(-LN(2)/inputs!$C$51)*AA39+$AA$3), (EXP(-LN(2)/inputs!$C$51)*AA39))</f>
        <v>0.25724870818991974</v>
      </c>
      <c r="AB40" s="7">
        <f>(((0.621*15^0.564)/0.2))*W40/15+AB39*inputs!$C$53</f>
        <v>0.36199046679735919</v>
      </c>
      <c r="AC40" s="7">
        <f>(((0.621*1000^0.564)/0.2))*W40/1000+AC39*inputs!$C$53</f>
        <v>5.8006000535833498E-2</v>
      </c>
      <c r="AD40" s="7">
        <f>(((0.648*20^0.651)/0.2))*AA40/20+AD39*inputs!$C$54</f>
        <v>0.38748913871964774</v>
      </c>
      <c r="AE40" s="7">
        <f>(((0.013*2^0.773)/0.2))*AA40/2+AE39*inputs!$C$54</f>
        <v>1.8895289040556935E-2</v>
      </c>
    </row>
    <row r="41" spans="1:31" x14ac:dyDescent="0.3">
      <c r="A41" s="7">
        <f>IF(A40&lt;(inputs!$C$9-1),(1+A40),0)</f>
        <v>0</v>
      </c>
      <c r="B41" s="7">
        <f>IF(inputs!$C$8&gt;B40,IF(A40=(inputs!$C$9-1),(B40+1),B40), B40)</f>
        <v>1</v>
      </c>
      <c r="C41" s="7">
        <f t="shared" si="1"/>
        <v>38</v>
      </c>
      <c r="D41" s="8">
        <f>IF((B41&gt;B40), (EXP(-LN(2)/inputs!$C$51)*D40+$D$3), (EXP(-LN(2)/inputs!$C$51)*D40))</f>
        <v>0.83339900046057636</v>
      </c>
      <c r="E41" s="8">
        <f>IF((B41&gt;B40), (EXP(-LN(2)/inputs!$C$51)*E40+$E$3), (EXP(-LN(2)/inputs!$C$51)*E40))</f>
        <v>0.38197454187776414</v>
      </c>
      <c r="F41" s="8">
        <f>IF((B41&gt;B40), (EXP(-LN(2)/inputs!$C$51)*F40+$F$3), (EXP(-LN(2)/inputs!$C$51)*F40))</f>
        <v>0.46878693775907432</v>
      </c>
      <c r="G41" s="8">
        <f>IF((B41&gt;B40), (EXP(-LN(2)/inputs!$C$51)*G40+$G$3), (EXP(-LN(2)/inputs!$C$51)*G40))</f>
        <v>5.2087437528786022E-2</v>
      </c>
      <c r="H41" s="8">
        <f>IF((B41&gt;B40), (EXP(-LN(2)/inputs!$C$51)*H40+$H$3), (EXP(-LN(2)/inputs!$C$51)*H40))</f>
        <v>0.32641460851372567</v>
      </c>
      <c r="I41" s="7">
        <f>O41*(10^inputs!$C$55)*0.01/1</f>
        <v>4.367688607379697</v>
      </c>
      <c r="J41" s="7">
        <f>(((0.621*15^0.564)/0.2))*D41/15+J40*inputs!$C$53</f>
        <v>0.89679119782627392</v>
      </c>
      <c r="K41" s="7">
        <f>(((0.621*1000^0.564)/0.2))*D41/1000+K40*inputs!$C$53</f>
        <v>0.14370342722523072</v>
      </c>
      <c r="L41" s="7">
        <f>(((0.648*20^0.651)/0.2))*H41/20+L40*inputs!$C$54</f>
        <v>0.49167250015932534</v>
      </c>
      <c r="M41" s="7">
        <f>(((0.013*2^0.773)/0.2))*H41/2+M40*inputs!$C$54</f>
        <v>2.3975624283305005E-2</v>
      </c>
      <c r="N41" s="7">
        <f>O41*0.015*inputs!$C$56</f>
        <v>0.64169905849603348</v>
      </c>
      <c r="O41" s="7">
        <f>IF((B41&gt;B40), (EXP(-LN(2)/inputs!$C$52)*O40+$O$3), (EXP(-LN(2)/inputs!$C$52)*O40))</f>
        <v>6.9223199406260358E-2</v>
      </c>
      <c r="P41" s="3">
        <f>IF((B41&gt;B40), (EXP(-LN(2)/inputs!$C$52)*P40+$P$3), (EXP(-LN(2)/inputs!$C$52)*P40))</f>
        <v>6.6890718260543922E-2</v>
      </c>
      <c r="Q41" s="19">
        <f>IF((F41*0.62*1/(0.012*(10^inputs!$C$55)))&gt;inputs!$C$57, inputs!$C$57, (F41*0.62*1/(0.012*(10^inputs!$C$55))))</f>
        <v>3.838715669573414E-3</v>
      </c>
      <c r="R41" s="3">
        <f>IF((B41&gt;B40), (EXP(-LN(2)/inputs!$C$51)*R40+$R$3), (EXP(-LN(2)/inputs!$C$51)*R40))</f>
        <v>8.9190413479858031E-9</v>
      </c>
      <c r="T41" s="7">
        <f>IF(T40&lt;(inputs!$C$9-1),(1+T40),0)</f>
        <v>0</v>
      </c>
      <c r="U41" s="7">
        <f>IF(inputs!$C$8&gt;U40,IF(T40=(inputs!$C$9-1),(U40+1),U40), U40)</f>
        <v>1</v>
      </c>
      <c r="V41" s="7">
        <f t="shared" si="0"/>
        <v>38</v>
      </c>
      <c r="W41" s="8">
        <f>IF((U41&gt;U40), (EXP(-LN(2)/inputs!$C$51)*W40+$W$3), (EXP(-LN(2)/inputs!$C$51)*W40))</f>
        <v>0.29516214599645407</v>
      </c>
      <c r="X41" s="8">
        <f>IF((U41&gt;U40), (EXP(-LN(2)/inputs!$C$51)*X40+$X$3), (EXP(-LN(2)/inputs!$C$51)*X40))</f>
        <v>0.12500985006908641</v>
      </c>
      <c r="Y41" s="8">
        <f>IF((U41&gt;U40), (EXP(-LN(2)/inputs!$C$51)*Y40+$Y$3), (EXP(-LN(2)/inputs!$C$51)*Y40))</f>
        <v>0.15626231258635809</v>
      </c>
      <c r="Z41" s="8">
        <f>IF((U41&gt;U40), (EXP(-LN(2)/inputs!$C$51)*Z40+$Z$3), (EXP(-LN(2)/inputs!$C$51)*Z40))</f>
        <v>2.4307470846766804E-2</v>
      </c>
      <c r="AA41" s="8">
        <f>IF((U41&gt;U40), (EXP(-LN(2)/inputs!$C$51)*AA40+$AA$3), (EXP(-LN(2)/inputs!$C$51)*AA40))</f>
        <v>0.22571222929140602</v>
      </c>
      <c r="AB41" s="7">
        <f>(((0.621*15^0.564)/0.2))*W41/15+AB40*inputs!$C$53</f>
        <v>0.31761354923013863</v>
      </c>
      <c r="AC41" s="7">
        <f>(((0.621*1000^0.564)/0.2))*W41/1000+AC40*inputs!$C$53</f>
        <v>5.0894963808935864E-2</v>
      </c>
      <c r="AD41" s="7">
        <f>(((0.648*20^0.651)/0.2))*AA41/20+AD40*inputs!$C$54</f>
        <v>0.33998630330166107</v>
      </c>
      <c r="AE41" s="7">
        <f>(((0.013*2^0.773)/0.2))*AA41/2+AE40*inputs!$C$54</f>
        <v>1.6578889132072609E-2</v>
      </c>
    </row>
    <row r="42" spans="1:31" x14ac:dyDescent="0.3">
      <c r="A42" s="7">
        <f>IF(A41&lt;(inputs!$C$9-1),(1+A41),0)</f>
        <v>0</v>
      </c>
      <c r="B42" s="7">
        <f>IF(inputs!$C$8&gt;B41,IF(A41=(inputs!$C$9-1),(B41+1),B41), B41)</f>
        <v>1</v>
      </c>
      <c r="C42" s="7">
        <f t="shared" si="1"/>
        <v>39</v>
      </c>
      <c r="D42" s="8">
        <f>IF((B42&gt;B41), (EXP(-LN(2)/inputs!$C$51)*D41+$D$3), (EXP(-LN(2)/inputs!$C$51)*D41))</f>
        <v>0.73123145148822632</v>
      </c>
      <c r="E42" s="8">
        <f>IF((B42&gt;B41), (EXP(-LN(2)/inputs!$C$51)*E41+$E$3), (EXP(-LN(2)/inputs!$C$51)*E41))</f>
        <v>0.33514774859877039</v>
      </c>
      <c r="F42" s="8">
        <f>IF((B42&gt;B41), (EXP(-LN(2)/inputs!$C$51)*F41+$F$3), (EXP(-LN(2)/inputs!$C$51)*F41))</f>
        <v>0.41131769146212743</v>
      </c>
      <c r="G42" s="8">
        <f>IF((B42&gt;B41), (EXP(-LN(2)/inputs!$C$51)*G41+$G$3), (EXP(-LN(2)/inputs!$C$51)*G41))</f>
        <v>4.5701965718014145E-2</v>
      </c>
      <c r="H42" s="8">
        <f>IF((B42&gt;B41), (EXP(-LN(2)/inputs!$C$51)*H41+$H$3), (EXP(-LN(2)/inputs!$C$51)*H41))</f>
        <v>0.28639898516622192</v>
      </c>
      <c r="I42" s="7">
        <f>O42*(10^inputs!$C$55)*0.01/1</f>
        <v>4.2795474353594809</v>
      </c>
      <c r="J42" s="7">
        <f>(((0.621*15^0.564)/0.2))*D42/15+J41*inputs!$C$53</f>
        <v>0.78685231072507389</v>
      </c>
      <c r="K42" s="7">
        <f>(((0.621*1000^0.564)/0.2))*D42/1000+K41*inputs!$C$53</f>
        <v>0.12608662311289748</v>
      </c>
      <c r="L42" s="7">
        <f>(((0.648*20^0.651)/0.2))*H42/20+L41*inputs!$C$54</f>
        <v>0.43139768076234447</v>
      </c>
      <c r="M42" s="7">
        <f>(((0.013*2^0.773)/0.2))*H42/2+M41*inputs!$C$54</f>
        <v>2.1036418972579289E-2</v>
      </c>
      <c r="N42" s="7">
        <f>O42*0.015*inputs!$C$56</f>
        <v>0.62874939285262099</v>
      </c>
      <c r="O42" s="7">
        <f>IF((B42&gt;B41), (EXP(-LN(2)/inputs!$C$52)*O41+$O$3), (EXP(-LN(2)/inputs!$C$52)*O41))</f>
        <v>6.7826255971156518E-2</v>
      </c>
      <c r="P42" s="3">
        <f>IF((B42&gt;B41), (EXP(-LN(2)/inputs!$C$52)*P41+$P$3), (EXP(-LN(2)/inputs!$C$52)*P41))</f>
        <v>6.5540844944301388E-2</v>
      </c>
      <c r="Q42" s="19">
        <f>IF((F42*0.62*1/(0.012*(10^inputs!$C$55)))&gt;inputs!$C$57, inputs!$C$57, (F42*0.62*1/(0.012*(10^inputs!$C$55))))</f>
        <v>3.3681221472085868E-3</v>
      </c>
      <c r="R42" s="3">
        <f>IF((B42&gt;B41), (EXP(-LN(2)/inputs!$C$51)*R41+$R$3), (EXP(-LN(2)/inputs!$C$51)*R41))</f>
        <v>7.8256435958848763E-9</v>
      </c>
      <c r="T42" s="7">
        <f>IF(T41&lt;(inputs!$C$9-1),(1+T41),0)</f>
        <v>0</v>
      </c>
      <c r="U42" s="7">
        <f>IF(inputs!$C$8&gt;U41,IF(T41=(inputs!$C$9-1),(U41+1),U41), U41)</f>
        <v>1</v>
      </c>
      <c r="V42" s="7">
        <f t="shared" si="0"/>
        <v>39</v>
      </c>
      <c r="W42" s="8">
        <f>IF((U42&gt;U41), (EXP(-LN(2)/inputs!$C$51)*W41+$W$3), (EXP(-LN(2)/inputs!$C$51)*W41))</f>
        <v>0.25897780573541346</v>
      </c>
      <c r="X42" s="8">
        <f>IF((U42&gt;U41), (EXP(-LN(2)/inputs!$C$51)*X41+$X$3), (EXP(-LN(2)/inputs!$C$51)*X41))</f>
        <v>0.10968471772323392</v>
      </c>
      <c r="Y42" s="8">
        <f>IF((U42&gt;U41), (EXP(-LN(2)/inputs!$C$51)*Y41+$Y$3), (EXP(-LN(2)/inputs!$C$51)*Y41))</f>
        <v>0.13710589715404248</v>
      </c>
      <c r="Z42" s="8">
        <f>IF((U42&gt;U41), (EXP(-LN(2)/inputs!$C$51)*Z41+$Z$3), (EXP(-LN(2)/inputs!$C$51)*Z41))</f>
        <v>2.1327584001739931E-2</v>
      </c>
      <c r="AA42" s="8">
        <f>IF((U42&gt;U41), (EXP(-LN(2)/inputs!$C$51)*AA41+$AA$3), (EXP(-LN(2)/inputs!$C$51)*AA41))</f>
        <v>0.19804185144472791</v>
      </c>
      <c r="AB42" s="7">
        <f>(((0.621*15^0.564)/0.2))*W42/15+AB41*inputs!$C$53</f>
        <v>0.27867686004846365</v>
      </c>
      <c r="AC42" s="7">
        <f>(((0.621*1000^0.564)/0.2))*W42/1000+AC41*inputs!$C$53</f>
        <v>4.4655679019151177E-2</v>
      </c>
      <c r="AD42" s="7">
        <f>(((0.648*20^0.651)/0.2))*AA42/20+AD41*inputs!$C$54</f>
        <v>0.29830690691013179</v>
      </c>
      <c r="AE42" s="7">
        <f>(((0.013*2^0.773)/0.2))*AA42/2+AE41*inputs!$C$54</f>
        <v>1.454645992784738E-2</v>
      </c>
    </row>
    <row r="43" spans="1:31" x14ac:dyDescent="0.3">
      <c r="A43" s="7">
        <f>IF(A42&lt;(inputs!$C$9-1),(1+A42),0)</f>
        <v>0</v>
      </c>
      <c r="B43" s="7">
        <f>IF(inputs!$C$8&gt;B42,IF(A42=(inputs!$C$9-1),(B42+1),B42), B42)</f>
        <v>1</v>
      </c>
      <c r="C43" s="7">
        <f t="shared" si="1"/>
        <v>40</v>
      </c>
      <c r="D43" s="8">
        <f>IF((B43&gt;B42), (EXP(-LN(2)/inputs!$C$51)*D42+$D$3), (EXP(-LN(2)/inputs!$C$51)*D42))</f>
        <v>0.64158876522539354</v>
      </c>
      <c r="E43" s="8">
        <f>IF((B43&gt;B42), (EXP(-LN(2)/inputs!$C$51)*E42+$E$3), (EXP(-LN(2)/inputs!$C$51)*E42))</f>
        <v>0.29406151739497199</v>
      </c>
      <c r="F43" s="8">
        <f>IF((B43&gt;B42), (EXP(-LN(2)/inputs!$C$51)*F42+$F$3), (EXP(-LN(2)/inputs!$C$51)*F42))</f>
        <v>0.36089368043928394</v>
      </c>
      <c r="G43" s="8">
        <f>IF((B43&gt;B42), (EXP(-LN(2)/inputs!$C$51)*G42+$G$3), (EXP(-LN(2)/inputs!$C$51)*G42))</f>
        <v>4.0099297826587096E-2</v>
      </c>
      <c r="H43" s="8">
        <f>IF((B43&gt;B42), (EXP(-LN(2)/inputs!$C$51)*H42+$H$3), (EXP(-LN(2)/inputs!$C$51)*H42))</f>
        <v>0.25128893304661243</v>
      </c>
      <c r="I43" s="7">
        <f>O43*(10^inputs!$C$55)*0.01/1</f>
        <v>4.1931849767283031</v>
      </c>
      <c r="J43" s="7">
        <f>(((0.621*15^0.564)/0.2))*D43/15+J42*inputs!$C$53</f>
        <v>0.69039098554279876</v>
      </c>
      <c r="K43" s="7">
        <f>(((0.621*1000^0.564)/0.2))*D43/1000+K42*inputs!$C$53</f>
        <v>0.11062948765374048</v>
      </c>
      <c r="L43" s="7">
        <f>(((0.648*20^0.651)/0.2))*H43/20+L42*inputs!$C$54</f>
        <v>0.37851203576938536</v>
      </c>
      <c r="M43" s="7">
        <f>(((0.013*2^0.773)/0.2))*H43/2+M42*inputs!$C$54</f>
        <v>1.8457534951364853E-2</v>
      </c>
      <c r="N43" s="7">
        <f>O43*0.015*inputs!$C$56</f>
        <v>0.61606105506695708</v>
      </c>
      <c r="O43" s="7">
        <f>IF((B43&gt;B42), (EXP(-LN(2)/inputs!$C$52)*O42+$O$3), (EXP(-LN(2)/inputs!$C$52)*O42))</f>
        <v>6.6457503243468941E-2</v>
      </c>
      <c r="P43" s="3">
        <f>IF((B43&gt;B42), (EXP(-LN(2)/inputs!$C$52)*P42+$P$3), (EXP(-LN(2)/inputs!$C$52)*P42))</f>
        <v>6.4218212447372622E-2</v>
      </c>
      <c r="Q43" s="19">
        <f>IF((F43*0.62*1/(0.012*(10^inputs!$C$55)))&gt;inputs!$C$57, inputs!$C$57, (F43*0.62*1/(0.012*(10^inputs!$C$55))))</f>
        <v>2.955219342874028E-3</v>
      </c>
      <c r="R43" s="3">
        <f>IF((B43&gt;B42), (EXP(-LN(2)/inputs!$C$51)*R42+$R$3), (EXP(-LN(2)/inputs!$C$51)*R42))</f>
        <v>6.866287003327328E-9</v>
      </c>
      <c r="T43" s="7">
        <f>IF(T42&lt;(inputs!$C$9-1),(1+T42),0)</f>
        <v>0</v>
      </c>
      <c r="U43" s="7">
        <f>IF(inputs!$C$8&gt;U42,IF(T42=(inputs!$C$9-1),(U42+1),U42), U42)</f>
        <v>1</v>
      </c>
      <c r="V43" s="7">
        <f t="shared" si="0"/>
        <v>40</v>
      </c>
      <c r="W43" s="8">
        <f>IF((U43&gt;U42), (EXP(-LN(2)/inputs!$C$51)*W42+$W$3), (EXP(-LN(2)/inputs!$C$51)*W42))</f>
        <v>0.22722935435066016</v>
      </c>
      <c r="X43" s="8">
        <f>IF((U43&gt;U42), (EXP(-LN(2)/inputs!$C$51)*X42+$X$3), (EXP(-LN(2)/inputs!$C$51)*X42))</f>
        <v>9.6238314783808995E-2</v>
      </c>
      <c r="Y43" s="8">
        <f>IF((U43&gt;U42), (EXP(-LN(2)/inputs!$C$51)*Y42+$Y$3), (EXP(-LN(2)/inputs!$C$51)*Y42))</f>
        <v>0.12029789347976132</v>
      </c>
      <c r="Z43" s="8">
        <f>IF((U43&gt;U42), (EXP(-LN(2)/inputs!$C$51)*Z42+$Z$3), (EXP(-LN(2)/inputs!$C$51)*Z42))</f>
        <v>1.8713005652407307E-2</v>
      </c>
      <c r="AA43" s="8">
        <f>IF((U43&gt;U42), (EXP(-LN(2)/inputs!$C$51)*AA42+$AA$3), (EXP(-LN(2)/inputs!$C$51)*AA42))</f>
        <v>0.17376362391521069</v>
      </c>
      <c r="AB43" s="7">
        <f>(((0.621*15^0.564)/0.2))*W43/15+AB42*inputs!$C$53</f>
        <v>0.24451347404640786</v>
      </c>
      <c r="AC43" s="7">
        <f>(((0.621*1000^0.564)/0.2))*W43/1000+AC42*inputs!$C$53</f>
        <v>3.9181276877366403E-2</v>
      </c>
      <c r="AD43" s="7">
        <f>(((0.648*20^0.651)/0.2))*AA43/20+AD42*inputs!$C$54</f>
        <v>0.26173704601074516</v>
      </c>
      <c r="AE43" s="7">
        <f>(((0.013*2^0.773)/0.2))*AA43/2+AE42*inputs!$C$54</f>
        <v>1.2763189062113989E-2</v>
      </c>
    </row>
    <row r="44" spans="1:31" x14ac:dyDescent="0.3">
      <c r="A44" s="7">
        <f>IF(A43&lt;(inputs!$C$9-1),(1+A43),0)</f>
        <v>0</v>
      </c>
      <c r="B44" s="7">
        <f>IF(inputs!$C$8&gt;B43,IF(A43=(inputs!$C$9-1),(B43+1),B43), B43)</f>
        <v>1</v>
      </c>
      <c r="C44" s="7">
        <f t="shared" si="1"/>
        <v>41</v>
      </c>
      <c r="D44" s="8">
        <f>IF((B44&gt;B43), (EXP(-LN(2)/inputs!$C$51)*D43+$D$3), (EXP(-LN(2)/inputs!$C$51)*D43))</f>
        <v>0.56293550123653691</v>
      </c>
      <c r="E44" s="8">
        <f>IF((B44&gt;B43), (EXP(-LN(2)/inputs!$C$51)*E43+$E$3), (EXP(-LN(2)/inputs!$C$51)*E43))</f>
        <v>0.25801210473341274</v>
      </c>
      <c r="F44" s="8">
        <f>IF((B44&gt;B43), (EXP(-LN(2)/inputs!$C$51)*F43+$F$3), (EXP(-LN(2)/inputs!$C$51)*F43))</f>
        <v>0.31665121944555208</v>
      </c>
      <c r="G44" s="8">
        <f>IF((B44&gt;B43), (EXP(-LN(2)/inputs!$C$51)*G43+$G$3), (EXP(-LN(2)/inputs!$C$51)*G43))</f>
        <v>3.5183468827283557E-2</v>
      </c>
      <c r="H44" s="8">
        <f>IF((B44&gt;B43), (EXP(-LN(2)/inputs!$C$51)*H43+$H$3), (EXP(-LN(2)/inputs!$C$51)*H43))</f>
        <v>0.22048307131764358</v>
      </c>
      <c r="I44" s="7">
        <f>O44*(10^inputs!$C$55)*0.01/1</f>
        <v>4.1085653365547969</v>
      </c>
      <c r="J44" s="7">
        <f>(((0.621*15^0.564)/0.2))*D44/15+J43*inputs!$C$53</f>
        <v>0.60575498911547943</v>
      </c>
      <c r="K44" s="7">
        <f>(((0.621*1000^0.564)/0.2))*D44/1000+K43*inputs!$C$53</f>
        <v>9.706726404727696E-2</v>
      </c>
      <c r="L44" s="7">
        <f>(((0.648*20^0.651)/0.2))*H44/20+L43*inputs!$C$54</f>
        <v>0.33210971595652167</v>
      </c>
      <c r="M44" s="7">
        <f>(((0.013*2^0.773)/0.2))*H44/2+M43*inputs!$C$54</f>
        <v>1.6194799928872301E-2</v>
      </c>
      <c r="N44" s="7">
        <f>O44*0.015*inputs!$C$56</f>
        <v>0.60362877147012151</v>
      </c>
      <c r="O44" s="7">
        <f>IF((B44&gt;B43), (EXP(-LN(2)/inputs!$C$52)*O43+$O$3), (EXP(-LN(2)/inputs!$C$52)*O43))</f>
        <v>6.511637232687395E-2</v>
      </c>
      <c r="P44" s="3">
        <f>IF((B44&gt;B43), (EXP(-LN(2)/inputs!$C$52)*P43+$P$3), (EXP(-LN(2)/inputs!$C$52)*P43))</f>
        <v>6.2922271042440275E-2</v>
      </c>
      <c r="Q44" s="19">
        <f>IF((F44*0.62*1/(0.012*(10^inputs!$C$55)))&gt;inputs!$C$57, inputs!$C$57, (F44*0.62*1/(0.012*(10^inputs!$C$55))))</f>
        <v>2.5929348707661197E-3</v>
      </c>
      <c r="R44" s="3">
        <f>IF((B44&gt;B43), (EXP(-LN(2)/inputs!$C$51)*R43+$R$3), (EXP(-LN(2)/inputs!$C$51)*R43))</f>
        <v>6.0245392771085952E-9</v>
      </c>
      <c r="T44" s="7">
        <f>IF(T43&lt;(inputs!$C$9-1),(1+T43),0)</f>
        <v>0</v>
      </c>
      <c r="U44" s="7">
        <f>IF(inputs!$C$8&gt;U43,IF(T43=(inputs!$C$9-1),(U43+1),U43), U43)</f>
        <v>1</v>
      </c>
      <c r="V44" s="7">
        <f t="shared" si="0"/>
        <v>41</v>
      </c>
      <c r="W44" s="8">
        <f>IF((U44&gt;U43), (EXP(-LN(2)/inputs!$C$51)*W43+$W$3), (EXP(-LN(2)/inputs!$C$51)*W43))</f>
        <v>0.19937299002127346</v>
      </c>
      <c r="X44" s="8">
        <f>IF((U44&gt;U43), (EXP(-LN(2)/inputs!$C$51)*X43+$X$3), (EXP(-LN(2)/inputs!$C$51)*X43))</f>
        <v>8.4440325185480503E-2</v>
      </c>
      <c r="Y44" s="8">
        <f>IF((U44&gt;U43), (EXP(-LN(2)/inputs!$C$51)*Y43+$Y$3), (EXP(-LN(2)/inputs!$C$51)*Y43))</f>
        <v>0.1055504064818507</v>
      </c>
      <c r="Z44" s="8">
        <f>IF((U44&gt;U43), (EXP(-LN(2)/inputs!$C$51)*Z43+$Z$3), (EXP(-LN(2)/inputs!$C$51)*Z43))</f>
        <v>1.6418952119398988E-2</v>
      </c>
      <c r="AA44" s="8">
        <f>IF((U44&gt;U43), (EXP(-LN(2)/inputs!$C$51)*AA43+$AA$3), (EXP(-LN(2)/inputs!$C$51)*AA43))</f>
        <v>0.15246169825156203</v>
      </c>
      <c r="AB44" s="7">
        <f>(((0.621*15^0.564)/0.2))*W44/15+AB43*inputs!$C$53</f>
        <v>0.21453822531173225</v>
      </c>
      <c r="AC44" s="7">
        <f>(((0.621*1000^0.564)/0.2))*W44/1000+AC43*inputs!$C$53</f>
        <v>3.437798935007725E-2</v>
      </c>
      <c r="AD44" s="7">
        <f>(((0.648*20^0.651)/0.2))*AA44/20+AD43*inputs!$C$54</f>
        <v>0.22965033550185007</v>
      </c>
      <c r="AE44" s="7">
        <f>(((0.013*2^0.773)/0.2))*AA44/2+AE43*inputs!$C$54</f>
        <v>1.1198531865709569E-2</v>
      </c>
    </row>
    <row r="45" spans="1:31" x14ac:dyDescent="0.3">
      <c r="A45" s="7">
        <f>IF(A44&lt;(inputs!$C$9-1),(1+A44),0)</f>
        <v>0</v>
      </c>
      <c r="B45" s="7">
        <f>IF(inputs!$C$8&gt;B44,IF(A44=(inputs!$C$9-1),(B44+1),B44), B44)</f>
        <v>1</v>
      </c>
      <c r="C45" s="7">
        <f t="shared" si="1"/>
        <v>42</v>
      </c>
      <c r="D45" s="8">
        <f>IF((B45&gt;B44), (EXP(-LN(2)/inputs!$C$51)*D44+$D$3), (EXP(-LN(2)/inputs!$C$51)*D44))</f>
        <v>0.49392445087641718</v>
      </c>
      <c r="E45" s="8">
        <f>IF((B45&gt;B44), (EXP(-LN(2)/inputs!$C$51)*E44+$E$3), (EXP(-LN(2)/inputs!$C$51)*E44))</f>
        <v>0.22638203998502454</v>
      </c>
      <c r="F45" s="8">
        <f>IF((B45&gt;B44), (EXP(-LN(2)/inputs!$C$51)*F44+$F$3), (EXP(-LN(2)/inputs!$C$51)*F44))</f>
        <v>0.27783250361798473</v>
      </c>
      <c r="G45" s="8">
        <f>IF((B45&gt;B44), (EXP(-LN(2)/inputs!$C$51)*G44+$G$3), (EXP(-LN(2)/inputs!$C$51)*G44))</f>
        <v>3.0870278179776073E-2</v>
      </c>
      <c r="H45" s="8">
        <f>IF((B45&gt;B44), (EXP(-LN(2)/inputs!$C$51)*H44+$H$3), (EXP(-LN(2)/inputs!$C$51)*H44))</f>
        <v>0.19345374325993003</v>
      </c>
      <c r="I45" s="7">
        <f>O45*(10^inputs!$C$55)*0.01/1</f>
        <v>4.025653344277301</v>
      </c>
      <c r="J45" s="7">
        <f>(((0.621*15^0.564)/0.2))*D45/15+J44*inputs!$C$53</f>
        <v>0.5314946378533606</v>
      </c>
      <c r="K45" s="7">
        <f>(((0.621*1000^0.564)/0.2))*D45/1000+K44*inputs!$C$53</f>
        <v>8.5167652399456992E-2</v>
      </c>
      <c r="L45" s="7">
        <f>(((0.648*20^0.651)/0.2))*H45/20+L44*inputs!$C$54</f>
        <v>0.29139592142301568</v>
      </c>
      <c r="M45" s="7">
        <f>(((0.013*2^0.773)/0.2))*H45/2+M44*inputs!$C$54</f>
        <v>1.4209456757214946E-2</v>
      </c>
      <c r="N45" s="7">
        <f>O45*0.015*inputs!$C$56</f>
        <v>0.59144737481730048</v>
      </c>
      <c r="O45" s="7">
        <f>IF((B45&gt;B44), (EXP(-LN(2)/inputs!$C$52)*O44+$O$3), (EXP(-LN(2)/inputs!$C$52)*O44))</f>
        <v>6.3802305805534032E-2</v>
      </c>
      <c r="P45" s="3">
        <f>IF((B45&gt;B44), (EXP(-LN(2)/inputs!$C$52)*P44+$P$3), (EXP(-LN(2)/inputs!$C$52)*P44))</f>
        <v>6.1652482095837326E-2</v>
      </c>
      <c r="Q45" s="19">
        <f>IF((F45*0.62*1/(0.012*(10^inputs!$C$55)))&gt;inputs!$C$57, inputs!$C$57, (F45*0.62*1/(0.012*(10^inputs!$C$55))))</f>
        <v>2.2750633587476179E-3</v>
      </c>
      <c r="R45" s="3">
        <f>IF((B45&gt;B44), (EXP(-LN(2)/inputs!$C$51)*R44+$R$3), (EXP(-LN(2)/inputs!$C$51)*R44))</f>
        <v>5.2859825818285711E-9</v>
      </c>
      <c r="T45" s="7">
        <f>IF(T44&lt;(inputs!$C$9-1),(1+T44),0)</f>
        <v>0</v>
      </c>
      <c r="U45" s="7">
        <f>IF(inputs!$C$8&gt;U44,IF(T44=(inputs!$C$9-1),(U44+1),U44), U44)</f>
        <v>1</v>
      </c>
      <c r="V45" s="7">
        <f t="shared" si="0"/>
        <v>42</v>
      </c>
      <c r="W45" s="8">
        <f>IF((U45&gt;U44), (EXP(-LN(2)/inputs!$C$51)*W44+$W$3), (EXP(-LN(2)/inputs!$C$51)*W44))</f>
        <v>0.17493157635206438</v>
      </c>
      <c r="X45" s="8">
        <f>IF((U45&gt;U44), (EXP(-LN(2)/inputs!$C$51)*X44+$X$3), (EXP(-LN(2)/inputs!$C$51)*X44))</f>
        <v>7.4088667631462546E-2</v>
      </c>
      <c r="Y45" s="8">
        <f>IF((U45&gt;U44), (EXP(-LN(2)/inputs!$C$51)*Y44+$Y$3), (EXP(-LN(2)/inputs!$C$51)*Y44))</f>
        <v>9.2610834539328252E-2</v>
      </c>
      <c r="Z45" s="8">
        <f>IF((U45&gt;U44), (EXP(-LN(2)/inputs!$C$51)*Z44+$Z$3), (EXP(-LN(2)/inputs!$C$51)*Z44))</f>
        <v>1.440612981722883E-2</v>
      </c>
      <c r="AA45" s="8">
        <f>IF((U45&gt;U44), (EXP(-LN(2)/inputs!$C$51)*AA44+$AA$3), (EXP(-LN(2)/inputs!$C$51)*AA44))</f>
        <v>0.13377120544569629</v>
      </c>
      <c r="AB45" s="7">
        <f>(((0.621*15^0.564)/0.2))*W45/15+AB44*inputs!$C$53</f>
        <v>0.18823768423973183</v>
      </c>
      <c r="AC45" s="7">
        <f>(((0.621*1000^0.564)/0.2))*W45/1000+AC44*inputs!$C$53</f>
        <v>3.016354355814101E-2</v>
      </c>
      <c r="AD45" s="7">
        <f>(((0.648*20^0.651)/0.2))*AA45/20+AD44*inputs!$C$54</f>
        <v>0.20149717970740444</v>
      </c>
      <c r="AE45" s="7">
        <f>(((0.013*2^0.773)/0.2))*AA45/2+AE44*inputs!$C$54</f>
        <v>9.8256881831805462E-3</v>
      </c>
    </row>
    <row r="46" spans="1:31" x14ac:dyDescent="0.3">
      <c r="A46" s="7">
        <f>IF(A45&lt;(inputs!$C$9-1),(1+A45),0)</f>
        <v>0</v>
      </c>
      <c r="B46" s="7">
        <f>IF(inputs!$C$8&gt;B45,IF(A45=(inputs!$C$9-1),(B45+1),B45), B45)</f>
        <v>1</v>
      </c>
      <c r="C46" s="7">
        <f t="shared" si="1"/>
        <v>43</v>
      </c>
      <c r="D46" s="8">
        <f>IF((B46&gt;B45), (EXP(-LN(2)/inputs!$C$51)*D45+$D$3), (EXP(-LN(2)/inputs!$C$51)*D45))</f>
        <v>0.43337356169168201</v>
      </c>
      <c r="E46" s="8">
        <f>IF((B46&gt;B45), (EXP(-LN(2)/inputs!$C$51)*E45+$E$3), (EXP(-LN(2)/inputs!$C$51)*E45))</f>
        <v>0.19862954910868758</v>
      </c>
      <c r="F46" s="8">
        <f>IF((B46&gt;B45), (EXP(-LN(2)/inputs!$C$51)*F45+$F$3), (EXP(-LN(2)/inputs!$C$51)*F45))</f>
        <v>0.24377262845157119</v>
      </c>
      <c r="G46" s="8">
        <f>IF((B46&gt;B45), (EXP(-LN(2)/inputs!$C$51)*G45+$G$3), (EXP(-LN(2)/inputs!$C$51)*G45))</f>
        <v>2.7085847605730125E-2</v>
      </c>
      <c r="H46" s="8">
        <f>IF((B46&gt;B45), (EXP(-LN(2)/inputs!$C$51)*H45+$H$3), (EXP(-LN(2)/inputs!$C$51)*H45))</f>
        <v>0.16973797832924209</v>
      </c>
      <c r="I46" s="7">
        <f>O46*(10^inputs!$C$55)*0.01/1</f>
        <v>3.9444145390858809</v>
      </c>
      <c r="J46" s="7">
        <f>(((0.621*15^0.564)/0.2))*D46/15+J45*inputs!$C$53</f>
        <v>0.4663379669053333</v>
      </c>
      <c r="K46" s="7">
        <f>(((0.621*1000^0.564)/0.2))*D46/1000+K45*inputs!$C$53</f>
        <v>7.472683078511283E-2</v>
      </c>
      <c r="L46" s="7">
        <f>(((0.648*20^0.651)/0.2))*H46/20+L45*inputs!$C$54</f>
        <v>0.25567328789948618</v>
      </c>
      <c r="M46" s="7">
        <f>(((0.013*2^0.773)/0.2))*H46/2+M45*inputs!$C$54</f>
        <v>1.2467499581467263E-2</v>
      </c>
      <c r="N46" s="7">
        <f>O46*0.015*inputs!$C$56</f>
        <v>0.57951180214011921</v>
      </c>
      <c r="O46" s="7">
        <f>IF((B46&gt;B45), (EXP(-LN(2)/inputs!$C$52)*O45+$O$3), (EXP(-LN(2)/inputs!$C$52)*O45))</f>
        <v>6.2514757512418473E-2</v>
      </c>
      <c r="P46" s="3">
        <f>IF((B46&gt;B45), (EXP(-LN(2)/inputs!$C$52)*P45+$P$3), (EXP(-LN(2)/inputs!$C$52)*P45))</f>
        <v>6.0408317843674085E-2</v>
      </c>
      <c r="Q46" s="19">
        <f>IF((F46*0.62*1/(0.012*(10^inputs!$C$55)))&gt;inputs!$C$57, inputs!$C$57, (F46*0.62*1/(0.012*(10^inputs!$C$55))))</f>
        <v>1.9961601599297767E-3</v>
      </c>
      <c r="R46" s="3">
        <f>IF((B46&gt;B45), (EXP(-LN(2)/inputs!$C$51)*R45+$R$3), (EXP(-LN(2)/inputs!$C$51)*R45))</f>
        <v>4.6379665846921468E-9</v>
      </c>
      <c r="T46" s="7">
        <f>IF(T45&lt;(inputs!$C$9-1),(1+T45),0)</f>
        <v>0</v>
      </c>
      <c r="U46" s="7">
        <f>IF(inputs!$C$8&gt;U45,IF(T45=(inputs!$C$9-1),(U45+1),U45), U45)</f>
        <v>1</v>
      </c>
      <c r="V46" s="7">
        <f t="shared" si="0"/>
        <v>43</v>
      </c>
      <c r="W46" s="8">
        <f>IF((U46&gt;U45), (EXP(-LN(2)/inputs!$C$51)*W45+$W$3), (EXP(-LN(2)/inputs!$C$51)*W45))</f>
        <v>0.15348646976580402</v>
      </c>
      <c r="X46" s="8">
        <f>IF((U46&gt;U45), (EXP(-LN(2)/inputs!$C$51)*X45+$X$3), (EXP(-LN(2)/inputs!$C$51)*X45))</f>
        <v>6.5006034253752273E-2</v>
      </c>
      <c r="Y46" s="8">
        <f>IF((U46&gt;U45), (EXP(-LN(2)/inputs!$C$51)*Y45+$Y$3), (EXP(-LN(2)/inputs!$C$51)*Y45))</f>
        <v>8.1257542817190401E-2</v>
      </c>
      <c r="Z46" s="8">
        <f>IF((U46&gt;U45), (EXP(-LN(2)/inputs!$C$51)*Z45+$Z$3), (EXP(-LN(2)/inputs!$C$51)*Z45))</f>
        <v>1.2640062216007388E-2</v>
      </c>
      <c r="AA46" s="8">
        <f>IF((U46&gt;U45), (EXP(-LN(2)/inputs!$C$51)*AA45+$AA$3), (EXP(-LN(2)/inputs!$C$51)*AA45))</f>
        <v>0.11737200629149719</v>
      </c>
      <c r="AB46" s="7">
        <f>(((0.621*15^0.564)/0.2))*W46/15+AB45*inputs!$C$53</f>
        <v>0.16516136327897218</v>
      </c>
      <c r="AC46" s="7">
        <f>(((0.621*1000^0.564)/0.2))*W46/1000+AC45*inputs!$C$53</f>
        <v>2.6465752569727455E-2</v>
      </c>
      <c r="AD46" s="7">
        <f>(((0.648*20^0.651)/0.2))*AA46/20+AD45*inputs!$C$54</f>
        <v>0.1767953586539</v>
      </c>
      <c r="AE46" s="7">
        <f>(((0.013*2^0.773)/0.2))*AA46/2+AE45*inputs!$C$54</f>
        <v>8.6211433276103411E-3</v>
      </c>
    </row>
    <row r="47" spans="1:31" x14ac:dyDescent="0.3">
      <c r="A47" s="7">
        <f>IF(A46&lt;(inputs!$C$9-1),(1+A46),0)</f>
        <v>0</v>
      </c>
      <c r="B47" s="7">
        <f>IF(inputs!$C$8&gt;B46,IF(A46=(inputs!$C$9-1),(B46+1),B46), B46)</f>
        <v>1</v>
      </c>
      <c r="C47" s="7">
        <f t="shared" si="1"/>
        <v>44</v>
      </c>
      <c r="D47" s="8">
        <f>IF((B47&gt;B46), (EXP(-LN(2)/inputs!$C$51)*D46+$D$3), (EXP(-LN(2)/inputs!$C$51)*D46))</f>
        <v>0.38024569069233211</v>
      </c>
      <c r="E47" s="8">
        <f>IF((B47&gt;B46), (EXP(-LN(2)/inputs!$C$51)*E46+$E$3), (EXP(-LN(2)/inputs!$C$51)*E46))</f>
        <v>0.1742792749006522</v>
      </c>
      <c r="F47" s="8">
        <f>IF((B47&gt;B46), (EXP(-LN(2)/inputs!$C$51)*F46+$F$3), (EXP(-LN(2)/inputs!$C$51)*F46))</f>
        <v>0.21388820101443687</v>
      </c>
      <c r="G47" s="8">
        <f>IF((B47&gt;B46), (EXP(-LN(2)/inputs!$C$51)*G46+$G$3), (EXP(-LN(2)/inputs!$C$51)*G46))</f>
        <v>2.3765355668270757E-2</v>
      </c>
      <c r="H47" s="8">
        <f>IF((B47&gt;B46), (EXP(-LN(2)/inputs!$C$51)*H46+$H$3), (EXP(-LN(2)/inputs!$C$51)*H46))</f>
        <v>0.14892956218783004</v>
      </c>
      <c r="I47" s="7">
        <f>O47*(10^inputs!$C$55)*0.01/1</f>
        <v>3.8648151555993411</v>
      </c>
      <c r="J47" s="7">
        <f>(((0.621*15^0.564)/0.2))*D47/15+J46*inputs!$C$53</f>
        <v>0.40916894337022458</v>
      </c>
      <c r="K47" s="7">
        <f>(((0.621*1000^0.564)/0.2))*D47/1000+K46*inputs!$C$53</f>
        <v>6.5565964093927398E-2</v>
      </c>
      <c r="L47" s="7">
        <f>(((0.648*20^0.651)/0.2))*H47/20+L46*inputs!$C$54</f>
        <v>0.22432994197759701</v>
      </c>
      <c r="M47" s="7">
        <f>(((0.013*2^0.773)/0.2))*H47/2+M46*inputs!$C$54</f>
        <v>1.0939091372016135E-2</v>
      </c>
      <c r="N47" s="7">
        <f>O47*0.015*inputs!$C$56</f>
        <v>0.56781709264231439</v>
      </c>
      <c r="O47" s="7">
        <f>IF((B47&gt;B46), (EXP(-LN(2)/inputs!$C$52)*O46+$O$3), (EXP(-LN(2)/inputs!$C$52)*O46))</f>
        <v>6.1253192302299288E-2</v>
      </c>
      <c r="P47" s="3">
        <f>IF((B47&gt;B46), (EXP(-LN(2)/inputs!$C$52)*P46+$P$3), (EXP(-LN(2)/inputs!$C$52)*P46))</f>
        <v>5.9189261172483083E-2</v>
      </c>
      <c r="Q47" s="19">
        <f>IF((F47*0.62*1/(0.012*(10^inputs!$C$55)))&gt;inputs!$C$57, inputs!$C$57, (F47*0.62*1/(0.012*(10^inputs!$C$55))))</f>
        <v>1.7514480943002636E-3</v>
      </c>
      <c r="R47" s="3">
        <f>IF((B47&gt;B46), (EXP(-LN(2)/inputs!$C$51)*R46+$R$3), (EXP(-LN(2)/inputs!$C$51)*R46))</f>
        <v>4.0693917748930161E-9</v>
      </c>
      <c r="T47" s="7">
        <f>IF(T46&lt;(inputs!$C$9-1),(1+T46),0)</f>
        <v>0</v>
      </c>
      <c r="U47" s="7">
        <f>IF(inputs!$C$8&gt;U46,IF(T46=(inputs!$C$9-1),(U46+1),U46), U46)</f>
        <v>1</v>
      </c>
      <c r="V47" s="7">
        <f t="shared" si="0"/>
        <v>44</v>
      </c>
      <c r="W47" s="8">
        <f>IF((U47&gt;U46), (EXP(-LN(2)/inputs!$C$51)*W46+$W$3), (EXP(-LN(2)/inputs!$C$51)*W46))</f>
        <v>0.13467034878686759</v>
      </c>
      <c r="X47" s="8">
        <f>IF((U47&gt;U46), (EXP(-LN(2)/inputs!$C$51)*X46+$X$3), (EXP(-LN(2)/inputs!$C$51)*X46))</f>
        <v>5.7036853603849788E-2</v>
      </c>
      <c r="Y47" s="8">
        <f>IF((U47&gt;U46), (EXP(-LN(2)/inputs!$C$51)*Y46+$Y$3), (EXP(-LN(2)/inputs!$C$51)*Y46))</f>
        <v>7.1296067004812294E-2</v>
      </c>
      <c r="Z47" s="8">
        <f>IF((U47&gt;U46), (EXP(-LN(2)/inputs!$C$51)*Z46+$Z$3), (EXP(-LN(2)/inputs!$C$51)*Z46))</f>
        <v>1.1090499311859682E-2</v>
      </c>
      <c r="AA47" s="8">
        <f>IF((U47&gt;U46), (EXP(-LN(2)/inputs!$C$51)*AA46+$AA$3), (EXP(-LN(2)/inputs!$C$51)*AA46))</f>
        <v>0.10298320789583992</v>
      </c>
      <c r="AB47" s="7">
        <f>(((0.621*15^0.564)/0.2))*W47/15+AB46*inputs!$C$53</f>
        <v>0.14491400077695452</v>
      </c>
      <c r="AC47" s="7">
        <f>(((0.621*1000^0.564)/0.2))*W47/1000+AC46*inputs!$C$53</f>
        <v>2.322127894993262E-2</v>
      </c>
      <c r="AD47" s="7">
        <f>(((0.648*20^0.651)/0.2))*AA47/20+AD46*inputs!$C$54</f>
        <v>0.1551217683887639</v>
      </c>
      <c r="AE47" s="7">
        <f>(((0.013*2^0.773)/0.2))*AA47/2+AE46*inputs!$C$54</f>
        <v>7.5642653104366891E-3</v>
      </c>
    </row>
    <row r="48" spans="1:31" x14ac:dyDescent="0.3">
      <c r="A48" s="7">
        <f>IF(A47&lt;(inputs!$C$9-1),(1+A47),0)</f>
        <v>0</v>
      </c>
      <c r="B48" s="7">
        <f>IF(inputs!$C$8&gt;B47,IF(A47=(inputs!$C$9-1),(B47+1),B47), B47)</f>
        <v>1</v>
      </c>
      <c r="C48" s="7">
        <f t="shared" si="1"/>
        <v>45</v>
      </c>
      <c r="D48" s="8">
        <f>IF((B48&gt;B47), (EXP(-LN(2)/inputs!$C$51)*D47+$D$3), (EXP(-LN(2)/inputs!$C$51)*D47))</f>
        <v>0.33363083969795343</v>
      </c>
      <c r="E48" s="8">
        <f>IF((B48&gt;B47), (EXP(-LN(2)/inputs!$C$51)*E47+$E$3), (EXP(-LN(2)/inputs!$C$51)*E47))</f>
        <v>0.152914134861562</v>
      </c>
      <c r="F48" s="8">
        <f>IF((B48&gt;B47), (EXP(-LN(2)/inputs!$C$51)*F47+$F$3), (EXP(-LN(2)/inputs!$C$51)*F47))</f>
        <v>0.18766734733009885</v>
      </c>
      <c r="G48" s="8">
        <f>IF((B48&gt;B47), (EXP(-LN(2)/inputs!$C$51)*G47+$G$3), (EXP(-LN(2)/inputs!$C$51)*G47))</f>
        <v>2.0851927481122089E-2</v>
      </c>
      <c r="H48" s="8">
        <f>IF((B48&gt;B47), (EXP(-LN(2)/inputs!$C$51)*H47+$H$3), (EXP(-LN(2)/inputs!$C$51)*H47))</f>
        <v>0.13067207888169841</v>
      </c>
      <c r="I48" s="7">
        <f>O48*(10^inputs!$C$55)*0.01/1</f>
        <v>3.7868221098312764</v>
      </c>
      <c r="J48" s="7">
        <f>(((0.621*15^0.564)/0.2))*D48/15+J47*inputs!$C$53</f>
        <v>0.35900835038098494</v>
      </c>
      <c r="K48" s="7">
        <f>(((0.621*1000^0.564)/0.2))*D48/1000+K47*inputs!$C$53</f>
        <v>5.7528140861857723E-2</v>
      </c>
      <c r="L48" s="7">
        <f>(((0.648*20^0.651)/0.2))*H48/20+L47*inputs!$C$54</f>
        <v>0.19682902066584324</v>
      </c>
      <c r="M48" s="7">
        <f>(((0.013*2^0.773)/0.2))*H48/2+M47*inputs!$C$54</f>
        <v>9.5980528624357072E-3</v>
      </c>
      <c r="N48" s="7">
        <f>O48*0.015*inputs!$C$56</f>
        <v>0.55635838563787199</v>
      </c>
      <c r="O48" s="7">
        <f>IF((B48&gt;B47), (EXP(-LN(2)/inputs!$C$52)*O47+$O$3), (EXP(-LN(2)/inputs!$C$52)*O47))</f>
        <v>6.0017085829328153E-2</v>
      </c>
      <c r="P48" s="3">
        <f>IF((B48&gt;B47), (EXP(-LN(2)/inputs!$C$52)*P47+$P$3), (EXP(-LN(2)/inputs!$C$52)*P47))</f>
        <v>5.7994805404290591E-2</v>
      </c>
      <c r="Q48" s="19">
        <f>IF((F48*0.62*1/(0.012*(10^inputs!$C$55)))&gt;inputs!$C$57, inputs!$C$57, (F48*0.62*1/(0.012*(10^inputs!$C$55))))</f>
        <v>1.5367356230253282E-3</v>
      </c>
      <c r="R48" s="3">
        <f>IF((B48&gt;B47), (EXP(-LN(2)/inputs!$C$51)*R47+$R$3), (EXP(-LN(2)/inputs!$C$51)*R47))</f>
        <v>3.5705193461772489E-9</v>
      </c>
      <c r="T48" s="7">
        <f>IF(T47&lt;(inputs!$C$9-1),(1+T47),0)</f>
        <v>0</v>
      </c>
      <c r="U48" s="7">
        <f>IF(inputs!$C$8&gt;U47,IF(T47=(inputs!$C$9-1),(U47+1),U47), U47)</f>
        <v>1</v>
      </c>
      <c r="V48" s="7">
        <f t="shared" si="0"/>
        <v>45</v>
      </c>
      <c r="W48" s="8">
        <f>IF((U48&gt;U47), (EXP(-LN(2)/inputs!$C$51)*W47+$W$3), (EXP(-LN(2)/inputs!$C$51)*W47))</f>
        <v>0.11816092239302516</v>
      </c>
      <c r="X48" s="8">
        <f>IF((U48&gt;U47), (EXP(-LN(2)/inputs!$C$51)*X47+$X$3), (EXP(-LN(2)/inputs!$C$51)*X47))</f>
        <v>5.0044625954692994E-2</v>
      </c>
      <c r="Y48" s="8">
        <f>IF((U48&gt;U47), (EXP(-LN(2)/inputs!$C$51)*Y47+$Y$3), (EXP(-LN(2)/inputs!$C$51)*Y47))</f>
        <v>6.2555782443366292E-2</v>
      </c>
      <c r="Z48" s="8">
        <f>IF((U48&gt;U47), (EXP(-LN(2)/inputs!$C$51)*Z47+$Z$3), (EXP(-LN(2)/inputs!$C$51)*Z47))</f>
        <v>9.7308994911903049E-3</v>
      </c>
      <c r="AA48" s="8">
        <f>IF((U48&gt;U47), (EXP(-LN(2)/inputs!$C$51)*AA47+$AA$3), (EXP(-LN(2)/inputs!$C$51)*AA47))</f>
        <v>9.0358352418195703E-2</v>
      </c>
      <c r="AB48" s="7">
        <f>(((0.621*15^0.564)/0.2))*W48/15+AB47*inputs!$C$53</f>
        <v>0.12714879075993216</v>
      </c>
      <c r="AC48" s="7">
        <f>(((0.621*1000^0.564)/0.2))*W48/1000+AC47*inputs!$C$53</f>
        <v>2.0374549888574608E-2</v>
      </c>
      <c r="AD48" s="7">
        <f>(((0.648*20^0.651)/0.2))*AA48/20+AD47*inputs!$C$54</f>
        <v>0.13610517386467882</v>
      </c>
      <c r="AE48" s="7">
        <f>(((0.013*2^0.773)/0.2))*AA48/2+AE47*inputs!$C$54</f>
        <v>6.6369514474289466E-3</v>
      </c>
    </row>
    <row r="49" spans="1:31" x14ac:dyDescent="0.3">
      <c r="A49" s="7">
        <f>IF(A48&lt;(inputs!$C$9-1),(1+A48),0)</f>
        <v>0</v>
      </c>
      <c r="B49" s="7">
        <f>IF(inputs!$C$8&gt;B48,IF(A48=(inputs!$C$9-1),(B48+1),B48), B48)</f>
        <v>1</v>
      </c>
      <c r="C49" s="7">
        <f t="shared" si="1"/>
        <v>46</v>
      </c>
      <c r="D49" s="8">
        <f>IF((B49&gt;B48), (EXP(-LN(2)/inputs!$C$51)*D48+$D$3), (EXP(-LN(2)/inputs!$C$51)*D48))</f>
        <v>0.29273056847769852</v>
      </c>
      <c r="E49" s="8">
        <f>IF((B49&gt;B48), (EXP(-LN(2)/inputs!$C$51)*E48+$E$3), (EXP(-LN(2)/inputs!$C$51)*E48))</f>
        <v>0.13416817721894517</v>
      </c>
      <c r="F49" s="8">
        <f>IF((B49&gt;B48), (EXP(-LN(2)/inputs!$C$51)*F48+$F$3), (EXP(-LN(2)/inputs!$C$51)*F48))</f>
        <v>0.16466094476870546</v>
      </c>
      <c r="G49" s="8">
        <f>IF((B49&gt;B48), (EXP(-LN(2)/inputs!$C$51)*G48+$G$3), (EXP(-LN(2)/inputs!$C$51)*G48))</f>
        <v>1.8295660529856157E-2</v>
      </c>
      <c r="H49" s="8">
        <f>IF((B49&gt;B48), (EXP(-LN(2)/inputs!$C$51)*H48+$H$3), (EXP(-LN(2)/inputs!$C$51)*H48))</f>
        <v>0.11465280598709858</v>
      </c>
      <c r="I49" s="7">
        <f>O49*(10^inputs!$C$55)*0.01/1</f>
        <v>3.7104029854393397</v>
      </c>
      <c r="J49" s="7">
        <f>(((0.621*15^0.564)/0.2))*D49/15+J48*inputs!$C$53</f>
        <v>0.3149970146357281</v>
      </c>
      <c r="K49" s="7">
        <f>(((0.621*1000^0.564)/0.2))*D49/1000+K48*inputs!$C$53</f>
        <v>5.0475685620678043E-2</v>
      </c>
      <c r="L49" s="7">
        <f>(((0.648*20^0.651)/0.2))*H49/20+L48*inputs!$C$54</f>
        <v>0.17269947575764955</v>
      </c>
      <c r="M49" s="7">
        <f>(((0.013*2^0.773)/0.2))*H49/2+M48*inputs!$C$54</f>
        <v>8.421414139182893E-3</v>
      </c>
      <c r="N49" s="7">
        <f>O49*0.015*inputs!$C$56</f>
        <v>0.54513091853077511</v>
      </c>
      <c r="O49" s="7">
        <f>IF((B49&gt;B48), (EXP(-LN(2)/inputs!$C$52)*O48+$O$3), (EXP(-LN(2)/inputs!$C$52)*O48))</f>
        <v>5.8805924329101956E-2</v>
      </c>
      <c r="P49" s="3">
        <f>IF((B49&gt;B48), (EXP(-LN(2)/inputs!$C$52)*P48+$P$3), (EXP(-LN(2)/inputs!$C$52)*P48))</f>
        <v>5.682445408602544E-2</v>
      </c>
      <c r="Q49" s="19">
        <f>IF((F49*0.62*1/(0.012*(10^inputs!$C$55)))&gt;inputs!$C$57, inputs!$C$57, (F49*0.62*1/(0.012*(10^inputs!$C$55))))</f>
        <v>1.3483450538787048E-3</v>
      </c>
      <c r="R49" s="3">
        <f>IF((B49&gt;B48), (EXP(-LN(2)/inputs!$C$51)*R48+$R$3), (EXP(-LN(2)/inputs!$C$51)*R48))</f>
        <v>3.1328043861692746E-9</v>
      </c>
      <c r="T49" s="7">
        <f>IF(T48&lt;(inputs!$C$9-1),(1+T48),0)</f>
        <v>0</v>
      </c>
      <c r="U49" s="7">
        <f>IF(inputs!$C$8&gt;U48,IF(T48=(inputs!$C$9-1),(U48+1),U48), U48)</f>
        <v>1</v>
      </c>
      <c r="V49" s="7">
        <f t="shared" si="0"/>
        <v>46</v>
      </c>
      <c r="W49" s="8">
        <f>IF((U49&gt;U48), (EXP(-LN(2)/inputs!$C$51)*W48+$W$3), (EXP(-LN(2)/inputs!$C$51)*W48))</f>
        <v>0.10367540966918488</v>
      </c>
      <c r="X49" s="8">
        <f>IF((U49&gt;U48), (EXP(-LN(2)/inputs!$C$51)*X48+$X$3), (EXP(-LN(2)/inputs!$C$51)*X48))</f>
        <v>4.3909585271654762E-2</v>
      </c>
      <c r="Y49" s="8">
        <f>IF((U49&gt;U48), (EXP(-LN(2)/inputs!$C$51)*Y48+$Y$3), (EXP(-LN(2)/inputs!$C$51)*Y48))</f>
        <v>5.48869815895685E-2</v>
      </c>
      <c r="Z49" s="8">
        <f>IF((U49&gt;U48), (EXP(-LN(2)/inputs!$C$51)*Z48+$Z$3), (EXP(-LN(2)/inputs!$C$51)*Z48))</f>
        <v>8.5379749139328706E-3</v>
      </c>
      <c r="AA49" s="8">
        <f>IF((U49&gt;U48), (EXP(-LN(2)/inputs!$C$51)*AA48+$AA$3), (EXP(-LN(2)/inputs!$C$51)*AA48))</f>
        <v>7.9281195629376675E-2</v>
      </c>
      <c r="AB49" s="7">
        <f>(((0.621*15^0.564)/0.2))*W49/15+AB48*inputs!$C$53</f>
        <v>0.11156144268348703</v>
      </c>
      <c r="AC49" s="7">
        <f>(((0.621*1000^0.564)/0.2))*W49/1000+AC48*inputs!$C$53</f>
        <v>1.7876805323990139E-2</v>
      </c>
      <c r="AD49" s="7">
        <f>(((0.648*20^0.651)/0.2))*AA49/20+AD48*inputs!$C$54</f>
        <v>0.11941985025794914</v>
      </c>
      <c r="AE49" s="7">
        <f>(((0.013*2^0.773)/0.2))*AA49/2+AE48*inputs!$C$54</f>
        <v>5.8233182877328515E-3</v>
      </c>
    </row>
    <row r="50" spans="1:31" x14ac:dyDescent="0.3">
      <c r="A50" s="7">
        <f>IF(A49&lt;(inputs!$C$9-1),(1+A49),0)</f>
        <v>0</v>
      </c>
      <c r="B50" s="7">
        <f>IF(inputs!$C$8&gt;B49,IF(A49=(inputs!$C$9-1),(B49+1),B49), B49)</f>
        <v>1</v>
      </c>
      <c r="C50" s="7">
        <f t="shared" si="1"/>
        <v>47</v>
      </c>
      <c r="D50" s="8">
        <f>IF((B50&gt;B49), (EXP(-LN(2)/inputs!$C$51)*D49+$D$3), (EXP(-LN(2)/inputs!$C$51)*D49))</f>
        <v>0.25684431870523566</v>
      </c>
      <c r="E50" s="8">
        <f>IF((B50&gt;B49), (EXP(-LN(2)/inputs!$C$51)*E49+$E$3), (EXP(-LN(2)/inputs!$C$51)*E49))</f>
        <v>0.1177203127398997</v>
      </c>
      <c r="F50" s="8">
        <f>IF((B50&gt;B49), (EXP(-LN(2)/inputs!$C$51)*F49+$F$3), (EXP(-LN(2)/inputs!$C$51)*F49))</f>
        <v>0.14447492927169511</v>
      </c>
      <c r="G50" s="8">
        <f>IF((B50&gt;B49), (EXP(-LN(2)/inputs!$C$51)*G49+$G$3), (EXP(-LN(2)/inputs!$C$51)*G49))</f>
        <v>1.6052769919077229E-2</v>
      </c>
      <c r="H50" s="8">
        <f>IF((B50&gt;B49), (EXP(-LN(2)/inputs!$C$51)*H49+$H$3), (EXP(-LN(2)/inputs!$C$51)*H49))</f>
        <v>0.10059735815955063</v>
      </c>
      <c r="I50" s="7">
        <f>O50*(10^inputs!$C$55)*0.01/1</f>
        <v>3.6355260202519952</v>
      </c>
      <c r="J50" s="7">
        <f>(((0.621*15^0.564)/0.2))*D50/15+J49*inputs!$C$53</f>
        <v>0.27638109008919731</v>
      </c>
      <c r="K50" s="7">
        <f>(((0.621*1000^0.564)/0.2))*D50/1000+K49*inputs!$C$53</f>
        <v>4.4287800730351108E-2</v>
      </c>
      <c r="L50" s="7">
        <f>(((0.648*20^0.651)/0.2))*H50/20+L49*inputs!$C$54</f>
        <v>0.15152800550484416</v>
      </c>
      <c r="M50" s="7">
        <f>(((0.013*2^0.773)/0.2))*H50/2+M49*inputs!$C$54</f>
        <v>7.389021202539205E-3</v>
      </c>
      <c r="N50" s="7">
        <f>O50*0.015*inputs!$C$56</f>
        <v>0.53413002483552041</v>
      </c>
      <c r="O50" s="7">
        <f>IF((B50&gt;B49), (EXP(-LN(2)/inputs!$C$52)*O49+$O$3), (EXP(-LN(2)/inputs!$C$52)*O49))</f>
        <v>5.7619204405126259E-2</v>
      </c>
      <c r="P50" s="3">
        <f>IF((B50&gt;B49), (EXP(-LN(2)/inputs!$C$52)*P49+$P$3), (EXP(-LN(2)/inputs!$C$52)*P49))</f>
        <v>5.5677720783177641E-2</v>
      </c>
      <c r="Q50" s="19">
        <f>IF((F50*0.62*1/(0.012*(10^inputs!$C$55)))&gt;inputs!$C$57, inputs!$C$57, (F50*0.62*1/(0.012*(10^inputs!$C$55))))</f>
        <v>1.183049548067386E-3</v>
      </c>
      <c r="R50" s="3">
        <f>IF((B50&gt;B49), (EXP(-LN(2)/inputs!$C$51)*R49+$R$3), (EXP(-LN(2)/inputs!$C$51)*R49))</f>
        <v>2.7487495152516764E-9</v>
      </c>
      <c r="T50" s="7">
        <f>IF(T49&lt;(inputs!$C$9-1),(1+T49),0)</f>
        <v>0</v>
      </c>
      <c r="U50" s="7">
        <f>IF(inputs!$C$8&gt;U49,IF(T49=(inputs!$C$9-1),(U49+1),U49), U49)</f>
        <v>1</v>
      </c>
      <c r="V50" s="7">
        <f t="shared" si="0"/>
        <v>47</v>
      </c>
      <c r="W50" s="8">
        <f>IF((U50&gt;U49), (EXP(-LN(2)/inputs!$C$51)*W49+$W$3), (EXP(-LN(2)/inputs!$C$51)*W49))</f>
        <v>9.0965696208104296E-2</v>
      </c>
      <c r="X50" s="8">
        <f>IF((U50&gt;U49), (EXP(-LN(2)/inputs!$C$51)*X49+$X$3), (EXP(-LN(2)/inputs!$C$51)*X49))</f>
        <v>3.8526647805785338E-2</v>
      </c>
      <c r="Y50" s="8">
        <f>IF((U50&gt;U49), (EXP(-LN(2)/inputs!$C$51)*Y49+$Y$3), (EXP(-LN(2)/inputs!$C$51)*Y49))</f>
        <v>4.8158309757231718E-2</v>
      </c>
      <c r="Z50" s="8">
        <f>IF((U50&gt;U49), (EXP(-LN(2)/inputs!$C$51)*Z49+$Z$3), (EXP(-LN(2)/inputs!$C$51)*Z49))</f>
        <v>7.4912926289027052E-3</v>
      </c>
      <c r="AA50" s="8">
        <f>IF((U50&gt;U49), (EXP(-LN(2)/inputs!$C$51)*AA49+$AA$3), (EXP(-LN(2)/inputs!$C$51)*AA49))</f>
        <v>6.9562002982667986E-2</v>
      </c>
      <c r="AB50" s="7">
        <f>(((0.621*15^0.564)/0.2))*W50/15+AB49*inputs!$C$53</f>
        <v>9.7884969406590722E-2</v>
      </c>
      <c r="AC50" s="7">
        <f>(((0.621*1000^0.564)/0.2))*W50/1000+AC49*inputs!$C$53</f>
        <v>1.5685262758666017E-2</v>
      </c>
      <c r="AD50" s="7">
        <f>(((0.648*20^0.651)/0.2))*AA50/20+AD49*inputs!$C$54</f>
        <v>0.10478000380654115</v>
      </c>
      <c r="AE50" s="7">
        <f>(((0.013*2^0.773)/0.2))*AA50/2+AE49*inputs!$C$54</f>
        <v>5.109429554947322E-3</v>
      </c>
    </row>
    <row r="51" spans="1:31" x14ac:dyDescent="0.3">
      <c r="A51" s="7">
        <f>IF(A50&lt;(inputs!$C$9-1),(1+A50),0)</f>
        <v>0</v>
      </c>
      <c r="B51" s="7">
        <f>IF(inputs!$C$8&gt;B50,IF(A50=(inputs!$C$9-1),(B50+1),B50), B50)</f>
        <v>1</v>
      </c>
      <c r="C51" s="7">
        <f t="shared" si="1"/>
        <v>48</v>
      </c>
      <c r="D51" s="8">
        <f>IF((B51&gt;B50), (EXP(-LN(2)/inputs!$C$51)*D50+$D$3), (EXP(-LN(2)/inputs!$C$51)*D50))</f>
        <v>0.22535741447918678</v>
      </c>
      <c r="E51" s="8">
        <f>IF((B51&gt;B50), (EXP(-LN(2)/inputs!$C$51)*E50+$E$3), (EXP(-LN(2)/inputs!$C$51)*E50))</f>
        <v>0.1032888149696273</v>
      </c>
      <c r="F51" s="8">
        <f>IF((B51&gt;B50), (EXP(-LN(2)/inputs!$C$51)*F50+$F$3), (EXP(-LN(2)/inputs!$C$51)*F50))</f>
        <v>0.12676354564454262</v>
      </c>
      <c r="G51" s="8">
        <f>IF((B51&gt;B50), (EXP(-LN(2)/inputs!$C$51)*G50+$G$3), (EXP(-LN(2)/inputs!$C$51)*G50))</f>
        <v>1.4084838404949174E-2</v>
      </c>
      <c r="H51" s="8">
        <f>IF((B51&gt;B50), (EXP(-LN(2)/inputs!$C$51)*H50+$H$3), (EXP(-LN(2)/inputs!$C$51)*H50))</f>
        <v>8.8264987337681497E-2</v>
      </c>
      <c r="I51" s="7">
        <f>O51*(10^inputs!$C$55)*0.01/1</f>
        <v>3.5621600930671717</v>
      </c>
      <c r="J51" s="7">
        <f>(((0.621*15^0.564)/0.2))*D51/15+J50*inputs!$C$53</f>
        <v>0.24249914573707504</v>
      </c>
      <c r="K51" s="7">
        <f>(((0.621*1000^0.564)/0.2))*D51/1000+K50*inputs!$C$53</f>
        <v>3.8858497302466974E-2</v>
      </c>
      <c r="L51" s="7">
        <f>(((0.648*20^0.651)/0.2))*H51/20+L50*inputs!$C$54</f>
        <v>0.1329519753985649</v>
      </c>
      <c r="M51" s="7">
        <f>(((0.013*2^0.773)/0.2))*H51/2+M50*inputs!$C$54</f>
        <v>6.48319075979695E-3</v>
      </c>
      <c r="N51" s="7">
        <f>O51*0.015*inputs!$C$56</f>
        <v>0.5233511322375809</v>
      </c>
      <c r="O51" s="7">
        <f>IF((B51&gt;B50), (EXP(-LN(2)/inputs!$C$52)*O50+$O$3), (EXP(-LN(2)/inputs!$C$52)*O50))</f>
        <v>5.6456432819588016E-2</v>
      </c>
      <c r="P51" s="3">
        <f>IF((B51&gt;B50), (EXP(-LN(2)/inputs!$C$52)*P50+$P$3), (EXP(-LN(2)/inputs!$C$52)*P50))</f>
        <v>5.4554128877621046E-2</v>
      </c>
      <c r="Q51" s="19">
        <f>IF((F51*0.62*1/(0.012*(10^inputs!$C$55)))&gt;inputs!$C$57, inputs!$C$57, (F51*0.62*1/(0.012*(10^inputs!$C$55))))</f>
        <v>1.0380178494787233E-3</v>
      </c>
      <c r="R51" s="3">
        <f>IF((B51&gt;B50), (EXP(-LN(2)/inputs!$C$51)*R50+$R$3), (EXP(-LN(2)/inputs!$C$51)*R50))</f>
        <v>2.4117764680593986E-9</v>
      </c>
      <c r="T51" s="7">
        <f>IF(T50&lt;(inputs!$C$9-1),(1+T50),0)</f>
        <v>0</v>
      </c>
      <c r="U51" s="7">
        <f>IF(inputs!$C$8&gt;U50,IF(T50=(inputs!$C$9-1),(U50+1),U50), U50)</f>
        <v>1</v>
      </c>
      <c r="V51" s="7">
        <f t="shared" si="0"/>
        <v>48</v>
      </c>
      <c r="W51" s="8">
        <f>IF((U51&gt;U50), (EXP(-LN(2)/inputs!$C$51)*W50+$W$3), (EXP(-LN(2)/inputs!$C$51)*W50))</f>
        <v>7.9814084294711984E-2</v>
      </c>
      <c r="X51" s="8">
        <f>IF((U51&gt;U50), (EXP(-LN(2)/inputs!$C$51)*X50+$X$3), (EXP(-LN(2)/inputs!$C$51)*X50))</f>
        <v>3.3803612171878009E-2</v>
      </c>
      <c r="Y51" s="8">
        <f>IF((U51&gt;U50), (EXP(-LN(2)/inputs!$C$51)*Y50+$Y$3), (EXP(-LN(2)/inputs!$C$51)*Y50))</f>
        <v>4.2254515214847549E-2</v>
      </c>
      <c r="Z51" s="8">
        <f>IF((U51&gt;U50), (EXP(-LN(2)/inputs!$C$51)*Z50+$Z$3), (EXP(-LN(2)/inputs!$C$51)*Z50))</f>
        <v>6.57292458897628E-3</v>
      </c>
      <c r="AA51" s="8">
        <f>IF((U51&gt;U50), (EXP(-LN(2)/inputs!$C$51)*AA50+$AA$3), (EXP(-LN(2)/inputs!$C$51)*AA50))</f>
        <v>6.1034299754779753E-2</v>
      </c>
      <c r="AB51" s="7">
        <f>(((0.621*15^0.564)/0.2))*W51/15+AB50*inputs!$C$53</f>
        <v>8.5885114115214087E-2</v>
      </c>
      <c r="AC51" s="7">
        <f>(((0.621*1000^0.564)/0.2))*W51/1000+AC50*inputs!$C$53</f>
        <v>1.3762384461290383E-2</v>
      </c>
      <c r="AD51" s="7">
        <f>(((0.648*20^0.651)/0.2))*AA51/20+AD50*inputs!$C$54</f>
        <v>9.1934876605390625E-2</v>
      </c>
      <c r="AE51" s="7">
        <f>(((0.013*2^0.773)/0.2))*AA51/2+AE50*inputs!$C$54</f>
        <v>4.4830574402851247E-3</v>
      </c>
    </row>
    <row r="52" spans="1:31" x14ac:dyDescent="0.3">
      <c r="A52" s="7">
        <f>IF(A51&lt;(inputs!$C$9-1),(1+A51),0)</f>
        <v>0</v>
      </c>
      <c r="B52" s="7">
        <f>IF(inputs!$C$8&gt;B51,IF(A51=(inputs!$C$9-1),(B51+1),B51), B51)</f>
        <v>1</v>
      </c>
      <c r="C52" s="7">
        <f t="shared" si="1"/>
        <v>49</v>
      </c>
      <c r="D52" s="8">
        <f>IF((B52&gt;B51), (EXP(-LN(2)/inputs!$C$51)*D51+$D$3), (EXP(-LN(2)/inputs!$C$51)*D51))</f>
        <v>0.19773053387654602</v>
      </c>
      <c r="E52" s="8">
        <f>IF((B52&gt;B51), (EXP(-LN(2)/inputs!$C$51)*E51+$E$3), (EXP(-LN(2)/inputs!$C$51)*E51))</f>
        <v>9.0626494693416951E-2</v>
      </c>
      <c r="F52" s="8">
        <f>IF((B52&gt;B51), (EXP(-LN(2)/inputs!$C$51)*F51+$F$3), (EXP(-LN(2)/inputs!$C$51)*F51))</f>
        <v>0.11122342530555719</v>
      </c>
      <c r="G52" s="8">
        <f>IF((B52&gt;B51), (EXP(-LN(2)/inputs!$C$51)*G51+$G$3), (EXP(-LN(2)/inputs!$C$51)*G51))</f>
        <v>1.2358158367284126E-2</v>
      </c>
      <c r="H52" s="8">
        <f>IF((B52&gt;B51), (EXP(-LN(2)/inputs!$C$51)*H51+$H$3), (EXP(-LN(2)/inputs!$C$51)*H51))</f>
        <v>7.7444459101647198E-2</v>
      </c>
      <c r="I52" s="7">
        <f>O52*(10^inputs!$C$55)*0.01/1</f>
        <v>3.49027471071732</v>
      </c>
      <c r="J52" s="7">
        <f>(((0.621*15^0.564)/0.2))*D52/15+J51*inputs!$C$53</f>
        <v>0.21277083632687238</v>
      </c>
      <c r="K52" s="7">
        <f>(((0.621*1000^0.564)/0.2))*D52/1000+K51*inputs!$C$53</f>
        <v>3.4094779774670958E-2</v>
      </c>
      <c r="L52" s="7">
        <f>(((0.648*20^0.651)/0.2))*H52/20+L51*inputs!$C$54</f>
        <v>0.11665320680153429</v>
      </c>
      <c r="M52" s="7">
        <f>(((0.013*2^0.773)/0.2))*H52/2+M51*inputs!$C$54</f>
        <v>5.6884073378315018E-3</v>
      </c>
      <c r="N52" s="7">
        <f>O52*0.015*inputs!$C$56</f>
        <v>0.51278976069300974</v>
      </c>
      <c r="O52" s="7">
        <f>IF((B52&gt;B51), (EXP(-LN(2)/inputs!$C$52)*O51+$O$3), (EXP(-LN(2)/inputs!$C$52)*O51))</f>
        <v>5.5317126288350574E-2</v>
      </c>
      <c r="P52" s="3">
        <f>IF((B52&gt;B51), (EXP(-LN(2)/inputs!$C$52)*P51+$P$3), (EXP(-LN(2)/inputs!$C$52)*P51))</f>
        <v>5.345321136951596E-2</v>
      </c>
      <c r="Q52" s="19">
        <f>IF((F52*0.62*1/(0.012*(10^inputs!$C$55)))&gt;inputs!$C$57, inputs!$C$57, (F52*0.62*1/(0.012*(10^inputs!$C$55))))</f>
        <v>9.107657896464201E-4</v>
      </c>
      <c r="R52" s="3">
        <f>IF((B52&gt;B51), (EXP(-LN(2)/inputs!$C$51)*R51+$R$3), (EXP(-LN(2)/inputs!$C$51)*R51))</f>
        <v>2.1161134179781716E-9</v>
      </c>
      <c r="T52" s="7">
        <f>IF(T51&lt;(inputs!$C$9-1),(1+T51),0)</f>
        <v>0</v>
      </c>
      <c r="U52" s="7">
        <f>IF(inputs!$C$8&gt;U51,IF(T51=(inputs!$C$9-1),(U51+1),U51), U51)</f>
        <v>1</v>
      </c>
      <c r="V52" s="7">
        <f t="shared" si="0"/>
        <v>49</v>
      </c>
      <c r="W52" s="8">
        <f>IF((U52&gt;U51), (EXP(-LN(2)/inputs!$C$51)*W51+$W$3), (EXP(-LN(2)/inputs!$C$51)*W51))</f>
        <v>7.0029564081276724E-2</v>
      </c>
      <c r="X52" s="8">
        <f>IF((U52&gt;U51), (EXP(-LN(2)/inputs!$C$51)*X51+$X$3), (EXP(-LN(2)/inputs!$C$51)*X51))</f>
        <v>2.9659580081481896E-2</v>
      </c>
      <c r="Y52" s="8">
        <f>IF((U52&gt;U51), (EXP(-LN(2)/inputs!$C$51)*Y51+$Y$3), (EXP(-LN(2)/inputs!$C$51)*Y51))</f>
        <v>3.7074475101852404E-2</v>
      </c>
      <c r="Z52" s="8">
        <f>IF((U52&gt;U51), (EXP(-LN(2)/inputs!$C$51)*Z51+$Z$3), (EXP(-LN(2)/inputs!$C$51)*Z51))</f>
        <v>5.7671405713992582E-3</v>
      </c>
      <c r="AA52" s="8">
        <f>IF((U52&gt;U51), (EXP(-LN(2)/inputs!$C$51)*AA51+$AA$3), (EXP(-LN(2)/inputs!$C$51)*AA51))</f>
        <v>5.3552019591564547E-2</v>
      </c>
      <c r="AB52" s="7">
        <f>(((0.621*15^0.564)/0.2))*W52/15+AB51*inputs!$C$53</f>
        <v>7.5356337865767314E-2</v>
      </c>
      <c r="AC52" s="7">
        <f>(((0.621*1000^0.564)/0.2))*W52/1000+AC51*inputs!$C$53</f>
        <v>1.2075234503529299E-2</v>
      </c>
      <c r="AD52" s="7">
        <f>(((0.648*20^0.651)/0.2))*AA52/20+AD51*inputs!$C$54</f>
        <v>8.0664451511699237E-2</v>
      </c>
      <c r="AE52" s="7">
        <f>(((0.013*2^0.773)/0.2))*AA52/2+AE51*inputs!$C$54</f>
        <v>3.9334731591388035E-3</v>
      </c>
    </row>
    <row r="53" spans="1:31" x14ac:dyDescent="0.3">
      <c r="A53" s="7">
        <f>IF(A52&lt;(inputs!$C$9-1),(1+A52),0)</f>
        <v>0</v>
      </c>
      <c r="B53" s="7">
        <f>IF(inputs!$C$8&gt;B52,IF(A52=(inputs!$C$9-1),(B52+1),B52), B52)</f>
        <v>1</v>
      </c>
      <c r="C53" s="7">
        <f t="shared" si="1"/>
        <v>50</v>
      </c>
      <c r="D53" s="8">
        <f>IF((B53&gt;B52), (EXP(-LN(2)/inputs!$C$51)*D52+$D$3), (EXP(-LN(2)/inputs!$C$51)*D52))</f>
        <v>0.17349047120308886</v>
      </c>
      <c r="E53" s="8">
        <f>IF((B53&gt;B52), (EXP(-LN(2)/inputs!$C$51)*E52+$E$3), (EXP(-LN(2)/inputs!$C$51)*E52))</f>
        <v>7.9516465968082414E-2</v>
      </c>
      <c r="F53" s="8">
        <f>IF((B53&gt;B52), (EXP(-LN(2)/inputs!$C$51)*F52+$F$3), (EXP(-LN(2)/inputs!$C$51)*F52))</f>
        <v>9.7588390051737528E-2</v>
      </c>
      <c r="G53" s="8">
        <f>IF((B53&gt;B52), (EXP(-LN(2)/inputs!$C$51)*G52+$G$3), (EXP(-LN(2)/inputs!$C$51)*G52))</f>
        <v>1.0843154450193054E-2</v>
      </c>
      <c r="H53" s="8">
        <f>IF((B53&gt;B52), (EXP(-LN(2)/inputs!$C$51)*H52+$H$3), (EXP(-LN(2)/inputs!$C$51)*H52))</f>
        <v>6.7950434554543138E-2</v>
      </c>
      <c r="I53" s="7">
        <f>O53*(10^inputs!$C$55)*0.01/1</f>
        <v>3.4198399953955003</v>
      </c>
      <c r="J53" s="7">
        <f>(((0.621*15^0.564)/0.2))*D53/15+J52*inputs!$C$53</f>
        <v>0.18668696194221393</v>
      </c>
      <c r="K53" s="7">
        <f>(((0.621*1000^0.564)/0.2))*D53/1000+K52*inputs!$C$53</f>
        <v>2.9915053040651479E-2</v>
      </c>
      <c r="L53" s="7">
        <f>(((0.648*20^0.651)/0.2))*H53/20+L52*inputs!$C$54</f>
        <v>0.1023525270405904</v>
      </c>
      <c r="M53" s="7">
        <f>(((0.013*2^0.773)/0.2))*H53/2+M52*inputs!$C$54</f>
        <v>4.9910575270669189E-3</v>
      </c>
      <c r="N53" s="7">
        <f>O53*0.015*inputs!$C$56</f>
        <v>0.50244152056639435</v>
      </c>
      <c r="O53" s="7">
        <f>IF((B53&gt;B52), (EXP(-LN(2)/inputs!$C$52)*O52+$O$3), (EXP(-LN(2)/inputs!$C$52)*O52))</f>
        <v>5.4200811280085692E-2</v>
      </c>
      <c r="P53" s="3">
        <f>IF((B53&gt;B52), (EXP(-LN(2)/inputs!$C$52)*P52+$P$3), (EXP(-LN(2)/inputs!$C$52)*P52))</f>
        <v>5.2374510683209481E-2</v>
      </c>
      <c r="Q53" s="19">
        <f>IF((F53*0.62*1/(0.012*(10^inputs!$C$55)))&gt;inputs!$C$57, inputs!$C$57, (F53*0.62*1/(0.012*(10^inputs!$C$55))))</f>
        <v>7.9911373779056557E-4</v>
      </c>
      <c r="R53" s="3">
        <f>IF((B53&gt;B52), (EXP(-LN(2)/inputs!$C$51)*R52+$R$3), (EXP(-LN(2)/inputs!$C$51)*R52))</f>
        <v>1.8566961146902504E-9</v>
      </c>
      <c r="T53" s="7">
        <f>IF(T52&lt;(inputs!$C$9-1),(1+T52),0)</f>
        <v>0</v>
      </c>
      <c r="U53" s="7">
        <f>IF(inputs!$C$8&gt;U52,IF(T52=(inputs!$C$9-1),(U52+1),U52), U52)</f>
        <v>1</v>
      </c>
      <c r="V53" s="7">
        <f t="shared" si="0"/>
        <v>50</v>
      </c>
      <c r="W53" s="8">
        <f>IF((U53&gt;U52), (EXP(-LN(2)/inputs!$C$51)*W52+$W$3), (EXP(-LN(2)/inputs!$C$51)*W52))</f>
        <v>6.1444541884427314E-2</v>
      </c>
      <c r="X53" s="8">
        <f>IF((U53&gt;U52), (EXP(-LN(2)/inputs!$C$51)*X52+$X$3), (EXP(-LN(2)/inputs!$C$51)*X52))</f>
        <v>2.6023570680463324E-2</v>
      </c>
      <c r="Y53" s="8">
        <f>IF((U53&gt;U52), (EXP(-LN(2)/inputs!$C$51)*Y52+$Y$3), (EXP(-LN(2)/inputs!$C$51)*Y52))</f>
        <v>3.2529463350579185E-2</v>
      </c>
      <c r="Z53" s="8">
        <f>IF((U53&gt;U52), (EXP(-LN(2)/inputs!$C$51)*Z52+$Z$3), (EXP(-LN(2)/inputs!$C$51)*Z52))</f>
        <v>5.0601387434234249E-3</v>
      </c>
      <c r="AA53" s="8">
        <f>IF((U53&gt;U52), (EXP(-LN(2)/inputs!$C$51)*AA52+$AA$3), (EXP(-LN(2)/inputs!$C$51)*AA52))</f>
        <v>4.6987002617503236E-2</v>
      </c>
      <c r="AB53" s="7">
        <f>(((0.621*15^0.564)/0.2))*W53/15+AB52*inputs!$C$53</f>
        <v>6.6118299021200769E-2</v>
      </c>
      <c r="AC53" s="7">
        <f>(((0.621*1000^0.564)/0.2))*W53/1000+AC52*inputs!$C$53</f>
        <v>1.0594914618564067E-2</v>
      </c>
      <c r="AD53" s="7">
        <f>(((0.648*20^0.651)/0.2))*AA53/20+AD52*inputs!$C$54</f>
        <v>7.077568359189762E-2</v>
      </c>
      <c r="AE53" s="7">
        <f>(((0.013*2^0.773)/0.2))*AA53/2+AE52*inputs!$C$54</f>
        <v>3.4512631836101032E-3</v>
      </c>
    </row>
    <row r="54" spans="1:31" x14ac:dyDescent="0.3">
      <c r="A54" s="7">
        <f>IF(A53&lt;(inputs!$C$9-1),(1+A53),0)</f>
        <v>0</v>
      </c>
      <c r="B54" s="7">
        <f>IF(inputs!$C$8&gt;B53,IF(A53=(inputs!$C$9-1),(B53+1),B53), B53)</f>
        <v>1</v>
      </c>
      <c r="C54" s="7">
        <f t="shared" si="1"/>
        <v>51</v>
      </c>
      <c r="D54" s="8">
        <f>IF((B54&gt;B53), (EXP(-LN(2)/inputs!$C$51)*D53+$D$3), (EXP(-LN(2)/inputs!$C$51)*D53))</f>
        <v>0.15222203171242243</v>
      </c>
      <c r="E54" s="8">
        <f>IF((B54&gt;B53), (EXP(-LN(2)/inputs!$C$51)*E53+$E$3), (EXP(-LN(2)/inputs!$C$51)*E53))</f>
        <v>6.9768431201526968E-2</v>
      </c>
      <c r="F54" s="8">
        <f>IF((B54&gt;B53), (EXP(-LN(2)/inputs!$C$51)*F53+$F$3), (EXP(-LN(2)/inputs!$C$51)*F53))</f>
        <v>8.5624892838237654E-2</v>
      </c>
      <c r="G54" s="8">
        <f>IF((B54&gt;B53), (EXP(-LN(2)/inputs!$C$51)*G53+$G$3), (EXP(-LN(2)/inputs!$C$51)*G53))</f>
        <v>9.5138769820264021E-3</v>
      </c>
      <c r="H54" s="8">
        <f>IF((B54&gt;B53), (EXP(-LN(2)/inputs!$C$51)*H53+$H$3), (EXP(-LN(2)/inputs!$C$51)*H53))</f>
        <v>5.9620295754032118E-2</v>
      </c>
      <c r="I54" s="7">
        <f>O54*(10^inputs!$C$55)*0.01/1</f>
        <v>3.3508266722372348</v>
      </c>
      <c r="J54" s="7">
        <f>(((0.621*15^0.564)/0.2))*D54/15+J53*inputs!$C$53</f>
        <v>0.16380074619658727</v>
      </c>
      <c r="K54" s="7">
        <f>(((0.621*1000^0.564)/0.2))*D54/1000+K53*inputs!$C$53</f>
        <v>2.6247724852290176E-2</v>
      </c>
      <c r="L54" s="7">
        <f>(((0.648*20^0.651)/0.2))*H54/20+L53*inputs!$C$54</f>
        <v>8.9804987610996423E-2</v>
      </c>
      <c r="M54" s="7">
        <f>(((0.013*2^0.773)/0.2))*H54/2+M53*inputs!$C$54</f>
        <v>4.379196804845489E-3</v>
      </c>
      <c r="N54" s="7">
        <f>O54*0.015*inputs!$C$56</f>
        <v>0.49230211080638636</v>
      </c>
      <c r="O54" s="7">
        <f>IF((B54&gt;B53), (EXP(-LN(2)/inputs!$C$52)*O53+$O$3), (EXP(-LN(2)/inputs!$C$52)*O53))</f>
        <v>5.3107023819459157E-2</v>
      </c>
      <c r="P54" s="3">
        <f>IF((B54&gt;B53), (EXP(-LN(2)/inputs!$C$52)*P53+$P$3), (EXP(-LN(2)/inputs!$C$52)*P53))</f>
        <v>5.1317578477052761E-2</v>
      </c>
      <c r="Q54" s="19">
        <f>IF((F54*0.62*1/(0.012*(10^inputs!$C$55)))&gt;inputs!$C$57, inputs!$C$57, (F54*0.62*1/(0.012*(10^inputs!$C$55))))</f>
        <v>7.0114926711676456E-4</v>
      </c>
      <c r="R54" s="3">
        <f>IF((B54&gt;B53), (EXP(-LN(2)/inputs!$C$51)*R53+$R$3), (EXP(-LN(2)/inputs!$C$51)*R53))</f>
        <v>1.6290811414066804E-9</v>
      </c>
      <c r="T54" s="7">
        <f>IF(T53&lt;(inputs!$C$9-1),(1+T53),0)</f>
        <v>0</v>
      </c>
      <c r="U54" s="7">
        <f>IF(inputs!$C$8&gt;U53,IF(T53=(inputs!$C$9-1),(U53+1),U53), U53)</f>
        <v>1</v>
      </c>
      <c r="V54" s="7">
        <f t="shared" si="0"/>
        <v>51</v>
      </c>
      <c r="W54" s="8">
        <f>IF((U54&gt;U53), (EXP(-LN(2)/inputs!$C$51)*W53+$W$3), (EXP(-LN(2)/inputs!$C$51)*W53))</f>
        <v>5.3911969564816288E-2</v>
      </c>
      <c r="X54" s="8">
        <f>IF((U54&gt;U53), (EXP(-LN(2)/inputs!$C$51)*X53+$X$3), (EXP(-LN(2)/inputs!$C$51)*X53))</f>
        <v>2.2833304756863359E-2</v>
      </c>
      <c r="Y54" s="8">
        <f>IF((U54&gt;U53), (EXP(-LN(2)/inputs!$C$51)*Y53+$Y$3), (EXP(-LN(2)/inputs!$C$51)*Y53))</f>
        <v>2.8541630946079227E-2</v>
      </c>
      <c r="Z54" s="8">
        <f>IF((U54&gt;U53), (EXP(-LN(2)/inputs!$C$51)*Z53+$Z$3), (EXP(-LN(2)/inputs!$C$51)*Z53))</f>
        <v>4.439809258278987E-3</v>
      </c>
      <c r="AA54" s="8">
        <f>IF((U54&gt;U53), (EXP(-LN(2)/inputs!$C$51)*AA53+$AA$3), (EXP(-LN(2)/inputs!$C$51)*AA53))</f>
        <v>4.122680025544774E-2</v>
      </c>
      <c r="AB54" s="7">
        <f>(((0.621*15^0.564)/0.2))*W54/15+AB53*inputs!$C$53</f>
        <v>5.8012764277957998E-2</v>
      </c>
      <c r="AC54" s="7">
        <f>(((0.621*1000^0.564)/0.2))*W54/1000+AC53*inputs!$C$53</f>
        <v>9.2960692185194375E-3</v>
      </c>
      <c r="AD54" s="7">
        <f>(((0.648*20^0.651)/0.2))*AA54/20+AD53*inputs!$C$54</f>
        <v>6.2099193560795393E-2</v>
      </c>
      <c r="AE54" s="7">
        <f>(((0.013*2^0.773)/0.2))*AA54/2+AE53*inputs!$C$54</f>
        <v>3.0281680033506044E-3</v>
      </c>
    </row>
    <row r="55" spans="1:31" x14ac:dyDescent="0.3">
      <c r="A55" s="7">
        <f>IF(A54&lt;(inputs!$C$9-1),(1+A54),0)</f>
        <v>0</v>
      </c>
      <c r="B55" s="7">
        <f>IF(inputs!$C$8&gt;B54,IF(A54=(inputs!$C$9-1),(B54+1),B54), B54)</f>
        <v>1</v>
      </c>
      <c r="C55" s="7">
        <f t="shared" si="1"/>
        <v>52</v>
      </c>
      <c r="D55" s="8">
        <f>IF((B55&gt;B54), (EXP(-LN(2)/inputs!$C$51)*D54+$D$3), (EXP(-LN(2)/inputs!$C$51)*D54))</f>
        <v>0.1335609199627627</v>
      </c>
      <c r="E55" s="8">
        <f>IF((B55&gt;B54), (EXP(-LN(2)/inputs!$C$51)*E54+$E$3), (EXP(-LN(2)/inputs!$C$51)*E54))</f>
        <v>6.1215421649599595E-2</v>
      </c>
      <c r="F55" s="8">
        <f>IF((B55&gt;B54), (EXP(-LN(2)/inputs!$C$51)*F54+$F$3), (EXP(-LN(2)/inputs!$C$51)*F54))</f>
        <v>7.5128017479054052E-2</v>
      </c>
      <c r="G55" s="8">
        <f>IF((B55&gt;B54), (EXP(-LN(2)/inputs!$C$51)*G54+$G$3), (EXP(-LN(2)/inputs!$C$51)*G54))</f>
        <v>8.3475574976726689E-3</v>
      </c>
      <c r="H55" s="8">
        <f>IF((B55&gt;B54), (EXP(-LN(2)/inputs!$C$51)*H54+$H$3), (EXP(-LN(2)/inputs!$C$51)*H54))</f>
        <v>5.231136031874873E-2</v>
      </c>
      <c r="I55" s="7">
        <f>O55*(10^inputs!$C$55)*0.01/1</f>
        <v>3.2832060571529618</v>
      </c>
      <c r="J55" s="7">
        <f>(((0.621*15^0.564)/0.2))*D55/15+J54*inputs!$C$53</f>
        <v>0.14372018364551789</v>
      </c>
      <c r="K55" s="7">
        <f>(((0.621*1000^0.564)/0.2))*D55/1000+K54*inputs!$C$53</f>
        <v>2.3029979555287048E-2</v>
      </c>
      <c r="L55" s="7">
        <f>(((0.648*20^0.651)/0.2))*H55/20+L54*inputs!$C$54</f>
        <v>7.8795668587770901E-2</v>
      </c>
      <c r="M55" s="7">
        <f>(((0.013*2^0.773)/0.2))*H55/2+M54*inputs!$C$54</f>
        <v>3.8423449442464863E-3</v>
      </c>
      <c r="N55" s="7">
        <f>O55*0.015*inputs!$C$56</f>
        <v>0.48236731715805137</v>
      </c>
      <c r="O55" s="7">
        <f>IF((B55&gt;B54), (EXP(-LN(2)/inputs!$C$52)*O54+$O$3), (EXP(-LN(2)/inputs!$C$52)*O54))</f>
        <v>5.2035309294288172E-2</v>
      </c>
      <c r="P55" s="3">
        <f>IF((B55&gt;B54), (EXP(-LN(2)/inputs!$C$52)*P54+$P$3), (EXP(-LN(2)/inputs!$C$52)*P54))</f>
        <v>5.028197545705624E-2</v>
      </c>
      <c r="Q55" s="19">
        <f>IF((F55*0.62*1/(0.012*(10^inputs!$C$55)))&gt;inputs!$C$57, inputs!$C$57, (F55*0.62*1/(0.012*(10^inputs!$C$55))))</f>
        <v>6.1519439790586961E-4</v>
      </c>
      <c r="R55" s="3">
        <f>IF((B55&gt;B54), (EXP(-LN(2)/inputs!$C$51)*R54+$R$3), (EXP(-LN(2)/inputs!$C$51)*R54))</f>
        <v>1.4293698060167694E-9</v>
      </c>
      <c r="T55" s="7">
        <f>IF(T54&lt;(inputs!$C$9-1),(1+T54),0)</f>
        <v>0</v>
      </c>
      <c r="U55" s="7">
        <f>IF(inputs!$C$8&gt;U54,IF(T54=(inputs!$C$9-1),(U54+1),U54), U54)</f>
        <v>1</v>
      </c>
      <c r="V55" s="7">
        <f t="shared" si="0"/>
        <v>52</v>
      </c>
      <c r="W55" s="8">
        <f>IF((U55&gt;U54), (EXP(-LN(2)/inputs!$C$51)*W54+$W$3), (EXP(-LN(2)/inputs!$C$51)*W54))</f>
        <v>4.7302825820145132E-2</v>
      </c>
      <c r="X55" s="8">
        <f>IF((U55&gt;U54), (EXP(-LN(2)/inputs!$C$51)*X54+$X$3), (EXP(-LN(2)/inputs!$C$51)*X54))</f>
        <v>2.0034137994414402E-2</v>
      </c>
      <c r="Y55" s="8">
        <f>IF((U55&gt;U54), (EXP(-LN(2)/inputs!$C$51)*Y54+$Y$3), (EXP(-LN(2)/inputs!$C$51)*Y54))</f>
        <v>2.5042672493018028E-2</v>
      </c>
      <c r="Z55" s="8">
        <f>IF((U55&gt;U54), (EXP(-LN(2)/inputs!$C$51)*Z54+$Z$3), (EXP(-LN(2)/inputs!$C$51)*Z54))</f>
        <v>3.8955268322472454E-3</v>
      </c>
      <c r="AA55" s="8">
        <f>IF((U55&gt;U54), (EXP(-LN(2)/inputs!$C$51)*AA54+$AA$3), (EXP(-LN(2)/inputs!$C$51)*AA54))</f>
        <v>3.6172749156581564E-2</v>
      </c>
      <c r="AB55" s="7">
        <f>(((0.621*15^0.564)/0.2))*W55/15+AB54*inputs!$C$53</f>
        <v>5.0900898374454259E-2</v>
      </c>
      <c r="AC55" s="7">
        <f>(((0.621*1000^0.564)/0.2))*W55/1000+AC54*inputs!$C$53</f>
        <v>8.1564510924974978E-3</v>
      </c>
      <c r="AD55" s="7">
        <f>(((0.648*20^0.651)/0.2))*AA55/20+AD54*inputs!$C$54</f>
        <v>5.4486366576650083E-2</v>
      </c>
      <c r="AE55" s="7">
        <f>(((0.013*2^0.773)/0.2))*AA55/2+AE54*inputs!$C$54</f>
        <v>2.6569406529363998E-3</v>
      </c>
    </row>
    <row r="56" spans="1:31" x14ac:dyDescent="0.3">
      <c r="A56" s="7">
        <f>IF(A55&lt;(inputs!$C$9-1),(1+A55),0)</f>
        <v>0</v>
      </c>
      <c r="B56" s="7">
        <f>IF(inputs!$C$8&gt;B55,IF(A55=(inputs!$C$9-1),(B55+1),B55), B55)</f>
        <v>1</v>
      </c>
      <c r="C56" s="7">
        <f t="shared" si="1"/>
        <v>53</v>
      </c>
      <c r="D56" s="8">
        <f>IF((B56&gt;B55), (EXP(-LN(2)/inputs!$C$51)*D55+$D$3), (EXP(-LN(2)/inputs!$C$51)*D55))</f>
        <v>0.11718750000000001</v>
      </c>
      <c r="E56" s="8">
        <f>IF((B56&gt;B55), (EXP(-LN(2)/inputs!$C$51)*E55+$E$3), (EXP(-LN(2)/inputs!$C$51)*E55))</f>
        <v>5.3710937500000028E-2</v>
      </c>
      <c r="F56" s="8">
        <f>IF((B56&gt;B55), (EXP(-LN(2)/inputs!$C$51)*F55+$F$3), (EXP(-LN(2)/inputs!$C$51)*F55))</f>
        <v>6.5917968750000028E-2</v>
      </c>
      <c r="G56" s="8">
        <f>IF((B56&gt;B55), (EXP(-LN(2)/inputs!$C$51)*G55+$G$3), (EXP(-LN(2)/inputs!$C$51)*G55))</f>
        <v>7.3242187500000009E-3</v>
      </c>
      <c r="H56" s="8">
        <f>IF((B56&gt;B55), (EXP(-LN(2)/inputs!$C$51)*H55+$H$3), (EXP(-LN(2)/inputs!$C$51)*H55))</f>
        <v>4.5898437500000007E-2</v>
      </c>
      <c r="I56" s="7">
        <f>O56*(10^inputs!$C$55)*0.01/1</f>
        <v>3.2169500449060298</v>
      </c>
      <c r="J56" s="7">
        <f>(((0.621*15^0.564)/0.2))*D56/15+J55*inputs!$C$53</f>
        <v>0.12610132534018784</v>
      </c>
      <c r="K56" s="7">
        <f>(((0.621*1000^0.564)/0.2))*D56/1000+K55*inputs!$C$53</f>
        <v>2.0206702154250245E-2</v>
      </c>
      <c r="L56" s="7">
        <f>(((0.648*20^0.651)/0.2))*H56/20+L55*inputs!$C$54</f>
        <v>6.9135997380100719E-2</v>
      </c>
      <c r="M56" s="7">
        <f>(((0.013*2^0.773)/0.2))*H56/2+M55*inputs!$C$54</f>
        <v>3.3713065040239577E-3</v>
      </c>
      <c r="N56" s="7">
        <f>O56*0.015*inputs!$C$56</f>
        <v>0.47263301041129252</v>
      </c>
      <c r="O56" s="7">
        <f>IF((B56&gt;B55), (EXP(-LN(2)/inputs!$C$52)*O55+$O$3), (EXP(-LN(2)/inputs!$C$52)*O55))</f>
        <v>5.0985222266590351E-2</v>
      </c>
      <c r="P56" s="3">
        <f>IF((B56&gt;B55), (EXP(-LN(2)/inputs!$C$52)*P55+$P$3), (EXP(-LN(2)/inputs!$C$52)*P55))</f>
        <v>4.9267271194305351E-2</v>
      </c>
      <c r="Q56" s="19">
        <f>IF((F56*0.62*1/(0.012*(10^inputs!$C$55)))&gt;inputs!$C$57, inputs!$C$57, (F56*0.62*1/(0.012*(10^inputs!$C$55))))</f>
        <v>5.3977685631915323E-4</v>
      </c>
      <c r="R56" s="3">
        <f>IF((B56&gt;B55), (EXP(-LN(2)/inputs!$C$51)*R55+$R$3), (EXP(-LN(2)/inputs!$C$51)*R55))</f>
        <v>1.2541413625279837E-9</v>
      </c>
      <c r="T56" s="7">
        <f>IF(T55&lt;(inputs!$C$9-1),(1+T55),0)</f>
        <v>0</v>
      </c>
      <c r="U56" s="7">
        <f>IF(inputs!$C$8&gt;U55,IF(T55=(inputs!$C$9-1),(U55+1),U55), U55)</f>
        <v>1</v>
      </c>
      <c r="V56" s="7">
        <f t="shared" si="0"/>
        <v>53</v>
      </c>
      <c r="W56" s="8">
        <f>IF((U56&gt;U55), (EXP(-LN(2)/inputs!$C$51)*W55+$W$3), (EXP(-LN(2)/inputs!$C$51)*W55))</f>
        <v>4.1503906250000014E-2</v>
      </c>
      <c r="X56" s="8">
        <f>IF((U56&gt;U55), (EXP(-LN(2)/inputs!$C$51)*X55+$X$3), (EXP(-LN(2)/inputs!$C$51)*X55))</f>
        <v>1.7578125E-2</v>
      </c>
      <c r="Y56" s="8">
        <f>IF((U56&gt;U55), (EXP(-LN(2)/inputs!$C$51)*Y55+$Y$3), (EXP(-LN(2)/inputs!$C$51)*Y55))</f>
        <v>2.1972656250000021E-2</v>
      </c>
      <c r="Z56" s="8">
        <f>IF((U56&gt;U55), (EXP(-LN(2)/inputs!$C$51)*Z55+$Z$3), (EXP(-LN(2)/inputs!$C$51)*Z55))</f>
        <v>3.4179687500000004E-3</v>
      </c>
      <c r="AA56" s="8">
        <f>IF((U56&gt;U55), (EXP(-LN(2)/inputs!$C$51)*AA55+$AA$3), (EXP(-LN(2)/inputs!$C$51)*AA55))</f>
        <v>3.173828125E-2</v>
      </c>
      <c r="AB56" s="7">
        <f>(((0.621*15^0.564)/0.2))*W56/15+AB55*inputs!$C$53</f>
        <v>4.4660886057983205E-2</v>
      </c>
      <c r="AC56" s="7">
        <f>(((0.621*1000^0.564)/0.2))*W56/1000+AC55*inputs!$C$53</f>
        <v>7.1565403462969628E-3</v>
      </c>
      <c r="AD56" s="7">
        <f>(((0.648*20^0.651)/0.2))*AA56/20+AD55*inputs!$C$54</f>
        <v>4.7806806699005805E-2</v>
      </c>
      <c r="AE56" s="7">
        <f>(((0.013*2^0.773)/0.2))*AA56/2+AE55*inputs!$C$54</f>
        <v>2.3312225825697576E-3</v>
      </c>
    </row>
    <row r="57" spans="1:31" x14ac:dyDescent="0.3">
      <c r="A57" s="7">
        <f>IF(A56&lt;(inputs!$C$9-1),(1+A56),0)</f>
        <v>0</v>
      </c>
      <c r="B57" s="7">
        <f>IF(inputs!$C$8&gt;B56,IF(A56=(inputs!$C$9-1),(B56+1),B56), B56)</f>
        <v>1</v>
      </c>
      <c r="C57" s="7">
        <f t="shared" si="1"/>
        <v>54</v>
      </c>
      <c r="D57" s="8">
        <f>IF((B57&gt;B56), (EXP(-LN(2)/inputs!$C$51)*D56+$D$3), (EXP(-LN(2)/inputs!$C$51)*D56))</f>
        <v>0.10282132048864887</v>
      </c>
      <c r="E57" s="8">
        <f>IF((B57&gt;B56), (EXP(-LN(2)/inputs!$C$51)*E56+$E$3), (EXP(-LN(2)/inputs!$C$51)*E56))</f>
        <v>4.7126438557297409E-2</v>
      </c>
      <c r="F57" s="8">
        <f>IF((B57&gt;B56), (EXP(-LN(2)/inputs!$C$51)*F56+$F$3), (EXP(-LN(2)/inputs!$C$51)*F56))</f>
        <v>5.7836992774865002E-2</v>
      </c>
      <c r="G57" s="8">
        <f>IF((B57&gt;B56), (EXP(-LN(2)/inputs!$C$51)*G56+$G$3), (EXP(-LN(2)/inputs!$C$51)*G56))</f>
        <v>6.4263325305405541E-3</v>
      </c>
      <c r="H57" s="8">
        <f>IF((B57&gt;B56), (EXP(-LN(2)/inputs!$C$51)*H56+$H$3), (EXP(-LN(2)/inputs!$C$51)*H56))</f>
        <v>4.0271683858054137E-2</v>
      </c>
      <c r="I57" s="7">
        <f>O57*(10^inputs!$C$55)*0.01/1</f>
        <v>3.1520310974312897</v>
      </c>
      <c r="J57" s="7">
        <f>(((0.621*15^0.564)/0.2))*D57/15+J56*inputs!$C$53</f>
        <v>0.11064238751442629</v>
      </c>
      <c r="K57" s="7">
        <f>(((0.621*1000^0.564)/0.2))*D57/1000+K56*inputs!$C$53</f>
        <v>1.7729534278151129E-2</v>
      </c>
      <c r="L57" s="7">
        <f>(((0.648*20^0.651)/0.2))*H57/20+L56*inputs!$C$54</f>
        <v>6.0660518774798701E-2</v>
      </c>
      <c r="M57" s="7">
        <f>(((0.013*2^0.773)/0.2))*H57/2+M56*inputs!$C$54</f>
        <v>2.9580133249340898E-3</v>
      </c>
      <c r="N57" s="7">
        <f>O57*0.015*inputs!$C$56</f>
        <v>0.46309514468462248</v>
      </c>
      <c r="O57" s="7">
        <f>IF((B57&gt;B56), (EXP(-LN(2)/inputs!$C$52)*O56+$O$3), (EXP(-LN(2)/inputs!$C$52)*O56))</f>
        <v>4.9956326287445792E-2</v>
      </c>
      <c r="P57" s="3">
        <f>IF((B57&gt;B56), (EXP(-LN(2)/inputs!$C$52)*P56+$P$3), (EXP(-LN(2)/inputs!$C$52)*P56))</f>
        <v>4.827304394606087E-2</v>
      </c>
      <c r="Q57" s="19">
        <f>IF((F57*0.62*1/(0.012*(10^inputs!$C$55)))&gt;inputs!$C$57, inputs!$C$57, (F57*0.62*1/(0.012*(10^inputs!$C$55))))</f>
        <v>4.7360485662674797E-4</v>
      </c>
      <c r="R57" s="3">
        <f>IF((B57&gt;B56), (EXP(-LN(2)/inputs!$C$51)*R56+$R$3), (EXP(-LN(2)/inputs!$C$51)*R56))</f>
        <v>1.1003944189829167E-9</v>
      </c>
      <c r="T57" s="7">
        <f>IF(T56&lt;(inputs!$C$9-1),(1+T56),0)</f>
        <v>0</v>
      </c>
      <c r="U57" s="7">
        <f>IF(inputs!$C$8&gt;U56,IF(T56=(inputs!$C$9-1),(U56+1),U56), U56)</f>
        <v>1</v>
      </c>
      <c r="V57" s="7">
        <f t="shared" si="0"/>
        <v>54</v>
      </c>
      <c r="W57" s="8">
        <f>IF((U57&gt;U56), (EXP(-LN(2)/inputs!$C$51)*W56+$W$3), (EXP(-LN(2)/inputs!$C$51)*W56))</f>
        <v>3.6415884339729809E-2</v>
      </c>
      <c r="X57" s="8">
        <f>IF((U57&gt;U56), (EXP(-LN(2)/inputs!$C$51)*X56+$X$3), (EXP(-LN(2)/inputs!$C$51)*X56))</f>
        <v>1.5423198073297327E-2</v>
      </c>
      <c r="Y57" s="8">
        <f>IF((U57&gt;U56), (EXP(-LN(2)/inputs!$C$51)*Y56+$Y$3), (EXP(-LN(2)/inputs!$C$51)*Y56))</f>
        <v>1.9278997591621678E-2</v>
      </c>
      <c r="Z57" s="8">
        <f>IF((U57&gt;U56), (EXP(-LN(2)/inputs!$C$51)*Z56+$Z$3), (EXP(-LN(2)/inputs!$C$51)*Z56))</f>
        <v>2.998955180918925E-3</v>
      </c>
      <c r="AA57" s="8">
        <f>IF((U57&gt;U56), (EXP(-LN(2)/inputs!$C$51)*AA56+$AA$3), (EXP(-LN(2)/inputs!$C$51)*AA56))</f>
        <v>2.7847440965675728E-2</v>
      </c>
      <c r="AB57" s="7">
        <f>(((0.621*15^0.564)/0.2))*W57/15+AB56*inputs!$C$53</f>
        <v>3.9185845578025978E-2</v>
      </c>
      <c r="AC57" s="7">
        <f>(((0.621*1000^0.564)/0.2))*W57/1000+AC56*inputs!$C$53</f>
        <v>6.2792100568451921E-3</v>
      </c>
      <c r="AD57" s="7">
        <f>(((0.648*20^0.651)/0.2))*AA57/20+AD56*inputs!$C$54</f>
        <v>4.1946103408105478E-2</v>
      </c>
      <c r="AE57" s="7">
        <f>(((0.013*2^0.773)/0.2))*AA57/2+AE56*inputs!$C$54</f>
        <v>2.0454347459650619E-3</v>
      </c>
    </row>
    <row r="58" spans="1:31" x14ac:dyDescent="0.3">
      <c r="A58" s="7">
        <f>IF(A57&lt;(inputs!$C$9-1),(1+A57),0)</f>
        <v>0</v>
      </c>
      <c r="B58" s="7">
        <f>IF(inputs!$C$8&gt;B57,IF(A57=(inputs!$C$9-1),(B57+1),B57), B57)</f>
        <v>1</v>
      </c>
      <c r="C58" s="7">
        <f t="shared" si="1"/>
        <v>55</v>
      </c>
      <c r="D58" s="8">
        <f>IF((B58&gt;B57), (EXP(-LN(2)/inputs!$C$51)*D57+$D$3), (EXP(-LN(2)/inputs!$C$51)*D57))</f>
        <v>9.0216311014651232E-2</v>
      </c>
      <c r="E58" s="8">
        <f>IF((B58&gt;B57), (EXP(-LN(2)/inputs!$C$51)*E57+$E$3), (EXP(-LN(2)/inputs!$C$51)*E57))</f>
        <v>4.1349142548381825E-2</v>
      </c>
      <c r="F58" s="8">
        <f>IF((B58&gt;B57), (EXP(-LN(2)/inputs!$C$51)*F57+$F$3), (EXP(-LN(2)/inputs!$C$51)*F57))</f>
        <v>5.0746674945741331E-2</v>
      </c>
      <c r="G58" s="8">
        <f>IF((B58&gt;B57), (EXP(-LN(2)/inputs!$C$51)*G57+$G$3), (EXP(-LN(2)/inputs!$C$51)*G57))</f>
        <v>5.638519438415702E-3</v>
      </c>
      <c r="H58" s="8">
        <f>IF((B58&gt;B57), (EXP(-LN(2)/inputs!$C$51)*H57+$H$3), (EXP(-LN(2)/inputs!$C$51)*H57))</f>
        <v>3.5334721814071733E-2</v>
      </c>
      <c r="I58" s="7">
        <f>O58*(10^inputs!$C$55)*0.01/1</f>
        <v>3.0884222323894126</v>
      </c>
      <c r="J58" s="7">
        <f>(((0.621*15^0.564)/0.2))*D58/15+J57*inputs!$C$53</f>
        <v>9.707858249600089E-2</v>
      </c>
      <c r="K58" s="7">
        <f>(((0.621*1000^0.564)/0.2))*D58/1000+K57*inputs!$C$53</f>
        <v>1.555604587629451E-2</v>
      </c>
      <c r="L58" s="7">
        <f>(((0.648*20^0.651)/0.2))*H58/20+L57*inputs!$C$54</f>
        <v>5.3224060944650903E-2</v>
      </c>
      <c r="M58" s="7">
        <f>(((0.013*2^0.773)/0.2))*H58/2+M57*inputs!$C$54</f>
        <v>2.5953863346580637E-3</v>
      </c>
      <c r="N58" s="7">
        <f>O58*0.015*inputs!$C$56</f>
        <v>0.45374975574356841</v>
      </c>
      <c r="O58" s="7">
        <f>IF((B58&gt;B57), (EXP(-LN(2)/inputs!$C$52)*O57+$O$3), (EXP(-LN(2)/inputs!$C$52)*O57))</f>
        <v>4.8948193715595299E-2</v>
      </c>
      <c r="P58" s="3">
        <f>IF((B58&gt;B57), (EXP(-LN(2)/inputs!$C$52)*P57+$P$3), (EXP(-LN(2)/inputs!$C$52)*P57))</f>
        <v>4.7298880480469443E-2</v>
      </c>
      <c r="Q58" s="19">
        <f>IF((F58*0.62*1/(0.012*(10^inputs!$C$55)))&gt;inputs!$C$57, inputs!$C$57, (F58*0.62*1/(0.012*(10^inputs!$C$55))))</f>
        <v>4.1554497491796857E-4</v>
      </c>
      <c r="R58" s="3">
        <f>IF((B58&gt;B57), (EXP(-LN(2)/inputs!$C$51)*R57+$R$3), (EXP(-LN(2)/inputs!$C$51)*R57))</f>
        <v>9.6549552826165778E-10</v>
      </c>
      <c r="T58" s="7">
        <f>IF(T57&lt;(inputs!$C$9-1),(1+T57),0)</f>
        <v>0</v>
      </c>
      <c r="U58" s="7">
        <f>IF(inputs!$C$8&gt;U57,IF(T57=(inputs!$C$9-1),(U57+1),U57), U57)</f>
        <v>1</v>
      </c>
      <c r="V58" s="7">
        <f t="shared" si="0"/>
        <v>55</v>
      </c>
      <c r="W58" s="8">
        <f>IF((U58&gt;U57), (EXP(-LN(2)/inputs!$C$51)*W57+$W$3), (EXP(-LN(2)/inputs!$C$51)*W57))</f>
        <v>3.1951610151022311E-2</v>
      </c>
      <c r="X58" s="8">
        <f>IF((U58&gt;U57), (EXP(-LN(2)/inputs!$C$51)*X57+$X$3), (EXP(-LN(2)/inputs!$C$51)*X57))</f>
        <v>1.3532446652197683E-2</v>
      </c>
      <c r="Y58" s="8">
        <f>IF((U58&gt;U57), (EXP(-LN(2)/inputs!$C$51)*Y57+$Y$3), (EXP(-LN(2)/inputs!$C$51)*Y57))</f>
        <v>1.6915558315247121E-2</v>
      </c>
      <c r="Z58" s="8">
        <f>IF((U58&gt;U57), (EXP(-LN(2)/inputs!$C$51)*Z57+$Z$3), (EXP(-LN(2)/inputs!$C$51)*Z57))</f>
        <v>2.6313090712606606E-3</v>
      </c>
      <c r="AA58" s="8">
        <f>IF((U58&gt;U57), (EXP(-LN(2)/inputs!$C$51)*AA57+$AA$3), (EXP(-LN(2)/inputs!$C$51)*AA57))</f>
        <v>2.4433584233134704E-2</v>
      </c>
      <c r="AB58" s="7">
        <f>(((0.621*15^0.564)/0.2))*W58/15+AB57*inputs!$C$53</f>
        <v>3.4381997967333648E-2</v>
      </c>
      <c r="AC58" s="7">
        <f>(((0.621*1000^0.564)/0.2))*W58/1000+AC57*inputs!$C$53</f>
        <v>5.509432914520971E-3</v>
      </c>
      <c r="AD58" s="7">
        <f>(((0.648*20^0.651)/0.2))*AA58/20+AD57*inputs!$C$54</f>
        <v>3.6803871929811792E-2</v>
      </c>
      <c r="AE58" s="7">
        <f>(((0.013*2^0.773)/0.2))*AA58/2+AE57*inputs!$C$54</f>
        <v>1.7946820399231287E-3</v>
      </c>
    </row>
    <row r="59" spans="1:31" x14ac:dyDescent="0.3">
      <c r="A59" s="7">
        <f>IF(A58&lt;(inputs!$C$9-1),(1+A58),0)</f>
        <v>0</v>
      </c>
      <c r="B59" s="7">
        <f>IF(inputs!$C$8&gt;B58,IF(A58=(inputs!$C$9-1),(B58+1),B58), B58)</f>
        <v>1</v>
      </c>
      <c r="C59" s="7">
        <f t="shared" si="1"/>
        <v>56</v>
      </c>
      <c r="D59" s="8">
        <f>IF((B59&gt;B58), (EXP(-LN(2)/inputs!$C$51)*D58+$D$3), (EXP(-LN(2)/inputs!$C$51)*D58))</f>
        <v>7.9156567280137174E-2</v>
      </c>
      <c r="E59" s="8">
        <f>IF((B59&gt;B58), (EXP(-LN(2)/inputs!$C$51)*E58+$E$3), (EXP(-LN(2)/inputs!$C$51)*E58))</f>
        <v>3.6280093336729546E-2</v>
      </c>
      <c r="F59" s="8">
        <f>IF((B59&gt;B58), (EXP(-LN(2)/inputs!$C$51)*F58+$F$3), (EXP(-LN(2)/inputs!$C$51)*F58))</f>
        <v>4.4525569095077176E-2</v>
      </c>
      <c r="G59" s="8">
        <f>IF((B59&gt;B58), (EXP(-LN(2)/inputs!$C$51)*G58+$G$3), (EXP(-LN(2)/inputs!$C$51)*G58))</f>
        <v>4.9472854550085734E-3</v>
      </c>
      <c r="H59" s="8">
        <f>IF((B59&gt;B58), (EXP(-LN(2)/inputs!$C$51)*H58+$H$3), (EXP(-LN(2)/inputs!$C$51)*H58))</f>
        <v>3.100298885138706E-2</v>
      </c>
      <c r="I59" s="7">
        <f>O59*(10^inputs!$C$55)*0.01/1</f>
        <v>3.0260970119521877</v>
      </c>
      <c r="J59" s="7">
        <f>(((0.621*15^0.564)/0.2))*D59/15+J58*inputs!$C$53</f>
        <v>8.5177583303723048E-2</v>
      </c>
      <c r="K59" s="7">
        <f>(((0.621*1000^0.564)/0.2))*D59/1000+K58*inputs!$C$53</f>
        <v>1.3649008457238203E-2</v>
      </c>
      <c r="L59" s="7">
        <f>(((0.648*20^0.651)/0.2))*H59/20+L58*inputs!$C$54</f>
        <v>4.6699248879763872E-2</v>
      </c>
      <c r="M59" s="7">
        <f>(((0.013*2^0.773)/0.2))*H59/2+M58*inputs!$C$54</f>
        <v>2.2772142942526839E-3</v>
      </c>
      <c r="N59" s="7">
        <f>O59*0.015*inputs!$C$56</f>
        <v>0.44459295935301291</v>
      </c>
      <c r="O59" s="7">
        <f>IF((B59&gt;B58), (EXP(-LN(2)/inputs!$C$52)*O58+$O$3), (EXP(-LN(2)/inputs!$C$52)*O58))</f>
        <v>4.7960405539699345E-2</v>
      </c>
      <c r="P59" s="3">
        <f>IF((B59&gt;B58), (EXP(-LN(2)/inputs!$C$52)*P58+$P$3), (EXP(-LN(2)/inputs!$C$52)*P58))</f>
        <v>4.6344375904811573E-2</v>
      </c>
      <c r="Q59" s="19">
        <f>IF((F59*0.62*1/(0.012*(10^inputs!$C$55)))&gt;inputs!$C$57, inputs!$C$57, (F59*0.62*1/(0.012*(10^inputs!$C$55))))</f>
        <v>3.6460273530443084E-4</v>
      </c>
      <c r="R59" s="3">
        <f>IF((B59&gt;B58), (EXP(-LN(2)/inputs!$C$51)*R58+$R$3), (EXP(-LN(2)/inputs!$C$51)*R58))</f>
        <v>8.4713408120959348E-10</v>
      </c>
      <c r="T59" s="7">
        <f>IF(T58&lt;(inputs!$C$9-1),(1+T58),0)</f>
        <v>0</v>
      </c>
      <c r="U59" s="7">
        <f>IF(inputs!$C$8&gt;U58,IF(T58=(inputs!$C$9-1),(U58+1),U58), U58)</f>
        <v>1</v>
      </c>
      <c r="V59" s="7">
        <f t="shared" si="0"/>
        <v>56</v>
      </c>
      <c r="W59" s="8">
        <f>IF((U59&gt;U58), (EXP(-LN(2)/inputs!$C$51)*W58+$W$3), (EXP(-LN(2)/inputs!$C$51)*W58))</f>
        <v>2.8034617578381917E-2</v>
      </c>
      <c r="X59" s="8">
        <f>IF((U59&gt;U58), (EXP(-LN(2)/inputs!$C$51)*X58+$X$3), (EXP(-LN(2)/inputs!$C$51)*X58))</f>
        <v>1.1873485092020575E-2</v>
      </c>
      <c r="Y59" s="8">
        <f>IF((U59&gt;U58), (EXP(-LN(2)/inputs!$C$51)*Y58+$Y$3), (EXP(-LN(2)/inputs!$C$51)*Y58))</f>
        <v>1.4841856365025734E-2</v>
      </c>
      <c r="Z59" s="8">
        <f>IF((U59&gt;U58), (EXP(-LN(2)/inputs!$C$51)*Z58+$Z$3), (EXP(-LN(2)/inputs!$C$51)*Z58))</f>
        <v>2.3087332123373342E-3</v>
      </c>
      <c r="AA59" s="8">
        <f>IF((U59&gt;U58), (EXP(-LN(2)/inputs!$C$51)*AA58+$AA$3), (EXP(-LN(2)/inputs!$C$51)*AA58))</f>
        <v>2.1438236971703814E-2</v>
      </c>
      <c r="AB59" s="7">
        <f>(((0.621*15^0.564)/0.2))*W59/15+AB58*inputs!$C$53</f>
        <v>3.0167060753401913E-2</v>
      </c>
      <c r="AC59" s="7">
        <f>(((0.621*1000^0.564)/0.2))*W59/1000+AC58*inputs!$C$53</f>
        <v>4.8340238286051964E-3</v>
      </c>
      <c r="AD59" s="7">
        <f>(((0.648*20^0.651)/0.2))*AA59/20+AD58*inputs!$C$54</f>
        <v>3.2292033799836715E-2</v>
      </c>
      <c r="AE59" s="7">
        <f>(((0.013*2^0.773)/0.2))*AA59/2+AE58*inputs!$C$54</f>
        <v>1.5746694587917493E-3</v>
      </c>
    </row>
    <row r="60" spans="1:31" x14ac:dyDescent="0.3">
      <c r="A60" s="7">
        <f>IF(A59&lt;(inputs!$C$9-1),(1+A59),0)</f>
        <v>0</v>
      </c>
      <c r="B60" s="7">
        <f>IF(inputs!$C$8&gt;B59,IF(A59=(inputs!$C$9-1),(B59+1),B59), B59)</f>
        <v>1</v>
      </c>
      <c r="C60" s="7">
        <f t="shared" si="1"/>
        <v>57</v>
      </c>
      <c r="D60" s="8">
        <f>IF((B60&gt;B59), (EXP(-LN(2)/inputs!$C$51)*D59+$D$3), (EXP(-LN(2)/inputs!$C$51)*D59))</f>
        <v>6.9452652997054123E-2</v>
      </c>
      <c r="E60" s="8">
        <f>IF((B60&gt;B59), (EXP(-LN(2)/inputs!$C$51)*E59+$E$3), (EXP(-LN(2)/inputs!$C$51)*E59))</f>
        <v>3.1832465956983143E-2</v>
      </c>
      <c r="F60" s="8">
        <f>IF((B60&gt;B59), (EXP(-LN(2)/inputs!$C$51)*F59+$F$3), (EXP(-LN(2)/inputs!$C$51)*F59))</f>
        <v>3.9067117310842954E-2</v>
      </c>
      <c r="G60" s="8">
        <f>IF((B60&gt;B59), (EXP(-LN(2)/inputs!$C$51)*G59+$G$3), (EXP(-LN(2)/inputs!$C$51)*G59))</f>
        <v>4.3407908123158827E-3</v>
      </c>
      <c r="H60" s="8">
        <f>IF((B60&gt;B59), (EXP(-LN(2)/inputs!$C$51)*H59+$H$3), (EXP(-LN(2)/inputs!$C$51)*H59))</f>
        <v>2.7202289090512862E-2</v>
      </c>
      <c r="I60" s="7">
        <f>O60*(10^inputs!$C$55)*0.01/1</f>
        <v>2.9650295318141393</v>
      </c>
      <c r="J60" s="7">
        <f>(((0.621*15^0.564)/0.2))*D60/15+J59*inputs!$C$53</f>
        <v>7.4735544245936578E-2</v>
      </c>
      <c r="K60" s="7">
        <f>(((0.621*1000^0.564)/0.2))*D60/1000+K59*inputs!$C$53</f>
        <v>1.1975757422369861E-2</v>
      </c>
      <c r="L60" s="7">
        <f>(((0.648*20^0.651)/0.2))*H60/20+L59*inputs!$C$54</f>
        <v>4.0974322650840542E-2</v>
      </c>
      <c r="M60" s="7">
        <f>(((0.013*2^0.773)/0.2))*H60/2+M59*inputs!$C$54</f>
        <v>1.9980474092431998E-3</v>
      </c>
      <c r="N60" s="7">
        <f>O60*0.015*inputs!$C$56</f>
        <v>0.43562094966278453</v>
      </c>
      <c r="O60" s="7">
        <f>IF((B60&gt;B59), (EXP(-LN(2)/inputs!$C$52)*O59+$O$3), (EXP(-LN(2)/inputs!$C$52)*O59))</f>
        <v>4.6992551204183879E-2</v>
      </c>
      <c r="P60" s="3">
        <f>IF((B60&gt;B59), (EXP(-LN(2)/inputs!$C$52)*P59+$P$3), (EXP(-LN(2)/inputs!$C$52)*P59))</f>
        <v>4.5409133497215544E-2</v>
      </c>
      <c r="Q60" s="19">
        <f>IF((F60*0.62*1/(0.012*(10^inputs!$C$55)))&gt;inputs!$C$57, inputs!$C$57, (F60*0.62*1/(0.012*(10^inputs!$C$55))))</f>
        <v>3.1990557608767907E-4</v>
      </c>
      <c r="R60" s="3">
        <f>IF((B60&gt;B59), (EXP(-LN(2)/inputs!$C$51)*R59+$R$3), (EXP(-LN(2)/inputs!$C$51)*R59))</f>
        <v>7.4328272947975417E-10</v>
      </c>
      <c r="T60" s="7">
        <f>IF(T59&lt;(inputs!$C$9-1),(1+T59),0)</f>
        <v>0</v>
      </c>
      <c r="U60" s="7">
        <f>IF(inputs!$C$8&gt;U59,IF(T59=(inputs!$C$9-1),(U59+1),U59), U59)</f>
        <v>1</v>
      </c>
      <c r="V60" s="7">
        <f t="shared" si="0"/>
        <v>57</v>
      </c>
      <c r="W60" s="8">
        <f>IF((U60&gt;U59), (EXP(-LN(2)/inputs!$C$51)*W59+$W$3), (EXP(-LN(2)/inputs!$C$51)*W59))</f>
        <v>2.4597814603123335E-2</v>
      </c>
      <c r="X60" s="8">
        <f>IF((U60&gt;U59), (EXP(-LN(2)/inputs!$C$51)*X59+$X$3), (EXP(-LN(2)/inputs!$C$51)*X59))</f>
        <v>1.0417897949558117E-2</v>
      </c>
      <c r="Y60" s="8">
        <f>IF((U60&gt;U59), (EXP(-LN(2)/inputs!$C$51)*Y59+$Y$3), (EXP(-LN(2)/inputs!$C$51)*Y59))</f>
        <v>1.3022372436947659E-2</v>
      </c>
      <c r="Z60" s="8">
        <f>IF((U60&gt;U59), (EXP(-LN(2)/inputs!$C$51)*Z59+$Z$3), (EXP(-LN(2)/inputs!$C$51)*Z59))</f>
        <v>2.025702379080745E-3</v>
      </c>
      <c r="AA60" s="8">
        <f>IF((U60&gt;U59), (EXP(-LN(2)/inputs!$C$51)*AA59+$AA$3), (EXP(-LN(2)/inputs!$C$51)*AA59))</f>
        <v>1.8810093520035487E-2</v>
      </c>
      <c r="AB60" s="7">
        <f>(((0.621*15^0.564)/0.2))*W60/15+AB59*inputs!$C$53</f>
        <v>2.6468838587102542E-2</v>
      </c>
      <c r="AC60" s="7">
        <f>(((0.621*1000^0.564)/0.2))*W60/1000+AC59*inputs!$C$53</f>
        <v>4.2414140870893251E-3</v>
      </c>
      <c r="AD60" s="7">
        <f>(((0.648*20^0.651)/0.2))*AA60/20+AD59*inputs!$C$54</f>
        <v>2.8333308216006759E-2</v>
      </c>
      <c r="AE60" s="7">
        <f>(((0.013*2^0.773)/0.2))*AA60/2+AE59*inputs!$C$54</f>
        <v>1.3816285276681702E-3</v>
      </c>
    </row>
    <row r="61" spans="1:31" x14ac:dyDescent="0.3">
      <c r="A61" s="7">
        <f>IF(A60&lt;(inputs!$C$9-1),(1+A60),0)</f>
        <v>0</v>
      </c>
      <c r="B61" s="7">
        <f>IF(inputs!$C$8&gt;B60,IF(A60=(inputs!$C$9-1),(B60+1),B60), B60)</f>
        <v>1</v>
      </c>
      <c r="C61" s="7">
        <f t="shared" si="1"/>
        <v>58</v>
      </c>
      <c r="D61" s="8">
        <f>IF((B61&gt;B60), (EXP(-LN(2)/inputs!$C$51)*D60+$D$3), (EXP(-LN(2)/inputs!$C$51)*D60))</f>
        <v>6.0938355136827903E-2</v>
      </c>
      <c r="E61" s="8">
        <f>IF((B61&gt;B60), (EXP(-LN(2)/inputs!$C$51)*E60+$E$3), (EXP(-LN(2)/inputs!$C$51)*E60))</f>
        <v>2.793007943771279E-2</v>
      </c>
      <c r="F61" s="8">
        <f>IF((B61&gt;B60), (EXP(-LN(2)/inputs!$C$51)*F60+$F$3), (EXP(-LN(2)/inputs!$C$51)*F60))</f>
        <v>3.4277824764465704E-2</v>
      </c>
      <c r="G61" s="8">
        <f>IF((B61&gt;B60), (EXP(-LN(2)/inputs!$C$51)*G60+$G$3), (EXP(-LN(2)/inputs!$C$51)*G60))</f>
        <v>3.8086471960517439E-3</v>
      </c>
      <c r="H61" s="8">
        <f>IF((B61&gt;B60), (EXP(-LN(2)/inputs!$C$51)*H60+$H$3), (EXP(-LN(2)/inputs!$C$51)*H60))</f>
        <v>2.3867522428590925E-2</v>
      </c>
      <c r="I61" s="7">
        <f>O61*(10^inputs!$C$55)*0.01/1</f>
        <v>2.9051944104258878</v>
      </c>
      <c r="J61" s="7">
        <f>(((0.621*15^0.564)/0.2))*D61/15+J60*inputs!$C$53</f>
        <v>6.5573609359403012E-2</v>
      </c>
      <c r="K61" s="7">
        <f>(((0.621*1000^0.564)/0.2))*D61/1000+K60*inputs!$C$53</f>
        <v>1.050763257190235E-2</v>
      </c>
      <c r="L61" s="7">
        <f>(((0.648*20^0.651)/0.2))*H61/20+L60*inputs!$C$54</f>
        <v>3.5951223134612305E-2</v>
      </c>
      <c r="M61" s="7">
        <f>(((0.013*2^0.773)/0.2))*H61/2+M60*inputs!$C$54</f>
        <v>1.7531039830810419E-3</v>
      </c>
      <c r="N61" s="7">
        <f>O61*0.015*inputs!$C$56</f>
        <v>0.4268299976258278</v>
      </c>
      <c r="O61" s="7">
        <f>IF((B61&gt;B60), (EXP(-LN(2)/inputs!$C$52)*O60+$O$3), (EXP(-LN(2)/inputs!$C$52)*O60))</f>
        <v>4.6044228438600628E-2</v>
      </c>
      <c r="P61" s="3">
        <f>IF((B61&gt;B60), (EXP(-LN(2)/inputs!$C$52)*P60+$P$3), (EXP(-LN(2)/inputs!$C$52)*P60))</f>
        <v>4.4492764541767461E-2</v>
      </c>
      <c r="Q61" s="19">
        <f>IF((F61*0.62*1/(0.012*(10^inputs!$C$55)))&gt;inputs!$C$57, inputs!$C$57, (F61*0.62*1/(0.012*(10^inputs!$C$55))))</f>
        <v>2.8068790412814578E-4</v>
      </c>
      <c r="R61" s="3">
        <f>IF((B61&gt;B60), (EXP(-LN(2)/inputs!$C$51)*R60+$R$3), (EXP(-LN(2)/inputs!$C$51)*R60))</f>
        <v>6.5216266019426545E-10</v>
      </c>
      <c r="T61" s="7">
        <f>IF(T60&lt;(inputs!$C$9-1),(1+T60),0)</f>
        <v>0</v>
      </c>
      <c r="U61" s="7">
        <f>IF(inputs!$C$8&gt;U60,IF(T60=(inputs!$C$9-1),(U60+1),U60), U60)</f>
        <v>1</v>
      </c>
      <c r="V61" s="7">
        <f t="shared" si="0"/>
        <v>58</v>
      </c>
      <c r="W61" s="8">
        <f>IF((U61&gt;U60), (EXP(-LN(2)/inputs!$C$51)*W60+$W$3), (EXP(-LN(2)/inputs!$C$51)*W60))</f>
        <v>2.1582334110959882E-2</v>
      </c>
      <c r="X61" s="8">
        <f>IF((U61&gt;U60), (EXP(-LN(2)/inputs!$C$51)*X60+$X$3), (EXP(-LN(2)/inputs!$C$51)*X60))</f>
        <v>9.1407532705241844E-3</v>
      </c>
      <c r="Y61" s="8">
        <f>IF((U61&gt;U60), (EXP(-LN(2)/inputs!$C$51)*Y60+$Y$3), (EXP(-LN(2)/inputs!$C$51)*Y60))</f>
        <v>1.1425941588155242E-2</v>
      </c>
      <c r="Z61" s="8">
        <f>IF((U61&gt;U60), (EXP(-LN(2)/inputs!$C$51)*Z60+$Z$3), (EXP(-LN(2)/inputs!$C$51)*Z60))</f>
        <v>1.7773686914908135E-3</v>
      </c>
      <c r="AA61" s="8">
        <f>IF((U61&gt;U60), (EXP(-LN(2)/inputs!$C$51)*AA60+$AA$3), (EXP(-LN(2)/inputs!$C$51)*AA60))</f>
        <v>1.6504137849557551E-2</v>
      </c>
      <c r="AB61" s="7">
        <f>(((0.621*15^0.564)/0.2))*W61/15+AB60*inputs!$C$53</f>
        <v>2.3223986648121902E-2</v>
      </c>
      <c r="AC61" s="7">
        <f>(((0.621*1000^0.564)/0.2))*W61/1000+AC60*inputs!$C$53</f>
        <v>3.7214532025487486E-3</v>
      </c>
      <c r="AD61" s="7">
        <f>(((0.648*20^0.651)/0.2))*AA61/20+AD60*inputs!$C$54</f>
        <v>2.4859888337763827E-2</v>
      </c>
      <c r="AE61" s="7">
        <f>(((0.013*2^0.773)/0.2))*AA61/2+AE60*inputs!$C$54</f>
        <v>1.212252754258167E-3</v>
      </c>
    </row>
    <row r="62" spans="1:31" x14ac:dyDescent="0.3">
      <c r="A62" s="7">
        <f>IF(A61&lt;(inputs!$C$9-1),(1+A61),0)</f>
        <v>0</v>
      </c>
      <c r="B62" s="7">
        <f>IF(inputs!$C$8&gt;B61,IF(A61=(inputs!$C$9-1),(B61+1),B61), B61)</f>
        <v>1</v>
      </c>
      <c r="C62" s="7">
        <f t="shared" si="1"/>
        <v>59</v>
      </c>
      <c r="D62" s="8">
        <f>IF((B62&gt;B61), (EXP(-LN(2)/inputs!$C$51)*D61+$D$3), (EXP(-LN(2)/inputs!$C$51)*D61))</f>
        <v>5.3467836958505661E-2</v>
      </c>
      <c r="E62" s="8">
        <f>IF((B62&gt;B61), (EXP(-LN(2)/inputs!$C$51)*E61+$E$3), (EXP(-LN(2)/inputs!$C$51)*E61))</f>
        <v>2.4506091939315095E-2</v>
      </c>
      <c r="F62" s="8">
        <f>IF((B62&gt;B61), (EXP(-LN(2)/inputs!$C$51)*F61+$F$3), (EXP(-LN(2)/inputs!$C$51)*F61))</f>
        <v>3.0075658289159445E-2</v>
      </c>
      <c r="G62" s="8">
        <f>IF((B62&gt;B61), (EXP(-LN(2)/inputs!$C$51)*G61+$G$3), (EXP(-LN(2)/inputs!$C$51)*G61))</f>
        <v>3.3417398099066038E-3</v>
      </c>
      <c r="H62" s="8">
        <f>IF((B62&gt;B61), (EXP(-LN(2)/inputs!$C$51)*H61+$H$3), (EXP(-LN(2)/inputs!$C$51)*H61))</f>
        <v>2.0941569475414715E-2</v>
      </c>
      <c r="I62" s="7">
        <f>O62*(10^inputs!$C$55)*0.01/1</f>
        <v>2.8465667784447835</v>
      </c>
      <c r="J62" s="7">
        <f>(((0.621*15^0.564)/0.2))*D62/15+J61*inputs!$C$53</f>
        <v>5.7534848883546798E-2</v>
      </c>
      <c r="K62" s="7">
        <f>(((0.621*1000^0.564)/0.2))*D62/1000+K61*inputs!$C$53</f>
        <v>9.219487200021647E-3</v>
      </c>
      <c r="L62" s="7">
        <f>(((0.648*20^0.651)/0.2))*H62/20+L61*inputs!$C$54</f>
        <v>3.15439124128674E-2</v>
      </c>
      <c r="M62" s="7">
        <f>(((0.013*2^0.773)/0.2))*H62/2+M61*inputs!$C$54</f>
        <v>1.5381885140847156E-3</v>
      </c>
      <c r="N62" s="7">
        <f>O62*0.015*inputs!$C$56</f>
        <v>0.41821644944829495</v>
      </c>
      <c r="O62" s="7">
        <f>IF((B62&gt;B61), (EXP(-LN(2)/inputs!$C$52)*O61+$O$3), (EXP(-LN(2)/inputs!$C$52)*O61))</f>
        <v>4.5115043090430955E-2</v>
      </c>
      <c r="P62" s="3">
        <f>IF((B62&gt;B61), (EXP(-LN(2)/inputs!$C$52)*P61+$P$3), (EXP(-LN(2)/inputs!$C$52)*P61))</f>
        <v>4.3594888166948793E-2</v>
      </c>
      <c r="Q62" s="19">
        <f>IF((F62*0.62*1/(0.012*(10^inputs!$C$55)))&gt;inputs!$C$57, inputs!$C$57, (F62*0.62*1/(0.012*(10^inputs!$C$55))))</f>
        <v>2.4627798141992296E-4</v>
      </c>
      <c r="R62" s="3">
        <f>IF((B62&gt;B61), (EXP(-LN(2)/inputs!$C$51)*R61+$R$3), (EXP(-LN(2)/inputs!$C$51)*R61))</f>
        <v>5.7221312763361589E-10</v>
      </c>
      <c r="T62" s="7">
        <f>IF(T61&lt;(inputs!$C$9-1),(1+T61),0)</f>
        <v>0</v>
      </c>
      <c r="U62" s="7">
        <f>IF(inputs!$C$8&gt;U61,IF(T61=(inputs!$C$9-1),(U61+1),U61), U61)</f>
        <v>1</v>
      </c>
      <c r="V62" s="7">
        <f t="shared" si="0"/>
        <v>59</v>
      </c>
      <c r="W62" s="8">
        <f>IF((U62&gt;U61), (EXP(-LN(2)/inputs!$C$51)*W61+$W$3), (EXP(-LN(2)/inputs!$C$51)*W61))</f>
        <v>1.8936525589470756E-2</v>
      </c>
      <c r="X62" s="8">
        <f>IF((U62&gt;U61), (EXP(-LN(2)/inputs!$C$51)*X61+$X$3), (EXP(-LN(2)/inputs!$C$51)*X61))</f>
        <v>8.0201755437758482E-3</v>
      </c>
      <c r="Y62" s="8">
        <f>IF((U62&gt;U61), (EXP(-LN(2)/inputs!$C$51)*Y61+$Y$3), (EXP(-LN(2)/inputs!$C$51)*Y61))</f>
        <v>1.0025219429719821E-2</v>
      </c>
      <c r="Z62" s="8">
        <f>IF((U62&gt;U61), (EXP(-LN(2)/inputs!$C$51)*Z61+$Z$3), (EXP(-LN(2)/inputs!$C$51)*Z61))</f>
        <v>1.5594785779564149E-3</v>
      </c>
      <c r="AA62" s="8">
        <f>IF((U62&gt;U61), (EXP(-LN(2)/inputs!$C$51)*AA61+$AA$3), (EXP(-LN(2)/inputs!$C$51)*AA61))</f>
        <v>1.448087250959528E-2</v>
      </c>
      <c r="AB62" s="7">
        <f>(((0.621*15^0.564)/0.2))*W62/15+AB61*inputs!$C$53</f>
        <v>2.0376925646256164E-2</v>
      </c>
      <c r="AC62" s="7">
        <f>(((0.621*1000^0.564)/0.2))*W62/1000+AC61*inputs!$C$53</f>
        <v>3.2652350500076673E-3</v>
      </c>
      <c r="AD62" s="7">
        <f>(((0.648*20^0.651)/0.2))*AA62/20+AD61*inputs!$C$54</f>
        <v>2.1812279859961498E-2</v>
      </c>
      <c r="AE62" s="7">
        <f>(((0.013*2^0.773)/0.2))*AA62/2+AE61*inputs!$C$54</f>
        <v>1.063640993781984E-3</v>
      </c>
    </row>
    <row r="63" spans="1:31" x14ac:dyDescent="0.3">
      <c r="A63" s="7">
        <f>IF(A62&lt;(inputs!$C$9-1),(1+A62),0)</f>
        <v>0</v>
      </c>
      <c r="B63" s="7">
        <f>IF(inputs!$C$8&gt;B62,IF(A62=(inputs!$C$9-1),(B62+1),B62), B62)</f>
        <v>1</v>
      </c>
      <c r="C63" s="7">
        <f t="shared" si="1"/>
        <v>60</v>
      </c>
      <c r="D63" s="8">
        <f>IF((B63&gt;B62), (EXP(-LN(2)/inputs!$C$51)*D62+$D$3), (EXP(-LN(2)/inputs!$C$51)*D62))</f>
        <v>4.6913140051160186E-2</v>
      </c>
      <c r="E63" s="8">
        <f>IF((B63&gt;B62), (EXP(-LN(2)/inputs!$C$51)*E62+$E$3), (EXP(-LN(2)/inputs!$C$51)*E62))</f>
        <v>2.150185585678175E-2</v>
      </c>
      <c r="F63" s="8">
        <f>IF((B63&gt;B62), (EXP(-LN(2)/inputs!$C$51)*F62+$F$3), (EXP(-LN(2)/inputs!$C$51)*F62))</f>
        <v>2.6388641278777613E-2</v>
      </c>
      <c r="G63" s="8">
        <f>IF((B63&gt;B62), (EXP(-LN(2)/inputs!$C$51)*G62+$G$3), (EXP(-LN(2)/inputs!$C$51)*G62))</f>
        <v>2.9320712531975116E-3</v>
      </c>
      <c r="H63" s="8">
        <f>IF((B63&gt;B62), (EXP(-LN(2)/inputs!$C$51)*H62+$H$3), (EXP(-LN(2)/inputs!$C$51)*H62))</f>
        <v>1.8374313186704402E-2</v>
      </c>
      <c r="I63" s="7">
        <f>O63*(10^inputs!$C$55)*0.01/1</f>
        <v>2.7891222683984376</v>
      </c>
      <c r="J63" s="7">
        <f>(((0.621*15^0.564)/0.2))*D63/15+J62*inputs!$C$53</f>
        <v>5.048157129660711E-2</v>
      </c>
      <c r="K63" s="7">
        <f>(((0.621*1000^0.564)/0.2))*D63/1000+K62*inputs!$C$53</f>
        <v>8.0892573707470657E-3</v>
      </c>
      <c r="L63" s="7">
        <f>(((0.648*20^0.651)/0.2))*H63/20+L62*inputs!$C$54</f>
        <v>2.767690007611142E-2</v>
      </c>
      <c r="M63" s="7">
        <f>(((0.013*2^0.773)/0.2))*H63/2+M62*inputs!$C$54</f>
        <v>1.3496198329912583E-3</v>
      </c>
      <c r="N63" s="7">
        <f>O63*0.015*inputs!$C$56</f>
        <v>0.40977672507091528</v>
      </c>
      <c r="O63" s="7">
        <f>IF((B63&gt;B62), (EXP(-LN(2)/inputs!$C$52)*O62+$O$3), (EXP(-LN(2)/inputs!$C$52)*O62))</f>
        <v>4.4204608961263783E-2</v>
      </c>
      <c r="P63" s="3">
        <f>IF((B63&gt;B62), (EXP(-LN(2)/inputs!$C$52)*P62+$P$3), (EXP(-LN(2)/inputs!$C$52)*P62))</f>
        <v>4.2715131187334276E-2</v>
      </c>
      <c r="Q63" s="19">
        <f>IF((F63*0.62*1/(0.012*(10^inputs!$C$55)))&gt;inputs!$C$57, inputs!$C$57, (F63*0.62*1/(0.012*(10^inputs!$C$55))))</f>
        <v>2.1608641925867014E-4</v>
      </c>
      <c r="R63" s="3">
        <f>IF((B63&gt;B62), (EXP(-LN(2)/inputs!$C$51)*R62+$R$3), (EXP(-LN(2)/inputs!$C$51)*R62))</f>
        <v>5.0206472007874683E-10</v>
      </c>
      <c r="T63" s="7">
        <f>IF(T62&lt;(inputs!$C$9-1),(1+T62),0)</f>
        <v>0</v>
      </c>
      <c r="U63" s="7">
        <f>IF(inputs!$C$8&gt;U62,IF(T62=(inputs!$C$9-1),(U62+1),U62), U62)</f>
        <v>1</v>
      </c>
      <c r="V63" s="7">
        <f t="shared" si="0"/>
        <v>60</v>
      </c>
      <c r="W63" s="8">
        <f>IF((U63&gt;U62), (EXP(-LN(2)/inputs!$C$51)*W62+$W$3), (EXP(-LN(2)/inputs!$C$51)*W62))</f>
        <v>1.6615070434785901E-2</v>
      </c>
      <c r="X63" s="8">
        <f>IF((U63&gt;U62), (EXP(-LN(2)/inputs!$C$51)*X62+$X$3), (EXP(-LN(2)/inputs!$C$51)*X62))</f>
        <v>7.0369710076740267E-3</v>
      </c>
      <c r="Y63" s="8">
        <f>IF((U63&gt;U62), (EXP(-LN(2)/inputs!$C$51)*Y62+$Y$3), (EXP(-LN(2)/inputs!$C$51)*Y62))</f>
        <v>8.7962137595925423E-3</v>
      </c>
      <c r="Z63" s="8">
        <f>IF((U63&gt;U62), (EXP(-LN(2)/inputs!$C$51)*Z62+$Z$3), (EXP(-LN(2)/inputs!$C$51)*Z62))</f>
        <v>1.3682999181588386E-3</v>
      </c>
      <c r="AA63" s="8">
        <f>IF((U63&gt;U62), (EXP(-LN(2)/inputs!$C$51)*AA62+$AA$3), (EXP(-LN(2)/inputs!$C$51)*AA62))</f>
        <v>1.2705642097189213E-2</v>
      </c>
      <c r="AB63" s="7">
        <f>(((0.621*15^0.564)/0.2))*W63/15+AB62*inputs!$C$53</f>
        <v>1.7878889834215022E-2</v>
      </c>
      <c r="AC63" s="7">
        <f>(((0.621*1000^0.564)/0.2))*W63/1000+AC62*inputs!$C$53</f>
        <v>2.8649453188062525E-3</v>
      </c>
      <c r="AD63" s="7">
        <f>(((0.648*20^0.651)/0.2))*AA63/20+AD62*inputs!$C$54</f>
        <v>1.9138281967523853E-2</v>
      </c>
      <c r="AE63" s="7">
        <f>(((0.013*2^0.773)/0.2))*AA63/2+AE62*inputs!$C$54</f>
        <v>9.3324775685565725E-4</v>
      </c>
    </row>
    <row r="64" spans="1:31" x14ac:dyDescent="0.3">
      <c r="A64" s="7">
        <f>IF(A63&lt;(inputs!$C$9-1),(1+A63),0)</f>
        <v>0</v>
      </c>
      <c r="B64" s="7">
        <f>IF(inputs!$C$8&gt;B63,IF(A63=(inputs!$C$9-1),(B63+1),B63), B63)</f>
        <v>1</v>
      </c>
      <c r="C64" s="7">
        <f t="shared" si="1"/>
        <v>61</v>
      </c>
      <c r="D64" s="8">
        <f>IF((B64&gt;B63), (EXP(-LN(2)/inputs!$C$51)*D63+$D$3), (EXP(-LN(2)/inputs!$C$51)*D63))</f>
        <v>4.1161992604409253E-2</v>
      </c>
      <c r="E64" s="8">
        <f>IF((B64&gt;B63), (EXP(-LN(2)/inputs!$C$51)*E63+$E$3), (EXP(-LN(2)/inputs!$C$51)*E63))</f>
        <v>1.8865913277020908E-2</v>
      </c>
      <c r="F64" s="8">
        <f>IF((B64&gt;B63), (EXP(-LN(2)/inputs!$C$51)*F63+$F$3), (EXP(-LN(2)/inputs!$C$51)*F63))</f>
        <v>2.3153620839980214E-2</v>
      </c>
      <c r="G64" s="8">
        <f>IF((B64&gt;B63), (EXP(-LN(2)/inputs!$C$51)*G63+$G$3), (EXP(-LN(2)/inputs!$C$51)*G63))</f>
        <v>2.5726245377755783E-3</v>
      </c>
      <c r="H64" s="8">
        <f>IF((B64&gt;B63), (EXP(-LN(2)/inputs!$C$51)*H63+$H$3), (EXP(-LN(2)/inputs!$C$51)*H63))</f>
        <v>1.6121780436726955E-2</v>
      </c>
      <c r="I64" s="7">
        <f>O64*(10^inputs!$C$55)*0.01/1</f>
        <v>2.7328370045568371</v>
      </c>
      <c r="J64" s="7">
        <f>(((0.621*15^0.564)/0.2))*D64/15+J63*inputs!$C$53</f>
        <v>4.4292964873036939E-2</v>
      </c>
      <c r="K64" s="7">
        <f>(((0.621*1000^0.564)/0.2))*D64/1000+K63*inputs!$C$53</f>
        <v>7.0975839968661237E-3</v>
      </c>
      <c r="L64" s="7">
        <f>(((0.648*20^0.651)/0.2))*H64/20+L63*inputs!$C$54</f>
        <v>2.4283950189722986E-2</v>
      </c>
      <c r="M64" s="7">
        <f>(((0.013*2^0.773)/0.2))*H64/2+M63*inputs!$C$54</f>
        <v>1.1841680502257571E-3</v>
      </c>
      <c r="N64" s="7">
        <f>O64*0.015*inputs!$C$56</f>
        <v>0.4015073166810107</v>
      </c>
      <c r="O64" s="7">
        <f>IF((B64&gt;B63), (EXP(-LN(2)/inputs!$C$52)*O63+$O$3), (EXP(-LN(2)/inputs!$C$52)*O63))</f>
        <v>4.3312547646279474E-2</v>
      </c>
      <c r="P64" s="3">
        <f>IF((B64&gt;B63), (EXP(-LN(2)/inputs!$C$52)*P63+$P$3), (EXP(-LN(2)/inputs!$C$52)*P63))</f>
        <v>4.185312794848442E-2</v>
      </c>
      <c r="Q64" s="19">
        <f>IF((F64*0.62*1/(0.012*(10^inputs!$C$55)))&gt;inputs!$C$57, inputs!$C$57, (F64*0.62*1/(0.012*(10^inputs!$C$55))))</f>
        <v>1.8959608292557024E-4</v>
      </c>
      <c r="R64" s="3">
        <f>IF((B64&gt;B63), (EXP(-LN(2)/inputs!$C$51)*R63+$R$3), (EXP(-LN(2)/inputs!$C$51)*R63))</f>
        <v>4.4051590390835713E-10</v>
      </c>
      <c r="T64" s="7">
        <f>IF(T63&lt;(inputs!$C$9-1),(1+T63),0)</f>
        <v>0</v>
      </c>
      <c r="U64" s="7">
        <f>IF(inputs!$C$8&gt;U63,IF(T63=(inputs!$C$9-1),(U63+1),U63), U63)</f>
        <v>1</v>
      </c>
      <c r="V64" s="7">
        <f t="shared" si="0"/>
        <v>61</v>
      </c>
      <c r="W64" s="8">
        <f>IF((U64&gt;U63), (EXP(-LN(2)/inputs!$C$51)*W63+$W$3), (EXP(-LN(2)/inputs!$C$51)*W63))</f>
        <v>1.4578205714061612E-2</v>
      </c>
      <c r="X64" s="8">
        <f>IF((U64&gt;U63), (EXP(-LN(2)/inputs!$C$51)*X63+$X$3), (EXP(-LN(2)/inputs!$C$51)*X63))</f>
        <v>6.1742988906613875E-3</v>
      </c>
      <c r="Y64" s="8">
        <f>IF((U64&gt;U63), (EXP(-LN(2)/inputs!$C$51)*Y63+$Y$3), (EXP(-LN(2)/inputs!$C$51)*Y63))</f>
        <v>7.7178736133267419E-3</v>
      </c>
      <c r="Z64" s="8">
        <f>IF((U64&gt;U63), (EXP(-LN(2)/inputs!$C$51)*Z63+$Z$3), (EXP(-LN(2)/inputs!$C$51)*Z63))</f>
        <v>1.200558117628603E-3</v>
      </c>
      <c r="AA64" s="8">
        <f>IF((U64&gt;U63), (EXP(-LN(2)/inputs!$C$51)*AA63+$AA$3), (EXP(-LN(2)/inputs!$C$51)*AA63))</f>
        <v>1.1148039663694169E-2</v>
      </c>
      <c r="AB64" s="7">
        <f>(((0.621*15^0.564)/0.2))*W64/15+AB63*inputs!$C$53</f>
        <v>1.5687091725867252E-2</v>
      </c>
      <c r="AC64" s="7">
        <f>(((0.621*1000^0.564)/0.2))*W64/1000+AC63*inputs!$C$53</f>
        <v>2.5137276655567524E-3</v>
      </c>
      <c r="AD64" s="7">
        <f>(((0.648*20^0.651)/0.2))*AA64/20+AD63*inputs!$C$54</f>
        <v>1.6792093216297807E-2</v>
      </c>
      <c r="AE64" s="7">
        <f>(((0.013*2^0.773)/0.2))*AA64/2+AE63*inputs!$C$54</f>
        <v>8.188396091986617E-4</v>
      </c>
    </row>
    <row r="65" spans="1:31" x14ac:dyDescent="0.3">
      <c r="A65" s="7">
        <f>IF(A64&lt;(inputs!$C$9-1),(1+A64),0)</f>
        <v>0</v>
      </c>
      <c r="B65" s="7">
        <f>IF(inputs!$C$8&gt;B64,IF(A64=(inputs!$C$9-1),(B64+1),B64), B64)</f>
        <v>1</v>
      </c>
      <c r="C65" s="7">
        <f t="shared" si="1"/>
        <v>62</v>
      </c>
      <c r="D65" s="8">
        <f>IF((B65&gt;B64), (EXP(-LN(2)/inputs!$C$51)*D64+$D$3), (EXP(-LN(2)/inputs!$C$51)*D64))</f>
        <v>3.6115886366117185E-2</v>
      </c>
      <c r="E65" s="8">
        <f>IF((B65&gt;B64), (EXP(-LN(2)/inputs!$C$51)*E64+$E$3), (EXP(-LN(2)/inputs!$C$51)*E64))</f>
        <v>1.6553114584470376E-2</v>
      </c>
      <c r="F65" s="8">
        <f>IF((B65&gt;B64), (EXP(-LN(2)/inputs!$C$51)*F64+$F$3), (EXP(-LN(2)/inputs!$C$51)*F64))</f>
        <v>2.0315186080940923E-2</v>
      </c>
      <c r="G65" s="8">
        <f>IF((B65&gt;B64), (EXP(-LN(2)/inputs!$C$51)*G64+$G$3), (EXP(-LN(2)/inputs!$C$51)*G64))</f>
        <v>2.2572428978823241E-3</v>
      </c>
      <c r="H65" s="8">
        <f>IF((B65&gt;B64), (EXP(-LN(2)/inputs!$C$51)*H64+$H$3), (EXP(-LN(2)/inputs!$C$51)*H64))</f>
        <v>1.4145388826729229E-2</v>
      </c>
      <c r="I65" s="7">
        <f>O65*(10^inputs!$C$55)*0.01/1</f>
        <v>2.6776875930088453</v>
      </c>
      <c r="J65" s="7">
        <f>(((0.621*15^0.564)/0.2))*D65/15+J64*inputs!$C$53</f>
        <v>3.8863028365678905E-2</v>
      </c>
      <c r="K65" s="7">
        <f>(((0.621*1000^0.564)/0.2))*D65/1000+K64*inputs!$C$53</f>
        <v>6.2274812487413504E-3</v>
      </c>
      <c r="L65" s="7">
        <f>(((0.648*20^0.651)/0.2))*H65/20+L64*inputs!$C$54</f>
        <v>2.1306946774936678E-2</v>
      </c>
      <c r="M65" s="7">
        <f>(((0.013*2^0.773)/0.2))*H65/2+M64*inputs!$C$54</f>
        <v>1.0389992328932779E-3</v>
      </c>
      <c r="N65" s="7">
        <f>O65*0.015*inputs!$C$56</f>
        <v>0.39340478725453965</v>
      </c>
      <c r="O65" s="7">
        <f>IF((B65&gt;B64), (EXP(-LN(2)/inputs!$C$52)*O64+$O$3), (EXP(-LN(2)/inputs!$C$52)*O64))</f>
        <v>4.2438488376972998E-2</v>
      </c>
      <c r="P65" s="3">
        <f>IF((B65&gt;B64), (EXP(-LN(2)/inputs!$C$52)*P64+$P$3), (EXP(-LN(2)/inputs!$C$52)*P64))</f>
        <v>4.1008520174968123E-2</v>
      </c>
      <c r="Q65" s="19">
        <f>IF((F65*0.62*1/(0.012*(10^inputs!$C$55)))&gt;inputs!$C$57, inputs!$C$57, (F65*0.62*1/(0.012*(10^inputs!$C$55))))</f>
        <v>1.6635323397019735E-4</v>
      </c>
      <c r="R65" s="3">
        <f>IF((B65&gt;B64), (EXP(-LN(2)/inputs!$C$51)*R64+$R$3), (EXP(-LN(2)/inputs!$C$51)*R64))</f>
        <v>3.8651244318812185E-10</v>
      </c>
      <c r="T65" s="7">
        <f>IF(T64&lt;(inputs!$C$9-1),(1+T64),0)</f>
        <v>0</v>
      </c>
      <c r="U65" s="7">
        <f>IF(inputs!$C$8&gt;U64,IF(T64=(inputs!$C$9-1),(U64+1),U64), U64)</f>
        <v>1</v>
      </c>
      <c r="V65" s="7">
        <f t="shared" si="0"/>
        <v>62</v>
      </c>
      <c r="W65" s="8">
        <f>IF((U65&gt;U64), (EXP(-LN(2)/inputs!$C$51)*W64+$W$3), (EXP(-LN(2)/inputs!$C$51)*W64))</f>
        <v>1.2791043087999837E-2</v>
      </c>
      <c r="X65" s="8">
        <f>IF((U65&gt;U64), (EXP(-LN(2)/inputs!$C$51)*X64+$X$3), (EXP(-LN(2)/inputs!$C$51)*X64))</f>
        <v>5.4173829549175774E-3</v>
      </c>
      <c r="Y65" s="8">
        <f>IF((U65&gt;U64), (EXP(-LN(2)/inputs!$C$51)*Y64+$Y$3), (EXP(-LN(2)/inputs!$C$51)*Y64))</f>
        <v>6.7717286936469778E-3</v>
      </c>
      <c r="Z65" s="8">
        <f>IF((U65&gt;U64), (EXP(-LN(2)/inputs!$C$51)*Z64+$Z$3), (EXP(-LN(2)/inputs!$C$51)*Z64))</f>
        <v>1.053380019011751E-3</v>
      </c>
      <c r="AA65" s="8">
        <f>IF((U65&gt;U64), (EXP(-LN(2)/inputs!$C$51)*AA64+$AA$3), (EXP(-LN(2)/inputs!$C$51)*AA64))</f>
        <v>9.7813858908234012E-3</v>
      </c>
      <c r="AB65" s="7">
        <f>(((0.621*15^0.564)/0.2))*W65/15+AB64*inputs!$C$53</f>
        <v>1.3763989212844613E-2</v>
      </c>
      <c r="AC65" s="7">
        <f>(((0.621*1000^0.564)/0.2))*W65/1000+AC64*inputs!$C$53</f>
        <v>2.2055662755958954E-3</v>
      </c>
      <c r="AD65" s="7">
        <f>(((0.648*20^0.651)/0.2))*AA65/20+AD64*inputs!$C$54</f>
        <v>1.473352702522217E-2</v>
      </c>
      <c r="AE65" s="7">
        <f>(((0.013*2^0.773)/0.2))*AA65/2+AE64*inputs!$C$54</f>
        <v>7.1845691636237294E-4</v>
      </c>
    </row>
    <row r="66" spans="1:31" x14ac:dyDescent="0.3">
      <c r="A66" s="7">
        <f>IF(A65&lt;(inputs!$C$9-1),(1+A65),0)</f>
        <v>0</v>
      </c>
      <c r="B66" s="7">
        <f>IF(inputs!$C$8&gt;B65,IF(A65=(inputs!$C$9-1),(B65+1),B65), B65)</f>
        <v>1</v>
      </c>
      <c r="C66" s="7">
        <f t="shared" si="1"/>
        <v>63</v>
      </c>
      <c r="D66" s="8">
        <f>IF((B66&gt;B65), (EXP(-LN(2)/inputs!$C$51)*D65+$D$3), (EXP(-LN(2)/inputs!$C$51)*D65))</f>
        <v>3.1688389348541082E-2</v>
      </c>
      <c r="E66" s="8">
        <f>IF((B66&gt;B65), (EXP(-LN(2)/inputs!$C$51)*E65+$E$3), (EXP(-LN(2)/inputs!$C$51)*E65))</f>
        <v>1.452384511808133E-2</v>
      </c>
      <c r="F66" s="8">
        <f>IF((B66&gt;B65), (EXP(-LN(2)/inputs!$C$51)*F65+$F$3), (EXP(-LN(2)/inputs!$C$51)*F65))</f>
        <v>1.7824719008554365E-2</v>
      </c>
      <c r="G66" s="8">
        <f>IF((B66&gt;B65), (EXP(-LN(2)/inputs!$C$51)*G65+$G$3), (EXP(-LN(2)/inputs!$C$51)*G65))</f>
        <v>1.9805243342838176E-3</v>
      </c>
      <c r="H66" s="8">
        <f>IF((B66&gt;B65), (EXP(-LN(2)/inputs!$C$51)*H65+$H$3), (EXP(-LN(2)/inputs!$C$51)*H65))</f>
        <v>1.2411285828178589E-2</v>
      </c>
      <c r="I66" s="7">
        <f>O66*(10^inputs!$C$55)*0.01/1</f>
        <v>2.6236511119389685</v>
      </c>
      <c r="J66" s="7">
        <f>(((0.621*15^0.564)/0.2))*D66/15+J65*inputs!$C$53</f>
        <v>3.409875536850706E-2</v>
      </c>
      <c r="K66" s="7">
        <f>(((0.621*1000^0.564)/0.2))*D66/1000+K65*inputs!$C$53</f>
        <v>5.4640456133451566E-3</v>
      </c>
      <c r="L66" s="7">
        <f>(((0.648*20^0.651)/0.2))*H66/20+L65*inputs!$C$54</f>
        <v>1.8694898372098964E-2</v>
      </c>
      <c r="M66" s="7">
        <f>(((0.013*2^0.773)/0.2))*H66/2+M65*inputs!$C$54</f>
        <v>9.1162686389572288E-4</v>
      </c>
      <c r="N66" s="7">
        <f>O66*0.015*inputs!$C$56</f>
        <v>0.38546576912756259</v>
      </c>
      <c r="O66" s="7">
        <f>IF((B66&gt;B65), (EXP(-LN(2)/inputs!$C$52)*O65+$O$3), (EXP(-LN(2)/inputs!$C$52)*O65))</f>
        <v>4.158206786705098E-2</v>
      </c>
      <c r="P66" s="3">
        <f>IF((B66&gt;B65), (EXP(-LN(2)/inputs!$C$52)*P65+$P$3), (EXP(-LN(2)/inputs!$C$52)*P65))</f>
        <v>4.0180956821452216E-2</v>
      </c>
      <c r="Q66" s="19">
        <f>IF((F66*0.62*1/(0.012*(10^inputs!$C$55)))&gt;inputs!$C$57, inputs!$C$57, (F66*0.62*1/(0.012*(10^inputs!$C$55))))</f>
        <v>1.4595975837331497E-4</v>
      </c>
      <c r="R66" s="3">
        <f>IF((B66&gt;B65), (EXP(-LN(2)/inputs!$C$51)*R65+$R$3), (EXP(-LN(2)/inputs!$C$51)*R65))</f>
        <v>3.3912934224125063E-10</v>
      </c>
      <c r="T66" s="7">
        <f>IF(T65&lt;(inputs!$C$9-1),(1+T65),0)</f>
        <v>0</v>
      </c>
      <c r="U66" s="7">
        <f>IF(inputs!$C$8&gt;U65,IF(T65=(inputs!$C$9-1),(U65+1),U65), U65)</f>
        <v>1</v>
      </c>
      <c r="V66" s="7">
        <f t="shared" si="0"/>
        <v>63</v>
      </c>
      <c r="W66" s="8">
        <f>IF((U66&gt;U65), (EXP(-LN(2)/inputs!$C$51)*W65+$W$3), (EXP(-LN(2)/inputs!$C$51)*W65))</f>
        <v>1.1222971227608302E-2</v>
      </c>
      <c r="X66" s="8">
        <f>IF((U66&gt;U65), (EXP(-LN(2)/inputs!$C$51)*X65+$X$3), (EXP(-LN(2)/inputs!$C$51)*X65))</f>
        <v>4.7532584022811622E-3</v>
      </c>
      <c r="Y66" s="8">
        <f>IF((U66&gt;U65), (EXP(-LN(2)/inputs!$C$51)*Y65+$Y$3), (EXP(-LN(2)/inputs!$C$51)*Y65))</f>
        <v>5.9415730028514581E-3</v>
      </c>
      <c r="Z66" s="8">
        <f>IF((U66&gt;U65), (EXP(-LN(2)/inputs!$C$51)*Z65+$Z$3), (EXP(-LN(2)/inputs!$C$51)*Z65))</f>
        <v>9.2424468933244807E-4</v>
      </c>
      <c r="AA66" s="8">
        <f>IF((U66&gt;U65), (EXP(-LN(2)/inputs!$C$51)*AA65+$AA$3), (EXP(-LN(2)/inputs!$C$51)*AA65))</f>
        <v>8.5822721152298744E-3</v>
      </c>
      <c r="AB66" s="7">
        <f>(((0.621*15^0.564)/0.2))*W66/15+AB65*inputs!$C$53</f>
        <v>1.2076642526346253E-2</v>
      </c>
      <c r="AC66" s="7">
        <f>(((0.621*1000^0.564)/0.2))*W66/1000+AC65*inputs!$C$53</f>
        <v>1.9351828213930763E-3</v>
      </c>
      <c r="AD66" s="7">
        <f>(((0.648*20^0.651)/0.2))*AA66/20+AD65*inputs!$C$54</f>
        <v>1.2927323342408856E-2</v>
      </c>
      <c r="AE66" s="7">
        <f>(((0.013*2^0.773)/0.2))*AA66/2+AE65*inputs!$C$54</f>
        <v>6.3038027822576571E-4</v>
      </c>
    </row>
    <row r="67" spans="1:31" x14ac:dyDescent="0.3">
      <c r="A67" s="7">
        <f>IF(A66&lt;(inputs!$C$9-1),(1+A66),0)</f>
        <v>0</v>
      </c>
      <c r="B67" s="7">
        <f>IF(inputs!$C$8&gt;B66,IF(A66=(inputs!$C$9-1),(B66+1),B66), B66)</f>
        <v>1</v>
      </c>
      <c r="C67" s="7">
        <f t="shared" si="1"/>
        <v>64</v>
      </c>
      <c r="D67" s="8">
        <f>IF((B67&gt;B66), (EXP(-LN(2)/inputs!$C$51)*D66+$D$3), (EXP(-LN(2)/inputs!$C$51)*D66))</f>
        <v>2.7803665382190326E-2</v>
      </c>
      <c r="E67" s="8">
        <f>IF((B67&gt;B66), (EXP(-LN(2)/inputs!$C$51)*E66+$E$3), (EXP(-LN(2)/inputs!$C$51)*E66))</f>
        <v>1.2743346633503901E-2</v>
      </c>
      <c r="F67" s="8">
        <f>IF((B67&gt;B66), (EXP(-LN(2)/inputs!$C$51)*F66+$F$3), (EXP(-LN(2)/inputs!$C$51)*F66))</f>
        <v>1.5639561777482065E-2</v>
      </c>
      <c r="G67" s="8">
        <f>IF((B67&gt;B66), (EXP(-LN(2)/inputs!$C$51)*G66+$G$3), (EXP(-LN(2)/inputs!$C$51)*G66))</f>
        <v>1.7377290863868954E-3</v>
      </c>
      <c r="H67" s="8">
        <f>IF((B67&gt;B66), (EXP(-LN(2)/inputs!$C$51)*H66+$H$3), (EXP(-LN(2)/inputs!$C$51)*H66))</f>
        <v>1.0889768941357878E-2</v>
      </c>
      <c r="I67" s="7">
        <f>O67*(10^inputs!$C$55)*0.01/1</f>
        <v>2.570705102100328</v>
      </c>
      <c r="J67" s="7">
        <f>(((0.621*15^0.564)/0.2))*D67/15+J66*inputs!$C$53</f>
        <v>2.991854126087936E-2</v>
      </c>
      <c r="K67" s="7">
        <f>(((0.621*1000^0.564)/0.2))*D67/1000+K66*inputs!$C$53</f>
        <v>4.7942006201545226E-3</v>
      </c>
      <c r="L67" s="7">
        <f>(((0.648*20^0.651)/0.2))*H67/20+L66*inputs!$C$54</f>
        <v>1.6403064635906621E-2</v>
      </c>
      <c r="M67" s="7">
        <f>(((0.013*2^0.773)/0.2))*H67/2+M66*inputs!$C$54</f>
        <v>7.9986925174343668E-4</v>
      </c>
      <c r="N67" s="7">
        <f>O67*0.015*inputs!$C$56</f>
        <v>0.37768696259653567</v>
      </c>
      <c r="O67" s="7">
        <f>IF((B67&gt;B66), (EXP(-LN(2)/inputs!$C$52)*O66+$O$3), (EXP(-LN(2)/inputs!$C$52)*O66))</f>
        <v>4.0742930161438581E-2</v>
      </c>
      <c r="P67" s="3">
        <f>IF((B67&gt;B66), (EXP(-LN(2)/inputs!$C$52)*P66+$P$3), (EXP(-LN(2)/inputs!$C$52)*P66))</f>
        <v>3.9370093926796093E-2</v>
      </c>
      <c r="Q67" s="19">
        <f>IF((F67*0.62*1/(0.012*(10^inputs!$C$55)))&gt;inputs!$C$57, inputs!$C$57, (F67*0.62*1/(0.012*(10^inputs!$C$55))))</f>
        <v>1.2806634747006604E-4</v>
      </c>
      <c r="R67" s="3">
        <f>IF((B67&gt;B66), (EXP(-LN(2)/inputs!$C$51)*R66+$R$3), (EXP(-LN(2)/inputs!$C$51)*R66))</f>
        <v>2.9755500190457438E-10</v>
      </c>
      <c r="T67" s="7">
        <f>IF(T66&lt;(inputs!$C$9-1),(1+T66),0)</f>
        <v>0</v>
      </c>
      <c r="U67" s="7">
        <f>IF(inputs!$C$8&gt;U66,IF(T66=(inputs!$C$9-1),(U66+1),U66), U66)</f>
        <v>1</v>
      </c>
      <c r="V67" s="7">
        <f t="shared" si="0"/>
        <v>64</v>
      </c>
      <c r="W67" s="8">
        <f>IF((U67&gt;U66), (EXP(-LN(2)/inputs!$C$51)*W66+$W$3), (EXP(-LN(2)/inputs!$C$51)*W66))</f>
        <v>9.8471314895257431E-3</v>
      </c>
      <c r="X67" s="8">
        <f>IF((U67&gt;U66), (EXP(-LN(2)/inputs!$C$51)*X66+$X$3), (EXP(-LN(2)/inputs!$C$51)*X66))</f>
        <v>4.1705498073285486E-3</v>
      </c>
      <c r="Y67" s="8">
        <f>IF((U67&gt;U66), (EXP(-LN(2)/inputs!$C$51)*Y66+$Y$3), (EXP(-LN(2)/inputs!$C$51)*Y66))</f>
        <v>5.2131872591606914E-3</v>
      </c>
      <c r="Z67" s="8">
        <f>IF((U67&gt;U66), (EXP(-LN(2)/inputs!$C$51)*Z66+$Z$3), (EXP(-LN(2)/inputs!$C$51)*Z66))</f>
        <v>8.1094024031388436E-4</v>
      </c>
      <c r="AA67" s="8">
        <f>IF((U67&gt;U66), (EXP(-LN(2)/inputs!$C$51)*AA66+$AA$3), (EXP(-LN(2)/inputs!$C$51)*AA66))</f>
        <v>7.5301593743432116E-3</v>
      </c>
      <c r="AB67" s="7">
        <f>(((0.621*15^0.564)/0.2))*W67/15+AB66*inputs!$C$53</f>
        <v>1.0596150029894776E-2</v>
      </c>
      <c r="AC67" s="7">
        <f>(((0.621*1000^0.564)/0.2))*W67/1000+AC66*inputs!$C$53</f>
        <v>1.6979460529713939E-3</v>
      </c>
      <c r="AD67" s="7">
        <f>(((0.648*20^0.651)/0.2))*AA67/20+AD66*inputs!$C$54</f>
        <v>1.1342544695041808E-2</v>
      </c>
      <c r="AE67" s="7">
        <f>(((0.013*2^0.773)/0.2))*AA67/2+AE66*inputs!$C$54</f>
        <v>5.5310107833322734E-4</v>
      </c>
    </row>
    <row r="68" spans="1:31" x14ac:dyDescent="0.3">
      <c r="A68" s="7">
        <f>IF(A67&lt;(inputs!$C$9-1),(1+A67),0)</f>
        <v>0</v>
      </c>
      <c r="B68" s="7">
        <f>IF(inputs!$C$8&gt;B67,IF(A67=(inputs!$C$9-1),(B67+1),B67), B67)</f>
        <v>1</v>
      </c>
      <c r="C68" s="7">
        <f t="shared" si="1"/>
        <v>65</v>
      </c>
      <c r="D68" s="8">
        <f>IF((B68&gt;B67), (EXP(-LN(2)/inputs!$C$51)*D67+$D$3), (EXP(-LN(2)/inputs!$C$51)*D67))</f>
        <v>2.4395175159648792E-2</v>
      </c>
      <c r="E68" s="8">
        <f>IF((B68&gt;B67), (EXP(-LN(2)/inputs!$C$51)*E67+$E$3), (EXP(-LN(2)/inputs!$C$51)*E67))</f>
        <v>1.1181121948172364E-2</v>
      </c>
      <c r="F68" s="8">
        <f>IF((B68&gt;B67), (EXP(-LN(2)/inputs!$C$51)*F67+$F$3), (EXP(-LN(2)/inputs!$C$51)*F67))</f>
        <v>1.372228602730245E-2</v>
      </c>
      <c r="G68" s="8">
        <f>IF((B68&gt;B67), (EXP(-LN(2)/inputs!$C$51)*G67+$G$3), (EXP(-LN(2)/inputs!$C$51)*G67))</f>
        <v>1.5246984474780495E-3</v>
      </c>
      <c r="H68" s="8">
        <f>IF((B68&gt;B67), (EXP(-LN(2)/inputs!$C$51)*H67+$H$3), (EXP(-LN(2)/inputs!$C$51)*H67))</f>
        <v>9.5547769375291108E-3</v>
      </c>
      <c r="I68" s="7">
        <f>O68*(10^inputs!$C$55)*0.01/1</f>
        <v>2.5188275574799013</v>
      </c>
      <c r="J68" s="7">
        <f>(((0.621*15^0.564)/0.2))*D68/15+J67*inputs!$C$53</f>
        <v>2.6250785446722054E-2</v>
      </c>
      <c r="K68" s="7">
        <f>(((0.621*1000^0.564)/0.2))*D68/1000+K67*inputs!$C$53</f>
        <v>4.206472861455251E-3</v>
      </c>
      <c r="L68" s="7">
        <f>(((0.648*20^0.651)/0.2))*H68/20+L67*inputs!$C$54</f>
        <v>1.4392190002556388E-2</v>
      </c>
      <c r="M68" s="7">
        <f>(((0.013*2^0.773)/0.2))*H68/2+M67*inputs!$C$54</f>
        <v>7.0181216155756931E-4</v>
      </c>
      <c r="N68" s="7">
        <f>O68*0.015*inputs!$C$56</f>
        <v>0.37006513454685114</v>
      </c>
      <c r="O68" s="7">
        <f>IF((B68&gt;B67), (EXP(-LN(2)/inputs!$C$52)*O67+$O$3), (EXP(-LN(2)/inputs!$C$52)*O67))</f>
        <v>3.9920726488333454E-2</v>
      </c>
      <c r="P68" s="3">
        <f>IF((B68&gt;B67), (EXP(-LN(2)/inputs!$C$52)*P67+$P$3), (EXP(-LN(2)/inputs!$C$52)*P67))</f>
        <v>3.8575594471090706E-2</v>
      </c>
      <c r="Q68" s="19">
        <f>IF((F68*0.62*1/(0.012*(10^inputs!$C$55)))&gt;inputs!$C$57, inputs!$C$57, (F68*0.62*1/(0.012*(10^inputs!$C$55))))</f>
        <v>1.1236651483332543E-4</v>
      </c>
      <c r="R68" s="3">
        <f>IF((B68&gt;B67), (EXP(-LN(2)/inputs!$C$51)*R67+$R$3), (EXP(-LN(2)/inputs!$C$51)*R67))</f>
        <v>2.610773180913558E-10</v>
      </c>
      <c r="T68" s="7">
        <f>IF(T67&lt;(inputs!$C$9-1),(1+T67),0)</f>
        <v>0</v>
      </c>
      <c r="U68" s="7">
        <f>IF(inputs!$C$8&gt;U67,IF(T67=(inputs!$C$9-1),(U67+1),U67), U67)</f>
        <v>1</v>
      </c>
      <c r="V68" s="7">
        <f t="shared" ref="V68:V131" si="2">V67+1</f>
        <v>65</v>
      </c>
      <c r="W68" s="8">
        <f>IF((U68&gt;U67), (EXP(-LN(2)/inputs!$C$51)*W67+$W$3), (EXP(-LN(2)/inputs!$C$51)*W67))</f>
        <v>8.6399578690422828E-3</v>
      </c>
      <c r="X68" s="8">
        <f>IF((U68&gt;U67), (EXP(-LN(2)/inputs!$C$51)*X67+$X$3), (EXP(-LN(2)/inputs!$C$51)*X67))</f>
        <v>3.6592762739473183E-3</v>
      </c>
      <c r="Y68" s="8">
        <f>IF((U68&gt;U67), (EXP(-LN(2)/inputs!$C$51)*Y67+$Y$3), (EXP(-LN(2)/inputs!$C$51)*Y67))</f>
        <v>4.5740953424341533E-3</v>
      </c>
      <c r="Z68" s="8">
        <f>IF((U68&gt;U67), (EXP(-LN(2)/inputs!$C$51)*Z67+$Z$3), (EXP(-LN(2)/inputs!$C$51)*Z67))</f>
        <v>7.1152594215642294E-4</v>
      </c>
      <c r="AA68" s="8">
        <f>IF((U68&gt;U67), (EXP(-LN(2)/inputs!$C$51)*AA67+$AA$3), (EXP(-LN(2)/inputs!$C$51)*AA67))</f>
        <v>6.6070266057382133E-3</v>
      </c>
      <c r="AB68" s="7">
        <f>(((0.621*15^0.564)/0.2))*W68/15+AB67*inputs!$C$53</f>
        <v>9.2971531790473974E-3</v>
      </c>
      <c r="AC68" s="7">
        <f>(((0.621*1000^0.564)/0.2))*W68/1000+AC67*inputs!$C$53</f>
        <v>1.4897924717654019E-3</v>
      </c>
      <c r="AD68" s="7">
        <f>(((0.648*20^0.651)/0.2))*AA68/20+AD67*inputs!$C$54</f>
        <v>9.9520462783634564E-3</v>
      </c>
      <c r="AE68" s="7">
        <f>(((0.013*2^0.773)/0.2))*AA68/2+AE67*inputs!$C$54</f>
        <v>4.8529564363023397E-4</v>
      </c>
    </row>
    <row r="69" spans="1:31" x14ac:dyDescent="0.3">
      <c r="A69" s="7">
        <f>IF(A68&lt;(inputs!$C$9-1),(1+A68),0)</f>
        <v>0</v>
      </c>
      <c r="B69" s="7">
        <f>IF(inputs!$C$8&gt;B68,IF(A68=(inputs!$C$9-1),(B68+1),B68), B68)</f>
        <v>1</v>
      </c>
      <c r="C69" s="7">
        <f t="shared" ref="C69:C132" si="3">C68+1</f>
        <v>66</v>
      </c>
      <c r="D69" s="8">
        <f>IF((B69&gt;B68), (EXP(-LN(2)/inputs!$C$51)*D68+$D$3), (EXP(-LN(2)/inputs!$C$51)*D68))</f>
        <v>2.140453652025151E-2</v>
      </c>
      <c r="E69" s="8">
        <f>IF((B69&gt;B68), (EXP(-LN(2)/inputs!$C$51)*E68+$E$3), (EXP(-LN(2)/inputs!$C$51)*E68))</f>
        <v>9.8104125717819422E-3</v>
      </c>
      <c r="F69" s="8">
        <f>IF((B69&gt;B68), (EXP(-LN(2)/inputs!$C$51)*F68+$F$3), (EXP(-LN(2)/inputs!$C$51)*F68))</f>
        <v>1.2040051792641478E-2</v>
      </c>
      <c r="G69" s="8">
        <f>IF((B69&gt;B68), (EXP(-LN(2)/inputs!$C$51)*G68+$G$3), (EXP(-LN(2)/inputs!$C$51)*G68))</f>
        <v>1.3377835325157194E-3</v>
      </c>
      <c r="H69" s="8">
        <f>IF((B69&gt;B68), (EXP(-LN(2)/inputs!$C$51)*H68+$H$3), (EXP(-LN(2)/inputs!$C$51)*H68))</f>
        <v>8.3834434704318419E-3</v>
      </c>
      <c r="I69" s="7">
        <f>O69*(10^inputs!$C$55)*0.01/1</f>
        <v>2.4679969161521331</v>
      </c>
      <c r="J69" s="7">
        <f>(((0.621*15^0.564)/0.2))*D69/15+J68*inputs!$C$53</f>
        <v>2.3032664947167294E-2</v>
      </c>
      <c r="K69" s="7">
        <f>(((0.621*1000^0.564)/0.2))*D69/1000+K68*inputs!$C$53</f>
        <v>3.69079547063035E-3</v>
      </c>
      <c r="L69" s="7">
        <f>(((0.648*20^0.651)/0.2))*H69/20+L68*inputs!$C$54</f>
        <v>1.2627831302710429E-2</v>
      </c>
      <c r="M69" s="7">
        <f>(((0.013*2^0.773)/0.2))*H69/2+M68*inputs!$C$54</f>
        <v>6.1577602719012044E-4</v>
      </c>
      <c r="N69" s="7">
        <f>O69*0.015*inputs!$C$56</f>
        <v>0.36259711710905423</v>
      </c>
      <c r="O69" s="7">
        <f>IF((B69&gt;B68), (EXP(-LN(2)/inputs!$C$52)*O68+$O$3), (EXP(-LN(2)/inputs!$C$52)*O68))</f>
        <v>3.9115115114245334E-2</v>
      </c>
      <c r="P69" s="3">
        <f>IF((B69&gt;B68), (EXP(-LN(2)/inputs!$C$52)*P68+$P$3), (EXP(-LN(2)/inputs!$C$52)*P68))</f>
        <v>3.7797128235582608E-2</v>
      </c>
      <c r="Q69" s="19">
        <f>IF((F69*0.62*1/(0.012*(10^inputs!$C$55)))&gt;inputs!$C$57, inputs!$C$57, (F69*0.62*1/(0.012*(10^inputs!$C$55))))</f>
        <v>9.8591346635689531E-5</v>
      </c>
      <c r="R69" s="3">
        <f>IF((B69&gt;B68), (EXP(-LN(2)/inputs!$C$51)*R68+$R$3), (EXP(-LN(2)/inputs!$C$51)*R68))</f>
        <v>2.2907148455072609E-10</v>
      </c>
      <c r="T69" s="7">
        <f>IF(T68&lt;(inputs!$C$9-1),(1+T68),0)</f>
        <v>0</v>
      </c>
      <c r="U69" s="7">
        <f>IF(inputs!$C$8&gt;U68,IF(T68=(inputs!$C$9-1),(U68+1),U68), U68)</f>
        <v>1</v>
      </c>
      <c r="V69" s="7">
        <f t="shared" si="2"/>
        <v>66</v>
      </c>
      <c r="W69" s="8">
        <f>IF((U69&gt;U68), (EXP(-LN(2)/inputs!$C$51)*W68+$W$3), (EXP(-LN(2)/inputs!$C$51)*W68))</f>
        <v>7.5807733509224116E-3</v>
      </c>
      <c r="X69" s="8">
        <f>IF((U69&gt;U68), (EXP(-LN(2)/inputs!$C$51)*X68+$X$3), (EXP(-LN(2)/inputs!$C$51)*X68))</f>
        <v>3.2106804780377258E-3</v>
      </c>
      <c r="Y69" s="8">
        <f>IF((U69&gt;U68), (EXP(-LN(2)/inputs!$C$51)*Y68+$Y$3), (EXP(-LN(2)/inputs!$C$51)*Y68))</f>
        <v>4.0133505975471625E-3</v>
      </c>
      <c r="Z69" s="8">
        <f>IF((U69&gt;U68), (EXP(-LN(2)/inputs!$C$51)*Z68+$Z$3), (EXP(-LN(2)/inputs!$C$51)*Z68))</f>
        <v>6.242989818406689E-4</v>
      </c>
      <c r="AA69" s="8">
        <f>IF((U69&gt;U68), (EXP(-LN(2)/inputs!$C$51)*AA68+$AA$3), (EXP(-LN(2)/inputs!$C$51)*AA68))</f>
        <v>5.7970619742347823E-3</v>
      </c>
      <c r="AB69" s="7">
        <f>(((0.621*15^0.564)/0.2))*W69/15+AB68*inputs!$C$53</f>
        <v>8.1574021687884184E-3</v>
      </c>
      <c r="AC69" s="7">
        <f>(((0.621*1000^0.564)/0.2))*W69/1000+AC68*inputs!$C$53</f>
        <v>1.3071567291815824E-3</v>
      </c>
      <c r="AD69" s="7">
        <f>(((0.648*20^0.651)/0.2))*AA69/20+AD68*inputs!$C$54</f>
        <v>8.7320110071933792E-3</v>
      </c>
      <c r="AE69" s="7">
        <f>(((0.013*2^0.773)/0.2))*AA69/2+AE68*inputs!$C$54</f>
        <v>4.2580257199316824E-4</v>
      </c>
    </row>
    <row r="70" spans="1:31" x14ac:dyDescent="0.3">
      <c r="A70" s="7">
        <f>IF(A69&lt;(inputs!$C$9-1),(1+A69),0)</f>
        <v>0</v>
      </c>
      <c r="B70" s="7">
        <f>IF(inputs!$C$8&gt;B69,IF(A69=(inputs!$C$9-1),(B69+1),B69), B69)</f>
        <v>1</v>
      </c>
      <c r="C70" s="7">
        <f t="shared" si="3"/>
        <v>67</v>
      </c>
      <c r="D70" s="8">
        <f>IF((B70&gt;B69), (EXP(-LN(2)/inputs!$C$51)*D69+$D$3), (EXP(-LN(2)/inputs!$C$51)*D69))</f>
        <v>1.8780524454056695E-2</v>
      </c>
      <c r="E70" s="8">
        <f>IF((B70&gt;B69), (EXP(-LN(2)/inputs!$C$51)*E69+$E$3), (EXP(-LN(2)/inputs!$C$51)*E69))</f>
        <v>8.6077403747759854E-3</v>
      </c>
      <c r="F70" s="8">
        <f>IF((B70&gt;B69), (EXP(-LN(2)/inputs!$C$51)*F69+$F$3), (EXP(-LN(2)/inputs!$C$51)*F69))</f>
        <v>1.0564045005406895E-2</v>
      </c>
      <c r="G70" s="8">
        <f>IF((B70&gt;B69), (EXP(-LN(2)/inputs!$C$51)*G69+$G$3), (EXP(-LN(2)/inputs!$C$51)*G69))</f>
        <v>1.1737827783785434E-3</v>
      </c>
      <c r="H70" s="8">
        <f>IF((B70&gt;B69), (EXP(-LN(2)/inputs!$C$51)*H69+$H$3), (EXP(-LN(2)/inputs!$C$51)*H69))</f>
        <v>7.3557054111722062E-3</v>
      </c>
      <c r="I70" s="7">
        <f>O70*(10^inputs!$C$55)*0.01/1</f>
        <v>2.4181920513171304</v>
      </c>
      <c r="J70" s="7">
        <f>(((0.621*15^0.564)/0.2))*D70/15+J69*inputs!$C$53</f>
        <v>2.0209058340184376E-2</v>
      </c>
      <c r="K70" s="7">
        <f>(((0.621*1000^0.564)/0.2))*D70/1000+K69*inputs!$C$53</f>
        <v>3.2383356923198869E-3</v>
      </c>
      <c r="L70" s="7">
        <f>(((0.648*20^0.651)/0.2))*H70/20+L69*inputs!$C$54</f>
        <v>1.1079767803328691E-2</v>
      </c>
      <c r="M70" s="7">
        <f>(((0.013*2^0.773)/0.2))*H70/2+M69*inputs!$C$54</f>
        <v>5.4028718285604115E-4</v>
      </c>
      <c r="N70" s="7">
        <f>O70*0.015*inputs!$C$56</f>
        <v>0.35527980634217771</v>
      </c>
      <c r="O70" s="7">
        <f>IF((B70&gt;B69), (EXP(-LN(2)/inputs!$C$52)*O69+$O$3), (EXP(-LN(2)/inputs!$C$52)*O69))</f>
        <v>3.832576120196092E-2</v>
      </c>
      <c r="P70" s="3">
        <f>IF((B70&gt;B69), (EXP(-LN(2)/inputs!$C$52)*P69+$P$3), (EXP(-LN(2)/inputs!$C$52)*P69))</f>
        <v>3.7034371665424719E-2</v>
      </c>
      <c r="Q70" s="19">
        <f>IF((F70*0.62*1/(0.012*(10^inputs!$C$55)))&gt;inputs!$C$57, inputs!$C$57, (F70*0.62*1/(0.012*(10^inputs!$C$55))))</f>
        <v>8.6504895571931349E-5</v>
      </c>
      <c r="R70" s="3">
        <f>IF((B70&gt;B69), (EXP(-LN(2)/inputs!$C$51)*R69+$R$3), (EXP(-LN(2)/inputs!$C$51)*R69))</f>
        <v>2.009892909039E-10</v>
      </c>
      <c r="T70" s="7">
        <f>IF(T69&lt;(inputs!$C$9-1),(1+T69),0)</f>
        <v>0</v>
      </c>
      <c r="U70" s="7">
        <f>IF(inputs!$C$8&gt;U69,IF(T69=(inputs!$C$9-1),(U69+1),U69), U69)</f>
        <v>1</v>
      </c>
      <c r="V70" s="7">
        <f t="shared" si="2"/>
        <v>67</v>
      </c>
      <c r="W70" s="8">
        <f>IF((U70&gt;U69), (EXP(-LN(2)/inputs!$C$51)*W69+$W$3), (EXP(-LN(2)/inputs!$C$51)*W69))</f>
        <v>6.6514357441450813E-3</v>
      </c>
      <c r="X70" s="8">
        <f>IF((U70&gt;U69), (EXP(-LN(2)/inputs!$C$51)*X69+$X$3), (EXP(-LN(2)/inputs!$C$51)*X69))</f>
        <v>2.8170786681085036E-3</v>
      </c>
      <c r="Y70" s="8">
        <f>IF((U70&gt;U69), (EXP(-LN(2)/inputs!$C$51)*Y69+$Y$3), (EXP(-LN(2)/inputs!$C$51)*Y69))</f>
        <v>3.5213483351356342E-3</v>
      </c>
      <c r="Z70" s="8">
        <f>IF((U70&gt;U69), (EXP(-LN(2)/inputs!$C$51)*Z69+$Z$3), (EXP(-LN(2)/inputs!$C$51)*Z69))</f>
        <v>5.4776529657665351E-4</v>
      </c>
      <c r="AA70" s="8">
        <f>IF((U70&gt;U69), (EXP(-LN(2)/inputs!$C$51)*AA69+$AA$3), (EXP(-LN(2)/inputs!$C$51)*AA69))</f>
        <v>5.0863920396403538E-3</v>
      </c>
      <c r="AB70" s="7">
        <f>(((0.621*15^0.564)/0.2))*W70/15+AB69*inputs!$C$53</f>
        <v>7.1573748288153013E-3</v>
      </c>
      <c r="AC70" s="7">
        <f>(((0.621*1000^0.564)/0.2))*W70/1000+AC69*inputs!$C$53</f>
        <v>1.1469105576966268E-3</v>
      </c>
      <c r="AD70" s="7">
        <f>(((0.648*20^0.651)/0.2))*AA70/20+AD69*inputs!$C$54</f>
        <v>7.6615415661315401E-3</v>
      </c>
      <c r="AE70" s="7">
        <f>(((0.013*2^0.773)/0.2))*AA70/2+AE69*inputs!$C$54</f>
        <v>3.7360283920896448E-4</v>
      </c>
    </row>
    <row r="71" spans="1:31" x14ac:dyDescent="0.3">
      <c r="A71" s="7">
        <f>IF(A70&lt;(inputs!$C$9-1),(1+A70),0)</f>
        <v>0</v>
      </c>
      <c r="B71" s="7">
        <f>IF(inputs!$C$8&gt;B70,IF(A70=(inputs!$C$9-1),(B70+1),B70), B70)</f>
        <v>1</v>
      </c>
      <c r="C71" s="7">
        <f t="shared" si="3"/>
        <v>68</v>
      </c>
      <c r="D71" s="8">
        <f>IF((B71&gt;B70), (EXP(-LN(2)/inputs!$C$51)*D70+$D$3), (EXP(-LN(2)/inputs!$C$51)*D70))</f>
        <v>1.6478193696729346E-2</v>
      </c>
      <c r="E71" s="8">
        <f>IF((B71&gt;B70), (EXP(-LN(2)/inputs!$C$51)*E70+$E$3), (EXP(-LN(2)/inputs!$C$51)*E70))</f>
        <v>7.5525054443342839E-3</v>
      </c>
      <c r="F71" s="8">
        <f>IF((B71&gt;B70), (EXP(-LN(2)/inputs!$C$51)*F70+$F$3), (EXP(-LN(2)/inputs!$C$51)*F70))</f>
        <v>9.2689839544102606E-3</v>
      </c>
      <c r="G71" s="8">
        <f>IF((B71&gt;B70), (EXP(-LN(2)/inputs!$C$51)*G70+$G$3), (EXP(-LN(2)/inputs!$C$51)*G70))</f>
        <v>1.0298871060455842E-3</v>
      </c>
      <c r="H71" s="8">
        <f>IF((B71&gt;B70), (EXP(-LN(2)/inputs!$C$51)*H70+$H$3), (EXP(-LN(2)/inputs!$C$51)*H70))</f>
        <v>6.4539591978856614E-3</v>
      </c>
      <c r="I71" s="7">
        <f>O71*(10^inputs!$C$55)*0.01/1</f>
        <v>2.3693922625197028</v>
      </c>
      <c r="J71" s="7">
        <f>(((0.621*15^0.564)/0.2))*D71/15+J70*inputs!$C$53</f>
        <v>1.7731601615956476E-2</v>
      </c>
      <c r="K71" s="7">
        <f>(((0.621*1000^0.564)/0.2))*D71/1000+K70*inputs!$C$53</f>
        <v>2.8413435909960842E-3</v>
      </c>
      <c r="L71" s="7">
        <f>(((0.648*20^0.651)/0.2))*H71/20+L70*inputs!$C$54</f>
        <v>9.7214835732981082E-3</v>
      </c>
      <c r="M71" s="7">
        <f>(((0.013*2^0.773)/0.2))*H71/2+M70*inputs!$C$54</f>
        <v>4.7405262151978863E-4</v>
      </c>
      <c r="N71" s="7">
        <f>O71*0.015*inputs!$C$56</f>
        <v>0.34811016094364705</v>
      </c>
      <c r="O71" s="7">
        <f>IF((B71&gt;B70), (EXP(-LN(2)/inputs!$C$52)*O70+$O$3), (EXP(-LN(2)/inputs!$C$52)*O70))</f>
        <v>3.7552336671375086E-2</v>
      </c>
      <c r="P71" s="3">
        <f>IF((B71&gt;B70), (EXP(-LN(2)/inputs!$C$52)*P70+$P$3), (EXP(-LN(2)/inputs!$C$52)*P70))</f>
        <v>3.6287007735196844E-2</v>
      </c>
      <c r="Q71" s="19">
        <f>IF((F71*0.62*1/(0.012*(10^inputs!$C$55)))&gt;inputs!$C$57, inputs!$C$57, (F71*0.62*1/(0.012*(10^inputs!$C$55))))</f>
        <v>7.5900139446943171E-5</v>
      </c>
      <c r="R71" s="3">
        <f>IF((B71&gt;B70), (EXP(-LN(2)/inputs!$C$51)*R70+$R$3), (EXP(-LN(2)/inputs!$C$51)*R70))</f>
        <v>1.7634973264909803E-10</v>
      </c>
      <c r="T71" s="7">
        <f>IF(T70&lt;(inputs!$C$9-1),(1+T70),0)</f>
        <v>0</v>
      </c>
      <c r="U71" s="7">
        <f>IF(inputs!$C$8&gt;U70,IF(T70=(inputs!$C$9-1),(U70+1),U70), U70)</f>
        <v>1</v>
      </c>
      <c r="V71" s="7">
        <f t="shared" si="2"/>
        <v>68</v>
      </c>
      <c r="W71" s="8">
        <f>IF((U71&gt;U70), (EXP(-LN(2)/inputs!$C$51)*W70+$W$3), (EXP(-LN(2)/inputs!$C$51)*W70))</f>
        <v>5.8360269342583116E-3</v>
      </c>
      <c r="X71" s="8">
        <f>IF((U71&gt;U70), (EXP(-LN(2)/inputs!$C$51)*X70+$X$3), (EXP(-LN(2)/inputs!$C$51)*X70))</f>
        <v>2.4717290545094015E-3</v>
      </c>
      <c r="Y71" s="8">
        <f>IF((U71&gt;U70), (EXP(-LN(2)/inputs!$C$51)*Y70+$Y$3), (EXP(-LN(2)/inputs!$C$51)*Y70))</f>
        <v>3.0896613181367561E-3</v>
      </c>
      <c r="Z71" s="8">
        <f>IF((U71&gt;U70), (EXP(-LN(2)/inputs!$C$51)*Z70+$Z$3), (EXP(-LN(2)/inputs!$C$51)*Z70))</f>
        <v>4.8061398282127251E-4</v>
      </c>
      <c r="AA71" s="8">
        <f>IF((U71&gt;U70), (EXP(-LN(2)/inputs!$C$51)*AA70+$AA$3), (EXP(-LN(2)/inputs!$C$51)*AA70))</f>
        <v>4.4628441261975304E-3</v>
      </c>
      <c r="AB71" s="7">
        <f>(((0.621*15^0.564)/0.2))*W71/15+AB70*inputs!$C$53</f>
        <v>6.2799422389845866E-3</v>
      </c>
      <c r="AC71" s="7">
        <f>(((0.621*1000^0.564)/0.2))*W71/1000+AC70*inputs!$C$53</f>
        <v>1.00630918847778E-3</v>
      </c>
      <c r="AD71" s="7">
        <f>(((0.648*20^0.651)/0.2))*AA71/20+AD70*inputs!$C$54</f>
        <v>6.7223024708976259E-3</v>
      </c>
      <c r="AE71" s="7">
        <f>(((0.013*2^0.773)/0.2))*AA71/2+AE70*inputs!$C$54</f>
        <v>3.2780234466793881E-4</v>
      </c>
    </row>
    <row r="72" spans="1:31" x14ac:dyDescent="0.3">
      <c r="A72" s="7">
        <f>IF(A71&lt;(inputs!$C$9-1),(1+A71),0)</f>
        <v>0</v>
      </c>
      <c r="B72" s="7">
        <f>IF(inputs!$C$8&gt;B71,IF(A71=(inputs!$C$9-1),(B71+1),B71), B71)</f>
        <v>1</v>
      </c>
      <c r="C72" s="7">
        <f t="shared" si="3"/>
        <v>69</v>
      </c>
      <c r="D72" s="8">
        <f>IF((B72&gt;B71), (EXP(-LN(2)/inputs!$C$51)*D71+$D$3), (EXP(-LN(2)/inputs!$C$51)*D71))</f>
        <v>1.44581088867451E-2</v>
      </c>
      <c r="E72" s="8">
        <f>IF((B72&gt;B71), (EXP(-LN(2)/inputs!$C$51)*E71+$E$3), (EXP(-LN(2)/inputs!$C$51)*E71))</f>
        <v>6.6266332397581706E-3</v>
      </c>
      <c r="F72" s="8">
        <f>IF((B72&gt;B71), (EXP(-LN(2)/inputs!$C$51)*F71+$F$3), (EXP(-LN(2)/inputs!$C$51)*F71))</f>
        <v>8.1326862487941208E-3</v>
      </c>
      <c r="G72" s="8">
        <f>IF((B72&gt;B71), (EXP(-LN(2)/inputs!$C$51)*G71+$G$3), (EXP(-LN(2)/inputs!$C$51)*G71))</f>
        <v>9.0363180542156875E-4</v>
      </c>
      <c r="H72" s="8">
        <f>IF((B72&gt;B71), (EXP(-LN(2)/inputs!$C$51)*H71+$H$3), (EXP(-LN(2)/inputs!$C$51)*H71))</f>
        <v>5.6627593139751652E-3</v>
      </c>
      <c r="I72" s="7">
        <f>O72*(10^inputs!$C$55)*0.01/1</f>
        <v>2.3215772670456074</v>
      </c>
      <c r="J72" s="7">
        <f>(((0.621*15^0.564)/0.2))*D72/15+J71*inputs!$C$53</f>
        <v>1.5557859776267132E-2</v>
      </c>
      <c r="K72" s="7">
        <f>(((0.621*1000^0.564)/0.2))*D72/1000+K71*inputs!$C$53</f>
        <v>2.4930193065657749E-3</v>
      </c>
      <c r="L72" s="7">
        <f>(((0.648*20^0.651)/0.2))*H72/20+L71*inputs!$C$54</f>
        <v>8.5297133065832115E-3</v>
      </c>
      <c r="M72" s="7">
        <f>(((0.013*2^0.773)/0.2))*H72/2+M71*inputs!$C$54</f>
        <v>4.1593784768657356E-4</v>
      </c>
      <c r="N72" s="7">
        <f>O72*0.015*inputs!$C$56</f>
        <v>0.34108520098522027</v>
      </c>
      <c r="O72" s="7">
        <f>IF((B72&gt;B71), (EXP(-LN(2)/inputs!$C$52)*O71+$O$3), (EXP(-LN(2)/inputs!$C$52)*O71))</f>
        <v>3.6794520063130561E-2</v>
      </c>
      <c r="P72" s="3">
        <f>IF((B72&gt;B71), (EXP(-LN(2)/inputs!$C$52)*P71+$P$3), (EXP(-LN(2)/inputs!$C$52)*P71))</f>
        <v>3.5554725817140032E-2</v>
      </c>
      <c r="Q72" s="19">
        <f>IF((F72*0.62*1/(0.012*(10^inputs!$C$55)))&gt;inputs!$C$57, inputs!$C$57, (F72*0.62*1/(0.012*(10^inputs!$C$55))))</f>
        <v>6.6595435206035471E-5</v>
      </c>
      <c r="R72" s="3">
        <f>IF((B72&gt;B71), (EXP(-LN(2)/inputs!$C$51)*R71+$R$3), (EXP(-LN(2)/inputs!$C$51)*R71))</f>
        <v>1.5473077229909716E-10</v>
      </c>
      <c r="T72" s="7">
        <f>IF(T71&lt;(inputs!$C$9-1),(1+T71),0)</f>
        <v>0</v>
      </c>
      <c r="U72" s="7">
        <f>IF(inputs!$C$8&gt;U71,IF(T71=(inputs!$C$9-1),(U71+1),U71), U71)</f>
        <v>1</v>
      </c>
      <c r="V72" s="7">
        <f t="shared" si="2"/>
        <v>69</v>
      </c>
      <c r="W72" s="8">
        <f>IF((U72&gt;U71), (EXP(-LN(2)/inputs!$C$51)*W71+$W$3), (EXP(-LN(2)/inputs!$C$51)*W71))</f>
        <v>5.1205802307222239E-3</v>
      </c>
      <c r="X72" s="8">
        <f>IF((U72&gt;U71), (EXP(-LN(2)/inputs!$C$51)*X71+$X$3), (EXP(-LN(2)/inputs!$C$51)*X71))</f>
        <v>2.1687163330117647E-3</v>
      </c>
      <c r="Y72" s="8">
        <f>IF((U72&gt;U71), (EXP(-LN(2)/inputs!$C$51)*Y71+$Y$3), (EXP(-LN(2)/inputs!$C$51)*Y71))</f>
        <v>2.7108954162647094E-3</v>
      </c>
      <c r="Z72" s="8">
        <f>IF((U72&gt;U71), (EXP(-LN(2)/inputs!$C$51)*Z71+$Z$3), (EXP(-LN(2)/inputs!$C$51)*Z71))</f>
        <v>4.2169484253006532E-4</v>
      </c>
      <c r="AA72" s="8">
        <f>IF((U72&gt;U71), (EXP(-LN(2)/inputs!$C$51)*AA71+$AA$3), (EXP(-LN(2)/inputs!$C$51)*AA71))</f>
        <v>3.9157378234934634E-3</v>
      </c>
      <c r="AB72" s="7">
        <f>(((0.621*15^0.564)/0.2))*W72/15+AB71*inputs!$C$53</f>
        <v>5.5100753374279438E-3</v>
      </c>
      <c r="AC72" s="7">
        <f>(((0.621*1000^0.564)/0.2))*W72/1000+AC71*inputs!$C$53</f>
        <v>8.8294433774204547E-4</v>
      </c>
      <c r="AD72" s="7">
        <f>(((0.648*20^0.651)/0.2))*AA72/20+AD71*inputs!$C$54</f>
        <v>5.8982060098713672E-3</v>
      </c>
      <c r="AE72" s="7">
        <f>(((0.013*2^0.773)/0.2))*AA72/2+AE71*inputs!$C$54</f>
        <v>2.8761659680454543E-4</v>
      </c>
    </row>
    <row r="73" spans="1:31" x14ac:dyDescent="0.3">
      <c r="A73" s="7">
        <f>IF(A72&lt;(inputs!$C$9-1),(1+A72),0)</f>
        <v>0</v>
      </c>
      <c r="B73" s="7">
        <f>IF(inputs!$C$8&gt;B72,IF(A72=(inputs!$C$9-1),(B72+1),B72), B72)</f>
        <v>1</v>
      </c>
      <c r="C73" s="7">
        <f t="shared" si="3"/>
        <v>70</v>
      </c>
      <c r="D73" s="8">
        <f>IF((B73&gt;B72), (EXP(-LN(2)/inputs!$C$51)*D72+$D$3), (EXP(-LN(2)/inputs!$C$51)*D72))</f>
        <v>1.2685669098699092E-2</v>
      </c>
      <c r="E73" s="8">
        <f>IF((B73&gt;B72), (EXP(-LN(2)/inputs!$C$51)*E72+$E$3), (EXP(-LN(2)/inputs!$C$51)*E72))</f>
        <v>5.8142650035704173E-3</v>
      </c>
      <c r="F73" s="8">
        <f>IF((B73&gt;B72), (EXP(-LN(2)/inputs!$C$51)*F72+$F$3), (EXP(-LN(2)/inputs!$C$51)*F72))</f>
        <v>7.1356888680182418E-3</v>
      </c>
      <c r="G73" s="8">
        <f>IF((B73&gt;B72), (EXP(-LN(2)/inputs!$C$51)*G72+$G$3), (EXP(-LN(2)/inputs!$C$51)*G72))</f>
        <v>7.9285431866869328E-4</v>
      </c>
      <c r="H73" s="8">
        <f>IF((B73&gt;B72), (EXP(-LN(2)/inputs!$C$51)*H72+$H$3), (EXP(-LN(2)/inputs!$C$51)*H72))</f>
        <v>4.9685537303238124E-3</v>
      </c>
      <c r="I73" s="7">
        <f>O73*(10^inputs!$C$55)*0.01/1</f>
        <v>2.2747271914914227</v>
      </c>
      <c r="J73" s="7">
        <f>(((0.621*15^0.564)/0.2))*D73/15+J72*inputs!$C$53</f>
        <v>1.3650599988676447E-2</v>
      </c>
      <c r="K73" s="7">
        <f>(((0.621*1000^0.564)/0.2))*D73/1000+K72*inputs!$C$53</f>
        <v>2.1873965832941967E-3</v>
      </c>
      <c r="L73" s="7">
        <f>(((0.648*20^0.651)/0.2))*H73/20+L72*inputs!$C$54</f>
        <v>7.4840438235518726E-3</v>
      </c>
      <c r="M73" s="7">
        <f>(((0.013*2^0.773)/0.2))*H73/2+M72*inputs!$C$54</f>
        <v>3.6494744525090127E-4</v>
      </c>
      <c r="N73" s="7">
        <f>O73*0.015*inputs!$C$56</f>
        <v>0.33420200667443711</v>
      </c>
      <c r="O73" s="7">
        <f>IF((B73&gt;B72), (EXP(-LN(2)/inputs!$C$52)*O72+$O$3), (EXP(-LN(2)/inputs!$C$52)*O72))</f>
        <v>3.6051996405009404E-2</v>
      </c>
      <c r="P73" s="3">
        <f>IF((B73&gt;B72), (EXP(-LN(2)/inputs!$C$52)*P72+$P$3), (EXP(-LN(2)/inputs!$C$52)*P72))</f>
        <v>3.4837221552049984E-2</v>
      </c>
      <c r="Q73" s="19">
        <f>IF((F73*0.62*1/(0.012*(10^inputs!$C$55)))&gt;inputs!$C$57, inputs!$C$57, (F73*0.62*1/(0.012*(10^inputs!$C$55))))</f>
        <v>5.8431407670620349E-5</v>
      </c>
      <c r="R73" s="3">
        <f>IF((B73&gt;B72), (EXP(-LN(2)/inputs!$C$51)*R72+$R$3), (EXP(-LN(2)/inputs!$C$51)*R72))</f>
        <v>1.3576211053245114E-10</v>
      </c>
      <c r="T73" s="7">
        <f>IF(T72&lt;(inputs!$C$9-1),(1+T72),0)</f>
        <v>0</v>
      </c>
      <c r="U73" s="7">
        <f>IF(inputs!$C$8&gt;U72,IF(T72=(inputs!$C$9-1),(U72+1),U72), U72)</f>
        <v>1</v>
      </c>
      <c r="V73" s="7">
        <f t="shared" si="2"/>
        <v>70</v>
      </c>
      <c r="W73" s="8">
        <f>IF((U73&gt;U72), (EXP(-LN(2)/inputs!$C$51)*W72+$W$3), (EXP(-LN(2)/inputs!$C$51)*W72))</f>
        <v>4.4928411391225963E-3</v>
      </c>
      <c r="X73" s="8">
        <f>IF((U73&gt;U72), (EXP(-LN(2)/inputs!$C$51)*X72+$X$3), (EXP(-LN(2)/inputs!$C$51)*X72))</f>
        <v>1.9028503648048636E-3</v>
      </c>
      <c r="Y73" s="8">
        <f>IF((U73&gt;U72), (EXP(-LN(2)/inputs!$C$51)*Y72+$Y$3), (EXP(-LN(2)/inputs!$C$51)*Y72))</f>
        <v>2.3785629560060828E-3</v>
      </c>
      <c r="Z73" s="8">
        <f>IF((U73&gt;U72), (EXP(-LN(2)/inputs!$C$51)*Z72+$Z$3), (EXP(-LN(2)/inputs!$C$51)*Z72))</f>
        <v>3.6999868204539013E-4</v>
      </c>
      <c r="AA73" s="8">
        <f>IF((U73&gt;U72), (EXP(-LN(2)/inputs!$C$51)*AA72+$AA$3), (EXP(-LN(2)/inputs!$C$51)*AA72))</f>
        <v>3.4357020475643367E-3</v>
      </c>
      <c r="AB73" s="7">
        <f>(((0.621*15^0.564)/0.2))*W73/15+AB72*inputs!$C$53</f>
        <v>4.8345874959895771E-3</v>
      </c>
      <c r="AC73" s="7">
        <f>(((0.621*1000^0.564)/0.2))*W73/1000+AC72*inputs!$C$53</f>
        <v>7.747029565833614E-4</v>
      </c>
      <c r="AD73" s="7">
        <f>(((0.648*20^0.651)/0.2))*AA73/20+AD72*inputs!$C$54</f>
        <v>5.1751366864986326E-3</v>
      </c>
      <c r="AE73" s="7">
        <f>(((0.013*2^0.773)/0.2))*AA73/2+AE72*inputs!$C$54</f>
        <v>2.5235727597136776E-4</v>
      </c>
    </row>
    <row r="74" spans="1:31" x14ac:dyDescent="0.3">
      <c r="A74" s="7">
        <f>IF(A73&lt;(inputs!$C$9-1),(1+A73),0)</f>
        <v>0</v>
      </c>
      <c r="B74" s="7">
        <f>IF(inputs!$C$8&gt;B73,IF(A73=(inputs!$C$9-1),(B73+1),B73), B73)</f>
        <v>1</v>
      </c>
      <c r="C74" s="7">
        <f t="shared" si="3"/>
        <v>71</v>
      </c>
      <c r="D74" s="8">
        <f>IF((B74&gt;B73), (EXP(-LN(2)/inputs!$C$51)*D73+$D$3), (EXP(-LN(2)/inputs!$C$51)*D73))</f>
        <v>1.1130515183021128E-2</v>
      </c>
      <c r="E74" s="8">
        <f>IF((B74&gt;B73), (EXP(-LN(2)/inputs!$C$51)*E73+$E$3), (EXP(-LN(2)/inputs!$C$51)*E73))</f>
        <v>5.1014861255513503E-3</v>
      </c>
      <c r="F74" s="8">
        <f>IF((B74&gt;B73), (EXP(-LN(2)/inputs!$C$51)*F73+$F$3), (EXP(-LN(2)/inputs!$C$51)*F73))</f>
        <v>6.2609147904493867E-3</v>
      </c>
      <c r="G74" s="8">
        <f>IF((B74&gt;B73), (EXP(-LN(2)/inputs!$C$51)*G73+$G$3), (EXP(-LN(2)/inputs!$C$51)*G73))</f>
        <v>6.9565719893882052E-4</v>
      </c>
      <c r="H74" s="8">
        <f>IF((B74&gt;B73), (EXP(-LN(2)/inputs!$C$51)*H73+$H$3), (EXP(-LN(2)/inputs!$C$51)*H73))</f>
        <v>4.3594517800166098E-3</v>
      </c>
      <c r="I74" s="7">
        <f>O74*(10^inputs!$C$55)*0.01/1</f>
        <v>2.2288225635045409</v>
      </c>
      <c r="J74" s="7">
        <f>(((0.621*15^0.564)/0.2))*D74/15+J73*inputs!$C$53</f>
        <v>1.1977153845743339E-2</v>
      </c>
      <c r="K74" s="7">
        <f>(((0.621*1000^0.564)/0.2))*D74/1000+K73*inputs!$C$53</f>
        <v>1.9192405770809009E-3</v>
      </c>
      <c r="L74" s="7">
        <f>(((0.648*20^0.651)/0.2))*H74/20+L73*inputs!$C$54</f>
        <v>6.5665644248108371E-3</v>
      </c>
      <c r="M74" s="7">
        <f>(((0.013*2^0.773)/0.2))*H74/2+M73*inputs!$C$54</f>
        <v>3.2020802755973585E-4</v>
      </c>
      <c r="N74" s="7">
        <f>O74*0.015*inputs!$C$56</f>
        <v>0.32745771714106203</v>
      </c>
      <c r="O74" s="7">
        <f>IF((B74&gt;B73), (EXP(-LN(2)/inputs!$C$52)*O73+$O$3), (EXP(-LN(2)/inputs!$C$52)*O73))</f>
        <v>3.5324457081020715E-2</v>
      </c>
      <c r="P74" s="3">
        <f>IF((B74&gt;B73), (EXP(-LN(2)/inputs!$C$52)*P73+$P$3), (EXP(-LN(2)/inputs!$C$52)*P73))</f>
        <v>3.4134196722775872E-2</v>
      </c>
      <c r="Q74" s="19">
        <f>IF((F74*0.62*1/(0.012*(10^inputs!$C$55)))&gt;inputs!$C$57, inputs!$C$57, (F74*0.62*1/(0.012*(10^inputs!$C$55))))</f>
        <v>5.1268219688138657E-5</v>
      </c>
      <c r="R74" s="3">
        <f>IF((B74&gt;B73), (EXP(-LN(2)/inputs!$C$51)*R73+$R$3), (EXP(-LN(2)/inputs!$C$51)*R73))</f>
        <v>1.1911884353939223E-10</v>
      </c>
      <c r="T74" s="7">
        <f>IF(T73&lt;(inputs!$C$9-1),(1+T73),0)</f>
        <v>0</v>
      </c>
      <c r="U74" s="7">
        <f>IF(inputs!$C$8&gt;U73,IF(T73=(inputs!$C$9-1),(U73+1),U73), U73)</f>
        <v>1</v>
      </c>
      <c r="V74" s="7">
        <f t="shared" si="2"/>
        <v>71</v>
      </c>
      <c r="W74" s="8">
        <f>IF((U74&gt;U73), (EXP(-LN(2)/inputs!$C$51)*W73+$W$3), (EXP(-LN(2)/inputs!$C$51)*W73))</f>
        <v>3.9420574606533173E-3</v>
      </c>
      <c r="X74" s="8">
        <f>IF((U74&gt;U73), (EXP(-LN(2)/inputs!$C$51)*X73+$X$3), (EXP(-LN(2)/inputs!$C$51)*X73))</f>
        <v>1.6695772774531692E-3</v>
      </c>
      <c r="Y74" s="8">
        <f>IF((U74&gt;U73), (EXP(-LN(2)/inputs!$C$51)*Y73+$Y$3), (EXP(-LN(2)/inputs!$C$51)*Y73))</f>
        <v>2.0869715968164643E-3</v>
      </c>
      <c r="Z74" s="8">
        <f>IF((U74&gt;U73), (EXP(-LN(2)/inputs!$C$51)*Z73+$Z$3), (EXP(-LN(2)/inputs!$C$51)*Z73))</f>
        <v>3.2464002617144951E-4</v>
      </c>
      <c r="AA74" s="8">
        <f>IF((U74&gt;U73), (EXP(-LN(2)/inputs!$C$51)*AA73+$AA$3), (EXP(-LN(2)/inputs!$C$51)*AA73))</f>
        <v>3.0145145287348882E-3</v>
      </c>
      <c r="AB74" s="7">
        <f>(((0.621*15^0.564)/0.2))*W74/15+AB73*inputs!$C$53</f>
        <v>4.2419086537007671E-3</v>
      </c>
      <c r="AC74" s="7">
        <f>(((0.621*1000^0.564)/0.2))*W74/1000+AC73*inputs!$C$53</f>
        <v>6.7973103771615251E-4</v>
      </c>
      <c r="AD74" s="7">
        <f>(((0.648*20^0.651)/0.2))*AA74/20+AD73*inputs!$C$54</f>
        <v>4.540709442688343E-3</v>
      </c>
      <c r="AE74" s="7">
        <f>(((0.013*2^0.773)/0.2))*AA74/2+AE73*inputs!$C$54</f>
        <v>2.2142044458917893E-4</v>
      </c>
    </row>
    <row r="75" spans="1:31" x14ac:dyDescent="0.3">
      <c r="A75" s="7">
        <f>IF(A74&lt;(inputs!$C$9-1),(1+A74),0)</f>
        <v>0</v>
      </c>
      <c r="B75" s="7">
        <f>IF(inputs!$C$8&gt;B74,IF(A74=(inputs!$C$9-1),(B74+1),B74), B74)</f>
        <v>1</v>
      </c>
      <c r="C75" s="7">
        <f t="shared" si="3"/>
        <v>72</v>
      </c>
      <c r="D75" s="8">
        <f>IF((B75&gt;B74), (EXP(-LN(2)/inputs!$C$51)*D74+$D$3), (EXP(-LN(2)/inputs!$C$51)*D74))</f>
        <v>9.7660097607439999E-3</v>
      </c>
      <c r="E75" s="8">
        <f>IF((B75&gt;B74), (EXP(-LN(2)/inputs!$C$51)*E74+$E$3), (EXP(-LN(2)/inputs!$C$51)*E74))</f>
        <v>4.4760878070076657E-3</v>
      </c>
      <c r="F75" s="8">
        <f>IF((B75&gt;B74), (EXP(-LN(2)/inputs!$C$51)*F74+$F$3), (EXP(-LN(2)/inputs!$C$51)*F74))</f>
        <v>5.4933804904185009E-3</v>
      </c>
      <c r="G75" s="8">
        <f>IF((B75&gt;B74), (EXP(-LN(2)/inputs!$C$51)*G74+$G$3), (EXP(-LN(2)/inputs!$C$51)*G74))</f>
        <v>6.1037561004649999E-4</v>
      </c>
      <c r="H75" s="8">
        <f>IF((B75&gt;B74), (EXP(-LN(2)/inputs!$C$51)*H74+$H$3), (EXP(-LN(2)/inputs!$C$51)*H74))</f>
        <v>3.8250204896247341E-3</v>
      </c>
      <c r="I75" s="7">
        <f>O75*(10^inputs!$C$55)*0.01/1</f>
        <v>2.1838443036898498</v>
      </c>
      <c r="J75" s="7">
        <f>(((0.621*15^0.564)/0.2))*D75/15+J74*inputs!$C$53</f>
        <v>1.0508857805781582E-2</v>
      </c>
      <c r="K75" s="7">
        <f>(((0.621*1000^0.564)/0.2))*D75/1000+K74*inputs!$C$53</f>
        <v>1.6839581906846264E-3</v>
      </c>
      <c r="L75" s="7">
        <f>(((0.648*20^0.651)/0.2))*H75/20+L74*inputs!$C$54</f>
        <v>5.7615601086535269E-3</v>
      </c>
      <c r="M75" s="7">
        <f>(((0.013*2^0.773)/0.2))*H75/2+M74*inputs!$C$54</f>
        <v>2.8095327765126571E-4</v>
      </c>
      <c r="N75" s="7">
        <f>O75*0.015*inputs!$C$56</f>
        <v>0.32084952924801696</v>
      </c>
      <c r="O75" s="7">
        <f>IF((B75&gt;B74), (EXP(-LN(2)/inputs!$C$52)*O74+$O$3), (EXP(-LN(2)/inputs!$C$52)*O74))</f>
        <v>3.46115997031302E-2</v>
      </c>
      <c r="P75" s="3">
        <f>IF((B75&gt;B74), (EXP(-LN(2)/inputs!$C$52)*P74+$P$3), (EXP(-LN(2)/inputs!$C$52)*P74))</f>
        <v>3.3445359130271989E-2</v>
      </c>
      <c r="Q75" s="19">
        <f>IF((F75*0.62*1/(0.012*(10^inputs!$C$55)))&gt;inputs!$C$57, inputs!$C$57, (F75*0.62*1/(0.012*(10^inputs!$C$55))))</f>
        <v>4.4983176938125324E-5</v>
      </c>
      <c r="R75" s="3">
        <f>IF((B75&gt;B74), (EXP(-LN(2)/inputs!$C$51)*R74+$R$3), (EXP(-LN(2)/inputs!$C$51)*R74))</f>
        <v>1.045158979225691E-10</v>
      </c>
      <c r="T75" s="7">
        <f>IF(T74&lt;(inputs!$C$9-1),(1+T74),0)</f>
        <v>0</v>
      </c>
      <c r="U75" s="7">
        <f>IF(inputs!$C$8&gt;U74,IF(T74=(inputs!$C$9-1),(U74+1),U74), U74)</f>
        <v>1</v>
      </c>
      <c r="V75" s="7">
        <f t="shared" si="2"/>
        <v>72</v>
      </c>
      <c r="W75" s="8">
        <f>IF((U75&gt;U74), (EXP(-LN(2)/inputs!$C$51)*W74+$W$3), (EXP(-LN(2)/inputs!$C$51)*W74))</f>
        <v>3.4587951235968339E-3</v>
      </c>
      <c r="X75" s="8">
        <f>IF((U75&gt;U74), (EXP(-LN(2)/inputs!$C$51)*X74+$X$3), (EXP(-LN(2)/inputs!$C$51)*X74))</f>
        <v>1.4649014641115999E-3</v>
      </c>
      <c r="Y75" s="8">
        <f>IF((U75&gt;U74), (EXP(-LN(2)/inputs!$C$51)*Y74+$Y$3), (EXP(-LN(2)/inputs!$C$51)*Y74))</f>
        <v>1.8311268301395023E-3</v>
      </c>
      <c r="Z75" s="8">
        <f>IF((U75&gt;U74), (EXP(-LN(2)/inputs!$C$51)*Z74+$Z$3), (EXP(-LN(2)/inputs!$C$51)*Z74))</f>
        <v>2.8484195135503325E-4</v>
      </c>
      <c r="AA75" s="8">
        <f>IF((U75&gt;U74), (EXP(-LN(2)/inputs!$C$51)*AA74+$AA$3), (EXP(-LN(2)/inputs!$C$51)*AA74))</f>
        <v>2.6449609768681658E-3</v>
      </c>
      <c r="AB75" s="7">
        <f>(((0.621*15^0.564)/0.2))*W75/15+AB74*inputs!$C$53</f>
        <v>3.7218871395476435E-3</v>
      </c>
      <c r="AC75" s="7">
        <f>(((0.621*1000^0.564)/0.2))*W75/1000+AC74*inputs!$C$53</f>
        <v>5.9640185920080521E-4</v>
      </c>
      <c r="AD75" s="7">
        <f>(((0.648*20^0.651)/0.2))*AA75/20+AD74*inputs!$C$54</f>
        <v>3.9840575219412663E-3</v>
      </c>
      <c r="AE75" s="7">
        <f>(((0.013*2^0.773)/0.2))*AA75/2+AE74*inputs!$C$54</f>
        <v>1.9427620263119428E-4</v>
      </c>
    </row>
    <row r="76" spans="1:31" x14ac:dyDescent="0.3">
      <c r="A76" s="7">
        <f>IF(A75&lt;(inputs!$C$9-1),(1+A75),0)</f>
        <v>0</v>
      </c>
      <c r="B76" s="7">
        <f>IF(inputs!$C$8&gt;B75,IF(A75=(inputs!$C$9-1),(B75+1),B75), B75)</f>
        <v>1</v>
      </c>
      <c r="C76" s="7">
        <f t="shared" si="3"/>
        <v>73</v>
      </c>
      <c r="D76" s="8">
        <f>IF((B76&gt;B75), (EXP(-LN(2)/inputs!$C$51)*D75+$D$3), (EXP(-LN(2)/inputs!$C$51)*D75))</f>
        <v>8.5687809664403772E-3</v>
      </c>
      <c r="E76" s="8">
        <f>IF((B76&gt;B75), (EXP(-LN(2)/inputs!$C$51)*E75+$E$3), (EXP(-LN(2)/inputs!$C$51)*E75))</f>
        <v>3.9273579429518384E-3</v>
      </c>
      <c r="F76" s="8">
        <f>IF((B76&gt;B75), (EXP(-LN(2)/inputs!$C$51)*F75+$F$3), (EXP(-LN(2)/inputs!$C$51)*F75))</f>
        <v>4.8199392936227126E-3</v>
      </c>
      <c r="G76" s="8">
        <f>IF((B76&gt;B75), (EXP(-LN(2)/inputs!$C$51)*G75+$G$3), (EXP(-LN(2)/inputs!$C$51)*G75))</f>
        <v>5.3554881040252357E-4</v>
      </c>
      <c r="H76" s="8">
        <f>IF((B76&gt;B75), (EXP(-LN(2)/inputs!$C$51)*H75+$H$3), (EXP(-LN(2)/inputs!$C$51)*H75))</f>
        <v>3.3561058785224816E-3</v>
      </c>
      <c r="I76" s="7">
        <f>O76*(10^inputs!$C$55)*0.01/1</f>
        <v>2.1397737176797418</v>
      </c>
      <c r="J76" s="7">
        <f>(((0.621*15^0.564)/0.2))*D76/15+J75*inputs!$C$53</f>
        <v>9.2205622307661404E-3</v>
      </c>
      <c r="K76" s="7">
        <f>(((0.621*1000^0.564)/0.2))*D76/1000+K75*inputs!$C$53</f>
        <v>1.4775194010783507E-3</v>
      </c>
      <c r="L76" s="7">
        <f>(((0.648*20^0.651)/0.2))*H76/20+L75*inputs!$C$54</f>
        <v>5.0552423974099519E-3</v>
      </c>
      <c r="M76" s="7">
        <f>(((0.013*2^0.773)/0.2))*H76/2+M75*inputs!$C$54</f>
        <v>2.4651082243171954E-4</v>
      </c>
      <c r="N76" s="7">
        <f>O76*0.015*inputs!$C$56</f>
        <v>0.31437469642631061</v>
      </c>
      <c r="O76" s="7">
        <f>IF((B76&gt;B75), (EXP(-LN(2)/inputs!$C$52)*O75+$O$3), (EXP(-LN(2)/inputs!$C$52)*O75))</f>
        <v>3.391312798557828E-2</v>
      </c>
      <c r="P76" s="3">
        <f>IF((B76&gt;B75), (EXP(-LN(2)/inputs!$C$52)*P75+$P$3), (EXP(-LN(2)/inputs!$C$52)*P75))</f>
        <v>3.2770422472150722E-2</v>
      </c>
      <c r="Q76" s="19">
        <f>IF((F76*0.62*1/(0.012*(10^inputs!$C$55)))&gt;inputs!$C$57, inputs!$C$57, (F76*0.62*1/(0.012*(10^inputs!$C$55))))</f>
        <v>3.9468626368448701E-5</v>
      </c>
      <c r="R76" s="3">
        <f>IF((B76&gt;B75), (EXP(-LN(2)/inputs!$C$51)*R75+$R$3), (EXP(-LN(2)/inputs!$C$51)*R75))</f>
        <v>9.1703147831085957E-11</v>
      </c>
      <c r="T76" s="7">
        <f>IF(T75&lt;(inputs!$C$9-1),(1+T75),0)</f>
        <v>0</v>
      </c>
      <c r="U76" s="7">
        <f>IF(inputs!$C$8&gt;U75,IF(T75=(inputs!$C$9-1),(U75+1),U75), U75)</f>
        <v>1</v>
      </c>
      <c r="V76" s="7">
        <f t="shared" si="2"/>
        <v>73</v>
      </c>
      <c r="W76" s="8">
        <f>IF((U76&gt;U75), (EXP(-LN(2)/inputs!$C$51)*W75+$W$3), (EXP(-LN(2)/inputs!$C$51)*W75))</f>
        <v>3.0347765922809672E-3</v>
      </c>
      <c r="X76" s="8">
        <f>IF((U76&gt;U75), (EXP(-LN(2)/inputs!$C$51)*X75+$X$3), (EXP(-LN(2)/inputs!$C$51)*X75))</f>
        <v>1.2853171449660563E-3</v>
      </c>
      <c r="Y76" s="8">
        <f>IF((U76&gt;U75), (EXP(-LN(2)/inputs!$C$51)*Y75+$Y$3), (EXP(-LN(2)/inputs!$C$51)*Y75))</f>
        <v>1.6066464312075727E-3</v>
      </c>
      <c r="Z76" s="8">
        <f>IF((U76&gt;U75), (EXP(-LN(2)/inputs!$C$51)*Z75+$Z$3), (EXP(-LN(2)/inputs!$C$51)*Z75))</f>
        <v>2.4992277818784427E-4</v>
      </c>
      <c r="AA76" s="8">
        <f>IF((U76&gt;U75), (EXP(-LN(2)/inputs!$C$51)*AA75+$AA$3), (EXP(-LN(2)/inputs!$C$51)*AA75))</f>
        <v>2.3207115117442681E-3</v>
      </c>
      <c r="AB76" s="7">
        <f>(((0.621*15^0.564)/0.2))*W76/15+AB75*inputs!$C$53</f>
        <v>3.265615790063008E-3</v>
      </c>
      <c r="AC76" s="7">
        <f>(((0.621*1000^0.564)/0.2))*W76/1000+AC75*inputs!$C$53</f>
        <v>5.2328812121524922E-4</v>
      </c>
      <c r="AD76" s="7">
        <f>(((0.648*20^0.651)/0.2))*AA76/20+AD75*inputs!$C$54</f>
        <v>3.4956463386345399E-3</v>
      </c>
      <c r="AE76" s="7">
        <f>(((0.013*2^0.773)/0.2))*AA76/2+AE75*inputs!$C$54</f>
        <v>1.704596112559762E-4</v>
      </c>
    </row>
    <row r="77" spans="1:31" x14ac:dyDescent="0.3">
      <c r="A77" s="7">
        <f>IF(A76&lt;(inputs!$C$9-1),(1+A76),0)</f>
        <v>0</v>
      </c>
      <c r="B77" s="7">
        <f>IF(inputs!$C$8&gt;B76,IF(A76=(inputs!$C$9-1),(B76+1),B76), B76)</f>
        <v>1</v>
      </c>
      <c r="C77" s="7">
        <f t="shared" si="3"/>
        <v>74</v>
      </c>
      <c r="D77" s="8">
        <f>IF((B77&gt;B76), (EXP(-LN(2)/inputs!$C$51)*D76+$D$3), (EXP(-LN(2)/inputs!$C$51)*D76))</f>
        <v>7.5183221243511483E-3</v>
      </c>
      <c r="E77" s="8">
        <f>IF((B77&gt;B76), (EXP(-LN(2)/inputs!$C$51)*E76+$E$3), (EXP(-LN(2)/inputs!$C$51)*E76))</f>
        <v>3.4458976403276089E-3</v>
      </c>
      <c r="F77" s="8">
        <f>IF((B77&gt;B76), (EXP(-LN(2)/inputs!$C$51)*F76+$F$3), (EXP(-LN(2)/inputs!$C$51)*F76))</f>
        <v>4.2290561949475218E-3</v>
      </c>
      <c r="G77" s="8">
        <f>IF((B77&gt;B76), (EXP(-LN(2)/inputs!$C$51)*G76+$G$3), (EXP(-LN(2)/inputs!$C$51)*G76))</f>
        <v>4.6989513277194677E-4</v>
      </c>
      <c r="H77" s="8">
        <f>IF((B77&gt;B76), (EXP(-LN(2)/inputs!$C$51)*H76+$H$3), (EXP(-LN(2)/inputs!$C$51)*H76))</f>
        <v>2.944676165370867E-3</v>
      </c>
      <c r="I77" s="7">
        <f>O77*(10^inputs!$C$55)*0.01/1</f>
        <v>2.0965924883641529</v>
      </c>
      <c r="J77" s="7">
        <f>(((0.621*15^0.564)/0.2))*D77/15+J76*inputs!$C$53</f>
        <v>8.0902006119691616E-3</v>
      </c>
      <c r="K77" s="7">
        <f>(((0.621*1000^0.564)/0.2))*D77/1000+K76*inputs!$C$53</f>
        <v>1.2963882313939078E-3</v>
      </c>
      <c r="L77" s="7">
        <f>(((0.648*20^0.651)/0.2))*H77/20+L76*inputs!$C$54</f>
        <v>4.4355131621708309E-3</v>
      </c>
      <c r="M77" s="7">
        <f>(((0.013*2^0.773)/0.2))*H77/2+M76*inputs!$C$54</f>
        <v>2.1629071596520314E-4</v>
      </c>
      <c r="N77" s="7">
        <f>O77*0.015*inputs!$C$56</f>
        <v>0.3080305275334787</v>
      </c>
      <c r="O77" s="7">
        <f>IF((B77&gt;B76), (EXP(-LN(2)/inputs!$C$52)*O76+$O$3), (EXP(-LN(2)/inputs!$C$52)*O76))</f>
        <v>3.3228751621734491E-2</v>
      </c>
      <c r="P77" s="3">
        <f>IF((B77&gt;B76), (EXP(-LN(2)/inputs!$C$52)*P76+$P$3), (EXP(-LN(2)/inputs!$C$52)*P76))</f>
        <v>3.2109106223686339E-2</v>
      </c>
      <c r="Q77" s="19">
        <f>IF((F77*0.62*1/(0.012*(10^inputs!$C$55)))&gt;inputs!$C$57, inputs!$C$57, (F77*0.62*1/(0.012*(10^inputs!$C$55))))</f>
        <v>3.4630112265190402E-5</v>
      </c>
      <c r="R77" s="3">
        <f>IF((B77&gt;B76), (EXP(-LN(2)/inputs!$C$51)*R76+$R$3), (EXP(-LN(2)/inputs!$C$51)*R76))</f>
        <v>8.0461130691908541E-11</v>
      </c>
      <c r="T77" s="7">
        <f>IF(T76&lt;(inputs!$C$9-1),(1+T76),0)</f>
        <v>0</v>
      </c>
      <c r="U77" s="7">
        <f>IF(inputs!$C$8&gt;U76,IF(T76=(inputs!$C$9-1),(U76+1),U76), U76)</f>
        <v>1</v>
      </c>
      <c r="V77" s="7">
        <f t="shared" si="2"/>
        <v>74</v>
      </c>
      <c r="W77" s="8">
        <f>IF((U77&gt;U76), (EXP(-LN(2)/inputs!$C$51)*W76+$W$3), (EXP(-LN(2)/inputs!$C$51)*W76))</f>
        <v>2.6627390857076987E-3</v>
      </c>
      <c r="X77" s="8">
        <f>IF((U77&gt;U76), (EXP(-LN(2)/inputs!$C$51)*X76+$X$3), (EXP(-LN(2)/inputs!$C$51)*X76))</f>
        <v>1.127748318652672E-3</v>
      </c>
      <c r="Y77" s="8">
        <f>IF((U77&gt;U76), (EXP(-LN(2)/inputs!$C$51)*Y76+$Y$3), (EXP(-LN(2)/inputs!$C$51)*Y76))</f>
        <v>1.409685398315842E-3</v>
      </c>
      <c r="Z77" s="8">
        <f>IF((U77&gt;U76), (EXP(-LN(2)/inputs!$C$51)*Z76+$Z$3), (EXP(-LN(2)/inputs!$C$51)*Z76))</f>
        <v>2.1928439529357509E-4</v>
      </c>
      <c r="AA77" s="8">
        <f>IF((U77&gt;U76), (EXP(-LN(2)/inputs!$C$51)*AA76+$AA$3), (EXP(-LN(2)/inputs!$C$51)*AA76))</f>
        <v>2.0362122420117686E-3</v>
      </c>
      <c r="AB77" s="7">
        <f>(((0.621*15^0.564)/0.2))*W77/15+AB76*inputs!$C$53</f>
        <v>2.8652793834057452E-3</v>
      </c>
      <c r="AC77" s="7">
        <f>(((0.621*1000^0.564)/0.2))*W77/1000+AC76*inputs!$C$53</f>
        <v>4.5913749861867573E-4</v>
      </c>
      <c r="AD77" s="7">
        <f>(((0.648*20^0.651)/0.2))*AA77/20+AD76*inputs!$C$54</f>
        <v>3.0671101653308923E-3</v>
      </c>
      <c r="AE77" s="7">
        <f>(((0.013*2^0.773)/0.2))*AA77/2+AE76*inputs!$C$54</f>
        <v>1.4956272912487444E-4</v>
      </c>
    </row>
    <row r="78" spans="1:31" x14ac:dyDescent="0.3">
      <c r="A78" s="7">
        <f>IF(A77&lt;(inputs!$C$9-1),(1+A77),0)</f>
        <v>0</v>
      </c>
      <c r="B78" s="7">
        <f>IF(inputs!$C$8&gt;B77,IF(A77=(inputs!$C$9-1),(B77+1),B77), B77)</f>
        <v>1</v>
      </c>
      <c r="C78" s="7">
        <f t="shared" si="3"/>
        <v>75</v>
      </c>
      <c r="D78" s="8">
        <f>IF((B78&gt;B77), (EXP(-LN(2)/inputs!$C$51)*D77+$D$3), (EXP(-LN(2)/inputs!$C$51)*D77))</f>
        <v>6.5966405007770335E-3</v>
      </c>
      <c r="E78" s="8">
        <f>IF((B78&gt;B77), (EXP(-LN(2)/inputs!$C$51)*E77+$E$3), (EXP(-LN(2)/inputs!$C$51)*E77))</f>
        <v>3.0234602295228065E-3</v>
      </c>
      <c r="F78" s="8">
        <f>IF((B78&gt;B77), (EXP(-LN(2)/inputs!$C$51)*F77+$F$3), (EXP(-LN(2)/inputs!$C$51)*F77))</f>
        <v>3.7106102816870821E-3</v>
      </c>
      <c r="G78" s="8">
        <f>IF((B78&gt;B77), (EXP(-LN(2)/inputs!$C$51)*G77+$G$3), (EXP(-LN(2)/inputs!$C$51)*G77))</f>
        <v>4.122900312985646E-4</v>
      </c>
      <c r="H78" s="8">
        <f>IF((B78&gt;B77), (EXP(-LN(2)/inputs!$C$51)*H77+$H$3), (EXP(-LN(2)/inputs!$C$51)*H77))</f>
        <v>2.5836841961376722E-3</v>
      </c>
      <c r="I78" s="7">
        <f>O78*(10^inputs!$C$55)*0.01/1</f>
        <v>2.0542826682773998</v>
      </c>
      <c r="J78" s="7">
        <f>(((0.621*15^0.564)/0.2))*D78/15+J77*inputs!$C$53</f>
        <v>7.0984116048276842E-3</v>
      </c>
      <c r="K78" s="7">
        <f>(((0.621*1000^0.564)/0.2))*D78/1000+K77*inputs!$C$53</f>
        <v>1.1374621851124535E-3</v>
      </c>
      <c r="L78" s="7">
        <f>(((0.648*20^0.651)/0.2))*H78/20+L77*inputs!$C$54</f>
        <v>3.8917574005690649E-3</v>
      </c>
      <c r="M78" s="7">
        <f>(((0.013*2^0.773)/0.2))*H78/2+M77*inputs!$C$54</f>
        <v>1.8977533461314111E-4</v>
      </c>
      <c r="N78" s="7">
        <f>O78*0.015*inputs!$C$56</f>
        <v>0.30181438573506097</v>
      </c>
      <c r="O78" s="7">
        <f>IF((B78&gt;B77), (EXP(-LN(2)/inputs!$C$52)*O77+$O$3), (EXP(-LN(2)/inputs!$C$52)*O77))</f>
        <v>3.2558186163436996E-2</v>
      </c>
      <c r="P78" s="3">
        <f>IF((B78&gt;B77), (EXP(-LN(2)/inputs!$C$52)*P77+$P$3), (EXP(-LN(2)/inputs!$C$52)*P77))</f>
        <v>3.1461135521220165E-2</v>
      </c>
      <c r="Q78" s="19">
        <f>IF((F78*0.62*1/(0.012*(10^inputs!$C$55)))&gt;inputs!$C$57, inputs!$C$57, (F78*0.62*1/(0.012*(10^inputs!$C$55))))</f>
        <v>3.0384758372497337E-5</v>
      </c>
      <c r="R78" s="3">
        <f>IF((B78&gt;B77), (EXP(-LN(2)/inputs!$C$51)*R77+$R$3), (EXP(-LN(2)/inputs!$C$51)*R77))</f>
        <v>7.0597288155748589E-11</v>
      </c>
      <c r="T78" s="7">
        <f>IF(T77&lt;(inputs!$C$9-1),(1+T77),0)</f>
        <v>0</v>
      </c>
      <c r="U78" s="7">
        <f>IF(inputs!$C$8&gt;U77,IF(T77=(inputs!$C$9-1),(U77+1),U77), U77)</f>
        <v>1</v>
      </c>
      <c r="V78" s="7">
        <f t="shared" si="2"/>
        <v>75</v>
      </c>
      <c r="W78" s="8">
        <f>IF((U78&gt;U77), (EXP(-LN(2)/inputs!$C$51)*W77+$W$3), (EXP(-LN(2)/inputs!$C$51)*W77))</f>
        <v>2.3363101773585331E-3</v>
      </c>
      <c r="X78" s="8">
        <f>IF((U78&gt;U77), (EXP(-LN(2)/inputs!$C$51)*X77+$X$3), (EXP(-LN(2)/inputs!$C$51)*X77))</f>
        <v>9.8949607511655477E-4</v>
      </c>
      <c r="Y78" s="8">
        <f>IF((U78&gt;U77), (EXP(-LN(2)/inputs!$C$51)*Y77+$Y$3), (EXP(-LN(2)/inputs!$C$51)*Y77))</f>
        <v>1.2368700938956954E-3</v>
      </c>
      <c r="Z78" s="8">
        <f>IF((U78&gt;U77), (EXP(-LN(2)/inputs!$C$51)*Z77+$Z$3), (EXP(-LN(2)/inputs!$C$51)*Z77))</f>
        <v>1.9240201460599677E-4</v>
      </c>
      <c r="AA78" s="8">
        <f>IF((U78&gt;U77), (EXP(-LN(2)/inputs!$C$51)*AA77+$AA$3), (EXP(-LN(2)/inputs!$C$51)*AA77))</f>
        <v>1.7865901356271126E-3</v>
      </c>
      <c r="AB78" s="7">
        <f>(((0.621*15^0.564)/0.2))*W78/15+AB77*inputs!$C$53</f>
        <v>2.514020776709805E-3</v>
      </c>
      <c r="AC78" s="7">
        <f>(((0.621*1000^0.564)/0.2))*W78/1000+AC77*inputs!$C$53</f>
        <v>4.0285119056066075E-4</v>
      </c>
      <c r="AD78" s="7">
        <f>(((0.648*20^0.651)/0.2))*AA78/20+AD77*inputs!$C$54</f>
        <v>2.6911088408190327E-3</v>
      </c>
      <c r="AE78" s="7">
        <f>(((0.013*2^0.773)/0.2))*AA78/2+AE77*inputs!$C$54</f>
        <v>1.3122762499844854E-4</v>
      </c>
    </row>
    <row r="79" spans="1:31" x14ac:dyDescent="0.3">
      <c r="A79" s="7">
        <f>IF(A78&lt;(inputs!$C$9-1),(1+A78),0)</f>
        <v>0</v>
      </c>
      <c r="B79" s="7">
        <f>IF(inputs!$C$8&gt;B78,IF(A78=(inputs!$C$9-1),(B78+1),B78), B78)</f>
        <v>1</v>
      </c>
      <c r="C79" s="7">
        <f t="shared" si="3"/>
        <v>76</v>
      </c>
      <c r="D79" s="8">
        <f>IF((B79&gt;B78), (EXP(-LN(2)/inputs!$C$51)*D78+$D$3), (EXP(-LN(2)/inputs!$C$51)*D78))</f>
        <v>5.7879491164057294E-3</v>
      </c>
      <c r="E79" s="8">
        <f>IF((B79&gt;B78), (EXP(-LN(2)/inputs!$C$51)*E78+$E$3), (EXP(-LN(2)/inputs!$C$51)*E78))</f>
        <v>2.6528100116859589E-3</v>
      </c>
      <c r="F79" s="8">
        <f>IF((B79&gt;B78), (EXP(-LN(2)/inputs!$C$51)*F78+$F$3), (EXP(-LN(2)/inputs!$C$51)*F78))</f>
        <v>3.2557213779782234E-3</v>
      </c>
      <c r="G79" s="8">
        <f>IF((B79&gt;B78), (EXP(-LN(2)/inputs!$C$51)*G78+$G$3), (EXP(-LN(2)/inputs!$C$51)*G78))</f>
        <v>3.6174681977535809E-4</v>
      </c>
      <c r="H79" s="8">
        <f>IF((B79&gt;B78), (EXP(-LN(2)/inputs!$C$51)*H78+$H$3), (EXP(-LN(2)/inputs!$C$51)*H78))</f>
        <v>2.2669467372589112E-3</v>
      </c>
      <c r="I79" s="7">
        <f>O79*(10^inputs!$C$55)*0.01/1</f>
        <v>2.0128266721386519</v>
      </c>
      <c r="J79" s="7">
        <f>(((0.621*15^0.564)/0.2))*D79/15+J78*inputs!$C$53</f>
        <v>6.2282073990854959E-3</v>
      </c>
      <c r="K79" s="7">
        <f>(((0.621*1000^0.564)/0.2))*D79/1000+K78*inputs!$C$53</f>
        <v>9.9801910510222006E-4</v>
      </c>
      <c r="L79" s="7">
        <f>(((0.648*20^0.651)/0.2))*H79/20+L78*inputs!$C$54</f>
        <v>3.4146614182227865E-3</v>
      </c>
      <c r="M79" s="7">
        <f>(((0.013*2^0.773)/0.2))*H79/2+M78*inputs!$C$54</f>
        <v>1.6651051094270598E-4</v>
      </c>
      <c r="N79" s="7">
        <f>O79*0.015*inputs!$C$56</f>
        <v>0.2957236874086504</v>
      </c>
      <c r="O79" s="7">
        <f>IF((B79&gt;B78), (EXP(-LN(2)/inputs!$C$52)*O78+$O$3), (EXP(-LN(2)/inputs!$C$52)*O78))</f>
        <v>3.1901152902767037E-2</v>
      </c>
      <c r="P79" s="3">
        <f>IF((B79&gt;B78), (EXP(-LN(2)/inputs!$C$52)*P78+$P$3), (EXP(-LN(2)/inputs!$C$52)*P78))</f>
        <v>3.0826241047918691E-2</v>
      </c>
      <c r="Q79" s="19">
        <f>IF((F79*0.62*1/(0.012*(10^inputs!$C$55)))&gt;inputs!$C$57, inputs!$C$57, (F79*0.62*1/(0.012*(10^inputs!$C$55))))</f>
        <v>2.6659848350623617E-5</v>
      </c>
      <c r="R79" s="3">
        <f>IF((B79&gt;B78), (EXP(-LN(2)/inputs!$C$51)*R78+$R$3), (EXP(-LN(2)/inputs!$C$51)*R78))</f>
        <v>6.1942667870649332E-11</v>
      </c>
      <c r="T79" s="7">
        <f>IF(T78&lt;(inputs!$C$9-1),(1+T78),0)</f>
        <v>0</v>
      </c>
      <c r="U79" s="7">
        <f>IF(inputs!$C$8&gt;U78,IF(T78=(inputs!$C$9-1),(U78+1),U78), U78)</f>
        <v>1</v>
      </c>
      <c r="V79" s="7">
        <f t="shared" si="2"/>
        <v>76</v>
      </c>
      <c r="W79" s="8">
        <f>IF((U79&gt;U78), (EXP(-LN(2)/inputs!$C$51)*W78+$W$3), (EXP(-LN(2)/inputs!$C$51)*W78))</f>
        <v>2.049898645393696E-3</v>
      </c>
      <c r="X79" s="8">
        <f>IF((U79&gt;U78), (EXP(-LN(2)/inputs!$C$51)*X78+$X$3), (EXP(-LN(2)/inputs!$C$51)*X78))</f>
        <v>8.681923674608591E-4</v>
      </c>
      <c r="Y79" s="8">
        <f>IF((U79&gt;U78), (EXP(-LN(2)/inputs!$C$51)*Y78+$Y$3), (EXP(-LN(2)/inputs!$C$51)*Y78))</f>
        <v>1.0852404593260756E-3</v>
      </c>
      <c r="Z79" s="8">
        <f>IF((U79&gt;U78), (EXP(-LN(2)/inputs!$C$51)*Z78+$Z$3), (EXP(-LN(2)/inputs!$C$51)*Z78))</f>
        <v>1.6881518256183374E-4</v>
      </c>
      <c r="AA79" s="8">
        <f>IF((U79&gt;U78), (EXP(-LN(2)/inputs!$C$51)*AA78+$AA$3), (EXP(-LN(2)/inputs!$C$51)*AA78))</f>
        <v>1.5675695523598844E-3</v>
      </c>
      <c r="AB79" s="7">
        <f>(((0.621*15^0.564)/0.2))*W79/15+AB78*inputs!$C$53</f>
        <v>2.2058234538427802E-3</v>
      </c>
      <c r="AC79" s="7">
        <f>(((0.621*1000^0.564)/0.2))*W79/1000+AC78*inputs!$C$53</f>
        <v>3.53465099723703E-4</v>
      </c>
      <c r="AD79" s="7">
        <f>(((0.648*20^0.651)/0.2))*AA79/20+AD78*inputs!$C$54</f>
        <v>2.361202044515755E-3</v>
      </c>
      <c r="AE79" s="7">
        <f>(((0.013*2^0.773)/0.2))*AA79/2+AE78*inputs!$C$54</f>
        <v>1.1514024692846682E-4</v>
      </c>
    </row>
    <row r="80" spans="1:31" x14ac:dyDescent="0.3">
      <c r="A80" s="7">
        <f>IF(A79&lt;(inputs!$C$9-1),(1+A79),0)</f>
        <v>0</v>
      </c>
      <c r="B80" s="7">
        <f>IF(inputs!$C$8&gt;B79,IF(A79=(inputs!$C$9-1),(B79+1),B79), B79)</f>
        <v>1</v>
      </c>
      <c r="C80" s="7">
        <f t="shared" si="3"/>
        <v>77</v>
      </c>
      <c r="D80" s="8">
        <f>IF((B80&gt;B79), (EXP(-LN(2)/inputs!$C$51)*D79+$D$3), (EXP(-LN(2)/inputs!$C$51)*D79))</f>
        <v>5.0783963397968675E-3</v>
      </c>
      <c r="E80" s="8">
        <f>IF((B80&gt;B79), (EXP(-LN(2)/inputs!$C$51)*E79+$E$3), (EXP(-LN(2)/inputs!$C$51)*E79))</f>
        <v>2.3275983224068974E-3</v>
      </c>
      <c r="F80" s="8">
        <f>IF((B80&gt;B79), (EXP(-LN(2)/inputs!$C$51)*F79+$F$3), (EXP(-LN(2)/inputs!$C$51)*F79))</f>
        <v>2.8565979411357386E-3</v>
      </c>
      <c r="G80" s="8">
        <f>IF((B80&gt;B79), (EXP(-LN(2)/inputs!$C$51)*G79+$G$3), (EXP(-LN(2)/inputs!$C$51)*G79))</f>
        <v>3.1739977123730422E-4</v>
      </c>
      <c r="H80" s="8">
        <f>IF((B80&gt;B79), (EXP(-LN(2)/inputs!$C$51)*H79+$H$3), (EXP(-LN(2)/inputs!$C$51)*H79))</f>
        <v>1.9890385664204403E-3</v>
      </c>
      <c r="I80" s="7">
        <f>O80*(10^inputs!$C$55)*0.01/1</f>
        <v>1.9722072695429418</v>
      </c>
      <c r="J80" s="7">
        <f>(((0.621*15^0.564)/0.2))*D80/15+J79*inputs!$C$53</f>
        <v>5.4646827439030939E-3</v>
      </c>
      <c r="K80" s="7">
        <f>(((0.621*1000^0.564)/0.2))*D80/1000+K79*inputs!$C$53</f>
        <v>8.7567054728115122E-4</v>
      </c>
      <c r="L80" s="7">
        <f>(((0.648*20^0.651)/0.2))*H80/20+L79*inputs!$C$54</f>
        <v>2.996053299569573E-3</v>
      </c>
      <c r="M80" s="7">
        <f>(((0.013*2^0.773)/0.2))*H80/2+M79*inputs!$C$54</f>
        <v>1.4609775454181242E-4</v>
      </c>
      <c r="N80" s="7">
        <f>O80*0.015*inputs!$C$56</f>
        <v>0.28975590107005983</v>
      </c>
      <c r="O80" s="7">
        <f>IF((B80&gt;B79), (EXP(-LN(2)/inputs!$C$52)*O79+$O$3), (EXP(-LN(2)/inputs!$C$52)*O79))</f>
        <v>3.1257378756209257E-2</v>
      </c>
      <c r="P80" s="3">
        <f>IF((B80&gt;B79), (EXP(-LN(2)/inputs!$C$52)*P79+$P$3), (EXP(-LN(2)/inputs!$C$52)*P79))</f>
        <v>3.020415892183707E-2</v>
      </c>
      <c r="Q80" s="19">
        <f>IF((F80*0.62*1/(0.012*(10^inputs!$C$55)))&gt;inputs!$C$57, inputs!$C$57, (F80*0.62*1/(0.012*(10^inputs!$C$55))))</f>
        <v>2.3391580257606379E-5</v>
      </c>
      <c r="R80" s="3">
        <f>IF((B80&gt;B79), (EXP(-LN(2)/inputs!$C$51)*R79+$R$3), (EXP(-LN(2)/inputs!$C$51)*R79))</f>
        <v>5.4349029589759718E-11</v>
      </c>
      <c r="T80" s="7">
        <f>IF(T79&lt;(inputs!$C$9-1),(1+T79),0)</f>
        <v>0</v>
      </c>
      <c r="U80" s="7">
        <f>IF(inputs!$C$8&gt;U79,IF(T79=(inputs!$C$9-1),(U79+1),U79), U79)</f>
        <v>1</v>
      </c>
      <c r="V80" s="7">
        <f t="shared" si="2"/>
        <v>77</v>
      </c>
      <c r="W80" s="8">
        <f>IF((U80&gt;U79), (EXP(-LN(2)/inputs!$C$51)*W79+$W$3), (EXP(-LN(2)/inputs!$C$51)*W79))</f>
        <v>1.7985987036780574E-3</v>
      </c>
      <c r="X80" s="8">
        <f>IF((U80&gt;U79), (EXP(-LN(2)/inputs!$C$51)*X79+$X$3), (EXP(-LN(2)/inputs!$C$51)*X79))</f>
        <v>7.6175945096952982E-4</v>
      </c>
      <c r="Y80" s="8">
        <f>IF((U80&gt;U79), (EXP(-LN(2)/inputs!$C$51)*Y79+$Y$3), (EXP(-LN(2)/inputs!$C$51)*Y79))</f>
        <v>9.521993137119138E-4</v>
      </c>
      <c r="Z80" s="8">
        <f>IF((U80&gt;U79), (EXP(-LN(2)/inputs!$C$51)*Z79+$Z$3), (EXP(-LN(2)/inputs!$C$51)*Z79))</f>
        <v>1.4811989324407527E-4</v>
      </c>
      <c r="AA80" s="8">
        <f>IF((U80&gt;U79), (EXP(-LN(2)/inputs!$C$51)*AA79+$AA$3), (EXP(-LN(2)/inputs!$C$51)*AA79))</f>
        <v>1.3753990086949844E-3</v>
      </c>
      <c r="AB80" s="7">
        <f>(((0.621*15^0.564)/0.2))*W80/15+AB79*inputs!$C$53</f>
        <v>1.9354084717990126E-3</v>
      </c>
      <c r="AC80" s="7">
        <f>(((0.621*1000^0.564)/0.2))*W80/1000+AC79*inputs!$C$53</f>
        <v>3.10133318828741E-4</v>
      </c>
      <c r="AD80" s="7">
        <f>(((0.648*20^0.651)/0.2))*AA80/20+AD79*inputs!$C$54</f>
        <v>2.0717389837449163E-3</v>
      </c>
      <c r="AE80" s="7">
        <f>(((0.013*2^0.773)/0.2))*AA80/2+AE79*inputs!$C$54</f>
        <v>1.0102504303423192E-4</v>
      </c>
    </row>
    <row r="81" spans="1:31" x14ac:dyDescent="0.3">
      <c r="A81" s="7">
        <f>IF(A80&lt;(inputs!$C$9-1),(1+A80),0)</f>
        <v>0</v>
      </c>
      <c r="B81" s="7">
        <f>IF(inputs!$C$8&gt;B80,IF(A80=(inputs!$C$9-1),(B80+1),B80), B80)</f>
        <v>1</v>
      </c>
      <c r="C81" s="7">
        <f t="shared" si="3"/>
        <v>78</v>
      </c>
      <c r="D81" s="8">
        <f>IF((B81&gt;B80), (EXP(-LN(2)/inputs!$C$51)*D80+$D$3), (EXP(-LN(2)/inputs!$C$51)*D80))</f>
        <v>4.455828630379818E-3</v>
      </c>
      <c r="E81" s="8">
        <f>IF((B81&gt;B80), (EXP(-LN(2)/inputs!$C$51)*E80+$E$3), (EXP(-LN(2)/inputs!$C$51)*E80))</f>
        <v>2.042254788924083E-3</v>
      </c>
      <c r="F81" s="8">
        <f>IF((B81&gt;B80), (EXP(-LN(2)/inputs!$C$51)*F80+$F$3), (EXP(-LN(2)/inputs!$C$51)*F80))</f>
        <v>2.5064036045886482E-3</v>
      </c>
      <c r="G81" s="8">
        <f>IF((B81&gt;B80), (EXP(-LN(2)/inputs!$C$51)*G80+$G$3), (EXP(-LN(2)/inputs!$C$51)*G80))</f>
        <v>2.7848928939873863E-4</v>
      </c>
      <c r="H81" s="8">
        <f>IF((B81&gt;B80), (EXP(-LN(2)/inputs!$C$51)*H80+$H$3), (EXP(-LN(2)/inputs!$C$51)*H80))</f>
        <v>1.7451995468987626E-3</v>
      </c>
      <c r="I81" s="7">
        <f>O81*(10^inputs!$C$55)*0.01/1</f>
        <v>1.9324075777996716</v>
      </c>
      <c r="J81" s="7">
        <f>(((0.621*15^0.564)/0.2))*D81/15+J80*inputs!$C$53</f>
        <v>4.7947596439863373E-3</v>
      </c>
      <c r="K81" s="7">
        <f>(((0.621*1000^0.564)/0.2))*D81/1000+K80*inputs!$C$53</f>
        <v>7.683208702674413E-4</v>
      </c>
      <c r="L81" s="7">
        <f>(((0.648*20^0.651)/0.2))*H81/20+L80*inputs!$C$54</f>
        <v>2.628762935604198E-3</v>
      </c>
      <c r="M81" s="7">
        <f>(((0.013*2^0.773)/0.2))*H81/2+M80*inputs!$C$54</f>
        <v>1.2818742649528018E-4</v>
      </c>
      <c r="N81" s="7">
        <f>O81*0.015*inputs!$C$56</f>
        <v>0.28390854632115736</v>
      </c>
      <c r="O81" s="7">
        <f>IF((B81&gt;B80), (EXP(-LN(2)/inputs!$C$52)*O80+$O$3), (EXP(-LN(2)/inputs!$C$52)*O80))</f>
        <v>3.0626596151149665E-2</v>
      </c>
      <c r="P81" s="3">
        <f>IF((B81&gt;B80), (EXP(-LN(2)/inputs!$C$52)*P80+$P$3), (EXP(-LN(2)/inputs!$C$52)*P80))</f>
        <v>2.9594630586241569E-2</v>
      </c>
      <c r="Q81" s="19">
        <f>IF((F81*0.62*1/(0.012*(10^inputs!$C$55)))&gt;inputs!$C$57, inputs!$C$57, (F81*0.62*1/(0.012*(10^inputs!$C$55))))</f>
        <v>2.0523973720774794E-5</v>
      </c>
      <c r="R81" s="3">
        <f>IF((B81&gt;B80), (EXP(-LN(2)/inputs!$C$51)*R80+$R$3), (EXP(-LN(2)/inputs!$C$51)*R80))</f>
        <v>4.7686306045403678E-11</v>
      </c>
      <c r="T81" s="7">
        <f>IF(T80&lt;(inputs!$C$9-1),(1+T80),0)</f>
        <v>0</v>
      </c>
      <c r="U81" s="7">
        <f>IF(inputs!$C$8&gt;U80,IF(T80=(inputs!$C$9-1),(U80+1),U80), U80)</f>
        <v>1</v>
      </c>
      <c r="V81" s="7">
        <f t="shared" si="2"/>
        <v>78</v>
      </c>
      <c r="W81" s="8">
        <f>IF((U81&gt;U80), (EXP(-LN(2)/inputs!$C$51)*W80+$W$3), (EXP(-LN(2)/inputs!$C$51)*W80))</f>
        <v>1.5781059732595192E-3</v>
      </c>
      <c r="X81" s="8">
        <f>IF((U81&gt;U80), (EXP(-LN(2)/inputs!$C$51)*X80+$X$3), (EXP(-LN(2)/inputs!$C$51)*X80))</f>
        <v>6.6837429455697246E-4</v>
      </c>
      <c r="Y81" s="8">
        <f>IF((U81&gt;U80), (EXP(-LN(2)/inputs!$C$51)*Y80+$Y$3), (EXP(-LN(2)/inputs!$C$51)*Y80))</f>
        <v>8.3546786819621696E-4</v>
      </c>
      <c r="Z81" s="8">
        <f>IF((U81&gt;U80), (EXP(-LN(2)/inputs!$C$51)*Z80+$Z$3), (EXP(-LN(2)/inputs!$C$51)*Z80))</f>
        <v>1.2996166838607801E-4</v>
      </c>
      <c r="AA81" s="8">
        <f>IF((U81&gt;U80), (EXP(-LN(2)/inputs!$C$51)*AA80+$AA$3), (EXP(-LN(2)/inputs!$C$51)*AA80))</f>
        <v>1.2067869207278671E-3</v>
      </c>
      <c r="AB81" s="7">
        <f>(((0.621*15^0.564)/0.2))*W81/15+AB80*inputs!$C$53</f>
        <v>1.6981440405784949E-3</v>
      </c>
      <c r="AC81" s="7">
        <f>(((0.621*1000^0.564)/0.2))*W81/1000+AC80*inputs!$C$53</f>
        <v>2.7211364155305215E-4</v>
      </c>
      <c r="AD81" s="7">
        <f>(((0.648*20^0.651)/0.2))*AA81/20+AD80*inputs!$C$54</f>
        <v>1.8177616044071569E-3</v>
      </c>
      <c r="AE81" s="7">
        <f>(((0.013*2^0.773)/0.2))*AA81/2+AE80*inputs!$C$54</f>
        <v>8.8640241725459641E-5</v>
      </c>
    </row>
    <row r="82" spans="1:31" x14ac:dyDescent="0.3">
      <c r="A82" s="7">
        <f>IF(A81&lt;(inputs!$C$9-1),(1+A81),0)</f>
        <v>0</v>
      </c>
      <c r="B82" s="7">
        <f>IF(inputs!$C$8&gt;B81,IF(A81=(inputs!$C$9-1),(B81+1),B81), B81)</f>
        <v>1</v>
      </c>
      <c r="C82" s="7">
        <f t="shared" si="3"/>
        <v>79</v>
      </c>
      <c r="D82" s="8">
        <f>IF((B82&gt;B81), (EXP(-LN(2)/inputs!$C$51)*D81+$D$3), (EXP(-LN(2)/inputs!$C$51)*D81))</f>
        <v>3.9095823671191935E-3</v>
      </c>
      <c r="E82" s="8">
        <f>IF((B82&gt;B81), (EXP(-LN(2)/inputs!$C$51)*E81+$E$3), (EXP(-LN(2)/inputs!$C$51)*E81))</f>
        <v>1.7918919182629636E-3</v>
      </c>
      <c r="F82" s="8">
        <f>IF((B82&gt;B81), (EXP(-LN(2)/inputs!$C$51)*F81+$F$3), (EXP(-LN(2)/inputs!$C$51)*F81))</f>
        <v>2.1991400815045471E-3</v>
      </c>
      <c r="G82" s="8">
        <f>IF((B82&gt;B81), (EXP(-LN(2)/inputs!$C$51)*G81+$G$3), (EXP(-LN(2)/inputs!$C$51)*G81))</f>
        <v>2.443488979449496E-4</v>
      </c>
      <c r="H82" s="8">
        <f>IF((B82&gt;B81), (EXP(-LN(2)/inputs!$C$51)*H81+$H$3), (EXP(-LN(2)/inputs!$C$51)*H81))</f>
        <v>1.5312530937883514E-3</v>
      </c>
      <c r="I82" s="7">
        <f>O82*(10^inputs!$C$55)*0.01/1</f>
        <v>1.8934110549156395</v>
      </c>
      <c r="J82" s="7">
        <f>(((0.621*15^0.564)/0.2))*D82/15+J81*inputs!$C$53</f>
        <v>4.2069633537737301E-3</v>
      </c>
      <c r="K82" s="7">
        <f>(((0.621*1000^0.564)/0.2))*D82/1000+K81*inputs!$C$53</f>
        <v>6.741313402870285E-4</v>
      </c>
      <c r="L82" s="7">
        <f>(((0.648*20^0.651)/0.2))*H82/20+L81*inputs!$C$54</f>
        <v>2.3064992110117593E-3</v>
      </c>
      <c r="M82" s="7">
        <f>(((0.013*2^0.773)/0.2))*H82/2+M81*inputs!$C$54</f>
        <v>1.1247275061150994E-4</v>
      </c>
      <c r="N82" s="7">
        <f>O82*0.015*inputs!$C$56</f>
        <v>0.27817919281893616</v>
      </c>
      <c r="O82" s="7">
        <f>IF((B82&gt;B81), (EXP(-LN(2)/inputs!$C$52)*O81+$O$3), (EXP(-LN(2)/inputs!$C$52)*O81))</f>
        <v>3.0008542914664097E-2</v>
      </c>
      <c r="P82" s="3">
        <f>IF((B82&gt;B81), (EXP(-LN(2)/inputs!$C$52)*P81+$P$3), (EXP(-LN(2)/inputs!$C$52)*P81))</f>
        <v>2.8997402702145323E-2</v>
      </c>
      <c r="Q82" s="19">
        <f>IF((F82*0.62*1/(0.012*(10^inputs!$C$55)))&gt;inputs!$C$57, inputs!$C$57, (F82*0.62*1/(0.012*(10^inputs!$C$55))))</f>
        <v>1.8007911079632143E-5</v>
      </c>
      <c r="R82" s="3">
        <f>IF((B82&gt;B81), (EXP(-LN(2)/inputs!$C$51)*R81+$R$3), (EXP(-LN(2)/inputs!$C$51)*R81))</f>
        <v>4.1840375098148222E-11</v>
      </c>
      <c r="T82" s="7">
        <f>IF(T81&lt;(inputs!$C$9-1),(1+T81),0)</f>
        <v>0</v>
      </c>
      <c r="U82" s="7">
        <f>IF(inputs!$C$8&gt;U81,IF(T81=(inputs!$C$9-1),(U81+1),U81), U81)</f>
        <v>1</v>
      </c>
      <c r="V82" s="7">
        <f t="shared" si="2"/>
        <v>79</v>
      </c>
      <c r="W82" s="8">
        <f>IF((U82&gt;U81), (EXP(-LN(2)/inputs!$C$51)*W81+$W$3), (EXP(-LN(2)/inputs!$C$51)*W81))</f>
        <v>1.3846437550213814E-3</v>
      </c>
      <c r="X82" s="8">
        <f>IF((U82&gt;U81), (EXP(-LN(2)/inputs!$C$51)*X81+$X$3), (EXP(-LN(2)/inputs!$C$51)*X81))</f>
        <v>5.8643735506787884E-4</v>
      </c>
      <c r="Y82" s="8">
        <f>IF((U82&gt;U81), (EXP(-LN(2)/inputs!$C$51)*Y81+$Y$3), (EXP(-LN(2)/inputs!$C$51)*Y81))</f>
        <v>7.3304669383484971E-4</v>
      </c>
      <c r="Z82" s="8">
        <f>IF((U82&gt;U81), (EXP(-LN(2)/inputs!$C$51)*Z81+$Z$3), (EXP(-LN(2)/inputs!$C$51)*Z81))</f>
        <v>1.1402948570764313E-4</v>
      </c>
      <c r="AA82" s="8">
        <f>IF((U82&gt;U81), (EXP(-LN(2)/inputs!$C$51)*AA81+$AA$3), (EXP(-LN(2)/inputs!$C$51)*AA81))</f>
        <v>1.0588452244281146E-3</v>
      </c>
      <c r="AB82" s="7">
        <f>(((0.621*15^0.564)/0.2))*W82/15+AB81*inputs!$C$53</f>
        <v>1.4899661877948633E-3</v>
      </c>
      <c r="AC82" s="7">
        <f>(((0.621*1000^0.564)/0.2))*W82/1000+AC81*inputs!$C$53</f>
        <v>2.3875484968498934E-4</v>
      </c>
      <c r="AD82" s="7">
        <f>(((0.648*20^0.651)/0.2))*AA82/20+AD81*inputs!$C$54</f>
        <v>1.5949196671889818E-3</v>
      </c>
      <c r="AE82" s="7">
        <f>(((0.013*2^0.773)/0.2))*AA82/2+AE81*inputs!$C$54</f>
        <v>7.7773710529235548E-5</v>
      </c>
    </row>
    <row r="83" spans="1:31" x14ac:dyDescent="0.3">
      <c r="A83" s="7">
        <f>IF(A82&lt;(inputs!$C$9-1),(1+A82),0)</f>
        <v>0</v>
      </c>
      <c r="B83" s="7">
        <f>IF(inputs!$C$8&gt;B82,IF(A82=(inputs!$C$9-1),(B82+1),B82), B82)</f>
        <v>1</v>
      </c>
      <c r="C83" s="7">
        <f t="shared" si="3"/>
        <v>80</v>
      </c>
      <c r="D83" s="8">
        <f>IF((B83&gt;B82), (EXP(-LN(2)/inputs!$C$51)*D82+$D$3), (EXP(-LN(2)/inputs!$C$51)*D82))</f>
        <v>3.4303011971953748E-3</v>
      </c>
      <c r="E83" s="8">
        <f>IF((B83&gt;B82), (EXP(-LN(2)/inputs!$C$51)*E82+$E$3), (EXP(-LN(2)/inputs!$C$51)*E82))</f>
        <v>1.57222138204788E-3</v>
      </c>
      <c r="F83" s="8">
        <f>IF((B83&gt;B82), (EXP(-LN(2)/inputs!$C$51)*F82+$F$3), (EXP(-LN(2)/inputs!$C$51)*F82))</f>
        <v>1.929544423422399E-3</v>
      </c>
      <c r="G83" s="8">
        <f>IF((B83&gt;B82), (EXP(-LN(2)/inputs!$C$51)*G82+$G$3), (EXP(-LN(2)/inputs!$C$51)*G82))</f>
        <v>2.1439382482471092E-4</v>
      </c>
      <c r="H83" s="8">
        <f>IF((B83&gt;B82), (EXP(-LN(2)/inputs!$C$51)*H82+$H$3), (EXP(-LN(2)/inputs!$C$51)*H82))</f>
        <v>1.343534635568189E-3</v>
      </c>
      <c r="I83" s="7">
        <f>O83*(10^inputs!$C$55)*0.01/1</f>
        <v>1.8552014927196712</v>
      </c>
      <c r="J83" s="7">
        <f>(((0.621*15^0.564)/0.2))*D83/15+J82*inputs!$C$53</f>
        <v>3.6912258328095546E-3</v>
      </c>
      <c r="K83" s="7">
        <f>(((0.621*1000^0.564)/0.2))*D83/1000+K82*inputs!$C$53</f>
        <v>5.91488636510677E-4</v>
      </c>
      <c r="L83" s="7">
        <f>(((0.648*20^0.651)/0.2))*H83/20+L82*inputs!$C$54</f>
        <v>2.0237422471019164E-3</v>
      </c>
      <c r="M83" s="7">
        <f>(((0.013*2^0.773)/0.2))*H83/2+M82*inputs!$C$54</f>
        <v>9.8684558821256012E-5</v>
      </c>
      <c r="N83" s="7">
        <f>O83*0.015*inputs!$C$56</f>
        <v>0.27256545926538772</v>
      </c>
      <c r="O83" s="7">
        <f>IF((B83&gt;B82), (EXP(-LN(2)/inputs!$C$52)*O82+$O$3), (EXP(-LN(2)/inputs!$C$52)*O82))</f>
        <v>2.9402962164550999E-2</v>
      </c>
      <c r="P83" s="3">
        <f>IF((B83&gt;B82), (EXP(-LN(2)/inputs!$C$52)*P82+$P$3), (EXP(-LN(2)/inputs!$C$52)*P82))</f>
        <v>2.8412227043012748E-2</v>
      </c>
      <c r="Q83" s="19">
        <f>IF((F83*0.62*1/(0.012*(10^inputs!$C$55)))&gt;inputs!$C$57, inputs!$C$57, (F83*0.62*1/(0.012*(10^inputs!$C$55))))</f>
        <v>1.5800296076372882E-5</v>
      </c>
      <c r="R83" s="3">
        <f>IF((B83&gt;B82), (EXP(-LN(2)/inputs!$C$51)*R82+$R$3), (EXP(-LN(2)/inputs!$C$51)*R82))</f>
        <v>3.67111050012329E-11</v>
      </c>
      <c r="T83" s="7">
        <f>IF(T82&lt;(inputs!$C$9-1),(1+T82),0)</f>
        <v>0</v>
      </c>
      <c r="U83" s="7">
        <f>IF(inputs!$C$8&gt;U82,IF(T82=(inputs!$C$9-1),(U82+1),U82), U82)</f>
        <v>1</v>
      </c>
      <c r="V83" s="7">
        <f t="shared" si="2"/>
        <v>80</v>
      </c>
      <c r="W83" s="8">
        <f>IF((U83&gt;U82), (EXP(-LN(2)/inputs!$C$51)*W82+$W$3), (EXP(-LN(2)/inputs!$C$51)*W82))</f>
        <v>1.2148983406733622E-3</v>
      </c>
      <c r="X83" s="8">
        <f>IF((U83&gt;U82), (EXP(-LN(2)/inputs!$C$51)*X82+$X$3), (EXP(-LN(2)/inputs!$C$51)*X82))</f>
        <v>5.14545179579306E-4</v>
      </c>
      <c r="Y83" s="8">
        <f>IF((U83&gt;U82), (EXP(-LN(2)/inputs!$C$51)*Y82+$Y$3), (EXP(-LN(2)/inputs!$C$51)*Y82))</f>
        <v>6.4318147447413364E-4</v>
      </c>
      <c r="Z83" s="8">
        <f>IF((U83&gt;U82), (EXP(-LN(2)/inputs!$C$51)*Z82+$Z$3), (EXP(-LN(2)/inputs!$C$51)*Z82))</f>
        <v>1.0005045158486509E-4</v>
      </c>
      <c r="AA83" s="8">
        <f>IF((U83&gt;U82), (EXP(-LN(2)/inputs!$C$51)*AA82+$AA$3), (EXP(-LN(2)/inputs!$C$51)*AA82))</f>
        <v>9.2903990757374716E-4</v>
      </c>
      <c r="AB83" s="7">
        <f>(((0.621*15^0.564)/0.2))*W83/15+AB82*inputs!$C$53</f>
        <v>1.3073091491200511E-3</v>
      </c>
      <c r="AC83" s="7">
        <f>(((0.621*1000^0.564)/0.2))*W83/1000+AC82*inputs!$C$53</f>
        <v>2.0948555876419814E-4</v>
      </c>
      <c r="AD83" s="7">
        <f>(((0.648*20^0.651)/0.2))*AA83/20+AD82*inputs!$C$54</f>
        <v>1.3993962346981329E-3</v>
      </c>
      <c r="AE83" s="7">
        <f>(((0.013*2^0.773)/0.2))*AA83/2+AE82*inputs!$C$54</f>
        <v>6.8239322589166339E-5</v>
      </c>
    </row>
    <row r="84" spans="1:31" x14ac:dyDescent="0.3">
      <c r="A84" s="7">
        <f>IF(A83&lt;(inputs!$C$9-1),(1+A83),0)</f>
        <v>0</v>
      </c>
      <c r="B84" s="7">
        <f>IF(inputs!$C$8&gt;B83,IF(A83=(inputs!$C$9-1),(B83+1),B83), B83)</f>
        <v>1</v>
      </c>
      <c r="C84" s="7">
        <f t="shared" si="3"/>
        <v>81</v>
      </c>
      <c r="D84" s="8">
        <f>IF((B84&gt;B83), (EXP(-LN(2)/inputs!$C$51)*D83+$D$3), (EXP(-LN(2)/inputs!$C$51)*D83))</f>
        <v>3.0097757761657299E-3</v>
      </c>
      <c r="E84" s="8">
        <f>IF((B84&gt;B83), (EXP(-LN(2)/inputs!$C$51)*E83+$E$3), (EXP(-LN(2)/inputs!$C$51)*E83))</f>
        <v>1.3794805640759593E-3</v>
      </c>
      <c r="F84" s="8">
        <f>IF((B84&gt;B83), (EXP(-LN(2)/inputs!$C$51)*F83+$F$3), (EXP(-LN(2)/inputs!$C$51)*F83))</f>
        <v>1.6929988740932236E-3</v>
      </c>
      <c r="G84" s="8">
        <f>IF((B84&gt;B83), (EXP(-LN(2)/inputs!$C$51)*G83+$G$3), (EXP(-LN(2)/inputs!$C$51)*G83))</f>
        <v>1.8811098601035812E-4</v>
      </c>
      <c r="H84" s="8">
        <f>IF((B84&gt;B83), (EXP(-LN(2)/inputs!$C$51)*H83+$H$3), (EXP(-LN(2)/inputs!$C$51)*H83))</f>
        <v>1.1788288456649112E-3</v>
      </c>
      <c r="I84" s="7">
        <f>O84*(10^inputs!$C$55)*0.01/1</f>
        <v>1.8177630101259989</v>
      </c>
      <c r="J84" s="7">
        <f>(((0.621*15^0.564)/0.2))*D84/15+J83*inputs!$C$53</f>
        <v>3.2387132957976831E-3</v>
      </c>
      <c r="K84" s="7">
        <f>(((0.621*1000^0.564)/0.2))*D84/1000+K83*inputs!$C$53</f>
        <v>5.1897721736583031E-4</v>
      </c>
      <c r="L84" s="7">
        <f>(((0.648*20^0.651)/0.2))*H84/20+L83*inputs!$C$54</f>
        <v>1.7756488548325078E-3</v>
      </c>
      <c r="M84" s="7">
        <f>(((0.013*2^0.773)/0.2))*H84/2+M83*inputs!$C$54</f>
        <v>8.658668074531228E-5</v>
      </c>
      <c r="N84" s="7">
        <f>O84*0.015*inputs!$C$56</f>
        <v>0.26706501241776037</v>
      </c>
      <c r="O84" s="7">
        <f>IF((B84&gt;B83), (EXP(-LN(2)/inputs!$C$52)*O83+$O$3), (EXP(-LN(2)/inputs!$C$52)*O83))</f>
        <v>2.880960220256315E-2</v>
      </c>
      <c r="P84" s="3">
        <f>IF((B84&gt;B83), (EXP(-LN(2)/inputs!$C$52)*P83+$P$3), (EXP(-LN(2)/inputs!$C$52)*P83))</f>
        <v>2.7838860391588848E-2</v>
      </c>
      <c r="Q84" s="19">
        <f>IF((F84*0.62*1/(0.012*(10^inputs!$C$55)))&gt;inputs!$C$57, inputs!$C$57, (F84*0.62*1/(0.012*(10^inputs!$C$55))))</f>
        <v>1.3863315683705831E-5</v>
      </c>
      <c r="R84" s="3">
        <f>IF((B84&gt;B83), (EXP(-LN(2)/inputs!$C$51)*R83+$R$3), (EXP(-LN(2)/inputs!$C$51)*R83))</f>
        <v>3.2210639298766572E-11</v>
      </c>
      <c r="T84" s="7">
        <f>IF(T83&lt;(inputs!$C$9-1),(1+T83),0)</f>
        <v>0</v>
      </c>
      <c r="U84" s="7">
        <f>IF(inputs!$C$8&gt;U83,IF(T83=(inputs!$C$9-1),(U83+1),U83), U83)</f>
        <v>1</v>
      </c>
      <c r="V84" s="7">
        <f t="shared" si="2"/>
        <v>81</v>
      </c>
      <c r="W84" s="8">
        <f>IF((U84&gt;U83), (EXP(-LN(2)/inputs!$C$51)*W83+$W$3), (EXP(-LN(2)/inputs!$C$51)*W83))</f>
        <v>1.0659622540586961E-3</v>
      </c>
      <c r="X84" s="8">
        <f>IF((U84&gt;U83), (EXP(-LN(2)/inputs!$C$51)*X83+$X$3), (EXP(-LN(2)/inputs!$C$51)*X83))</f>
        <v>4.5146636642485929E-4</v>
      </c>
      <c r="Y84" s="8">
        <f>IF((U84&gt;U83), (EXP(-LN(2)/inputs!$C$51)*Y83+$Y$3), (EXP(-LN(2)/inputs!$C$51)*Y83))</f>
        <v>5.6433295803107512E-4</v>
      </c>
      <c r="Z84" s="8">
        <f>IF((U84&gt;U83), (EXP(-LN(2)/inputs!$C$51)*Z83+$Z$3), (EXP(-LN(2)/inputs!$C$51)*Z83))</f>
        <v>8.7785126804833778E-5</v>
      </c>
      <c r="AA84" s="8">
        <f>IF((U84&gt;U83), (EXP(-LN(2)/inputs!$C$51)*AA83+$AA$3), (EXP(-LN(2)/inputs!$C$51)*AA83))</f>
        <v>8.1514760604488496E-4</v>
      </c>
      <c r="AB84" s="7">
        <f>(((0.621*15^0.564)/0.2))*W84/15+AB83*inputs!$C$53</f>
        <v>1.1470442922616795E-3</v>
      </c>
      <c r="AC84" s="7">
        <f>(((0.621*1000^0.564)/0.2))*W84/1000+AC83*inputs!$C$53</f>
        <v>1.8380443115039824E-4</v>
      </c>
      <c r="AD84" s="7">
        <f>(((0.648*20^0.651)/0.2))*AA84/20+AD83*inputs!$C$54</f>
        <v>1.2278422932352441E-3</v>
      </c>
      <c r="AE84" s="7">
        <f>(((0.013*2^0.773)/0.2))*AA84/2+AE83*inputs!$C$54</f>
        <v>5.9873768600481851E-5</v>
      </c>
    </row>
    <row r="85" spans="1:31" x14ac:dyDescent="0.3">
      <c r="A85" s="7">
        <f>IF(A84&lt;(inputs!$C$9-1),(1+A84),0)</f>
        <v>0</v>
      </c>
      <c r="B85" s="7">
        <f>IF(inputs!$C$8&gt;B84,IF(A84=(inputs!$C$9-1),(B84+1),B84), B84)</f>
        <v>1</v>
      </c>
      <c r="C85" s="7">
        <f t="shared" si="3"/>
        <v>82</v>
      </c>
      <c r="D85" s="8">
        <f>IF((B85&gt;B84), (EXP(-LN(2)/inputs!$C$51)*D84+$D$3), (EXP(-LN(2)/inputs!$C$51)*D84))</f>
        <v>2.6408031546035914E-3</v>
      </c>
      <c r="E85" s="8">
        <f>IF((B85&gt;B84), (EXP(-LN(2)/inputs!$C$51)*E84+$E$3), (EXP(-LN(2)/inputs!$C$51)*E84))</f>
        <v>1.2103681125266458E-3</v>
      </c>
      <c r="F85" s="8">
        <f>IF((B85&gt;B84), (EXP(-LN(2)/inputs!$C$51)*F84+$F$3), (EXP(-LN(2)/inputs!$C$51)*F84))</f>
        <v>1.4854517744645206E-3</v>
      </c>
      <c r="G85" s="8">
        <f>IF((B85&gt;B84), (EXP(-LN(2)/inputs!$C$51)*G84+$G$3), (EXP(-LN(2)/inputs!$C$51)*G84))</f>
        <v>1.6505019716272446E-4</v>
      </c>
      <c r="H85" s="8">
        <f>IF((B85&gt;B84), (EXP(-LN(2)/inputs!$C$51)*H84+$H$3), (EXP(-LN(2)/inputs!$C$51)*H84))</f>
        <v>1.0343145688864069E-3</v>
      </c>
      <c r="I85" s="7">
        <f>O85*(10^inputs!$C$55)*0.01/1</f>
        <v>1.781080046533587</v>
      </c>
      <c r="J85" s="7">
        <f>(((0.621*15^0.564)/0.2))*D85/15+J84*inputs!$C$53</f>
        <v>2.8416749035354606E-3</v>
      </c>
      <c r="K85" s="7">
        <f>(((0.621*1000^0.564)/0.2))*D85/1000+K84*inputs!$C$53</f>
        <v>4.5535507450094269E-4</v>
      </c>
      <c r="L85" s="7">
        <f>(((0.648*20^0.651)/0.2))*H85/20+L84*inputs!$C$54</f>
        <v>1.5579695784792371E-3</v>
      </c>
      <c r="M85" s="7">
        <f>(((0.013*2^0.773)/0.2))*H85/2+M84*inputs!$C$54</f>
        <v>7.5971898461543033E-5</v>
      </c>
      <c r="N85" s="7">
        <f>O85*0.015*inputs!$C$56</f>
        <v>0.26167556611879067</v>
      </c>
      <c r="O85" s="7">
        <f>IF((B85&gt;B84), (EXP(-LN(2)/inputs!$C$52)*O84+$O$3), (EXP(-LN(2)/inputs!$C$52)*O84))</f>
        <v>2.8228216409794029E-2</v>
      </c>
      <c r="P85" s="3">
        <f>IF((B85&gt;B84), (EXP(-LN(2)/inputs!$C$52)*P84+$P$3), (EXP(-LN(2)/inputs!$C$52)*P84))</f>
        <v>2.7277064438810547E-2</v>
      </c>
      <c r="Q85" s="19">
        <f>IF((F85*0.62*1/(0.012*(10^inputs!$C$55)))&gt;inputs!$C$57, inputs!$C$57, (F85*0.62*1/(0.012*(10^inputs!$C$55))))</f>
        <v>1.2163792426236837E-5</v>
      </c>
      <c r="R85" s="3">
        <f>IF((B85&gt;B84), (EXP(-LN(2)/inputs!$C$51)*R84+$R$3), (EXP(-LN(2)/inputs!$C$51)*R84))</f>
        <v>2.8261891980652757E-11</v>
      </c>
      <c r="T85" s="7">
        <f>IF(T84&lt;(inputs!$C$9-1),(1+T84),0)</f>
        <v>0</v>
      </c>
      <c r="U85" s="7">
        <f>IF(inputs!$C$8&gt;U84,IF(T84=(inputs!$C$9-1),(U84+1),U84), U84)</f>
        <v>1</v>
      </c>
      <c r="V85" s="7">
        <f t="shared" si="2"/>
        <v>82</v>
      </c>
      <c r="W85" s="8">
        <f>IF((U85&gt;U84), (EXP(-LN(2)/inputs!$C$51)*W84+$W$3), (EXP(-LN(2)/inputs!$C$51)*W84))</f>
        <v>9.3528445058877201E-4</v>
      </c>
      <c r="X85" s="8">
        <f>IF((U85&gt;U84), (EXP(-LN(2)/inputs!$C$51)*X84+$X$3), (EXP(-LN(2)/inputs!$C$51)*X84))</f>
        <v>3.9612047319053853E-4</v>
      </c>
      <c r="Y85" s="8">
        <f>IF((U85&gt;U84), (EXP(-LN(2)/inputs!$C$51)*Y84+$Y$3), (EXP(-LN(2)/inputs!$C$51)*Y84))</f>
        <v>4.9515059148817406E-4</v>
      </c>
      <c r="Z85" s="8">
        <f>IF((U85&gt;U84), (EXP(-LN(2)/inputs!$C$51)*Z84+$Z$3), (EXP(-LN(2)/inputs!$C$51)*Z84))</f>
        <v>7.7023425342604736E-5</v>
      </c>
      <c r="AA85" s="8">
        <f>IF((U85&gt;U84), (EXP(-LN(2)/inputs!$C$51)*AA84+$AA$3), (EXP(-LN(2)/inputs!$C$51)*AA84))</f>
        <v>7.1521752103847244E-4</v>
      </c>
      <c r="AB85" s="7">
        <f>(((0.621*15^0.564)/0.2))*W85/15+AB84*inputs!$C$53</f>
        <v>1.0064265283354756E-3</v>
      </c>
      <c r="AC85" s="7">
        <f>(((0.621*1000^0.564)/0.2))*W85/1000+AC84*inputs!$C$53</f>
        <v>1.6127158888575054E-4</v>
      </c>
      <c r="AD85" s="7">
        <f>(((0.648*20^0.651)/0.2))*AA85/20+AD84*inputs!$C$54</f>
        <v>1.07731938937394E-3</v>
      </c>
      <c r="AE85" s="7">
        <f>(((0.013*2^0.773)/0.2))*AA85/2+AE84*inputs!$C$54</f>
        <v>5.2533759574471212E-5</v>
      </c>
    </row>
    <row r="86" spans="1:31" x14ac:dyDescent="0.3">
      <c r="A86" s="7">
        <f>IF(A85&lt;(inputs!$C$9-1),(1+A85),0)</f>
        <v>0</v>
      </c>
      <c r="B86" s="7">
        <f>IF(inputs!$C$8&gt;B85,IF(A85=(inputs!$C$9-1),(B85+1),B85), B85)</f>
        <v>1</v>
      </c>
      <c r="C86" s="7">
        <f t="shared" si="3"/>
        <v>83</v>
      </c>
      <c r="D86" s="8">
        <f>IF((B86&gt;B85), (EXP(-LN(2)/inputs!$C$51)*D85+$D$3), (EXP(-LN(2)/inputs!$C$51)*D85))</f>
        <v>2.3170634027258091E-3</v>
      </c>
      <c r="E86" s="8">
        <f>IF((B86&gt;B85), (EXP(-LN(2)/inputs!$C$51)*E85+$E$3), (EXP(-LN(2)/inputs!$C$51)*E85))</f>
        <v>1.0619873929159957E-3</v>
      </c>
      <c r="F86" s="8">
        <f>IF((B86&gt;B85), (EXP(-LN(2)/inputs!$C$51)*F85+$F$3), (EXP(-LN(2)/inputs!$C$51)*F85))</f>
        <v>1.3033481640332681E-3</v>
      </c>
      <c r="G86" s="8">
        <f>IF((B86&gt;B85), (EXP(-LN(2)/inputs!$C$51)*G85+$G$3), (EXP(-LN(2)/inputs!$C$51)*G85))</f>
        <v>1.4481646267036307E-4</v>
      </c>
      <c r="H86" s="8">
        <f>IF((B86&gt;B85), (EXP(-LN(2)/inputs!$C$51)*H85+$H$3), (EXP(-LN(2)/inputs!$C$51)*H85))</f>
        <v>9.0751649940094218E-4</v>
      </c>
      <c r="I86" s="7">
        <f>O86*(10^inputs!$C$55)*0.01/1</f>
        <v>1.7451373553586613</v>
      </c>
      <c r="J86" s="7">
        <f>(((0.621*15^0.564)/0.2))*D86/15+J85*inputs!$C$53</f>
        <v>2.49331000303761E-3</v>
      </c>
      <c r="K86" s="7">
        <f>(((0.621*1000^0.564)/0.2))*D86/1000+K85*inputs!$C$53</f>
        <v>3.9953245910522879E-4</v>
      </c>
      <c r="L86" s="7">
        <f>(((0.648*20^0.651)/0.2))*H86/20+L85*inputs!$C$54</f>
        <v>1.3669759090378991E-3</v>
      </c>
      <c r="M86" s="7">
        <f>(((0.013*2^0.773)/0.2))*H86/2+M85*inputs!$C$54</f>
        <v>6.6658397182680785E-5</v>
      </c>
      <c r="N86" s="7">
        <f>O86*0.015*inputs!$C$56</f>
        <v>0.25639488034650509</v>
      </c>
      <c r="O86" s="7">
        <f>IF((B86&gt;B85), (EXP(-LN(2)/inputs!$C$52)*O85+$O$3), (EXP(-LN(2)/inputs!$C$52)*O85))</f>
        <v>2.7658563144175308E-2</v>
      </c>
      <c r="P86" s="3">
        <f>IF((B86&gt;B85), (EXP(-LN(2)/inputs!$C$52)*P85+$P$3), (EXP(-LN(2)/inputs!$C$52)*P85))</f>
        <v>2.6726605684758004E-2</v>
      </c>
      <c r="Q86" s="19">
        <f>IF((F86*0.62*1/(0.012*(10^inputs!$C$55)))&gt;inputs!$C$57, inputs!$C$57, (F86*0.62*1/(0.012*(10^inputs!$C$55))))</f>
        <v>1.0672616101678911E-5</v>
      </c>
      <c r="R86" s="3">
        <f>IF((B86&gt;B85), (EXP(-LN(2)/inputs!$C$51)*R85+$R$3), (EXP(-LN(2)/inputs!$C$51)*R85))</f>
        <v>2.4797227118577252E-11</v>
      </c>
      <c r="T86" s="7">
        <f>IF(T85&lt;(inputs!$C$9-1),(1+T85),0)</f>
        <v>0</v>
      </c>
      <c r="U86" s="7">
        <f>IF(inputs!$C$8&gt;U85,IF(T85=(inputs!$C$9-1),(U85+1),U85), U85)</f>
        <v>1</v>
      </c>
      <c r="V86" s="7">
        <f t="shared" si="2"/>
        <v>83</v>
      </c>
      <c r="W86" s="8">
        <f>IF((U86&gt;U85), (EXP(-LN(2)/inputs!$C$51)*W85+$W$3), (EXP(-LN(2)/inputs!$C$51)*W85))</f>
        <v>8.2062662179872414E-4</v>
      </c>
      <c r="X86" s="8">
        <f>IF((U86&gt;U85), (EXP(-LN(2)/inputs!$C$51)*X85+$X$3), (EXP(-LN(2)/inputs!$C$51)*X85))</f>
        <v>3.475595104088712E-4</v>
      </c>
      <c r="Y86" s="8">
        <f>IF((U86&gt;U85), (EXP(-LN(2)/inputs!$C$51)*Y85+$Y$3), (EXP(-LN(2)/inputs!$C$51)*Y85))</f>
        <v>4.3444938801108978E-4</v>
      </c>
      <c r="Z86" s="8">
        <f>IF((U86&gt;U85), (EXP(-LN(2)/inputs!$C$51)*Z85+$Z$3), (EXP(-LN(2)/inputs!$C$51)*Z85))</f>
        <v>6.7581015912836087E-5</v>
      </c>
      <c r="AA86" s="8">
        <f>IF((U86&gt;U85), (EXP(-LN(2)/inputs!$C$51)*AA85+$AA$3), (EXP(-LN(2)/inputs!$C$51)*AA85))</f>
        <v>6.2753800490490642E-4</v>
      </c>
      <c r="AB86" s="7">
        <f>(((0.621*15^0.564)/0.2))*W86/15+AB85*inputs!$C$53</f>
        <v>8.830472927424868E-4</v>
      </c>
      <c r="AC86" s="7">
        <f>(((0.621*1000^0.564)/0.2))*W86/1000+AC85*inputs!$C$53</f>
        <v>1.415010792664352E-4</v>
      </c>
      <c r="AD86" s="7">
        <f>(((0.648*20^0.651)/0.2))*AA86/20+AD85*inputs!$C$54</f>
        <v>9.4524929880280195E-4</v>
      </c>
      <c r="AE86" s="7">
        <f>(((0.013*2^0.773)/0.2))*AA86/2+AE85*inputs!$C$54</f>
        <v>4.6093572519938807E-5</v>
      </c>
    </row>
    <row r="87" spans="1:31" x14ac:dyDescent="0.3">
      <c r="A87" s="7">
        <f>IF(A86&lt;(inputs!$C$9-1),(1+A86),0)</f>
        <v>0</v>
      </c>
      <c r="B87" s="7">
        <f>IF(inputs!$C$8&gt;B86,IF(A86=(inputs!$C$9-1),(B86+1),B86), B86)</f>
        <v>1</v>
      </c>
      <c r="C87" s="7">
        <f t="shared" si="3"/>
        <v>84</v>
      </c>
      <c r="D87" s="8">
        <f>IF((B87&gt;B86), (EXP(-LN(2)/inputs!$C$51)*D86+$D$3), (EXP(-LN(2)/inputs!$C$51)*D86))</f>
        <v>2.0330113597797515E-3</v>
      </c>
      <c r="E87" s="8">
        <f>IF((B87&gt;B86), (EXP(-LN(2)/inputs!$C$51)*E86+$E$3), (EXP(-LN(2)/inputs!$C$51)*E86))</f>
        <v>9.3179687323238607E-4</v>
      </c>
      <c r="F87" s="8">
        <f>IF((B87&gt;B86), (EXP(-LN(2)/inputs!$C$51)*F86+$F$3), (EXP(-LN(2)/inputs!$C$51)*F86))</f>
        <v>1.1435688898761107E-3</v>
      </c>
      <c r="G87" s="8">
        <f>IF((B87&gt;B86), (EXP(-LN(2)/inputs!$C$51)*G86+$G$3), (EXP(-LN(2)/inputs!$C$51)*G86))</f>
        <v>1.2706320998623447E-4</v>
      </c>
      <c r="H87" s="8">
        <f>IF((B87&gt;B86), (EXP(-LN(2)/inputs!$C$51)*H86+$H$3), (EXP(-LN(2)/inputs!$C$51)*H86))</f>
        <v>7.9626278258040299E-4</v>
      </c>
      <c r="I87" s="7">
        <f>O87*(10^inputs!$C$55)*0.01/1</f>
        <v>1.7099199976977517</v>
      </c>
      <c r="J87" s="7">
        <f>(((0.621*15^0.564)/0.2))*D87/15+J86*inputs!$C$53</f>
        <v>2.187651642879011E-3</v>
      </c>
      <c r="K87" s="7">
        <f>(((0.621*1000^0.564)/0.2))*D87/1000+K86*inputs!$C$53</f>
        <v>3.5055321619862799E-4</v>
      </c>
      <c r="L87" s="7">
        <f>(((0.648*20^0.651)/0.2))*H87/20+L86*inputs!$C$54</f>
        <v>1.1993964206374222E-3</v>
      </c>
      <c r="M87" s="7">
        <f>(((0.013*2^0.773)/0.2))*H87/2+M86*inputs!$C$54</f>
        <v>5.8486651050496584E-5</v>
      </c>
      <c r="N87" s="7">
        <f>O87*0.015*inputs!$C$56</f>
        <v>0.2512207602831974</v>
      </c>
      <c r="O87" s="7">
        <f>IF((B87&gt;B86), (EXP(-LN(2)/inputs!$C$52)*O86+$O$3), (EXP(-LN(2)/inputs!$C$52)*O86))</f>
        <v>2.7100405640042867E-2</v>
      </c>
      <c r="P87" s="3">
        <f>IF((B87&gt;B86), (EXP(-LN(2)/inputs!$C$52)*P86+$P$3), (EXP(-LN(2)/inputs!$C$52)*P86))</f>
        <v>2.6187255341604765E-2</v>
      </c>
      <c r="Q87" s="19">
        <f>IF((F87*0.62*1/(0.012*(10^inputs!$C$55)))&gt;inputs!$C$57, inputs!$C$57, (F87*0.62*1/(0.012*(10^inputs!$C$55))))</f>
        <v>9.3642451681539538E-6</v>
      </c>
      <c r="R87" s="3">
        <f>IF((B87&gt;B86), (EXP(-LN(2)/inputs!$C$51)*R86+$R$3), (EXP(-LN(2)/inputs!$C$51)*R86))</f>
        <v>2.1757300367266524E-11</v>
      </c>
      <c r="T87" s="7">
        <f>IF(T86&lt;(inputs!$C$9-1),(1+T86),0)</f>
        <v>0</v>
      </c>
      <c r="U87" s="7">
        <f>IF(inputs!$C$8&gt;U86,IF(T86=(inputs!$C$9-1),(U86+1),U86), U86)</f>
        <v>1</v>
      </c>
      <c r="V87" s="7">
        <f t="shared" si="2"/>
        <v>84</v>
      </c>
      <c r="W87" s="8">
        <f>IF((U87&gt;U86), (EXP(-LN(2)/inputs!$C$51)*W86+$W$3), (EXP(-LN(2)/inputs!$C$51)*W86))</f>
        <v>7.2002485658866208E-4</v>
      </c>
      <c r="X87" s="8">
        <f>IF((U87&gt;U86), (EXP(-LN(2)/inputs!$C$51)*X86+$X$3), (EXP(-LN(2)/inputs!$C$51)*X86))</f>
        <v>3.0495170396696261E-4</v>
      </c>
      <c r="Y87" s="8">
        <f>IF((U87&gt;U86), (EXP(-LN(2)/inputs!$C$51)*Y86+$Y$3), (EXP(-LN(2)/inputs!$C$51)*Y86))</f>
        <v>3.8118962995870395E-4</v>
      </c>
      <c r="Z87" s="8">
        <f>IF((U87&gt;U86), (EXP(-LN(2)/inputs!$C$51)*Z86+$Z$3), (EXP(-LN(2)/inputs!$C$51)*Z86))</f>
        <v>5.9296164660242746E-5</v>
      </c>
      <c r="AA87" s="8">
        <f>IF((U87&gt;U86), (EXP(-LN(2)/inputs!$C$51)*AA86+$AA$3), (EXP(-LN(2)/inputs!$C$51)*AA86))</f>
        <v>5.5060724327368261E-4</v>
      </c>
      <c r="AB87" s="7">
        <f>(((0.621*15^0.564)/0.2))*W87/15+AB86*inputs!$C$53</f>
        <v>7.7479329018631646E-4</v>
      </c>
      <c r="AC87" s="7">
        <f>(((0.621*1000^0.564)/0.2))*W87/1000+AC86*inputs!$C$53</f>
        <v>1.2415426407034742E-4</v>
      </c>
      <c r="AD87" s="7">
        <f>(((0.648*20^0.651)/0.2))*AA87/20+AD86*inputs!$C$54</f>
        <v>8.293698653343872E-4</v>
      </c>
      <c r="AE87" s="7">
        <f>(((0.013*2^0.773)/0.2))*AA87/2+AE86*inputs!$C$54</f>
        <v>4.0442897003002932E-5</v>
      </c>
    </row>
    <row r="88" spans="1:31" x14ac:dyDescent="0.3">
      <c r="A88" s="7">
        <f>IF(A87&lt;(inputs!$C$9-1),(1+A87),0)</f>
        <v>0</v>
      </c>
      <c r="B88" s="7">
        <f>IF(inputs!$C$8&gt;B87,IF(A87=(inputs!$C$9-1),(B87+1),B87), B87)</f>
        <v>1</v>
      </c>
      <c r="C88" s="7">
        <f t="shared" si="3"/>
        <v>85</v>
      </c>
      <c r="D88" s="8">
        <f>IF((B88&gt;B87), (EXP(-LN(2)/inputs!$C$51)*D87+$D$3), (EXP(-LN(2)/inputs!$C$51)*D87))</f>
        <v>1.7837816540243424E-3</v>
      </c>
      <c r="E88" s="8">
        <f>IF((B88&gt;B87), (EXP(-LN(2)/inputs!$C$51)*E87+$E$3), (EXP(-LN(2)/inputs!$C$51)*E87))</f>
        <v>8.1756659142782353E-4</v>
      </c>
      <c r="F88" s="8">
        <f>IF((B88&gt;B87), (EXP(-LN(2)/inputs!$C$51)*F87+$F$3), (EXP(-LN(2)/inputs!$C$51)*F87))</f>
        <v>1.0033771803886929E-3</v>
      </c>
      <c r="G88" s="8">
        <f>IF((B88&gt;B87), (EXP(-LN(2)/inputs!$C$51)*G87+$G$3), (EXP(-LN(2)/inputs!$C$51)*G87))</f>
        <v>1.114863533765214E-4</v>
      </c>
      <c r="H88" s="8">
        <f>IF((B88&gt;B87), (EXP(-LN(2)/inputs!$C$51)*H87+$H$3), (EXP(-LN(2)/inputs!$C$51)*H87))</f>
        <v>6.9864781449286773E-4</v>
      </c>
      <c r="I88" s="7">
        <f>O88*(10^inputs!$C$55)*0.01/1</f>
        <v>1.675413336118619</v>
      </c>
      <c r="J88" s="7">
        <f>(((0.621*15^0.564)/0.2))*D88/15+J87*inputs!$C$53</f>
        <v>1.9194643685545125E-3</v>
      </c>
      <c r="K88" s="7">
        <f>(((0.621*1000^0.564)/0.2))*D88/1000+K87*inputs!$C$53</f>
        <v>3.0757840717726492E-4</v>
      </c>
      <c r="L88" s="7">
        <f>(((0.648*20^0.651)/0.2))*H88/20+L87*inputs!$C$54</f>
        <v>1.0523607360793487E-3</v>
      </c>
      <c r="M88" s="7">
        <f>(((0.013*2^0.773)/0.2))*H88/2+M87*inputs!$C$54</f>
        <v>5.1316690704818178E-5</v>
      </c>
      <c r="N88" s="7">
        <f>O88*0.015*inputs!$C$56</f>
        <v>0.24615105540319338</v>
      </c>
      <c r="O88" s="7">
        <f>IF((B88&gt;B87), (EXP(-LN(2)/inputs!$C$52)*O87+$O$3), (EXP(-LN(2)/inputs!$C$52)*O87))</f>
        <v>2.6553511909729599E-2</v>
      </c>
      <c r="P88" s="3">
        <f>IF((B88&gt;B87), (EXP(-LN(2)/inputs!$C$52)*P87+$P$3), (EXP(-LN(2)/inputs!$C$52)*P87))</f>
        <v>2.5658789238526405E-2</v>
      </c>
      <c r="Q88" s="19">
        <f>IF((F88*0.62*1/(0.012*(10^inputs!$C$55)))&gt;inputs!$C$57, inputs!$C$57, (F88*0.62*1/(0.012*(10^inputs!$C$55))))</f>
        <v>8.2162692571224651E-6</v>
      </c>
      <c r="R88" s="3">
        <f>IF((B88&gt;B87), (EXP(-LN(2)/inputs!$C$51)*R87+$R$3), (EXP(-LN(2)/inputs!$C$51)*R87))</f>
        <v>1.9090042487727006E-11</v>
      </c>
      <c r="T88" s="7">
        <f>IF(T87&lt;(inputs!$C$9-1),(1+T87),0)</f>
        <v>0</v>
      </c>
      <c r="U88" s="7">
        <f>IF(inputs!$C$8&gt;U87,IF(T87=(inputs!$C$9-1),(U87+1),U87), U87)</f>
        <v>1</v>
      </c>
      <c r="V88" s="7">
        <f t="shared" si="2"/>
        <v>85</v>
      </c>
      <c r="W88" s="8">
        <f>IF((U88&gt;U87), (EXP(-LN(2)/inputs!$C$51)*W87+$W$3), (EXP(-LN(2)/inputs!$C$51)*W87))</f>
        <v>6.3175600246695462E-4</v>
      </c>
      <c r="X88" s="8">
        <f>IF((U88&gt;U87), (EXP(-LN(2)/inputs!$C$51)*X87+$X$3), (EXP(-LN(2)/inputs!$C$51)*X87))</f>
        <v>2.6756724810365125E-4</v>
      </c>
      <c r="Y88" s="8">
        <f>IF((U88&gt;U87), (EXP(-LN(2)/inputs!$C$51)*Y87+$Y$3), (EXP(-LN(2)/inputs!$C$51)*Y87))</f>
        <v>3.3445906012956463E-4</v>
      </c>
      <c r="Z88" s="8">
        <f>IF((U88&gt;U87), (EXP(-LN(2)/inputs!$C$51)*Z87+$Z$3), (EXP(-LN(2)/inputs!$C$51)*Z87))</f>
        <v>5.2026964909043311E-5</v>
      </c>
      <c r="AA88" s="8">
        <f>IF((U88&gt;U87), (EXP(-LN(2)/inputs!$C$51)*AA87+$AA$3), (EXP(-LN(2)/inputs!$C$51)*AA87))</f>
        <v>4.8310753129825927E-4</v>
      </c>
      <c r="AB88" s="7">
        <f>(((0.621*15^0.564)/0.2))*W88/15+AB87*inputs!$C$53</f>
        <v>6.7981029719638988E-4</v>
      </c>
      <c r="AC88" s="7">
        <f>(((0.621*1000^0.564)/0.2))*W88/1000+AC87*inputs!$C$53</f>
        <v>1.0893401920861468E-4</v>
      </c>
      <c r="AD88" s="7">
        <f>(((0.648*20^0.651)/0.2))*AA88/20+AD87*inputs!$C$54</f>
        <v>7.276962536718896E-4</v>
      </c>
      <c r="AE88" s="7">
        <f>(((0.013*2^0.773)/0.2))*AA88/2+AE87*inputs!$C$54</f>
        <v>3.5484945700140202E-5</v>
      </c>
    </row>
    <row r="89" spans="1:31" x14ac:dyDescent="0.3">
      <c r="A89" s="7">
        <f>IF(A88&lt;(inputs!$C$9-1),(1+A88),0)</f>
        <v>0</v>
      </c>
      <c r="B89" s="7">
        <f>IF(inputs!$C$8&gt;B88,IF(A88=(inputs!$C$9-1),(B88+1),B88), B88)</f>
        <v>1</v>
      </c>
      <c r="C89" s="7">
        <f t="shared" si="3"/>
        <v>86</v>
      </c>
      <c r="D89" s="8">
        <f>IF((B89&gt;B88), (EXP(-LN(2)/inputs!$C$51)*D88+$D$3), (EXP(-LN(2)/inputs!$C$51)*D88))</f>
        <v>1.5651053664444505E-3</v>
      </c>
      <c r="E89" s="8">
        <f>IF((B89&gt;B88), (EXP(-LN(2)/inputs!$C$51)*E88+$E$3), (EXP(-LN(2)/inputs!$C$51)*E88))</f>
        <v>7.1733995962037307E-4</v>
      </c>
      <c r="F89" s="8">
        <f>IF((B89&gt;B88), (EXP(-LN(2)/inputs!$C$51)*F88+$F$3), (EXP(-LN(2)/inputs!$C$51)*F88))</f>
        <v>8.8037176862500361E-4</v>
      </c>
      <c r="G89" s="8">
        <f>IF((B89&gt;B88), (EXP(-LN(2)/inputs!$C$51)*G88+$G$3), (EXP(-LN(2)/inputs!$C$51)*G88))</f>
        <v>9.7819085402778158E-5</v>
      </c>
      <c r="H89" s="8">
        <f>IF((B89&gt;B88), (EXP(-LN(2)/inputs!$C$51)*H88+$H$3), (EXP(-LN(2)/inputs!$C$51)*H88))</f>
        <v>6.1299960185741008E-4</v>
      </c>
      <c r="I89" s="7">
        <f>O89*(10^inputs!$C$55)*0.01/1</f>
        <v>1.641603028576482</v>
      </c>
      <c r="J89" s="7">
        <f>(((0.621*15^0.564)/0.2))*D89/15+J88*inputs!$C$53</f>
        <v>1.6841545472485165E-3</v>
      </c>
      <c r="K89" s="7">
        <f>(((0.621*1000^0.564)/0.2))*D89/1000+K88*inputs!$C$53</f>
        <v>2.6987194009396641E-4</v>
      </c>
      <c r="L89" s="7">
        <f>(((0.648*20^0.651)/0.2))*H89/20+L88*inputs!$C$54</f>
        <v>9.2335036172019305E-4</v>
      </c>
      <c r="M89" s="7">
        <f>(((0.013*2^0.773)/0.2))*H89/2+M88*inputs!$C$54</f>
        <v>4.5025705825083537E-5</v>
      </c>
      <c r="N89" s="7">
        <f>O89*0.015*inputs!$C$56</f>
        <v>0.24118365857902588</v>
      </c>
      <c r="O89" s="7">
        <f>IF((B89&gt;B88), (EXP(-LN(2)/inputs!$C$52)*O88+$O$3), (EXP(-LN(2)/inputs!$C$52)*O88))</f>
        <v>2.6017654647144107E-2</v>
      </c>
      <c r="P89" s="3">
        <f>IF((B89&gt;B88), (EXP(-LN(2)/inputs!$C$52)*P88+$P$3), (EXP(-LN(2)/inputs!$C$52)*P88))</f>
        <v>2.5140987728528141E-2</v>
      </c>
      <c r="Q89" s="19">
        <f>IF((F89*0.62*1/(0.012*(10^inputs!$C$55)))&gt;inputs!$C$57, inputs!$C$57, (F89*0.62*1/(0.012*(10^inputs!$C$55))))</f>
        <v>7.2090253184650385E-6</v>
      </c>
      <c r="R89" s="3">
        <f>IF((B89&gt;B88), (EXP(-LN(2)/inputs!$C$51)*R88+$R$3), (EXP(-LN(2)/inputs!$C$51)*R88))</f>
        <v>1.6749767481792015E-11</v>
      </c>
      <c r="T89" s="7">
        <f>IF(T88&lt;(inputs!$C$9-1),(1+T88),0)</f>
        <v>0</v>
      </c>
      <c r="U89" s="7">
        <f>IF(inputs!$C$8&gt;U88,IF(T88=(inputs!$C$9-1),(U88+1),U88), U88)</f>
        <v>1</v>
      </c>
      <c r="V89" s="7">
        <f t="shared" si="2"/>
        <v>86</v>
      </c>
      <c r="W89" s="8">
        <f>IF((U89&gt;U88), (EXP(-LN(2)/inputs!$C$51)*W88+$W$3), (EXP(-LN(2)/inputs!$C$51)*W88))</f>
        <v>5.5430815061574296E-4</v>
      </c>
      <c r="X89" s="8">
        <f>IF((U89&gt;U88), (EXP(-LN(2)/inputs!$C$51)*X88+$X$3), (EXP(-LN(2)/inputs!$C$51)*X88))</f>
        <v>2.3476580496666749E-4</v>
      </c>
      <c r="Y89" s="8">
        <f>IF((U89&gt;U88), (EXP(-LN(2)/inputs!$C$51)*Y88+$Y$3), (EXP(-LN(2)/inputs!$C$51)*Y88))</f>
        <v>2.9345725620833483E-4</v>
      </c>
      <c r="Z89" s="8">
        <f>IF((U89&gt;U88), (EXP(-LN(2)/inputs!$C$51)*Z88+$Z$3), (EXP(-LN(2)/inputs!$C$51)*Z88))</f>
        <v>4.5648906521296465E-5</v>
      </c>
      <c r="AA89" s="8">
        <f>IF((U89&gt;U88), (EXP(-LN(2)/inputs!$C$51)*AA88+$AA$3), (EXP(-LN(2)/inputs!$C$51)*AA88))</f>
        <v>4.2388270341203857E-4</v>
      </c>
      <c r="AB89" s="7">
        <f>(((0.621*15^0.564)/0.2))*W89/15+AB88*inputs!$C$53</f>
        <v>5.9647140215051634E-4</v>
      </c>
      <c r="AC89" s="7">
        <f>(((0.621*1000^0.564)/0.2))*W89/1000+AC88*inputs!$C$53</f>
        <v>9.5579645449946448E-5</v>
      </c>
      <c r="AD89" s="7">
        <f>(((0.648*20^0.651)/0.2))*AA89/20+AD88*inputs!$C$54</f>
        <v>6.3848695225332455E-4</v>
      </c>
      <c r="AE89" s="7">
        <f>(((0.013*2^0.773)/0.2))*AA89/2+AE88*inputs!$C$54</f>
        <v>3.1134796581174765E-5</v>
      </c>
    </row>
    <row r="90" spans="1:31" x14ac:dyDescent="0.3">
      <c r="A90" s="7">
        <f>IF(A89&lt;(inputs!$C$9-1),(1+A89),0)</f>
        <v>0</v>
      </c>
      <c r="B90" s="7">
        <f>IF(inputs!$C$8&gt;B89,IF(A89=(inputs!$C$9-1),(B89+1),B89), B89)</f>
        <v>1</v>
      </c>
      <c r="C90" s="7">
        <f t="shared" si="3"/>
        <v>87</v>
      </c>
      <c r="D90" s="8">
        <f>IF((B90&gt;B89), (EXP(-LN(2)/inputs!$C$51)*D89+$D$3), (EXP(-LN(2)/inputs!$C$51)*D89))</f>
        <v>1.3732369107770797E-3</v>
      </c>
      <c r="E90" s="8">
        <f>IF((B90&gt;B89), (EXP(-LN(2)/inputs!$C$51)*E89+$E$3), (EXP(-LN(2)/inputs!$C$51)*E89))</f>
        <v>6.2940025077282819E-4</v>
      </c>
      <c r="F90" s="8">
        <f>IF((B90&gt;B89), (EXP(-LN(2)/inputs!$C$51)*F89+$F$3), (EXP(-LN(2)/inputs!$C$51)*F89))</f>
        <v>7.7244576231210761E-4</v>
      </c>
      <c r="G90" s="8">
        <f>IF((B90&gt;B89), (EXP(-LN(2)/inputs!$C$51)*G89+$G$3), (EXP(-LN(2)/inputs!$C$51)*G89))</f>
        <v>8.5827306923567484E-5</v>
      </c>
      <c r="H90" s="8">
        <f>IF((B90&gt;B89), (EXP(-LN(2)/inputs!$C$51)*H89+$H$3), (EXP(-LN(2)/inputs!$C$51)*H89))</f>
        <v>5.3785112338768982E-4</v>
      </c>
      <c r="I90" s="7">
        <f>O90*(10^inputs!$C$55)*0.01/1</f>
        <v>1.6084750224530162</v>
      </c>
      <c r="J90" s="7">
        <f>(((0.621*15^0.564)/0.2))*D90/15+J89*inputs!$C$53</f>
        <v>1.4776916860164695E-3</v>
      </c>
      <c r="K90" s="7">
        <f>(((0.621*1000^0.564)/0.2))*D90/1000+K89*inputs!$C$53</f>
        <v>2.3678796154278538E-4</v>
      </c>
      <c r="L90" s="7">
        <f>(((0.648*20^0.651)/0.2))*H90/20+L89*inputs!$C$54</f>
        <v>8.1015554957433007E-4</v>
      </c>
      <c r="M90" s="7">
        <f>(((0.013*2^0.773)/0.2))*H90/2+M89*inputs!$C$54</f>
        <v>3.9505941579678181E-5</v>
      </c>
      <c r="N90" s="7">
        <f>O90*0.015*inputs!$C$56</f>
        <v>0.23631650520564645</v>
      </c>
      <c r="O90" s="7">
        <f>IF((B90&gt;B89), (EXP(-LN(2)/inputs!$C$52)*O89+$O$3), (EXP(-LN(2)/inputs!$C$52)*O89))</f>
        <v>2.5492611133295196E-2</v>
      </c>
      <c r="P90" s="3">
        <f>IF((B90&gt;B89), (EXP(-LN(2)/inputs!$C$52)*P89+$P$3), (EXP(-LN(2)/inputs!$C$52)*P89))</f>
        <v>2.4633635597152696E-2</v>
      </c>
      <c r="Q90" s="19">
        <f>IF((F90*0.62*1/(0.012*(10^inputs!$C$55)))&gt;inputs!$C$57, inputs!$C$57, (F90*0.62*1/(0.012*(10^inputs!$C$55))))</f>
        <v>6.3252608228751161E-6</v>
      </c>
      <c r="R90" s="3">
        <f>IF((B90&gt;B89), (EXP(-LN(2)/inputs!$C$51)*R89+$R$3), (EXP(-LN(2)/inputs!$C$51)*R89))</f>
        <v>1.469639006170185E-11</v>
      </c>
      <c r="T90" s="7">
        <f>IF(T89&lt;(inputs!$C$9-1),(1+T89),0)</f>
        <v>0</v>
      </c>
      <c r="U90" s="7">
        <f>IF(inputs!$C$8&gt;U89,IF(T89=(inputs!$C$9-1),(U89+1),U89), U89)</f>
        <v>1</v>
      </c>
      <c r="V90" s="7">
        <f t="shared" si="2"/>
        <v>87</v>
      </c>
      <c r="W90" s="8">
        <f>IF((U90&gt;U89), (EXP(-LN(2)/inputs!$C$51)*W89+$W$3), (EXP(-LN(2)/inputs!$C$51)*W89))</f>
        <v>4.8635473923354914E-4</v>
      </c>
      <c r="X90" s="8">
        <f>IF((U90&gt;U89), (EXP(-LN(2)/inputs!$C$51)*X89+$X$3), (EXP(-LN(2)/inputs!$C$51)*X89))</f>
        <v>2.059855366165619E-4</v>
      </c>
      <c r="Y90" s="8">
        <f>IF((U90&gt;U89), (EXP(-LN(2)/inputs!$C$51)*Y89+$Y$3), (EXP(-LN(2)/inputs!$C$51)*Y89))</f>
        <v>2.5748192077070279E-4</v>
      </c>
      <c r="Z90" s="8">
        <f>IF((U90&gt;U89), (EXP(-LN(2)/inputs!$C$51)*Z89+$Z$3), (EXP(-LN(2)/inputs!$C$51)*Z89))</f>
        <v>4.0052743230998151E-5</v>
      </c>
      <c r="AA90" s="8">
        <f>IF((U90&gt;U89), (EXP(-LN(2)/inputs!$C$51)*AA89+$AA$3), (EXP(-LN(2)/inputs!$C$51)*AA89))</f>
        <v>3.7191833000212567E-4</v>
      </c>
      <c r="AB90" s="7">
        <f>(((0.621*15^0.564)/0.2))*W90/15+AB89*inputs!$C$53</f>
        <v>5.2334913879749964E-4</v>
      </c>
      <c r="AC90" s="7">
        <f>(((0.621*1000^0.564)/0.2))*W90/1000+AC89*inputs!$C$53</f>
        <v>8.3862403046403169E-5</v>
      </c>
      <c r="AD90" s="7">
        <f>(((0.648*20^0.651)/0.2))*AA90/20+AD89*inputs!$C$54</f>
        <v>5.6021394385458959E-4</v>
      </c>
      <c r="AE90" s="7">
        <f>(((0.013*2^0.773)/0.2))*AA90/2+AE89*inputs!$C$54</f>
        <v>2.7317938326373194E-5</v>
      </c>
    </row>
    <row r="91" spans="1:31" x14ac:dyDescent="0.3">
      <c r="A91" s="7">
        <f>IF(A90&lt;(inputs!$C$9-1),(1+A90),0)</f>
        <v>0</v>
      </c>
      <c r="B91" s="7">
        <f>IF(inputs!$C$8&gt;B90,IF(A90=(inputs!$C$9-1),(B90+1),B90), B90)</f>
        <v>1</v>
      </c>
      <c r="C91" s="7">
        <f t="shared" si="3"/>
        <v>88</v>
      </c>
      <c r="D91" s="8">
        <f>IF((B91&gt;B90), (EXP(-LN(2)/inputs!$C$51)*D90+$D$3), (EXP(-LN(2)/inputs!$C$51)*D90))</f>
        <v>1.2048898774174054E-3</v>
      </c>
      <c r="E91" s="8">
        <f>IF((B91&gt;B90), (EXP(-LN(2)/inputs!$C$51)*E90+$E$3), (EXP(-LN(2)/inputs!$C$51)*E90))</f>
        <v>5.5224119381631074E-4</v>
      </c>
      <c r="F91" s="8">
        <f>IF((B91&gt;B90), (EXP(-LN(2)/inputs!$C$51)*F90+$F$3), (EXP(-LN(2)/inputs!$C$51)*F90))</f>
        <v>6.7775055604729075E-4</v>
      </c>
      <c r="G91" s="8">
        <f>IF((B91&gt;B90), (EXP(-LN(2)/inputs!$C$51)*G90+$G$3), (EXP(-LN(2)/inputs!$C$51)*G90))</f>
        <v>7.530561733858784E-5</v>
      </c>
      <c r="H91" s="8">
        <f>IF((B91&gt;B90), (EXP(-LN(2)/inputs!$C$51)*H90+$H$3), (EXP(-LN(2)/inputs!$C$51)*H90))</f>
        <v>4.7191520198848399E-4</v>
      </c>
      <c r="I91" s="7">
        <f>O91*(10^inputs!$C$55)*0.01/1</f>
        <v>1.5760155487156462</v>
      </c>
      <c r="J91" s="7">
        <f>(((0.621*15^0.564)/0.2))*D91/15+J90*inputs!$C$53</f>
        <v>1.2965393956805228E-3</v>
      </c>
      <c r="K91" s="7">
        <f>(((0.621*1000^0.564)/0.2))*D91/1000+K90*inputs!$C$53</f>
        <v>2.0775979419003387E-4</v>
      </c>
      <c r="L91" s="7">
        <f>(((0.648*20^0.651)/0.2))*H91/20+L90*inputs!$C$54</f>
        <v>7.1083744775201827E-4</v>
      </c>
      <c r="M91" s="7">
        <f>(((0.013*2^0.773)/0.2))*H91/2+M90*inputs!$C$54</f>
        <v>3.4662852952490059E-5</v>
      </c>
      <c r="N91" s="7">
        <f>O91*0.015*inputs!$C$56</f>
        <v>0.23154757234231144</v>
      </c>
      <c r="O91" s="7">
        <f>IF((B91&gt;B90), (EXP(-LN(2)/inputs!$C$52)*O90+$O$3), (EXP(-LN(2)/inputs!$C$52)*O90))</f>
        <v>2.4978163143722917E-2</v>
      </c>
      <c r="P91" s="3">
        <f>IF((B91&gt;B90), (EXP(-LN(2)/inputs!$C$52)*P90+$P$3), (EXP(-LN(2)/inputs!$C$52)*P90))</f>
        <v>2.4136521973030456E-2</v>
      </c>
      <c r="Q91" s="19">
        <f>IF((F91*0.62*1/(0.012*(10^inputs!$C$55)))&gt;inputs!$C$57, inputs!$C$57, (F91*0.62*1/(0.012*(10^inputs!$C$55))))</f>
        <v>5.5498382527414359E-6</v>
      </c>
      <c r="R91" s="3">
        <f>IF((B91&gt;B90), (EXP(-LN(2)/inputs!$C$51)*R90+$R$3), (EXP(-LN(2)/inputs!$C$51)*R90))</f>
        <v>1.2894739051182418E-11</v>
      </c>
      <c r="T91" s="7">
        <f>IF(T90&lt;(inputs!$C$9-1),(1+T90),0)</f>
        <v>0</v>
      </c>
      <c r="U91" s="7">
        <f>IF(inputs!$C$8&gt;U90,IF(T90=(inputs!$C$9-1),(U90+1),U90), U90)</f>
        <v>1</v>
      </c>
      <c r="V91" s="7">
        <f t="shared" si="2"/>
        <v>88</v>
      </c>
      <c r="W91" s="8">
        <f>IF((U91&gt;U90), (EXP(-LN(2)/inputs!$C$51)*W90+$W$3), (EXP(-LN(2)/inputs!$C$51)*W90))</f>
        <v>4.2673183158533116E-4</v>
      </c>
      <c r="X91" s="8">
        <f>IF((U91&gt;U90), (EXP(-LN(2)/inputs!$C$51)*X90+$X$3), (EXP(-LN(2)/inputs!$C$51)*X90))</f>
        <v>1.8073348161261075E-4</v>
      </c>
      <c r="Y91" s="8">
        <f>IF((U91&gt;U90), (EXP(-LN(2)/inputs!$C$51)*Y90+$Y$3), (EXP(-LN(2)/inputs!$C$51)*Y90))</f>
        <v>2.2591685201576382E-4</v>
      </c>
      <c r="Z91" s="8">
        <f>IF((U91&gt;U90), (EXP(-LN(2)/inputs!$C$51)*Z90+$Z$3), (EXP(-LN(2)/inputs!$C$51)*Z90))</f>
        <v>3.5142621424674316E-5</v>
      </c>
      <c r="AA91" s="8">
        <f>IF((U91&gt;U90), (EXP(-LN(2)/inputs!$C$51)*AA90+$AA$3), (EXP(-LN(2)/inputs!$C$51)*AA90))</f>
        <v>3.2632434180054719E-4</v>
      </c>
      <c r="AB91" s="7">
        <f>(((0.621*15^0.564)/0.2))*W91/15+AB90*inputs!$C$53</f>
        <v>4.5919103597018523E-4</v>
      </c>
      <c r="AC91" s="7">
        <f>(((0.621*1000^0.564)/0.2))*W91/1000+AC90*inputs!$C$53</f>
        <v>7.3581593775637002E-5</v>
      </c>
      <c r="AD91" s="7">
        <f>(((0.648*20^0.651)/0.2))*AA91/20+AD90*inputs!$C$54</f>
        <v>4.9153653302001223E-4</v>
      </c>
      <c r="AE91" s="7">
        <f>(((0.013*2^0.773)/0.2))*AA91/2+AE90*inputs!$C$54</f>
        <v>2.3968994062892045E-5</v>
      </c>
    </row>
    <row r="92" spans="1:31" x14ac:dyDescent="0.3">
      <c r="A92" s="7">
        <f>IF(A91&lt;(inputs!$C$9-1),(1+A91),0)</f>
        <v>0</v>
      </c>
      <c r="B92" s="7">
        <f>IF(inputs!$C$8&gt;B91,IF(A91=(inputs!$C$9-1),(B91+1),B91), B91)</f>
        <v>1</v>
      </c>
      <c r="C92" s="7">
        <f t="shared" si="3"/>
        <v>89</v>
      </c>
      <c r="D92" s="8">
        <f>IF((B92&gt;B91), (EXP(-LN(2)/inputs!$C$51)*D91+$D$3), (EXP(-LN(2)/inputs!$C$51)*D91))</f>
        <v>1.0571807423100917E-3</v>
      </c>
      <c r="E92" s="8">
        <f>IF((B92&gt;B91), (EXP(-LN(2)/inputs!$C$51)*E91+$E$3), (EXP(-LN(2)/inputs!$C$51)*E91))</f>
        <v>4.8454117355879191E-4</v>
      </c>
      <c r="F92" s="8">
        <f>IF((B92&gt;B91), (EXP(-LN(2)/inputs!$C$51)*F91+$F$3), (EXP(-LN(2)/inputs!$C$51)*F91))</f>
        <v>5.9466416754942676E-4</v>
      </c>
      <c r="G92" s="8">
        <f>IF((B92&gt;B91), (EXP(-LN(2)/inputs!$C$51)*G91+$G$3), (EXP(-LN(2)/inputs!$C$51)*G91))</f>
        <v>6.6073796394380729E-5</v>
      </c>
      <c r="H92" s="8">
        <f>IF((B92&gt;B91), (EXP(-LN(2)/inputs!$C$51)*H91+$H$3), (EXP(-LN(2)/inputs!$C$51)*H91))</f>
        <v>4.1406245740478607E-4</v>
      </c>
      <c r="I92" s="7">
        <f>O92*(10^inputs!$C$55)*0.01/1</f>
        <v>1.5442111161947074</v>
      </c>
      <c r="J92" s="7">
        <f>(((0.621*15^0.564)/0.2))*D92/15+J91*inputs!$C$53</f>
        <v>1.1375948179577695E-3</v>
      </c>
      <c r="K92" s="7">
        <f>(((0.621*1000^0.564)/0.2))*D92/1000+K91*inputs!$C$53</f>
        <v>1.8229023046885715E-4</v>
      </c>
      <c r="L92" s="7">
        <f>(((0.648*20^0.651)/0.2))*H92/20+L91*inputs!$C$54</f>
        <v>6.2369489092815736E-4</v>
      </c>
      <c r="M92" s="7">
        <f>(((0.013*2^0.773)/0.2))*H92/2+M91*inputs!$C$54</f>
        <v>3.0413485333153178E-5</v>
      </c>
      <c r="N92" s="7">
        <f>O92*0.015*inputs!$C$56</f>
        <v>0.2268748778717844</v>
      </c>
      <c r="O92" s="7">
        <f>IF((B92&gt;B91), (EXP(-LN(2)/inputs!$C$52)*O91+$O$3), (EXP(-LN(2)/inputs!$C$52)*O91))</f>
        <v>2.447409685779767E-2</v>
      </c>
      <c r="P92" s="3">
        <f>IF((B92&gt;B91), (EXP(-LN(2)/inputs!$C$52)*P91+$P$3), (EXP(-LN(2)/inputs!$C$52)*P91))</f>
        <v>2.3649440240234743E-2</v>
      </c>
      <c r="Q92" s="19">
        <f>IF((F92*0.62*1/(0.012*(10^inputs!$C$55)))&gt;inputs!$C$57, inputs!$C$57, (F92*0.62*1/(0.012*(10^inputs!$C$55))))</f>
        <v>4.8694758199064754E-6</v>
      </c>
      <c r="R92" s="3">
        <f>IF((B92&gt;B91), (EXP(-LN(2)/inputs!$C$51)*R91+$R$3), (EXP(-LN(2)/inputs!$C$51)*R91))</f>
        <v>1.1313954957645851E-11</v>
      </c>
      <c r="T92" s="7">
        <f>IF(T91&lt;(inputs!$C$9-1),(1+T91),0)</f>
        <v>0</v>
      </c>
      <c r="U92" s="7">
        <f>IF(inputs!$C$8&gt;U91,IF(T91=(inputs!$C$9-1),(U91+1),U91), U91)</f>
        <v>1</v>
      </c>
      <c r="V92" s="7">
        <f t="shared" si="2"/>
        <v>89</v>
      </c>
      <c r="W92" s="8">
        <f>IF((U92&gt;U91), (EXP(-LN(2)/inputs!$C$51)*W91+$W$3), (EXP(-LN(2)/inputs!$C$51)*W91))</f>
        <v>3.744181795681575E-4</v>
      </c>
      <c r="X92" s="8">
        <f>IF((U92&gt;U91), (EXP(-LN(2)/inputs!$C$51)*X91+$X$3), (EXP(-LN(2)/inputs!$C$51)*X91))</f>
        <v>1.5857711134651368E-4</v>
      </c>
      <c r="Y92" s="8">
        <f>IF((U92&gt;U91), (EXP(-LN(2)/inputs!$C$51)*Y91+$Y$3), (EXP(-LN(2)/inputs!$C$51)*Y91))</f>
        <v>1.9822138918314244E-4</v>
      </c>
      <c r="Z92" s="8">
        <f>IF((U92&gt;U91), (EXP(-LN(2)/inputs!$C$51)*Z91+$Z$3), (EXP(-LN(2)/inputs!$C$51)*Z91))</f>
        <v>3.0834438317377663E-5</v>
      </c>
      <c r="AA92" s="8">
        <f>IF((U92&gt;U91), (EXP(-LN(2)/inputs!$C$51)*AA91+$AA$3), (EXP(-LN(2)/inputs!$C$51)*AA91))</f>
        <v>2.8631978437564971E-4</v>
      </c>
      <c r="AB92" s="7">
        <f>(((0.621*15^0.564)/0.2))*W92/15+AB91*inputs!$C$53</f>
        <v>4.0289816469337683E-4</v>
      </c>
      <c r="AC92" s="7">
        <f>(((0.621*1000^0.564)/0.2))*W92/1000+AC91*inputs!$C$53</f>
        <v>6.4561123291053576E-5</v>
      </c>
      <c r="AD92" s="7">
        <f>(((0.648*20^0.651)/0.2))*AA92/20+AD91*inputs!$C$54</f>
        <v>4.3127838202478935E-4</v>
      </c>
      <c r="AE92" s="7">
        <f>(((0.013*2^0.773)/0.2))*AA92/2+AE91*inputs!$C$54</f>
        <v>2.1030601560159098E-5</v>
      </c>
    </row>
    <row r="93" spans="1:31" x14ac:dyDescent="0.3">
      <c r="A93" s="7">
        <f>IF(A92&lt;(inputs!$C$9-1),(1+A92),0)</f>
        <v>0</v>
      </c>
      <c r="B93" s="7">
        <f>IF(inputs!$C$8&gt;B92,IF(A92=(inputs!$C$9-1),(B92+1),B92), B92)</f>
        <v>1</v>
      </c>
      <c r="C93" s="7">
        <f t="shared" si="3"/>
        <v>90</v>
      </c>
      <c r="D93" s="8">
        <f>IF((B93&gt;B92), (EXP(-LN(2)/inputs!$C$51)*D92+$D$3), (EXP(-LN(2)/inputs!$C$51)*D92))</f>
        <v>9.2757947664634554E-4</v>
      </c>
      <c r="E93" s="8">
        <f>IF((B93&gt;B92), (EXP(-LN(2)/inputs!$C$51)*E92+$E$3), (EXP(-LN(2)/inputs!$C$51)*E92))</f>
        <v>4.2514059346290833E-4</v>
      </c>
      <c r="F93" s="8">
        <f>IF((B93&gt;B92), (EXP(-LN(2)/inputs!$C$51)*F92+$F$3), (EXP(-LN(2)/inputs!$C$51)*F92))</f>
        <v>5.2176345561356962E-4</v>
      </c>
      <c r="G93" s="8">
        <f>IF((B93&gt;B92), (EXP(-LN(2)/inputs!$C$51)*G92+$G$3), (EXP(-LN(2)/inputs!$C$51)*G92))</f>
        <v>5.7973717290396596E-5</v>
      </c>
      <c r="H93" s="8">
        <f>IF((B93&gt;B92), (EXP(-LN(2)/inputs!$C$51)*H92+$H$3), (EXP(-LN(2)/inputs!$C$51)*H92))</f>
        <v>3.633019616864855E-4</v>
      </c>
      <c r="I93" s="7">
        <f>O93*(10^inputs!$C$55)*0.01/1</f>
        <v>1.5130485059760952</v>
      </c>
      <c r="J93" s="7">
        <f>(((0.621*15^0.564)/0.2))*D93/15+J92*inputs!$C$53</f>
        <v>9.9813547830154207E-4</v>
      </c>
      <c r="K93" s="7">
        <f>(((0.621*1000^0.564)/0.2))*D93/1000+K92*inputs!$C$53</f>
        <v>1.5994301618336445E-4</v>
      </c>
      <c r="L93" s="7">
        <f>(((0.648*20^0.651)/0.2))*H93/20+L92*inputs!$C$54</f>
        <v>5.4723526201392605E-4</v>
      </c>
      <c r="M93" s="7">
        <f>(((0.013*2^0.773)/0.2))*H93/2+M92*inputs!$C$54</f>
        <v>2.6685053632998094E-5</v>
      </c>
      <c r="N93" s="7">
        <f>O93*0.015*inputs!$C$56</f>
        <v>0.22229647967650665</v>
      </c>
      <c r="O93" s="7">
        <f>IF((B93&gt;B92), (EXP(-LN(2)/inputs!$C$52)*O92+$O$3), (EXP(-LN(2)/inputs!$C$52)*O92))</f>
        <v>2.3980202769849693E-2</v>
      </c>
      <c r="P93" s="3">
        <f>IF((B93&gt;B92), (EXP(-LN(2)/inputs!$C$52)*P92+$P$3), (EXP(-LN(2)/inputs!$C$52)*P92))</f>
        <v>2.3172187952405807E-2</v>
      </c>
      <c r="Q93" s="19">
        <f>IF((F93*0.62*1/(0.012*(10^inputs!$C$55)))&gt;inputs!$C$57, inputs!$C$57, (F93*0.62*1/(0.012*(10^inputs!$C$55))))</f>
        <v>4.2725199691974824E-6</v>
      </c>
      <c r="R93" s="3">
        <f>IF((B93&gt;B92), (EXP(-LN(2)/inputs!$C$51)*R92+$R$3), (EXP(-LN(2)/inputs!$C$51)*R92))</f>
        <v>9.9269613968575283E-12</v>
      </c>
      <c r="T93" s="7">
        <f>IF(T92&lt;(inputs!$C$9-1),(1+T92),0)</f>
        <v>0</v>
      </c>
      <c r="U93" s="7">
        <f>IF(inputs!$C$8&gt;U92,IF(T92=(inputs!$C$9-1),(U92+1),U92), U92)</f>
        <v>1</v>
      </c>
      <c r="V93" s="7">
        <f t="shared" si="2"/>
        <v>90</v>
      </c>
      <c r="W93" s="8">
        <f>IF((U93&gt;U92), (EXP(-LN(2)/inputs!$C$51)*W92+$W$3), (EXP(-LN(2)/inputs!$C$51)*W92))</f>
        <v>3.2851773131224743E-4</v>
      </c>
      <c r="X93" s="8">
        <f>IF((U93&gt;U92), (EXP(-LN(2)/inputs!$C$51)*X92+$X$3), (EXP(-LN(2)/inputs!$C$51)*X92))</f>
        <v>1.3913692149695179E-4</v>
      </c>
      <c r="Y93" s="8">
        <f>IF((U93&gt;U92), (EXP(-LN(2)/inputs!$C$51)*Y92+$Y$3), (EXP(-LN(2)/inputs!$C$51)*Y92))</f>
        <v>1.7392115187119003E-4</v>
      </c>
      <c r="Z93" s="8">
        <f>IF((U93&gt;U92), (EXP(-LN(2)/inputs!$C$51)*Z92+$Z$3), (EXP(-LN(2)/inputs!$C$51)*Z92))</f>
        <v>2.7054401402185069E-5</v>
      </c>
      <c r="AA93" s="8">
        <f>IF((U93&gt;U92), (EXP(-LN(2)/inputs!$C$51)*AA92+$AA$3), (EXP(-LN(2)/inputs!$C$51)*AA92))</f>
        <v>2.512194415917185E-4</v>
      </c>
      <c r="AB93" s="7">
        <f>(((0.621*15^0.564)/0.2))*W93/15+AB92*inputs!$C$53</f>
        <v>3.5350631523179625E-4</v>
      </c>
      <c r="AC93" s="7">
        <f>(((0.621*1000^0.564)/0.2))*W93/1000+AC92*inputs!$C$53</f>
        <v>5.664648489827492E-5</v>
      </c>
      <c r="AD93" s="7">
        <f>(((0.648*20^0.651)/0.2))*AA93/20+AD92*inputs!$C$54</f>
        <v>3.78407362030906E-4</v>
      </c>
      <c r="AE93" s="7">
        <f>(((0.013*2^0.773)/0.2))*AA93/2+AE92*inputs!$C$54</f>
        <v>1.8452430703668882E-5</v>
      </c>
    </row>
    <row r="94" spans="1:31" x14ac:dyDescent="0.3">
      <c r="A94" s="7">
        <f>IF(A93&lt;(inputs!$C$9-1),(1+A93),0)</f>
        <v>0</v>
      </c>
      <c r="B94" s="7">
        <f>IF(inputs!$C$8&gt;B93,IF(A93=(inputs!$C$9-1),(B93+1),B93), B93)</f>
        <v>1</v>
      </c>
      <c r="C94" s="7">
        <f t="shared" si="3"/>
        <v>91</v>
      </c>
      <c r="D94" s="8">
        <f>IF((B94&gt;B93), (EXP(-LN(2)/inputs!$C$51)*D93+$D$3), (EXP(-LN(2)/inputs!$C$51)*D93))</f>
        <v>8.138662113872816E-4</v>
      </c>
      <c r="E94" s="8">
        <f>IF((B94&gt;B93), (EXP(-LN(2)/inputs!$C$51)*E93+$E$3), (EXP(-LN(2)/inputs!$C$51)*E93))</f>
        <v>3.7302201355250404E-4</v>
      </c>
      <c r="F94" s="8">
        <f>IF((B94&gt;B93), (EXP(-LN(2)/inputs!$C$51)*F93+$F$3), (EXP(-LN(2)/inputs!$C$51)*F93))</f>
        <v>4.5779974390534612E-4</v>
      </c>
      <c r="G94" s="8">
        <f>IF((B94&gt;B93), (EXP(-LN(2)/inputs!$C$51)*G93+$G$3), (EXP(-LN(2)/inputs!$C$51)*G93))</f>
        <v>5.08666382117051E-5</v>
      </c>
      <c r="H94" s="8">
        <f>IF((B94&gt;B93), (EXP(-LN(2)/inputs!$C$51)*H93+$H$3), (EXP(-LN(2)/inputs!$C$51)*H93))</f>
        <v>3.1876426612668544E-4</v>
      </c>
      <c r="I94" s="7">
        <f>O94*(10^inputs!$C$55)*0.01/1</f>
        <v>1.4825147659070712</v>
      </c>
      <c r="J94" s="7">
        <f>(((0.621*15^0.564)/0.2))*D94/15+J93*inputs!$C$53</f>
        <v>8.7577265412722063E-4</v>
      </c>
      <c r="K94" s="7">
        <f>(((0.621*1000^0.564)/0.2))*D94/1000+K93*inputs!$C$53</f>
        <v>1.4033537814963937E-4</v>
      </c>
      <c r="L94" s="7">
        <f>(((0.648*20^0.651)/0.2))*H94/20+L93*inputs!$C$54</f>
        <v>4.8014892593684153E-4</v>
      </c>
      <c r="M94" s="7">
        <f>(((0.013*2^0.773)/0.2))*H94/2+M93*inputs!$C$54</f>
        <v>2.3413695589165058E-5</v>
      </c>
      <c r="N94" s="7">
        <f>O94*0.015*inputs!$C$56</f>
        <v>0.21781047483139249</v>
      </c>
      <c r="O94" s="7">
        <f>IF((B94&gt;B93), (EXP(-LN(2)/inputs!$C$52)*O93+$O$3), (EXP(-LN(2)/inputs!$C$52)*O93))</f>
        <v>2.349627560209196E-2</v>
      </c>
      <c r="P94" s="3">
        <f>IF((B94&gt;B93), (EXP(-LN(2)/inputs!$C$52)*P93+$P$3), (EXP(-LN(2)/inputs!$C$52)*P93))</f>
        <v>2.2704566748607793E-2</v>
      </c>
      <c r="Q94" s="19">
        <f>IF((F94*0.62*1/(0.012*(10^inputs!$C$55)))&gt;inputs!$C$57, inputs!$C$57, (F94*0.62*1/(0.012*(10^inputs!$C$55))))</f>
        <v>3.7487457710677875E-6</v>
      </c>
      <c r="R94" s="3">
        <f>IF((B94&gt;B93), (EXP(-LN(2)/inputs!$C$51)*R93+$R$3), (EXP(-LN(2)/inputs!$C$51)*R93))</f>
        <v>8.710001316392389E-12</v>
      </c>
      <c r="T94" s="7">
        <f>IF(T93&lt;(inputs!$C$9-1),(1+T93),0)</f>
        <v>0</v>
      </c>
      <c r="U94" s="7">
        <f>IF(inputs!$C$8&gt;U93,IF(T93=(inputs!$C$9-1),(U93+1),U93), U93)</f>
        <v>1</v>
      </c>
      <c r="V94" s="7">
        <f t="shared" si="2"/>
        <v>91</v>
      </c>
      <c r="W94" s="8">
        <f>IF((U94&gt;U93), (EXP(-LN(2)/inputs!$C$51)*W93+$W$3), (EXP(-LN(2)/inputs!$C$51)*W93))</f>
        <v>2.8824428319966229E-4</v>
      </c>
      <c r="X94" s="8">
        <f>IF((U94&gt;U93), (EXP(-LN(2)/inputs!$C$51)*X93+$X$3), (EXP(-LN(2)/inputs!$C$51)*X93))</f>
        <v>1.220799317080922E-4</v>
      </c>
      <c r="Y94" s="8">
        <f>IF((U94&gt;U93), (EXP(-LN(2)/inputs!$C$51)*Y93+$Y$3), (EXP(-LN(2)/inputs!$C$51)*Y93))</f>
        <v>1.5259991463511551E-4</v>
      </c>
      <c r="Z94" s="8">
        <f>IF((U94&gt;U93), (EXP(-LN(2)/inputs!$C$51)*Z93+$Z$3), (EXP(-LN(2)/inputs!$C$51)*Z93))</f>
        <v>2.3737764498795707E-5</v>
      </c>
      <c r="AA94" s="8">
        <f>IF((U94&gt;U93), (EXP(-LN(2)/inputs!$C$51)*AA93+$AA$3), (EXP(-LN(2)/inputs!$C$51)*AA93))</f>
        <v>2.204220989173887E-4</v>
      </c>
      <c r="AB94" s="7">
        <f>(((0.621*15^0.564)/0.2))*W94/15+AB93*inputs!$C$53</f>
        <v>3.1016948167005736E-4</v>
      </c>
      <c r="AC94" s="7">
        <f>(((0.621*1000^0.564)/0.2))*W94/1000+AC93*inputs!$C$53</f>
        <v>4.9702113094663957E-5</v>
      </c>
      <c r="AD94" s="7">
        <f>(((0.648*20^0.651)/0.2))*AA94/20+AD93*inputs!$C$54</f>
        <v>3.3201787431802839E-4</v>
      </c>
      <c r="AE94" s="7">
        <f>(((0.013*2^0.773)/0.2))*AA94/2+AE93*inputs!$C$54</f>
        <v>1.6190321418039657E-5</v>
      </c>
    </row>
    <row r="95" spans="1:31" x14ac:dyDescent="0.3">
      <c r="A95" s="7">
        <f>IF(A94&lt;(inputs!$C$9-1),(1+A94),0)</f>
        <v>0</v>
      </c>
      <c r="B95" s="7">
        <f>IF(inputs!$C$8&gt;B94,IF(A94=(inputs!$C$9-1),(B94+1),B94), B94)</f>
        <v>1</v>
      </c>
      <c r="C95" s="7">
        <f t="shared" si="3"/>
        <v>92</v>
      </c>
      <c r="D95" s="8">
        <f>IF((B95&gt;B94), (EXP(-LN(2)/inputs!$C$51)*D94+$D$3), (EXP(-LN(2)/inputs!$C$51)*D94))</f>
        <v>7.1409321434397102E-4</v>
      </c>
      <c r="E95" s="8">
        <f>IF((B95&gt;B94), (EXP(-LN(2)/inputs!$C$51)*E94+$E$3), (EXP(-LN(2)/inputs!$C$51)*E94))</f>
        <v>3.2729272324098671E-4</v>
      </c>
      <c r="F95" s="8">
        <f>IF((B95&gt;B94), (EXP(-LN(2)/inputs!$C$51)*F94+$F$3), (EXP(-LN(2)/inputs!$C$51)*F94))</f>
        <v>4.0167743306848393E-4</v>
      </c>
      <c r="G95" s="8">
        <f>IF((B95&gt;B94), (EXP(-LN(2)/inputs!$C$51)*G94+$G$3), (EXP(-LN(2)/inputs!$C$51)*G94))</f>
        <v>4.4630825896498189E-5</v>
      </c>
      <c r="H95" s="8">
        <f>IF((B95&gt;B94), (EXP(-LN(2)/inputs!$C$51)*H94+$H$3), (EXP(-LN(2)/inputs!$C$51)*H94))</f>
        <v>2.7968650895138881E-4</v>
      </c>
      <c r="I95" s="7">
        <f>O95*(10^inputs!$C$55)*0.01/1</f>
        <v>1.452597205212945</v>
      </c>
      <c r="J95" s="7">
        <f>(((0.621*15^0.564)/0.2))*D95/15+J94*inputs!$C$53</f>
        <v>7.6841045969245497E-4</v>
      </c>
      <c r="K95" s="7">
        <f>(((0.621*1000^0.564)/0.2))*D95/1000+K94*inputs!$C$53</f>
        <v>1.2313146788368894E-4</v>
      </c>
      <c r="L95" s="7">
        <f>(((0.648*20^0.651)/0.2))*H95/20+L94*inputs!$C$54</f>
        <v>4.2128679761947729E-4</v>
      </c>
      <c r="M95" s="7">
        <f>(((0.013*2^0.773)/0.2))*H95/2+M94*inputs!$C$54</f>
        <v>2.0543377902909476E-5</v>
      </c>
      <c r="N95" s="7">
        <f>O95*0.015*inputs!$C$56</f>
        <v>0.21341499881291406</v>
      </c>
      <c r="O95" s="7">
        <f>IF((B95&gt;B94), (EXP(-LN(2)/inputs!$C$52)*O94+$O$3), (EXP(-LN(2)/inputs!$C$52)*O94))</f>
        <v>2.3022114219300335E-2</v>
      </c>
      <c r="P95" s="3">
        <f>IF((B95&gt;B94), (EXP(-LN(2)/inputs!$C$52)*P94+$P$3), (EXP(-LN(2)/inputs!$C$52)*P94))</f>
        <v>2.2246382270883752E-2</v>
      </c>
      <c r="Q95" s="19">
        <f>IF((F95*0.62*1/(0.012*(10^inputs!$C$55)))&gt;inputs!$C$57, inputs!$C$57, (F95*0.62*1/(0.012*(10^inputs!$C$55))))</f>
        <v>3.2891817843833859E-6</v>
      </c>
      <c r="R95" s="3">
        <f>IF((B95&gt;B94), (EXP(-LN(2)/inputs!$C$51)*R94+$R$3), (EXP(-LN(2)/inputs!$C$51)*R94))</f>
        <v>7.6422300741063261E-12</v>
      </c>
      <c r="T95" s="7">
        <f>IF(T94&lt;(inputs!$C$9-1),(1+T94),0)</f>
        <v>0</v>
      </c>
      <c r="U95" s="7">
        <f>IF(inputs!$C$8&gt;U94,IF(T94=(inputs!$C$9-1),(U94+1),U94), U94)</f>
        <v>1</v>
      </c>
      <c r="V95" s="7">
        <f t="shared" si="2"/>
        <v>92</v>
      </c>
      <c r="W95" s="8">
        <f>IF((U95&gt;U94), (EXP(-LN(2)/inputs!$C$51)*W94+$W$3), (EXP(-LN(2)/inputs!$C$51)*W94))</f>
        <v>2.5290801341348981E-4</v>
      </c>
      <c r="X95" s="8">
        <f>IF((U95&gt;U94), (EXP(-LN(2)/inputs!$C$51)*X94+$X$3), (EXP(-LN(2)/inputs!$C$51)*X94))</f>
        <v>1.0711398215159562E-4</v>
      </c>
      <c r="Y95" s="8">
        <f>IF((U95&gt;U94), (EXP(-LN(2)/inputs!$C$51)*Y94+$Y$3), (EXP(-LN(2)/inputs!$C$51)*Y94))</f>
        <v>1.3389247768949477E-4</v>
      </c>
      <c r="Z95" s="8">
        <f>IF((U95&gt;U94), (EXP(-LN(2)/inputs!$C$51)*Z94+$Z$3), (EXP(-LN(2)/inputs!$C$51)*Z94))</f>
        <v>2.0827718751699152E-5</v>
      </c>
      <c r="AA95" s="8">
        <f>IF((U95&gt;U94), (EXP(-LN(2)/inputs!$C$51)*AA94+$AA$3), (EXP(-LN(2)/inputs!$C$51)*AA94))</f>
        <v>1.934002455514921E-4</v>
      </c>
      <c r="AB95" s="7">
        <f>(((0.621*15^0.564)/0.2))*W95/15+AB94*inputs!$C$53</f>
        <v>2.7214537114107789E-4</v>
      </c>
      <c r="AC95" s="7">
        <f>(((0.621*1000^0.564)/0.2))*W95/1000+AC94*inputs!$C$53</f>
        <v>4.3609061542139842E-5</v>
      </c>
      <c r="AD95" s="7">
        <f>(((0.648*20^0.651)/0.2))*AA95/20+AD94*inputs!$C$54</f>
        <v>2.9131533877942557E-4</v>
      </c>
      <c r="AE95" s="7">
        <f>(((0.013*2^0.773)/0.2))*AA95/2+AE94*inputs!$C$54</f>
        <v>1.4205527273288457E-5</v>
      </c>
    </row>
    <row r="96" spans="1:31" x14ac:dyDescent="0.3">
      <c r="A96" s="7">
        <f>IF(A95&lt;(inputs!$C$9-1),(1+A95),0)</f>
        <v>0</v>
      </c>
      <c r="B96" s="7">
        <f>IF(inputs!$C$8&gt;B95,IF(A95=(inputs!$C$9-1),(B95+1),B95), B95)</f>
        <v>1</v>
      </c>
      <c r="C96" s="7">
        <f t="shared" si="3"/>
        <v>93</v>
      </c>
      <c r="D96" s="8">
        <f>IF((B96&gt;B95), (EXP(-LN(2)/inputs!$C$51)*D95+$D$3), (EXP(-LN(2)/inputs!$C$51)*D95))</f>
        <v>6.2655152854042338E-4</v>
      </c>
      <c r="E96" s="8">
        <f>IF((B96&gt;B95), (EXP(-LN(2)/inputs!$C$51)*E95+$E$3), (EXP(-LN(2)/inputs!$C$51)*E95))</f>
        <v>2.8716945058102734E-4</v>
      </c>
      <c r="F96" s="8">
        <f>IF((B96&gt;B95), (EXP(-LN(2)/inputs!$C$51)*F95+$F$3), (EXP(-LN(2)/inputs!$C$51)*F95))</f>
        <v>3.5243523480398833E-4</v>
      </c>
      <c r="G96" s="8">
        <f>IF((B96&gt;B95), (EXP(-LN(2)/inputs!$C$51)*G95+$G$3), (EXP(-LN(2)/inputs!$C$51)*G95))</f>
        <v>3.9159470533776461E-5</v>
      </c>
      <c r="H96" s="8">
        <f>IF((B96&gt;B95), (EXP(-LN(2)/inputs!$C$51)*H95+$H$3), (EXP(-LN(2)/inputs!$C$51)*H95))</f>
        <v>2.4539934867833261E-4</v>
      </c>
      <c r="I96" s="7">
        <f>O96*(10^inputs!$C$55)*0.01/1</f>
        <v>1.4232833892223928</v>
      </c>
      <c r="J96" s="7">
        <f>(((0.621*15^0.564)/0.2))*D96/15+J95*inputs!$C$53</f>
        <v>6.7420994681913942E-4</v>
      </c>
      <c r="K96" s="7">
        <f>(((0.621*1000^0.564)/0.2))*D96/1000+K95*inputs!$C$53</f>
        <v>1.0803660903685593E-4</v>
      </c>
      <c r="L96" s="7">
        <f>(((0.648*20^0.651)/0.2))*H96/20+L95*inputs!$C$54</f>
        <v>3.6964065993104066E-4</v>
      </c>
      <c r="M96" s="7">
        <f>(((0.013*2^0.773)/0.2))*H96/2+M95*inputs!$C$54</f>
        <v>1.8024936475942249E-5</v>
      </c>
      <c r="N96" s="7">
        <f>O96*0.015*inputs!$C$56</f>
        <v>0.20910822472414767</v>
      </c>
      <c r="O96" s="7">
        <f>IF((B96&gt;B95), (EXP(-LN(2)/inputs!$C$52)*O95+$O$3), (EXP(-LN(2)/inputs!$C$52)*O95))</f>
        <v>2.2557521545215498E-2</v>
      </c>
      <c r="P96" s="3">
        <f>IF((B96&gt;B95), (EXP(-LN(2)/inputs!$C$52)*P95+$P$3), (EXP(-LN(2)/inputs!$C$52)*P95))</f>
        <v>2.1797444083474418E-2</v>
      </c>
      <c r="Q96" s="19">
        <f>IF((F96*0.62*1/(0.012*(10^inputs!$C$55)))&gt;inputs!$C$57, inputs!$C$57, (F96*0.62*1/(0.012*(10^inputs!$C$55))))</f>
        <v>2.8859563895254188E-6</v>
      </c>
      <c r="R96" s="3">
        <f>IF((B96&gt;B95), (EXP(-LN(2)/inputs!$C$51)*R95+$R$3), (EXP(-LN(2)/inputs!$C$51)*R95))</f>
        <v>6.7053584016868453E-12</v>
      </c>
      <c r="T96" s="7">
        <f>IF(T95&lt;(inputs!$C$9-1),(1+T95),0)</f>
        <v>0</v>
      </c>
      <c r="U96" s="7">
        <f>IF(inputs!$C$8&gt;U95,IF(T95=(inputs!$C$9-1),(U95+1),U95), U95)</f>
        <v>1</v>
      </c>
      <c r="V96" s="7">
        <f t="shared" si="2"/>
        <v>93</v>
      </c>
      <c r="W96" s="8">
        <f>IF((U96&gt;U95), (EXP(-LN(2)/inputs!$C$51)*W95+$W$3), (EXP(-LN(2)/inputs!$C$51)*W95))</f>
        <v>2.2190366635806667E-4</v>
      </c>
      <c r="X96" s="8">
        <f>IF((U96&gt;U95), (EXP(-LN(2)/inputs!$C$51)*X95+$X$3), (EXP(-LN(2)/inputs!$C$51)*X95))</f>
        <v>9.3982729281063472E-5</v>
      </c>
      <c r="Y96" s="8">
        <f>IF((U96&gt;U95), (EXP(-LN(2)/inputs!$C$51)*Y95+$Y$3), (EXP(-LN(2)/inputs!$C$51)*Y95))</f>
        <v>1.1747841160132956E-4</v>
      </c>
      <c r="Z96" s="8">
        <f>IF((U96&gt;U95), (EXP(-LN(2)/inputs!$C$51)*Z95+$Z$3), (EXP(-LN(2)/inputs!$C$51)*Z95))</f>
        <v>1.827441958242901E-5</v>
      </c>
      <c r="AA96" s="8">
        <f>IF((U96&gt;U95), (EXP(-LN(2)/inputs!$C$51)*AA95+$AA$3), (EXP(-LN(2)/inputs!$C$51)*AA95))</f>
        <v>1.6969103897969794E-4</v>
      </c>
      <c r="AB96" s="7">
        <f>(((0.621*15^0.564)/0.2))*W96/15+AB95*inputs!$C$53</f>
        <v>2.3878268949844528E-4</v>
      </c>
      <c r="AC96" s="7">
        <f>(((0.621*1000^0.564)/0.2))*W96/1000+AC95*inputs!$C$53</f>
        <v>3.8262965700553155E-5</v>
      </c>
      <c r="AD96" s="7">
        <f>(((0.648*20^0.651)/0.2))*AA96/20+AD95*inputs!$C$54</f>
        <v>2.5560258399486832E-4</v>
      </c>
      <c r="AE96" s="7">
        <f>(((0.013*2^0.773)/0.2))*AA96/2+AE95*inputs!$C$54</f>
        <v>1.2464051818470692E-5</v>
      </c>
    </row>
    <row r="97" spans="1:31" x14ac:dyDescent="0.3">
      <c r="A97" s="7">
        <f>IF(A96&lt;(inputs!$C$9-1),(1+A96),0)</f>
        <v>0</v>
      </c>
      <c r="B97" s="7">
        <f>IF(inputs!$C$8&gt;B96,IF(A96=(inputs!$C$9-1),(B96+1),B96), B96)</f>
        <v>1</v>
      </c>
      <c r="C97" s="7">
        <f t="shared" si="3"/>
        <v>94</v>
      </c>
      <c r="D97" s="8">
        <f>IF((B97&gt;B96), (EXP(-LN(2)/inputs!$C$51)*D96+$D$3), (EXP(-LN(2)/inputs!$C$51)*D96))</f>
        <v>5.4974170042630557E-4</v>
      </c>
      <c r="E97" s="8">
        <f>IF((B97&gt;B96), (EXP(-LN(2)/inputs!$C$51)*E96+$E$3), (EXP(-LN(2)/inputs!$C$51)*E96))</f>
        <v>2.5196494602872338E-4</v>
      </c>
      <c r="F97" s="8">
        <f>IF((B97&gt;B96), (EXP(-LN(2)/inputs!$C$51)*F96+$F$3), (EXP(-LN(2)/inputs!$C$51)*F96))</f>
        <v>3.0922970648979706E-4</v>
      </c>
      <c r="G97" s="8">
        <f>IF((B97&gt;B96), (EXP(-LN(2)/inputs!$C$51)*G96+$G$3), (EXP(-LN(2)/inputs!$C$51)*G96))</f>
        <v>3.4358856276644098E-5</v>
      </c>
      <c r="H97" s="8">
        <f>IF((B97&gt;B96), (EXP(-LN(2)/inputs!$C$51)*H96+$H$3), (EXP(-LN(2)/inputs!$C$51)*H96))</f>
        <v>2.1531549933363647E-4</v>
      </c>
      <c r="I97" s="7">
        <f>O97*(10^inputs!$C$55)*0.01/1</f>
        <v>1.3945611341992201</v>
      </c>
      <c r="J97" s="7">
        <f>(((0.621*15^0.564)/0.2))*D97/15+J96*inputs!$C$53</f>
        <v>5.9155760655808538E-4</v>
      </c>
      <c r="K97" s="7">
        <f>(((0.621*1000^0.564)/0.2))*D97/1000+K96*inputs!$C$53</f>
        <v>9.4792250046168907E-5</v>
      </c>
      <c r="L97" s="7">
        <f>(((0.648*20^0.651)/0.2))*H97/20+L96*inputs!$C$54</f>
        <v>3.2432589448879096E-4</v>
      </c>
      <c r="M97" s="7">
        <f>(((0.013*2^0.773)/0.2))*H97/2+M96*inputs!$C$54</f>
        <v>1.581523430553937E-5</v>
      </c>
      <c r="N97" s="7">
        <f>O97*0.015*inputs!$C$56</f>
        <v>0.20488836253545784</v>
      </c>
      <c r="O97" s="7">
        <f>IF((B97&gt;B96), (EXP(-LN(2)/inputs!$C$52)*O96+$O$3), (EXP(-LN(2)/inputs!$C$52)*O96))</f>
        <v>2.2102304480631912E-2</v>
      </c>
      <c r="P97" s="3">
        <f>IF((B97&gt;B96), (EXP(-LN(2)/inputs!$C$52)*P96+$P$3), (EXP(-LN(2)/inputs!$C$52)*P96))</f>
        <v>2.1357565593667159E-2</v>
      </c>
      <c r="Q97" s="19">
        <f>IF((F97*0.62*1/(0.012*(10^inputs!$C$55)))&gt;inputs!$C$57, inputs!$C$57, (F97*0.62*1/(0.012*(10^inputs!$C$55))))</f>
        <v>2.53216295973254E-6</v>
      </c>
      <c r="R97" s="3">
        <f>IF((B97&gt;B96), (EXP(-LN(2)/inputs!$C$51)*R96+$R$3), (EXP(-LN(2)/inputs!$C$51)*R96))</f>
        <v>5.8833391378013641E-12</v>
      </c>
      <c r="T97" s="7">
        <f>IF(T96&lt;(inputs!$C$9-1),(1+T96),0)</f>
        <v>0</v>
      </c>
      <c r="U97" s="7">
        <f>IF(inputs!$C$8&gt;U96,IF(T96=(inputs!$C$9-1),(U96+1),U96), U96)</f>
        <v>1</v>
      </c>
      <c r="V97" s="7">
        <f t="shared" si="2"/>
        <v>94</v>
      </c>
      <c r="W97" s="8">
        <f>IF((U97&gt;U96), (EXP(-LN(2)/inputs!$C$51)*W96+$W$3), (EXP(-LN(2)/inputs!$C$51)*W96))</f>
        <v>1.9470018556764994E-4</v>
      </c>
      <c r="X97" s="8">
        <f>IF((U97&gt;U96), (EXP(-LN(2)/inputs!$C$51)*X96+$X$3), (EXP(-LN(2)/inputs!$C$51)*X96))</f>
        <v>8.2461255063945803E-5</v>
      </c>
      <c r="Y97" s="8">
        <f>IF((U97&gt;U96), (EXP(-LN(2)/inputs!$C$51)*Y96+$Y$3), (EXP(-LN(2)/inputs!$C$51)*Y96))</f>
        <v>1.0307656882993246E-4</v>
      </c>
      <c r="Z97" s="8">
        <f>IF((U97&gt;U96), (EXP(-LN(2)/inputs!$C$51)*Z96+$Z$3), (EXP(-LN(2)/inputs!$C$51)*Z96))</f>
        <v>1.6034132929100574E-5</v>
      </c>
      <c r="AA97" s="8">
        <f>IF((U97&gt;U96), (EXP(-LN(2)/inputs!$C$51)*AA96+$AA$3), (EXP(-LN(2)/inputs!$C$51)*AA96))</f>
        <v>1.4888837719879104E-4</v>
      </c>
      <c r="AB97" s="7">
        <f>(((0.621*15^0.564)/0.2))*W97/15+AB96*inputs!$C$53</f>
        <v>2.0950998565598861E-4</v>
      </c>
      <c r="AC97" s="7">
        <f>(((0.621*1000^0.564)/0.2))*W97/1000+AC96*inputs!$C$53</f>
        <v>3.3572255224684828E-5</v>
      </c>
      <c r="AD97" s="7">
        <f>(((0.648*20^0.651)/0.2))*AA97/20+AD96*inputs!$C$54</f>
        <v>2.2426790576352546E-4</v>
      </c>
      <c r="AE97" s="7">
        <f>(((0.013*2^0.773)/0.2))*AA97/2+AE96*inputs!$C$54</f>
        <v>1.0936066275107001E-5</v>
      </c>
    </row>
    <row r="98" spans="1:31" x14ac:dyDescent="0.3">
      <c r="A98" s="7">
        <f>IF(A97&lt;(inputs!$C$9-1),(1+A97),0)</f>
        <v>0</v>
      </c>
      <c r="B98" s="7">
        <f>IF(inputs!$C$8&gt;B97,IF(A97=(inputs!$C$9-1),(B97+1),B97), B97)</f>
        <v>1</v>
      </c>
      <c r="C98" s="7">
        <f t="shared" si="3"/>
        <v>95</v>
      </c>
      <c r="D98" s="8">
        <f>IF((B98&gt;B97), (EXP(-LN(2)/inputs!$C$51)*D97+$D$3), (EXP(-LN(2)/inputs!$C$51)*D97))</f>
        <v>4.8234809655900115E-4</v>
      </c>
      <c r="E98" s="8">
        <f>IF((B98&gt;B97), (EXP(-LN(2)/inputs!$C$51)*E97+$E$3), (EXP(-LN(2)/inputs!$C$51)*E97))</f>
        <v>2.2107621092287553E-4</v>
      </c>
      <c r="F98" s="8">
        <f>IF((B98&gt;B97), (EXP(-LN(2)/inputs!$C$51)*F97+$F$3), (EXP(-LN(2)/inputs!$C$51)*F97))</f>
        <v>2.7132080431443832E-4</v>
      </c>
      <c r="G98" s="8">
        <f>IF((B98&gt;B97), (EXP(-LN(2)/inputs!$C$51)*G97+$G$3), (EXP(-LN(2)/inputs!$C$51)*G97))</f>
        <v>3.0146756034937572E-5</v>
      </c>
      <c r="H98" s="8">
        <f>IF((B98&gt;B97), (EXP(-LN(2)/inputs!$C$51)*H97+$H$3), (EXP(-LN(2)/inputs!$C$51)*H97))</f>
        <v>1.8891967115227556E-4</v>
      </c>
      <c r="I98" s="7">
        <f>O98*(10^inputs!$C$55)*0.01/1</f>
        <v>1.3664185022784197</v>
      </c>
      <c r="J98" s="7">
        <f>(((0.621*15^0.564)/0.2))*D98/15+J97*inputs!$C$53</f>
        <v>5.1903773227867246E-4</v>
      </c>
      <c r="K98" s="7">
        <f>(((0.621*1000^0.564)/0.2))*D98/1000+K97*inputs!$C$53</f>
        <v>8.3171535546344718E-5</v>
      </c>
      <c r="L98" s="7">
        <f>(((0.648*20^0.651)/0.2))*H98/20+L97*inputs!$C$54</f>
        <v>2.8456632951466397E-4</v>
      </c>
      <c r="M98" s="7">
        <f>(((0.013*2^0.773)/0.2))*H98/2+M97*inputs!$C$54</f>
        <v>1.3876422614467731E-5</v>
      </c>
      <c r="N98" s="7">
        <f>O98*0.015*inputs!$C$56</f>
        <v>0.20075365834050554</v>
      </c>
      <c r="O98" s="7">
        <f>IF((B98&gt;B97), (EXP(-LN(2)/inputs!$C$52)*O97+$O$3), (EXP(-LN(2)/inputs!$C$52)*O97))</f>
        <v>2.1656273823139758E-2</v>
      </c>
      <c r="P98" s="3">
        <f>IF((B98&gt;B97), (EXP(-LN(2)/inputs!$C$52)*P97+$P$3), (EXP(-LN(2)/inputs!$C$52)*P97))</f>
        <v>2.0926563974242231E-2</v>
      </c>
      <c r="Q98" s="19">
        <f>IF((F98*0.62*1/(0.012*(10^inputs!$C$55)))&gt;inputs!$C$57, inputs!$C$57, (F98*0.62*1/(0.012*(10^inputs!$C$55))))</f>
        <v>2.2217415612769719E-6</v>
      </c>
      <c r="R98" s="3">
        <f>IF((B98&gt;B97), (EXP(-LN(2)/inputs!$C$51)*R97+$R$3), (EXP(-LN(2)/inputs!$C$51)*R97))</f>
        <v>5.1620923650669656E-12</v>
      </c>
      <c r="T98" s="7">
        <f>IF(T97&lt;(inputs!$C$9-1),(1+T97),0)</f>
        <v>0</v>
      </c>
      <c r="U98" s="7">
        <f>IF(inputs!$C$8&gt;U97,IF(T97=(inputs!$C$9-1),(U97+1),U97), U97)</f>
        <v>1</v>
      </c>
      <c r="V98" s="7">
        <f t="shared" si="2"/>
        <v>95</v>
      </c>
      <c r="W98" s="8">
        <f>IF((U98&gt;U97), (EXP(-LN(2)/inputs!$C$51)*W97+$W$3), (EXP(-LN(2)/inputs!$C$51)*W97))</f>
        <v>1.7083161753131296E-4</v>
      </c>
      <c r="X98" s="8">
        <f>IF((U98&gt;U97), (EXP(-LN(2)/inputs!$C$51)*X97+$X$3), (EXP(-LN(2)/inputs!$C$51)*X97))</f>
        <v>7.2352214483850142E-5</v>
      </c>
      <c r="Y98" s="8">
        <f>IF((U98&gt;U97), (EXP(-LN(2)/inputs!$C$51)*Y97+$Y$3), (EXP(-LN(2)/inputs!$C$51)*Y97))</f>
        <v>9.0440268104812868E-5</v>
      </c>
      <c r="Z98" s="8">
        <f>IF((U98&gt;U97), (EXP(-LN(2)/inputs!$C$51)*Z97+$Z$3), (EXP(-LN(2)/inputs!$C$51)*Z97))</f>
        <v>1.4068486149637529E-5</v>
      </c>
      <c r="AA98" s="8">
        <f>IF((U98&gt;U97), (EXP(-LN(2)/inputs!$C$51)*AA97+$AA$3), (EXP(-LN(2)/inputs!$C$51)*AA97))</f>
        <v>1.3063594281806278E-4</v>
      </c>
      <c r="AB98" s="7">
        <f>(((0.621*15^0.564)/0.2))*W98/15+AB97*inputs!$C$53</f>
        <v>1.8382586351536323E-4</v>
      </c>
      <c r="AC98" s="7">
        <f>(((0.621*1000^0.564)/0.2))*W98/1000+AC97*inputs!$C$53</f>
        <v>2.9456585505997094E-5</v>
      </c>
      <c r="AD98" s="7">
        <f>(((0.648*20^0.651)/0.2))*AA98/20+AD97*inputs!$C$54</f>
        <v>1.9677458955801215E-4</v>
      </c>
      <c r="AE98" s="7">
        <f>(((0.013*2^0.773)/0.2))*AA98/2+AE97*inputs!$C$54</f>
        <v>9.5953986163872522E-6</v>
      </c>
    </row>
    <row r="99" spans="1:31" x14ac:dyDescent="0.3">
      <c r="A99" s="7">
        <f>IF(A98&lt;(inputs!$C$9-1),(1+A98),0)</f>
        <v>0</v>
      </c>
      <c r="B99" s="7">
        <f>IF(inputs!$C$8&gt;B98,IF(A98=(inputs!$C$9-1),(B98+1),B98), B98)</f>
        <v>1</v>
      </c>
      <c r="C99" s="7">
        <f t="shared" si="3"/>
        <v>96</v>
      </c>
      <c r="D99" s="8">
        <f>IF((B99&gt;B98), (EXP(-LN(2)/inputs!$C$51)*D98+$D$3), (EXP(-LN(2)/inputs!$C$51)*D98))</f>
        <v>4.2321636883953321E-4</v>
      </c>
      <c r="E99" s="8">
        <f>IF((B99&gt;B98), (EXP(-LN(2)/inputs!$C$51)*E98+$E$3), (EXP(-LN(2)/inputs!$C$51)*E98))</f>
        <v>1.9397416905145271E-4</v>
      </c>
      <c r="F99" s="8">
        <f>IF((B99&gt;B98), (EXP(-LN(2)/inputs!$C$51)*F98+$F$3), (EXP(-LN(2)/inputs!$C$51)*F98))</f>
        <v>2.3805920747223757E-4</v>
      </c>
      <c r="G99" s="8">
        <f>IF((B99&gt;B98), (EXP(-LN(2)/inputs!$C$51)*G98+$G$3), (EXP(-LN(2)/inputs!$C$51)*G98))</f>
        <v>2.6451023052470826E-5</v>
      </c>
      <c r="H99" s="8">
        <f>IF((B99&gt;B98), (EXP(-LN(2)/inputs!$C$51)*H98+$H$3), (EXP(-LN(2)/inputs!$C$51)*H98))</f>
        <v>1.6575974446215059E-4</v>
      </c>
      <c r="I99" s="7">
        <f>O99*(10^inputs!$C$55)*0.01/1</f>
        <v>1.3388437965044242</v>
      </c>
      <c r="J99" s="7">
        <f>(((0.621*15^0.564)/0.2))*D99/15+J98*inputs!$C$53</f>
        <v>4.5540817080598955E-4</v>
      </c>
      <c r="K99" s="7">
        <f>(((0.621*1000^0.564)/0.2))*D99/1000+K98*inputs!$C$53</f>
        <v>7.2975420688586748E-5</v>
      </c>
      <c r="L99" s="7">
        <f>(((0.648*20^0.651)/0.2))*H99/20+L98*inputs!$C$54</f>
        <v>2.4968094521434208E-4</v>
      </c>
      <c r="M99" s="7">
        <f>(((0.013*2^0.773)/0.2))*H99/2+M98*inputs!$C$54</f>
        <v>1.2175292560026633E-5</v>
      </c>
      <c r="N99" s="7">
        <f>O99*0.015*inputs!$C$56</f>
        <v>0.19670239362727002</v>
      </c>
      <c r="O99" s="7">
        <f>IF((B99&gt;B98), (EXP(-LN(2)/inputs!$C$52)*O98+$O$3), (EXP(-LN(2)/inputs!$C$52)*O98))</f>
        <v>2.121924418848652E-2</v>
      </c>
      <c r="P99" s="3">
        <f>IF((B99&gt;B98), (EXP(-LN(2)/inputs!$C$52)*P98+$P$3), (EXP(-LN(2)/inputs!$C$52)*P98))</f>
        <v>2.0504260087484082E-2</v>
      </c>
      <c r="Q99" s="19">
        <f>IF((F99*0.62*1/(0.012*(10^inputs!$C$55)))&gt;inputs!$C$57, inputs!$C$57, (F99*0.62*1/(0.012*(10^inputs!$C$55))))</f>
        <v>1.9493751561814235E-6</v>
      </c>
      <c r="R99" s="3">
        <f>IF((B99&gt;B98), (EXP(-LN(2)/inputs!$C$51)*R98+$R$3), (EXP(-LN(2)/inputs!$C$51)*R98))</f>
        <v>4.5292642428634262E-12</v>
      </c>
      <c r="T99" s="7">
        <f>IF(T98&lt;(inputs!$C$9-1),(1+T98),0)</f>
        <v>0</v>
      </c>
      <c r="U99" s="7">
        <f>IF(inputs!$C$8&gt;U98,IF(T98=(inputs!$C$9-1),(U98+1),U98), U98)</f>
        <v>1</v>
      </c>
      <c r="V99" s="7">
        <f t="shared" si="2"/>
        <v>96</v>
      </c>
      <c r="W99" s="8">
        <f>IF((U99&gt;U98), (EXP(-LN(2)/inputs!$C$51)*W98+$W$3), (EXP(-LN(2)/inputs!$C$51)*W98))</f>
        <v>1.4988913063066804E-4</v>
      </c>
      <c r="X99" s="8">
        <f>IF((U99&gt;U98), (EXP(-LN(2)/inputs!$C$51)*X98+$X$3), (EXP(-LN(2)/inputs!$C$51)*X98))</f>
        <v>6.3482455325929954E-5</v>
      </c>
      <c r="Y99" s="8">
        <f>IF((U99&gt;U98), (EXP(-LN(2)/inputs!$C$51)*Y98+$Y$3), (EXP(-LN(2)/inputs!$C$51)*Y98))</f>
        <v>7.9353069157412609E-5</v>
      </c>
      <c r="Z99" s="8">
        <f>IF((U99&gt;U98), (EXP(-LN(2)/inputs!$C$51)*Z98+$Z$3), (EXP(-LN(2)/inputs!$C$51)*Z98))</f>
        <v>1.2343810757819715E-5</v>
      </c>
      <c r="AA99" s="8">
        <f>IF((U99&gt;U98), (EXP(-LN(2)/inputs!$C$51)*AA98+$AA$3), (EXP(-LN(2)/inputs!$C$51)*AA98))</f>
        <v>1.1462109989404022E-4</v>
      </c>
      <c r="AB99" s="7">
        <f>(((0.621*15^0.564)/0.2))*W99/15+AB98*inputs!$C$53</f>
        <v>1.6129039382712133E-4</v>
      </c>
      <c r="AC99" s="7">
        <f>(((0.621*1000^0.564)/0.2))*W99/1000+AC98*inputs!$C$53</f>
        <v>2.5845461493874481E-5</v>
      </c>
      <c r="AD99" s="7">
        <f>(((0.648*20^0.651)/0.2))*AA99/20+AD98*inputs!$C$54</f>
        <v>1.7265171743544922E-4</v>
      </c>
      <c r="AE99" s="7">
        <f>(((0.013*2^0.773)/0.2))*AA99/2+AE98*inputs!$C$54</f>
        <v>8.4190852808694738E-6</v>
      </c>
    </row>
    <row r="100" spans="1:31" x14ac:dyDescent="0.3">
      <c r="A100" s="7">
        <f>IF(A99&lt;(inputs!$C$9-1),(1+A99),0)</f>
        <v>0</v>
      </c>
      <c r="B100" s="7">
        <f>IF(inputs!$C$8&gt;B99,IF(A99=(inputs!$C$9-1),(B99+1),B99), B99)</f>
        <v>1</v>
      </c>
      <c r="C100" s="7">
        <f t="shared" si="3"/>
        <v>97</v>
      </c>
      <c r="D100" s="8">
        <f>IF((B100&gt;B99), (EXP(-LN(2)/inputs!$C$51)*D99+$D$3), (EXP(-LN(2)/inputs!$C$51)*D99))</f>
        <v>3.7133368231673057E-4</v>
      </c>
      <c r="E100" s="8">
        <f>IF((B100&gt;B99), (EXP(-LN(2)/inputs!$C$51)*E99+$E$3), (EXP(-LN(2)/inputs!$C$51)*E99))</f>
        <v>1.7019460439516817E-4</v>
      </c>
      <c r="F100" s="8">
        <f>IF((B100&gt;B99), (EXP(-LN(2)/inputs!$C$51)*F99+$F$3), (EXP(-LN(2)/inputs!$C$51)*F99))</f>
        <v>2.0887519630316106E-4</v>
      </c>
      <c r="G100" s="8">
        <f>IF((B100&gt;B99), (EXP(-LN(2)/inputs!$C$51)*G99+$G$3), (EXP(-LN(2)/inputs!$C$51)*G99))</f>
        <v>2.3208355144795661E-5</v>
      </c>
      <c r="H100" s="8">
        <f>IF((B100&gt;B99), (EXP(-LN(2)/inputs!$C$51)*H99+$H$3), (EXP(-LN(2)/inputs!$C$51)*H99))</f>
        <v>1.4543902557405289E-4</v>
      </c>
      <c r="I100" s="7">
        <f>O100*(10^inputs!$C$55)*0.01/1</f>
        <v>1.3118255559694856</v>
      </c>
      <c r="J100" s="7">
        <f>(((0.621*15^0.564)/0.2))*D100/15+J99*inputs!$C$53</f>
        <v>3.9957904625998494E-4</v>
      </c>
      <c r="K100" s="7">
        <f>(((0.621*1000^0.564)/0.2))*D100/1000+K99*inputs!$C$53</f>
        <v>6.4029261810475975E-5</v>
      </c>
      <c r="L100" s="7">
        <f>(((0.648*20^0.651)/0.2))*H100/20+L99*inputs!$C$54</f>
        <v>2.1907220896249721E-4</v>
      </c>
      <c r="M100" s="7">
        <f>(((0.013*2^0.773)/0.2))*H100/2+M99*inputs!$C$54</f>
        <v>1.0682706417984513E-5</v>
      </c>
      <c r="N100" s="7">
        <f>O100*0.015*inputs!$C$56</f>
        <v>0.19273288456378146</v>
      </c>
      <c r="O100" s="7">
        <f>IF((B100&gt;B99), (EXP(-LN(2)/inputs!$C$52)*O99+$O$3), (EXP(-LN(2)/inputs!$C$52)*O99))</f>
        <v>2.0791033933525511E-2</v>
      </c>
      <c r="P100" s="3">
        <f>IF((B100&gt;B99), (EXP(-LN(2)/inputs!$C$52)*P99+$P$3), (EXP(-LN(2)/inputs!$C$52)*P99))</f>
        <v>2.0090478410726129E-2</v>
      </c>
      <c r="Q100" s="19">
        <f>IF((F100*0.62*1/(0.012*(10^inputs!$C$55)))&gt;inputs!$C$57, inputs!$C$57, (F100*0.62*1/(0.012*(10^inputs!$C$55))))</f>
        <v>1.7103985295901016E-6</v>
      </c>
      <c r="R100" s="3">
        <f>IF((B100&gt;B99), (EXP(-LN(2)/inputs!$C$51)*R99+$R$3), (EXP(-LN(2)/inputs!$C$51)*R99))</f>
        <v>3.9740154051689626E-12</v>
      </c>
      <c r="T100" s="7">
        <f>IF(T99&lt;(inputs!$C$9-1),(1+T99),0)</f>
        <v>0</v>
      </c>
      <c r="U100" s="7">
        <f>IF(inputs!$C$8&gt;U99,IF(T99=(inputs!$C$9-1),(U99+1),U99), U99)</f>
        <v>1</v>
      </c>
      <c r="V100" s="7">
        <f t="shared" si="2"/>
        <v>97</v>
      </c>
      <c r="W100" s="8">
        <f>IF((U100&gt;U99), (EXP(-LN(2)/inputs!$C$51)*W99+$W$3), (EXP(-LN(2)/inputs!$C$51)*W99))</f>
        <v>1.3151401248717544E-4</v>
      </c>
      <c r="X100" s="8">
        <f>IF((U100&gt;U99), (EXP(-LN(2)/inputs!$C$51)*X99+$X$3), (EXP(-LN(2)/inputs!$C$51)*X99))</f>
        <v>5.5700052347509559E-5</v>
      </c>
      <c r="Y100" s="8">
        <f>IF((U100&gt;U99), (EXP(-LN(2)/inputs!$C$51)*Y99+$Y$3), (EXP(-LN(2)/inputs!$C$51)*Y99))</f>
        <v>6.9625065434387101E-5</v>
      </c>
      <c r="Z100" s="8">
        <f>IF((U100&gt;U99), (EXP(-LN(2)/inputs!$C$51)*Z99+$Z$3), (EXP(-LN(2)/inputs!$C$51)*Z99))</f>
        <v>1.0830565734237971E-5</v>
      </c>
      <c r="AA100" s="8">
        <f>IF((U100&gt;U99), (EXP(-LN(2)/inputs!$C$51)*AA99+$AA$3), (EXP(-LN(2)/inputs!$C$51)*AA99))</f>
        <v>1.0056953896078118E-4</v>
      </c>
      <c r="AB100" s="7">
        <f>(((0.621*15^0.564)/0.2))*W100/15+AB99*inputs!$C$53</f>
        <v>1.415175788837447E-4</v>
      </c>
      <c r="AC100" s="7">
        <f>(((0.621*1000^0.564)/0.2))*W100/1000+AC99*inputs!$C$53</f>
        <v>2.2677030224543581E-5</v>
      </c>
      <c r="AD100" s="7">
        <f>(((0.648*20^0.651)/0.2))*AA100/20+AD99*inputs!$C$54</f>
        <v>1.5148610194215225E-4</v>
      </c>
      <c r="AE100" s="7">
        <f>(((0.013*2^0.773)/0.2))*AA100/2+AE99*inputs!$C$54</f>
        <v>7.3869778422233292E-6</v>
      </c>
    </row>
    <row r="101" spans="1:31" x14ac:dyDescent="0.3">
      <c r="A101" s="7">
        <f>IF(A100&lt;(inputs!$C$9-1),(1+A100),0)</f>
        <v>0</v>
      </c>
      <c r="B101" s="7">
        <f>IF(inputs!$C$8&gt;B100,IF(A100=(inputs!$C$9-1),(B100+1),B100), B100)</f>
        <v>1</v>
      </c>
      <c r="C101" s="7">
        <f t="shared" si="3"/>
        <v>98</v>
      </c>
      <c r="D101" s="8">
        <f>IF((B101&gt;B100), (EXP(-LN(2)/inputs!$C$51)*D100+$D$3), (EXP(-LN(2)/inputs!$C$51)*D100))</f>
        <v>3.2581136689253265E-4</v>
      </c>
      <c r="E101" s="8">
        <f>IF((B101&gt;B100), (EXP(-LN(2)/inputs!$C$51)*E100+$E$3), (EXP(-LN(2)/inputs!$C$51)*E100))</f>
        <v>1.4933020982574414E-4</v>
      </c>
      <c r="F101" s="8">
        <f>IF((B101&gt;B100), (EXP(-LN(2)/inputs!$C$51)*F100+$F$3), (EXP(-LN(2)/inputs!$C$51)*F100))</f>
        <v>1.8326889387704971E-4</v>
      </c>
      <c r="G101" s="8">
        <f>IF((B101&gt;B100), (EXP(-LN(2)/inputs!$C$51)*G100+$G$3), (EXP(-LN(2)/inputs!$C$51)*G100))</f>
        <v>2.036321043078329E-5</v>
      </c>
      <c r="H101" s="8">
        <f>IF((B101&gt;B100), (EXP(-LN(2)/inputs!$C$51)*H100+$H$3), (EXP(-LN(2)/inputs!$C$51)*H100))</f>
        <v>1.2760945203290868E-4</v>
      </c>
      <c r="I101" s="7">
        <f>O101*(10^inputs!$C$55)*0.01/1</f>
        <v>1.2853525510501651</v>
      </c>
      <c r="J101" s="7">
        <f>(((0.621*15^0.564)/0.2))*D101/15+J100*inputs!$C$53</f>
        <v>3.5059409216893061E-4</v>
      </c>
      <c r="K101" s="7">
        <f>(((0.621*1000^0.564)/0.2))*D101/1000+K100*inputs!$C$53</f>
        <v>5.6179825060407932E-5</v>
      </c>
      <c r="L101" s="7">
        <f>(((0.648*20^0.651)/0.2))*H101/20+L100*inputs!$C$54</f>
        <v>1.9221584049398764E-4</v>
      </c>
      <c r="M101" s="7">
        <f>(((0.013*2^0.773)/0.2))*H101/2+M100*inputs!$C$54</f>
        <v>9.3730984984723754E-6</v>
      </c>
      <c r="N101" s="7">
        <f>O101*0.015*inputs!$C$56</f>
        <v>0.18884348129826797</v>
      </c>
      <c r="O101" s="7">
        <f>IF((B101&gt;B100), (EXP(-LN(2)/inputs!$C$52)*O100+$O$3), (EXP(-LN(2)/inputs!$C$52)*O100))</f>
        <v>2.0371465080719308E-2</v>
      </c>
      <c r="P101" s="3">
        <f>IF((B101&gt;B100), (EXP(-LN(2)/inputs!$C$52)*P100+$P$3), (EXP(-LN(2)/inputs!$C$52)*P100))</f>
        <v>1.9685046963398067E-2</v>
      </c>
      <c r="Q101" s="19">
        <f>IF((F101*0.62*1/(0.012*(10^inputs!$C$55)))&gt;inputs!$C$57, inputs!$C$57, (F101*0.62*1/(0.012*(10^inputs!$C$55))))</f>
        <v>1.5007183818606725E-6</v>
      </c>
      <c r="R101" s="3">
        <f>IF((B101&gt;B100), (EXP(-LN(2)/inputs!$C$51)*R100+$R$3), (EXP(-LN(2)/inputs!$C$51)*R100))</f>
        <v>3.4868352990012212E-12</v>
      </c>
      <c r="T101" s="7">
        <f>IF(T100&lt;(inputs!$C$9-1),(1+T100),0)</f>
        <v>0</v>
      </c>
      <c r="U101" s="7">
        <f>IF(inputs!$C$8&gt;U100,IF(T100=(inputs!$C$9-1),(U100+1),U100), U100)</f>
        <v>1</v>
      </c>
      <c r="V101" s="7">
        <f t="shared" si="2"/>
        <v>98</v>
      </c>
      <c r="W101" s="8">
        <f>IF((U101&gt;U100), (EXP(-LN(2)/inputs!$C$51)*W100+$W$3), (EXP(-LN(2)/inputs!$C$51)*W100))</f>
        <v>1.1539152577443867E-4</v>
      </c>
      <c r="X101" s="8">
        <f>IF((U101&gt;U100), (EXP(-LN(2)/inputs!$C$51)*X100+$X$3), (EXP(-LN(2)/inputs!$C$51)*X100))</f>
        <v>4.8871705033879877E-5</v>
      </c>
      <c r="Y101" s="8">
        <f>IF((U101&gt;U100), (EXP(-LN(2)/inputs!$C$51)*Y100+$Y$3), (EXP(-LN(2)/inputs!$C$51)*Y100))</f>
        <v>6.1089631292349976E-5</v>
      </c>
      <c r="Z101" s="8">
        <f>IF((U101&gt;U100), (EXP(-LN(2)/inputs!$C$51)*Z100+$Z$3), (EXP(-LN(2)/inputs!$C$51)*Z100))</f>
        <v>9.5028315343655321E-6</v>
      </c>
      <c r="AA101" s="8">
        <f>IF((U101&gt;U100), (EXP(-LN(2)/inputs!$C$51)*AA100+$AA$3), (EXP(-LN(2)/inputs!$C$51)*AA100))</f>
        <v>8.8240578533394241E-5</v>
      </c>
      <c r="AB101" s="7">
        <f>(((0.621*15^0.564)/0.2))*W101/15+AB100*inputs!$C$53</f>
        <v>1.2416874097649627E-4</v>
      </c>
      <c r="AC101" s="7">
        <f>(((0.621*1000^0.564)/0.2))*W101/1000+AC100*inputs!$C$53</f>
        <v>1.9897021375561148E-5</v>
      </c>
      <c r="AD101" s="7">
        <f>(((0.648*20^0.651)/0.2))*AA101/20+AD100*inputs!$C$54</f>
        <v>1.3291520885222541E-4</v>
      </c>
      <c r="AE101" s="7">
        <f>(((0.013*2^0.773)/0.2))*AA101/2+AE100*inputs!$C$54</f>
        <v>6.4813978978798307E-6</v>
      </c>
    </row>
    <row r="102" spans="1:31" x14ac:dyDescent="0.3">
      <c r="A102" s="7">
        <f>IF(A101&lt;(inputs!$C$9-1),(1+A101),0)</f>
        <v>0</v>
      </c>
      <c r="B102" s="7">
        <f>IF(inputs!$C$8&gt;B101,IF(A101=(inputs!$C$9-1),(B101+1),B101), B101)</f>
        <v>1</v>
      </c>
      <c r="C102" s="7">
        <f t="shared" si="3"/>
        <v>99</v>
      </c>
      <c r="D102" s="8">
        <f>IF((B102&gt;B101), (EXP(-LN(2)/inputs!$C$51)*D101+$D$3), (EXP(-LN(2)/inputs!$C$51)*D101))</f>
        <v>2.8586969577900246E-4</v>
      </c>
      <c r="E102" s="8">
        <f>IF((B102&gt;B101), (EXP(-LN(2)/inputs!$C$51)*E101+$E$3), (EXP(-LN(2)/inputs!$C$51)*E101))</f>
        <v>1.3102361056537614E-4</v>
      </c>
      <c r="F102" s="8">
        <f>IF((B102&gt;B101), (EXP(-LN(2)/inputs!$C$51)*F101+$F$3), (EXP(-LN(2)/inputs!$C$51)*F101))</f>
        <v>1.6080170387568898E-4</v>
      </c>
      <c r="G102" s="8">
        <f>IF((B102&gt;B101), (EXP(-LN(2)/inputs!$C$51)*G101+$G$3), (EXP(-LN(2)/inputs!$C$51)*G101))</f>
        <v>1.7866855986187654E-5</v>
      </c>
      <c r="H102" s="8">
        <f>IF((B102&gt;B101), (EXP(-LN(2)/inputs!$C$51)*H101+$H$3), (EXP(-LN(2)/inputs!$C$51)*H101))</f>
        <v>1.1196563084677602E-4</v>
      </c>
      <c r="I102" s="7">
        <f>O102*(10^inputs!$C$55)*0.01/1</f>
        <v>1.2594137787399518</v>
      </c>
      <c r="J102" s="7">
        <f>(((0.621*15^0.564)/0.2))*D102/15+J101*inputs!$C$53</f>
        <v>3.0761427210520322E-4</v>
      </c>
      <c r="K102" s="7">
        <f>(((0.621*1000^0.564)/0.2))*D102/1000+K101*inputs!$C$53</f>
        <v>4.9292661738943401E-5</v>
      </c>
      <c r="L102" s="7">
        <f>(((0.648*20^0.651)/0.2))*H102/20+L101*inputs!$C$54</f>
        <v>1.6865183179457969E-4</v>
      </c>
      <c r="M102" s="7">
        <f>(((0.013*2^0.773)/0.2))*H102/2+M101*inputs!$C$54</f>
        <v>8.224037245295799E-6</v>
      </c>
      <c r="N102" s="7">
        <f>O102*0.015*inputs!$C$56</f>
        <v>0.18503256727342574</v>
      </c>
      <c r="O102" s="7">
        <f>IF((B102&gt;B101), (EXP(-LN(2)/inputs!$C$52)*O101+$O$3), (EXP(-LN(2)/inputs!$C$52)*O101))</f>
        <v>1.9960363244166744E-2</v>
      </c>
      <c r="P102" s="3">
        <f>IF((B102&gt;B101), (EXP(-LN(2)/inputs!$C$52)*P101+$P$3), (EXP(-LN(2)/inputs!$C$52)*P101))</f>
        <v>1.9287797235545374E-2</v>
      </c>
      <c r="Q102" s="19">
        <f>IF((F102*0.62*1/(0.012*(10^inputs!$C$55)))&gt;inputs!$C$57, inputs!$C$57, (F102*0.62*1/(0.012*(10^inputs!$C$55))))</f>
        <v>1.3167432166784231E-6</v>
      </c>
      <c r="R102" s="3">
        <f>IF((B102&gt;B101), (EXP(-LN(2)/inputs!$C$51)*R101+$R$3), (EXP(-LN(2)/inputs!$C$51)*R101))</f>
        <v>3.0593792833684334E-12</v>
      </c>
      <c r="T102" s="7">
        <f>IF(T101&lt;(inputs!$C$9-1),(1+T101),0)</f>
        <v>0</v>
      </c>
      <c r="U102" s="7">
        <f>IF(inputs!$C$8&gt;U101,IF(T101=(inputs!$C$9-1),(U101+1),U101), U101)</f>
        <v>1</v>
      </c>
      <c r="V102" s="7">
        <f t="shared" si="2"/>
        <v>99</v>
      </c>
      <c r="W102" s="8">
        <f>IF((U102&gt;U101), (EXP(-LN(2)/inputs!$C$51)*W101+$W$3), (EXP(-LN(2)/inputs!$C$51)*W101))</f>
        <v>1.012455172550634E-4</v>
      </c>
      <c r="X102" s="8">
        <f>IF((U102&gt;U101), (EXP(-LN(2)/inputs!$C$51)*X101+$X$3), (EXP(-LN(2)/inputs!$C$51)*X101))</f>
        <v>4.2880454366850354E-5</v>
      </c>
      <c r="Y102" s="8">
        <f>IF((U102&gt;U101), (EXP(-LN(2)/inputs!$C$51)*Y101+$Y$3), (EXP(-LN(2)/inputs!$C$51)*Y101))</f>
        <v>5.3600567958563056E-5</v>
      </c>
      <c r="Z102" s="8">
        <f>IF((U102&gt;U101), (EXP(-LN(2)/inputs!$C$51)*Z101+$Z$3), (EXP(-LN(2)/inputs!$C$51)*Z101))</f>
        <v>8.337866126887569E-6</v>
      </c>
      <c r="AA102" s="8">
        <f>IF((U102&gt;U101), (EXP(-LN(2)/inputs!$C$51)*AA101+$AA$3), (EXP(-LN(2)/inputs!$C$51)*AA101))</f>
        <v>7.7423042606813159E-5</v>
      </c>
      <c r="AB102" s="7">
        <f>(((0.621*15^0.564)/0.2))*W102/15+AB101*inputs!$C$53</f>
        <v>1.0894672137059285E-4</v>
      </c>
      <c r="AC102" s="7">
        <f>(((0.621*1000^0.564)/0.2))*W102/1000+AC101*inputs!$C$53</f>
        <v>1.7457817699209127E-5</v>
      </c>
      <c r="AD102" s="7">
        <f>(((0.648*20^0.651)/0.2))*AA102/20+AD101*inputs!$C$54</f>
        <v>1.1662094751752846E-4</v>
      </c>
      <c r="AE102" s="7">
        <f>(((0.013*2^0.773)/0.2))*AA102/2+AE101*inputs!$C$54</f>
        <v>5.6868342653641128E-6</v>
      </c>
    </row>
    <row r="103" spans="1:31" x14ac:dyDescent="0.3">
      <c r="A103" s="7">
        <f>IF(A102&lt;(inputs!$C$9-1),(1+A102),0)</f>
        <v>0</v>
      </c>
      <c r="B103" s="7">
        <f>IF(inputs!$C$8&gt;B102,IF(A102=(inputs!$C$9-1),(B102+1),B102), B102)</f>
        <v>1</v>
      </c>
      <c r="C103" s="7">
        <f t="shared" si="3"/>
        <v>100</v>
      </c>
      <c r="D103" s="8">
        <f>IF((B103&gt;B102), (EXP(-LN(2)/inputs!$C$51)*D102+$D$3), (EXP(-LN(2)/inputs!$C$51)*D102))</f>
        <v>2.508245299855817E-4</v>
      </c>
      <c r="E103" s="8">
        <f>IF((B103&gt;B102), (EXP(-LN(2)/inputs!$C$51)*E102+$E$3), (EXP(-LN(2)/inputs!$C$51)*E102))</f>
        <v>1.1496124291005831E-4</v>
      </c>
      <c r="F103" s="8">
        <f>IF((B103&gt;B102), (EXP(-LN(2)/inputs!$C$51)*F102+$F$3), (EXP(-LN(2)/inputs!$C$51)*F102))</f>
        <v>1.4108879811688981E-4</v>
      </c>
      <c r="G103" s="8">
        <f>IF((B103&gt;B102), (EXP(-LN(2)/inputs!$C$51)*G102+$G$3), (EXP(-LN(2)/inputs!$C$51)*G102))</f>
        <v>1.5676533124098856E-5</v>
      </c>
      <c r="H103" s="8">
        <f>IF((B103&gt;B102), (EXP(-LN(2)/inputs!$C$51)*H102+$H$3), (EXP(-LN(2)/inputs!$C$51)*H102))</f>
        <v>9.8239607577686234E-5</v>
      </c>
      <c r="I103" s="7">
        <f>O103*(10^inputs!$C$55)*0.01/1</f>
        <v>1.2339984580760677</v>
      </c>
      <c r="J103" s="7">
        <f>(((0.621*15^0.564)/0.2))*D103/15+J102*inputs!$C$53</f>
        <v>2.6990340829023175E-4</v>
      </c>
      <c r="K103" s="7">
        <f>(((0.621*1000^0.564)/0.2))*D103/1000+K102*inputs!$C$53</f>
        <v>4.3249805400733504E-5</v>
      </c>
      <c r="L103" s="7">
        <f>(((0.648*20^0.651)/0.2))*H103/20+L102*inputs!$C$54</f>
        <v>1.4797656787582446E-4</v>
      </c>
      <c r="M103" s="7">
        <f>(((0.013*2^0.773)/0.2))*H103/2+M102*inputs!$C$54</f>
        <v>7.2158410181046974E-6</v>
      </c>
      <c r="N103" s="7">
        <f>O103*0.015*inputs!$C$56</f>
        <v>0.18129855855452728</v>
      </c>
      <c r="O103" s="7">
        <f>IF((B103&gt;B102), (EXP(-LN(2)/inputs!$C$52)*O102+$O$3), (EXP(-LN(2)/inputs!$C$52)*O102))</f>
        <v>1.9557557557122685E-2</v>
      </c>
      <c r="P103" s="3">
        <f>IF((B103&gt;B102), (EXP(-LN(2)/inputs!$C$52)*P102+$P$3), (EXP(-LN(2)/inputs!$C$52)*P102))</f>
        <v>1.8898564117791325E-2</v>
      </c>
      <c r="Q103" s="19">
        <f>IF((F103*0.62*1/(0.012*(10^inputs!$C$55)))&gt;inputs!$C$57, inputs!$C$57, (F103*0.62*1/(0.012*(10^inputs!$C$55))))</f>
        <v>1.1553218242845571E-6</v>
      </c>
      <c r="R103" s="3">
        <f>IF((B103&gt;B102), (EXP(-LN(2)/inputs!$C$51)*R102+$R$3), (EXP(-LN(2)/inputs!$C$51)*R102))</f>
        <v>2.684325698487966E-12</v>
      </c>
      <c r="T103" s="7">
        <f>IF(T102&lt;(inputs!$C$9-1),(1+T102),0)</f>
        <v>0</v>
      </c>
      <c r="U103" s="7">
        <f>IF(inputs!$C$8&gt;U102,IF(T102=(inputs!$C$9-1),(U102+1),U102), U102)</f>
        <v>1</v>
      </c>
      <c r="V103" s="7">
        <f t="shared" si="2"/>
        <v>100</v>
      </c>
      <c r="W103" s="8">
        <f>IF((U103&gt;U102), (EXP(-LN(2)/inputs!$C$51)*W102+$W$3), (EXP(-LN(2)/inputs!$C$51)*W102))</f>
        <v>8.8833687703226893E-5</v>
      </c>
      <c r="X103" s="8">
        <f>IF((U103&gt;U102), (EXP(-LN(2)/inputs!$C$51)*X102+$X$3), (EXP(-LN(2)/inputs!$C$51)*X102))</f>
        <v>3.7623679497837245E-5</v>
      </c>
      <c r="Y103" s="8">
        <f>IF((U103&gt;U102), (EXP(-LN(2)/inputs!$C$51)*Y102+$Y$3), (EXP(-LN(2)/inputs!$C$51)*Y102))</f>
        <v>4.7029599372296654E-5</v>
      </c>
      <c r="Z103" s="8">
        <f>IF((U103&gt;U102), (EXP(-LN(2)/inputs!$C$51)*Z102+$Z$3), (EXP(-LN(2)/inputs!$C$51)*Z102))</f>
        <v>7.315715457912798E-6</v>
      </c>
      <c r="AA103" s="8">
        <f>IF((U103&gt;U102), (EXP(-LN(2)/inputs!$C$51)*AA102+$AA$3), (EXP(-LN(2)/inputs!$C$51)*AA102))</f>
        <v>6.7931643537761705E-5</v>
      </c>
      <c r="AB103" s="7">
        <f>(((0.621*15^0.564)/0.2))*W103/15+AB102*inputs!$C$53</f>
        <v>9.5590790436123792E-5</v>
      </c>
      <c r="AC103" s="7">
        <f>(((0.621*1000^0.564)/0.2))*W103/1000+AC102*inputs!$C$53</f>
        <v>1.5317639412759789E-5</v>
      </c>
      <c r="AD103" s="7">
        <f>(((0.648*20^0.651)/0.2))*AA103/20+AD102*inputs!$C$54</f>
        <v>1.0232422246732534E-4</v>
      </c>
      <c r="AE103" s="7">
        <f>(((0.013*2^0.773)/0.2))*AA103/2+AE102*inputs!$C$54</f>
        <v>4.9896772997532441E-6</v>
      </c>
    </row>
    <row r="104" spans="1:31" x14ac:dyDescent="0.3">
      <c r="A104" s="7">
        <f>IF(A103&lt;(inputs!$C$9-1),(1+A103),0)</f>
        <v>0</v>
      </c>
      <c r="B104" s="7">
        <f>IF(inputs!$C$8&gt;B103,IF(A103=(inputs!$C$9-1),(B103+1),B103), B103)</f>
        <v>1</v>
      </c>
      <c r="C104" s="7">
        <f t="shared" si="3"/>
        <v>101</v>
      </c>
      <c r="D104" s="8">
        <f>IF((B104&gt;B103), (EXP(-LN(2)/inputs!$C$51)*D103+$D$3), (EXP(-LN(2)/inputs!$C$51)*D103))</f>
        <v>2.2007560007733084E-4</v>
      </c>
      <c r="E104" s="8">
        <f>IF((B104&gt;B103), (EXP(-LN(2)/inputs!$C$51)*E103+$E$3), (EXP(-LN(2)/inputs!$C$51)*E103))</f>
        <v>1.0086798336877666E-4</v>
      </c>
      <c r="F104" s="8">
        <f>IF((B104&gt;B103), (EXP(-LN(2)/inputs!$C$51)*F103+$F$3), (EXP(-LN(2)/inputs!$C$51)*F103))</f>
        <v>1.2379252504349871E-4</v>
      </c>
      <c r="G104" s="8">
        <f>IF((B104&gt;B103), (EXP(-LN(2)/inputs!$C$51)*G103+$G$3), (EXP(-LN(2)/inputs!$C$51)*G103))</f>
        <v>1.3754725004833177E-5</v>
      </c>
      <c r="H104" s="8">
        <f>IF((B104&gt;B103), (EXP(-LN(2)/inputs!$C$51)*H103+$H$3), (EXP(-LN(2)/inputs!$C$51)*H103))</f>
        <v>8.6196276696954641E-5</v>
      </c>
      <c r="I104" s="7">
        <f>O104*(10^inputs!$C$55)*0.01/1</f>
        <v>1.2090960256585663</v>
      </c>
      <c r="J104" s="7">
        <f>(((0.621*15^0.564)/0.2))*D104/15+J103*inputs!$C$53</f>
        <v>2.3681557200886234E-4</v>
      </c>
      <c r="K104" s="7">
        <f>(((0.621*1000^0.564)/0.2))*D104/1000+K103*inputs!$C$53</f>
        <v>3.7947751271940404E-5</v>
      </c>
      <c r="L104" s="7">
        <f>(((0.648*20^0.651)/0.2))*H104/20+L103*inputs!$C$54</f>
        <v>1.2983591347516115E-4</v>
      </c>
      <c r="M104" s="7">
        <f>(((0.013*2^0.773)/0.2))*H104/2+M103*inputs!$C$54</f>
        <v>6.3312409763642132E-6</v>
      </c>
      <c r="N104" s="7">
        <f>O104*0.015*inputs!$C$56</f>
        <v>0.17763990317108902</v>
      </c>
      <c r="O104" s="7">
        <f>IF((B104&gt;B103), (EXP(-LN(2)/inputs!$C$52)*O103+$O$3), (EXP(-LN(2)/inputs!$C$52)*O103))</f>
        <v>1.9162880600980477E-2</v>
      </c>
      <c r="P104" s="3">
        <f>IF((B104&gt;B103), (EXP(-LN(2)/inputs!$C$52)*P103+$P$3), (EXP(-LN(2)/inputs!$C$52)*P103))</f>
        <v>1.8517185832712377E-2</v>
      </c>
      <c r="Q104" s="19">
        <f>IF((F104*0.62*1/(0.012*(10^inputs!$C$55)))&gt;inputs!$C$57, inputs!$C$57, (F104*0.62*1/(0.012*(10^inputs!$C$55))))</f>
        <v>1.0136893061315661E-6</v>
      </c>
      <c r="R104" s="3">
        <f>IF((B104&gt;B103), (EXP(-LN(2)/inputs!$C$51)*R103+$R$3), (EXP(-LN(2)/inputs!$C$51)*R103))</f>
        <v>2.3552504570892573E-12</v>
      </c>
      <c r="T104" s="7">
        <f>IF(T103&lt;(inputs!$C$9-1),(1+T103),0)</f>
        <v>0</v>
      </c>
      <c r="U104" s="7">
        <f>IF(inputs!$C$8&gt;U103,IF(T103=(inputs!$C$9-1),(U103+1),U103), U103)</f>
        <v>1</v>
      </c>
      <c r="V104" s="7">
        <f t="shared" si="2"/>
        <v>101</v>
      </c>
      <c r="W104" s="8">
        <f>IF((U104&gt;U103), (EXP(-LN(2)/inputs!$C$51)*W103+$W$3), (EXP(-LN(2)/inputs!$C$51)*W103))</f>
        <v>7.7943441694054713E-5</v>
      </c>
      <c r="X104" s="8">
        <f>IF((U104&gt;U103), (EXP(-LN(2)/inputs!$C$51)*X103+$X$3), (EXP(-LN(2)/inputs!$C$51)*X103))</f>
        <v>3.3011340011599618E-5</v>
      </c>
      <c r="Y104" s="8">
        <f>IF((U104&gt;U103), (EXP(-LN(2)/inputs!$C$51)*Y103+$Y$3), (EXP(-LN(2)/inputs!$C$51)*Y103))</f>
        <v>4.1264175014499607E-5</v>
      </c>
      <c r="Z104" s="8">
        <f>IF((U104&gt;U103), (EXP(-LN(2)/inputs!$C$51)*Z103+$Z$3), (EXP(-LN(2)/inputs!$C$51)*Z103))</f>
        <v>6.4188716689221485E-6</v>
      </c>
      <c r="AA104" s="8">
        <f>IF((U104&gt;U103), (EXP(-LN(2)/inputs!$C$51)*AA103+$AA$3), (EXP(-LN(2)/inputs!$C$51)*AA103))</f>
        <v>5.9603808354277102E-5</v>
      </c>
      <c r="AB104" s="7">
        <f>(((0.621*15^0.564)/0.2))*W104/15+AB103*inputs!$C$53</f>
        <v>8.3872181753138784E-5</v>
      </c>
      <c r="AC104" s="7">
        <f>(((0.621*1000^0.564)/0.2))*W104/1000+AC103*inputs!$C$53</f>
        <v>1.3439828575478899E-5</v>
      </c>
      <c r="AD104" s="7">
        <f>(((0.648*20^0.651)/0.2))*AA104/20+AD103*inputs!$C$54</f>
        <v>8.9780152934951782E-5</v>
      </c>
      <c r="AE104" s="7">
        <f>(((0.013*2^0.773)/0.2))*AA104/2+AE103*inputs!$C$54</f>
        <v>4.3779857815284421E-6</v>
      </c>
    </row>
    <row r="105" spans="1:31" x14ac:dyDescent="0.3">
      <c r="A105" s="7">
        <f>IF(A104&lt;(inputs!$C$9-1),(1+A104),0)</f>
        <v>0</v>
      </c>
      <c r="B105" s="7">
        <f>IF(inputs!$C$8&gt;B104,IF(A104=(inputs!$C$9-1),(B104+1),B104), B104)</f>
        <v>1</v>
      </c>
      <c r="C105" s="7">
        <f t="shared" si="3"/>
        <v>102</v>
      </c>
      <c r="D105" s="8">
        <f>IF((B105&gt;B104), (EXP(-LN(2)/inputs!$C$51)*D104+$D$3), (EXP(-LN(2)/inputs!$C$51)*D104))</f>
        <v>1.9309622448881447E-4</v>
      </c>
      <c r="E105" s="8">
        <f>IF((B105&gt;B104), (EXP(-LN(2)/inputs!$C$51)*E104+$E$3), (EXP(-LN(2)/inputs!$C$51)*E104))</f>
        <v>8.8502436224039991E-5</v>
      </c>
      <c r="F105" s="8">
        <f>IF((B105&gt;B104), (EXP(-LN(2)/inputs!$C$51)*F104+$F$3), (EXP(-LN(2)/inputs!$C$51)*F104))</f>
        <v>1.0861662627495824E-4</v>
      </c>
      <c r="G105" s="8">
        <f>IF((B105&gt;B104), (EXP(-LN(2)/inputs!$C$51)*G104+$G$3), (EXP(-LN(2)/inputs!$C$51)*G104))</f>
        <v>1.2068514030550904E-5</v>
      </c>
      <c r="H105" s="8">
        <f>IF((B105&gt;B104), (EXP(-LN(2)/inputs!$C$51)*H104+$H$3), (EXP(-LN(2)/inputs!$C$51)*H104))</f>
        <v>7.5629354591452396E-5</v>
      </c>
      <c r="I105" s="7">
        <f>O105*(10^inputs!$C$55)*0.01/1</f>
        <v>1.1846961312598523</v>
      </c>
      <c r="J105" s="7">
        <f>(((0.621*15^0.564)/0.2))*D105/15+J104*inputs!$C$53</f>
        <v>2.0778401985046131E-4</v>
      </c>
      <c r="K105" s="7">
        <f>(((0.621*1000^0.564)/0.2))*D105/1000+K104*inputs!$C$53</f>
        <v>3.3295683373702107E-5</v>
      </c>
      <c r="L105" s="7">
        <f>(((0.648*20^0.651)/0.2))*H105/20+L104*inputs!$C$54</f>
        <v>1.1391914726712341E-4</v>
      </c>
      <c r="M105" s="7">
        <f>(((0.013*2^0.773)/0.2))*H105/2+M104*inputs!$C$54</f>
        <v>5.5550852908510794E-6</v>
      </c>
      <c r="N105" s="7">
        <f>O105*0.015*inputs!$C$56</f>
        <v>0.17405508047182366</v>
      </c>
      <c r="O105" s="7">
        <f>IF((B105&gt;B104), (EXP(-LN(2)/inputs!$C$52)*O104+$O$3), (EXP(-LN(2)/inputs!$C$52)*O104))</f>
        <v>1.877616833568756E-2</v>
      </c>
      <c r="P105" s="3">
        <f>IF((B105&gt;B104), (EXP(-LN(2)/inputs!$C$52)*P104+$P$3), (EXP(-LN(2)/inputs!$C$52)*P104))</f>
        <v>1.8143503867598439E-2</v>
      </c>
      <c r="Q105" s="19">
        <f>IF((F105*0.62*1/(0.012*(10^inputs!$C$55)))&gt;inputs!$C$57, inputs!$C$57, (F105*0.62*1/(0.012*(10^inputs!$C$55))))</f>
        <v>8.8941971645158244E-7</v>
      </c>
      <c r="R105" s="3">
        <f>IF((B105&gt;B104), (EXP(-LN(2)/inputs!$C$51)*R104+$R$3), (EXP(-LN(2)/inputs!$C$51)*R104))</f>
        <v>2.066517009744309E-12</v>
      </c>
      <c r="T105" s="7">
        <f>IF(T104&lt;(inputs!$C$9-1),(1+T104),0)</f>
        <v>0</v>
      </c>
      <c r="U105" s="7">
        <f>IF(inputs!$C$8&gt;U104,IF(T104=(inputs!$C$9-1),(U104+1),U104), U104)</f>
        <v>1</v>
      </c>
      <c r="V105" s="7">
        <f t="shared" si="2"/>
        <v>102</v>
      </c>
      <c r="W105" s="8">
        <f>IF((U105&gt;U104), (EXP(-LN(2)/inputs!$C$51)*W104+$W$3), (EXP(-LN(2)/inputs!$C$51)*W104))</f>
        <v>6.8388246173121828E-5</v>
      </c>
      <c r="X105" s="8">
        <f>IF((U105&gt;U104), (EXP(-LN(2)/inputs!$C$51)*X104+$X$3), (EXP(-LN(2)/inputs!$C$51)*X104))</f>
        <v>2.8964433673322164E-5</v>
      </c>
      <c r="Y105" s="8">
        <f>IF((U105&gt;U104), (EXP(-LN(2)/inputs!$C$51)*Y104+$Y$3), (EXP(-LN(2)/inputs!$C$51)*Y104))</f>
        <v>3.6205542091652779E-5</v>
      </c>
      <c r="Z105" s="8">
        <f>IF((U105&gt;U104), (EXP(-LN(2)/inputs!$C$51)*Z104+$Z$3), (EXP(-LN(2)/inputs!$C$51)*Z104))</f>
        <v>5.6319732142570881E-6</v>
      </c>
      <c r="AA105" s="8">
        <f>IF((U105&gt;U104), (EXP(-LN(2)/inputs!$C$51)*AA104+$AA$3), (EXP(-LN(2)/inputs!$C$51)*AA104))</f>
        <v>5.2296894132387253E-5</v>
      </c>
      <c r="AB105" s="7">
        <f>(((0.621*15^0.564)/0.2))*W105/15+AB104*inputs!$C$53</f>
        <v>7.359017369703842E-5</v>
      </c>
      <c r="AC105" s="7">
        <f>(((0.621*1000^0.564)/0.2))*W105/1000+AC104*inputs!$C$53</f>
        <v>1.1792221194852834E-5</v>
      </c>
      <c r="AD105" s="7">
        <f>(((0.648*20^0.651)/0.2))*AA105/20+AD104*inputs!$C$54</f>
        <v>7.8773878429393786E-5</v>
      </c>
      <c r="AE105" s="7">
        <f>(((0.013*2^0.773)/0.2))*AA105/2+AE104*inputs!$C$54</f>
        <v>3.8412823819714878E-6</v>
      </c>
    </row>
    <row r="106" spans="1:31" x14ac:dyDescent="0.3">
      <c r="A106" s="7">
        <f>IF(A105&lt;(inputs!$C$9-1),(1+A105),0)</f>
        <v>0</v>
      </c>
      <c r="B106" s="7">
        <f>IF(inputs!$C$8&gt;B105,IF(A105=(inputs!$C$9-1),(B105+1),B105), B105)</f>
        <v>1</v>
      </c>
      <c r="C106" s="7">
        <f t="shared" si="3"/>
        <v>103</v>
      </c>
      <c r="D106" s="8">
        <f>IF((B106&gt;B105), (EXP(-LN(2)/inputs!$C$51)*D105+$D$3), (EXP(-LN(2)/inputs!$C$51)*D105))</f>
        <v>1.6942428828426646E-4</v>
      </c>
      <c r="E106" s="8">
        <f>IF((B106&gt;B105), (EXP(-LN(2)/inputs!$C$51)*E105+$E$3), (EXP(-LN(2)/inputs!$C$51)*E105))</f>
        <v>7.7652798796955483E-5</v>
      </c>
      <c r="F106" s="8">
        <f>IF((B106&gt;B105), (EXP(-LN(2)/inputs!$C$51)*F105+$F$3), (EXP(-LN(2)/inputs!$C$51)*F105))</f>
        <v>9.530116215989997E-5</v>
      </c>
      <c r="G106" s="8">
        <f>IF((B106&gt;B105), (EXP(-LN(2)/inputs!$C$51)*G105+$G$3), (EXP(-LN(2)/inputs!$C$51)*G105))</f>
        <v>1.0589018017766654E-5</v>
      </c>
      <c r="H106" s="8">
        <f>IF((B106&gt;B105), (EXP(-LN(2)/inputs!$C$51)*H105+$H$3), (EXP(-LN(2)/inputs!$C$51)*H105))</f>
        <v>6.6357846244671087E-5</v>
      </c>
      <c r="I106" s="7">
        <f>O106*(10^inputs!$C$55)*0.01/1</f>
        <v>1.1607886335228048</v>
      </c>
      <c r="J106" s="7">
        <f>(((0.621*15^0.564)/0.2))*D106/15+J105*inputs!$C$53</f>
        <v>1.8231148627169329E-4</v>
      </c>
      <c r="K106" s="7">
        <f>(((0.621*1000^0.564)/0.2))*D106/1000+K105*inputs!$C$53</f>
        <v>2.921391898501121E-5</v>
      </c>
      <c r="L106" s="7">
        <f>(((0.648*20^0.651)/0.2))*H106/20+L105*inputs!$C$54</f>
        <v>9.9953639688076648E-5</v>
      </c>
      <c r="M106" s="7">
        <f>(((0.013*2^0.773)/0.2))*H106/2+M105*inputs!$C$54</f>
        <v>4.8740796162762914E-6</v>
      </c>
      <c r="N106" s="7">
        <f>O106*0.015*inputs!$C$56</f>
        <v>0.1705426004926103</v>
      </c>
      <c r="O106" s="7">
        <f>IF((B106&gt;B105), (EXP(-LN(2)/inputs!$C$52)*O105+$O$3), (EXP(-LN(2)/inputs!$C$52)*O105))</f>
        <v>1.8397260031565298E-2</v>
      </c>
      <c r="P106" s="3">
        <f>IF((B106&gt;B105), (EXP(-LN(2)/inputs!$C$52)*P105+$P$3), (EXP(-LN(2)/inputs!$C$52)*P105))</f>
        <v>1.7777362908570033E-2</v>
      </c>
      <c r="Q106" s="19">
        <f>IF((F106*0.62*1/(0.012*(10^inputs!$C$55)))&gt;inputs!$C$57, inputs!$C$57, (F106*0.62*1/(0.012*(10^inputs!$C$55))))</f>
        <v>7.8038450956109951E-7</v>
      </c>
      <c r="R106" s="3">
        <f>IF((B106&gt;B105), (EXP(-LN(2)/inputs!$C$51)*R105+$R$3), (EXP(-LN(2)/inputs!$C$51)*R105))</f>
        <v>1.8131797995021983E-12</v>
      </c>
      <c r="T106" s="7">
        <f>IF(T105&lt;(inputs!$C$9-1),(1+T105),0)</f>
        <v>0</v>
      </c>
      <c r="U106" s="7">
        <f>IF(inputs!$C$8&gt;U105,IF(T105=(inputs!$C$9-1),(U105+1),U105), U105)</f>
        <v>1</v>
      </c>
      <c r="V106" s="7">
        <f t="shared" si="2"/>
        <v>103</v>
      </c>
      <c r="W106" s="8">
        <f>IF((U106&gt;U105), (EXP(-LN(2)/inputs!$C$51)*W105+$W$3), (EXP(-LN(2)/inputs!$C$51)*W105))</f>
        <v>6.000443543401107E-5</v>
      </c>
      <c r="X106" s="8">
        <f>IF((U106&gt;U105), (EXP(-LN(2)/inputs!$C$51)*X105+$X$3), (EXP(-LN(2)/inputs!$C$51)*X105))</f>
        <v>2.5413643242639965E-5</v>
      </c>
      <c r="Y106" s="8">
        <f>IF((U106&gt;U105), (EXP(-LN(2)/inputs!$C$51)*Y105+$Y$3), (EXP(-LN(2)/inputs!$C$51)*Y105))</f>
        <v>3.1767054053300019E-5</v>
      </c>
      <c r="Z106" s="8">
        <f>IF((U106&gt;U105), (EXP(-LN(2)/inputs!$C$51)*Z105+$Z$3), (EXP(-LN(2)/inputs!$C$51)*Z105))</f>
        <v>4.9415417416244383E-6</v>
      </c>
      <c r="AA106" s="8">
        <f>IF((U106&gt;U105), (EXP(-LN(2)/inputs!$C$51)*AA105+$AA$3), (EXP(-LN(2)/inputs!$C$51)*AA105))</f>
        <v>4.5885744743655504E-5</v>
      </c>
      <c r="AB106" s="7">
        <f>(((0.621*15^0.564)/0.2))*W106/15+AB105*inputs!$C$53</f>
        <v>6.4568651387891403E-5</v>
      </c>
      <c r="AC106" s="7">
        <f>(((0.621*1000^0.564)/0.2))*W106/1000+AC105*inputs!$C$53</f>
        <v>1.0346596307191475E-5</v>
      </c>
      <c r="AD106" s="7">
        <f>(((0.648*20^0.651)/0.2))*AA106/20+AD105*inputs!$C$54</f>
        <v>6.911687850771252E-5</v>
      </c>
      <c r="AE106" s="7">
        <f>(((0.013*2^0.773)/0.2))*AA106/2+AE105*inputs!$C$54</f>
        <v>3.3703742027442414E-6</v>
      </c>
    </row>
    <row r="107" spans="1:31" x14ac:dyDescent="0.3">
      <c r="A107" s="7">
        <f>IF(A106&lt;(inputs!$C$9-1),(1+A106),0)</f>
        <v>0</v>
      </c>
      <c r="B107" s="7">
        <f>IF(inputs!$C$8&gt;B106,IF(A106=(inputs!$C$9-1),(B106+1),B106), B106)</f>
        <v>1</v>
      </c>
      <c r="C107" s="7">
        <f t="shared" si="3"/>
        <v>104</v>
      </c>
      <c r="D107" s="8">
        <f>IF((B107&gt;B106), (EXP(-LN(2)/inputs!$C$51)*D106+$D$3), (EXP(-LN(2)/inputs!$C$51)*D106))</f>
        <v>1.4865432784416253E-4</v>
      </c>
      <c r="E107" s="8">
        <f>IF((B107&gt;B106), (EXP(-LN(2)/inputs!$C$51)*E106+$E$3), (EXP(-LN(2)/inputs!$C$51)*E106))</f>
        <v>6.8133233595241179E-5</v>
      </c>
      <c r="F107" s="8">
        <f>IF((B107&gt;B106), (EXP(-LN(2)/inputs!$C$51)*F106+$F$3), (EXP(-LN(2)/inputs!$C$51)*F106))</f>
        <v>8.36180594123415E-5</v>
      </c>
      <c r="G107" s="8">
        <f>IF((B107&gt;B106), (EXP(-LN(2)/inputs!$C$51)*G106+$G$3), (EXP(-LN(2)/inputs!$C$51)*G106))</f>
        <v>9.2908954902601583E-6</v>
      </c>
      <c r="H107" s="8">
        <f>IF((B107&gt;B106), (EXP(-LN(2)/inputs!$C$51)*H106+$H$3), (EXP(-LN(2)/inputs!$C$51)*H106))</f>
        <v>5.8222945072297038E-5</v>
      </c>
      <c r="I107" s="7">
        <f>O107*(10^inputs!$C$55)*0.01/1</f>
        <v>1.1373635957457127</v>
      </c>
      <c r="J107" s="7">
        <f>(((0.621*15^0.564)/0.2))*D107/15+J106*inputs!$C$53</f>
        <v>1.5996166620760476E-4</v>
      </c>
      <c r="K107" s="7">
        <f>(((0.621*1000^0.564)/0.2))*D107/1000+K106*inputs!$C$53</f>
        <v>2.5632543801064625E-5</v>
      </c>
      <c r="L107" s="7">
        <f>(((0.648*20^0.651)/0.2))*H107/20+L106*inputs!$C$54</f>
        <v>8.7700183213863762E-5</v>
      </c>
      <c r="M107" s="7">
        <f>(((0.013*2^0.773)/0.2))*H107/2+M106*inputs!$C$54</f>
        <v>4.2765593797319262E-6</v>
      </c>
      <c r="N107" s="7">
        <f>O107*0.015*inputs!$C$56</f>
        <v>0.16710100333721872</v>
      </c>
      <c r="O107" s="7">
        <f>IF((B107&gt;B106), (EXP(-LN(2)/inputs!$C$52)*O106+$O$3), (EXP(-LN(2)/inputs!$C$52)*O106))</f>
        <v>1.8025998202504719E-2</v>
      </c>
      <c r="P107" s="3">
        <f>IF((B107&gt;B106), (EXP(-LN(2)/inputs!$C$52)*P106+$P$3), (EXP(-LN(2)/inputs!$C$52)*P106))</f>
        <v>1.7418610776025009E-2</v>
      </c>
      <c r="Q107" s="19">
        <f>IF((F107*0.62*1/(0.012*(10^inputs!$C$55)))&gt;inputs!$C$57, inputs!$C$57, (F107*0.62*1/(0.012*(10^inputs!$C$55))))</f>
        <v>6.8471608116871571E-7</v>
      </c>
      <c r="R107" s="3">
        <f>IF((B107&gt;B106), (EXP(-LN(2)/inputs!$C$51)*R106+$R$3), (EXP(-LN(2)/inputs!$C$51)*R106))</f>
        <v>1.5908995521549618E-12</v>
      </c>
      <c r="T107" s="7">
        <f>IF(T106&lt;(inputs!$C$9-1),(1+T106),0)</f>
        <v>0</v>
      </c>
      <c r="U107" s="7">
        <f>IF(inputs!$C$8&gt;U106,IF(T106=(inputs!$C$9-1),(U106+1),U106), U106)</f>
        <v>1</v>
      </c>
      <c r="V107" s="7">
        <f t="shared" si="2"/>
        <v>104</v>
      </c>
      <c r="W107" s="8">
        <f>IF((U107&gt;U106), (EXP(-LN(2)/inputs!$C$51)*W106+$W$3), (EXP(-LN(2)/inputs!$C$51)*W106))</f>
        <v>5.264840777814092E-5</v>
      </c>
      <c r="X107" s="8">
        <f>IF((U107&gt;U106), (EXP(-LN(2)/inputs!$C$51)*X106+$X$3), (EXP(-LN(2)/inputs!$C$51)*X106))</f>
        <v>2.2298149176624374E-5</v>
      </c>
      <c r="Y107" s="8">
        <f>IF((U107&gt;U106), (EXP(-LN(2)/inputs!$C$51)*Y106+$Y$3), (EXP(-LN(2)/inputs!$C$51)*Y106))</f>
        <v>2.7872686470780522E-5</v>
      </c>
      <c r="Z107" s="8">
        <f>IF((U107&gt;U106), (EXP(-LN(2)/inputs!$C$51)*Z106+$Z$3), (EXP(-LN(2)/inputs!$C$51)*Z106))</f>
        <v>4.3357512287880733E-6</v>
      </c>
      <c r="AA107" s="8">
        <f>IF((U107&gt;U106), (EXP(-LN(2)/inputs!$C$51)*AA106+$AA$3), (EXP(-LN(2)/inputs!$C$51)*AA106))</f>
        <v>4.0260547124460684E-5</v>
      </c>
      <c r="AB107" s="7">
        <f>(((0.621*15^0.564)/0.2))*W107/15+AB106*inputs!$C$53</f>
        <v>5.6653090115193371E-5</v>
      </c>
      <c r="AC107" s="7">
        <f>(((0.621*1000^0.564)/0.2))*W107/1000+AC106*inputs!$C$53</f>
        <v>9.0781925962103899E-6</v>
      </c>
      <c r="AD107" s="7">
        <f>(((0.648*20^0.651)/0.2))*AA107/20+AD106*inputs!$C$54</f>
        <v>6.0643743711714251E-5</v>
      </c>
      <c r="AE107" s="7">
        <f>(((0.013*2^0.773)/0.2))*AA107/2+AE106*inputs!$C$54</f>
        <v>2.9571953157720746E-6</v>
      </c>
    </row>
    <row r="108" spans="1:31" x14ac:dyDescent="0.3">
      <c r="A108" s="7">
        <f>IF(A107&lt;(inputs!$C$9-1),(1+A107),0)</f>
        <v>0</v>
      </c>
      <c r="B108" s="7">
        <f>IF(inputs!$C$8&gt;B107,IF(A107=(inputs!$C$9-1),(B107+1),B107), B107)</f>
        <v>1</v>
      </c>
      <c r="C108" s="7">
        <f t="shared" si="3"/>
        <v>105</v>
      </c>
      <c r="D108" s="8">
        <f>IF((B108&gt;B107), (EXP(-LN(2)/inputs!$C$51)*D107+$D$3), (EXP(-LN(2)/inputs!$C$51)*D107))</f>
        <v>1.3043058590113545E-4</v>
      </c>
      <c r="E108" s="8">
        <f>IF((B108&gt;B107), (EXP(-LN(2)/inputs!$C$51)*E107+$E$3), (EXP(-LN(2)/inputs!$C$51)*E107))</f>
        <v>5.9780685204687105E-5</v>
      </c>
      <c r="F108" s="8">
        <f>IF((B108&gt;B107), (EXP(-LN(2)/inputs!$C$51)*F107+$F$3), (EXP(-LN(2)/inputs!$C$51)*F107))</f>
        <v>7.3367204569388763E-5</v>
      </c>
      <c r="G108" s="8">
        <f>IF((B108&gt;B107), (EXP(-LN(2)/inputs!$C$51)*G107+$G$3), (EXP(-LN(2)/inputs!$C$51)*G107))</f>
        <v>8.1519116188209658E-6</v>
      </c>
      <c r="H108" s="8">
        <f>IF((B108&gt;B107), (EXP(-LN(2)/inputs!$C$51)*H107+$H$3), (EXP(-LN(2)/inputs!$C$51)*H107))</f>
        <v>5.1085312811278097E-5</v>
      </c>
      <c r="I108" s="7">
        <f>O108*(10^inputs!$C$55)*0.01/1</f>
        <v>1.1144112817522716</v>
      </c>
      <c r="J108" s="7">
        <f>(((0.621*15^0.564)/0.2))*D108/15+J107*inputs!$C$53</f>
        <v>1.4035174184132606E-4</v>
      </c>
      <c r="K108" s="7">
        <f>(((0.621*1000^0.564)/0.2))*D108/1000+K107*inputs!$C$53</f>
        <v>2.2490214409460008E-5</v>
      </c>
      <c r="L108" s="7">
        <f>(((0.648*20^0.651)/0.2))*H108/20+L107*inputs!$C$54</f>
        <v>7.6948895105245074E-5</v>
      </c>
      <c r="M108" s="7">
        <f>(((0.013*2^0.773)/0.2))*H108/2+M107*inputs!$C$54</f>
        <v>3.7522899846157122E-6</v>
      </c>
      <c r="N108" s="7">
        <f>O108*0.015*inputs!$C$56</f>
        <v>0.16372885857053118</v>
      </c>
      <c r="O108" s="7">
        <f>IF((B108&gt;B107), (EXP(-LN(2)/inputs!$C$52)*O107+$O$3), (EXP(-LN(2)/inputs!$C$52)*O107))</f>
        <v>1.7662228540510375E-2</v>
      </c>
      <c r="P108" s="3">
        <f>IF((B108&gt;B107), (EXP(-LN(2)/inputs!$C$52)*P107+$P$3), (EXP(-LN(2)/inputs!$C$52)*P107))</f>
        <v>1.7067098361387954E-2</v>
      </c>
      <c r="Q108" s="19">
        <f>IF((F108*0.62*1/(0.012*(10^inputs!$C$55)))&gt;inputs!$C$57, inputs!$C$57, (F108*0.62*1/(0.012*(10^inputs!$C$55))))</f>
        <v>6.0077577920495111E-7</v>
      </c>
      <c r="R108" s="3">
        <f>IF((B108&gt;B107), (EXP(-LN(2)/inputs!$C$51)*R107+$R$3), (EXP(-LN(2)/inputs!$C$51)*R107))</f>
        <v>1.3958689511882516E-12</v>
      </c>
      <c r="T108" s="7">
        <f>IF(T107&lt;(inputs!$C$9-1),(1+T107),0)</f>
        <v>0</v>
      </c>
      <c r="U108" s="7">
        <f>IF(inputs!$C$8&gt;U107,IF(T107=(inputs!$C$9-1),(U107+1),U107), U107)</f>
        <v>1</v>
      </c>
      <c r="V108" s="7">
        <f t="shared" si="2"/>
        <v>105</v>
      </c>
      <c r="W108" s="8">
        <f>IF((U108&gt;U107), (EXP(-LN(2)/inputs!$C$51)*W107+$W$3), (EXP(-LN(2)/inputs!$C$51)*W107))</f>
        <v>4.6194165839985494E-5</v>
      </c>
      <c r="X108" s="8">
        <f>IF((U108&gt;U107), (EXP(-LN(2)/inputs!$C$51)*X107+$X$3), (EXP(-LN(2)/inputs!$C$51)*X107))</f>
        <v>1.9564587885170314E-5</v>
      </c>
      <c r="Y108" s="8">
        <f>IF((U108&gt;U107), (EXP(-LN(2)/inputs!$C$51)*Y107+$Y$3), (EXP(-LN(2)/inputs!$C$51)*Y107))</f>
        <v>2.4455734856462941E-5</v>
      </c>
      <c r="Z108" s="8">
        <f>IF((U108&gt;U107), (EXP(-LN(2)/inputs!$C$51)*Z107+$Z$3), (EXP(-LN(2)/inputs!$C$51)*Z107))</f>
        <v>3.8042254221164505E-6</v>
      </c>
      <c r="AA108" s="8">
        <f>IF((U108&gt;U107), (EXP(-LN(2)/inputs!$C$51)*AA107+$AA$3), (EXP(-LN(2)/inputs!$C$51)*AA107))</f>
        <v>3.5324950348224184E-5</v>
      </c>
      <c r="AB108" s="7">
        <f>(((0.621*15^0.564)/0.2))*W108/15+AB107*inputs!$C$53</f>
        <v>4.9707908568803001E-5</v>
      </c>
      <c r="AC108" s="7">
        <f>(((0.621*1000^0.564)/0.2))*W108/1000+AC107*inputs!$C$53</f>
        <v>7.9652842700170894E-6</v>
      </c>
      <c r="AD108" s="7">
        <f>(((0.648*20^0.651)/0.2))*AA108/20+AD107*inputs!$C$54</f>
        <v>5.3209342360009847E-5</v>
      </c>
      <c r="AE108" s="7">
        <f>(((0.013*2^0.773)/0.2))*AA108/2+AE107*inputs!$C$54</f>
        <v>2.594668606383203E-6</v>
      </c>
    </row>
    <row r="109" spans="1:31" x14ac:dyDescent="0.3">
      <c r="A109" s="7">
        <f>IF(A108&lt;(inputs!$C$9-1),(1+A108),0)</f>
        <v>0</v>
      </c>
      <c r="B109" s="7">
        <f>IF(inputs!$C$8&gt;B108,IF(A108=(inputs!$C$9-1),(B108+1),B108), B108)</f>
        <v>1</v>
      </c>
      <c r="C109" s="7">
        <f t="shared" si="3"/>
        <v>106</v>
      </c>
      <c r="D109" s="8">
        <f>IF((B109&gt;B108), (EXP(-LN(2)/inputs!$C$51)*D108+$D$3), (EXP(-LN(2)/inputs!$C$51)*D108))</f>
        <v>1.1444091796875001E-4</v>
      </c>
      <c r="E109" s="8">
        <f>IF((B109&gt;B108), (EXP(-LN(2)/inputs!$C$51)*E108+$E$3), (EXP(-LN(2)/inputs!$C$51)*E108))</f>
        <v>5.2452087402343777E-5</v>
      </c>
      <c r="F109" s="8">
        <f>IF((B109&gt;B108), (EXP(-LN(2)/inputs!$C$51)*F108+$F$3), (EXP(-LN(2)/inputs!$C$51)*F108))</f>
        <v>6.4373016357421943E-5</v>
      </c>
      <c r="G109" s="8">
        <f>IF((B109&gt;B108), (EXP(-LN(2)/inputs!$C$51)*G108+$G$3), (EXP(-LN(2)/inputs!$C$51)*G108))</f>
        <v>7.1525573730468758E-6</v>
      </c>
      <c r="H109" s="8">
        <f>IF((B109&gt;B108), (EXP(-LN(2)/inputs!$C$51)*H108+$H$3), (EXP(-LN(2)/inputs!$C$51)*H108))</f>
        <v>4.4822692871093797E-5</v>
      </c>
      <c r="I109" s="7">
        <f>O109*(10^inputs!$C$55)*0.01/1</f>
        <v>1.091922151844926</v>
      </c>
      <c r="J109" s="7">
        <f>(((0.621*15^0.564)/0.2))*D109/15+J108*inputs!$C$53</f>
        <v>1.2314582552752718E-4</v>
      </c>
      <c r="K109" s="7">
        <f>(((0.621*1000^0.564)/0.2))*D109/1000+K108*inputs!$C$53</f>
        <v>1.9733107572510004E-5</v>
      </c>
      <c r="L109" s="7">
        <f>(((0.648*20^0.651)/0.2))*H109/20+L108*inputs!$C$54</f>
        <v>6.7515622441504663E-5</v>
      </c>
      <c r="M109" s="7">
        <f>(((0.013*2^0.773)/0.2))*H109/2+M108*inputs!$C$54</f>
        <v>3.2922915078358987E-6</v>
      </c>
      <c r="N109" s="7">
        <f>O109*0.015*inputs!$C$56</f>
        <v>0.16042476462400865</v>
      </c>
      <c r="O109" s="7">
        <f>IF((B109&gt;B108), (EXP(-LN(2)/inputs!$C$52)*O108+$O$3), (EXP(-LN(2)/inputs!$C$52)*O108))</f>
        <v>1.7305799851565117E-2</v>
      </c>
      <c r="P109" s="3">
        <f>IF((B109&gt;B108), (EXP(-LN(2)/inputs!$C$52)*P108+$P$3), (EXP(-LN(2)/inputs!$C$52)*P108))</f>
        <v>1.6722679565136012E-2</v>
      </c>
      <c r="Q109" s="19">
        <f>IF((F109*0.62*1/(0.012*(10^inputs!$C$55)))&gt;inputs!$C$57, inputs!$C$57, (F109*0.62*1/(0.012*(10^inputs!$C$55))))</f>
        <v>5.271258362491735E-7</v>
      </c>
      <c r="R109" s="3">
        <f>IF((B109&gt;B108), (EXP(-LN(2)/inputs!$C$51)*R108+$R$3), (EXP(-LN(2)/inputs!$C$51)*R108))</f>
        <v>1.2247474243437341E-12</v>
      </c>
      <c r="T109" s="7">
        <f>IF(T108&lt;(inputs!$C$9-1),(1+T108),0)</f>
        <v>0</v>
      </c>
      <c r="U109" s="7">
        <f>IF(inputs!$C$8&gt;U108,IF(T108=(inputs!$C$9-1),(U108+1),U108), U108)</f>
        <v>1</v>
      </c>
      <c r="V109" s="7">
        <f t="shared" si="2"/>
        <v>106</v>
      </c>
      <c r="W109" s="8">
        <f>IF((U109&gt;U108), (EXP(-LN(2)/inputs!$C$51)*W108+$W$3), (EXP(-LN(2)/inputs!$C$51)*W108))</f>
        <v>4.0531158447265645E-5</v>
      </c>
      <c r="X109" s="8">
        <f>IF((U109&gt;U108), (EXP(-LN(2)/inputs!$C$51)*X108+$X$3), (EXP(-LN(2)/inputs!$C$51)*X108))</f>
        <v>1.71661376953125E-5</v>
      </c>
      <c r="Y109" s="8">
        <f>IF((U109&gt;U108), (EXP(-LN(2)/inputs!$C$51)*Y108+$Y$3), (EXP(-LN(2)/inputs!$C$51)*Y108))</f>
        <v>2.1457672119140666E-5</v>
      </c>
      <c r="Z109" s="8">
        <f>IF((U109&gt;U108), (EXP(-LN(2)/inputs!$C$51)*Z108+$Z$3), (EXP(-LN(2)/inputs!$C$51)*Z108))</f>
        <v>3.3378601074218754E-6</v>
      </c>
      <c r="AA109" s="8">
        <f>IF((U109&gt;U108), (EXP(-LN(2)/inputs!$C$51)*AA108+$AA$3), (EXP(-LN(2)/inputs!$C$51)*AA108))</f>
        <v>3.0994415283203125E-5</v>
      </c>
      <c r="AB109" s="7">
        <f>(((0.621*15^0.564)/0.2))*W109/15+AB108*inputs!$C$53</f>
        <v>4.3614146540999231E-5</v>
      </c>
      <c r="AC109" s="7">
        <f>(((0.621*1000^0.564)/0.2))*W109/1000+AC108*inputs!$C$53</f>
        <v>6.9888089319306285E-6</v>
      </c>
      <c r="AD109" s="7">
        <f>(((0.648*20^0.651)/0.2))*AA109/20+AD108*inputs!$C$54</f>
        <v>4.6686334666997856E-5</v>
      </c>
      <c r="AE109" s="7">
        <f>(((0.013*2^0.773)/0.2))*AA109/2+AE108*inputs!$C$54</f>
        <v>2.2765845532907789E-6</v>
      </c>
    </row>
    <row r="110" spans="1:31" x14ac:dyDescent="0.3">
      <c r="A110" s="7">
        <f>IF(A109&lt;(inputs!$C$9-1),(1+A109),0)</f>
        <v>0</v>
      </c>
      <c r="B110" s="7">
        <f>IF(inputs!$C$8&gt;B109,IF(A109=(inputs!$C$9-1),(B109+1),B109), B109)</f>
        <v>1</v>
      </c>
      <c r="C110" s="7">
        <f t="shared" si="3"/>
        <v>107</v>
      </c>
      <c r="D110" s="8">
        <f>IF((B110&gt;B109), (EXP(-LN(2)/inputs!$C$51)*D109+$D$3), (EXP(-LN(2)/inputs!$C$51)*D109))</f>
        <v>1.0041144578969616E-4</v>
      </c>
      <c r="E110" s="8">
        <f>IF((B110&gt;B109), (EXP(-LN(2)/inputs!$C$51)*E109+$E$3), (EXP(-LN(2)/inputs!$C$51)*E109))</f>
        <v>4.6021912653610751E-5</v>
      </c>
      <c r="F110" s="8">
        <f>IF((B110&gt;B109), (EXP(-LN(2)/inputs!$C$51)*F109+$F$3), (EXP(-LN(2)/inputs!$C$51)*F109))</f>
        <v>5.6481438256704138E-5</v>
      </c>
      <c r="G110" s="8">
        <f>IF((B110&gt;B109), (EXP(-LN(2)/inputs!$C$51)*G109+$G$3), (EXP(-LN(2)/inputs!$C$51)*G109))</f>
        <v>6.2757153618560098E-6</v>
      </c>
      <c r="H110" s="8">
        <f>IF((B110&gt;B109), (EXP(-LN(2)/inputs!$C$51)*H109+$H$3), (EXP(-LN(2)/inputs!$C$51)*H109))</f>
        <v>3.9327816267631027E-5</v>
      </c>
      <c r="I110" s="7">
        <f>O110*(10^inputs!$C$55)*0.01/1</f>
        <v>1.069886858839872</v>
      </c>
      <c r="J110" s="7">
        <f>(((0.621*15^0.564)/0.2))*D110/15+J109*inputs!$C$53</f>
        <v>1.0804920655705692E-4</v>
      </c>
      <c r="K110" s="7">
        <f>(((0.621*1000^0.564)/0.2))*D110/1000+K109*inputs!$C$53</f>
        <v>1.7313998318506962E-5</v>
      </c>
      <c r="L110" s="7">
        <f>(((0.648*20^0.651)/0.2))*H110/20+L109*inputs!$C$54</f>
        <v>5.9238787866014404E-5</v>
      </c>
      <c r="M110" s="7">
        <f>(((0.013*2^0.773)/0.2))*H110/2+M109*inputs!$C$54</f>
        <v>2.8886848876309497E-6</v>
      </c>
      <c r="N110" s="7">
        <f>O110*0.015*inputs!$C$56</f>
        <v>0.15718734821315547</v>
      </c>
      <c r="O110" s="7">
        <f>IF((B110&gt;B109), (EXP(-LN(2)/inputs!$C$52)*O109+$O$3), (EXP(-LN(2)/inputs!$C$52)*O109))</f>
        <v>1.6956563992789157E-2</v>
      </c>
      <c r="P110" s="3">
        <f>IF((B110&gt;B109), (EXP(-LN(2)/inputs!$C$52)*P109+$P$3), (EXP(-LN(2)/inputs!$C$52)*P109))</f>
        <v>1.6385211236075375E-2</v>
      </c>
      <c r="Q110" s="19">
        <f>IF((F110*0.62*1/(0.012*(10^inputs!$C$55)))&gt;inputs!$C$57, inputs!$C$57, (F110*0.62*1/(0.012*(10^inputs!$C$55))))</f>
        <v>4.6250474279955883E-7</v>
      </c>
      <c r="R110" s="3">
        <f>IF((B110&gt;B109), (EXP(-LN(2)/inputs!$C$51)*R109+$R$3), (EXP(-LN(2)/inputs!$C$51)*R109))</f>
        <v>1.0746039247880046E-12</v>
      </c>
      <c r="T110" s="7">
        <f>IF(T109&lt;(inputs!$C$9-1),(1+T109),0)</f>
        <v>0</v>
      </c>
      <c r="U110" s="7">
        <f>IF(inputs!$C$8&gt;U109,IF(T109=(inputs!$C$9-1),(U109+1),U109), U109)</f>
        <v>1</v>
      </c>
      <c r="V110" s="7">
        <f t="shared" si="2"/>
        <v>107</v>
      </c>
      <c r="W110" s="8">
        <f>IF((U110&gt;U109), (EXP(-LN(2)/inputs!$C$51)*W109+$W$3), (EXP(-LN(2)/inputs!$C$51)*W109))</f>
        <v>3.5562387050517399E-5</v>
      </c>
      <c r="X110" s="8">
        <f>IF((U110&gt;U109), (EXP(-LN(2)/inputs!$C$51)*X109+$X$3), (EXP(-LN(2)/inputs!$C$51)*X109))</f>
        <v>1.5061716868454421E-5</v>
      </c>
      <c r="Y110" s="8">
        <f>IF((U110&gt;U109), (EXP(-LN(2)/inputs!$C$51)*Y109+$Y$3), (EXP(-LN(2)/inputs!$C$51)*Y109))</f>
        <v>1.8827146085568062E-5</v>
      </c>
      <c r="Z110" s="8">
        <f>IF((U110&gt;U109), (EXP(-LN(2)/inputs!$C$51)*Z109+$Z$3), (EXP(-LN(2)/inputs!$C$51)*Z109))</f>
        <v>2.9286671688661377E-6</v>
      </c>
      <c r="AA110" s="8">
        <f>IF((U110&gt;U109), (EXP(-LN(2)/inputs!$C$51)*AA109+$AA$3), (EXP(-LN(2)/inputs!$C$51)*AA109))</f>
        <v>2.7194766568042703E-5</v>
      </c>
      <c r="AB110" s="7">
        <f>(((0.621*15^0.564)/0.2))*W110/15+AB109*inputs!$C$53</f>
        <v>3.8267427322291001E-5</v>
      </c>
      <c r="AC110" s="7">
        <f>(((0.621*1000^0.564)/0.2))*W110/1000+AC109*inputs!$C$53</f>
        <v>6.1320410711378838E-6</v>
      </c>
      <c r="AD110" s="7">
        <f>(((0.648*20^0.651)/0.2))*AA110/20+AD109*inputs!$C$54</f>
        <v>4.0962991609478006E-5</v>
      </c>
      <c r="AE110" s="7">
        <f>(((0.013*2^0.773)/0.2))*AA110/2+AE109*inputs!$C$54</f>
        <v>1.9974948691065058E-6</v>
      </c>
    </row>
    <row r="111" spans="1:31" x14ac:dyDescent="0.3">
      <c r="A111" s="7">
        <f>IF(A110&lt;(inputs!$C$9-1),(1+A110),0)</f>
        <v>0</v>
      </c>
      <c r="B111" s="7">
        <f>IF(inputs!$C$8&gt;B110,IF(A110=(inputs!$C$9-1),(B110+1),B110), B110)</f>
        <v>1</v>
      </c>
      <c r="C111" s="7">
        <f t="shared" si="3"/>
        <v>108</v>
      </c>
      <c r="D111" s="8">
        <f>IF((B111&gt;B110), (EXP(-LN(2)/inputs!$C$51)*D110+$D$3), (EXP(-LN(2)/inputs!$C$51)*D110))</f>
        <v>8.8101866225245344E-5</v>
      </c>
      <c r="E111" s="8">
        <f>IF((B111&gt;B110), (EXP(-LN(2)/inputs!$C$51)*E110+$E$3), (EXP(-LN(2)/inputs!$C$51)*E110))</f>
        <v>4.0380022019904126E-5</v>
      </c>
      <c r="F111" s="8">
        <f>IF((B111&gt;B110), (EXP(-LN(2)/inputs!$C$51)*F110+$F$3), (EXP(-LN(2)/inputs!$C$51)*F110))</f>
        <v>4.9557299751700546E-5</v>
      </c>
      <c r="G111" s="8">
        <f>IF((B111&gt;B110), (EXP(-LN(2)/inputs!$C$51)*G110+$G$3), (EXP(-LN(2)/inputs!$C$51)*G110))</f>
        <v>5.506366639077834E-6</v>
      </c>
      <c r="H111" s="8">
        <f>IF((B111&gt;B110), (EXP(-LN(2)/inputs!$C$51)*H110+$H$3), (EXP(-LN(2)/inputs!$C$51)*H110))</f>
        <v>3.4506564271554454E-5</v>
      </c>
      <c r="I111" s="7">
        <f>O111*(10^inputs!$C$55)*0.01/1</f>
        <v>1.0482962441820776</v>
      </c>
      <c r="J111" s="7">
        <f>(((0.621*15^0.564)/0.2))*D111/15+J110*inputs!$C$53</f>
        <v>9.4803303218750869E-5</v>
      </c>
      <c r="K111" s="7">
        <f>(((0.621*1000^0.564)/0.2))*D111/1000+K110*inputs!$C$53</f>
        <v>1.5191451051068858E-5</v>
      </c>
      <c r="L111" s="7">
        <f>(((0.648*20^0.651)/0.2))*H111/20+L110*inputs!$C$54</f>
        <v>5.1976622016260695E-5</v>
      </c>
      <c r="M111" s="7">
        <f>(((0.013*2^0.773)/0.2))*H111/2+M110*inputs!$C$54</f>
        <v>2.5345569674395175E-6</v>
      </c>
      <c r="N111" s="7">
        <f>O111*0.015*inputs!$C$56</f>
        <v>0.15401526376673952</v>
      </c>
      <c r="O111" s="7">
        <f>IF((B111&gt;B110), (EXP(-LN(2)/inputs!$C$52)*O110+$O$3), (EXP(-LN(2)/inputs!$C$52)*O110))</f>
        <v>1.6614375810867263E-2</v>
      </c>
      <c r="P111" s="3">
        <f>IF((B111&gt;B110), (EXP(-LN(2)/inputs!$C$52)*P110+$P$3), (EXP(-LN(2)/inputs!$C$52)*P110))</f>
        <v>1.6054553111843183E-2</v>
      </c>
      <c r="Q111" s="19">
        <f>IF((F111*0.62*1/(0.012*(10^inputs!$C$55)))&gt;inputs!$C$57, inputs!$C$57, (F111*0.62*1/(0.012*(10^inputs!$C$55))))</f>
        <v>4.0580563956832884E-7</v>
      </c>
      <c r="R111" s="3">
        <f>IF((B111&gt;B110), (EXP(-LN(2)/inputs!$C$51)*R110+$R$3), (EXP(-LN(2)/inputs!$C$51)*R110))</f>
        <v>9.4286672681802518E-13</v>
      </c>
      <c r="T111" s="7">
        <f>IF(T110&lt;(inputs!$C$9-1),(1+T110),0)</f>
        <v>0</v>
      </c>
      <c r="U111" s="7">
        <f>IF(inputs!$C$8&gt;U110,IF(T110=(inputs!$C$9-1),(U110+1),U110), U110)</f>
        <v>1</v>
      </c>
      <c r="V111" s="7">
        <f t="shared" si="2"/>
        <v>108</v>
      </c>
      <c r="W111" s="8">
        <f>IF((U111&gt;U110), (EXP(-LN(2)/inputs!$C$51)*W110+$W$3), (EXP(-LN(2)/inputs!$C$51)*W110))</f>
        <v>3.1202744288107732E-5</v>
      </c>
      <c r="X111" s="8">
        <f>IF((U111&gt;U110), (EXP(-LN(2)/inputs!$C$51)*X110+$X$3), (EXP(-LN(2)/inputs!$C$51)*X110))</f>
        <v>1.32152799337868E-5</v>
      </c>
      <c r="Y111" s="8">
        <f>IF((U111&gt;U110), (EXP(-LN(2)/inputs!$C$51)*Y110+$Y$3), (EXP(-LN(2)/inputs!$C$51)*Y110))</f>
        <v>1.651909991723353E-5</v>
      </c>
      <c r="Z111" s="8">
        <f>IF((U111&gt;U110), (EXP(-LN(2)/inputs!$C$51)*Z110+$Z$3), (EXP(-LN(2)/inputs!$C$51)*Z110))</f>
        <v>2.5696377649029889E-6</v>
      </c>
      <c r="AA111" s="8">
        <f>IF((U111&gt;U110), (EXP(-LN(2)/inputs!$C$51)*AA110+$AA$3), (EXP(-LN(2)/inputs!$C$51)*AA110))</f>
        <v>2.3860922102670609E-5</v>
      </c>
      <c r="AB111" s="7">
        <f>(((0.621*15^0.564)/0.2))*W111/15+AB110*inputs!$C$53</f>
        <v>3.3576169889974273E-5</v>
      </c>
      <c r="AC111" s="7">
        <f>(((0.621*1000^0.564)/0.2))*W111/1000+AC110*inputs!$C$53</f>
        <v>5.3803055805868874E-6</v>
      </c>
      <c r="AD111" s="7">
        <f>(((0.648*20^0.651)/0.2))*AA111/20+AD110*inputs!$C$54</f>
        <v>3.5941281181456828E-5</v>
      </c>
      <c r="AE111" s="7">
        <f>(((0.013*2^0.773)/0.2))*AA111/2+AE110*inputs!$C$54</f>
        <v>1.7526191796124304E-6</v>
      </c>
    </row>
    <row r="112" spans="1:31" x14ac:dyDescent="0.3">
      <c r="A112" s="7">
        <f>IF(A111&lt;(inputs!$C$9-1),(1+A111),0)</f>
        <v>0</v>
      </c>
      <c r="B112" s="7">
        <f>IF(inputs!$C$8&gt;B111,IF(A111=(inputs!$C$9-1),(B111+1),B111), B111)</f>
        <v>1</v>
      </c>
      <c r="C112" s="7">
        <f t="shared" si="3"/>
        <v>109</v>
      </c>
      <c r="D112" s="8">
        <f>IF((B112&gt;B111), (EXP(-LN(2)/inputs!$C$51)*D111+$D$3), (EXP(-LN(2)/inputs!$C$51)*D111))</f>
        <v>7.7301335234508959E-5</v>
      </c>
      <c r="E112" s="8">
        <f>IF((B112&gt;B111), (EXP(-LN(2)/inputs!$C$51)*E111+$E$3), (EXP(-LN(2)/inputs!$C$51)*E111))</f>
        <v>3.5429778649149948E-5</v>
      </c>
      <c r="F112" s="8">
        <f>IF((B112&gt;B111), (EXP(-LN(2)/inputs!$C$51)*F111+$F$3), (EXP(-LN(2)/inputs!$C$51)*F111))</f>
        <v>4.3482001069411325E-5</v>
      </c>
      <c r="G112" s="8">
        <f>IF((B112&gt;B111), (EXP(-LN(2)/inputs!$C$51)*G111+$G$3), (EXP(-LN(2)/inputs!$C$51)*G111))</f>
        <v>4.83133345215681E-6</v>
      </c>
      <c r="H112" s="8">
        <f>IF((B112&gt;B111), (EXP(-LN(2)/inputs!$C$51)*H111+$H$3), (EXP(-LN(2)/inputs!$C$51)*H111))</f>
        <v>3.02763563001827E-5</v>
      </c>
      <c r="I112" s="7">
        <f>O112*(10^inputs!$C$55)*0.01/1</f>
        <v>1.027141334138701</v>
      </c>
      <c r="J112" s="7">
        <f>(((0.621*15^0.564)/0.2))*D112/15+J111*inputs!$C$53</f>
        <v>8.3181233695042039E-5</v>
      </c>
      <c r="K112" s="7">
        <f>(((0.621*1000^0.564)/0.2))*D112/1000+K111*inputs!$C$53</f>
        <v>1.3329109821521682E-5</v>
      </c>
      <c r="L112" s="7">
        <f>(((0.648*20^0.651)/0.2))*H112/20+L111*inputs!$C$54</f>
        <v>4.5604735234144447E-5</v>
      </c>
      <c r="M112" s="7">
        <f>(((0.013*2^0.773)/0.2))*H112/2+M111*inputs!$C$54</f>
        <v>2.2238420842311383E-6</v>
      </c>
      <c r="N112" s="7">
        <f>O112*0.015*inputs!$C$56</f>
        <v>0.15090719286753065</v>
      </c>
      <c r="O112" s="7">
        <f>IF((B112&gt;B111), (EXP(-LN(2)/inputs!$C$52)*O111+$O$3), (EXP(-LN(2)/inputs!$C$52)*O111))</f>
        <v>1.6279093081718515E-2</v>
      </c>
      <c r="P112" s="3">
        <f>IF((B112&gt;B111), (EXP(-LN(2)/inputs!$C$52)*P111+$P$3), (EXP(-LN(2)/inputs!$C$52)*P111))</f>
        <v>1.5730567760610097E-2</v>
      </c>
      <c r="Q112" s="19">
        <f>IF((F112*0.62*1/(0.012*(10^inputs!$C$55)))&gt;inputs!$C$57, inputs!$C$57, (F112*0.62*1/(0.012*(10^inputs!$C$55))))</f>
        <v>3.5605735869573346E-7</v>
      </c>
      <c r="R112" s="3">
        <f>IF((B112&gt;B111), (EXP(-LN(2)/inputs!$C$51)*R111+$R$3), (EXP(-LN(2)/inputs!$C$51)*R111))</f>
        <v>8.2727937618124363E-13</v>
      </c>
      <c r="T112" s="7">
        <f>IF(T111&lt;(inputs!$C$9-1),(1+T111),0)</f>
        <v>0</v>
      </c>
      <c r="U112" s="7">
        <f>IF(inputs!$C$8&gt;U111,IF(T111=(inputs!$C$9-1),(U111+1),U111), U111)</f>
        <v>1</v>
      </c>
      <c r="V112" s="7">
        <f t="shared" si="2"/>
        <v>109</v>
      </c>
      <c r="W112" s="8">
        <f>IF((U112&gt;U111), (EXP(-LN(2)/inputs!$C$51)*W111+$W$3), (EXP(-LN(2)/inputs!$C$51)*W111))</f>
        <v>2.7377556228888597E-5</v>
      </c>
      <c r="X112" s="8">
        <f>IF((U112&gt;U111), (EXP(-LN(2)/inputs!$C$51)*X111+$X$3), (EXP(-LN(2)/inputs!$C$51)*X111))</f>
        <v>1.1595200285176343E-5</v>
      </c>
      <c r="Y112" s="8">
        <f>IF((U112&gt;U111), (EXP(-LN(2)/inputs!$C$51)*Y111+$Y$3), (EXP(-LN(2)/inputs!$C$51)*Y111))</f>
        <v>1.4494000356470455E-5</v>
      </c>
      <c r="Z112" s="8">
        <f>IF((U112&gt;U111), (EXP(-LN(2)/inputs!$C$51)*Z111+$Z$3), (EXP(-LN(2)/inputs!$C$51)*Z111))</f>
        <v>2.254622277673178E-6</v>
      </c>
      <c r="AA112" s="8">
        <f>IF((U112&gt;U111), (EXP(-LN(2)/inputs!$C$51)*AA111+$AA$3), (EXP(-LN(2)/inputs!$C$51)*AA111))</f>
        <v>2.0935778292679506E-5</v>
      </c>
      <c r="AB112" s="7">
        <f>(((0.621*15^0.564)/0.2))*W112/15+AB111*inputs!$C$53</f>
        <v>2.9460020266994059E-5</v>
      </c>
      <c r="AC112" s="7">
        <f>(((0.621*1000^0.564)/0.2))*W112/1000+AC111*inputs!$C$53</f>
        <v>4.7207263951222638E-6</v>
      </c>
      <c r="AD112" s="7">
        <f>(((0.648*20^0.651)/0.2))*AA112/20+AD111*inputs!$C$54</f>
        <v>3.1535189257653042E-5</v>
      </c>
      <c r="AE112" s="7">
        <f>(((0.013*2^0.773)/0.2))*AA112/2+AE111*inputs!$C$54</f>
        <v>1.5377631433513177E-6</v>
      </c>
    </row>
    <row r="113" spans="1:31" x14ac:dyDescent="0.3">
      <c r="A113" s="7">
        <f>IF(A112&lt;(inputs!$C$9-1),(1+A112),0)</f>
        <v>0</v>
      </c>
      <c r="B113" s="7">
        <f>IF(inputs!$C$8&gt;B112,IF(A112=(inputs!$C$9-1),(B112+1),B112), B112)</f>
        <v>1</v>
      </c>
      <c r="C113" s="7">
        <f t="shared" si="3"/>
        <v>110</v>
      </c>
      <c r="D113" s="8">
        <f>IF((B113&gt;B112), (EXP(-LN(2)/inputs!$C$51)*D112+$D$3), (EXP(-LN(2)/inputs!$C$51)*D112))</f>
        <v>6.7824856442435667E-5</v>
      </c>
      <c r="E113" s="8">
        <f>IF((B113&gt;B112), (EXP(-LN(2)/inputs!$C$51)*E112+$E$3), (EXP(-LN(2)/inputs!$C$51)*E112))</f>
        <v>3.108639253611635E-5</v>
      </c>
      <c r="F113" s="8">
        <f>IF((B113&gt;B112), (EXP(-LN(2)/inputs!$C$51)*F112+$F$3), (EXP(-LN(2)/inputs!$C$51)*F112))</f>
        <v>3.8151481748870093E-5</v>
      </c>
      <c r="G113" s="8">
        <f>IF((B113&gt;B112), (EXP(-LN(2)/inputs!$C$51)*G112+$G$3), (EXP(-LN(2)/inputs!$C$51)*G112))</f>
        <v>4.2390535276522292E-6</v>
      </c>
      <c r="H113" s="8">
        <f>IF((B113&gt;B112), (EXP(-LN(2)/inputs!$C$51)*H112+$H$3), (EXP(-LN(2)/inputs!$C$51)*H112))</f>
        <v>2.6564735439953987E-5</v>
      </c>
      <c r="I113" s="7">
        <f>O113*(10^inputs!$C$55)*0.01/1</f>
        <v>1.0064133360693268</v>
      </c>
      <c r="J113" s="7">
        <f>(((0.621*15^0.564)/0.2))*D113/15+J112*inputs!$C$53</f>
        <v>7.2983929927672439E-5</v>
      </c>
      <c r="K113" s="7">
        <f>(((0.621*1000^0.564)/0.2))*D113/1000+K112*inputs!$C$53</f>
        <v>1.1695075607783068E-5</v>
      </c>
      <c r="L113" s="7">
        <f>(((0.648*20^0.651)/0.2))*H113/20+L112*inputs!$C$54</f>
        <v>4.00139869637115E-5</v>
      </c>
      <c r="M113" s="7">
        <f>(((0.013*2^0.773)/0.2))*H113/2+M112*inputs!$C$54</f>
        <v>1.951218173089064E-6</v>
      </c>
      <c r="N113" s="7">
        <f>O113*0.015*inputs!$C$56</f>
        <v>0.14786184370432537</v>
      </c>
      <c r="O113" s="7">
        <f>IF((B113&gt;B112), (EXP(-LN(2)/inputs!$C$52)*O112+$O$3), (EXP(-LN(2)/inputs!$C$52)*O112))</f>
        <v>1.5950576451383536E-2</v>
      </c>
      <c r="P113" s="3">
        <f>IF((B113&gt;B112), (EXP(-LN(2)/inputs!$C$52)*P112+$P$3), (EXP(-LN(2)/inputs!$C$52)*P112))</f>
        <v>1.5413120523959359E-2</v>
      </c>
      <c r="Q113" s="19">
        <f>IF((F113*0.62*1/(0.012*(10^inputs!$C$55)))&gt;inputs!$C$57, inputs!$C$57, (F113*0.62*1/(0.012*(10^inputs!$C$55))))</f>
        <v>3.1240778914812425E-7</v>
      </c>
      <c r="R113" s="3">
        <f>IF((B113&gt;B112), (EXP(-LN(2)/inputs!$C$51)*R112+$R$3), (EXP(-LN(2)/inputs!$C$51)*R112))</f>
        <v>7.2586204050757243E-13</v>
      </c>
      <c r="T113" s="7">
        <f>IF(T112&lt;(inputs!$C$9-1),(1+T112),0)</f>
        <v>0</v>
      </c>
      <c r="U113" s="7">
        <f>IF(inputs!$C$8&gt;U112,IF(T112=(inputs!$C$9-1),(U112+1),U112), U112)</f>
        <v>1</v>
      </c>
      <c r="V113" s="7">
        <f t="shared" si="2"/>
        <v>110</v>
      </c>
      <c r="W113" s="8">
        <f>IF((U113&gt;U112), (EXP(-LN(2)/inputs!$C$51)*W112+$W$3), (EXP(-LN(2)/inputs!$C$51)*W112))</f>
        <v>2.4021303323362635E-5</v>
      </c>
      <c r="X113" s="8">
        <f>IF((U113&gt;U112), (EXP(-LN(2)/inputs!$C$51)*X112+$X$3), (EXP(-LN(2)/inputs!$C$51)*X112))</f>
        <v>1.0173728466365348E-5</v>
      </c>
      <c r="Y113" s="8">
        <f>IF((U113&gt;U112), (EXP(-LN(2)/inputs!$C$51)*Y112+$Y$3), (EXP(-LN(2)/inputs!$C$51)*Y112))</f>
        <v>1.2717160582956709E-5</v>
      </c>
      <c r="Z113" s="8">
        <f>IF((U113&gt;U112), (EXP(-LN(2)/inputs!$C$51)*Z112+$Z$3), (EXP(-LN(2)/inputs!$C$51)*Z112))</f>
        <v>1.97822497957104E-6</v>
      </c>
      <c r="AA113" s="8">
        <f>IF((U113&gt;U112), (EXP(-LN(2)/inputs!$C$51)*AA112+$AA$3), (EXP(-LN(2)/inputs!$C$51)*AA112))</f>
        <v>1.8369231953159655E-5</v>
      </c>
      <c r="AB113" s="7">
        <f>(((0.621*15^0.564)/0.2))*W113/15+AB112*inputs!$C$53</f>
        <v>2.5848475182717326E-5</v>
      </c>
      <c r="AC113" s="7">
        <f>(((0.621*1000^0.564)/0.2))*W113/1000+AC112*inputs!$C$53</f>
        <v>4.1420059444231699E-6</v>
      </c>
      <c r="AD113" s="7">
        <f>(((0.648*20^0.651)/0.2))*AA113/20+AD112*inputs!$C$54</f>
        <v>2.7669246304694101E-5</v>
      </c>
      <c r="AE113" s="7">
        <f>(((0.013*2^0.773)/0.2))*AA113/2+AE112*inputs!$C$54</f>
        <v>1.3492466090509475E-6</v>
      </c>
    </row>
    <row r="114" spans="1:31" x14ac:dyDescent="0.3">
      <c r="A114" s="7">
        <f>IF(A113&lt;(inputs!$C$9-1),(1+A113),0)</f>
        <v>0</v>
      </c>
      <c r="B114" s="7">
        <f>IF(inputs!$C$8&gt;B113,IF(A113=(inputs!$C$9-1),(B113+1),B113), B113)</f>
        <v>1</v>
      </c>
      <c r="C114" s="7">
        <f t="shared" si="3"/>
        <v>111</v>
      </c>
      <c r="D114" s="8">
        <f>IF((B114&gt;B113), (EXP(-LN(2)/inputs!$C$51)*D113+$D$3), (EXP(-LN(2)/inputs!$C$51)*D113))</f>
        <v>5.9510112438308499E-5</v>
      </c>
      <c r="E114" s="8">
        <f>IF((B114&gt;B113), (EXP(-LN(2)/inputs!$C$51)*E113+$E$3), (EXP(-LN(2)/inputs!$C$51)*E113))</f>
        <v>2.7275468200891396E-5</v>
      </c>
      <c r="F114" s="8">
        <f>IF((B114&gt;B113), (EXP(-LN(2)/inputs!$C$51)*F113+$F$3), (EXP(-LN(2)/inputs!$C$51)*F113))</f>
        <v>3.347443824654856E-5</v>
      </c>
      <c r="G114" s="8">
        <f>IF((B114&gt;B113), (EXP(-LN(2)/inputs!$C$51)*G113+$G$3), (EXP(-LN(2)/inputs!$C$51)*G113))</f>
        <v>3.7193820273942812E-6</v>
      </c>
      <c r="H114" s="8">
        <f>IF((B114&gt;B113), (EXP(-LN(2)/inputs!$C$51)*H113+$H$3), (EXP(-LN(2)/inputs!$C$51)*H113))</f>
        <v>2.3308127371670842E-5</v>
      </c>
      <c r="I114" s="7">
        <f>O114*(10^inputs!$C$55)*0.01/1</f>
        <v>0.98610363477147189</v>
      </c>
      <c r="J114" s="7">
        <f>(((0.621*15^0.564)/0.2))*D114/15+J113*inputs!$C$53</f>
        <v>6.4036727890042004E-5</v>
      </c>
      <c r="K114" s="7">
        <f>(((0.621*1000^0.564)/0.2))*D114/1000+K113*inputs!$C$53</f>
        <v>1.0261359933498388E-5</v>
      </c>
      <c r="L114" s="7">
        <f>(((0.648*20^0.651)/0.2))*H114/20+L113*inputs!$C$54</f>
        <v>3.5108616342394856E-5</v>
      </c>
      <c r="M114" s="7">
        <f>(((0.013*2^0.773)/0.2))*H114/2+M113*inputs!$C$54</f>
        <v>1.7120156084775811E-6</v>
      </c>
      <c r="N114" s="7">
        <f>O114*0.015*inputs!$C$56</f>
        <v>0.14487795053503008</v>
      </c>
      <c r="O114" s="7">
        <f>IF((B114&gt;B113), (EXP(-LN(2)/inputs!$C$52)*O113+$O$3), (EXP(-LN(2)/inputs!$C$52)*O113))</f>
        <v>1.5628689378104646E-2</v>
      </c>
      <c r="P114" s="3">
        <f>IF((B114&gt;B113), (EXP(-LN(2)/inputs!$C$52)*P113+$P$3), (EXP(-LN(2)/inputs!$C$52)*P113))</f>
        <v>1.5102079460918549E-2</v>
      </c>
      <c r="Q114" s="19">
        <f>IF((F114*0.62*1/(0.012*(10^inputs!$C$55)))&gt;inputs!$C$57, inputs!$C$57, (F114*0.62*1/(0.012*(10^inputs!$C$55))))</f>
        <v>2.7410928137514258E-7</v>
      </c>
      <c r="R114" s="3">
        <f>IF((B114&gt;B113), (EXP(-LN(2)/inputs!$C$51)*R113+$R$3), (EXP(-LN(2)/inputs!$C$51)*R113))</f>
        <v>6.3687759784596235E-13</v>
      </c>
      <c r="T114" s="7">
        <f>IF(T113&lt;(inputs!$C$9-1),(1+T113),0)</f>
        <v>0</v>
      </c>
      <c r="U114" s="7">
        <f>IF(inputs!$C$8&gt;U113,IF(T113=(inputs!$C$9-1),(U113+1),U113), U113)</f>
        <v>1</v>
      </c>
      <c r="V114" s="7">
        <f t="shared" si="2"/>
        <v>111</v>
      </c>
      <c r="W114" s="8">
        <f>IF((U114&gt;U113), (EXP(-LN(2)/inputs!$C$51)*W113+$W$3), (EXP(-LN(2)/inputs!$C$51)*W113))</f>
        <v>2.1076498155234263E-5</v>
      </c>
      <c r="X114" s="8">
        <f>IF((U114&gt;U113), (EXP(-LN(2)/inputs!$C$51)*X113+$X$3), (EXP(-LN(2)/inputs!$C$51)*X113))</f>
        <v>8.9265168657462738E-6</v>
      </c>
      <c r="Y114" s="8">
        <f>IF((U114&gt;U113), (EXP(-LN(2)/inputs!$C$51)*Y113+$Y$3), (EXP(-LN(2)/inputs!$C$51)*Y113))</f>
        <v>1.1158146082182862E-5</v>
      </c>
      <c r="Z114" s="8">
        <f>IF((U114&gt;U113), (EXP(-LN(2)/inputs!$C$51)*Z113+$Z$3), (EXP(-LN(2)/inputs!$C$51)*Z113))</f>
        <v>1.7357116127839975E-6</v>
      </c>
      <c r="AA114" s="8">
        <f>IF((U114&gt;U113), (EXP(-LN(2)/inputs!$C$51)*AA113+$AA$3), (EXP(-LN(2)/inputs!$C$51)*AA113))</f>
        <v>1.6117322118708546E-5</v>
      </c>
      <c r="AB114" s="7">
        <f>(((0.621*15^0.564)/0.2))*W114/15+AB113*inputs!$C$53</f>
        <v>2.2679674461056548E-5</v>
      </c>
      <c r="AC114" s="7">
        <f>(((0.621*1000^0.564)/0.2))*W114/1000+AC113*inputs!$C$53</f>
        <v>3.6342316431140127E-6</v>
      </c>
      <c r="AD114" s="7">
        <f>(((0.648*20^0.651)/0.2))*AA114/20+AD113*inputs!$C$54</f>
        <v>2.4277234704847488E-5</v>
      </c>
      <c r="AE114" s="7">
        <f>(((0.013*2^0.773)/0.2))*AA114/2+AE113*inputs!$C$54</f>
        <v>1.1838405803302412E-6</v>
      </c>
    </row>
    <row r="115" spans="1:31" x14ac:dyDescent="0.3">
      <c r="A115" s="7">
        <f>IF(A114&lt;(inputs!$C$9-1),(1+A114),0)</f>
        <v>0</v>
      </c>
      <c r="B115" s="7">
        <f>IF(inputs!$C$8&gt;B114,IF(A114=(inputs!$C$9-1),(B114+1),B114), B114)</f>
        <v>1</v>
      </c>
      <c r="C115" s="7">
        <f t="shared" si="3"/>
        <v>112</v>
      </c>
      <c r="D115" s="8">
        <f>IF((B115&gt;B114), (EXP(-LN(2)/inputs!$C$51)*D114+$D$3), (EXP(-LN(2)/inputs!$C$51)*D114))</f>
        <v>5.2214684529790685E-5</v>
      </c>
      <c r="E115" s="8">
        <f>IF((B115&gt;B114), (EXP(-LN(2)/inputs!$C$51)*E114+$E$3), (EXP(-LN(2)/inputs!$C$51)*E114))</f>
        <v>2.3931730409487398E-5</v>
      </c>
      <c r="F115" s="8">
        <f>IF((B115&gt;B114), (EXP(-LN(2)/inputs!$C$51)*F114+$F$3), (EXP(-LN(2)/inputs!$C$51)*F114))</f>
        <v>2.9370760048007287E-5</v>
      </c>
      <c r="G115" s="8">
        <f>IF((B115&gt;B114), (EXP(-LN(2)/inputs!$C$51)*G114+$G$3), (EXP(-LN(2)/inputs!$C$51)*G114))</f>
        <v>3.2634177831119178E-6</v>
      </c>
      <c r="H115" s="8">
        <f>IF((B115&gt;B114), (EXP(-LN(2)/inputs!$C$51)*H114+$H$3), (EXP(-LN(2)/inputs!$C$51)*H114))</f>
        <v>2.0450751440834699E-5</v>
      </c>
      <c r="I115" s="7">
        <f>O115*(10^inputs!$C$55)*0.01/1</f>
        <v>0.96620378889983682</v>
      </c>
      <c r="J115" s="7">
        <f>(((0.621*15^0.564)/0.2))*D115/15+J114*inputs!$C$53</f>
        <v>5.618637586283867E-5</v>
      </c>
      <c r="K115" s="7">
        <f>(((0.621*1000^0.564)/0.2))*D115/1000+K114*inputs!$C$53</f>
        <v>9.0034054687711396E-6</v>
      </c>
      <c r="L115" s="7">
        <f>(((0.648*20^0.651)/0.2))*H115/20+L114*inputs!$C$54</f>
        <v>3.0804601965690848E-5</v>
      </c>
      <c r="M115" s="7">
        <f>(((0.013*2^0.773)/0.2))*H115/2+M114*inputs!$C$54</f>
        <v>1.5021372207858565E-6</v>
      </c>
      <c r="N115" s="7">
        <f>O115*0.015*inputs!$C$56</f>
        <v>0.14195427316057885</v>
      </c>
      <c r="O115" s="7">
        <f>IF((B115&gt;B114), (EXP(-LN(2)/inputs!$C$52)*O114+$O$3), (EXP(-LN(2)/inputs!$C$52)*O114))</f>
        <v>1.5313298075574848E-2</v>
      </c>
      <c r="P115" s="3">
        <f>IF((B115&gt;B114), (EXP(-LN(2)/inputs!$C$52)*P114+$P$3), (EXP(-LN(2)/inputs!$C$52)*P114))</f>
        <v>1.4797315293120799E-2</v>
      </c>
      <c r="Q115" s="19">
        <f>IF((F115*0.62*1/(0.012*(10^inputs!$C$55)))&gt;inputs!$C$57, inputs!$C$57, (F115*0.62*1/(0.012*(10^inputs!$C$55))))</f>
        <v>2.4050584123039368E-7</v>
      </c>
      <c r="R115" s="3">
        <f>IF((B115&gt;B114), (EXP(-LN(2)/inputs!$C$51)*R114+$R$3), (EXP(-LN(2)/inputs!$C$51)*R114))</f>
        <v>5.5880188245470301E-13</v>
      </c>
      <c r="T115" s="7">
        <f>IF(T114&lt;(inputs!$C$9-1),(1+T114),0)</f>
        <v>0</v>
      </c>
      <c r="U115" s="7">
        <f>IF(inputs!$C$8&gt;U114,IF(T114=(inputs!$C$9-1),(U114+1),U114), U114)</f>
        <v>1</v>
      </c>
      <c r="V115" s="7">
        <f t="shared" si="2"/>
        <v>112</v>
      </c>
      <c r="W115" s="8">
        <f>IF((U115&gt;U114), (EXP(-LN(2)/inputs!$C$51)*W114+$W$3), (EXP(-LN(2)/inputs!$C$51)*W114))</f>
        <v>1.8492700770967539E-5</v>
      </c>
      <c r="X115" s="8">
        <f>IF((U115&gt;U114), (EXP(-LN(2)/inputs!$C$51)*X114+$X$3), (EXP(-LN(2)/inputs!$C$51)*X114))</f>
        <v>7.8322026794686017E-6</v>
      </c>
      <c r="Y115" s="8">
        <f>IF((U115&gt;U114), (EXP(-LN(2)/inputs!$C$51)*Y114+$Y$3), (EXP(-LN(2)/inputs!$C$51)*Y114))</f>
        <v>9.7902533493357691E-6</v>
      </c>
      <c r="Z115" s="8">
        <f>IF((U115&gt;U114), (EXP(-LN(2)/inputs!$C$51)*Z114+$Z$3), (EXP(-LN(2)/inputs!$C$51)*Z114))</f>
        <v>1.5229282987855614E-6</v>
      </c>
      <c r="AA115" s="8">
        <f>IF((U115&gt;U114), (EXP(-LN(2)/inputs!$C$51)*AA114+$AA$3), (EXP(-LN(2)/inputs!$C$51)*AA114))</f>
        <v>1.414147706015164E-5</v>
      </c>
      <c r="AB115" s="7">
        <f>(((0.621*15^0.564)/0.2))*W115/15+AB114*inputs!$C$53</f>
        <v>1.9899341451422035E-5</v>
      </c>
      <c r="AC115" s="7">
        <f>(((0.621*1000^0.564)/0.2))*W115/1000+AC114*inputs!$C$53</f>
        <v>3.1887061035231134E-6</v>
      </c>
      <c r="AD115" s="7">
        <f>(((0.648*20^0.651)/0.2))*AA115/20+AD114*inputs!$C$54</f>
        <v>2.1301054550743651E-5</v>
      </c>
      <c r="AE115" s="7">
        <f>(((0.013*2^0.773)/0.2))*AA115/2+AE114*inputs!$C$54</f>
        <v>1.0387119079902188E-6</v>
      </c>
    </row>
    <row r="116" spans="1:31" x14ac:dyDescent="0.3">
      <c r="A116" s="7">
        <f>IF(A115&lt;(inputs!$C$9-1),(1+A115),0)</f>
        <v>0</v>
      </c>
      <c r="B116" s="7">
        <f>IF(inputs!$C$8&gt;B115,IF(A115=(inputs!$C$9-1),(B115+1),B115), B115)</f>
        <v>1</v>
      </c>
      <c r="C116" s="7">
        <f t="shared" si="3"/>
        <v>113</v>
      </c>
      <c r="D116" s="8">
        <f>IF((B116&gt;B115), (EXP(-LN(2)/inputs!$C$51)*D115+$D$3), (EXP(-LN(2)/inputs!$C$51)*D115))</f>
        <v>4.5813613331211119E-5</v>
      </c>
      <c r="E116" s="8">
        <f>IF((B116&gt;B115), (EXP(-LN(2)/inputs!$C$51)*E115+$E$3), (EXP(-LN(2)/inputs!$C$51)*E115))</f>
        <v>2.0997906110138428E-5</v>
      </c>
      <c r="F116" s="8">
        <f>IF((B116&gt;B115), (EXP(-LN(2)/inputs!$C$51)*F115+$F$3), (EXP(-LN(2)/inputs!$C$51)*F115))</f>
        <v>2.5770157498806276E-5</v>
      </c>
      <c r="G116" s="8">
        <f>IF((B116&gt;B115), (EXP(-LN(2)/inputs!$C$51)*G115+$G$3), (EXP(-LN(2)/inputs!$C$51)*G115))</f>
        <v>2.863350833200695E-6</v>
      </c>
      <c r="H116" s="8">
        <f>IF((B116&gt;B115), (EXP(-LN(2)/inputs!$C$51)*H115+$H$3), (EXP(-LN(2)/inputs!$C$51)*H115))</f>
        <v>1.7943665221391034E-5</v>
      </c>
      <c r="I116" s="7">
        <f>O116*(10^inputs!$C$55)*0.01/1</f>
        <v>0.94670552745782077</v>
      </c>
      <c r="J116" s="7">
        <f>(((0.621*15^0.564)/0.2))*D116/15+J115*inputs!$C$53</f>
        <v>4.9298409469342881E-5</v>
      </c>
      <c r="K116" s="7">
        <f>(((0.621*1000^0.564)/0.2))*D116/1000+K115*inputs!$C$53</f>
        <v>7.8996654011201814E-6</v>
      </c>
      <c r="L116" s="7">
        <f>(((0.648*20^0.651)/0.2))*H116/20+L115*inputs!$C$54</f>
        <v>2.7028222730577586E-5</v>
      </c>
      <c r="M116" s="7">
        <f>(((0.013*2^0.773)/0.2))*H116/2+M115*inputs!$C$54</f>
        <v>1.3179881181555271E-6</v>
      </c>
      <c r="N116" s="7">
        <f>O116*0.015*inputs!$C$56</f>
        <v>0.13908959640946825</v>
      </c>
      <c r="O116" s="7">
        <f>IF((B116&gt;B115), (EXP(-LN(2)/inputs!$C$52)*O115+$O$3), (EXP(-LN(2)/inputs!$C$52)*O115))</f>
        <v>1.5004271457332064E-2</v>
      </c>
      <c r="P116" s="3">
        <f>IF((B116&gt;B115), (EXP(-LN(2)/inputs!$C$52)*P115+$P$3), (EXP(-LN(2)/inputs!$C$52)*P115))</f>
        <v>1.4498701351072675E-2</v>
      </c>
      <c r="Q116" s="19">
        <f>IF((F116*0.62*1/(0.012*(10^inputs!$C$55)))&gt;inputs!$C$57, inputs!$C$57, (F116*0.62*1/(0.012*(10^inputs!$C$55))))</f>
        <v>2.1102189380729517E-7</v>
      </c>
      <c r="R116" s="3">
        <f>IF((B116&gt;B115), (EXP(-LN(2)/inputs!$C$51)*R115+$R$3), (EXP(-LN(2)/inputs!$C$51)*R115))</f>
        <v>4.902975782019012E-13</v>
      </c>
      <c r="T116" s="7">
        <f>IF(T115&lt;(inputs!$C$9-1),(1+T115),0)</f>
        <v>0</v>
      </c>
      <c r="U116" s="7">
        <f>IF(inputs!$C$8&gt;U115,IF(T115=(inputs!$C$9-1),(U115+1),U115), U115)</f>
        <v>1</v>
      </c>
      <c r="V116" s="7">
        <f t="shared" si="2"/>
        <v>113</v>
      </c>
      <c r="W116" s="8">
        <f>IF((U116&gt;U115), (EXP(-LN(2)/inputs!$C$51)*W115+$W$3), (EXP(-LN(2)/inputs!$C$51)*W115))</f>
        <v>1.622565472147061E-5</v>
      </c>
      <c r="X116" s="8">
        <f>IF((U116&gt;U115), (EXP(-LN(2)/inputs!$C$51)*X115+$X$3), (EXP(-LN(2)/inputs!$C$51)*X115))</f>
        <v>6.8720419996816667E-6</v>
      </c>
      <c r="Y116" s="8">
        <f>IF((U116&gt;U115), (EXP(-LN(2)/inputs!$C$51)*Y115+$Y$3), (EXP(-LN(2)/inputs!$C$51)*Y115))</f>
        <v>8.5900524996020989E-6</v>
      </c>
      <c r="Z116" s="8">
        <f>IF((U116&gt;U115), (EXP(-LN(2)/inputs!$C$51)*Z115+$Z$3), (EXP(-LN(2)/inputs!$C$51)*Z115))</f>
        <v>1.3362303888269908E-6</v>
      </c>
      <c r="AA116" s="8">
        <f>IF((U116&gt;U115), (EXP(-LN(2)/inputs!$C$51)*AA115+$AA$3), (EXP(-LN(2)/inputs!$C$51)*AA115))</f>
        <v>1.2407853610536341E-5</v>
      </c>
      <c r="AB116" s="7">
        <f>(((0.621*15^0.564)/0.2))*W116/15+AB115*inputs!$C$53</f>
        <v>1.7459853353725611E-5</v>
      </c>
      <c r="AC116" s="7">
        <f>(((0.621*1000^0.564)/0.2))*W116/1000+AC115*inputs!$C$53</f>
        <v>2.7977981628967318E-6</v>
      </c>
      <c r="AD116" s="7">
        <f>(((0.648*20^0.651)/0.2))*AA116/20+AD115*inputs!$C$54</f>
        <v>1.8689728483910012E-5</v>
      </c>
      <c r="AE116" s="7">
        <f>(((0.013*2^0.773)/0.2))*AA116/2+AE115*inputs!$C$54</f>
        <v>9.1137476255435279E-7</v>
      </c>
    </row>
    <row r="117" spans="1:31" x14ac:dyDescent="0.3">
      <c r="A117" s="7">
        <f>IF(A116&lt;(inputs!$C$9-1),(1+A116),0)</f>
        <v>0</v>
      </c>
      <c r="B117" s="7">
        <f>IF(inputs!$C$8&gt;B116,IF(A116=(inputs!$C$9-1),(B116+1),B116), B116)</f>
        <v>1</v>
      </c>
      <c r="C117" s="7">
        <f t="shared" si="3"/>
        <v>114</v>
      </c>
      <c r="D117" s="8">
        <f>IF((B117&gt;B116), (EXP(-LN(2)/inputs!$C$51)*D116+$D$3), (EXP(-LN(2)/inputs!$C$51)*D116))</f>
        <v>4.0197258402743411E-5</v>
      </c>
      <c r="E117" s="8">
        <f>IF((B117&gt;B116), (EXP(-LN(2)/inputs!$C$51)*E116+$E$3), (EXP(-LN(2)/inputs!$C$51)*E116))</f>
        <v>1.842374343459073E-5</v>
      </c>
      <c r="F117" s="8">
        <f>IF((B117&gt;B116), (EXP(-LN(2)/inputs!$C$51)*F116+$F$3), (EXP(-LN(2)/inputs!$C$51)*F116))</f>
        <v>2.2610957851543188E-5</v>
      </c>
      <c r="G117" s="8">
        <f>IF((B117&gt;B116), (EXP(-LN(2)/inputs!$C$51)*G116+$G$3), (EXP(-LN(2)/inputs!$C$51)*G116))</f>
        <v>2.5123286501714632E-6</v>
      </c>
      <c r="H117" s="8">
        <f>IF((B117&gt;B116), (EXP(-LN(2)/inputs!$C$51)*H116+$H$3), (EXP(-LN(2)/inputs!$C$51)*H116))</f>
        <v>1.5743926207741181E-5</v>
      </c>
      <c r="I117" s="7">
        <f>O117*(10^inputs!$C$55)*0.01/1</f>
        <v>0.92760074635983658</v>
      </c>
      <c r="J117" s="7">
        <f>(((0.621*15^0.564)/0.2))*D117/15+J116*inputs!$C$53</f>
        <v>4.3254848508825135E-5</v>
      </c>
      <c r="K117" s="7">
        <f>(((0.621*1000^0.564)/0.2))*D117/1000+K116*inputs!$C$53</f>
        <v>6.9312343719395739E-6</v>
      </c>
      <c r="L117" s="7">
        <f>(((0.648*20^0.651)/0.2))*H117/20+L116*inputs!$C$54</f>
        <v>2.371479510715137E-5</v>
      </c>
      <c r="M117" s="7">
        <f>(((0.013*2^0.773)/0.2))*H117/2+M116*inputs!$C$54</f>
        <v>1.156414111548592E-6</v>
      </c>
      <c r="N117" s="7">
        <f>O117*0.015*inputs!$C$56</f>
        <v>0.13628272963269403</v>
      </c>
      <c r="O117" s="7">
        <f>IF((B117&gt;B116), (EXP(-LN(2)/inputs!$C$52)*O116+$O$3), (EXP(-LN(2)/inputs!$C$52)*O116))</f>
        <v>1.4701481082275515E-2</v>
      </c>
      <c r="P117" s="3">
        <f>IF((B117&gt;B116), (EXP(-LN(2)/inputs!$C$52)*P116+$P$3), (EXP(-LN(2)/inputs!$C$52)*P116))</f>
        <v>1.4206113521506386E-2</v>
      </c>
      <c r="Q117" s="19">
        <f>IF((F117*0.62*1/(0.012*(10^inputs!$C$55)))&gt;inputs!$C$57, inputs!$C$57, (F117*0.62*1/(0.012*(10^inputs!$C$55))))</f>
        <v>1.8515242473200229E-7</v>
      </c>
      <c r="R117" s="3">
        <f>IF((B117&gt;B116), (EXP(-LN(2)/inputs!$C$51)*R116+$R$3), (EXP(-LN(2)/inputs!$C$51)*R116))</f>
        <v>4.3019131241050501E-13</v>
      </c>
      <c r="T117" s="7">
        <f>IF(T116&lt;(inputs!$C$9-1),(1+T116),0)</f>
        <v>0</v>
      </c>
      <c r="U117" s="7">
        <f>IF(inputs!$C$8&gt;U116,IF(T116=(inputs!$C$9-1),(U116+1),U116), U116)</f>
        <v>1</v>
      </c>
      <c r="V117" s="7">
        <f t="shared" si="2"/>
        <v>114</v>
      </c>
      <c r="W117" s="8">
        <f>IF((U117&gt;U116), (EXP(-LN(2)/inputs!$C$51)*W116+$W$3), (EXP(-LN(2)/inputs!$C$51)*W116))</f>
        <v>1.4236529017638297E-5</v>
      </c>
      <c r="X117" s="8">
        <f>IF((U117&gt;U116), (EXP(-LN(2)/inputs!$C$51)*X116+$X$3), (EXP(-LN(2)/inputs!$C$51)*X116))</f>
        <v>6.0295887604115112E-6</v>
      </c>
      <c r="Y117" s="8">
        <f>IF((U117&gt;U116), (EXP(-LN(2)/inputs!$C$51)*Y116+$Y$3), (EXP(-LN(2)/inputs!$C$51)*Y116))</f>
        <v>7.5369859505144023E-6</v>
      </c>
      <c r="Z117" s="8">
        <f>IF((U117&gt;U116), (EXP(-LN(2)/inputs!$C$51)*Z116+$Z$3), (EXP(-LN(2)/inputs!$C$51)*Z116))</f>
        <v>1.1724200367466827E-6</v>
      </c>
      <c r="AA117" s="8">
        <f>IF((U117&gt;U116), (EXP(-LN(2)/inputs!$C$51)*AA116+$AA$3), (EXP(-LN(2)/inputs!$C$51)*AA116))</f>
        <v>1.0886757484076337E-5</v>
      </c>
      <c r="AB117" s="7">
        <f>(((0.621*15^0.564)/0.2))*W117/15+AB116*inputs!$C$53</f>
        <v>1.5319425513542242E-5</v>
      </c>
      <c r="AC117" s="7">
        <f>(((0.621*1000^0.564)/0.2))*W117/1000+AC116*inputs!$C$53</f>
        <v>2.4548121733952669E-6</v>
      </c>
      <c r="AD117" s="7">
        <f>(((0.648*20^0.651)/0.2))*AA117/20+AD116*inputs!$C$54</f>
        <v>1.6398528531540827E-5</v>
      </c>
      <c r="AE117" s="7">
        <f>(((0.013*2^0.773)/0.2))*AA117/2+AE116*inputs!$C$54</f>
        <v>7.9964805585806807E-7</v>
      </c>
    </row>
    <row r="118" spans="1:31" x14ac:dyDescent="0.3">
      <c r="A118" s="7">
        <f>IF(A117&lt;(inputs!$C$9-1),(1+A117),0)</f>
        <v>0</v>
      </c>
      <c r="B118" s="7">
        <f>IF(inputs!$C$8&gt;B117,IF(A117=(inputs!$C$9-1),(B117+1),B117), B117)</f>
        <v>1</v>
      </c>
      <c r="C118" s="7">
        <f t="shared" si="3"/>
        <v>115</v>
      </c>
      <c r="D118" s="8">
        <f>IF((B118&gt;B117), (EXP(-LN(2)/inputs!$C$51)*D117+$D$3), (EXP(-LN(2)/inputs!$C$51)*D117))</f>
        <v>3.5269420279411313E-5</v>
      </c>
      <c r="E118" s="8">
        <f>IF((B118&gt;B117), (EXP(-LN(2)/inputs!$C$51)*E117+$E$3), (EXP(-LN(2)/inputs!$C$51)*E117))</f>
        <v>1.6165150961396851E-5</v>
      </c>
      <c r="F118" s="8">
        <f>IF((B118&gt;B117), (EXP(-LN(2)/inputs!$C$51)*F117+$F$3), (EXP(-LN(2)/inputs!$C$51)*F117))</f>
        <v>1.983904890716888E-5</v>
      </c>
      <c r="G118" s="8">
        <f>IF((B118&gt;B117), (EXP(-LN(2)/inputs!$C$51)*G117+$G$3), (EXP(-LN(2)/inputs!$C$51)*G117))</f>
        <v>2.2043387674632071E-6</v>
      </c>
      <c r="H118" s="8">
        <f>IF((B118&gt;B117), (EXP(-LN(2)/inputs!$C$51)*H117+$H$3), (EXP(-LN(2)/inputs!$C$51)*H117))</f>
        <v>1.3813856276102774E-5</v>
      </c>
      <c r="I118" s="7">
        <f>O118*(10^inputs!$C$55)*0.01/1</f>
        <v>0.90888150506300036</v>
      </c>
      <c r="J118" s="7">
        <f>(((0.621*15^0.564)/0.2))*D118/15+J117*inputs!$C$53</f>
        <v>3.7952176138358305E-5</v>
      </c>
      <c r="K118" s="7">
        <f>(((0.621*1000^0.564)/0.2))*D118/1000+K117*inputs!$C$53</f>
        <v>6.081524656973975E-6</v>
      </c>
      <c r="L118" s="7">
        <f>(((0.648*20^0.651)/0.2))*H118/20+L117*inputs!$C$54</f>
        <v>2.0807565209899119E-5</v>
      </c>
      <c r="M118" s="7">
        <f>(((0.013*2^0.773)/0.2))*H118/2+M117*inputs!$C$54</f>
        <v>1.0146476883723425E-6</v>
      </c>
      <c r="N118" s="7">
        <f>O118*0.015*inputs!$C$56</f>
        <v>0.13353250620888032</v>
      </c>
      <c r="O118" s="7">
        <f>IF((B118&gt;B117), (EXP(-LN(2)/inputs!$C$52)*O117+$O$3), (EXP(-LN(2)/inputs!$C$52)*O117))</f>
        <v>1.4404801101281589E-2</v>
      </c>
      <c r="P118" s="3">
        <f>IF((B118&gt;B117), (EXP(-LN(2)/inputs!$C$52)*P117+$P$3), (EXP(-LN(2)/inputs!$C$52)*P117))</f>
        <v>1.3919430195794436E-2</v>
      </c>
      <c r="Q118" s="19">
        <f>IF((F118*0.62*1/(0.012*(10^inputs!$C$55)))&gt;inputs!$C$57, inputs!$C$57, (F118*0.62*1/(0.012*(10^inputs!$C$55))))</f>
        <v>1.6245433004902093E-7</v>
      </c>
      <c r="R118" s="3">
        <f>IF((B118&gt;B117), (EXP(-LN(2)/inputs!$C$51)*R117+$R$3), (EXP(-LN(2)/inputs!$C$51)*R117))</f>
        <v>3.7745355780090024E-13</v>
      </c>
      <c r="T118" s="7">
        <f>IF(T117&lt;(inputs!$C$9-1),(1+T117),0)</f>
        <v>0</v>
      </c>
      <c r="U118" s="7">
        <f>IF(inputs!$C$8&gt;U117,IF(T117=(inputs!$C$9-1),(U117+1),U117), U117)</f>
        <v>1</v>
      </c>
      <c r="V118" s="7">
        <f t="shared" si="2"/>
        <v>115</v>
      </c>
      <c r="W118" s="8">
        <f>IF((U118&gt;U117), (EXP(-LN(2)/inputs!$C$51)*W117+$W$3), (EXP(-LN(2)/inputs!$C$51)*W117))</f>
        <v>1.2491253015624844E-5</v>
      </c>
      <c r="X118" s="8">
        <f>IF((U118&gt;U117), (EXP(-LN(2)/inputs!$C$51)*X117+$X$3), (EXP(-LN(2)/inputs!$C$51)*X117))</f>
        <v>5.2904130419116967E-6</v>
      </c>
      <c r="Y118" s="8">
        <f>IF((U118&gt;U117), (EXP(-LN(2)/inputs!$C$51)*Y117+$Y$3), (EXP(-LN(2)/inputs!$C$51)*Y117))</f>
        <v>6.6130163023896319E-6</v>
      </c>
      <c r="Z118" s="8">
        <f>IF((U118&gt;U117), (EXP(-LN(2)/inputs!$C$51)*Z117+$Z$3), (EXP(-LN(2)/inputs!$C$51)*Z117))</f>
        <v>1.0286914248161631E-6</v>
      </c>
      <c r="AA118" s="8">
        <f>IF((U118&gt;U117), (EXP(-LN(2)/inputs!$C$51)*AA117+$AA$3), (EXP(-LN(2)/inputs!$C$51)*AA117))</f>
        <v>9.5521346590072278E-6</v>
      </c>
      <c r="AB118" s="7">
        <f>(((0.621*15^0.564)/0.2))*W118/15+AB117*inputs!$C$53</f>
        <v>1.344139571566857E-5</v>
      </c>
      <c r="AC118" s="7">
        <f>(((0.621*1000^0.564)/0.2))*W118/1000+AC117*inputs!$C$53</f>
        <v>2.1538733160116171E-6</v>
      </c>
      <c r="AD118" s="7">
        <f>(((0.648*20^0.651)/0.2))*AA118/20+AD117*inputs!$C$54</f>
        <v>1.4388209985568525E-5</v>
      </c>
      <c r="AE118" s="7">
        <f>(((0.013*2^0.773)/0.2))*AA118/2+AE117*inputs!$C$54</f>
        <v>7.0161808238512982E-7</v>
      </c>
    </row>
    <row r="119" spans="1:31" x14ac:dyDescent="0.3">
      <c r="A119" s="7">
        <f>IF(A118&lt;(inputs!$C$9-1),(1+A118),0)</f>
        <v>0</v>
      </c>
      <c r="B119" s="7">
        <f>IF(inputs!$C$8&gt;B118,IF(A118=(inputs!$C$9-1),(B118+1),B118), B118)</f>
        <v>1</v>
      </c>
      <c r="C119" s="7">
        <f t="shared" si="3"/>
        <v>116</v>
      </c>
      <c r="D119" s="8">
        <f>IF((B119&gt;B118), (EXP(-LN(2)/inputs!$C$51)*D118+$D$3), (EXP(-LN(2)/inputs!$C$51)*D118))</f>
        <v>3.0945692723184651E-5</v>
      </c>
      <c r="E119" s="8">
        <f>IF((B119&gt;B118), (EXP(-LN(2)/inputs!$C$51)*E118+$E$3), (EXP(-LN(2)/inputs!$C$51)*E118))</f>
        <v>1.4183442498126299E-5</v>
      </c>
      <c r="F119" s="8">
        <f>IF((B119&gt;B118), (EXP(-LN(2)/inputs!$C$51)*F118+$F$3), (EXP(-LN(2)/inputs!$C$51)*F118))</f>
        <v>1.7406952156791382E-5</v>
      </c>
      <c r="G119" s="8">
        <f>IF((B119&gt;B118), (EXP(-LN(2)/inputs!$C$51)*G118+$G$3), (EXP(-LN(2)/inputs!$C$51)*G118))</f>
        <v>1.9341057951990407E-6</v>
      </c>
      <c r="H119" s="8">
        <f>IF((B119&gt;B118), (EXP(-LN(2)/inputs!$C$51)*H118+$H$3), (EXP(-LN(2)/inputs!$C$51)*H118))</f>
        <v>1.2120396316580664E-5</v>
      </c>
      <c r="I119" s="7">
        <f>O119*(10^inputs!$C$55)*0.01/1</f>
        <v>0.89054002326679449</v>
      </c>
      <c r="J119" s="7">
        <f>(((0.621*15^0.564)/0.2))*D119/15+J118*inputs!$C$53</f>
        <v>3.3299565789557675E-5</v>
      </c>
      <c r="K119" s="7">
        <f>(((0.621*1000^0.564)/0.2))*D119/1000+K118*inputs!$C$53</f>
        <v>5.3359820442823795E-6</v>
      </c>
      <c r="L119" s="7">
        <f>(((0.648*20^0.651)/0.2))*H119/20+L118*inputs!$C$54</f>
        <v>1.8256736691502908E-5</v>
      </c>
      <c r="M119" s="7">
        <f>(((0.013*2^0.773)/0.2))*H119/2+M118*inputs!$C$54</f>
        <v>8.9026060927316761E-7</v>
      </c>
      <c r="N119" s="7">
        <f>O119*0.015*inputs!$C$56</f>
        <v>0.13083778305939545</v>
      </c>
      <c r="O119" s="7">
        <f>IF((B119&gt;B118), (EXP(-LN(2)/inputs!$C$52)*O118+$O$3), (EXP(-LN(2)/inputs!$C$52)*O118))</f>
        <v>1.4114108204897028E-2</v>
      </c>
      <c r="P119" s="3">
        <f>IF((B119&gt;B118), (EXP(-LN(2)/inputs!$C$52)*P118+$P$3), (EXP(-LN(2)/inputs!$C$52)*P118))</f>
        <v>1.3638532219405286E-2</v>
      </c>
      <c r="Q119" s="19">
        <f>IF((F119*0.62*1/(0.012*(10^inputs!$C$55)))&gt;inputs!$C$57, inputs!$C$57, (F119*0.62*1/(0.012*(10^inputs!$C$55))))</f>
        <v>1.4253882653644048E-7</v>
      </c>
      <c r="R119" s="3">
        <f>IF((B119&gt;B118), (EXP(-LN(2)/inputs!$C$51)*R118+$R$3), (EXP(-LN(2)/inputs!$C$51)*R118))</f>
        <v>3.3118099828247132E-13</v>
      </c>
      <c r="T119" s="7">
        <f>IF(T118&lt;(inputs!$C$9-1),(1+T118),0)</f>
        <v>0</v>
      </c>
      <c r="U119" s="7">
        <f>IF(inputs!$C$8&gt;U118,IF(T118=(inputs!$C$9-1),(U118+1),U118), U118)</f>
        <v>1</v>
      </c>
      <c r="V119" s="7">
        <f t="shared" si="2"/>
        <v>116</v>
      </c>
      <c r="W119" s="8">
        <f>IF((U119&gt;U118), (EXP(-LN(2)/inputs!$C$51)*W118+$W$3), (EXP(-LN(2)/inputs!$C$51)*W118))</f>
        <v>1.0959932839461234E-5</v>
      </c>
      <c r="X119" s="8">
        <f>IF((U119&gt;U118), (EXP(-LN(2)/inputs!$C$51)*X118+$X$3), (EXP(-LN(2)/inputs!$C$51)*X118))</f>
        <v>4.6418539084776974E-6</v>
      </c>
      <c r="Y119" s="8">
        <f>IF((U119&gt;U118), (EXP(-LN(2)/inputs!$C$51)*Y118+$Y$3), (EXP(-LN(2)/inputs!$C$51)*Y118))</f>
        <v>5.8023173855971322E-6</v>
      </c>
      <c r="Z119" s="8">
        <f>IF((U119&gt;U118), (EXP(-LN(2)/inputs!$C$51)*Z118+$Z$3), (EXP(-LN(2)/inputs!$C$51)*Z118))</f>
        <v>9.0258270442621881E-7</v>
      </c>
      <c r="AA119" s="8">
        <f>IF((U119&gt;U118), (EXP(-LN(2)/inputs!$C$51)*AA118+$AA$3), (EXP(-LN(2)/inputs!$C$51)*AA118))</f>
        <v>8.3811251125291742E-6</v>
      </c>
      <c r="AB119" s="7">
        <f>(((0.621*15^0.564)/0.2))*W119/15+AB118*inputs!$C$53</f>
        <v>1.1793596217135015E-5</v>
      </c>
      <c r="AC119" s="7">
        <f>(((0.621*1000^0.564)/0.2))*W119/1000+AC118*inputs!$C$53</f>
        <v>1.8898269740166763E-6</v>
      </c>
      <c r="AD119" s="7">
        <f>(((0.648*20^0.651)/0.2))*AA119/20+AD118*inputs!$C$54</f>
        <v>1.2624339201571148E-5</v>
      </c>
      <c r="AE119" s="7">
        <f>(((0.013*2^0.773)/0.2))*AA119/2+AE118*inputs!$C$54</f>
        <v>6.1560574045484933E-7</v>
      </c>
    </row>
    <row r="120" spans="1:31" x14ac:dyDescent="0.3">
      <c r="A120" s="7">
        <f>IF(A119&lt;(inputs!$C$9-1),(1+A119),0)</f>
        <v>0</v>
      </c>
      <c r="B120" s="7">
        <f>IF(inputs!$C$8&gt;B119,IF(A119=(inputs!$C$9-1),(B119+1),B119), B119)</f>
        <v>1</v>
      </c>
      <c r="C120" s="7">
        <f t="shared" si="3"/>
        <v>117</v>
      </c>
      <c r="D120" s="8">
        <f>IF((B120&gt;B119), (EXP(-LN(2)/inputs!$C$51)*D119+$D$3), (EXP(-LN(2)/inputs!$C$51)*D119))</f>
        <v>2.715201697479524E-5</v>
      </c>
      <c r="E120" s="8">
        <f>IF((B120&gt;B119), (EXP(-LN(2)/inputs!$C$51)*E119+$E$3), (EXP(-LN(2)/inputs!$C$51)*E119))</f>
        <v>1.2444674446781154E-5</v>
      </c>
      <c r="F120" s="8">
        <f>IF((B120&gt;B119), (EXP(-LN(2)/inputs!$C$51)*F119+$F$3), (EXP(-LN(2)/inputs!$C$51)*F119))</f>
        <v>1.5273009548322339E-5</v>
      </c>
      <c r="G120" s="8">
        <f>IF((B120&gt;B119), (EXP(-LN(2)/inputs!$C$51)*G119+$G$3), (EXP(-LN(2)/inputs!$C$51)*G119))</f>
        <v>1.6970010609247025E-6</v>
      </c>
      <c r="H120" s="8">
        <f>IF((B120&gt;B119), (EXP(-LN(2)/inputs!$C$51)*H119+$H$3), (EXP(-LN(2)/inputs!$C$51)*H119))</f>
        <v>1.0634539981794811E-5</v>
      </c>
      <c r="I120" s="7">
        <f>O120*(10^inputs!$C$55)*0.01/1</f>
        <v>0.87256867767933155</v>
      </c>
      <c r="J120" s="7">
        <f>(((0.621*15^0.564)/0.2))*D120/15+J119*inputs!$C$53</f>
        <v>2.92173254500775E-5</v>
      </c>
      <c r="K120" s="7">
        <f>(((0.621*1000^0.564)/0.2))*D120/1000+K119*inputs!$C$53</f>
        <v>4.6818365431196509E-6</v>
      </c>
      <c r="L120" s="7">
        <f>(((0.648*20^0.651)/0.2))*H120/20+L119*inputs!$C$54</f>
        <v>1.601861780850257E-5</v>
      </c>
      <c r="M120" s="7">
        <f>(((0.013*2^0.773)/0.2))*H120/2+M119*inputs!$C$54</f>
        <v>7.8112231615570052E-7</v>
      </c>
      <c r="N120" s="7">
        <f>O120*0.015*inputs!$C$56</f>
        <v>0.12819744017325269</v>
      </c>
      <c r="O120" s="7">
        <f>IF((B120&gt;B119), (EXP(-LN(2)/inputs!$C$52)*O119+$O$3), (EXP(-LN(2)/inputs!$C$52)*O119))</f>
        <v>1.3829281572087668E-2</v>
      </c>
      <c r="P120" s="3">
        <f>IF((B120&gt;B119), (EXP(-LN(2)/inputs!$C$52)*P119+$P$3), (EXP(-LN(2)/inputs!$C$52)*P119))</f>
        <v>1.3363302842379014E-2</v>
      </c>
      <c r="Q120" s="19">
        <f>IF((F120*0.62*1/(0.012*(10^inputs!$C$55)))&gt;inputs!$C$57, inputs!$C$57, (F120*0.62*1/(0.012*(10^inputs!$C$55))))</f>
        <v>1.2506479245123645E-7</v>
      </c>
      <c r="R120" s="3">
        <f>IF((B120&gt;B119), (EXP(-LN(2)/inputs!$C$51)*R119+$R$3), (EXP(-LN(2)/inputs!$C$51)*R119))</f>
        <v>2.9058105654743592E-13</v>
      </c>
      <c r="T120" s="7">
        <f>IF(T119&lt;(inputs!$C$9-1),(1+T119),0)</f>
        <v>0</v>
      </c>
      <c r="U120" s="7">
        <f>IF(inputs!$C$8&gt;U119,IF(T119=(inputs!$C$9-1),(U119+1),U119), U119)</f>
        <v>1</v>
      </c>
      <c r="V120" s="7">
        <f t="shared" si="2"/>
        <v>117</v>
      </c>
      <c r="W120" s="8">
        <f>IF((U120&gt;U119), (EXP(-LN(2)/inputs!$C$51)*W119+$W$3), (EXP(-LN(2)/inputs!$C$51)*W119))</f>
        <v>9.6163393452399852E-6</v>
      </c>
      <c r="X120" s="8">
        <f>IF((U120&gt;U119), (EXP(-LN(2)/inputs!$C$51)*X119+$X$3), (EXP(-LN(2)/inputs!$C$51)*X119))</f>
        <v>4.0728025462192857E-6</v>
      </c>
      <c r="Y120" s="8">
        <f>IF((U120&gt;U119), (EXP(-LN(2)/inputs!$C$51)*Y119+$Y$3), (EXP(-LN(2)/inputs!$C$51)*Y119))</f>
        <v>5.0910031827741169E-6</v>
      </c>
      <c r="Z120" s="8">
        <f>IF((U120&gt;U119), (EXP(-LN(2)/inputs!$C$51)*Z119+$Z$3), (EXP(-LN(2)/inputs!$C$51)*Z119))</f>
        <v>7.919338284315277E-7</v>
      </c>
      <c r="AA120" s="8">
        <f>IF((U120&gt;U119), (EXP(-LN(2)/inputs!$C$51)*AA119+$AA$3), (EXP(-LN(2)/inputs!$C$51)*AA119))</f>
        <v>7.3536712640070426E-6</v>
      </c>
      <c r="AB120" s="7">
        <f>(((0.621*15^0.564)/0.2))*W120/15+AB119*inputs!$C$53</f>
        <v>1.0347802763569117E-5</v>
      </c>
      <c r="AC120" s="7">
        <f>(((0.621*1000^0.564)/0.2))*W120/1000+AC119*inputs!$C$53</f>
        <v>1.658150442354877E-6</v>
      </c>
      <c r="AD120" s="7">
        <f>(((0.648*20^0.651)/0.2))*AA120/20+AD119*inputs!$C$54</f>
        <v>1.1076703803751766E-5</v>
      </c>
      <c r="AE120" s="7">
        <f>(((0.013*2^0.773)/0.2))*AA120/2+AE119*inputs!$C$54</f>
        <v>5.4013777180979233E-7</v>
      </c>
    </row>
    <row r="121" spans="1:31" x14ac:dyDescent="0.3">
      <c r="A121" s="7">
        <f>IF(A120&lt;(inputs!$C$9-1),(1+A120),0)</f>
        <v>0</v>
      </c>
      <c r="B121" s="7">
        <f>IF(inputs!$C$8&gt;B120,IF(A120=(inputs!$C$9-1),(B120+1),B120), B120)</f>
        <v>1</v>
      </c>
      <c r="C121" s="7">
        <f t="shared" si="3"/>
        <v>118</v>
      </c>
      <c r="D121" s="8">
        <f>IF((B121&gt;B120), (EXP(-LN(2)/inputs!$C$51)*D120+$D$3), (EXP(-LN(2)/inputs!$C$51)*D120))</f>
        <v>2.3823413241844524E-5</v>
      </c>
      <c r="E121" s="8">
        <f>IF((B121&gt;B120), (EXP(-LN(2)/inputs!$C$51)*E120+$E$3), (EXP(-LN(2)/inputs!$C$51)*E120))</f>
        <v>1.0919064402512074E-5</v>
      </c>
      <c r="F121" s="8">
        <f>IF((B121&gt;B120), (EXP(-LN(2)/inputs!$C$51)*F120+$F$3), (EXP(-LN(2)/inputs!$C$51)*F120))</f>
        <v>1.3400669948537559E-5</v>
      </c>
      <c r="G121" s="8">
        <f>IF((B121&gt;B120), (EXP(-LN(2)/inputs!$C$51)*G120+$G$3), (EXP(-LN(2)/inputs!$C$51)*G120))</f>
        <v>1.4889633276152827E-6</v>
      </c>
      <c r="H121" s="8">
        <f>IF((B121&gt;B120), (EXP(-LN(2)/inputs!$C$51)*H120+$H$3), (EXP(-LN(2)/inputs!$C$51)*H120))</f>
        <v>9.3308368530557791E-6</v>
      </c>
      <c r="I121" s="7">
        <f>O121*(10^inputs!$C$55)*0.01/1</f>
        <v>0.85495999884887652</v>
      </c>
      <c r="J121" s="7">
        <f>(((0.621*15^0.564)/0.2))*D121/15+J120*inputs!$C$53</f>
        <v>2.5635532662814506E-5</v>
      </c>
      <c r="K121" s="7">
        <f>(((0.621*1000^0.564)/0.2))*D121/1000+K120*inputs!$C$53</f>
        <v>4.1078836537648936E-6</v>
      </c>
      <c r="L121" s="7">
        <f>(((0.648*20^0.651)/0.2))*H121/20+L120*inputs!$C$54</f>
        <v>1.4054873049371481E-5</v>
      </c>
      <c r="M121" s="7">
        <f>(((0.013*2^0.773)/0.2))*H121/2+M120*inputs!$C$54</f>
        <v>6.853634390210643E-7</v>
      </c>
      <c r="N121" s="7">
        <f>O121*0.015*inputs!$C$56</f>
        <v>0.12561038014159878</v>
      </c>
      <c r="O121" s="7">
        <f>IF((B121&gt;B120), (EXP(-LN(2)/inputs!$C$52)*O120+$O$3), (EXP(-LN(2)/inputs!$C$52)*O120))</f>
        <v>1.3550202820021446E-2</v>
      </c>
      <c r="P121" s="3">
        <f>IF((B121&gt;B120), (EXP(-LN(2)/inputs!$C$52)*P120+$P$3), (EXP(-LN(2)/inputs!$C$52)*P120))</f>
        <v>1.3093627670802395E-2</v>
      </c>
      <c r="Q121" s="19">
        <f>IF((F121*0.62*1/(0.012*(10^inputs!$C$55)))&gt;inputs!$C$57, inputs!$C$57, (F121*0.62*1/(0.012*(10^inputs!$C$55))))</f>
        <v>1.0973292464191943E-7</v>
      </c>
      <c r="R121" s="3">
        <f>IF((B121&gt;B120), (EXP(-LN(2)/inputs!$C$51)*R120+$R$3), (EXP(-LN(2)/inputs!$C$51)*R120))</f>
        <v>2.5495831844858965E-13</v>
      </c>
      <c r="T121" s="7">
        <f>IF(T120&lt;(inputs!$C$9-1),(1+T120),0)</f>
        <v>0</v>
      </c>
      <c r="U121" s="7">
        <f>IF(inputs!$C$8&gt;U120,IF(T120=(inputs!$C$9-1),(U120+1),U120), U120)</f>
        <v>1</v>
      </c>
      <c r="V121" s="7">
        <f t="shared" si="2"/>
        <v>118</v>
      </c>
      <c r="W121" s="8">
        <f>IF((U121&gt;U120), (EXP(-LN(2)/inputs!$C$51)*W120+$W$3), (EXP(-LN(2)/inputs!$C$51)*W120))</f>
        <v>8.437458856486606E-6</v>
      </c>
      <c r="X121" s="8">
        <f>IF((U121&gt;U120), (EXP(-LN(2)/inputs!$C$51)*X120+$X$3), (EXP(-LN(2)/inputs!$C$51)*X120))</f>
        <v>3.5735119862766781E-6</v>
      </c>
      <c r="Y121" s="8">
        <f>IF((U121&gt;U120), (EXP(-LN(2)/inputs!$C$51)*Y120+$Y$3), (EXP(-LN(2)/inputs!$C$51)*Y120))</f>
        <v>4.4668899828458562E-6</v>
      </c>
      <c r="Z121" s="8">
        <f>IF((U121&gt;U120), (EXP(-LN(2)/inputs!$C$51)*Z120+$Z$3), (EXP(-LN(2)/inputs!$C$51)*Z120))</f>
        <v>6.9484955288713177E-7</v>
      </c>
      <c r="AA121" s="8">
        <f>IF((U121&gt;U120), (EXP(-LN(2)/inputs!$C$51)*AA120+$AA$3), (EXP(-LN(2)/inputs!$C$51)*AA120))</f>
        <v>6.4521744196662239E-6</v>
      </c>
      <c r="AB121" s="7">
        <f>(((0.621*15^0.564)/0.2))*W121/15+AB120*inputs!$C$53</f>
        <v>9.079251151413474E-6</v>
      </c>
      <c r="AC121" s="7">
        <f>(((0.621*1000^0.564)/0.2))*W121/1000+AC120*inputs!$C$53</f>
        <v>1.4548754607084005E-6</v>
      </c>
      <c r="AD121" s="7">
        <f>(((0.648*20^0.651)/0.2))*AA121/20+AD120*inputs!$C$54</f>
        <v>9.7187951937143129E-6</v>
      </c>
      <c r="AE121" s="7">
        <f>(((0.013*2^0.773)/0.2))*AA121/2+AE120*inputs!$C$54</f>
        <v>4.7392152698265036E-7</v>
      </c>
    </row>
    <row r="122" spans="1:31" x14ac:dyDescent="0.3">
      <c r="A122" s="7">
        <f>IF(A121&lt;(inputs!$C$9-1),(1+A121),0)</f>
        <v>0</v>
      </c>
      <c r="B122" s="7">
        <f>IF(inputs!$C$8&gt;B121,IF(A121=(inputs!$C$9-1),(B121+1),B121), B121)</f>
        <v>1</v>
      </c>
      <c r="C122" s="7">
        <f t="shared" si="3"/>
        <v>119</v>
      </c>
      <c r="D122" s="8">
        <f>IF((B122&gt;B121), (EXP(-LN(2)/inputs!$C$51)*D121+$D$3), (EXP(-LN(2)/inputs!$C$51)*D121))</f>
        <v>2.0902867695558116E-5</v>
      </c>
      <c r="E122" s="8">
        <f>IF((B122&gt;B121), (EXP(-LN(2)/inputs!$C$51)*E121+$E$3), (EXP(-LN(2)/inputs!$C$51)*E121))</f>
        <v>9.580481027130803E-6</v>
      </c>
      <c r="F122" s="8">
        <f>IF((B122&gt;B121), (EXP(-LN(2)/inputs!$C$51)*F121+$F$3), (EXP(-LN(2)/inputs!$C$51)*F121))</f>
        <v>1.1757863078751452E-5</v>
      </c>
      <c r="G122" s="8">
        <f>IF((B122&gt;B121), (EXP(-LN(2)/inputs!$C$51)*G121+$G$3), (EXP(-LN(2)/inputs!$C$51)*G121))</f>
        <v>1.3064292309723822E-6</v>
      </c>
      <c r="H122" s="8">
        <f>IF((B122&gt;B121), (EXP(-LN(2)/inputs!$C$51)*H121+$H$3), (EXP(-LN(2)/inputs!$C$51)*H121))</f>
        <v>8.1869565140936007E-6</v>
      </c>
      <c r="I122" s="7">
        <f>O122*(10^inputs!$C$55)*0.01/1</f>
        <v>0.83770666805931016</v>
      </c>
      <c r="J122" s="7">
        <f>(((0.621*15^0.564)/0.2))*D122/15+J121*inputs!$C$53</f>
        <v>2.249283686246806E-5</v>
      </c>
      <c r="K122" s="7">
        <f>(((0.621*1000^0.564)/0.2))*D122/1000+K121*inputs!$C$53</f>
        <v>3.6042924517874512E-6</v>
      </c>
      <c r="L122" s="7">
        <f>(((0.648*20^0.651)/0.2))*H122/20+L121*inputs!$C$54</f>
        <v>1.233186650655316E-5</v>
      </c>
      <c r="M122" s="7">
        <f>(((0.013*2^0.773)/0.2))*H122/2+M121*inputs!$C$54</f>
        <v>6.0134377655285242E-7</v>
      </c>
      <c r="N122" s="7">
        <f>O122*0.015*inputs!$C$56</f>
        <v>0.12307552770159681</v>
      </c>
      <c r="O122" s="7">
        <f>IF((B122&gt;B121), (EXP(-LN(2)/inputs!$C$52)*O121+$O$3), (EXP(-LN(2)/inputs!$C$52)*O121))</f>
        <v>1.3276755954864812E-2</v>
      </c>
      <c r="P122" s="3">
        <f>IF((B122&gt;B121), (EXP(-LN(2)/inputs!$C$52)*P121+$P$3), (EXP(-LN(2)/inputs!$C$52)*P121))</f>
        <v>1.2829394619263215E-2</v>
      </c>
      <c r="Q122" s="19">
        <f>IF((F122*0.62*1/(0.012*(10^inputs!$C$55)))&gt;inputs!$C$57, inputs!$C$57, (F122*0.62*1/(0.012*(10^inputs!$C$55))))</f>
        <v>9.6280611948915624E-8</v>
      </c>
      <c r="R122" s="3">
        <f>IF((B122&gt;B121), (EXP(-LN(2)/inputs!$C$51)*R121+$R$3), (EXP(-LN(2)/inputs!$C$51)*R121))</f>
        <v>2.2370262163156845E-13</v>
      </c>
      <c r="T122" s="7">
        <f>IF(T121&lt;(inputs!$C$9-1),(1+T121),0)</f>
        <v>0</v>
      </c>
      <c r="U122" s="7">
        <f>IF(inputs!$C$8&gt;U121,IF(T121=(inputs!$C$9-1),(U121+1),U121), U121)</f>
        <v>1</v>
      </c>
      <c r="V122" s="7">
        <f t="shared" si="2"/>
        <v>119</v>
      </c>
      <c r="W122" s="8">
        <f>IF((U122&gt;U121), (EXP(-LN(2)/inputs!$C$51)*W121+$W$3), (EXP(-LN(2)/inputs!$C$51)*W121))</f>
        <v>7.4030989755101693E-6</v>
      </c>
      <c r="X122" s="8">
        <f>IF((U122&gt;U121), (EXP(-LN(2)/inputs!$C$51)*X121+$X$3), (EXP(-LN(2)/inputs!$C$51)*X121))</f>
        <v>3.1354301543337166E-6</v>
      </c>
      <c r="Y122" s="8">
        <f>IF((U122&gt;U121), (EXP(-LN(2)/inputs!$C$51)*Y121+$Y$3), (EXP(-LN(2)/inputs!$C$51)*Y121))</f>
        <v>3.9192876929171534E-6</v>
      </c>
      <c r="Z122" s="8">
        <f>IF((U122&gt;U121), (EXP(-LN(2)/inputs!$C$51)*Z121+$Z$3), (EXP(-LN(2)/inputs!$C$51)*Z121))</f>
        <v>6.0966697445377822E-7</v>
      </c>
      <c r="AA122" s="8">
        <f>IF((U122&gt;U121), (EXP(-LN(2)/inputs!$C$51)*AA121+$AA$3), (EXP(-LN(2)/inputs!$C$51)*AA121))</f>
        <v>5.6611933342136546E-6</v>
      </c>
      <c r="AB122" s="7">
        <f>(((0.621*15^0.564)/0.2))*W122/15+AB121*inputs!$C$53</f>
        <v>7.9662130554574415E-6</v>
      </c>
      <c r="AC122" s="7">
        <f>(((0.621*1000^0.564)/0.2))*W122/1000+AC121*inputs!$C$53</f>
        <v>1.2765202433413893E-6</v>
      </c>
      <c r="AD122" s="7">
        <f>(((0.648*20^0.651)/0.2))*AA122/20+AD121*inputs!$C$54</f>
        <v>8.5273544992122843E-6</v>
      </c>
      <c r="AE122" s="7">
        <f>(((0.013*2^0.773)/0.2))*AA122/2+AE121*inputs!$C$54</f>
        <v>4.1582282421207836E-7</v>
      </c>
    </row>
    <row r="123" spans="1:31" x14ac:dyDescent="0.3">
      <c r="A123" s="7">
        <f>IF(A122&lt;(inputs!$C$9-1),(1+A122),0)</f>
        <v>0</v>
      </c>
      <c r="B123" s="7">
        <f>IF(inputs!$C$8&gt;B122,IF(A122=(inputs!$C$9-1),(B122+1),B122), B122)</f>
        <v>1</v>
      </c>
      <c r="C123" s="7">
        <f t="shared" si="3"/>
        <v>120</v>
      </c>
      <c r="D123" s="8">
        <f>IF((B123&gt;B122), (EXP(-LN(2)/inputs!$C$51)*D122+$D$3), (EXP(-LN(2)/inputs!$C$51)*D122))</f>
        <v>1.8340355912164741E-5</v>
      </c>
      <c r="E123" s="8">
        <f>IF((B123&gt;B122), (EXP(-LN(2)/inputs!$C$51)*E122+$E$3), (EXP(-LN(2)/inputs!$C$51)*E122))</f>
        <v>8.4059964597421733E-6</v>
      </c>
      <c r="F123" s="8">
        <f>IF((B123&gt;B122), (EXP(-LN(2)/inputs!$C$51)*F122+$F$3), (EXP(-LN(2)/inputs!$C$51)*F122))</f>
        <v>1.0316450200592677E-5</v>
      </c>
      <c r="G123" s="8">
        <f>IF((B123&gt;B122), (EXP(-LN(2)/inputs!$C$51)*G122+$G$3), (EXP(-LN(2)/inputs!$C$51)*G122))</f>
        <v>1.1462722445102963E-6</v>
      </c>
      <c r="H123" s="8">
        <f>IF((B123&gt;B122), (EXP(-LN(2)/inputs!$C$51)*H122+$H$3), (EXP(-LN(2)/inputs!$C$51)*H122))</f>
        <v>7.1833060655978619E-6</v>
      </c>
      <c r="I123" s="7">
        <f>O123*(10^inputs!$C$55)*0.01/1</f>
        <v>0.82080151428824177</v>
      </c>
      <c r="J123" s="7">
        <f>(((0.621*15^0.564)/0.2))*D123/15+J122*inputs!$C$53</f>
        <v>1.9735408535336304E-5</v>
      </c>
      <c r="K123" s="7">
        <f>(((0.621*1000^0.564)/0.2))*D123/1000+K122*inputs!$C$53</f>
        <v>3.1624371995311396E-6</v>
      </c>
      <c r="L123" s="7">
        <f>(((0.648*20^0.651)/0.2))*H123/20+L122*inputs!$C$54</f>
        <v>1.0820085745438181E-5</v>
      </c>
      <c r="M123" s="7">
        <f>(((0.013*2^0.773)/0.2))*H123/2+M122*inputs!$C$54</f>
        <v>5.2762420200785301E-7</v>
      </c>
      <c r="N123" s="7">
        <f>O123*0.015*inputs!$C$56</f>
        <v>0.12059182928951304</v>
      </c>
      <c r="O123" s="7">
        <f>IF((B123&gt;B122), (EXP(-LN(2)/inputs!$C$52)*O122+$O$3), (EXP(-LN(2)/inputs!$C$52)*O122))</f>
        <v>1.3008827323572066E-2</v>
      </c>
      <c r="P123" s="3">
        <f>IF((B123&gt;B122), (EXP(-LN(2)/inputs!$C$52)*P122+$P$3), (EXP(-LN(2)/inputs!$C$52)*P122))</f>
        <v>1.2570493864264082E-2</v>
      </c>
      <c r="Q123" s="19">
        <f>IF((F123*0.62*1/(0.012*(10^inputs!$C$55)))&gt;inputs!$C$57, inputs!$C$57, (F123*0.62*1/(0.012*(10^inputs!$C$55))))</f>
        <v>8.4477437081964274E-8</v>
      </c>
      <c r="R123" s="3">
        <f>IF((B123&gt;B122), (EXP(-LN(2)/inputs!$C$51)*R122+$R$3), (EXP(-LN(2)/inputs!$C$51)*R122))</f>
        <v>1.9627860439833984E-13</v>
      </c>
      <c r="T123" s="7">
        <f>IF(T122&lt;(inputs!$C$9-1),(1+T122),0)</f>
        <v>0</v>
      </c>
      <c r="U123" s="7">
        <f>IF(inputs!$C$8&gt;U122,IF(T122=(inputs!$C$9-1),(U122+1),U122), U122)</f>
        <v>1</v>
      </c>
      <c r="V123" s="7">
        <f t="shared" si="2"/>
        <v>120</v>
      </c>
      <c r="W123" s="8">
        <f>IF((U123&gt;U122), (EXP(-LN(2)/inputs!$C$51)*W122+$W$3), (EXP(-LN(2)/inputs!$C$51)*W122))</f>
        <v>6.4955427188916827E-6</v>
      </c>
      <c r="X123" s="8">
        <f>IF((U123&gt;U122), (EXP(-LN(2)/inputs!$C$51)*X122+$X$3), (EXP(-LN(2)/inputs!$C$51)*X122))</f>
        <v>2.7510533868247106E-6</v>
      </c>
      <c r="Y123" s="8">
        <f>IF((U123&gt;U122), (EXP(-LN(2)/inputs!$C$51)*Y122+$Y$3), (EXP(-LN(2)/inputs!$C$51)*Y122))</f>
        <v>3.4388167335308953E-6</v>
      </c>
      <c r="Z123" s="8">
        <f>IF((U123&gt;U122), (EXP(-LN(2)/inputs!$C$51)*Z122+$Z$3), (EXP(-LN(2)/inputs!$C$51)*Z122))</f>
        <v>5.3492704743813819E-7</v>
      </c>
      <c r="AA123" s="8">
        <f>IF((U123&gt;U122), (EXP(-LN(2)/inputs!$C$51)*AA122+$AA$3), (EXP(-LN(2)/inputs!$C$51)*AA122))</f>
        <v>4.967179726211283E-6</v>
      </c>
      <c r="AB123" s="7">
        <f>(((0.621*15^0.564)/0.2))*W123/15+AB122*inputs!$C$53</f>
        <v>6.9896238562649444E-6</v>
      </c>
      <c r="AC123" s="7">
        <f>(((0.621*1000^0.564)/0.2))*W123/1000+AC122*inputs!$C$53</f>
        <v>1.1200298415006126E-6</v>
      </c>
      <c r="AD123" s="7">
        <f>(((0.648*20^0.651)/0.2))*AA123/20+AD122*inputs!$C$54</f>
        <v>7.4819741856753321E-6</v>
      </c>
      <c r="AE123" s="7">
        <f>(((0.013*2^0.773)/0.2))*AA123/2+AE122*inputs!$C$54</f>
        <v>3.6484652266500437E-7</v>
      </c>
    </row>
    <row r="124" spans="1:31" x14ac:dyDescent="0.3">
      <c r="A124" s="7">
        <f>IF(A123&lt;(inputs!$C$9-1),(1+A123),0)</f>
        <v>0</v>
      </c>
      <c r="B124" s="7">
        <f>IF(inputs!$C$8&gt;B123,IF(A123=(inputs!$C$9-1),(B123+1),B123), B123)</f>
        <v>1</v>
      </c>
      <c r="C124" s="7">
        <f t="shared" si="3"/>
        <v>121</v>
      </c>
      <c r="D124" s="8">
        <f>IF((B124&gt;B123), (EXP(-LN(2)/inputs!$C$51)*D123+$D$3), (EXP(-LN(2)/inputs!$C$51)*D123))</f>
        <v>1.6091986031962252E-5</v>
      </c>
      <c r="E124" s="8">
        <f>IF((B124&gt;B123), (EXP(-LN(2)/inputs!$C$51)*E123+$E$3), (EXP(-LN(2)/inputs!$C$51)*E123))</f>
        <v>7.3754935979826992E-6</v>
      </c>
      <c r="F124" s="8">
        <f>IF((B124&gt;B123), (EXP(-LN(2)/inputs!$C$51)*F123+$F$3), (EXP(-LN(2)/inputs!$C$51)*F123))</f>
        <v>9.0517421429787769E-6</v>
      </c>
      <c r="G124" s="8">
        <f>IF((B124&gt;B123), (EXP(-LN(2)/inputs!$C$51)*G123+$G$3), (EXP(-LN(2)/inputs!$C$51)*G123))</f>
        <v>1.0057491269976408E-6</v>
      </c>
      <c r="H124" s="8">
        <f>IF((B124&gt;B123), (EXP(-LN(2)/inputs!$C$51)*H123+$H$3), (EXP(-LN(2)/inputs!$C$51)*H123))</f>
        <v>6.3026945291852196E-6</v>
      </c>
      <c r="I124" s="7">
        <f>O124*(10^inputs!$C$55)*0.01/1</f>
        <v>0.80423751122650888</v>
      </c>
      <c r="J124" s="7">
        <f>(((0.621*15^0.564)/0.2))*D124/15+J123*inputs!$C$53</f>
        <v>1.7316017203082496E-5</v>
      </c>
      <c r="K124" s="7">
        <f>(((0.621*1000^0.564)/0.2))*D124/1000+K123*inputs!$C$53</f>
        <v>2.7747496005821135E-6</v>
      </c>
      <c r="L124" s="7">
        <f>(((0.648*20^0.651)/0.2))*H124/20+L123*inputs!$C$54</f>
        <v>9.4936363020489388E-6</v>
      </c>
      <c r="M124" s="7">
        <f>(((0.013*2^0.773)/0.2))*H124/2+M123*inputs!$C$54</f>
        <v>4.629420132029188E-7</v>
      </c>
      <c r="N124" s="7">
        <f>O124*0.015*inputs!$C$56</f>
        <v>0.11815825260282334</v>
      </c>
      <c r="O124" s="7">
        <f>IF((B124&gt;B123), (EXP(-LN(2)/inputs!$C$52)*O123+$O$3), (EXP(-LN(2)/inputs!$C$52)*O123))</f>
        <v>1.274630556664761E-2</v>
      </c>
      <c r="P124" s="3">
        <f>IF((B124&gt;B123), (EXP(-LN(2)/inputs!$C$52)*P123+$P$3), (EXP(-LN(2)/inputs!$C$52)*P123))</f>
        <v>1.231681779857636E-2</v>
      </c>
      <c r="Q124" s="19">
        <f>IF((F124*0.62*1/(0.012*(10^inputs!$C$55)))&gt;inputs!$C$57, inputs!$C$57, (F124*0.62*1/(0.012*(10^inputs!$C$55))))</f>
        <v>7.4121229928655506E-8</v>
      </c>
      <c r="R124" s="3">
        <f>IF((B124&gt;B123), (EXP(-LN(2)/inputs!$C$51)*R123+$R$3), (EXP(-LN(2)/inputs!$C$51)*R123))</f>
        <v>1.7221653579013479E-13</v>
      </c>
      <c r="T124" s="7">
        <f>IF(T123&lt;(inputs!$C$9-1),(1+T123),0)</f>
        <v>0</v>
      </c>
      <c r="U124" s="7">
        <f>IF(inputs!$C$8&gt;U123,IF(T123=(inputs!$C$9-1),(U123+1),U123), U123)</f>
        <v>1</v>
      </c>
      <c r="V124" s="7">
        <f t="shared" si="2"/>
        <v>121</v>
      </c>
      <c r="W124" s="8">
        <f>IF((U124&gt;U123), (EXP(-LN(2)/inputs!$C$51)*W123+$W$3), (EXP(-LN(2)/inputs!$C$51)*W123))</f>
        <v>5.6992450529866341E-6</v>
      </c>
      <c r="X124" s="8">
        <f>IF((U124&gt;U123), (EXP(-LN(2)/inputs!$C$51)*X123+$X$3), (EXP(-LN(2)/inputs!$C$51)*X123))</f>
        <v>2.4137979047943374E-6</v>
      </c>
      <c r="Y124" s="8">
        <f>IF((U124&gt;U123), (EXP(-LN(2)/inputs!$C$51)*Y123+$Y$3), (EXP(-LN(2)/inputs!$C$51)*Y123))</f>
        <v>3.017247380992928E-6</v>
      </c>
      <c r="Z124" s="8">
        <f>IF((U124&gt;U123), (EXP(-LN(2)/inputs!$C$51)*Z123+$Z$3), (EXP(-LN(2)/inputs!$C$51)*Z123))</f>
        <v>4.6934959259889894E-7</v>
      </c>
      <c r="AA124" s="8">
        <f>IF((U124&gt;U123), (EXP(-LN(2)/inputs!$C$51)*AA123+$AA$3), (EXP(-LN(2)/inputs!$C$51)*AA123))</f>
        <v>4.3582462169897758E-6</v>
      </c>
      <c r="AB124" s="7">
        <f>(((0.621*15^0.564)/0.2))*W124/15+AB123*inputs!$C$53</f>
        <v>6.1327560927583871E-6</v>
      </c>
      <c r="AC124" s="7">
        <f>(((0.621*1000^0.564)/0.2))*W124/1000+AC123*inputs!$C$53</f>
        <v>9.8272381687283243E-7</v>
      </c>
      <c r="AD124" s="7">
        <f>(((0.648*20^0.651)/0.2))*AA124/20+AD123*inputs!$C$54</f>
        <v>6.5647485067359628E-6</v>
      </c>
      <c r="AE124" s="7">
        <f>(((0.013*2^0.773)/0.2))*AA124/2+AE123*inputs!$C$54</f>
        <v>3.2011947721478399E-7</v>
      </c>
    </row>
    <row r="125" spans="1:31" x14ac:dyDescent="0.3">
      <c r="A125" s="7">
        <f>IF(A124&lt;(inputs!$C$9-1),(1+A124),0)</f>
        <v>0</v>
      </c>
      <c r="B125" s="7">
        <f>IF(inputs!$C$8&gt;B124,IF(A124=(inputs!$C$9-1),(B124+1),B124), B124)</f>
        <v>1</v>
      </c>
      <c r="C125" s="7">
        <f t="shared" si="3"/>
        <v>122</v>
      </c>
      <c r="D125" s="8">
        <f>IF((B125&gt;B124), (EXP(-LN(2)/inputs!$C$51)*D124+$D$3), (EXP(-LN(2)/inputs!$C$51)*D124))</f>
        <v>1.4119246959712012E-5</v>
      </c>
      <c r="E125" s="8">
        <f>IF((B125&gt;B124), (EXP(-LN(2)/inputs!$C$51)*E124+$E$3), (EXP(-LN(2)/inputs!$C$51)*E124))</f>
        <v>6.4713215232013385E-6</v>
      </c>
      <c r="F125" s="8">
        <f>IF((B125&gt;B124), (EXP(-LN(2)/inputs!$C$51)*F124+$F$3), (EXP(-LN(2)/inputs!$C$51)*F124))</f>
        <v>7.9420764148380154E-6</v>
      </c>
      <c r="G125" s="8">
        <f>IF((B125&gt;B124), (EXP(-LN(2)/inputs!$C$51)*G124+$G$3), (EXP(-LN(2)/inputs!$C$51)*G124))</f>
        <v>8.8245293498200073E-7</v>
      </c>
      <c r="H125" s="8">
        <f>IF((B125&gt;B124), (EXP(-LN(2)/inputs!$C$51)*H124+$H$3), (EXP(-LN(2)/inputs!$C$51)*H124))</f>
        <v>5.5300383925538748E-6</v>
      </c>
      <c r="I125" s="7">
        <f>O125*(10^inputs!$C$55)*0.01/1</f>
        <v>0.78800777435782376</v>
      </c>
      <c r="J125" s="7">
        <f>(((0.621*15^0.564)/0.2))*D125/15+J124*inputs!$C$53</f>
        <v>1.5193222437760872E-5</v>
      </c>
      <c r="K125" s="7">
        <f>(((0.621*1000^0.564)/0.2))*D125/1000+K124*inputs!$C$53</f>
        <v>2.4345891665681396E-6</v>
      </c>
      <c r="L125" s="7">
        <f>(((0.648*20^0.651)/0.2))*H125/20+L124*inputs!$C$54</f>
        <v>8.3297981509601708E-6</v>
      </c>
      <c r="M125" s="7">
        <f>(((0.013*2^0.773)/0.2))*H125/2+M124*inputs!$C$54</f>
        <v>4.0618930438141965E-7</v>
      </c>
      <c r="N125" s="7">
        <f>O125*0.015*inputs!$C$56</f>
        <v>0.11577378617115582</v>
      </c>
      <c r="O125" s="7">
        <f>IF((B125&gt;B124), (EXP(-LN(2)/inputs!$C$52)*O124+$O$3), (EXP(-LN(2)/inputs!$C$52)*O124))</f>
        <v>1.248908157186147E-2</v>
      </c>
      <c r="P125" s="3">
        <f>IF((B125&gt;B124), (EXP(-LN(2)/inputs!$C$52)*P124+$P$3), (EXP(-LN(2)/inputs!$C$52)*P124))</f>
        <v>1.206826098651524E-2</v>
      </c>
      <c r="Q125" s="19">
        <f>IF((F125*0.62*1/(0.012*(10^inputs!$C$55)))&gt;inputs!$C$57, inputs!$C$57, (F125*0.62*1/(0.012*(10^inputs!$C$55))))</f>
        <v>6.503460469339408E-8</v>
      </c>
      <c r="R125" s="3">
        <f>IF((B125&gt;B124), (EXP(-LN(2)/inputs!$C$51)*R124+$R$3), (EXP(-LN(2)/inputs!$C$51)*R124))</f>
        <v>1.5110426982333707E-13</v>
      </c>
      <c r="T125" s="7">
        <f>IF(T124&lt;(inputs!$C$9-1),(1+T124),0)</f>
        <v>0</v>
      </c>
      <c r="U125" s="7">
        <f>IF(inputs!$C$8&gt;U124,IF(T124=(inputs!$C$9-1),(U124+1),U124), U124)</f>
        <v>1</v>
      </c>
      <c r="V125" s="7">
        <f t="shared" si="2"/>
        <v>122</v>
      </c>
      <c r="W125" s="8">
        <f>IF((U125&gt;U124), (EXP(-LN(2)/inputs!$C$51)*W124+$W$3), (EXP(-LN(2)/inputs!$C$51)*W124))</f>
        <v>5.0005666315646735E-6</v>
      </c>
      <c r="X125" s="8">
        <f>IF((U125&gt;U124), (EXP(-LN(2)/inputs!$C$51)*X124+$X$3), (EXP(-LN(2)/inputs!$C$51)*X124))</f>
        <v>2.1178870439568014E-6</v>
      </c>
      <c r="Y125" s="8">
        <f>IF((U125&gt;U124), (EXP(-LN(2)/inputs!$C$51)*Y124+$Y$3), (EXP(-LN(2)/inputs!$C$51)*Y124))</f>
        <v>2.6473588049460074E-6</v>
      </c>
      <c r="Z125" s="8">
        <f>IF((U125&gt;U124), (EXP(-LN(2)/inputs!$C$51)*Z124+$Z$3), (EXP(-LN(2)/inputs!$C$51)*Z124))</f>
        <v>4.1181136965826691E-7</v>
      </c>
      <c r="AA125" s="8">
        <f>IF((U125&gt;U124), (EXP(-LN(2)/inputs!$C$51)*AA124+$AA$3), (EXP(-LN(2)/inputs!$C$51)*AA124))</f>
        <v>3.8239627182553353E-6</v>
      </c>
      <c r="AB125" s="7">
        <f>(((0.621*15^0.564)/0.2))*W125/15+AB124*inputs!$C$53</f>
        <v>5.380932946706978E-6</v>
      </c>
      <c r="AC125" s="7">
        <f>(((0.621*1000^0.564)/0.2))*W125/1000+AC124*inputs!$C$53</f>
        <v>8.6225032982621659E-7</v>
      </c>
      <c r="AD125" s="7">
        <f>(((0.648*20^0.651)/0.2))*AA125/20+AD124*inputs!$C$54</f>
        <v>5.759966806515007E-6</v>
      </c>
      <c r="AE125" s="7">
        <f>(((0.013*2^0.773)/0.2))*AA125/2+AE124*inputs!$C$54</f>
        <v>2.808755828169389E-7</v>
      </c>
    </row>
    <row r="126" spans="1:31" x14ac:dyDescent="0.3">
      <c r="A126" s="7">
        <f>IF(A125&lt;(inputs!$C$9-1),(1+A125),0)</f>
        <v>0</v>
      </c>
      <c r="B126" s="7">
        <f>IF(inputs!$C$8&gt;B125,IF(A125=(inputs!$C$9-1),(B125+1),B125), B125)</f>
        <v>1</v>
      </c>
      <c r="C126" s="7">
        <f t="shared" si="3"/>
        <v>123</v>
      </c>
      <c r="D126" s="8">
        <f>IF((B126&gt;B125), (EXP(-LN(2)/inputs!$C$51)*D125+$D$3), (EXP(-LN(2)/inputs!$C$51)*D125))</f>
        <v>1.2388348729198332E-5</v>
      </c>
      <c r="E126" s="8">
        <f>IF((B126&gt;B125), (EXP(-LN(2)/inputs!$C$51)*E125+$E$3), (EXP(-LN(2)/inputs!$C$51)*E125))</f>
        <v>5.6779931675492356E-6</v>
      </c>
      <c r="F126" s="8">
        <f>IF((B126&gt;B125), (EXP(-LN(2)/inputs!$C$51)*F125+$F$3), (EXP(-LN(2)/inputs!$C$51)*F125))</f>
        <v>6.9684461601740701E-6</v>
      </c>
      <c r="G126" s="8">
        <f>IF((B126&gt;B125), (EXP(-LN(2)/inputs!$C$51)*G125+$G$3), (EXP(-LN(2)/inputs!$C$51)*G125))</f>
        <v>7.7427179557489578E-7</v>
      </c>
      <c r="H126" s="8">
        <f>IF((B126&gt;B125), (EXP(-LN(2)/inputs!$C$51)*H125+$H$3), (EXP(-LN(2)/inputs!$C$51)*H125))</f>
        <v>4.8521032522693497E-6</v>
      </c>
      <c r="I126" s="7">
        <f>O126*(10^inputs!$C$55)*0.01/1</f>
        <v>0.77210555809735459</v>
      </c>
      <c r="J126" s="7">
        <f>(((0.621*15^0.564)/0.2))*D126/15+J125*inputs!$C$53</f>
        <v>1.3330664051441843E-5</v>
      </c>
      <c r="K126" s="7">
        <f>(((0.621*1000^0.564)/0.2))*D126/1000+K125*inputs!$C$53</f>
        <v>2.1361294758732389E-6</v>
      </c>
      <c r="L126" s="7">
        <f>(((0.648*20^0.651)/0.2))*H126/20+L125*inputs!$C$54</f>
        <v>7.3086365464373782E-6</v>
      </c>
      <c r="M126" s="7">
        <f>(((0.013*2^0.773)/0.2))*H126/2+M125*inputs!$C$54</f>
        <v>3.5639398950283337E-7</v>
      </c>
      <c r="N126" s="7">
        <f>O126*0.015*inputs!$C$56</f>
        <v>0.11343743893589232</v>
      </c>
      <c r="O126" s="7">
        <f>IF((B126&gt;B125), (EXP(-LN(2)/inputs!$C$52)*O125+$O$3), (EXP(-LN(2)/inputs!$C$52)*O125))</f>
        <v>1.2237048428898847E-2</v>
      </c>
      <c r="P126" s="3">
        <f>IF((B126&gt;B125), (EXP(-LN(2)/inputs!$C$52)*P125+$P$3), (EXP(-LN(2)/inputs!$C$52)*P125))</f>
        <v>1.1824720120117383E-2</v>
      </c>
      <c r="Q126" s="19">
        <f>IF((F126*0.62*1/(0.012*(10^inputs!$C$55)))&gt;inputs!$C$57, inputs!$C$57, (F126*0.62*1/(0.012*(10^inputs!$C$55))))</f>
        <v>5.7061921553340237E-8</v>
      </c>
      <c r="R126" s="3">
        <f>IF((B126&gt;B125), (EXP(-LN(2)/inputs!$C$51)*R125+$R$3), (EXP(-LN(2)/inputs!$C$51)*R125))</f>
        <v>1.3258018606684682E-13</v>
      </c>
      <c r="T126" s="7">
        <f>IF(T125&lt;(inputs!$C$9-1),(1+T125),0)</f>
        <v>0</v>
      </c>
      <c r="U126" s="7">
        <f>IF(inputs!$C$8&gt;U125,IF(T125=(inputs!$C$9-1),(U125+1),U125), U125)</f>
        <v>1</v>
      </c>
      <c r="V126" s="7">
        <f t="shared" si="2"/>
        <v>123</v>
      </c>
      <c r="W126" s="8">
        <f>IF((U126&gt;U125), (EXP(-LN(2)/inputs!$C$51)*W125+$W$3), (EXP(-LN(2)/inputs!$C$51)*W125))</f>
        <v>4.3875401749244121E-6</v>
      </c>
      <c r="X126" s="8">
        <f>IF((U126&gt;U125), (EXP(-LN(2)/inputs!$C$51)*X125+$X$3), (EXP(-LN(2)/inputs!$C$51)*X125))</f>
        <v>1.8582523093797496E-6</v>
      </c>
      <c r="Y126" s="8">
        <f>IF((U126&gt;U125), (EXP(-LN(2)/inputs!$C$51)*Y125+$Y$3), (EXP(-LN(2)/inputs!$C$51)*Y125))</f>
        <v>2.3228153867246919E-6</v>
      </c>
      <c r="Z126" s="8">
        <f>IF((U126&gt;U125), (EXP(-LN(2)/inputs!$C$51)*Z125+$Z$3), (EXP(-LN(2)/inputs!$C$51)*Z125))</f>
        <v>3.613268379349513E-7</v>
      </c>
      <c r="AA126" s="8">
        <f>IF((U126&gt;U125), (EXP(-LN(2)/inputs!$C$51)*AA125+$AA$3), (EXP(-LN(2)/inputs!$C$51)*AA125))</f>
        <v>3.3551777808245476E-6</v>
      </c>
      <c r="AB126" s="7">
        <f>(((0.621*15^0.564)/0.2))*W126/15+AB125*inputs!$C$53</f>
        <v>4.7212768515523231E-6</v>
      </c>
      <c r="AC126" s="7">
        <f>(((0.621*1000^0.564)/0.2))*W126/1000+AC125*inputs!$C$53</f>
        <v>7.5654585603843919E-7</v>
      </c>
      <c r="AD126" s="7">
        <f>(((0.648*20^0.651)/0.2))*AA126/20+AD125*inputs!$C$54</f>
        <v>5.0538444204088209E-6</v>
      </c>
      <c r="AE126" s="7">
        <f>(((0.013*2^0.773)/0.2))*AA126/2+AE125*inputs!$C$54</f>
        <v>2.4644265231578883E-7</v>
      </c>
    </row>
    <row r="127" spans="1:31" x14ac:dyDescent="0.3">
      <c r="A127" s="7">
        <f>IF(A126&lt;(inputs!$C$9-1),(1+A126),0)</f>
        <v>0</v>
      </c>
      <c r="B127" s="7">
        <f>IF(inputs!$C$8&gt;B126,IF(A126=(inputs!$C$9-1),(B126+1),B126), B126)</f>
        <v>1</v>
      </c>
      <c r="C127" s="7">
        <f t="shared" si="3"/>
        <v>124</v>
      </c>
      <c r="D127" s="8">
        <f>IF((B127&gt;B126), (EXP(-LN(2)/inputs!$C$51)*D126+$D$3), (EXP(-LN(2)/inputs!$C$51)*D126))</f>
        <v>1.0869643733419071E-5</v>
      </c>
      <c r="E127" s="8">
        <f>IF((B127&gt;B126), (EXP(-LN(2)/inputs!$C$51)*E126+$E$3), (EXP(-LN(2)/inputs!$C$51)*E126))</f>
        <v>4.9819200444837405E-6</v>
      </c>
      <c r="F127" s="8">
        <f>IF((B127&gt;B126), (EXP(-LN(2)/inputs!$C$51)*F126+$F$3), (EXP(-LN(2)/inputs!$C$51)*F126))</f>
        <v>6.1141746000482343E-6</v>
      </c>
      <c r="G127" s="8">
        <f>IF((B127&gt;B126), (EXP(-LN(2)/inputs!$C$51)*G126+$G$3), (EXP(-LN(2)/inputs!$C$51)*G126))</f>
        <v>6.7935273333869191E-7</v>
      </c>
      <c r="H127" s="8">
        <f>IF((B127&gt;B126), (EXP(-LN(2)/inputs!$C$51)*H126+$H$3), (EXP(-LN(2)/inputs!$C$51)*H126))</f>
        <v>4.2572771289224722E-6</v>
      </c>
      <c r="I127" s="7">
        <f>O127*(10^inputs!$C$55)*0.01/1</f>
        <v>0.75652425298804826</v>
      </c>
      <c r="J127" s="7">
        <f>(((0.621*15^0.564)/0.2))*D127/15+J126*inputs!$C$53</f>
        <v>1.169643930248373E-5</v>
      </c>
      <c r="K127" s="7">
        <f>(((0.621*1000^0.564)/0.2))*D127/1000+K126*inputs!$C$53</f>
        <v>1.8742583760555673E-6</v>
      </c>
      <c r="L127" s="7">
        <f>(((0.648*20^0.651)/0.2))*H127/20+L126*inputs!$C$54</f>
        <v>6.4126605711043357E-6</v>
      </c>
      <c r="M127" s="7">
        <f>(((0.013*2^0.773)/0.2))*H127/2+M126*inputs!$C$54</f>
        <v>3.1270315191380464E-7</v>
      </c>
      <c r="N127" s="7">
        <f>O127*0.015*inputs!$C$56</f>
        <v>0.11114823983825345</v>
      </c>
      <c r="O127" s="7">
        <f>IF((B127&gt;B126), (EXP(-LN(2)/inputs!$C$52)*O126+$O$3), (EXP(-LN(2)/inputs!$C$52)*O126))</f>
        <v>1.1990101384924859E-2</v>
      </c>
      <c r="P127" s="3">
        <f>IF((B127&gt;B126), (EXP(-LN(2)/inputs!$C$52)*P126+$P$3), (EXP(-LN(2)/inputs!$C$52)*P126))</f>
        <v>1.1586093976202914E-2</v>
      </c>
      <c r="Q127" s="19">
        <f>IF((F127*0.62*1/(0.012*(10^inputs!$C$55)))&gt;inputs!$C$57, inputs!$C$57, (F127*0.62*1/(0.012*(10^inputs!$C$55))))</f>
        <v>5.0066620789197953E-8</v>
      </c>
      <c r="R127" s="3">
        <f>IF((B127&gt;B126), (EXP(-LN(2)/inputs!$C$51)*R126+$R$3), (EXP(-LN(2)/inputs!$C$51)*R126))</f>
        <v>1.1632699564393773E-13</v>
      </c>
      <c r="T127" s="7">
        <f>IF(T126&lt;(inputs!$C$9-1),(1+T126),0)</f>
        <v>0</v>
      </c>
      <c r="U127" s="7">
        <f>IF(inputs!$C$8&gt;U126,IF(T126=(inputs!$C$9-1),(U126+1),U126), U126)</f>
        <v>1</v>
      </c>
      <c r="V127" s="7">
        <f t="shared" si="2"/>
        <v>124</v>
      </c>
      <c r="W127" s="8">
        <f>IF((U127&gt;U126), (EXP(-LN(2)/inputs!$C$51)*W126+$W$3), (EXP(-LN(2)/inputs!$C$51)*W126))</f>
        <v>3.8496654889192568E-6</v>
      </c>
      <c r="X127" s="8">
        <f>IF((U127&gt;U126), (EXP(-LN(2)/inputs!$C$51)*X126+$X$3), (EXP(-LN(2)/inputs!$C$51)*X126))</f>
        <v>1.6304465600128605E-6</v>
      </c>
      <c r="Y127" s="8">
        <f>IF((U127&gt;U126), (EXP(-LN(2)/inputs!$C$51)*Y126+$Y$3), (EXP(-LN(2)/inputs!$C$51)*Y126))</f>
        <v>2.0380582000160797E-6</v>
      </c>
      <c r="Z127" s="8">
        <f>IF((U127&gt;U126), (EXP(-LN(2)/inputs!$C$51)*Z126+$Z$3), (EXP(-LN(2)/inputs!$C$51)*Z126))</f>
        <v>3.1703127555805616E-7</v>
      </c>
      <c r="AA127" s="8">
        <f>IF((U127&gt;U126), (EXP(-LN(2)/inputs!$C$51)*AA126+$AA$3), (EXP(-LN(2)/inputs!$C$51)*AA126))</f>
        <v>2.9438618444676642E-6</v>
      </c>
      <c r="AB127" s="7">
        <f>(((0.621*15^0.564)/0.2))*W127/15+AB126*inputs!$C$53</f>
        <v>4.1424889196296571E-6</v>
      </c>
      <c r="AC127" s="7">
        <f>(((0.621*1000^0.564)/0.2))*W127/1000+AC126*inputs!$C$53</f>
        <v>6.637998415196804E-7</v>
      </c>
      <c r="AD127" s="7">
        <f>(((0.648*20^0.651)/0.2))*AA127/20+AD126*inputs!$C$54</f>
        <v>4.434286565125335E-6</v>
      </c>
      <c r="AE127" s="7">
        <f>(((0.013*2^0.773)/0.2))*AA127/2+AE126*inputs!$C$54</f>
        <v>2.1623090291912004E-7</v>
      </c>
    </row>
    <row r="128" spans="1:31" x14ac:dyDescent="0.3">
      <c r="A128" s="7">
        <f>IF(A127&lt;(inputs!$C$9-1),(1+A127),0)</f>
        <v>0</v>
      </c>
      <c r="B128" s="7">
        <f>IF(inputs!$C$8&gt;B127,IF(A127=(inputs!$C$9-1),(B127+1),B127), B127)</f>
        <v>1</v>
      </c>
      <c r="C128" s="7">
        <f t="shared" si="3"/>
        <v>125</v>
      </c>
      <c r="D128" s="8">
        <f>IF((B128&gt;B127), (EXP(-LN(2)/inputs!$C$51)*D127+$D$3), (EXP(-LN(2)/inputs!$C$51)*D127))</f>
        <v>9.5371189069765624E-6</v>
      </c>
      <c r="E128" s="8">
        <f>IF((B128&gt;B127), (EXP(-LN(2)/inputs!$C$51)*E127+$E$3), (EXP(-LN(2)/inputs!$C$51)*E127))</f>
        <v>4.3711794990309235E-6</v>
      </c>
      <c r="F128" s="8">
        <f>IF((B128&gt;B127), (EXP(-LN(2)/inputs!$C$51)*F127+$F$3), (EXP(-LN(2)/inputs!$C$51)*F127))</f>
        <v>5.3646293851743224E-6</v>
      </c>
      <c r="G128" s="8">
        <f>IF((B128&gt;B127), (EXP(-LN(2)/inputs!$C$51)*G127+$G$3), (EXP(-LN(2)/inputs!$C$51)*G127))</f>
        <v>5.9606993168603515E-7</v>
      </c>
      <c r="H128" s="8">
        <f>IF((B128&gt;B127), (EXP(-LN(2)/inputs!$C$51)*H127+$H$3), (EXP(-LN(2)/inputs!$C$51)*H127))</f>
        <v>3.7353715718991557E-6</v>
      </c>
      <c r="I128" s="7">
        <f>O128*(10^inputs!$C$55)*0.01/1</f>
        <v>0.74125738295353627</v>
      </c>
      <c r="J128" s="7">
        <f>(((0.621*15^0.564)/0.2))*D128/15+J127*inputs!$C$53</f>
        <v>1.0262556450958576E-5</v>
      </c>
      <c r="K128" s="7">
        <f>(((0.621*1000^0.564)/0.2))*D128/1000+K127*inputs!$C$53</f>
        <v>1.6444904205904555E-6</v>
      </c>
      <c r="L128" s="7">
        <f>(((0.648*20^0.651)/0.2))*H128/20+L127*inputs!$C$54</f>
        <v>5.6265235436069616E-6</v>
      </c>
      <c r="M128" s="7">
        <f>(((0.013*2^0.773)/0.2))*H128/2+M127*inputs!$C$54</f>
        <v>2.7436843520631428E-7</v>
      </c>
      <c r="N128" s="7">
        <f>O128*0.015*inputs!$C$56</f>
        <v>0.10890523741569634</v>
      </c>
      <c r="O128" s="7">
        <f>IF((B128&gt;B127), (EXP(-LN(2)/inputs!$C$52)*O127+$O$3), (EXP(-LN(2)/inputs!$C$52)*O127))</f>
        <v>1.1748137801045992E-2</v>
      </c>
      <c r="P128" s="3">
        <f>IF((B128&gt;B127), (EXP(-LN(2)/inputs!$C$52)*P127+$P$3), (EXP(-LN(2)/inputs!$C$52)*P127))</f>
        <v>1.1352283374303907E-2</v>
      </c>
      <c r="Q128" s="19">
        <f>IF((F128*0.62*1/(0.012*(10^inputs!$C$55)))&gt;inputs!$C$57, inputs!$C$57, (F128*0.62*1/(0.012*(10^inputs!$C$55))))</f>
        <v>4.3928883728638058E-8</v>
      </c>
      <c r="R128" s="3">
        <f>IF((B128&gt;B127), (EXP(-LN(2)/inputs!$C$51)*R127+$R$3), (EXP(-LN(2)/inputs!$C$51)*R127))</f>
        <v>1.0206630656500888E-13</v>
      </c>
      <c r="T128" s="7">
        <f>IF(T127&lt;(inputs!$C$9-1),(1+T127),0)</f>
        <v>0</v>
      </c>
      <c r="U128" s="7">
        <f>IF(inputs!$C$8&gt;U127,IF(T127=(inputs!$C$9-1),(U127+1),U127), U127)</f>
        <v>1</v>
      </c>
      <c r="V128" s="7">
        <f t="shared" si="2"/>
        <v>125</v>
      </c>
      <c r="W128" s="8">
        <f>IF((U128&gt;U127), (EXP(-LN(2)/inputs!$C$51)*W127+$W$3), (EXP(-LN(2)/inputs!$C$51)*W127))</f>
        <v>3.3777296128875344E-6</v>
      </c>
      <c r="X128" s="8">
        <f>IF((U128&gt;U127), (EXP(-LN(2)/inputs!$C$51)*X127+$X$3), (EXP(-LN(2)/inputs!$C$51)*X127))</f>
        <v>1.4305678360464842E-6</v>
      </c>
      <c r="Y128" s="8">
        <f>IF((U128&gt;U127), (EXP(-LN(2)/inputs!$C$51)*Y127+$Y$3), (EXP(-LN(2)/inputs!$C$51)*Y127))</f>
        <v>1.7882097950581087E-6</v>
      </c>
      <c r="Z128" s="8">
        <f>IF((U128&gt;U127), (EXP(-LN(2)/inputs!$C$51)*Z127+$Z$3), (EXP(-LN(2)/inputs!$C$51)*Z127))</f>
        <v>2.7816596812014966E-7</v>
      </c>
      <c r="AA128" s="8">
        <f>IF((U128&gt;U127), (EXP(-LN(2)/inputs!$C$51)*AA127+$AA$3), (EXP(-LN(2)/inputs!$C$51)*AA127))</f>
        <v>2.5829697039728182E-6</v>
      </c>
      <c r="AB128" s="7">
        <f>(((0.621*15^0.564)/0.2))*W128/15+AB127*inputs!$C$53</f>
        <v>3.6346554097144969E-6</v>
      </c>
      <c r="AC128" s="7">
        <f>(((0.621*1000^0.564)/0.2))*W128/1000+AC127*inputs!$C$53</f>
        <v>5.8242369062578655E-7</v>
      </c>
      <c r="AD128" s="7">
        <f>(((0.648*20^0.651)/0.2))*AA128/20+AD127*inputs!$C$54</f>
        <v>3.8906811737707679E-6</v>
      </c>
      <c r="AE128" s="7">
        <f>(((0.013*2^0.773)/0.2))*AA128/2+AE127*inputs!$C$54</f>
        <v>1.8972285413202566E-7</v>
      </c>
    </row>
    <row r="129" spans="1:31" x14ac:dyDescent="0.3">
      <c r="A129" s="7">
        <f>IF(A128&lt;(inputs!$C$9-1),(1+A128),0)</f>
        <v>0</v>
      </c>
      <c r="B129" s="7">
        <f>IF(inputs!$C$8&gt;B128,IF(A128=(inputs!$C$9-1),(B128+1),B128), B128)</f>
        <v>1</v>
      </c>
      <c r="C129" s="7">
        <f t="shared" si="3"/>
        <v>126</v>
      </c>
      <c r="D129" s="8">
        <f>IF((B129&gt;B128), (EXP(-LN(2)/inputs!$C$51)*D128+$D$3), (EXP(-LN(2)/inputs!$C$51)*D128))</f>
        <v>8.3679501625394308E-6</v>
      </c>
      <c r="E129" s="8">
        <f>IF((B129&gt;B128), (EXP(-LN(2)/inputs!$C$51)*E128+$E$3), (EXP(-LN(2)/inputs!$C$51)*E128))</f>
        <v>3.8353104911639047E-6</v>
      </c>
      <c r="F129" s="8">
        <f>IF((B129&gt;B128), (EXP(-LN(2)/inputs!$C$51)*F128+$F$3), (EXP(-LN(2)/inputs!$C$51)*F128))</f>
        <v>4.7069719664284345E-6</v>
      </c>
      <c r="G129" s="8">
        <f>IF((B129&gt;B128), (EXP(-LN(2)/inputs!$C$51)*G128+$G$3), (EXP(-LN(2)/inputs!$C$51)*G128))</f>
        <v>5.2299688515871443E-7</v>
      </c>
      <c r="H129" s="8">
        <f>IF((B129&gt;B128), (EXP(-LN(2)/inputs!$C$51)*H128+$H$3), (EXP(-LN(2)/inputs!$C$51)*H128))</f>
        <v>3.2774471469946122E-6</v>
      </c>
      <c r="I129" s="7">
        <f>O129*(10^inputs!$C$55)*0.01/1</f>
        <v>0.72629860260647339</v>
      </c>
      <c r="J129" s="7">
        <f>(((0.621*15^0.564)/0.2))*D129/15+J128*inputs!$C$53</f>
        <v>9.004455303482559E-6</v>
      </c>
      <c r="K129" s="7">
        <f>(((0.621*1000^0.564)/0.2))*D129/1000+K128*inputs!$C$53</f>
        <v>1.4428900401155769E-6</v>
      </c>
      <c r="L129" s="7">
        <f>(((0.648*20^0.651)/0.2))*H129/20+L128*inputs!$C$54</f>
        <v>4.9367601537206578E-6</v>
      </c>
      <c r="M129" s="7">
        <f>(((0.013*2^0.773)/0.2))*H129/2+M128*inputs!$C$54</f>
        <v>2.4073322503097622E-7</v>
      </c>
      <c r="N129" s="7">
        <f>O129*0.015*inputs!$C$56</f>
        <v>0.10670749940645716</v>
      </c>
      <c r="O129" s="7">
        <f>IF((B129&gt;B128), (EXP(-LN(2)/inputs!$C$52)*O128+$O$3), (EXP(-LN(2)/inputs!$C$52)*O128))</f>
        <v>1.1511057109650179E-2</v>
      </c>
      <c r="P129" s="3">
        <f>IF((B129&gt;B128), (EXP(-LN(2)/inputs!$C$52)*P128+$P$3), (EXP(-LN(2)/inputs!$C$52)*P128))</f>
        <v>1.1123191135441886E-2</v>
      </c>
      <c r="Q129" s="19">
        <f>IF((F129*0.62*1/(0.012*(10^inputs!$C$55)))&gt;inputs!$C$57, inputs!$C$57, (F129*0.62*1/(0.012*(10^inputs!$C$55))))</f>
        <v>3.8543580437938218E-8</v>
      </c>
      <c r="R129" s="3">
        <f>IF((B129&gt;B128), (EXP(-LN(2)/inputs!$C$51)*R128+$R$3), (EXP(-LN(2)/inputs!$C$51)*R128))</f>
        <v>8.9553855303794879E-14</v>
      </c>
      <c r="T129" s="7">
        <f>IF(T128&lt;(inputs!$C$9-1),(1+T128),0)</f>
        <v>0</v>
      </c>
      <c r="U129" s="7">
        <f>IF(inputs!$C$8&gt;U128,IF(T128=(inputs!$C$9-1),(U128+1),U128), U128)</f>
        <v>1</v>
      </c>
      <c r="V129" s="7">
        <f t="shared" si="2"/>
        <v>126</v>
      </c>
      <c r="W129" s="8">
        <f>IF((U129&gt;U128), (EXP(-LN(2)/inputs!$C$51)*W128+$W$3), (EXP(-LN(2)/inputs!$C$51)*W128))</f>
        <v>2.9636490158993833E-6</v>
      </c>
      <c r="X129" s="8">
        <f>IF((U129&gt;U128), (EXP(-LN(2)/inputs!$C$51)*X128+$X$3), (EXP(-LN(2)/inputs!$C$51)*X128))</f>
        <v>1.2551925243809144E-6</v>
      </c>
      <c r="Y129" s="8">
        <f>IF((U129&gt;U128), (EXP(-LN(2)/inputs!$C$51)*Y128+$Y$3), (EXP(-LN(2)/inputs!$C$51)*Y128))</f>
        <v>1.568990655476146E-6</v>
      </c>
      <c r="Z129" s="8">
        <f>IF((U129&gt;U128), (EXP(-LN(2)/inputs!$C$51)*Z128+$Z$3), (EXP(-LN(2)/inputs!$C$51)*Z128))</f>
        <v>2.4406521307406667E-7</v>
      </c>
      <c r="AA129" s="8">
        <f>IF((U129&gt;U128), (EXP(-LN(2)/inputs!$C$51)*AA128+$AA$3), (EXP(-LN(2)/inputs!$C$51)*AA128))</f>
        <v>2.2663198356877618E-6</v>
      </c>
      <c r="AB129" s="7">
        <f>(((0.621*15^0.564)/0.2))*W129/15+AB128*inputs!$C$53</f>
        <v>3.1890779199834075E-6</v>
      </c>
      <c r="AC129" s="7">
        <f>(((0.621*1000^0.564)/0.2))*W129/1000+AC128*inputs!$C$53</f>
        <v>5.1102355587426703E-7</v>
      </c>
      <c r="AD129" s="7">
        <f>(((0.648*20^0.651)/0.2))*AA129/20+AD128*inputs!$C$54</f>
        <v>3.4137171275727929E-6</v>
      </c>
      <c r="AE129" s="7">
        <f>(((0.013*2^0.773)/0.2))*AA129/2+AE128*inputs!$C$54</f>
        <v>1.6646446411716426E-7</v>
      </c>
    </row>
    <row r="130" spans="1:31" x14ac:dyDescent="0.3">
      <c r="A130" s="7">
        <f>IF(A129&lt;(inputs!$C$9-1),(1+A129),0)</f>
        <v>0</v>
      </c>
      <c r="B130" s="7">
        <f>IF(inputs!$C$8&gt;B129,IF(A129=(inputs!$C$9-1),(B129+1),B129), B129)</f>
        <v>1</v>
      </c>
      <c r="C130" s="7">
        <f t="shared" si="3"/>
        <v>127</v>
      </c>
      <c r="D130" s="8">
        <f>IF((B130&gt;B129), (EXP(-LN(2)/inputs!$C$51)*D129+$D$3), (EXP(-LN(2)/inputs!$C$51)*D129))</f>
        <v>7.3421114495616683E-6</v>
      </c>
      <c r="E130" s="8">
        <f>IF((B130&gt;B129), (EXP(-LN(2)/inputs!$C$51)*E129+$E$3), (EXP(-LN(2)/inputs!$C$51)*E129))</f>
        <v>3.3651344143824306E-6</v>
      </c>
      <c r="F130" s="8">
        <f>IF((B130&gt;B129), (EXP(-LN(2)/inputs!$C$51)*F129+$F$3), (EXP(-LN(2)/inputs!$C$51)*F129))</f>
        <v>4.1299376903784426E-6</v>
      </c>
      <c r="G130" s="8">
        <f>IF((B130&gt;B129), (EXP(-LN(2)/inputs!$C$51)*G129+$G$3), (EXP(-LN(2)/inputs!$C$51)*G129))</f>
        <v>4.5888196559760427E-7</v>
      </c>
      <c r="H130" s="8">
        <f>IF((B130&gt;B129), (EXP(-LN(2)/inputs!$C$51)*H129+$H$3), (EXP(-LN(2)/inputs!$C$51)*H129))</f>
        <v>2.8756603177449886E-6</v>
      </c>
      <c r="I130" s="7">
        <f>O130*(10^inputs!$C$55)*0.01/1</f>
        <v>0.71164169461119731</v>
      </c>
      <c r="J130" s="7">
        <f>(((0.621*15^0.564)/0.2))*D130/15+J129*inputs!$C$53</f>
        <v>7.9005865351261344E-6</v>
      </c>
      <c r="K130" s="7">
        <f>(((0.621*1000^0.564)/0.2))*D130/1000+K129*inputs!$C$53</f>
        <v>1.2660041322206131E-6</v>
      </c>
      <c r="L130" s="7">
        <f>(((0.648*20^0.651)/0.2))*H130/20+L129*inputs!$C$54</f>
        <v>4.3315558224324537E-6</v>
      </c>
      <c r="M130" s="7">
        <f>(((0.013*2^0.773)/0.2))*H130/2+M129*inputs!$C$54</f>
        <v>2.112214023097688E-7</v>
      </c>
      <c r="N130" s="7">
        <f>O130*0.015*inputs!$C$56</f>
        <v>0.10455411236207394</v>
      </c>
      <c r="O130" s="7">
        <f>IF((B130&gt;B129), (EXP(-LN(2)/inputs!$C$52)*O129+$O$3), (EXP(-LN(2)/inputs!$C$52)*O129))</f>
        <v>1.1278760772607761E-2</v>
      </c>
      <c r="P130" s="3">
        <f>IF((B130&gt;B129), (EXP(-LN(2)/inputs!$C$52)*P129+$P$3), (EXP(-LN(2)/inputs!$C$52)*P129))</f>
        <v>1.0898722041737219E-2</v>
      </c>
      <c r="Q130" s="19">
        <f>IF((F130*0.62*1/(0.012*(10^inputs!$C$55)))&gt;inputs!$C$57, inputs!$C$57, (F130*0.62*1/(0.012*(10^inputs!$C$55))))</f>
        <v>3.3818469008975035E-8</v>
      </c>
      <c r="R130" s="3">
        <f>IF((B130&gt;B129), (EXP(-LN(2)/inputs!$C$51)*R129+$R$3), (EXP(-LN(2)/inputs!$C$51)*R129))</f>
        <v>7.8575322941316935E-14</v>
      </c>
      <c r="T130" s="7">
        <f>IF(T129&lt;(inputs!$C$9-1),(1+T129),0)</f>
        <v>0</v>
      </c>
      <c r="U130" s="7">
        <f>IF(inputs!$C$8&gt;U129,IF(T129=(inputs!$C$9-1),(U129+1),U129), U129)</f>
        <v>1</v>
      </c>
      <c r="V130" s="7">
        <f t="shared" si="2"/>
        <v>127</v>
      </c>
      <c r="W130" s="8">
        <f>IF((U130&gt;U129), (EXP(-LN(2)/inputs!$C$51)*W129+$W$3), (EXP(-LN(2)/inputs!$C$51)*W129))</f>
        <v>2.6003311383864257E-6</v>
      </c>
      <c r="X130" s="8">
        <f>IF((U130&gt;U129), (EXP(-LN(2)/inputs!$C$51)*X129+$X$3), (EXP(-LN(2)/inputs!$C$51)*X129))</f>
        <v>1.10131671743425E-6</v>
      </c>
      <c r="Y130" s="8">
        <f>IF((U130&gt;U129), (EXP(-LN(2)/inputs!$C$51)*Y129+$Y$3), (EXP(-LN(2)/inputs!$C$51)*Y129))</f>
        <v>1.3766458967928153E-6</v>
      </c>
      <c r="Z130" s="8">
        <f>IF((U130&gt;U129), (EXP(-LN(2)/inputs!$C$51)*Z129+$Z$3), (EXP(-LN(2)/inputs!$C$51)*Z129))</f>
        <v>2.1414491727888192E-7</v>
      </c>
      <c r="AA130" s="8">
        <f>IF((U130&gt;U129), (EXP(-LN(2)/inputs!$C$51)*AA129+$AA$3), (EXP(-LN(2)/inputs!$C$51)*AA129))</f>
        <v>1.9884885175896178E-6</v>
      </c>
      <c r="AB130" s="7">
        <f>(((0.621*15^0.564)/0.2))*W130/15+AB129*inputs!$C$53</f>
        <v>2.7981243978571743E-6</v>
      </c>
      <c r="AC130" s="7">
        <f>(((0.621*1000^0.564)/0.2))*W130/1000+AC129*inputs!$C$53</f>
        <v>4.4837646349480078E-7</v>
      </c>
      <c r="AD130" s="7">
        <f>(((0.648*20^0.651)/0.2))*AA130/20+AD129*inputs!$C$54</f>
        <v>2.9952247708309495E-6</v>
      </c>
      <c r="AE130" s="7">
        <f>(((0.013*2^0.773)/0.2))*AA130/2+AE129*inputs!$C$54</f>
        <v>1.4605735266101019E-7</v>
      </c>
    </row>
    <row r="131" spans="1:31" x14ac:dyDescent="0.3">
      <c r="A131" s="7">
        <f>IF(A130&lt;(inputs!$C$9-1),(1+A130),0)</f>
        <v>0</v>
      </c>
      <c r="B131" s="7">
        <f>IF(inputs!$C$8&gt;B130,IF(A130=(inputs!$C$9-1),(B130+1),B130), B130)</f>
        <v>1</v>
      </c>
      <c r="C131" s="7">
        <f t="shared" si="3"/>
        <v>128</v>
      </c>
      <c r="D131" s="8">
        <f>IF((B131&gt;B130), (EXP(-LN(2)/inputs!$C$51)*D130+$D$3), (EXP(-LN(2)/inputs!$C$51)*D130))</f>
        <v>6.4420317390400718E-6</v>
      </c>
      <c r="E131" s="8">
        <f>IF((B131&gt;B130), (EXP(-LN(2)/inputs!$C$51)*E130+$E$3), (EXP(-LN(2)/inputs!$C$51)*E130))</f>
        <v>2.9525978803933657E-6</v>
      </c>
      <c r="F131" s="8">
        <f>IF((B131&gt;B130), (EXP(-LN(2)/inputs!$C$51)*F130+$F$3), (EXP(-LN(2)/inputs!$C$51)*F130))</f>
        <v>3.6236428532100441E-6</v>
      </c>
      <c r="G131" s="8">
        <f>IF((B131&gt;B130), (EXP(-LN(2)/inputs!$C$51)*G130+$G$3), (EXP(-LN(2)/inputs!$C$51)*G130))</f>
        <v>4.0262698369000449E-7</v>
      </c>
      <c r="H131" s="8">
        <f>IF((B131&gt;B130), (EXP(-LN(2)/inputs!$C$51)*H130+$H$3), (EXP(-LN(2)/inputs!$C$51)*H130))</f>
        <v>2.5231290977906964E-6</v>
      </c>
      <c r="I131" s="7">
        <f>O131*(10^inputs!$C$55)*0.01/1</f>
        <v>0.69728056709961073</v>
      </c>
      <c r="J131" s="7">
        <f>(((0.621*15^0.564)/0.2))*D131/15+J130*inputs!$C$53</f>
        <v>6.9320425828395354E-6</v>
      </c>
      <c r="K131" s="7">
        <f>(((0.621*1000^0.564)/0.2))*D131/1000+K130*inputs!$C$53</f>
        <v>1.1108029151488803E-6</v>
      </c>
      <c r="L131" s="7">
        <f>(((0.648*20^0.651)/0.2))*H131/20+L130*inputs!$C$54</f>
        <v>3.8005443364932287E-6</v>
      </c>
      <c r="M131" s="7">
        <f>(((0.013*2^0.773)/0.2))*H131/2+M130*inputs!$C$54</f>
        <v>1.8532747520814567E-7</v>
      </c>
      <c r="N131" s="7">
        <f>O131*0.015*inputs!$C$56</f>
        <v>0.10244418126772901</v>
      </c>
      <c r="O131" s="7">
        <f>IF((B131&gt;B130), (EXP(-LN(2)/inputs!$C$52)*O130+$O$3), (EXP(-LN(2)/inputs!$C$52)*O130))</f>
        <v>1.1051152240315967E-2</v>
      </c>
      <c r="P131" s="3">
        <f>IF((B131&gt;B130), (EXP(-LN(2)/inputs!$C$52)*P130+$P$3), (EXP(-LN(2)/inputs!$C$52)*P130))</f>
        <v>1.067878279683359E-2</v>
      </c>
      <c r="Q131" s="19">
        <f>IF((F131*0.62*1/(0.012*(10^inputs!$C$55)))&gt;inputs!$C$57, inputs!$C$57, (F131*0.62*1/(0.012*(10^inputs!$C$55))))</f>
        <v>2.9672615598141954E-8</v>
      </c>
      <c r="R131" s="3">
        <f>IF((B131&gt;B130), (EXP(-LN(2)/inputs!$C$51)*R130+$R$3), (EXP(-LN(2)/inputs!$C$51)*R130))</f>
        <v>6.8942664214598232E-14</v>
      </c>
      <c r="T131" s="7">
        <f>IF(T130&lt;(inputs!$C$9-1),(1+T130),0)</f>
        <v>0</v>
      </c>
      <c r="U131" s="7">
        <f>IF(inputs!$C$8&gt;U130,IF(T130=(inputs!$C$9-1),(U130+1),U130), U130)</f>
        <v>1</v>
      </c>
      <c r="V131" s="7">
        <f t="shared" si="2"/>
        <v>128</v>
      </c>
      <c r="W131" s="8">
        <f>IF((U131&gt;U130), (EXP(-LN(2)/inputs!$C$51)*W130+$W$3), (EXP(-LN(2)/inputs!$C$51)*W130))</f>
        <v>2.2815529075766938E-6</v>
      </c>
      <c r="X131" s="8">
        <f>IF((U131&gt;U130), (EXP(-LN(2)/inputs!$C$51)*X130+$X$3), (EXP(-LN(2)/inputs!$C$51)*X130))</f>
        <v>9.6630476085601052E-7</v>
      </c>
      <c r="Y131" s="8">
        <f>IF((U131&gt;U130), (EXP(-LN(2)/inputs!$C$51)*Y130+$Y$3), (EXP(-LN(2)/inputs!$C$51)*Y130))</f>
        <v>1.2078809510700157E-6</v>
      </c>
      <c r="Z131" s="8">
        <f>IF((U131&gt;U130), (EXP(-LN(2)/inputs!$C$51)*Z130+$Z$3), (EXP(-LN(2)/inputs!$C$51)*Z130))</f>
        <v>1.8789259238866872E-7</v>
      </c>
      <c r="AA131" s="8">
        <f>IF((U131&gt;U130), (EXP(-LN(2)/inputs!$C$51)*AA130+$AA$3), (EXP(-LN(2)/inputs!$C$51)*AA130))</f>
        <v>1.7447169293233522E-6</v>
      </c>
      <c r="AB131" s="7">
        <f>(((0.621*15^0.564)/0.2))*W131/15+AB130*inputs!$C$53</f>
        <v>2.4550984147556703E-6</v>
      </c>
      <c r="AC131" s="7">
        <f>(((0.621*1000^0.564)/0.2))*W131/1000+AC130*inputs!$C$53</f>
        <v>3.9340936578189548E-7</v>
      </c>
      <c r="AD131" s="7">
        <f>(((0.648*20^0.651)/0.2))*AA131/20+AD130*inputs!$C$54</f>
        <v>2.6280359773623366E-6</v>
      </c>
      <c r="AE131" s="7">
        <f>(((0.013*2^0.773)/0.2))*AA131/2+AE130*inputs!$C$54</f>
        <v>1.281519775375474E-7</v>
      </c>
    </row>
    <row r="132" spans="1:31" x14ac:dyDescent="0.3">
      <c r="A132" s="7">
        <f>IF(A131&lt;(inputs!$C$9-1),(1+A131),0)</f>
        <v>0</v>
      </c>
      <c r="B132" s="7">
        <f>IF(inputs!$C$8&gt;B131,IF(A131=(inputs!$C$9-1),(B131+1),B131), B131)</f>
        <v>1</v>
      </c>
      <c r="C132" s="7">
        <f t="shared" si="3"/>
        <v>129</v>
      </c>
      <c r="D132" s="8">
        <f>IF((B132&gt;B131), (EXP(-LN(2)/inputs!$C$51)*D131+$D$3), (EXP(-LN(2)/inputs!$C$51)*D131))</f>
        <v>5.6522940589899701E-6</v>
      </c>
      <c r="E132" s="8">
        <f>IF((B132&gt;B131), (EXP(-LN(2)/inputs!$C$51)*E131+$E$3), (EXP(-LN(2)/inputs!$C$51)*E131))</f>
        <v>2.5906347770370692E-6</v>
      </c>
      <c r="F132" s="8">
        <f>IF((B132&gt;B131), (EXP(-LN(2)/inputs!$C$51)*F131+$F$3), (EXP(-LN(2)/inputs!$C$51)*F131))</f>
        <v>3.1794154081818614E-6</v>
      </c>
      <c r="G132" s="8">
        <f>IF((B132&gt;B131), (EXP(-LN(2)/inputs!$C$51)*G131+$G$3), (EXP(-LN(2)/inputs!$C$51)*G131))</f>
        <v>3.5326837868687313E-7</v>
      </c>
      <c r="H132" s="8">
        <f>IF((B132&gt;B131), (EXP(-LN(2)/inputs!$C$51)*H131+$H$3), (EXP(-LN(2)/inputs!$C$51)*H131))</f>
        <v>2.2138151731044063E-6</v>
      </c>
      <c r="I132" s="7">
        <f>O132*(10^inputs!$C$55)*0.01/1</f>
        <v>0.68320925113921049</v>
      </c>
      <c r="J132" s="7">
        <f>(((0.621*15^0.564)/0.2))*D132/15+J131*inputs!$C$53</f>
        <v>6.0822337881694296E-6</v>
      </c>
      <c r="K132" s="7">
        <f>(((0.621*1000^0.564)/0.2))*D132/1000+K131*inputs!$C$53</f>
        <v>9.7462803232638678E-7</v>
      </c>
      <c r="L132" s="7">
        <f>(((0.648*20^0.651)/0.2))*H132/20+L131*inputs!$C$54</f>
        <v>3.3346302912331908E-6</v>
      </c>
      <c r="M132" s="7">
        <f>(((0.013*2^0.773)/0.2))*H132/2+M131*inputs!$C$54</f>
        <v>1.6260792084248636E-7</v>
      </c>
      <c r="N132" s="7">
        <f>O132*0.015*inputs!$C$56</f>
        <v>0.10037682917025287</v>
      </c>
      <c r="O132" s="7">
        <f>IF((B132&gt;B131), (EXP(-LN(2)/inputs!$C$52)*O131+$O$3), (EXP(-LN(2)/inputs!$C$52)*O131))</f>
        <v>1.0828136911569889E-2</v>
      </c>
      <c r="P132" s="3">
        <f>IF((B132&gt;B131), (EXP(-LN(2)/inputs!$C$52)*P131+$P$3), (EXP(-LN(2)/inputs!$C$52)*P131))</f>
        <v>1.0463281987121126E-2</v>
      </c>
      <c r="Q132" s="19">
        <f>IF((F132*0.62*1/(0.012*(10^inputs!$C$55)))&gt;inputs!$C$57, inputs!$C$57, (F132*0.62*1/(0.012*(10^inputs!$C$55))))</f>
        <v>2.6035008154905899E-8</v>
      </c>
      <c r="R132" s="3">
        <f>IF((B132&gt;B131), (EXP(-LN(2)/inputs!$C$51)*R131+$R$3), (EXP(-LN(2)/inputs!$C$51)*R131))</f>
        <v>6.0490886592430988E-14</v>
      </c>
      <c r="T132" s="7">
        <f>IF(T131&lt;(inputs!$C$9-1),(1+T131),0)</f>
        <v>0</v>
      </c>
      <c r="U132" s="7">
        <f>IF(inputs!$C$8&gt;U131,IF(T131=(inputs!$C$9-1),(U131+1),U131), U131)</f>
        <v>1</v>
      </c>
      <c r="V132" s="7">
        <f t="shared" ref="V132:V195" si="4">V131+1</f>
        <v>129</v>
      </c>
      <c r="W132" s="8">
        <f>IF((U132&gt;U131), (EXP(-LN(2)/inputs!$C$51)*W131+$W$3), (EXP(-LN(2)/inputs!$C$51)*W131))</f>
        <v>2.0018541458922826E-6</v>
      </c>
      <c r="X132" s="8">
        <f>IF((U132&gt;U131), (EXP(-LN(2)/inputs!$C$51)*X131+$X$3), (EXP(-LN(2)/inputs!$C$51)*X131))</f>
        <v>8.4784410884849522E-7</v>
      </c>
      <c r="Y132" s="8">
        <f>IF((U132&gt;U131), (EXP(-LN(2)/inputs!$C$51)*Y131+$Y$3), (EXP(-LN(2)/inputs!$C$51)*Y131))</f>
        <v>1.0598051360606213E-6</v>
      </c>
      <c r="Z132" s="8">
        <f>IF((U132&gt;U131), (EXP(-LN(2)/inputs!$C$51)*Z131+$Z$3), (EXP(-LN(2)/inputs!$C$51)*Z131))</f>
        <v>1.6485857672054076E-7</v>
      </c>
      <c r="AA132" s="8">
        <f>IF((U132&gt;U131), (EXP(-LN(2)/inputs!$C$51)*AA131+$AA$3), (EXP(-LN(2)/inputs!$C$51)*AA131))</f>
        <v>1.5308296409764496E-6</v>
      </c>
      <c r="AB132" s="7">
        <f>(((0.621*15^0.564)/0.2))*W132/15+AB131*inputs!$C$53</f>
        <v>2.1541244666433413E-6</v>
      </c>
      <c r="AC132" s="7">
        <f>(((0.621*1000^0.564)/0.2))*W132/1000+AC131*inputs!$C$53</f>
        <v>3.4518076144892892E-7</v>
      </c>
      <c r="AD132" s="7">
        <f>(((0.648*20^0.651)/0.2))*AA132/20+AD131*inputs!$C$54</f>
        <v>2.305861371597417E-6</v>
      </c>
      <c r="AE132" s="7">
        <f>(((0.013*2^0.773)/0.2))*AA132/2+AE131*inputs!$C$54</f>
        <v>1.1244164739108088E-7</v>
      </c>
    </row>
    <row r="133" spans="1:31" x14ac:dyDescent="0.3">
      <c r="A133" s="7">
        <f>IF(A132&lt;(inputs!$C$9-1),(1+A132),0)</f>
        <v>0</v>
      </c>
      <c r="B133" s="7">
        <f>IF(inputs!$C$8&gt;B132,IF(A132=(inputs!$C$9-1),(B132+1),B132), B132)</f>
        <v>1</v>
      </c>
      <c r="C133" s="7">
        <f t="shared" ref="C133:C196" si="5">C132+1</f>
        <v>130</v>
      </c>
      <c r="D133" s="8">
        <f>IF((B133&gt;B132), (EXP(-LN(2)/inputs!$C$51)*D132+$D$3), (EXP(-LN(2)/inputs!$C$51)*D132))</f>
        <v>4.9593714255828784E-6</v>
      </c>
      <c r="E133" s="8">
        <f>IF((B133&gt;B132), (EXP(-LN(2)/inputs!$C$51)*E132+$E$3), (EXP(-LN(2)/inputs!$C$51)*E132))</f>
        <v>2.2730452367254857E-6</v>
      </c>
      <c r="F133" s="8">
        <f>IF((B133&gt;B132), (EXP(-LN(2)/inputs!$C$51)*F132+$F$3), (EXP(-LN(2)/inputs!$C$51)*F132))</f>
        <v>2.7896464268903718E-6</v>
      </c>
      <c r="G133" s="8">
        <f>IF((B133&gt;B132), (EXP(-LN(2)/inputs!$C$51)*G132+$G$3), (EXP(-LN(2)/inputs!$C$51)*G132))</f>
        <v>3.099607140989299E-7</v>
      </c>
      <c r="H133" s="8">
        <f>IF((B133&gt;B132), (EXP(-LN(2)/inputs!$C$51)*H132+$H$3), (EXP(-LN(2)/inputs!$C$51)*H132))</f>
        <v>1.9424204750199617E-6</v>
      </c>
      <c r="I133" s="7">
        <f>O133*(10^inputs!$C$55)*0.01/1</f>
        <v>0.66942189825221265</v>
      </c>
      <c r="J133" s="7">
        <f>(((0.621*15^0.564)/0.2))*D133/15+J132*inputs!$C$53</f>
        <v>5.3366042420928651E-6</v>
      </c>
      <c r="K133" s="7">
        <f>(((0.621*1000^0.564)/0.2))*D133/1000+K132*inputs!$C$53</f>
        <v>8.5514701882924924E-7</v>
      </c>
      <c r="L133" s="7">
        <f>(((0.648*20^0.651)/0.2))*H133/20+L132*inputs!$C$54</f>
        <v>2.9258333003609115E-6</v>
      </c>
      <c r="M133" s="7">
        <f>(((0.013*2^0.773)/0.2))*H133/2+M132*inputs!$C$54</f>
        <v>1.4267358841973872E-7</v>
      </c>
      <c r="N133" s="7">
        <f>O133*0.015*inputs!$C$56</f>
        <v>9.8351196813635119E-2</v>
      </c>
      <c r="O133" s="7">
        <f>IF((B133&gt;B132), (EXP(-LN(2)/inputs!$C$52)*O132+$O$3), (EXP(-LN(2)/inputs!$C$52)*O132))</f>
        <v>1.060962209424327E-2</v>
      </c>
      <c r="P133" s="3">
        <f>IF((B133&gt;B132), (EXP(-LN(2)/inputs!$C$52)*P132+$P$3), (EXP(-LN(2)/inputs!$C$52)*P132))</f>
        <v>1.0252130043742052E-2</v>
      </c>
      <c r="Q133" s="19">
        <f>IF((F133*0.62*1/(0.012*(10^inputs!$C$55)))&gt;inputs!$C$57, inputs!$C$57, (F133*0.62*1/(0.012*(10^inputs!$C$55))))</f>
        <v>2.2843340095318746E-8</v>
      </c>
      <c r="R133" s="3">
        <f>IF((B133&gt;B132), (EXP(-LN(2)/inputs!$C$51)*R132+$R$3), (EXP(-LN(2)/inputs!$C$51)*R132))</f>
        <v>5.3075224208749724E-14</v>
      </c>
      <c r="T133" s="7">
        <f>IF(T132&lt;(inputs!$C$9-1),(1+T132),0)</f>
        <v>0</v>
      </c>
      <c r="U133" s="7">
        <f>IF(inputs!$C$8&gt;U132,IF(T132=(inputs!$C$9-1),(U132+1),U132), U132)</f>
        <v>1</v>
      </c>
      <c r="V133" s="7">
        <f t="shared" si="4"/>
        <v>130</v>
      </c>
      <c r="W133" s="8">
        <f>IF((U133&gt;U132), (EXP(-LN(2)/inputs!$C$51)*W132+$W$3), (EXP(-LN(2)/inputs!$C$51)*W132))</f>
        <v>1.756444046560604E-6</v>
      </c>
      <c r="X133" s="8">
        <f>IF((U133&gt;U132), (EXP(-LN(2)/inputs!$C$51)*X132+$X$3), (EXP(-LN(2)/inputs!$C$51)*X132))</f>
        <v>7.4390571383743147E-7</v>
      </c>
      <c r="Y133" s="8">
        <f>IF((U133&gt;U132), (EXP(-LN(2)/inputs!$C$51)*Y132+$Y$3), (EXP(-LN(2)/inputs!$C$51)*Y132))</f>
        <v>9.2988214229679135E-7</v>
      </c>
      <c r="Z133" s="8">
        <f>IF((U133&gt;U132), (EXP(-LN(2)/inputs!$C$51)*Z132+$Z$3), (EXP(-LN(2)/inputs!$C$51)*Z132))</f>
        <v>1.4464833324616726E-7</v>
      </c>
      <c r="AA133" s="8">
        <f>IF((U133&gt;U132), (EXP(-LN(2)/inputs!$C$51)*AA132+$AA$3), (EXP(-LN(2)/inputs!$C$51)*AA132))</f>
        <v>1.3431630944286957E-6</v>
      </c>
      <c r="AB133" s="7">
        <f>(((0.621*15^0.564)/0.2))*W133/15+AB132*inputs!$C$53</f>
        <v>1.8900473357412243E-6</v>
      </c>
      <c r="AC133" s="7">
        <f>(((0.621*1000^0.564)/0.2))*W133/1000+AC132*inputs!$C$53</f>
        <v>3.028645691686926E-7</v>
      </c>
      <c r="AD133" s="7">
        <f>(((0.648*20^0.651)/0.2))*AA133/20+AD132*inputs!$C$54</f>
        <v>2.0231826013133948E-6</v>
      </c>
      <c r="AE133" s="7">
        <f>(((0.013*2^0.773)/0.2))*AA133/2+AE132*inputs!$C$54</f>
        <v>9.8657268588117105E-8</v>
      </c>
    </row>
    <row r="134" spans="1:31" x14ac:dyDescent="0.3">
      <c r="A134" s="7">
        <f>IF(A133&lt;(inputs!$C$9-1),(1+A133),0)</f>
        <v>0</v>
      </c>
      <c r="B134" s="7">
        <f>IF(inputs!$C$8&gt;B133,IF(A133=(inputs!$C$9-1),(B133+1),B133), B133)</f>
        <v>1</v>
      </c>
      <c r="C134" s="7">
        <f t="shared" si="5"/>
        <v>131</v>
      </c>
      <c r="D134" s="8">
        <f>IF((B134&gt;B133), (EXP(-LN(2)/inputs!$C$51)*D133+$D$3), (EXP(-LN(2)/inputs!$C$51)*D133))</f>
        <v>4.351395146855291E-6</v>
      </c>
      <c r="E134" s="8">
        <f>IF((B134&gt;B133), (EXP(-LN(2)/inputs!$C$51)*E133+$E$3), (EXP(-LN(2)/inputs!$C$51)*E133))</f>
        <v>1.9943894423086748E-6</v>
      </c>
      <c r="F134" s="8">
        <f>IF((B134&gt;B133), (EXP(-LN(2)/inputs!$C$51)*F133+$F$3), (EXP(-LN(2)/inputs!$C$51)*F133))</f>
        <v>2.4476597701061038E-6</v>
      </c>
      <c r="G134" s="8">
        <f>IF((B134&gt;B133), (EXP(-LN(2)/inputs!$C$51)*G133+$G$3), (EXP(-LN(2)/inputs!$C$51)*G133))</f>
        <v>2.7196219667845569E-7</v>
      </c>
      <c r="H134" s="8">
        <f>IF((B134&gt;B133), (EXP(-LN(2)/inputs!$C$51)*H133+$H$3), (EXP(-LN(2)/inputs!$C$51)*H133))</f>
        <v>1.7042964325183233E-6</v>
      </c>
      <c r="I134" s="7">
        <f>O134*(10^inputs!$C$55)*0.01/1</f>
        <v>0.65591277798474334</v>
      </c>
      <c r="J134" s="7">
        <f>(((0.621*15^0.564)/0.2))*D134/15+J133*inputs!$C$53</f>
        <v>4.6823824648304076E-6</v>
      </c>
      <c r="K134" s="7">
        <f>(((0.621*1000^0.564)/0.2))*D134/1000+K133*inputs!$C$53</f>
        <v>7.5031334987054814E-7</v>
      </c>
      <c r="L134" s="7">
        <f>(((0.648*20^0.651)/0.2))*H134/20+L133*inputs!$C$54</f>
        <v>2.5671513043009747E-6</v>
      </c>
      <c r="M134" s="7">
        <f>(((0.013*2^0.773)/0.2))*H134/2+M133*inputs!$C$54</f>
        <v>1.2518303368679708E-7</v>
      </c>
      <c r="N134" s="7">
        <f>O134*0.015*inputs!$C$56</f>
        <v>9.6366442281890841E-2</v>
      </c>
      <c r="O134" s="7">
        <f>IF((B134&gt;B133), (EXP(-LN(2)/inputs!$C$52)*O133+$O$3), (EXP(-LN(2)/inputs!$C$52)*O133))</f>
        <v>1.0395516966762766E-2</v>
      </c>
      <c r="P134" s="3">
        <f>IF((B134&gt;B133), (EXP(-LN(2)/inputs!$C$52)*P133+$P$3), (EXP(-LN(2)/inputs!$C$52)*P133))</f>
        <v>1.0045239205363075E-2</v>
      </c>
      <c r="Q134" s="19">
        <f>IF((F134*0.62*1/(0.012*(10^inputs!$C$55)))&gt;inputs!$C$57, inputs!$C$57, (F134*0.62*1/(0.012*(10^inputs!$C$55))))</f>
        <v>2.0042943086694151E-8</v>
      </c>
      <c r="R134" s="3">
        <f>IF((B134&gt;B133), (EXP(-LN(2)/inputs!$C$51)*R133+$R$3), (EXP(-LN(2)/inputs!$C$51)*R133))</f>
        <v>4.6568658247464529E-14</v>
      </c>
      <c r="T134" s="7">
        <f>IF(T133&lt;(inputs!$C$9-1),(1+T133),0)</f>
        <v>0</v>
      </c>
      <c r="U134" s="7">
        <f>IF(inputs!$C$8&gt;U133,IF(T133=(inputs!$C$9-1),(U133+1),U133), U133)</f>
        <v>1</v>
      </c>
      <c r="V134" s="7">
        <f t="shared" si="4"/>
        <v>131</v>
      </c>
      <c r="W134" s="8">
        <f>IF((U134&gt;U133), (EXP(-LN(2)/inputs!$C$51)*W133+$W$3), (EXP(-LN(2)/inputs!$C$51)*W133))</f>
        <v>1.5411191145112501E-6</v>
      </c>
      <c r="X134" s="8">
        <f>IF((U134&gt;U133), (EXP(-LN(2)/inputs!$C$51)*X133+$X$3), (EXP(-LN(2)/inputs!$C$51)*X133))</f>
        <v>6.5270927202829342E-7</v>
      </c>
      <c r="Y134" s="8">
        <f>IF((U134&gt;U133), (EXP(-LN(2)/inputs!$C$51)*Y133+$Y$3), (EXP(-LN(2)/inputs!$C$51)*Y133))</f>
        <v>8.1588659003536855E-7</v>
      </c>
      <c r="Z134" s="8">
        <f>IF((U134&gt;U133), (EXP(-LN(2)/inputs!$C$51)*Z133+$Z$3), (EXP(-LN(2)/inputs!$C$51)*Z133))</f>
        <v>1.2691569178327931E-7</v>
      </c>
      <c r="AA134" s="8">
        <f>IF((U134&gt;U133), (EXP(-LN(2)/inputs!$C$51)*AA133+$AA$3), (EXP(-LN(2)/inputs!$C$51)*AA133))</f>
        <v>1.1785028522733077E-6</v>
      </c>
      <c r="AB134" s="7">
        <f>(((0.621*15^0.564)/0.2))*W134/15+AB133*inputs!$C$53</f>
        <v>1.6583437896274373E-6</v>
      </c>
      <c r="AC134" s="7">
        <f>(((0.621*1000^0.564)/0.2))*W134/1000+AC133*inputs!$C$53</f>
        <v>2.6573597807915265E-7</v>
      </c>
      <c r="AD134" s="7">
        <f>(((0.648*20^0.651)/0.2))*AA134/20+AD133*inputs!$C$54</f>
        <v>1.7751578168038642E-6</v>
      </c>
      <c r="AE134" s="7">
        <f>(((0.013*2^0.773)/0.2))*AA134/2+AE133*inputs!$C$54</f>
        <v>8.6562736060019181E-8</v>
      </c>
    </row>
    <row r="135" spans="1:31" x14ac:dyDescent="0.3">
      <c r="A135" s="7">
        <f>IF(A134&lt;(inputs!$C$9-1),(1+A134),0)</f>
        <v>0</v>
      </c>
      <c r="B135" s="7">
        <f>IF(inputs!$C$8&gt;B134,IF(A134=(inputs!$C$9-1),(B134+1),B134), B134)</f>
        <v>1</v>
      </c>
      <c r="C135" s="7">
        <f t="shared" si="5"/>
        <v>132</v>
      </c>
      <c r="D135" s="8">
        <f>IF((B135&gt;B134), (EXP(-LN(2)/inputs!$C$51)*D134+$D$3), (EXP(-LN(2)/inputs!$C$51)*D134))</f>
        <v>3.8179515303898374E-6</v>
      </c>
      <c r="E135" s="8">
        <f>IF((B135&gt;B134), (EXP(-LN(2)/inputs!$C$51)*E134+$E$3), (EXP(-LN(2)/inputs!$C$51)*E134))</f>
        <v>1.7498944514286754E-6</v>
      </c>
      <c r="F135" s="8">
        <f>IF((B135&gt;B134), (EXP(-LN(2)/inputs!$C$51)*F134+$F$3), (EXP(-LN(2)/inputs!$C$51)*F134))</f>
        <v>2.1475977358442859E-6</v>
      </c>
      <c r="G135" s="8">
        <f>IF((B135&gt;B134), (EXP(-LN(2)/inputs!$C$51)*G134+$G$3), (EXP(-LN(2)/inputs!$C$51)*G134))</f>
        <v>2.3862197064936484E-7</v>
      </c>
      <c r="H135" s="8">
        <f>IF((B135&gt;B134), (EXP(-LN(2)/inputs!$C$51)*H134+$H$3), (EXP(-LN(2)/inputs!$C$51)*H134))</f>
        <v>1.4953643494026872E-6</v>
      </c>
      <c r="I135" s="7">
        <f>O135*(10^inputs!$C$55)*0.01/1</f>
        <v>0.64267627552508333</v>
      </c>
      <c r="J135" s="7">
        <f>(((0.621*15^0.564)/0.2))*D135/15+J134*inputs!$C$53</f>
        <v>4.1083626501696583E-6</v>
      </c>
      <c r="K135" s="7">
        <f>(((0.621*1000^0.564)/0.2))*D135/1000+K134*inputs!$C$53</f>
        <v>6.5833138699905127E-7</v>
      </c>
      <c r="L135" s="7">
        <f>(((0.648*20^0.651)/0.2))*H135/20+L134*inputs!$C$54</f>
        <v>2.2524406357536721E-6</v>
      </c>
      <c r="M135" s="7">
        <f>(((0.013*2^0.773)/0.2))*H135/2+M134*inputs!$C$54</f>
        <v>1.098366705190527E-7</v>
      </c>
      <c r="N135" s="7">
        <f>O135*0.015*inputs!$C$56</f>
        <v>9.4421740649134084E-2</v>
      </c>
      <c r="O135" s="7">
        <f>IF((B135&gt;B134), (EXP(-LN(2)/inputs!$C$52)*O134+$O$3), (EXP(-LN(2)/inputs!$C$52)*O134))</f>
        <v>1.0185732540359664E-2</v>
      </c>
      <c r="P135" s="3">
        <f>IF((B135&gt;B134), (EXP(-LN(2)/inputs!$C$52)*P134+$P$3), (EXP(-LN(2)/inputs!$C$52)*P134))</f>
        <v>9.8425234816990424E-3</v>
      </c>
      <c r="Q135" s="19">
        <f>IF((F135*0.62*1/(0.012*(10^inputs!$C$55)))&gt;inputs!$C$57, inputs!$C$57, (F135*0.62*1/(0.012*(10^inputs!$C$55))))</f>
        <v>1.7585850663703281E-8</v>
      </c>
      <c r="R135" s="3">
        <f>IF((B135&gt;B134), (EXP(-LN(2)/inputs!$C$51)*R134+$R$3), (EXP(-LN(2)/inputs!$C$51)*R134))</f>
        <v>4.0859741306785373E-14</v>
      </c>
      <c r="T135" s="7">
        <f>IF(T134&lt;(inputs!$C$9-1),(1+T134),0)</f>
        <v>0</v>
      </c>
      <c r="U135" s="7">
        <f>IF(inputs!$C$8&gt;U134,IF(T134=(inputs!$C$9-1),(U134+1),U134), U134)</f>
        <v>1</v>
      </c>
      <c r="V135" s="7">
        <f t="shared" si="4"/>
        <v>132</v>
      </c>
      <c r="W135" s="8">
        <f>IF((U135&gt;U134), (EXP(-LN(2)/inputs!$C$51)*W134+$W$3), (EXP(-LN(2)/inputs!$C$51)*W134))</f>
        <v>1.3521911670130684E-6</v>
      </c>
      <c r="X135" s="8">
        <f>IF((U135&gt;U134), (EXP(-LN(2)/inputs!$C$51)*X134+$X$3), (EXP(-LN(2)/inputs!$C$51)*X134))</f>
        <v>5.7269272955847543E-7</v>
      </c>
      <c r="Y135" s="8">
        <f>IF((U135&gt;U134), (EXP(-LN(2)/inputs!$C$51)*Y134+$Y$3), (EXP(-LN(2)/inputs!$C$51)*Y134))</f>
        <v>7.1586591194809584E-7</v>
      </c>
      <c r="Z135" s="8">
        <f>IF((U135&gt;U134), (EXP(-LN(2)/inputs!$C$51)*Z134+$Z$3), (EXP(-LN(2)/inputs!$C$51)*Z134))</f>
        <v>1.1135691963637025E-7</v>
      </c>
      <c r="AA135" s="8">
        <f>IF((U135&gt;U134), (EXP(-LN(2)/inputs!$C$51)*AA134+$AA$3), (EXP(-LN(2)/inputs!$C$51)*AA134))</f>
        <v>1.0340285394805807E-6</v>
      </c>
      <c r="AB135" s="7">
        <f>(((0.621*15^0.564)/0.2))*W135/15+AB134*inputs!$C$53</f>
        <v>1.4550451052684219E-6</v>
      </c>
      <c r="AC135" s="7">
        <f>(((0.621*1000^0.564)/0.2))*W135/1000+AC134*inputs!$C$53</f>
        <v>2.3315903289549754E-7</v>
      </c>
      <c r="AD135" s="7">
        <f>(((0.648*20^0.651)/0.2))*AA135/20+AD134*inputs!$C$54</f>
        <v>1.55753873748924E-6</v>
      </c>
      <c r="AE135" s="7">
        <f>(((0.013*2^0.773)/0.2))*AA135/2+AE134*inputs!$C$54</f>
        <v>7.595088918870659E-8</v>
      </c>
    </row>
    <row r="136" spans="1:31" x14ac:dyDescent="0.3">
      <c r="A136" s="7">
        <f>IF(A135&lt;(inputs!$C$9-1),(1+A135),0)</f>
        <v>0</v>
      </c>
      <c r="B136" s="7">
        <f>IF(inputs!$C$8&gt;B135,IF(A135=(inputs!$C$9-1),(B135+1),B135), B135)</f>
        <v>1</v>
      </c>
      <c r="C136" s="7">
        <f t="shared" si="5"/>
        <v>133</v>
      </c>
      <c r="D136" s="8">
        <f>IF((B136&gt;B135), (EXP(-LN(2)/inputs!$C$51)*D135+$D$3), (EXP(-LN(2)/inputs!$C$51)*D135))</f>
        <v>3.3499035128861082E-6</v>
      </c>
      <c r="E136" s="8">
        <f>IF((B136&gt;B135), (EXP(-LN(2)/inputs!$C$51)*E135+$E$3), (EXP(-LN(2)/inputs!$C$51)*E135))</f>
        <v>1.5353724434061329E-6</v>
      </c>
      <c r="F136" s="8">
        <f>IF((B136&gt;B135), (EXP(-LN(2)/inputs!$C$51)*F135+$F$3), (EXP(-LN(2)/inputs!$C$51)*F135))</f>
        <v>1.884320725998438E-6</v>
      </c>
      <c r="G136" s="8">
        <f>IF((B136&gt;B135), (EXP(-LN(2)/inputs!$C$51)*G135+$G$3), (EXP(-LN(2)/inputs!$C$51)*G135))</f>
        <v>2.0936896955538176E-7</v>
      </c>
      <c r="H136" s="8">
        <f>IF((B136&gt;B135), (EXP(-LN(2)/inputs!$C$51)*H135+$H$3), (EXP(-LN(2)/inputs!$C$51)*H135))</f>
        <v>1.3120455425470598E-6</v>
      </c>
      <c r="I136" s="7">
        <f>O136*(10^inputs!$C$55)*0.01/1</f>
        <v>0.62970688936997643</v>
      </c>
      <c r="J136" s="7">
        <f>(((0.621*15^0.564)/0.2))*D136/15+J135*inputs!$C$53</f>
        <v>3.6047127273530807E-6</v>
      </c>
      <c r="K136" s="7">
        <f>(((0.621*1000^0.564)/0.2))*D136/1000+K135*inputs!$C$53</f>
        <v>5.77625621592458E-7</v>
      </c>
      <c r="L136" s="7">
        <f>(((0.648*20^0.651)/0.2))*H136/20+L135*inputs!$C$54</f>
        <v>1.9763107881854653E-6</v>
      </c>
      <c r="M136" s="7">
        <f>(((0.013*2^0.773)/0.2))*H136/2+M135*inputs!$C$54</f>
        <v>9.6371639473882838E-8</v>
      </c>
      <c r="N136" s="7">
        <f>O136*0.015*inputs!$C$56</f>
        <v>9.2516283636712951E-2</v>
      </c>
      <c r="O136" s="7">
        <f>IF((B136&gt;B135), (EXP(-LN(2)/inputs!$C$52)*O135+$O$3), (EXP(-LN(2)/inputs!$C$52)*O135))</f>
        <v>9.9801816220833825E-3</v>
      </c>
      <c r="P136" s="3">
        <f>IF((B136&gt;B135), (EXP(-LN(2)/inputs!$C$52)*P135+$P$3), (EXP(-LN(2)/inputs!$C$52)*P135))</f>
        <v>9.6438986177726956E-3</v>
      </c>
      <c r="Q136" s="19">
        <f>IF((F136*0.62*1/(0.012*(10^inputs!$C$55)))&gt;inputs!$C$57, inputs!$C$57, (F136*0.62*1/(0.012*(10^inputs!$C$55))))</f>
        <v>1.5429976637082906E-8</v>
      </c>
      <c r="R136" s="3">
        <f>IF((B136&gt;B135), (EXP(-LN(2)/inputs!$C$51)*R135+$R$3), (EXP(-LN(2)/inputs!$C$51)*R135))</f>
        <v>3.5850688477766504E-14</v>
      </c>
      <c r="T136" s="7">
        <f>IF(T135&lt;(inputs!$C$9-1),(1+T135),0)</f>
        <v>0</v>
      </c>
      <c r="U136" s="7">
        <f>IF(inputs!$C$8&gt;U135,IF(T135=(inputs!$C$9-1),(U135+1),U135), U135)</f>
        <v>1</v>
      </c>
      <c r="V136" s="7">
        <f t="shared" si="4"/>
        <v>133</v>
      </c>
      <c r="W136" s="8">
        <f>IF((U136&gt;U135), (EXP(-LN(2)/inputs!$C$51)*W135+$W$3), (EXP(-LN(2)/inputs!$C$51)*W135))</f>
        <v>1.1864241608138309E-6</v>
      </c>
      <c r="X136" s="8">
        <f>IF((U136&gt;U135), (EXP(-LN(2)/inputs!$C$51)*X135+$X$3), (EXP(-LN(2)/inputs!$C$51)*X135))</f>
        <v>5.0248552693291602E-7</v>
      </c>
      <c r="Y136" s="8">
        <f>IF((U136&gt;U135), (EXP(-LN(2)/inputs!$C$51)*Y135+$Y$3), (EXP(-LN(2)/inputs!$C$51)*Y135))</f>
        <v>6.2810690866614645E-7</v>
      </c>
      <c r="Z136" s="8">
        <f>IF((U136&gt;U135), (EXP(-LN(2)/inputs!$C$51)*Z135+$Z$3), (EXP(-LN(2)/inputs!$C$51)*Z135))</f>
        <v>9.7705519125844814E-8</v>
      </c>
      <c r="AA136" s="8">
        <f>IF((U136&gt;U135), (EXP(-LN(2)/inputs!$C$51)*AA135+$AA$3), (EXP(-LN(2)/inputs!$C$51)*AA135))</f>
        <v>9.0726553473998746E-7</v>
      </c>
      <c r="AB136" s="7">
        <f>(((0.621*15^0.564)/0.2))*W136/15+AB135*inputs!$C$53</f>
        <v>1.2766690909375504E-6</v>
      </c>
      <c r="AC136" s="7">
        <f>(((0.621*1000^0.564)/0.2))*W136/1000+AC135*inputs!$C$53</f>
        <v>2.0457574098066235E-7</v>
      </c>
      <c r="AD136" s="7">
        <f>(((0.648*20^0.651)/0.2))*AA136/20+AD135*inputs!$C$54</f>
        <v>1.3665978854473954E-6</v>
      </c>
      <c r="AE136" s="7">
        <f>(((0.013*2^0.773)/0.2))*AA136/2+AE135*inputs!$C$54</f>
        <v>6.6639963465982753E-8</v>
      </c>
    </row>
    <row r="137" spans="1:31" x14ac:dyDescent="0.3">
      <c r="A137" s="7">
        <f>IF(A136&lt;(inputs!$C$9-1),(1+A136),0)</f>
        <v>0</v>
      </c>
      <c r="B137" s="7">
        <f>IF(inputs!$C$8&gt;B136,IF(A136=(inputs!$C$9-1),(B136+1),B136), B136)</f>
        <v>1</v>
      </c>
      <c r="C137" s="7">
        <f t="shared" si="5"/>
        <v>134</v>
      </c>
      <c r="D137" s="8">
        <f>IF((B137&gt;B136), (EXP(-LN(2)/inputs!$C$51)*D136+$D$3), (EXP(-LN(2)/inputs!$C$51)*D136))</f>
        <v>2.9392341564118456E-6</v>
      </c>
      <c r="E137" s="8">
        <f>IF((B137&gt;B136), (EXP(-LN(2)/inputs!$C$51)*E136+$E$3), (EXP(-LN(2)/inputs!$C$51)*E136))</f>
        <v>1.347148988355429E-6</v>
      </c>
      <c r="F137" s="8">
        <f>IF((B137&gt;B136), (EXP(-LN(2)/inputs!$C$51)*F136+$F$3), (EXP(-LN(2)/inputs!$C$51)*F136))</f>
        <v>1.653319212981665E-6</v>
      </c>
      <c r="G137" s="8">
        <f>IF((B137&gt;B136), (EXP(-LN(2)/inputs!$C$51)*G136+$G$3), (EXP(-LN(2)/inputs!$C$51)*G136))</f>
        <v>1.8370213477574035E-7</v>
      </c>
      <c r="H137" s="8">
        <f>IF((B137&gt;B136), (EXP(-LN(2)/inputs!$C$51)*H136+$H$3), (EXP(-LN(2)/inputs!$C$51)*H136))</f>
        <v>1.15120004459464E-6</v>
      </c>
      <c r="I137" s="7">
        <f>O137*(10^inputs!$C$55)*0.01/1</f>
        <v>0.6169992290380345</v>
      </c>
      <c r="J137" s="7">
        <f>(((0.621*15^0.564)/0.2))*D137/15+J136*inputs!$C$53</f>
        <v>3.1628059529274249E-6</v>
      </c>
      <c r="K137" s="7">
        <f>(((0.621*1000^0.564)/0.2))*D137/1000+K136*inputs!$C$53</f>
        <v>5.0681368883381866E-7</v>
      </c>
      <c r="L137" s="7">
        <f>(((0.648*20^0.651)/0.2))*H137/20+L136*inputs!$C$54</f>
        <v>1.7340320847973712E-6</v>
      </c>
      <c r="M137" s="7">
        <f>(((0.013*2^0.773)/0.2))*H137/2+M136*inputs!$C$54</f>
        <v>8.4557305415344024E-8</v>
      </c>
      <c r="N137" s="7">
        <f>O137*0.015*inputs!$C$56</f>
        <v>9.0649279277263739E-2</v>
      </c>
      <c r="O137" s="7">
        <f>IF((B137&gt;B136), (EXP(-LN(2)/inputs!$C$52)*O136+$O$3), (EXP(-LN(2)/inputs!$C$52)*O136))</f>
        <v>9.7787787785613527E-3</v>
      </c>
      <c r="P137" s="3">
        <f>IF((B137&gt;B136), (EXP(-LN(2)/inputs!$C$52)*P136+$P$3), (EXP(-LN(2)/inputs!$C$52)*P136))</f>
        <v>9.4492820588956694E-3</v>
      </c>
      <c r="Q137" s="19">
        <f>IF((F137*0.62*1/(0.012*(10^inputs!$C$55)))&gt;inputs!$C$57, inputs!$C$57, (F137*0.62*1/(0.012*(10^inputs!$C$55))))</f>
        <v>1.3538394222368987E-8</v>
      </c>
      <c r="R137" s="3">
        <f>IF((B137&gt;B136), (EXP(-LN(2)/inputs!$C$51)*R136+$R$3), (EXP(-LN(2)/inputs!$C$51)*R136))</f>
        <v>3.1455702440201731E-14</v>
      </c>
      <c r="T137" s="7">
        <f>IF(T136&lt;(inputs!$C$9-1),(1+T136),0)</f>
        <v>0</v>
      </c>
      <c r="U137" s="7">
        <f>IF(inputs!$C$8&gt;U136,IF(T136=(inputs!$C$9-1),(U136+1),U136), U136)</f>
        <v>1</v>
      </c>
      <c r="V137" s="7">
        <f t="shared" si="4"/>
        <v>134</v>
      </c>
      <c r="W137" s="8">
        <f>IF((U137&gt;U136), (EXP(-LN(2)/inputs!$C$51)*W136+$W$3), (EXP(-LN(2)/inputs!$C$51)*W136))</f>
        <v>1.0409787637291961E-6</v>
      </c>
      <c r="X137" s="8">
        <f>IF((U137&gt;U136), (EXP(-LN(2)/inputs!$C$51)*X136+$X$3), (EXP(-LN(2)/inputs!$C$51)*X136))</f>
        <v>4.4088512346177665E-7</v>
      </c>
      <c r="Y137" s="8">
        <f>IF((U137&gt;U136), (EXP(-LN(2)/inputs!$C$51)*Y136+$Y$3), (EXP(-LN(2)/inputs!$C$51)*Y136))</f>
        <v>5.51106404327222E-7</v>
      </c>
      <c r="Z137" s="8">
        <f>IF((U137&gt;U136), (EXP(-LN(2)/inputs!$C$51)*Z136+$Z$3), (EXP(-LN(2)/inputs!$C$51)*Z136))</f>
        <v>8.5727662895345486E-8</v>
      </c>
      <c r="AA137" s="8">
        <f>IF((U137&gt;U136), (EXP(-LN(2)/inputs!$C$51)*AA136+$AA$3), (EXP(-LN(2)/inputs!$C$51)*AA136))</f>
        <v>7.9604258402820797E-7</v>
      </c>
      <c r="AB137" s="7">
        <f>(((0.621*15^0.564)/0.2))*W137/15+AB136*inputs!$C$53</f>
        <v>1.1201604416617973E-6</v>
      </c>
      <c r="AC137" s="7">
        <f>(((0.621*1000^0.564)/0.2))*W137/1000+AC136*inputs!$C$53</f>
        <v>1.7949651479531091E-7</v>
      </c>
      <c r="AD137" s="7">
        <f>(((0.648*20^0.651)/0.2))*AA137/20+AD136*inputs!$C$54</f>
        <v>1.199064739487543E-6</v>
      </c>
      <c r="AE137" s="7">
        <f>(((0.013*2^0.773)/0.2))*AA137/2+AE136*inputs!$C$54</f>
        <v>5.8470477148908058E-8</v>
      </c>
    </row>
    <row r="138" spans="1:31" x14ac:dyDescent="0.3">
      <c r="A138" s="7">
        <f>IF(A137&lt;(inputs!$C$9-1),(1+A137),0)</f>
        <v>0</v>
      </c>
      <c r="B138" s="7">
        <f>IF(inputs!$C$8&gt;B137,IF(A137=(inputs!$C$9-1),(B137+1),B137), B137)</f>
        <v>1</v>
      </c>
      <c r="C138" s="7">
        <f t="shared" si="5"/>
        <v>135</v>
      </c>
      <c r="D138" s="8">
        <f>IF((B138&gt;B137), (EXP(-LN(2)/inputs!$C$51)*D137+$D$3), (EXP(-LN(2)/inputs!$C$51)*D137))</f>
        <v>2.5789093306675697E-6</v>
      </c>
      <c r="E138" s="8">
        <f>IF((B138&gt;B137), (EXP(-LN(2)/inputs!$C$51)*E137+$E$3), (EXP(-LN(2)/inputs!$C$51)*E137))</f>
        <v>1.1820001098893026E-6</v>
      </c>
      <c r="F138" s="8">
        <f>IF((B138&gt;B137), (EXP(-LN(2)/inputs!$C$51)*F137+$F$3), (EXP(-LN(2)/inputs!$C$51)*F137))</f>
        <v>1.4506364985005094E-6</v>
      </c>
      <c r="G138" s="8">
        <f>IF((B138&gt;B137), (EXP(-LN(2)/inputs!$C$51)*G137+$G$3), (EXP(-LN(2)/inputs!$C$51)*G137))</f>
        <v>1.6118183316672311E-7</v>
      </c>
      <c r="H138" s="8">
        <f>IF((B138&gt;B137), (EXP(-LN(2)/inputs!$C$51)*H137+$H$3), (EXP(-LN(2)/inputs!$C$51)*H137))</f>
        <v>1.0100728211781319E-6</v>
      </c>
      <c r="I138" s="7">
        <f>O138*(10^inputs!$C$55)*0.01/1</f>
        <v>0.60454801282928372</v>
      </c>
      <c r="J138" s="7">
        <f>(((0.621*15^0.564)/0.2))*D138/15+J137*inputs!$C$53</f>
        <v>2.7750731479838483E-6</v>
      </c>
      <c r="K138" s="7">
        <f>(((0.621*1000^0.564)/0.2))*D138/1000+K137*inputs!$C$53</f>
        <v>4.4468268994232685E-7</v>
      </c>
      <c r="L138" s="7">
        <f>(((0.648*20^0.651)/0.2))*H138/20+L137*inputs!$C$54</f>
        <v>1.5214546664836302E-6</v>
      </c>
      <c r="M138" s="7">
        <f>(((0.013*2^0.773)/0.2))*H138/2+M137*inputs!$C$54</f>
        <v>7.4191307091350632E-8</v>
      </c>
      <c r="N138" s="7">
        <f>O138*0.015*inputs!$C$56</f>
        <v>8.8819951585544593E-2</v>
      </c>
      <c r="O138" s="7">
        <f>IF((B138&gt;B137), (EXP(-LN(2)/inputs!$C$52)*O137+$O$3), (EXP(-LN(2)/inputs!$C$52)*O137))</f>
        <v>9.5814403004902474E-3</v>
      </c>
      <c r="P138" s="3">
        <f>IF((B138&gt;B137), (EXP(-LN(2)/inputs!$C$52)*P137+$P$3), (EXP(-LN(2)/inputs!$C$52)*P137))</f>
        <v>9.2585929163561953E-3</v>
      </c>
      <c r="Q138" s="19">
        <f>IF((F138*0.62*1/(0.012*(10^inputs!$C$55)))&gt;inputs!$C$57, inputs!$C$57, (F138*0.62*1/(0.012*(10^inputs!$C$55))))</f>
        <v>1.1878703541246919E-8</v>
      </c>
      <c r="R138" s="3">
        <f>IF((B138&gt;B137), (EXP(-LN(2)/inputs!$C$51)*R137+$R$3), (EXP(-LN(2)/inputs!$C$51)*R137))</f>
        <v>2.7599503887356208E-14</v>
      </c>
      <c r="T138" s="7">
        <f>IF(T137&lt;(inputs!$C$9-1),(1+T137),0)</f>
        <v>0</v>
      </c>
      <c r="U138" s="7">
        <f>IF(inputs!$C$8&gt;U137,IF(T137=(inputs!$C$9-1),(U137+1),U137), U137)</f>
        <v>1</v>
      </c>
      <c r="V138" s="7">
        <f t="shared" si="4"/>
        <v>135</v>
      </c>
      <c r="W138" s="8">
        <f>IF((U138&gt;U137), (EXP(-LN(2)/inputs!$C$51)*W137+$W$3), (EXP(-LN(2)/inputs!$C$51)*W137))</f>
        <v>9.1336372127809819E-7</v>
      </c>
      <c r="X138" s="8">
        <f>IF((U138&gt;U137), (EXP(-LN(2)/inputs!$C$51)*X137+$X$3), (EXP(-LN(2)/inputs!$C$51)*X137))</f>
        <v>3.8683639960013529E-7</v>
      </c>
      <c r="Y138" s="8">
        <f>IF((U138&gt;U137), (EXP(-LN(2)/inputs!$C$51)*Y137+$Y$3), (EXP(-LN(2)/inputs!$C$51)*Y137))</f>
        <v>4.8354549950017009E-7</v>
      </c>
      <c r="Z138" s="8">
        <f>IF((U138&gt;U137), (EXP(-LN(2)/inputs!$C$51)*Z137+$Z$3), (EXP(-LN(2)/inputs!$C$51)*Z137))</f>
        <v>7.5218188811137437E-8</v>
      </c>
      <c r="AA138" s="8">
        <f>IF((U138&gt;U137), (EXP(-LN(2)/inputs!$C$51)*AA137+$AA$3), (EXP(-LN(2)/inputs!$C$51)*AA137))</f>
        <v>6.9845461038913324E-7</v>
      </c>
      <c r="AB138" s="7">
        <f>(((0.621*15^0.564)/0.2))*W138/15+AB137*inputs!$C$53</f>
        <v>9.828384065776137E-7</v>
      </c>
      <c r="AC138" s="7">
        <f>(((0.621*1000^0.564)/0.2))*W138/1000+AC137*inputs!$C$53</f>
        <v>1.5749178602124084E-7</v>
      </c>
      <c r="AD138" s="7">
        <f>(((0.648*20^0.651)/0.2))*AA138/20+AD137*inputs!$C$54</f>
        <v>1.0520697161854883E-6</v>
      </c>
      <c r="AE138" s="7">
        <f>(((0.013*2^0.773)/0.2))*AA138/2+AE137*inputs!$C$54</f>
        <v>5.1302499584444543E-8</v>
      </c>
    </row>
    <row r="139" spans="1:31" x14ac:dyDescent="0.3">
      <c r="A139" s="7">
        <f>IF(A138&lt;(inputs!$C$9-1),(1+A138),0)</f>
        <v>0</v>
      </c>
      <c r="B139" s="7">
        <f>IF(inputs!$C$8&gt;B138,IF(A138=(inputs!$C$9-1),(B138+1),B138), B138)</f>
        <v>1</v>
      </c>
      <c r="C139" s="7">
        <f t="shared" si="5"/>
        <v>136</v>
      </c>
      <c r="D139" s="8">
        <f>IF((B139&gt;B138), (EXP(-LN(2)/inputs!$C$51)*D138+$D$3), (EXP(-LN(2)/inputs!$C$51)*D138))</f>
        <v>2.262757229224423E-6</v>
      </c>
      <c r="E139" s="8">
        <f>IF((B139&gt;B138), (EXP(-LN(2)/inputs!$C$51)*E138+$E$3), (EXP(-LN(2)/inputs!$C$51)*E138))</f>
        <v>1.037097063394527E-6</v>
      </c>
      <c r="F139" s="8">
        <f>IF((B139&gt;B138), (EXP(-LN(2)/inputs!$C$51)*F138+$F$3), (EXP(-LN(2)/inputs!$C$51)*F138))</f>
        <v>1.2728009414387392E-6</v>
      </c>
      <c r="G139" s="8">
        <f>IF((B139&gt;B138), (EXP(-LN(2)/inputs!$C$51)*G138+$G$3), (EXP(-LN(2)/inputs!$C$51)*G138))</f>
        <v>1.4142232682652644E-7</v>
      </c>
      <c r="H139" s="8">
        <f>IF((B139&gt;B138), (EXP(-LN(2)/inputs!$C$51)*H138+$H$3), (EXP(-LN(2)/inputs!$C$51)*H138))</f>
        <v>8.862465814462327E-7</v>
      </c>
      <c r="I139" s="7">
        <f>O139*(10^inputs!$C$55)*0.01/1</f>
        <v>0.5923480656299267</v>
      </c>
      <c r="J139" s="7">
        <f>(((0.621*15^0.564)/0.2))*D139/15+J138*inputs!$C$53</f>
        <v>2.434873049841416E-6</v>
      </c>
      <c r="K139" s="7">
        <f>(((0.621*1000^0.564)/0.2))*D139/1000+K138*inputs!$C$53</f>
        <v>3.9016841709494999E-7</v>
      </c>
      <c r="L139" s="7">
        <f>(((0.648*20^0.651)/0.2))*H139/20+L138*inputs!$C$54</f>
        <v>1.3349374111698237E-6</v>
      </c>
      <c r="M139" s="7">
        <f>(((0.013*2^0.773)/0.2))*H139/2+M138*inputs!$C$54</f>
        <v>6.5096090998711718E-8</v>
      </c>
      <c r="N139" s="7">
        <f>O139*0.015*inputs!$C$56</f>
        <v>8.7027540235911902E-2</v>
      </c>
      <c r="O139" s="7">
        <f>IF((B139&gt;B138), (EXP(-LN(2)/inputs!$C$52)*O138+$O$3), (EXP(-LN(2)/inputs!$C$52)*O138))</f>
        <v>9.3880841678437871E-3</v>
      </c>
      <c r="P139" s="3">
        <f>IF((B139&gt;B138), (EXP(-LN(2)/inputs!$C$52)*P138+$P$3), (EXP(-LN(2)/inputs!$C$52)*P138))</f>
        <v>9.0717519337992266E-3</v>
      </c>
      <c r="Q139" s="19">
        <f>IF((F139*0.62*1/(0.012*(10^inputs!$C$55)))&gt;inputs!$C$57, inputs!$C$57, (F139*0.62*1/(0.012*(10^inputs!$C$55))))</f>
        <v>1.0422476661795818E-8</v>
      </c>
      <c r="R139" s="3">
        <f>IF((B139&gt;B138), (EXP(-LN(2)/inputs!$C$51)*R138+$R$3), (EXP(-LN(2)/inputs!$C$51)*R138))</f>
        <v>2.4216042107985597E-14</v>
      </c>
      <c r="T139" s="7">
        <f>IF(T138&lt;(inputs!$C$9-1),(1+T138),0)</f>
        <v>0</v>
      </c>
      <c r="U139" s="7">
        <f>IF(inputs!$C$8&gt;U138,IF(T138=(inputs!$C$9-1),(U138+1),U138), U138)</f>
        <v>1</v>
      </c>
      <c r="V139" s="7">
        <f t="shared" si="4"/>
        <v>136</v>
      </c>
      <c r="W139" s="8">
        <f>IF((U139&gt;U138), (EXP(-LN(2)/inputs!$C$51)*W138+$W$3), (EXP(-LN(2)/inputs!$C$51)*W138))</f>
        <v>8.0139318535031696E-7</v>
      </c>
      <c r="X139" s="8">
        <f>IF((U139&gt;U138), (EXP(-LN(2)/inputs!$C$51)*X138+$X$3), (EXP(-LN(2)/inputs!$C$51)*X138))</f>
        <v>3.3941358438366328E-7</v>
      </c>
      <c r="Y139" s="8">
        <f>IF((U139&gt;U138), (EXP(-LN(2)/inputs!$C$51)*Y138+$Y$3), (EXP(-LN(2)/inputs!$C$51)*Y138))</f>
        <v>4.2426698047957997E-7</v>
      </c>
      <c r="Z139" s="8">
        <f>IF((U139&gt;U138), (EXP(-LN(2)/inputs!$C$51)*Z138+$Z$3), (EXP(-LN(2)/inputs!$C$51)*Z138))</f>
        <v>6.5997085852378992E-8</v>
      </c>
      <c r="AA139" s="8">
        <f>IF((U139&gt;U138), (EXP(-LN(2)/inputs!$C$51)*AA138+$AA$3), (EXP(-LN(2)/inputs!$C$51)*AA138))</f>
        <v>6.1283008291494767E-7</v>
      </c>
      <c r="AB139" s="7">
        <f>(((0.621*15^0.564)/0.2))*W139/15+AB138*inputs!$C$53</f>
        <v>8.623508718188354E-7</v>
      </c>
      <c r="AC139" s="7">
        <f>(((0.621*1000^0.564)/0.2))*W139/1000+AC138*inputs!$C$53</f>
        <v>1.381846477211282E-7</v>
      </c>
      <c r="AD139" s="7">
        <f>(((0.648*20^0.651)/0.2))*AA139/20+AD138*inputs!$C$54</f>
        <v>9.2309501836211128E-7</v>
      </c>
      <c r="AE139" s="7">
        <f>(((0.013*2^0.773)/0.2))*AA139/2+AE138*inputs!$C$54</f>
        <v>4.5013254414002741E-8</v>
      </c>
    </row>
    <row r="140" spans="1:31" x14ac:dyDescent="0.3">
      <c r="A140" s="7">
        <f>IF(A139&lt;(inputs!$C$9-1),(1+A139),0)</f>
        <v>0</v>
      </c>
      <c r="B140" s="7">
        <f>IF(inputs!$C$8&gt;B139,IF(A139=(inputs!$C$9-1),(B139+1),B139), B139)</f>
        <v>1</v>
      </c>
      <c r="C140" s="7">
        <f t="shared" si="5"/>
        <v>137</v>
      </c>
      <c r="D140" s="8">
        <f>IF((B140&gt;B139), (EXP(-LN(2)/inputs!$C$51)*D139+$D$3), (EXP(-LN(2)/inputs!$C$51)*D139))</f>
        <v>1.9853626560349136E-6</v>
      </c>
      <c r="E140" s="8">
        <f>IF((B140&gt;B139), (EXP(-LN(2)/inputs!$C$51)*E139+$E$3), (EXP(-LN(2)/inputs!$C$51)*E139))</f>
        <v>9.0995788401600202E-7</v>
      </c>
      <c r="F140" s="8">
        <f>IF((B140&gt;B139), (EXP(-LN(2)/inputs!$C$51)*F139+$F$3), (EXP(-LN(2)/inputs!$C$51)*F139))</f>
        <v>1.11676649401964E-6</v>
      </c>
      <c r="G140" s="8">
        <f>IF((B140&gt;B139), (EXP(-LN(2)/inputs!$C$51)*G139+$G$3), (EXP(-LN(2)/inputs!$C$51)*G139))</f>
        <v>1.240851660021821E-7</v>
      </c>
      <c r="H140" s="8">
        <f>IF((B140&gt;B139), (EXP(-LN(2)/inputs!$C$51)*H139+$H$3), (EXP(-LN(2)/inputs!$C$51)*H139))</f>
        <v>7.776003736136749E-7</v>
      </c>
      <c r="I140" s="7">
        <f>O140*(10^inputs!$C$55)*0.01/1</f>
        <v>0.58039431676140285</v>
      </c>
      <c r="J140" s="7">
        <f>(((0.621*15^0.564)/0.2))*D140/15+J139*inputs!$C$53</f>
        <v>2.1363785574990341E-6</v>
      </c>
      <c r="K140" s="7">
        <f>(((0.621*1000^0.564)/0.2))*D140/1000+K139*inputs!$C$53</f>
        <v>3.4233712519397264E-7</v>
      </c>
      <c r="L140" s="7">
        <f>(((0.648*20^0.651)/0.2))*H140/20+L139*inputs!$C$54</f>
        <v>1.171285567028733E-6</v>
      </c>
      <c r="M140" s="7">
        <f>(((0.013*2^0.773)/0.2))*H140/2+M139*inputs!$C$54</f>
        <v>5.7115870166500577E-8</v>
      </c>
      <c r="N140" s="7">
        <f>O140*0.015*inputs!$C$56</f>
        <v>8.5271300246305221E-2</v>
      </c>
      <c r="O140" s="7">
        <f>IF((B140&gt;B139), (EXP(-LN(2)/inputs!$C$52)*O139+$O$3), (EXP(-LN(2)/inputs!$C$52)*O139))</f>
        <v>9.1986300157826557E-3</v>
      </c>
      <c r="P140" s="3">
        <f>IF((B140&gt;B139), (EXP(-LN(2)/inputs!$C$52)*P139+$P$3), (EXP(-LN(2)/inputs!$C$52)*P139))</f>
        <v>8.8886814542850235E-3</v>
      </c>
      <c r="Q140" s="19">
        <f>IF((F140*0.62*1/(0.012*(10^inputs!$C$55)))&gt;inputs!$C$57, inputs!$C$57, (F140*0.62*1/(0.012*(10^inputs!$C$55))))</f>
        <v>9.1447706720253504E-9</v>
      </c>
      <c r="R140" s="3">
        <f>IF((B140&gt;B139), (EXP(-LN(2)/inputs!$C$51)*R139+$R$3), (EXP(-LN(2)/inputs!$C$51)*R139))</f>
        <v>2.1247363639908715E-14</v>
      </c>
      <c r="T140" s="7">
        <f>IF(T139&lt;(inputs!$C$9-1),(1+T139),0)</f>
        <v>0</v>
      </c>
      <c r="U140" s="7">
        <f>IF(inputs!$C$8&gt;U139,IF(T139=(inputs!$C$9-1),(U139+1),U139), U139)</f>
        <v>1</v>
      </c>
      <c r="V140" s="7">
        <f t="shared" si="4"/>
        <v>137</v>
      </c>
      <c r="W140" s="8">
        <f>IF((U140&gt;U139), (EXP(-LN(2)/inputs!$C$51)*W139+$W$3), (EXP(-LN(2)/inputs!$C$51)*W139))</f>
        <v>7.0314927401236573E-7</v>
      </c>
      <c r="X140" s="8">
        <f>IF((U140&gt;U139), (EXP(-LN(2)/inputs!$C$51)*X139+$X$3), (EXP(-LN(2)/inputs!$C$51)*X139))</f>
        <v>2.9780439840523692E-7</v>
      </c>
      <c r="Y140" s="8">
        <f>IF((U140&gt;U139), (EXP(-LN(2)/inputs!$C$51)*Y139+$Y$3), (EXP(-LN(2)/inputs!$C$51)*Y139))</f>
        <v>3.7225549800654693E-7</v>
      </c>
      <c r="Z140" s="8">
        <f>IF((U140&gt;U139), (EXP(-LN(2)/inputs!$C$51)*Z139+$Z$3), (EXP(-LN(2)/inputs!$C$51)*Z139))</f>
        <v>5.7906410801018307E-8</v>
      </c>
      <c r="AA140" s="8">
        <f>IF((U140&gt;U139), (EXP(-LN(2)/inputs!$C$51)*AA139+$AA$3), (EXP(-LN(2)/inputs!$C$51)*AA139))</f>
        <v>5.3770238600945567E-7</v>
      </c>
      <c r="AB140" s="7">
        <f>(((0.621*15^0.564)/0.2))*W140/15+AB139*inputs!$C$53</f>
        <v>7.5663407244757498E-7</v>
      </c>
      <c r="AC140" s="7">
        <f>(((0.621*1000^0.564)/0.2))*W140/1000+AC139*inputs!$C$53</f>
        <v>1.2124439850619873E-7</v>
      </c>
      <c r="AD140" s="7">
        <f>(((0.648*20^0.651)/0.2))*AA140/20+AD139*inputs!$C$54</f>
        <v>8.099315091156125E-7</v>
      </c>
      <c r="AE140" s="7">
        <f>(((0.013*2^0.773)/0.2))*AA140/2+AE139*inputs!$C$54</f>
        <v>3.9495016604495051E-8</v>
      </c>
    </row>
    <row r="141" spans="1:31" x14ac:dyDescent="0.3">
      <c r="A141" s="7">
        <f>IF(A140&lt;(inputs!$C$9-1),(1+A140),0)</f>
        <v>0</v>
      </c>
      <c r="B141" s="7">
        <f>IF(inputs!$C$8&gt;B140,IF(A140=(inputs!$C$9-1),(B140+1),B140), B140)</f>
        <v>1</v>
      </c>
      <c r="C141" s="7">
        <f t="shared" si="5"/>
        <v>138</v>
      </c>
      <c r="D141" s="8">
        <f>IF((B141&gt;B140), (EXP(-LN(2)/inputs!$C$51)*D140+$D$3), (EXP(-LN(2)/inputs!$C$51)*D140))</f>
        <v>1.7419742715081469E-6</v>
      </c>
      <c r="E141" s="8">
        <f>IF((B141&gt;B140), (EXP(-LN(2)/inputs!$C$51)*E140+$E$3), (EXP(-LN(2)/inputs!$C$51)*E140))</f>
        <v>7.9840487444123392E-7</v>
      </c>
      <c r="F141" s="8">
        <f>IF((B141&gt;B140), (EXP(-LN(2)/inputs!$C$51)*F140+$F$3), (EXP(-LN(2)/inputs!$C$51)*F140))</f>
        <v>9.7986052772333352E-7</v>
      </c>
      <c r="G141" s="8">
        <f>IF((B141&gt;B140), (EXP(-LN(2)/inputs!$C$51)*G140+$G$3), (EXP(-LN(2)/inputs!$C$51)*G140))</f>
        <v>1.0887339196925918E-7</v>
      </c>
      <c r="H141" s="8">
        <f>IF((B141&gt;B140), (EXP(-LN(2)/inputs!$C$51)*H140+$H$3), (EXP(-LN(2)/inputs!$C$51)*H140))</f>
        <v>6.8227325634069114E-7</v>
      </c>
      <c r="I141" s="7">
        <f>O141*(10^inputs!$C$55)*0.01/1</f>
        <v>0.56868179787285666</v>
      </c>
      <c r="J141" s="7">
        <f>(((0.621*15^0.564)/0.2))*D141/15+J140*inputs!$C$53</f>
        <v>1.8744769224165161E-6</v>
      </c>
      <c r="K141" s="7">
        <f>(((0.621*1000^0.564)/0.2))*D141/1000+K140*inputs!$C$53</f>
        <v>3.0036953825904777E-7</v>
      </c>
      <c r="L141" s="7">
        <f>(((0.648*20^0.651)/0.2))*H141/20+L140*inputs!$C$54</f>
        <v>1.0276960313274892E-6</v>
      </c>
      <c r="M141" s="7">
        <f>(((0.013*2^0.773)/0.2))*H141/2+M140*inputs!$C$54</f>
        <v>5.0113955766424002E-8</v>
      </c>
      <c r="N141" s="7">
        <f>O141*0.015*inputs!$C$56</f>
        <v>8.3550501668609431E-2</v>
      </c>
      <c r="O141" s="7">
        <f>IF((B141&gt;B140), (EXP(-LN(2)/inputs!$C$52)*O140+$O$3), (EXP(-LN(2)/inputs!$C$52)*O140))</f>
        <v>9.0129991012523666E-3</v>
      </c>
      <c r="P141" s="3">
        <f>IF((B141&gt;B140), (EXP(-LN(2)/inputs!$C$52)*P140+$P$3), (EXP(-LN(2)/inputs!$C$52)*P140))</f>
        <v>8.7093053880125115E-3</v>
      </c>
      <c r="Q141" s="19">
        <f>IF((F141*0.62*1/(0.012*(10^inputs!$C$55)))&gt;inputs!$C$57, inputs!$C$57, (F141*0.62*1/(0.012*(10^inputs!$C$55))))</f>
        <v>8.0237004464086639E-9</v>
      </c>
      <c r="R141" s="3">
        <f>IF((B141&gt;B140), (EXP(-LN(2)/inputs!$C$51)*R140+$R$3), (EXP(-LN(2)/inputs!$C$51)*R140))</f>
        <v>1.8642619616920904E-14</v>
      </c>
      <c r="T141" s="7">
        <f>IF(T140&lt;(inputs!$C$9-1),(1+T140),0)</f>
        <v>0</v>
      </c>
      <c r="U141" s="7">
        <f>IF(inputs!$C$8&gt;U140,IF(T140=(inputs!$C$9-1),(U140+1),U140), U140)</f>
        <v>1</v>
      </c>
      <c r="V141" s="7">
        <f t="shared" si="4"/>
        <v>138</v>
      </c>
      <c r="W141" s="8">
        <f>IF((U141&gt;U140), (EXP(-LN(2)/inputs!$C$51)*W140+$W$3), (EXP(-LN(2)/inputs!$C$51)*W140))</f>
        <v>6.1694922115913579E-7</v>
      </c>
      <c r="X141" s="8">
        <f>IF((U141&gt;U140), (EXP(-LN(2)/inputs!$C$51)*X140+$X$3), (EXP(-LN(2)/inputs!$C$51)*X140))</f>
        <v>2.6129614072622193E-7</v>
      </c>
      <c r="Y141" s="8">
        <f>IF((U141&gt;U140), (EXP(-LN(2)/inputs!$C$51)*Y140+$Y$3), (EXP(-LN(2)/inputs!$C$51)*Y140))</f>
        <v>3.2662017590777807E-7</v>
      </c>
      <c r="Z141" s="8">
        <f>IF((U141&gt;U140), (EXP(-LN(2)/inputs!$C$51)*Z140+$Z$3), (EXP(-LN(2)/inputs!$C$51)*Z140))</f>
        <v>5.0807582918987608E-8</v>
      </c>
      <c r="AA141" s="8">
        <f>IF((U141&gt;U140), (EXP(-LN(2)/inputs!$C$51)*AA140+$AA$3), (EXP(-LN(2)/inputs!$C$51)*AA140))</f>
        <v>4.7178469853345632E-7</v>
      </c>
      <c r="AB141" s="7">
        <f>(((0.621*15^0.564)/0.2))*W141/15+AB140*inputs!$C$53</f>
        <v>6.6387724335584991E-7</v>
      </c>
      <c r="AC141" s="7">
        <f>(((0.621*1000^0.564)/0.2))*W141/1000+AC140*inputs!$C$53</f>
        <v>1.0638087813341284E-7</v>
      </c>
      <c r="AD141" s="7">
        <f>(((0.648*20^0.651)/0.2))*AA141/20+AD140*inputs!$C$54</f>
        <v>7.1064087272645469E-7</v>
      </c>
      <c r="AE141" s="7">
        <f>(((0.013*2^0.773)/0.2))*AA141/2+AE140*inputs!$C$54</f>
        <v>3.4653267285293166E-8</v>
      </c>
    </row>
    <row r="142" spans="1:31" x14ac:dyDescent="0.3">
      <c r="A142" s="7">
        <f>IF(A141&lt;(inputs!$C$9-1),(1+A141),0)</f>
        <v>0</v>
      </c>
      <c r="B142" s="7">
        <f>IF(inputs!$C$8&gt;B141,IF(A141=(inputs!$C$9-1),(B141+1),B141), B141)</f>
        <v>1</v>
      </c>
      <c r="C142" s="7">
        <f t="shared" si="5"/>
        <v>139</v>
      </c>
      <c r="D142" s="8">
        <f>IF((B142&gt;B141), (EXP(-LN(2)/inputs!$C$51)*D141+$D$3), (EXP(-LN(2)/inputs!$C$51)*D141))</f>
        <v>1.5284232094184087E-6</v>
      </c>
      <c r="E142" s="8">
        <f>IF((B142&gt;B141), (EXP(-LN(2)/inputs!$C$51)*E141+$E$3), (EXP(-LN(2)/inputs!$C$51)*E141))</f>
        <v>7.0052730431677058E-7</v>
      </c>
      <c r="F142" s="8">
        <f>IF((B142&gt;B141), (EXP(-LN(2)/inputs!$C$51)*F141+$F$3), (EXP(-LN(2)/inputs!$C$51)*F141))</f>
        <v>8.5973805529785573E-7</v>
      </c>
      <c r="G142" s="8">
        <f>IF((B142&gt;B141), (EXP(-LN(2)/inputs!$C$51)*G141+$G$3), (EXP(-LN(2)/inputs!$C$51)*G141))</f>
        <v>9.5526450588650545E-8</v>
      </c>
      <c r="H142" s="8">
        <f>IF((B142&gt;B141), (EXP(-LN(2)/inputs!$C$51)*H141+$H$3), (EXP(-LN(2)/inputs!$C$51)*H141))</f>
        <v>5.9863242368887703E-7</v>
      </c>
      <c r="I142" s="7">
        <f>O142*(10^inputs!$C$55)*0.01/1</f>
        <v>0.55720564087613622</v>
      </c>
      <c r="J142" s="7">
        <f>(((0.621*15^0.564)/0.2))*D142/15+J141*inputs!$C$53</f>
        <v>1.6446821750473794E-6</v>
      </c>
      <c r="K142" s="7">
        <f>(((0.621*1000^0.564)/0.2))*D142/1000+K141*inputs!$C$53</f>
        <v>2.6354681649801407E-7</v>
      </c>
      <c r="L142" s="7">
        <f>(((0.648*20^0.651)/0.2))*H142/20+L141*inputs!$C$54</f>
        <v>9.0170933761737603E-7</v>
      </c>
      <c r="M142" s="7">
        <f>(((0.013*2^0.773)/0.2))*H142/2+M141*inputs!$C$54</f>
        <v>4.3970415844808142E-8</v>
      </c>
      <c r="N142" s="7">
        <f>O142*0.015*inputs!$C$56</f>
        <v>8.1864429285265633E-2</v>
      </c>
      <c r="O142" s="7">
        <f>IF((B142&gt;B141), (EXP(-LN(2)/inputs!$C$52)*O141+$O$3), (EXP(-LN(2)/inputs!$C$52)*O141))</f>
        <v>8.8311142702551942E-3</v>
      </c>
      <c r="P142" s="3">
        <f>IF((B142&gt;B141), (EXP(-LN(2)/inputs!$C$52)*P141+$P$3), (EXP(-LN(2)/inputs!$C$52)*P141))</f>
        <v>8.533549180693982E-3</v>
      </c>
      <c r="Q142" s="19">
        <f>IF((F142*0.62*1/(0.012*(10^inputs!$C$55)))&gt;inputs!$C$57, inputs!$C$57, (F142*0.62*1/(0.012*(10^inputs!$C$55))))</f>
        <v>7.04006378756352E-9</v>
      </c>
      <c r="R142" s="3">
        <f>IF((B142&gt;B141), (EXP(-LN(2)/inputs!$C$51)*R141+$R$3), (EXP(-LN(2)/inputs!$C$51)*R141))</f>
        <v>1.6357194806437515E-14</v>
      </c>
      <c r="T142" s="7">
        <f>IF(T141&lt;(inputs!$C$9-1),(1+T141),0)</f>
        <v>0</v>
      </c>
      <c r="U142" s="7">
        <f>IF(inputs!$C$8&gt;U141,IF(T141=(inputs!$C$9-1),(U141+1),U141), U141)</f>
        <v>1</v>
      </c>
      <c r="V142" s="7">
        <f t="shared" si="4"/>
        <v>139</v>
      </c>
      <c r="W142" s="8">
        <f>IF((U142&gt;U141), (EXP(-LN(2)/inputs!$C$51)*W141+$W$3), (EXP(-LN(2)/inputs!$C$51)*W141))</f>
        <v>5.413165533356868E-7</v>
      </c>
      <c r="X142" s="8">
        <f>IF((U142&gt;U141), (EXP(-LN(2)/inputs!$C$51)*X141+$X$3), (EXP(-LN(2)/inputs!$C$51)*X141))</f>
        <v>2.2926348141276122E-7</v>
      </c>
      <c r="Y142" s="8">
        <f>IF((U142&gt;U141), (EXP(-LN(2)/inputs!$C$51)*Y141+$Y$3), (EXP(-LN(2)/inputs!$C$51)*Y141))</f>
        <v>2.8657935176595209E-7</v>
      </c>
      <c r="Z142" s="8">
        <f>IF((U142&gt;U141), (EXP(-LN(2)/inputs!$C$51)*Z141+$Z$3), (EXP(-LN(2)/inputs!$C$51)*Z141))</f>
        <v>4.4579010274703579E-8</v>
      </c>
      <c r="AA142" s="8">
        <f>IF((U142&gt;U141), (EXP(-LN(2)/inputs!$C$51)*AA141+$AA$3), (EXP(-LN(2)/inputs!$C$51)*AA141))</f>
        <v>4.1394795255081891E-7</v>
      </c>
      <c r="AB142" s="7">
        <f>(((0.621*15^0.564)/0.2))*W142/15+AB141*inputs!$C$53</f>
        <v>5.8249160366261393E-7</v>
      </c>
      <c r="AC142" s="7">
        <f>(((0.621*1000^0.564)/0.2))*W142/1000+AC141*inputs!$C$53</f>
        <v>9.3339497509713394E-8</v>
      </c>
      <c r="AD142" s="7">
        <f>(((0.648*20^0.651)/0.2))*AA142/20+AD141*inputs!$C$54</f>
        <v>6.2352241430988725E-7</v>
      </c>
      <c r="AE142" s="7">
        <f>(((0.013*2^0.773)/0.2))*AA142/2+AE141*inputs!$C$54</f>
        <v>3.0405074786303481E-8</v>
      </c>
    </row>
    <row r="143" spans="1:31" x14ac:dyDescent="0.3">
      <c r="A143" s="7">
        <f>IF(A142&lt;(inputs!$C$9-1),(1+A142),0)</f>
        <v>0</v>
      </c>
      <c r="B143" s="7">
        <f>IF(inputs!$C$8&gt;B142,IF(A142=(inputs!$C$9-1),(B142+1),B142), B142)</f>
        <v>1</v>
      </c>
      <c r="C143" s="7">
        <f t="shared" si="5"/>
        <v>140</v>
      </c>
      <c r="D143" s="8">
        <f>IF((B143&gt;B142), (EXP(-LN(2)/inputs!$C$51)*D142+$D$3), (EXP(-LN(2)/inputs!$C$51)*D142))</f>
        <v>1.3410516706807419E-6</v>
      </c>
      <c r="E143" s="8">
        <f>IF((B143&gt;B142), (EXP(-LN(2)/inputs!$C$51)*E142+$E$3), (EXP(-LN(2)/inputs!$C$51)*E142))</f>
        <v>6.1464868239534003E-7</v>
      </c>
      <c r="F143" s="8">
        <f>IF((B143&gt;B142), (EXP(-LN(2)/inputs!$C$51)*F142+$F$3), (EXP(-LN(2)/inputs!$C$51)*F142))</f>
        <v>7.5434156475791812E-7</v>
      </c>
      <c r="G143" s="8">
        <f>IF((B143&gt;B142), (EXP(-LN(2)/inputs!$C$51)*G142+$G$3), (EXP(-LN(2)/inputs!$C$51)*G142))</f>
        <v>8.3815729417546371E-8</v>
      </c>
      <c r="H143" s="8">
        <f>IF((B143&gt;B142), (EXP(-LN(2)/inputs!$C$51)*H142+$H$3), (EXP(-LN(2)/inputs!$C$51)*H142))</f>
        <v>5.2524523768329084E-7</v>
      </c>
      <c r="I143" s="7">
        <f>O143*(10^inputs!$C$55)*0.01/1</f>
        <v>0.54596107592246346</v>
      </c>
      <c r="J143" s="7">
        <f>(((0.621*15^0.564)/0.2))*D143/15+J142*inputs!$C$53</f>
        <v>1.4430582871254585E-6</v>
      </c>
      <c r="K143" s="7">
        <f>(((0.621*1000^0.564)/0.2))*D143/1000+K142*inputs!$C$53</f>
        <v>2.3123824369412635E-7</v>
      </c>
      <c r="L143" s="7">
        <f>(((0.648*20^0.651)/0.2))*H143/20+L142*inputs!$C$54</f>
        <v>7.9116752888118171E-7</v>
      </c>
      <c r="M143" s="7">
        <f>(((0.013*2^0.773)/0.2))*H143/2+M142*inputs!$C$54</f>
        <v>3.8580021073904474E-8</v>
      </c>
      <c r="N143" s="7">
        <f>O143*0.015*inputs!$C$56</f>
        <v>8.0212382312004379E-2</v>
      </c>
      <c r="O143" s="7">
        <f>IF((B143&gt;B142), (EXP(-LN(2)/inputs!$C$52)*O142+$O$3), (EXP(-LN(2)/inputs!$C$52)*O142))</f>
        <v>8.6528999257825655E-3</v>
      </c>
      <c r="P143" s="3">
        <f>IF((B143&gt;B142), (EXP(-LN(2)/inputs!$C$52)*P142+$P$3), (EXP(-LN(2)/inputs!$C$52)*P142))</f>
        <v>8.361339782568011E-3</v>
      </c>
      <c r="Q143" s="19">
        <f>IF((F143*0.62*1/(0.012*(10^inputs!$C$55)))&gt;inputs!$C$57, inputs!$C$57, (F143*0.62*1/(0.012*(10^inputs!$C$55))))</f>
        <v>6.1770125223389847E-9</v>
      </c>
      <c r="R143" s="3">
        <f>IF((B143&gt;B142), (EXP(-LN(2)/inputs!$C$51)*R142+$R$3), (EXP(-LN(2)/inputs!$C$51)*R142))</f>
        <v>1.4351943419630713E-14</v>
      </c>
      <c r="T143" s="7">
        <f>IF(T142&lt;(inputs!$C$9-1),(1+T142),0)</f>
        <v>0</v>
      </c>
      <c r="U143" s="7">
        <f>IF(inputs!$C$8&gt;U142,IF(T142=(inputs!$C$9-1),(U142+1),U142), U142)</f>
        <v>1</v>
      </c>
      <c r="V143" s="7">
        <f t="shared" si="4"/>
        <v>140</v>
      </c>
      <c r="W143" s="8">
        <f>IF((U143&gt;U142), (EXP(-LN(2)/inputs!$C$51)*W142+$W$3), (EXP(-LN(2)/inputs!$C$51)*W142))</f>
        <v>4.7495580003276315E-7</v>
      </c>
      <c r="X143" s="8">
        <f>IF((U143&gt;U142), (EXP(-LN(2)/inputs!$C$51)*X142+$X$3), (EXP(-LN(2)/inputs!$C$51)*X142))</f>
        <v>2.0115775060211123E-7</v>
      </c>
      <c r="Y143" s="8">
        <f>IF((U143&gt;U142), (EXP(-LN(2)/inputs!$C$51)*Y142+$Y$3), (EXP(-LN(2)/inputs!$C$51)*Y142))</f>
        <v>2.514471882526395E-7</v>
      </c>
      <c r="Z143" s="8">
        <f>IF((U143&gt;U142), (EXP(-LN(2)/inputs!$C$51)*Z142+$Z$3), (EXP(-LN(2)/inputs!$C$51)*Z142))</f>
        <v>3.9114007061521632E-8</v>
      </c>
      <c r="AA143" s="8">
        <f>IF((U143&gt;U142), (EXP(-LN(2)/inputs!$C$51)*AA142+$AA$3), (EXP(-LN(2)/inputs!$C$51)*AA142))</f>
        <v>3.6320149414270085E-7</v>
      </c>
      <c r="AB143" s="7">
        <f>(((0.621*15^0.564)/0.2))*W143/15+AB142*inputs!$C$53</f>
        <v>5.1108314335693356E-7</v>
      </c>
      <c r="AC143" s="7">
        <f>(((0.621*1000^0.564)/0.2))*W143/1000+AC142*inputs!$C$53</f>
        <v>8.1896877975003147E-8</v>
      </c>
      <c r="AD143" s="7">
        <f>(((0.648*20^0.651)/0.2))*AA143/20+AD142*inputs!$C$54</f>
        <v>5.4708392954549765E-7</v>
      </c>
      <c r="AE143" s="7">
        <f>(((0.013*2^0.773)/0.2))*AA143/2+AE142*inputs!$C$54</f>
        <v>2.6677674146848823E-8</v>
      </c>
    </row>
    <row r="144" spans="1:31" x14ac:dyDescent="0.3">
      <c r="A144" s="7">
        <f>IF(A143&lt;(inputs!$C$9-1),(1+A143),0)</f>
        <v>0</v>
      </c>
      <c r="B144" s="7">
        <f>IF(inputs!$C$8&gt;B143,IF(A143=(inputs!$C$9-1),(B143+1),B143), B143)</f>
        <v>1</v>
      </c>
      <c r="C144" s="7">
        <f t="shared" si="5"/>
        <v>141</v>
      </c>
      <c r="D144" s="8">
        <f>IF((B144&gt;B143), (EXP(-LN(2)/inputs!$C$51)*D143+$D$3), (EXP(-LN(2)/inputs!$C$51)*D143))</f>
        <v>1.176650270915435E-6</v>
      </c>
      <c r="E144" s="8">
        <f>IF((B144&gt;B143), (EXP(-LN(2)/inputs!$C$51)*E143+$E$3), (EXP(-LN(2)/inputs!$C$51)*E143))</f>
        <v>5.3929804083624096E-7</v>
      </c>
      <c r="F144" s="8">
        <f>IF((B144&gt;B143), (EXP(-LN(2)/inputs!$C$51)*F143+$F$3), (EXP(-LN(2)/inputs!$C$51)*F143))</f>
        <v>6.618657773899329E-7</v>
      </c>
      <c r="G144" s="8">
        <f>IF((B144&gt;B143), (EXP(-LN(2)/inputs!$C$51)*G143+$G$3), (EXP(-LN(2)/inputs!$C$51)*G143))</f>
        <v>7.3540641932214688E-8</v>
      </c>
      <c r="H144" s="8">
        <f>IF((B144&gt;B143), (EXP(-LN(2)/inputs!$C$51)*H143+$H$3), (EXP(-LN(2)/inputs!$C$51)*H143))</f>
        <v>4.6085468944187889E-7</v>
      </c>
      <c r="I144" s="7">
        <f>O144*(10^inputs!$C$55)*0.01/1</f>
        <v>0.53494342941993644</v>
      </c>
      <c r="J144" s="7">
        <f>(((0.621*15^0.564)/0.2))*D144/15+J143*inputs!$C$53</f>
        <v>1.2661517535942606E-6</v>
      </c>
      <c r="K144" s="7">
        <f>(((0.621*1000^0.564)/0.2))*D144/1000+K143*inputs!$C$53</f>
        <v>2.0289042401370496E-7</v>
      </c>
      <c r="L144" s="7">
        <f>(((0.648*20^0.651)/0.2))*H144/20+L143*inputs!$C$54</f>
        <v>6.9417719507033034E-7</v>
      </c>
      <c r="M144" s="7">
        <f>(((0.013*2^0.773)/0.2))*H144/2+M143*inputs!$C$54</f>
        <v>3.3850442336416073E-8</v>
      </c>
      <c r="N144" s="7">
        <f>O144*0.015*inputs!$C$56</f>
        <v>7.8593674106577804E-2</v>
      </c>
      <c r="O144" s="7">
        <f>IF((B144&gt;B143), (EXP(-LN(2)/inputs!$C$52)*O143+$O$3), (EXP(-LN(2)/inputs!$C$52)*O143))</f>
        <v>8.4782819963945856E-3</v>
      </c>
      <c r="P144" s="3">
        <f>IF((B144&gt;B143), (EXP(-LN(2)/inputs!$C$52)*P143+$P$3), (EXP(-LN(2)/inputs!$C$52)*P143))</f>
        <v>8.1926056180376926E-3</v>
      </c>
      <c r="Q144" s="19">
        <f>IF((F144*0.62*1/(0.012*(10^inputs!$C$55)))&gt;inputs!$C$57, inputs!$C$57, (F144*0.62*1/(0.012*(10^inputs!$C$55))))</f>
        <v>5.4197639186928127E-9</v>
      </c>
      <c r="R144" s="3">
        <f>IF((B144&gt;B143), (EXP(-LN(2)/inputs!$C$51)*R143+$R$3), (EXP(-LN(2)/inputs!$C$51)*R143))</f>
        <v>1.259251860467033E-14</v>
      </c>
      <c r="T144" s="7">
        <f>IF(T143&lt;(inputs!$C$9-1),(1+T143),0)</f>
        <v>0</v>
      </c>
      <c r="U144" s="7">
        <f>IF(inputs!$C$8&gt;U143,IF(T143=(inputs!$C$9-1),(U143+1),U143), U143)</f>
        <v>1</v>
      </c>
      <c r="V144" s="7">
        <f t="shared" si="4"/>
        <v>141</v>
      </c>
      <c r="W144" s="8">
        <f>IF((U144&gt;U143), (EXP(-LN(2)/inputs!$C$51)*W143+$W$3), (EXP(-LN(2)/inputs!$C$51)*W143))</f>
        <v>4.1673030428255022E-7</v>
      </c>
      <c r="X144" s="8">
        <f>IF((U144&gt;U143), (EXP(-LN(2)/inputs!$C$51)*X143+$X$3), (EXP(-LN(2)/inputs!$C$51)*X143))</f>
        <v>1.7649754063731518E-7</v>
      </c>
      <c r="Y144" s="8">
        <f>IF((U144&gt;U143), (EXP(-LN(2)/inputs!$C$51)*Y143+$Y$3), (EXP(-LN(2)/inputs!$C$51)*Y143))</f>
        <v>2.2062192579664438E-7</v>
      </c>
      <c r="Z144" s="8">
        <f>IF((U144&gt;U143), (EXP(-LN(2)/inputs!$C$51)*Z143+$Z$3), (EXP(-LN(2)/inputs!$C$51)*Z143))</f>
        <v>3.4318966235033511E-8</v>
      </c>
      <c r="AA144" s="8">
        <f>IF((U144&gt;U143), (EXP(-LN(2)/inputs!$C$51)*AA143+$AA$3), (EXP(-LN(2)/inputs!$C$51)*AA143))</f>
        <v>3.1867611503959687E-7</v>
      </c>
      <c r="AB144" s="7">
        <f>(((0.621*15^0.564)/0.2))*W144/15+AB143*inputs!$C$53</f>
        <v>4.4842874606463428E-7</v>
      </c>
      <c r="AC144" s="7">
        <f>(((0.621*1000^0.564)/0.2))*W144/1000+AC143*inputs!$C$53</f>
        <v>7.185702517152055E-8</v>
      </c>
      <c r="AD144" s="7">
        <f>(((0.648*20^0.651)/0.2))*AA144/20+AD143*inputs!$C$54</f>
        <v>4.800161455273557E-7</v>
      </c>
      <c r="AE144" s="7">
        <f>(((0.013*2^0.773)/0.2))*AA144/2+AE143*inputs!$C$54</f>
        <v>2.3407220764543012E-8</v>
      </c>
    </row>
    <row r="145" spans="1:31" x14ac:dyDescent="0.3">
      <c r="A145" s="7">
        <f>IF(A144&lt;(inputs!$C$9-1),(1+A144),0)</f>
        <v>0</v>
      </c>
      <c r="B145" s="7">
        <f>IF(inputs!$C$8&gt;B144,IF(A144=(inputs!$C$9-1),(B144+1),B144), B144)</f>
        <v>1</v>
      </c>
      <c r="C145" s="7">
        <f t="shared" si="5"/>
        <v>142</v>
      </c>
      <c r="D145" s="8">
        <f>IF((B145&gt;B144), (EXP(-LN(2)/inputs!$C$51)*D144+$D$3), (EXP(-LN(2)/inputs!$C$51)*D144))</f>
        <v>1.0324030686621989E-6</v>
      </c>
      <c r="E145" s="8">
        <f>IF((B145&gt;B144), (EXP(-LN(2)/inputs!$C$51)*E144+$E$3), (EXP(-LN(2)/inputs!$C$51)*E144))</f>
        <v>4.7318473980350773E-7</v>
      </c>
      <c r="F145" s="8">
        <f>IF((B145&gt;B144), (EXP(-LN(2)/inputs!$C$51)*F144+$F$3), (EXP(-LN(2)/inputs!$C$51)*F144))</f>
        <v>5.807267261224875E-7</v>
      </c>
      <c r="G145" s="8">
        <f>IF((B145&gt;B144), (EXP(-LN(2)/inputs!$C$51)*G144+$G$3), (EXP(-LN(2)/inputs!$C$51)*G144))</f>
        <v>6.4525191791387431E-8</v>
      </c>
      <c r="H145" s="8">
        <f>IF((B145&gt;B144), (EXP(-LN(2)/inputs!$C$51)*H144+$H$3), (EXP(-LN(2)/inputs!$C$51)*H144))</f>
        <v>4.0435786855936139E-7</v>
      </c>
      <c r="I145" s="7">
        <f>O145*(10^inputs!$C$55)*0.01/1</f>
        <v>0.52414812209103923</v>
      </c>
      <c r="J145" s="7">
        <f>(((0.621*15^0.564)/0.2))*D145/15+J144*inputs!$C$53</f>
        <v>1.1109324394118842E-6</v>
      </c>
      <c r="K145" s="7">
        <f>(((0.621*1000^0.564)/0.2))*D145/1000+K144*inputs!$C$53</f>
        <v>1.7801780319224331E-7</v>
      </c>
      <c r="L145" s="7">
        <f>(((0.648*20^0.651)/0.2))*H145/20+L144*inputs!$C$54</f>
        <v>6.0907704192202867E-7</v>
      </c>
      <c r="M145" s="7">
        <f>(((0.013*2^0.773)/0.2))*H145/2+M144*inputs!$C$54</f>
        <v>2.97006692706574E-8</v>
      </c>
      <c r="N145" s="7">
        <f>O145*0.015*inputs!$C$56</f>
        <v>7.7007631883369829E-2</v>
      </c>
      <c r="O145" s="7">
        <f>IF((B145&gt;B144), (EXP(-LN(2)/inputs!$C$52)*O144+$O$3), (EXP(-LN(2)/inputs!$C$52)*O144))</f>
        <v>8.3071879054336384E-3</v>
      </c>
      <c r="P145" s="3">
        <f>IF((B145&gt;B144), (EXP(-LN(2)/inputs!$C$52)*P144+$P$3), (EXP(-LN(2)/inputs!$C$52)*P144))</f>
        <v>8.0272765559215951E-3</v>
      </c>
      <c r="Q145" s="19">
        <f>IF((F145*0.62*1/(0.012*(10^inputs!$C$55)))&gt;inputs!$C$57, inputs!$C$57, (F145*0.62*1/(0.012*(10^inputs!$C$55))))</f>
        <v>4.7553474803774207E-9</v>
      </c>
      <c r="R145" s="3">
        <f>IF((B145&gt;B144), (EXP(-LN(2)/inputs!$C$51)*R144+$R$3), (EXP(-LN(2)/inputs!$C$51)*R144))</f>
        <v>1.1048784138326027E-14</v>
      </c>
      <c r="T145" s="7">
        <f>IF(T144&lt;(inputs!$C$9-1),(1+T144),0)</f>
        <v>0</v>
      </c>
      <c r="U145" s="7">
        <f>IF(inputs!$C$8&gt;U144,IF(T144=(inputs!$C$9-1),(U144+1),U144), U144)</f>
        <v>1</v>
      </c>
      <c r="V145" s="7">
        <f t="shared" si="4"/>
        <v>142</v>
      </c>
      <c r="W145" s="8">
        <f>IF((U145&gt;U144), (EXP(-LN(2)/inputs!$C$51)*W144+$W$3), (EXP(-LN(2)/inputs!$C$51)*W144))</f>
        <v>3.6564275348452907E-7</v>
      </c>
      <c r="X145" s="8">
        <f>IF((U145&gt;U144), (EXP(-LN(2)/inputs!$C$51)*X144+$X$3), (EXP(-LN(2)/inputs!$C$51)*X144))</f>
        <v>1.5486046029932977E-7</v>
      </c>
      <c r="Y145" s="8">
        <f>IF((U145&gt;U144), (EXP(-LN(2)/inputs!$C$51)*Y144+$Y$3), (EXP(-LN(2)/inputs!$C$51)*Y144))</f>
        <v>1.9357557537416257E-7</v>
      </c>
      <c r="Z145" s="8">
        <f>IF((U145&gt;U144), (EXP(-LN(2)/inputs!$C$51)*Z144+$Z$3), (EXP(-LN(2)/inputs!$C$51)*Z144))</f>
        <v>3.0111756169314124E-8</v>
      </c>
      <c r="AA145" s="8">
        <f>IF((U145&gt;U144), (EXP(-LN(2)/inputs!$C$51)*AA144+$AA$3), (EXP(-LN(2)/inputs!$C$51)*AA144))</f>
        <v>2.7960916442934542E-7</v>
      </c>
      <c r="AB145" s="7">
        <f>(((0.621*15^0.564)/0.2))*W145/15+AB144*inputs!$C$53</f>
        <v>3.9345523895837603E-7</v>
      </c>
      <c r="AC145" s="7">
        <f>(((0.621*1000^0.564)/0.2))*W145/1000+AC144*inputs!$C$53</f>
        <v>6.3047971963919547E-8</v>
      </c>
      <c r="AD145" s="7">
        <f>(((0.648*20^0.651)/0.2))*AA145/20+AD144*inputs!$C$54</f>
        <v>4.2117029494608335E-7</v>
      </c>
      <c r="AE145" s="7">
        <f>(((0.013*2^0.773)/0.2))*AA145/2+AE144*inputs!$C$54</f>
        <v>2.0537696836092869E-8</v>
      </c>
    </row>
    <row r="146" spans="1:31" x14ac:dyDescent="0.3">
      <c r="A146" s="7">
        <f>IF(A145&lt;(inputs!$C$9-1),(1+A145),0)</f>
        <v>0</v>
      </c>
      <c r="B146" s="7">
        <f>IF(inputs!$C$8&gt;B145,IF(A145=(inputs!$C$9-1),(B145+1),B145), B145)</f>
        <v>1</v>
      </c>
      <c r="C146" s="7">
        <f t="shared" si="5"/>
        <v>143</v>
      </c>
      <c r="D146" s="8">
        <f>IF((B146&gt;B145), (EXP(-LN(2)/inputs!$C$51)*D145+$D$3), (EXP(-LN(2)/inputs!$C$51)*D145))</f>
        <v>9.0583933266244682E-7</v>
      </c>
      <c r="E146" s="8">
        <f>IF((B146&gt;B145), (EXP(-LN(2)/inputs!$C$51)*E145+$E$3), (EXP(-LN(2)/inputs!$C$51)*E145))</f>
        <v>4.1517636080362142E-7</v>
      </c>
      <c r="F146" s="8">
        <f>IF((B146&gt;B145), (EXP(-LN(2)/inputs!$C$51)*F145+$F$3), (EXP(-LN(2)/inputs!$C$51)*F145))</f>
        <v>5.095346246226269E-7</v>
      </c>
      <c r="G146" s="8">
        <f>IF((B146&gt;B145), (EXP(-LN(2)/inputs!$C$51)*G145+$G$3), (EXP(-LN(2)/inputs!$C$51)*G145))</f>
        <v>5.6614958291402926E-8</v>
      </c>
      <c r="H146" s="8">
        <f>IF((B146&gt;B145), (EXP(-LN(2)/inputs!$C$51)*H145+$H$3), (EXP(-LN(2)/inputs!$C$51)*H145))</f>
        <v>3.547870719594585E-7</v>
      </c>
      <c r="I146" s="7">
        <f>O146*(10^inputs!$C$55)*0.01/1</f>
        <v>0.51357066706935095</v>
      </c>
      <c r="J146" s="7">
        <f>(((0.621*15^0.564)/0.2))*D146/15+J145*inputs!$C$53</f>
        <v>9.7474167802884968E-7</v>
      </c>
      <c r="K146" s="7">
        <f>(((0.621*1000^0.564)/0.2))*D146/1000+K145*inputs!$C$53</f>
        <v>1.5619435174156684E-7</v>
      </c>
      <c r="L146" s="7">
        <f>(((0.648*20^0.651)/0.2))*H146/20+L145*inputs!$C$54</f>
        <v>5.3440943556047465E-7</v>
      </c>
      <c r="M146" s="7">
        <f>(((0.013*2^0.773)/0.2))*H146/2+M145*inputs!$C$54</f>
        <v>2.6059622688474701E-8</v>
      </c>
      <c r="N146" s="7">
        <f>O146*0.015*inputs!$C$56</f>
        <v>7.5453596433765369E-2</v>
      </c>
      <c r="O146" s="7">
        <f>IF((B146&gt;B145), (EXP(-LN(2)/inputs!$C$52)*O145+$O$3), (EXP(-LN(2)/inputs!$C$52)*O145))</f>
        <v>8.1395465408592646E-3</v>
      </c>
      <c r="P146" s="3">
        <f>IF((B146&gt;B145), (EXP(-LN(2)/inputs!$C$52)*P145+$P$3), (EXP(-LN(2)/inputs!$C$52)*P145))</f>
        <v>7.8652838803050518E-3</v>
      </c>
      <c r="Q146" s="19">
        <f>IF((F146*0.62*1/(0.012*(10^inputs!$C$55)))&gt;inputs!$C$57, inputs!$C$57, (F146*0.62*1/(0.012*(10^inputs!$C$55))))</f>
        <v>4.1723827824194189E-9</v>
      </c>
      <c r="R146" s="3">
        <f>IF((B146&gt;B145), (EXP(-LN(2)/inputs!$C$51)*R145+$R$3), (EXP(-LN(2)/inputs!$C$51)*R145))</f>
        <v>9.69429823911868E-15</v>
      </c>
      <c r="T146" s="7">
        <f>IF(T145&lt;(inputs!$C$9-1),(1+T145),0)</f>
        <v>0</v>
      </c>
      <c r="U146" s="7">
        <f>IF(inputs!$C$8&gt;U145,IF(T145=(inputs!$C$9-1),(U145+1),U145), U145)</f>
        <v>1</v>
      </c>
      <c r="V146" s="7">
        <f t="shared" si="4"/>
        <v>143</v>
      </c>
      <c r="W146" s="8">
        <f>IF((U146&gt;U145), (EXP(-LN(2)/inputs!$C$51)*W145+$W$3), (EXP(-LN(2)/inputs!$C$51)*W145))</f>
        <v>3.2081809698461684E-7</v>
      </c>
      <c r="X146" s="8">
        <f>IF((U146&gt;U145), (EXP(-LN(2)/inputs!$C$51)*X145+$X$3), (EXP(-LN(2)/inputs!$C$51)*X145))</f>
        <v>1.3587589989936698E-7</v>
      </c>
      <c r="Y146" s="8">
        <f>IF((U146&gt;U145), (EXP(-LN(2)/inputs!$C$51)*Y145+$Y$3), (EXP(-LN(2)/inputs!$C$51)*Y145))</f>
        <v>1.6984487487420904E-7</v>
      </c>
      <c r="Z146" s="8">
        <f>IF((U146&gt;U145), (EXP(-LN(2)/inputs!$C$51)*Z145+$Z$3), (EXP(-LN(2)/inputs!$C$51)*Z145))</f>
        <v>2.6420313869321357E-8</v>
      </c>
      <c r="AA146" s="8">
        <f>IF((U146&gt;U145), (EXP(-LN(2)/inputs!$C$51)*AA145+$AA$3), (EXP(-LN(2)/inputs!$C$51)*AA145))</f>
        <v>2.4533148592941259E-7</v>
      </c>
      <c r="AB146" s="7">
        <f>(((0.621*15^0.564)/0.2))*W146/15+AB145*inputs!$C$53</f>
        <v>3.4522101096855123E-7</v>
      </c>
      <c r="AC146" s="7">
        <f>(((0.621*1000^0.564)/0.2))*W146/1000+AC145*inputs!$C$53</f>
        <v>5.5318832908471635E-8</v>
      </c>
      <c r="AD146" s="7">
        <f>(((0.648*20^0.651)/0.2))*AA146/20+AD145*inputs!$C$54</f>
        <v>3.6953843948330664E-7</v>
      </c>
      <c r="AE146" s="7">
        <f>(((0.013*2^0.773)/0.2))*AA146/2+AE145*inputs!$C$54</f>
        <v>1.8019951859051643E-8</v>
      </c>
    </row>
    <row r="147" spans="1:31" x14ac:dyDescent="0.3">
      <c r="A147" s="7">
        <f>IF(A146&lt;(inputs!$C$9-1),(1+A146),0)</f>
        <v>0</v>
      </c>
      <c r="B147" s="7">
        <f>IF(inputs!$C$8&gt;B146,IF(A146=(inputs!$C$9-1),(B146+1),B146), B146)</f>
        <v>1</v>
      </c>
      <c r="C147" s="7">
        <f t="shared" si="5"/>
        <v>144</v>
      </c>
      <c r="D147" s="8">
        <f>IF((B147&gt;B146), (EXP(-LN(2)/inputs!$C$51)*D146+$D$3), (EXP(-LN(2)/inputs!$C$51)*D146))</f>
        <v>7.9479122205789218E-7</v>
      </c>
      <c r="E147" s="8">
        <f>IF((B147&gt;B146), (EXP(-LN(2)/inputs!$C$51)*E146+$E$3), (EXP(-LN(2)/inputs!$C$51)*E146))</f>
        <v>3.6427931010986723E-7</v>
      </c>
      <c r="F147" s="8">
        <f>IF((B147&gt;B146), (EXP(-LN(2)/inputs!$C$51)*F146+$F$3), (EXP(-LN(2)/inputs!$C$51)*F146))</f>
        <v>4.4707006240756484E-7</v>
      </c>
      <c r="G147" s="8">
        <f>IF((B147&gt;B146), (EXP(-LN(2)/inputs!$C$51)*G146+$G$3), (EXP(-LN(2)/inputs!$C$51)*G146))</f>
        <v>4.9674451378618262E-8</v>
      </c>
      <c r="H147" s="8">
        <f>IF((B147&gt;B146), (EXP(-LN(2)/inputs!$C$51)*H146+$H$3), (EXP(-LN(2)/inputs!$C$51)*H146))</f>
        <v>3.1129322863934125E-7</v>
      </c>
      <c r="I147" s="7">
        <f>O147*(10^inputs!$C$55)*0.01/1</f>
        <v>0.50320666803466385</v>
      </c>
      <c r="J147" s="7">
        <f>(((0.621*15^0.564)/0.2))*D147/15+J146*inputs!$C$53</f>
        <v>8.5524673254611389E-7</v>
      </c>
      <c r="K147" s="7">
        <f>(((0.621*1000^0.564)/0.2))*D147/1000+K146*inputs!$C$53</f>
        <v>1.370462677242572E-7</v>
      </c>
      <c r="L147" s="7">
        <f>(((0.648*20^0.651)/0.2))*H147/20+L146*inputs!$C$54</f>
        <v>4.6889543548519681E-7</v>
      </c>
      <c r="M147" s="7">
        <f>(((0.013*2^0.773)/0.2))*H147/2+M146*inputs!$C$54</f>
        <v>2.2864937098794002E-8</v>
      </c>
      <c r="N147" s="7">
        <f>O147*0.015*inputs!$C$56</f>
        <v>7.393092185216274E-2</v>
      </c>
      <c r="O147" s="7">
        <f>IF((B147&gt;B146), (EXP(-LN(2)/inputs!$C$52)*O146+$O$3), (EXP(-LN(2)/inputs!$C$52)*O146))</f>
        <v>7.9752882256917748E-3</v>
      </c>
      <c r="P147" s="3">
        <f>IF((B147&gt;B146), (EXP(-LN(2)/inputs!$C$52)*P146+$P$3), (EXP(-LN(2)/inputs!$C$52)*P146))</f>
        <v>7.7065602619796831E-3</v>
      </c>
      <c r="Q147" s="19">
        <f>IF((F147*0.62*1/(0.012*(10^inputs!$C$55)))&gt;inputs!$C$57, inputs!$C$57, (F147*0.62*1/(0.012*(10^inputs!$C$55))))</f>
        <v>3.6608845420583883E-9</v>
      </c>
      <c r="R147" s="3">
        <f>IF((B147&gt;B146), (EXP(-LN(2)/inputs!$C$51)*R146+$R$3), (EXP(-LN(2)/inputs!$C$51)*R146))</f>
        <v>8.5058606605394424E-15</v>
      </c>
      <c r="T147" s="7">
        <f>IF(T146&lt;(inputs!$C$9-1),(1+T146),0)</f>
        <v>0</v>
      </c>
      <c r="U147" s="7">
        <f>IF(inputs!$C$8&gt;U146,IF(T146=(inputs!$C$9-1),(U146+1),U146), U146)</f>
        <v>1</v>
      </c>
      <c r="V147" s="7">
        <f t="shared" si="4"/>
        <v>144</v>
      </c>
      <c r="W147" s="8">
        <f>IF((U147&gt;U146), (EXP(-LN(2)/inputs!$C$51)*W146+$W$3), (EXP(-LN(2)/inputs!$C$51)*W146))</f>
        <v>2.8148855781217036E-7</v>
      </c>
      <c r="X147" s="8">
        <f>IF((U147&gt;U146), (EXP(-LN(2)/inputs!$C$51)*X146+$X$3), (EXP(-LN(2)/inputs!$C$51)*X146))</f>
        <v>1.1921868330868379E-7</v>
      </c>
      <c r="Y147" s="8">
        <f>IF((U147&gt;U146), (EXP(-LN(2)/inputs!$C$51)*Y146+$Y$3), (EXP(-LN(2)/inputs!$C$51)*Y146))</f>
        <v>1.4902335413585502E-7</v>
      </c>
      <c r="Z147" s="8">
        <f>IF((U147&gt;U146), (EXP(-LN(2)/inputs!$C$51)*Z146+$Z$3), (EXP(-LN(2)/inputs!$C$51)*Z146))</f>
        <v>2.3181410643355182E-8</v>
      </c>
      <c r="AA147" s="8">
        <f>IF((U147&gt;U146), (EXP(-LN(2)/inputs!$C$51)*AA146+$AA$3), (EXP(-LN(2)/inputs!$C$51)*AA146))</f>
        <v>2.152559559740124E-7</v>
      </c>
      <c r="AB147" s="7">
        <f>(((0.621*15^0.564)/0.2))*W147/15+AB146*inputs!$C$53</f>
        <v>3.0289988444341555E-7</v>
      </c>
      <c r="AC147" s="7">
        <f>(((0.621*1000^0.564)/0.2))*W147/1000+AC146*inputs!$C$53</f>
        <v>4.8537219819007797E-8</v>
      </c>
      <c r="AD147" s="7">
        <f>(((0.648*20^0.651)/0.2))*AA147/20+AD146*inputs!$C$54</f>
        <v>3.242362053886996E-7</v>
      </c>
      <c r="AE147" s="7">
        <f>(((0.013*2^0.773)/0.2))*AA147/2+AE146*inputs!$C$54</f>
        <v>1.5810860759804353E-8</v>
      </c>
    </row>
    <row r="148" spans="1:31" x14ac:dyDescent="0.3">
      <c r="A148" s="7">
        <f>IF(A147&lt;(inputs!$C$9-1),(1+A147),0)</f>
        <v>0</v>
      </c>
      <c r="B148" s="7">
        <f>IF(inputs!$C$8&gt;B147,IF(A147=(inputs!$C$9-1),(B147+1),B147), B147)</f>
        <v>1</v>
      </c>
      <c r="C148" s="7">
        <f t="shared" si="5"/>
        <v>145</v>
      </c>
      <c r="D148" s="8">
        <f>IF((B148&gt;B147), (EXP(-LN(2)/inputs!$C$51)*D147+$D$3), (EXP(-LN(2)/inputs!$C$51)*D147))</f>
        <v>6.973566546327842E-7</v>
      </c>
      <c r="E148" s="8">
        <f>IF((B148&gt;B147), (EXP(-LN(2)/inputs!$C$51)*E147+$E$3), (EXP(-LN(2)/inputs!$C$51)*E147))</f>
        <v>3.1962180004002608E-7</v>
      </c>
      <c r="F148" s="8">
        <f>IF((B148&gt;B147), (EXP(-LN(2)/inputs!$C$51)*F147+$F$3), (EXP(-LN(2)/inputs!$C$51)*F147))</f>
        <v>3.9226311823094155E-7</v>
      </c>
      <c r="G148" s="8">
        <f>IF((B148&gt;B147), (EXP(-LN(2)/inputs!$C$51)*G147+$G$3), (EXP(-LN(2)/inputs!$C$51)*G147))</f>
        <v>4.3584790914549012E-8</v>
      </c>
      <c r="H148" s="8">
        <f>IF((B148&gt;B147), (EXP(-LN(2)/inputs!$C$51)*H147+$H$3), (EXP(-LN(2)/inputs!$C$51)*H147))</f>
        <v>2.7313135639784064E-7</v>
      </c>
      <c r="I148" s="7">
        <f>O148*(10^inputs!$C$55)*0.01/1</f>
        <v>0.49305181738573645</v>
      </c>
      <c r="J148" s="7">
        <f>(((0.621*15^0.564)/0.2))*D148/15+J147*inputs!$C$53</f>
        <v>7.5040083954341306E-7</v>
      </c>
      <c r="K148" s="7">
        <f>(((0.621*1000^0.564)/0.2))*D148/1000+K147*inputs!$C$53</f>
        <v>1.2024557410516498E-7</v>
      </c>
      <c r="L148" s="7">
        <f>(((0.648*20^0.651)/0.2))*H148/20+L147*inputs!$C$54</f>
        <v>4.1141288830027079E-7</v>
      </c>
      <c r="M148" s="7">
        <f>(((0.013*2^0.773)/0.2))*H148/2+M147*inputs!$C$54</f>
        <v>2.0061892483310035E-8</v>
      </c>
      <c r="N148" s="7">
        <f>O148*0.015*inputs!$C$56</f>
        <v>7.2438975267515096E-2</v>
      </c>
      <c r="O148" s="7">
        <f>IF((B148&gt;B147), (EXP(-LN(2)/inputs!$C$52)*O147+$O$3), (EXP(-LN(2)/inputs!$C$52)*O147))</f>
        <v>7.8143446890523299E-3</v>
      </c>
      <c r="P148" s="3">
        <f>IF((B148&gt;B147), (EXP(-LN(2)/inputs!$C$52)*P147+$P$3), (EXP(-LN(2)/inputs!$C$52)*P147))</f>
        <v>7.551039730459278E-3</v>
      </c>
      <c r="Q148" s="19">
        <f>IF((F148*0.62*1/(0.012*(10^inputs!$C$55)))&gt;inputs!$C$57, inputs!$C$57, (F148*0.62*1/(0.012*(10^inputs!$C$55))))</f>
        <v>3.212091586311902E-9</v>
      </c>
      <c r="R148" s="3">
        <f>IF((B148&gt;B147), (EXP(-LN(2)/inputs!$C$51)*R147+$R$3), (EXP(-LN(2)/inputs!$C$51)*R147))</f>
        <v>7.4631153067444591E-15</v>
      </c>
      <c r="T148" s="7">
        <f>IF(T147&lt;(inputs!$C$9-1),(1+T147),0)</f>
        <v>0</v>
      </c>
      <c r="U148" s="7">
        <f>IF(inputs!$C$8&gt;U147,IF(T147=(inputs!$C$9-1),(U147+1),U147), U147)</f>
        <v>1</v>
      </c>
      <c r="V148" s="7">
        <f t="shared" si="4"/>
        <v>145</v>
      </c>
      <c r="W148" s="8">
        <f>IF((U148&gt;U147), (EXP(-LN(2)/inputs!$C$51)*W147+$W$3), (EXP(-LN(2)/inputs!$C$51)*W147))</f>
        <v>2.4698048184911125E-7</v>
      </c>
      <c r="X148" s="8">
        <f>IF((U148&gt;U147), (EXP(-LN(2)/inputs!$C$51)*X147+$X$3), (EXP(-LN(2)/inputs!$C$51)*X147))</f>
        <v>1.046034981949176E-7</v>
      </c>
      <c r="Y148" s="8">
        <f>IF((U148&gt;U147), (EXP(-LN(2)/inputs!$C$51)*Y147+$Y$3), (EXP(-LN(2)/inputs!$C$51)*Y147))</f>
        <v>1.3075437274364726E-7</v>
      </c>
      <c r="Z148" s="8">
        <f>IF((U148&gt;U147), (EXP(-LN(2)/inputs!$C$51)*Z147+$Z$3), (EXP(-LN(2)/inputs!$C$51)*Z147))</f>
        <v>2.0339569093456203E-8</v>
      </c>
      <c r="AA148" s="8">
        <f>IF((U148&gt;U147), (EXP(-LN(2)/inputs!$C$51)*AA147+$AA$3), (EXP(-LN(2)/inputs!$C$51)*AA147))</f>
        <v>1.8886742729637901E-7</v>
      </c>
      <c r="AB148" s="7">
        <f>(((0.621*15^0.564)/0.2))*W148/15+AB147*inputs!$C$53</f>
        <v>2.6576696400495898E-7</v>
      </c>
      <c r="AC148" s="7">
        <f>(((0.621*1000^0.564)/0.2))*W148/1000+AC147*inputs!$C$53</f>
        <v>4.2586974162245966E-8</v>
      </c>
      <c r="AD148" s="7">
        <f>(((0.648*20^0.651)/0.2))*AA148/20+AD147*inputs!$C$54</f>
        <v>2.8448763552678279E-7</v>
      </c>
      <c r="AE148" s="7">
        <f>(((0.013*2^0.773)/0.2))*AA148/2+AE147*inputs!$C$54</f>
        <v>1.3872585227820759E-8</v>
      </c>
    </row>
    <row r="149" spans="1:31" x14ac:dyDescent="0.3">
      <c r="A149" s="7">
        <f>IF(A148&lt;(inputs!$C$9-1),(1+A148),0)</f>
        <v>0</v>
      </c>
      <c r="B149" s="7">
        <f>IF(inputs!$C$8&gt;B148,IF(A148=(inputs!$C$9-1),(B148+1),B148), B148)</f>
        <v>1</v>
      </c>
      <c r="C149" s="7">
        <f t="shared" si="5"/>
        <v>146</v>
      </c>
      <c r="D149" s="8">
        <f>IF((B149&gt;B148), (EXP(-LN(2)/inputs!$C$51)*D148+$D$3), (EXP(-LN(2)/inputs!$C$51)*D148))</f>
        <v>6.1186672709025721E-7</v>
      </c>
      <c r="E149" s="8">
        <f>IF((B149&gt;B148), (EXP(-LN(2)/inputs!$C$51)*E148+$E$3), (EXP(-LN(2)/inputs!$C$51)*E148))</f>
        <v>2.8043891658303451E-7</v>
      </c>
      <c r="F149" s="8">
        <f>IF((B149&gt;B148), (EXP(-LN(2)/inputs!$C$51)*F148+$F$3), (EXP(-LN(2)/inputs!$C$51)*F148))</f>
        <v>3.4417503398827006E-7</v>
      </c>
      <c r="G149" s="8">
        <f>IF((B149&gt;B148), (EXP(-LN(2)/inputs!$C$51)*G148+$G$3), (EXP(-LN(2)/inputs!$C$51)*G148))</f>
        <v>3.8241670443141076E-8</v>
      </c>
      <c r="H149" s="8">
        <f>IF((B149&gt;B148), (EXP(-LN(2)/inputs!$C$51)*H148+$H$3), (EXP(-LN(2)/inputs!$C$51)*H148))</f>
        <v>2.3964780144368419E-7</v>
      </c>
      <c r="I149" s="7">
        <f>O149*(10^inputs!$C$55)*0.01/1</f>
        <v>0.48310189444991886</v>
      </c>
      <c r="J149" s="7">
        <f>(((0.621*15^0.564)/0.2))*D149/15+J148*inputs!$C$53</f>
        <v>6.5840815119056584E-7</v>
      </c>
      <c r="K149" s="7">
        <f>(((0.621*1000^0.564)/0.2))*D149/1000+K148*inputs!$C$53</f>
        <v>1.0550450101255462E-7</v>
      </c>
      <c r="L149" s="7">
        <f>(((0.648*20^0.651)/0.2))*H149/20+L148*inputs!$C$54</f>
        <v>3.6097720696390689E-7</v>
      </c>
      <c r="M149" s="7">
        <f>(((0.013*2^0.773)/0.2))*H149/2+M148*inputs!$C$54</f>
        <v>1.7602477027287353E-8</v>
      </c>
      <c r="N149" s="7">
        <f>O149*0.015*inputs!$C$56</f>
        <v>7.0977136580289479E-2</v>
      </c>
      <c r="O149" s="7">
        <f>IF((B149&gt;B148), (EXP(-LN(2)/inputs!$C$52)*O148+$O$3), (EXP(-LN(2)/inputs!$C$52)*O148))</f>
        <v>7.6566490377874309E-3</v>
      </c>
      <c r="P149" s="3">
        <f>IF((B149&gt;B148), (EXP(-LN(2)/inputs!$C$52)*P148+$P$3), (EXP(-LN(2)/inputs!$C$52)*P148))</f>
        <v>7.3986576465604028E-3</v>
      </c>
      <c r="Q149" s="19">
        <f>IF((F149*0.62*1/(0.012*(10^inputs!$C$55)))&gt;inputs!$C$57, inputs!$C$57, (F149*0.62*1/(0.012*(10^inputs!$C$55))))</f>
        <v>2.8183167866459185E-9</v>
      </c>
      <c r="R149" s="3">
        <f>IF((B149&gt;B148), (EXP(-LN(2)/inputs!$C$51)*R148+$R$3), (EXP(-LN(2)/inputs!$C$51)*R148))</f>
        <v>6.5482015641473099E-15</v>
      </c>
      <c r="T149" s="7">
        <f>IF(T148&lt;(inputs!$C$9-1),(1+T148),0)</f>
        <v>0</v>
      </c>
      <c r="U149" s="7">
        <f>IF(inputs!$C$8&gt;U148,IF(T148=(inputs!$C$9-1),(U148+1),U148), U148)</f>
        <v>1</v>
      </c>
      <c r="V149" s="7">
        <f t="shared" si="4"/>
        <v>146</v>
      </c>
      <c r="W149" s="8">
        <f>IF((U149&gt;U148), (EXP(-LN(2)/inputs!$C$51)*W148+$W$3), (EXP(-LN(2)/inputs!$C$51)*W148))</f>
        <v>2.1670279917779956E-7</v>
      </c>
      <c r="X149" s="8">
        <f>IF((U149&gt;U148), (EXP(-LN(2)/inputs!$C$51)*X148+$X$3), (EXP(-LN(2)/inputs!$C$51)*X148))</f>
        <v>9.1780009063538547E-8</v>
      </c>
      <c r="Y149" s="8">
        <f>IF((U149&gt;U148), (EXP(-LN(2)/inputs!$C$51)*Y148+$Y$3), (EXP(-LN(2)/inputs!$C$51)*Y148))</f>
        <v>1.1472501132942341E-7</v>
      </c>
      <c r="Z149" s="8">
        <f>IF((U149&gt;U148), (EXP(-LN(2)/inputs!$C$51)*Z148+$Z$3), (EXP(-LN(2)/inputs!$C$51)*Z148))</f>
        <v>1.784611287346583E-8</v>
      </c>
      <c r="AA149" s="8">
        <f>IF((U149&gt;U148), (EXP(-LN(2)/inputs!$C$51)*AA148+$AA$3), (EXP(-LN(2)/inputs!$C$51)*AA148))</f>
        <v>1.6571390525361127E-7</v>
      </c>
      <c r="AB149" s="7">
        <f>(((0.621*15^0.564)/0.2))*W149/15+AB148*inputs!$C$53</f>
        <v>2.3318622021332555E-7</v>
      </c>
      <c r="AC149" s="7">
        <f>(((0.621*1000^0.564)/0.2))*W149/1000+AC148*inputs!$C$53</f>
        <v>3.7366177441946453E-8</v>
      </c>
      <c r="AD149" s="7">
        <f>(((0.648*20^0.651)/0.2))*AA149/20+AD148*inputs!$C$54</f>
        <v>2.4961189843248859E-7</v>
      </c>
      <c r="AE149" s="7">
        <f>(((0.013*2^0.773)/0.2))*AA149/2+AE148*inputs!$C$54</f>
        <v>1.2171925603975285E-8</v>
      </c>
    </row>
    <row r="150" spans="1:31" x14ac:dyDescent="0.3">
      <c r="A150" s="7">
        <f>IF(A149&lt;(inputs!$C$9-1),(1+A149),0)</f>
        <v>0</v>
      </c>
      <c r="B150" s="7">
        <f>IF(inputs!$C$8&gt;B149,IF(A149=(inputs!$C$9-1),(B149+1),B149), B149)</f>
        <v>1</v>
      </c>
      <c r="C150" s="7">
        <f t="shared" si="5"/>
        <v>147</v>
      </c>
      <c r="D150" s="8">
        <f>IF((B150&gt;B149), (EXP(-LN(2)/inputs!$C$51)*D149+$D$3), (EXP(-LN(2)/inputs!$C$51)*D149))</f>
        <v>5.3685712932256404E-7</v>
      </c>
      <c r="E150" s="8">
        <f>IF((B150&gt;B149), (EXP(-LN(2)/inputs!$C$51)*E149+$E$3), (EXP(-LN(2)/inputs!$C$51)*E149))</f>
        <v>2.4605951760617517E-7</v>
      </c>
      <c r="F150" s="8">
        <f>IF((B150&gt;B149), (EXP(-LN(2)/inputs!$C$51)*F149+$F$3), (EXP(-LN(2)/inputs!$C$51)*F149))</f>
        <v>3.019821352439426E-7</v>
      </c>
      <c r="G150" s="8">
        <f>IF((B150&gt;B149), (EXP(-LN(2)/inputs!$C$51)*G149+$G$3), (EXP(-LN(2)/inputs!$C$51)*G149))</f>
        <v>3.3553570582660252E-8</v>
      </c>
      <c r="H150" s="8">
        <f>IF((B150&gt;B149), (EXP(-LN(2)/inputs!$C$51)*H149+$H$3), (EXP(-LN(2)/inputs!$C$51)*H149))</f>
        <v>2.1026904231800437E-7</v>
      </c>
      <c r="I150" s="7">
        <f>O150*(10^inputs!$C$55)*0.01/1</f>
        <v>0.47335276372891083</v>
      </c>
      <c r="J150" s="7">
        <f>(((0.621*15^0.564)/0.2))*D150/15+J149*inputs!$C$53</f>
        <v>5.7769297515438025E-7</v>
      </c>
      <c r="K150" s="7">
        <f>(((0.621*1000^0.564)/0.2))*D150/1000+K149*inputs!$C$53</f>
        <v>9.2570556685711823E-8</v>
      </c>
      <c r="L150" s="7">
        <f>(((0.648*20^0.651)/0.2))*H150/20+L149*inputs!$C$54</f>
        <v>3.1672450633670992E-7</v>
      </c>
      <c r="M150" s="7">
        <f>(((0.013*2^0.773)/0.2))*H150/2+M149*inputs!$C$54</f>
        <v>1.5444564751503291E-8</v>
      </c>
      <c r="N150" s="7">
        <f>O150*0.015*inputs!$C$56</f>
        <v>6.9544798204734179E-2</v>
      </c>
      <c r="O150" s="7">
        <f>IF((B150&gt;B149), (EXP(-LN(2)/inputs!$C$52)*O149+$O$3), (EXP(-LN(2)/inputs!$C$52)*O149))</f>
        <v>7.502135728666039E-3</v>
      </c>
      <c r="P150" s="3">
        <f>IF((B150&gt;B149), (EXP(-LN(2)/inputs!$C$52)*P149+$P$3), (EXP(-LN(2)/inputs!$C$52)*P149))</f>
        <v>7.2493506755363412E-3</v>
      </c>
      <c r="Q150" s="19">
        <f>IF((F150*0.62*1/(0.012*(10^inputs!$C$55)))&gt;inputs!$C$57, inputs!$C$57, (F150*0.62*1/(0.012*(10^inputs!$C$55))))</f>
        <v>2.4728153903638098E-9</v>
      </c>
      <c r="R150" s="3">
        <f>IF((B150&gt;B149), (EXP(-LN(2)/inputs!$C$51)*R149+$R$3), (EXP(-LN(2)/inputs!$C$51)*R149))</f>
        <v>5.7454483767591446E-15</v>
      </c>
      <c r="T150" s="7">
        <f>IF(T149&lt;(inputs!$C$9-1),(1+T149),0)</f>
        <v>0</v>
      </c>
      <c r="U150" s="7">
        <f>IF(inputs!$C$8&gt;U149,IF(T149=(inputs!$C$9-1),(U149+1),U149), U149)</f>
        <v>1</v>
      </c>
      <c r="V150" s="7">
        <f t="shared" si="4"/>
        <v>147</v>
      </c>
      <c r="W150" s="8">
        <f>IF((U150&gt;U149), (EXP(-LN(2)/inputs!$C$51)*W149+$W$3), (EXP(-LN(2)/inputs!$C$51)*W149))</f>
        <v>1.9013689996840822E-7</v>
      </c>
      <c r="X150" s="8">
        <f>IF((U150&gt;U149), (EXP(-LN(2)/inputs!$C$51)*X149+$X$3), (EXP(-LN(2)/inputs!$C$51)*X149))</f>
        <v>8.0528569398384574E-8</v>
      </c>
      <c r="Y150" s="8">
        <f>IF((U150&gt;U149), (EXP(-LN(2)/inputs!$C$51)*Y149+$Y$3), (EXP(-LN(2)/inputs!$C$51)*Y149))</f>
        <v>1.0066071174798093E-7</v>
      </c>
      <c r="Z150" s="8">
        <f>IF((U150&gt;U149), (EXP(-LN(2)/inputs!$C$51)*Z149+$Z$3), (EXP(-LN(2)/inputs!$C$51)*Z149))</f>
        <v>1.5658332938574779E-8</v>
      </c>
      <c r="AA150" s="8">
        <f>IF((U150&gt;U149), (EXP(-LN(2)/inputs!$C$51)*AA149+$AA$3), (EXP(-LN(2)/inputs!$C$51)*AA149))</f>
        <v>1.4539880585819438E-7</v>
      </c>
      <c r="AB150" s="7">
        <f>(((0.621*15^0.564)/0.2))*W150/15+AB149*inputs!$C$53</f>
        <v>2.0459959536717645E-7</v>
      </c>
      <c r="AC150" s="7">
        <f>(((0.621*1000^0.564)/0.2))*W150/1000+AC149*inputs!$C$53</f>
        <v>3.278540549285629E-8</v>
      </c>
      <c r="AD150" s="7">
        <f>(((0.648*20^0.651)/0.2))*AA150/20+AD149*inputs!$C$54</f>
        <v>2.1901162672219283E-7</v>
      </c>
      <c r="AE150" s="7">
        <f>(((0.013*2^0.773)/0.2))*AA150/2+AE149*inputs!$C$54</f>
        <v>1.0679752221784181E-8</v>
      </c>
    </row>
    <row r="151" spans="1:31" x14ac:dyDescent="0.3">
      <c r="A151" s="7">
        <f>IF(A150&lt;(inputs!$C$9-1),(1+A150),0)</f>
        <v>0</v>
      </c>
      <c r="B151" s="7">
        <f>IF(inputs!$C$8&gt;B150,IF(A150=(inputs!$C$9-1),(B150+1),B150), B150)</f>
        <v>1</v>
      </c>
      <c r="C151" s="7">
        <f t="shared" si="5"/>
        <v>148</v>
      </c>
      <c r="D151" s="8">
        <f>IF((B151&gt;B150), (EXP(-LN(2)/inputs!$C$51)*D150+$D$3), (EXP(-LN(2)/inputs!$C$51)*D150))</f>
        <v>4.7104306304589956E-7</v>
      </c>
      <c r="E151" s="8">
        <f>IF((B151&gt;B150), (EXP(-LN(2)/inputs!$C$51)*E150+$E$3), (EXP(-LN(2)/inputs!$C$51)*E150))</f>
        <v>2.1589473722937063E-7</v>
      </c>
      <c r="F151" s="8">
        <f>IF((B151&gt;B150), (EXP(-LN(2)/inputs!$C$51)*F150+$F$3), (EXP(-LN(2)/inputs!$C$51)*F150))</f>
        <v>2.6496172296331878E-7</v>
      </c>
      <c r="G151" s="8">
        <f>IF((B151&gt;B150), (EXP(-LN(2)/inputs!$C$51)*G150+$G$3), (EXP(-LN(2)/inputs!$C$51)*G150))</f>
        <v>2.9440191440368722E-8</v>
      </c>
      <c r="H151" s="8">
        <f>IF((B151&gt;B150), (EXP(-LN(2)/inputs!$C$51)*H150+$H$3), (EXP(-LN(2)/inputs!$C$51)*H150))</f>
        <v>1.844918663596441E-7</v>
      </c>
      <c r="I151" s="7">
        <f>O151*(10^inputs!$C$55)*0.01/1</f>
        <v>0.46380037317991862</v>
      </c>
      <c r="J151" s="7">
        <f>(((0.621*15^0.564)/0.2))*D151/15+J150*inputs!$C$53</f>
        <v>5.0687278542839107E-7</v>
      </c>
      <c r="K151" s="7">
        <f>(((0.621*1000^0.564)/0.2))*D151/1000+K150*inputs!$C$53</f>
        <v>8.1222202681977264E-8</v>
      </c>
      <c r="L151" s="7">
        <f>(((0.648*20^0.651)/0.2))*H151/20+L150*inputs!$C$54</f>
        <v>2.7789680616666403E-7</v>
      </c>
      <c r="M151" s="7">
        <f>(((0.013*2^0.773)/0.2))*H151/2+M150*inputs!$C$54</f>
        <v>1.3551193959441143E-8</v>
      </c>
      <c r="N151" s="7">
        <f>O151*0.015*inputs!$C$56</f>
        <v>6.8141364816347069E-2</v>
      </c>
      <c r="O151" s="7">
        <f>IF((B151&gt;B150), (EXP(-LN(2)/inputs!$C$52)*O150+$O$3), (EXP(-LN(2)/inputs!$C$52)*O150))</f>
        <v>7.3507405411377636E-3</v>
      </c>
      <c r="P151" s="3">
        <f>IF((B151&gt;B150), (EXP(-LN(2)/inputs!$C$52)*P150+$P$3), (EXP(-LN(2)/inputs!$C$52)*P150))</f>
        <v>7.1030567607531965E-3</v>
      </c>
      <c r="Q151" s="19">
        <f>IF((F151*0.62*1/(0.012*(10^inputs!$C$55)))&gt;inputs!$C$57, inputs!$C$57, (F151*0.62*1/(0.012*(10^inputs!$C$55))))</f>
        <v>2.1696694934345433E-9</v>
      </c>
      <c r="R151" s="3">
        <f>IF((B151&gt;B150), (EXP(-LN(2)/inputs!$C$51)*R150+$R$3), (EXP(-LN(2)/inputs!$C$51)*R150))</f>
        <v>5.0411058252607086E-15</v>
      </c>
      <c r="T151" s="7">
        <f>IF(T150&lt;(inputs!$C$9-1),(1+T150),0)</f>
        <v>0</v>
      </c>
      <c r="U151" s="7">
        <f>IF(inputs!$C$8&gt;U150,IF(T150=(inputs!$C$9-1),(U150+1),U150), U150)</f>
        <v>1</v>
      </c>
      <c r="V151" s="7">
        <f t="shared" si="4"/>
        <v>148</v>
      </c>
      <c r="W151" s="8">
        <f>IF((U151&gt;U150), (EXP(-LN(2)/inputs!$C$51)*W150+$W$3), (EXP(-LN(2)/inputs!$C$51)*W150))</f>
        <v>1.6682775149542289E-7</v>
      </c>
      <c r="X151" s="8">
        <f>IF((U151&gt;U150), (EXP(-LN(2)/inputs!$C$51)*X150+$X$3), (EXP(-LN(2)/inputs!$C$51)*X150))</f>
        <v>7.0656459456884905E-8</v>
      </c>
      <c r="Y151" s="8">
        <f>IF((U151&gt;U150), (EXP(-LN(2)/inputs!$C$51)*Y150+$Y$3), (EXP(-LN(2)/inputs!$C$51)*Y150))</f>
        <v>8.8320574321106316E-8</v>
      </c>
      <c r="Z151" s="8">
        <f>IF((U151&gt;U150), (EXP(-LN(2)/inputs!$C$51)*Z150+$Z$3), (EXP(-LN(2)/inputs!$C$51)*Z150))</f>
        <v>1.37387560055054E-8</v>
      </c>
      <c r="AA151" s="8">
        <f>IF((U151&gt;U150), (EXP(-LN(2)/inputs!$C$51)*AA150+$AA$3), (EXP(-LN(2)/inputs!$C$51)*AA150))</f>
        <v>1.2757416290826444E-7</v>
      </c>
      <c r="AB151" s="7">
        <f>(((0.621*15^0.564)/0.2))*W151/15+AB150*inputs!$C$53</f>
        <v>1.7951744483922198E-7</v>
      </c>
      <c r="AC151" s="7">
        <f>(((0.621*1000^0.564)/0.2))*W151/1000+AC150*inputs!$C$53</f>
        <v>2.8766196783200297E-8</v>
      </c>
      <c r="AD151" s="7">
        <f>(((0.648*20^0.651)/0.2))*AA151/20+AD150*inputs!$C$54</f>
        <v>1.9216268511524624E-7</v>
      </c>
      <c r="AE151" s="7">
        <f>(((0.013*2^0.773)/0.2))*AA151/2+AE150*inputs!$C$54</f>
        <v>9.3705064613156759E-9</v>
      </c>
    </row>
    <row r="152" spans="1:31" x14ac:dyDescent="0.3">
      <c r="A152" s="7">
        <f>IF(A151&lt;(inputs!$C$9-1),(1+A151),0)</f>
        <v>0</v>
      </c>
      <c r="B152" s="7">
        <f>IF(inputs!$C$8&gt;B151,IF(A151=(inputs!$C$9-1),(B151+1),B151), B151)</f>
        <v>1</v>
      </c>
      <c r="C152" s="7">
        <f t="shared" si="5"/>
        <v>149</v>
      </c>
      <c r="D152" s="8">
        <f>IF((B152&gt;B151), (EXP(-LN(2)/inputs!$C$51)*D151+$D$3), (EXP(-LN(2)/inputs!$C$51)*D151))</f>
        <v>4.1329723519485665E-7</v>
      </c>
      <c r="E152" s="8">
        <f>IF((B152&gt;B151), (EXP(-LN(2)/inputs!$C$51)*E151+$E$3), (EXP(-LN(2)/inputs!$C$51)*E151))</f>
        <v>1.8942789946430929E-7</v>
      </c>
      <c r="F152" s="8">
        <f>IF((B152&gt;B151), (EXP(-LN(2)/inputs!$C$51)*F151+$F$3), (EXP(-LN(2)/inputs!$C$51)*F151))</f>
        <v>2.3247969479710711E-7</v>
      </c>
      <c r="G152" s="8">
        <f>IF((B152&gt;B151), (EXP(-LN(2)/inputs!$C$51)*G151+$G$3), (EXP(-LN(2)/inputs!$C$51)*G151))</f>
        <v>2.5831077199678541E-8</v>
      </c>
      <c r="H152" s="8">
        <f>IF((B152&gt;B151), (EXP(-LN(2)/inputs!$C$51)*H151+$H$3), (EXP(-LN(2)/inputs!$C$51)*H151))</f>
        <v>1.6187475045131893E-7</v>
      </c>
      <c r="I152" s="7">
        <f>O152*(10^inputs!$C$55)*0.01/1</f>
        <v>0.45444075253150057</v>
      </c>
      <c r="J152" s="7">
        <f>(((0.621*15^0.564)/0.2))*D152/15+J151*inputs!$C$53</f>
        <v>4.4473454180272417E-7</v>
      </c>
      <c r="K152" s="7">
        <f>(((0.621*1000^0.564)/0.2))*D152/1000+K151*inputs!$C$53</f>
        <v>7.1265059266197996E-8</v>
      </c>
      <c r="L152" s="7">
        <f>(((0.648*20^0.651)/0.2))*H152/20+L151*inputs!$C$54</f>
        <v>2.4382904806088094E-7</v>
      </c>
      <c r="M152" s="7">
        <f>(((0.013*2^0.773)/0.2))*H152/2+M151*inputs!$C$54</f>
        <v>1.1889934140651008E-8</v>
      </c>
      <c r="N152" s="7">
        <f>O152*0.015*inputs!$C$56</f>
        <v>6.6766253104440218E-2</v>
      </c>
      <c r="O152" s="7">
        <f>IF((B152&gt;B151), (EXP(-LN(2)/inputs!$C$52)*O151+$O$3), (EXP(-LN(2)/inputs!$C$52)*O151))</f>
        <v>7.2024005506408006E-3</v>
      </c>
      <c r="P152" s="3">
        <f>IF((B152&gt;B151), (EXP(-LN(2)/inputs!$C$52)*P151+$P$3), (EXP(-LN(2)/inputs!$C$52)*P151))</f>
        <v>6.9597150978972216E-3</v>
      </c>
      <c r="Q152" s="19">
        <f>IF((F152*0.62*1/(0.012*(10^inputs!$C$55)))&gt;inputs!$C$57, inputs!$C$57, (F152*0.62*1/(0.012*(10^inputs!$C$55))))</f>
        <v>1.9036866759584222E-9</v>
      </c>
      <c r="R152" s="3">
        <f>IF((B152&gt;B151), (EXP(-LN(2)/inputs!$C$51)*R151+$R$3), (EXP(-LN(2)/inputs!$C$51)*R151))</f>
        <v>4.4231096121713147E-15</v>
      </c>
      <c r="T152" s="7">
        <f>IF(T151&lt;(inputs!$C$9-1),(1+T151),0)</f>
        <v>0</v>
      </c>
      <c r="U152" s="7">
        <f>IF(inputs!$C$8&gt;U151,IF(T151=(inputs!$C$9-1),(U151+1),U151), U151)</f>
        <v>1</v>
      </c>
      <c r="V152" s="7">
        <f t="shared" si="4"/>
        <v>149</v>
      </c>
      <c r="W152" s="8">
        <f>IF((U152&gt;U151), (EXP(-LN(2)/inputs!$C$51)*W151+$W$3), (EXP(-LN(2)/inputs!$C$51)*W151))</f>
        <v>1.4637610413151184E-7</v>
      </c>
      <c r="X152" s="8">
        <f>IF((U152&gt;U151), (EXP(-LN(2)/inputs!$C$51)*X151+$X$3), (EXP(-LN(2)/inputs!$C$51)*X151))</f>
        <v>6.1994585279228471E-8</v>
      </c>
      <c r="Y152" s="8">
        <f>IF((U152&gt;U151), (EXP(-LN(2)/inputs!$C$51)*Y151+$Y$3), (EXP(-LN(2)/inputs!$C$51)*Y151))</f>
        <v>7.7493231599035751E-8</v>
      </c>
      <c r="Z152" s="8">
        <f>IF((U152&gt;U151), (EXP(-LN(2)/inputs!$C$51)*Z151+$Z$3), (EXP(-LN(2)/inputs!$C$51)*Z151))</f>
        <v>1.2054502693183315E-8</v>
      </c>
      <c r="AA152" s="8">
        <f>IF((U152&gt;U151), (EXP(-LN(2)/inputs!$C$51)*AA151+$AA$3), (EXP(-LN(2)/inputs!$C$51)*AA151))</f>
        <v>1.1193466786527366E-7</v>
      </c>
      <c r="AB152" s="7">
        <f>(((0.621*15^0.564)/0.2))*W152/15+AB151*inputs!$C$53</f>
        <v>1.5751015022179825E-7</v>
      </c>
      <c r="AC152" s="7">
        <f>(((0.621*1000^0.564)/0.2))*W152/1000+AC151*inputs!$C$53</f>
        <v>2.5239708490111808E-8</v>
      </c>
      <c r="AD152" s="7">
        <f>(((0.648*20^0.651)/0.2))*AA152/20+AD151*inputs!$C$54</f>
        <v>1.6860519280805588E-7</v>
      </c>
      <c r="AE152" s="7">
        <f>(((0.013*2^0.773)/0.2))*AA152/2+AE151*inputs!$C$54</f>
        <v>8.2217629695990955E-9</v>
      </c>
    </row>
    <row r="153" spans="1:31" x14ac:dyDescent="0.3">
      <c r="A153" s="7">
        <f>IF(A152&lt;(inputs!$C$9-1),(1+A152),0)</f>
        <v>0</v>
      </c>
      <c r="B153" s="7">
        <f>IF(inputs!$C$8&gt;B152,IF(A152=(inputs!$C$9-1),(B152+1),B152), B152)</f>
        <v>1</v>
      </c>
      <c r="C153" s="7">
        <f t="shared" si="5"/>
        <v>150</v>
      </c>
      <c r="D153" s="8">
        <f>IF((B153&gt;B152), (EXP(-LN(2)/inputs!$C$51)*D152+$D$3), (EXP(-LN(2)/inputs!$C$51)*D152))</f>
        <v>3.626305491374322E-7</v>
      </c>
      <c r="E153" s="8">
        <f>IF((B153&gt;B152), (EXP(-LN(2)/inputs!$C$51)*E152+$E$3), (EXP(-LN(2)/inputs!$C$51)*E152))</f>
        <v>1.6620566835465641E-7</v>
      </c>
      <c r="F153" s="8">
        <f>IF((B153&gt;B152), (EXP(-LN(2)/inputs!$C$51)*F152+$F$3), (EXP(-LN(2)/inputs!$C$51)*F152))</f>
        <v>2.0397968388980583E-7</v>
      </c>
      <c r="G153" s="8">
        <f>IF((B153&gt;B152), (EXP(-LN(2)/inputs!$C$51)*G152+$G$3), (EXP(-LN(2)/inputs!$C$51)*G152))</f>
        <v>2.2664409321089512E-8</v>
      </c>
      <c r="H153" s="8">
        <f>IF((B153&gt;B152), (EXP(-LN(2)/inputs!$C$51)*H152+$H$3), (EXP(-LN(2)/inputs!$C$51)*H152))</f>
        <v>1.4203029841216102E-7</v>
      </c>
      <c r="I153" s="7">
        <f>O153*(10^inputs!$C$55)*0.01/1</f>
        <v>0.44527001163339763</v>
      </c>
      <c r="J153" s="7">
        <f>(((0.621*15^0.564)/0.2))*D153/15+J152*inputs!$C$53</f>
        <v>3.9021391236326654E-7</v>
      </c>
      <c r="K153" s="7">
        <f>(((0.621*1000^0.564)/0.2))*D153/1000+K152*inputs!$C$53</f>
        <v>6.2528575986792944E-8</v>
      </c>
      <c r="L153" s="7">
        <f>(((0.648*20^0.651)/0.2))*H153/20+L152*inputs!$C$54</f>
        <v>2.1393770406493869E-7</v>
      </c>
      <c r="M153" s="7">
        <f>(((0.013*2^0.773)/0.2))*H153/2+M152*inputs!$C$54</f>
        <v>1.0432330486313001E-8</v>
      </c>
      <c r="N153" s="7">
        <f>O153*0.015*inputs!$C$56</f>
        <v>6.5418891529697779E-2</v>
      </c>
      <c r="O153" s="7">
        <f>IF((B153&gt;B152), (EXP(-LN(2)/inputs!$C$52)*O152+$O$3), (EXP(-LN(2)/inputs!$C$52)*O152))</f>
        <v>7.0570541024485203E-3</v>
      </c>
      <c r="P153" s="3">
        <f>IF((B153&gt;B152), (EXP(-LN(2)/inputs!$C$52)*P152+$P$3), (EXP(-LN(2)/inputs!$C$52)*P152))</f>
        <v>6.8192661097026463E-3</v>
      </c>
      <c r="Q153" s="19">
        <f>IF((F153*0.62*1/(0.012*(10^inputs!$C$55)))&gt;inputs!$C$57, inputs!$C$57, (F153*0.62*1/(0.012*(10^inputs!$C$55))))</f>
        <v>1.6703110640528342E-9</v>
      </c>
      <c r="R153" s="3">
        <f>IF((B153&gt;B152), (EXP(-LN(2)/inputs!$C$51)*R152+$R$3), (EXP(-LN(2)/inputs!$C$51)*R152))</f>
        <v>3.8808744191103151E-15</v>
      </c>
      <c r="T153" s="7">
        <f>IF(T152&lt;(inputs!$C$9-1),(1+T152),0)</f>
        <v>0</v>
      </c>
      <c r="U153" s="7">
        <f>IF(inputs!$C$8&gt;U152,IF(T152=(inputs!$C$9-1),(U152+1),U152), U152)</f>
        <v>1</v>
      </c>
      <c r="V153" s="7">
        <f t="shared" si="4"/>
        <v>150</v>
      </c>
      <c r="W153" s="8">
        <f>IF((U153&gt;U152), (EXP(-LN(2)/inputs!$C$51)*W152+$W$3), (EXP(-LN(2)/inputs!$C$51)*W152))</f>
        <v>1.2843165281950732E-7</v>
      </c>
      <c r="X153" s="8">
        <f>IF((U153&gt;U152), (EXP(-LN(2)/inputs!$C$51)*X152+$X$3), (EXP(-LN(2)/inputs!$C$51)*X152))</f>
        <v>5.4394582370614803E-8</v>
      </c>
      <c r="Y153" s="8">
        <f>IF((U153&gt;U152), (EXP(-LN(2)/inputs!$C$51)*Y152+$Y$3), (EXP(-LN(2)/inputs!$C$51)*Y152))</f>
        <v>6.7993227963268653E-8</v>
      </c>
      <c r="Z153" s="8">
        <f>IF((U153&gt;U152), (EXP(-LN(2)/inputs!$C$51)*Z152+$Z$3), (EXP(-LN(2)/inputs!$C$51)*Z152))</f>
        <v>1.0576724349841769E-8</v>
      </c>
      <c r="AA153" s="8">
        <f>IF((U153&gt;U152), (EXP(-LN(2)/inputs!$C$51)*AA152+$AA$3), (EXP(-LN(2)/inputs!$C$51)*AA152))</f>
        <v>9.8212440391387866E-8</v>
      </c>
      <c r="AB153" s="7">
        <f>(((0.621*15^0.564)/0.2))*W153/15+AB152*inputs!$C$53</f>
        <v>1.3820076062865699E-7</v>
      </c>
      <c r="AC153" s="7">
        <f>(((0.621*1000^0.564)/0.2))*W153/1000+AC152*inputs!$C$53</f>
        <v>2.2145537328655851E-8</v>
      </c>
      <c r="AD153" s="7">
        <f>(((0.648*20^0.651)/0.2))*AA153/20+AD152*inputs!$C$54</f>
        <v>1.4793564642788306E-7</v>
      </c>
      <c r="AE153" s="7">
        <f>(((0.013*2^0.773)/0.2))*AA153/2+AE152*inputs!$C$54</f>
        <v>7.2138455490462199E-9</v>
      </c>
    </row>
    <row r="154" spans="1:31" x14ac:dyDescent="0.3">
      <c r="A154" s="7">
        <f>IF(A153&lt;(inputs!$C$9-1),(1+A153),0)</f>
        <v>0</v>
      </c>
      <c r="B154" s="7">
        <f>IF(inputs!$C$8&gt;B153,IF(A153=(inputs!$C$9-1),(B153+1),B153), B153)</f>
        <v>1</v>
      </c>
      <c r="C154" s="7">
        <f t="shared" si="5"/>
        <v>151</v>
      </c>
      <c r="D154" s="8">
        <f>IF((B154&gt;B153), (EXP(-LN(2)/inputs!$C$51)*D153+$D$3), (EXP(-LN(2)/inputs!$C$51)*D153))</f>
        <v>3.1817516298098891E-7</v>
      </c>
      <c r="E154" s="8">
        <f>IF((B154&gt;B153), (EXP(-LN(2)/inputs!$C$51)*E153+$E$3), (EXP(-LN(2)/inputs!$C$51)*E153))</f>
        <v>1.4583028303295326E-7</v>
      </c>
      <c r="F154" s="8">
        <f>IF((B154&gt;B153), (EXP(-LN(2)/inputs!$C$51)*F153+$F$3), (EXP(-LN(2)/inputs!$C$51)*F153))</f>
        <v>1.7897352917680646E-7</v>
      </c>
      <c r="G154" s="8">
        <f>IF((B154&gt;B153), (EXP(-LN(2)/inputs!$C$51)*G153+$G$3), (EXP(-LN(2)/inputs!$C$51)*G153))</f>
        <v>1.9885947686311807E-8</v>
      </c>
      <c r="H154" s="8">
        <f>IF((B154&gt;B153), (EXP(-LN(2)/inputs!$C$51)*H153+$H$3), (EXP(-LN(2)/inputs!$C$51)*H153))</f>
        <v>1.2461860550088738E-7</v>
      </c>
      <c r="I154" s="7">
        <f>O154*(10^inputs!$C$55)*0.01/1</f>
        <v>0.43628433883966616</v>
      </c>
      <c r="J154" s="7">
        <f>(((0.621*15^0.564)/0.2))*D154/15+J153*inputs!$C$53</f>
        <v>3.423770431337213E-7</v>
      </c>
      <c r="K154" s="7">
        <f>(((0.621*1000^0.564)/0.2))*D154/1000+K153*inputs!$C$53</f>
        <v>5.4863110410554621E-8</v>
      </c>
      <c r="L154" s="7">
        <f>(((0.648*20^0.651)/0.2))*H154/20+L153*inputs!$C$54</f>
        <v>1.8771078173240981E-7</v>
      </c>
      <c r="M154" s="7">
        <f>(((0.013*2^0.773)/0.2))*H154/2+M153*inputs!$C$54</f>
        <v>9.1534165024144291E-9</v>
      </c>
      <c r="N154" s="7">
        <f>O154*0.015*inputs!$C$56</f>
        <v>6.4098720086626385E-2</v>
      </c>
      <c r="O154" s="7">
        <f>IF((B154&gt;B153), (EXP(-LN(2)/inputs!$C$52)*O153+$O$3), (EXP(-LN(2)/inputs!$C$52)*O153))</f>
        <v>6.9146407860438399E-3</v>
      </c>
      <c r="P154" s="3">
        <f>IF((B154&gt;B153), (EXP(-LN(2)/inputs!$C$52)*P153+$P$3), (EXP(-LN(2)/inputs!$C$52)*P153))</f>
        <v>6.6816514211895106E-3</v>
      </c>
      <c r="Q154" s="19">
        <f>IF((F154*0.62*1/(0.012*(10^inputs!$C$55)))&gt;inputs!$C$57, inputs!$C$57, (F154*0.62*1/(0.012*(10^inputs!$C$55))))</f>
        <v>1.4655452947858138E-9</v>
      </c>
      <c r="R154" s="3">
        <f>IF((B154&gt;B153), (EXP(-LN(2)/inputs!$C$51)*R153+$R$3), (EXP(-LN(2)/inputs!$C$51)*R153))</f>
        <v>3.4051125966808801E-15</v>
      </c>
      <c r="T154" s="7">
        <f>IF(T153&lt;(inputs!$C$9-1),(1+T153),0)</f>
        <v>0</v>
      </c>
      <c r="U154" s="7">
        <f>IF(inputs!$C$8&gt;U153,IF(T153=(inputs!$C$9-1),(U153+1),U153), U153)</f>
        <v>1</v>
      </c>
      <c r="V154" s="7">
        <f t="shared" si="4"/>
        <v>151</v>
      </c>
      <c r="W154" s="8">
        <f>IF((U154&gt;U153), (EXP(-LN(2)/inputs!$C$51)*W153+$W$3), (EXP(-LN(2)/inputs!$C$51)*W153))</f>
        <v>1.1268703688910032E-7</v>
      </c>
      <c r="X154" s="8">
        <f>IF((U154&gt;U153), (EXP(-LN(2)/inputs!$C$51)*X153+$X$3), (EXP(-LN(2)/inputs!$C$51)*X153))</f>
        <v>4.7726274447148317E-8</v>
      </c>
      <c r="Y154" s="8">
        <f>IF((U154&gt;U153), (EXP(-LN(2)/inputs!$C$51)*Y153+$Y$3), (EXP(-LN(2)/inputs!$C$51)*Y153))</f>
        <v>5.9657843058935524E-8</v>
      </c>
      <c r="Z154" s="8">
        <f>IF((U154&gt;U153), (EXP(-LN(2)/inputs!$C$51)*Z153+$Z$3), (EXP(-LN(2)/inputs!$C$51)*Z153))</f>
        <v>9.28010892027884E-9</v>
      </c>
      <c r="AA154" s="8">
        <f>IF((U154&gt;U153), (EXP(-LN(2)/inputs!$C$51)*AA153+$AA$3), (EXP(-LN(2)/inputs!$C$51)*AA153))</f>
        <v>8.6172439974017814E-8</v>
      </c>
      <c r="AB154" s="7">
        <f>(((0.621*15^0.564)/0.2))*W154/15+AB153*inputs!$C$53</f>
        <v>1.212585361098597E-7</v>
      </c>
      <c r="AC154" s="7">
        <f>(((0.621*1000^0.564)/0.2))*W154/1000+AC153*inputs!$C$53</f>
        <v>1.9430684937071443E-8</v>
      </c>
      <c r="AD154" s="7">
        <f>(((0.648*20^0.651)/0.2))*AA154/20+AD153*inputs!$C$54</f>
        <v>1.2980000864475138E-7</v>
      </c>
      <c r="AE154" s="7">
        <f>(((0.013*2^0.773)/0.2))*AA154/2+AE153*inputs!$C$54</f>
        <v>6.3294901346482722E-9</v>
      </c>
    </row>
    <row r="155" spans="1:31" x14ac:dyDescent="0.3">
      <c r="A155" s="7">
        <f>IF(A154&lt;(inputs!$C$9-1),(1+A154),0)</f>
        <v>0</v>
      </c>
      <c r="B155" s="7">
        <f>IF(inputs!$C$8&gt;B154,IF(A154=(inputs!$C$9-1),(B154+1),B154), B154)</f>
        <v>1</v>
      </c>
      <c r="C155" s="7">
        <f t="shared" si="5"/>
        <v>152</v>
      </c>
      <c r="D155" s="8">
        <f>IF((B155&gt;B154), (EXP(-LN(2)/inputs!$C$51)*D154+$D$3), (EXP(-LN(2)/inputs!$C$51)*D154))</f>
        <v>2.7916962478418209E-7</v>
      </c>
      <c r="E155" s="8">
        <f>IF((B155&gt;B154), (EXP(-LN(2)/inputs!$C$51)*E154+$E$3), (EXP(-LN(2)/inputs!$C$51)*E154))</f>
        <v>1.2795274469275014E-7</v>
      </c>
      <c r="F155" s="8">
        <f>IF((B155&gt;B154), (EXP(-LN(2)/inputs!$C$51)*F154+$F$3), (EXP(-LN(2)/inputs!$C$51)*F154))</f>
        <v>1.570329139411026E-7</v>
      </c>
      <c r="G155" s="8">
        <f>IF((B155&gt;B154), (EXP(-LN(2)/inputs!$C$51)*G154+$G$3), (EXP(-LN(2)/inputs!$C$51)*G154))</f>
        <v>1.744810154901138E-8</v>
      </c>
      <c r="H155" s="8">
        <f>IF((B155&gt;B154), (EXP(-LN(2)/inputs!$C$51)*H154+$H$3), (EXP(-LN(2)/inputs!$C$51)*H154))</f>
        <v>1.0934143637380471E-7</v>
      </c>
      <c r="I155" s="7">
        <f>O155*(10^inputs!$C$55)*0.01/1</f>
        <v>0.42747999942443865</v>
      </c>
      <c r="J155" s="7">
        <f>(((0.621*15^0.564)/0.2))*D155/15+J154*inputs!$C$53</f>
        <v>3.0040456260273752E-7</v>
      </c>
      <c r="K155" s="7">
        <f>(((0.621*1000^0.564)/0.2))*D155/1000+K154*inputs!$C$53</f>
        <v>4.8137364979436915E-8</v>
      </c>
      <c r="L155" s="7">
        <f>(((0.648*20^0.651)/0.2))*H155/20+L154*inputs!$C$54</f>
        <v>1.6469905448689423E-7</v>
      </c>
      <c r="M155" s="7">
        <f>(((0.013*2^0.773)/0.2))*H155/2+M154*inputs!$C$54</f>
        <v>8.0312863723591787E-9</v>
      </c>
      <c r="N155" s="7">
        <f>O155*0.015*inputs!$C$56</f>
        <v>6.2805190070799446E-2</v>
      </c>
      <c r="O155" s="7">
        <f>IF((B155&gt;B154), (EXP(-LN(2)/inputs!$C$52)*O154+$O$3), (EXP(-LN(2)/inputs!$C$52)*O154))</f>
        <v>6.7751014100107289E-3</v>
      </c>
      <c r="P155" s="3">
        <f>IF((B155&gt;B154), (EXP(-LN(2)/inputs!$C$52)*P154+$P$3), (EXP(-LN(2)/inputs!$C$52)*P154))</f>
        <v>6.5468138354012008E-3</v>
      </c>
      <c r="Q155" s="19">
        <f>IF((F155*0.62*1/(0.012*(10^inputs!$C$55)))&gt;inputs!$C$57, inputs!$C$57, (F155*0.62*1/(0.012*(10^inputs!$C$55))))</f>
        <v>1.2858820475375232E-9</v>
      </c>
      <c r="R155" s="3">
        <f>IF((B155&gt;B154), (EXP(-LN(2)/inputs!$C$51)*R154+$R$3), (EXP(-LN(2)/inputs!$C$51)*R154))</f>
        <v>2.9876750814144857E-15</v>
      </c>
      <c r="T155" s="7">
        <f>IF(T154&lt;(inputs!$C$9-1),(1+T154),0)</f>
        <v>0</v>
      </c>
      <c r="U155" s="7">
        <f>IF(inputs!$C$8&gt;U154,IF(T154=(inputs!$C$9-1),(U154+1),U154), U154)</f>
        <v>1</v>
      </c>
      <c r="V155" s="7">
        <f t="shared" si="4"/>
        <v>152</v>
      </c>
      <c r="W155" s="8">
        <f>IF((U155&gt;U154), (EXP(-LN(2)/inputs!$C$51)*W154+$W$3), (EXP(-LN(2)/inputs!$C$51)*W154))</f>
        <v>9.8872575444397895E-8</v>
      </c>
      <c r="X155" s="8">
        <f>IF((U155&gt;U154), (EXP(-LN(2)/inputs!$C$51)*X154+$X$3), (EXP(-LN(2)/inputs!$C$51)*X154))</f>
        <v>4.1875443717627299E-8</v>
      </c>
      <c r="Y155" s="8">
        <f>IF((U155&gt;U154), (EXP(-LN(2)/inputs!$C$51)*Y154+$Y$3), (EXP(-LN(2)/inputs!$C$51)*Y154))</f>
        <v>5.2344304647034234E-8</v>
      </c>
      <c r="Z155" s="8">
        <f>IF((U155&gt;U154), (EXP(-LN(2)/inputs!$C$51)*Z154+$Z$3), (EXP(-LN(2)/inputs!$C$51)*Z154))</f>
        <v>8.1424473895386416E-9</v>
      </c>
      <c r="AA155" s="8">
        <f>IF((U155&gt;U154), (EXP(-LN(2)/inputs!$C$51)*AA154+$AA$3), (EXP(-LN(2)/inputs!$C$51)*AA154))</f>
        <v>7.5608440045715975E-8</v>
      </c>
      <c r="AB155" s="7">
        <f>(((0.621*15^0.564)/0.2))*W155/15+AB154*inputs!$C$53</f>
        <v>1.0639328258846962E-7</v>
      </c>
      <c r="AC155" s="7">
        <f>(((0.621*1000^0.564)/0.2))*W155/1000+AC154*inputs!$C$53</f>
        <v>1.704865009688392E-8</v>
      </c>
      <c r="AD155" s="7">
        <f>(((0.648*20^0.651)/0.2))*AA155/20+AD154*inputs!$C$54</f>
        <v>1.1388764406008639E-7</v>
      </c>
      <c r="AE155" s="7">
        <f>(((0.013*2^0.773)/0.2))*AA155/2+AE154*inputs!$C$54</f>
        <v>5.5535490872696414E-9</v>
      </c>
    </row>
    <row r="156" spans="1:31" x14ac:dyDescent="0.3">
      <c r="A156" s="7">
        <f>IF(A155&lt;(inputs!$C$9-1),(1+A155),0)</f>
        <v>0</v>
      </c>
      <c r="B156" s="7">
        <f>IF(inputs!$C$8&gt;B155,IF(A155=(inputs!$C$9-1),(B155+1),B155), B155)</f>
        <v>1</v>
      </c>
      <c r="C156" s="7">
        <f t="shared" si="5"/>
        <v>153</v>
      </c>
      <c r="D156" s="8">
        <f>IF((B156&gt;B155), (EXP(-LN(2)/inputs!$C$51)*D155+$D$3), (EXP(-LN(2)/inputs!$C$51)*D155))</f>
        <v>2.4494583006404463E-7</v>
      </c>
      <c r="E156" s="8">
        <f>IF((B156&gt;B155), (EXP(-LN(2)/inputs!$C$51)*E155+$E$3), (EXP(-LN(2)/inputs!$C$51)*E155))</f>
        <v>1.1226683877935381E-7</v>
      </c>
      <c r="F156" s="8">
        <f>IF((B156&gt;B155), (EXP(-LN(2)/inputs!$C$51)*F155+$F$3), (EXP(-LN(2)/inputs!$C$51)*F155))</f>
        <v>1.3778202941102526E-7</v>
      </c>
      <c r="G156" s="8">
        <f>IF((B156&gt;B155), (EXP(-LN(2)/inputs!$C$51)*G155+$G$3), (EXP(-LN(2)/inputs!$C$51)*G155))</f>
        <v>1.5309114379002789E-8</v>
      </c>
      <c r="H156" s="8">
        <f>IF((B156&gt;B155), (EXP(-LN(2)/inputs!$C$51)*H155+$H$3), (EXP(-LN(2)/inputs!$C$51)*H155))</f>
        <v>9.5937116775084213E-8</v>
      </c>
      <c r="I156" s="7">
        <f>O156*(10^inputs!$C$55)*0.01/1</f>
        <v>0.41885333402965552</v>
      </c>
      <c r="J156" s="7">
        <f>(((0.621*15^0.564)/0.2))*D156/15+J155*inputs!$C$53</f>
        <v>2.6357754715842944E-7</v>
      </c>
      <c r="K156" s="7">
        <f>(((0.621*1000^0.564)/0.2))*D156/1000+K155*inputs!$C$53</f>
        <v>4.2236138086653813E-8</v>
      </c>
      <c r="L156" s="7">
        <f>(((0.648*20^0.651)/0.2))*H156/20+L155*inputs!$C$54</f>
        <v>1.4450836706623482E-7</v>
      </c>
      <c r="M156" s="7">
        <f>(((0.013*2^0.773)/0.2))*H156/2+M155*inputs!$C$54</f>
        <v>7.0467197442428686E-9</v>
      </c>
      <c r="N156" s="7">
        <f>O156*0.015*inputs!$C$56</f>
        <v>6.1537763850798455E-2</v>
      </c>
      <c r="O156" s="7">
        <f>IF((B156&gt;B155), (EXP(-LN(2)/inputs!$C$52)*O155+$O$3), (EXP(-LN(2)/inputs!$C$52)*O155))</f>
        <v>6.6383779774324119E-3</v>
      </c>
      <c r="P156" s="3">
        <f>IF((B156&gt;B155), (EXP(-LN(2)/inputs!$C$52)*P155+$P$3), (EXP(-LN(2)/inputs!$C$52)*P155))</f>
        <v>6.4146973096316107E-3</v>
      </c>
      <c r="Q156" s="19">
        <f>IF((F156*0.62*1/(0.012*(10^inputs!$C$55)))&gt;inputs!$C$57, inputs!$C$57, (F156*0.62*1/(0.012*(10^inputs!$C$55))))</f>
        <v>1.1282439690278884E-9</v>
      </c>
      <c r="R156" s="3">
        <f>IF((B156&gt;B155), (EXP(-LN(2)/inputs!$C$51)*R155+$R$3), (EXP(-LN(2)/inputs!$C$51)*R155))</f>
        <v>2.6214118149296543E-15</v>
      </c>
      <c r="T156" s="7">
        <f>IF(T155&lt;(inputs!$C$9-1),(1+T155),0)</f>
        <v>0</v>
      </c>
      <c r="U156" s="7">
        <f>IF(inputs!$C$8&gt;U155,IF(T155=(inputs!$C$9-1),(U155+1),U155), U155)</f>
        <v>1</v>
      </c>
      <c r="V156" s="7">
        <f t="shared" si="4"/>
        <v>153</v>
      </c>
      <c r="W156" s="8">
        <f>IF((U156&gt;U155), (EXP(-LN(2)/inputs!$C$51)*W155+$W$3), (EXP(-LN(2)/inputs!$C$51)*W155))</f>
        <v>8.6751648147682539E-8</v>
      </c>
      <c r="X156" s="8">
        <f>IF((U156&gt;U155), (EXP(-LN(2)/inputs!$C$51)*X155+$X$3), (EXP(-LN(2)/inputs!$C$51)*X155))</f>
        <v>3.6741874509606684E-8</v>
      </c>
      <c r="Y156" s="8">
        <f>IF((U156&gt;U155), (EXP(-LN(2)/inputs!$C$51)*Y155+$Y$3), (EXP(-LN(2)/inputs!$C$51)*Y155))</f>
        <v>4.5927343137008451E-8</v>
      </c>
      <c r="Z156" s="8">
        <f>IF((U156&gt;U155), (EXP(-LN(2)/inputs!$C$51)*Z155+$Z$3), (EXP(-LN(2)/inputs!$C$51)*Z155))</f>
        <v>7.1442533768679668E-9</v>
      </c>
      <c r="AA156" s="8">
        <f>IF((U156&gt;U155), (EXP(-LN(2)/inputs!$C$51)*AA155+$AA$3), (EXP(-LN(2)/inputs!$C$51)*AA155))</f>
        <v>6.6339495642345416E-8</v>
      </c>
      <c r="AB156" s="7">
        <f>(((0.621*15^0.564)/0.2))*W156/15+AB155*inputs!$C$53</f>
        <v>9.3350381285277167E-8</v>
      </c>
      <c r="AC156" s="7">
        <f>(((0.621*1000^0.564)/0.2))*W156/1000+AC155*inputs!$C$53</f>
        <v>1.4958632239023238E-8</v>
      </c>
      <c r="AD156" s="7">
        <f>(((0.648*20^0.651)/0.2))*AA156/20+AD155*inputs!$C$54</f>
        <v>9.9925998503247404E-8</v>
      </c>
      <c r="AE156" s="7">
        <f>(((0.013*2^0.773)/0.2))*AA156/2+AE155*inputs!$C$54</f>
        <v>4.8727317380402775E-9</v>
      </c>
    </row>
    <row r="157" spans="1:31" x14ac:dyDescent="0.3">
      <c r="A157" s="7">
        <f>IF(A156&lt;(inputs!$C$9-1),(1+A156),0)</f>
        <v>0</v>
      </c>
      <c r="B157" s="7">
        <f>IF(inputs!$C$8&gt;B156,IF(A156=(inputs!$C$9-1),(B156+1),B156), B156)</f>
        <v>1</v>
      </c>
      <c r="C157" s="7">
        <f t="shared" si="5"/>
        <v>154</v>
      </c>
      <c r="D157" s="8">
        <f>IF((B157&gt;B156), (EXP(-LN(2)/inputs!$C$51)*D156+$D$3), (EXP(-LN(2)/inputs!$C$51)*D156))</f>
        <v>2.149175782005184E-7</v>
      </c>
      <c r="E157" s="8">
        <f>IF((B157&gt;B156), (EXP(-LN(2)/inputs!$C$51)*E156+$E$3), (EXP(-LN(2)/inputs!$C$51)*E156))</f>
        <v>9.8503890008570959E-8</v>
      </c>
      <c r="F157" s="8">
        <f>IF((B157&gt;B156), (EXP(-LN(2)/inputs!$C$51)*F156+$F$3), (EXP(-LN(2)/inputs!$C$51)*F156))</f>
        <v>1.2089113773779173E-7</v>
      </c>
      <c r="G157" s="8">
        <f>IF((B157&gt;B156), (EXP(-LN(2)/inputs!$C$51)*G156+$G$3), (EXP(-LN(2)/inputs!$C$51)*G156))</f>
        <v>1.34323486375324E-8</v>
      </c>
      <c r="H157" s="8">
        <f>IF((B157&gt;B156), (EXP(-LN(2)/inputs!$C$51)*H156+$H$3), (EXP(-LN(2)/inputs!$C$51)*H156))</f>
        <v>8.4176051461869767E-8</v>
      </c>
      <c r="I157" s="7">
        <f>O157*(10^inputs!$C$55)*0.01/1</f>
        <v>0.41040075714412128</v>
      </c>
      <c r="J157" s="7">
        <f>(((0.621*15^0.564)/0.2))*D157/15+J156*inputs!$C$53</f>
        <v>2.3126520703990463E-7</v>
      </c>
      <c r="K157" s="7">
        <f>(((0.621*1000^0.564)/0.2))*D157/1000+K156*inputs!$C$53</f>
        <v>3.7058350851504301E-8</v>
      </c>
      <c r="L157" s="7">
        <f>(((0.648*20^0.651)/0.2))*H157/20+L156*inputs!$C$54</f>
        <v>1.2679288425308706E-7</v>
      </c>
      <c r="M157" s="7">
        <f>(((0.013*2^0.773)/0.2))*H157/2+M156*inputs!$C$54</f>
        <v>6.1828525159806769E-9</v>
      </c>
      <c r="N157" s="7">
        <f>O157*0.015*inputs!$C$56</f>
        <v>6.0295914644756581E-2</v>
      </c>
      <c r="O157" s="7">
        <f>IF((B157&gt;B156), (EXP(-LN(2)/inputs!$C$52)*O156+$O$3), (EXP(-LN(2)/inputs!$C$52)*O156))</f>
        <v>6.5044136617860389E-3</v>
      </c>
      <c r="P157" s="3">
        <f>IF((B157&gt;B156), (EXP(-LN(2)/inputs!$C$52)*P156+$P$3), (EXP(-LN(2)/inputs!$C$52)*P156))</f>
        <v>6.2852469321320447E-3</v>
      </c>
      <c r="Q157" s="19">
        <f>IF((F157*0.62*1/(0.012*(10^inputs!$C$55)))&gt;inputs!$C$57, inputs!$C$57, (F157*0.62*1/(0.012*(10^inputs!$C$55))))</f>
        <v>9.8993096301910775E-10</v>
      </c>
      <c r="R157" s="3">
        <f>IF((B157&gt;B156), (EXP(-LN(2)/inputs!$C$51)*R156+$R$3), (EXP(-LN(2)/inputs!$C$51)*R156))</f>
        <v>2.3000492745012278E-15</v>
      </c>
      <c r="T157" s="7">
        <f>IF(T156&lt;(inputs!$C$9-1),(1+T156),0)</f>
        <v>0</v>
      </c>
      <c r="U157" s="7">
        <f>IF(inputs!$C$8&gt;U156,IF(T156=(inputs!$C$9-1),(U156+1),U156), U156)</f>
        <v>1</v>
      </c>
      <c r="V157" s="7">
        <f t="shared" si="4"/>
        <v>154</v>
      </c>
      <c r="W157" s="8">
        <f>IF((U157&gt;U156), (EXP(-LN(2)/inputs!$C$51)*W156+$W$3), (EXP(-LN(2)/inputs!$C$51)*W156))</f>
        <v>7.6116642279350332E-8</v>
      </c>
      <c r="X157" s="8">
        <f>IF((U157&gt;U156), (EXP(-LN(2)/inputs!$C$51)*X156+$X$3), (EXP(-LN(2)/inputs!$C$51)*X156))</f>
        <v>3.2237636730077752E-8</v>
      </c>
      <c r="Y157" s="8">
        <f>IF((U157&gt;U156), (EXP(-LN(2)/inputs!$C$51)*Y156+$Y$3), (EXP(-LN(2)/inputs!$C$51)*Y156))</f>
        <v>4.0297045912597272E-8</v>
      </c>
      <c r="Z157" s="8">
        <f>IF((U157&gt;U156), (EXP(-LN(2)/inputs!$C$51)*Z156+$Z$3), (EXP(-LN(2)/inputs!$C$51)*Z156))</f>
        <v>6.2684293641817856E-9</v>
      </c>
      <c r="AA157" s="8">
        <f>IF((U157&gt;U156), (EXP(-LN(2)/inputs!$C$51)*AA156+$AA$3), (EXP(-LN(2)/inputs!$C$51)*AA156))</f>
        <v>5.8206844095973733E-8</v>
      </c>
      <c r="AB157" s="7">
        <f>(((0.621*15^0.564)/0.2))*W157/15+AB156*inputs!$C$53</f>
        <v>8.1906427493299633E-8</v>
      </c>
      <c r="AC157" s="7">
        <f>(((0.621*1000^0.564)/0.2))*W157/1000+AC156*inputs!$C$53</f>
        <v>1.3124832593241115E-8</v>
      </c>
      <c r="AD157" s="7">
        <f>(((0.648*20^0.651)/0.2))*AA157/20+AD156*inputs!$C$54</f>
        <v>8.767593060053885E-8</v>
      </c>
      <c r="AE157" s="7">
        <f>(((0.013*2^0.773)/0.2))*AA157/2+AE156*inputs!$C$54</f>
        <v>4.2753767397738692E-9</v>
      </c>
    </row>
    <row r="158" spans="1:31" x14ac:dyDescent="0.3">
      <c r="A158" s="7">
        <f>IF(A157&lt;(inputs!$C$9-1),(1+A157),0)</f>
        <v>0</v>
      </c>
      <c r="B158" s="7">
        <f>IF(inputs!$C$8&gt;B157,IF(A157=(inputs!$C$9-1),(B157+1),B157), B157)</f>
        <v>1</v>
      </c>
      <c r="C158" s="7">
        <f t="shared" si="5"/>
        <v>155</v>
      </c>
      <c r="D158" s="8">
        <f>IF((B158&gt;B157), (EXP(-LN(2)/inputs!$C$51)*D157+$D$3), (EXP(-LN(2)/inputs!$C$51)*D157))</f>
        <v>1.8857053172735788E-7</v>
      </c>
      <c r="E158" s="8">
        <f>IF((B158&gt;B157), (EXP(-LN(2)/inputs!$C$51)*E157+$E$3), (EXP(-LN(2)/inputs!$C$51)*E157))</f>
        <v>8.6428160375039054E-8</v>
      </c>
      <c r="F158" s="8">
        <f>IF((B158&gt;B157), (EXP(-LN(2)/inputs!$C$51)*F157+$F$3), (EXP(-LN(2)/inputs!$C$51)*F157))</f>
        <v>1.0607092409663893E-7</v>
      </c>
      <c r="G158" s="8">
        <f>IF((B158&gt;B157), (EXP(-LN(2)/inputs!$C$51)*G157+$G$3), (EXP(-LN(2)/inputs!$C$51)*G157))</f>
        <v>1.1785658232959867E-8</v>
      </c>
      <c r="H158" s="8">
        <f>IF((B158&gt;B157), (EXP(-LN(2)/inputs!$C$51)*H157+$H$3), (EXP(-LN(2)/inputs!$C$51)*H157))</f>
        <v>7.385679159321523E-8</v>
      </c>
      <c r="I158" s="7">
        <f>O158*(10^inputs!$C$55)*0.01/1</f>
        <v>0.40211875561325477</v>
      </c>
      <c r="J158" s="7">
        <f>(((0.621*15^0.564)/0.2))*D158/15+J157*inputs!$C$53</f>
        <v>2.0291408188521612E-7</v>
      </c>
      <c r="K158" s="7">
        <f>(((0.621*1000^0.564)/0.2))*D158/1000+K157*inputs!$C$53</f>
        <v>3.2515315794630964E-8</v>
      </c>
      <c r="L158" s="7">
        <f>(((0.648*20^0.651)/0.2))*H158/20+L157*inputs!$C$54</f>
        <v>1.1124916725305021E-7</v>
      </c>
      <c r="M158" s="7">
        <f>(((0.013*2^0.773)/0.2))*H158/2+M157*inputs!$C$54</f>
        <v>5.4248879793467572E-9</v>
      </c>
      <c r="N158" s="7">
        <f>O158*0.015*inputs!$C$56</f>
        <v>5.9079126301411732E-2</v>
      </c>
      <c r="O158" s="7">
        <f>IF((B158&gt;B157), (EXP(-LN(2)/inputs!$C$52)*O157+$O$3), (EXP(-LN(2)/inputs!$C$52)*O157))</f>
        <v>6.3731527833238112E-3</v>
      </c>
      <c r="P158" s="3">
        <f>IF((B158&gt;B157), (EXP(-LN(2)/inputs!$C$52)*P157+$P$3), (EXP(-LN(2)/inputs!$C$52)*P157))</f>
        <v>6.1584088992881836E-3</v>
      </c>
      <c r="Q158" s="19">
        <f>IF((F158*0.62*1/(0.012*(10^inputs!$C$55)))&gt;inputs!$C$57, inputs!$C$57, (F158*0.62*1/(0.012*(10^inputs!$C$55))))</f>
        <v>8.6857394184724869E-10</v>
      </c>
      <c r="R158" s="3">
        <f>IF((B158&gt;B157), (EXP(-LN(2)/inputs!$C$51)*R157+$R$3), (EXP(-LN(2)/inputs!$C$51)*R157))</f>
        <v>2.0180830173284268E-15</v>
      </c>
      <c r="T158" s="7">
        <f>IF(T157&lt;(inputs!$C$9-1),(1+T157),0)</f>
        <v>0</v>
      </c>
      <c r="U158" s="7">
        <f>IF(inputs!$C$8&gt;U157,IF(T157=(inputs!$C$9-1),(U157+1),U157), U157)</f>
        <v>1</v>
      </c>
      <c r="V158" s="7">
        <f t="shared" si="4"/>
        <v>155</v>
      </c>
      <c r="W158" s="8">
        <f>IF((U158&gt;U157), (EXP(-LN(2)/inputs!$C$51)*W157+$W$3), (EXP(-LN(2)/inputs!$C$51)*W157))</f>
        <v>6.6785396653439311E-8</v>
      </c>
      <c r="X158" s="8">
        <f>IF((U158&gt;U157), (EXP(-LN(2)/inputs!$C$51)*X157+$X$3), (EXP(-LN(2)/inputs!$C$51)*X157))</f>
        <v>2.8285579759103675E-8</v>
      </c>
      <c r="Y158" s="8">
        <f>IF((U158&gt;U157), (EXP(-LN(2)/inputs!$C$51)*Y157+$Y$3), (EXP(-LN(2)/inputs!$C$51)*Y157))</f>
        <v>3.5356974698879667E-8</v>
      </c>
      <c r="Z158" s="8">
        <f>IF((U158&gt;U157), (EXP(-LN(2)/inputs!$C$51)*Z157+$Z$3), (EXP(-LN(2)/inputs!$C$51)*Z157))</f>
        <v>5.4999738420479376E-9</v>
      </c>
      <c r="AA158" s="8">
        <f>IF((U158&gt;U157), (EXP(-LN(2)/inputs!$C$51)*AA157+$AA$3), (EXP(-LN(2)/inputs!$C$51)*AA157))</f>
        <v>5.1071185676159426E-8</v>
      </c>
      <c r="AB158" s="7">
        <f>(((0.621*15^0.564)/0.2))*W158/15+AB157*inputs!$C$53</f>
        <v>7.1865404001014122E-8</v>
      </c>
      <c r="AC158" s="7">
        <f>(((0.621*1000^0.564)/0.2))*W158/1000+AC157*inputs!$C$53</f>
        <v>1.1515841010598476E-8</v>
      </c>
      <c r="AD158" s="7">
        <f>(((0.648*20^0.651)/0.2))*AA158/20+AD157*inputs!$C$54</f>
        <v>7.6927615653704869E-8</v>
      </c>
      <c r="AE158" s="7">
        <f>(((0.013*2^0.773)/0.2))*AA158/2+AE157*inputs!$C$54</f>
        <v>3.7512523261440311E-9</v>
      </c>
    </row>
    <row r="159" spans="1:31" x14ac:dyDescent="0.3">
      <c r="A159" s="7">
        <f>IF(A158&lt;(inputs!$C$9-1),(1+A158),0)</f>
        <v>0</v>
      </c>
      <c r="B159" s="7">
        <f>IF(inputs!$C$8&gt;B158,IF(A158=(inputs!$C$9-1),(B158+1),B158), B158)</f>
        <v>1</v>
      </c>
      <c r="C159" s="7">
        <f t="shared" si="5"/>
        <v>156</v>
      </c>
      <c r="D159" s="8">
        <f>IF((B159&gt;B158), (EXP(-LN(2)/inputs!$C$51)*D158+$D$3), (EXP(-LN(2)/inputs!$C$51)*D158))</f>
        <v>1.6545340652760397E-7</v>
      </c>
      <c r="E159" s="8">
        <f>IF((B159&gt;B158), (EXP(-LN(2)/inputs!$C$51)*E158+$E$3), (EXP(-LN(2)/inputs!$C$51)*E158))</f>
        <v>7.5832811325151839E-8</v>
      </c>
      <c r="F159" s="8">
        <f>IF((B159&gt;B158), (EXP(-LN(2)/inputs!$C$51)*F158+$F$3), (EXP(-LN(2)/inputs!$C$51)*F158))</f>
        <v>9.3067541171777341E-8</v>
      </c>
      <c r="G159" s="8">
        <f>IF((B159&gt;B158), (EXP(-LN(2)/inputs!$C$51)*G158+$G$3), (EXP(-LN(2)/inputs!$C$51)*G158))</f>
        <v>1.0340837907975248E-8</v>
      </c>
      <c r="H159" s="8">
        <f>IF((B159&gt;B158), (EXP(-LN(2)/inputs!$C$51)*H158+$H$3), (EXP(-LN(2)/inputs!$C$51)*H158))</f>
        <v>6.4802584223311608E-8</v>
      </c>
      <c r="I159" s="7">
        <f>O159*(10^inputs!$C$55)*0.01/1</f>
        <v>0.39400388717891227</v>
      </c>
      <c r="J159" s="7">
        <f>(((0.621*15^0.564)/0.2))*D159/15+J158*inputs!$C$53</f>
        <v>1.7803856081220048E-7</v>
      </c>
      <c r="K159" s="7">
        <f>(((0.621*1000^0.564)/0.2))*D159/1000+K158*inputs!$C$53</f>
        <v>2.852921775880001E-8</v>
      </c>
      <c r="L159" s="7">
        <f>(((0.648*20^0.651)/0.2))*H159/20+L158*inputs!$C$54</f>
        <v>9.7610976257887352E-8</v>
      </c>
      <c r="M159" s="7">
        <f>(((0.013*2^0.773)/0.2))*H159/2+M158*inputs!$C$54</f>
        <v>4.7598433752698158E-9</v>
      </c>
      <c r="N159" s="7">
        <f>O159*0.015*inputs!$C$56</f>
        <v>5.7886893085577963E-2</v>
      </c>
      <c r="O159" s="7">
        <f>IF((B159&gt;B158), (EXP(-LN(2)/inputs!$C$52)*O158+$O$3), (EXP(-LN(2)/inputs!$C$52)*O158))</f>
        <v>6.2445407859307404E-3</v>
      </c>
      <c r="P159" s="3">
        <f>IF((B159&gt;B158), (EXP(-LN(2)/inputs!$C$52)*P158+$P$3), (EXP(-LN(2)/inputs!$C$52)*P158))</f>
        <v>6.0341304932576235E-3</v>
      </c>
      <c r="Q159" s="19">
        <f>IF((F159*0.62*1/(0.012*(10^inputs!$C$55)))&gt;inputs!$C$57, inputs!$C$57, (F159*0.62*1/(0.012*(10^inputs!$C$55))))</f>
        <v>7.6209424761826144E-10</v>
      </c>
      <c r="R159" s="3">
        <f>IF((B159&gt;B158), (EXP(-LN(2)/inputs!$C$51)*R158+$R$3), (EXP(-LN(2)/inputs!$C$51)*R158))</f>
        <v>1.7706833979513655E-15</v>
      </c>
      <c r="T159" s="7">
        <f>IF(T158&lt;(inputs!$C$9-1),(1+T158),0)</f>
        <v>0</v>
      </c>
      <c r="U159" s="7">
        <f>IF(inputs!$C$8&gt;U158,IF(T158=(inputs!$C$9-1),(U158+1),U158), U158)</f>
        <v>1</v>
      </c>
      <c r="V159" s="7">
        <f t="shared" si="4"/>
        <v>156</v>
      </c>
      <c r="W159" s="8">
        <f>IF((U159&gt;U158), (EXP(-LN(2)/inputs!$C$51)*W158+$W$3), (EXP(-LN(2)/inputs!$C$51)*W158))</f>
        <v>5.8598081478526462E-8</v>
      </c>
      <c r="X159" s="8">
        <f>IF((U159&gt;U158), (EXP(-LN(2)/inputs!$C$51)*X158+$X$3), (EXP(-LN(2)/inputs!$C$51)*X158))</f>
        <v>2.4818010979140591E-8</v>
      </c>
      <c r="Y159" s="8">
        <f>IF((U159&gt;U158), (EXP(-LN(2)/inputs!$C$51)*Y158+$Y$3), (EXP(-LN(2)/inputs!$C$51)*Y158))</f>
        <v>3.10225137239258E-8</v>
      </c>
      <c r="Z159" s="8">
        <f>IF((U159&gt;U158), (EXP(-LN(2)/inputs!$C$51)*Z158+$Z$3), (EXP(-LN(2)/inputs!$C$51)*Z158))</f>
        <v>4.8257243570551156E-9</v>
      </c>
      <c r="AA159" s="8">
        <f>IF((U159&gt;U158), (EXP(-LN(2)/inputs!$C$51)*AA158+$AA$3), (EXP(-LN(2)/inputs!$C$51)*AA158))</f>
        <v>4.4810297601226078E-8</v>
      </c>
      <c r="AB159" s="7">
        <f>(((0.621*15^0.564)/0.2))*W159/15+AB158*inputs!$C$53</f>
        <v>6.3055323620987725E-8</v>
      </c>
      <c r="AC159" s="7">
        <f>(((0.621*1000^0.564)/0.2))*W159/1000+AC158*inputs!$C$53</f>
        <v>1.0104097956241678E-8</v>
      </c>
      <c r="AD159" s="7">
        <f>(((0.648*20^0.651)/0.2))*AA159/20+AD158*inputs!$C$54</f>
        <v>6.7496951667688007E-8</v>
      </c>
      <c r="AE159" s="7">
        <f>(((0.013*2^0.773)/0.2))*AA159/2+AE158*inputs!$C$54</f>
        <v>3.2913810573674233E-9</v>
      </c>
    </row>
    <row r="160" spans="1:31" x14ac:dyDescent="0.3">
      <c r="A160" s="7">
        <f>IF(A159&lt;(inputs!$C$9-1),(1+A159),0)</f>
        <v>0</v>
      </c>
      <c r="B160" s="7">
        <f>IF(inputs!$C$8&gt;B159,IF(A159=(inputs!$C$9-1),(B159+1),B159), B159)</f>
        <v>1</v>
      </c>
      <c r="C160" s="7">
        <f t="shared" si="5"/>
        <v>157</v>
      </c>
      <c r="D160" s="8">
        <f>IF((B160&gt;B159), (EXP(-LN(2)/inputs!$C$51)*D159+$D$3), (EXP(-LN(2)/inputs!$C$51)*D159))</f>
        <v>1.4517024203531497E-7</v>
      </c>
      <c r="E160" s="8">
        <f>IF((B160&gt;B159), (EXP(-LN(2)/inputs!$C$51)*E159+$E$3), (EXP(-LN(2)/inputs!$C$51)*E159))</f>
        <v>6.6536360932852714E-8</v>
      </c>
      <c r="F160" s="8">
        <f>IF((B160&gt;B159), (EXP(-LN(2)/inputs!$C$51)*F159+$F$3), (EXP(-LN(2)/inputs!$C$51)*F159))</f>
        <v>8.1658261144864759E-8</v>
      </c>
      <c r="G160" s="8">
        <f>IF((B160&gt;B159), (EXP(-LN(2)/inputs!$C$51)*G159+$G$3), (EXP(-LN(2)/inputs!$C$51)*G159))</f>
        <v>9.0731401272071859E-9</v>
      </c>
      <c r="H160" s="8">
        <f>IF((B160&gt;B159), (EXP(-LN(2)/inputs!$C$51)*H159+$H$3), (EXP(-LN(2)/inputs!$C$51)*H159))</f>
        <v>5.6858344797165076E-8</v>
      </c>
      <c r="I160" s="7">
        <f>O160*(10^inputs!$C$55)*0.01/1</f>
        <v>0.38605277904867757</v>
      </c>
      <c r="J160" s="7">
        <f>(((0.621*15^0.564)/0.2))*D160/15+J159*inputs!$C$53</f>
        <v>1.5621256465586402E-7</v>
      </c>
      <c r="K160" s="7">
        <f>(((0.621*1000^0.564)/0.2))*D160/1000+K159*inputs!$C$53</f>
        <v>2.5031781055727173E-8</v>
      </c>
      <c r="L160" s="7">
        <f>(((0.648*20^0.651)/0.2))*H160/20+L159*inputs!$C$54</f>
        <v>8.564471016978883E-8</v>
      </c>
      <c r="M160" s="7">
        <f>(((0.013*2^0.773)/0.2))*H160/2+M159*inputs!$C$54</f>
        <v>4.1763275192694592E-9</v>
      </c>
      <c r="N160" s="7">
        <f>O160*0.015*inputs!$C$56</f>
        <v>5.6718719467946203E-2</v>
      </c>
      <c r="O160" s="7">
        <f>IF((B160&gt;B159), (EXP(-LN(2)/inputs!$C$52)*O159+$O$3), (EXP(-LN(2)/inputs!$C$52)*O159))</f>
        <v>6.1185242144494289E-3</v>
      </c>
      <c r="P160" s="3">
        <f>IF((B160&gt;B159), (EXP(-LN(2)/inputs!$C$52)*P159+$P$3), (EXP(-LN(2)/inputs!$C$52)*P159))</f>
        <v>5.9123600600586952E-3</v>
      </c>
      <c r="Q160" s="19">
        <f>IF((F160*0.62*1/(0.012*(10^inputs!$C$55)))&gt;inputs!$C$57, inputs!$C$57, (F160*0.62*1/(0.012*(10^inputs!$C$55))))</f>
        <v>6.6866804801632404E-10</v>
      </c>
      <c r="R160" s="3">
        <f>IF((B160&gt;B159), (EXP(-LN(2)/inputs!$C$51)*R159+$R$3), (EXP(-LN(2)/inputs!$C$51)*R159))</f>
        <v>1.5536128439013298E-15</v>
      </c>
      <c r="T160" s="7">
        <f>IF(T159&lt;(inputs!$C$9-1),(1+T159),0)</f>
        <v>0</v>
      </c>
      <c r="U160" s="7">
        <f>IF(inputs!$C$8&gt;U159,IF(T159=(inputs!$C$9-1),(U159+1),U159), U159)</f>
        <v>1</v>
      </c>
      <c r="V160" s="7">
        <f t="shared" si="4"/>
        <v>157</v>
      </c>
      <c r="W160" s="8">
        <f>IF((U160&gt;U159), (EXP(-LN(2)/inputs!$C$51)*W159+$W$3), (EXP(-LN(2)/inputs!$C$51)*W159))</f>
        <v>5.1414460720840769E-8</v>
      </c>
      <c r="X160" s="8">
        <f>IF((U160&gt;U159), (EXP(-LN(2)/inputs!$C$51)*X159+$X$3), (EXP(-LN(2)/inputs!$C$51)*X159))</f>
        <v>2.177553630529724E-8</v>
      </c>
      <c r="Y160" s="8">
        <f>IF((U160&gt;U159), (EXP(-LN(2)/inputs!$C$51)*Y159+$Y$3), (EXP(-LN(2)/inputs!$C$51)*Y159))</f>
        <v>2.7219420381621604E-8</v>
      </c>
      <c r="Z160" s="8">
        <f>IF((U160&gt;U159), (EXP(-LN(2)/inputs!$C$51)*Z159+$Z$3), (EXP(-LN(2)/inputs!$C$51)*Z159))</f>
        <v>4.2341320593633528E-9</v>
      </c>
      <c r="AA160" s="8">
        <f>IF((U160&gt;U159), (EXP(-LN(2)/inputs!$C$51)*AA159+$AA$3), (EXP(-LN(2)/inputs!$C$51)*AA159))</f>
        <v>3.9316940551231137E-8</v>
      </c>
      <c r="AB160" s="7">
        <f>(((0.621*15^0.564)/0.2))*W160/15+AB159*inputs!$C$53</f>
        <v>5.5325283315618553E-8</v>
      </c>
      <c r="AC160" s="7">
        <f>(((0.621*1000^0.564)/0.2))*W160/1000+AC159*inputs!$C$53</f>
        <v>8.8654224572367155E-9</v>
      </c>
      <c r="AD160" s="7">
        <f>(((0.648*20^0.651)/0.2))*AA160/20+AD159*inputs!$C$54</f>
        <v>5.9222405968470948E-8</v>
      </c>
      <c r="AE160" s="7">
        <f>(((0.013*2^0.773)/0.2))*AA160/2+AE159*inputs!$C$54</f>
        <v>2.8878860505586666E-9</v>
      </c>
    </row>
    <row r="161" spans="1:31" x14ac:dyDescent="0.3">
      <c r="A161" s="7">
        <f>IF(A160&lt;(inputs!$C$9-1),(1+A160),0)</f>
        <v>0</v>
      </c>
      <c r="B161" s="7">
        <f>IF(inputs!$C$8&gt;B160,IF(A160=(inputs!$C$9-1),(B160+1),B160), B160)</f>
        <v>1</v>
      </c>
      <c r="C161" s="7">
        <f t="shared" si="5"/>
        <v>158</v>
      </c>
      <c r="D161" s="8">
        <f>IF((B161&gt;B160), (EXP(-LN(2)/inputs!$C$51)*D160+$D$3), (EXP(-LN(2)/inputs!$C$51)*D160))</f>
        <v>1.2737361904407759E-7</v>
      </c>
      <c r="E161" s="8">
        <f>IF((B161&gt;B160), (EXP(-LN(2)/inputs!$C$51)*E160+$E$3), (EXP(-LN(2)/inputs!$C$51)*E160))</f>
        <v>5.8379575395202251E-8</v>
      </c>
      <c r="F161" s="8">
        <f>IF((B161&gt;B160), (EXP(-LN(2)/inputs!$C$51)*F160+$F$3), (EXP(-LN(2)/inputs!$C$51)*F160))</f>
        <v>7.1647660712293727E-8</v>
      </c>
      <c r="G161" s="8">
        <f>IF((B161&gt;B160), (EXP(-LN(2)/inputs!$C$51)*G160+$G$3), (EXP(-LN(2)/inputs!$C$51)*G160))</f>
        <v>7.9608511902548494E-9</v>
      </c>
      <c r="H161" s="8">
        <f>IF((B161&gt;B160), (EXP(-LN(2)/inputs!$C$51)*H160+$H$3), (EXP(-LN(2)/inputs!$C$51)*H160))</f>
        <v>4.9888000792263767E-8</v>
      </c>
      <c r="I161" s="7">
        <f>O161*(10^inputs!$C$55)*0.01/1</f>
        <v>0.37826212649402452</v>
      </c>
      <c r="J161" s="7">
        <f>(((0.621*15^0.564)/0.2))*D161/15+J160*inputs!$C$53</f>
        <v>1.3706224789191999E-7</v>
      </c>
      <c r="K161" s="7">
        <f>(((0.621*1000^0.564)/0.2))*D161/1000+K160*inputs!$C$53</f>
        <v>2.1963100009238289E-8</v>
      </c>
      <c r="L161" s="7">
        <f>(((0.648*20^0.651)/0.2))*H161/20+L160*inputs!$C$54</f>
        <v>7.5145405376215893E-8</v>
      </c>
      <c r="M161" s="7">
        <f>(((0.013*2^0.773)/0.2))*H161/2+M160*inputs!$C$54</f>
        <v>3.6643456881012815E-9</v>
      </c>
      <c r="N161" s="7">
        <f>O161*0.015*inputs!$C$56</f>
        <v>5.5574119919126766E-2</v>
      </c>
      <c r="O161" s="7">
        <f>IF((B161&gt;B160), (EXP(-LN(2)/inputs!$C$52)*O160+$O$3), (EXP(-LN(2)/inputs!$C$52)*O160))</f>
        <v>5.9950506924624346E-3</v>
      </c>
      <c r="P161" s="3">
        <f>IF((B161&gt;B160), (EXP(-LN(2)/inputs!$C$52)*P160+$P$3), (EXP(-LN(2)/inputs!$C$52)*P160))</f>
        <v>5.7930469881014605E-3</v>
      </c>
      <c r="Q161" s="19">
        <f>IF((F161*0.62*1/(0.012*(10^inputs!$C$55)))&gt;inputs!$C$57, inputs!$C$57, (F161*0.62*1/(0.012*(10^inputs!$C$55))))</f>
        <v>5.8669509687983517E-10</v>
      </c>
      <c r="R161" s="3">
        <f>IF((B161&gt;B160), (EXP(-LN(2)/inputs!$C$51)*R160+$R$3), (EXP(-LN(2)/inputs!$C$51)*R160))</f>
        <v>1.363153272644777E-15</v>
      </c>
      <c r="T161" s="7">
        <f>IF(T160&lt;(inputs!$C$9-1),(1+T160),0)</f>
        <v>0</v>
      </c>
      <c r="U161" s="7">
        <f>IF(inputs!$C$8&gt;U160,IF(T160=(inputs!$C$9-1),(U160+1),U160), U160)</f>
        <v>1</v>
      </c>
      <c r="V161" s="7">
        <f t="shared" si="4"/>
        <v>158</v>
      </c>
      <c r="W161" s="8">
        <f>IF((U161&gt;U160), (EXP(-LN(2)/inputs!$C$51)*W160+$W$3), (EXP(-LN(2)/inputs!$C$51)*W160))</f>
        <v>4.5111490078110861E-8</v>
      </c>
      <c r="X161" s="8">
        <f>IF((U161&gt;U160), (EXP(-LN(2)/inputs!$C$51)*X160+$X$3), (EXP(-LN(2)/inputs!$C$51)*X160))</f>
        <v>1.9106042856611635E-8</v>
      </c>
      <c r="Y161" s="8">
        <f>IF((U161&gt;U160), (EXP(-LN(2)/inputs!$C$51)*Y160+$Y$3), (EXP(-LN(2)/inputs!$C$51)*Y160))</f>
        <v>2.3882553570764591E-8</v>
      </c>
      <c r="Z161" s="8">
        <f>IF((U161&gt;U160), (EXP(-LN(2)/inputs!$C$51)*Z160+$Z$3), (EXP(-LN(2)/inputs!$C$51)*Z160))</f>
        <v>3.7150638887855962E-9</v>
      </c>
      <c r="AA161" s="8">
        <f>IF((U161&gt;U160), (EXP(-LN(2)/inputs!$C$51)*AA160+$AA$3), (EXP(-LN(2)/inputs!$C$51)*AA160))</f>
        <v>3.449702182443768E-8</v>
      </c>
      <c r="AB161" s="7">
        <f>(((0.621*15^0.564)/0.2))*W161/15+AB160*inputs!$C$53</f>
        <v>4.8542879461721707E-8</v>
      </c>
      <c r="AC161" s="7">
        <f>(((0.621*1000^0.564)/0.2))*W161/1000+AC160*inputs!$C$53</f>
        <v>7.7785979199385689E-9</v>
      </c>
      <c r="AD161" s="7">
        <f>(((0.648*20^0.651)/0.2))*AA161/20+AD160*inputs!$C$54</f>
        <v>5.1962248398447116E-8</v>
      </c>
      <c r="AE161" s="7">
        <f>(((0.013*2^0.773)/0.2))*AA161/2+AE160*inputs!$C$54</f>
        <v>2.5338560609210966E-9</v>
      </c>
    </row>
    <row r="162" spans="1:31" x14ac:dyDescent="0.3">
      <c r="A162" s="7">
        <f>IF(A161&lt;(inputs!$C$9-1),(1+A161),0)</f>
        <v>0</v>
      </c>
      <c r="B162" s="7">
        <f>IF(inputs!$C$8&gt;B161,IF(A161=(inputs!$C$9-1),(B161+1),B161), B161)</f>
        <v>1</v>
      </c>
      <c r="C162" s="7">
        <f t="shared" si="5"/>
        <v>159</v>
      </c>
      <c r="D162" s="8">
        <f>IF((B162&gt;B161), (EXP(-LN(2)/inputs!$C$51)*D161+$D$3), (EXP(-LN(2)/inputs!$C$51)*D161))</f>
        <v>1.1175870895385744E-7</v>
      </c>
      <c r="E162" s="8">
        <f>IF((B162&gt;B161), (EXP(-LN(2)/inputs!$C$51)*E161+$E$3), (EXP(-LN(2)/inputs!$C$51)*E161))</f>
        <v>5.1222741603851345E-8</v>
      </c>
      <c r="F162" s="8">
        <f>IF((B162&gt;B161), (EXP(-LN(2)/inputs!$C$51)*F161+$F$3), (EXP(-LN(2)/inputs!$C$51)*F161))</f>
        <v>6.2864273786544879E-8</v>
      </c>
      <c r="G162" s="8">
        <f>IF((B162&gt;B161), (EXP(-LN(2)/inputs!$C$51)*G161+$G$3), (EXP(-LN(2)/inputs!$C$51)*G161))</f>
        <v>6.9849193096160897E-9</v>
      </c>
      <c r="H162" s="8">
        <f>IF((B162&gt;B161), (EXP(-LN(2)/inputs!$C$51)*H161+$H$3), (EXP(-LN(2)/inputs!$C$51)*H161))</f>
        <v>4.3772161006927537E-8</v>
      </c>
      <c r="I162" s="7">
        <f>O162*(10^inputs!$C$55)*0.01/1</f>
        <v>0.37062869147676852</v>
      </c>
      <c r="J162" s="7">
        <f>(((0.621*15^0.564)/0.2))*D162/15+J161*inputs!$C$53</f>
        <v>1.2025959524172577E-7</v>
      </c>
      <c r="K162" s="7">
        <f>(((0.621*1000^0.564)/0.2))*D162/1000+K161*inputs!$C$53</f>
        <v>1.9270612863779301E-8</v>
      </c>
      <c r="L162" s="7">
        <f>(((0.648*20^0.651)/0.2))*H162/20+L161*inputs!$C$54</f>
        <v>6.5933225040531897E-8</v>
      </c>
      <c r="M162" s="7">
        <f>(((0.013*2^0.773)/0.2))*H162/2+M161*inputs!$C$54</f>
        <v>3.2151284256209948E-9</v>
      </c>
      <c r="N162" s="7">
        <f>O162*0.015*inputs!$C$56</f>
        <v>5.4452618707848219E-2</v>
      </c>
      <c r="O162" s="7">
        <f>IF((B162&gt;B161), (EXP(-LN(2)/inputs!$C$52)*O161+$O$3), (EXP(-LN(2)/inputs!$C$52)*O161))</f>
        <v>5.8740689005230013E-3</v>
      </c>
      <c r="P162" s="3">
        <f>IF((B162&gt;B161), (EXP(-LN(2)/inputs!$C$52)*P161+$P$3), (EXP(-LN(2)/inputs!$C$52)*P161))</f>
        <v>5.6761416871519569E-3</v>
      </c>
      <c r="Q162" s="19">
        <f>IF((F162*0.62*1/(0.012*(10^inputs!$C$55)))&gt;inputs!$C$57, inputs!$C$57, (F162*0.62*1/(0.012*(10^inputs!$C$55))))</f>
        <v>5.147713244620836E-10</v>
      </c>
      <c r="R162" s="3">
        <f>IF((B162&gt;B161), (EXP(-LN(2)/inputs!$C$51)*R161+$R$3), (EXP(-LN(2)/inputs!$C$51)*R161))</f>
        <v>1.1960424065856778E-15</v>
      </c>
      <c r="T162" s="7">
        <f>IF(T161&lt;(inputs!$C$9-1),(1+T161),0)</f>
        <v>0</v>
      </c>
      <c r="U162" s="7">
        <f>IF(inputs!$C$8&gt;U161,IF(T161=(inputs!$C$9-1),(U161+1),U161), U161)</f>
        <v>1</v>
      </c>
      <c r="V162" s="7">
        <f t="shared" si="4"/>
        <v>159</v>
      </c>
      <c r="W162" s="8">
        <f>IF((U162&gt;U161), (EXP(-LN(2)/inputs!$C$51)*W161+$W$3), (EXP(-LN(2)/inputs!$C$51)*W161))</f>
        <v>3.9581209421157883E-8</v>
      </c>
      <c r="X162" s="8">
        <f>IF((U162&gt;U161), (EXP(-LN(2)/inputs!$C$51)*X161+$X$3), (EXP(-LN(2)/inputs!$C$51)*X161))</f>
        <v>1.6763806343078613E-8</v>
      </c>
      <c r="Y162" s="8">
        <f>IF((U162&gt;U161), (EXP(-LN(2)/inputs!$C$51)*Y161+$Y$3), (EXP(-LN(2)/inputs!$C$51)*Y161))</f>
        <v>2.0954757928848306E-8</v>
      </c>
      <c r="Z162" s="8">
        <f>IF((U162&gt;U161), (EXP(-LN(2)/inputs!$C$51)*Z161+$Z$3), (EXP(-LN(2)/inputs!$C$51)*Z161))</f>
        <v>3.2596290111541752E-9</v>
      </c>
      <c r="AA162" s="8">
        <f>IF((U162&gt;U161), (EXP(-LN(2)/inputs!$C$51)*AA161+$AA$3), (EXP(-LN(2)/inputs!$C$51)*AA161))</f>
        <v>3.0267983675003052E-8</v>
      </c>
      <c r="AB162" s="7">
        <f>(((0.621*15^0.564)/0.2))*W162/15+AB161*inputs!$C$53</f>
        <v>4.2591939981444588E-8</v>
      </c>
      <c r="AC162" s="7">
        <f>(((0.621*1000^0.564)/0.2))*W162/1000+AC161*inputs!$C$53</f>
        <v>6.8250087225885086E-9</v>
      </c>
      <c r="AD162" s="7">
        <f>(((0.648*20^0.651)/0.2))*AA162/20+AD161*inputs!$C$54</f>
        <v>4.5592123698240094E-8</v>
      </c>
      <c r="AE162" s="7">
        <f>(((0.013*2^0.773)/0.2))*AA162/2+AE161*inputs!$C$54</f>
        <v>2.2232271028230263E-9</v>
      </c>
    </row>
    <row r="163" spans="1:31" x14ac:dyDescent="0.3">
      <c r="A163" s="7">
        <f>IF(A162&lt;(inputs!$C$9-1),(1+A162),0)</f>
        <v>0</v>
      </c>
      <c r="B163" s="7">
        <f>IF(inputs!$C$8&gt;B162,IF(A162=(inputs!$C$9-1),(B162+1),B162), B162)</f>
        <v>1</v>
      </c>
      <c r="C163" s="7">
        <f t="shared" si="5"/>
        <v>160</v>
      </c>
      <c r="D163" s="8">
        <f>IF((B163&gt;B162), (EXP(-LN(2)/inputs!$C$51)*D162+$D$3), (EXP(-LN(2)/inputs!$C$51)*D162))</f>
        <v>9.8058052529000154E-8</v>
      </c>
      <c r="E163" s="8">
        <f>IF((B163&gt;B162), (EXP(-LN(2)/inputs!$C$51)*E162+$E$3), (EXP(-LN(2)/inputs!$C$51)*E162))</f>
        <v>4.4943274075791749E-8</v>
      </c>
      <c r="F163" s="8">
        <f>IF((B163&gt;B162), (EXP(-LN(2)/inputs!$C$51)*F162+$F$3), (EXP(-LN(2)/inputs!$C$51)*F162))</f>
        <v>5.5157654547562648E-8</v>
      </c>
      <c r="G163" s="8">
        <f>IF((B163&gt;B162), (EXP(-LN(2)/inputs!$C$51)*G162+$G$3), (EXP(-LN(2)/inputs!$C$51)*G162))</f>
        <v>6.1286282830625096E-9</v>
      </c>
      <c r="H163" s="8">
        <f>IF((B163&gt;B162), (EXP(-LN(2)/inputs!$C$51)*H162+$H$3), (EXP(-LN(2)/inputs!$C$51)*H162))</f>
        <v>3.8406070573858425E-8</v>
      </c>
      <c r="I163" s="7">
        <f>O163*(10^inputs!$C$55)*0.01/1</f>
        <v>0.36314930130323697</v>
      </c>
      <c r="J163" s="7">
        <f>(((0.621*15^0.564)/0.2))*D163/15+J162*inputs!$C$53</f>
        <v>1.055168032783759E-7</v>
      </c>
      <c r="K163" s="7">
        <f>(((0.621*1000^0.564)/0.2))*D163/1000+K162*inputs!$C$53</f>
        <v>1.6908201482916955E-8</v>
      </c>
      <c r="L163" s="7">
        <f>(((0.648*20^0.651)/0.2))*H163/20+L162*inputs!$C$54</f>
        <v>5.7850378775404691E-8</v>
      </c>
      <c r="M163" s="7">
        <f>(((0.013*2^0.773)/0.2))*H163/2+M162*inputs!$C$54</f>
        <v>2.8209813355770993E-9</v>
      </c>
      <c r="N163" s="7">
        <f>O163*0.015*inputs!$C$56</f>
        <v>5.3353749703228627E-2</v>
      </c>
      <c r="O163" s="7">
        <f>IF((B163&gt;B162), (EXP(-LN(2)/inputs!$C$52)*O162+$O$3), (EXP(-LN(2)/inputs!$C$52)*O162))</f>
        <v>5.7555285548250949E-3</v>
      </c>
      <c r="P163" s="3">
        <f>IF((B163&gt;B162), (EXP(-LN(2)/inputs!$C$52)*P162+$P$3), (EXP(-LN(2)/inputs!$C$52)*P162))</f>
        <v>5.5615955677209465E-3</v>
      </c>
      <c r="Q163" s="19">
        <f>IF((F163*0.62*1/(0.012*(10^inputs!$C$55)))&gt;inputs!$C$57, inputs!$C$57, (F163*0.62*1/(0.012*(10^inputs!$C$55))))</f>
        <v>4.5166478789019422E-10</v>
      </c>
      <c r="R163" s="3">
        <f>IF((B163&gt;B162), (EXP(-LN(2)/inputs!$C$51)*R162+$R$3), (EXP(-LN(2)/inputs!$C$51)*R162))</f>
        <v>1.0494178953007857E-15</v>
      </c>
      <c r="T163" s="7">
        <f>IF(T162&lt;(inputs!$C$9-1),(1+T162),0)</f>
        <v>0</v>
      </c>
      <c r="U163" s="7">
        <f>IF(inputs!$C$8&gt;U162,IF(T162=(inputs!$C$9-1),(U162+1),U162), U162)</f>
        <v>1</v>
      </c>
      <c r="V163" s="7">
        <f t="shared" si="4"/>
        <v>160</v>
      </c>
      <c r="W163" s="8">
        <f>IF((U163&gt;U162), (EXP(-LN(2)/inputs!$C$51)*W162+$W$3), (EXP(-LN(2)/inputs!$C$51)*W162))</f>
        <v>3.4728893604020924E-8</v>
      </c>
      <c r="X163" s="8">
        <f>IF((U163&gt;U162), (EXP(-LN(2)/inputs!$C$51)*X162+$X$3), (EXP(-LN(2)/inputs!$C$51)*X162))</f>
        <v>1.4708707879350021E-8</v>
      </c>
      <c r="Y163" s="8">
        <f>IF((U163&gt;U162), (EXP(-LN(2)/inputs!$C$51)*Y162+$Y$3), (EXP(-LN(2)/inputs!$C$51)*Y162))</f>
        <v>1.838588484918756E-8</v>
      </c>
      <c r="Z163" s="8">
        <f>IF((U163&gt;U162), (EXP(-LN(2)/inputs!$C$51)*Z162+$Z$3), (EXP(-LN(2)/inputs!$C$51)*Z162))</f>
        <v>2.8600265320958376E-9</v>
      </c>
      <c r="AA163" s="8">
        <f>IF((U163&gt;U162), (EXP(-LN(2)/inputs!$C$51)*AA162+$AA$3), (EXP(-LN(2)/inputs!$C$51)*AA162))</f>
        <v>2.6557389226604202E-8</v>
      </c>
      <c r="AB163" s="7">
        <f>(((0.621*15^0.564)/0.2))*W163/15+AB162*inputs!$C$53</f>
        <v>3.7370534494424832E-8</v>
      </c>
      <c r="AC163" s="7">
        <f>(((0.621*1000^0.564)/0.2))*W163/1000+AC162*inputs!$C$53</f>
        <v>5.9883213585330946E-9</v>
      </c>
      <c r="AD163" s="7">
        <f>(((0.648*20^0.651)/0.2))*AA163/20+AD162*inputs!$C$54</f>
        <v>4.0002921493630866E-8</v>
      </c>
      <c r="AE163" s="7">
        <f>(((0.013*2^0.773)/0.2))*AA163/2+AE162*inputs!$C$54</f>
        <v>1.950678583111822E-9</v>
      </c>
    </row>
    <row r="164" spans="1:31" x14ac:dyDescent="0.3">
      <c r="A164" s="7">
        <f>IF(A163&lt;(inputs!$C$9-1),(1+A163),0)</f>
        <v>0</v>
      </c>
      <c r="B164" s="7">
        <f>IF(inputs!$C$8&gt;B163,IF(A163=(inputs!$C$9-1),(B163+1),B163), B163)</f>
        <v>1</v>
      </c>
      <c r="C164" s="7">
        <f t="shared" si="5"/>
        <v>161</v>
      </c>
      <c r="D164" s="8">
        <f>IF((B164&gt;B163), (EXP(-LN(2)/inputs!$C$51)*D163+$D$3), (EXP(-LN(2)/inputs!$C$51)*D163))</f>
        <v>8.6036978735591156E-8</v>
      </c>
      <c r="E164" s="8">
        <f>IF((B164&gt;B163), (EXP(-LN(2)/inputs!$C$51)*E163+$E$3), (EXP(-LN(2)/inputs!$C$51)*E163))</f>
        <v>3.9433615253812623E-8</v>
      </c>
      <c r="F164" s="8">
        <f>IF((B164&gt;B163), (EXP(-LN(2)/inputs!$C$51)*F163+$F$3), (EXP(-LN(2)/inputs!$C$51)*F163))</f>
        <v>4.8395800538770077E-8</v>
      </c>
      <c r="G164" s="8">
        <f>IF((B164&gt;B163), (EXP(-LN(2)/inputs!$C$51)*G163+$G$3), (EXP(-LN(2)/inputs!$C$51)*G163))</f>
        <v>5.3773111709744473E-9</v>
      </c>
      <c r="H164" s="8">
        <f>IF((B164&gt;B163), (EXP(-LN(2)/inputs!$C$51)*H163+$H$3), (EXP(-LN(2)/inputs!$C$51)*H163))</f>
        <v>3.3697816671439896E-8</v>
      </c>
      <c r="I164" s="7">
        <f>O164*(10^inputs!$C$55)*0.01/1</f>
        <v>0.35582084730559893</v>
      </c>
      <c r="J164" s="7">
        <f>(((0.621*15^0.564)/0.2))*D164/15+J163*inputs!$C$53</f>
        <v>9.2581350799561395E-8</v>
      </c>
      <c r="K164" s="7">
        <f>(((0.621*1000^0.564)/0.2))*D164/1000+K163*inputs!$C$53</f>
        <v>1.4835401417059431E-8</v>
      </c>
      <c r="L164" s="7">
        <f>(((0.648*20^0.651)/0.2))*H164/20+L163*inputs!$C$54</f>
        <v>5.0758419937754585E-8</v>
      </c>
      <c r="M164" s="7">
        <f>(((0.013*2^0.773)/0.2))*H164/2+M163*inputs!$C$54</f>
        <v>2.4751532885151538E-9</v>
      </c>
      <c r="N164" s="7">
        <f>O164*0.015*inputs!$C$56</f>
        <v>5.2277056181037021E-2</v>
      </c>
      <c r="O164" s="7">
        <f>IF((B164&gt;B163), (EXP(-LN(2)/inputs!$C$52)*O163+$O$3), (EXP(-LN(2)/inputs!$C$52)*O163))</f>
        <v>5.6393803863038858E-3</v>
      </c>
      <c r="P164" s="3">
        <f>IF((B164&gt;B163), (EXP(-LN(2)/inputs!$C$52)*P163+$P$3), (EXP(-LN(2)/inputs!$C$52)*P163))</f>
        <v>5.449361020868613E-3</v>
      </c>
      <c r="Q164" s="19">
        <f>IF((F164*0.62*1/(0.012*(10^inputs!$C$55)))&gt;inputs!$C$57, inputs!$C$57, (F164*0.62*1/(0.012*(10^inputs!$C$55))))</f>
        <v>3.9629456989094624E-10</v>
      </c>
      <c r="R164" s="3">
        <f>IF((B164&gt;B163), (EXP(-LN(2)/inputs!$C$51)*R163+$R$3), (EXP(-LN(2)/inputs!$C$51)*R163))</f>
        <v>9.2076828790822771E-16</v>
      </c>
      <c r="T164" s="7">
        <f>IF(T163&lt;(inputs!$C$9-1),(1+T163),0)</f>
        <v>0</v>
      </c>
      <c r="U164" s="7">
        <f>IF(inputs!$C$8&gt;U163,IF(T163=(inputs!$C$9-1),(U163+1),U163), U163)</f>
        <v>1</v>
      </c>
      <c r="V164" s="7">
        <f t="shared" si="4"/>
        <v>161</v>
      </c>
      <c r="W164" s="8">
        <f>IF((U164&gt;U163), (EXP(-LN(2)/inputs!$C$51)*W163+$W$3), (EXP(-LN(2)/inputs!$C$51)*W163))</f>
        <v>3.0471429968855234E-8</v>
      </c>
      <c r="X164" s="8">
        <f>IF((U164&gt;U163), (EXP(-LN(2)/inputs!$C$51)*X163+$X$3), (EXP(-LN(2)/inputs!$C$51)*X163))</f>
        <v>1.2905546810338672E-8</v>
      </c>
      <c r="Y164" s="8">
        <f>IF((U164&gt;U163), (EXP(-LN(2)/inputs!$C$51)*Y163+$Y$3), (EXP(-LN(2)/inputs!$C$51)*Y163))</f>
        <v>1.6131933512923369E-8</v>
      </c>
      <c r="Z164" s="8">
        <f>IF((U164&gt;U163), (EXP(-LN(2)/inputs!$C$51)*Z163+$Z$3), (EXP(-LN(2)/inputs!$C$51)*Z163))</f>
        <v>2.5094118797880751E-9</v>
      </c>
      <c r="AA164" s="8">
        <f>IF((U164&gt;U163), (EXP(-LN(2)/inputs!$C$51)*AA163+$AA$3), (EXP(-LN(2)/inputs!$C$51)*AA163))</f>
        <v>2.3301681740889267E-8</v>
      </c>
      <c r="AB164" s="7">
        <f>(((0.621*15^0.564)/0.2))*W164/15+AB163*inputs!$C$53</f>
        <v>3.2789228408178027E-8</v>
      </c>
      <c r="AC164" s="7">
        <f>(((0.621*1000^0.564)/0.2))*W164/1000+AC163*inputs!$C$53</f>
        <v>5.2542046685418864E-9</v>
      </c>
      <c r="AD164" s="7">
        <f>(((0.648*20^0.651)/0.2))*AA164/20+AD163*inputs!$C$54</f>
        <v>3.5098907403766434E-8</v>
      </c>
      <c r="AE164" s="7">
        <f>(((0.013*2^0.773)/0.2))*AA164/2+AE163*inputs!$C$54</f>
        <v>1.7115421675902641E-9</v>
      </c>
    </row>
    <row r="165" spans="1:31" x14ac:dyDescent="0.3">
      <c r="A165" s="7">
        <f>IF(A164&lt;(inputs!$C$9-1),(1+A164),0)</f>
        <v>0</v>
      </c>
      <c r="B165" s="7">
        <f>IF(inputs!$C$8&gt;B164,IF(A164=(inputs!$C$9-1),(B164+1),B164), B164)</f>
        <v>1</v>
      </c>
      <c r="C165" s="7">
        <f t="shared" si="5"/>
        <v>162</v>
      </c>
      <c r="D165" s="8">
        <f>IF((B165&gt;B164), (EXP(-LN(2)/inputs!$C$51)*D164+$D$3), (EXP(-LN(2)/inputs!$C$51)*D164))</f>
        <v>7.5489585189950156E-8</v>
      </c>
      <c r="E165" s="8">
        <f>IF((B165&gt;B164), (EXP(-LN(2)/inputs!$C$51)*E164+$E$3), (EXP(-LN(2)/inputs!$C$51)*E164))</f>
        <v>3.4599393212060496E-8</v>
      </c>
      <c r="F165" s="8">
        <f>IF((B165&gt;B164), (EXP(-LN(2)/inputs!$C$51)*F164+$F$3), (EXP(-LN(2)/inputs!$C$51)*F164))</f>
        <v>4.2462891669347011E-8</v>
      </c>
      <c r="G165" s="8">
        <f>IF((B165&gt;B164), (EXP(-LN(2)/inputs!$C$51)*G164+$G$3), (EXP(-LN(2)/inputs!$C$51)*G164))</f>
        <v>4.7180990743718847E-9</v>
      </c>
      <c r="H165" s="8">
        <f>IF((B165&gt;B164), (EXP(-LN(2)/inputs!$C$51)*H164+$H$3), (EXP(-LN(2)/inputs!$C$51)*H164))</f>
        <v>2.9566754199397168E-8</v>
      </c>
      <c r="I165" s="7">
        <f>O165*(10^inputs!$C$55)*0.01/1</f>
        <v>0.3486402835498057</v>
      </c>
      <c r="J165" s="7">
        <f>(((0.621*15^0.564)/0.2))*D165/15+J164*inputs!$C$53</f>
        <v>8.1231673530314491E-8</v>
      </c>
      <c r="K165" s="7">
        <f>(((0.621*1000^0.564)/0.2))*D165/1000+K164*inputs!$C$53</f>
        <v>1.3016708810079768E-8</v>
      </c>
      <c r="L165" s="7">
        <f>(((0.648*20^0.651)/0.2))*H165/20+L164*inputs!$C$54</f>
        <v>4.4535874252094186E-8</v>
      </c>
      <c r="M165" s="7">
        <f>(((0.013*2^0.773)/0.2))*H165/2+M164*inputs!$C$54</f>
        <v>2.171720785381971E-9</v>
      </c>
      <c r="N165" s="7">
        <f>O165*0.015*inputs!$C$56</f>
        <v>5.1222090633864549E-2</v>
      </c>
      <c r="O165" s="7">
        <f>IF((B165&gt;B164), (EXP(-LN(2)/inputs!$C$52)*O164+$O$3), (EXP(-LN(2)/inputs!$C$52)*O164))</f>
        <v>5.5255761201579885E-3</v>
      </c>
      <c r="P165" s="3">
        <f>IF((B165&gt;B164), (EXP(-LN(2)/inputs!$C$52)*P164+$P$3), (EXP(-LN(2)/inputs!$C$52)*P164))</f>
        <v>5.3393913984167984E-3</v>
      </c>
      <c r="Q165" s="19">
        <f>IF((F165*0.62*1/(0.012*(10^inputs!$C$55)))&gt;inputs!$C$57, inputs!$C$57, (F165*0.62*1/(0.012*(10^inputs!$C$55))))</f>
        <v>3.4771226435130226E-10</v>
      </c>
      <c r="R165" s="3">
        <f>IF((B165&gt;B164), (EXP(-LN(2)/inputs!$C$51)*R164+$R$3), (EXP(-LN(2)/inputs!$C$51)*R164))</f>
        <v>8.0789001580199573E-16</v>
      </c>
      <c r="T165" s="7">
        <f>IF(T164&lt;(inputs!$C$9-1),(1+T164),0)</f>
        <v>0</v>
      </c>
      <c r="U165" s="7">
        <f>IF(inputs!$C$8&gt;U164,IF(T164=(inputs!$C$9-1),(U164+1),U164), U164)</f>
        <v>1</v>
      </c>
      <c r="V165" s="7">
        <f t="shared" si="4"/>
        <v>162</v>
      </c>
      <c r="W165" s="8">
        <f>IF((U165&gt;U164), (EXP(-LN(2)/inputs!$C$51)*W164+$W$3), (EXP(-LN(2)/inputs!$C$51)*W164))</f>
        <v>2.6735894754774044E-8</v>
      </c>
      <c r="X165" s="8">
        <f>IF((U165&gt;U164), (EXP(-LN(2)/inputs!$C$51)*X164+$X$3), (EXP(-LN(2)/inputs!$C$51)*X164))</f>
        <v>1.1323437778492522E-8</v>
      </c>
      <c r="Y165" s="8">
        <f>IF((U165&gt;U164), (EXP(-LN(2)/inputs!$C$51)*Y164+$Y$3), (EXP(-LN(2)/inputs!$C$51)*Y164))</f>
        <v>1.4154297223115679E-8</v>
      </c>
      <c r="Z165" s="8">
        <f>IF((U165&gt;U164), (EXP(-LN(2)/inputs!$C$51)*Z164+$Z$3), (EXP(-LN(2)/inputs!$C$51)*Z164))</f>
        <v>2.2017795680402128E-9</v>
      </c>
      <c r="AA165" s="8">
        <f>IF((U165&gt;U164), (EXP(-LN(2)/inputs!$C$51)*AA164+$AA$3), (EXP(-LN(2)/inputs!$C$51)*AA164))</f>
        <v>2.044509598894483E-8</v>
      </c>
      <c r="AB165" s="7">
        <f>(((0.621*15^0.564)/0.2))*W165/15+AB164*inputs!$C$53</f>
        <v>2.8769551041986415E-8</v>
      </c>
      <c r="AC165" s="7">
        <f>(((0.621*1000^0.564)/0.2))*W165/1000+AC164*inputs!$C$53</f>
        <v>4.6100843702365891E-9</v>
      </c>
      <c r="AD165" s="7">
        <f>(((0.648*20^0.651)/0.2))*AA165/20+AD164*inputs!$C$54</f>
        <v>3.0796083259426799E-8</v>
      </c>
      <c r="AE165" s="7">
        <f>(((0.013*2^0.773)/0.2))*AA165/2+AE164*inputs!$C$54</f>
        <v>1.5017218196790211E-9</v>
      </c>
    </row>
    <row r="166" spans="1:31" x14ac:dyDescent="0.3">
      <c r="A166" s="7">
        <f>IF(A165&lt;(inputs!$C$9-1),(1+A165),0)</f>
        <v>0</v>
      </c>
      <c r="B166" s="7">
        <f>IF(inputs!$C$8&gt;B165,IF(A165=(inputs!$C$9-1),(B165+1),B165), B165)</f>
        <v>1</v>
      </c>
      <c r="C166" s="7">
        <f t="shared" si="5"/>
        <v>163</v>
      </c>
      <c r="D166" s="8">
        <f>IF((B166&gt;B165), (EXP(-LN(2)/inputs!$C$51)*D165+$D$3), (EXP(-LN(2)/inputs!$C$51)*D165))</f>
        <v>6.6235211369566081E-8</v>
      </c>
      <c r="E166" s="8">
        <f>IF((B166&gt;B165), (EXP(-LN(2)/inputs!$C$51)*E165+$E$3), (EXP(-LN(2)/inputs!$C$51)*E165))</f>
        <v>3.0357805211051123E-8</v>
      </c>
      <c r="F166" s="8">
        <f>IF((B166&gt;B165), (EXP(-LN(2)/inputs!$C$51)*F165+$F$3), (EXP(-LN(2)/inputs!$C$51)*F165))</f>
        <v>3.7257306395380956E-8</v>
      </c>
      <c r="G166" s="8">
        <f>IF((B166&gt;B165), (EXP(-LN(2)/inputs!$C$51)*G165+$G$3), (EXP(-LN(2)/inputs!$C$51)*G165))</f>
        <v>4.1397007105978801E-9</v>
      </c>
      <c r="H166" s="8">
        <f>IF((B166&gt;B165), (EXP(-LN(2)/inputs!$C$51)*H165+$H$3), (EXP(-LN(2)/inputs!$C$51)*H165))</f>
        <v>2.5942124453080066E-8</v>
      </c>
      <c r="I166" s="7">
        <f>O166*(10^inputs!$C$55)*0.01/1</f>
        <v>0.34160462556960564</v>
      </c>
      <c r="J166" s="7">
        <f>(((0.621*15^0.564)/0.2))*D166/15+J165*inputs!$C$53</f>
        <v>7.1273369069992616E-8</v>
      </c>
      <c r="K166" s="7">
        <f>(((0.621*1000^0.564)/0.2))*D166/1000+K165*inputs!$C$53</f>
        <v>1.1420972273225652E-8</v>
      </c>
      <c r="L166" s="7">
        <f>(((0.648*20^0.651)/0.2))*H166/20+L165*inputs!$C$54</f>
        <v>3.9076159144249512E-8</v>
      </c>
      <c r="M166" s="7">
        <f>(((0.013*2^0.773)/0.2))*H166/2+M165*inputs!$C$54</f>
        <v>1.9054864971572891E-9</v>
      </c>
      <c r="N166" s="7">
        <f>O166*0.015*inputs!$C$56</f>
        <v>5.018841458512649E-2</v>
      </c>
      <c r="O166" s="7">
        <f>IF((B166&gt;B165), (EXP(-LN(2)/inputs!$C$52)*O165+$O$3), (EXP(-LN(2)/inputs!$C$52)*O165))</f>
        <v>5.4140684557849499E-3</v>
      </c>
      <c r="P166" s="3">
        <f>IF((B166&gt;B165), (EXP(-LN(2)/inputs!$C$52)*P165+$P$3), (EXP(-LN(2)/inputs!$C$52)*P165))</f>
        <v>5.2316409935605664E-3</v>
      </c>
      <c r="Q166" s="19">
        <f>IF((F166*0.62*1/(0.012*(10^inputs!$C$55)))&gt;inputs!$C$57, inputs!$C$57, (F166*0.62*1/(0.012*(10^inputs!$C$55))))</f>
        <v>3.0508573158996514E-10</v>
      </c>
      <c r="R166" s="3">
        <f>IF((B166&gt;B165), (EXP(-LN(2)/inputs!$C$51)*R165+$R$3), (EXP(-LN(2)/inputs!$C$51)*R165))</f>
        <v>7.088496489331762E-16</v>
      </c>
      <c r="T166" s="7">
        <f>IF(T165&lt;(inputs!$C$9-1),(1+T165),0)</f>
        <v>0</v>
      </c>
      <c r="U166" s="7">
        <f>IF(inputs!$C$8&gt;U165,IF(T165=(inputs!$C$9-1),(U165+1),U165), U165)</f>
        <v>1</v>
      </c>
      <c r="V166" s="7">
        <f t="shared" si="4"/>
        <v>163</v>
      </c>
      <c r="W166" s="8">
        <f>IF((U166&gt;U165), (EXP(-LN(2)/inputs!$C$51)*W165+$W$3), (EXP(-LN(2)/inputs!$C$51)*W165))</f>
        <v>2.3458304026721343E-8</v>
      </c>
      <c r="X166" s="8">
        <f>IF((U166&gt;U165), (EXP(-LN(2)/inputs!$C$51)*X165+$X$3), (EXP(-LN(2)/inputs!$C$51)*X165))</f>
        <v>9.9352817054349106E-9</v>
      </c>
      <c r="Y166" s="8">
        <f>IF((U166&gt;U165), (EXP(-LN(2)/inputs!$C$51)*Y165+$Y$3), (EXP(-LN(2)/inputs!$C$51)*Y165))</f>
        <v>1.2419102131793661E-8</v>
      </c>
      <c r="Z166" s="8">
        <f>IF((U166&gt;U165), (EXP(-LN(2)/inputs!$C$51)*Z165+$Z$3), (EXP(-LN(2)/inputs!$C$51)*Z165))</f>
        <v>1.9318603316123438E-9</v>
      </c>
      <c r="AA166" s="8">
        <f>IF((U166&gt;U165), (EXP(-LN(2)/inputs!$C$51)*AA165+$AA$3), (EXP(-LN(2)/inputs!$C$51)*AA165))</f>
        <v>1.7938703079257476E-8</v>
      </c>
      <c r="AB166" s="7">
        <f>(((0.621*15^0.564)/0.2))*W166/15+AB165*inputs!$C$53</f>
        <v>2.5242651545622408E-8</v>
      </c>
      <c r="AC166" s="7">
        <f>(((0.621*1000^0.564)/0.2))*W166/1000+AC165*inputs!$C$53</f>
        <v>4.0449276801007552E-9</v>
      </c>
      <c r="AD166" s="7">
        <f>(((0.648*20^0.651)/0.2))*AA166/20+AD165*inputs!$C$54</f>
        <v>2.7020748344427833E-8</v>
      </c>
      <c r="AE166" s="7">
        <f>(((0.013*2^0.773)/0.2))*AA166/2+AE165*inputs!$C$54</f>
        <v>1.3176236416513159E-9</v>
      </c>
    </row>
    <row r="167" spans="1:31" x14ac:dyDescent="0.3">
      <c r="A167" s="7">
        <f>IF(A166&lt;(inputs!$C$9-1),(1+A166),0)</f>
        <v>0</v>
      </c>
      <c r="B167" s="7">
        <f>IF(inputs!$C$8&gt;B166,IF(A166=(inputs!$C$9-1),(B166+1),B166), B166)</f>
        <v>1</v>
      </c>
      <c r="C167" s="7">
        <f t="shared" si="5"/>
        <v>164</v>
      </c>
      <c r="D167" s="8">
        <f>IF((B167&gt;B166), (EXP(-LN(2)/inputs!$C$51)*D166+$D$3), (EXP(-LN(2)/inputs!$C$51)*D166))</f>
        <v>5.8115344178035643E-8</v>
      </c>
      <c r="E167" s="8">
        <f>IF((B167&gt;B166), (EXP(-LN(2)/inputs!$C$51)*E166+$E$3), (EXP(-LN(2)/inputs!$C$51)*E166))</f>
        <v>2.6636199414933004E-8</v>
      </c>
      <c r="F167" s="8">
        <f>IF((B167&gt;B166), (EXP(-LN(2)/inputs!$C$51)*F166+$F$3), (EXP(-LN(2)/inputs!$C$51)*F166))</f>
        <v>3.2689881100145078E-8</v>
      </c>
      <c r="G167" s="8">
        <f>IF((B167&gt;B166), (EXP(-LN(2)/inputs!$C$51)*G166+$G$3), (EXP(-LN(2)/inputs!$C$51)*G166))</f>
        <v>3.6322090111272277E-9</v>
      </c>
      <c r="H167" s="8">
        <f>IF((B167&gt;B166), (EXP(-LN(2)/inputs!$C$51)*H166+$H$3), (EXP(-LN(2)/inputs!$C$51)*H166))</f>
        <v>2.2761843136397307E-8</v>
      </c>
      <c r="I167" s="7">
        <f>O167*(10^inputs!$C$55)*0.01/1</f>
        <v>0.33471094912610666</v>
      </c>
      <c r="J167" s="7">
        <f>(((0.621*15^0.564)/0.2))*D167/15+J166*inputs!$C$53</f>
        <v>6.2535867080119145E-8</v>
      </c>
      <c r="K167" s="7">
        <f>(((0.621*1000^0.564)/0.2))*D167/1000+K166*inputs!$C$53</f>
        <v>1.002085931005702E-8</v>
      </c>
      <c r="L167" s="7">
        <f>(((0.648*20^0.651)/0.2))*H167/20+L166*inputs!$C$54</f>
        <v>3.4285758146869977E-8</v>
      </c>
      <c r="M167" s="7">
        <f>(((0.013*2^0.773)/0.2))*H167/2+M166*inputs!$C$54</f>
        <v>1.6718902426538877E-9</v>
      </c>
      <c r="N167" s="7">
        <f>O167*0.015*inputs!$C$56</f>
        <v>4.9175598406817608E-2</v>
      </c>
      <c r="O167" s="7">
        <f>IF((B167&gt;B166), (EXP(-LN(2)/inputs!$C$52)*O166+$O$3), (EXP(-LN(2)/inputs!$C$52)*O166))</f>
        <v>5.3048110471216403E-3</v>
      </c>
      <c r="P167" s="3">
        <f>IF((B167&gt;B166), (EXP(-LN(2)/inputs!$C$52)*P166+$P$3), (EXP(-LN(2)/inputs!$C$52)*P166))</f>
        <v>5.1260650218710293E-3</v>
      </c>
      <c r="Q167" s="19">
        <f>IF((F167*0.62*1/(0.012*(10^inputs!$C$55)))&gt;inputs!$C$57, inputs!$C$57, (F167*0.62*1/(0.012*(10^inputs!$C$55))))</f>
        <v>2.6768484509291267E-10</v>
      </c>
      <c r="R167" s="3">
        <f>IF((B167&gt;B166), (EXP(-LN(2)/inputs!$C$51)*R166+$R$3), (EXP(-LN(2)/inputs!$C$51)*R166))</f>
        <v>6.2195077914644761E-16</v>
      </c>
      <c r="T167" s="7">
        <f>IF(T166&lt;(inputs!$C$9-1),(1+T166),0)</f>
        <v>0</v>
      </c>
      <c r="U167" s="7">
        <f>IF(inputs!$C$8&gt;U166,IF(T166=(inputs!$C$9-1),(U166+1),U166), U166)</f>
        <v>1</v>
      </c>
      <c r="V167" s="7">
        <f t="shared" si="4"/>
        <v>164</v>
      </c>
      <c r="W167" s="8">
        <f>IF((U167&gt;U166), (EXP(-LN(2)/inputs!$C$51)*W166+$W$3), (EXP(-LN(2)/inputs!$C$51)*W166))</f>
        <v>2.0582517729720976E-8</v>
      </c>
      <c r="X167" s="8">
        <f>IF((U167&gt;U166), (EXP(-LN(2)/inputs!$C$51)*X166+$X$3), (EXP(-LN(2)/inputs!$C$51)*X166))</f>
        <v>8.7173016267053455E-9</v>
      </c>
      <c r="Y167" s="8">
        <f>IF((U167&gt;U166), (EXP(-LN(2)/inputs!$C$51)*Y166+$Y$3), (EXP(-LN(2)/inputs!$C$51)*Y166))</f>
        <v>1.0896627033381701E-8</v>
      </c>
      <c r="Z167" s="8">
        <f>IF((U167&gt;U166), (EXP(-LN(2)/inputs!$C$51)*Z166+$Z$3), (EXP(-LN(2)/inputs!$C$51)*Z166))</f>
        <v>1.6950308718593726E-9</v>
      </c>
      <c r="AA167" s="8">
        <f>IF((U167&gt;U166), (EXP(-LN(2)/inputs!$C$51)*AA166+$AA$3), (EXP(-LN(2)/inputs!$C$51)*AA166))</f>
        <v>1.5739572381551315E-8</v>
      </c>
      <c r="AB167" s="7">
        <f>(((0.621*15^0.564)/0.2))*W167/15+AB166*inputs!$C$53</f>
        <v>2.2148119590875555E-8</v>
      </c>
      <c r="AC167" s="7">
        <f>(((0.621*1000^0.564)/0.2))*W167/1000+AC166*inputs!$C$53</f>
        <v>3.549054338978531E-9</v>
      </c>
      <c r="AD167" s="7">
        <f>(((0.648*20^0.651)/0.2))*AA167/20+AD166*inputs!$C$54</f>
        <v>2.3708237016452625E-8</v>
      </c>
      <c r="AE167" s="7">
        <f>(((0.013*2^0.773)/0.2))*AA167/2+AE166*inputs!$C$54</f>
        <v>1.1560943167287512E-9</v>
      </c>
    </row>
    <row r="168" spans="1:31" x14ac:dyDescent="0.3">
      <c r="A168" s="7">
        <f>IF(A167&lt;(inputs!$C$9-1),(1+A167),0)</f>
        <v>0</v>
      </c>
      <c r="B168" s="7">
        <f>IF(inputs!$C$8&gt;B167,IF(A167=(inputs!$C$9-1),(B167+1),B167), B167)</f>
        <v>1</v>
      </c>
      <c r="C168" s="7">
        <f t="shared" si="5"/>
        <v>165</v>
      </c>
      <c r="D168" s="8">
        <f>IF((B168&gt;B167), (EXP(-LN(2)/inputs!$C$51)*D167+$D$3), (EXP(-LN(2)/inputs!$C$51)*D167))</f>
        <v>5.0990902861123716E-8</v>
      </c>
      <c r="E168" s="8">
        <f>IF((B168&gt;B167), (EXP(-LN(2)/inputs!$C$51)*E167+$E$3), (EXP(-LN(2)/inputs!$C$51)*E167))</f>
        <v>2.3370830478015037E-8</v>
      </c>
      <c r="F168" s="8">
        <f>IF((B168&gt;B167), (EXP(-LN(2)/inputs!$C$51)*F167+$F$3), (EXP(-LN(2)/inputs!$C$51)*F167))</f>
        <v>2.8682382859382116E-8</v>
      </c>
      <c r="G168" s="8">
        <f>IF((B168&gt;B167), (EXP(-LN(2)/inputs!$C$51)*G167+$G$3), (EXP(-LN(2)/inputs!$C$51)*G167))</f>
        <v>3.1869314288202322E-9</v>
      </c>
      <c r="H168" s="8">
        <f>IF((B168&gt;B167), (EXP(-LN(2)/inputs!$C$51)*H167+$H$3), (EXP(-LN(2)/inputs!$C$51)*H167))</f>
        <v>1.9971436953940136E-8</v>
      </c>
      <c r="I168" s="7">
        <f>O168*(10^inputs!$C$55)*0.01/1</f>
        <v>0.32795638899237206</v>
      </c>
      <c r="J168" s="7">
        <f>(((0.621*15^0.564)/0.2))*D168/15+J167*inputs!$C$53</f>
        <v>5.4869507678553388E-8</v>
      </c>
      <c r="K168" s="7">
        <f>(((0.621*1000^0.564)/0.2))*D168/1000+K167*inputs!$C$53</f>
        <v>8.792388153096816E-9</v>
      </c>
      <c r="L168" s="7">
        <f>(((0.648*20^0.651)/0.2))*H168/20+L167*inputs!$C$54</f>
        <v>3.0082619107119968E-8</v>
      </c>
      <c r="M168" s="7">
        <f>(((0.013*2^0.773)/0.2))*H168/2+M167*inputs!$C$54</f>
        <v>1.466930879673688E-9</v>
      </c>
      <c r="N168" s="7">
        <f>O168*0.015*inputs!$C$56</f>
        <v>4.8183221140945469E-2</v>
      </c>
      <c r="O168" s="7">
        <f>IF((B168&gt;B167), (EXP(-LN(2)/inputs!$C$52)*O167+$O$3), (EXP(-LN(2)/inputs!$C$52)*O167))</f>
        <v>5.1977584833813881E-3</v>
      </c>
      <c r="P168" s="3">
        <f>IF((B168&gt;B167), (EXP(-LN(2)/inputs!$C$52)*P167+$P$3), (EXP(-LN(2)/inputs!$C$52)*P167))</f>
        <v>5.0226196026815408E-3</v>
      </c>
      <c r="Q168" s="19">
        <f>IF((F168*0.62*1/(0.012*(10^inputs!$C$55)))&gt;inputs!$C$57, inputs!$C$57, (F168*0.62*1/(0.012*(10^inputs!$C$55))))</f>
        <v>2.3486898557655633E-10</v>
      </c>
      <c r="R168" s="3">
        <f>IF((B168&gt;B167), (EXP(-LN(2)/inputs!$C$51)*R167+$R$3), (EXP(-LN(2)/inputs!$C$51)*R167))</f>
        <v>5.4570496333467091E-16</v>
      </c>
      <c r="T168" s="7">
        <f>IF(T167&lt;(inputs!$C$9-1),(1+T167),0)</f>
        <v>0</v>
      </c>
      <c r="U168" s="7">
        <f>IF(inputs!$C$8&gt;U167,IF(T167=(inputs!$C$9-1),(U167+1),U167), U167)</f>
        <v>1</v>
      </c>
      <c r="V168" s="7">
        <f t="shared" si="4"/>
        <v>165</v>
      </c>
      <c r="W168" s="8">
        <f>IF((U168&gt;U167), (EXP(-LN(2)/inputs!$C$51)*W167+$W$3), (EXP(-LN(2)/inputs!$C$51)*W167))</f>
        <v>1.8059278096648E-8</v>
      </c>
      <c r="X168" s="8">
        <f>IF((U168&gt;U167), (EXP(-LN(2)/inputs!$C$51)*X167+$X$3), (EXP(-LN(2)/inputs!$C$51)*X167))</f>
        <v>7.6486354291685564E-9</v>
      </c>
      <c r="Y168" s="8">
        <f>IF((U168&gt;U167), (EXP(-LN(2)/inputs!$C$51)*Y167+$Y$3), (EXP(-LN(2)/inputs!$C$51)*Y167))</f>
        <v>9.560794286460712E-9</v>
      </c>
      <c r="Z168" s="8">
        <f>IF((U168&gt;U167), (EXP(-LN(2)/inputs!$C$51)*Z167+$Z$3), (EXP(-LN(2)/inputs!$C$51)*Z167))</f>
        <v>1.4872346667827749E-9</v>
      </c>
      <c r="AA168" s="8">
        <f>IF((U168&gt;U167), (EXP(-LN(2)/inputs!$C$51)*AA167+$AA$3), (EXP(-LN(2)/inputs!$C$51)*AA167))</f>
        <v>1.3810036191554336E-8</v>
      </c>
      <c r="AB168" s="7">
        <f>(((0.621*15^0.564)/0.2))*W168/15+AB167*inputs!$C$53</f>
        <v>1.9432950636154344E-8</v>
      </c>
      <c r="AC168" s="7">
        <f>(((0.621*1000^0.564)/0.2))*W168/1000+AC167*inputs!$C$53</f>
        <v>3.1139708042217925E-9</v>
      </c>
      <c r="AD168" s="7">
        <f>(((0.648*20^0.651)/0.2))*AA168/20+AD167*inputs!$C$54</f>
        <v>2.0801811084710596E-8</v>
      </c>
      <c r="AE168" s="7">
        <f>(((0.013*2^0.773)/0.2))*AA168/2+AE167*inputs!$C$54</f>
        <v>1.014367097646698E-9</v>
      </c>
    </row>
    <row r="169" spans="1:31" x14ac:dyDescent="0.3">
      <c r="A169" s="7">
        <f>IF(A168&lt;(inputs!$C$9-1),(1+A168),0)</f>
        <v>0</v>
      </c>
      <c r="B169" s="7">
        <f>IF(inputs!$C$8&gt;B168,IF(A168=(inputs!$C$9-1),(B168+1),B168), B168)</f>
        <v>1</v>
      </c>
      <c r="C169" s="7">
        <f t="shared" si="5"/>
        <v>166</v>
      </c>
      <c r="D169" s="8">
        <f>IF((B169&gt;B168), (EXP(-LN(2)/inputs!$C$51)*D168+$D$3), (EXP(-LN(2)/inputs!$C$51)*D168))</f>
        <v>4.4739856768760859E-8</v>
      </c>
      <c r="E169" s="8">
        <f>IF((B169&gt;B168), (EXP(-LN(2)/inputs!$C$51)*E168+$E$3), (EXP(-LN(2)/inputs!$C$51)*E168))</f>
        <v>2.0505767685682058E-8</v>
      </c>
      <c r="F169" s="8">
        <f>IF((B169&gt;B168), (EXP(-LN(2)/inputs!$C$51)*F168+$F$3), (EXP(-LN(2)/inputs!$C$51)*F168))</f>
        <v>2.5166169432428004E-8</v>
      </c>
      <c r="G169" s="8">
        <f>IF((B169&gt;B168), (EXP(-LN(2)/inputs!$C$51)*G168+$G$3), (EXP(-LN(2)/inputs!$C$51)*G168))</f>
        <v>2.7962410480475537E-9</v>
      </c>
      <c r="H169" s="8">
        <f>IF((B169&gt;B168), (EXP(-LN(2)/inputs!$C$51)*H168+$H$3), (EXP(-LN(2)/inputs!$C$51)*H168))</f>
        <v>1.7523110567764682E-8</v>
      </c>
      <c r="I169" s="7">
        <f>O169*(10^inputs!$C$55)*0.01/1</f>
        <v>0.32133813776254194</v>
      </c>
      <c r="J169" s="7">
        <f>(((0.621*15^0.564)/0.2))*D169/15+J168*inputs!$C$53</f>
        <v>4.8142977997405157E-8</v>
      </c>
      <c r="K169" s="7">
        <f>(((0.621*1000^0.564)/0.2))*D169/1000+K168*inputs!$C$53</f>
        <v>7.7145169932814271E-9</v>
      </c>
      <c r="L169" s="7">
        <f>(((0.648*20^0.651)/0.2))*H169/20+L168*inputs!$C$54</f>
        <v>2.6394748760329674E-8</v>
      </c>
      <c r="M169" s="7">
        <f>(((0.013*2^0.773)/0.2))*H169/2+M168*inputs!$C$54</f>
        <v>1.287097771636257E-9</v>
      </c>
      <c r="N169" s="7">
        <f>O169*0.015*inputs!$C$56</f>
        <v>4.721087032456709E-2</v>
      </c>
      <c r="O169" s="7">
        <f>IF((B169&gt;B168), (EXP(-LN(2)/inputs!$C$52)*O168+$O$3), (EXP(-LN(2)/inputs!$C$52)*O168))</f>
        <v>5.0928662701798374E-3</v>
      </c>
      <c r="P169" s="3">
        <f>IF((B169&gt;B168), (EXP(-LN(2)/inputs!$C$52)*P168+$P$3), (EXP(-LN(2)/inputs!$C$52)*P168))</f>
        <v>4.9212617408495246E-3</v>
      </c>
      <c r="Q169" s="19">
        <f>IF((F169*0.62*1/(0.012*(10^inputs!$C$55)))&gt;inputs!$C$57, inputs!$C$57, (F169*0.62*1/(0.012*(10^inputs!$C$55))))</f>
        <v>2.0607606817118669E-10</v>
      </c>
      <c r="R169" s="3">
        <f>IF((B169&gt;B168), (EXP(-LN(2)/inputs!$C$51)*R168+$R$3), (EXP(-LN(2)/inputs!$C$51)*R168))</f>
        <v>4.7880622871279414E-16</v>
      </c>
      <c r="T169" s="7">
        <f>IF(T168&lt;(inputs!$C$9-1),(1+T168),0)</f>
        <v>0</v>
      </c>
      <c r="U169" s="7">
        <f>IF(inputs!$C$8&gt;U168,IF(T168=(inputs!$C$9-1),(U168+1),U168), U168)</f>
        <v>1</v>
      </c>
      <c r="V169" s="7">
        <f t="shared" si="4"/>
        <v>166</v>
      </c>
      <c r="W169" s="8">
        <f>IF((U169&gt;U168), (EXP(-LN(2)/inputs!$C$51)*W168+$W$3), (EXP(-LN(2)/inputs!$C$51)*W168))</f>
        <v>1.5845365938936152E-8</v>
      </c>
      <c r="X169" s="8">
        <f>IF((U169&gt;U168), (EXP(-LN(2)/inputs!$C$51)*X168+$X$3), (EXP(-LN(2)/inputs!$C$51)*X168))</f>
        <v>6.7109785153141277E-9</v>
      </c>
      <c r="Y169" s="8">
        <f>IF((U169&gt;U168), (EXP(-LN(2)/inputs!$C$51)*Y168+$Y$3), (EXP(-LN(2)/inputs!$C$51)*Y168))</f>
        <v>8.3887231441426747E-9</v>
      </c>
      <c r="Z169" s="8">
        <f>IF((U169&gt;U168), (EXP(-LN(2)/inputs!$C$51)*Z168+$Z$3), (EXP(-LN(2)/inputs!$C$51)*Z168))</f>
        <v>1.3049124890888582E-9</v>
      </c>
      <c r="AA169" s="8">
        <f>IF((U169&gt;U168), (EXP(-LN(2)/inputs!$C$51)*AA168+$AA$3), (EXP(-LN(2)/inputs!$C$51)*AA168))</f>
        <v>1.2117044541539395E-8</v>
      </c>
      <c r="AB169" s="7">
        <f>(((0.621*15^0.564)/0.2))*W169/15+AB168*inputs!$C$53</f>
        <v>1.7050638040747677E-8</v>
      </c>
      <c r="AC169" s="7">
        <f>(((0.621*1000^0.564)/0.2))*W169/1000+AC168*inputs!$C$53</f>
        <v>2.7322247684538409E-9</v>
      </c>
      <c r="AD169" s="7">
        <f>(((0.648*20^0.651)/0.2))*AA169/20+AD168*inputs!$C$54</f>
        <v>1.8251687972568372E-8</v>
      </c>
      <c r="AE169" s="7">
        <f>(((0.013*2^0.773)/0.2))*AA169/2+AE168*inputs!$C$54</f>
        <v>8.9001441655698514E-10</v>
      </c>
    </row>
    <row r="170" spans="1:31" x14ac:dyDescent="0.3">
      <c r="A170" s="7">
        <f>IF(A169&lt;(inputs!$C$9-1),(1+A169),0)</f>
        <v>0</v>
      </c>
      <c r="B170" s="7">
        <f>IF(inputs!$C$8&gt;B169,IF(A169=(inputs!$C$9-1),(B169+1),B169), B169)</f>
        <v>1</v>
      </c>
      <c r="C170" s="7">
        <f t="shared" si="5"/>
        <v>167</v>
      </c>
      <c r="D170" s="8">
        <f>IF((B170&gt;B169), (EXP(-LN(2)/inputs!$C$51)*D169+$D$3), (EXP(-LN(2)/inputs!$C$51)*D169))</f>
        <v>3.9255135158929113E-8</v>
      </c>
      <c r="E170" s="8">
        <f>IF((B170&gt;B169), (EXP(-LN(2)/inputs!$C$51)*E169+$E$3), (EXP(-LN(2)/inputs!$C$51)*E169))</f>
        <v>1.799193694784251E-8</v>
      </c>
      <c r="F170" s="8">
        <f>IF((B170&gt;B169), (EXP(-LN(2)/inputs!$C$51)*F169+$F$3), (EXP(-LN(2)/inputs!$C$51)*F169))</f>
        <v>2.2081013526897644E-8</v>
      </c>
      <c r="G170" s="8">
        <f>IF((B170&gt;B169), (EXP(-LN(2)/inputs!$C$51)*G169+$G$3), (EXP(-LN(2)/inputs!$C$51)*G169))</f>
        <v>2.4534459474330695E-9</v>
      </c>
      <c r="H170" s="8">
        <f>IF((B170&gt;B169), (EXP(-LN(2)/inputs!$C$51)*H169+$H$3), (EXP(-LN(2)/inputs!$C$51)*H169))</f>
        <v>1.5374927937247247E-8</v>
      </c>
      <c r="I170" s="7">
        <f>O170*(10^inputs!$C$55)*0.01/1</f>
        <v>0.31485344468498855</v>
      </c>
      <c r="J170" s="7">
        <f>(((0.621*15^0.564)/0.2))*D170/15+J169*inputs!$C$53</f>
        <v>4.2241062996899546E-8</v>
      </c>
      <c r="K170" s="7">
        <f>(((0.621*1000^0.564)/0.2))*D170/1000+K169*inputs!$C$53</f>
        <v>6.7687835663472402E-9</v>
      </c>
      <c r="L170" s="7">
        <f>(((0.648*20^0.651)/0.2))*H170/20+L169*inputs!$C$54</f>
        <v>2.315897959682751E-8</v>
      </c>
      <c r="M170" s="7">
        <f>(((0.013*2^0.773)/0.2))*H170/2+M169*inputs!$C$54</f>
        <v>1.1293106558091719E-9</v>
      </c>
      <c r="N170" s="7">
        <f>O170*0.015*inputs!$C$56</f>
        <v>4.6258141818356524E-2</v>
      </c>
      <c r="O170" s="7">
        <f>IF((B170&gt;B169), (EXP(-LN(2)/inputs!$C$52)*O169+$O$3), (EXP(-LN(2)/inputs!$C$52)*O169))</f>
        <v>4.9900908110416965E-3</v>
      </c>
      <c r="P170" s="3">
        <f>IF((B170&gt;B169), (EXP(-LN(2)/inputs!$C$52)*P169+$P$3), (EXP(-LN(2)/inputs!$C$52)*P169))</f>
        <v>4.8219493088863512E-3</v>
      </c>
      <c r="Q170" s="19">
        <f>IF((F170*0.62*1/(0.012*(10^inputs!$C$55)))&gt;inputs!$C$57, inputs!$C$57, (F170*0.62*1/(0.012*(10^inputs!$C$55))))</f>
        <v>1.8081291477734599E-10</v>
      </c>
      <c r="R170" s="3">
        <f>IF((B170&gt;B169), (EXP(-LN(2)/inputs!$C$51)*R169+$R$3), (EXP(-LN(2)/inputs!$C$51)*R169))</f>
        <v>4.201087035258838E-16</v>
      </c>
      <c r="T170" s="7">
        <f>IF(T169&lt;(inputs!$C$9-1),(1+T169),0)</f>
        <v>0</v>
      </c>
      <c r="U170" s="7">
        <f>IF(inputs!$C$8&gt;U169,IF(T169=(inputs!$C$9-1),(U169+1),U169), U169)</f>
        <v>1</v>
      </c>
      <c r="V170" s="7">
        <f t="shared" si="4"/>
        <v>167</v>
      </c>
      <c r="W170" s="8">
        <f>IF((U170&gt;U169), (EXP(-LN(2)/inputs!$C$51)*W169+$W$3), (EXP(-LN(2)/inputs!$C$51)*W169))</f>
        <v>1.3902860368787407E-8</v>
      </c>
      <c r="X170" s="8">
        <f>IF((U170&gt;U169), (EXP(-LN(2)/inputs!$C$51)*X169+$X$3), (EXP(-LN(2)/inputs!$C$51)*X169))</f>
        <v>5.8882702738393664E-9</v>
      </c>
      <c r="Y170" s="8">
        <f>IF((U170&gt;U169), (EXP(-LN(2)/inputs!$C$51)*Y169+$Y$3), (EXP(-LN(2)/inputs!$C$51)*Y169))</f>
        <v>7.360337842299221E-9</v>
      </c>
      <c r="Z170" s="8">
        <f>IF((U170&gt;U169), (EXP(-LN(2)/inputs!$C$51)*Z169+$Z$3), (EXP(-LN(2)/inputs!$C$51)*Z169))</f>
        <v>1.1449414421354323E-9</v>
      </c>
      <c r="AA170" s="8">
        <f>IF((U170&gt;U169), (EXP(-LN(2)/inputs!$C$51)*AA169+$AA$3), (EXP(-LN(2)/inputs!$C$51)*AA169))</f>
        <v>1.0631599105543298E-8</v>
      </c>
      <c r="AB170" s="7">
        <f>(((0.621*15^0.564)/0.2))*W170/15+AB169*inputs!$C$53</f>
        <v>1.4960376478068602E-8</v>
      </c>
      <c r="AC170" s="7">
        <f>(((0.621*1000^0.564)/0.2))*W170/1000+AC169*inputs!$C$53</f>
        <v>2.3972775130813165E-9</v>
      </c>
      <c r="AD170" s="7">
        <f>(((0.648*20^0.651)/0.2))*AA170/20+AD169*inputs!$C$54</f>
        <v>1.6014188019082839E-8</v>
      </c>
      <c r="AE170" s="7">
        <f>(((0.013*2^0.773)/0.2))*AA170/2+AE169*inputs!$C$54</f>
        <v>7.809063045488946E-10</v>
      </c>
    </row>
    <row r="171" spans="1:31" x14ac:dyDescent="0.3">
      <c r="A171" s="7">
        <f>IF(A170&lt;(inputs!$C$9-1),(1+A170),0)</f>
        <v>0</v>
      </c>
      <c r="B171" s="7">
        <f>IF(inputs!$C$8&gt;B170,IF(A170=(inputs!$C$9-1),(B170+1),B170), B170)</f>
        <v>1</v>
      </c>
      <c r="C171" s="7">
        <f t="shared" si="5"/>
        <v>168</v>
      </c>
      <c r="D171" s="8">
        <f>IF((B171&gt;B170), (EXP(-LN(2)/inputs!$C$51)*D170+$D$3), (EXP(-LN(2)/inputs!$C$51)*D170))</f>
        <v>3.4442793241612611E-8</v>
      </c>
      <c r="E171" s="8">
        <f>IF((B171&gt;B170), (EXP(-LN(2)/inputs!$C$51)*E170+$E$3), (EXP(-LN(2)/inputs!$C$51)*E170))</f>
        <v>1.5786280235739112E-8</v>
      </c>
      <c r="F171" s="8">
        <f>IF((B171&gt;B170), (EXP(-LN(2)/inputs!$C$51)*F170+$F$3), (EXP(-LN(2)/inputs!$C$51)*F170))</f>
        <v>1.937407119840711E-8</v>
      </c>
      <c r="G171" s="8">
        <f>IF((B171&gt;B170), (EXP(-LN(2)/inputs!$C$51)*G170+$G$3), (EXP(-LN(2)/inputs!$C$51)*G170))</f>
        <v>2.1526745776007882E-9</v>
      </c>
      <c r="H171" s="8">
        <f>IF((B171&gt;B170), (EXP(-LN(2)/inputs!$C$51)*H170+$H$3), (EXP(-LN(2)/inputs!$C$51)*H170))</f>
        <v>1.3490094019631615E-8</v>
      </c>
      <c r="I171" s="7">
        <f>O171*(10^inputs!$C$55)*0.01/1</f>
        <v>0.30849961451901758</v>
      </c>
      <c r="J171" s="7">
        <f>(((0.621*15^0.564)/0.2))*D171/15+J170*inputs!$C$53</f>
        <v>3.7062672010115533E-8</v>
      </c>
      <c r="K171" s="7">
        <f>(((0.621*1000^0.564)/0.2))*D171/1000+K170*inputs!$C$53</f>
        <v>5.9389889228261475E-9</v>
      </c>
      <c r="L171" s="7">
        <f>(((0.648*20^0.651)/0.2))*H171/20+L170*inputs!$C$54</f>
        <v>2.0319887900292109E-8</v>
      </c>
      <c r="M171" s="7">
        <f>(((0.013*2^0.773)/0.2))*H171/2+M170*inputs!$C$54</f>
        <v>9.9086688317611575E-10</v>
      </c>
      <c r="N171" s="7">
        <f>O171*0.015*inputs!$C$56</f>
        <v>4.5324639638631911E-2</v>
      </c>
      <c r="O171" s="7">
        <f>IF((B171&gt;B170), (EXP(-LN(2)/inputs!$C$52)*O170+$O$3), (EXP(-LN(2)/inputs!$C$52)*O170))</f>
        <v>4.8893893892806815E-3</v>
      </c>
      <c r="P171" s="3">
        <f>IF((B171&gt;B170), (EXP(-LN(2)/inputs!$C$52)*P170+$P$3), (EXP(-LN(2)/inputs!$C$52)*P170))</f>
        <v>4.7246410294478382E-3</v>
      </c>
      <c r="Q171" s="19">
        <f>IF((F171*0.62*1/(0.012*(10^inputs!$C$55)))&gt;inputs!$C$57, inputs!$C$57, (F171*0.62*1/(0.012*(10^inputs!$C$55))))</f>
        <v>1.58646806688497E-10</v>
      </c>
      <c r="R171" s="3">
        <f>IF((B171&gt;B170), (EXP(-LN(2)/inputs!$C$51)*R170+$R$3), (EXP(-LN(2)/inputs!$C$51)*R170))</f>
        <v>3.6860699003994164E-16</v>
      </c>
      <c r="T171" s="7">
        <f>IF(T170&lt;(inputs!$C$9-1),(1+T170),0)</f>
        <v>0</v>
      </c>
      <c r="U171" s="7">
        <f>IF(inputs!$C$8&gt;U170,IF(T170=(inputs!$C$9-1),(U170+1),U170), U170)</f>
        <v>1</v>
      </c>
      <c r="V171" s="7">
        <f t="shared" si="4"/>
        <v>168</v>
      </c>
      <c r="W171" s="8">
        <f>IF((U171&gt;U170), (EXP(-LN(2)/inputs!$C$51)*W170+$W$3), (EXP(-LN(2)/inputs!$C$51)*W170))</f>
        <v>1.2198489273071143E-8</v>
      </c>
      <c r="X171" s="8">
        <f>IF((U171&gt;U170), (EXP(-LN(2)/inputs!$C$51)*X170+$X$3), (EXP(-LN(2)/inputs!$C$51)*X170))</f>
        <v>5.1664189862418913E-9</v>
      </c>
      <c r="Y171" s="8">
        <f>IF((U171&gt;U170), (EXP(-LN(2)/inputs!$C$51)*Y170+$Y$3), (EXP(-LN(2)/inputs!$C$51)*Y170))</f>
        <v>6.4580237328023749E-9</v>
      </c>
      <c r="Z171" s="8">
        <f>IF((U171&gt;U170), (EXP(-LN(2)/inputs!$C$51)*Z170+$Z$3), (EXP(-LN(2)/inputs!$C$51)*Z170))</f>
        <v>1.0045814695470342E-9</v>
      </c>
      <c r="AA171" s="8">
        <f>IF((U171&gt;U170), (EXP(-LN(2)/inputs!$C$51)*AA170+$AA$3), (EXP(-LN(2)/inputs!$C$51)*AA170))</f>
        <v>9.3282565029367459E-9</v>
      </c>
      <c r="AB171" s="7">
        <f>(((0.621*15^0.564)/0.2))*W171/15+AB170*inputs!$C$53</f>
        <v>1.3126363003582596E-8</v>
      </c>
      <c r="AC171" s="7">
        <f>(((0.621*1000^0.564)/0.2))*W171/1000+AC170*inputs!$C$53</f>
        <v>2.1033919101675956E-9</v>
      </c>
      <c r="AD171" s="7">
        <f>(((0.648*20^0.651)/0.2))*AA171/20+AD170*inputs!$C$54</f>
        <v>1.4050986314031763E-8</v>
      </c>
      <c r="AE171" s="7">
        <f>(((0.013*2^0.773)/0.2))*AA171/2+AE170*inputs!$C$54</f>
        <v>6.8517390857922834E-10</v>
      </c>
    </row>
    <row r="172" spans="1:31" x14ac:dyDescent="0.3">
      <c r="A172" s="7">
        <f>IF(A171&lt;(inputs!$C$9-1),(1+A171),0)</f>
        <v>0</v>
      </c>
      <c r="B172" s="7">
        <f>IF(inputs!$C$8&gt;B171,IF(A171=(inputs!$C$9-1),(B171+1),B171), B171)</f>
        <v>1</v>
      </c>
      <c r="C172" s="7">
        <f t="shared" si="5"/>
        <v>169</v>
      </c>
      <c r="D172" s="8">
        <f>IF((B172&gt;B171), (EXP(-LN(2)/inputs!$C$51)*D171+$D$3), (EXP(-LN(2)/inputs!$C$51)*D171))</f>
        <v>3.022040304998501E-8</v>
      </c>
      <c r="E172" s="8">
        <f>IF((B172&gt;B171), (EXP(-LN(2)/inputs!$C$51)*E171+$E$3), (EXP(-LN(2)/inputs!$C$51)*E171))</f>
        <v>1.3851018064576464E-8</v>
      </c>
      <c r="F172" s="8">
        <f>IF((B172&gt;B171), (EXP(-LN(2)/inputs!$C$51)*F171+$F$3), (EXP(-LN(2)/inputs!$C$51)*F171))</f>
        <v>1.6998976715616584E-8</v>
      </c>
      <c r="G172" s="8">
        <f>IF((B172&gt;B171), (EXP(-LN(2)/inputs!$C$51)*G171+$G$3), (EXP(-LN(2)/inputs!$C$51)*G171))</f>
        <v>1.8887751906240631E-9</v>
      </c>
      <c r="H172" s="8">
        <f>IF((B172&gt;B171), (EXP(-LN(2)/inputs!$C$51)*H171+$H$3), (EXP(-LN(2)/inputs!$C$51)*H171))</f>
        <v>1.1836324527910804E-8</v>
      </c>
      <c r="I172" s="7">
        <f>O172*(10^inputs!$C$55)*0.01/1</f>
        <v>0.30227400641464219</v>
      </c>
      <c r="J172" s="7">
        <f>(((0.621*15^0.564)/0.2))*D172/15+J171*inputs!$C$53</f>
        <v>3.2519107216364917E-8</v>
      </c>
      <c r="K172" s="7">
        <f>(((0.621*1000^0.564)/0.2))*D172/1000+K171*inputs!$C$53</f>
        <v>5.2109199651195112E-9</v>
      </c>
      <c r="L172" s="7">
        <f>(((0.648*20^0.651)/0.2))*H172/20+L171*inputs!$C$54</f>
        <v>1.7828844425295809E-8</v>
      </c>
      <c r="M172" s="7">
        <f>(((0.013*2^0.773)/0.2))*H172/2+M171*inputs!$C$54</f>
        <v>8.6939512624332775E-10</v>
      </c>
      <c r="N172" s="7">
        <f>O172*0.015*inputs!$C$56</f>
        <v>4.4409975792772345E-2</v>
      </c>
      <c r="O172" s="7">
        <f>IF((B172&gt;B171), (EXP(-LN(2)/inputs!$C$52)*O171+$O$3), (EXP(-LN(2)/inputs!$C$52)*O171))</f>
        <v>4.7907201502451289E-3</v>
      </c>
      <c r="P172" s="3">
        <f>IF((B172&gt;B171), (EXP(-LN(2)/inputs!$C$52)*P171+$P$3), (EXP(-LN(2)/inputs!$C$52)*P171))</f>
        <v>4.6292964581781011E-3</v>
      </c>
      <c r="Q172" s="19">
        <f>IF((F172*0.62*1/(0.012*(10^inputs!$C$55)))&gt;inputs!$C$57, inputs!$C$57, (F172*0.62*1/(0.012*(10^inputs!$C$55))))</f>
        <v>1.3919807278949265E-10</v>
      </c>
      <c r="R172" s="3">
        <f>IF((B172&gt;B171), (EXP(-LN(2)/inputs!$C$51)*R171+$R$3), (EXP(-LN(2)/inputs!$C$51)*R171))</f>
        <v>3.234189436352259E-16</v>
      </c>
      <c r="T172" s="7">
        <f>IF(T171&lt;(inputs!$C$9-1),(1+T171),0)</f>
        <v>0</v>
      </c>
      <c r="U172" s="7">
        <f>IF(inputs!$C$8&gt;U171,IF(T171=(inputs!$C$9-1),(U171+1),U171), U171)</f>
        <v>1</v>
      </c>
      <c r="V172" s="7">
        <f t="shared" si="4"/>
        <v>169</v>
      </c>
      <c r="W172" s="8">
        <f>IF((U172&gt;U171), (EXP(-LN(2)/inputs!$C$51)*W171+$W$3), (EXP(-LN(2)/inputs!$C$51)*W171))</f>
        <v>1.0703059413536368E-8</v>
      </c>
      <c r="X172" s="8">
        <f>IF((U172&gt;U171), (EXP(-LN(2)/inputs!$C$51)*X171+$X$3), (EXP(-LN(2)/inputs!$C$51)*X171))</f>
        <v>4.5330604574977514E-9</v>
      </c>
      <c r="Y172" s="8">
        <f>IF((U172&gt;U171), (EXP(-LN(2)/inputs!$C$51)*Y171+$Y$3), (EXP(-LN(2)/inputs!$C$51)*Y171))</f>
        <v>5.6663255718721994E-9</v>
      </c>
      <c r="Z172" s="8">
        <f>IF((U172&gt;U171), (EXP(-LN(2)/inputs!$C$51)*Z171+$Z$3), (EXP(-LN(2)/inputs!$C$51)*Z171))</f>
        <v>8.8142842229122931E-10</v>
      </c>
      <c r="AA172" s="8">
        <f>IF((U172&gt;U171), (EXP(-LN(2)/inputs!$C$51)*AA171+$AA$3), (EXP(-LN(2)/inputs!$C$51)*AA171))</f>
        <v>8.1846924927042717E-9</v>
      </c>
      <c r="AB172" s="7">
        <f>(((0.621*15^0.564)/0.2))*W172/15+AB171*inputs!$C$53</f>
        <v>1.1517183805795921E-8</v>
      </c>
      <c r="AC172" s="7">
        <f>(((0.621*1000^0.564)/0.2))*W172/1000+AC171*inputs!$C$53</f>
        <v>1.8455341543131617E-9</v>
      </c>
      <c r="AD172" s="7">
        <f>(((0.648*20^0.651)/0.2))*AA172/20+AD171*inputs!$C$54</f>
        <v>1.2328456251534324E-8</v>
      </c>
      <c r="AE172" s="7">
        <f>(((0.013*2^0.773)/0.2))*AA172/2+AE171*inputs!$C$54</f>
        <v>6.011774809129388E-10</v>
      </c>
    </row>
    <row r="173" spans="1:31" x14ac:dyDescent="0.3">
      <c r="A173" s="7">
        <f>IF(A172&lt;(inputs!$C$9-1),(1+A172),0)</f>
        <v>0</v>
      </c>
      <c r="B173" s="7">
        <f>IF(inputs!$C$8&gt;B172,IF(A172=(inputs!$C$9-1),(B172+1),B172), B172)</f>
        <v>1</v>
      </c>
      <c r="C173" s="7">
        <f t="shared" si="5"/>
        <v>170</v>
      </c>
      <c r="D173" s="8">
        <f>IF((B173&gt;B172), (EXP(-LN(2)/inputs!$C$51)*D172+$D$3), (EXP(-LN(2)/inputs!$C$51)*D172))</f>
        <v>2.6515641576948477E-8</v>
      </c>
      <c r="E173" s="8">
        <f>IF((B173&gt;B172), (EXP(-LN(2)/inputs!$C$51)*E172+$E$3), (EXP(-LN(2)/inputs!$C$51)*E172))</f>
        <v>1.215300238943472E-8</v>
      </c>
      <c r="F173" s="8">
        <f>IF((B173&gt;B172), (EXP(-LN(2)/inputs!$C$51)*F172+$F$3), (EXP(-LN(2)/inputs!$C$51)*F172))</f>
        <v>1.4915048387033534E-8</v>
      </c>
      <c r="G173" s="8">
        <f>IF((B173&gt;B172), (EXP(-LN(2)/inputs!$C$51)*G172+$G$3), (EXP(-LN(2)/inputs!$C$51)*G172))</f>
        <v>1.6572275985592798E-9</v>
      </c>
      <c r="H173" s="8">
        <f>IF((B173&gt;B172), (EXP(-LN(2)/inputs!$C$51)*H172+$H$3), (EXP(-LN(2)/inputs!$C$51)*H172))</f>
        <v>1.0385292950971495E-8</v>
      </c>
      <c r="I173" s="7">
        <f>O173*(10^inputs!$C$55)*0.01/1</f>
        <v>0.29617403281496368</v>
      </c>
      <c r="J173" s="7">
        <f>(((0.621*15^0.564)/0.2))*D173/15+J172*inputs!$C$53</f>
        <v>2.8532544384841308E-8</v>
      </c>
      <c r="K173" s="7">
        <f>(((0.621*1000^0.564)/0.2))*D173/1000+K172*inputs!$C$53</f>
        <v>4.5721059991402841E-9</v>
      </c>
      <c r="L173" s="7">
        <f>(((0.648*20^0.651)/0.2))*H173/20+L172*inputs!$C$54</f>
        <v>1.5643181453615791E-8</v>
      </c>
      <c r="M173" s="7">
        <f>(((0.013*2^0.773)/0.2))*H173/2+M172*inputs!$C$54</f>
        <v>7.6281476187080129E-10</v>
      </c>
      <c r="N173" s="7">
        <f>O173*0.015*inputs!$C$56</f>
        <v>4.3513770117955999E-2</v>
      </c>
      <c r="O173" s="7">
        <f>IF((B173&gt;B172), (EXP(-LN(2)/inputs!$C$52)*O172+$O$3), (EXP(-LN(2)/inputs!$C$52)*O172))</f>
        <v>4.6940420839218988E-3</v>
      </c>
      <c r="P173" s="3">
        <f>IF((B173&gt;B172), (EXP(-LN(2)/inputs!$C$52)*P172+$P$3), (EXP(-LN(2)/inputs!$C$52)*P172))</f>
        <v>4.5358759668996168E-3</v>
      </c>
      <c r="Q173" s="19">
        <f>IF((F173*0.62*1/(0.012*(10^inputs!$C$55)))&gt;inputs!$C$57, inputs!$C$57, (F173*0.62*1/(0.012*(10^inputs!$C$55))))</f>
        <v>1.2213358637816059E-10</v>
      </c>
      <c r="R173" s="3">
        <f>IF((B173&gt;B172), (EXP(-LN(2)/inputs!$C$51)*R172+$R$3), (EXP(-LN(2)/inputs!$C$51)*R172))</f>
        <v>2.8377056303460539E-16</v>
      </c>
      <c r="T173" s="7">
        <f>IF(T172&lt;(inputs!$C$9-1),(1+T172),0)</f>
        <v>0</v>
      </c>
      <c r="U173" s="7">
        <f>IF(inputs!$C$8&gt;U172,IF(T172=(inputs!$C$9-1),(U172+1),U172), U172)</f>
        <v>1</v>
      </c>
      <c r="V173" s="7">
        <f t="shared" si="4"/>
        <v>170</v>
      </c>
      <c r="W173" s="8">
        <f>IF((U173&gt;U172), (EXP(-LN(2)/inputs!$C$51)*W172+$W$3), (EXP(-LN(2)/inputs!$C$51)*W172))</f>
        <v>9.390956391835928E-9</v>
      </c>
      <c r="X173" s="8">
        <f>IF((U173&gt;U172), (EXP(-LN(2)/inputs!$C$51)*X172+$X$3), (EXP(-LN(2)/inputs!$C$51)*X172))</f>
        <v>3.9773462365422712E-9</v>
      </c>
      <c r="Y173" s="8">
        <f>IF((U173&gt;U172), (EXP(-LN(2)/inputs!$C$51)*Y172+$Y$3), (EXP(-LN(2)/inputs!$C$51)*Y172))</f>
        <v>4.9716827956778485E-9</v>
      </c>
      <c r="Z173" s="8">
        <f>IF((U173&gt;U172), (EXP(-LN(2)/inputs!$C$51)*Z172+$Z$3), (EXP(-LN(2)/inputs!$C$51)*Z172))</f>
        <v>7.7337287932766377E-10</v>
      </c>
      <c r="AA173" s="8">
        <f>IF((U173&gt;U172), (EXP(-LN(2)/inputs!$C$51)*AA172+$AA$3), (EXP(-LN(2)/inputs!$C$51)*AA172))</f>
        <v>7.1813195937568775E-9</v>
      </c>
      <c r="AB173" s="7">
        <f>(((0.621*15^0.564)/0.2))*W173/15+AB172*inputs!$C$53</f>
        <v>1.0105276136297973E-8</v>
      </c>
      <c r="AC173" s="7">
        <f>(((0.621*1000^0.564)/0.2))*W173/1000+AC172*inputs!$C$53</f>
        <v>1.6192875413621854E-9</v>
      </c>
      <c r="AD173" s="7">
        <f>(((0.648*20^0.651)/0.2))*AA173/20+AD172*inputs!$C$54</f>
        <v>1.0817093558351334E-8</v>
      </c>
      <c r="AE173" s="7">
        <f>(((0.013*2^0.773)/0.2))*AA173/2+AE172*inputs!$C$54</f>
        <v>5.2747829278300032E-10</v>
      </c>
    </row>
    <row r="174" spans="1:31" x14ac:dyDescent="0.3">
      <c r="A174" s="7">
        <f>IF(A173&lt;(inputs!$C$9-1),(1+A173),0)</f>
        <v>0</v>
      </c>
      <c r="B174" s="7">
        <f>IF(inputs!$C$8&gt;B173,IF(A173=(inputs!$C$9-1),(B173+1),B173), B173)</f>
        <v>1</v>
      </c>
      <c r="C174" s="7">
        <f t="shared" si="5"/>
        <v>171</v>
      </c>
      <c r="D174" s="8">
        <f>IF((B174&gt;B173), (EXP(-LN(2)/inputs!$C$51)*D173+$D$3), (EXP(-LN(2)/inputs!$C$51)*D173))</f>
        <v>2.3265051993988793E-8</v>
      </c>
      <c r="E174" s="8">
        <f>IF((B174&gt;B173), (EXP(-LN(2)/inputs!$C$51)*E173+$E$3), (EXP(-LN(2)/inputs!$C$51)*E173))</f>
        <v>1.0663148830578197E-8</v>
      </c>
      <c r="F174" s="8">
        <f>IF((B174&gt;B173), (EXP(-LN(2)/inputs!$C$51)*F173+$F$3), (EXP(-LN(2)/inputs!$C$51)*F173))</f>
        <v>1.308659174661871E-8</v>
      </c>
      <c r="G174" s="8">
        <f>IF((B174&gt;B173), (EXP(-LN(2)/inputs!$C$51)*G173+$G$3), (EXP(-LN(2)/inputs!$C$51)*G173))</f>
        <v>1.4540657496242995E-9</v>
      </c>
      <c r="H174" s="8">
        <f>IF((B174&gt;B173), (EXP(-LN(2)/inputs!$C$51)*H173+$H$3), (EXP(-LN(2)/inputs!$C$51)*H173))</f>
        <v>9.1121453643122843E-9</v>
      </c>
      <c r="I174" s="7">
        <f>O174*(10^inputs!$C$55)*0.01/1</f>
        <v>0.29019715838070176</v>
      </c>
      <c r="J174" s="7">
        <f>(((0.621*15^0.564)/0.2))*D174/15+J173*inputs!$C$53</f>
        <v>2.5034699866029791E-8</v>
      </c>
      <c r="K174" s="7">
        <f>(((0.621*1000^0.564)/0.2))*D174/1000+K173*inputs!$C$53</f>
        <v>4.0116051306297789E-9</v>
      </c>
      <c r="L174" s="7">
        <f>(((0.648*20^0.651)/0.2))*H174/20+L173*inputs!$C$54</f>
        <v>1.3725461962276837E-8</v>
      </c>
      <c r="M174" s="7">
        <f>(((0.013*2^0.773)/0.2))*H174/2+M173*inputs!$C$54</f>
        <v>6.6930023341900811E-10</v>
      </c>
      <c r="N174" s="7">
        <f>O174*0.015*inputs!$C$56</f>
        <v>4.2635650123152659E-2</v>
      </c>
      <c r="O174" s="7">
        <f>IF((B174&gt;B173), (EXP(-LN(2)/inputs!$C$52)*O173+$O$3), (EXP(-LN(2)/inputs!$C$52)*O173))</f>
        <v>4.5993150078913331E-3</v>
      </c>
      <c r="P174" s="3">
        <f>IF((B174&gt;B173), (EXP(-LN(2)/inputs!$C$52)*P173+$P$3), (EXP(-LN(2)/inputs!$C$52)*P173))</f>
        <v>4.4443407271425152E-3</v>
      </c>
      <c r="Q174" s="19">
        <f>IF((F174*0.62*1/(0.012*(10^inputs!$C$55)))&gt;inputs!$C$57, inputs!$C$57, (F174*0.62*1/(0.012*(10^inputs!$C$55))))</f>
        <v>1.0716105922062444E-10</v>
      </c>
      <c r="R174" s="3">
        <f>IF((B174&gt;B173), (EXP(-LN(2)/inputs!$C$51)*R173+$R$3), (EXP(-LN(2)/inputs!$C$51)*R173))</f>
        <v>2.4898273285995083E-16</v>
      </c>
      <c r="T174" s="7">
        <f>IF(T173&lt;(inputs!$C$9-1),(1+T173),0)</f>
        <v>0</v>
      </c>
      <c r="U174" s="7">
        <f>IF(inputs!$C$8&gt;U173,IF(T173=(inputs!$C$9-1),(U173+1),U173), U173)</f>
        <v>1</v>
      </c>
      <c r="V174" s="7">
        <f t="shared" si="4"/>
        <v>171</v>
      </c>
      <c r="W174" s="8">
        <f>IF((U174&gt;U173), (EXP(-LN(2)/inputs!$C$51)*W173+$W$3), (EXP(-LN(2)/inputs!$C$51)*W173))</f>
        <v>8.2397059145377061E-9</v>
      </c>
      <c r="X174" s="8">
        <f>IF((U174&gt;U173), (EXP(-LN(2)/inputs!$C$51)*X173+$X$3), (EXP(-LN(2)/inputs!$C$51)*X173))</f>
        <v>3.4897577990983184E-9</v>
      </c>
      <c r="Y174" s="8">
        <f>IF((U174&gt;U173), (EXP(-LN(2)/inputs!$C$51)*Y173+$Y$3), (EXP(-LN(2)/inputs!$C$51)*Y173))</f>
        <v>4.3621972488729065E-9</v>
      </c>
      <c r="Z174" s="8">
        <f>IF((U174&gt;U173), (EXP(-LN(2)/inputs!$C$51)*Z173+$Z$3), (EXP(-LN(2)/inputs!$C$51)*Z173))</f>
        <v>6.7856401649133962E-10</v>
      </c>
      <c r="AA174" s="8">
        <f>IF((U174&gt;U173), (EXP(-LN(2)/inputs!$C$51)*AA173+$AA$3), (EXP(-LN(2)/inputs!$C$51)*AA173))</f>
        <v>6.3009515817052968E-9</v>
      </c>
      <c r="AB174" s="7">
        <f>(((0.621*15^0.564)/0.2))*W174/15+AB173*inputs!$C$53</f>
        <v>8.8664562025522274E-9</v>
      </c>
      <c r="AC174" s="7">
        <f>(((0.621*1000^0.564)/0.2))*W174/1000+AC173*inputs!$C$53</f>
        <v>1.420776817098048E-9</v>
      </c>
      <c r="AD174" s="7">
        <f>(((0.648*20^0.651)/0.2))*AA174/20+AD173*inputs!$C$54</f>
        <v>9.4910109313616337E-9</v>
      </c>
      <c r="AE174" s="7">
        <f>(((0.013*2^0.773)/0.2))*AA174/2+AE173*inputs!$C$54</f>
        <v>4.6281399119399449E-10</v>
      </c>
    </row>
    <row r="175" spans="1:31" x14ac:dyDescent="0.3">
      <c r="A175" s="7">
        <f>IF(A174&lt;(inputs!$C$9-1),(1+A174),0)</f>
        <v>0</v>
      </c>
      <c r="B175" s="7">
        <f>IF(inputs!$C$8&gt;B174,IF(A174=(inputs!$C$9-1),(B174+1),B174), B174)</f>
        <v>1</v>
      </c>
      <c r="C175" s="7">
        <f t="shared" si="5"/>
        <v>172</v>
      </c>
      <c r="D175" s="8">
        <f>IF((B175&gt;B174), (EXP(-LN(2)/inputs!$C$51)*D174+$D$3), (EXP(-LN(2)/inputs!$C$51)*D174))</f>
        <v>2.0412956733943472E-8</v>
      </c>
      <c r="E175" s="8">
        <f>IF((B175&gt;B174), (EXP(-LN(2)/inputs!$C$51)*E174+$E$3), (EXP(-LN(2)/inputs!$C$51)*E174))</f>
        <v>9.3559385030574248E-9</v>
      </c>
      <c r="F175" s="8">
        <f>IF((B175&gt;B174), (EXP(-LN(2)/inputs!$C$51)*F174+$F$3), (EXP(-LN(2)/inputs!$C$51)*F174))</f>
        <v>1.1482288162843215E-8</v>
      </c>
      <c r="G175" s="8">
        <f>IF((B175&gt;B174), (EXP(-LN(2)/inputs!$C$51)*G174+$G$3), (EXP(-LN(2)/inputs!$C$51)*G174))</f>
        <v>1.275809795871467E-9</v>
      </c>
      <c r="H175" s="8">
        <f>IF((B175&gt;B174), (EXP(-LN(2)/inputs!$C$51)*H174+$H$3), (EXP(-LN(2)/inputs!$C$51)*H174))</f>
        <v>7.9950747207945319E-9</v>
      </c>
      <c r="I175" s="7">
        <f>O175*(10^inputs!$C$55)*0.01/1</f>
        <v>0.28434089893642867</v>
      </c>
      <c r="J175" s="7">
        <f>(((0.621*15^0.564)/0.2))*D175/15+J174*inputs!$C$53</f>
        <v>2.1965660998503965E-8</v>
      </c>
      <c r="K175" s="7">
        <f>(((0.621*1000^0.564)/0.2))*D175/1000+K174*inputs!$C$53</f>
        <v>3.5198168474486828E-9</v>
      </c>
      <c r="L175" s="7">
        <f>(((0.648*20^0.651)/0.2))*H175/20+L174*inputs!$C$54</f>
        <v>1.204283838530582E-8</v>
      </c>
      <c r="M175" s="7">
        <f>(((0.013*2^0.773)/0.2))*H175/2+M174*inputs!$C$54</f>
        <v>5.8724978178989494E-10</v>
      </c>
      <c r="N175" s="7">
        <f>O175*0.015*inputs!$C$56</f>
        <v>4.1775250834304764E-2</v>
      </c>
      <c r="O175" s="7">
        <f>IF((B175&gt;B174), (EXP(-LN(2)/inputs!$C$52)*O174+$O$3), (EXP(-LN(2)/inputs!$C$52)*O174))</f>
        <v>4.5064995506261885E-3</v>
      </c>
      <c r="P175" s="3">
        <f>IF((B175&gt;B174), (EXP(-LN(2)/inputs!$C$52)*P174+$P$3), (EXP(-LN(2)/inputs!$C$52)*P174))</f>
        <v>4.3546526940062592E-3</v>
      </c>
      <c r="Q175" s="19">
        <f>IF((F175*0.62*1/(0.012*(10^inputs!$C$55)))&gt;inputs!$C$57, inputs!$C$57, (F175*0.62*1/(0.012*(10^inputs!$C$55))))</f>
        <v>9.4024035106362914E-11</v>
      </c>
      <c r="R175" s="3">
        <f>IF((B175&gt;B174), (EXP(-LN(2)/inputs!$C$51)*R174+$R$3), (EXP(-LN(2)/inputs!$C$51)*R174))</f>
        <v>2.1845959143707856E-16</v>
      </c>
      <c r="T175" s="7">
        <f>IF(T174&lt;(inputs!$C$9-1),(1+T174),0)</f>
        <v>0</v>
      </c>
      <c r="U175" s="7">
        <f>IF(inputs!$C$8&gt;U174,IF(T174=(inputs!$C$9-1),(U174+1),U174), U174)</f>
        <v>1</v>
      </c>
      <c r="V175" s="7">
        <f t="shared" si="4"/>
        <v>172</v>
      </c>
      <c r="W175" s="8">
        <f>IF((U175&gt;U174), (EXP(-LN(2)/inputs!$C$51)*W174+$W$3), (EXP(-LN(2)/inputs!$C$51)*W174))</f>
        <v>7.2295888432716539E-9</v>
      </c>
      <c r="X175" s="8">
        <f>IF((U175&gt;U174), (EXP(-LN(2)/inputs!$C$51)*X174+$X$3), (EXP(-LN(2)/inputs!$C$51)*X174))</f>
        <v>3.0619435100915201E-9</v>
      </c>
      <c r="Y175" s="8">
        <f>IF((U175&gt;U174), (EXP(-LN(2)/inputs!$C$51)*Y174+$Y$3), (EXP(-LN(2)/inputs!$C$51)*Y174))</f>
        <v>3.8274293876144077E-9</v>
      </c>
      <c r="Z175" s="8">
        <f>IF((U175&gt;U174), (EXP(-LN(2)/inputs!$C$51)*Z174+$Z$3), (EXP(-LN(2)/inputs!$C$51)*Z174))</f>
        <v>5.9537790474001779E-10</v>
      </c>
      <c r="AA175" s="8">
        <f>IF((U175&gt;U174), (EXP(-LN(2)/inputs!$C$51)*AA174+$AA$3), (EXP(-LN(2)/inputs!$C$51)*AA174))</f>
        <v>5.5285091154430221E-9</v>
      </c>
      <c r="AB175" s="7">
        <f>(((0.621*15^0.564)/0.2))*W175/15+AB174*inputs!$C$53</f>
        <v>7.7795049369701627E-9</v>
      </c>
      <c r="AC175" s="7">
        <f>(((0.621*1000^0.564)/0.2))*W175/1000+AC174*inputs!$C$53</f>
        <v>1.2466018001380763E-9</v>
      </c>
      <c r="AD175" s="7">
        <f>(((0.648*20^0.651)/0.2))*AA175/20+AD174*inputs!$C$54</f>
        <v>8.3274946281369964E-9</v>
      </c>
      <c r="AE175" s="7">
        <f>(((0.013*2^0.773)/0.2))*AA175/2+AE174*inputs!$C$54</f>
        <v>4.0607697676960778E-10</v>
      </c>
    </row>
    <row r="176" spans="1:31" x14ac:dyDescent="0.3">
      <c r="A176" s="7">
        <f>IF(A175&lt;(inputs!$C$9-1),(1+A175),0)</f>
        <v>0</v>
      </c>
      <c r="B176" s="7">
        <f>IF(inputs!$C$8&gt;B175,IF(A175=(inputs!$C$9-1),(B175+1),B175), B175)</f>
        <v>1</v>
      </c>
      <c r="C176" s="7">
        <f t="shared" si="5"/>
        <v>173</v>
      </c>
      <c r="D176" s="8">
        <f>IF((B176&gt;B175), (EXP(-LN(2)/inputs!$C$51)*D175+$D$3), (EXP(-LN(2)/inputs!$C$51)*D175))</f>
        <v>1.791050382047338E-8</v>
      </c>
      <c r="E176" s="8">
        <f>IF((B176&gt;B175), (EXP(-LN(2)/inputs!$C$51)*E175+$E$3), (EXP(-LN(2)/inputs!$C$51)*E175))</f>
        <v>8.2089809177169661E-9</v>
      </c>
      <c r="F176" s="8">
        <f>IF((B176&gt;B175), (EXP(-LN(2)/inputs!$C$51)*F175+$F$3), (EXP(-LN(2)/inputs!$C$51)*F175))</f>
        <v>1.0074658399016287E-8</v>
      </c>
      <c r="G176" s="8">
        <f>IF((B176&gt;B175), (EXP(-LN(2)/inputs!$C$51)*G175+$G$3), (EXP(-LN(2)/inputs!$C$51)*G175))</f>
        <v>1.1194064887795862E-9</v>
      </c>
      <c r="H176" s="8">
        <f>IF((B176&gt;B175), (EXP(-LN(2)/inputs!$C$51)*H175+$H$3), (EXP(-LN(2)/inputs!$C$51)*H175))</f>
        <v>7.014947329685412E-9</v>
      </c>
      <c r="I176" s="7">
        <f>O176*(10^inputs!$C$55)*0.01/1</f>
        <v>0.27860282043806839</v>
      </c>
      <c r="J176" s="7">
        <f>(((0.621*15^0.564)/0.2))*D176/15+J175*inputs!$C$53</f>
        <v>1.927285989778936E-8</v>
      </c>
      <c r="K176" s="7">
        <f>(((0.621*1000^0.564)/0.2))*D176/1000+K175*inputs!$C$53</f>
        <v>3.0883175776671285E-9</v>
      </c>
      <c r="L176" s="7">
        <f>(((0.648*20^0.651)/0.2))*H176/20+L175*inputs!$C$54</f>
        <v>1.0566489985779474E-8</v>
      </c>
      <c r="M176" s="7">
        <f>(((0.013*2^0.773)/0.2))*H176/2+M175*inputs!$C$54</f>
        <v>5.1525800977329395E-10</v>
      </c>
      <c r="N176" s="7">
        <f>O176*0.015*inputs!$C$56</f>
        <v>4.0932214642632858E-2</v>
      </c>
      <c r="O176" s="7">
        <f>IF((B176&gt;B175), (EXP(-LN(2)/inputs!$C$52)*O175+$O$3), (EXP(-LN(2)/inputs!$C$52)*O175))</f>
        <v>4.4155571351276015E-3</v>
      </c>
      <c r="P176" s="3">
        <f>IF((B176&gt;B175), (EXP(-LN(2)/inputs!$C$52)*P175+$P$3), (EXP(-LN(2)/inputs!$C$52)*P175))</f>
        <v>4.2667745903469945E-3</v>
      </c>
      <c r="Q176" s="19">
        <f>IF((F176*0.62*1/(0.012*(10^inputs!$C$55)))&gt;inputs!$C$57, inputs!$C$57, (F176*0.62*1/(0.012*(10^inputs!$C$55))))</f>
        <v>8.2497497150355737E-11</v>
      </c>
      <c r="R176" s="3">
        <f>IF((B176&gt;B175), (EXP(-LN(2)/inputs!$C$51)*R175+$R$3), (EXP(-LN(2)/inputs!$C$51)*R175))</f>
        <v>1.9167832460775375E-16</v>
      </c>
      <c r="T176" s="7">
        <f>IF(T175&lt;(inputs!$C$9-1),(1+T175),0)</f>
        <v>0</v>
      </c>
      <c r="U176" s="7">
        <f>IF(inputs!$C$8&gt;U175,IF(T175=(inputs!$C$9-1),(U175+1),U175), U175)</f>
        <v>1</v>
      </c>
      <c r="V176" s="7">
        <f t="shared" si="4"/>
        <v>173</v>
      </c>
      <c r="W176" s="8">
        <f>IF((U176&gt;U175), (EXP(-LN(2)/inputs!$C$51)*W175+$W$3), (EXP(-LN(2)/inputs!$C$51)*W175))</f>
        <v>6.3433034364176622E-9</v>
      </c>
      <c r="X176" s="8">
        <f>IF((U176&gt;U175), (EXP(-LN(2)/inputs!$C$51)*X175+$X$3), (EXP(-LN(2)/inputs!$C$51)*X175))</f>
        <v>2.6865755730710064E-9</v>
      </c>
      <c r="Y176" s="8">
        <f>IF((U176&gt;U175), (EXP(-LN(2)/inputs!$C$51)*Y175+$Y$3), (EXP(-LN(2)/inputs!$C$51)*Y175))</f>
        <v>3.3582194663387649E-9</v>
      </c>
      <c r="Z176" s="8">
        <f>IF((U176&gt;U175), (EXP(-LN(2)/inputs!$C$51)*Z175+$Z$3), (EXP(-LN(2)/inputs!$C$51)*Z175))</f>
        <v>5.2238969476380683E-10</v>
      </c>
      <c r="AA176" s="8">
        <f>IF((U176&gt;U175), (EXP(-LN(2)/inputs!$C$51)*AA175+$AA$3), (EXP(-LN(2)/inputs!$C$51)*AA175))</f>
        <v>4.8507614513782061E-9</v>
      </c>
      <c r="AB176" s="7">
        <f>(((0.621*15^0.564)/0.2))*W176/15+AB175*inputs!$C$53</f>
        <v>6.8258045471337381E-9</v>
      </c>
      <c r="AC176" s="7">
        <f>(((0.621*1000^0.564)/0.2))*W176/1000+AC175*inputs!$C$53</f>
        <v>1.0937791420904424E-9</v>
      </c>
      <c r="AD176" s="7">
        <f>(((0.648*20^0.651)/0.2))*AA176/20+AD175*inputs!$C$54</f>
        <v>7.3066154156985665E-9</v>
      </c>
      <c r="AE176" s="7">
        <f>(((0.013*2^0.773)/0.2))*AA176/2+AE175*inputs!$C$54</f>
        <v>3.5629543229004333E-10</v>
      </c>
    </row>
    <row r="177" spans="1:31" x14ac:dyDescent="0.3">
      <c r="A177" s="7">
        <f>IF(A176&lt;(inputs!$C$9-1),(1+A176),0)</f>
        <v>0</v>
      </c>
      <c r="B177" s="7">
        <f>IF(inputs!$C$8&gt;B176,IF(A176=(inputs!$C$9-1),(B176+1),B176), B176)</f>
        <v>1</v>
      </c>
      <c r="C177" s="7">
        <f t="shared" si="5"/>
        <v>174</v>
      </c>
      <c r="D177" s="8">
        <f>IF((B177&gt;B176), (EXP(-LN(2)/inputs!$C$51)*D176+$D$3), (EXP(-LN(2)/inputs!$C$51)*D176))</f>
        <v>1.5714830109338137E-8</v>
      </c>
      <c r="E177" s="8">
        <f>IF((B177&gt;B176), (EXP(-LN(2)/inputs!$C$51)*E176+$E$3), (EXP(-LN(2)/inputs!$C$51)*E176))</f>
        <v>7.2026304667799796E-9</v>
      </c>
      <c r="F177" s="8">
        <f>IF((B177&gt;B176), (EXP(-LN(2)/inputs!$C$51)*F176+$F$3), (EXP(-LN(2)/inputs!$C$51)*F176))</f>
        <v>8.8395919365027118E-9</v>
      </c>
      <c r="G177" s="8">
        <f>IF((B177&gt;B176), (EXP(-LN(2)/inputs!$C$51)*G176+$G$3), (EXP(-LN(2)/inputs!$C$51)*G176))</f>
        <v>9.8217688183363357E-10</v>
      </c>
      <c r="H177" s="8">
        <f>IF((B177&gt;B176), (EXP(-LN(2)/inputs!$C$51)*H176+$H$3), (EXP(-LN(2)/inputs!$C$51)*H176))</f>
        <v>6.154975126157441E-9</v>
      </c>
      <c r="I177" s="7">
        <f>O177*(10^inputs!$C$55)*0.01/1</f>
        <v>0.27298053796123195</v>
      </c>
      <c r="J177" s="7">
        <f>(((0.621*15^0.564)/0.2))*D177/15+J176*inputs!$C$53</f>
        <v>1.691017304988525E-8</v>
      </c>
      <c r="K177" s="7">
        <f>(((0.621*1000^0.564)/0.2))*D177/1000+K176*inputs!$C$53</f>
        <v>2.7097164068184702E-9</v>
      </c>
      <c r="L177" s="7">
        <f>(((0.648*20^0.651)/0.2))*H177/20+L176*inputs!$C$54</f>
        <v>9.2711292012196668E-9</v>
      </c>
      <c r="M177" s="7">
        <f>(((0.013*2^0.773)/0.2))*H177/2+M176*inputs!$C$54</f>
        <v>4.5209180976847539E-10</v>
      </c>
      <c r="N177" s="7">
        <f>O177*0.015*inputs!$C$56</f>
        <v>4.0106191156002217E-2</v>
      </c>
      <c r="O177" s="7">
        <f>IF((B177&gt;B176), (EXP(-LN(2)/inputs!$C$52)*O176+$O$3), (EXP(-LN(2)/inputs!$C$52)*O176))</f>
        <v>4.3264499628912862E-3</v>
      </c>
      <c r="P177" s="3">
        <f>IF((B177&gt;B176), (EXP(-LN(2)/inputs!$C$52)*P176+$P$3), (EXP(-LN(2)/inputs!$C$52)*P176))</f>
        <v>4.180669891284009E-3</v>
      </c>
      <c r="Q177" s="19">
        <f>IF((F177*0.62*1/(0.012*(10^inputs!$C$55)))&gt;inputs!$C$57, inputs!$C$57, (F177*0.62*1/(0.012*(10^inputs!$C$55))))</f>
        <v>7.2384013602202643E-11</v>
      </c>
      <c r="R177" s="3">
        <f>IF((B177&gt;B176), (EXP(-LN(2)/inputs!$C$51)*R176+$R$3), (EXP(-LN(2)/inputs!$C$51)*R176))</f>
        <v>1.6818021073255351E-16</v>
      </c>
      <c r="T177" s="7">
        <f>IF(T176&lt;(inputs!$C$9-1),(1+T176),0)</f>
        <v>0</v>
      </c>
      <c r="U177" s="7">
        <f>IF(inputs!$C$8&gt;U176,IF(T176=(inputs!$C$9-1),(U176+1),U176), U176)</f>
        <v>1</v>
      </c>
      <c r="V177" s="7">
        <f t="shared" si="4"/>
        <v>174</v>
      </c>
      <c r="W177" s="8">
        <f>IF((U177&gt;U176), (EXP(-LN(2)/inputs!$C$51)*W176+$W$3), (EXP(-LN(2)/inputs!$C$51)*W176))</f>
        <v>5.5656689970572632E-9</v>
      </c>
      <c r="X177" s="8">
        <f>IF((U177&gt;U176), (EXP(-LN(2)/inputs!$C$51)*X176+$X$3), (EXP(-LN(2)/inputs!$C$51)*X176))</f>
        <v>2.3572245164007202E-9</v>
      </c>
      <c r="Y177" s="8">
        <f>IF((U177&gt;U176), (EXP(-LN(2)/inputs!$C$51)*Y176+$Y$3), (EXP(-LN(2)/inputs!$C$51)*Y176))</f>
        <v>2.9465306455009063E-9</v>
      </c>
      <c r="Z177" s="8">
        <f>IF((U177&gt;U176), (EXP(-LN(2)/inputs!$C$51)*Z176+$Z$3), (EXP(-LN(2)/inputs!$C$51)*Z176))</f>
        <v>4.5834921152236225E-10</v>
      </c>
      <c r="AA177" s="8">
        <f>IF((U177&gt;U176), (EXP(-LN(2)/inputs!$C$51)*AA176+$AA$3), (EXP(-LN(2)/inputs!$C$51)*AA176))</f>
        <v>4.2560998212790779E-9</v>
      </c>
      <c r="AB177" s="7">
        <f>(((0.621*15^0.564)/0.2))*W177/15+AB176*inputs!$C$53</f>
        <v>5.9890196218343657E-9</v>
      </c>
      <c r="AC177" s="7">
        <f>(((0.621*1000^0.564)/0.2))*W177/1000+AC176*inputs!$C$53</f>
        <v>9.5969122741487604E-10</v>
      </c>
      <c r="AD177" s="7">
        <f>(((0.648*20^0.651)/0.2))*AA177/20+AD176*inputs!$C$54</f>
        <v>6.4108872136093387E-9</v>
      </c>
      <c r="AE177" s="7">
        <f>(((0.013*2^0.773)/0.2))*AA177/2+AE176*inputs!$C$54</f>
        <v>3.1261667696756249E-10</v>
      </c>
    </row>
    <row r="178" spans="1:31" x14ac:dyDescent="0.3">
      <c r="A178" s="7">
        <f>IF(A177&lt;(inputs!$C$9-1),(1+A177),0)</f>
        <v>0</v>
      </c>
      <c r="B178" s="7">
        <f>IF(inputs!$C$8&gt;B177,IF(A177=(inputs!$C$9-1),(B177+1),B177), B177)</f>
        <v>1</v>
      </c>
      <c r="C178" s="7">
        <f t="shared" si="5"/>
        <v>175</v>
      </c>
      <c r="D178" s="8">
        <f>IF((B178&gt;B177), (EXP(-LN(2)/inputs!$C$51)*D177+$D$3), (EXP(-LN(2)/inputs!$C$51)*D177))</f>
        <v>1.3788327109093761E-8</v>
      </c>
      <c r="E178" s="8">
        <f>IF((B178&gt;B177), (EXP(-LN(2)/inputs!$C$51)*E177+$E$3), (EXP(-LN(2)/inputs!$C$51)*E177))</f>
        <v>6.3196499250013071E-9</v>
      </c>
      <c r="F178" s="8">
        <f>IF((B178&gt;B177), (EXP(-LN(2)/inputs!$C$51)*F177+$F$3), (EXP(-LN(2)/inputs!$C$51)*F177))</f>
        <v>7.7559339988652494E-9</v>
      </c>
      <c r="G178" s="8">
        <f>IF((B178&gt;B177), (EXP(-LN(2)/inputs!$C$51)*G177+$G$3), (EXP(-LN(2)/inputs!$C$51)*G177))</f>
        <v>8.6177044431836009E-10</v>
      </c>
      <c r="H178" s="8">
        <f>IF((B178&gt;B177), (EXP(-LN(2)/inputs!$C$51)*H177+$H$3), (EXP(-LN(2)/inputs!$C$51)*H177))</f>
        <v>5.4004281177283933E-9</v>
      </c>
      <c r="I178" s="7">
        <f>O178*(10^inputs!$C$55)*0.01/1</f>
        <v>0.26747171470996844</v>
      </c>
      <c r="J178" s="7">
        <f>(((0.621*15^0.564)/0.2))*D178/15+J177*inputs!$C$53</f>
        <v>1.4837131286875851E-8</v>
      </c>
      <c r="K178" s="7">
        <f>(((0.621*1000^0.564)/0.2))*D178/1000+K177*inputs!$C$53</f>
        <v>2.3775284829766988E-9</v>
      </c>
      <c r="L178" s="7">
        <f>(((0.648*20^0.651)/0.2))*H178/20+L177*inputs!$C$54</f>
        <v>8.1345685067970418E-9</v>
      </c>
      <c r="M178" s="7">
        <f>(((0.013*2^0.773)/0.2))*H178/2+M177*inputs!$C$54</f>
        <v>3.9666924255998013E-10</v>
      </c>
      <c r="N178" s="7">
        <f>O178*0.015*inputs!$C$56</f>
        <v>3.9296837053288937E-2</v>
      </c>
      <c r="O178" s="7">
        <f>IF((B178&gt;B177), (EXP(-LN(2)/inputs!$C$52)*O177+$O$3), (EXP(-LN(2)/inputs!$C$52)*O177))</f>
        <v>4.2391409981972963E-3</v>
      </c>
      <c r="P178" s="3">
        <f>IF((B178&gt;B177), (EXP(-LN(2)/inputs!$C$52)*P177+$P$3), (EXP(-LN(2)/inputs!$C$52)*P177))</f>
        <v>4.0963028090188498E-3</v>
      </c>
      <c r="Q178" s="19">
        <f>IF((F178*0.62*1/(0.012*(10^inputs!$C$55)))&gt;inputs!$C$57, inputs!$C$57, (F178*0.62*1/(0.012*(10^inputs!$C$55))))</f>
        <v>6.3510356145892657E-11</v>
      </c>
      <c r="R178" s="3">
        <f>IF((B178&gt;B177), (EXP(-LN(2)/inputs!$C$51)*R177+$R$3), (EXP(-LN(2)/inputs!$C$51)*R177))</f>
        <v>1.4756276349935261E-16</v>
      </c>
      <c r="T178" s="7">
        <f>IF(T177&lt;(inputs!$C$9-1),(1+T177),0)</f>
        <v>0</v>
      </c>
      <c r="U178" s="7">
        <f>IF(inputs!$C$8&gt;U177,IF(T177=(inputs!$C$9-1),(U177+1),U177), U177)</f>
        <v>1</v>
      </c>
      <c r="V178" s="7">
        <f t="shared" si="4"/>
        <v>175</v>
      </c>
      <c r="W178" s="8">
        <f>IF((U178&gt;U177), (EXP(-LN(2)/inputs!$C$51)*W177+$W$3), (EXP(-LN(2)/inputs!$C$51)*W177))</f>
        <v>4.8833658511373797E-9</v>
      </c>
      <c r="X178" s="8">
        <f>IF((U178&gt;U177), (EXP(-LN(2)/inputs!$C$51)*X177+$X$3), (EXP(-LN(2)/inputs!$C$51)*X177))</f>
        <v>2.0682490663640639E-9</v>
      </c>
      <c r="Y178" s="8">
        <f>IF((U178&gt;U177), (EXP(-LN(2)/inputs!$C$51)*Y177+$Y$3), (EXP(-LN(2)/inputs!$C$51)*Y177))</f>
        <v>2.5853113329550853E-9</v>
      </c>
      <c r="Z178" s="8">
        <f>IF((U178&gt;U177), (EXP(-LN(2)/inputs!$C$51)*Z177+$Z$3), (EXP(-LN(2)/inputs!$C$51)*Z177))</f>
        <v>4.0215954068190128E-10</v>
      </c>
      <c r="AA178" s="8">
        <f>IF((U178&gt;U177), (EXP(-LN(2)/inputs!$C$51)*AA177+$AA$3), (EXP(-LN(2)/inputs!$C$51)*AA177))</f>
        <v>3.7343385920462259E-9</v>
      </c>
      <c r="AB178" s="7">
        <f>(((0.621*15^0.564)/0.2))*W178/15+AB177*inputs!$C$53</f>
        <v>5.2548173307685366E-9</v>
      </c>
      <c r="AC178" s="7">
        <f>(((0.621*1000^0.564)/0.2))*W178/1000+AC177*inputs!$C$53</f>
        <v>8.4204133772091516E-10</v>
      </c>
      <c r="AD178" s="7">
        <f>(((0.648*20^0.651)/0.2))*AA178/20+AD177*inputs!$C$54</f>
        <v>5.6249675844873116E-9</v>
      </c>
      <c r="AE178" s="7">
        <f>(((0.013*2^0.773)/0.2))*AA178/2+AE177*inputs!$C$54</f>
        <v>2.7429256134466689E-10</v>
      </c>
    </row>
    <row r="179" spans="1:31" x14ac:dyDescent="0.3">
      <c r="A179" s="7">
        <f>IF(A178&lt;(inputs!$C$9-1),(1+A178),0)</f>
        <v>0</v>
      </c>
      <c r="B179" s="7">
        <f>IF(inputs!$C$8&gt;B178,IF(A178=(inputs!$C$9-1),(B178+1),B178), B178)</f>
        <v>1</v>
      </c>
      <c r="C179" s="7">
        <f t="shared" si="5"/>
        <v>176</v>
      </c>
      <c r="D179" s="8">
        <f>IF((B179&gt;B178), (EXP(-LN(2)/inputs!$C$51)*D178+$D$3), (EXP(-LN(2)/inputs!$C$51)*D178))</f>
        <v>1.2097996805857747E-8</v>
      </c>
      <c r="E179" s="8">
        <f>IF((B179&gt;B178), (EXP(-LN(2)/inputs!$C$51)*E178+$E$3), (EXP(-LN(2)/inputs!$C$51)*E178))</f>
        <v>5.5449152026848004E-9</v>
      </c>
      <c r="F179" s="8">
        <f>IF((B179&gt;B178), (EXP(-LN(2)/inputs!$C$51)*F178+$F$3), (EXP(-LN(2)/inputs!$C$51)*F178))</f>
        <v>6.8051232032949904E-9</v>
      </c>
      <c r="G179" s="8">
        <f>IF((B179&gt;B178), (EXP(-LN(2)/inputs!$C$51)*G178+$G$3), (EXP(-LN(2)/inputs!$C$51)*G178))</f>
        <v>7.5612480036610916E-10</v>
      </c>
      <c r="H179" s="8">
        <f>IF((B179&gt;B178), (EXP(-LN(2)/inputs!$C$51)*H178+$H$3), (EXP(-LN(2)/inputs!$C$51)*H178))</f>
        <v>4.7383820822942869E-9</v>
      </c>
      <c r="I179" s="7">
        <f>O179*(10^inputs!$C$55)*0.01/1</f>
        <v>0.26207406104551983</v>
      </c>
      <c r="J179" s="7">
        <f>(((0.621*15^0.564)/0.2))*D179/15+J178*inputs!$C$53</f>
        <v>1.3018226612736175E-8</v>
      </c>
      <c r="K179" s="7">
        <f>(((0.621*1000^0.564)/0.2))*D179/1000+K178*inputs!$C$53</f>
        <v>2.0860639412824599E-9</v>
      </c>
      <c r="L179" s="7">
        <f>(((0.648*20^0.651)/0.2))*H179/20+L178*inputs!$C$54</f>
        <v>7.1373403773802521E-9</v>
      </c>
      <c r="M179" s="7">
        <f>(((0.013*2^0.773)/0.2))*H179/2+M178*inputs!$C$54</f>
        <v>3.4804100537386072E-10</v>
      </c>
      <c r="N179" s="7">
        <f>O179*0.015*inputs!$C$56</f>
        <v>3.8503815941684949E-2</v>
      </c>
      <c r="O179" s="7">
        <f>IF((B179&gt;B178), (EXP(-LN(2)/inputs!$C$52)*O178+$O$3), (EXP(-LN(2)/inputs!$C$52)*O178))</f>
        <v>4.1535939527168227E-3</v>
      </c>
      <c r="P179" s="3">
        <f>IF((B179&gt;B178), (EXP(-LN(2)/inputs!$C$52)*P178+$P$3), (EXP(-LN(2)/inputs!$C$52)*P178))</f>
        <v>4.013638277960801E-3</v>
      </c>
      <c r="Q179" s="19">
        <f>IF((F179*0.62*1/(0.012*(10^inputs!$C$55)))&gt;inputs!$C$57, inputs!$C$57, (F179*0.62*1/(0.012*(10^inputs!$C$55))))</f>
        <v>5.5724532766933825E-11</v>
      </c>
      <c r="R179" s="3">
        <f>IF((B179&gt;B178), (EXP(-LN(2)/inputs!$C$51)*R178+$R$3), (EXP(-LN(2)/inputs!$C$51)*R178))</f>
        <v>1.2947283795590509E-16</v>
      </c>
      <c r="T179" s="7">
        <f>IF(T178&lt;(inputs!$C$9-1),(1+T178),0)</f>
        <v>0</v>
      </c>
      <c r="U179" s="7">
        <f>IF(inputs!$C$8&gt;U178,IF(T178=(inputs!$C$9-1),(U178+1),U178), U178)</f>
        <v>1</v>
      </c>
      <c r="V179" s="7">
        <f t="shared" si="4"/>
        <v>176</v>
      </c>
      <c r="W179" s="8">
        <f>IF((U179&gt;U178), (EXP(-LN(2)/inputs!$C$51)*W178+$W$3), (EXP(-LN(2)/inputs!$C$51)*W178))</f>
        <v>4.2847072020746237E-9</v>
      </c>
      <c r="X179" s="8">
        <f>IF((U179&gt;U178), (EXP(-LN(2)/inputs!$C$51)*X178+$X$3), (EXP(-LN(2)/inputs!$C$51)*X178))</f>
        <v>1.8146995208786617E-9</v>
      </c>
      <c r="Y179" s="8">
        <f>IF((U179&gt;U178), (EXP(-LN(2)/inputs!$C$51)*Y178+$Y$3), (EXP(-LN(2)/inputs!$C$51)*Y178))</f>
        <v>2.2683744010983319E-9</v>
      </c>
      <c r="Z179" s="8">
        <f>IF((U179&gt;U178), (EXP(-LN(2)/inputs!$C$51)*Z178+$Z$3), (EXP(-LN(2)/inputs!$C$51)*Z178))</f>
        <v>3.5285824017085087E-10</v>
      </c>
      <c r="AA179" s="8">
        <f>IF((U179&gt;U178), (EXP(-LN(2)/inputs!$C$51)*AA178+$AA$3), (EXP(-LN(2)/inputs!$C$51)*AA178))</f>
        <v>3.2765408015864722E-9</v>
      </c>
      <c r="AB179" s="7">
        <f>(((0.621*15^0.564)/0.2))*W179/15+AB178*inputs!$C$53</f>
        <v>4.610621925344068E-9</v>
      </c>
      <c r="AC179" s="7">
        <f>(((0.621*1000^0.564)/0.2))*W179/1000+AC178*inputs!$C$53</f>
        <v>7.3881431253753868E-10</v>
      </c>
      <c r="AD179" s="7">
        <f>(((0.648*20^0.651)/0.2))*AA179/20+AD178*inputs!$C$54</f>
        <v>4.9353949418054891E-9</v>
      </c>
      <c r="AE179" s="7">
        <f>(((0.013*2^0.773)/0.2))*AA179/2+AE178*inputs!$C$54</f>
        <v>2.4066665265213752E-10</v>
      </c>
    </row>
    <row r="180" spans="1:31" x14ac:dyDescent="0.3">
      <c r="A180" s="7">
        <f>IF(A179&lt;(inputs!$C$9-1),(1+A179),0)</f>
        <v>0</v>
      </c>
      <c r="B180" s="7">
        <f>IF(inputs!$C$8&gt;B179,IF(A179=(inputs!$C$9-1),(B179+1),B179), B179)</f>
        <v>1</v>
      </c>
      <c r="C180" s="7">
        <f t="shared" si="5"/>
        <v>177</v>
      </c>
      <c r="D180" s="8">
        <f>IF((B180&gt;B179), (EXP(-LN(2)/inputs!$C$51)*D179+$D$3), (EXP(-LN(2)/inputs!$C$51)*D179))</f>
        <v>1.0614886458417061E-8</v>
      </c>
      <c r="E180" s="8">
        <f>IF((B180&gt;B179), (EXP(-LN(2)/inputs!$C$51)*E179+$E$3), (EXP(-LN(2)/inputs!$C$51)*E179))</f>
        <v>4.8651562934411528E-9</v>
      </c>
      <c r="F180" s="8">
        <f>IF((B180&gt;B179), (EXP(-LN(2)/inputs!$C$51)*F179+$F$3), (EXP(-LN(2)/inputs!$C$51)*F179))</f>
        <v>5.9708736328596038E-9</v>
      </c>
      <c r="G180" s="8">
        <f>IF((B180&gt;B179), (EXP(-LN(2)/inputs!$C$51)*G179+$G$3), (EXP(-LN(2)/inputs!$C$51)*G179))</f>
        <v>6.6343040365106632E-10</v>
      </c>
      <c r="H180" s="8">
        <f>IF((B180&gt;B179), (EXP(-LN(2)/inputs!$C$51)*H179+$H$3), (EXP(-LN(2)/inputs!$C$51)*H179))</f>
        <v>4.1574971962133517E-9</v>
      </c>
      <c r="I180" s="7">
        <f>O180*(10^inputs!$C$55)*0.01/1</f>
        <v>0.2567853335346757</v>
      </c>
      <c r="J180" s="7">
        <f>(((0.621*15^0.564)/0.2))*D180/15+J179*inputs!$C$53</f>
        <v>1.1422304006331767E-8</v>
      </c>
      <c r="K180" s="7">
        <f>(((0.621*1000^0.564)/0.2))*D180/1000+K179*inputs!$C$53</f>
        <v>1.8303304453667649E-9</v>
      </c>
      <c r="L180" s="7">
        <f>(((0.648*20^0.651)/0.2))*H180/20+L179*inputs!$C$54</f>
        <v>6.2623638389690778E-9</v>
      </c>
      <c r="M180" s="7">
        <f>(((0.013*2^0.773)/0.2))*H180/2+M179*inputs!$C$54</f>
        <v>3.0537417179082485E-10</v>
      </c>
      <c r="N180" s="7">
        <f>O180*0.015*inputs!$C$56</f>
        <v>3.7726798216882719E-2</v>
      </c>
      <c r="O180" s="7">
        <f>IF((B180&gt;B179), (EXP(-LN(2)/inputs!$C$52)*O179+$O$3), (EXP(-LN(2)/inputs!$C$52)*O179))</f>
        <v>4.0697732704296358E-3</v>
      </c>
      <c r="P180" s="3">
        <f>IF((B180&gt;B179), (EXP(-LN(2)/inputs!$C$52)*P179+$P$3), (EXP(-LN(2)/inputs!$C$52)*P179))</f>
        <v>3.9326419401525294E-3</v>
      </c>
      <c r="Q180" s="19">
        <f>IF((F180*0.62*1/(0.012*(10^inputs!$C$55)))&gt;inputs!$C$57, inputs!$C$57, (F180*0.62*1/(0.012*(10^inputs!$C$55))))</f>
        <v>4.8893184364451126E-11</v>
      </c>
      <c r="R180" s="3">
        <f>IF((B180&gt;B179), (EXP(-LN(2)/inputs!$C$51)*R179+$R$3), (EXP(-LN(2)/inputs!$C$51)*R179))</f>
        <v>1.1360058168353294E-16</v>
      </c>
      <c r="T180" s="7">
        <f>IF(T179&lt;(inputs!$C$9-1),(1+T179),0)</f>
        <v>0</v>
      </c>
      <c r="U180" s="7">
        <f>IF(inputs!$C$8&gt;U179,IF(T179=(inputs!$C$9-1),(U179+1),U179), U179)</f>
        <v>1</v>
      </c>
      <c r="V180" s="7">
        <f t="shared" si="4"/>
        <v>177</v>
      </c>
      <c r="W180" s="8">
        <f>IF((U180&gt;U179), (EXP(-LN(2)/inputs!$C$51)*W179+$W$3), (EXP(-LN(2)/inputs!$C$51)*W179))</f>
        <v>3.7594389540227142E-9</v>
      </c>
      <c r="X180" s="8">
        <f>IF((U180&gt;U179), (EXP(-LN(2)/inputs!$C$51)*X179+$X$3), (EXP(-LN(2)/inputs!$C$51)*X179))</f>
        <v>1.5922329687625591E-9</v>
      </c>
      <c r="Y180" s="8">
        <f>IF((U180&gt;U179), (EXP(-LN(2)/inputs!$C$51)*Y179+$Y$3), (EXP(-LN(2)/inputs!$C$51)*Y179))</f>
        <v>1.9902912109532028E-9</v>
      </c>
      <c r="Z180" s="8">
        <f>IF((U180&gt;U179), (EXP(-LN(2)/inputs!$C$51)*Z179+$Z$3), (EXP(-LN(2)/inputs!$C$51)*Z179))</f>
        <v>3.0960085503716422E-10</v>
      </c>
      <c r="AA180" s="8">
        <f>IF((U180&gt;U179), (EXP(-LN(2)/inputs!$C$51)*AA179+$AA$3), (EXP(-LN(2)/inputs!$C$51)*AA179))</f>
        <v>2.8748650824879533E-9</v>
      </c>
      <c r="AB180" s="7">
        <f>(((0.621*15^0.564)/0.2))*W180/15+AB179*inputs!$C$53</f>
        <v>4.0453993355758395E-9</v>
      </c>
      <c r="AC180" s="7">
        <f>(((0.621*1000^0.564)/0.2))*W180/1000+AC179*inputs!$C$53</f>
        <v>6.482420327340633E-10</v>
      </c>
      <c r="AD180" s="7">
        <f>(((0.648*20^0.651)/0.2))*AA180/20+AD179*inputs!$C$54</f>
        <v>4.3303579737552099E-9</v>
      </c>
      <c r="AE180" s="7">
        <f>(((0.013*2^0.773)/0.2))*AA180/2+AE179*inputs!$C$54</f>
        <v>2.1116299113195317E-10</v>
      </c>
    </row>
    <row r="181" spans="1:31" x14ac:dyDescent="0.3">
      <c r="A181" s="7">
        <f>IF(A180&lt;(inputs!$C$9-1),(1+A180),0)</f>
        <v>0</v>
      </c>
      <c r="B181" s="7">
        <f>IF(inputs!$C$8&gt;B180,IF(A180=(inputs!$C$9-1),(B180+1),B180), B180)</f>
        <v>1</v>
      </c>
      <c r="C181" s="7">
        <f t="shared" si="5"/>
        <v>178</v>
      </c>
      <c r="D181" s="8">
        <f>IF((B181&gt;B180), (EXP(-LN(2)/inputs!$C$51)*D180+$D$3), (EXP(-LN(2)/inputs!$C$51)*D180))</f>
        <v>9.3135926825942992E-9</v>
      </c>
      <c r="E181" s="8">
        <f>IF((B181&gt;B180), (EXP(-LN(2)/inputs!$C$51)*E180+$E$3), (EXP(-LN(2)/inputs!$C$51)*E180))</f>
        <v>4.2687299795223862E-9</v>
      </c>
      <c r="F181" s="8">
        <f>IF((B181&gt;B180), (EXP(-LN(2)/inputs!$C$51)*F180+$F$3), (EXP(-LN(2)/inputs!$C$51)*F180))</f>
        <v>5.2388958839592992E-9</v>
      </c>
      <c r="G181" s="8">
        <f>IF((B181&gt;B180), (EXP(-LN(2)/inputs!$C$51)*G180+$G$3), (EXP(-LN(2)/inputs!$C$51)*G180))</f>
        <v>5.820995426621437E-10</v>
      </c>
      <c r="H181" s="8">
        <f>IF((B181&gt;B180), (EXP(-LN(2)/inputs!$C$51)*H180+$H$3), (EXP(-LN(2)/inputs!$C$51)*H180))</f>
        <v>3.6478238006827692E-9</v>
      </c>
      <c r="I181" s="7">
        <f>O181*(10^inputs!$C$55)*0.01/1</f>
        <v>0.2516033340173322</v>
      </c>
      <c r="J181" s="7">
        <f>(((0.621*15^0.564)/0.2))*D181/15+J180*inputs!$C$53</f>
        <v>1.0022027784139235E-8</v>
      </c>
      <c r="K181" s="7">
        <f>(((0.621*1000^0.564)/0.2))*D181/1000+K180*inputs!$C$53</f>
        <v>1.6059476763578667E-9</v>
      </c>
      <c r="L181" s="7">
        <f>(((0.648*20^0.651)/0.2))*H181/20+L180*inputs!$C$54</f>
        <v>5.4946518980536734E-9</v>
      </c>
      <c r="M181" s="7">
        <f>(((0.013*2^0.773)/0.2))*H181/2+M180*inputs!$C$54</f>
        <v>2.6793792500616629E-10</v>
      </c>
      <c r="N181" s="7">
        <f>O181*0.015*inputs!$C$56</f>
        <v>3.6965460926081405E-2</v>
      </c>
      <c r="O181" s="7">
        <f>IF((B181&gt;B180), (EXP(-LN(2)/inputs!$C$52)*O180+$O$3), (EXP(-LN(2)/inputs!$C$52)*O180))</f>
        <v>3.9876441128458909E-3</v>
      </c>
      <c r="P181" s="3">
        <f>IF((B181&gt;B180), (EXP(-LN(2)/inputs!$C$52)*P180+$P$3), (EXP(-LN(2)/inputs!$C$52)*P180))</f>
        <v>3.853280130989845E-3</v>
      </c>
      <c r="Q181" s="19">
        <f>IF((F181*0.62*1/(0.012*(10^inputs!$C$55)))&gt;inputs!$C$57, inputs!$C$57, (F181*0.62*1/(0.012*(10^inputs!$C$55))))</f>
        <v>4.2899300516248104E-11</v>
      </c>
      <c r="R181" s="3">
        <f>IF((B181&gt;B180), (EXP(-LN(2)/inputs!$C$51)*R180+$R$3), (EXP(-LN(2)/inputs!$C$51)*R180))</f>
        <v>9.9674127504891489E-17</v>
      </c>
      <c r="T181" s="7">
        <f>IF(T180&lt;(inputs!$C$9-1),(1+T180),0)</f>
        <v>0</v>
      </c>
      <c r="U181" s="7">
        <f>IF(inputs!$C$8&gt;U180,IF(T180=(inputs!$C$9-1),(U180+1),U180), U180)</f>
        <v>1</v>
      </c>
      <c r="V181" s="7">
        <f t="shared" si="4"/>
        <v>178</v>
      </c>
      <c r="W181" s="8">
        <f>IF((U181&gt;U180), (EXP(-LN(2)/inputs!$C$51)*W180+$W$3), (EXP(-LN(2)/inputs!$C$51)*W180))</f>
        <v>3.2985640750854853E-9</v>
      </c>
      <c r="X181" s="8">
        <f>IF((U181&gt;U180), (EXP(-LN(2)/inputs!$C$51)*X180+$X$3), (EXP(-LN(2)/inputs!$C$51)*X180))</f>
        <v>1.3970389023891448E-9</v>
      </c>
      <c r="Y181" s="8">
        <f>IF((U181&gt;U180), (EXP(-LN(2)/inputs!$C$51)*Y180+$Y$3), (EXP(-LN(2)/inputs!$C$51)*Y180))</f>
        <v>1.7462986279864343E-9</v>
      </c>
      <c r="Z181" s="8">
        <f>IF((U181&gt;U180), (EXP(-LN(2)/inputs!$C$51)*Z180+$Z$3), (EXP(-LN(2)/inputs!$C$51)*Z180))</f>
        <v>2.7164645324233365E-10</v>
      </c>
      <c r="AA181" s="8">
        <f>IF((U181&gt;U180), (EXP(-LN(2)/inputs!$C$51)*AA180+$AA$3), (EXP(-LN(2)/inputs!$C$51)*AA180))</f>
        <v>2.5224313515359552E-9</v>
      </c>
      <c r="AB181" s="7">
        <f>(((0.621*15^0.564)/0.2))*W181/15+AB180*inputs!$C$53</f>
        <v>3.5494681735493163E-9</v>
      </c>
      <c r="AC181" s="7">
        <f>(((0.621*1000^0.564)/0.2))*W181/1000+AC180*inputs!$C$53</f>
        <v>5.687731353767452E-10</v>
      </c>
      <c r="AD181" s="7">
        <f>(((0.648*20^0.651)/0.2))*AA181/20+AD180*inputs!$C$54</f>
        <v>3.7994933337605155E-9</v>
      </c>
      <c r="AE181" s="7">
        <f>(((0.013*2^0.773)/0.2))*AA181/2+AE180*inputs!$C$54</f>
        <v>1.8527622473830631E-10</v>
      </c>
    </row>
    <row r="182" spans="1:31" x14ac:dyDescent="0.3">
      <c r="A182" s="7">
        <f>IF(A181&lt;(inputs!$C$9-1),(1+A181),0)</f>
        <v>0</v>
      </c>
      <c r="B182" s="7">
        <f>IF(inputs!$C$8&gt;B181,IF(A181=(inputs!$C$9-1),(B181+1),B181), B181)</f>
        <v>1</v>
      </c>
      <c r="C182" s="7">
        <f t="shared" si="5"/>
        <v>179</v>
      </c>
      <c r="D182" s="8">
        <f>IF((B182&gt;B181), (EXP(-LN(2)/inputs!$C$51)*D181+$D$3), (EXP(-LN(2)/inputs!$C$51)*D181))</f>
        <v>8.1718263306049129E-9</v>
      </c>
      <c r="E182" s="8">
        <f>IF((B182&gt;B181), (EXP(-LN(2)/inputs!$C$51)*E181+$E$3), (EXP(-LN(2)/inputs!$C$51)*E181))</f>
        <v>3.7454204015272507E-9</v>
      </c>
      <c r="F182" s="8">
        <f>IF((B182&gt;B181), (EXP(-LN(2)/inputs!$C$51)*F181+$F$3), (EXP(-LN(2)/inputs!$C$51)*F181))</f>
        <v>4.5966523109652681E-9</v>
      </c>
      <c r="G182" s="8">
        <f>IF((B182&gt;B181), (EXP(-LN(2)/inputs!$C$51)*G181+$G$3), (EXP(-LN(2)/inputs!$C$51)*G181))</f>
        <v>5.1073914566280706E-10</v>
      </c>
      <c r="H182" s="8">
        <f>IF((B182&gt;B181), (EXP(-LN(2)/inputs!$C$51)*H181+$H$3), (EXP(-LN(2)/inputs!$C$51)*H181))</f>
        <v>3.200631979486926E-9</v>
      </c>
      <c r="I182" s="7">
        <f>O182*(10^inputs!$C$55)*0.01/1</f>
        <v>0.24652590869286845</v>
      </c>
      <c r="J182" s="7">
        <f>(((0.621*15^0.564)/0.2))*D182/15+J181*inputs!$C$53</f>
        <v>8.7934133823071865E-9</v>
      </c>
      <c r="K182" s="7">
        <f>(((0.621*1000^0.564)/0.2))*D182/1000+K181*inputs!$C$53</f>
        <v>1.409072304800368E-9</v>
      </c>
      <c r="L182" s="7">
        <f>(((0.648*20^0.651)/0.2))*H182/20+L181*inputs!$C$54</f>
        <v>4.8210548376178299E-9</v>
      </c>
      <c r="M182" s="7">
        <f>(((0.013*2^0.773)/0.2))*H182/2+M181*inputs!$C$54</f>
        <v>2.3509104006931271E-10</v>
      </c>
      <c r="N182" s="7">
        <f>O182*0.015*inputs!$C$56</f>
        <v>3.6219487633757583E-2</v>
      </c>
      <c r="O182" s="7">
        <f>IF((B182&gt;B181), (EXP(-LN(2)/inputs!$C$52)*O181+$O$3), (EXP(-LN(2)/inputs!$C$52)*O181))</f>
        <v>3.9071723445261684E-3</v>
      </c>
      <c r="P182" s="3">
        <f>IF((B182&gt;B181), (EXP(-LN(2)/inputs!$C$52)*P181+$P$3), (EXP(-LN(2)/inputs!$C$52)*P181))</f>
        <v>3.775519865229642E-3</v>
      </c>
      <c r="Q182" s="19">
        <f>IF((F182*0.62*1/(0.012*(10^inputs!$C$55)))&gt;inputs!$C$57, inputs!$C$57, (F182*0.62*1/(0.012*(10^inputs!$C$55))))</f>
        <v>3.7640215271424041E-11</v>
      </c>
      <c r="R182" s="3">
        <f>IF((B182&gt;B181), (EXP(-LN(2)/inputs!$C$51)*R181+$R$3), (EXP(-LN(2)/inputs!$C$51)*R181))</f>
        <v>8.7454936820112187E-17</v>
      </c>
      <c r="T182" s="7">
        <f>IF(T181&lt;(inputs!$C$9-1),(1+T181),0)</f>
        <v>0</v>
      </c>
      <c r="U182" s="7">
        <f>IF(inputs!$C$8&gt;U181,IF(T181=(inputs!$C$9-1),(U181+1),U181), U181)</f>
        <v>1</v>
      </c>
      <c r="V182" s="7">
        <f t="shared" si="4"/>
        <v>179</v>
      </c>
      <c r="W182" s="8">
        <f>IF((U182&gt;U181), (EXP(-LN(2)/inputs!$C$51)*W181+$W$3), (EXP(-LN(2)/inputs!$C$51)*W181))</f>
        <v>2.8941884920892436E-9</v>
      </c>
      <c r="X182" s="8">
        <f>IF((U182&gt;U181), (EXP(-LN(2)/inputs!$C$51)*X181+$X$3), (EXP(-LN(2)/inputs!$C$51)*X181))</f>
        <v>1.2257739495907367E-9</v>
      </c>
      <c r="Y182" s="8">
        <f>IF((U182&gt;U181), (EXP(-LN(2)/inputs!$C$51)*Y181+$Y$3), (EXP(-LN(2)/inputs!$C$51)*Y181))</f>
        <v>1.5322174369884239E-9</v>
      </c>
      <c r="Z182" s="8">
        <f>IF((U182&gt;U181), (EXP(-LN(2)/inputs!$C$51)*Z181+$Z$3), (EXP(-LN(2)/inputs!$C$51)*Z181))</f>
        <v>2.3834493464264323E-10</v>
      </c>
      <c r="AA182" s="8">
        <f>IF((U182&gt;U181), (EXP(-LN(2)/inputs!$C$51)*AA181+$AA$3), (EXP(-LN(2)/inputs!$C$51)*AA181))</f>
        <v>2.2132029645388299E-9</v>
      </c>
      <c r="AB182" s="7">
        <f>(((0.621*15^0.564)/0.2))*W182/15+AB181*inputs!$C$53</f>
        <v>3.1143339062337989E-9</v>
      </c>
      <c r="AC182" s="7">
        <f>(((0.621*1000^0.564)/0.2))*W182/1000+AC181*inputs!$C$53</f>
        <v>4.9904644128346431E-10</v>
      </c>
      <c r="AD182" s="7">
        <f>(((0.648*20^0.651)/0.2))*AA182/20+AD181*inputs!$C$54</f>
        <v>3.3337081323953056E-9</v>
      </c>
      <c r="AE182" s="7">
        <f>(((0.013*2^0.773)/0.2))*AA182/2+AE181*inputs!$C$54</f>
        <v>1.6256295323941822E-10</v>
      </c>
    </row>
    <row r="183" spans="1:31" x14ac:dyDescent="0.3">
      <c r="A183" s="7">
        <f>IF(A182&lt;(inputs!$C$9-1),(1+A182),0)</f>
        <v>0</v>
      </c>
      <c r="B183" s="7">
        <f>IF(inputs!$C$8&gt;B182,IF(A182=(inputs!$C$9-1),(B182+1),B182), B182)</f>
        <v>1</v>
      </c>
      <c r="C183" s="7">
        <f t="shared" si="5"/>
        <v>180</v>
      </c>
      <c r="D183" s="8">
        <f>IF((B183&gt;B182), (EXP(-LN(2)/inputs!$C$51)*D182+$D$3), (EXP(-LN(2)/inputs!$C$51)*D182))</f>
        <v>7.1700307124625667E-9</v>
      </c>
      <c r="E183" s="8">
        <f>IF((B183&gt;B182), (EXP(-LN(2)/inputs!$C$51)*E182+$E$3), (EXP(-LN(2)/inputs!$C$51)*E182))</f>
        <v>3.2862640765453424E-9</v>
      </c>
      <c r="F183" s="8">
        <f>IF((B183&gt;B182), (EXP(-LN(2)/inputs!$C$51)*F182+$F$3), (EXP(-LN(2)/inputs!$C$51)*F182))</f>
        <v>4.0331422757601979E-9</v>
      </c>
      <c r="G183" s="8">
        <f>IF((B183&gt;B182), (EXP(-LN(2)/inputs!$C$51)*G182+$G$3), (EXP(-LN(2)/inputs!$C$51)*G182))</f>
        <v>4.4812691952891042E-10</v>
      </c>
      <c r="H183" s="8">
        <f>IF((B183&gt;B182), (EXP(-LN(2)/inputs!$C$51)*H182+$H$3), (EXP(-LN(2)/inputs!$C$51)*H182))</f>
        <v>2.8082620290478404E-9</v>
      </c>
      <c r="I183" s="7">
        <f>O183*(10^inputs!$C$55)*0.01/1</f>
        <v>0.24155094722495968</v>
      </c>
      <c r="J183" s="7">
        <f>(((0.621*15^0.564)/0.2))*D183/15+J182*inputs!$C$53</f>
        <v>7.7154165382091156E-9</v>
      </c>
      <c r="K183" s="7">
        <f>(((0.621*1000^0.564)/0.2))*D183/1000+K182*inputs!$C$53</f>
        <v>1.2363321603716925E-9</v>
      </c>
      <c r="L183" s="7">
        <f>(((0.648*20^0.651)/0.2))*H183/20+L182*inputs!$C$54</f>
        <v>4.2300349828441931E-9</v>
      </c>
      <c r="M183" s="7">
        <f>(((0.013*2^0.773)/0.2))*H183/2+M182*inputs!$C$54</f>
        <v>2.062709006931336E-10</v>
      </c>
      <c r="N183" s="7">
        <f>O183*0.015*inputs!$C$56</f>
        <v>3.5488568290144774E-2</v>
      </c>
      <c r="O183" s="7">
        <f>IF((B183&gt;B182), (EXP(-LN(2)/inputs!$C$52)*O182+$O$3), (EXP(-LN(2)/inputs!$C$52)*O182))</f>
        <v>3.8283245188937189E-3</v>
      </c>
      <c r="P183" s="3">
        <f>IF((B183&gt;B182), (EXP(-LN(2)/inputs!$C$52)*P182+$P$3), (EXP(-LN(2)/inputs!$C$52)*P182))</f>
        <v>3.6993288232802044E-3</v>
      </c>
      <c r="Q183" s="19">
        <f>IF((F183*0.62*1/(0.012*(10^inputs!$C$55)))&gt;inputs!$C$57, inputs!$C$57, (F183*0.62*1/(0.012*(10^inputs!$C$55))))</f>
        <v>3.3025848641577182E-11</v>
      </c>
      <c r="R183" s="3">
        <f>IF((B183&gt;B182), (EXP(-LN(2)/inputs!$C$51)*R182+$R$3), (EXP(-LN(2)/inputs!$C$51)*R182))</f>
        <v>7.6733713809879819E-17</v>
      </c>
      <c r="T183" s="7">
        <f>IF(T182&lt;(inputs!$C$9-1),(1+T182),0)</f>
        <v>0</v>
      </c>
      <c r="U183" s="7">
        <f>IF(inputs!$C$8&gt;U182,IF(T182=(inputs!$C$9-1),(U182+1),U182), U182)</f>
        <v>1</v>
      </c>
      <c r="V183" s="7">
        <f t="shared" si="4"/>
        <v>180</v>
      </c>
      <c r="W183" s="8">
        <f>IF((U183&gt;U182), (EXP(-LN(2)/inputs!$C$51)*W182+$W$3), (EXP(-LN(2)/inputs!$C$51)*W182))</f>
        <v>2.5393858773304955E-9</v>
      </c>
      <c r="X183" s="8">
        <f>IF((U183&gt;U182), (EXP(-LN(2)/inputs!$C$51)*X182+$X$3), (EXP(-LN(2)/inputs!$C$51)*X182))</f>
        <v>1.0755046068693848E-9</v>
      </c>
      <c r="Y183" s="8">
        <f>IF((U183&gt;U182), (EXP(-LN(2)/inputs!$C$51)*Y182+$Y$3), (EXP(-LN(2)/inputs!$C$51)*Y182))</f>
        <v>1.3443807585867337E-9</v>
      </c>
      <c r="Z183" s="8">
        <f>IF((U183&gt;U182), (EXP(-LN(2)/inputs!$C$51)*Z182+$Z$3), (EXP(-LN(2)/inputs!$C$51)*Z182))</f>
        <v>2.0912589578015813E-10</v>
      </c>
      <c r="AA183" s="8">
        <f>IF((U183&gt;U182), (EXP(-LN(2)/inputs!$C$51)*AA182+$AA$3), (EXP(-LN(2)/inputs!$C$51)*AA182))</f>
        <v>1.9418833179586111E-9</v>
      </c>
      <c r="AB183" s="7">
        <f>(((0.621*15^0.564)/0.2))*W183/15+AB182*inputs!$C$53</f>
        <v>2.7325433572823984E-9</v>
      </c>
      <c r="AC183" s="7">
        <f>(((0.621*1000^0.564)/0.2))*W183/1000+AC182*inputs!$C$53</f>
        <v>4.378676401316417E-10</v>
      </c>
      <c r="AD183" s="7">
        <f>(((0.648*20^0.651)/0.2))*AA183/20+AD182*inputs!$C$54</f>
        <v>2.9250241902645991E-9</v>
      </c>
      <c r="AE183" s="7">
        <f>(((0.013*2^0.773)/0.2))*AA183/2+AE182*inputs!$C$54</f>
        <v>1.4263413345801777E-10</v>
      </c>
    </row>
    <row r="184" spans="1:31" x14ac:dyDescent="0.3">
      <c r="A184" s="7">
        <f>IF(A183&lt;(inputs!$C$9-1),(1+A183),0)</f>
        <v>0</v>
      </c>
      <c r="B184" s="7">
        <f>IF(inputs!$C$8&gt;B183,IF(A183=(inputs!$C$9-1),(B183+1),B183), B183)</f>
        <v>1</v>
      </c>
      <c r="C184" s="7">
        <f t="shared" si="5"/>
        <v>181</v>
      </c>
      <c r="D184" s="8">
        <f>IF((B184&gt;B183), (EXP(-LN(2)/inputs!$C$51)*D183+$D$3), (EXP(-LN(2)/inputs!$C$51)*D183))</f>
        <v>6.2910466201563201E-9</v>
      </c>
      <c r="E184" s="8">
        <f>IF((B184&gt;B183), (EXP(-LN(2)/inputs!$C$51)*E183+$E$3), (EXP(-LN(2)/inputs!$C$51)*E183))</f>
        <v>2.8833963675716462E-9</v>
      </c>
      <c r="F184" s="8">
        <f>IF((B184&gt;B183), (EXP(-LN(2)/inputs!$C$51)*F183+$F$3), (EXP(-LN(2)/inputs!$C$51)*F183))</f>
        <v>3.5387137238379337E-9</v>
      </c>
      <c r="G184" s="8">
        <f>IF((B184&gt;B183), (EXP(-LN(2)/inputs!$C$51)*G183+$G$3), (EXP(-LN(2)/inputs!$C$51)*G183))</f>
        <v>3.9319041375977001E-10</v>
      </c>
      <c r="H184" s="8">
        <f>IF((B184&gt;B183), (EXP(-LN(2)/inputs!$C$51)*H183+$H$3), (EXP(-LN(2)/inputs!$C$51)*H183))</f>
        <v>2.4639932595612269E-9</v>
      </c>
      <c r="I184" s="7">
        <f>O184*(10^inputs!$C$55)*0.01/1</f>
        <v>0.23667638186445561</v>
      </c>
      <c r="J184" s="7">
        <f>(((0.621*15^0.564)/0.2))*D184/15+J183*inputs!$C$53</f>
        <v>6.7695728348042338E-9</v>
      </c>
      <c r="K184" s="7">
        <f>(((0.621*1000^0.564)/0.2))*D184/1000+K183*inputs!$C$53</f>
        <v>1.0847684718250785E-9</v>
      </c>
      <c r="L184" s="7">
        <f>(((0.648*20^0.651)/0.2))*H184/20+L183*inputs!$C$54</f>
        <v>3.7114690786066687E-9</v>
      </c>
      <c r="M184" s="7">
        <f>(((0.013*2^0.773)/0.2))*H184/2+M183*inputs!$C$54</f>
        <v>1.8098386250795476E-10</v>
      </c>
      <c r="N184" s="7">
        <f>O184*0.015*inputs!$C$56</f>
        <v>3.4772399102367124E-2</v>
      </c>
      <c r="O184" s="7">
        <f>IF((B184&gt;B183), (EXP(-LN(2)/inputs!$C$52)*O183+$O$3), (EXP(-LN(2)/inputs!$C$52)*O183))</f>
        <v>3.751067864333023E-3</v>
      </c>
      <c r="P184" s="3">
        <f>IF((B184&gt;B183), (EXP(-LN(2)/inputs!$C$52)*P183+$P$3), (EXP(-LN(2)/inputs!$C$52)*P183))</f>
        <v>3.6246753377681736E-3</v>
      </c>
      <c r="Q184" s="19">
        <f>IF((F184*0.62*1/(0.012*(10^inputs!$C$55)))&gt;inputs!$C$57, inputs!$C$57, (F184*0.62*1/(0.012*(10^inputs!$C$55))))</f>
        <v>2.8977163670060502E-11</v>
      </c>
      <c r="R184" s="3">
        <f>IF((B184&gt;B183), (EXP(-LN(2)/inputs!$C$51)*R183+$R$3), (EXP(-LN(2)/inputs!$C$51)*R183))</f>
        <v>6.7326820522068586E-17</v>
      </c>
      <c r="T184" s="7">
        <f>IF(T183&lt;(inputs!$C$9-1),(1+T183),0)</f>
        <v>0</v>
      </c>
      <c r="U184" s="7">
        <f>IF(inputs!$C$8&gt;U183,IF(T183=(inputs!$C$9-1),(U183+1),U183), U183)</f>
        <v>1</v>
      </c>
      <c r="V184" s="7">
        <f t="shared" si="4"/>
        <v>181</v>
      </c>
      <c r="W184" s="8">
        <f>IF((U184&gt;U183), (EXP(-LN(2)/inputs!$C$51)*W183+$W$3), (EXP(-LN(2)/inputs!$C$51)*W183))</f>
        <v>2.2280790113053662E-9</v>
      </c>
      <c r="X184" s="8">
        <f>IF((U184&gt;U183), (EXP(-LN(2)/inputs!$C$51)*X183+$X$3), (EXP(-LN(2)/inputs!$C$51)*X183))</f>
        <v>9.4365699302344777E-10</v>
      </c>
      <c r="Y184" s="8">
        <f>IF((U184&gt;U183), (EXP(-LN(2)/inputs!$C$51)*Y183+$Y$3), (EXP(-LN(2)/inputs!$C$51)*Y183))</f>
        <v>1.1795712412793122E-9</v>
      </c>
      <c r="Z184" s="8">
        <f>IF((U184&gt;U183), (EXP(-LN(2)/inputs!$C$51)*Z183+$Z$3), (EXP(-LN(2)/inputs!$C$51)*Z183))</f>
        <v>1.834888597545593E-10</v>
      </c>
      <c r="AA184" s="8">
        <f>IF((U184&gt;U183), (EXP(-LN(2)/inputs!$C$51)*AA183+$AA$3), (EXP(-LN(2)/inputs!$C$51)*AA183))</f>
        <v>1.7038251262923361E-9</v>
      </c>
      <c r="AB184" s="7">
        <f>(((0.621*15^0.564)/0.2))*W184/15+AB183*inputs!$C$53</f>
        <v>2.3975570456598359E-9</v>
      </c>
      <c r="AC184" s="7">
        <f>(((0.621*1000^0.564)/0.2))*W184/1000+AC183*inputs!$C$53</f>
        <v>3.8418883377138251E-10</v>
      </c>
      <c r="AD184" s="7">
        <f>(((0.648*20^0.651)/0.2))*AA184/20+AD183*inputs!$C$54</f>
        <v>2.5664413841429068E-9</v>
      </c>
      <c r="AE184" s="7">
        <f>(((0.013*2^0.773)/0.2))*AA184/2+AE183*inputs!$C$54</f>
        <v>1.2514841556401113E-10</v>
      </c>
    </row>
    <row r="185" spans="1:31" x14ac:dyDescent="0.3">
      <c r="A185" s="7">
        <f>IF(A184&lt;(inputs!$C$9-1),(1+A184),0)</f>
        <v>0</v>
      </c>
      <c r="B185" s="7">
        <f>IF(inputs!$C$8&gt;B184,IF(A184=(inputs!$C$9-1),(B184+1),B184), B184)</f>
        <v>1</v>
      </c>
      <c r="C185" s="7">
        <f t="shared" si="5"/>
        <v>182</v>
      </c>
      <c r="D185" s="8">
        <f>IF((B185&gt;B184), (EXP(-LN(2)/inputs!$C$51)*D184+$D$3), (EXP(-LN(2)/inputs!$C$51)*D184))</f>
        <v>5.5198184169823927E-9</v>
      </c>
      <c r="E185" s="8">
        <f>IF((B185&gt;B184), (EXP(-LN(2)/inputs!$C$51)*E184+$E$3), (EXP(-LN(2)/inputs!$C$51)*E184))</f>
        <v>2.5299167744502629E-9</v>
      </c>
      <c r="F185" s="8">
        <f>IF((B185&gt;B184), (EXP(-LN(2)/inputs!$C$51)*F184+$F$3), (EXP(-LN(2)/inputs!$C$51)*F184))</f>
        <v>3.104897859552599E-9</v>
      </c>
      <c r="G185" s="8">
        <f>IF((B185&gt;B184), (EXP(-LN(2)/inputs!$C$51)*G184+$G$3), (EXP(-LN(2)/inputs!$C$51)*G184))</f>
        <v>3.4498865106139954E-10</v>
      </c>
      <c r="H185" s="8">
        <f>IF((B185&gt;B184), (EXP(-LN(2)/inputs!$C$51)*H184+$H$3), (EXP(-LN(2)/inputs!$C$51)*H184))</f>
        <v>2.1619288799847718E-9</v>
      </c>
      <c r="I185" s="7">
        <f>O185*(10^inputs!$C$55)*0.01/1</f>
        <v>0.23190018658995953</v>
      </c>
      <c r="J185" s="7">
        <f>(((0.621*15^0.564)/0.2))*D185/15+J184*inputs!$C$53</f>
        <v>5.9396814337592086E-9</v>
      </c>
      <c r="K185" s="7">
        <f>(((0.621*1000^0.564)/0.2))*D185/1000+K184*inputs!$C$53</f>
        <v>9.5178518781873709E-10</v>
      </c>
      <c r="L185" s="7">
        <f>(((0.648*20^0.651)/0.2))*H185/20+L184*inputs!$C$54</f>
        <v>3.2564748937824129E-9</v>
      </c>
      <c r="M185" s="7">
        <f>(((0.013*2^0.773)/0.2))*H185/2+M184*inputs!$C$54</f>
        <v>1.5879679769774059E-10</v>
      </c>
      <c r="N185" s="7">
        <f>O185*0.015*inputs!$C$56</f>
        <v>3.4070682408173562E-2</v>
      </c>
      <c r="O185" s="7">
        <f>IF((B185&gt;B184), (EXP(-LN(2)/inputs!$C$52)*O184+$O$3), (EXP(-LN(2)/inputs!$C$52)*O184))</f>
        <v>3.6753702705688853E-3</v>
      </c>
      <c r="P185" s="3">
        <f>IF((B185&gt;B184), (EXP(-LN(2)/inputs!$C$52)*P184+$P$3), (EXP(-LN(2)/inputs!$C$52)*P184))</f>
        <v>3.5515283803766013E-3</v>
      </c>
      <c r="Q185" s="19">
        <f>IF((F185*0.62*1/(0.012*(10^inputs!$C$55)))&gt;inputs!$C$57, inputs!$C$57, (F185*0.62*1/(0.012*(10^inputs!$C$55))))</f>
        <v>2.5424812651275292E-11</v>
      </c>
      <c r="R185" s="3">
        <f>IF((B185&gt;B184), (EXP(-LN(2)/inputs!$C$51)*R184+$R$3), (EXP(-LN(2)/inputs!$C$51)*R184))</f>
        <v>5.9073131437920887E-17</v>
      </c>
      <c r="T185" s="7">
        <f>IF(T184&lt;(inputs!$C$9-1),(1+T184),0)</f>
        <v>0</v>
      </c>
      <c r="U185" s="7">
        <f>IF(inputs!$C$8&gt;U184,IF(T184=(inputs!$C$9-1),(U184+1),U184), U184)</f>
        <v>1</v>
      </c>
      <c r="V185" s="7">
        <f t="shared" si="4"/>
        <v>182</v>
      </c>
      <c r="W185" s="8">
        <f>IF((U185&gt;U184), (EXP(-LN(2)/inputs!$C$51)*W184+$W$3), (EXP(-LN(2)/inputs!$C$51)*W184))</f>
        <v>1.954935689347933E-9</v>
      </c>
      <c r="X185" s="8">
        <f>IF((U185&gt;U184), (EXP(-LN(2)/inputs!$C$51)*X184+$X$3), (EXP(-LN(2)/inputs!$C$51)*X184))</f>
        <v>8.2797276254735861E-10</v>
      </c>
      <c r="Y185" s="8">
        <f>IF((U185&gt;U184), (EXP(-LN(2)/inputs!$C$51)*Y184+$Y$3), (EXP(-LN(2)/inputs!$C$51)*Y184))</f>
        <v>1.0349659531842005E-9</v>
      </c>
      <c r="Z185" s="8">
        <f>IF((U185&gt;U184), (EXP(-LN(2)/inputs!$C$51)*Z184+$Z$3), (EXP(-LN(2)/inputs!$C$51)*Z184))</f>
        <v>1.6099470382865308E-10</v>
      </c>
      <c r="AA185" s="8">
        <f>IF((U185&gt;U184), (EXP(-LN(2)/inputs!$C$51)*AA184+$AA$3), (EXP(-LN(2)/inputs!$C$51)*AA184))</f>
        <v>1.4949508212660641E-9</v>
      </c>
      <c r="AB185" s="7">
        <f>(((0.621*15^0.564)/0.2))*W185/15+AB184*inputs!$C$53</f>
        <v>2.1036371744563884E-9</v>
      </c>
      <c r="AC185" s="7">
        <f>(((0.621*1000^0.564)/0.2))*W185/1000+AC184*inputs!$C$53</f>
        <v>3.3709058735246976E-10</v>
      </c>
      <c r="AD185" s="7">
        <f>(((0.648*20^0.651)/0.2))*AA185/20+AD184*inputs!$C$54</f>
        <v>2.2518177457006025E-9</v>
      </c>
      <c r="AE185" s="7">
        <f>(((0.013*2^0.773)/0.2))*AA185/2+AE184*inputs!$C$54</f>
        <v>1.0980629628035242E-10</v>
      </c>
    </row>
    <row r="186" spans="1:31" x14ac:dyDescent="0.3">
      <c r="A186" s="7">
        <f>IF(A185&lt;(inputs!$C$9-1),(1+A185),0)</f>
        <v>0</v>
      </c>
      <c r="B186" s="7">
        <f>IF(inputs!$C$8&gt;B185,IF(A185=(inputs!$C$9-1),(B185+1),B185), B185)</f>
        <v>1</v>
      </c>
      <c r="C186" s="7">
        <f t="shared" si="5"/>
        <v>183</v>
      </c>
      <c r="D186" s="8">
        <f>IF((B186&gt;B185), (EXP(-LN(2)/inputs!$C$51)*D185+$D$3), (EXP(-LN(2)/inputs!$C$51)*D185))</f>
        <v>4.8431361577957797E-9</v>
      </c>
      <c r="E186" s="8">
        <f>IF((B186&gt;B185), (EXP(-LN(2)/inputs!$C$51)*E185+$E$3), (EXP(-LN(2)/inputs!$C$51)*E185))</f>
        <v>2.2197707389897321E-9</v>
      </c>
      <c r="F186" s="8">
        <f>IF((B186&gt;B185), (EXP(-LN(2)/inputs!$C$51)*F185+$F$3), (EXP(-LN(2)/inputs!$C$51)*F185))</f>
        <v>2.7242640887601287E-9</v>
      </c>
      <c r="G186" s="8">
        <f>IF((B186&gt;B185), (EXP(-LN(2)/inputs!$C$51)*G185+$G$3), (EXP(-LN(2)/inputs!$C$51)*G185))</f>
        <v>3.0269600986223623E-10</v>
      </c>
      <c r="H186" s="8">
        <f>IF((B186&gt;B185), (EXP(-LN(2)/inputs!$C$51)*H185+$H$3), (EXP(-LN(2)/inputs!$C$51)*H185))</f>
        <v>1.8968949951366813E-9</v>
      </c>
      <c r="I186" s="7">
        <f>O186*(10^inputs!$C$55)*0.01/1</f>
        <v>0.22722037626575048</v>
      </c>
      <c r="J186" s="7">
        <f>(((0.621*15^0.564)/0.2))*D186/15+J185*inputs!$C$53</f>
        <v>5.2115275801688136E-9</v>
      </c>
      <c r="K186" s="7">
        <f>(((0.621*1000^0.564)/0.2))*D186/1000+K185*inputs!$C$53</f>
        <v>8.3510451057543871E-10</v>
      </c>
      <c r="L186" s="7">
        <f>(((0.648*20^0.651)/0.2))*H186/20+L185*inputs!$C$54</f>
        <v>2.8572590823837027E-9</v>
      </c>
      <c r="M186" s="7">
        <f>(((0.013*2^0.773)/0.2))*H186/2+M185*inputs!$C$54</f>
        <v>1.3932967619115109E-10</v>
      </c>
      <c r="N186" s="7">
        <f>O186*0.015*inputs!$C$56</f>
        <v>3.3383126552220137E-2</v>
      </c>
      <c r="O186" s="7">
        <f>IF((B186&gt;B185), (EXP(-LN(2)/inputs!$C$52)*O185+$O$3), (EXP(-LN(2)/inputs!$C$52)*O185))</f>
        <v>3.6012002753204038E-3</v>
      </c>
      <c r="P186" s="3">
        <f>IF((B186&gt;B185), (EXP(-LN(2)/inputs!$C$52)*P185+$P$3), (EXP(-LN(2)/inputs!$C$52)*P185))</f>
        <v>3.4798575489486138E-3</v>
      </c>
      <c r="Q186" s="19">
        <f>IF((F186*0.62*1/(0.012*(10^inputs!$C$55)))&gt;inputs!$C$57, inputs!$C$57, (F186*0.62*1/(0.012*(10^inputs!$C$55))))</f>
        <v>2.2307949311834713E-11</v>
      </c>
      <c r="R186" s="3">
        <f>IF((B186&gt;B185), (EXP(-LN(2)/inputs!$C$51)*R185+$R$3), (EXP(-LN(2)/inputs!$C$51)*R185))</f>
        <v>5.1831273641357153E-17</v>
      </c>
      <c r="T186" s="7">
        <f>IF(T185&lt;(inputs!$C$9-1),(1+T185),0)</f>
        <v>0</v>
      </c>
      <c r="U186" s="7">
        <f>IF(inputs!$C$8&gt;U185,IF(T185=(inputs!$C$9-1),(U185+1),U185), U185)</f>
        <v>1</v>
      </c>
      <c r="V186" s="7">
        <f t="shared" si="4"/>
        <v>183</v>
      </c>
      <c r="W186" s="8">
        <f>IF((U186&gt;U185), (EXP(-LN(2)/inputs!$C$51)*W185+$W$3), (EXP(-LN(2)/inputs!$C$51)*W185))</f>
        <v>1.7152773892193407E-9</v>
      </c>
      <c r="X186" s="8">
        <f>IF((U186&gt;U185), (EXP(-LN(2)/inputs!$C$51)*X185+$X$3), (EXP(-LN(2)/inputs!$C$51)*X185))</f>
        <v>7.2647042366936667E-10</v>
      </c>
      <c r="Y186" s="8">
        <f>IF((U186&gt;U185), (EXP(-LN(2)/inputs!$C$51)*Y185+$Y$3), (EXP(-LN(2)/inputs!$C$51)*Y185))</f>
        <v>9.080880295867103E-10</v>
      </c>
      <c r="Z186" s="8">
        <f>IF((U186&gt;U185), (EXP(-LN(2)/inputs!$C$51)*Z185+$Z$3), (EXP(-LN(2)/inputs!$C$51)*Z185))</f>
        <v>1.4125813793571021E-10</v>
      </c>
      <c r="AA186" s="8">
        <f>IF((U186&gt;U185), (EXP(-LN(2)/inputs!$C$51)*AA185+$AA$3), (EXP(-LN(2)/inputs!$C$51)*AA185))</f>
        <v>1.3116827094030232E-9</v>
      </c>
      <c r="AB186" s="7">
        <f>(((0.621*15^0.564)/0.2))*W186/15+AB185*inputs!$C$53</f>
        <v>1.8457493513097902E-9</v>
      </c>
      <c r="AC186" s="7">
        <f>(((0.621*1000^0.564)/0.2))*W186/1000+AC185*inputs!$C$53</f>
        <v>2.9576618082880152E-10</v>
      </c>
      <c r="AD186" s="7">
        <f>(((0.648*20^0.651)/0.2))*AA186/20+AD185*inputs!$C$54</f>
        <v>1.9757642590951121E-9</v>
      </c>
      <c r="AE186" s="7">
        <f>(((0.013*2^0.773)/0.2))*AA186/2+AE185*inputs!$C$54</f>
        <v>9.634498885558311E-11</v>
      </c>
    </row>
    <row r="187" spans="1:31" x14ac:dyDescent="0.3">
      <c r="A187" s="7">
        <f>IF(A186&lt;(inputs!$C$9-1),(1+A186),0)</f>
        <v>0</v>
      </c>
      <c r="B187" s="7">
        <f>IF(inputs!$C$8&gt;B186,IF(A186=(inputs!$C$9-1),(B186+1),B186), B186)</f>
        <v>1</v>
      </c>
      <c r="C187" s="7">
        <f t="shared" si="5"/>
        <v>184</v>
      </c>
      <c r="D187" s="8">
        <f>IF((B187&gt;B186), (EXP(-LN(2)/inputs!$C$51)*D186+$D$3), (EXP(-LN(2)/inputs!$C$51)*D186))</f>
        <v>4.2494093231008701E-9</v>
      </c>
      <c r="E187" s="8">
        <f>IF((B187&gt;B186), (EXP(-LN(2)/inputs!$C$51)*E186+$E$3), (EXP(-LN(2)/inputs!$C$51)*E186))</f>
        <v>1.9476459397545653E-9</v>
      </c>
      <c r="F187" s="8">
        <f>IF((B187&gt;B186), (EXP(-LN(2)/inputs!$C$51)*F186+$F$3), (EXP(-LN(2)/inputs!$C$51)*F186))</f>
        <v>2.390292744244242E-9</v>
      </c>
      <c r="G187" s="8">
        <f>IF((B187&gt;B186), (EXP(-LN(2)/inputs!$C$51)*G186+$G$3), (EXP(-LN(2)/inputs!$C$51)*G186))</f>
        <v>2.6558808269380438E-10</v>
      </c>
      <c r="H187" s="8">
        <f>IF((B187&gt;B186), (EXP(-LN(2)/inputs!$C$51)*H186+$H$3), (EXP(-LN(2)/inputs!$C$51)*H186))</f>
        <v>1.6643519848811751E-9</v>
      </c>
      <c r="I187" s="7">
        <f>O187*(10^inputs!$C$55)*0.01/1</f>
        <v>0.22263500581669904</v>
      </c>
      <c r="J187" s="7">
        <f>(((0.621*15^0.564)/0.2))*D187/15+J186*inputs!$C$53</f>
        <v>4.5726391258109449E-9</v>
      </c>
      <c r="K187" s="7">
        <f>(((0.621*1000^0.564)/0.2))*D187/1000+K186*inputs!$C$53</f>
        <v>7.3272788073295717E-10</v>
      </c>
      <c r="L187" s="7">
        <f>(((0.648*20^0.651)/0.2))*H187/20+L186*inputs!$C$54</f>
        <v>2.5069836956064206E-9</v>
      </c>
      <c r="M187" s="7">
        <f>(((0.013*2^0.773)/0.2))*H187/2+M186*inputs!$C$54</f>
        <v>1.2224905633476277E-10</v>
      </c>
      <c r="N187" s="7">
        <f>O187*0.015*inputs!$C$56</f>
        <v>3.2709445764848924E-2</v>
      </c>
      <c r="O187" s="7">
        <f>IF((B187&gt;B186), (EXP(-LN(2)/inputs!$C$52)*O186+$O$3), (EXP(-LN(2)/inputs!$C$52)*O186))</f>
        <v>3.5285270512242636E-3</v>
      </c>
      <c r="P187" s="3">
        <f>IF((B187&gt;B186), (EXP(-LN(2)/inputs!$C$52)*P186+$P$3), (EXP(-LN(2)/inputs!$C$52)*P186))</f>
        <v>3.4096330548513262E-3</v>
      </c>
      <c r="Q187" s="19">
        <f>IF((F187*0.62*1/(0.012*(10^inputs!$C$55)))&gt;inputs!$C$57, inputs!$C$57, (F187*0.62*1/(0.012*(10^inputs!$C$55))))</f>
        <v>1.9573186608099757E-11</v>
      </c>
      <c r="R187" s="3">
        <f>IF((B187&gt;B186), (EXP(-LN(2)/inputs!$C$51)*R186+$R$3), (EXP(-LN(2)/inputs!$C$51)*R186))</f>
        <v>4.5477205319789579E-17</v>
      </c>
      <c r="T187" s="7">
        <f>IF(T186&lt;(inputs!$C$9-1),(1+T186),0)</f>
        <v>0</v>
      </c>
      <c r="U187" s="7">
        <f>IF(inputs!$C$8&gt;U186,IF(T186=(inputs!$C$9-1),(U186+1),U186), U186)</f>
        <v>1</v>
      </c>
      <c r="V187" s="7">
        <f t="shared" si="4"/>
        <v>184</v>
      </c>
      <c r="W187" s="8">
        <f>IF((U187&gt;U186), (EXP(-LN(2)/inputs!$C$51)*W186+$W$3), (EXP(-LN(2)/inputs!$C$51)*W186))</f>
        <v>1.5049991352648935E-9</v>
      </c>
      <c r="X187" s="8">
        <f>IF((U187&gt;U186), (EXP(-LN(2)/inputs!$C$51)*X186+$X$3), (EXP(-LN(2)/inputs!$C$51)*X186))</f>
        <v>6.3741139846513029E-10</v>
      </c>
      <c r="Y187" s="8">
        <f>IF((U187&gt;U186), (EXP(-LN(2)/inputs!$C$51)*Y186+$Y$3), (EXP(-LN(2)/inputs!$C$51)*Y186))</f>
        <v>7.967642480814146E-10</v>
      </c>
      <c r="Z187" s="8">
        <f>IF((U187&gt;U186), (EXP(-LN(2)/inputs!$C$51)*Z186+$Z$3), (EXP(-LN(2)/inputs!$C$51)*Z186))</f>
        <v>1.239411052571087E-10</v>
      </c>
      <c r="AA187" s="8">
        <f>IF((U187&gt;U186), (EXP(-LN(2)/inputs!$C$51)*AA186+$AA$3), (EXP(-LN(2)/inputs!$C$51)*AA186))</f>
        <v>1.150881691673152E-9</v>
      </c>
      <c r="AB187" s="7">
        <f>(((0.621*15^0.564)/0.2))*W187/15+AB186*inputs!$C$53</f>
        <v>1.6194763570580451E-9</v>
      </c>
      <c r="AC187" s="7">
        <f>(((0.621*1000^0.564)/0.2))*W187/1000+AC186*inputs!$C$53</f>
        <v>2.5950779109292262E-10</v>
      </c>
      <c r="AD187" s="7">
        <f>(((0.648*20^0.651)/0.2))*AA187/20+AD186*inputs!$C$54</f>
        <v>1.7335525554725236E-9</v>
      </c>
      <c r="AE187" s="7">
        <f>(((0.013*2^0.773)/0.2))*AA187/2+AE186*inputs!$C$54</f>
        <v>8.4533921933612481E-11</v>
      </c>
    </row>
    <row r="188" spans="1:31" x14ac:dyDescent="0.3">
      <c r="A188" s="7">
        <f>IF(A187&lt;(inputs!$C$9-1),(1+A187),0)</f>
        <v>0</v>
      </c>
      <c r="B188" s="7">
        <f>IF(inputs!$C$8&gt;B187,IF(A187=(inputs!$C$9-1),(B187+1),B187), B187)</f>
        <v>1</v>
      </c>
      <c r="C188" s="7">
        <f t="shared" si="5"/>
        <v>185</v>
      </c>
      <c r="D188" s="8">
        <f>IF((B188&gt;B187), (EXP(-LN(2)/inputs!$C$51)*D187+$D$3), (EXP(-LN(2)/inputs!$C$51)*D187))</f>
        <v>3.7284682913963256E-9</v>
      </c>
      <c r="E188" s="8">
        <f>IF((B188&gt;B187), (EXP(-LN(2)/inputs!$C$51)*E187+$E$3), (EXP(-LN(2)/inputs!$C$51)*E187))</f>
        <v>1.7088813002233158E-9</v>
      </c>
      <c r="F188" s="8">
        <f>IF((B188&gt;B187), (EXP(-LN(2)/inputs!$C$51)*F187+$F$3), (EXP(-LN(2)/inputs!$C$51)*F187))</f>
        <v>2.0972634139104355E-9</v>
      </c>
      <c r="G188" s="8">
        <f>IF((B188&gt;B187), (EXP(-LN(2)/inputs!$C$51)*G187+$G$3), (EXP(-LN(2)/inputs!$C$51)*G187))</f>
        <v>2.3302926821227035E-10</v>
      </c>
      <c r="H188" s="8">
        <f>IF((B188&gt;B187), (EXP(-LN(2)/inputs!$C$51)*H187+$H$3), (EXP(-LN(2)/inputs!$C$51)*H187))</f>
        <v>1.4603167474635617E-9</v>
      </c>
      <c r="I188" s="7">
        <f>O188*(10^inputs!$C$55)*0.01/1</f>
        <v>0.21814216941983325</v>
      </c>
      <c r="J188" s="7">
        <f>(((0.621*15^0.564)/0.2))*D188/15+J187*inputs!$C$53</f>
        <v>4.012072900556307E-9</v>
      </c>
      <c r="K188" s="7">
        <f>(((0.621*1000^0.564)/0.2))*D188/1000+K187*inputs!$C$53</f>
        <v>6.42901745116261E-10</v>
      </c>
      <c r="L188" s="7">
        <f>(((0.648*20^0.651)/0.2))*H188/20+L187*inputs!$C$54</f>
        <v>2.1996490583531954E-9</v>
      </c>
      <c r="M188" s="7">
        <f>(((0.013*2^0.773)/0.2))*H188/2+M187*inputs!$C$54</f>
        <v>1.072623735537624E-10</v>
      </c>
      <c r="N188" s="7">
        <f>O188*0.015*inputs!$C$56</f>
        <v>3.2049360043313227E-2</v>
      </c>
      <c r="O188" s="7">
        <f>IF((B188&gt;B187), (EXP(-LN(2)/inputs!$C$52)*O187+$O$3), (EXP(-LN(2)/inputs!$C$52)*O187))</f>
        <v>3.457320393021923E-3</v>
      </c>
      <c r="P188" s="3">
        <f>IF((B188&gt;B187), (EXP(-LN(2)/inputs!$C$52)*P187+$P$3), (EXP(-LN(2)/inputs!$C$52)*P187))</f>
        <v>3.3408257105947583E-3</v>
      </c>
      <c r="Q188" s="19">
        <f>IF((F188*0.62*1/(0.012*(10^inputs!$C$55)))&gt;inputs!$C$57, inputs!$C$57, (F188*0.62*1/(0.012*(10^inputs!$C$55))))</f>
        <v>1.7173682288772736E-11</v>
      </c>
      <c r="R188" s="3">
        <f>IF((B188&gt;B187), (EXP(-LN(2)/inputs!$C$51)*R187+$R$3), (EXP(-LN(2)/inputs!$C$51)*R187))</f>
        <v>3.990209111990759E-17</v>
      </c>
      <c r="T188" s="7">
        <f>IF(T187&lt;(inputs!$C$9-1),(1+T187),0)</f>
        <v>0</v>
      </c>
      <c r="U188" s="7">
        <f>IF(inputs!$C$8&gt;U187,IF(T187=(inputs!$C$9-1),(U187+1),U187), U187)</f>
        <v>1</v>
      </c>
      <c r="V188" s="7">
        <f t="shared" si="4"/>
        <v>185</v>
      </c>
      <c r="W188" s="8">
        <f>IF((U188&gt;U187), (EXP(-LN(2)/inputs!$C$51)*W187+$W$3), (EXP(-LN(2)/inputs!$C$51)*W187))</f>
        <v>1.3204991865362005E-9</v>
      </c>
      <c r="X188" s="8">
        <f>IF((U188&gt;U187), (EXP(-LN(2)/inputs!$C$51)*X187+$X$3), (EXP(-LN(2)/inputs!$C$51)*X187))</f>
        <v>5.5927024370944866E-10</v>
      </c>
      <c r="Y188" s="8">
        <f>IF((U188&gt;U187), (EXP(-LN(2)/inputs!$C$51)*Y187+$Y$3), (EXP(-LN(2)/inputs!$C$51)*Y187))</f>
        <v>6.9908780463681235E-10</v>
      </c>
      <c r="Z188" s="8">
        <f>IF((U188&gt;U187), (EXP(-LN(2)/inputs!$C$51)*Z187+$Z$3), (EXP(-LN(2)/inputs!$C$51)*Z187))</f>
        <v>1.0874699183239282E-10</v>
      </c>
      <c r="AA188" s="8">
        <f>IF((U188&gt;U187), (EXP(-LN(2)/inputs!$C$51)*AA187+$AA$3), (EXP(-LN(2)/inputs!$C$51)*AA187))</f>
        <v>1.0097934955865046E-9</v>
      </c>
      <c r="AB188" s="7">
        <f>(((0.621*15^0.564)/0.2))*W188/15+AB187*inputs!$C$53</f>
        <v>1.420942485613694E-9</v>
      </c>
      <c r="AC188" s="7">
        <f>(((0.621*1000^0.564)/0.2))*W188/1000+AC187*inputs!$C$53</f>
        <v>2.2769436806200942E-10</v>
      </c>
      <c r="AD188" s="7">
        <f>(((0.648*20^0.651)/0.2))*AA188/20+AD187*inputs!$C$54</f>
        <v>1.521033923329336E-9</v>
      </c>
      <c r="AE188" s="7">
        <f>(((0.013*2^0.773)/0.2))*AA188/2+AE187*inputs!$C$54</f>
        <v>7.4170790223346279E-11</v>
      </c>
    </row>
    <row r="189" spans="1:31" x14ac:dyDescent="0.3">
      <c r="A189" s="7">
        <f>IF(A188&lt;(inputs!$C$9-1),(1+A188),0)</f>
        <v>0</v>
      </c>
      <c r="B189" s="7">
        <f>IF(inputs!$C$8&gt;B188,IF(A188=(inputs!$C$9-1),(B188+1),B188), B188)</f>
        <v>1</v>
      </c>
      <c r="C189" s="7">
        <f t="shared" si="5"/>
        <v>186</v>
      </c>
      <c r="D189" s="8">
        <f>IF((B189&gt;B188), (EXP(-LN(2)/inputs!$C$51)*D188+$D$3), (EXP(-LN(2)/inputs!$C$51)*D188))</f>
        <v>3.27139014930284E-9</v>
      </c>
      <c r="E189" s="8">
        <f>IF((B189&gt;B188), (EXP(-LN(2)/inputs!$C$51)*E188+$E$3), (EXP(-LN(2)/inputs!$C$51)*E188))</f>
        <v>1.4993871517638016E-9</v>
      </c>
      <c r="F189" s="8">
        <f>IF((B189&gt;B188), (EXP(-LN(2)/inputs!$C$51)*F188+$F$3), (EXP(-LN(2)/inputs!$C$51)*F188))</f>
        <v>1.8401569589828496E-9</v>
      </c>
      <c r="G189" s="8">
        <f>IF((B189&gt;B188), (EXP(-LN(2)/inputs!$C$51)*G188+$G$3), (EXP(-LN(2)/inputs!$C$51)*G188))</f>
        <v>2.044618843314275E-10</v>
      </c>
      <c r="H189" s="8">
        <f>IF((B189&gt;B188), (EXP(-LN(2)/inputs!$C$51)*H188+$H$3), (EXP(-LN(2)/inputs!$C$51)*H188))</f>
        <v>1.281294475143613E-9</v>
      </c>
      <c r="I189" s="7">
        <f>O189*(10^inputs!$C$55)*0.01/1</f>
        <v>0.21373999971221952</v>
      </c>
      <c r="J189" s="7">
        <f>(((0.621*15^0.564)/0.2))*D189/15+J188*inputs!$C$53</f>
        <v>3.5202272728057429E-9</v>
      </c>
      <c r="K189" s="7">
        <f>(((0.621*1000^0.564)/0.2))*D189/1000+K188*inputs!$C$53</f>
        <v>5.6408752108638477E-10</v>
      </c>
      <c r="L189" s="7">
        <f>(((0.648*20^0.651)/0.2))*H189/20+L188*inputs!$C$54</f>
        <v>1.9299910040873684E-9</v>
      </c>
      <c r="M189" s="7">
        <f>(((0.013*2^0.773)/0.2))*H189/2+M188*inputs!$C$54</f>
        <v>9.4112929173713709E-11</v>
      </c>
      <c r="N189" s="7">
        <f>O189*0.015*inputs!$C$56</f>
        <v>3.1402595035399758E-2</v>
      </c>
      <c r="O189" s="7">
        <f>IF((B189&gt;B188), (EXP(-LN(2)/inputs!$C$52)*O188+$O$3), (EXP(-LN(2)/inputs!$C$52)*O188))</f>
        <v>3.3875507050053675E-3</v>
      </c>
      <c r="P189" s="3">
        <f>IF((B189&gt;B188), (EXP(-LN(2)/inputs!$C$52)*P188+$P$3), (EXP(-LN(2)/inputs!$C$52)*P188))</f>
        <v>3.2734069177006034E-3</v>
      </c>
      <c r="Q189" s="19">
        <f>IF((F189*0.62*1/(0.012*(10^inputs!$C$55)))&gt;inputs!$C$57, inputs!$C$57, (F189*0.62*1/(0.012*(10^inputs!$C$55))))</f>
        <v>1.5068336559651276E-11</v>
      </c>
      <c r="R189" s="3">
        <f>IF((B189&gt;B188), (EXP(-LN(2)/inputs!$C$51)*R188+$R$3), (EXP(-LN(2)/inputs!$C$51)*R188))</f>
        <v>3.5010437966568851E-17</v>
      </c>
      <c r="T189" s="7">
        <f>IF(T188&lt;(inputs!$C$9-1),(1+T188),0)</f>
        <v>0</v>
      </c>
      <c r="U189" s="7">
        <f>IF(inputs!$C$8&gt;U188,IF(T188=(inputs!$C$9-1),(U188+1),U188), U188)</f>
        <v>1</v>
      </c>
      <c r="V189" s="7">
        <f t="shared" si="4"/>
        <v>186</v>
      </c>
      <c r="W189" s="8">
        <f>IF((U189&gt;U188), (EXP(-LN(2)/inputs!$C$51)*W188+$W$3), (EXP(-LN(2)/inputs!$C$51)*W188))</f>
        <v>1.1586173445447574E-9</v>
      </c>
      <c r="X189" s="8">
        <f>IF((U189&gt;U188), (EXP(-LN(2)/inputs!$C$51)*X188+$X$3), (EXP(-LN(2)/inputs!$C$51)*X188))</f>
        <v>4.907085223954258E-10</v>
      </c>
      <c r="Y189" s="8">
        <f>IF((U189&gt;U188), (EXP(-LN(2)/inputs!$C$51)*Y188+$Y$3), (EXP(-LN(2)/inputs!$C$51)*Y188))</f>
        <v>6.1338565299428364E-10</v>
      </c>
      <c r="Z189" s="8">
        <f>IF((U189&gt;U188), (EXP(-LN(2)/inputs!$C$51)*Z188+$Z$3), (EXP(-LN(2)/inputs!$C$51)*Z188))</f>
        <v>9.5415546021332826E-11</v>
      </c>
      <c r="AA189" s="8">
        <f>IF((U189&gt;U188), (EXP(-LN(2)/inputs!$C$51)*AA188+$AA$3), (EXP(-LN(2)/inputs!$C$51)*AA188))</f>
        <v>8.86001498769519E-10</v>
      </c>
      <c r="AB189" s="7">
        <f>(((0.621*15^0.564)/0.2))*W189/15+AB188*inputs!$C$53</f>
        <v>1.2467471591187022E-9</v>
      </c>
      <c r="AC189" s="7">
        <f>(((0.621*1000^0.564)/0.2))*W189/1000+AC188*inputs!$C$53</f>
        <v>1.9978099705142818E-10</v>
      </c>
      <c r="AD189" s="7">
        <f>(((0.648*20^0.651)/0.2))*AA189/20+AD188*inputs!$C$54</f>
        <v>1.3345682475072221E-9</v>
      </c>
      <c r="AE189" s="7">
        <f>(((0.013*2^0.773)/0.2))*AA189/2+AE188*inputs!$C$54</f>
        <v>6.5078089322248782E-11</v>
      </c>
    </row>
    <row r="190" spans="1:31" x14ac:dyDescent="0.3">
      <c r="A190" s="7">
        <f>IF(A189&lt;(inputs!$C$9-1),(1+A189),0)</f>
        <v>0</v>
      </c>
      <c r="B190" s="7">
        <f>IF(inputs!$C$8&gt;B189,IF(A189=(inputs!$C$9-1),(B189+1),B189), B189)</f>
        <v>1</v>
      </c>
      <c r="C190" s="7">
        <f t="shared" si="5"/>
        <v>187</v>
      </c>
      <c r="D190" s="8">
        <f>IF((B190&gt;B189), (EXP(-LN(2)/inputs!$C$51)*D189+$D$3), (EXP(-LN(2)/inputs!$C$51)*D189))</f>
        <v>2.870345855870943E-9</v>
      </c>
      <c r="E190" s="8">
        <f>IF((B190&gt;B189), (EXP(-LN(2)/inputs!$C$51)*E189+$E$3), (EXP(-LN(2)/inputs!$C$51)*E189))</f>
        <v>1.3155751839408487E-9</v>
      </c>
      <c r="F190" s="8">
        <f>IF((B190&gt;B189), (EXP(-LN(2)/inputs!$C$51)*F189+$F$3), (EXP(-LN(2)/inputs!$C$51)*F189))</f>
        <v>1.6145695439274072E-9</v>
      </c>
      <c r="G190" s="8">
        <f>IF((B190&gt;B189), (EXP(-LN(2)/inputs!$C$51)*G189+$G$3), (EXP(-LN(2)/inputs!$C$51)*G189))</f>
        <v>1.7939661599193394E-10</v>
      </c>
      <c r="H190" s="8">
        <f>IF((B190&gt;B189), (EXP(-LN(2)/inputs!$C$51)*H189+$H$3), (EXP(-LN(2)/inputs!$C$51)*H189))</f>
        <v>1.1242187935494532E-9</v>
      </c>
      <c r="I190" s="7">
        <f>O190*(10^inputs!$C$55)*0.01/1</f>
        <v>0.20942666701482793</v>
      </c>
      <c r="J190" s="7">
        <f>(((0.621*15^0.564)/0.2))*D190/15+J189*inputs!$C$53</f>
        <v>3.0886776884056883E-9</v>
      </c>
      <c r="K190" s="7">
        <f>(((0.621*1000^0.564)/0.2))*D190/1000+K189*inputs!$C$53</f>
        <v>4.9493524300177603E-10</v>
      </c>
      <c r="L190" s="7">
        <f>(((0.648*20^0.651)/0.2))*H190/20+L189*inputs!$C$54</f>
        <v>1.6933907078099328E-9</v>
      </c>
      <c r="M190" s="7">
        <f>(((0.013*2^0.773)/0.2))*H190/2+M189*inputs!$C$54</f>
        <v>8.2575493569671898E-11</v>
      </c>
      <c r="N190" s="7">
        <f>O190*0.015*inputs!$C$56</f>
        <v>3.0768881925399255E-2</v>
      </c>
      <c r="O190" s="7">
        <f>IF((B190&gt;B189), (EXP(-LN(2)/inputs!$C$52)*O189+$O$3), (EXP(-LN(2)/inputs!$C$52)*O189))</f>
        <v>3.319188988716209E-3</v>
      </c>
      <c r="P190" s="3">
        <f>IF((B190&gt;B189), (EXP(-LN(2)/inputs!$C$52)*P189+$P$3), (EXP(-LN(2)/inputs!$C$52)*P189))</f>
        <v>3.2073486548158084E-3</v>
      </c>
      <c r="Q190" s="19">
        <f>IF((F190*0.62*1/(0.012*(10^inputs!$C$55)))&gt;inputs!$C$57, inputs!$C$57, (F190*0.62*1/(0.012*(10^inputs!$C$55))))</f>
        <v>1.3221088107782214E-11</v>
      </c>
      <c r="R190" s="3">
        <f>IF((B190&gt;B189), (EXP(-LN(2)/inputs!$C$51)*R189+$R$3), (EXP(-LN(2)/inputs!$C$51)*R189))</f>
        <v>3.0718459414259502E-17</v>
      </c>
      <c r="T190" s="7">
        <f>IF(T189&lt;(inputs!$C$9-1),(1+T189),0)</f>
        <v>0</v>
      </c>
      <c r="U190" s="7">
        <f>IF(inputs!$C$8&gt;U189,IF(T189=(inputs!$C$9-1),(U189+1),U189), U189)</f>
        <v>1</v>
      </c>
      <c r="V190" s="7">
        <f t="shared" si="4"/>
        <v>187</v>
      </c>
      <c r="W190" s="8">
        <f>IF((U190&gt;U189), (EXP(-LN(2)/inputs!$C$51)*W189+$W$3), (EXP(-LN(2)/inputs!$C$51)*W189))</f>
        <v>1.0165808239542936E-9</v>
      </c>
      <c r="X190" s="8">
        <f>IF((U190&gt;U189), (EXP(-LN(2)/inputs!$C$51)*X189+$X$3), (EXP(-LN(2)/inputs!$C$51)*X189))</f>
        <v>4.3055187838064126E-10</v>
      </c>
      <c r="Y190" s="8">
        <f>IF((U190&gt;U189), (EXP(-LN(2)/inputs!$C$51)*Y189+$Y$3), (EXP(-LN(2)/inputs!$C$51)*Y189))</f>
        <v>5.3818984797580274E-10</v>
      </c>
      <c r="Z190" s="8">
        <f>IF((U190&gt;U189), (EXP(-LN(2)/inputs!$C$51)*Z189+$Z$3), (EXP(-LN(2)/inputs!$C$51)*Z189))</f>
        <v>8.3718420796235826E-11</v>
      </c>
      <c r="AA190" s="8">
        <f>IF((U190&gt;U189), (EXP(-LN(2)/inputs!$C$51)*AA189+$AA$3), (EXP(-LN(2)/inputs!$C$51)*AA189))</f>
        <v>7.7738533596504685E-10</v>
      </c>
      <c r="AB190" s="7">
        <f>(((0.621*15^0.564)/0.2))*W190/15+AB189*inputs!$C$53</f>
        <v>1.0939066813103495E-9</v>
      </c>
      <c r="AC190" s="7">
        <f>(((0.621*1000^0.564)/0.2))*W190/1000+AC189*inputs!$C$53</f>
        <v>1.7528956522979592E-10</v>
      </c>
      <c r="AD190" s="7">
        <f>(((0.648*20^0.651)/0.2))*AA190/20+AD189*inputs!$C$54</f>
        <v>1.1709616596558037E-9</v>
      </c>
      <c r="AE190" s="7">
        <f>(((0.013*2^0.773)/0.2))*AA190/2+AE189*inputs!$C$54</f>
        <v>5.7100075340730525E-11</v>
      </c>
    </row>
    <row r="191" spans="1:31" x14ac:dyDescent="0.3">
      <c r="A191" s="7">
        <f>IF(A190&lt;(inputs!$C$9-1),(1+A190),0)</f>
        <v>0</v>
      </c>
      <c r="B191" s="7">
        <f>IF(inputs!$C$8&gt;B190,IF(A190=(inputs!$C$9-1),(B190+1),B190), B190)</f>
        <v>1</v>
      </c>
      <c r="C191" s="7">
        <f t="shared" si="5"/>
        <v>188</v>
      </c>
      <c r="D191" s="8">
        <f>IF((B191&gt;B190), (EXP(-LN(2)/inputs!$C$51)*D190+$D$3), (EXP(-LN(2)/inputs!$C$51)*D190))</f>
        <v>2.5184661432300485E-9</v>
      </c>
      <c r="E191" s="8">
        <f>IF((B191&gt;B190), (EXP(-LN(2)/inputs!$C$51)*E190+$E$3), (EXP(-LN(2)/inputs!$C$51)*E190))</f>
        <v>1.1542969823137721E-9</v>
      </c>
      <c r="F191" s="8">
        <f>IF((B191&gt;B190), (EXP(-LN(2)/inputs!$C$51)*F190+$F$3), (EXP(-LN(2)/inputs!$C$51)*F190))</f>
        <v>1.4166372055669037E-9</v>
      </c>
      <c r="G191" s="8">
        <f>IF((B191&gt;B190), (EXP(-LN(2)/inputs!$C$51)*G190+$G$3), (EXP(-LN(2)/inputs!$C$51)*G190))</f>
        <v>1.5740413395187803E-10</v>
      </c>
      <c r="H191" s="8">
        <f>IF((B191&gt;B190), (EXP(-LN(2)/inputs!$C$51)*H190+$H$3), (EXP(-LN(2)/inputs!$C$51)*H190))</f>
        <v>9.8639923943176947E-10</v>
      </c>
      <c r="I191" s="7">
        <f>O191*(10^inputs!$C$55)*0.01/1</f>
        <v>0.20520037857206086</v>
      </c>
      <c r="J191" s="7">
        <f>(((0.621*15^0.564)/0.2))*D191/15+J190*inputs!$C$53</f>
        <v>2.7100323710779768E-9</v>
      </c>
      <c r="K191" s="7">
        <f>(((0.621*1000^0.564)/0.2))*D191/1000+K190*inputs!$C$53</f>
        <v>4.3426043939680356E-10</v>
      </c>
      <c r="L191" s="7">
        <f>(((0.648*20^0.651)/0.2))*H191/20+L190*inputs!$C$54</f>
        <v>1.4857955727379202E-9</v>
      </c>
      <c r="M191" s="7">
        <f>(((0.013*2^0.773)/0.2))*H191/2+M190*inputs!$C$54</f>
        <v>7.2452448331397101E-11</v>
      </c>
      <c r="N191" s="7">
        <f>O191*0.015*inputs!$C$56</f>
        <v>3.0147957322378318E-2</v>
      </c>
      <c r="O191" s="7">
        <f>IF((B191&gt;B190), (EXP(-LN(2)/inputs!$C$52)*O190+$O$3), (EXP(-LN(2)/inputs!$C$52)*O190))</f>
        <v>3.2522068308930225E-3</v>
      </c>
      <c r="P191" s="3">
        <f>IF((B191&gt;B190), (EXP(-LN(2)/inputs!$C$52)*P190+$P$3), (EXP(-LN(2)/inputs!$C$52)*P190))</f>
        <v>3.1426234660660254E-3</v>
      </c>
      <c r="Q191" s="19">
        <f>IF((F191*0.62*1/(0.012*(10^inputs!$C$55)))&gt;inputs!$C$57, inputs!$C$57, (F191*0.62*1/(0.012*(10^inputs!$C$55))))</f>
        <v>1.1600296426998945E-11</v>
      </c>
      <c r="R191" s="3">
        <f>IF((B191&gt;B190), (EXP(-LN(2)/inputs!$C$51)*R190+$R$3), (EXP(-LN(2)/inputs!$C$51)*R190))</f>
        <v>2.6952640514996297E-17</v>
      </c>
      <c r="T191" s="7">
        <f>IF(T190&lt;(inputs!$C$9-1),(1+T190),0)</f>
        <v>0</v>
      </c>
      <c r="U191" s="7">
        <f>IF(inputs!$C$8&gt;U190,IF(T190=(inputs!$C$9-1),(U190+1),U190), U190)</f>
        <v>1</v>
      </c>
      <c r="V191" s="7">
        <f t="shared" si="4"/>
        <v>188</v>
      </c>
      <c r="W191" s="8">
        <f>IF((U191&gt;U190), (EXP(-LN(2)/inputs!$C$51)*W190+$W$3), (EXP(-LN(2)/inputs!$C$51)*W190))</f>
        <v>8.9195675906064328E-10</v>
      </c>
      <c r="X191" s="8">
        <f>IF((U191&gt;U190), (EXP(-LN(2)/inputs!$C$51)*X190+$X$3), (EXP(-LN(2)/inputs!$C$51)*X190))</f>
        <v>3.7776992148450712E-10</v>
      </c>
      <c r="Y191" s="8">
        <f>IF((U191&gt;U190), (EXP(-LN(2)/inputs!$C$51)*Y190+$Y$3), (EXP(-LN(2)/inputs!$C$51)*Y190))</f>
        <v>4.7221240185563485E-10</v>
      </c>
      <c r="Z191" s="8">
        <f>IF((U191&gt;U190), (EXP(-LN(2)/inputs!$C$51)*Z190+$Z$3), (EXP(-LN(2)/inputs!$C$51)*Z190))</f>
        <v>7.3455262510876404E-11</v>
      </c>
      <c r="AA191" s="8">
        <f>IF((U191&gt;U190), (EXP(-LN(2)/inputs!$C$51)*AA190+$AA$3), (EXP(-LN(2)/inputs!$C$51)*AA190))</f>
        <v>6.8208458045813793E-10</v>
      </c>
      <c r="AB191" s="7">
        <f>(((0.621*15^0.564)/0.2))*W191/15+AB190*inputs!$C$53</f>
        <v>9.598031314234513E-10</v>
      </c>
      <c r="AC191" s="7">
        <f>(((0.621*1000^0.564)/0.2))*W191/1000+AC190*inputs!$C$53</f>
        <v>1.5380057228636811E-10</v>
      </c>
      <c r="AD191" s="7">
        <f>(((0.648*20^0.651)/0.2))*AA191/20+AD190*inputs!$C$54</f>
        <v>1.0274118322123909E-9</v>
      </c>
      <c r="AE191" s="7">
        <f>(((0.013*2^0.773)/0.2))*AA191/2+AE190*inputs!$C$54</f>
        <v>5.0100097250434124E-11</v>
      </c>
    </row>
    <row r="192" spans="1:31" x14ac:dyDescent="0.3">
      <c r="A192" s="7">
        <f>IF(A191&lt;(inputs!$C$9-1),(1+A191),0)</f>
        <v>0</v>
      </c>
      <c r="B192" s="7">
        <f>IF(inputs!$C$8&gt;B191,IF(A191=(inputs!$C$9-1),(B191+1),B191), B191)</f>
        <v>1</v>
      </c>
      <c r="C192" s="7">
        <f t="shared" si="5"/>
        <v>189</v>
      </c>
      <c r="D192" s="8">
        <f>IF((B192&gt;B191), (EXP(-LN(2)/inputs!$C$51)*D191+$D$3), (EXP(-LN(2)/inputs!$C$51)*D191))</f>
        <v>2.2097238566644756E-9</v>
      </c>
      <c r="E192" s="8">
        <f>IF((B192&gt;B191), (EXP(-LN(2)/inputs!$C$51)*E191+$E$3), (EXP(-LN(2)/inputs!$C$51)*E191))</f>
        <v>1.0127901009712178E-9</v>
      </c>
      <c r="F192" s="8">
        <f>IF((B192&gt;B191), (EXP(-LN(2)/inputs!$C$51)*F191+$F$3), (EXP(-LN(2)/inputs!$C$51)*F191))</f>
        <v>1.2429696693737687E-9</v>
      </c>
      <c r="G192" s="8">
        <f>IF((B192&gt;B191), (EXP(-LN(2)/inputs!$C$51)*G191+$G$3), (EXP(-LN(2)/inputs!$C$51)*G191))</f>
        <v>1.3810774104152972E-10</v>
      </c>
      <c r="H192" s="8">
        <f>IF((B192&gt;B191), (EXP(-LN(2)/inputs!$C$51)*H191+$H$3), (EXP(-LN(2)/inputs!$C$51)*H191))</f>
        <v>8.6547517719358662E-10</v>
      </c>
      <c r="I192" s="7">
        <f>O192*(10^inputs!$C$55)*0.01/1</f>
        <v>0.20105937780662758</v>
      </c>
      <c r="J192" s="7">
        <f>(((0.621*15^0.564)/0.2))*D192/15+J191*inputs!$C$53</f>
        <v>2.3778057127357578E-9</v>
      </c>
      <c r="K192" s="7">
        <f>(((0.621*1000^0.564)/0.2))*D192/1000+K191*inputs!$C$53</f>
        <v>3.810238448192871E-10</v>
      </c>
      <c r="L192" s="7">
        <f>(((0.648*20^0.651)/0.2))*H192/20+L191*inputs!$C$54</f>
        <v>1.303649815595531E-9</v>
      </c>
      <c r="M192" s="7">
        <f>(((0.013*2^0.773)/0.2))*H192/2+M191*inputs!$C$54</f>
        <v>6.3570401365929412E-11</v>
      </c>
      <c r="N192" s="7">
        <f>O192*0.015*inputs!$C$56</f>
        <v>2.9539563150705887E-2</v>
      </c>
      <c r="O192" s="7">
        <f>IF((B192&gt;B191), (EXP(-LN(2)/inputs!$C$52)*O191+$O$3), (EXP(-LN(2)/inputs!$C$52)*O191))</f>
        <v>3.1865763916619082E-3</v>
      </c>
      <c r="P192" s="3">
        <f>IF((B192&gt;B191), (EXP(-LN(2)/inputs!$C$52)*P191+$P$3), (EXP(-LN(2)/inputs!$C$52)*P191))</f>
        <v>3.0792044496440948E-3</v>
      </c>
      <c r="Q192" s="19">
        <f>IF((F192*0.62*1/(0.012*(10^inputs!$C$55)))&gt;inputs!$C$57, inputs!$C$57, (F192*0.62*1/(0.012*(10^inputs!$C$55))))</f>
        <v>1.0178199865034979E-11</v>
      </c>
      <c r="R192" s="3">
        <f>IF((B192&gt;B191), (EXP(-LN(2)/inputs!$C$51)*R191+$R$3), (EXP(-LN(2)/inputs!$C$51)*R191))</f>
        <v>2.3648478621079685E-17</v>
      </c>
      <c r="T192" s="7">
        <f>IF(T191&lt;(inputs!$C$9-1),(1+T191),0)</f>
        <v>0</v>
      </c>
      <c r="U192" s="7">
        <f>IF(inputs!$C$8&gt;U191,IF(T191=(inputs!$C$9-1),(U191+1),U191), U191)</f>
        <v>1</v>
      </c>
      <c r="V192" s="7">
        <f t="shared" si="4"/>
        <v>189</v>
      </c>
      <c r="W192" s="8">
        <f>IF((U192&gt;U191), (EXP(-LN(2)/inputs!$C$51)*W191+$W$3), (EXP(-LN(2)/inputs!$C$51)*W191))</f>
        <v>7.8261053256866943E-10</v>
      </c>
      <c r="X192" s="8">
        <f>IF((U192&gt;U191), (EXP(-LN(2)/inputs!$C$51)*X191+$X$3), (EXP(-LN(2)/inputs!$C$51)*X191))</f>
        <v>3.3145857849967117E-10</v>
      </c>
      <c r="Y192" s="8">
        <f>IF((U192&gt;U191), (EXP(-LN(2)/inputs!$C$51)*Y191+$Y$3), (EXP(-LN(2)/inputs!$C$51)*Y191))</f>
        <v>4.1432322312458982E-10</v>
      </c>
      <c r="Z192" s="8">
        <f>IF((U192&gt;U191), (EXP(-LN(2)/inputs!$C$51)*Z191+$Z$3), (EXP(-LN(2)/inputs!$C$51)*Z191))</f>
        <v>6.4450279152713859E-11</v>
      </c>
      <c r="AA192" s="8">
        <f>IF((U192&gt;U191), (EXP(-LN(2)/inputs!$C$51)*AA191+$AA$3), (EXP(-LN(2)/inputs!$C$51)*AA191))</f>
        <v>5.9846687784662859E-10</v>
      </c>
      <c r="AB192" s="7">
        <f>(((0.621*15^0.564)/0.2))*W192/15+AB191*inputs!$C$53</f>
        <v>8.4213952326058186E-10</v>
      </c>
      <c r="AC192" s="7">
        <f>(((0.621*1000^0.564)/0.2))*W192/1000+AC191*inputs!$C$53</f>
        <v>1.3494594504016434E-10</v>
      </c>
      <c r="AD192" s="7">
        <f>(((0.648*20^0.651)/0.2))*AA192/20+AD191*inputs!$C$54</f>
        <v>9.0145997886924929E-10</v>
      </c>
      <c r="AE192" s="7">
        <f>(((0.013*2^0.773)/0.2))*AA192/2+AE191*inputs!$C$54</f>
        <v>4.3958256263674552E-11</v>
      </c>
    </row>
    <row r="193" spans="1:31" x14ac:dyDescent="0.3">
      <c r="A193" s="7">
        <f>IF(A192&lt;(inputs!$C$9-1),(1+A192),0)</f>
        <v>0</v>
      </c>
      <c r="B193" s="7">
        <f>IF(inputs!$C$8&gt;B192,IF(A192=(inputs!$C$9-1),(B192+1),B192), B192)</f>
        <v>1</v>
      </c>
      <c r="C193" s="7">
        <f t="shared" si="5"/>
        <v>190</v>
      </c>
      <c r="D193" s="8">
        <f>IF((B193&gt;B192), (EXP(-LN(2)/inputs!$C$51)*D192+$D$3), (EXP(-LN(2)/inputs!$C$51)*D192))</f>
        <v>1.9388307187840953E-9</v>
      </c>
      <c r="E193" s="8">
        <f>IF((B193&gt;B192), (EXP(-LN(2)/inputs!$C$51)*E192+$E$3), (EXP(-LN(2)/inputs!$C$51)*E192))</f>
        <v>8.8863074610937697E-10</v>
      </c>
      <c r="F193" s="8">
        <f>IF((B193&gt;B192), (EXP(-LN(2)/inputs!$C$51)*F192+$F$3), (EXP(-LN(2)/inputs!$C$51)*F192))</f>
        <v>1.0905922793160547E-9</v>
      </c>
      <c r="G193" s="8">
        <f>IF((B193&gt;B192), (EXP(-LN(2)/inputs!$C$51)*G192+$G$3), (EXP(-LN(2)/inputs!$C$51)*G192))</f>
        <v>1.2117691992400596E-10</v>
      </c>
      <c r="H193" s="8">
        <f>IF((B193&gt;B192), (EXP(-LN(2)/inputs!$C$51)*H192+$H$3), (EXP(-LN(2)/inputs!$C$51)*H192))</f>
        <v>7.5937536485710439E-10</v>
      </c>
      <c r="I193" s="7">
        <f>O193*(10^inputs!$C$55)*0.01/1</f>
        <v>0.1970019435894563</v>
      </c>
      <c r="J193" s="7">
        <f>(((0.621*15^0.564)/0.2))*D193/15+J192*inputs!$C$53</f>
        <v>2.0863071850576505E-9</v>
      </c>
      <c r="K193" s="7">
        <f>(((0.621*1000^0.564)/0.2))*D193/1000+K192*inputs!$C$53</f>
        <v>3.3431359882223891E-10</v>
      </c>
      <c r="L193" s="7">
        <f>(((0.648*20^0.651)/0.2))*H193/20+L192*inputs!$C$54</f>
        <v>1.1438335615514971E-9</v>
      </c>
      <c r="M193" s="7">
        <f>(((0.013*2^0.773)/0.2))*H193/2+M192*inputs!$C$54</f>
        <v>5.5777216959473219E-11</v>
      </c>
      <c r="N193" s="7">
        <f>O193*0.015*inputs!$C$56</f>
        <v>2.8943446542789006E-2</v>
      </c>
      <c r="O193" s="7">
        <f>IF((B193&gt;B192), (EXP(-LN(2)/inputs!$C$52)*O192+$O$3), (EXP(-LN(2)/inputs!$C$52)*O192))</f>
        <v>3.1222703929653728E-3</v>
      </c>
      <c r="P193" s="3">
        <f>IF((B193&gt;B192), (EXP(-LN(2)/inputs!$C$52)*P192+$P$3), (EXP(-LN(2)/inputs!$C$52)*P192))</f>
        <v>3.0170652466288144E-3</v>
      </c>
      <c r="Q193" s="19">
        <f>IF((F193*0.62*1/(0.012*(10^inputs!$C$55)))&gt;inputs!$C$57, inputs!$C$57, (F193*0.62*1/(0.012*(10^inputs!$C$55))))</f>
        <v>8.9304401093997563E-12</v>
      </c>
      <c r="R193" s="3">
        <f>IF((B193&gt;B192), (EXP(-LN(2)/inputs!$C$51)*R192+$R$3), (EXP(-LN(2)/inputs!$C$51)*R192))</f>
        <v>2.0749378554598355E-17</v>
      </c>
      <c r="T193" s="7">
        <f>IF(T192&lt;(inputs!$C$9-1),(1+T192),0)</f>
        <v>0</v>
      </c>
      <c r="U193" s="7">
        <f>IF(inputs!$C$8&gt;U192,IF(T192=(inputs!$C$9-1),(U192+1),U192), U192)</f>
        <v>1</v>
      </c>
      <c r="V193" s="7">
        <f t="shared" si="4"/>
        <v>190</v>
      </c>
      <c r="W193" s="8">
        <f>IF((U193&gt;U192), (EXP(-LN(2)/inputs!$C$51)*W192+$W$3), (EXP(-LN(2)/inputs!$C$51)*W192))</f>
        <v>6.8666921290270133E-10</v>
      </c>
      <c r="X193" s="8">
        <f>IF((U193&gt;U192), (EXP(-LN(2)/inputs!$C$51)*X192+$X$3), (EXP(-LN(2)/inputs!$C$51)*X192))</f>
        <v>2.9082460781761418E-10</v>
      </c>
      <c r="Y193" s="8">
        <f>IF((U193&gt;U192), (EXP(-LN(2)/inputs!$C$51)*Y192+$Y$3), (EXP(-LN(2)/inputs!$C$51)*Y192))</f>
        <v>3.6353075977201849E-10</v>
      </c>
      <c r="Z193" s="8">
        <f>IF((U193&gt;U192), (EXP(-LN(2)/inputs!$C$51)*Z192+$Z$3), (EXP(-LN(2)/inputs!$C$51)*Z192))</f>
        <v>5.654922929786944E-11</v>
      </c>
      <c r="AA193" s="8">
        <f>IF((U193&gt;U192), (EXP(-LN(2)/inputs!$C$51)*AA192+$AA$3), (EXP(-LN(2)/inputs!$C$51)*AA192))</f>
        <v>5.2509998633735905E-10</v>
      </c>
      <c r="AB193" s="7">
        <f>(((0.621*15^0.564)/0.2))*W193/15+AB192*inputs!$C$53</f>
        <v>7.3890046137458556E-10</v>
      </c>
      <c r="AC193" s="7">
        <f>(((0.621*1000^0.564)/0.2))*W193/1000+AC192*inputs!$C$53</f>
        <v>1.1840273291620975E-10</v>
      </c>
      <c r="AD193" s="7">
        <f>(((0.648*20^0.651)/0.2))*AA193/20+AD192*inputs!$C$54</f>
        <v>7.9094873937071533E-10</v>
      </c>
      <c r="AE193" s="7">
        <f>(((0.013*2^0.773)/0.2))*AA193/2+AE192*inputs!$C$54</f>
        <v>3.8569352152827198E-11</v>
      </c>
    </row>
    <row r="194" spans="1:31" x14ac:dyDescent="0.3">
      <c r="A194" s="7">
        <f>IF(A193&lt;(inputs!$C$9-1),(1+A193),0)</f>
        <v>0</v>
      </c>
      <c r="B194" s="7">
        <f>IF(inputs!$C$8&gt;B193,IF(A193=(inputs!$C$9-1),(B193+1),B193), B193)</f>
        <v>1</v>
      </c>
      <c r="C194" s="7">
        <f t="shared" si="5"/>
        <v>191</v>
      </c>
      <c r="D194" s="8">
        <f>IF((B194&gt;B193), (EXP(-LN(2)/inputs!$C$51)*D193+$D$3), (EXP(-LN(2)/inputs!$C$51)*D193))</f>
        <v>1.7011467495196747E-9</v>
      </c>
      <c r="E194" s="8">
        <f>IF((B194&gt;B193), (EXP(-LN(2)/inputs!$C$51)*E193+$E$3), (EXP(-LN(2)/inputs!$C$51)*E193))</f>
        <v>7.796922601965175E-10</v>
      </c>
      <c r="F194" s="8">
        <f>IF((B194&gt;B193), (EXP(-LN(2)/inputs!$C$51)*F193+$F$3), (EXP(-LN(2)/inputs!$C$51)*F193))</f>
        <v>9.5689504660481789E-10</v>
      </c>
      <c r="G194" s="8">
        <f>IF((B194&gt;B193), (EXP(-LN(2)/inputs!$C$51)*G193+$G$3), (EXP(-LN(2)/inputs!$C$51)*G193))</f>
        <v>1.0632167184497967E-10</v>
      </c>
      <c r="H194" s="8">
        <f>IF((B194&gt;B193), (EXP(-LN(2)/inputs!$C$51)*H193+$H$3), (EXP(-LN(2)/inputs!$C$51)*H193))</f>
        <v>6.6628247689520619E-10</v>
      </c>
      <c r="I194" s="7">
        <f>O194*(10^inputs!$C$55)*0.01/1</f>
        <v>0.19302638952433895</v>
      </c>
      <c r="J194" s="7">
        <f>(((0.621*15^0.564)/0.2))*D194/15+J193*inputs!$C$53</f>
        <v>1.830543869547379E-9</v>
      </c>
      <c r="K194" s="7">
        <f>(((0.621*1000^0.564)/0.2))*D194/1000+K193*inputs!$C$53</f>
        <v>2.9332962720610134E-10</v>
      </c>
      <c r="L194" s="7">
        <f>(((0.648*20^0.651)/0.2))*H194/20+L193*inputs!$C$54</f>
        <v>1.0036094055932512E-9</v>
      </c>
      <c r="M194" s="7">
        <f>(((0.013*2^0.773)/0.2))*H194/2+M193*inputs!$C$54</f>
        <v>4.8939409928148439E-11</v>
      </c>
      <c r="N194" s="7">
        <f>O194*0.015*inputs!$C$56</f>
        <v>2.8359359733973126E-2</v>
      </c>
      <c r="O194" s="7">
        <f>IF((B194&gt;B193), (EXP(-LN(2)/inputs!$C$52)*O193+$O$3), (EXP(-LN(2)/inputs!$C$52)*O193))</f>
        <v>3.059262107224717E-3</v>
      </c>
      <c r="P194" s="3">
        <f>IF((B194&gt;B193), (EXP(-LN(2)/inputs!$C$52)*P193+$P$3), (EXP(-LN(2)/inputs!$C$52)*P193))</f>
        <v>2.9561800300293502E-3</v>
      </c>
      <c r="Q194" s="19">
        <f>IF((F194*0.62*1/(0.012*(10^inputs!$C$55)))&gt;inputs!$C$57, inputs!$C$57, (F194*0.62*1/(0.012*(10^inputs!$C$55))))</f>
        <v>7.8356449671959608E-12</v>
      </c>
      <c r="R194" s="3">
        <f>IF((B194&gt;B193), (EXP(-LN(2)/inputs!$C$51)*R193+$R$3), (EXP(-LN(2)/inputs!$C$51)*R193))</f>
        <v>1.820568321964932E-17</v>
      </c>
      <c r="T194" s="7">
        <f>IF(T193&lt;(inputs!$C$9-1),(1+T193),0)</f>
        <v>0</v>
      </c>
      <c r="U194" s="7">
        <f>IF(inputs!$C$8&gt;U193,IF(T193=(inputs!$C$9-1),(U193+1),U193), U193)</f>
        <v>1</v>
      </c>
      <c r="V194" s="7">
        <f t="shared" si="4"/>
        <v>191</v>
      </c>
      <c r="W194" s="8">
        <f>IF((U194&gt;U193), (EXP(-LN(2)/inputs!$C$51)*W193+$W$3), (EXP(-LN(2)/inputs!$C$51)*W193))</f>
        <v>6.0248947378821886E-10</v>
      </c>
      <c r="X194" s="8">
        <f>IF((U194&gt;U193), (EXP(-LN(2)/inputs!$C$51)*X193+$X$3), (EXP(-LN(2)/inputs!$C$51)*X193))</f>
        <v>2.551720124279511E-10</v>
      </c>
      <c r="Y194" s="8">
        <f>IF((U194&gt;U193), (EXP(-LN(2)/inputs!$C$51)*Y193+$Y$3), (EXP(-LN(2)/inputs!$C$51)*Y193))</f>
        <v>3.1896501553493952E-10</v>
      </c>
      <c r="Z194" s="8">
        <f>IF((U194&gt;U193), (EXP(-LN(2)/inputs!$C$51)*Z193+$Z$3), (EXP(-LN(2)/inputs!$C$51)*Z193))</f>
        <v>4.9616780194323836E-11</v>
      </c>
      <c r="AA194" s="8">
        <f>IF((U194&gt;U193), (EXP(-LN(2)/inputs!$C$51)*AA193+$AA$3), (EXP(-LN(2)/inputs!$C$51)*AA193))</f>
        <v>4.6072724466157844E-10</v>
      </c>
      <c r="AB194" s="7">
        <f>(((0.621*15^0.564)/0.2))*W194/15+AB193*inputs!$C$53</f>
        <v>6.483176204646976E-10</v>
      </c>
      <c r="AC194" s="7">
        <f>(((0.621*1000^0.564)/0.2))*W194/1000+AC193*inputs!$C$53</f>
        <v>1.0388757630216102E-10</v>
      </c>
      <c r="AD194" s="7">
        <f>(((0.648*20^0.651)/0.2))*AA194/20+AD193*inputs!$C$54</f>
        <v>6.939852272719284E-10</v>
      </c>
      <c r="AE194" s="7">
        <f>(((0.013*2^0.773)/0.2))*AA194/2+AE193*inputs!$C$54</f>
        <v>3.3841081333294107E-11</v>
      </c>
    </row>
    <row r="195" spans="1:31" x14ac:dyDescent="0.3">
      <c r="A195" s="7">
        <f>IF(A194&lt;(inputs!$C$9-1),(1+A194),0)</f>
        <v>0</v>
      </c>
      <c r="B195" s="7">
        <f>IF(inputs!$C$8&gt;B194,IF(A194=(inputs!$C$9-1),(B194+1),B194), B194)</f>
        <v>1</v>
      </c>
      <c r="C195" s="7">
        <f t="shared" si="5"/>
        <v>192</v>
      </c>
      <c r="D195" s="8">
        <f>IF((B195&gt;B194), (EXP(-LN(2)/inputs!$C$51)*D194+$D$3), (EXP(-LN(2)/inputs!$C$51)*D194))</f>
        <v>1.4926007904476648E-9</v>
      </c>
      <c r="E195" s="8">
        <f>IF((B195&gt;B194), (EXP(-LN(2)/inputs!$C$51)*E194+$E$3), (EXP(-LN(2)/inputs!$C$51)*E194))</f>
        <v>6.8410869562184627E-10</v>
      </c>
      <c r="F195" s="8">
        <f>IF((B195&gt;B194), (EXP(-LN(2)/inputs!$C$51)*F194+$F$3), (EXP(-LN(2)/inputs!$C$51)*F194))</f>
        <v>8.3958794462681223E-10</v>
      </c>
      <c r="G195" s="8">
        <f>IF((B195&gt;B194), (EXP(-LN(2)/inputs!$C$51)*G194+$G$3), (EXP(-LN(2)/inputs!$C$51)*G194))</f>
        <v>9.3287549402979048E-11</v>
      </c>
      <c r="H195" s="8">
        <f>IF((B195&gt;B194), (EXP(-LN(2)/inputs!$C$51)*H194+$H$3), (EXP(-LN(2)/inputs!$C$51)*H194))</f>
        <v>5.8460197625866897E-10</v>
      </c>
      <c r="I195" s="7">
        <f>O195*(10^inputs!$C$55)*0.01/1</f>
        <v>0.18913106324701243</v>
      </c>
      <c r="J195" s="7">
        <f>(((0.621*15^0.564)/0.2))*D195/15+J194*inputs!$C$53</f>
        <v>1.6061349365697064E-9</v>
      </c>
      <c r="K195" s="7">
        <f>(((0.621*1000^0.564)/0.2))*D195/1000+K194*inputs!$C$53</f>
        <v>2.5736993798634187E-10</v>
      </c>
      <c r="L195" s="7">
        <f>(((0.648*20^0.651)/0.2))*H195/20+L194*inputs!$C$54</f>
        <v>8.8057552501696878E-10</v>
      </c>
      <c r="M195" s="7">
        <f>(((0.013*2^0.773)/0.2))*H195/2+M194*inputs!$C$54</f>
        <v>4.2939859223445451E-11</v>
      </c>
      <c r="N195" s="7">
        <f>O195*0.015*inputs!$C$56</f>
        <v>2.7787059959563407E-2</v>
      </c>
      <c r="O195" s="7">
        <f>IF((B195&gt;B194), (EXP(-LN(2)/inputs!$C$52)*O194+$O$3), (EXP(-LN(2)/inputs!$C$52)*O194))</f>
        <v>2.9975253462312199E-3</v>
      </c>
      <c r="P195" s="3">
        <f>IF((B195&gt;B194), (EXP(-LN(2)/inputs!$C$52)*P194+$P$3), (EXP(-LN(2)/inputs!$C$52)*P194))</f>
        <v>2.8965234940507329E-3</v>
      </c>
      <c r="Q195" s="19">
        <f>IF((F195*0.62*1/(0.012*(10^inputs!$C$55)))&gt;inputs!$C$57, inputs!$C$57, (F195*0.62*1/(0.012*(10^inputs!$C$55))))</f>
        <v>6.8750622925425E-12</v>
      </c>
      <c r="R195" s="3">
        <f>IF((B195&gt;B194), (EXP(-LN(2)/inputs!$C$51)*R194+$R$3), (EXP(-LN(2)/inputs!$C$51)*R194))</f>
        <v>1.5973823053161635E-17</v>
      </c>
      <c r="T195" s="7">
        <f>IF(T194&lt;(inputs!$C$9-1),(1+T194),0)</f>
        <v>0</v>
      </c>
      <c r="U195" s="7">
        <f>IF(inputs!$C$8&gt;U194,IF(T194=(inputs!$C$9-1),(U194+1),U194), U194)</f>
        <v>1</v>
      </c>
      <c r="V195" s="7">
        <f t="shared" si="4"/>
        <v>192</v>
      </c>
      <c r="W195" s="8">
        <f>IF((U195&gt;U194), (EXP(-LN(2)/inputs!$C$51)*W194+$W$3), (EXP(-LN(2)/inputs!$C$51)*W194))</f>
        <v>5.2862944661688195E-10</v>
      </c>
      <c r="X195" s="8">
        <f>IF((U195&gt;U194), (EXP(-LN(2)/inputs!$C$51)*X194+$X$3), (EXP(-LN(2)/inputs!$C$51)*X194))</f>
        <v>2.2389011856714963E-10</v>
      </c>
      <c r="Y195" s="8">
        <f>IF((U195&gt;U194), (EXP(-LN(2)/inputs!$C$51)*Y194+$Y$3), (EXP(-LN(2)/inputs!$C$51)*Y194))</f>
        <v>2.7986264820893758E-10</v>
      </c>
      <c r="Z195" s="8">
        <f>IF((U195&gt;U194), (EXP(-LN(2)/inputs!$C$51)*Z194+$Z$3), (EXP(-LN(2)/inputs!$C$51)*Z194))</f>
        <v>4.3534189721390214E-11</v>
      </c>
      <c r="AA195" s="8">
        <f>IF((U195&gt;U194), (EXP(-LN(2)/inputs!$C$51)*AA194+$AA$3), (EXP(-LN(2)/inputs!$C$51)*AA194))</f>
        <v>4.042460474129091E-10</v>
      </c>
      <c r="AB195" s="7">
        <f>(((0.621*15^0.564)/0.2))*W195/15+AB194*inputs!$C$53</f>
        <v>5.6883945670177173E-10</v>
      </c>
      <c r="AC195" s="7">
        <f>(((0.621*1000^0.564)/0.2))*W195/1000+AC194*inputs!$C$53</f>
        <v>9.1151853036829525E-11</v>
      </c>
      <c r="AD195" s="7">
        <f>(((0.648*20^0.651)/0.2))*AA195/20+AD194*inputs!$C$54</f>
        <v>6.0890860772449927E-10</v>
      </c>
      <c r="AE195" s="7">
        <f>(((0.013*2^0.773)/0.2))*AA195/2+AE194*inputs!$C$54</f>
        <v>2.9692455845999493E-11</v>
      </c>
    </row>
    <row r="196" spans="1:31" x14ac:dyDescent="0.3">
      <c r="A196" s="7">
        <f>IF(A195&lt;(inputs!$C$9-1),(1+A195),0)</f>
        <v>0</v>
      </c>
      <c r="B196" s="7">
        <f>IF(inputs!$C$8&gt;B195,IF(A195=(inputs!$C$9-1),(B195+1),B195), B195)</f>
        <v>1</v>
      </c>
      <c r="C196" s="7">
        <f t="shared" si="5"/>
        <v>193</v>
      </c>
      <c r="D196" s="8">
        <f>IF((B196&gt;B195), (EXP(-LN(2)/inputs!$C$51)*D195+$D$3), (EXP(-LN(2)/inputs!$C$51)*D195))</f>
        <v>1.309620772149162E-9</v>
      </c>
      <c r="E196" s="8">
        <f>IF((B196&gt;B195), (EXP(-LN(2)/inputs!$C$51)*E195+$E$3), (EXP(-LN(2)/inputs!$C$51)*E195))</f>
        <v>6.0024285390169924E-10</v>
      </c>
      <c r="F196" s="8">
        <f>IF((B196&gt;B195), (EXP(-LN(2)/inputs!$C$51)*F195+$F$3), (EXP(-LN(2)/inputs!$C$51)*F195))</f>
        <v>7.3666168433390441E-10</v>
      </c>
      <c r="G196" s="8">
        <f>IF((B196&gt;B195), (EXP(-LN(2)/inputs!$C$51)*G195+$G$3), (EXP(-LN(2)/inputs!$C$51)*G195))</f>
        <v>8.1851298259322628E-11</v>
      </c>
      <c r="H196" s="8">
        <f>IF((B196&gt;B195), (EXP(-LN(2)/inputs!$C$51)*H195+$H$3), (EXP(-LN(2)/inputs!$C$51)*H195))</f>
        <v>5.1293480242508871E-10</v>
      </c>
      <c r="I196" s="7">
        <f>O196*(10^inputs!$C$55)*0.01/1</f>
        <v>0.1853143457383844</v>
      </c>
      <c r="J196" s="7">
        <f>(((0.621*15^0.564)/0.2))*D196/15+J195*inputs!$C$53</f>
        <v>1.4092366085209555E-9</v>
      </c>
      <c r="K196" s="7">
        <f>(((0.621*1000^0.564)/0.2))*D196/1000+K195*inputs!$C$53</f>
        <v>2.2581859735754527E-10</v>
      </c>
      <c r="L196" s="7">
        <f>(((0.648*20^0.651)/0.2))*H196/20+L195*inputs!$C$54</f>
        <v>7.7262453992302901E-10</v>
      </c>
      <c r="M196" s="7">
        <f>(((0.013*2^0.773)/0.2))*H196/2+M195*inputs!$C$54</f>
        <v>3.7675801829984838E-11</v>
      </c>
      <c r="N196" s="7">
        <f>O196*0.015*inputs!$C$56</f>
        <v>2.7226309353924134E-2</v>
      </c>
      <c r="O196" s="7">
        <f>IF((B196&gt;B195), (EXP(-LN(2)/inputs!$C$52)*O195+$O$3), (EXP(-LN(2)/inputs!$C$52)*O195))</f>
        <v>2.9370344502615033E-3</v>
      </c>
      <c r="P196" s="3">
        <f>IF((B196&gt;B195), (EXP(-LN(2)/inputs!$C$52)*P195+$P$3), (EXP(-LN(2)/inputs!$C$52)*P195))</f>
        <v>2.838070843575981E-3</v>
      </c>
      <c r="Q196" s="19">
        <f>IF((F196*0.62*1/(0.012*(10^inputs!$C$55)))&gt;inputs!$C$57, inputs!$C$57, (F196*0.62*1/(0.012*(10^inputs!$C$55))))</f>
        <v>6.0322387913466648E-12</v>
      </c>
      <c r="R196" s="3">
        <f>IF((B196&gt;B195), (EXP(-LN(2)/inputs!$C$51)*R195+$R$3), (EXP(-LN(2)/inputs!$C$51)*R195))</f>
        <v>1.4015569745733118E-17</v>
      </c>
      <c r="T196" s="7">
        <f>IF(T195&lt;(inputs!$C$9-1),(1+T195),0)</f>
        <v>0</v>
      </c>
      <c r="U196" s="7">
        <f>IF(inputs!$C$8&gt;U195,IF(T195=(inputs!$C$9-1),(U195+1),U195), U195)</f>
        <v>1</v>
      </c>
      <c r="V196" s="7">
        <f t="shared" ref="V196:V259" si="6">V195+1</f>
        <v>193</v>
      </c>
      <c r="W196" s="8">
        <f>IF((U196&gt;U195), (EXP(-LN(2)/inputs!$C$51)*W195+$W$3), (EXP(-LN(2)/inputs!$C$51)*W195))</f>
        <v>4.6382402346949552E-10</v>
      </c>
      <c r="X196" s="8">
        <f>IF((U196&gt;U195), (EXP(-LN(2)/inputs!$C$51)*X195+$X$3), (EXP(-LN(2)/inputs!$C$51)*X195))</f>
        <v>1.9644311582237424E-10</v>
      </c>
      <c r="Y196" s="8">
        <f>IF((U196&gt;U195), (EXP(-LN(2)/inputs!$C$51)*Y195+$Y$3), (EXP(-LN(2)/inputs!$C$51)*Y195))</f>
        <v>2.4555389477796826E-10</v>
      </c>
      <c r="Z196" s="8">
        <f>IF((U196&gt;U195), (EXP(-LN(2)/inputs!$C$51)*Z195+$Z$3), (EXP(-LN(2)/inputs!$C$51)*Z195))</f>
        <v>3.8197272521017219E-11</v>
      </c>
      <c r="AA196" s="8">
        <f>IF((U196&gt;U195), (EXP(-LN(2)/inputs!$C$51)*AA195+$AA$3), (EXP(-LN(2)/inputs!$C$51)*AA195))</f>
        <v>3.546889591237313E-10</v>
      </c>
      <c r="AB196" s="7">
        <f>(((0.621*15^0.564)/0.2))*W196/15+AB195*inputs!$C$53</f>
        <v>4.9910463218450574E-10</v>
      </c>
      <c r="AC196" s="7">
        <f>(((0.621*1000^0.564)/0.2))*W196/1000+AC195*inputs!$C$53</f>
        <v>7.997741989746405E-11</v>
      </c>
      <c r="AD196" s="7">
        <f>(((0.648*20^0.651)/0.2))*AA196/20+AD195*inputs!$C$54</f>
        <v>5.3426164994677505E-10</v>
      </c>
      <c r="AE196" s="7">
        <f>(((0.013*2^0.773)/0.2))*AA196/2+AE195*inputs!$C$54</f>
        <v>2.6052416159032053E-11</v>
      </c>
    </row>
    <row r="197" spans="1:31" x14ac:dyDescent="0.3">
      <c r="A197" s="7">
        <f>IF(A196&lt;(inputs!$C$9-1),(1+A196),0)</f>
        <v>0</v>
      </c>
      <c r="B197" s="7">
        <f>IF(inputs!$C$8&gt;B196,IF(A196=(inputs!$C$9-1),(B196+1),B196), B196)</f>
        <v>1</v>
      </c>
      <c r="C197" s="7">
        <f t="shared" ref="C197:C260" si="7">C196+1</f>
        <v>194</v>
      </c>
      <c r="D197" s="8">
        <f>IF((B197&gt;B196), (EXP(-LN(2)/inputs!$C$51)*D196+$D$3), (EXP(-LN(2)/inputs!$C$51)*D196))</f>
        <v>1.1490725301908545E-9</v>
      </c>
      <c r="E197" s="8">
        <f>IF((B197&gt;B196), (EXP(-LN(2)/inputs!$C$51)*E196+$E$3), (EXP(-LN(2)/inputs!$C$51)*E196))</f>
        <v>5.2665824300414156E-10</v>
      </c>
      <c r="F197" s="8">
        <f>IF((B197&gt;B196), (EXP(-LN(2)/inputs!$C$51)*F196+$F$3), (EXP(-LN(2)/inputs!$C$51)*F196))</f>
        <v>6.4635329823235635E-10</v>
      </c>
      <c r="G197" s="8">
        <f>IF((B197&gt;B196), (EXP(-LN(2)/inputs!$C$51)*G196+$G$3), (EXP(-LN(2)/inputs!$C$51)*G196))</f>
        <v>7.1817033136928406E-11</v>
      </c>
      <c r="H197" s="8">
        <f>IF((B197&gt;B196), (EXP(-LN(2)/inputs!$C$51)*H196+$H$3), (EXP(-LN(2)/inputs!$C$51)*H196))</f>
        <v>4.5005340765808486E-10</v>
      </c>
      <c r="I197" s="7">
        <f>O197*(10^inputs!$C$55)*0.01/1</f>
        <v>0.18157465065161865</v>
      </c>
      <c r="J197" s="7">
        <f>(((0.621*15^0.564)/0.2))*D197/15+J196*inputs!$C$53</f>
        <v>1.2364763218693951E-9</v>
      </c>
      <c r="K197" s="7">
        <f>(((0.621*1000^0.564)/0.2))*D197/1000+K196*inputs!$C$53</f>
        <v>1.9813517970088375E-10</v>
      </c>
      <c r="L197" s="7">
        <f>(((0.648*20^0.651)/0.2))*H197/20+L196*inputs!$C$54</f>
        <v>6.7790741706086947E-10</v>
      </c>
      <c r="M197" s="7">
        <f>(((0.013*2^0.773)/0.2))*H197/2+M196*inputs!$C$54</f>
        <v>3.3057072594156321E-11</v>
      </c>
      <c r="N197" s="7">
        <f>O197*0.015*inputs!$C$56</f>
        <v>2.6676874851614338E-2</v>
      </c>
      <c r="O197" s="7">
        <f>IF((B197&gt;B196), (EXP(-LN(2)/inputs!$C$52)*O196+$O$3), (EXP(-LN(2)/inputs!$C$52)*O196))</f>
        <v>2.8777642774125501E-3</v>
      </c>
      <c r="P197" s="3">
        <f>IF((B197&gt;B196), (EXP(-LN(2)/inputs!$C$52)*P196+$P$3), (EXP(-LN(2)/inputs!$C$52)*P196))</f>
        <v>2.7807977838604759E-3</v>
      </c>
      <c r="Q197" s="19">
        <f>IF((F197*0.62*1/(0.012*(10^inputs!$C$55)))&gt;inputs!$C$57, inputs!$C$57, (F197*0.62*1/(0.012*(10^inputs!$C$55))))</f>
        <v>5.2927382018484499E-12</v>
      </c>
      <c r="R197" s="3">
        <f>IF((B197&gt;B196), (EXP(-LN(2)/inputs!$C$51)*R196+$R$3), (EXP(-LN(2)/inputs!$C$51)*R196))</f>
        <v>1.2297381449873369E-17</v>
      </c>
      <c r="T197" s="7">
        <f>IF(T196&lt;(inputs!$C$9-1),(1+T196),0)</f>
        <v>0</v>
      </c>
      <c r="U197" s="7">
        <f>IF(inputs!$C$8&gt;U196,IF(T196=(inputs!$C$9-1),(U196+1),U196), U196)</f>
        <v>1</v>
      </c>
      <c r="V197" s="7">
        <f t="shared" si="6"/>
        <v>194</v>
      </c>
      <c r="W197" s="8">
        <f>IF((U197&gt;U196), (EXP(-LN(2)/inputs!$C$51)*W196+$W$3), (EXP(-LN(2)/inputs!$C$51)*W196))</f>
        <v>4.0696318777592816E-10</v>
      </c>
      <c r="X197" s="8">
        <f>IF((U197&gt;U196), (EXP(-LN(2)/inputs!$C$51)*X196+$X$3), (EXP(-LN(2)/inputs!$C$51)*X196))</f>
        <v>1.7236087952862811E-10</v>
      </c>
      <c r="Y197" s="8">
        <f>IF((U197&gt;U196), (EXP(-LN(2)/inputs!$C$51)*Y196+$Y$3), (EXP(-LN(2)/inputs!$C$51)*Y196))</f>
        <v>2.1545109941078553E-10</v>
      </c>
      <c r="Z197" s="8">
        <f>IF((U197&gt;U196), (EXP(-LN(2)/inputs!$C$51)*Z196+$Z$3), (EXP(-LN(2)/inputs!$C$51)*Z196))</f>
        <v>3.3514615463899913E-11</v>
      </c>
      <c r="AA197" s="8">
        <f>IF((U197&gt;U196), (EXP(-LN(2)/inputs!$C$51)*AA196+$AA$3), (EXP(-LN(2)/inputs!$C$51)*AA196))</f>
        <v>3.1120714359335631E-10</v>
      </c>
      <c r="AB197" s="7">
        <f>(((0.621*15^0.564)/0.2))*W197/15+AB196*inputs!$C$53</f>
        <v>4.3791869732874467E-10</v>
      </c>
      <c r="AC197" s="7">
        <f>(((0.621*1000^0.564)/0.2))*W197/1000+AC196*inputs!$C$53</f>
        <v>7.0172876144063076E-11</v>
      </c>
      <c r="AD197" s="7">
        <f>(((0.648*20^0.651)/0.2))*AA197/20+AD196*inputs!$C$54</f>
        <v>4.687657671165583E-10</v>
      </c>
      <c r="AE197" s="7">
        <f>(((0.013*2^0.773)/0.2))*AA197/2+AE196*inputs!$C$54</f>
        <v>2.2858614027874035E-11</v>
      </c>
    </row>
    <row r="198" spans="1:31" x14ac:dyDescent="0.3">
      <c r="A198" s="7">
        <f>IF(A197&lt;(inputs!$C$9-1),(1+A197),0)</f>
        <v>0</v>
      </c>
      <c r="B198" s="7">
        <f>IF(inputs!$C$8&gt;B197,IF(A197=(inputs!$C$9-1),(B197+1),B197), B197)</f>
        <v>1</v>
      </c>
      <c r="C198" s="7">
        <f t="shared" si="7"/>
        <v>195</v>
      </c>
      <c r="D198" s="8">
        <f>IF((B198&gt;B197), (EXP(-LN(2)/inputs!$C$51)*D197+$D$3), (EXP(-LN(2)/inputs!$C$51)*D197))</f>
        <v>1.0082061217404286E-9</v>
      </c>
      <c r="E198" s="8">
        <f>IF((B198&gt;B197), (EXP(-LN(2)/inputs!$C$51)*E197+$E$3), (EXP(-LN(2)/inputs!$C$51)*E197))</f>
        <v>4.6209447246436301E-10</v>
      </c>
      <c r="F198" s="8">
        <f>IF((B198&gt;B197), (EXP(-LN(2)/inputs!$C$51)*F197+$F$3), (EXP(-LN(2)/inputs!$C$51)*F197))</f>
        <v>5.671159434789917E-10</v>
      </c>
      <c r="G198" s="8">
        <f>IF((B198&gt;B197), (EXP(-LN(2)/inputs!$C$51)*G197+$G$3), (EXP(-LN(2)/inputs!$C$51)*G197))</f>
        <v>6.3012882608776788E-11</v>
      </c>
      <c r="H198" s="8">
        <f>IF((B198&gt;B197), (EXP(-LN(2)/inputs!$C$51)*H197+$H$3), (EXP(-LN(2)/inputs!$C$51)*H197))</f>
        <v>3.9488073101500136E-10</v>
      </c>
      <c r="I198" s="7">
        <f>O198*(10^inputs!$C$55)*0.01/1</f>
        <v>0.17791042365279963</v>
      </c>
      <c r="J198" s="7">
        <f>(((0.621*15^0.564)/0.2))*D198/15+J197*inputs!$C$53</f>
        <v>1.0848949603631682E-9</v>
      </c>
      <c r="K198" s="7">
        <f>(((0.621*1000^0.564)/0.2))*D198/1000+K197*inputs!$C$53</f>
        <v>1.7384551092992511E-10</v>
      </c>
      <c r="L198" s="7">
        <f>(((0.648*20^0.651)/0.2))*H198/20+L197*inputs!$C$54</f>
        <v>5.9480179875198113E-10</v>
      </c>
      <c r="M198" s="7">
        <f>(((0.013*2^0.773)/0.2))*H198/2+M197*inputs!$C$54</f>
        <v>2.9004559834626367E-11</v>
      </c>
      <c r="N198" s="7">
        <f>O198*0.015*inputs!$C$56</f>
        <v>2.6138528090518535E-2</v>
      </c>
      <c r="O198" s="7">
        <f>IF((B198&gt;B197), (EXP(-LN(2)/inputs!$C$52)*O197+$O$3), (EXP(-LN(2)/inputs!$C$52)*O197))</f>
        <v>2.8196901931519455E-3</v>
      </c>
      <c r="P198" s="3">
        <f>IF((B198&gt;B197), (EXP(-LN(2)/inputs!$C$52)*P197+$P$3), (EXP(-LN(2)/inputs!$C$52)*P197))</f>
        <v>2.7246805104343091E-3</v>
      </c>
      <c r="Q198" s="19">
        <f>IF((F198*0.62*1/(0.012*(10^inputs!$C$55)))&gt;inputs!$C$57, inputs!$C$57, (F198*0.62*1/(0.012*(10^inputs!$C$55))))</f>
        <v>4.6438940238060749E-12</v>
      </c>
      <c r="R198" s="3">
        <f>IF((B198&gt;B197), (EXP(-LN(2)/inputs!$C$51)*R197+$R$3), (EXP(-LN(2)/inputs!$C$51)*R197))</f>
        <v>1.078982826008401E-17</v>
      </c>
      <c r="T198" s="7">
        <f>IF(T197&lt;(inputs!$C$9-1),(1+T197),0)</f>
        <v>0</v>
      </c>
      <c r="U198" s="7">
        <f>IF(inputs!$C$8&gt;U197,IF(T197=(inputs!$C$9-1),(U197+1),U197), U197)</f>
        <v>1</v>
      </c>
      <c r="V198" s="7">
        <f t="shared" si="6"/>
        <v>195</v>
      </c>
      <c r="W198" s="8">
        <f>IF((U198&gt;U197), (EXP(-LN(2)/inputs!$C$51)*W197+$W$3), (EXP(-LN(2)/inputs!$C$51)*W197))</f>
        <v>3.5707300144973557E-10</v>
      </c>
      <c r="X198" s="8">
        <f>IF((U198&gt;U197), (EXP(-LN(2)/inputs!$C$51)*X197+$X$3), (EXP(-LN(2)/inputs!$C$51)*X197))</f>
        <v>1.5123091826106423E-10</v>
      </c>
      <c r="Y198" s="8">
        <f>IF((U198&gt;U197), (EXP(-LN(2)/inputs!$C$51)*Y197+$Y$3), (EXP(-LN(2)/inputs!$C$51)*Y197))</f>
        <v>1.8903864782633063E-10</v>
      </c>
      <c r="Z198" s="8">
        <f>IF((U198&gt;U197), (EXP(-LN(2)/inputs!$C$51)*Z197+$Z$3), (EXP(-LN(2)/inputs!$C$51)*Z197))</f>
        <v>2.9406011884095824E-11</v>
      </c>
      <c r="AA198" s="8">
        <f>IF((U198&gt;U197), (EXP(-LN(2)/inputs!$C$51)*AA197+$AA$3), (EXP(-LN(2)/inputs!$C$51)*AA197))</f>
        <v>2.7305582463803264E-10</v>
      </c>
      <c r="AB198" s="7">
        <f>(((0.621*15^0.564)/0.2))*W198/15+AB197*inputs!$C$53</f>
        <v>3.8423363179528929E-10</v>
      </c>
      <c r="AC198" s="7">
        <f>(((0.621*1000^0.564)/0.2))*W198/1000+AC197*inputs!$C$53</f>
        <v>6.1570285121015222E-11</v>
      </c>
      <c r="AD198" s="7">
        <f>(((0.648*20^0.651)/0.2))*AA198/20+AD197*inputs!$C$54</f>
        <v>4.1129911615828452E-10</v>
      </c>
      <c r="AE198" s="7">
        <f>(((0.013*2^0.773)/0.2))*AA198/2+AE197*inputs!$C$54</f>
        <v>2.0056344566496942E-11</v>
      </c>
    </row>
    <row r="199" spans="1:31" x14ac:dyDescent="0.3">
      <c r="A199" s="7">
        <f>IF(A198&lt;(inputs!$C$9-1),(1+A198),0)</f>
        <v>0</v>
      </c>
      <c r="B199" s="7">
        <f>IF(inputs!$C$8&gt;B198,IF(A198=(inputs!$C$9-1),(B198+1),B198), B198)</f>
        <v>1</v>
      </c>
      <c r="C199" s="7">
        <f t="shared" si="7"/>
        <v>196</v>
      </c>
      <c r="D199" s="8">
        <f>IF((B199&gt;B198), (EXP(-LN(2)/inputs!$C$51)*D198+$D$3), (EXP(-LN(2)/inputs!$C$51)*D198))</f>
        <v>8.8460872330317072E-10</v>
      </c>
      <c r="E199" s="8">
        <f>IF((B199&gt;B198), (EXP(-LN(2)/inputs!$C$51)*E198+$E$3), (EXP(-LN(2)/inputs!$C$51)*E198))</f>
        <v>4.0544566484728654E-10</v>
      </c>
      <c r="F199" s="8">
        <f>IF((B199&gt;B198), (EXP(-LN(2)/inputs!$C$51)*F198+$F$3), (EXP(-LN(2)/inputs!$C$51)*F198))</f>
        <v>4.9759240685803408E-10</v>
      </c>
      <c r="G199" s="8">
        <f>IF((B199&gt;B198), (EXP(-LN(2)/inputs!$C$51)*G198+$G$3), (EXP(-LN(2)/inputs!$C$51)*G198))</f>
        <v>5.528804520644817E-11</v>
      </c>
      <c r="H199" s="8">
        <f>IF((B199&gt;B198), (EXP(-LN(2)/inputs!$C$51)*H198+$H$3), (EXP(-LN(2)/inputs!$C$51)*H198))</f>
        <v>3.4647174996040869E-10</v>
      </c>
      <c r="I199" s="7">
        <f>O199*(10^inputs!$C$55)*0.01/1</f>
        <v>0.17432014177490301</v>
      </c>
      <c r="J199" s="7">
        <f>(((0.621*15^0.564)/0.2))*D199/15+J198*inputs!$C$53</f>
        <v>9.5189616995004852E-10</v>
      </c>
      <c r="K199" s="7">
        <f>(((0.621*1000^0.564)/0.2))*D199/1000+K198*inputs!$C$53</f>
        <v>1.5253354662262387E-10</v>
      </c>
      <c r="L199" s="7">
        <f>(((0.648*20^0.651)/0.2))*H199/20+L198*inputs!$C$54</f>
        <v>5.2188421441452603E-10</v>
      </c>
      <c r="M199" s="7">
        <f>(((0.013*2^0.773)/0.2))*H199/2+M198*inputs!$C$54</f>
        <v>2.5448850281713575E-11</v>
      </c>
      <c r="N199" s="7">
        <f>O199*0.015*inputs!$C$56</f>
        <v>2.5611045316932299E-2</v>
      </c>
      <c r="O199" s="7">
        <f>IF((B199&gt;B198), (EXP(-LN(2)/inputs!$C$52)*O198+$O$3), (EXP(-LN(2)/inputs!$C$52)*O198))</f>
        <v>2.7627880600789969E-3</v>
      </c>
      <c r="P199" s="3">
        <f>IF((B199&gt;B198), (EXP(-LN(2)/inputs!$C$52)*P198+$P$3), (EXP(-LN(2)/inputs!$C$52)*P198))</f>
        <v>2.6696956992084014E-3</v>
      </c>
      <c r="Q199" s="19">
        <f>IF((F199*0.62*1/(0.012*(10^inputs!$C$55)))&gt;inputs!$C$57, inputs!$C$57, (F199*0.62*1/(0.012*(10^inputs!$C$55))))</f>
        <v>4.0745925609564638E-12</v>
      </c>
      <c r="R199" s="3">
        <f>IF((B199&gt;B198), (EXP(-LN(2)/inputs!$C$51)*R198+$R$3), (EXP(-LN(2)/inputs!$C$51)*R198))</f>
        <v>9.4670881241393359E-18</v>
      </c>
      <c r="T199" s="7">
        <f>IF(T198&lt;(inputs!$C$9-1),(1+T198),0)</f>
        <v>0</v>
      </c>
      <c r="U199" s="7">
        <f>IF(inputs!$C$8&gt;U198,IF(T198=(inputs!$C$9-1),(U198+1),U198), U198)</f>
        <v>1</v>
      </c>
      <c r="V199" s="7">
        <f t="shared" si="6"/>
        <v>196</v>
      </c>
      <c r="W199" s="8">
        <f>IF((U199&gt;U198), (EXP(-LN(2)/inputs!$C$51)*W198+$W$3), (EXP(-LN(2)/inputs!$C$51)*W198))</f>
        <v>3.1329892283654004E-10</v>
      </c>
      <c r="X199" s="8">
        <f>IF((U199&gt;U198), (EXP(-LN(2)/inputs!$C$51)*X198+$X$3), (EXP(-LN(2)/inputs!$C$51)*X198))</f>
        <v>1.3269130849547557E-10</v>
      </c>
      <c r="Y199" s="8">
        <f>IF((U199&gt;U198), (EXP(-LN(2)/inputs!$C$51)*Y198+$Y$3), (EXP(-LN(2)/inputs!$C$51)*Y198))</f>
        <v>1.6586413561934476E-10</v>
      </c>
      <c r="Z199" s="8">
        <f>IF((U199&gt;U198), (EXP(-LN(2)/inputs!$C$51)*Z198+$Z$3), (EXP(-LN(2)/inputs!$C$51)*Z198))</f>
        <v>2.5801087763009138E-11</v>
      </c>
      <c r="AA199" s="8">
        <f>IF((U199&gt;U198), (EXP(-LN(2)/inputs!$C$51)*AA198+$AA$3), (EXP(-LN(2)/inputs!$C$51)*AA198))</f>
        <v>2.3958152922794199E-10</v>
      </c>
      <c r="AB199" s="7">
        <f>(((0.621*15^0.564)/0.2))*W199/15+AB198*inputs!$C$53</f>
        <v>3.3712989352397597E-10</v>
      </c>
      <c r="AC199" s="7">
        <f>(((0.621*1000^0.564)/0.2))*W199/1000+AC198*inputs!$C$53</f>
        <v>5.4022297762179357E-11</v>
      </c>
      <c r="AD199" s="7">
        <f>(((0.648*20^0.651)/0.2))*AA199/20+AD198*inputs!$C$54</f>
        <v>3.6087738230791664E-10</v>
      </c>
      <c r="AE199" s="7">
        <f>(((0.013*2^0.773)/0.2))*AA199/2+AE198*inputs!$C$54</f>
        <v>1.759760923735512E-11</v>
      </c>
    </row>
    <row r="200" spans="1:31" x14ac:dyDescent="0.3">
      <c r="A200" s="7">
        <f>IF(A199&lt;(inputs!$C$9-1),(1+A199),0)</f>
        <v>0</v>
      </c>
      <c r="B200" s="7">
        <f>IF(inputs!$C$8&gt;B199,IF(A199=(inputs!$C$9-1),(B199+1),B199), B199)</f>
        <v>1</v>
      </c>
      <c r="C200" s="7">
        <f t="shared" si="7"/>
        <v>197</v>
      </c>
      <c r="D200" s="8">
        <f>IF((B200&gt;B199), (EXP(-LN(2)/inputs!$C$51)*D199+$D$3), (EXP(-LN(2)/inputs!$C$51)*D199))</f>
        <v>7.7616330279091034E-10</v>
      </c>
      <c r="E200" s="8">
        <f>IF((B200&gt;B199), (EXP(-LN(2)/inputs!$C$51)*E199+$E$3), (EXP(-LN(2)/inputs!$C$51)*E199))</f>
        <v>3.5574151377916722E-10</v>
      </c>
      <c r="F200" s="8">
        <f>IF((B200&gt;B199), (EXP(-LN(2)/inputs!$C$51)*F199+$F$3), (EXP(-LN(2)/inputs!$C$51)*F199))</f>
        <v>4.3659185781988754E-10</v>
      </c>
      <c r="G200" s="8">
        <f>IF((B200&gt;B199), (EXP(-LN(2)/inputs!$C$51)*G199+$G$3), (EXP(-LN(2)/inputs!$C$51)*G199))</f>
        <v>4.8510206424431896E-11</v>
      </c>
      <c r="H200" s="8">
        <f>IF((B200&gt;B199), (EXP(-LN(2)/inputs!$C$51)*H199+$H$3), (EXP(-LN(2)/inputs!$C$51)*H199))</f>
        <v>3.0399729359310669E-10</v>
      </c>
      <c r="I200" s="7">
        <f>O200*(10^inputs!$C$55)*0.01/1</f>
        <v>0.1708023127848029</v>
      </c>
      <c r="J200" s="7">
        <f>(((0.621*15^0.564)/0.2))*D200/15+J199*inputs!$C$53</f>
        <v>8.3520188725206435E-10</v>
      </c>
      <c r="K200" s="7">
        <f>(((0.621*1000^0.564)/0.2))*D200/1000+K199*inputs!$C$53</f>
        <v>1.3383424582446992E-10</v>
      </c>
      <c r="L200" s="7">
        <f>(((0.648*20^0.651)/0.2))*H200/20+L199*inputs!$C$54</f>
        <v>4.5790569871601251E-10</v>
      </c>
      <c r="M200" s="7">
        <f>(((0.013*2^0.773)/0.2))*H200/2+M199*inputs!$C$54</f>
        <v>2.2329040135541017E-11</v>
      </c>
      <c r="N200" s="7">
        <f>O200*0.015*inputs!$C$56</f>
        <v>2.5094207292563259E-2</v>
      </c>
      <c r="O200" s="7">
        <f>IF((B200&gt;B199), (EXP(-LN(2)/inputs!$C$52)*O199+$O$3), (EXP(-LN(2)/inputs!$C$52)*O199))</f>
        <v>2.7070342278924771E-3</v>
      </c>
      <c r="P200" s="3">
        <f>IF((B200&gt;B199), (EXP(-LN(2)/inputs!$C$52)*P199+$P$3), (EXP(-LN(2)/inputs!$C$52)*P199))</f>
        <v>2.6158204967802853E-3</v>
      </c>
      <c r="Q200" s="19">
        <f>IF((F200*0.62*1/(0.012*(10^inputs!$C$55)))&gt;inputs!$C$57, inputs!$C$57, (F200*0.62*1/(0.012*(10^inputs!$C$55))))</f>
        <v>3.5750825606038949E-12</v>
      </c>
      <c r="R200" s="3">
        <f>IF((B200&gt;B199), (EXP(-LN(2)/inputs!$C$51)*R199+$R$3), (EXP(-LN(2)/inputs!$C$51)*R199))</f>
        <v>8.3065045513080492E-18</v>
      </c>
      <c r="T200" s="7">
        <f>IF(T199&lt;(inputs!$C$9-1),(1+T199),0)</f>
        <v>0</v>
      </c>
      <c r="U200" s="7">
        <f>IF(inputs!$C$8&gt;U199,IF(T199=(inputs!$C$9-1),(U199+1),U199), U199)</f>
        <v>1</v>
      </c>
      <c r="V200" s="7">
        <f t="shared" si="6"/>
        <v>197</v>
      </c>
      <c r="W200" s="8">
        <f>IF((U200&gt;U199), (EXP(-LN(2)/inputs!$C$51)*W199+$W$3), (EXP(-LN(2)/inputs!$C$51)*W199))</f>
        <v>2.7489116973844778E-10</v>
      </c>
      <c r="X200" s="8">
        <f>IF((U200&gt;U199), (EXP(-LN(2)/inputs!$C$51)*X199+$X$3), (EXP(-LN(2)/inputs!$C$51)*X199))</f>
        <v>1.1642449541863651E-10</v>
      </c>
      <c r="Y200" s="8">
        <f>IF((U200&gt;U199), (EXP(-LN(2)/inputs!$C$51)*Y199+$Y$3), (EXP(-LN(2)/inputs!$C$51)*Y199))</f>
        <v>1.4553061927329591E-10</v>
      </c>
      <c r="Z200" s="8">
        <f>IF((U200&gt;U199), (EXP(-LN(2)/inputs!$C$51)*Z199+$Z$3), (EXP(-LN(2)/inputs!$C$51)*Z199))</f>
        <v>2.2638096331401545E-11</v>
      </c>
      <c r="AA200" s="8">
        <f>IF((U200&gt;U199), (EXP(-LN(2)/inputs!$C$51)*AA199+$AA$3), (EXP(-LN(2)/inputs!$C$51)*AA199))</f>
        <v>2.1021089450587148E-10</v>
      </c>
      <c r="AB200" s="7">
        <f>(((0.621*15^0.564)/0.2))*W200/15+AB199*inputs!$C$53</f>
        <v>2.9580066840177315E-10</v>
      </c>
      <c r="AC200" s="7">
        <f>(((0.621*1000^0.564)/0.2))*W200/1000+AC199*inputs!$C$53</f>
        <v>4.7399628729499828E-11</v>
      </c>
      <c r="AD200" s="7">
        <f>(((0.648*20^0.651)/0.2))*AA200/20+AD199*inputs!$C$54</f>
        <v>3.1663691932490196E-10</v>
      </c>
      <c r="AE200" s="7">
        <f>(((0.013*2^0.773)/0.2))*AA200/2+AE199*inputs!$C$54</f>
        <v>1.5440293710746438E-11</v>
      </c>
    </row>
    <row r="201" spans="1:31" x14ac:dyDescent="0.3">
      <c r="A201" s="7">
        <f>IF(A200&lt;(inputs!$C$9-1),(1+A200),0)</f>
        <v>0</v>
      </c>
      <c r="B201" s="7">
        <f>IF(inputs!$C$8&gt;B200,IF(A200=(inputs!$C$9-1),(B200+1),B200), B200)</f>
        <v>1</v>
      </c>
      <c r="C201" s="7">
        <f t="shared" si="7"/>
        <v>198</v>
      </c>
      <c r="D201" s="8">
        <f>IF((B201&gt;B200), (EXP(-LN(2)/inputs!$C$51)*D200+$D$3), (EXP(-LN(2)/inputs!$C$51)*D200))</f>
        <v>6.8101235803982832E-10</v>
      </c>
      <c r="E201" s="8">
        <f>IF((B201&gt;B200), (EXP(-LN(2)/inputs!$C$51)*E200+$E$3), (EXP(-LN(2)/inputs!$C$51)*E200))</f>
        <v>3.1213066410158797E-10</v>
      </c>
      <c r="F201" s="8">
        <f>IF((B201&gt;B200), (EXP(-LN(2)/inputs!$C$51)*F200+$F$3), (EXP(-LN(2)/inputs!$C$51)*F200))</f>
        <v>3.8306945139740386E-10</v>
      </c>
      <c r="G201" s="8">
        <f>IF((B201&gt;B200), (EXP(-LN(2)/inputs!$C$51)*G200+$G$3), (EXP(-LN(2)/inputs!$C$51)*G200))</f>
        <v>4.256327237748927E-11</v>
      </c>
      <c r="H201" s="8">
        <f>IF((B201&gt;B200), (EXP(-LN(2)/inputs!$C$51)*H200+$H$3), (EXP(-LN(2)/inputs!$C$51)*H200))</f>
        <v>2.6672984023226625E-10</v>
      </c>
      <c r="I201" s="7">
        <f>O201*(10^inputs!$C$55)*0.01/1</f>
        <v>0.16735547456305347</v>
      </c>
      <c r="J201" s="7">
        <f>(((0.621*15^0.564)/0.2))*D201/15+J200*inputs!$C$53</f>
        <v>7.3281331986661431E-10</v>
      </c>
      <c r="K201" s="7">
        <f>(((0.621*1000^0.564)/0.2))*D201/1000+K200*inputs!$C$53</f>
        <v>1.1742731846207518E-10</v>
      </c>
      <c r="L201" s="7">
        <f>(((0.648*20^0.651)/0.2))*H201/20+L200*inputs!$C$54</f>
        <v>4.017703987307332E-10</v>
      </c>
      <c r="M201" s="7">
        <f>(((0.013*2^0.773)/0.2))*H201/2+M200*inputs!$C$54</f>
        <v>1.9591691878232456E-11</v>
      </c>
      <c r="N201" s="7">
        <f>O201*0.015*inputs!$C$56</f>
        <v>2.4587799203408821E-2</v>
      </c>
      <c r="O201" s="7">
        <f>IF((B201&gt;B200), (EXP(-LN(2)/inputs!$C$52)*O200+$O$3), (EXP(-LN(2)/inputs!$C$52)*O200))</f>
        <v>2.6524055235608223E-3</v>
      </c>
      <c r="P201" s="3">
        <f>IF((B201&gt;B200), (EXP(-LN(2)/inputs!$C$52)*P200+$P$3), (EXP(-LN(2)/inputs!$C$52)*P200))</f>
        <v>2.5630325109355168E-3</v>
      </c>
      <c r="Q201" s="19">
        <f>IF((F201*0.62*1/(0.012*(10^inputs!$C$55)))&gt;inputs!$C$57, inputs!$C$57, (F201*0.62*1/(0.012*(10^inputs!$C$55))))</f>
        <v>3.1368081897577168E-12</v>
      </c>
      <c r="R201" s="3">
        <f>IF((B201&gt;B200), (EXP(-LN(2)/inputs!$C$51)*R200+$R$3), (EXP(-LN(2)/inputs!$C$51)*R200))</f>
        <v>7.2881985417426359E-18</v>
      </c>
      <c r="T201" s="7">
        <f>IF(T200&lt;(inputs!$C$9-1),(1+T200),0)</f>
        <v>0</v>
      </c>
      <c r="U201" s="7">
        <f>IF(inputs!$C$8&gt;U200,IF(T200=(inputs!$C$9-1),(U200+1),U200), U200)</f>
        <v>1</v>
      </c>
      <c r="V201" s="7">
        <f t="shared" si="6"/>
        <v>198</v>
      </c>
      <c r="W201" s="8">
        <f>IF((U201&gt;U200), (EXP(-LN(2)/inputs!$C$51)*W200+$W$3), (EXP(-LN(2)/inputs!$C$51)*W200))</f>
        <v>2.4119187680577286E-10</v>
      </c>
      <c r="X201" s="8">
        <f>IF((U201&gt;U200), (EXP(-LN(2)/inputs!$C$51)*X200+$X$3), (EXP(-LN(2)/inputs!$C$51)*X200))</f>
        <v>1.0215185370597422E-10</v>
      </c>
      <c r="Y201" s="8">
        <f>IF((U201&gt;U200), (EXP(-LN(2)/inputs!$C$51)*Y200+$Y$3), (EXP(-LN(2)/inputs!$C$51)*Y200))</f>
        <v>1.2768981713246803E-10</v>
      </c>
      <c r="Z201" s="8">
        <f>IF((U201&gt;U200), (EXP(-LN(2)/inputs!$C$51)*Z200+$Z$3), (EXP(-LN(2)/inputs!$C$51)*Z200))</f>
        <v>1.9862860442828323E-11</v>
      </c>
      <c r="AA201" s="8">
        <f>IF((U201&gt;U200), (EXP(-LN(2)/inputs!$C$51)*AA200+$AA$3), (EXP(-LN(2)/inputs!$C$51)*AA200))</f>
        <v>1.8444084696912012E-10</v>
      </c>
      <c r="AB201" s="7">
        <f>(((0.621*15^0.564)/0.2))*W201/15+AB200*inputs!$C$53</f>
        <v>2.5953805078609291E-10</v>
      </c>
      <c r="AC201" s="7">
        <f>(((0.621*1000^0.564)/0.2))*W201/1000+AC200*inputs!$C$53</f>
        <v>4.1588841955318352E-11</v>
      </c>
      <c r="AD201" s="7">
        <f>(((0.648*20^0.651)/0.2))*AA201/20+AD200*inputs!$C$54</f>
        <v>2.7781995656912381E-10</v>
      </c>
      <c r="AE201" s="7">
        <f>(((0.013*2^0.773)/0.2))*AA201/2+AE200*inputs!$C$54</f>
        <v>1.354744651154371E-11</v>
      </c>
    </row>
    <row r="202" spans="1:31" x14ac:dyDescent="0.3">
      <c r="A202" s="7">
        <f>IF(A201&lt;(inputs!$C$9-1),(1+A201),0)</f>
        <v>0</v>
      </c>
      <c r="B202" s="7">
        <f>IF(inputs!$C$8&gt;B201,IF(A201=(inputs!$C$9-1),(B201+1),B201), B201)</f>
        <v>1</v>
      </c>
      <c r="C202" s="7">
        <f t="shared" si="7"/>
        <v>199</v>
      </c>
      <c r="D202" s="8">
        <f>IF((B202&gt;B201), (EXP(-LN(2)/inputs!$C$51)*D201+$D$3), (EXP(-LN(2)/inputs!$C$51)*D201))</f>
        <v>5.9752610067407931E-10</v>
      </c>
      <c r="E202" s="8">
        <f>IF((B202&gt;B201), (EXP(-LN(2)/inputs!$C$51)*E201+$E$3), (EXP(-LN(2)/inputs!$C$51)*E201))</f>
        <v>2.7386612947561964E-10</v>
      </c>
      <c r="F202" s="8">
        <f>IF((B202&gt;B201), (EXP(-LN(2)/inputs!$C$51)*F201+$F$3), (EXP(-LN(2)/inputs!$C$51)*F201))</f>
        <v>3.3610843162916998E-10</v>
      </c>
      <c r="G202" s="8">
        <f>IF((B202&gt;B201), (EXP(-LN(2)/inputs!$C$51)*G201+$G$3), (EXP(-LN(2)/inputs!$C$51)*G201))</f>
        <v>3.7345381292129957E-11</v>
      </c>
      <c r="H202" s="8">
        <f>IF((B202&gt;B201), (EXP(-LN(2)/inputs!$C$51)*H201+$H$3), (EXP(-LN(2)/inputs!$C$51)*H201))</f>
        <v>2.3403105609734784E-10</v>
      </c>
      <c r="I202" s="7">
        <f>O202*(10^inputs!$C$55)*0.01/1</f>
        <v>0.16397819449618617</v>
      </c>
      <c r="J202" s="7">
        <f>(((0.621*15^0.564)/0.2))*D202/15+J201*inputs!$C$53</f>
        <v>6.4297671014703695E-10</v>
      </c>
      <c r="K202" s="7">
        <f>(((0.621*1000^0.564)/0.2))*D202/1000+K201*inputs!$C$53</f>
        <v>1.0303173927007287E-10</v>
      </c>
      <c r="L202" s="7">
        <f>(((0.648*20^0.651)/0.2))*H202/20+L201*inputs!$C$54</f>
        <v>3.5251680367569033E-10</v>
      </c>
      <c r="M202" s="7">
        <f>(((0.013*2^0.773)/0.2))*H202/2+M201*inputs!$C$54</f>
        <v>1.7189918971960305E-11</v>
      </c>
      <c r="N202" s="7">
        <f>O202*0.015*inputs!$C$56</f>
        <v>2.4091610570472755E-2</v>
      </c>
      <c r="O202" s="7">
        <f>IF((B202&gt;B201), (EXP(-LN(2)/inputs!$C$52)*O201+$O$3), (EXP(-LN(2)/inputs!$C$52)*O201))</f>
        <v>2.5988792416906962E-3</v>
      </c>
      <c r="P202" s="3">
        <f>IF((B202&gt;B201), (EXP(-LN(2)/inputs!$C$52)*P201+$P$3), (EXP(-LN(2)/inputs!$C$52)*P201))</f>
        <v>2.5113098013407726E-3</v>
      </c>
      <c r="Q202" s="19">
        <f>IF((F202*0.62*1/(0.012*(10^inputs!$C$55)))&gt;inputs!$C$57, inputs!$C$57, (F202*0.62*1/(0.012*(10^inputs!$C$55))))</f>
        <v>2.7522624869589048E-12</v>
      </c>
      <c r="R202" s="3">
        <f>IF((B202&gt;B201), (EXP(-LN(2)/inputs!$C$51)*R201+$R$3), (EXP(-LN(2)/inputs!$C$51)*R201))</f>
        <v>6.3947280899876073E-18</v>
      </c>
      <c r="T202" s="7">
        <f>IF(T201&lt;(inputs!$C$9-1),(1+T201),0)</f>
        <v>0</v>
      </c>
      <c r="U202" s="7">
        <f>IF(inputs!$C$8&gt;U201,IF(T201=(inputs!$C$9-1),(U201+1),U201), U201)</f>
        <v>1</v>
      </c>
      <c r="V202" s="7">
        <f t="shared" si="6"/>
        <v>199</v>
      </c>
      <c r="W202" s="8">
        <f>IF((U202&gt;U201), (EXP(-LN(2)/inputs!$C$51)*W201+$W$3), (EXP(-LN(2)/inputs!$C$51)*W201))</f>
        <v>2.1162382732207002E-10</v>
      </c>
      <c r="X202" s="8">
        <f>IF((U202&gt;U201), (EXP(-LN(2)/inputs!$C$51)*X201+$X$3), (EXP(-LN(2)/inputs!$C$51)*X201))</f>
        <v>8.9628915101111862E-11</v>
      </c>
      <c r="Y202" s="8">
        <f>IF((U202&gt;U201), (EXP(-LN(2)/inputs!$C$51)*Y201+$Y$3), (EXP(-LN(2)/inputs!$C$51)*Y201))</f>
        <v>1.1203614387639005E-10</v>
      </c>
      <c r="Z202" s="8">
        <f>IF((U202&gt;U201), (EXP(-LN(2)/inputs!$C$51)*Z201+$Z$3), (EXP(-LN(2)/inputs!$C$51)*Z201))</f>
        <v>1.7427844602993975E-11</v>
      </c>
      <c r="AA202" s="8">
        <f>IF((U202&gt;U201), (EXP(-LN(2)/inputs!$C$51)*AA201+$AA$3), (EXP(-LN(2)/inputs!$C$51)*AA201))</f>
        <v>1.6182998559922976E-10</v>
      </c>
      <c r="AB202" s="7">
        <f>(((0.621*15^0.564)/0.2))*W202/15+AB201*inputs!$C$53</f>
        <v>2.2772091817707589E-10</v>
      </c>
      <c r="AC202" s="7">
        <f>(((0.621*1000^0.564)/0.2))*W202/1000+AC201*inputs!$C$53</f>
        <v>3.6490407658150853E-11</v>
      </c>
      <c r="AD202" s="7">
        <f>(((0.648*20^0.651)/0.2))*AA202/20+AD201*inputs!$C$54</f>
        <v>2.4376161956297714E-10</v>
      </c>
      <c r="AE202" s="7">
        <f>(((0.013*2^0.773)/0.2))*AA202/2+AE201*inputs!$C$54</f>
        <v>1.1886646097632115E-11</v>
      </c>
    </row>
    <row r="203" spans="1:31" x14ac:dyDescent="0.3">
      <c r="A203" s="7">
        <f>IF(A202&lt;(inputs!$C$9-1),(1+A202),0)</f>
        <v>0</v>
      </c>
      <c r="B203" s="7">
        <f>IF(inputs!$C$8&gt;B202,IF(A202=(inputs!$C$9-1),(B202+1),B202), B202)</f>
        <v>1</v>
      </c>
      <c r="C203" s="7">
        <f t="shared" si="7"/>
        <v>200</v>
      </c>
      <c r="D203" s="8">
        <f>IF((B203&gt;B202), (EXP(-LN(2)/inputs!$C$51)*D202+$D$3), (EXP(-LN(2)/inputs!$C$51)*D202))</f>
        <v>5.2427454035406644E-10</v>
      </c>
      <c r="E203" s="8">
        <f>IF((B203&gt;B202), (EXP(-LN(2)/inputs!$C$51)*E202+$E$3), (EXP(-LN(2)/inputs!$C$51)*E202))</f>
        <v>2.4029249766228044E-10</v>
      </c>
      <c r="F203" s="8">
        <f>IF((B203&gt;B202), (EXP(-LN(2)/inputs!$C$51)*F202+$F$3), (EXP(-LN(2)/inputs!$C$51)*F202))</f>
        <v>2.949044289491627E-10</v>
      </c>
      <c r="G203" s="8">
        <f>IF((B203&gt;B202), (EXP(-LN(2)/inputs!$C$51)*G202+$G$3), (EXP(-LN(2)/inputs!$C$51)*G202))</f>
        <v>3.2767158772129153E-11</v>
      </c>
      <c r="H203" s="8">
        <f>IF((B203&gt;B202), (EXP(-LN(2)/inputs!$C$51)*H202+$H$3), (EXP(-LN(2)/inputs!$C$51)*H202))</f>
        <v>2.0534086163867614E-10</v>
      </c>
      <c r="I203" s="7">
        <f>O203*(10^inputs!$C$55)*0.01/1</f>
        <v>0.16066906888127111</v>
      </c>
      <c r="J203" s="7">
        <f>(((0.621*15^0.564)/0.2))*D203/15+J202*inputs!$C$53</f>
        <v>5.6415329604919946E-10</v>
      </c>
      <c r="K203" s="7">
        <f>(((0.621*1000^0.564)/0.2))*D203/1000+K202*inputs!$C$53</f>
        <v>9.0400934263390452E-11</v>
      </c>
      <c r="L203" s="7">
        <f>(((0.648*20^0.651)/0.2))*H203/20+L202*inputs!$C$54</f>
        <v>3.0930127571944328E-10</v>
      </c>
      <c r="M203" s="7">
        <f>(((0.013*2^0.773)/0.2))*H203/2+M202*inputs!$C$54</f>
        <v>1.5082582765139933E-11</v>
      </c>
      <c r="N203" s="7">
        <f>O203*0.015*inputs!$C$56</f>
        <v>2.3605435162283566E-2</v>
      </c>
      <c r="O203" s="7">
        <f>IF((B203&gt;B202), (EXP(-LN(2)/inputs!$C$52)*O202+$O$3), (EXP(-LN(2)/inputs!$C$52)*O202))</f>
        <v>2.5464331350899209E-3</v>
      </c>
      <c r="P203" s="3">
        <f>IF((B203&gt;B202), (EXP(-LN(2)/inputs!$C$52)*P202+$P$3), (EXP(-LN(2)/inputs!$C$52)*P202))</f>
        <v>2.4606308704247645E-3</v>
      </c>
      <c r="Q203" s="19">
        <f>IF((F203*0.62*1/(0.012*(10^inputs!$C$55)))&gt;inputs!$C$57, inputs!$C$57, (F203*0.62*1/(0.012*(10^inputs!$C$55))))</f>
        <v>2.414858779652158E-12</v>
      </c>
      <c r="R203" s="3">
        <f>IF((B203&gt;B202), (EXP(-LN(2)/inputs!$C$51)*R202+$R$3), (EXP(-LN(2)/inputs!$C$51)*R202))</f>
        <v>5.6107894304288522E-18</v>
      </c>
      <c r="T203" s="7">
        <f>IF(T202&lt;(inputs!$C$9-1),(1+T202),0)</f>
        <v>0</v>
      </c>
      <c r="U203" s="7">
        <f>IF(inputs!$C$8&gt;U202,IF(T202=(inputs!$C$9-1),(U202+1),U202), U202)</f>
        <v>1</v>
      </c>
      <c r="V203" s="7">
        <f t="shared" si="6"/>
        <v>200</v>
      </c>
      <c r="W203" s="8">
        <f>IF((U203&gt;U202), (EXP(-LN(2)/inputs!$C$51)*W202+$W$3), (EXP(-LN(2)/inputs!$C$51)*W202))</f>
        <v>1.8568056637539876E-10</v>
      </c>
      <c r="X203" s="8">
        <f>IF((U203&gt;U202), (EXP(-LN(2)/inputs!$C$51)*X202+$X$3), (EXP(-LN(2)/inputs!$C$51)*X202))</f>
        <v>7.8641181053109935E-11</v>
      </c>
      <c r="Y203" s="8">
        <f>IF((U203&gt;U202), (EXP(-LN(2)/inputs!$C$51)*Y202+$Y$3), (EXP(-LN(2)/inputs!$C$51)*Y202))</f>
        <v>9.8301476316387626E-11</v>
      </c>
      <c r="Z203" s="8">
        <f>IF((U203&gt;U202), (EXP(-LN(2)/inputs!$C$51)*Z202+$Z$3), (EXP(-LN(2)/inputs!$C$51)*Z202))</f>
        <v>1.5291340760326933E-11</v>
      </c>
      <c r="AA203" s="8">
        <f>IF((U203&gt;U202), (EXP(-LN(2)/inputs!$C$51)*AA202+$AA$3), (EXP(-LN(2)/inputs!$C$51)*AA202))</f>
        <v>1.4199102134589295E-10</v>
      </c>
      <c r="AB203" s="7">
        <f>(((0.621*15^0.564)/0.2))*W203/15+AB202*inputs!$C$53</f>
        <v>1.9980429235075841E-10</v>
      </c>
      <c r="AC203" s="7">
        <f>(((0.621*1000^0.564)/0.2))*W203/1000+AC202*inputs!$C$53</f>
        <v>3.201699755161749E-11</v>
      </c>
      <c r="AD203" s="7">
        <f>(((0.648*20^0.651)/0.2))*AA203/20+AD202*inputs!$C$54</f>
        <v>2.1387854172089144E-10</v>
      </c>
      <c r="AE203" s="7">
        <f>(((0.013*2^0.773)/0.2))*AA203/2+AE202*inputs!$C$54</f>
        <v>1.0429445529086114E-11</v>
      </c>
    </row>
    <row r="204" spans="1:31" x14ac:dyDescent="0.3">
      <c r="A204" s="7">
        <f>IF(A203&lt;(inputs!$C$9-1),(1+A203),0)</f>
        <v>0</v>
      </c>
      <c r="B204" s="7">
        <f>IF(inputs!$C$8&gt;B203,IF(A203=(inputs!$C$9-1),(B203+1),B203), B203)</f>
        <v>1</v>
      </c>
      <c r="C204" s="7">
        <f t="shared" si="7"/>
        <v>201</v>
      </c>
      <c r="D204" s="8">
        <f>IF((B204&gt;B203), (EXP(-LN(2)/inputs!$C$51)*D203+$D$3), (EXP(-LN(2)/inputs!$C$51)*D203))</f>
        <v>4.6000299125576129E-10</v>
      </c>
      <c r="E204" s="8">
        <f>IF((B204&gt;B203), (EXP(-LN(2)/inputs!$C$51)*E203+$E$3), (EXP(-LN(2)/inputs!$C$51)*E203))</f>
        <v>2.1083470432555726E-10</v>
      </c>
      <c r="F204" s="8">
        <f>IF((B204&gt;B203), (EXP(-LN(2)/inputs!$C$51)*F203+$F$3), (EXP(-LN(2)/inputs!$C$51)*F203))</f>
        <v>2.5875168258136599E-10</v>
      </c>
      <c r="G204" s="8">
        <f>IF((B204&gt;B203), (EXP(-LN(2)/inputs!$C$51)*G203+$G$3), (EXP(-LN(2)/inputs!$C$51)*G203))</f>
        <v>2.8750186953485081E-11</v>
      </c>
      <c r="H204" s="8">
        <f>IF((B204&gt;B203), (EXP(-LN(2)/inputs!$C$51)*H203+$H$3), (EXP(-LN(2)/inputs!$C$51)*H203))</f>
        <v>1.8016783824183994E-10</v>
      </c>
      <c r="I204" s="7">
        <f>O204*(10^inputs!$C$55)*0.01/1</f>
        <v>0.15742672234249441</v>
      </c>
      <c r="J204" s="7">
        <f>(((0.621*15^0.564)/0.2))*D204/15+J203*inputs!$C$53</f>
        <v>4.9499295451991316E-10</v>
      </c>
      <c r="K204" s="7">
        <f>(((0.621*1000^0.564)/0.2))*D204/1000+K203*inputs!$C$53</f>
        <v>7.9318557306618422E-11</v>
      </c>
      <c r="L204" s="7">
        <f>(((0.648*20^0.651)/0.2))*H204/20+L203*inputs!$C$54</f>
        <v>2.7138359977213284E-10</v>
      </c>
      <c r="M204" s="7">
        <f>(((0.013*2^0.773)/0.2))*H204/2+M203*inputs!$C$54</f>
        <v>1.3233587851016741E-11</v>
      </c>
      <c r="N204" s="7">
        <f>O204*0.015*inputs!$C$56</f>
        <v>2.3129070909178283E-2</v>
      </c>
      <c r="O204" s="7">
        <f>IF((B204&gt;B203), (EXP(-LN(2)/inputs!$C$52)*O203+$O$3), (EXP(-LN(2)/inputs!$C$52)*O203))</f>
        <v>2.4950454055208504E-3</v>
      </c>
      <c r="P204" s="3">
        <f>IF((B204&gt;B203), (EXP(-LN(2)/inputs!$C$52)*P203+$P$3), (EXP(-LN(2)/inputs!$C$52)*P203))</f>
        <v>2.4109746544431778E-3</v>
      </c>
      <c r="Q204" s="19">
        <f>IF((F204*0.62*1/(0.012*(10^inputs!$C$55)))&gt;inputs!$C$57, inputs!$C$57, (F204*0.62*1/(0.012*(10^inputs!$C$55))))</f>
        <v>2.1188178646821711E-12</v>
      </c>
      <c r="R204" s="3">
        <f>IF((B204&gt;B203), (EXP(-LN(2)/inputs!$C$51)*R203+$R$3), (EXP(-LN(2)/inputs!$C$51)*R203))</f>
        <v>4.9229549074811608E-18</v>
      </c>
      <c r="T204" s="7">
        <f>IF(T203&lt;(inputs!$C$9-1),(1+T203),0)</f>
        <v>0</v>
      </c>
      <c r="U204" s="7">
        <f>IF(inputs!$C$8&gt;U203,IF(T203=(inputs!$C$9-1),(U203+1),U203), U203)</f>
        <v>1</v>
      </c>
      <c r="V204" s="7">
        <f t="shared" si="6"/>
        <v>201</v>
      </c>
      <c r="W204" s="8">
        <f>IF((U204&gt;U203), (EXP(-LN(2)/inputs!$C$51)*W203+$W$3), (EXP(-LN(2)/inputs!$C$51)*W203))</f>
        <v>1.6291772606974899E-10</v>
      </c>
      <c r="X204" s="8">
        <f>IF((U204&gt;U203), (EXP(-LN(2)/inputs!$C$51)*X203+$X$3), (EXP(-LN(2)/inputs!$C$51)*X203))</f>
        <v>6.9000448688364165E-11</v>
      </c>
      <c r="Y204" s="8">
        <f>IF((U204&gt;U203), (EXP(-LN(2)/inputs!$C$51)*Y203+$Y$3), (EXP(-LN(2)/inputs!$C$51)*Y203))</f>
        <v>8.6250560860455387E-11</v>
      </c>
      <c r="Z204" s="8">
        <f>IF((U204&gt;U203), (EXP(-LN(2)/inputs!$C$51)*Z203+$Z$3), (EXP(-LN(2)/inputs!$C$51)*Z203))</f>
        <v>1.3416753911626367E-11</v>
      </c>
      <c r="AA204" s="8">
        <f>IF((U204&gt;U203), (EXP(-LN(2)/inputs!$C$51)*AA203+$AA$3), (EXP(-LN(2)/inputs!$C$51)*AA203))</f>
        <v>1.2458414346510199E-10</v>
      </c>
      <c r="AB204" s="7">
        <f>(((0.621*15^0.564)/0.2))*W204/15+AB203*inputs!$C$53</f>
        <v>1.7531000472580279E-10</v>
      </c>
      <c r="AC204" s="7">
        <f>(((0.621*1000^0.564)/0.2))*W204/1000+AC203*inputs!$C$53</f>
        <v>2.8091989046094056E-11</v>
      </c>
      <c r="AD204" s="7">
        <f>(((0.648*20^0.651)/0.2))*AA204/20+AD203*inputs!$C$54</f>
        <v>1.8765887218285765E-10</v>
      </c>
      <c r="AE204" s="7">
        <f>(((0.013*2^0.773)/0.2))*AA204/2+AE203*inputs!$C$54</f>
        <v>9.1508852161285898E-12</v>
      </c>
    </row>
    <row r="205" spans="1:31" x14ac:dyDescent="0.3">
      <c r="A205" s="7">
        <f>IF(A204&lt;(inputs!$C$9-1),(1+A204),0)</f>
        <v>0</v>
      </c>
      <c r="B205" s="7">
        <f>IF(inputs!$C$8&gt;B204,IF(A204=(inputs!$C$9-1),(B204+1),B204), B204)</f>
        <v>1</v>
      </c>
      <c r="C205" s="7">
        <f t="shared" si="7"/>
        <v>202</v>
      </c>
      <c r="D205" s="8">
        <f>IF((B205&gt;B204), (EXP(-LN(2)/inputs!$C$51)*D204+$D$3), (EXP(-LN(2)/inputs!$C$51)*D204))</f>
        <v>4.036105812449772E-10</v>
      </c>
      <c r="E205" s="8">
        <f>IF((B205&gt;B204), (EXP(-LN(2)/inputs!$C$51)*E204+$E$3), (EXP(-LN(2)/inputs!$C$51)*E204))</f>
        <v>1.8498818307061454E-10</v>
      </c>
      <c r="F205" s="8">
        <f>IF((B205&gt;B204), (EXP(-LN(2)/inputs!$C$51)*F204+$F$3), (EXP(-LN(2)/inputs!$C$51)*F204))</f>
        <v>2.2703095195029991E-10</v>
      </c>
      <c r="G205" s="8">
        <f>IF((B205&gt;B204), (EXP(-LN(2)/inputs!$C$51)*G204+$G$3), (EXP(-LN(2)/inputs!$C$51)*G204))</f>
        <v>2.5225661327811075E-11</v>
      </c>
      <c r="H205" s="8">
        <f>IF((B205&gt;B204), (EXP(-LN(2)/inputs!$C$51)*H204+$H$3), (EXP(-LN(2)/inputs!$C$51)*H204))</f>
        <v>1.5808081098761614E-10</v>
      </c>
      <c r="I205" s="7">
        <f>O205*(10^inputs!$C$55)*0.01/1</f>
        <v>0.15424980725950893</v>
      </c>
      <c r="J205" s="7">
        <f>(((0.621*15^0.564)/0.2))*D205/15+J204*inputs!$C$53</f>
        <v>4.3431107597922282E-10</v>
      </c>
      <c r="K205" s="7">
        <f>(((0.621*1000^0.564)/0.2))*D205/1000+K204*inputs!$C$53</f>
        <v>6.9594784439646481E-11</v>
      </c>
      <c r="L205" s="7">
        <f>(((0.648*20^0.651)/0.2))*H205/20+L204*inputs!$C$54</f>
        <v>2.3811430474695404E-10</v>
      </c>
      <c r="M205" s="7">
        <f>(((0.013*2^0.773)/0.2))*H205/2+M204*inputs!$C$54</f>
        <v>1.16112638092295E-11</v>
      </c>
      <c r="N205" s="7">
        <f>O205*0.015*inputs!$C$56</f>
        <v>2.2662319819315976E-2</v>
      </c>
      <c r="O205" s="7">
        <f>IF((B205&gt;B204), (EXP(-LN(2)/inputs!$C$52)*O204+$O$3), (EXP(-LN(2)/inputs!$C$52)*O204))</f>
        <v>2.4446946946403429E-3</v>
      </c>
      <c r="P205" s="3">
        <f>IF((B205&gt;B204), (EXP(-LN(2)/inputs!$C$52)*P204+$P$3), (EXP(-LN(2)/inputs!$C$52)*P204))</f>
        <v>2.3623205147239213E-3</v>
      </c>
      <c r="Q205" s="19">
        <f>IF((F205*0.62*1/(0.012*(10^inputs!$C$55)))&gt;inputs!$C$57, inputs!$C$57, (F205*0.62*1/(0.012*(10^inputs!$C$55))))</f>
        <v>1.8590690194906466E-12</v>
      </c>
      <c r="R205" s="3">
        <f>IF((B205&gt;B204), (EXP(-LN(2)/inputs!$C$51)*R204+$R$3), (EXP(-LN(2)/inputs!$C$51)*R204))</f>
        <v>4.3194429806360495E-18</v>
      </c>
      <c r="T205" s="7">
        <f>IF(T204&lt;(inputs!$C$9-1),(1+T204),0)</f>
        <v>0</v>
      </c>
      <c r="U205" s="7">
        <f>IF(inputs!$C$8&gt;U204,IF(T204=(inputs!$C$9-1),(U204+1),U204), U204)</f>
        <v>1</v>
      </c>
      <c r="V205" s="7">
        <f t="shared" si="6"/>
        <v>202</v>
      </c>
      <c r="W205" s="8">
        <f>IF((U205&gt;U204), (EXP(-LN(2)/inputs!$C$51)*W204+$W$3), (EXP(-LN(2)/inputs!$C$51)*W204))</f>
        <v>1.4294541419092961E-10</v>
      </c>
      <c r="X205" s="8">
        <f>IF((U205&gt;U204), (EXP(-LN(2)/inputs!$C$51)*X204+$X$3), (EXP(-LN(2)/inputs!$C$51)*X204))</f>
        <v>6.0541587186746554E-11</v>
      </c>
      <c r="Y205" s="8">
        <f>IF((U205&gt;U204), (EXP(-LN(2)/inputs!$C$51)*Y204+$Y$3), (EXP(-LN(2)/inputs!$C$51)*Y204))</f>
        <v>7.5676983983433351E-11</v>
      </c>
      <c r="Z205" s="8">
        <f>IF((U205&gt;U204), (EXP(-LN(2)/inputs!$C$51)*Z204+$Z$3), (EXP(-LN(2)/inputs!$C$51)*Z204))</f>
        <v>1.1771975286311831E-11</v>
      </c>
      <c r="AA205" s="8">
        <f>IF((U205&gt;U204), (EXP(-LN(2)/inputs!$C$51)*AA204+$AA$3), (EXP(-LN(2)/inputs!$C$51)*AA204))</f>
        <v>1.093111990871813E-10</v>
      </c>
      <c r="AB205" s="7">
        <f>(((0.621*15^0.564)/0.2))*W205/15+AB204*inputs!$C$53</f>
        <v>1.5381850607597496E-10</v>
      </c>
      <c r="AC205" s="7">
        <f>(((0.621*1000^0.564)/0.2))*W205/1000+AC204*inputs!$C$53</f>
        <v>2.4648152822374829E-11</v>
      </c>
      <c r="AD205" s="7">
        <f>(((0.648*20^0.651)/0.2))*AA205/20+AD204*inputs!$C$54</f>
        <v>1.6465350860161707E-10</v>
      </c>
      <c r="AE205" s="7">
        <f>(((0.013*2^0.773)/0.2))*AA205/2+AE204*inputs!$C$54</f>
        <v>8.0290653999991167E-12</v>
      </c>
    </row>
    <row r="206" spans="1:31" x14ac:dyDescent="0.3">
      <c r="A206" s="7">
        <f>IF(A205&lt;(inputs!$C$9-1),(1+A205),0)</f>
        <v>0</v>
      </c>
      <c r="B206" s="7">
        <f>IF(inputs!$C$8&gt;B205,IF(A205=(inputs!$C$9-1),(B205+1),B205), B205)</f>
        <v>1</v>
      </c>
      <c r="C206" s="7">
        <f t="shared" si="7"/>
        <v>203</v>
      </c>
      <c r="D206" s="8">
        <f>IF((B206&gt;B205), (EXP(-LN(2)/inputs!$C$51)*D205+$D$3), (EXP(-LN(2)/inputs!$C$51)*D205))</f>
        <v>3.5413139564202363E-10</v>
      </c>
      <c r="E206" s="8">
        <f>IF((B206&gt;B205), (EXP(-LN(2)/inputs!$C$51)*E205+$E$3), (EXP(-LN(2)/inputs!$C$51)*E205))</f>
        <v>1.6231022300259415E-10</v>
      </c>
      <c r="F206" s="8">
        <f>IF((B206&gt;B205), (EXP(-LN(2)/inputs!$C$51)*F205+$F$3), (EXP(-LN(2)/inputs!$C$51)*F205))</f>
        <v>1.991989100486385E-10</v>
      </c>
      <c r="G206" s="8">
        <f>IF((B206&gt;B205), (EXP(-LN(2)/inputs!$C$51)*G205+$G$3), (EXP(-LN(2)/inputs!$C$51)*G205))</f>
        <v>2.2133212227626477E-11</v>
      </c>
      <c r="H206" s="8">
        <f>IF((B206&gt;B205), (EXP(-LN(2)/inputs!$C$51)*H205+$H$3), (EXP(-LN(2)/inputs!$C$51)*H205))</f>
        <v>1.38701463293126E-10</v>
      </c>
      <c r="I206" s="7">
        <f>O206*(10^inputs!$C$55)*0.01/1</f>
        <v>0.15113700320732124</v>
      </c>
      <c r="J206" s="7">
        <f>(((0.621*15^0.564)/0.2))*D206/15+J205*inputs!$C$53</f>
        <v>3.8106827379225249E-10</v>
      </c>
      <c r="K206" s="7">
        <f>(((0.621*1000^0.564)/0.2))*D206/1000+K205*inputs!$C$53</f>
        <v>6.1063062487102484E-11</v>
      </c>
      <c r="L206" s="7">
        <f>(((0.648*20^0.651)/0.2))*H206/20+L205*inputs!$C$54</f>
        <v>2.0892353912591669E-10</v>
      </c>
      <c r="M206" s="7">
        <f>(((0.013*2^0.773)/0.2))*H206/2+M205*inputs!$C$54</f>
        <v>1.018782274054004E-11</v>
      </c>
      <c r="N206" s="7">
        <f>O206*0.015*inputs!$C$56</f>
        <v>2.220498789638619E-2</v>
      </c>
      <c r="O206" s="7">
        <f>IF((B206&gt;B205), (EXP(-LN(2)/inputs!$C$52)*O205+$O$3), (EXP(-LN(2)/inputs!$C$52)*O205))</f>
        <v>2.3953600751225666E-3</v>
      </c>
      <c r="P206" s="3">
        <f>IF((B206&gt;B205), (EXP(-LN(2)/inputs!$C$52)*P205+$P$3), (EXP(-LN(2)/inputs!$C$52)*P205))</f>
        <v>2.3146482290890527E-3</v>
      </c>
      <c r="Q206" s="19">
        <f>IF((F206*0.62*1/(0.012*(10^inputs!$C$55)))&gt;inputs!$C$57, inputs!$C$57, (F206*0.62*1/(0.012*(10^inputs!$C$55))))</f>
        <v>1.6311631484890959E-12</v>
      </c>
      <c r="R206" s="3">
        <f>IF((B206&gt;B205), (EXP(-LN(2)/inputs!$C$51)*R205+$R$3), (EXP(-LN(2)/inputs!$C$51)*R205))</f>
        <v>3.7899164249124171E-18</v>
      </c>
      <c r="T206" s="7">
        <f>IF(T205&lt;(inputs!$C$9-1),(1+T205),0)</f>
        <v>0</v>
      </c>
      <c r="U206" s="7">
        <f>IF(inputs!$C$8&gt;U205,IF(T205=(inputs!$C$9-1),(U205+1),U205), U205)</f>
        <v>1</v>
      </c>
      <c r="V206" s="7">
        <f t="shared" si="6"/>
        <v>203</v>
      </c>
      <c r="W206" s="8">
        <f>IF((U206&gt;U205), (EXP(-LN(2)/inputs!$C$51)*W205+$W$3), (EXP(-LN(2)/inputs!$C$51)*W205))</f>
        <v>1.2542153595655019E-10</v>
      </c>
      <c r="X206" s="8">
        <f>IF((U206&gt;U205), (EXP(-LN(2)/inputs!$C$51)*X205+$X$3), (EXP(-LN(2)/inputs!$C$51)*X205))</f>
        <v>5.3119709346303519E-11</v>
      </c>
      <c r="Y206" s="8">
        <f>IF((U206&gt;U205), (EXP(-LN(2)/inputs!$C$51)*Y205+$Y$3), (EXP(-LN(2)/inputs!$C$51)*Y205))</f>
        <v>6.6399636682879544E-11</v>
      </c>
      <c r="Z206" s="8">
        <f>IF((U206&gt;U205), (EXP(-LN(2)/inputs!$C$51)*Z205+$Z$3), (EXP(-LN(2)/inputs!$C$51)*Z205))</f>
        <v>1.0328832372892352E-11</v>
      </c>
      <c r="AA206" s="8">
        <f>IF((U206&gt;U205), (EXP(-LN(2)/inputs!$C$51)*AA205+$AA$3), (EXP(-LN(2)/inputs!$C$51)*AA205))</f>
        <v>9.5910586319714713E-11</v>
      </c>
      <c r="AB206" s="7">
        <f>(((0.621*15^0.564)/0.2))*W206/15+AB205*inputs!$C$53</f>
        <v>1.3496168030142294E-10</v>
      </c>
      <c r="AC206" s="7">
        <f>(((0.621*1000^0.564)/0.2))*W206/1000+AC205*inputs!$C$53</f>
        <v>2.1626501297515492E-11</v>
      </c>
      <c r="AD206" s="7">
        <f>(((0.648*20^0.651)/0.2))*AA206/20+AD205*inputs!$C$54</f>
        <v>1.4446840471472955E-10</v>
      </c>
      <c r="AE206" s="7">
        <f>(((0.013*2^0.773)/0.2))*AA206/2+AE205*inputs!$C$54</f>
        <v>7.0447710439904491E-12</v>
      </c>
    </row>
    <row r="207" spans="1:31" x14ac:dyDescent="0.3">
      <c r="A207" s="7">
        <f>IF(A206&lt;(inputs!$C$9-1),(1+A206),0)</f>
        <v>0</v>
      </c>
      <c r="B207" s="7">
        <f>IF(inputs!$C$8&gt;B206,IF(A206=(inputs!$C$9-1),(B206+1),B206), B206)</f>
        <v>1</v>
      </c>
      <c r="C207" s="7">
        <f t="shared" si="7"/>
        <v>204</v>
      </c>
      <c r="D207" s="8">
        <f>IF((B207&gt;B206), (EXP(-LN(2)/inputs!$C$51)*D206+$D$3), (EXP(-LN(2)/inputs!$C$51)*D206))</f>
        <v>3.1071793259862198E-10</v>
      </c>
      <c r="E207" s="8">
        <f>IF((B207&gt;B206), (EXP(-LN(2)/inputs!$C$51)*E206+$E$3), (EXP(-LN(2)/inputs!$C$51)*E206))</f>
        <v>1.4241238577436842E-10</v>
      </c>
      <c r="F207" s="8">
        <f>IF((B207&gt;B206), (EXP(-LN(2)/inputs!$C$51)*F206+$F$3), (EXP(-LN(2)/inputs!$C$51)*F206))</f>
        <v>1.7477883708672506E-10</v>
      </c>
      <c r="G207" s="8">
        <f>IF((B207&gt;B206), (EXP(-LN(2)/inputs!$C$51)*G206+$G$3), (EXP(-LN(2)/inputs!$C$51)*G206))</f>
        <v>1.9419870787413874E-11</v>
      </c>
      <c r="H207" s="8">
        <f>IF((B207&gt;B206), (EXP(-LN(2)/inputs!$C$51)*H206+$H$3), (EXP(-LN(2)/inputs!$C$51)*H206))</f>
        <v>1.2169785693446034E-10</v>
      </c>
      <c r="I207" s="7">
        <f>O207*(10^inputs!$C$55)*0.01/1</f>
        <v>0.14808701640748198</v>
      </c>
      <c r="J207" s="7">
        <f>(((0.621*15^0.564)/0.2))*D207/15+J206*inputs!$C$53</f>
        <v>3.343525811852747E-10</v>
      </c>
      <c r="K207" s="7">
        <f>(((0.621*1000^0.564)/0.2))*D207/1000+K206*inputs!$C$53</f>
        <v>5.3577256260307247E-11</v>
      </c>
      <c r="L207" s="7">
        <f>(((0.648*20^0.651)/0.2))*H207/20+L206*inputs!$C$54</f>
        <v>1.8331131028555645E-10</v>
      </c>
      <c r="M207" s="7">
        <f>(((0.013*2^0.773)/0.2))*H207/2+M206*inputs!$C$54</f>
        <v>8.9388833031390909E-12</v>
      </c>
      <c r="N207" s="7">
        <f>O207*0.015*inputs!$C$56</f>
        <v>2.175688505897802E-2</v>
      </c>
      <c r="O207" s="7">
        <f>IF((B207&gt;B206), (EXP(-LN(2)/inputs!$C$52)*O206+$O$3), (EXP(-LN(2)/inputs!$C$52)*O206))</f>
        <v>2.3470210419609516E-3</v>
      </c>
      <c r="P207" s="3">
        <f>IF((B207&gt;B206), (EXP(-LN(2)/inputs!$C$52)*P206+$P$3), (EXP(-LN(2)/inputs!$C$52)*P206))</f>
        <v>2.2679379834498106E-3</v>
      </c>
      <c r="Q207" s="19">
        <f>IF((F207*0.62*1/(0.012*(10^inputs!$C$55)))&gt;inputs!$C$57, inputs!$C$57, (F207*0.62*1/(0.012*(10^inputs!$C$55))))</f>
        <v>1.4311965769392713E-12</v>
      </c>
      <c r="R207" s="3">
        <f>IF((B207&gt;B206), (EXP(-LN(2)/inputs!$C$51)*R206+$R$3), (EXP(-LN(2)/inputs!$C$51)*R206))</f>
        <v>3.325305270196172E-18</v>
      </c>
      <c r="T207" s="7">
        <f>IF(T206&lt;(inputs!$C$9-1),(1+T206),0)</f>
        <v>0</v>
      </c>
      <c r="U207" s="7">
        <f>IF(inputs!$C$8&gt;U206,IF(T206=(inputs!$C$9-1),(U206+1),U206), U206)</f>
        <v>1</v>
      </c>
      <c r="V207" s="7">
        <f t="shared" si="6"/>
        <v>204</v>
      </c>
      <c r="W207" s="8">
        <f>IF((U207&gt;U206), (EXP(-LN(2)/inputs!$C$51)*W206+$W$3), (EXP(-LN(2)/inputs!$C$51)*W206))</f>
        <v>1.1004593446201209E-10</v>
      </c>
      <c r="X207" s="8">
        <f>IF((U207&gt;U206), (EXP(-LN(2)/inputs!$C$51)*X206+$X$3), (EXP(-LN(2)/inputs!$C$51)*X206))</f>
        <v>4.6607689889793278E-11</v>
      </c>
      <c r="Y207" s="8">
        <f>IF((U207&gt;U206), (EXP(-LN(2)/inputs!$C$51)*Y206+$Y$3), (EXP(-LN(2)/inputs!$C$51)*Y206))</f>
        <v>5.8259612362241722E-11</v>
      </c>
      <c r="Z207" s="8">
        <f>IF((U207&gt;U206), (EXP(-LN(2)/inputs!$C$51)*Z206+$Z$3), (EXP(-LN(2)/inputs!$C$51)*Z206))</f>
        <v>9.0626063674598047E-12</v>
      </c>
      <c r="AA207" s="8">
        <f>IF((U207&gt;U206), (EXP(-LN(2)/inputs!$C$51)*AA206+$AA$3), (EXP(-LN(2)/inputs!$C$51)*AA206))</f>
        <v>8.4152773412126771E-11</v>
      </c>
      <c r="AB207" s="7">
        <f>(((0.621*15^0.564)/0.2))*W207/15+AB206*inputs!$C$53</f>
        <v>1.1841653916978494E-10</v>
      </c>
      <c r="AC207" s="7">
        <f>(((0.621*1000^0.564)/0.2))*W207/1000+AC206*inputs!$C$53</f>
        <v>1.8975278258858841E-11</v>
      </c>
      <c r="AD207" s="7">
        <f>(((0.648*20^0.651)/0.2))*AA207/20+AD206*inputs!$C$54</f>
        <v>1.2675782094214002E-10</v>
      </c>
      <c r="AE207" s="7">
        <f>(((0.013*2^0.773)/0.2))*AA207/2+AE206*inputs!$C$54</f>
        <v>6.1811427096174533E-12</v>
      </c>
    </row>
    <row r="208" spans="1:31" x14ac:dyDescent="0.3">
      <c r="A208" s="7">
        <f>IF(A207&lt;(inputs!$C$9-1),(1+A207),0)</f>
        <v>0</v>
      </c>
      <c r="B208" s="7">
        <f>IF(inputs!$C$8&gt;B207,IF(A207=(inputs!$C$9-1),(B207+1),B207), B207)</f>
        <v>1</v>
      </c>
      <c r="C208" s="7">
        <f t="shared" si="7"/>
        <v>205</v>
      </c>
      <c r="D208" s="8">
        <f>IF((B208&gt;B207), (EXP(-LN(2)/inputs!$C$51)*D207+$D$3), (EXP(-LN(2)/inputs!$C$51)*D207))</f>
        <v>2.7262658670330282E-10</v>
      </c>
      <c r="E208" s="8">
        <f>IF((B208&gt;B207), (EXP(-LN(2)/inputs!$C$51)*E207+$E$3), (EXP(-LN(2)/inputs!$C$51)*E207))</f>
        <v>1.2495385223901381E-10</v>
      </c>
      <c r="F208" s="8">
        <f>IF((B208&gt;B207), (EXP(-LN(2)/inputs!$C$51)*F207+$F$3), (EXP(-LN(2)/inputs!$C$51)*F207))</f>
        <v>1.5335245502060801E-10</v>
      </c>
      <c r="G208" s="8">
        <f>IF((B208&gt;B207), (EXP(-LN(2)/inputs!$C$51)*G207+$G$3), (EXP(-LN(2)/inputs!$C$51)*G207))</f>
        <v>1.7039161668956426E-11</v>
      </c>
      <c r="H208" s="8">
        <f>IF((B208&gt;B207), (EXP(-LN(2)/inputs!$C$51)*H207+$H$3), (EXP(-LN(2)/inputs!$C$51)*H207))</f>
        <v>1.0677874645879366E-10</v>
      </c>
      <c r="I208" s="7">
        <f>O208*(10^inputs!$C$55)*0.01/1</f>
        <v>0.14509857919035102</v>
      </c>
      <c r="J208" s="7">
        <f>(((0.621*15^0.564)/0.2))*D208/15+J207*inputs!$C$53</f>
        <v>2.9336383066673586E-10</v>
      </c>
      <c r="K208" s="7">
        <f>(((0.621*1000^0.564)/0.2))*D208/1000+K207*inputs!$C$53</f>
        <v>4.7009145487731363E-11</v>
      </c>
      <c r="L208" s="7">
        <f>(((0.648*20^0.651)/0.2))*H208/20+L207*inputs!$C$54</f>
        <v>1.6083892039735764E-10</v>
      </c>
      <c r="M208" s="7">
        <f>(((0.013*2^0.773)/0.2))*H208/2+M207*inputs!$C$54</f>
        <v>7.8430530980070105E-12</v>
      </c>
      <c r="N208" s="7">
        <f>O208*0.015*inputs!$C$56</f>
        <v>2.1317825061576347E-2</v>
      </c>
      <c r="O208" s="7">
        <f>IF((B208&gt;B207), (EXP(-LN(2)/inputs!$C$52)*O207+$O$3), (EXP(-LN(2)/inputs!$C$52)*O207))</f>
        <v>2.2996575039456687E-3</v>
      </c>
      <c r="P208" s="3">
        <f>IF((B208&gt;B207), (EXP(-LN(2)/inputs!$C$52)*P207+$P$3), (EXP(-LN(2)/inputs!$C$52)*P207))</f>
        <v>2.2221703635712598E-3</v>
      </c>
      <c r="Q208" s="19">
        <f>IF((F208*0.62*1/(0.012*(10^inputs!$C$55)))&gt;inputs!$C$57, inputs!$C$57, (F208*0.62*1/(0.012*(10^inputs!$C$55))))</f>
        <v>1.2557441870483625E-12</v>
      </c>
      <c r="R208" s="3">
        <f>IF((B208&gt;B207), (EXP(-LN(2)/inputs!$C$51)*R207+$R$3), (EXP(-LN(2)/inputs!$C$51)*R207))</f>
        <v>2.9176514466938337E-18</v>
      </c>
      <c r="T208" s="7">
        <f>IF(T207&lt;(inputs!$C$9-1),(1+T207),0)</f>
        <v>0</v>
      </c>
      <c r="U208" s="7">
        <f>IF(inputs!$C$8&gt;U207,IF(T207=(inputs!$C$9-1),(U207+1),U207), U207)</f>
        <v>1</v>
      </c>
      <c r="V208" s="7">
        <f t="shared" si="6"/>
        <v>205</v>
      </c>
      <c r="W208" s="8">
        <f>IF((U208&gt;U207), (EXP(-LN(2)/inputs!$C$51)*W207+$W$3), (EXP(-LN(2)/inputs!$C$51)*W207))</f>
        <v>9.6555249457419884E-11</v>
      </c>
      <c r="X208" s="8">
        <f>IF((U208&gt;U207), (EXP(-LN(2)/inputs!$C$51)*X207+$X$3), (EXP(-LN(2)/inputs!$C$51)*X207))</f>
        <v>4.0893988005495409E-11</v>
      </c>
      <c r="Y208" s="8">
        <f>IF((U208&gt;U207), (EXP(-LN(2)/inputs!$C$51)*Y207+$Y$3), (EXP(-LN(2)/inputs!$C$51)*Y207))</f>
        <v>5.1117485006869369E-11</v>
      </c>
      <c r="Z208" s="8">
        <f>IF((U208&gt;U207), (EXP(-LN(2)/inputs!$C$51)*Z207+$Z$3), (EXP(-LN(2)/inputs!$C$51)*Z207))</f>
        <v>7.9516087788463296E-12</v>
      </c>
      <c r="AA208" s="8">
        <f>IF((U208&gt;U207), (EXP(-LN(2)/inputs!$C$51)*AA207+$AA$3), (EXP(-LN(2)/inputs!$C$51)*AA207))</f>
        <v>7.3836367232144507E-11</v>
      </c>
      <c r="AB208" s="7">
        <f>(((0.621*15^0.564)/0.2))*W208/15+AB207*inputs!$C$53</f>
        <v>1.0389969002780245E-10</v>
      </c>
      <c r="AC208" s="7">
        <f>(((0.621*1000^0.564)/0.2))*W208/1000+AC207*inputs!$C$53</f>
        <v>1.6649072360238213E-11</v>
      </c>
      <c r="AD208" s="7">
        <f>(((0.648*20^0.651)/0.2))*AA208/20+AD207*inputs!$C$54</f>
        <v>1.1121840240242811E-10</v>
      </c>
      <c r="AE208" s="7">
        <f>(((0.013*2^0.773)/0.2))*AA208/2+AE207*inputs!$C$54</f>
        <v>5.4233877805367592E-12</v>
      </c>
    </row>
    <row r="209" spans="1:31" x14ac:dyDescent="0.3">
      <c r="A209" s="7">
        <f>IF(A208&lt;(inputs!$C$9-1),(1+A208),0)</f>
        <v>0</v>
      </c>
      <c r="B209" s="7">
        <f>IF(inputs!$C$8&gt;B208,IF(A208=(inputs!$C$9-1),(B208+1),B208), B208)</f>
        <v>1</v>
      </c>
      <c r="C209" s="7">
        <f t="shared" si="7"/>
        <v>206</v>
      </c>
      <c r="D209" s="8">
        <f>IF((B209&gt;B208), (EXP(-LN(2)/inputs!$C$51)*D208+$D$3), (EXP(-LN(2)/inputs!$C$51)*D208))</f>
        <v>2.3920491217191859E-10</v>
      </c>
      <c r="E209" s="8">
        <f>IF((B209&gt;B208), (EXP(-LN(2)/inputs!$C$51)*E208+$E$3), (EXP(-LN(2)/inputs!$C$51)*E208))</f>
        <v>1.0963558474546271E-10</v>
      </c>
      <c r="F209" s="8">
        <f>IF((B209&gt;B208), (EXP(-LN(2)/inputs!$C$51)*F208+$F$3), (EXP(-LN(2)/inputs!$C$51)*F208))</f>
        <v>1.3455276309670436E-10</v>
      </c>
      <c r="G209" s="8">
        <f>IF((B209&gt;B208), (EXP(-LN(2)/inputs!$C$51)*G208+$G$3), (EXP(-LN(2)/inputs!$C$51)*G208))</f>
        <v>1.4950307010744912E-11</v>
      </c>
      <c r="H209" s="8">
        <f>IF((B209&gt;B208), (EXP(-LN(2)/inputs!$C$51)*H208+$H$3), (EXP(-LN(2)/inputs!$C$51)*H208))</f>
        <v>9.3688590600668177E-11</v>
      </c>
      <c r="I209" s="7">
        <f>O209*(10^inputs!$C$55)*0.01/1</f>
        <v>0.14217044946821447</v>
      </c>
      <c r="J209" s="7">
        <f>(((0.621*15^0.564)/0.2))*D209/15+J208*inputs!$C$53</f>
        <v>2.5739994839690375E-10</v>
      </c>
      <c r="K209" s="7">
        <f>(((0.621*1000^0.564)/0.2))*D209/1000+K208*inputs!$C$53</f>
        <v>4.1246228600247864E-11</v>
      </c>
      <c r="L209" s="7">
        <f>(((0.648*20^0.651)/0.2))*H209/20+L208*inputs!$C$54</f>
        <v>1.4112145221311994E-10</v>
      </c>
      <c r="M209" s="7">
        <f>(((0.013*2^0.773)/0.2))*H209/2+M208*inputs!$C$54</f>
        <v>6.8815622502371764E-12</v>
      </c>
      <c r="N209" s="7">
        <f>O209*0.015*inputs!$C$56</f>
        <v>2.0887625417152406E-2</v>
      </c>
      <c r="O209" s="7">
        <f>IF((B209&gt;B208), (EXP(-LN(2)/inputs!$C$52)*O208+$O$3), (EXP(-LN(2)/inputs!$C$52)*O208))</f>
        <v>2.2532497753130964E-3</v>
      </c>
      <c r="P209" s="3">
        <f>IF((B209&gt;B208), (EXP(-LN(2)/inputs!$C$52)*P208+$P$3), (EXP(-LN(2)/inputs!$C$52)*P208))</f>
        <v>2.1773263470031318E-3</v>
      </c>
      <c r="Q209" s="19">
        <f>IF((F209*0.62*1/(0.012*(10^inputs!$C$55)))&gt;inputs!$C$57, inputs!$C$57, (F209*0.62*1/(0.012*(10^inputs!$C$55))))</f>
        <v>1.1018007510037972E-12</v>
      </c>
      <c r="R209" s="3">
        <f>IF((B209&gt;B208), (EXP(-LN(2)/inputs!$C$51)*R208+$R$3), (EXP(-LN(2)/inputs!$C$51)*R208))</f>
        <v>2.5599724755172405E-18</v>
      </c>
      <c r="T209" s="7">
        <f>IF(T208&lt;(inputs!$C$9-1),(1+T208),0)</f>
        <v>0</v>
      </c>
      <c r="U209" s="7">
        <f>IF(inputs!$C$8&gt;U208,IF(T208=(inputs!$C$9-1),(U208+1),U208), U208)</f>
        <v>1</v>
      </c>
      <c r="V209" s="7">
        <f t="shared" si="6"/>
        <v>206</v>
      </c>
      <c r="W209" s="8">
        <f>IF((U209&gt;U208), (EXP(-LN(2)/inputs!$C$51)*W208+$W$3), (EXP(-LN(2)/inputs!$C$51)*W208))</f>
        <v>8.4718406394221294E-11</v>
      </c>
      <c r="X209" s="8">
        <f>IF((U209&gt;U208), (EXP(-LN(2)/inputs!$C$51)*X208+$X$3), (EXP(-LN(2)/inputs!$C$51)*X208))</f>
        <v>3.5880736825787777E-11</v>
      </c>
      <c r="Y209" s="8">
        <f>IF((U209&gt;U208), (EXP(-LN(2)/inputs!$C$51)*Y208+$Y$3), (EXP(-LN(2)/inputs!$C$51)*Y208))</f>
        <v>4.4850921032234816E-11</v>
      </c>
      <c r="Z209" s="8">
        <f>IF((U209&gt;U208), (EXP(-LN(2)/inputs!$C$51)*Z208+$Z$3), (EXP(-LN(2)/inputs!$C$51)*Z208))</f>
        <v>6.9768099383476238E-12</v>
      </c>
      <c r="AA209" s="8">
        <f>IF((U209&gt;U208), (EXP(-LN(2)/inputs!$C$51)*AA208+$AA$3), (EXP(-LN(2)/inputs!$C$51)*AA208))</f>
        <v>6.4784663713227945E-11</v>
      </c>
      <c r="AB209" s="7">
        <f>(((0.621*15^0.564)/0.2))*W209/15+AB208*inputs!$C$53</f>
        <v>9.1162481723903548E-11</v>
      </c>
      <c r="AC209" s="7">
        <f>(((0.621*1000^0.564)/0.2))*W209/1000+AC208*inputs!$C$53</f>
        <v>1.4608039295921141E-11</v>
      </c>
      <c r="AD209" s="7">
        <f>(((0.648*20^0.651)/0.2))*AA209/20+AD208*inputs!$C$54</f>
        <v>9.7583982913327543E-11</v>
      </c>
      <c r="AE209" s="7">
        <f>(((0.013*2^0.773)/0.2))*AA209/2+AE208*inputs!$C$54</f>
        <v>4.7585270879299585E-12</v>
      </c>
    </row>
    <row r="210" spans="1:31" x14ac:dyDescent="0.3">
      <c r="A210" s="7">
        <f>IF(A209&lt;(inputs!$C$9-1),(1+A209),0)</f>
        <v>0</v>
      </c>
      <c r="B210" s="7">
        <f>IF(inputs!$C$8&gt;B209,IF(A209=(inputs!$C$9-1),(B209+1),B209), B209)</f>
        <v>1</v>
      </c>
      <c r="C210" s="7">
        <f t="shared" si="7"/>
        <v>207</v>
      </c>
      <c r="D210" s="8">
        <f>IF((B210&gt;B209), (EXP(-LN(2)/inputs!$C$51)*D209+$D$3), (EXP(-LN(2)/inputs!$C$51)*D209))</f>
        <v>2.0988044746144375E-10</v>
      </c>
      <c r="E210" s="8">
        <f>IF((B210&gt;B209), (EXP(-LN(2)/inputs!$C$51)*E209+$E$3), (EXP(-LN(2)/inputs!$C$51)*E209))</f>
        <v>9.6195205086495077E-11</v>
      </c>
      <c r="F210" s="8">
        <f>IF((B210&gt;B209), (EXP(-LN(2)/inputs!$C$51)*F209+$F$3), (EXP(-LN(2)/inputs!$C$51)*F209))</f>
        <v>1.1805775169706224E-10</v>
      </c>
      <c r="G210" s="8">
        <f>IF((B210&gt;B209), (EXP(-LN(2)/inputs!$C$51)*G209+$G$3), (EXP(-LN(2)/inputs!$C$51)*G209))</f>
        <v>1.3117527966340234E-11</v>
      </c>
      <c r="H210" s="8">
        <f>IF((B210&gt;B209), (EXP(-LN(2)/inputs!$C$51)*H209+$H$3), (EXP(-LN(2)/inputs!$C$51)*H209))</f>
        <v>8.2203175255732194E-11</v>
      </c>
      <c r="I210" s="7">
        <f>O210*(10^inputs!$C$55)*0.01/1</f>
        <v>0.13930141021903433</v>
      </c>
      <c r="J210" s="7">
        <f>(((0.621*15^0.564)/0.2))*D210/15+J209*inputs!$C$53</f>
        <v>2.2584492874990687E-10</v>
      </c>
      <c r="K210" s="7">
        <f>(((0.621*1000^0.564)/0.2))*D210/1000+K209*inputs!$C$53</f>
        <v>3.6189795753422169E-11</v>
      </c>
      <c r="L210" s="7">
        <f>(((0.648*20^0.651)/0.2))*H210/20+L209*inputs!$C$54</f>
        <v>1.2382117602840533E-10</v>
      </c>
      <c r="M210" s="7">
        <f>(((0.013*2^0.773)/0.2))*H210/2+M209*inputs!$C$54</f>
        <v>6.0379419101373798E-12</v>
      </c>
      <c r="N210" s="7">
        <f>O210*0.015*inputs!$C$56</f>
        <v>2.0466107321316453E-2</v>
      </c>
      <c r="O210" s="7">
        <f>IF((B210&gt;B209), (EXP(-LN(2)/inputs!$C$52)*O209+$O$3), (EXP(-LN(2)/inputs!$C$52)*O209))</f>
        <v>2.2077785675638029E-3</v>
      </c>
      <c r="P210" s="3">
        <f>IF((B210&gt;B209), (EXP(-LN(2)/inputs!$C$52)*P209+$P$3), (EXP(-LN(2)/inputs!$C$52)*P209))</f>
        <v>2.1333872951734994E-3</v>
      </c>
      <c r="Q210" s="19">
        <f>IF((F210*0.62*1/(0.012*(10^inputs!$C$55)))&gt;inputs!$C$57, inputs!$C$57, (F210*0.62*1/(0.012*(10^inputs!$C$55))))</f>
        <v>9.6672945607334741E-13</v>
      </c>
      <c r="R210" s="3">
        <f>IF((B210&gt;B209), (EXP(-LN(2)/inputs!$C$51)*R209+$R$3), (EXP(-LN(2)/inputs!$C$51)*R209))</f>
        <v>2.2461418696301053E-18</v>
      </c>
      <c r="T210" s="7">
        <f>IF(T209&lt;(inputs!$C$9-1),(1+T209),0)</f>
        <v>0</v>
      </c>
      <c r="U210" s="7">
        <f>IF(inputs!$C$8&gt;U209,IF(T209=(inputs!$C$9-1),(U209+1),U209), U209)</f>
        <v>1</v>
      </c>
      <c r="V210" s="7">
        <f t="shared" si="6"/>
        <v>207</v>
      </c>
      <c r="W210" s="8">
        <f>IF((U210&gt;U209), (EXP(-LN(2)/inputs!$C$51)*W209+$W$3), (EXP(-LN(2)/inputs!$C$51)*W209))</f>
        <v>7.433265847592811E-11</v>
      </c>
      <c r="X210" s="8">
        <f>IF((U210&gt;U209), (EXP(-LN(2)/inputs!$C$51)*X209+$X$3), (EXP(-LN(2)/inputs!$C$51)*X209))</f>
        <v>3.1482067119216554E-11</v>
      </c>
      <c r="Y210" s="8">
        <f>IF((U210&gt;U209), (EXP(-LN(2)/inputs!$C$51)*Y209+$Y$3), (EXP(-LN(2)/inputs!$C$51)*Y209))</f>
        <v>3.9352583899020774E-11</v>
      </c>
      <c r="Z210" s="8">
        <f>IF((U210&gt;U209), (EXP(-LN(2)/inputs!$C$51)*Z209+$Z$3), (EXP(-LN(2)/inputs!$C$51)*Z209))</f>
        <v>6.121513050958775E-12</v>
      </c>
      <c r="AA210" s="8">
        <f>IF((U210&gt;U209), (EXP(-LN(2)/inputs!$C$51)*AA209+$AA$3), (EXP(-LN(2)/inputs!$C$51)*AA209))</f>
        <v>5.6842621187474348E-11</v>
      </c>
      <c r="AB210" s="7">
        <f>(((0.621*15^0.564)/0.2))*W210/15+AB209*inputs!$C$53</f>
        <v>7.9986745598925488E-11</v>
      </c>
      <c r="AC210" s="7">
        <f>(((0.621*1000^0.564)/0.2))*W210/1000+AC209*inputs!$C$53</f>
        <v>1.2817219329337036E-11</v>
      </c>
      <c r="AD210" s="7">
        <f>(((0.648*20^0.651)/0.2))*AA210/20+AD209*inputs!$C$54</f>
        <v>8.5621025977088721E-11</v>
      </c>
      <c r="AE210" s="7">
        <f>(((0.013*2^0.773)/0.2))*AA210/2+AE209*inputs!$C$54</f>
        <v>4.1751725974354192E-12</v>
      </c>
    </row>
    <row r="211" spans="1:31" x14ac:dyDescent="0.3">
      <c r="A211" s="7">
        <f>IF(A210&lt;(inputs!$C$9-1),(1+A210),0)</f>
        <v>0</v>
      </c>
      <c r="B211" s="7">
        <f>IF(inputs!$C$8&gt;B210,IF(A210=(inputs!$C$9-1),(B210+1),B210), B210)</f>
        <v>1</v>
      </c>
      <c r="C211" s="7">
        <f t="shared" si="7"/>
        <v>208</v>
      </c>
      <c r="D211" s="8">
        <f>IF((B211&gt;B210), (EXP(-LN(2)/inputs!$C$51)*D210+$D$3), (EXP(-LN(2)/inputs!$C$51)*D210))</f>
        <v>1.8415090988999793E-10</v>
      </c>
      <c r="E211" s="8">
        <f>IF((B211&gt;B210), (EXP(-LN(2)/inputs!$C$51)*E210+$E$3), (EXP(-LN(2)/inputs!$C$51)*E210))</f>
        <v>8.4402500366249076E-11</v>
      </c>
      <c r="F211" s="8">
        <f>IF((B211&gt;B210), (EXP(-LN(2)/inputs!$C$51)*F210+$F$3), (EXP(-LN(2)/inputs!$C$51)*F210))</f>
        <v>1.0358488681312395E-10</v>
      </c>
      <c r="G211" s="8">
        <f>IF((B211&gt;B210), (EXP(-LN(2)/inputs!$C$51)*G210+$G$3), (EXP(-LN(2)/inputs!$C$51)*G210))</f>
        <v>1.1509431868124871E-11</v>
      </c>
      <c r="H211" s="8">
        <f>IF((B211&gt;B210), (EXP(-LN(2)/inputs!$C$51)*H210+$H$3), (EXP(-LN(2)/inputs!$C$51)*H210))</f>
        <v>7.2125773040249248E-11</v>
      </c>
      <c r="I211" s="7">
        <f>O211*(10^inputs!$C$55)*0.01/1</f>
        <v>0.13649026898061611</v>
      </c>
      <c r="J211" s="7">
        <f>(((0.621*15^0.564)/0.2))*D211/15+J210*inputs!$C$53</f>
        <v>1.9815828309103137E-10</v>
      </c>
      <c r="K211" s="7">
        <f>(((0.621*1000^0.564)/0.2))*D211/1000+K210*inputs!$C$53</f>
        <v>3.1753238080694301E-11</v>
      </c>
      <c r="L211" s="7">
        <f>(((0.648*20^0.651)/0.2))*H211/20+L210*inputs!$C$54</f>
        <v>1.0864176489555684E-10</v>
      </c>
      <c r="M211" s="7">
        <f>(((0.013*2^0.773)/0.2))*H211/2+M210*inputs!$C$54</f>
        <v>5.2977421673308176E-12</v>
      </c>
      <c r="N211" s="7">
        <f>O211*0.015*inputs!$C$56</f>
        <v>2.005309557800113E-2</v>
      </c>
      <c r="O211" s="7">
        <f>IF((B211&gt;B210), (EXP(-LN(2)/inputs!$C$52)*O210+$O$3), (EXP(-LN(2)/inputs!$C$52)*O210))</f>
        <v>2.1632249814456453E-3</v>
      </c>
      <c r="P211" s="3">
        <f>IF((B211&gt;B210), (EXP(-LN(2)/inputs!$C$52)*P210+$P$3), (EXP(-LN(2)/inputs!$C$52)*P210))</f>
        <v>2.0903349456420067E-3</v>
      </c>
      <c r="Q211" s="19">
        <f>IF((F211*0.62*1/(0.012*(10^inputs!$C$55)))&gt;inputs!$C$57, inputs!$C$57, (F211*0.62*1/(0.012*(10^inputs!$C$55))))</f>
        <v>8.4821674008520379E-13</v>
      </c>
      <c r="R211" s="3">
        <f>IF((B211&gt;B210), (EXP(-LN(2)/inputs!$C$51)*R210+$R$3), (EXP(-LN(2)/inputs!$C$51)*R210))</f>
        <v>1.9707841966097918E-18</v>
      </c>
      <c r="T211" s="7">
        <f>IF(T210&lt;(inputs!$C$9-1),(1+T210),0)</f>
        <v>0</v>
      </c>
      <c r="U211" s="7">
        <f>IF(inputs!$C$8&gt;U210,IF(T210=(inputs!$C$9-1),(U210+1),U210), U210)</f>
        <v>1</v>
      </c>
      <c r="V211" s="7">
        <f t="shared" si="6"/>
        <v>208</v>
      </c>
      <c r="W211" s="8">
        <f>IF((U211&gt;U210), (EXP(-LN(2)/inputs!$C$51)*W210+$W$3), (EXP(-LN(2)/inputs!$C$51)*W210))</f>
        <v>6.5220113919374379E-11</v>
      </c>
      <c r="X211" s="8">
        <f>IF((U211&gt;U210), (EXP(-LN(2)/inputs!$C$51)*X210+$X$3), (EXP(-LN(2)/inputs!$C$51)*X210))</f>
        <v>2.7622636483499683E-11</v>
      </c>
      <c r="Y211" s="8">
        <f>IF((U211&gt;U210), (EXP(-LN(2)/inputs!$C$51)*Y210+$Y$3), (EXP(-LN(2)/inputs!$C$51)*Y210))</f>
        <v>3.4528295604374675E-11</v>
      </c>
      <c r="Z211" s="8">
        <f>IF((U211&gt;U210), (EXP(-LN(2)/inputs!$C$51)*Z210+$Z$3), (EXP(-LN(2)/inputs!$C$51)*Z210))</f>
        <v>5.3710682051249391E-12</v>
      </c>
      <c r="AA211" s="8">
        <f>IF((U211&gt;U210), (EXP(-LN(2)/inputs!$C$51)*AA210+$AA$3), (EXP(-LN(2)/inputs!$C$51)*AA210))</f>
        <v>4.987420476187444E-11</v>
      </c>
      <c r="AB211" s="7">
        <f>(((0.621*15^0.564)/0.2))*W211/15+AB210*inputs!$C$53</f>
        <v>7.0181058594740392E-11</v>
      </c>
      <c r="AC211" s="7">
        <f>(((0.621*1000^0.564)/0.2))*W211/1000+AC210*inputs!$C$53</f>
        <v>1.1245938486912582E-11</v>
      </c>
      <c r="AD211" s="7">
        <f>(((0.648*20^0.651)/0.2))*AA211/20+AD210*inputs!$C$54</f>
        <v>7.5124624661821161E-11</v>
      </c>
      <c r="AE211" s="7">
        <f>(((0.013*2^0.773)/0.2))*AA211/2+AE210*inputs!$C$54</f>
        <v>3.6633323497500303E-12</v>
      </c>
    </row>
    <row r="212" spans="1:31" x14ac:dyDescent="0.3">
      <c r="A212" s="7">
        <f>IF(A211&lt;(inputs!$C$9-1),(1+A211),0)</f>
        <v>0</v>
      </c>
      <c r="B212" s="7">
        <f>IF(inputs!$C$8&gt;B211,IF(A211=(inputs!$C$9-1),(B211+1),B211), B211)</f>
        <v>1</v>
      </c>
      <c r="C212" s="7">
        <f t="shared" si="7"/>
        <v>209</v>
      </c>
      <c r="D212" s="8">
        <f>IF((B212&gt;B211), (EXP(-LN(2)/inputs!$C$51)*D211+$D$3), (EXP(-LN(2)/inputs!$C$51)*D211))</f>
        <v>1.6157559231211325E-10</v>
      </c>
      <c r="E212" s="8">
        <f>IF((B212&gt;B211), (EXP(-LN(2)/inputs!$C$51)*E211+$E$3), (EXP(-LN(2)/inputs!$C$51)*E211))</f>
        <v>7.4055479809718592E-11</v>
      </c>
      <c r="F212" s="8">
        <f>IF((B212&gt;B211), (EXP(-LN(2)/inputs!$C$51)*F211+$F$3), (EXP(-LN(2)/inputs!$C$51)*F211))</f>
        <v>9.088627067556381E-11</v>
      </c>
      <c r="G212" s="8">
        <f>IF((B212&gt;B211), (EXP(-LN(2)/inputs!$C$51)*G211+$G$3), (EXP(-LN(2)/inputs!$C$51)*G211))</f>
        <v>1.0098474519507078E-11</v>
      </c>
      <c r="H212" s="8">
        <f>IF((B212&gt;B211), (EXP(-LN(2)/inputs!$C$51)*H211+$H$3), (EXP(-LN(2)/inputs!$C$51)*H211))</f>
        <v>6.3283773655577743E-11</v>
      </c>
      <c r="I212" s="7">
        <f>O212*(10^inputs!$C$55)*0.01/1</f>
        <v>0.13373585735498436</v>
      </c>
      <c r="J212" s="7">
        <f>(((0.621*15^0.564)/0.2))*D212/15+J211*inputs!$C$53</f>
        <v>1.7386578204316453E-10</v>
      </c>
      <c r="K212" s="7">
        <f>(((0.621*1000^0.564)/0.2))*D212/1000+K211*inputs!$C$53</f>
        <v>2.7860564217578135E-11</v>
      </c>
      <c r="L212" s="7">
        <f>(((0.648*20^0.651)/0.2))*H212/20+L211*inputs!$C$54</f>
        <v>9.5323219001843117E-11</v>
      </c>
      <c r="M212" s="7">
        <f>(((0.013*2^0.773)/0.2))*H212/2+M211*inputs!$C$54</f>
        <v>4.6482845461619295E-12</v>
      </c>
      <c r="N212" s="7">
        <f>O212*0.015*inputs!$C$56</f>
        <v>1.9648418526644489E-2</v>
      </c>
      <c r="O212" s="7">
        <f>IF((B212&gt;B211), (EXP(-LN(2)/inputs!$C$52)*O211+$O$3), (EXP(-LN(2)/inputs!$C$52)*O211))</f>
        <v>2.1195704990986503E-3</v>
      </c>
      <c r="P212" s="3">
        <f>IF((B212&gt;B211), (EXP(-LN(2)/inputs!$C$52)*P211+$P$3), (EXP(-LN(2)/inputs!$C$52)*P211))</f>
        <v>2.048151404509427E-3</v>
      </c>
      <c r="Q212" s="19">
        <f>IF((F212*0.62*1/(0.012*(10^inputs!$C$55)))&gt;inputs!$C$57, inputs!$C$57, (F212*0.62*1/(0.012*(10^inputs!$C$55))))</f>
        <v>7.4423266368970844E-13</v>
      </c>
      <c r="R212" s="3">
        <f>IF((B212&gt;B211), (EXP(-LN(2)/inputs!$C$51)*R211+$R$3), (EXP(-LN(2)/inputs!$C$51)*R211))</f>
        <v>1.7291830058118804E-18</v>
      </c>
      <c r="T212" s="7">
        <f>IF(T211&lt;(inputs!$C$9-1),(1+T211),0)</f>
        <v>0</v>
      </c>
      <c r="U212" s="7">
        <f>IF(inputs!$C$8&gt;U211,IF(T211=(inputs!$C$9-1),(U211+1),U211), U211)</f>
        <v>1</v>
      </c>
      <c r="V212" s="7">
        <f t="shared" si="6"/>
        <v>209</v>
      </c>
      <c r="W212" s="8">
        <f>IF((U212&gt;U211), (EXP(-LN(2)/inputs!$C$51)*W211+$W$3), (EXP(-LN(2)/inputs!$C$51)*W211))</f>
        <v>5.7224688943873543E-11</v>
      </c>
      <c r="X212" s="8">
        <f>IF((U212&gt;U211), (EXP(-LN(2)/inputs!$C$51)*X211+$X$3), (EXP(-LN(2)/inputs!$C$51)*X211))</f>
        <v>2.4236338846816983E-11</v>
      </c>
      <c r="Y212" s="8">
        <f>IF((U212&gt;U211), (EXP(-LN(2)/inputs!$C$51)*Y211+$Y$3), (EXP(-LN(2)/inputs!$C$51)*Y211))</f>
        <v>3.0295423558521289E-11</v>
      </c>
      <c r="Z212" s="8">
        <f>IF((U212&gt;U211), (EXP(-LN(2)/inputs!$C$51)*Z211+$Z$3), (EXP(-LN(2)/inputs!$C$51)*Z211))</f>
        <v>4.7126214424366363E-12</v>
      </c>
      <c r="AA212" s="8">
        <f>IF((U212&gt;U211), (EXP(-LN(2)/inputs!$C$51)*AA211+$AA$3), (EXP(-LN(2)/inputs!$C$51)*AA211))</f>
        <v>4.3760056251197342E-11</v>
      </c>
      <c r="AB212" s="7">
        <f>(((0.621*15^0.564)/0.2))*W212/15+AB211*inputs!$C$53</f>
        <v>6.1577464473620876E-11</v>
      </c>
      <c r="AC212" s="7">
        <f>(((0.621*1000^0.564)/0.2))*W212/1000+AC211*inputs!$C$53</f>
        <v>9.8672831603922716E-12</v>
      </c>
      <c r="AD212" s="7">
        <f>(((0.648*20^0.651)/0.2))*AA212/20+AD211*inputs!$C$54</f>
        <v>6.591499186297657E-11</v>
      </c>
      <c r="AE212" s="7">
        <f>(((0.013*2^0.773)/0.2))*AA212/2+AE211*inputs!$C$54</f>
        <v>3.2142393138353743E-12</v>
      </c>
    </row>
    <row r="213" spans="1:31" x14ac:dyDescent="0.3">
      <c r="A213" s="7">
        <f>IF(A212&lt;(inputs!$C$9-1),(1+A212),0)</f>
        <v>0</v>
      </c>
      <c r="B213" s="7">
        <f>IF(inputs!$C$8&gt;B212,IF(A212=(inputs!$C$9-1),(B212+1),B212), B212)</f>
        <v>1</v>
      </c>
      <c r="C213" s="7">
        <f t="shared" si="7"/>
        <v>210</v>
      </c>
      <c r="D213" s="8">
        <f>IF((B213&gt;B212), (EXP(-LN(2)/inputs!$C$51)*D212+$D$3), (EXP(-LN(2)/inputs!$C$51)*D212))</f>
        <v>1.4176781448761228E-10</v>
      </c>
      <c r="E213" s="8">
        <f>IF((B213&gt;B212), (EXP(-LN(2)/inputs!$C$51)*E212+$E$3), (EXP(-LN(2)/inputs!$C$51)*E212))</f>
        <v>6.4976914973488979E-11</v>
      </c>
      <c r="F213" s="8">
        <f>IF((B213&gt;B212), (EXP(-LN(2)/inputs!$C$51)*F212+$F$3), (EXP(-LN(2)/inputs!$C$51)*F212))</f>
        <v>7.9744395649281991E-11</v>
      </c>
      <c r="G213" s="8">
        <f>IF((B213&gt;B212), (EXP(-LN(2)/inputs!$C$51)*G212+$G$3), (EXP(-LN(2)/inputs!$C$51)*G212))</f>
        <v>8.8604884054757675E-12</v>
      </c>
      <c r="H213" s="8">
        <f>IF((B213&gt;B212), (EXP(-LN(2)/inputs!$C$51)*H212+$H$3), (EXP(-LN(2)/inputs!$C$51)*H212))</f>
        <v>5.552572734098152E-11</v>
      </c>
      <c r="I213" s="7">
        <f>O213*(10^inputs!$C$55)*0.01/1</f>
        <v>0.13103703052276006</v>
      </c>
      <c r="J213" s="7">
        <f>(((0.621*15^0.564)/0.2))*D213/15+J212*inputs!$C$53</f>
        <v>1.5255133267174221E-10</v>
      </c>
      <c r="K213" s="7">
        <f>(((0.621*1000^0.564)/0.2))*D213/1000+K212*inputs!$C$53</f>
        <v>2.4445098687233567E-11</v>
      </c>
      <c r="L213" s="7">
        <f>(((0.648*20^0.651)/0.2))*H213/20+L212*inputs!$C$54</f>
        <v>8.3637412275184404E-11</v>
      </c>
      <c r="M213" s="7">
        <f>(((0.013*2^0.773)/0.2))*H213/2+M212*inputs!$C$54</f>
        <v>4.0784448430365813E-12</v>
      </c>
      <c r="N213" s="7">
        <f>O213*0.015*inputs!$C$56</f>
        <v>1.9251907970842492E-2</v>
      </c>
      <c r="O213" s="7">
        <f>IF((B213&gt;B212), (EXP(-LN(2)/inputs!$C$52)*O212+$O$3), (EXP(-LN(2)/inputs!$C$52)*O212))</f>
        <v>2.0767969763584135E-3</v>
      </c>
      <c r="P213" s="3">
        <f>IF((B213&gt;B212), (EXP(-LN(2)/inputs!$C$52)*P212+$P$3), (EXP(-LN(2)/inputs!$C$52)*P212))</f>
        <v>2.0068191389804027E-3</v>
      </c>
      <c r="Q213" s="19">
        <f>IF((F213*0.62*1/(0.012*(10^inputs!$C$55)))&gt;inputs!$C$57, inputs!$C$57, (F213*0.62*1/(0.012*(10^inputs!$C$55))))</f>
        <v>6.5299614064094144E-13</v>
      </c>
      <c r="R213" s="3">
        <f>IF((B213&gt;B212), (EXP(-LN(2)/inputs!$C$51)*R212+$R$3), (EXP(-LN(2)/inputs!$C$51)*R212))</f>
        <v>1.5172000428723924E-18</v>
      </c>
      <c r="T213" s="7">
        <f>IF(T212&lt;(inputs!$C$9-1),(1+T212),0)</f>
        <v>0</v>
      </c>
      <c r="U213" s="7">
        <f>IF(inputs!$C$8&gt;U212,IF(T212=(inputs!$C$9-1),(U212+1),U212), U212)</f>
        <v>1</v>
      </c>
      <c r="V213" s="7">
        <f t="shared" si="6"/>
        <v>210</v>
      </c>
      <c r="W213" s="8">
        <f>IF((U213&gt;U212), (EXP(-LN(2)/inputs!$C$51)*W212+$W$3), (EXP(-LN(2)/inputs!$C$51)*W212))</f>
        <v>5.0209434297696102E-11</v>
      </c>
      <c r="X213" s="8">
        <f>IF((U213&gt;U212), (EXP(-LN(2)/inputs!$C$51)*X212+$X$3), (EXP(-LN(2)/inputs!$C$51)*X212))</f>
        <v>2.1265172173141836E-11</v>
      </c>
      <c r="Y213" s="8">
        <f>IF((U213&gt;U212), (EXP(-LN(2)/inputs!$C$51)*Y212+$Y$3), (EXP(-LN(2)/inputs!$C$51)*Y212))</f>
        <v>2.6581465216427348E-11</v>
      </c>
      <c r="Z213" s="8">
        <f>IF((U213&gt;U212), (EXP(-LN(2)/inputs!$C$51)*Z212+$Z$3), (EXP(-LN(2)/inputs!$C$51)*Z212))</f>
        <v>4.1348945892220242E-12</v>
      </c>
      <c r="AA213" s="8">
        <f>IF((U213&gt;U212), (EXP(-LN(2)/inputs!$C$51)*AA212+$AA$3), (EXP(-LN(2)/inputs!$C$51)*AA212))</f>
        <v>3.8395449757061657E-11</v>
      </c>
      <c r="AB213" s="7">
        <f>(((0.621*15^0.564)/0.2))*W213/15+AB212*inputs!$C$53</f>
        <v>5.4028596987908788E-11</v>
      </c>
      <c r="AC213" s="7">
        <f>(((0.621*1000^0.564)/0.2))*W213/1000+AC212*inputs!$C$53</f>
        <v>8.6576391183952348E-12</v>
      </c>
      <c r="AD213" s="7">
        <f>(((0.648*20^0.651)/0.2))*AA213/20+AD212*inputs!$C$54</f>
        <v>5.7834380828584911E-11</v>
      </c>
      <c r="AE213" s="7">
        <f>(((0.013*2^0.773)/0.2))*AA213/2+AE212*inputs!$C$54</f>
        <v>2.8202012212486979E-12</v>
      </c>
    </row>
    <row r="214" spans="1:31" x14ac:dyDescent="0.3">
      <c r="A214" s="7">
        <f>IF(A213&lt;(inputs!$C$9-1),(1+A213),0)</f>
        <v>0</v>
      </c>
      <c r="B214" s="7">
        <f>IF(inputs!$C$8&gt;B213,IF(A213=(inputs!$C$9-1),(B213+1),B213), B213)</f>
        <v>1</v>
      </c>
      <c r="C214" s="7">
        <f t="shared" si="7"/>
        <v>211</v>
      </c>
      <c r="D214" s="8">
        <f>IF((B214&gt;B213), (EXP(-LN(2)/inputs!$C$51)*D213+$D$3), (EXP(-LN(2)/inputs!$C$51)*D213))</f>
        <v>1.2438829984773202E-10</v>
      </c>
      <c r="E214" s="8">
        <f>IF((B214&gt;B213), (EXP(-LN(2)/inputs!$C$51)*E213+$E$3), (EXP(-LN(2)/inputs!$C$51)*E213))</f>
        <v>5.7011304096877198E-11</v>
      </c>
      <c r="F214" s="8">
        <f>IF((B214&gt;B213), (EXP(-LN(2)/inputs!$C$51)*F213+$F$3), (EXP(-LN(2)/inputs!$C$51)*F213))</f>
        <v>6.9968418664349343E-11</v>
      </c>
      <c r="G214" s="8">
        <f>IF((B214&gt;B213), (EXP(-LN(2)/inputs!$C$51)*G213+$G$3), (EXP(-LN(2)/inputs!$C$51)*G213))</f>
        <v>7.7742687404832513E-12</v>
      </c>
      <c r="H214" s="8">
        <f>IF((B214&gt;B213), (EXP(-LN(2)/inputs!$C$51)*H213+$H$3), (EXP(-LN(2)/inputs!$C$51)*H213))</f>
        <v>4.8718750773695085E-11</v>
      </c>
      <c r="I214" s="7">
        <f>O214*(10^inputs!$C$55)*0.01/1</f>
        <v>0.12839266676733796</v>
      </c>
      <c r="J214" s="7">
        <f>(((0.621*15^0.564)/0.2))*D214/15+J213*inputs!$C$53</f>
        <v>1.3384985145695311E-10</v>
      </c>
      <c r="K214" s="7">
        <f>(((0.621*1000^0.564)/0.2))*D214/1000+K213*inputs!$C$53</f>
        <v>2.1448339852771766E-11</v>
      </c>
      <c r="L214" s="7">
        <f>(((0.648*20^0.651)/0.2))*H214/20+L213*inputs!$C$54</f>
        <v>7.3384184937710833E-11</v>
      </c>
      <c r="M214" s="7">
        <f>(((0.013*2^0.773)/0.2))*H214/2+M213*inputs!$C$54</f>
        <v>3.5784625860364077E-12</v>
      </c>
      <c r="N214" s="7">
        <f>O214*0.015*inputs!$C$56</f>
        <v>1.8863399108441377E-2</v>
      </c>
      <c r="O214" s="7">
        <f>IF((B214&gt;B213), (EXP(-LN(2)/inputs!$C$52)*O213+$O$3), (EXP(-LN(2)/inputs!$C$52)*O213))</f>
        <v>2.0348866352148196E-3</v>
      </c>
      <c r="P214" s="3">
        <f>IF((B214&gt;B213), (EXP(-LN(2)/inputs!$C$52)*P213+$P$3), (EXP(-LN(2)/inputs!$C$52)*P213))</f>
        <v>1.9663209700762668E-3</v>
      </c>
      <c r="Q214" s="19">
        <f>IF((F214*0.62*1/(0.012*(10^inputs!$C$55)))&gt;inputs!$C$57, inputs!$C$57, (F214*0.62*1/(0.012*(10^inputs!$C$55))))</f>
        <v>5.7294443054671403E-13</v>
      </c>
      <c r="R214" s="3">
        <f>IF((B214&gt;B213), (EXP(-LN(2)/inputs!$C$51)*R213+$R$3), (EXP(-LN(2)/inputs!$C$51)*R213))</f>
        <v>1.331204367817165E-18</v>
      </c>
      <c r="T214" s="7">
        <f>IF(T213&lt;(inputs!$C$9-1),(1+T213),0)</f>
        <v>0</v>
      </c>
      <c r="U214" s="7">
        <f>IF(inputs!$C$8&gt;U213,IF(T213=(inputs!$C$9-1),(U213+1),U213), U213)</f>
        <v>1</v>
      </c>
      <c r="V214" s="7">
        <f t="shared" si="6"/>
        <v>211</v>
      </c>
      <c r="W214" s="8">
        <f>IF((U214&gt;U213), (EXP(-LN(2)/inputs!$C$51)*W213+$W$3), (EXP(-LN(2)/inputs!$C$51)*W213))</f>
        <v>4.405418952940517E-11</v>
      </c>
      <c r="X214" s="8">
        <f>IF((U214&gt;U213), (EXP(-LN(2)/inputs!$C$51)*X213+$X$3), (EXP(-LN(2)/inputs!$C$51)*X213))</f>
        <v>1.86582449771598E-11</v>
      </c>
      <c r="Y214" s="8">
        <f>IF((U214&gt;U213), (EXP(-LN(2)/inputs!$C$51)*Y213+$Y$3), (EXP(-LN(2)/inputs!$C$51)*Y213))</f>
        <v>2.3322806221449796E-11</v>
      </c>
      <c r="Z214" s="8">
        <f>IF((U214&gt;U213), (EXP(-LN(2)/inputs!$C$51)*Z213+$Z$3), (EXP(-LN(2)/inputs!$C$51)*Z213))</f>
        <v>3.6279920788921838E-12</v>
      </c>
      <c r="AA214" s="8">
        <f>IF((U214&gt;U213), (EXP(-LN(2)/inputs!$C$51)*AA213+$AA$3), (EXP(-LN(2)/inputs!$C$51)*AA213))</f>
        <v>3.3688497875427421E-11</v>
      </c>
      <c r="AB214" s="7">
        <f>(((0.621*15^0.564)/0.2))*W214/15+AB213*inputs!$C$53</f>
        <v>4.7405155724337637E-11</v>
      </c>
      <c r="AC214" s="7">
        <f>(((0.621*1000^0.564)/0.2))*W214/1000+AC213*inputs!$C$53</f>
        <v>7.5962870311900151E-12</v>
      </c>
      <c r="AD214" s="7">
        <f>(((0.648*20^0.651)/0.2))*AA214/20+AD213*inputs!$C$54</f>
        <v>5.0744383201608512E-11</v>
      </c>
      <c r="AE214" s="7">
        <f>(((0.013*2^0.773)/0.2))*AA214/2+AE213*inputs!$C$54</f>
        <v>2.4744688094932584E-12</v>
      </c>
    </row>
    <row r="215" spans="1:31" x14ac:dyDescent="0.3">
      <c r="A215" s="7">
        <f>IF(A214&lt;(inputs!$C$9-1),(1+A214),0)</f>
        <v>0</v>
      </c>
      <c r="B215" s="7">
        <f>IF(inputs!$C$8&gt;B214,IF(A214=(inputs!$C$9-1),(B214+1),B214), B214)</f>
        <v>1</v>
      </c>
      <c r="C215" s="7">
        <f t="shared" si="7"/>
        <v>212</v>
      </c>
      <c r="D215" s="8">
        <f>IF((B215&gt;B214), (EXP(-LN(2)/inputs!$C$51)*D214+$D$3), (EXP(-LN(2)/inputs!$C$51)*D214))</f>
        <v>1.091393642127514E-10</v>
      </c>
      <c r="E215" s="8">
        <f>IF((B215&gt;B214), (EXP(-LN(2)/inputs!$C$51)*E214+$E$3), (EXP(-LN(2)/inputs!$C$51)*E214))</f>
        <v>5.0022208597511079E-11</v>
      </c>
      <c r="F215" s="8">
        <f>IF((B215&gt;B214), (EXP(-LN(2)/inputs!$C$51)*F214+$F$3), (EXP(-LN(2)/inputs!$C$51)*F214))</f>
        <v>6.1390892369672734E-11</v>
      </c>
      <c r="G215" s="8">
        <f>IF((B215&gt;B214), (EXP(-LN(2)/inputs!$C$51)*G214+$G$3), (EXP(-LN(2)/inputs!$C$51)*G214))</f>
        <v>6.8212102632969626E-12</v>
      </c>
      <c r="H215" s="8">
        <f>IF((B215&gt;B214), (EXP(-LN(2)/inputs!$C$51)*H214+$H$3), (EXP(-LN(2)/inputs!$C$51)*H214))</f>
        <v>4.2746250983327672E-11</v>
      </c>
      <c r="I215" s="7">
        <f>O215*(10^inputs!$C$55)*0.01/1</f>
        <v>0.12580166700866621</v>
      </c>
      <c r="J215" s="7">
        <f>(((0.621*15^0.564)/0.2))*D215/15+J214*inputs!$C$53</f>
        <v>1.1744101097824782E-10</v>
      </c>
      <c r="K215" s="7">
        <f>(((0.621*1000^0.564)/0.2))*D215/1000+K214*inputs!$C$53</f>
        <v>1.8818957874784474E-11</v>
      </c>
      <c r="L215" s="7">
        <f>(((0.648*20^0.651)/0.2))*H215/20+L214*inputs!$C$54</f>
        <v>6.4387915078644431E-11</v>
      </c>
      <c r="M215" s="7">
        <f>(((0.013*2^0.773)/0.2))*H215/2+M214*inputs!$C$54</f>
        <v>3.1397738531455028E-12</v>
      </c>
      <c r="N215" s="7">
        <f>O215*0.015*inputs!$C$56</f>
        <v>1.848273046304072E-2</v>
      </c>
      <c r="O215" s="7">
        <f>IF((B215&gt;B214), (EXP(-LN(2)/inputs!$C$52)*O214+$O$3), (EXP(-LN(2)/inputs!$C$52)*O214))</f>
        <v>1.9938220564229472E-3</v>
      </c>
      <c r="P215" s="3">
        <f>IF((B215&gt;B214), (EXP(-LN(2)/inputs!$C$52)*P214+$P$3), (EXP(-LN(2)/inputs!$C$52)*P214))</f>
        <v>1.9266400654949245E-3</v>
      </c>
      <c r="Q215" s="19">
        <f>IF((F215*0.62*1/(0.012*(10^inputs!$C$55)))&gt;inputs!$C$57, inputs!$C$57, (F215*0.62*1/(0.012*(10^inputs!$C$55))))</f>
        <v>5.0270637154500352E-13</v>
      </c>
      <c r="R215" s="3">
        <f>IF((B215&gt;B214), (EXP(-LN(2)/inputs!$C$51)*R214+$R$3), (EXP(-LN(2)/inputs!$C$51)*R214))</f>
        <v>1.168010162681326E-18</v>
      </c>
      <c r="T215" s="7">
        <f>IF(T214&lt;(inputs!$C$9-1),(1+T214),0)</f>
        <v>0</v>
      </c>
      <c r="U215" s="7">
        <f>IF(inputs!$C$8&gt;U214,IF(T214=(inputs!$C$9-1),(U214+1),U214), U214)</f>
        <v>1</v>
      </c>
      <c r="V215" s="7">
        <f t="shared" si="6"/>
        <v>212</v>
      </c>
      <c r="W215" s="8">
        <f>IF((U215&gt;U214), (EXP(-LN(2)/inputs!$C$51)*W214+$W$3), (EXP(-LN(2)/inputs!$C$51)*W214))</f>
        <v>3.8653524825349521E-11</v>
      </c>
      <c r="X215" s="8">
        <f>IF((U215&gt;U214), (EXP(-LN(2)/inputs!$C$51)*X214+$X$3), (EXP(-LN(2)/inputs!$C$51)*X214))</f>
        <v>1.6370904631912708E-11</v>
      </c>
      <c r="Y215" s="8">
        <f>IF((U215&gt;U214), (EXP(-LN(2)/inputs!$C$51)*Y214+$Y$3), (EXP(-LN(2)/inputs!$C$51)*Y214))</f>
        <v>2.0463630789890924E-11</v>
      </c>
      <c r="Z215" s="8">
        <f>IF((U215&gt;U214), (EXP(-LN(2)/inputs!$C$51)*Z214+$Z$3), (EXP(-LN(2)/inputs!$C$51)*Z214))</f>
        <v>3.1832314562052492E-12</v>
      </c>
      <c r="AA215" s="8">
        <f>IF((U215&gt;U214), (EXP(-LN(2)/inputs!$C$51)*AA214+$AA$3), (EXP(-LN(2)/inputs!$C$51)*AA214))</f>
        <v>2.9558577807620168E-11</v>
      </c>
      <c r="AB215" s="7">
        <f>(((0.621*15^0.564)/0.2))*W215/15+AB214*inputs!$C$53</f>
        <v>4.1593691388129506E-11</v>
      </c>
      <c r="AC215" s="7">
        <f>(((0.621*1000^0.564)/0.2))*W215/1000+AC214*inputs!$C$53</f>
        <v>6.6650475806528444E-12</v>
      </c>
      <c r="AD215" s="7">
        <f>(((0.648*20^0.651)/0.2))*AA215/20+AD214*inputs!$C$54</f>
        <v>4.4523558299062592E-11</v>
      </c>
      <c r="AE215" s="7">
        <f>(((0.013*2^0.773)/0.2))*AA215/2+AE214*inputs!$C$54</f>
        <v>2.1711202176006116E-12</v>
      </c>
    </row>
    <row r="216" spans="1:31" x14ac:dyDescent="0.3">
      <c r="A216" s="7">
        <f>IF(A215&lt;(inputs!$C$9-1),(1+A215),0)</f>
        <v>0</v>
      </c>
      <c r="B216" s="7">
        <f>IF(inputs!$C$8&gt;B215,IF(A215=(inputs!$C$9-1),(B215+1),B215), B215)</f>
        <v>1</v>
      </c>
      <c r="C216" s="7">
        <f t="shared" si="7"/>
        <v>213</v>
      </c>
      <c r="D216" s="8">
        <f>IF((B216&gt;B215), (EXP(-LN(2)/inputs!$C$51)*D215+$D$3), (EXP(-LN(2)/inputs!$C$51)*D215))</f>
        <v>9.5759816922851713E-11</v>
      </c>
      <c r="E216" s="8">
        <f>IF((B216&gt;B215), (EXP(-LN(2)/inputs!$C$51)*E215+$E$3), (EXP(-LN(2)/inputs!$C$51)*E215))</f>
        <v>4.388991608964038E-11</v>
      </c>
      <c r="F216" s="8">
        <f>IF((B216&gt;B215), (EXP(-LN(2)/inputs!$C$51)*F215+$F$3), (EXP(-LN(2)/inputs!$C$51)*F215))</f>
        <v>5.3864897019104148E-11</v>
      </c>
      <c r="G216" s="8">
        <f>IF((B216&gt;B215), (EXP(-LN(2)/inputs!$C$51)*G215+$G$3), (EXP(-LN(2)/inputs!$C$51)*G215))</f>
        <v>5.984988557678232E-12</v>
      </c>
      <c r="H216" s="8">
        <f>IF((B216&gt;B215), (EXP(-LN(2)/inputs!$C$51)*H215+$H$3), (EXP(-LN(2)/inputs!$C$51)*H215))</f>
        <v>3.7505928294783618E-11</v>
      </c>
      <c r="I216" s="7">
        <f>O216*(10^inputs!$C$55)*0.01/1</f>
        <v>0.12326295434643432</v>
      </c>
      <c r="J216" s="7">
        <f>(((0.621*15^0.564)/0.2))*D216/15+J215*inputs!$C$53</f>
        <v>1.0304375320153897E-10</v>
      </c>
      <c r="K216" s="7">
        <f>(((0.621*1000^0.564)/0.2))*D216/1000+K215*inputs!$C$53</f>
        <v>1.6511915510661089E-11</v>
      </c>
      <c r="L216" s="7">
        <f>(((0.648*20^0.651)/0.2))*H216/20+L215*inputs!$C$54</f>
        <v>5.6494510522856144E-11</v>
      </c>
      <c r="M216" s="7">
        <f>(((0.013*2^0.773)/0.2))*H216/2+M215*inputs!$C$54</f>
        <v>2.754864585524511E-12</v>
      </c>
      <c r="N216" s="7">
        <f>O216*0.015*inputs!$C$56</f>
        <v>1.8109743816878805E-2</v>
      </c>
      <c r="O216" s="7">
        <f>IF((B216&gt;B215), (EXP(-LN(2)/inputs!$C$52)*O215+$O$3), (EXP(-LN(2)/inputs!$C$52)*O215))</f>
        <v>1.953586172263086E-3</v>
      </c>
      <c r="P216" s="3">
        <f>IF((B216&gt;B215), (EXP(-LN(2)/inputs!$C$52)*P215+$P$3), (EXP(-LN(2)/inputs!$C$52)*P215))</f>
        <v>1.887759932614823E-3</v>
      </c>
      <c r="Q216" s="19">
        <f>IF((F216*0.62*1/(0.012*(10^inputs!$C$55)))&gt;inputs!$C$57, inputs!$C$57, (F216*0.62*1/(0.012*(10^inputs!$C$55))))</f>
        <v>4.4107889442401779E-13</v>
      </c>
      <c r="R216" s="3">
        <f>IF((B216&gt;B215), (EXP(-LN(2)/inputs!$C$51)*R215+$R$3), (EXP(-LN(2)/inputs!$C$51)*R215))</f>
        <v>1.0248221633796736E-18</v>
      </c>
      <c r="T216" s="7">
        <f>IF(T215&lt;(inputs!$C$9-1),(1+T215),0)</f>
        <v>0</v>
      </c>
      <c r="U216" s="7">
        <f>IF(inputs!$C$8&gt;U215,IF(T215=(inputs!$C$9-1),(U215+1),U215), U215)</f>
        <v>1</v>
      </c>
      <c r="V216" s="7">
        <f t="shared" si="6"/>
        <v>213</v>
      </c>
      <c r="W216" s="8">
        <f>IF((U216&gt;U215), (EXP(-LN(2)/inputs!$C$51)*W215+$W$3), (EXP(-LN(2)/inputs!$C$51)*W215))</f>
        <v>3.3914935160176703E-11</v>
      </c>
      <c r="X216" s="8">
        <f>IF((U216&gt;U215), (EXP(-LN(2)/inputs!$C$51)*X215+$X$3), (EXP(-LN(2)/inputs!$C$51)*X215))</f>
        <v>1.4363972538427755E-11</v>
      </c>
      <c r="Y216" s="8">
        <f>IF((U216&gt;U215), (EXP(-LN(2)/inputs!$C$51)*Y215+$Y$3), (EXP(-LN(2)/inputs!$C$51)*Y215))</f>
        <v>1.7954965673034727E-11</v>
      </c>
      <c r="Z216" s="8">
        <f>IF((U216&gt;U215), (EXP(-LN(2)/inputs!$C$51)*Z215+$Z$3), (EXP(-LN(2)/inputs!$C$51)*Z215))</f>
        <v>2.7929946602498414E-12</v>
      </c>
      <c r="AA216" s="8">
        <f>IF((U216&gt;U215), (EXP(-LN(2)/inputs!$C$51)*AA215+$AA$3), (EXP(-LN(2)/inputs!$C$51)*AA215))</f>
        <v>2.5934950416605666E-11</v>
      </c>
      <c r="AB216" s="7">
        <f>(((0.621*15^0.564)/0.2))*W216/15+AB215*inputs!$C$53</f>
        <v>3.6494662592211776E-11</v>
      </c>
      <c r="AC216" s="7">
        <f>(((0.621*1000^0.564)/0.2))*W216/1000+AC215*inputs!$C$53</f>
        <v>5.8479700766924784E-12</v>
      </c>
      <c r="AD216" s="7">
        <f>(((0.648*20^0.651)/0.2))*AA216/20+AD215*inputs!$C$54</f>
        <v>3.9065353021123892E-11</v>
      </c>
      <c r="AE216" s="7">
        <f>(((0.013*2^0.773)/0.2))*AA216/2+AE215*inputs!$C$54</f>
        <v>1.9049595538201387E-12</v>
      </c>
    </row>
    <row r="217" spans="1:31" x14ac:dyDescent="0.3">
      <c r="A217" s="7">
        <f>IF(A216&lt;(inputs!$C$9-1),(1+A216),0)</f>
        <v>0</v>
      </c>
      <c r="B217" s="7">
        <f>IF(inputs!$C$8&gt;B216,IF(A216=(inputs!$C$9-1),(B216+1),B216), B216)</f>
        <v>1</v>
      </c>
      <c r="C217" s="7">
        <f t="shared" si="7"/>
        <v>214</v>
      </c>
      <c r="D217" s="8">
        <f>IF((B217&gt;B216), (EXP(-LN(2)/inputs!$C$51)*D216+$D$3), (EXP(-LN(2)/inputs!$C$51)*D216))</f>
        <v>8.4020487046475738E-11</v>
      </c>
      <c r="E217" s="8">
        <f>IF((B217&gt;B216), (EXP(-LN(2)/inputs!$C$51)*E216+$E$3), (EXP(-LN(2)/inputs!$C$51)*E216))</f>
        <v>3.8509389896301389E-11</v>
      </c>
      <c r="F217" s="8">
        <f>IF((B217&gt;B216), (EXP(-LN(2)/inputs!$C$51)*F216+$F$3), (EXP(-LN(2)/inputs!$C$51)*F216))</f>
        <v>4.7261523963642654E-11</v>
      </c>
      <c r="G217" s="8">
        <f>IF((B217&gt;B216), (EXP(-LN(2)/inputs!$C$51)*G216+$G$3), (EXP(-LN(2)/inputs!$C$51)*G216))</f>
        <v>5.2512804404047336E-12</v>
      </c>
      <c r="H217" s="8">
        <f>IF((B217&gt;B216), (EXP(-LN(2)/inputs!$C$51)*H216+$H$3), (EXP(-LN(2)/inputs!$C$51)*H216))</f>
        <v>3.2908024093203024E-11</v>
      </c>
      <c r="I217" s="7">
        <f>O217*(10^inputs!$C$55)*0.01/1</f>
        <v>0.12077547361247995</v>
      </c>
      <c r="J217" s="7">
        <f>(((0.621*15^0.564)/0.2))*D217/15+J216*inputs!$C$53</f>
        <v>9.0411475390196675E-11</v>
      </c>
      <c r="K217" s="7">
        <f>(((0.621*1000^0.564)/0.2))*D217/1000+K216*inputs!$C$53</f>
        <v>1.4487696696347101E-11</v>
      </c>
      <c r="L217" s="7">
        <f>(((0.648*20^0.651)/0.2))*H217/20+L216*inputs!$C$54</f>
        <v>4.9568769470463462E-11</v>
      </c>
      <c r="M217" s="7">
        <f>(((0.013*2^0.773)/0.2))*H217/2+M216*inputs!$C$54</f>
        <v>2.4171418833155799E-12</v>
      </c>
      <c r="N217" s="7">
        <f>O217*0.015*inputs!$C$56</f>
        <v>1.7744284145072401E-2</v>
      </c>
      <c r="O217" s="7">
        <f>IF((B217&gt;B216), (EXP(-LN(2)/inputs!$C$52)*O216+$O$3), (EXP(-LN(2)/inputs!$C$52)*O216))</f>
        <v>1.9141622594468612E-3</v>
      </c>
      <c r="P217" s="3">
        <f>IF((B217&gt;B216), (EXP(-LN(2)/inputs!$C$52)*P216+$P$3), (EXP(-LN(2)/inputs!$C$52)*P216))</f>
        <v>1.8496644116401042E-3</v>
      </c>
      <c r="Q217" s="19">
        <f>IF((F217*0.62*1/(0.012*(10^inputs!$C$55)))&gt;inputs!$C$57, inputs!$C$57, (F217*0.62*1/(0.012*(10^inputs!$C$55))))</f>
        <v>3.8700641590912718E-13</v>
      </c>
      <c r="R217" s="3">
        <f>IF((B217&gt;B216), (EXP(-LN(2)/inputs!$C$51)*R216+$R$3), (EXP(-LN(2)/inputs!$C$51)*R216))</f>
        <v>8.9918778116037863E-19</v>
      </c>
      <c r="T217" s="7">
        <f>IF(T216&lt;(inputs!$C$9-1),(1+T216),0)</f>
        <v>0</v>
      </c>
      <c r="U217" s="7">
        <f>IF(inputs!$C$8&gt;U216,IF(T216=(inputs!$C$9-1),(U216+1),U216), U216)</f>
        <v>1</v>
      </c>
      <c r="V217" s="7">
        <f t="shared" si="6"/>
        <v>214</v>
      </c>
      <c r="W217" s="8">
        <f>IF((U217&gt;U216), (EXP(-LN(2)/inputs!$C$51)*W216+$W$3), (EXP(-LN(2)/inputs!$C$51)*W216))</f>
        <v>2.9757255828960202E-11</v>
      </c>
      <c r="X217" s="8">
        <f>IF((U217&gt;U216), (EXP(-LN(2)/inputs!$C$51)*X216+$X$3), (EXP(-LN(2)/inputs!$C$51)*X216))</f>
        <v>1.2603073056971359E-11</v>
      </c>
      <c r="Y217" s="8">
        <f>IF((U217&gt;U216), (EXP(-LN(2)/inputs!$C$51)*Y216+$Y$3), (EXP(-LN(2)/inputs!$C$51)*Y216))</f>
        <v>1.5753841321214228E-11</v>
      </c>
      <c r="Z217" s="8">
        <f>IF((U217&gt;U216), (EXP(-LN(2)/inputs!$C$51)*Z216+$Z$3), (EXP(-LN(2)/inputs!$C$51)*Z216))</f>
        <v>2.4505975388555421E-12</v>
      </c>
      <c r="AA217" s="8">
        <f>IF((U217&gt;U216), (EXP(-LN(2)/inputs!$C$51)*AA216+$AA$3), (EXP(-LN(2)/inputs!$C$51)*AA216))</f>
        <v>2.2755548575087175E-11</v>
      </c>
      <c r="AB217" s="7">
        <f>(((0.621*15^0.564)/0.2))*W217/15+AB216*inputs!$C$53</f>
        <v>3.2020730867361367E-11</v>
      </c>
      <c r="AC217" s="7">
        <f>(((0.621*1000^0.564)/0.2))*W217/1000+AC216*inputs!$C$53</f>
        <v>5.1310592466229383E-12</v>
      </c>
      <c r="AD217" s="7">
        <f>(((0.648*20^0.651)/0.2))*AA217/20+AD216*inputs!$C$54</f>
        <v>3.4276276761490658E-11</v>
      </c>
      <c r="AE217" s="7">
        <f>(((0.013*2^0.773)/0.2))*AA217/2+AE216*inputs!$C$54</f>
        <v>1.6714278980373673E-12</v>
      </c>
    </row>
    <row r="218" spans="1:31" x14ac:dyDescent="0.3">
      <c r="A218" s="7">
        <f>IF(A217&lt;(inputs!$C$9-1),(1+A217),0)</f>
        <v>0</v>
      </c>
      <c r="B218" s="7">
        <f>IF(inputs!$C$8&gt;B217,IF(A217=(inputs!$C$9-1),(B217+1),B217), B217)</f>
        <v>1</v>
      </c>
      <c r="C218" s="7">
        <f t="shared" si="7"/>
        <v>215</v>
      </c>
      <c r="D218" s="8">
        <f>IF((B218&gt;B217), (EXP(-LN(2)/inputs!$C$51)*D217+$D$3), (EXP(-LN(2)/inputs!$C$51)*D217))</f>
        <v>7.3720298037060699E-11</v>
      </c>
      <c r="E218" s="8">
        <f>IF((B218&gt;B217), (EXP(-LN(2)/inputs!$C$51)*E217+$E$3), (EXP(-LN(2)/inputs!$C$51)*E217))</f>
        <v>3.3788469933652828E-11</v>
      </c>
      <c r="F218" s="8">
        <f>IF((B218&gt;B217), (EXP(-LN(2)/inputs!$C$51)*F217+$F$3), (EXP(-LN(2)/inputs!$C$51)*F217))</f>
        <v>4.146766764584669E-11</v>
      </c>
      <c r="G218" s="8">
        <f>IF((B218&gt;B217), (EXP(-LN(2)/inputs!$C$51)*G217+$G$3), (EXP(-LN(2)/inputs!$C$51)*G217))</f>
        <v>4.6075186273162937E-12</v>
      </c>
      <c r="H218" s="8">
        <f>IF((B218&gt;B217), (EXP(-LN(2)/inputs!$C$51)*H217+$H$3), (EXP(-LN(2)/inputs!$C$51)*H217))</f>
        <v>2.8873783397848797E-11</v>
      </c>
      <c r="I218" s="7">
        <f>O218*(10^inputs!$C$55)*0.01/1</f>
        <v>0.11833819093222792</v>
      </c>
      <c r="J218" s="7">
        <f>(((0.621*15^0.564)/0.2))*D218/15+J217*inputs!$C$53</f>
        <v>7.9327806181947745E-11</v>
      </c>
      <c r="K218" s="7">
        <f>(((0.621*1000^0.564)/0.2))*D218/1000+K217*inputs!$C$53</f>
        <v>1.2711629697343523E-11</v>
      </c>
      <c r="L218" s="7">
        <f>(((0.648*20^0.651)/0.2))*H218/20+L217*inputs!$C$54</f>
        <v>4.3492064699310729E-11</v>
      </c>
      <c r="M218" s="7">
        <f>(((0.013*2^0.773)/0.2))*H218/2+M217*inputs!$C$54</f>
        <v>2.1208210794745811E-12</v>
      </c>
      <c r="N218" s="7">
        <f>O218*0.015*inputs!$C$56</f>
        <v>1.7386199551183576E-2</v>
      </c>
      <c r="O218" s="7">
        <f>IF((B218&gt;B217), (EXP(-LN(2)/inputs!$C$52)*O217+$O$3), (EXP(-LN(2)/inputs!$C$52)*O217))</f>
        <v>1.8755339321665132E-3</v>
      </c>
      <c r="P218" s="3">
        <f>IF((B218&gt;B217), (EXP(-LN(2)/inputs!$C$52)*P217+$P$3), (EXP(-LN(2)/inputs!$C$52)*P217))</f>
        <v>1.8123376688840888E-3</v>
      </c>
      <c r="Q218" s="19">
        <f>IF((F218*0.62*1/(0.012*(10^inputs!$C$55)))&gt;inputs!$C$57, inputs!$C$57, (F218*0.62*1/(0.012*(10^inputs!$C$55))))</f>
        <v>3.3956275815556861E-13</v>
      </c>
      <c r="R218" s="3">
        <f>IF((B218&gt;B217), (EXP(-LN(2)/inputs!$C$51)*R217+$R$3), (EXP(-LN(2)/inputs!$C$51)*R217))</f>
        <v>7.8895509355663646E-19</v>
      </c>
      <c r="T218" s="7">
        <f>IF(T217&lt;(inputs!$C$9-1),(1+T217),0)</f>
        <v>0</v>
      </c>
      <c r="U218" s="7">
        <f>IF(inputs!$C$8&gt;U217,IF(T217=(inputs!$C$9-1),(U217+1),U217), U217)</f>
        <v>1</v>
      </c>
      <c r="V218" s="7">
        <f t="shared" si="6"/>
        <v>215</v>
      </c>
      <c r="W218" s="8">
        <f>IF((U218&gt;U217), (EXP(-LN(2)/inputs!$C$51)*W217+$W$3), (EXP(-LN(2)/inputs!$C$51)*W217))</f>
        <v>2.6109272221459037E-11</v>
      </c>
      <c r="X218" s="8">
        <f>IF((U218&gt;U217), (EXP(-LN(2)/inputs!$C$51)*X217+$X$3), (EXP(-LN(2)/inputs!$C$51)*X217))</f>
        <v>1.1058044705559104E-11</v>
      </c>
      <c r="Y218" s="8">
        <f>IF((U218&gt;U217), (EXP(-LN(2)/inputs!$C$51)*Y217+$Y$3), (EXP(-LN(2)/inputs!$C$51)*Y217))</f>
        <v>1.3822555881948905E-11</v>
      </c>
      <c r="Z218" s="8">
        <f>IF((U218&gt;U217), (EXP(-LN(2)/inputs!$C$51)*Z217+$Z$3), (EXP(-LN(2)/inputs!$C$51)*Z217))</f>
        <v>2.1501753594142704E-12</v>
      </c>
      <c r="AA218" s="8">
        <f>IF((U218&gt;U217), (EXP(-LN(2)/inputs!$C$51)*AA217+$AA$3), (EXP(-LN(2)/inputs!$C$51)*AA217))</f>
        <v>1.9965914051703936E-11</v>
      </c>
      <c r="AB218" s="7">
        <f>(((0.621*15^0.564)/0.2))*W218/15+AB217*inputs!$C$53</f>
        <v>2.8095264689439865E-11</v>
      </c>
      <c r="AC218" s="7">
        <f>(((0.621*1000^0.564)/0.2))*W218/1000+AC217*inputs!$C$53</f>
        <v>4.5020355178091706E-12</v>
      </c>
      <c r="AD218" s="7">
        <f>(((0.648*20^0.651)/0.2))*AA218/20+AD217*inputs!$C$54</f>
        <v>3.0074300058033984E-11</v>
      </c>
      <c r="AE218" s="7">
        <f>(((0.013*2^0.773)/0.2))*AA218/2+AE217*inputs!$C$54</f>
        <v>1.4665252145302941E-12</v>
      </c>
    </row>
    <row r="219" spans="1:31" x14ac:dyDescent="0.3">
      <c r="A219" s="7">
        <f>IF(A218&lt;(inputs!$C$9-1),(1+A218),0)</f>
        <v>0</v>
      </c>
      <c r="B219" s="7">
        <f>IF(inputs!$C$8&gt;B218,IF(A218=(inputs!$C$9-1),(B218+1),B218), B218)</f>
        <v>1</v>
      </c>
      <c r="C219" s="7">
        <f t="shared" si="7"/>
        <v>216</v>
      </c>
      <c r="D219" s="8">
        <f>IF((B219&gt;B218), (EXP(-LN(2)/inputs!$C$51)*D218+$D$3), (EXP(-LN(2)/inputs!$C$51)*D218))</f>
        <v>6.4682823603091876E-11</v>
      </c>
      <c r="E219" s="8">
        <f>IF((B219&gt;B218), (EXP(-LN(2)/inputs!$C$51)*E218+$E$3), (EXP(-LN(2)/inputs!$C$51)*E218))</f>
        <v>2.9646294151417113E-11</v>
      </c>
      <c r="F219" s="8">
        <f>IF((B219&gt;B218), (EXP(-LN(2)/inputs!$C$51)*F218+$F$3), (EXP(-LN(2)/inputs!$C$51)*F218))</f>
        <v>3.6384088276739215E-11</v>
      </c>
      <c r="G219" s="8">
        <f>IF((B219&gt;B218), (EXP(-LN(2)/inputs!$C$51)*G218+$G$3), (EXP(-LN(2)/inputs!$C$51)*G218))</f>
        <v>4.0426764751932423E-12</v>
      </c>
      <c r="H219" s="8">
        <f>IF((B219&gt;B218), (EXP(-LN(2)/inputs!$C$51)*H218+$H$3), (EXP(-LN(2)/inputs!$C$51)*H218))</f>
        <v>2.5334105911211002E-11</v>
      </c>
      <c r="I219" s="7">
        <f>O219*(10^inputs!$C$55)*0.01/1</f>
        <v>0.11595009329497988</v>
      </c>
      <c r="J219" s="7">
        <f>(((0.621*15^0.564)/0.2))*D219/15+J218*inputs!$C$53</f>
        <v>6.9602899482414664E-11</v>
      </c>
      <c r="K219" s="7">
        <f>(((0.621*1000^0.564)/0.2))*D219/1000+K218*inputs!$C$53</f>
        <v>1.1153293235571926E-11</v>
      </c>
      <c r="L219" s="7">
        <f>(((0.648*20^0.651)/0.2))*H219/20+L218*inputs!$C$54</f>
        <v>3.8160311664306164E-11</v>
      </c>
      <c r="M219" s="7">
        <f>(((0.013*2^0.773)/0.2))*H219/2+M218*inputs!$C$54</f>
        <v>1.8608266573801651E-12</v>
      </c>
      <c r="N219" s="7">
        <f>O219*0.015*inputs!$C$56</f>
        <v>1.7035341204086799E-2</v>
      </c>
      <c r="O219" s="7">
        <f>IF((B219&gt;B218), (EXP(-LN(2)/inputs!$C$52)*O218+$O$3), (EXP(-LN(2)/inputs!$C$52)*O218))</f>
        <v>1.8376851352844444E-3</v>
      </c>
      <c r="P219" s="3">
        <f>IF((B219&gt;B218), (EXP(-LN(2)/inputs!$C$52)*P218+$P$3), (EXP(-LN(2)/inputs!$C$52)*P218))</f>
        <v>1.7757641901883026E-3</v>
      </c>
      <c r="Q219" s="19">
        <f>IF((F219*0.62*1/(0.012*(10^inputs!$C$55)))&gt;inputs!$C$57, inputs!$C$57, (F219*0.62*1/(0.012*(10^inputs!$C$55))))</f>
        <v>2.9793528475582534E-13</v>
      </c>
      <c r="R219" s="3">
        <f>IF((B219&gt;B218), (EXP(-LN(2)/inputs!$C$51)*R218+$R$3), (EXP(-LN(2)/inputs!$C$51)*R218))</f>
        <v>6.9223598528630488E-19</v>
      </c>
      <c r="T219" s="7">
        <f>IF(T218&lt;(inputs!$C$9-1),(1+T218),0)</f>
        <v>0</v>
      </c>
      <c r="U219" s="7">
        <f>IF(inputs!$C$8&gt;U218,IF(T218=(inputs!$C$9-1),(U218+1),U218), U218)</f>
        <v>1</v>
      </c>
      <c r="V219" s="7">
        <f t="shared" si="6"/>
        <v>216</v>
      </c>
      <c r="W219" s="8">
        <f>IF((U219&gt;U218), (EXP(-LN(2)/inputs!$C$51)*W218+$W$3), (EXP(-LN(2)/inputs!$C$51)*W218))</f>
        <v>2.2908500026095072E-11</v>
      </c>
      <c r="X219" s="8">
        <f>IF((U219&gt;U218), (EXP(-LN(2)/inputs!$C$51)*X218+$X$3), (EXP(-LN(2)/inputs!$C$51)*X218))</f>
        <v>9.7024235404637798E-12</v>
      </c>
      <c r="Y219" s="8">
        <f>IF((U219&gt;U218), (EXP(-LN(2)/inputs!$C$51)*Y218+$Y$3), (EXP(-LN(2)/inputs!$C$51)*Y218))</f>
        <v>1.2128029425579747E-11</v>
      </c>
      <c r="Z219" s="8">
        <f>IF((U219&gt;U218), (EXP(-LN(2)/inputs!$C$51)*Z218+$Z$3), (EXP(-LN(2)/inputs!$C$51)*Z218))</f>
        <v>1.8865823550901795E-12</v>
      </c>
      <c r="AA219" s="8">
        <f>IF((U219&gt;U218), (EXP(-LN(2)/inputs!$C$51)*AA218+$AA$3), (EXP(-LN(2)/inputs!$C$51)*AA218))</f>
        <v>1.7518264725837379E-11</v>
      </c>
      <c r="AB219" s="7">
        <f>(((0.621*15^0.564)/0.2))*W219/15+AB218*inputs!$C$53</f>
        <v>2.4651026900021896E-11</v>
      </c>
      <c r="AC219" s="7">
        <f>(((0.621*1000^0.564)/0.2))*W219/1000+AC218*inputs!$C$53</f>
        <v>3.9501246875983953E-12</v>
      </c>
      <c r="AD219" s="7">
        <f>(((0.648*20^0.651)/0.2))*AA219/20+AD218*inputs!$C$54</f>
        <v>2.6387449555105305E-11</v>
      </c>
      <c r="AE219" s="7">
        <f>(((0.013*2^0.773)/0.2))*AA219/2+AE218*inputs!$C$54</f>
        <v>1.2867418375501132E-12</v>
      </c>
    </row>
    <row r="220" spans="1:31" x14ac:dyDescent="0.3">
      <c r="A220" s="7">
        <f>IF(A219&lt;(inputs!$C$9-1),(1+A219),0)</f>
        <v>0</v>
      </c>
      <c r="B220" s="7">
        <f>IF(inputs!$C$8&gt;B219,IF(A219=(inputs!$C$9-1),(B219+1),B219), B219)</f>
        <v>1</v>
      </c>
      <c r="C220" s="7">
        <f t="shared" si="7"/>
        <v>217</v>
      </c>
      <c r="D220" s="8">
        <f>IF((B220&gt;B219), (EXP(-LN(2)/inputs!$C$51)*D219+$D$3), (EXP(-LN(2)/inputs!$C$51)*D219))</f>
        <v>5.6753265798862933E-11</v>
      </c>
      <c r="E220" s="8">
        <f>IF((B220&gt;B219), (EXP(-LN(2)/inputs!$C$51)*E219+$E$3), (EXP(-LN(2)/inputs!$C$51)*E219))</f>
        <v>2.6011913491145512E-11</v>
      </c>
      <c r="F220" s="8">
        <f>IF((B220&gt;B219), (EXP(-LN(2)/inputs!$C$51)*F219+$F$3), (EXP(-LN(2)/inputs!$C$51)*F219))</f>
        <v>3.1923712011860428E-11</v>
      </c>
      <c r="G220" s="8">
        <f>IF((B220&gt;B219), (EXP(-LN(2)/inputs!$C$51)*G219+$G$3), (EXP(-LN(2)/inputs!$C$51)*G219))</f>
        <v>3.5470791124289333E-12</v>
      </c>
      <c r="H220" s="8">
        <f>IF((B220&gt;B219), (EXP(-LN(2)/inputs!$C$51)*H219+$H$3), (EXP(-LN(2)/inputs!$C$51)*H219))</f>
        <v>2.2228362437887995E-11</v>
      </c>
      <c r="I220" s="7">
        <f>O220*(10^inputs!$C$55)*0.01/1</f>
        <v>0.11361018813287535</v>
      </c>
      <c r="J220" s="7">
        <f>(((0.621*15^0.564)/0.2))*D220/15+J219*inputs!$C$53</f>
        <v>6.1070182695428852E-11</v>
      </c>
      <c r="K220" s="7">
        <f>(((0.621*1000^0.564)/0.2))*D220/1000+K219*inputs!$C$53</f>
        <v>9.7859954199775583E-12</v>
      </c>
      <c r="L220" s="7">
        <f>(((0.648*20^0.651)/0.2))*H220/20+L219*inputs!$C$54</f>
        <v>3.3482185690302712E-11</v>
      </c>
      <c r="M220" s="7">
        <f>(((0.013*2^0.773)/0.2))*H220/2+M219*inputs!$C$54</f>
        <v>1.6327053150916873E-12</v>
      </c>
      <c r="N220" s="7">
        <f>O220*0.015*inputs!$C$56</f>
        <v>1.6691563276110086E-2</v>
      </c>
      <c r="O220" s="7">
        <f>IF((B220&gt;B219), (EXP(-LN(2)/inputs!$C$52)*O219+$O$3), (EXP(-LN(2)/inputs!$C$52)*O219))</f>
        <v>1.8006001376602036E-3</v>
      </c>
      <c r="P220" s="3">
        <f>IF((B220&gt;B219), (EXP(-LN(2)/inputs!$C$52)*P219+$P$3), (EXP(-LN(2)/inputs!$C$52)*P219))</f>
        <v>1.7399287744743089E-3</v>
      </c>
      <c r="Q220" s="19">
        <f>IF((F220*0.62*1/(0.012*(10^inputs!$C$55)))&gt;inputs!$C$57, inputs!$C$57, (F220*0.62*1/(0.012*(10^inputs!$C$55))))</f>
        <v>2.6141098153604753E-13</v>
      </c>
      <c r="R220" s="3">
        <f>IF((B220&gt;B219), (EXP(-LN(2)/inputs!$C$51)*R219+$R$3), (EXP(-LN(2)/inputs!$C$51)*R219))</f>
        <v>6.0737380776020274E-19</v>
      </c>
      <c r="T220" s="7">
        <f>IF(T219&lt;(inputs!$C$9-1),(1+T219),0)</f>
        <v>0</v>
      </c>
      <c r="U220" s="7">
        <f>IF(inputs!$C$8&gt;U219,IF(T219=(inputs!$C$9-1),(U219+1),U219), U219)</f>
        <v>1</v>
      </c>
      <c r="V220" s="7">
        <f t="shared" si="6"/>
        <v>217</v>
      </c>
      <c r="W220" s="8">
        <f>IF((U220&gt;U219), (EXP(-LN(2)/inputs!$C$51)*W219+$W$3), (EXP(-LN(2)/inputs!$C$51)*W219))</f>
        <v>2.0100114970430651E-11</v>
      </c>
      <c r="X220" s="8">
        <f>IF((U220&gt;U219), (EXP(-LN(2)/inputs!$C$51)*X219+$X$3), (EXP(-LN(2)/inputs!$C$51)*X219))</f>
        <v>8.512989869829439E-12</v>
      </c>
      <c r="Y220" s="8">
        <f>IF((U220&gt;U219), (EXP(-LN(2)/inputs!$C$51)*Y219+$Y$3), (EXP(-LN(2)/inputs!$C$51)*Y219))</f>
        <v>1.0641237337286817E-11</v>
      </c>
      <c r="Z220" s="8">
        <f>IF((U220&gt;U219), (EXP(-LN(2)/inputs!$C$51)*Z219+$Z$3), (EXP(-LN(2)/inputs!$C$51)*Z219))</f>
        <v>1.6553035858001686E-12</v>
      </c>
      <c r="AA220" s="8">
        <f>IF((U220&gt;U219), (EXP(-LN(2)/inputs!$C$51)*AA219+$AA$3), (EXP(-LN(2)/inputs!$C$51)*AA219))</f>
        <v>1.5370676153858706E-11</v>
      </c>
      <c r="AB220" s="7">
        <f>(((0.621*15^0.564)/0.2))*W220/15+AB219*inputs!$C$53</f>
        <v>2.1629023037964416E-11</v>
      </c>
      <c r="AC220" s="7">
        <f>(((0.621*1000^0.564)/0.2))*W220/1000+AC219*inputs!$C$53</f>
        <v>3.4658733779087233E-12</v>
      </c>
      <c r="AD220" s="7">
        <f>(((0.648*20^0.651)/0.2))*AA220/20+AD219*inputs!$C$54</f>
        <v>2.3152575211379516E-11</v>
      </c>
      <c r="AE220" s="7">
        <f>(((0.013*2^0.773)/0.2))*AA220/2+AE219*inputs!$C$54</f>
        <v>1.1289983561804211E-12</v>
      </c>
    </row>
    <row r="221" spans="1:31" x14ac:dyDescent="0.3">
      <c r="A221" s="7">
        <f>IF(A220&lt;(inputs!$C$9-1),(1+A220),0)</f>
        <v>0</v>
      </c>
      <c r="B221" s="7">
        <f>IF(inputs!$C$8&gt;B220,IF(A220=(inputs!$C$9-1),(B220+1),B220), B220)</f>
        <v>1</v>
      </c>
      <c r="C221" s="7">
        <f t="shared" si="7"/>
        <v>218</v>
      </c>
      <c r="D221" s="8">
        <f>IF((B221&gt;B220), (EXP(-LN(2)/inputs!$C$51)*D220+$D$3), (EXP(-LN(2)/inputs!$C$51)*D220))</f>
        <v>4.9795803575316129E-11</v>
      </c>
      <c r="E221" s="8">
        <f>IF((B221&gt;B220), (EXP(-LN(2)/inputs!$C$51)*E220+$E$3), (EXP(-LN(2)/inputs!$C$51)*E220))</f>
        <v>2.2823076638686559E-11</v>
      </c>
      <c r="F221" s="8">
        <f>IF((B221&gt;B220), (EXP(-LN(2)/inputs!$C$51)*F220+$F$3), (EXP(-LN(2)/inputs!$C$51)*F220))</f>
        <v>2.8010139511115348E-11</v>
      </c>
      <c r="G221" s="8">
        <f>IF((B221&gt;B220), (EXP(-LN(2)/inputs!$C$51)*G220+$G$3), (EXP(-LN(2)/inputs!$C$51)*G220))</f>
        <v>3.112237723457258E-12</v>
      </c>
      <c r="H221" s="8">
        <f>IF((B221&gt;B220), (EXP(-LN(2)/inputs!$C$51)*H220+$H$3), (EXP(-LN(2)/inputs!$C$51)*H220))</f>
        <v>1.9503356400332164E-11</v>
      </c>
      <c r="I221" s="7">
        <f>O221*(10^inputs!$C$55)*0.01/1</f>
        <v>0.11131750290834962</v>
      </c>
      <c r="J221" s="7">
        <f>(((0.621*15^0.564)/0.2))*D221/15+J220*inputs!$C$53</f>
        <v>5.3583503592337293E-11</v>
      </c>
      <c r="K221" s="7">
        <f>(((0.621*1000^0.564)/0.2))*D221/1000+K220*inputs!$C$53</f>
        <v>8.5863165557586094E-12</v>
      </c>
      <c r="L221" s="7">
        <f>(((0.648*20^0.651)/0.2))*H221/20+L220*inputs!$C$54</f>
        <v>2.9377557721796844E-11</v>
      </c>
      <c r="M221" s="7">
        <f>(((0.013*2^0.773)/0.2))*H221/2+M220*inputs!$C$54</f>
        <v>1.432549687181336E-12</v>
      </c>
      <c r="N221" s="7">
        <f>O221*0.015*inputs!$C$56</f>
        <v>1.6354722882424476E-2</v>
      </c>
      <c r="O221" s="7">
        <f>IF((B221&gt;B220), (EXP(-LN(2)/inputs!$C$52)*O220+$O$3), (EXP(-LN(2)/inputs!$C$52)*O220))</f>
        <v>1.7642635256121333E-3</v>
      </c>
      <c r="P221" s="3">
        <f>IF((B221&gt;B220), (EXP(-LN(2)/inputs!$C$52)*P220+$P$3), (EXP(-LN(2)/inputs!$C$52)*P220))</f>
        <v>1.704816527425665E-3</v>
      </c>
      <c r="Q221" s="19">
        <f>IF((F221*0.62*1/(0.012*(10^inputs!$C$55)))&gt;inputs!$C$57, inputs!$C$57, (F221*0.62*1/(0.012*(10^inputs!$C$55))))</f>
        <v>2.2936424372710579E-13</v>
      </c>
      <c r="R221" s="3">
        <f>IF((B221&gt;B220), (EXP(-LN(2)/inputs!$C$51)*R220+$R$3), (EXP(-LN(2)/inputs!$C$51)*R220))</f>
        <v>5.3291500325651456E-19</v>
      </c>
      <c r="T221" s="7">
        <f>IF(T220&lt;(inputs!$C$9-1),(1+T220),0)</f>
        <v>0</v>
      </c>
      <c r="U221" s="7">
        <f>IF(inputs!$C$8&gt;U220,IF(T220=(inputs!$C$9-1),(U220+1),U220), U220)</f>
        <v>1</v>
      </c>
      <c r="V221" s="7">
        <f t="shared" si="6"/>
        <v>218</v>
      </c>
      <c r="W221" s="8">
        <f>IF((U221&gt;U220), (EXP(-LN(2)/inputs!$C$51)*W220+$W$3), (EXP(-LN(2)/inputs!$C$51)*W220))</f>
        <v>1.7636013766257822E-11</v>
      </c>
      <c r="X221" s="8">
        <f>IF((U221&gt;U220), (EXP(-LN(2)/inputs!$C$51)*X220+$X$3), (EXP(-LN(2)/inputs!$C$51)*X220))</f>
        <v>7.4693705362974183E-12</v>
      </c>
      <c r="Y221" s="8">
        <f>IF((U221&gt;U220), (EXP(-LN(2)/inputs!$C$51)*Y220+$Y$3), (EXP(-LN(2)/inputs!$C$51)*Y220))</f>
        <v>9.3367131703717891E-12</v>
      </c>
      <c r="Z221" s="8">
        <f>IF((U221&gt;U220), (EXP(-LN(2)/inputs!$C$51)*Z220+$Z$3), (EXP(-LN(2)/inputs!$C$51)*Z220))</f>
        <v>1.4523776042800536E-12</v>
      </c>
      <c r="AA221" s="8">
        <f>IF((U221&gt;U220), (EXP(-LN(2)/inputs!$C$51)*AA220+$AA$3), (EXP(-LN(2)/inputs!$C$51)*AA220))</f>
        <v>1.3486363468314782E-11</v>
      </c>
      <c r="AB221" s="7">
        <f>(((0.621*15^0.564)/0.2))*W221/15+AB220*inputs!$C$53</f>
        <v>1.897749085561949E-11</v>
      </c>
      <c r="AC221" s="7">
        <f>(((0.621*1000^0.564)/0.2))*W221/1000+AC220*inputs!$C$53</f>
        <v>3.0409871134978459E-12</v>
      </c>
      <c r="AD221" s="7">
        <f>(((0.648*20^0.651)/0.2))*AA221/20+AD220*inputs!$C$54</f>
        <v>2.0314268637412692E-11</v>
      </c>
      <c r="AE221" s="7">
        <f>(((0.013*2^0.773)/0.2))*AA221/2+AE220*inputs!$C$54</f>
        <v>9.9059286879560354E-13</v>
      </c>
    </row>
    <row r="222" spans="1:31" x14ac:dyDescent="0.3">
      <c r="A222" s="7">
        <f>IF(A221&lt;(inputs!$C$9-1),(1+A221),0)</f>
        <v>0</v>
      </c>
      <c r="B222" s="7">
        <f>IF(inputs!$C$8&gt;B221,IF(A221=(inputs!$C$9-1),(B221+1),B221), B221)</f>
        <v>1</v>
      </c>
      <c r="C222" s="7">
        <f t="shared" si="7"/>
        <v>219</v>
      </c>
      <c r="D222" s="8">
        <f>IF((B222&gt;B221), (EXP(-LN(2)/inputs!$C$51)*D221+$D$3), (EXP(-LN(2)/inputs!$C$51)*D221))</f>
        <v>4.3691266375743026E-11</v>
      </c>
      <c r="E222" s="8">
        <f>IF((B222&gt;B221), (EXP(-LN(2)/inputs!$C$51)*E221+$E$3), (EXP(-LN(2)/inputs!$C$51)*E221))</f>
        <v>2.0025163755548885E-11</v>
      </c>
      <c r="F222" s="8">
        <f>IF((B222&gt;B221), (EXP(-LN(2)/inputs!$C$51)*F221+$F$3), (EXP(-LN(2)/inputs!$C$51)*F221))</f>
        <v>2.4576337336355473E-11</v>
      </c>
      <c r="G222" s="8">
        <f>IF((B222&gt;B221), (EXP(-LN(2)/inputs!$C$51)*G221+$G$3), (EXP(-LN(2)/inputs!$C$51)*G221))</f>
        <v>2.7307041484839391E-12</v>
      </c>
      <c r="H222" s="8">
        <f>IF((B222&gt;B221), (EXP(-LN(2)/inputs!$C$51)*H221+$H$3), (EXP(-LN(2)/inputs!$C$51)*H221))</f>
        <v>1.7112412663832697E-11</v>
      </c>
      <c r="I222" s="7">
        <f>O222*(10^inputs!$C$55)*0.01/1</f>
        <v>0.10907108470991674</v>
      </c>
      <c r="J222" s="7">
        <f>(((0.621*15^0.564)/0.2))*D222/15+J221*inputs!$C$53</f>
        <v>4.7014626950590974E-11</v>
      </c>
      <c r="K222" s="7">
        <f>(((0.621*1000^0.564)/0.2))*D222/1000+K221*inputs!$C$53</f>
        <v>7.5337080012513937E-12</v>
      </c>
      <c r="L222" s="7">
        <f>(((0.648*20^0.651)/0.2))*H222/20+L221*inputs!$C$54</f>
        <v>2.5776121836259447E-11</v>
      </c>
      <c r="M222" s="7">
        <f>(((0.013*2^0.773)/0.2))*H222/2+M221*inputs!$C$54</f>
        <v>1.2569314176135322E-12</v>
      </c>
      <c r="N222" s="7">
        <f>O222*0.015*inputs!$C$56</f>
        <v>1.6024680021656627E-2</v>
      </c>
      <c r="O222" s="7">
        <f>IF((B222&gt;B221), (EXP(-LN(2)/inputs!$C$52)*O221+$O$3), (EXP(-LN(2)/inputs!$C$52)*O221))</f>
        <v>1.728660196510963E-3</v>
      </c>
      <c r="P222" s="3">
        <f>IF((B222&gt;B221), (EXP(-LN(2)/inputs!$C$52)*P221+$P$3), (EXP(-LN(2)/inputs!$C$52)*P221))</f>
        <v>1.6704128552973811E-3</v>
      </c>
      <c r="Q222" s="19">
        <f>IF((F222*0.62*1/(0.012*(10^inputs!$C$55)))&gt;inputs!$C$57, inputs!$C$57, (F222*0.62*1/(0.012*(10^inputs!$C$55))))</f>
        <v>2.012461603234245E-13</v>
      </c>
      <c r="R222" s="3">
        <f>IF((B222&gt;B221), (EXP(-LN(2)/inputs!$C$51)*R221+$R$3), (EXP(-LN(2)/inputs!$C$51)*R221))</f>
        <v>4.6758420772733802E-19</v>
      </c>
      <c r="T222" s="7">
        <f>IF(T221&lt;(inputs!$C$9-1),(1+T221),0)</f>
        <v>0</v>
      </c>
      <c r="U222" s="7">
        <f>IF(inputs!$C$8&gt;U221,IF(T221=(inputs!$C$9-1),(U221+1),U221), U221)</f>
        <v>1</v>
      </c>
      <c r="V222" s="7">
        <f t="shared" si="6"/>
        <v>219</v>
      </c>
      <c r="W222" s="8">
        <f>IF((U222&gt;U221), (EXP(-LN(2)/inputs!$C$51)*W221+$W$3), (EXP(-LN(2)/inputs!$C$51)*W221))</f>
        <v>1.5473990174742346E-11</v>
      </c>
      <c r="X222" s="8">
        <f>IF((U222&gt;U221), (EXP(-LN(2)/inputs!$C$51)*X221+$X$3), (EXP(-LN(2)/inputs!$C$51)*X221))</f>
        <v>6.5536899563614528E-12</v>
      </c>
      <c r="Y222" s="8">
        <f>IF((U222&gt;U221), (EXP(-LN(2)/inputs!$C$51)*Y221+$Y$3), (EXP(-LN(2)/inputs!$C$51)*Y221))</f>
        <v>8.1921124454518307E-12</v>
      </c>
      <c r="Z222" s="8">
        <f>IF((U222&gt;U221), (EXP(-LN(2)/inputs!$C$51)*Z221+$Z$3), (EXP(-LN(2)/inputs!$C$51)*Z221))</f>
        <v>1.2743286026258381E-12</v>
      </c>
      <c r="AA222" s="8">
        <f>IF((U222&gt;U221), (EXP(-LN(2)/inputs!$C$51)*AA221+$AA$3), (EXP(-LN(2)/inputs!$C$51)*AA221))</f>
        <v>1.1833051310097066E-11</v>
      </c>
      <c r="AB222" s="7">
        <f>(((0.621*15^0.564)/0.2))*W222/15+AB221*inputs!$C$53</f>
        <v>1.6651013711667663E-11</v>
      </c>
      <c r="AC222" s="7">
        <f>(((0.621*1000^0.564)/0.2))*W222/1000+AC221*inputs!$C$53</f>
        <v>2.6681882504432064E-12</v>
      </c>
      <c r="AD222" s="7">
        <f>(((0.648*20^0.651)/0.2))*AA222/20+AD221*inputs!$C$54</f>
        <v>1.78239140357113E-11</v>
      </c>
      <c r="AE222" s="7">
        <f>(((0.013*2^0.773)/0.2))*AA222/2+AE221*inputs!$C$54</f>
        <v>8.691547036689308E-13</v>
      </c>
    </row>
    <row r="223" spans="1:31" x14ac:dyDescent="0.3">
      <c r="A223" s="7">
        <f>IF(A222&lt;(inputs!$C$9-1),(1+A222),0)</f>
        <v>0</v>
      </c>
      <c r="B223" s="7">
        <f>IF(inputs!$C$8&gt;B222,IF(A222=(inputs!$C$9-1),(B222+1),B222), B222)</f>
        <v>1</v>
      </c>
      <c r="C223" s="7">
        <f t="shared" si="7"/>
        <v>220</v>
      </c>
      <c r="D223" s="8">
        <f>IF((B223&gt;B222), (EXP(-LN(2)/inputs!$C$51)*D222+$D$3), (EXP(-LN(2)/inputs!$C$51)*D222))</f>
        <v>3.8335092928641712E-11</v>
      </c>
      <c r="E223" s="8">
        <f>IF((B223&gt;B222), (EXP(-LN(2)/inputs!$C$51)*E222+$E$3), (EXP(-LN(2)/inputs!$C$51)*E222))</f>
        <v>1.7570250925627451E-11</v>
      </c>
      <c r="F223" s="8">
        <f>IF((B223&gt;B222), (EXP(-LN(2)/inputs!$C$51)*F222+$F$3), (EXP(-LN(2)/inputs!$C$51)*F222))</f>
        <v>2.1563489772360981E-11</v>
      </c>
      <c r="G223" s="8">
        <f>IF((B223&gt;B222), (EXP(-LN(2)/inputs!$C$51)*G222+$G$3), (EXP(-LN(2)/inputs!$C$51)*G222))</f>
        <v>2.395943308040107E-12</v>
      </c>
      <c r="H223" s="8">
        <f>IF((B223&gt;B222), (EXP(-LN(2)/inputs!$C$51)*H222+$H$3), (EXP(-LN(2)/inputs!$C$51)*H222))</f>
        <v>1.5014578063718015E-11</v>
      </c>
      <c r="I223" s="7">
        <f>O223*(10^inputs!$C$55)*0.01/1</f>
        <v>0.10686999985610986</v>
      </c>
      <c r="J223" s="7">
        <f>(((0.621*15^0.564)/0.2))*D223/15+J222*inputs!$C$53</f>
        <v>4.1251038082909713E-11</v>
      </c>
      <c r="K223" s="7">
        <f>(((0.621*1000^0.564)/0.2))*D223/1000+K222*inputs!$C$53</f>
        <v>6.6101402015109767E-12</v>
      </c>
      <c r="L223" s="7">
        <f>(((0.648*20^0.651)/0.2))*H223/20+L222*inputs!$C$54</f>
        <v>2.2616191012526865E-11</v>
      </c>
      <c r="M223" s="7">
        <f>(((0.013*2^0.773)/0.2))*H223/2+M222*inputs!$C$54</f>
        <v>1.1028424373136444E-12</v>
      </c>
      <c r="N223" s="7">
        <f>O223*0.015*inputs!$C$56</f>
        <v>1.5701297517699893E-2</v>
      </c>
      <c r="O223" s="7">
        <f>IF((B223&gt;B222), (EXP(-LN(2)/inputs!$C$52)*O222+$O$3), (EXP(-LN(2)/inputs!$C$52)*O222))</f>
        <v>1.6937753525026853E-3</v>
      </c>
      <c r="P223" s="3">
        <f>IF((B223&gt;B222), (EXP(-LN(2)/inputs!$C$52)*P222+$P$3), (EXP(-LN(2)/inputs!$C$52)*P222))</f>
        <v>1.6367034588503037E-3</v>
      </c>
      <c r="Q223" s="19">
        <f>IF((F223*0.62*1/(0.012*(10^inputs!$C$55)))&gt;inputs!$C$57, inputs!$C$57, (F223*0.62*1/(0.012*(10^inputs!$C$55))))</f>
        <v>1.7657511208725194E-13</v>
      </c>
      <c r="R223" s="3">
        <f>IF((B223&gt;B222), (EXP(-LN(2)/inputs!$C$51)*R222+$R$3), (EXP(-LN(2)/inputs!$C$51)*R222))</f>
        <v>4.102624057869959E-19</v>
      </c>
      <c r="T223" s="7">
        <f>IF(T222&lt;(inputs!$C$9-1),(1+T222),0)</f>
        <v>0</v>
      </c>
      <c r="U223" s="7">
        <f>IF(inputs!$C$8&gt;U222,IF(T222=(inputs!$C$9-1),(U222+1),U222), U222)</f>
        <v>1</v>
      </c>
      <c r="V223" s="7">
        <f t="shared" si="6"/>
        <v>220</v>
      </c>
      <c r="W223" s="8">
        <f>IF((U223&gt;U222), (EXP(-LN(2)/inputs!$C$51)*W222+$W$3), (EXP(-LN(2)/inputs!$C$51)*W222))</f>
        <v>1.3577012078893962E-11</v>
      </c>
      <c r="X223" s="8">
        <f>IF((U223&gt;U222), (EXP(-LN(2)/inputs!$C$51)*X222+$X$3), (EXP(-LN(2)/inputs!$C$51)*X222))</f>
        <v>5.7502639392962563E-12</v>
      </c>
      <c r="Y223" s="8">
        <f>IF((U223&gt;U222), (EXP(-LN(2)/inputs!$C$51)*Y222+$Y$3), (EXP(-LN(2)/inputs!$C$51)*Y222))</f>
        <v>7.187829924120333E-12</v>
      </c>
      <c r="Z223" s="8">
        <f>IF((U223&gt;U222), (EXP(-LN(2)/inputs!$C$51)*Z222+$Z$3), (EXP(-LN(2)/inputs!$C$51)*Z222))</f>
        <v>1.1181068770853831E-12</v>
      </c>
      <c r="AA223" s="8">
        <f>IF((U223&gt;U222), (EXP(-LN(2)/inputs!$C$51)*AA222+$AA$3), (EXP(-LN(2)/inputs!$C$51)*AA222))</f>
        <v>1.0382421001507127E-11</v>
      </c>
      <c r="AB223" s="7">
        <f>(((0.621*15^0.564)/0.2))*W223/15+AB222*inputs!$C$53</f>
        <v>1.4609742654363879E-11</v>
      </c>
      <c r="AC223" s="7">
        <f>(((0.621*1000^0.564)/0.2))*W223/1000+AC222*inputs!$C$53</f>
        <v>2.3410913213684752E-12</v>
      </c>
      <c r="AD223" s="7">
        <f>(((0.648*20^0.651)/0.2))*AA223/20+AD222*inputs!$C$54</f>
        <v>1.5638855487385585E-11</v>
      </c>
      <c r="AE223" s="7">
        <f>(((0.013*2^0.773)/0.2))*AA223/2+AE222*inputs!$C$54</f>
        <v>7.6260381303602988E-13</v>
      </c>
    </row>
    <row r="224" spans="1:31" x14ac:dyDescent="0.3">
      <c r="A224" s="7">
        <f>IF(A223&lt;(inputs!$C$9-1),(1+A223),0)</f>
        <v>0</v>
      </c>
      <c r="B224" s="7">
        <f>IF(inputs!$C$8&gt;B223,IF(A223=(inputs!$C$9-1),(B223+1),B223), B223)</f>
        <v>1</v>
      </c>
      <c r="C224" s="7">
        <f t="shared" si="7"/>
        <v>221</v>
      </c>
      <c r="D224" s="8">
        <f>IF((B224&gt;B223), (EXP(-LN(2)/inputs!$C$51)*D223+$D$3), (EXP(-LN(2)/inputs!$C$51)*D223))</f>
        <v>3.3635540275012315E-11</v>
      </c>
      <c r="E224" s="8">
        <f>IF((B224&gt;B223), (EXP(-LN(2)/inputs!$C$51)*E223+$E$3), (EXP(-LN(2)/inputs!$C$51)*E223))</f>
        <v>1.5416289292713977E-11</v>
      </c>
      <c r="F224" s="8">
        <f>IF((B224&gt;B223), (EXP(-LN(2)/inputs!$C$51)*F223+$F$3), (EXP(-LN(2)/inputs!$C$51)*F223))</f>
        <v>1.8919991404694443E-11</v>
      </c>
      <c r="G224" s="8">
        <f>IF((B224&gt;B223), (EXP(-LN(2)/inputs!$C$51)*G223+$G$3), (EXP(-LN(2)/inputs!$C$51)*G223))</f>
        <v>2.1022212671882697E-12</v>
      </c>
      <c r="H224" s="8">
        <f>IF((B224&gt;B223), (EXP(-LN(2)/inputs!$C$51)*H223+$H$3), (EXP(-LN(2)/inputs!$C$51)*H223))</f>
        <v>1.3173919941046499E-11</v>
      </c>
      <c r="I224" s="7">
        <f>O224*(10^inputs!$C$55)*0.01/1</f>
        <v>0.10471333350741406</v>
      </c>
      <c r="J224" s="7">
        <f>(((0.621*15^0.564)/0.2))*D224/15+J223*inputs!$C$53</f>
        <v>3.619401563487845E-11</v>
      </c>
      <c r="K224" s="7">
        <f>(((0.621*1000^0.564)/0.2))*D224/1000+K223*inputs!$C$53</f>
        <v>5.7997938699474097E-12</v>
      </c>
      <c r="L224" s="7">
        <f>(((0.648*20^0.651)/0.2))*H224/20+L223*inputs!$C$54</f>
        <v>1.9843640527629013E-11</v>
      </c>
      <c r="M224" s="7">
        <f>(((0.013*2^0.773)/0.2))*H224/2+M223*inputs!$C$54</f>
        <v>9.6764344060167554E-13</v>
      </c>
      <c r="N224" s="7">
        <f>O224*0.015*inputs!$C$56</f>
        <v>1.5384440962699643E-2</v>
      </c>
      <c r="O224" s="7">
        <f>IF((B224&gt;B223), (EXP(-LN(2)/inputs!$C$52)*O223+$O$3), (EXP(-LN(2)/inputs!$C$52)*O223))</f>
        <v>1.659594494358106E-3</v>
      </c>
      <c r="P224" s="3">
        <f>IF((B224&gt;B223), (EXP(-LN(2)/inputs!$C$52)*P223+$P$3), (EXP(-LN(2)/inputs!$C$52)*P223))</f>
        <v>1.6036743274079059E-3</v>
      </c>
      <c r="Q224" s="19">
        <f>IF((F224*0.62*1/(0.012*(10^inputs!$C$55)))&gt;inputs!$C$57, inputs!$C$57, (F224*0.62*1/(0.012*(10^inputs!$C$55))))</f>
        <v>1.5492852215673536E-13</v>
      </c>
      <c r="R224" s="3">
        <f>IF((B224&gt;B223), (EXP(-LN(2)/inputs!$C$51)*R223+$R$3), (EXP(-LN(2)/inputs!$C$51)*R223))</f>
        <v>3.5996776371088051E-19</v>
      </c>
      <c r="T224" s="7">
        <f>IF(T223&lt;(inputs!$C$9-1),(1+T223),0)</f>
        <v>0</v>
      </c>
      <c r="U224" s="7">
        <f>IF(inputs!$C$8&gt;U223,IF(T223=(inputs!$C$9-1),(U223+1),U223), U223)</f>
        <v>1</v>
      </c>
      <c r="V224" s="7">
        <f t="shared" si="6"/>
        <v>221</v>
      </c>
      <c r="W224" s="8">
        <f>IF((U224&gt;U223), (EXP(-LN(2)/inputs!$C$51)*W223+$W$3), (EXP(-LN(2)/inputs!$C$51)*W223))</f>
        <v>1.1912587180733548E-11</v>
      </c>
      <c r="X224" s="8">
        <f>IF((U224&gt;U223), (EXP(-LN(2)/inputs!$C$51)*X223+$X$3), (EXP(-LN(2)/inputs!$C$51)*X223))</f>
        <v>5.045331041251847E-12</v>
      </c>
      <c r="Y224" s="8">
        <f>IF((U224&gt;U223), (EXP(-LN(2)/inputs!$C$51)*Y223+$Y$3), (EXP(-LN(2)/inputs!$C$51)*Y223))</f>
        <v>6.3066638015648192E-12</v>
      </c>
      <c r="Z224" s="8">
        <f>IF((U224&gt;U223), (EXP(-LN(2)/inputs!$C$51)*Z223+$Z$3), (EXP(-LN(2)/inputs!$C$51)*Z223))</f>
        <v>9.8103659135452562E-13</v>
      </c>
      <c r="AA224" s="8">
        <f>IF((U224&gt;U223), (EXP(-LN(2)/inputs!$C$51)*AA223+$AA$3), (EXP(-LN(2)/inputs!$C$51)*AA223))</f>
        <v>9.1096254911491659E-12</v>
      </c>
      <c r="AB224" s="7">
        <f>(((0.621*15^0.564)/0.2))*W224/15+AB223*inputs!$C$53</f>
        <v>1.2818713870686139E-11</v>
      </c>
      <c r="AC224" s="7">
        <f>(((0.621*1000^0.564)/0.2))*W224/1000+AC223*inputs!$C$53</f>
        <v>2.0540936622730446E-12</v>
      </c>
      <c r="AD224" s="7">
        <f>(((0.648*20^0.651)/0.2))*AA224/20+AD223*inputs!$C$54</f>
        <v>1.3721666322296643E-11</v>
      </c>
      <c r="AE224" s="7">
        <f>(((0.013*2^0.773)/0.2))*AA224/2+AE223*inputs!$C$54</f>
        <v>6.6911514509690268E-13</v>
      </c>
    </row>
    <row r="225" spans="1:31" x14ac:dyDescent="0.3">
      <c r="A225" s="7">
        <f>IF(A224&lt;(inputs!$C$9-1),(1+A224),0)</f>
        <v>0</v>
      </c>
      <c r="B225" s="7">
        <f>IF(inputs!$C$8&gt;B224,IF(A224=(inputs!$C$9-1),(B224+1),B224), B224)</f>
        <v>1</v>
      </c>
      <c r="C225" s="7">
        <f t="shared" si="7"/>
        <v>222</v>
      </c>
      <c r="D225" s="8">
        <f>IF((B225&gt;B224), (EXP(-LN(2)/inputs!$C$51)*D224+$D$3), (EXP(-LN(2)/inputs!$C$51)*D224))</f>
        <v>2.9512112353500987E-11</v>
      </c>
      <c r="E225" s="8">
        <f>IF((B225&gt;B224), (EXP(-LN(2)/inputs!$C$51)*E224+$E$3), (EXP(-LN(2)/inputs!$C$51)*E224))</f>
        <v>1.3526384828687953E-11</v>
      </c>
      <c r="F225" s="8">
        <f>IF((B225&gt;B224), (EXP(-LN(2)/inputs!$C$51)*F224+$F$3), (EXP(-LN(2)/inputs!$C$51)*F224))</f>
        <v>1.660056319884432E-11</v>
      </c>
      <c r="G225" s="8">
        <f>IF((B225&gt;B224), (EXP(-LN(2)/inputs!$C$51)*G224+$G$3), (EXP(-LN(2)/inputs!$C$51)*G224))</f>
        <v>1.8445070220938117E-12</v>
      </c>
      <c r="H225" s="8">
        <f>IF((B225&gt;B224), (EXP(-LN(2)/inputs!$C$51)*H224+$H$3), (EXP(-LN(2)/inputs!$C$51)*H224))</f>
        <v>1.1558910671787895E-11</v>
      </c>
      <c r="I225" s="7">
        <f>O225*(10^inputs!$C$55)*0.01/1</f>
        <v>0.10260018928603051</v>
      </c>
      <c r="J225" s="7">
        <f>(((0.621*15^0.564)/0.2))*D225/15+J224*inputs!$C$53</f>
        <v>3.1756940640981365E-11</v>
      </c>
      <c r="K225" s="7">
        <f>(((0.621*1000^0.564)/0.2))*D225/1000+K224*inputs!$C$53</f>
        <v>5.0887890284370227E-12</v>
      </c>
      <c r="L225" s="7">
        <f>(((0.648*20^0.651)/0.2))*H225/20+L224*inputs!$C$54</f>
        <v>1.7410980884077938E-11</v>
      </c>
      <c r="M225" s="7">
        <f>(((0.013*2^0.773)/0.2))*H225/2+M224*inputs!$C$54</f>
        <v>8.4901867797199975E-13</v>
      </c>
      <c r="N225" s="7">
        <f>O225*0.015*inputs!$C$56</f>
        <v>1.5073978661189173E-2</v>
      </c>
      <c r="O225" s="7">
        <f>IF((B225&gt;B224), (EXP(-LN(2)/inputs!$C$52)*O224+$O$3), (EXP(-LN(2)/inputs!$C$52)*O224))</f>
        <v>1.6261034154465127E-3</v>
      </c>
      <c r="P225" s="3">
        <f>IF((B225&gt;B224), (EXP(-LN(2)/inputs!$C$52)*P224+$P$3), (EXP(-LN(2)/inputs!$C$52)*P224))</f>
        <v>1.5713117330330144E-3</v>
      </c>
      <c r="Q225" s="19">
        <f>IF((F225*0.62*1/(0.012*(10^inputs!$C$55)))&gt;inputs!$C$57, inputs!$C$57, (F225*0.62*1/(0.012*(10^inputs!$C$55))))</f>
        <v>1.3593561795848892E-13</v>
      </c>
      <c r="R225" s="3">
        <f>IF((B225&gt;B224), (EXP(-LN(2)/inputs!$C$51)*R224+$R$3), (EXP(-LN(2)/inputs!$C$51)*R224))</f>
        <v>3.1583881214377529E-19</v>
      </c>
      <c r="T225" s="7">
        <f>IF(T224&lt;(inputs!$C$9-1),(1+T224),0)</f>
        <v>0</v>
      </c>
      <c r="U225" s="7">
        <f>IF(inputs!$C$8&gt;U224,IF(T224=(inputs!$C$9-1),(U224+1),U224), U224)</f>
        <v>1</v>
      </c>
      <c r="V225" s="7">
        <f t="shared" si="6"/>
        <v>222</v>
      </c>
      <c r="W225" s="8">
        <f>IF((U225&gt;U224), (EXP(-LN(2)/inputs!$C$51)*W224+$W$3), (EXP(-LN(2)/inputs!$C$51)*W224))</f>
        <v>1.0452206458531617E-11</v>
      </c>
      <c r="X225" s="8">
        <f>IF((U225&gt;U224), (EXP(-LN(2)/inputs!$C$51)*X224+$X$3), (EXP(-LN(2)/inputs!$C$51)*X224))</f>
        <v>4.4268168530251478E-12</v>
      </c>
      <c r="Y225" s="8">
        <f>IF((U225&gt;U224), (EXP(-LN(2)/inputs!$C$51)*Y224+$Y$3), (EXP(-LN(2)/inputs!$C$51)*Y224))</f>
        <v>5.5335210662814447E-12</v>
      </c>
      <c r="Z225" s="8">
        <f>IF((U225&gt;U224), (EXP(-LN(2)/inputs!$C$51)*Z224+$Z$3), (EXP(-LN(2)/inputs!$C$51)*Z224))</f>
        <v>8.6076994364377862E-13</v>
      </c>
      <c r="AA225" s="8">
        <f>IF((U225&gt;U224), (EXP(-LN(2)/inputs!$C$51)*AA224+$AA$3), (EXP(-LN(2)/inputs!$C$51)*AA224))</f>
        <v>7.9928637624065153E-12</v>
      </c>
      <c r="AB225" s="7">
        <f>(((0.621*15^0.564)/0.2))*W225/15+AB224*inputs!$C$53</f>
        <v>1.1247249810347586E-11</v>
      </c>
      <c r="AC225" s="7">
        <f>(((0.621*1000^0.564)/0.2))*W225/1000+AC224*inputs!$C$53</f>
        <v>1.8022794475714486E-12</v>
      </c>
      <c r="AD225" s="7">
        <f>(((0.648*20^0.651)/0.2))*AA225/20+AD224*inputs!$C$54</f>
        <v>1.2039508058138989E-11</v>
      </c>
      <c r="AE225" s="7">
        <f>(((0.013*2^0.773)/0.2))*AA225/2+AE224*inputs!$C$54</f>
        <v>5.870873837040418E-13</v>
      </c>
    </row>
    <row r="226" spans="1:31" x14ac:dyDescent="0.3">
      <c r="A226" s="7">
        <f>IF(A225&lt;(inputs!$C$9-1),(1+A225),0)</f>
        <v>0</v>
      </c>
      <c r="B226" s="7">
        <f>IF(inputs!$C$8&gt;B225,IF(A225=(inputs!$C$9-1),(B225+1),B225), B225)</f>
        <v>1</v>
      </c>
      <c r="C226" s="7">
        <f t="shared" si="7"/>
        <v>223</v>
      </c>
      <c r="D226" s="8">
        <f>IF((B226&gt;B225), (EXP(-LN(2)/inputs!$C$51)*D225+$D$3), (EXP(-LN(2)/inputs!$C$51)*D225))</f>
        <v>2.5894181227488747E-11</v>
      </c>
      <c r="E226" s="8">
        <f>IF((B226&gt;B225), (EXP(-LN(2)/inputs!$C$51)*E225+$E$3), (EXP(-LN(2)/inputs!$C$51)*E225))</f>
        <v>1.1868166395932344E-11</v>
      </c>
      <c r="F226" s="8">
        <f>IF((B226&gt;B225), (EXP(-LN(2)/inputs!$C$51)*F225+$F$3), (EXP(-LN(2)/inputs!$C$51)*F225))</f>
        <v>1.4565476940462436E-11</v>
      </c>
      <c r="G226" s="8">
        <f>IF((B226&gt;B225), (EXP(-LN(2)/inputs!$C$51)*G225+$G$3), (EXP(-LN(2)/inputs!$C$51)*G225))</f>
        <v>1.6183863267180467E-12</v>
      </c>
      <c r="H226" s="8">
        <f>IF((B226&gt;B225), (EXP(-LN(2)/inputs!$C$51)*H225+$H$3), (EXP(-LN(2)/inputs!$C$51)*H225))</f>
        <v>1.0141887647433101E-11</v>
      </c>
      <c r="I226" s="7">
        <f>O226*(10^inputs!$C$55)*0.01/1</f>
        <v>0.10052968890331389</v>
      </c>
      <c r="J226" s="7">
        <f>(((0.621*15^0.564)/0.2))*D226/15+J225*inputs!$C$53</f>
        <v>2.786381287582159E-11</v>
      </c>
      <c r="K226" s="7">
        <f>(((0.621*1000^0.564)/0.2))*D226/1000+K225*inputs!$C$53</f>
        <v>4.4649472647854337E-12</v>
      </c>
      <c r="L226" s="7">
        <f>(((0.648*20^0.651)/0.2))*H226/20+L225*inputs!$C$54</f>
        <v>1.5276544388296671E-11</v>
      </c>
      <c r="M226" s="7">
        <f>(((0.013*2^0.773)/0.2))*H226/2+M225*inputs!$C$54</f>
        <v>7.4493629088945438E-13</v>
      </c>
      <c r="N226" s="7">
        <f>O226*0.015*inputs!$C$56</f>
        <v>1.4769781575352957E-2</v>
      </c>
      <c r="O226" s="7">
        <f>IF((B226&gt;B225), (EXP(-LN(2)/inputs!$C$52)*O225+$O$3), (EXP(-LN(2)/inputs!$C$52)*O225))</f>
        <v>1.5932881958309556E-3</v>
      </c>
      <c r="P226" s="3">
        <f>IF((B226&gt;B225), (EXP(-LN(2)/inputs!$C$52)*P225+$P$3), (EXP(-LN(2)/inputs!$C$52)*P225))</f>
        <v>1.5396022248220492E-3</v>
      </c>
      <c r="Q226" s="19">
        <f>IF((F226*0.62*1/(0.012*(10^inputs!$C$55)))&gt;inputs!$C$57, inputs!$C$57, (F226*0.62*1/(0.012*(10^inputs!$C$55))))</f>
        <v>1.1927108044742246E-13</v>
      </c>
      <c r="R226" s="3">
        <f>IF((B226&gt;B225), (EXP(-LN(2)/inputs!$C$51)*R225+$R$3), (EXP(-LN(2)/inputs!$C$51)*R225))</f>
        <v>2.7711969046348182E-19</v>
      </c>
      <c r="T226" s="7">
        <f>IF(T225&lt;(inputs!$C$9-1),(1+T225),0)</f>
        <v>0</v>
      </c>
      <c r="U226" s="7">
        <f>IF(inputs!$C$8&gt;U225,IF(T225=(inputs!$C$9-1),(U225+1),U225), U225)</f>
        <v>1</v>
      </c>
      <c r="V226" s="7">
        <f t="shared" si="6"/>
        <v>223</v>
      </c>
      <c r="W226" s="8">
        <f>IF((U226&gt;U225), (EXP(-LN(2)/inputs!$C$51)*W225+$W$3), (EXP(-LN(2)/inputs!$C$51)*W225))</f>
        <v>9.1708558514022816E-12</v>
      </c>
      <c r="X226" s="8">
        <f>IF((U226&gt;U225), (EXP(-LN(2)/inputs!$C$51)*X225+$X$3), (EXP(-LN(2)/inputs!$C$51)*X225))</f>
        <v>3.8841271841233117E-12</v>
      </c>
      <c r="Y226" s="8">
        <f>IF((U226&gt;U225), (EXP(-LN(2)/inputs!$C$51)*Y225+$Y$3), (EXP(-LN(2)/inputs!$C$51)*Y225))</f>
        <v>4.855158980154149E-12</v>
      </c>
      <c r="Z226" s="8">
        <f>IF((U226&gt;U225), (EXP(-LN(2)/inputs!$C$51)*Z225+$Z$3), (EXP(-LN(2)/inputs!$C$51)*Z225))</f>
        <v>7.5524695246842165E-13</v>
      </c>
      <c r="AA226" s="8">
        <f>IF((U226&gt;U225), (EXP(-LN(2)/inputs!$C$51)*AA225+$AA$3), (EXP(-LN(2)/inputs!$C$51)*AA225))</f>
        <v>7.0130074157782007E-12</v>
      </c>
      <c r="AB226" s="7">
        <f>(((0.621*15^0.564)/0.2))*W226/15+AB225*inputs!$C$53</f>
        <v>9.8684337268534988E-12</v>
      </c>
      <c r="AC226" s="7">
        <f>(((0.621*1000^0.564)/0.2))*W226/1000+AC225*inputs!$C$53</f>
        <v>1.5813354896115106E-12</v>
      </c>
      <c r="AD226" s="7">
        <f>(((0.648*20^0.651)/0.2))*AA226/20+AD225*inputs!$C$54</f>
        <v>1.0563567928077475E-11</v>
      </c>
      <c r="AE226" s="7">
        <f>(((0.013*2^0.773)/0.2))*AA226/2+AE225*inputs!$C$54</f>
        <v>5.1511552029589875E-13</v>
      </c>
    </row>
    <row r="227" spans="1:31" x14ac:dyDescent="0.3">
      <c r="A227" s="7">
        <f>IF(A226&lt;(inputs!$C$9-1),(1+A226),0)</f>
        <v>0</v>
      </c>
      <c r="B227" s="7">
        <f>IF(inputs!$C$8&gt;B226,IF(A226=(inputs!$C$9-1),(B226+1),B226), B226)</f>
        <v>1</v>
      </c>
      <c r="C227" s="7">
        <f t="shared" si="7"/>
        <v>224</v>
      </c>
      <c r="D227" s="8">
        <f>IF((B227&gt;B226), (EXP(-LN(2)/inputs!$C$51)*D226+$D$3), (EXP(-LN(2)/inputs!$C$51)*D226))</f>
        <v>2.271977733787968E-11</v>
      </c>
      <c r="E227" s="8">
        <f>IF((B227&gt;B226), (EXP(-LN(2)/inputs!$C$51)*E226+$E$3), (EXP(-LN(2)/inputs!$C$51)*E226))</f>
        <v>1.0413231279861521E-11</v>
      </c>
      <c r="F227" s="8">
        <f>IF((B227&gt;B226), (EXP(-LN(2)/inputs!$C$51)*F226+$F$3), (EXP(-LN(2)/inputs!$C$51)*F226))</f>
        <v>1.2779874752557334E-11</v>
      </c>
      <c r="G227" s="8">
        <f>IF((B227&gt;B226), (EXP(-LN(2)/inputs!$C$51)*G226+$G$3), (EXP(-LN(2)/inputs!$C$51)*G226))</f>
        <v>1.41998608361748E-12</v>
      </c>
      <c r="H227" s="8">
        <f>IF((B227&gt;B226), (EXP(-LN(2)/inputs!$C$51)*H226+$H$3), (EXP(-LN(2)/inputs!$C$51)*H226))</f>
        <v>8.8985794573362151E-12</v>
      </c>
      <c r="I227" s="7">
        <f>O227*(10^inputs!$C$55)*0.01/1</f>
        <v>9.8500971794728248E-2</v>
      </c>
      <c r="J227" s="7">
        <f>(((0.621*15^0.564)/0.2))*D227/15+J226*inputs!$C$53</f>
        <v>2.4447949087919718E-11</v>
      </c>
      <c r="K227" s="7">
        <f>(((0.621*1000^0.564)/0.2))*D227/1000+K226*inputs!$C$53</f>
        <v>3.9175831353806435E-12</v>
      </c>
      <c r="L227" s="7">
        <f>(((0.648*20^0.651)/0.2))*H227/20+L226*inputs!$C$54</f>
        <v>1.3403771447535974E-11</v>
      </c>
      <c r="M227" s="7">
        <f>(((0.013*2^0.773)/0.2))*H227/2+M226*inputs!$C$54</f>
        <v>6.5361350919825011E-13</v>
      </c>
      <c r="N227" s="7">
        <f>O227*0.015*inputs!$C$56</f>
        <v>1.4471723271394517E-2</v>
      </c>
      <c r="O227" s="7">
        <f>IF((B227&gt;B226), (EXP(-LN(2)/inputs!$C$52)*O226+$O$3), (EXP(-LN(2)/inputs!$C$52)*O226))</f>
        <v>1.5611351964826879E-3</v>
      </c>
      <c r="P227" s="3">
        <f>IF((B227&gt;B226), (EXP(-LN(2)/inputs!$C$52)*P226+$P$3), (EXP(-LN(2)/inputs!$C$52)*P226))</f>
        <v>1.5085326233144089E-3</v>
      </c>
      <c r="Q227" s="19">
        <f>IF((F227*0.62*1/(0.012*(10^inputs!$C$55)))&gt;inputs!$C$57, inputs!$C$57, (F227*0.62*1/(0.012*(10^inputs!$C$55))))</f>
        <v>1.0464947189514106E-13</v>
      </c>
      <c r="R227" s="3">
        <f>IF((B227&gt;B226), (EXP(-LN(2)/inputs!$C$51)*R226+$R$3), (EXP(-LN(2)/inputs!$C$51)*R226))</f>
        <v>2.4314720005854573E-19</v>
      </c>
      <c r="T227" s="7">
        <f>IF(T226&lt;(inputs!$C$9-1),(1+T226),0)</f>
        <v>0</v>
      </c>
      <c r="U227" s="7">
        <f>IF(inputs!$C$8&gt;U226,IF(T226=(inputs!$C$9-1),(U226+1),U226), U226)</f>
        <v>1</v>
      </c>
      <c r="V227" s="7">
        <f t="shared" si="6"/>
        <v>224</v>
      </c>
      <c r="W227" s="8">
        <f>IF((U227&gt;U226), (EXP(-LN(2)/inputs!$C$51)*W226+$W$3), (EXP(-LN(2)/inputs!$C$51)*W226))</f>
        <v>8.0465878071657351E-12</v>
      </c>
      <c r="X227" s="8">
        <f>IF((U227&gt;U226), (EXP(-LN(2)/inputs!$C$51)*X226+$X$3), (EXP(-LN(2)/inputs!$C$51)*X226))</f>
        <v>3.4079666006819516E-12</v>
      </c>
      <c r="Y227" s="8">
        <f>IF((U227&gt;U226), (EXP(-LN(2)/inputs!$C$51)*Y226+$Y$3), (EXP(-LN(2)/inputs!$C$51)*Y226))</f>
        <v>4.2599582508524477E-12</v>
      </c>
      <c r="Z227" s="8">
        <f>IF((U227&gt;U226), (EXP(-LN(2)/inputs!$C$51)*Z226+$Z$3), (EXP(-LN(2)/inputs!$C$51)*Z226))</f>
        <v>6.6266017235482385E-13</v>
      </c>
      <c r="AA227" s="8">
        <f>IF((U227&gt;U226), (EXP(-LN(2)/inputs!$C$51)*AA226+$AA$3), (EXP(-LN(2)/inputs!$C$51)*AA226))</f>
        <v>6.1532730290090789E-12</v>
      </c>
      <c r="AB227" s="7">
        <f>(((0.621*15^0.564)/0.2))*W227/15+AB226*inputs!$C$53</f>
        <v>8.658648635304916E-12</v>
      </c>
      <c r="AC227" s="7">
        <f>(((0.621*1000^0.564)/0.2))*W227/1000+AC226*inputs!$C$53</f>
        <v>1.3874773604473137E-12</v>
      </c>
      <c r="AD227" s="7">
        <f>(((0.648*20^0.651)/0.2))*AA227/20+AD226*inputs!$C$54</f>
        <v>9.2685653626578454E-12</v>
      </c>
      <c r="AE227" s="7">
        <f>(((0.013*2^0.773)/0.2))*AA227/2+AE226*inputs!$C$54</f>
        <v>4.5196678827538525E-13</v>
      </c>
    </row>
    <row r="228" spans="1:31" x14ac:dyDescent="0.3">
      <c r="A228" s="7">
        <f>IF(A227&lt;(inputs!$C$9-1),(1+A227),0)</f>
        <v>0</v>
      </c>
      <c r="B228" s="7">
        <f>IF(inputs!$C$8&gt;B227,IF(A227=(inputs!$C$9-1),(B227+1),B227), B227)</f>
        <v>1</v>
      </c>
      <c r="C228" s="7">
        <f t="shared" si="7"/>
        <v>225</v>
      </c>
      <c r="D228" s="8">
        <f>IF((B228&gt;B227), (EXP(-LN(2)/inputs!$C$51)*D227+$D$3), (EXP(-LN(2)/inputs!$C$51)*D227))</f>
        <v>1.9934528060491672E-11</v>
      </c>
      <c r="E228" s="8">
        <f>IF((B228&gt;B227), (EXP(-LN(2)/inputs!$C$51)*E227+$E$3), (EXP(-LN(2)/inputs!$C$51)*E227))</f>
        <v>9.1366586943920164E-12</v>
      </c>
      <c r="F228" s="8">
        <f>IF((B228&gt;B227), (EXP(-LN(2)/inputs!$C$51)*F227+$F$3), (EXP(-LN(2)/inputs!$C$51)*F227))</f>
        <v>1.1213172034026577E-11</v>
      </c>
      <c r="G228" s="8">
        <f>IF((B228&gt;B227), (EXP(-LN(2)/inputs!$C$51)*G227+$G$3), (EXP(-LN(2)/inputs!$C$51)*G227))</f>
        <v>1.2459080037807295E-12</v>
      </c>
      <c r="H228" s="8">
        <f>IF((B228&gt;B227), (EXP(-LN(2)/inputs!$C$51)*H227+$H$3), (EXP(-LN(2)/inputs!$C$51)*H227))</f>
        <v>7.8076901570259101E-12</v>
      </c>
      <c r="I228" s="7">
        <f>O228*(10^inputs!$C$55)*0.01/1</f>
        <v>9.6513194762169574E-2</v>
      </c>
      <c r="J228" s="7">
        <f>(((0.621*15^0.564)/0.2))*D228/15+J227*inputs!$C$53</f>
        <v>2.1450840818851529E-11</v>
      </c>
      <c r="K228" s="7">
        <f>(((0.621*1000^0.564)/0.2))*D228/1000+K227*inputs!$C$53</f>
        <v>3.4373211400866043E-12</v>
      </c>
      <c r="L228" s="7">
        <f>(((0.648*20^0.651)/0.2))*H228/20+L227*inputs!$C$54</f>
        <v>1.1760584360650215E-11</v>
      </c>
      <c r="M228" s="7">
        <f>(((0.013*2^0.773)/0.2))*H228/2+M227*inputs!$C$54</f>
        <v>5.7348611502919428E-13</v>
      </c>
      <c r="N228" s="7">
        <f>O228*0.015*inputs!$C$56</f>
        <v>1.4179679866986577E-2</v>
      </c>
      <c r="O228" s="7">
        <f>IF((B228&gt;B227), (EXP(-LN(2)/inputs!$C$52)*O227+$O$3), (EXP(-LN(2)/inputs!$C$52)*O227))</f>
        <v>1.52963105361236E-3</v>
      </c>
      <c r="P228" s="3">
        <f>IF((B228&gt;B227), (EXP(-LN(2)/inputs!$C$52)*P227+$P$3), (EXP(-LN(2)/inputs!$C$52)*P227))</f>
        <v>1.4780900150146768E-3</v>
      </c>
      <c r="Q228" s="19">
        <f>IF((F228*0.62*1/(0.012*(10^inputs!$C$55)))&gt;inputs!$C$57, inputs!$C$57, (F228*0.62*1/(0.012*(10^inputs!$C$55))))</f>
        <v>9.1820346783557533E-14</v>
      </c>
      <c r="R228" s="3">
        <f>IF((B228&gt;B227), (EXP(-LN(2)/inputs!$C$51)*R227+$R$3), (EXP(-LN(2)/inputs!$C$51)*R227))</f>
        <v>2.1333944476277204E-19</v>
      </c>
      <c r="T228" s="7">
        <f>IF(T227&lt;(inputs!$C$9-1),(1+T227),0)</f>
        <v>0</v>
      </c>
      <c r="U228" s="7">
        <f>IF(inputs!$C$8&gt;U227,IF(T227=(inputs!$C$9-1),(U227+1),U227), U227)</f>
        <v>1</v>
      </c>
      <c r="V228" s="7">
        <f t="shared" si="6"/>
        <v>225</v>
      </c>
      <c r="W228" s="8">
        <f>IF((U228&gt;U227), (EXP(-LN(2)/inputs!$C$51)*W227+$W$3), (EXP(-LN(2)/inputs!$C$51)*W227))</f>
        <v>7.0601453547574801E-12</v>
      </c>
      <c r="X228" s="8">
        <f>IF((U228&gt;U227), (EXP(-LN(2)/inputs!$C$51)*X227+$X$3), (EXP(-LN(2)/inputs!$C$51)*X227))</f>
        <v>2.9901792090737501E-12</v>
      </c>
      <c r="Y228" s="8">
        <f>IF((U228&gt;U227), (EXP(-LN(2)/inputs!$C$51)*Y227+$Y$3), (EXP(-LN(2)/inputs!$C$51)*Y227))</f>
        <v>3.737724011342195E-12</v>
      </c>
      <c r="Z228" s="8">
        <f>IF((U228&gt;U227), (EXP(-LN(2)/inputs!$C$51)*Z227+$Z$3), (EXP(-LN(2)/inputs!$C$51)*Z227))</f>
        <v>5.8142373509767363E-13</v>
      </c>
      <c r="AA228" s="8">
        <f>IF((U228&gt;U227), (EXP(-LN(2)/inputs!$C$51)*AA227+$AA$3), (EXP(-LN(2)/inputs!$C$51)*AA227))</f>
        <v>5.3989346830498262E-12</v>
      </c>
      <c r="AB228" s="7">
        <f>(((0.621*15^0.564)/0.2))*W228/15+AB227*inputs!$C$53</f>
        <v>7.597172790009931E-12</v>
      </c>
      <c r="AC228" s="7">
        <f>(((0.621*1000^0.564)/0.2))*W228/1000+AC227*inputs!$C$53</f>
        <v>1.2173845704473411E-12</v>
      </c>
      <c r="AD228" s="7">
        <f>(((0.648*20^0.651)/0.2))*AA228/20+AD227*inputs!$C$54</f>
        <v>8.1323189727900356E-12</v>
      </c>
      <c r="AE228" s="7">
        <f>(((0.013*2^0.773)/0.2))*AA228/2+AE227*inputs!$C$54</f>
        <v>3.9655954762657009E-13</v>
      </c>
    </row>
    <row r="229" spans="1:31" x14ac:dyDescent="0.3">
      <c r="A229" s="7">
        <f>IF(A228&lt;(inputs!$C$9-1),(1+A228),0)</f>
        <v>0</v>
      </c>
      <c r="B229" s="7">
        <f>IF(inputs!$C$8&gt;B228,IF(A228=(inputs!$C$9-1),(B228+1),B228), B228)</f>
        <v>1</v>
      </c>
      <c r="C229" s="7">
        <f t="shared" si="7"/>
        <v>226</v>
      </c>
      <c r="D229" s="8">
        <f>IF((B229&gt;B228), (EXP(-LN(2)/inputs!$C$51)*D228+$D$3), (EXP(-LN(2)/inputs!$C$51)*D228))</f>
        <v>1.7490726387181035E-11</v>
      </c>
      <c r="E229" s="8">
        <f>IF((B229&gt;B228), (EXP(-LN(2)/inputs!$C$51)*E228+$E$3), (EXP(-LN(2)/inputs!$C$51)*E228))</f>
        <v>8.0165829274579747E-12</v>
      </c>
      <c r="F229" s="8">
        <f>IF((B229&gt;B228), (EXP(-LN(2)/inputs!$C$51)*F228+$F$3), (EXP(-LN(2)/inputs!$C$51)*F228))</f>
        <v>9.8385335927893423E-12</v>
      </c>
      <c r="G229" s="8">
        <f>IF((B229&gt;B228), (EXP(-LN(2)/inputs!$C$51)*G228+$G$3), (EXP(-LN(2)/inputs!$C$51)*G228))</f>
        <v>1.0931703991988147E-12</v>
      </c>
      <c r="H229" s="8">
        <f>IF((B229&gt;B228), (EXP(-LN(2)/inputs!$C$51)*H228+$H$3), (EXP(-LN(2)/inputs!$C$51)*H228))</f>
        <v>6.8505345016459102E-12</v>
      </c>
      <c r="I229" s="7">
        <f>O229*(10^inputs!$C$55)*0.01/1</f>
        <v>9.4565531623506283E-2</v>
      </c>
      <c r="J229" s="7">
        <f>(((0.621*15^0.564)/0.2))*D229/15+J228*inputs!$C$53</f>
        <v>1.8821152243934922E-11</v>
      </c>
      <c r="K229" s="7">
        <f>(((0.621*1000^0.564)/0.2))*D229/1000+K228*inputs!$C$53</f>
        <v>3.0159351344405552E-12</v>
      </c>
      <c r="L229" s="7">
        <f>(((0.648*20^0.651)/0.2))*H229/20+L228*inputs!$C$54</f>
        <v>1.0318837876737768E-11</v>
      </c>
      <c r="M229" s="7">
        <f>(((0.013*2^0.773)/0.2))*H229/2+M228*inputs!$C$54</f>
        <v>5.0318165016923237E-13</v>
      </c>
      <c r="N229" s="7">
        <f>O229*0.015*inputs!$C$56</f>
        <v>1.3893529979781716E-2</v>
      </c>
      <c r="O229" s="7">
        <f>IF((B229&gt;B228), (EXP(-LN(2)/inputs!$C$52)*O228+$O$3), (EXP(-LN(2)/inputs!$C$52)*O228))</f>
        <v>1.4987626731156113E-3</v>
      </c>
      <c r="P229" s="3">
        <f>IF((B229&gt;B228), (EXP(-LN(2)/inputs!$C$52)*P228+$P$3), (EXP(-LN(2)/inputs!$C$52)*P228))</f>
        <v>1.4482617470253682E-3</v>
      </c>
      <c r="Q229" s="19">
        <f>IF((F229*0.62*1/(0.012*(10^inputs!$C$55)))&gt;inputs!$C$57, inputs!$C$57, (F229*0.62*1/(0.012*(10^inputs!$C$55))))</f>
        <v>8.0563962060894274E-14</v>
      </c>
      <c r="R229" s="3">
        <f>IF((B229&gt;B228), (EXP(-LN(2)/inputs!$C$51)*R228+$R$3), (EXP(-LN(2)/inputs!$C$51)*R228))</f>
        <v>1.8718586387475952E-19</v>
      </c>
      <c r="T229" s="7">
        <f>IF(T228&lt;(inputs!$C$9-1),(1+T228),0)</f>
        <v>0</v>
      </c>
      <c r="U229" s="7">
        <f>IF(inputs!$C$8&gt;U228,IF(T228=(inputs!$C$9-1),(U228+1),U228), U228)</f>
        <v>1</v>
      </c>
      <c r="V229" s="7">
        <f t="shared" si="6"/>
        <v>226</v>
      </c>
      <c r="W229" s="8">
        <f>IF((U229&gt;U228), (EXP(-LN(2)/inputs!$C$51)*W228+$W$3), (EXP(-LN(2)/inputs!$C$51)*W228))</f>
        <v>6.194632262126628E-12</v>
      </c>
      <c r="X229" s="8">
        <f>IF((U229&gt;U228), (EXP(-LN(2)/inputs!$C$51)*X228+$X$3), (EXP(-LN(2)/inputs!$C$51)*X228))</f>
        <v>2.6236089580771547E-12</v>
      </c>
      <c r="Y229" s="8">
        <f>IF((U229&gt;U228), (EXP(-LN(2)/inputs!$C$51)*Y228+$Y$3), (EXP(-LN(2)/inputs!$C$51)*Y228))</f>
        <v>3.2795111975964501E-12</v>
      </c>
      <c r="Z229" s="8">
        <f>IF((U229&gt;U228), (EXP(-LN(2)/inputs!$C$51)*Z228+$Z$3), (EXP(-LN(2)/inputs!$C$51)*Z228))</f>
        <v>5.101461862927801E-13</v>
      </c>
      <c r="AA229" s="8">
        <f>IF((U229&gt;U228), (EXP(-LN(2)/inputs!$C$51)*AA228+$AA$3), (EXP(-LN(2)/inputs!$C$51)*AA228))</f>
        <v>4.7370717298615294E-12</v>
      </c>
      <c r="AB229" s="7">
        <f>(((0.621*15^0.564)/0.2))*W229/15+AB228*inputs!$C$53</f>
        <v>6.6658247530602975E-12</v>
      </c>
      <c r="AC229" s="7">
        <f>(((0.621*1000^0.564)/0.2))*W229/1000+AC228*inputs!$C$53</f>
        <v>1.0681436934476986E-12</v>
      </c>
      <c r="AD229" s="7">
        <f>(((0.648*20^0.651)/0.2))*AA229/20+AD228*inputs!$C$54</f>
        <v>7.1353666168931314E-12</v>
      </c>
      <c r="AE229" s="7">
        <f>(((0.013*2^0.773)/0.2))*AA229/2+AE228*inputs!$C$54</f>
        <v>3.4794475809574544E-13</v>
      </c>
    </row>
    <row r="230" spans="1:31" x14ac:dyDescent="0.3">
      <c r="A230" s="7">
        <f>IF(A229&lt;(inputs!$C$9-1),(1+A229),0)</f>
        <v>0</v>
      </c>
      <c r="B230" s="7">
        <f>IF(inputs!$C$8&gt;B229,IF(A229=(inputs!$C$9-1),(B229+1),B229), B229)</f>
        <v>1</v>
      </c>
      <c r="C230" s="7">
        <f t="shared" si="7"/>
        <v>227</v>
      </c>
      <c r="D230" s="8">
        <f>IF((B230&gt;B229), (EXP(-LN(2)/inputs!$C$51)*D229+$D$3), (EXP(-LN(2)/inputs!$C$51)*D229))</f>
        <v>1.5346513778650525E-11</v>
      </c>
      <c r="E230" s="8">
        <f>IF((B230&gt;B229), (EXP(-LN(2)/inputs!$C$51)*E229+$E$3), (EXP(-LN(2)/inputs!$C$51)*E229))</f>
        <v>7.0338188152148239E-12</v>
      </c>
      <c r="F230" s="8">
        <f>IF((B230&gt;B229), (EXP(-LN(2)/inputs!$C$51)*F229+$F$3), (EXP(-LN(2)/inputs!$C$51)*F229))</f>
        <v>8.6324140004909295E-12</v>
      </c>
      <c r="G230" s="8">
        <f>IF((B230&gt;B229), (EXP(-LN(2)/inputs!$C$51)*G229+$G$3), (EXP(-LN(2)/inputs!$C$51)*G229))</f>
        <v>9.5915711116565778E-13</v>
      </c>
      <c r="H230" s="8">
        <f>IF((B230&gt;B229), (EXP(-LN(2)/inputs!$C$51)*H229+$H$3), (EXP(-LN(2)/inputs!$C$51)*H229))</f>
        <v>6.010717896638126E-12</v>
      </c>
      <c r="I230" s="7">
        <f>O230*(10^inputs!$C$55)*0.01/1</f>
        <v>9.2657172869192284E-2</v>
      </c>
      <c r="J230" s="7">
        <f>(((0.621*15^0.564)/0.2))*D230/15+J229*inputs!$C$53</f>
        <v>1.6513840869028565E-11</v>
      </c>
      <c r="K230" s="7">
        <f>(((0.621*1000^0.564)/0.2))*D230/1000+K229*inputs!$C$53</f>
        <v>2.6462074285336623E-12</v>
      </c>
      <c r="L230" s="7">
        <f>(((0.648*20^0.651)/0.2))*H230/20+L229*inputs!$C$54</f>
        <v>9.0538371105660809E-12</v>
      </c>
      <c r="M230" s="7">
        <f>(((0.013*2^0.773)/0.2))*H230/2+M229*inputs!$C$54</f>
        <v>4.4149590797702675E-13</v>
      </c>
      <c r="N230" s="7">
        <f>O230*0.015*inputs!$C$56</f>
        <v>1.3613154676962081E-2</v>
      </c>
      <c r="O230" s="7">
        <f>IF((B230&gt;B229), (EXP(-LN(2)/inputs!$C$52)*O229+$O$3), (EXP(-LN(2)/inputs!$C$52)*O229))</f>
        <v>1.4685172251307529E-3</v>
      </c>
      <c r="P230" s="3">
        <f>IF((B230&gt;B229), (EXP(-LN(2)/inputs!$C$52)*P229+$P$3), (EXP(-LN(2)/inputs!$C$52)*P229))</f>
        <v>1.419035421787992E-3</v>
      </c>
      <c r="Q230" s="19">
        <f>IF((F230*0.62*1/(0.012*(10^inputs!$C$55)))&gt;inputs!$C$57, inputs!$C$57, (F230*0.62*1/(0.012*(10^inputs!$C$55))))</f>
        <v>7.0687513283401019E-14</v>
      </c>
      <c r="R230" s="3">
        <f>IF((B230&gt;B229), (EXP(-LN(2)/inputs!$C$51)*R229+$R$3), (EXP(-LN(2)/inputs!$C$51)*R229))</f>
        <v>1.6423848704350928E-19</v>
      </c>
      <c r="T230" s="7">
        <f>IF(T229&lt;(inputs!$C$9-1),(1+T229),0)</f>
        <v>0</v>
      </c>
      <c r="U230" s="7">
        <f>IF(inputs!$C$8&gt;U229,IF(T229=(inputs!$C$9-1),(U229+1),U229), U229)</f>
        <v>1</v>
      </c>
      <c r="V230" s="7">
        <f t="shared" si="6"/>
        <v>227</v>
      </c>
      <c r="W230" s="8">
        <f>IF((U230&gt;U229), (EXP(-LN(2)/inputs!$C$51)*W229+$W$3), (EXP(-LN(2)/inputs!$C$51)*W229))</f>
        <v>5.4352236299387376E-12</v>
      </c>
      <c r="X230" s="8">
        <f>IF((U230&gt;U229), (EXP(-LN(2)/inputs!$C$51)*X229+$X$3), (EXP(-LN(2)/inputs!$C$51)*X229))</f>
        <v>2.3019770667975783E-12</v>
      </c>
      <c r="Y230" s="8">
        <f>IF((U230&gt;U229), (EXP(-LN(2)/inputs!$C$51)*Y229+$Y$3), (EXP(-LN(2)/inputs!$C$51)*Y229))</f>
        <v>2.8774713334969788E-12</v>
      </c>
      <c r="Z230" s="8">
        <f>IF((U230&gt;U229), (EXP(-LN(2)/inputs!$C$51)*Z229+$Z$3), (EXP(-LN(2)/inputs!$C$51)*Z229))</f>
        <v>4.4760665187730688E-13</v>
      </c>
      <c r="AA230" s="8">
        <f>IF((U230&gt;U229), (EXP(-LN(2)/inputs!$C$51)*AA229+$AA$3), (EXP(-LN(2)/inputs!$C$51)*AA229))</f>
        <v>4.1563474817178495E-12</v>
      </c>
      <c r="AB230" s="7">
        <f>(((0.621*15^0.564)/0.2))*W230/15+AB229*inputs!$C$53</f>
        <v>5.8486519744476284E-12</v>
      </c>
      <c r="AC230" s="7">
        <f>(((0.621*1000^0.564)/0.2))*W230/1000+AC229*inputs!$C$53</f>
        <v>9.3719846427234049E-13</v>
      </c>
      <c r="AD230" s="7">
        <f>(((0.648*20^0.651)/0.2))*AA230/20+AD229*inputs!$C$54</f>
        <v>6.2606320445403698E-12</v>
      </c>
      <c r="AE230" s="7">
        <f>(((0.013*2^0.773)/0.2))*AA230/2+AE229*inputs!$C$54</f>
        <v>3.0528972360113524E-13</v>
      </c>
    </row>
    <row r="231" spans="1:31" x14ac:dyDescent="0.3">
      <c r="A231" s="7">
        <f>IF(A230&lt;(inputs!$C$9-1),(1+A230),0)</f>
        <v>0</v>
      </c>
      <c r="B231" s="7">
        <f>IF(inputs!$C$8&gt;B230,IF(A230=(inputs!$C$9-1),(B230+1),B230), B230)</f>
        <v>1</v>
      </c>
      <c r="C231" s="7">
        <f t="shared" si="7"/>
        <v>228</v>
      </c>
      <c r="D231" s="8">
        <f>IF((B231&gt;B230), (EXP(-LN(2)/inputs!$C$51)*D230+$D$3), (EXP(-LN(2)/inputs!$C$51)*D230))</f>
        <v>1.3465163192474376E-11</v>
      </c>
      <c r="E231" s="8">
        <f>IF((B231&gt;B230), (EXP(-LN(2)/inputs!$C$51)*E230+$E$3), (EXP(-LN(2)/inputs!$C$51)*E230))</f>
        <v>6.171533129884089E-12</v>
      </c>
      <c r="F231" s="8">
        <f>IF((B231&gt;B230), (EXP(-LN(2)/inputs!$C$51)*F230+$F$3), (EXP(-LN(2)/inputs!$C$51)*F230))</f>
        <v>7.5741542957668451E-12</v>
      </c>
      <c r="G231" s="8">
        <f>IF((B231&gt;B230), (EXP(-LN(2)/inputs!$C$51)*G230+$G$3), (EXP(-LN(2)/inputs!$C$51)*G230))</f>
        <v>8.4157269952964852E-13</v>
      </c>
      <c r="H231" s="8">
        <f>IF((B231&gt;B230), (EXP(-LN(2)/inputs!$C$51)*H230+$H$3), (EXP(-LN(2)/inputs!$C$51)*H230))</f>
        <v>5.2738555837191341E-12</v>
      </c>
      <c r="I231" s="7">
        <f>O231*(10^inputs!$C$55)*0.01/1</f>
        <v>9.0787325325809395E-2</v>
      </c>
      <c r="J231" s="7">
        <f>(((0.621*15^0.564)/0.2))*D231/15+J230*inputs!$C$53</f>
        <v>1.4489386022339698E-11</v>
      </c>
      <c r="K231" s="7">
        <f>(((0.621*1000^0.564)/0.2))*D231/1000+K230*inputs!$C$53</f>
        <v>2.3218051591569324E-12</v>
      </c>
      <c r="L231" s="7">
        <f>(((0.648*20^0.651)/0.2))*H231/20+L230*inputs!$C$54</f>
        <v>7.9439145574189862E-12</v>
      </c>
      <c r="M231" s="7">
        <f>(((0.013*2^0.773)/0.2))*H231/2+M230*inputs!$C$54</f>
        <v>3.873723071874806E-13</v>
      </c>
      <c r="N231" s="7">
        <f>O231*0.015*inputs!$C$56</f>
        <v>1.3338437425807179E-2</v>
      </c>
      <c r="O231" s="7">
        <f>IF((B231&gt;B230), (EXP(-LN(2)/inputs!$C$52)*O230+$O$3), (EXP(-LN(2)/inputs!$C$52)*O230))</f>
        <v>1.4388821387062763E-3</v>
      </c>
      <c r="P231" s="3">
        <f>IF((B231&gt;B230), (EXP(-LN(2)/inputs!$C$52)*P230+$P$3), (EXP(-LN(2)/inputs!$C$52)*P230))</f>
        <v>1.3903988919302395E-3</v>
      </c>
      <c r="Q231" s="19">
        <f>IF((F231*0.62*1/(0.012*(10^inputs!$C$55)))&gt;inputs!$C$57, inputs!$C$57, (F231*0.62*1/(0.012*(10^inputs!$C$55))))</f>
        <v>6.2021832173723298E-14</v>
      </c>
      <c r="R231" s="3">
        <f>IF((B231&gt;B230), (EXP(-LN(2)/inputs!$C$51)*R230+$R$3), (EXP(-LN(2)/inputs!$C$51)*R230))</f>
        <v>1.4410426122983653E-19</v>
      </c>
      <c r="T231" s="7">
        <f>IF(T230&lt;(inputs!$C$9-1),(1+T230),0)</f>
        <v>0</v>
      </c>
      <c r="U231" s="7">
        <f>IF(inputs!$C$8&gt;U230,IF(T230=(inputs!$C$9-1),(U230+1),U230), U230)</f>
        <v>1</v>
      </c>
      <c r="V231" s="7">
        <f t="shared" si="6"/>
        <v>228</v>
      </c>
      <c r="W231" s="8">
        <f>IF((U231&gt;U230), (EXP(-LN(2)/inputs!$C$51)*W230+$W$3), (EXP(-LN(2)/inputs!$C$51)*W230))</f>
        <v>4.7689119640013506E-12</v>
      </c>
      <c r="X231" s="8">
        <f>IF((U231&gt;U230), (EXP(-LN(2)/inputs!$C$51)*X230+$X$3), (EXP(-LN(2)/inputs!$C$51)*X230))</f>
        <v>2.0197744788711561E-12</v>
      </c>
      <c r="Y231" s="8">
        <f>IF((U231&gt;U230), (EXP(-LN(2)/inputs!$C$51)*Y230+$Y$3), (EXP(-LN(2)/inputs!$C$51)*Y230))</f>
        <v>2.5247180985889505E-12</v>
      </c>
      <c r="Z231" s="8">
        <f>IF((U231&gt;U230), (EXP(-LN(2)/inputs!$C$51)*Z230+$Z$3), (EXP(-LN(2)/inputs!$C$51)*Z230))</f>
        <v>3.9273392644716922E-13</v>
      </c>
      <c r="AA231" s="8">
        <f>IF((U231&gt;U230), (EXP(-LN(2)/inputs!$C$51)*AA230+$AA$3), (EXP(-LN(2)/inputs!$C$51)*AA230))</f>
        <v>3.6468150312951425E-12</v>
      </c>
      <c r="AB231" s="7">
        <f>(((0.621*15^0.564)/0.2))*W231/15+AB230*inputs!$C$53</f>
        <v>5.131657549578653E-12</v>
      </c>
      <c r="AC231" s="7">
        <f>(((0.621*1000^0.564)/0.2))*W231/1000+AC230*inputs!$C$53</f>
        <v>8.2230599386808172E-13</v>
      </c>
      <c r="AD231" s="7">
        <f>(((0.648*20^0.651)/0.2))*AA231/20+AD230*inputs!$C$54</f>
        <v>5.4931324067258902E-12</v>
      </c>
      <c r="AE231" s="7">
        <f>(((0.013*2^0.773)/0.2))*AA231/2+AE230*inputs!$C$54</f>
        <v>2.6786382943815126E-13</v>
      </c>
    </row>
    <row r="232" spans="1:31" x14ac:dyDescent="0.3">
      <c r="A232" s="7">
        <f>IF(A231&lt;(inputs!$C$9-1),(1+A231),0)</f>
        <v>0</v>
      </c>
      <c r="B232" s="7">
        <f>IF(inputs!$C$8&gt;B231,IF(A231=(inputs!$C$9-1),(B231+1),B231), B231)</f>
        <v>1</v>
      </c>
      <c r="C232" s="7">
        <f t="shared" si="7"/>
        <v>229</v>
      </c>
      <c r="D232" s="8">
        <f>IF((B232&gt;B231), (EXP(-LN(2)/inputs!$C$51)*D231+$D$3), (EXP(-LN(2)/inputs!$C$51)*D231))</f>
        <v>1.1814450005720456E-11</v>
      </c>
      <c r="E232" s="8">
        <f>IF((B232&gt;B231), (EXP(-LN(2)/inputs!$C$51)*E231+$E$3), (EXP(-LN(2)/inputs!$C$51)*E231))</f>
        <v>5.4149562526218754E-12</v>
      </c>
      <c r="F232" s="8">
        <f>IF((B232&gt;B231), (EXP(-LN(2)/inputs!$C$51)*F231+$F$3), (EXP(-LN(2)/inputs!$C$51)*F231))</f>
        <v>6.645628128217764E-12</v>
      </c>
      <c r="G232" s="8">
        <f>IF((B232&gt;B231), (EXP(-LN(2)/inputs!$C$51)*G231+$G$3), (EXP(-LN(2)/inputs!$C$51)*G231))</f>
        <v>7.3840312535752847E-13</v>
      </c>
      <c r="H232" s="8">
        <f>IF((B232&gt;B231), (EXP(-LN(2)/inputs!$C$51)*H231+$H$3), (EXP(-LN(2)/inputs!$C$51)*H231))</f>
        <v>4.6273262522405145E-12</v>
      </c>
      <c r="I232" s="7">
        <f>O232*(10^inputs!$C$55)*0.01/1</f>
        <v>8.8955211826399913E-2</v>
      </c>
      <c r="J232" s="7">
        <f>(((0.621*15^0.564)/0.2))*D232/15+J231*inputs!$C$53</f>
        <v>1.2713111926500171E-11</v>
      </c>
      <c r="K232" s="7">
        <f>(((0.621*1000^0.564)/0.2))*D232/1000+K231*inputs!$C$53</f>
        <v>2.0371718176586522E-12</v>
      </c>
      <c r="L232" s="7">
        <f>(((0.648*20^0.651)/0.2))*H232/20+L231*inputs!$C$54</f>
        <v>6.9700589622854025E-12</v>
      </c>
      <c r="M232" s="7">
        <f>(((0.013*2^0.773)/0.2))*H232/2+M231*inputs!$C$54</f>
        <v>3.3988379431041086E-13</v>
      </c>
      <c r="N232" s="7">
        <f>O232*0.015*inputs!$C$56</f>
        <v>1.306926404525928E-2</v>
      </c>
      <c r="O232" s="7">
        <f>IF((B232&gt;B231), (EXP(-LN(2)/inputs!$C$52)*O231+$O$3), (EXP(-LN(2)/inputs!$C$52)*O231))</f>
        <v>1.4098450965759741E-3</v>
      </c>
      <c r="P232" s="3">
        <f>IF((B232&gt;B231), (EXP(-LN(2)/inputs!$C$52)*P231+$P$3), (EXP(-LN(2)/inputs!$C$52)*P231))</f>
        <v>1.3623402552171559E-3</v>
      </c>
      <c r="Q232" s="19">
        <f>IF((F232*0.62*1/(0.012*(10^inputs!$C$55)))&gt;inputs!$C$57, inputs!$C$57, (F232*0.62*1/(0.012*(10^inputs!$C$55))))</f>
        <v>5.4418489030208814E-14</v>
      </c>
      <c r="R232" s="3">
        <f>IF((B232&gt;B231), (EXP(-LN(2)/inputs!$C$51)*R231+$R$3), (EXP(-LN(2)/inputs!$C$51)*R231))</f>
        <v>1.2643831831631357E-19</v>
      </c>
      <c r="T232" s="7">
        <f>IF(T231&lt;(inputs!$C$9-1),(1+T231),0)</f>
        <v>0</v>
      </c>
      <c r="U232" s="7">
        <f>IF(inputs!$C$8&gt;U231,IF(T231=(inputs!$C$9-1),(U231+1),U231), U231)</f>
        <v>1</v>
      </c>
      <c r="V232" s="7">
        <f t="shared" si="6"/>
        <v>229</v>
      </c>
      <c r="W232" s="8">
        <f>IF((U232&gt;U231), (EXP(-LN(2)/inputs!$C$51)*W231+$W$3), (EXP(-LN(2)/inputs!$C$51)*W231))</f>
        <v>4.1842843770260029E-12</v>
      </c>
      <c r="X232" s="8">
        <f>IF((U232&gt;U231), (EXP(-LN(2)/inputs!$C$51)*X231+$X$3), (EXP(-LN(2)/inputs!$C$51)*X231))</f>
        <v>1.7721675008580681E-12</v>
      </c>
      <c r="Y232" s="8">
        <f>IF((U232&gt;U231), (EXP(-LN(2)/inputs!$C$51)*Y231+$Y$3), (EXP(-LN(2)/inputs!$C$51)*Y231))</f>
        <v>2.2152093760725898E-12</v>
      </c>
      <c r="Z232" s="8">
        <f>IF((U232&gt;U231), (EXP(-LN(2)/inputs!$C$51)*Z231+$Z$3), (EXP(-LN(2)/inputs!$C$51)*Z231))</f>
        <v>3.4458812516684656E-13</v>
      </c>
      <c r="AA232" s="8">
        <f>IF((U232&gt;U231), (EXP(-LN(2)/inputs!$C$51)*AA231+$AA$3), (EXP(-LN(2)/inputs!$C$51)*AA231))</f>
        <v>3.1997468765492893E-12</v>
      </c>
      <c r="AB232" s="7">
        <f>(((0.621*15^0.564)/0.2))*W232/15+AB231*inputs!$C$53</f>
        <v>4.5025604739688204E-12</v>
      </c>
      <c r="AC232" s="7">
        <f>(((0.621*1000^0.564)/0.2))*W232/1000+AC231*inputs!$C$53</f>
        <v>7.2149835208744072E-13</v>
      </c>
      <c r="AD232" s="7">
        <f>(((0.648*20^0.651)/0.2))*AA232/20+AD231*inputs!$C$54</f>
        <v>4.819721622856923E-12</v>
      </c>
      <c r="AE232" s="7">
        <f>(((0.013*2^0.773)/0.2))*AA232/2+AE231*inputs!$C$54</f>
        <v>2.3502602798060305E-13</v>
      </c>
    </row>
    <row r="233" spans="1:31" x14ac:dyDescent="0.3">
      <c r="A233" s="7">
        <f>IF(A232&lt;(inputs!$C$9-1),(1+A232),0)</f>
        <v>0</v>
      </c>
      <c r="B233" s="7">
        <f>IF(inputs!$C$8&gt;B232,IF(A232=(inputs!$C$9-1),(B232+1),B232), B232)</f>
        <v>1</v>
      </c>
      <c r="C233" s="7">
        <f t="shared" si="7"/>
        <v>230</v>
      </c>
      <c r="D233" s="8">
        <f>IF((B233&gt;B232), (EXP(-LN(2)/inputs!$C$51)*D232+$D$3), (EXP(-LN(2)/inputs!$C$51)*D232))</f>
        <v>1.0366100057047911E-11</v>
      </c>
      <c r="E233" s="8">
        <f>IF((B233&gt;B232), (EXP(-LN(2)/inputs!$C$51)*E232+$E$3), (EXP(-LN(2)/inputs!$C$51)*E232))</f>
        <v>4.7511291928136258E-12</v>
      </c>
      <c r="F233" s="8">
        <f>IF((B233&gt;B232), (EXP(-LN(2)/inputs!$C$51)*F232+$F$3), (EXP(-LN(2)/inputs!$C$51)*F232))</f>
        <v>5.8309312820894569E-12</v>
      </c>
      <c r="G233" s="8">
        <f>IF((B233&gt;B232), (EXP(-LN(2)/inputs!$C$51)*G232+$G$3), (EXP(-LN(2)/inputs!$C$51)*G232))</f>
        <v>6.4788125356549446E-13</v>
      </c>
      <c r="H233" s="8">
        <f>IF((B233&gt;B232), (EXP(-LN(2)/inputs!$C$51)*H232+$H$3), (EXP(-LN(2)/inputs!$C$51)*H232))</f>
        <v>4.0600558556771013E-12</v>
      </c>
      <c r="I233" s="7">
        <f>O233*(10^inputs!$C$55)*0.01/1</f>
        <v>8.7160070887451577E-2</v>
      </c>
      <c r="J233" s="7">
        <f>(((0.621*15^0.564)/0.2))*D233/15+J232*inputs!$C$53</f>
        <v>1.1154593756183366E-11</v>
      </c>
      <c r="K233" s="7">
        <f>(((0.621*1000^0.564)/0.2))*D233/1000+K232*inputs!$C$53</f>
        <v>1.7874320755534813E-12</v>
      </c>
      <c r="L233" s="7">
        <f>(((0.648*20^0.651)/0.2))*H233/20+L232*inputs!$C$54</f>
        <v>6.11558968649324E-12</v>
      </c>
      <c r="M233" s="7">
        <f>(((0.013*2^0.773)/0.2))*H233/2+M232*inputs!$C$54</f>
        <v>2.9821696463947739E-13</v>
      </c>
      <c r="N233" s="7">
        <f>O233*0.015*inputs!$C$56</f>
        <v>1.2805522658466163E-2</v>
      </c>
      <c r="O233" s="7">
        <f>IF((B233&gt;B232), (EXP(-LN(2)/inputs!$C$52)*O232+$O$3), (EXP(-LN(2)/inputs!$C$52)*O232))</f>
        <v>1.3813940300394997E-3</v>
      </c>
      <c r="P233" s="3">
        <f>IF((B233&gt;B232), (EXP(-LN(2)/inputs!$C$52)*P232+$P$3), (EXP(-LN(2)/inputs!$C$52)*P232))</f>
        <v>1.334847849604202E-3</v>
      </c>
      <c r="Q233" s="19">
        <f>IF((F233*0.62*1/(0.012*(10^inputs!$C$55)))&gt;inputs!$C$57, inputs!$C$57, (F233*0.62*1/(0.012*(10^inputs!$C$55))))</f>
        <v>4.7747250355909303E-14</v>
      </c>
      <c r="R233" s="3">
        <f>IF((B233&gt;B232), (EXP(-LN(2)/inputs!$C$51)*R232+$R$3), (EXP(-LN(2)/inputs!$C$51)*R232))</f>
        <v>1.1093806805032513E-19</v>
      </c>
      <c r="T233" s="7">
        <f>IF(T232&lt;(inputs!$C$9-1),(1+T232),0)</f>
        <v>0</v>
      </c>
      <c r="U233" s="7">
        <f>IF(inputs!$C$8&gt;U232,IF(T232=(inputs!$C$9-1),(U232+1),U232), U232)</f>
        <v>1</v>
      </c>
      <c r="V233" s="7">
        <f t="shared" si="6"/>
        <v>230</v>
      </c>
      <c r="W233" s="8">
        <f>IF((U233&gt;U232), (EXP(-LN(2)/inputs!$C$51)*W232+$W$3), (EXP(-LN(2)/inputs!$C$51)*W232))</f>
        <v>3.6713271035378093E-12</v>
      </c>
      <c r="X233" s="8">
        <f>IF((U233&gt;U232), (EXP(-LN(2)/inputs!$C$51)*X232+$X$3), (EXP(-LN(2)/inputs!$C$51)*X232))</f>
        <v>1.5549150085571866E-12</v>
      </c>
      <c r="Y233" s="8">
        <f>IF((U233&gt;U232), (EXP(-LN(2)/inputs!$C$51)*Y232+$Y$3), (EXP(-LN(2)/inputs!$C$51)*Y232))</f>
        <v>1.9436437606964871E-12</v>
      </c>
      <c r="Z233" s="8">
        <f>IF((U233&gt;U232), (EXP(-LN(2)/inputs!$C$51)*Z232+$Z$3), (EXP(-LN(2)/inputs!$C$51)*Z232))</f>
        <v>3.0234458499723069E-13</v>
      </c>
      <c r="AA233" s="8">
        <f>IF((U233&gt;U232), (EXP(-LN(2)/inputs!$C$51)*AA232+$AA$3), (EXP(-LN(2)/inputs!$C$51)*AA232))</f>
        <v>2.8074854321171419E-12</v>
      </c>
      <c r="AB233" s="7">
        <f>(((0.621*15^0.564)/0.2))*W233/15+AB232*inputs!$C$53</f>
        <v>3.9505852886482831E-12</v>
      </c>
      <c r="AC233" s="7">
        <f>(((0.621*1000^0.564)/0.2))*W233/1000+AC232*inputs!$C$53</f>
        <v>6.330488600918591E-13</v>
      </c>
      <c r="AD233" s="7">
        <f>(((0.648*20^0.651)/0.2))*AA233/20+AD232*inputs!$C$54</f>
        <v>4.2288652087453222E-12</v>
      </c>
      <c r="AE233" s="7">
        <f>(((0.013*2^0.773)/0.2))*AA233/2+AE232*inputs!$C$54</f>
        <v>2.0621385852729802E-13</v>
      </c>
    </row>
    <row r="234" spans="1:31" x14ac:dyDescent="0.3">
      <c r="A234" s="7">
        <f>IF(A233&lt;(inputs!$C$9-1),(1+A233),0)</f>
        <v>0</v>
      </c>
      <c r="B234" s="7">
        <f>IF(inputs!$C$8&gt;B233,IF(A233=(inputs!$C$9-1),(B233+1),B233), B233)</f>
        <v>1</v>
      </c>
      <c r="C234" s="7">
        <f t="shared" si="7"/>
        <v>231</v>
      </c>
      <c r="D234" s="8">
        <f>IF((B234&gt;B233), (EXP(-LN(2)/inputs!$C$51)*D233+$D$3), (EXP(-LN(2)/inputs!$C$51)*D233))</f>
        <v>9.0953053540959953E-12</v>
      </c>
      <c r="E234" s="8">
        <f>IF((B234&gt;B233), (EXP(-LN(2)/inputs!$C$51)*E233+$E$3), (EXP(-LN(2)/inputs!$C$51)*E233))</f>
        <v>4.1686816206273303E-12</v>
      </c>
      <c r="F234" s="8">
        <f>IF((B234&gt;B233), (EXP(-LN(2)/inputs!$C$51)*F233+$F$3), (EXP(-LN(2)/inputs!$C$51)*F233))</f>
        <v>5.1161092616790031E-12</v>
      </c>
      <c r="G234" s="8">
        <f>IF((B234&gt;B233), (EXP(-LN(2)/inputs!$C$51)*G233+$G$3), (EXP(-LN(2)/inputs!$C$51)*G233))</f>
        <v>5.6845658463099971E-13</v>
      </c>
      <c r="H234" s="8">
        <f>IF((B234&gt;B233), (EXP(-LN(2)/inputs!$C$51)*H233+$H$3), (EXP(-LN(2)/inputs!$C$51)*H233))</f>
        <v>3.5623279303542668E-12</v>
      </c>
      <c r="I234" s="7">
        <f>O234*(10^inputs!$C$55)*0.01/1</f>
        <v>8.5401156392401548E-2</v>
      </c>
      <c r="J234" s="7">
        <f>(((0.621*15^0.564)/0.2))*D234/15+J233*inputs!$C$53</f>
        <v>9.7871365079484712E-12</v>
      </c>
      <c r="K234" s="7">
        <f>(((0.621*1000^0.564)/0.2))*D234/1000+K233*inputs!$C$53</f>
        <v>1.5683082776932292E-12</v>
      </c>
      <c r="L234" s="7">
        <f>(((0.648*20^0.651)/0.2))*H234/20+L233*inputs!$C$54</f>
        <v>5.3658709941930404E-12</v>
      </c>
      <c r="M234" s="7">
        <f>(((0.013*2^0.773)/0.2))*H234/2+M233*inputs!$C$54</f>
        <v>2.6165812988883427E-13</v>
      </c>
      <c r="N234" s="7">
        <f>O234*0.015*inputs!$C$56</f>
        <v>1.2547103646281643E-2</v>
      </c>
      <c r="O234" s="7">
        <f>IF((B234&gt;B233), (EXP(-LN(2)/inputs!$C$52)*O233+$O$3), (EXP(-LN(2)/inputs!$C$52)*O233))</f>
        <v>1.3535171139462399E-3</v>
      </c>
      <c r="P234" s="3">
        <f>IF((B234&gt;B233), (EXP(-LN(2)/inputs!$C$52)*P233+$P$3), (EXP(-LN(2)/inputs!$C$52)*P233))</f>
        <v>1.307910248390144E-3</v>
      </c>
      <c r="Q234" s="19">
        <f>IF((F234*0.62*1/(0.012*(10^inputs!$C$55)))&gt;inputs!$C$57, inputs!$C$57, (F234*0.62*1/(0.012*(10^inputs!$C$55))))</f>
        <v>4.1893848160398539E-14</v>
      </c>
      <c r="R234" s="3">
        <f>IF((B234&gt;B233), (EXP(-LN(2)/inputs!$C$51)*R233+$R$3), (EXP(-LN(2)/inputs!$C$51)*R233))</f>
        <v>9.7338015141495595E-20</v>
      </c>
      <c r="T234" s="7">
        <f>IF(T233&lt;(inputs!$C$9-1),(1+T233),0)</f>
        <v>0</v>
      </c>
      <c r="U234" s="7">
        <f>IF(inputs!$C$8&gt;U233,IF(T233=(inputs!$C$9-1),(U233+1),U233), U233)</f>
        <v>1</v>
      </c>
      <c r="V234" s="7">
        <f t="shared" si="6"/>
        <v>231</v>
      </c>
      <c r="W234" s="8">
        <f>IF((U234&gt;U233), (EXP(-LN(2)/inputs!$C$51)*W233+$W$3), (EXP(-LN(2)/inputs!$C$51)*W233))</f>
        <v>3.2212539795756712E-12</v>
      </c>
      <c r="X234" s="8">
        <f>IF((U234&gt;U233), (EXP(-LN(2)/inputs!$C$51)*X233+$X$3), (EXP(-LN(2)/inputs!$C$51)*X233))</f>
        <v>1.3642958031143992E-12</v>
      </c>
      <c r="Y234" s="8">
        <f>IF((U234&gt;U233), (EXP(-LN(2)/inputs!$C$51)*Y233+$Y$3), (EXP(-LN(2)/inputs!$C$51)*Y233))</f>
        <v>1.7053697538930023E-12</v>
      </c>
      <c r="Z234" s="8">
        <f>IF((U234&gt;U233), (EXP(-LN(2)/inputs!$C$51)*Z233+$Z$3), (EXP(-LN(2)/inputs!$C$51)*Z233))</f>
        <v>2.6527973949446646E-13</v>
      </c>
      <c r="AA234" s="8">
        <f>IF((U234&gt;U233), (EXP(-LN(2)/inputs!$C$51)*AA233+$AA$3), (EXP(-LN(2)/inputs!$C$51)*AA233))</f>
        <v>2.4633118667343313E-12</v>
      </c>
      <c r="AB234" s="7">
        <f>(((0.621*15^0.564)/0.2))*W234/15+AB233*inputs!$C$53</f>
        <v>3.4662775132317562E-12</v>
      </c>
      <c r="AC234" s="7">
        <f>(((0.621*1000^0.564)/0.2))*W234/1000+AC233*inputs!$C$53</f>
        <v>5.5544251501635304E-13</v>
      </c>
      <c r="AD234" s="7">
        <f>(((0.648*20^0.651)/0.2))*AA234/20+AD233*inputs!$C$54</f>
        <v>3.7104427087505034E-12</v>
      </c>
      <c r="AE234" s="7">
        <f>(((0.013*2^0.773)/0.2))*AA234/2+AE233*inputs!$C$54</f>
        <v>1.8093381322100225E-13</v>
      </c>
    </row>
    <row r="235" spans="1:31" x14ac:dyDescent="0.3">
      <c r="A235" s="7">
        <f>IF(A234&lt;(inputs!$C$9-1),(1+A234),0)</f>
        <v>0</v>
      </c>
      <c r="B235" s="7">
        <f>IF(inputs!$C$8&gt;B234,IF(A234=(inputs!$C$9-1),(B234+1),B234), B234)</f>
        <v>1</v>
      </c>
      <c r="C235" s="7">
        <f t="shared" si="7"/>
        <v>232</v>
      </c>
      <c r="D235" s="8">
        <f>IF((B235&gt;B234), (EXP(-LN(2)/inputs!$C$51)*D234+$D$3), (EXP(-LN(2)/inputs!$C$51)*D234))</f>
        <v>7.9802991509813603E-12</v>
      </c>
      <c r="E235" s="8">
        <f>IF((B235&gt;B234), (EXP(-LN(2)/inputs!$C$51)*E234+$E$3), (EXP(-LN(2)/inputs!$C$51)*E234))</f>
        <v>3.6576371108664557E-12</v>
      </c>
      <c r="F235" s="8">
        <f>IF((B235&gt;B234), (EXP(-LN(2)/inputs!$C$51)*F234+$F$3), (EXP(-LN(2)/inputs!$C$51)*F234))</f>
        <v>4.4889182724270196E-12</v>
      </c>
      <c r="G235" s="8">
        <f>IF((B235&gt;B234), (EXP(-LN(2)/inputs!$C$51)*G234+$G$3), (EXP(-LN(2)/inputs!$C$51)*G234))</f>
        <v>4.9876869693633502E-13</v>
      </c>
      <c r="H235" s="8">
        <f>IF((B235&gt;B234), (EXP(-LN(2)/inputs!$C$51)*H234+$H$3), (EXP(-LN(2)/inputs!$C$51)*H234))</f>
        <v>3.1256171674677012E-12</v>
      </c>
      <c r="I235" s="7">
        <f>O235*(10^inputs!$C$55)*0.01/1</f>
        <v>8.3677737281526818E-2</v>
      </c>
      <c r="J235" s="7">
        <f>(((0.621*15^0.564)/0.2))*D235/15+J234*inputs!$C$53</f>
        <v>8.5873177561593618E-12</v>
      </c>
      <c r="K235" s="7">
        <f>(((0.621*1000^0.564)/0.2))*D235/1000+K234*inputs!$C$53</f>
        <v>1.3760471726566094E-12</v>
      </c>
      <c r="L235" s="7">
        <f>(((0.648*20^0.651)/0.2))*H235/20+L234*inputs!$C$54</f>
        <v>4.708061364861162E-12</v>
      </c>
      <c r="M235" s="7">
        <f>(((0.013*2^0.773)/0.2))*H235/2+M234*inputs!$C$54</f>
        <v>2.295810938176882E-13</v>
      </c>
      <c r="N235" s="7">
        <f>O235*0.015*inputs!$C$56</f>
        <v>1.2293899601704423E-2</v>
      </c>
      <c r="O235" s="7">
        <f>IF((B235&gt;B234), (EXP(-LN(2)/inputs!$C$52)*O234+$O$3), (EXP(-LN(2)/inputs!$C$52)*O234))</f>
        <v>1.3262027617804125E-3</v>
      </c>
      <c r="P235" s="3">
        <f>IF((B235&gt;B234), (EXP(-LN(2)/inputs!$C$52)*P234+$P$3), (EXP(-LN(2)/inputs!$C$52)*P234))</f>
        <v>1.2815162554677595E-3</v>
      </c>
      <c r="Q235" s="19">
        <f>IF((F235*0.62*1/(0.012*(10^inputs!$C$55)))&gt;inputs!$C$57, inputs!$C$57, (F235*0.62*1/(0.012*(10^inputs!$C$55))))</f>
        <v>3.675802272600004E-14</v>
      </c>
      <c r="R235" s="3">
        <f>IF((B235&gt;B234), (EXP(-LN(2)/inputs!$C$51)*R234+$R$3), (EXP(-LN(2)/inputs!$C$51)*R234))</f>
        <v>8.5405211738390808E-20</v>
      </c>
      <c r="T235" s="7">
        <f>IF(T234&lt;(inputs!$C$9-1),(1+T234),0)</f>
        <v>0</v>
      </c>
      <c r="U235" s="7">
        <f>IF(inputs!$C$8&gt;U234,IF(T234=(inputs!$C$9-1),(U234+1),U234), U234)</f>
        <v>1</v>
      </c>
      <c r="V235" s="7">
        <f t="shared" si="6"/>
        <v>232</v>
      </c>
      <c r="W235" s="8">
        <f>IF((U235&gt;U234), (EXP(-LN(2)/inputs!$C$51)*W234+$W$3), (EXP(-LN(2)/inputs!$C$51)*W234))</f>
        <v>2.826355949305904E-12</v>
      </c>
      <c r="X235" s="8">
        <f>IF((U235&gt;U234), (EXP(-LN(2)/inputs!$C$51)*X234+$X$3), (EXP(-LN(2)/inputs!$C$51)*X234))</f>
        <v>1.1970448726472038E-12</v>
      </c>
      <c r="Y235" s="8">
        <f>IF((U235&gt;U234), (EXP(-LN(2)/inputs!$C$51)*Y234+$Y$3), (EXP(-LN(2)/inputs!$C$51)*Y234))</f>
        <v>1.4963060908090077E-12</v>
      </c>
      <c r="Z235" s="8">
        <f>IF((U235&gt;U234), (EXP(-LN(2)/inputs!$C$51)*Z234+$Z$3), (EXP(-LN(2)/inputs!$C$51)*Z234))</f>
        <v>2.3275872523695628E-13</v>
      </c>
      <c r="AA235" s="8">
        <f>IF((U235&gt;U234), (EXP(-LN(2)/inputs!$C$51)*AA234+$AA$3), (EXP(-LN(2)/inputs!$C$51)*AA234))</f>
        <v>2.1613310200574511E-12</v>
      </c>
      <c r="AB235" s="7">
        <f>(((0.621*15^0.564)/0.2))*W235/15+AB234*inputs!$C$53</f>
        <v>3.0413417053064462E-12</v>
      </c>
      <c r="AC235" s="7">
        <f>(((0.621*1000^0.564)/0.2))*W235/1000+AC234*inputs!$C$53</f>
        <v>4.8735004031588341E-13</v>
      </c>
      <c r="AD235" s="7">
        <f>(((0.648*20^0.651)/0.2))*AA235/20+AD234*inputs!$C$54</f>
        <v>3.2555743480422906E-12</v>
      </c>
      <c r="AE235" s="7">
        <f>(((0.013*2^0.773)/0.2))*AA235/2+AE234*inputs!$C$54</f>
        <v>1.5875288402286936E-13</v>
      </c>
    </row>
    <row r="236" spans="1:31" x14ac:dyDescent="0.3">
      <c r="A236" s="7">
        <f>IF(A235&lt;(inputs!$C$9-1),(1+A235),0)</f>
        <v>0</v>
      </c>
      <c r="B236" s="7">
        <f>IF(inputs!$C$8&gt;B235,IF(A235=(inputs!$C$9-1),(B235+1),B235), B235)</f>
        <v>1</v>
      </c>
      <c r="C236" s="7">
        <f t="shared" si="7"/>
        <v>233</v>
      </c>
      <c r="D236" s="8">
        <f>IF((B236&gt;B235), (EXP(-LN(2)/inputs!$C$51)*D235+$D$3), (EXP(-LN(2)/inputs!$C$51)*D235))</f>
        <v>7.0019831176392253E-12</v>
      </c>
      <c r="E236" s="8">
        <f>IF((B236&gt;B235), (EXP(-LN(2)/inputs!$C$51)*E235+$E$3), (EXP(-LN(2)/inputs!$C$51)*E235))</f>
        <v>3.2092422622513109E-12</v>
      </c>
      <c r="F236" s="8">
        <f>IF((B236&gt;B235), (EXP(-LN(2)/inputs!$C$51)*F235+$F$3), (EXP(-LN(2)/inputs!$C$51)*F235))</f>
        <v>3.9386155036720683E-12</v>
      </c>
      <c r="G236" s="8">
        <f>IF((B236&gt;B235), (EXP(-LN(2)/inputs!$C$51)*G235+$G$3), (EXP(-LN(2)/inputs!$C$51)*G235))</f>
        <v>4.3762394485245158E-13</v>
      </c>
      <c r="H236" s="8">
        <f>IF((B236&gt;B235), (EXP(-LN(2)/inputs!$C$51)*H235+$H$3), (EXP(-LN(2)/inputs!$C$51)*H235))</f>
        <v>2.7424433877420316E-12</v>
      </c>
      <c r="I236" s="7">
        <f>O236*(10^inputs!$C$55)*0.01/1</f>
        <v>8.1989097248093154E-2</v>
      </c>
      <c r="J236" s="7">
        <f>(((0.621*15^0.564)/0.2))*D236/15+J235*inputs!$C$53</f>
        <v>7.5345864630948395E-12</v>
      </c>
      <c r="K236" s="7">
        <f>(((0.621*1000^0.564)/0.2))*D236/1000+K235*inputs!$C$53</f>
        <v>1.2073556253629809E-12</v>
      </c>
      <c r="L236" s="7">
        <f>(((0.648*20^0.651)/0.2))*H236/20+L235*inputs!$C$54</f>
        <v>4.1308935379337823E-12</v>
      </c>
      <c r="M236" s="7">
        <f>(((0.013*2^0.773)/0.2))*H236/2+M235*inputs!$C$54</f>
        <v>2.0143642645813828E-13</v>
      </c>
      <c r="N236" s="7">
        <f>O236*0.015*inputs!$C$56</f>
        <v>1.2045805285236388E-2</v>
      </c>
      <c r="O236" s="7">
        <f>IF((B236&gt;B235), (EXP(-LN(2)/inputs!$C$52)*O235+$O$3), (EXP(-LN(2)/inputs!$C$52)*O235))</f>
        <v>1.2994396208453494E-3</v>
      </c>
      <c r="P236" s="3">
        <f>IF((B236&gt;B235), (EXP(-LN(2)/inputs!$C$52)*P235+$P$3), (EXP(-LN(2)/inputs!$C$52)*P235))</f>
        <v>1.2556549006703874E-3</v>
      </c>
      <c r="Q236" s="19">
        <f>IF((F236*0.62*1/(0.012*(10^inputs!$C$55)))&gt;inputs!$C$57, inputs!$C$57, (F236*0.62*1/(0.012*(10^inputs!$C$55))))</f>
        <v>3.2251805314040217E-14</v>
      </c>
      <c r="R236" s="3">
        <f>IF((B236&gt;B235), (EXP(-LN(2)/inputs!$C$51)*R235+$R$3), (EXP(-LN(2)/inputs!$C$51)*R235))</f>
        <v>7.4935267392460761E-20</v>
      </c>
      <c r="T236" s="7">
        <f>IF(T235&lt;(inputs!$C$9-1),(1+T235),0)</f>
        <v>0</v>
      </c>
      <c r="U236" s="7">
        <f>IF(inputs!$C$8&gt;U235,IF(T235=(inputs!$C$9-1),(U235+1),U235), U235)</f>
        <v>1</v>
      </c>
      <c r="V236" s="7">
        <f t="shared" si="6"/>
        <v>233</v>
      </c>
      <c r="W236" s="8">
        <f>IF((U236&gt;U235), (EXP(-LN(2)/inputs!$C$51)*W235+$W$3), (EXP(-LN(2)/inputs!$C$51)*W235))</f>
        <v>2.4798690208305637E-12</v>
      </c>
      <c r="X236" s="8">
        <f>IF((U236&gt;U235), (EXP(-LN(2)/inputs!$C$51)*X235+$X$3), (EXP(-LN(2)/inputs!$C$51)*X235))</f>
        <v>1.0502974676458835E-12</v>
      </c>
      <c r="Y236" s="8">
        <f>IF((U236&gt;U235), (EXP(-LN(2)/inputs!$C$51)*Y235+$Y$3), (EXP(-LN(2)/inputs!$C$51)*Y235))</f>
        <v>1.3128718345573572E-12</v>
      </c>
      <c r="Z236" s="8">
        <f>IF((U236&gt;U235), (EXP(-LN(2)/inputs!$C$51)*Z235+$Z$3), (EXP(-LN(2)/inputs!$C$51)*Z235))</f>
        <v>2.0422450759781067E-13</v>
      </c>
      <c r="AA236" s="8">
        <f>IF((U236&gt;U235), (EXP(-LN(2)/inputs!$C$51)*AA235+$AA$3), (EXP(-LN(2)/inputs!$C$51)*AA235))</f>
        <v>1.8963704276939562E-12</v>
      </c>
      <c r="AB236" s="7">
        <f>(((0.621*15^0.564)/0.2))*W236/15+AB235*inputs!$C$53</f>
        <v>2.6684993723460938E-12</v>
      </c>
      <c r="AC236" s="7">
        <f>(((0.621*1000^0.564)/0.2))*W236/1000+AC235*inputs!$C$53</f>
        <v>4.276051173160566E-13</v>
      </c>
      <c r="AD236" s="7">
        <f>(((0.648*20^0.651)/0.2))*AA236/20+AD235*inputs!$C$54</f>
        <v>2.8564689358052726E-12</v>
      </c>
      <c r="AE236" s="7">
        <f>(((0.013*2^0.773)/0.2))*AA236/2+AE235*inputs!$C$54</f>
        <v>1.3929114595509548E-13</v>
      </c>
    </row>
    <row r="237" spans="1:31" x14ac:dyDescent="0.3">
      <c r="A237" s="7">
        <f>IF(A236&lt;(inputs!$C$9-1),(1+A236),0)</f>
        <v>0</v>
      </c>
      <c r="B237" s="7">
        <f>IF(inputs!$C$8&gt;B236,IF(A236=(inputs!$C$9-1),(B236+1),B236), B236)</f>
        <v>1</v>
      </c>
      <c r="C237" s="7">
        <f t="shared" si="7"/>
        <v>234</v>
      </c>
      <c r="D237" s="8">
        <f>IF((B237&gt;B236), (EXP(-LN(2)/inputs!$C$51)*D236+$D$3), (EXP(-LN(2)/inputs!$C$51)*D236))</f>
        <v>6.1436002149964064E-12</v>
      </c>
      <c r="E237" s="8">
        <f>IF((B237&gt;B236), (EXP(-LN(2)/inputs!$C$51)*E236+$E$3), (EXP(-LN(2)/inputs!$C$51)*E236))</f>
        <v>2.8158167652066858E-12</v>
      </c>
      <c r="F237" s="8">
        <f>IF((B237&gt;B236), (EXP(-LN(2)/inputs!$C$51)*F236+$F$3), (EXP(-LN(2)/inputs!$C$51)*F236))</f>
        <v>3.4557751209354821E-12</v>
      </c>
      <c r="G237" s="8">
        <f>IF((B237&gt;B236), (EXP(-LN(2)/inputs!$C$51)*G236+$G$3), (EXP(-LN(2)/inputs!$C$51)*G236))</f>
        <v>3.839750134372754E-13</v>
      </c>
      <c r="H237" s="8">
        <f>IF((B237&gt;B236), (EXP(-LN(2)/inputs!$C$51)*H236+$H$3), (EXP(-LN(2)/inputs!$C$51)*H236))</f>
        <v>2.4062434175402607E-12</v>
      </c>
      <c r="I237" s="7">
        <f>O237*(10^inputs!$C$55)*0.01/1</f>
        <v>8.0334534440635638E-2</v>
      </c>
      <c r="J237" s="7">
        <f>(((0.621*15^0.564)/0.2))*D237/15+J236*inputs!$C$53</f>
        <v>6.6109109714885096E-12</v>
      </c>
      <c r="K237" s="7">
        <f>(((0.621*1000^0.564)/0.2))*D237/1000+K236*inputs!$C$53</f>
        <v>1.0593442107666782E-12</v>
      </c>
      <c r="L237" s="7">
        <f>(((0.648*20^0.651)/0.2))*H237/20+L236*inputs!$C$54</f>
        <v>3.6244815220768249E-12</v>
      </c>
      <c r="M237" s="7">
        <f>(((0.013*2^0.773)/0.2))*H237/2+M236*inputs!$C$54</f>
        <v>1.7674205323042457E-13</v>
      </c>
      <c r="N237" s="7">
        <f>O237*0.015*inputs!$C$56</f>
        <v>1.1802717581141793E-2</v>
      </c>
      <c r="O237" s="7">
        <f>IF((B237&gt;B236), (EXP(-LN(2)/inputs!$C$52)*O236+$O$3), (EXP(-LN(2)/inputs!$C$52)*O236))</f>
        <v>1.2732165675449617E-3</v>
      </c>
      <c r="P237" s="3">
        <f>IF((B237&gt;B236), (EXP(-LN(2)/inputs!$C$52)*P236+$P$3), (EXP(-LN(2)/inputs!$C$52)*P236))</f>
        <v>1.2303154352123833E-3</v>
      </c>
      <c r="Q237" s="19">
        <f>IF((F237*0.62*1/(0.012*(10^inputs!$C$55)))&gt;inputs!$C$57, inputs!$C$57, (F237*0.62*1/(0.012*(10^inputs!$C$55))))</f>
        <v>2.8298011396543459E-14</v>
      </c>
      <c r="R237" s="3">
        <f>IF((B237&gt;B236), (EXP(-LN(2)/inputs!$C$51)*R236+$R$3), (EXP(-LN(2)/inputs!$C$51)*R236))</f>
        <v>6.5748848166082603E-20</v>
      </c>
      <c r="T237" s="7">
        <f>IF(T236&lt;(inputs!$C$9-1),(1+T236),0)</f>
        <v>0</v>
      </c>
      <c r="U237" s="7">
        <f>IF(inputs!$C$8&gt;U236,IF(T236=(inputs!$C$9-1),(U236+1),U236), U236)</f>
        <v>1</v>
      </c>
      <c r="V237" s="7">
        <f t="shared" si="6"/>
        <v>234</v>
      </c>
      <c r="W237" s="8">
        <f>IF((U237&gt;U236), (EXP(-LN(2)/inputs!$C$51)*W236+$W$3), (EXP(-LN(2)/inputs!$C$51)*W236))</f>
        <v>2.1758584094778983E-12</v>
      </c>
      <c r="X237" s="8">
        <f>IF((U237&gt;U236), (EXP(-LN(2)/inputs!$C$51)*X236+$X$3), (EXP(-LN(2)/inputs!$C$51)*X236))</f>
        <v>9.2154003224946071E-13</v>
      </c>
      <c r="Y237" s="8">
        <f>IF((U237&gt;U236), (EXP(-LN(2)/inputs!$C$51)*Y236+$Y$3), (EXP(-LN(2)/inputs!$C$51)*Y236))</f>
        <v>1.1519250403118283E-12</v>
      </c>
      <c r="Z237" s="8">
        <f>IF((U237&gt;U236), (EXP(-LN(2)/inputs!$C$51)*Z236+$Z$3), (EXP(-LN(2)/inputs!$C$51)*Z236))</f>
        <v>1.7918833960406181E-13</v>
      </c>
      <c r="AA237" s="8">
        <f>IF((U237&gt;U236), (EXP(-LN(2)/inputs!$C$51)*AA236+$AA$3), (EXP(-LN(2)/inputs!$C$51)*AA236))</f>
        <v>1.6638917248948595E-12</v>
      </c>
      <c r="AB237" s="7">
        <f>(((0.621*15^0.564)/0.2))*W237/15+AB236*inputs!$C$53</f>
        <v>2.3413643024021847E-12</v>
      </c>
      <c r="AC237" s="7">
        <f>(((0.621*1000^0.564)/0.2))*W237/1000+AC236*inputs!$C$53</f>
        <v>3.7518440797986598E-13</v>
      </c>
      <c r="AD237" s="7">
        <f>(((0.648*20^0.651)/0.2))*AA237/20+AD236*inputs!$C$54</f>
        <v>2.5062904142020574E-12</v>
      </c>
      <c r="AE237" s="7">
        <f>(((0.013*2^0.773)/0.2))*AA237/2+AE236*inputs!$C$54</f>
        <v>1.2221524957422962E-13</v>
      </c>
    </row>
    <row r="238" spans="1:31" x14ac:dyDescent="0.3">
      <c r="A238" s="7">
        <f>IF(A237&lt;(inputs!$C$9-1),(1+A237),0)</f>
        <v>0</v>
      </c>
      <c r="B238" s="7">
        <f>IF(inputs!$C$8&gt;B237,IF(A237=(inputs!$C$9-1),(B237+1),B237), B237)</f>
        <v>1</v>
      </c>
      <c r="C238" s="7">
        <f t="shared" si="7"/>
        <v>235</v>
      </c>
      <c r="D238" s="8">
        <f>IF((B238&gt;B237), (EXP(-LN(2)/inputs!$C$51)*D237+$D$3), (EXP(-LN(2)/inputs!$C$51)*D237))</f>
        <v>5.3904476728343678E-12</v>
      </c>
      <c r="E238" s="8">
        <f>IF((B238&gt;B237), (EXP(-LN(2)/inputs!$C$51)*E237+$E$3), (EXP(-LN(2)/inputs!$C$51)*E237))</f>
        <v>2.4706218500490849E-12</v>
      </c>
      <c r="F238" s="8">
        <f>IF((B238&gt;B237), (EXP(-LN(2)/inputs!$C$51)*F237+$F$3), (EXP(-LN(2)/inputs!$C$51)*F237))</f>
        <v>3.0321268159693349E-12</v>
      </c>
      <c r="G238" s="8">
        <f>IF((B238&gt;B237), (EXP(-LN(2)/inputs!$C$51)*G237+$G$3), (EXP(-LN(2)/inputs!$C$51)*G237))</f>
        <v>3.3690297955214799E-13</v>
      </c>
      <c r="H238" s="8">
        <f>IF((B238&gt;B237), (EXP(-LN(2)/inputs!$C$51)*H237+$H$3), (EXP(-LN(2)/inputs!$C$51)*H237))</f>
        <v>2.1112586718601287E-12</v>
      </c>
      <c r="I238" s="7">
        <f>O238*(10^inputs!$C$55)*0.01/1</f>
        <v>7.871336117124729E-2</v>
      </c>
      <c r="J238" s="7">
        <f>(((0.621*15^0.564)/0.2))*D238/15+J237*inputs!$C$53</f>
        <v>5.8004701501554771E-12</v>
      </c>
      <c r="K238" s="7">
        <f>(((0.621*1000^0.564)/0.2))*D238/1000+K237*inputs!$C$53</f>
        <v>9.2947772247923544E-13</v>
      </c>
      <c r="L238" s="7">
        <f>(((0.648*20^0.651)/0.2))*H238/20+L237*inputs!$C$54</f>
        <v>3.1801512634593876E-12</v>
      </c>
      <c r="M238" s="7">
        <f>(((0.013*2^0.773)/0.2))*H238/2+M237*inputs!$C$54</f>
        <v>1.5507499775169979E-13</v>
      </c>
      <c r="N238" s="7">
        <f>O238*0.015*inputs!$C$56</f>
        <v>1.1564535454589154E-2</v>
      </c>
      <c r="O238" s="7">
        <f>IF((B238&gt;B237), (EXP(-LN(2)/inputs!$C$52)*O237+$O$3), (EXP(-LN(2)/inputs!$C$52)*O237))</f>
        <v>1.2475227027604265E-3</v>
      </c>
      <c r="P238" s="3">
        <f>IF((B238&gt;B237), (EXP(-LN(2)/inputs!$C$52)*P237+$P$3), (EXP(-LN(2)/inputs!$C$52)*P237))</f>
        <v>1.20548732722159E-3</v>
      </c>
      <c r="Q238" s="19">
        <f>IF((F238*0.62*1/(0.012*(10^inputs!$C$55)))&gt;inputs!$C$57, inputs!$C$57, (F238*0.62*1/(0.012*(10^inputs!$C$55))))</f>
        <v>2.4828918604761027E-14</v>
      </c>
      <c r="R238" s="3">
        <f>IF((B238&gt;B237), (EXP(-LN(2)/inputs!$C$51)*R237+$R$3), (EXP(-LN(2)/inputs!$C$51)*R237))</f>
        <v>5.7688604919844616E-20</v>
      </c>
      <c r="T238" s="7">
        <f>IF(T237&lt;(inputs!$C$9-1),(1+T237),0)</f>
        <v>0</v>
      </c>
      <c r="U238" s="7">
        <f>IF(inputs!$C$8&gt;U237,IF(T237=(inputs!$C$9-1),(U237+1),U237), U237)</f>
        <v>1</v>
      </c>
      <c r="V238" s="7">
        <f t="shared" si="6"/>
        <v>235</v>
      </c>
      <c r="W238" s="8">
        <f>IF((U238&gt;U237), (EXP(-LN(2)/inputs!$C$51)*W237+$W$3), (EXP(-LN(2)/inputs!$C$51)*W237))</f>
        <v>1.9091168841288424E-12</v>
      </c>
      <c r="X238" s="8">
        <f>IF((U238&gt;U237), (EXP(-LN(2)/inputs!$C$51)*X237+$X$3), (EXP(-LN(2)/inputs!$C$51)*X237))</f>
        <v>8.0856715092515489E-13</v>
      </c>
      <c r="Y238" s="8">
        <f>IF((U238&gt;U237), (EXP(-LN(2)/inputs!$C$51)*Y237+$Y$3), (EXP(-LN(2)/inputs!$C$51)*Y237))</f>
        <v>1.0107089386564458E-12</v>
      </c>
      <c r="Z238" s="8">
        <f>IF((U238&gt;U237), (EXP(-LN(2)/inputs!$C$51)*Z237+$Z$3), (EXP(-LN(2)/inputs!$C$51)*Z237))</f>
        <v>1.5722139045766903E-13</v>
      </c>
      <c r="AA238" s="8">
        <f>IF((U238&gt;U237), (EXP(-LN(2)/inputs!$C$51)*AA237+$AA$3), (EXP(-LN(2)/inputs!$C$51)*AA237))</f>
        <v>1.4599129113926407E-12</v>
      </c>
      <c r="AB238" s="7">
        <f>(((0.621*15^0.564)/0.2))*W238/15+AB237*inputs!$C$53</f>
        <v>2.0543331781800684E-12</v>
      </c>
      <c r="AC238" s="7">
        <f>(((0.621*1000^0.564)/0.2))*W238/1000+AC237*inputs!$C$53</f>
        <v>3.2919002671139655E-13</v>
      </c>
      <c r="AD238" s="7">
        <f>(((0.648*20^0.651)/0.2))*AA238/20+AD237*inputs!$C$54</f>
        <v>2.1990407672857446E-12</v>
      </c>
      <c r="AE238" s="7">
        <f>(((0.013*2^0.773)/0.2))*AA238/2+AE237*inputs!$C$54</f>
        <v>1.0723271121128166E-13</v>
      </c>
    </row>
    <row r="239" spans="1:31" x14ac:dyDescent="0.3">
      <c r="A239" s="7">
        <f>IF(A238&lt;(inputs!$C$9-1),(1+A238),0)</f>
        <v>0</v>
      </c>
      <c r="B239" s="7">
        <f>IF(inputs!$C$8&gt;B238,IF(A238=(inputs!$C$9-1),(B238+1),B238), B238)</f>
        <v>1</v>
      </c>
      <c r="C239" s="7">
        <f t="shared" si="7"/>
        <v>236</v>
      </c>
      <c r="D239" s="8">
        <f>IF((B239&gt;B238), (EXP(-LN(2)/inputs!$C$51)*D238+$D$3), (EXP(-LN(2)/inputs!$C$51)*D238))</f>
        <v>4.7296251540974411E-12</v>
      </c>
      <c r="E239" s="8">
        <f>IF((B239&gt;B238), (EXP(-LN(2)/inputs!$C$51)*E238+$E$3), (EXP(-LN(2)/inputs!$C$51)*E238))</f>
        <v>2.1677448622946603E-12</v>
      </c>
      <c r="F239" s="8">
        <f>IF((B239&gt;B238), (EXP(-LN(2)/inputs!$C$51)*F238+$F$3), (EXP(-LN(2)/inputs!$C$51)*F238))</f>
        <v>2.6604141491798132E-12</v>
      </c>
      <c r="G239" s="8">
        <f>IF((B239&gt;B238), (EXP(-LN(2)/inputs!$C$51)*G238+$G$3), (EXP(-LN(2)/inputs!$C$51)*G238))</f>
        <v>2.9560157213109007E-13</v>
      </c>
      <c r="H239" s="8">
        <f>IF((B239&gt;B238), (EXP(-LN(2)/inputs!$C$51)*H238+$H$3), (EXP(-LN(2)/inputs!$C$51)*H238))</f>
        <v>1.8524365186881654E-12</v>
      </c>
      <c r="I239" s="7">
        <f>O239*(10^inputs!$C$55)*0.01/1</f>
        <v>7.7124903629754521E-2</v>
      </c>
      <c r="J239" s="7">
        <f>(((0.621*15^0.564)/0.2))*D239/15+J238*inputs!$C$53</f>
        <v>5.089382402508607E-12</v>
      </c>
      <c r="K239" s="7">
        <f>(((0.621*1000^0.564)/0.2))*D239/1000+K238*inputs!$C$53</f>
        <v>8.1553174860882687E-13</v>
      </c>
      <c r="L239" s="7">
        <f>(((0.648*20^0.651)/0.2))*H239/20+L238*inputs!$C$54</f>
        <v>2.7902920726403346E-12</v>
      </c>
      <c r="M239" s="7">
        <f>(((0.013*2^0.773)/0.2))*H239/2+M238*inputs!$C$54</f>
        <v>1.3606413690542099E-13</v>
      </c>
      <c r="N239" s="7">
        <f>O239*0.015*inputs!$C$56</f>
        <v>1.1331159909657999E-2</v>
      </c>
      <c r="O239" s="7">
        <f>IF((B239&gt;B238), (EXP(-LN(2)/inputs!$C$52)*O238+$O$3), (EXP(-LN(2)/inputs!$C$52)*O238))</f>
        <v>1.2223473473201726E-3</v>
      </c>
      <c r="P239" s="3">
        <f>IF((B239&gt;B238), (EXP(-LN(2)/inputs!$C$52)*P238+$P$3), (EXP(-LN(2)/inputs!$C$52)*P238))</f>
        <v>1.1811602573619617E-3</v>
      </c>
      <c r="Q239" s="19">
        <f>IF((F239*0.62*1/(0.012*(10^inputs!$C$55)))&gt;inputs!$C$57, inputs!$C$57, (F239*0.62*1/(0.012*(10^inputs!$C$55))))</f>
        <v>2.1785106749838587E-14</v>
      </c>
      <c r="R239" s="3">
        <f>IF((B239&gt;B238), (EXP(-LN(2)/inputs!$C$51)*R238+$R$3), (EXP(-LN(2)/inputs!$C$51)*R238))</f>
        <v>5.0616478165387844E-20</v>
      </c>
      <c r="T239" s="7">
        <f>IF(T238&lt;(inputs!$C$9-1),(1+T238),0)</f>
        <v>0</v>
      </c>
      <c r="U239" s="7">
        <f>IF(inputs!$C$8&gt;U238,IF(T238=(inputs!$C$9-1),(U238+1),U238), U238)</f>
        <v>1</v>
      </c>
      <c r="V239" s="7">
        <f t="shared" si="6"/>
        <v>236</v>
      </c>
      <c r="W239" s="8">
        <f>IF((U239&gt;U238), (EXP(-LN(2)/inputs!$C$51)*W238+$W$3), (EXP(-LN(2)/inputs!$C$51)*W238))</f>
        <v>1.6750755754095138E-12</v>
      </c>
      <c r="X239" s="8">
        <f>IF((U239&gt;U238), (EXP(-LN(2)/inputs!$C$51)*X238+$X$3), (EXP(-LN(2)/inputs!$C$51)*X238))</f>
        <v>7.0944377311461589E-13</v>
      </c>
      <c r="Y239" s="8">
        <f>IF((U239&gt;U238), (EXP(-LN(2)/inputs!$C$51)*Y238+$Y$3), (EXP(-LN(2)/inputs!$C$51)*Y238))</f>
        <v>8.8680471639327178E-13</v>
      </c>
      <c r="Z239" s="8">
        <f>IF((U239&gt;U238), (EXP(-LN(2)/inputs!$C$51)*Z238+$Z$3), (EXP(-LN(2)/inputs!$C$51)*Z238))</f>
        <v>1.3794740032784201E-13</v>
      </c>
      <c r="AA239" s="8">
        <f>IF((U239&gt;U238), (EXP(-LN(2)/inputs!$C$51)*AA238+$AA$3), (EXP(-LN(2)/inputs!$C$51)*AA238))</f>
        <v>1.2809401459013898E-12</v>
      </c>
      <c r="AB239" s="7">
        <f>(((0.621*15^0.564)/0.2))*W239/15+AB238*inputs!$C$53</f>
        <v>1.8024896008884686E-12</v>
      </c>
      <c r="AC239" s="7">
        <f>(((0.621*1000^0.564)/0.2))*W239/1000+AC238*inputs!$C$53</f>
        <v>2.8883416096562679E-13</v>
      </c>
      <c r="AD239" s="7">
        <f>(((0.648*20^0.651)/0.2))*AA239/20+AD238*inputs!$C$54</f>
        <v>1.9294572842725705E-12</v>
      </c>
      <c r="AE239" s="7">
        <f>(((0.013*2^0.773)/0.2))*AA239/2+AE238*inputs!$C$54</f>
        <v>9.4086903179280381E-14</v>
      </c>
    </row>
    <row r="240" spans="1:31" x14ac:dyDescent="0.3">
      <c r="A240" s="7">
        <f>IF(A239&lt;(inputs!$C$9-1),(1+A239),0)</f>
        <v>0</v>
      </c>
      <c r="B240" s="7">
        <f>IF(inputs!$C$8&gt;B239,IF(A239=(inputs!$C$9-1),(B239+1),B239), B239)</f>
        <v>1</v>
      </c>
      <c r="C240" s="7">
        <f t="shared" si="7"/>
        <v>237</v>
      </c>
      <c r="D240" s="8">
        <f>IF((B240&gt;B239), (EXP(-LN(2)/inputs!$C$51)*D239+$D$3), (EXP(-LN(2)/inputs!$C$51)*D239))</f>
        <v>4.1498137920906935E-12</v>
      </c>
      <c r="E240" s="8">
        <f>IF((B240&gt;B239), (EXP(-LN(2)/inputs!$C$51)*E239+$E$3), (EXP(-LN(2)/inputs!$C$51)*E239))</f>
        <v>1.9019979880415677E-12</v>
      </c>
      <c r="F240" s="8">
        <f>IF((B240&gt;B239), (EXP(-LN(2)/inputs!$C$51)*F239+$F$3), (EXP(-LN(2)/inputs!$C$51)*F239))</f>
        <v>2.3342702580510176E-12</v>
      </c>
      <c r="G240" s="8">
        <f>IF((B240&gt;B239), (EXP(-LN(2)/inputs!$C$51)*G239+$G$3), (EXP(-LN(2)/inputs!$C$51)*G239))</f>
        <v>2.5936336200566834E-13</v>
      </c>
      <c r="H240" s="8">
        <f>IF((B240&gt;B239), (EXP(-LN(2)/inputs!$C$51)*H239+$H$3), (EXP(-LN(2)/inputs!$C$51)*H239))</f>
        <v>1.6253437352355225E-12</v>
      </c>
      <c r="I240" s="7">
        <f>O240*(10^inputs!$C$55)*0.01/1</f>
        <v>7.5568501603660673E-2</v>
      </c>
      <c r="J240" s="7">
        <f>(((0.621*15^0.564)/0.2))*D240/15+J239*inputs!$C$53</f>
        <v>4.4654678962997509E-12</v>
      </c>
      <c r="K240" s="7">
        <f>(((0.621*1000^0.564)/0.2))*D240/1000+K239*inputs!$C$53</f>
        <v>7.1555457102827849E-13</v>
      </c>
      <c r="L240" s="7">
        <f>(((0.648*20^0.651)/0.2))*H240/20+L239*inputs!$C$54</f>
        <v>2.4482262652406451E-12</v>
      </c>
      <c r="M240" s="7">
        <f>(((0.013*2^0.773)/0.2))*H240/2+M239*inputs!$C$54</f>
        <v>1.1938384407691677E-13</v>
      </c>
      <c r="N240" s="7">
        <f>O240*0.015*inputs!$C$56</f>
        <v>1.1102493948193105E-2</v>
      </c>
      <c r="O240" s="7">
        <f>IF((B240&gt;B239), (EXP(-LN(2)/inputs!$C$52)*O239+$O$3), (EXP(-LN(2)/inputs!$C$52)*O239))</f>
        <v>1.1976800375612844E-3</v>
      </c>
      <c r="P240" s="3">
        <f>IF((B240&gt;B239), (EXP(-LN(2)/inputs!$C$52)*P239+$P$3), (EXP(-LN(2)/inputs!$C$52)*P239))</f>
        <v>1.1573241145445274E-3</v>
      </c>
      <c r="Q240" s="19">
        <f>IF((F240*0.62*1/(0.012*(10^inputs!$C$55)))&gt;inputs!$C$57, inputs!$C$57, (F240*0.62*1/(0.012*(10^inputs!$C$55))))</f>
        <v>1.9114440046972419E-14</v>
      </c>
      <c r="R240" s="3">
        <f>IF((B240&gt;B239), (EXP(-LN(2)/inputs!$C$51)*R239+$R$3), (EXP(-LN(2)/inputs!$C$51)*R239))</f>
        <v>4.4411333320107011E-20</v>
      </c>
      <c r="T240" s="7">
        <f>IF(T239&lt;(inputs!$C$9-1),(1+T239),0)</f>
        <v>0</v>
      </c>
      <c r="U240" s="7">
        <f>IF(inputs!$C$8&gt;U239,IF(T239=(inputs!$C$9-1),(U239+1),U239), U239)</f>
        <v>1</v>
      </c>
      <c r="V240" s="7">
        <f t="shared" si="6"/>
        <v>237</v>
      </c>
      <c r="W240" s="8">
        <f>IF((U240&gt;U239), (EXP(-LN(2)/inputs!$C$51)*W239+$W$3), (EXP(-LN(2)/inputs!$C$51)*W239))</f>
        <v>1.4697257180321237E-12</v>
      </c>
      <c r="X240" s="8">
        <f>IF((U240&gt;U239), (EXP(-LN(2)/inputs!$C$51)*X239+$X$3), (EXP(-LN(2)/inputs!$C$51)*X239))</f>
        <v>6.224720688136038E-13</v>
      </c>
      <c r="Y240" s="8">
        <f>IF((U240&gt;U239), (EXP(-LN(2)/inputs!$C$51)*Y239+$Y$3), (EXP(-LN(2)/inputs!$C$51)*Y239))</f>
        <v>7.7809008601700644E-13</v>
      </c>
      <c r="Z240" s="8">
        <f>IF((U240&gt;U239), (EXP(-LN(2)/inputs!$C$51)*Z239+$Z$3), (EXP(-LN(2)/inputs!$C$51)*Z239))</f>
        <v>1.2103623560264521E-13</v>
      </c>
      <c r="AA240" s="8">
        <f>IF((U240&gt;U239), (EXP(-LN(2)/inputs!$C$51)*AA239+$AA$3), (EXP(-LN(2)/inputs!$C$51)*AA239))</f>
        <v>1.1239079020245625E-12</v>
      </c>
      <c r="AB240" s="7">
        <f>(((0.621*15^0.564)/0.2))*W240/15+AB239*inputs!$C$53</f>
        <v>1.5815198799394984E-12</v>
      </c>
      <c r="AC240" s="7">
        <f>(((0.621*1000^0.564)/0.2))*W240/1000+AC239*inputs!$C$53</f>
        <v>2.5342557723918249E-13</v>
      </c>
      <c r="AD240" s="7">
        <f>(((0.648*20^0.651)/0.2))*AA240/20+AD239*inputs!$C$54</f>
        <v>1.6929224174536363E-12</v>
      </c>
      <c r="AE240" s="7">
        <f>(((0.013*2^0.773)/0.2))*AA240/2+AE239*inputs!$C$54</f>
        <v>8.2552658138293438E-14</v>
      </c>
    </row>
    <row r="241" spans="1:31" x14ac:dyDescent="0.3">
      <c r="A241" s="7">
        <f>IF(A240&lt;(inputs!$C$9-1),(1+A240),0)</f>
        <v>0</v>
      </c>
      <c r="B241" s="7">
        <f>IF(inputs!$C$8&gt;B240,IF(A240=(inputs!$C$9-1),(B240+1),B240), B240)</f>
        <v>1</v>
      </c>
      <c r="C241" s="7">
        <f t="shared" si="7"/>
        <v>238</v>
      </c>
      <c r="D241" s="8">
        <f>IF((B241&gt;B240), (EXP(-LN(2)/inputs!$C$51)*D240+$D$3), (EXP(-LN(2)/inputs!$C$51)*D240))</f>
        <v>3.6410823158167242E-12</v>
      </c>
      <c r="E241" s="8">
        <f>IF((B241&gt;B240), (EXP(-LN(2)/inputs!$C$51)*E240+$E$3), (EXP(-LN(2)/inputs!$C$51)*E240))</f>
        <v>1.6688293947493318E-12</v>
      </c>
      <c r="F241" s="8">
        <f>IF((B241&gt;B240), (EXP(-LN(2)/inputs!$C$51)*F240+$F$3), (EXP(-LN(2)/inputs!$C$51)*F240))</f>
        <v>2.0481088026469097E-12</v>
      </c>
      <c r="G241" s="8">
        <f>IF((B241&gt;B240), (EXP(-LN(2)/inputs!$C$51)*G240+$G$3), (EXP(-LN(2)/inputs!$C$51)*G240))</f>
        <v>2.2756764473854527E-13</v>
      </c>
      <c r="H241" s="8">
        <f>IF((B241&gt;B240), (EXP(-LN(2)/inputs!$C$51)*H240+$H$3), (EXP(-LN(2)/inputs!$C$51)*H240))</f>
        <v>1.4260905736948844E-12</v>
      </c>
      <c r="I241" s="7">
        <f>O241*(10^inputs!$C$55)*0.01/1</f>
        <v>7.4043508203741046E-2</v>
      </c>
      <c r="J241" s="7">
        <f>(((0.621*15^0.564)/0.2))*D241/15+J240*inputs!$C$53</f>
        <v>3.9180399419495185E-12</v>
      </c>
      <c r="K241" s="7">
        <f>(((0.621*1000^0.564)/0.2))*D241/1000+K240*inputs!$C$53</f>
        <v>6.2783373546509863E-13</v>
      </c>
      <c r="L241" s="7">
        <f>(((0.648*20^0.651)/0.2))*H241/20+L240*inputs!$C$54</f>
        <v>2.1480947835480424E-12</v>
      </c>
      <c r="M241" s="7">
        <f>(((0.013*2^0.773)/0.2))*H241/2+M240*inputs!$C$54</f>
        <v>1.0474841167359609E-13</v>
      </c>
      <c r="N241" s="7">
        <f>O241*0.015*inputs!$C$56</f>
        <v>1.0878442529489021E-2</v>
      </c>
      <c r="O241" s="7">
        <f>IF((B241&gt;B240), (EXP(-LN(2)/inputs!$C$52)*O240+$O$3), (EXP(-LN(2)/inputs!$C$52)*O240))</f>
        <v>1.1735105209804769E-3</v>
      </c>
      <c r="P241" s="3">
        <f>IF((B241&gt;B240), (EXP(-LN(2)/inputs!$C$52)*P240+$P$3), (EXP(-LN(2)/inputs!$C$52)*P240))</f>
        <v>1.1339689917249064E-3</v>
      </c>
      <c r="Q241" s="19">
        <f>IF((F241*0.62*1/(0.012*(10^inputs!$C$55)))&gt;inputs!$C$57, inputs!$C$57, (F241*0.62*1/(0.012*(10^inputs!$C$55))))</f>
        <v>1.6771174110129625E-14</v>
      </c>
      <c r="R241" s="3">
        <f>IF((B241&gt;B240), (EXP(-LN(2)/inputs!$C$51)*R240+$R$3), (EXP(-LN(2)/inputs!$C$51)*R240))</f>
        <v>3.8966885859284756E-20</v>
      </c>
      <c r="T241" s="7">
        <f>IF(T240&lt;(inputs!$C$9-1),(1+T240),0)</f>
        <v>0</v>
      </c>
      <c r="U241" s="7">
        <f>IF(inputs!$C$8&gt;U240,IF(T240=(inputs!$C$9-1),(U240+1),U240), U240)</f>
        <v>1</v>
      </c>
      <c r="V241" s="7">
        <f t="shared" si="6"/>
        <v>238</v>
      </c>
      <c r="W241" s="8">
        <f>IF((U241&gt;U240), (EXP(-LN(2)/inputs!$C$51)*W240+$W$3), (EXP(-LN(2)/inputs!$C$51)*W240))</f>
        <v>1.2895499868517593E-12</v>
      </c>
      <c r="X241" s="8">
        <f>IF((U241&gt;U240), (EXP(-LN(2)/inputs!$C$51)*X240+$X$3), (EXP(-LN(2)/inputs!$C$51)*X240))</f>
        <v>5.4616234737250845E-13</v>
      </c>
      <c r="Y241" s="8">
        <f>IF((U241&gt;U240), (EXP(-LN(2)/inputs!$C$51)*Y240+$Y$3), (EXP(-LN(2)/inputs!$C$51)*Y240))</f>
        <v>6.8270293421563706E-13</v>
      </c>
      <c r="Z241" s="8">
        <f>IF((U241&gt;U240), (EXP(-LN(2)/inputs!$C$51)*Z240+$Z$3), (EXP(-LN(2)/inputs!$C$51)*Z240))</f>
        <v>1.0619823421132111E-13</v>
      </c>
      <c r="AA241" s="8">
        <f>IF((U241&gt;U240), (EXP(-LN(2)/inputs!$C$51)*AA240+$AA$3), (EXP(-LN(2)/inputs!$C$51)*AA240))</f>
        <v>9.861264605336959E-13</v>
      </c>
      <c r="AB241" s="7">
        <f>(((0.621*15^0.564)/0.2))*W241/15+AB240*inputs!$C$53</f>
        <v>1.3876391461071241E-12</v>
      </c>
      <c r="AC241" s="7">
        <f>(((0.621*1000^0.564)/0.2))*W241/1000+AC240*inputs!$C$53</f>
        <v>2.2235778131055625E-13</v>
      </c>
      <c r="AD241" s="7">
        <f>(((0.648*20^0.651)/0.2))*AA241/20+AD240*inputs!$C$54</f>
        <v>1.4853846907513046E-12</v>
      </c>
      <c r="AE241" s="7">
        <f>(((0.013*2^0.773)/0.2))*AA241/2+AE240*inputs!$C$54</f>
        <v>7.2432412327486601E-14</v>
      </c>
    </row>
    <row r="242" spans="1:31" x14ac:dyDescent="0.3">
      <c r="A242" s="7">
        <f>IF(A241&lt;(inputs!$C$9-1),(1+A241),0)</f>
        <v>0</v>
      </c>
      <c r="B242" s="7">
        <f>IF(inputs!$C$8&gt;B241,IF(A241=(inputs!$C$9-1),(B241+1),B241), B241)</f>
        <v>1</v>
      </c>
      <c r="C242" s="7">
        <f t="shared" si="7"/>
        <v>239</v>
      </c>
      <c r="D242" s="8">
        <f>IF((B242&gt;B241), (EXP(-LN(2)/inputs!$C$51)*D241+$D$3), (EXP(-LN(2)/inputs!$C$51)*D241))</f>
        <v>3.1947169426785547E-12</v>
      </c>
      <c r="E242" s="8">
        <f>IF((B242&gt;B241), (EXP(-LN(2)/inputs!$C$51)*E241+$E$3), (EXP(-LN(2)/inputs!$C$51)*E241))</f>
        <v>1.4642452653943375E-12</v>
      </c>
      <c r="F242" s="8">
        <f>IF((B242&gt;B241), (EXP(-LN(2)/inputs!$C$51)*F241+$F$3), (EXP(-LN(2)/inputs!$C$51)*F241))</f>
        <v>1.7970282802566891E-12</v>
      </c>
      <c r="G242" s="8">
        <f>IF((B242&gt;B241), (EXP(-LN(2)/inputs!$C$51)*G241+$G$3), (EXP(-LN(2)/inputs!$C$51)*G241))</f>
        <v>1.9966980891740967E-13</v>
      </c>
      <c r="H242" s="8">
        <f>IF((B242&gt;B241), (EXP(-LN(2)/inputs!$C$51)*H241+$H$3), (EXP(-LN(2)/inputs!$C$51)*H241))</f>
        <v>1.2512641358824346E-12</v>
      </c>
      <c r="I242" s="7">
        <f>O242*(10^inputs!$C$55)*0.01/1</f>
        <v>7.2549289595175565E-2</v>
      </c>
      <c r="J242" s="7">
        <f>(((0.621*15^0.564)/0.2))*D242/15+J241*inputs!$C$53</f>
        <v>3.4377219460993583E-12</v>
      </c>
      <c r="K242" s="7">
        <f>(((0.621*1000^0.564)/0.2))*D242/1000+K241*inputs!$C$53</f>
        <v>5.5086671981092263E-13</v>
      </c>
      <c r="L242" s="7">
        <f>(((0.648*20^0.651)/0.2))*H242/20+L241*inputs!$C$54</f>
        <v>1.8847568399290707E-12</v>
      </c>
      <c r="M242" s="7">
        <f>(((0.013*2^0.773)/0.2))*H242/2+M241*inputs!$C$54</f>
        <v>9.1907157396204794E-14</v>
      </c>
      <c r="N242" s="7">
        <f>O242*0.015*inputs!$C$56</f>
        <v>1.0658912530788184E-2</v>
      </c>
      <c r="O242" s="7">
        <f>IF((B242&gt;B241), (EXP(-LN(2)/inputs!$C$52)*O241+$O$3), (EXP(-LN(2)/inputs!$C$52)*O241))</f>
        <v>1.1498287519728354E-3</v>
      </c>
      <c r="P242" s="3">
        <f>IF((B242&gt;B241), (EXP(-LN(2)/inputs!$C$52)*P241+$P$3), (EXP(-LN(2)/inputs!$C$52)*P241))</f>
        <v>1.111085181785631E-3</v>
      </c>
      <c r="Q242" s="19">
        <f>IF((F242*0.62*1/(0.012*(10^inputs!$C$55)))&gt;inputs!$C$57, inputs!$C$57, (F242*0.62*1/(0.012*(10^inputs!$C$55))))</f>
        <v>1.4715172421534449E-14</v>
      </c>
      <c r="R242" s="3">
        <f>IF((B242&gt;B241), (EXP(-LN(2)/inputs!$C$51)*R241+$R$3), (EXP(-LN(2)/inputs!$C$51)*R241))</f>
        <v>3.4189880826727394E-20</v>
      </c>
      <c r="T242" s="7">
        <f>IF(T241&lt;(inputs!$C$9-1),(1+T241),0)</f>
        <v>0</v>
      </c>
      <c r="U242" s="7">
        <f>IF(inputs!$C$8&gt;U241,IF(T241=(inputs!$C$9-1),(U241+1),U241), U241)</f>
        <v>1</v>
      </c>
      <c r="V242" s="7">
        <f t="shared" si="6"/>
        <v>239</v>
      </c>
      <c r="W242" s="8">
        <f>IF((U242&gt;U241), (EXP(-LN(2)/inputs!$C$51)*W241+$W$3), (EXP(-LN(2)/inputs!$C$51)*W241))</f>
        <v>1.1314622505319906E-12</v>
      </c>
      <c r="X242" s="8">
        <f>IF((U242&gt;U241), (EXP(-LN(2)/inputs!$C$51)*X241+$X$3), (EXP(-LN(2)/inputs!$C$51)*X241))</f>
        <v>4.7920754140178301E-13</v>
      </c>
      <c r="Y242" s="8">
        <f>IF((U242&gt;U241), (EXP(-LN(2)/inputs!$C$51)*Y241+$Y$3), (EXP(-LN(2)/inputs!$C$51)*Y241))</f>
        <v>5.9900942675223012E-13</v>
      </c>
      <c r="Z242" s="8">
        <f>IF((U242&gt;U241), (EXP(-LN(2)/inputs!$C$51)*Z241+$Z$3), (EXP(-LN(2)/inputs!$C$51)*Z241))</f>
        <v>9.3179244161457838E-14</v>
      </c>
      <c r="AA242" s="8">
        <f>IF((U242&gt;U241), (EXP(-LN(2)/inputs!$C$51)*AA241+$AA$3), (EXP(-LN(2)/inputs!$C$51)*AA241))</f>
        <v>8.652358386421084E-13</v>
      </c>
      <c r="AB242" s="7">
        <f>(((0.621*15^0.564)/0.2))*W242/15+AB241*inputs!$C$53</f>
        <v>1.217526522576859E-12</v>
      </c>
      <c r="AC242" s="7">
        <f>(((0.621*1000^0.564)/0.2))*W242/1000+AC241*inputs!$C$53</f>
        <v>1.9509862993303551E-13</v>
      </c>
      <c r="AD242" s="7">
        <f>(((0.648*20^0.651)/0.2))*AA242/20+AD241*inputs!$C$54</f>
        <v>1.3032893042062716E-12</v>
      </c>
      <c r="AE242" s="7">
        <f>(((0.013*2^0.773)/0.2))*AA242/2+AE241*inputs!$C$54</f>
        <v>6.3552821603758576E-14</v>
      </c>
    </row>
    <row r="243" spans="1:31" x14ac:dyDescent="0.3">
      <c r="A243" s="7">
        <f>IF(A242&lt;(inputs!$C$9-1),(1+A242),0)</f>
        <v>0</v>
      </c>
      <c r="B243" s="7">
        <f>IF(inputs!$C$8&gt;B242,IF(A242=(inputs!$C$9-1),(B242+1),B242), B242)</f>
        <v>1</v>
      </c>
      <c r="C243" s="7">
        <f t="shared" si="7"/>
        <v>240</v>
      </c>
      <c r="D243" s="8">
        <f>IF((B243&gt;B242), (EXP(-LN(2)/inputs!$C$51)*D242+$D$3), (EXP(-LN(2)/inputs!$C$51)*D242))</f>
        <v>2.8030721248739677E-12</v>
      </c>
      <c r="E243" s="8">
        <f>IF((B243&gt;B242), (EXP(-LN(2)/inputs!$C$51)*E242+$E$3), (EXP(-LN(2)/inputs!$C$51)*E242))</f>
        <v>1.284741390567235E-12</v>
      </c>
      <c r="F243" s="8">
        <f>IF((B243&gt;B242), (EXP(-LN(2)/inputs!$C$51)*F242+$F$3), (EXP(-LN(2)/inputs!$C$51)*F242))</f>
        <v>1.5767280702416086E-12</v>
      </c>
      <c r="G243" s="8">
        <f>IF((B243&gt;B242), (EXP(-LN(2)/inputs!$C$51)*G242+$G$3), (EXP(-LN(2)/inputs!$C$51)*G242))</f>
        <v>1.7519200780462298E-13</v>
      </c>
      <c r="H243" s="8">
        <f>IF((B243&gt;B242), (EXP(-LN(2)/inputs!$C$51)*H242+$H$3), (EXP(-LN(2)/inputs!$C$51)*H242))</f>
        <v>1.0978699155756379E-12</v>
      </c>
      <c r="I243" s="7">
        <f>O243*(10^inputs!$C$55)*0.01/1</f>
        <v>7.1085224734107305E-2</v>
      </c>
      <c r="J243" s="7">
        <f>(((0.621*15^0.564)/0.2))*D243/15+J242*inputs!$C$53</f>
        <v>3.01628680508368E-12</v>
      </c>
      <c r="K243" s="7">
        <f>(((0.621*1000^0.564)/0.2))*D243/1000+K242*inputs!$C$53</f>
        <v>4.8333519824392191E-13</v>
      </c>
      <c r="L243" s="7">
        <f>(((0.648*20^0.651)/0.2))*H243/20+L242*inputs!$C$54</f>
        <v>1.6537018630956375E-12</v>
      </c>
      <c r="M243" s="7">
        <f>(((0.013*2^0.773)/0.2))*H243/2+M242*inputs!$C$54</f>
        <v>8.0640130439132713E-14</v>
      </c>
      <c r="N243" s="7">
        <f>O243*0.015*inputs!$C$56</f>
        <v>1.044381270857621E-2</v>
      </c>
      <c r="O243" s="7">
        <f>IF((B243&gt;B242), (EXP(-LN(2)/inputs!$C$52)*O242+$O$3), (EXP(-LN(2)/inputs!$C$52)*O242))</f>
        <v>1.1266248876565493E-3</v>
      </c>
      <c r="P243" s="3">
        <f>IF((B243&gt;B242), (EXP(-LN(2)/inputs!$C$52)*P242+$P$3), (EXP(-LN(2)/inputs!$C$52)*P242))</f>
        <v>1.088663173501567E-3</v>
      </c>
      <c r="Q243" s="19">
        <f>IF((F243*0.62*1/(0.012*(10^inputs!$C$55)))&gt;inputs!$C$57, inputs!$C$57, (F243*0.62*1/(0.012*(10^inputs!$C$55))))</f>
        <v>1.2911218855256068E-14</v>
      </c>
      <c r="R243" s="3">
        <f>IF((B243&gt;B242), (EXP(-LN(2)/inputs!$C$51)*R242+$R$3), (EXP(-LN(2)/inputs!$C$51)*R242))</f>
        <v>2.9998495521737795E-20</v>
      </c>
      <c r="T243" s="7">
        <f>IF(T242&lt;(inputs!$C$9-1),(1+T242),0)</f>
        <v>0</v>
      </c>
      <c r="U243" s="7">
        <f>IF(inputs!$C$8&gt;U242,IF(T242=(inputs!$C$9-1),(U242+1),U242), U242)</f>
        <v>1</v>
      </c>
      <c r="V243" s="7">
        <f t="shared" si="6"/>
        <v>240</v>
      </c>
      <c r="W243" s="8">
        <f>IF((U243&gt;U242), (EXP(-LN(2)/inputs!$C$51)*W242+$W$3), (EXP(-LN(2)/inputs!$C$51)*W242))</f>
        <v>9.927547108928657E-13</v>
      </c>
      <c r="X243" s="8">
        <f>IF((U243&gt;U242), (EXP(-LN(2)/inputs!$C$51)*X242+$X$3), (EXP(-LN(2)/inputs!$C$51)*X242))</f>
        <v>4.2046081873109498E-13</v>
      </c>
      <c r="Y243" s="8">
        <f>IF((U243&gt;U242), (EXP(-LN(2)/inputs!$C$51)*Y242+$Y$3), (EXP(-LN(2)/inputs!$C$51)*Y242))</f>
        <v>5.2557602341386986E-13</v>
      </c>
      <c r="Z243" s="8">
        <f>IF((U243&gt;U242), (EXP(-LN(2)/inputs!$C$51)*Z242+$Z$3), (EXP(-LN(2)/inputs!$C$51)*Z242))</f>
        <v>8.1756270308824049E-14</v>
      </c>
      <c r="AA243" s="8">
        <f>IF((U243&gt;U242), (EXP(-LN(2)/inputs!$C$51)*AA242+$AA$3), (EXP(-LN(2)/inputs!$C$51)*AA242))</f>
        <v>7.5916536715336606E-13</v>
      </c>
      <c r="AB243" s="7">
        <f>(((0.621*15^0.564)/0.2))*W243/15+AB242*inputs!$C$53</f>
        <v>1.068268243467139E-12</v>
      </c>
      <c r="AC243" s="7">
        <f>(((0.621*1000^0.564)/0.2))*W243/1000+AC242*inputs!$C$53</f>
        <v>1.711812160447227E-13</v>
      </c>
      <c r="AD243" s="7">
        <f>(((0.648*20^0.651)/0.2))*AA243/20+AD242*inputs!$C$54</f>
        <v>1.1435172457576208E-12</v>
      </c>
      <c r="AE243" s="7">
        <f>(((0.013*2^0.773)/0.2))*AA243/2+AE242*inputs!$C$54</f>
        <v>5.5761792324932154E-14</v>
      </c>
    </row>
    <row r="244" spans="1:31" x14ac:dyDescent="0.3">
      <c r="A244" s="7">
        <f>IF(A243&lt;(inputs!$C$9-1),(1+A243),0)</f>
        <v>0</v>
      </c>
      <c r="B244" s="7">
        <f>IF(inputs!$C$8&gt;B243,IF(A243=(inputs!$C$9-1),(B243+1),B243), B243)</f>
        <v>1</v>
      </c>
      <c r="C244" s="7">
        <f t="shared" si="7"/>
        <v>241</v>
      </c>
      <c r="D244" s="8">
        <f>IF((B244&gt;B243), (EXP(-LN(2)/inputs!$C$51)*D243+$D$3), (EXP(-LN(2)/inputs!$C$51)*D243))</f>
        <v>2.4594395929980943E-12</v>
      </c>
      <c r="E244" s="8">
        <f>IF((B244&gt;B243), (EXP(-LN(2)/inputs!$C$51)*E243+$E$3), (EXP(-LN(2)/inputs!$C$51)*E243))</f>
        <v>1.127243146790793E-12</v>
      </c>
      <c r="F244" s="8">
        <f>IF((B244&gt;B243), (EXP(-LN(2)/inputs!$C$51)*F243+$F$3), (EXP(-LN(2)/inputs!$C$51)*F243))</f>
        <v>1.3834347710614294E-12</v>
      </c>
      <c r="G244" s="8">
        <f>IF((B244&gt;B243), (EXP(-LN(2)/inputs!$C$51)*G243+$G$3), (EXP(-LN(2)/inputs!$C$51)*G243))</f>
        <v>1.5371497456238089E-13</v>
      </c>
      <c r="H244" s="8">
        <f>IF((B244&gt;B243), (EXP(-LN(2)/inputs!$C$51)*H243+$H$3), (EXP(-LN(2)/inputs!$C$51)*H243))</f>
        <v>9.6328050725758737E-13</v>
      </c>
      <c r="I244" s="7">
        <f>O244*(10^inputs!$C$55)*0.01/1</f>
        <v>6.9650705109517236E-2</v>
      </c>
      <c r="J244" s="7">
        <f>(((0.621*15^0.564)/0.2))*D244/15+J243*inputs!$C$53</f>
        <v>2.6465159873808367E-12</v>
      </c>
      <c r="K244" s="7">
        <f>(((0.621*1000^0.564)/0.2))*D244/1000+K243*inputs!$C$53</f>
        <v>4.2408246034844098E-13</v>
      </c>
      <c r="L244" s="7">
        <f>(((0.648*20^0.651)/0.2))*H244/20+L243*inputs!$C$54</f>
        <v>1.4509722390018751E-12</v>
      </c>
      <c r="M244" s="7">
        <f>(((0.013*2^0.773)/0.2))*H244/2+M243*inputs!$C$54</f>
        <v>7.0754344073629982E-14</v>
      </c>
      <c r="N244" s="7">
        <f>O244*0.015*inputs!$C$56</f>
        <v>1.0233053660658237E-2</v>
      </c>
      <c r="O244" s="7">
        <f>IF((B244&gt;B243), (EXP(-LN(2)/inputs!$C$52)*O243+$O$3), (EXP(-LN(2)/inputs!$C$52)*O243))</f>
        <v>1.1038892837819025E-3</v>
      </c>
      <c r="P244" s="3">
        <f>IF((B244&gt;B243), (EXP(-LN(2)/inputs!$C$52)*P243+$P$3), (EXP(-LN(2)/inputs!$C$52)*P243))</f>
        <v>1.0666936475867508E-3</v>
      </c>
      <c r="Q244" s="19">
        <f>IF((F244*0.62*1/(0.012*(10^inputs!$C$55)))&gt;inputs!$C$57, inputs!$C$57, (F244*0.62*1/(0.012*(10^inputs!$C$55))))</f>
        <v>1.1328414479491157E-14</v>
      </c>
      <c r="R244" s="3">
        <f>IF((B244&gt;B243), (EXP(-LN(2)/inputs!$C$51)*R243+$R$3), (EXP(-LN(2)/inputs!$C$51)*R243))</f>
        <v>2.6320938002926071E-20</v>
      </c>
      <c r="T244" s="7">
        <f>IF(T243&lt;(inputs!$C$9-1),(1+T243),0)</f>
        <v>0</v>
      </c>
      <c r="U244" s="7">
        <f>IF(inputs!$C$8&gt;U243,IF(T243=(inputs!$C$9-1),(U243+1),U243), U243)</f>
        <v>1</v>
      </c>
      <c r="V244" s="7">
        <f t="shared" si="6"/>
        <v>241</v>
      </c>
      <c r="W244" s="8">
        <f>IF((U244&gt;U243), (EXP(-LN(2)/inputs!$C$51)*W243+$W$3), (EXP(-LN(2)/inputs!$C$51)*W243))</f>
        <v>8.7105152252016016E-13</v>
      </c>
      <c r="X244" s="8">
        <f>IF((U244&gt;U243), (EXP(-LN(2)/inputs!$C$51)*X243+$X$3), (EXP(-LN(2)/inputs!$C$51)*X243))</f>
        <v>3.6891593894971398E-13</v>
      </c>
      <c r="Y244" s="8">
        <f>IF((U244&gt;U243), (EXP(-LN(2)/inputs!$C$51)*Y243+$Y$3), (EXP(-LN(2)/inputs!$C$51)*Y243))</f>
        <v>4.6114492368714341E-13</v>
      </c>
      <c r="Z244" s="8">
        <f>IF((U244&gt;U243), (EXP(-LN(2)/inputs!$C$51)*Z243+$Z$3), (EXP(-LN(2)/inputs!$C$51)*Z243))</f>
        <v>7.1733654795777738E-14</v>
      </c>
      <c r="AA244" s="8">
        <f>IF((U244&gt;U243), (EXP(-LN(2)/inputs!$C$51)*AA243+$AA$3), (EXP(-LN(2)/inputs!$C$51)*AA243))</f>
        <v>6.6609822310365032E-13</v>
      </c>
      <c r="AB244" s="7">
        <f>(((0.621*15^0.564)/0.2))*W244/15+AB243*inputs!$C$53</f>
        <v>9.3730774553071476E-13</v>
      </c>
      <c r="AC244" s="7">
        <f>(((0.621*1000^0.564)/0.2))*W244/1000+AC243*inputs!$C$53</f>
        <v>1.5019587137340646E-13</v>
      </c>
      <c r="AD244" s="7">
        <f>(((0.648*20^0.651)/0.2))*AA244/20+AD243*inputs!$C$54</f>
        <v>1.003331867394913E-12</v>
      </c>
      <c r="AE244" s="7">
        <f>(((0.013*2^0.773)/0.2))*AA244/2+AE243*inputs!$C$54</f>
        <v>4.8925876221127074E-14</v>
      </c>
    </row>
    <row r="245" spans="1:31" x14ac:dyDescent="0.3">
      <c r="A245" s="7">
        <f>IF(A244&lt;(inputs!$C$9-1),(1+A244),0)</f>
        <v>0</v>
      </c>
      <c r="B245" s="7">
        <f>IF(inputs!$C$8&gt;B244,IF(A244=(inputs!$C$9-1),(B244+1),B244), B244)</f>
        <v>1</v>
      </c>
      <c r="C245" s="7">
        <f t="shared" si="7"/>
        <v>242</v>
      </c>
      <c r="D245" s="8">
        <f>IF((B245&gt;B244), (EXP(-LN(2)/inputs!$C$51)*D244+$D$3), (EXP(-LN(2)/inputs!$C$51)*D244))</f>
        <v>2.1579334537739019E-12</v>
      </c>
      <c r="E245" s="8">
        <f>IF((B245&gt;B244), (EXP(-LN(2)/inputs!$C$51)*E244+$E$3), (EXP(-LN(2)/inputs!$C$51)*E244))</f>
        <v>9.8905283297970487E-13</v>
      </c>
      <c r="F245" s="8">
        <f>IF((B245&gt;B244), (EXP(-LN(2)/inputs!$C$51)*F244+$F$3), (EXP(-LN(2)/inputs!$C$51)*F244))</f>
        <v>1.213837567747821E-12</v>
      </c>
      <c r="G245" s="8">
        <f>IF((B245&gt;B244), (EXP(-LN(2)/inputs!$C$51)*G244+$G$3), (EXP(-LN(2)/inputs!$C$51)*G244))</f>
        <v>1.3487084086086887E-13</v>
      </c>
      <c r="H245" s="8">
        <f>IF((B245&gt;B244), (EXP(-LN(2)/inputs!$C$51)*H244+$H$3), (EXP(-LN(2)/inputs!$C$51)*H244))</f>
        <v>8.4519060272811194E-13</v>
      </c>
      <c r="I245" s="7">
        <f>O245*(10^inputs!$C$55)*0.01/1</f>
        <v>6.8245134490308113E-2</v>
      </c>
      <c r="J245" s="7">
        <f>(((0.621*15^0.564)/0.2))*D245/15+J244*inputs!$C$53</f>
        <v>2.3220758913435135E-12</v>
      </c>
      <c r="K245" s="7">
        <f>(((0.621*1000^0.564)/0.2))*D245/1000+K244*inputs!$C$53</f>
        <v>3.7209359845633506E-13</v>
      </c>
      <c r="L245" s="7">
        <f>(((0.648*20^0.651)/0.2))*H245/20+L244*inputs!$C$54</f>
        <v>1.2730955230425107E-12</v>
      </c>
      <c r="M245" s="7">
        <f>(((0.013*2^0.773)/0.2))*H245/2+M244*inputs!$C$54</f>
        <v>6.2080470083915441E-14</v>
      </c>
      <c r="N245" s="7">
        <f>O245*0.015*inputs!$C$56</f>
        <v>1.0026547789000575E-2</v>
      </c>
      <c r="O245" s="7">
        <f>IF((B245&gt;B244), (EXP(-LN(2)/inputs!$C$52)*O244+$O$3), (EXP(-LN(2)/inputs!$C$52)*O244))</f>
        <v>1.0816124907228237E-3</v>
      </c>
      <c r="P245" s="3">
        <f>IF((B245&gt;B244), (EXP(-LN(2)/inputs!$C$52)*P244+$P$3), (EXP(-LN(2)/inputs!$C$52)*P244))</f>
        <v>1.0451674728210044E-3</v>
      </c>
      <c r="Q245" s="19">
        <f>IF((F245*0.62*1/(0.012*(10^inputs!$C$55)))&gt;inputs!$C$57, inputs!$C$57, (F245*0.62*1/(0.012*(10^inputs!$C$55))))</f>
        <v>9.9396483056982216E-15</v>
      </c>
      <c r="R245" s="3">
        <f>IF((B245&gt;B244), (EXP(-LN(2)/inputs!$C$51)*R244+$R$3), (EXP(-LN(2)/inputs!$C$51)*R244))</f>
        <v>2.309421740339813E-20</v>
      </c>
      <c r="T245" s="7">
        <f>IF(T244&lt;(inputs!$C$9-1),(1+T244),0)</f>
        <v>0</v>
      </c>
      <c r="U245" s="7">
        <f>IF(inputs!$C$8&gt;U244,IF(T244=(inputs!$C$9-1),(U244+1),U244), U244)</f>
        <v>1</v>
      </c>
      <c r="V245" s="7">
        <f t="shared" si="6"/>
        <v>242</v>
      </c>
      <c r="W245" s="8">
        <f>IF((U245&gt;U244), (EXP(-LN(2)/inputs!$C$51)*W244+$W$3), (EXP(-LN(2)/inputs!$C$51)*W244))</f>
        <v>7.6426809821159184E-13</v>
      </c>
      <c r="X245" s="8">
        <f>IF((U245&gt;U244), (EXP(-LN(2)/inputs!$C$51)*X244+$X$3), (EXP(-LN(2)/inputs!$C$51)*X244))</f>
        <v>3.2369001806608513E-13</v>
      </c>
      <c r="Y245" s="8">
        <f>IF((U245&gt;U244), (EXP(-LN(2)/inputs!$C$51)*Y244+$Y$3), (EXP(-LN(2)/inputs!$C$51)*Y244))</f>
        <v>4.0461252258260724E-13</v>
      </c>
      <c r="Z245" s="8">
        <f>IF((U245&gt;U244), (EXP(-LN(2)/inputs!$C$51)*Z244+$Z$3), (EXP(-LN(2)/inputs!$C$51)*Z244))</f>
        <v>6.2939725735072128E-14</v>
      </c>
      <c r="AA245" s="8">
        <f>IF((U245&gt;U244), (EXP(-LN(2)/inputs!$C$51)*AA244+$AA$3), (EXP(-LN(2)/inputs!$C$51)*AA244))</f>
        <v>5.8444031039709823E-13</v>
      </c>
      <c r="AB245" s="7">
        <f>(((0.621*15^0.564)/0.2))*W245/15+AB244*inputs!$C$53</f>
        <v>8.2240187818416258E-13</v>
      </c>
      <c r="AC245" s="7">
        <f>(((0.621*1000^0.564)/0.2))*W245/1000+AC244*inputs!$C$53</f>
        <v>1.3178314945328559E-13</v>
      </c>
      <c r="AD245" s="7">
        <f>(((0.648*20^0.651)/0.2))*AA245/20+AD244*inputs!$C$54</f>
        <v>8.8033201061450126E-13</v>
      </c>
      <c r="AE245" s="7">
        <f>(((0.013*2^0.773)/0.2))*AA245/2+AE244*inputs!$C$54</f>
        <v>4.2927984632494679E-14</v>
      </c>
    </row>
    <row r="246" spans="1:31" x14ac:dyDescent="0.3">
      <c r="A246" s="7">
        <f>IF(A245&lt;(inputs!$C$9-1),(1+A245),0)</f>
        <v>0</v>
      </c>
      <c r="B246" s="7">
        <f>IF(inputs!$C$8&gt;B245,IF(A245=(inputs!$C$9-1),(B245+1),B245), B245)</f>
        <v>1</v>
      </c>
      <c r="C246" s="7">
        <f t="shared" si="7"/>
        <v>243</v>
      </c>
      <c r="D246" s="8">
        <f>IF((B246&gt;B245), (EXP(-LN(2)/inputs!$C$51)*D245+$D$3), (EXP(-LN(2)/inputs!$C$51)*D245))</f>
        <v>1.8933893738125931E-12</v>
      </c>
      <c r="E246" s="8">
        <f>IF((B246&gt;B245), (EXP(-LN(2)/inputs!$C$51)*E245+$E$3), (EXP(-LN(2)/inputs!$C$51)*E245))</f>
        <v>8.6780346299743845E-13</v>
      </c>
      <c r="F246" s="8">
        <f>IF((B246&gt;B245), (EXP(-LN(2)/inputs!$C$51)*F245+$F$3), (EXP(-LN(2)/inputs!$C$51)*F245))</f>
        <v>1.0650315227695847E-12</v>
      </c>
      <c r="G246" s="8">
        <f>IF((B246&gt;B245), (EXP(-LN(2)/inputs!$C$51)*G245+$G$3), (EXP(-LN(2)/inputs!$C$51)*G245))</f>
        <v>1.1833683586328707E-13</v>
      </c>
      <c r="H246" s="8">
        <f>IF((B246&gt;B245), (EXP(-LN(2)/inputs!$C$51)*H245+$H$3), (EXP(-LN(2)/inputs!$C$51)*H245))</f>
        <v>7.4157750474326601E-13</v>
      </c>
      <c r="I246" s="7">
        <f>O246*(10^inputs!$C$55)*0.01/1</f>
        <v>6.6867928677492236E-2</v>
      </c>
      <c r="J246" s="7">
        <f>(((0.621*15^0.564)/0.2))*D246/15+J245*inputs!$C$53</f>
        <v>2.0374093604078619E-12</v>
      </c>
      <c r="K246" s="7">
        <f>(((0.621*1000^0.564)/0.2))*D246/1000+K245*inputs!$C$53</f>
        <v>3.2647812384984268E-13</v>
      </c>
      <c r="L246" s="7">
        <f>(((0.648*20^0.651)/0.2))*H246/20+L245*inputs!$C$54</f>
        <v>1.1170249624526339E-12</v>
      </c>
      <c r="M246" s="7">
        <f>(((0.013*2^0.773)/0.2))*H246/2+M245*inputs!$C$54</f>
        <v>5.4469938436985566E-14</v>
      </c>
      <c r="N246" s="7">
        <f>O246*0.015*inputs!$C$56</f>
        <v>9.824209263322255E-3</v>
      </c>
      <c r="O246" s="7">
        <f>IF((B246&gt;B245), (EXP(-LN(2)/inputs!$C$52)*O245+$O$3), (EXP(-LN(2)/inputs!$C$52)*O245))</f>
        <v>1.0597852495493262E-3</v>
      </c>
      <c r="P246" s="3">
        <f>IF((B246&gt;B245), (EXP(-LN(2)/inputs!$C$52)*P245+$P$3), (EXP(-LN(2)/inputs!$C$52)*P245))</f>
        <v>1.0240757022547146E-3</v>
      </c>
      <c r="Q246" s="19">
        <f>IF((F246*0.62*1/(0.012*(10^inputs!$C$55)))&gt;inputs!$C$57, inputs!$C$57, (F246*0.62*1/(0.012*(10^inputs!$C$55))))</f>
        <v>8.7211329193356995E-15</v>
      </c>
      <c r="R246" s="3">
        <f>IF((B246&gt;B245), (EXP(-LN(2)/inputs!$C$51)*R245+$R$3), (EXP(-LN(2)/inputs!$C$51)*R245))</f>
        <v>2.0263064994724956E-20</v>
      </c>
      <c r="T246" s="7">
        <f>IF(T245&lt;(inputs!$C$9-1),(1+T245),0)</f>
        <v>0</v>
      </c>
      <c r="U246" s="7">
        <f>IF(inputs!$C$8&gt;U245,IF(T245=(inputs!$C$9-1),(U245+1),U245), U245)</f>
        <v>1</v>
      </c>
      <c r="V246" s="7">
        <f t="shared" si="6"/>
        <v>243</v>
      </c>
      <c r="W246" s="8">
        <f>IF((U246&gt;U245), (EXP(-LN(2)/inputs!$C$51)*W245+$W$3), (EXP(-LN(2)/inputs!$C$51)*W245))</f>
        <v>6.7057540322529487E-13</v>
      </c>
      <c r="X246" s="8">
        <f>IF((U246&gt;U245), (EXP(-LN(2)/inputs!$C$51)*X245+$X$3), (EXP(-LN(2)/inputs!$C$51)*X245))</f>
        <v>2.8400840607188885E-13</v>
      </c>
      <c r="Y246" s="8">
        <f>IF((U246&gt;U245), (EXP(-LN(2)/inputs!$C$51)*Y245+$Y$3), (EXP(-LN(2)/inputs!$C$51)*Y245))</f>
        <v>3.550105075898618E-13</v>
      </c>
      <c r="Z246" s="8">
        <f>IF((U246&gt;U245), (EXP(-LN(2)/inputs!$C$51)*Z245+$Z$3), (EXP(-LN(2)/inputs!$C$51)*Z245))</f>
        <v>5.5223856736200625E-14</v>
      </c>
      <c r="AA246" s="8">
        <f>IF((U246&gt;U245), (EXP(-LN(2)/inputs!$C$51)*AA245+$AA$3), (EXP(-LN(2)/inputs!$C$51)*AA245))</f>
        <v>5.127929554075772E-13</v>
      </c>
      <c r="AB246" s="7">
        <f>(((0.621*15^0.564)/0.2))*W246/15+AB245*inputs!$C$53</f>
        <v>7.2158248181111922E-13</v>
      </c>
      <c r="AC246" s="7">
        <f>(((0.621*1000^0.564)/0.2))*W246/1000+AC245*inputs!$C$53</f>
        <v>1.1562766886348619E-13</v>
      </c>
      <c r="AD246" s="7">
        <f>(((0.648*20^0.651)/0.2))*AA246/20+AD245*inputs!$C$54</f>
        <v>7.7241087829171419E-13</v>
      </c>
      <c r="AE246" s="7">
        <f>(((0.013*2^0.773)/0.2))*AA246/2+AE245*inputs!$C$54</f>
        <v>3.7665382961745311E-14</v>
      </c>
    </row>
    <row r="247" spans="1:31" x14ac:dyDescent="0.3">
      <c r="A247" s="7">
        <f>IF(A246&lt;(inputs!$C$9-1),(1+A246),0)</f>
        <v>0</v>
      </c>
      <c r="B247" s="7">
        <f>IF(inputs!$C$8&gt;B246,IF(A246=(inputs!$C$9-1),(B246+1),B246), B246)</f>
        <v>1</v>
      </c>
      <c r="C247" s="7">
        <f t="shared" si="7"/>
        <v>244</v>
      </c>
      <c r="D247" s="8">
        <f>IF((B247&gt;B246), (EXP(-LN(2)/inputs!$C$51)*D246+$D$3), (EXP(-LN(2)/inputs!$C$51)*D246))</f>
        <v>1.6612761225778073E-12</v>
      </c>
      <c r="E247" s="8">
        <f>IF((B247&gt;B246), (EXP(-LN(2)/inputs!$C$51)*E246+$E$3), (EXP(-LN(2)/inputs!$C$51)*E246))</f>
        <v>7.6141822284816162E-13</v>
      </c>
      <c r="F247" s="8">
        <f>IF((B247&gt;B246), (EXP(-LN(2)/inputs!$C$51)*F246+$F$3), (EXP(-LN(2)/inputs!$C$51)*F246))</f>
        <v>9.3446781895001747E-13</v>
      </c>
      <c r="G247" s="8">
        <f>IF((B247&gt;B246), (EXP(-LN(2)/inputs!$C$51)*G246+$G$3), (EXP(-LN(2)/inputs!$C$51)*G246))</f>
        <v>1.0382975766111296E-13</v>
      </c>
      <c r="H247" s="8">
        <f>IF((B247&gt;B246), (EXP(-LN(2)/inputs!$C$51)*H246+$H$3), (EXP(-LN(2)/inputs!$C$51)*H246))</f>
        <v>6.506664813429748E-13</v>
      </c>
      <c r="I247" s="7">
        <f>O247*(10^inputs!$C$55)*0.01/1</f>
        <v>6.5518515261380098E-2</v>
      </c>
      <c r="J247" s="7">
        <f>(((0.621*15^0.564)/0.2))*D247/15+J246*inputs!$C$53</f>
        <v>1.7876404976048623E-12</v>
      </c>
      <c r="K247" s="7">
        <f>(((0.621*1000^0.564)/0.2))*D247/1000+K246*inputs!$C$53</f>
        <v>2.8645471406845834E-13</v>
      </c>
      <c r="L247" s="7">
        <f>(((0.648*20^0.651)/0.2))*H247/20+L246*inputs!$C$54</f>
        <v>9.8008731014965937E-13</v>
      </c>
      <c r="M247" s="7">
        <f>(((0.013*2^0.773)/0.2))*H247/2+M246*inputs!$C$54</f>
        <v>4.779239250795746E-14</v>
      </c>
      <c r="N247" s="7">
        <f>O247*0.015*inputs!$C$56</f>
        <v>9.6259539854212563E-3</v>
      </c>
      <c r="O247" s="7">
        <f>IF((B247&gt;B246), (EXP(-LN(2)/inputs!$C$52)*O246+$O$3), (EXP(-LN(2)/inputs!$C$52)*O246))</f>
        <v>1.0383984881792078E-3</v>
      </c>
      <c r="P247" s="3">
        <f>IF((B247&gt;B246), (EXP(-LN(2)/inputs!$C$52)*P246+$P$3), (EXP(-LN(2)/inputs!$C$52)*P246))</f>
        <v>1.0034095694902024E-3</v>
      </c>
      <c r="Q247" s="19">
        <f>IF((F247*0.62*1/(0.012*(10^inputs!$C$55)))&gt;inputs!$C$57, inputs!$C$57, (F247*0.62*1/(0.012*(10^inputs!$C$55))))</f>
        <v>7.6519970382773055E-15</v>
      </c>
      <c r="R247" s="3">
        <f>IF((B247&gt;B246), (EXP(-LN(2)/inputs!$C$51)*R246+$R$3), (EXP(-LN(2)/inputs!$C$51)*R246))</f>
        <v>1.7778987519188789E-20</v>
      </c>
      <c r="T247" s="7">
        <f>IF(T246&lt;(inputs!$C$9-1),(1+T246),0)</f>
        <v>0</v>
      </c>
      <c r="U247" s="7">
        <f>IF(inputs!$C$8&gt;U246,IF(T246=(inputs!$C$9-1),(U246+1),U246), U246)</f>
        <v>1</v>
      </c>
      <c r="V247" s="7">
        <f t="shared" si="6"/>
        <v>244</v>
      </c>
      <c r="W247" s="8">
        <f>IF((U247&gt;U246), (EXP(-LN(2)/inputs!$C$51)*W246+$W$3), (EXP(-LN(2)/inputs!$C$51)*W246))</f>
        <v>5.8836862674630809E-13</v>
      </c>
      <c r="X247" s="8">
        <f>IF((U247&gt;U246), (EXP(-LN(2)/inputs!$C$51)*X246+$X$3), (EXP(-LN(2)/inputs!$C$51)*X246))</f>
        <v>2.49191418386671E-13</v>
      </c>
      <c r="Y247" s="8">
        <f>IF((U247&gt;U246), (EXP(-LN(2)/inputs!$C$51)*Y246+$Y$3), (EXP(-LN(2)/inputs!$C$51)*Y246))</f>
        <v>3.1148927298333938E-13</v>
      </c>
      <c r="Z247" s="8">
        <f>IF((U247&gt;U246), (EXP(-LN(2)/inputs!$C$51)*Z246+$Z$3), (EXP(-LN(2)/inputs!$C$51)*Z246))</f>
        <v>4.8453886908519371E-14</v>
      </c>
      <c r="AA247" s="8">
        <f>IF((U247&gt;U246), (EXP(-LN(2)/inputs!$C$51)*AA246+$AA$3), (EXP(-LN(2)/inputs!$C$51)*AA246))</f>
        <v>4.499289498648227E-13</v>
      </c>
      <c r="AB247" s="7">
        <f>(((0.621*15^0.564)/0.2))*W247/15+AB246*inputs!$C$53</f>
        <v>6.3312267623505685E-13</v>
      </c>
      <c r="AC247" s="7">
        <f>(((0.621*1000^0.564)/0.2))*W247/1000+AC246*inputs!$C$53</f>
        <v>1.0145271123257924E-13</v>
      </c>
      <c r="AD247" s="7">
        <f>(((0.648*20^0.651)/0.2))*AA247/20+AD246*inputs!$C$54</f>
        <v>6.7771994850774258E-13</v>
      </c>
      <c r="AE247" s="7">
        <f>(((0.013*2^0.773)/0.2))*AA247/2+AE246*inputs!$C$54</f>
        <v>3.3047930989545026E-14</v>
      </c>
    </row>
    <row r="248" spans="1:31" x14ac:dyDescent="0.3">
      <c r="A248" s="7">
        <f>IF(A247&lt;(inputs!$C$9-1),(1+A247),0)</f>
        <v>0</v>
      </c>
      <c r="B248" s="7">
        <f>IF(inputs!$C$8&gt;B247,IF(A247=(inputs!$C$9-1),(B247+1),B247), B247)</f>
        <v>1</v>
      </c>
      <c r="C248" s="7">
        <f t="shared" si="7"/>
        <v>245</v>
      </c>
      <c r="D248" s="8">
        <f>IF((B248&gt;B247), (EXP(-LN(2)/inputs!$C$51)*D247+$D$3), (EXP(-LN(2)/inputs!$C$51)*D247))</f>
        <v>1.4576179594215476E-12</v>
      </c>
      <c r="E248" s="8">
        <f>IF((B248&gt;B247), (EXP(-LN(2)/inputs!$C$51)*E247+$E$3), (EXP(-LN(2)/inputs!$C$51)*E247))</f>
        <v>6.6807489806820924E-13</v>
      </c>
      <c r="F248" s="8">
        <f>IF((B248&gt;B247), (EXP(-LN(2)/inputs!$C$51)*F247+$F$3), (EXP(-LN(2)/inputs!$C$51)*F247))</f>
        <v>8.1991010217462132E-13</v>
      </c>
      <c r="G248" s="8">
        <f>IF((B248&gt;B247), (EXP(-LN(2)/inputs!$C$51)*G247+$G$3), (EXP(-LN(2)/inputs!$C$51)*G247))</f>
        <v>9.1101122463846727E-14</v>
      </c>
      <c r="H248" s="8">
        <f>IF((B248&gt;B247), (EXP(-LN(2)/inputs!$C$51)*H247+$H$3), (EXP(-LN(2)/inputs!$C$51)*H247))</f>
        <v>5.7090036744010642E-13</v>
      </c>
      <c r="I248" s="7">
        <f>O248*(10^inputs!$C$55)*0.01/1</f>
        <v>6.4196333383669049E-2</v>
      </c>
      <c r="J248" s="7">
        <f>(((0.621*15^0.564)/0.2))*D248/15+J247*inputs!$C$53</f>
        <v>1.5684911489938539E-12</v>
      </c>
      <c r="K248" s="7">
        <f>(((0.621*1000^0.564)/0.2))*D248/1000+K247*inputs!$C$53</f>
        <v>2.5133783006478698E-13</v>
      </c>
      <c r="L248" s="7">
        <f>(((0.648*20^0.651)/0.2))*H248/20+L247*inputs!$C$54</f>
        <v>8.5993703614938357E-13</v>
      </c>
      <c r="M248" s="7">
        <f>(((0.013*2^0.773)/0.2))*H248/2+M247*inputs!$C$54</f>
        <v>4.1933456272895948E-14</v>
      </c>
      <c r="N248" s="7">
        <f>O248*0.015*inputs!$C$56</f>
        <v>9.4316995542206988E-3</v>
      </c>
      <c r="O248" s="7">
        <f>IF((B248&gt;B247), (EXP(-LN(2)/inputs!$C$52)*O247+$O$3), (EXP(-LN(2)/inputs!$C$52)*O247))</f>
        <v>1.0174433176074109E-3</v>
      </c>
      <c r="P248" s="3">
        <f>IF((B248&gt;B247), (EXP(-LN(2)/inputs!$C$52)*P247+$P$3), (EXP(-LN(2)/inputs!$C$52)*P247))</f>
        <v>9.8316048503813451E-4</v>
      </c>
      <c r="Q248" s="19">
        <f>IF((F248*0.62*1/(0.012*(10^inputs!$C$55)))&gt;inputs!$C$57, inputs!$C$57, (F248*0.62*1/(0.012*(10^inputs!$C$55))))</f>
        <v>6.7139280200610351E-15</v>
      </c>
      <c r="R248" s="3">
        <f>IF((B248&gt;B247), (EXP(-LN(2)/inputs!$C$51)*R247+$R$3), (EXP(-LN(2)/inputs!$C$51)*R247))</f>
        <v>1.559943657535316E-20</v>
      </c>
      <c r="T248" s="7">
        <f>IF(T247&lt;(inputs!$C$9-1),(1+T247),0)</f>
        <v>0</v>
      </c>
      <c r="U248" s="7">
        <f>IF(inputs!$C$8&gt;U247,IF(T247=(inputs!$C$9-1),(U247+1),U247), U247)</f>
        <v>1</v>
      </c>
      <c r="V248" s="7">
        <f t="shared" si="6"/>
        <v>245</v>
      </c>
      <c r="W248" s="8">
        <f>IF((U248&gt;U247), (EXP(-LN(2)/inputs!$C$51)*W247+$W$3), (EXP(-LN(2)/inputs!$C$51)*W247))</f>
        <v>5.1623969396179929E-13</v>
      </c>
      <c r="X248" s="8">
        <f>IF((U248&gt;U247), (EXP(-LN(2)/inputs!$C$51)*X247+$X$3), (EXP(-LN(2)/inputs!$C$51)*X247))</f>
        <v>2.1864269391323206E-13</v>
      </c>
      <c r="Y248" s="8">
        <f>IF((U248&gt;U247), (EXP(-LN(2)/inputs!$C$51)*Y247+$Y$3), (EXP(-LN(2)/inputs!$C$51)*Y247))</f>
        <v>2.7330336739154061E-13</v>
      </c>
      <c r="Z248" s="8">
        <f>IF((U248&gt;U247), (EXP(-LN(2)/inputs!$C$51)*Z247+$Z$3), (EXP(-LN(2)/inputs!$C$51)*Z247))</f>
        <v>4.2513857149795131E-14</v>
      </c>
      <c r="AA248" s="8">
        <f>IF((U248&gt;U247), (EXP(-LN(2)/inputs!$C$51)*AA247+$AA$3), (EXP(-LN(2)/inputs!$C$51)*AA247))</f>
        <v>3.9477153067666904E-13</v>
      </c>
      <c r="AB248" s="7">
        <f>(((0.621*15^0.564)/0.2))*W248/15+AB247*inputs!$C$53</f>
        <v>5.5550728193532456E-13</v>
      </c>
      <c r="AC248" s="7">
        <f>(((0.621*1000^0.564)/0.2))*W248/1000+AC247*inputs!$C$53</f>
        <v>8.9015481481278922E-14</v>
      </c>
      <c r="AD248" s="7">
        <f>(((0.648*20^0.651)/0.2))*AA248/20+AD247*inputs!$C$54</f>
        <v>5.9463731223095632E-13</v>
      </c>
      <c r="AE248" s="7">
        <f>(((0.013*2^0.773)/0.2))*AA248/2+AE247*inputs!$C$54</f>
        <v>2.899653891210888E-14</v>
      </c>
    </row>
    <row r="249" spans="1:31" x14ac:dyDescent="0.3">
      <c r="A249" s="7">
        <f>IF(A248&lt;(inputs!$C$9-1),(1+A248),0)</f>
        <v>0</v>
      </c>
      <c r="B249" s="7">
        <f>IF(inputs!$C$8&gt;B248,IF(A248=(inputs!$C$9-1),(B248+1),B248), B248)</f>
        <v>1</v>
      </c>
      <c r="C249" s="7">
        <f t="shared" si="7"/>
        <v>246</v>
      </c>
      <c r="D249" s="8">
        <f>IF((B249&gt;B248), (EXP(-LN(2)/inputs!$C$51)*D248+$D$3), (EXP(-LN(2)/inputs!$C$51)*D248))</f>
        <v>1.2789265353019161E-12</v>
      </c>
      <c r="E249" s="8">
        <f>IF((B249&gt;B248), (EXP(-LN(2)/inputs!$C$51)*E248+$E$3), (EXP(-LN(2)/inputs!$C$51)*E248))</f>
        <v>5.8617466201337817E-13</v>
      </c>
      <c r="F249" s="8">
        <f>IF((B249&gt;B248), (EXP(-LN(2)/inputs!$C$51)*F248+$F$3), (EXP(-LN(2)/inputs!$C$51)*F248))</f>
        <v>7.1939617610732853E-13</v>
      </c>
      <c r="G249" s="8">
        <f>IF((B249&gt;B248), (EXP(-LN(2)/inputs!$C$51)*G248+$G$3), (EXP(-LN(2)/inputs!$C$51)*G248))</f>
        <v>7.9932908456369754E-14</v>
      </c>
      <c r="H249" s="8">
        <f>IF((B249&gt;B248), (EXP(-LN(2)/inputs!$C$51)*H248+$H$3), (EXP(-LN(2)/inputs!$C$51)*H248))</f>
        <v>5.0091289299325069E-13</v>
      </c>
      <c r="I249" s="7">
        <f>O249*(10^inputs!$C$55)*0.01/1</f>
        <v>6.2900833504333162E-2</v>
      </c>
      <c r="J249" s="7">
        <f>(((0.621*15^0.564)/0.2))*D249/15+J248*inputs!$C$53</f>
        <v>1.3762076255087457E-12</v>
      </c>
      <c r="K249" s="7">
        <f>(((0.621*1000^0.564)/0.2))*D249/1000+K248*inputs!$C$53</f>
        <v>2.205259739819778E-13</v>
      </c>
      <c r="L249" s="7">
        <f>(((0.648*20^0.651)/0.2))*H249/20+L248*inputs!$C$54</f>
        <v>7.5451615226858302E-13</v>
      </c>
      <c r="M249" s="7">
        <f>(((0.013*2^0.773)/0.2))*H249/2+M248*inputs!$C$54</f>
        <v>3.6792775224594568E-14</v>
      </c>
      <c r="N249" s="7">
        <f>O249*0.015*inputs!$C$56</f>
        <v>9.2413652315203702E-3</v>
      </c>
      <c r="O249" s="7">
        <f>IF((B249&gt;B248), (EXP(-LN(2)/inputs!$C$52)*O248+$O$3), (EXP(-LN(2)/inputs!$C$52)*O248))</f>
        <v>9.9691102821147467E-4</v>
      </c>
      <c r="P249" s="3">
        <f>IF((B249&gt;B248), (EXP(-LN(2)/inputs!$C$52)*P248+$P$3), (EXP(-LN(2)/inputs!$C$52)*P248))</f>
        <v>9.6332003274746331E-4</v>
      </c>
      <c r="Q249" s="19">
        <f>IF((F249*0.62*1/(0.012*(10^inputs!$C$55)))&gt;inputs!$C$57, inputs!$C$57, (F249*0.62*1/(0.012*(10^inputs!$C$55))))</f>
        <v>5.8908581946744773E-15</v>
      </c>
      <c r="R249" s="3">
        <f>IF((B249&gt;B248), (EXP(-LN(2)/inputs!$C$51)*R248+$R$3), (EXP(-LN(2)/inputs!$C$51)*R248))</f>
        <v>1.3687079829817498E-20</v>
      </c>
      <c r="T249" s="7">
        <f>IF(T248&lt;(inputs!$C$9-1),(1+T248),0)</f>
        <v>0</v>
      </c>
      <c r="U249" s="7">
        <f>IF(inputs!$C$8&gt;U248,IF(T248=(inputs!$C$9-1),(U248+1),U248), U248)</f>
        <v>1</v>
      </c>
      <c r="V249" s="7">
        <f t="shared" si="6"/>
        <v>246</v>
      </c>
      <c r="W249" s="8">
        <f>IF((U249&gt;U248), (EXP(-LN(2)/inputs!$C$51)*W248+$W$3), (EXP(-LN(2)/inputs!$C$51)*W248))</f>
        <v>4.5295314791942968E-13</v>
      </c>
      <c r="X249" s="8">
        <f>IF((U249&gt;U248), (EXP(-LN(2)/inputs!$C$51)*X248+$X$3), (EXP(-LN(2)/inputs!$C$51)*X248))</f>
        <v>1.9183898029528735E-13</v>
      </c>
      <c r="Y249" s="8">
        <f>IF((U249&gt;U248), (EXP(-LN(2)/inputs!$C$51)*Y248+$Y$3), (EXP(-LN(2)/inputs!$C$51)*Y248))</f>
        <v>2.3979872536910963E-13</v>
      </c>
      <c r="Z249" s="8">
        <f>IF((U249&gt;U248), (EXP(-LN(2)/inputs!$C$51)*Z248+$Z$3), (EXP(-LN(2)/inputs!$C$51)*Z248))</f>
        <v>3.7302023946305878E-14</v>
      </c>
      <c r="AA249" s="8">
        <f>IF((U249&gt;U248), (EXP(-LN(2)/inputs!$C$51)*AA248+$AA$3), (EXP(-LN(2)/inputs!$C$51)*AA248))</f>
        <v>3.4637593664426884E-13</v>
      </c>
      <c r="AB249" s="7">
        <f>(((0.621*15^0.564)/0.2))*W249/15+AB248*inputs!$C$53</f>
        <v>4.8740686736768179E-13</v>
      </c>
      <c r="AC249" s="7">
        <f>(((0.621*1000^0.564)/0.2))*W249/1000+AC248*inputs!$C$53</f>
        <v>7.8102949118617325E-14</v>
      </c>
      <c r="AD249" s="7">
        <f>(((0.648*20^0.651)/0.2))*AA249/20+AD248*inputs!$C$54</f>
        <v>5.2173989252614751E-13</v>
      </c>
      <c r="AE249" s="7">
        <f>(((0.013*2^0.773)/0.2))*AA249/2+AE248*inputs!$C$54</f>
        <v>2.544181265530474E-14</v>
      </c>
    </row>
    <row r="250" spans="1:31" x14ac:dyDescent="0.3">
      <c r="A250" s="7">
        <f>IF(A249&lt;(inputs!$C$9-1),(1+A249),0)</f>
        <v>0</v>
      </c>
      <c r="B250" s="7">
        <f>IF(inputs!$C$8&gt;B249,IF(A249=(inputs!$C$9-1),(B249+1),B249), B249)</f>
        <v>1</v>
      </c>
      <c r="C250" s="7">
        <f t="shared" si="7"/>
        <v>247</v>
      </c>
      <c r="D250" s="8">
        <f>IF((B250&gt;B249), (EXP(-LN(2)/inputs!$C$51)*D249+$D$3), (EXP(-LN(2)/inputs!$C$51)*D249))</f>
        <v>1.1221411427645063E-12</v>
      </c>
      <c r="E250" s="8">
        <f>IF((B250&gt;B249), (EXP(-LN(2)/inputs!$C$51)*E249+$E$3), (EXP(-LN(2)/inputs!$C$51)*E249))</f>
        <v>5.1431469043373199E-13</v>
      </c>
      <c r="F250" s="8">
        <f>IF((B250&gt;B249), (EXP(-LN(2)/inputs!$C$51)*F249+$F$3), (EXP(-LN(2)/inputs!$C$51)*F249))</f>
        <v>6.312043928050355E-13</v>
      </c>
      <c r="G250" s="8">
        <f>IF((B250&gt;B249), (EXP(-LN(2)/inputs!$C$51)*G249+$G$3), (EXP(-LN(2)/inputs!$C$51)*G249))</f>
        <v>7.0133821422781647E-14</v>
      </c>
      <c r="H250" s="8">
        <f>IF((B250&gt;B249), (EXP(-LN(2)/inputs!$C$51)*H249+$H$3), (EXP(-LN(2)/inputs!$C$51)*H249))</f>
        <v>4.3950528091609849E-13</v>
      </c>
      <c r="I250" s="7">
        <f>O250*(10^inputs!$C$55)*0.01/1</f>
        <v>6.1631477173217236E-2</v>
      </c>
      <c r="J250" s="7">
        <f>(((0.621*15^0.564)/0.2))*D250/15+J249*inputs!$C$53</f>
        <v>1.2074964080755811E-12</v>
      </c>
      <c r="K250" s="7">
        <f>(((0.621*1000^0.564)/0.2))*D250/1000+K249*inputs!$C$53</f>
        <v>1.9349138642664428E-13</v>
      </c>
      <c r="L250" s="7">
        <f>(((0.648*20^0.651)/0.2))*H250/20+L249*inputs!$C$54</f>
        <v>6.6201896197350534E-13</v>
      </c>
      <c r="M250" s="7">
        <f>(((0.013*2^0.773)/0.2))*H250/2+M249*inputs!$C$54</f>
        <v>3.2282297455230782E-14</v>
      </c>
      <c r="N250" s="7">
        <f>O250*0.015*inputs!$C$56</f>
        <v>9.054871908439413E-3</v>
      </c>
      <c r="O250" s="7">
        <f>IF((B250&gt;B249), (EXP(-LN(2)/inputs!$C$52)*O249+$O$3), (EXP(-LN(2)/inputs!$C$52)*O249))</f>
        <v>9.7679308613154406E-4</v>
      </c>
      <c r="P250" s="3">
        <f>IF((B250&gt;B249), (EXP(-LN(2)/inputs!$C$52)*P249+$P$3), (EXP(-LN(2)/inputs!$C$52)*P249))</f>
        <v>9.4387996630741257E-4</v>
      </c>
      <c r="Q250" s="19">
        <f>IF((F250*0.62*1/(0.012*(10^inputs!$C$55)))&gt;inputs!$C$57, inputs!$C$57, (F250*0.62*1/(0.012*(10^inputs!$C$55))))</f>
        <v>5.1686896502426268E-15</v>
      </c>
      <c r="R250" s="3">
        <f>IF((B250&gt;B249), (EXP(-LN(2)/inputs!$C$51)*R249+$R$3), (EXP(-LN(2)/inputs!$C$51)*R249))</f>
        <v>1.2009161572141962E-20</v>
      </c>
      <c r="T250" s="7">
        <f>IF(T249&lt;(inputs!$C$9-1),(1+T249),0)</f>
        <v>0</v>
      </c>
      <c r="U250" s="7">
        <f>IF(inputs!$C$8&gt;U249,IF(T249=(inputs!$C$9-1),(U249+1),U249), U249)</f>
        <v>1</v>
      </c>
      <c r="V250" s="7">
        <f t="shared" si="6"/>
        <v>247</v>
      </c>
      <c r="W250" s="8">
        <f>IF((U250&gt;U249), (EXP(-LN(2)/inputs!$C$51)*W249+$W$3), (EXP(-LN(2)/inputs!$C$51)*W249))</f>
        <v>3.9742498806243025E-13</v>
      </c>
      <c r="X250" s="8">
        <f>IF((U250&gt;U249), (EXP(-LN(2)/inputs!$C$51)*X249+$X$3), (EXP(-LN(2)/inputs!$C$51)*X249))</f>
        <v>1.6832117141467589E-13</v>
      </c>
      <c r="Y250" s="8">
        <f>IF((U250&gt;U249), (EXP(-LN(2)/inputs!$C$51)*Y249+$Y$3), (EXP(-LN(2)/inputs!$C$51)*Y249))</f>
        <v>2.1040146426834524E-13</v>
      </c>
      <c r="Z250" s="8">
        <f>IF((U250&gt;U249), (EXP(-LN(2)/inputs!$C$51)*Z249+$Z$3), (EXP(-LN(2)/inputs!$C$51)*Z249))</f>
        <v>3.2729116663964759E-14</v>
      </c>
      <c r="AA250" s="8">
        <f>IF((U250&gt;U249), (EXP(-LN(2)/inputs!$C$51)*AA249+$AA$3), (EXP(-LN(2)/inputs!$C$51)*AA249))</f>
        <v>3.0391322616538703E-13</v>
      </c>
      <c r="AB250" s="7">
        <f>(((0.621*15^0.564)/0.2))*W250/15+AB249*inputs!$C$53</f>
        <v>4.2765497786010262E-13</v>
      </c>
      <c r="AC250" s="7">
        <f>(((0.621*1000^0.564)/0.2))*W250/1000+AC249*inputs!$C$53</f>
        <v>6.852819935943666E-14</v>
      </c>
      <c r="AD250" s="7">
        <f>(((0.648*20^0.651)/0.2))*AA250/20+AD249*inputs!$C$54</f>
        <v>4.5777906944976396E-13</v>
      </c>
      <c r="AE250" s="7">
        <f>(((0.013*2^0.773)/0.2))*AA250/2+AE249*inputs!$C$54</f>
        <v>2.2322865261595738E-14</v>
      </c>
    </row>
    <row r="251" spans="1:31" x14ac:dyDescent="0.3">
      <c r="A251" s="7">
        <f>IF(A250&lt;(inputs!$C$9-1),(1+A250),0)</f>
        <v>0</v>
      </c>
      <c r="B251" s="7">
        <f>IF(inputs!$C$8&gt;B250,IF(A250=(inputs!$C$9-1),(B250+1),B250), B250)</f>
        <v>1</v>
      </c>
      <c r="C251" s="7">
        <f t="shared" si="7"/>
        <v>248</v>
      </c>
      <c r="D251" s="8">
        <f>IF((B251&gt;B250), (EXP(-LN(2)/inputs!$C$51)*D250+$D$3), (EXP(-LN(2)/inputs!$C$51)*D250))</f>
        <v>9.8457629076213731E-13</v>
      </c>
      <c r="E251" s="8">
        <f>IF((B251&gt;B250), (EXP(-LN(2)/inputs!$C$51)*E250+$E$3), (EXP(-LN(2)/inputs!$C$51)*E250))</f>
        <v>4.5126413326597951E-13</v>
      </c>
      <c r="F251" s="8">
        <f>IF((B251&gt;B250), (EXP(-LN(2)/inputs!$C$51)*F250+$F$3), (EXP(-LN(2)/inputs!$C$51)*F250))</f>
        <v>5.5382416355370283E-13</v>
      </c>
      <c r="G251" s="8">
        <f>IF((B251&gt;B250), (EXP(-LN(2)/inputs!$C$51)*G250+$G$3), (EXP(-LN(2)/inputs!$C$51)*G250))</f>
        <v>6.1536018172633582E-14</v>
      </c>
      <c r="H251" s="8">
        <f>IF((B251&gt;B250), (EXP(-LN(2)/inputs!$C$51)*H250+$H$3), (EXP(-LN(2)/inputs!$C$51)*H250))</f>
        <v>3.8562571388183727E-13</v>
      </c>
      <c r="I251" s="7">
        <f>O251*(10^inputs!$C$55)*0.01/1</f>
        <v>6.0387736806240037E-2</v>
      </c>
      <c r="J251" s="7">
        <f>(((0.621*15^0.564)/0.2))*D251/15+J250*inputs!$C$53</f>
        <v>1.0594677347296564E-12</v>
      </c>
      <c r="K251" s="7">
        <f>(((0.621*1000^0.564)/0.2))*D251/1000+K250*inputs!$C$53</f>
        <v>1.6977100676750499E-13</v>
      </c>
      <c r="L251" s="7">
        <f>(((0.648*20^0.651)/0.2))*H251/20+L250*inputs!$C$54</f>
        <v>5.8086113159373157E-13</v>
      </c>
      <c r="M251" s="7">
        <f>(((0.013*2^0.773)/0.2))*H251/2+M250*inputs!$C$54</f>
        <v>2.8324765463502312E-14</v>
      </c>
      <c r="N251" s="7">
        <f>O251*0.015*inputs!$C$56</f>
        <v>8.8721420725362127E-3</v>
      </c>
      <c r="O251" s="7">
        <f>IF((B251&gt;B250), (EXP(-LN(2)/inputs!$C$52)*O250+$O$3), (EXP(-LN(2)/inputs!$C$52)*O250))</f>
        <v>9.5708112972343168E-4</v>
      </c>
      <c r="P251" s="3">
        <f>IF((B251&gt;B250), (EXP(-LN(2)/inputs!$C$52)*P250+$P$3), (EXP(-LN(2)/inputs!$C$52)*P250))</f>
        <v>9.2483220582005306E-4</v>
      </c>
      <c r="Q251" s="19">
        <f>IF((F251*0.62*1/(0.012*(10^inputs!$C$55)))&gt;inputs!$C$57, inputs!$C$57, (F251*0.62*1/(0.012*(10^inputs!$C$55))))</f>
        <v>4.53505275762312E-15</v>
      </c>
      <c r="R251" s="3">
        <f>IF((B251&gt;B250), (EXP(-LN(2)/inputs!$C$51)*R250+$R$3), (EXP(-LN(2)/inputs!$C$51)*R250))</f>
        <v>1.0536941660238291E-20</v>
      </c>
      <c r="T251" s="7">
        <f>IF(T250&lt;(inputs!$C$9-1),(1+T250),0)</f>
        <v>0</v>
      </c>
      <c r="U251" s="7">
        <f>IF(inputs!$C$8&gt;U250,IF(T250=(inputs!$C$9-1),(U250+1),U250), U250)</f>
        <v>1</v>
      </c>
      <c r="V251" s="7">
        <f t="shared" si="6"/>
        <v>248</v>
      </c>
      <c r="W251" s="8">
        <f>IF((U251&gt;U250), (EXP(-LN(2)/inputs!$C$51)*W250+$W$3), (EXP(-LN(2)/inputs!$C$51)*W250))</f>
        <v>3.4870410297825775E-13</v>
      </c>
      <c r="X251" s="8">
        <f>IF((U251&gt;U250), (EXP(-LN(2)/inputs!$C$51)*X250+$X$3), (EXP(-LN(2)/inputs!$C$51)*X250))</f>
        <v>1.4768644361432054E-13</v>
      </c>
      <c r="Y251" s="8">
        <f>IF((U251&gt;U250), (EXP(-LN(2)/inputs!$C$51)*Y250+$Y$3), (EXP(-LN(2)/inputs!$C$51)*Y250))</f>
        <v>1.8460805451790101E-13</v>
      </c>
      <c r="Z251" s="8">
        <f>IF((U251&gt;U250), (EXP(-LN(2)/inputs!$C$51)*Z250+$Z$3), (EXP(-LN(2)/inputs!$C$51)*Z250))</f>
        <v>2.8716808480562328E-14</v>
      </c>
      <c r="AA251" s="8">
        <f>IF((U251&gt;U250), (EXP(-LN(2)/inputs!$C$51)*AA250+$AA$3), (EXP(-LN(2)/inputs!$C$51)*AA250))</f>
        <v>2.6665607874807875E-13</v>
      </c>
      <c r="AB251" s="7">
        <f>(((0.621*15^0.564)/0.2))*W251/15+AB250*inputs!$C$53</f>
        <v>3.7522815605008755E-13</v>
      </c>
      <c r="AC251" s="7">
        <f>(((0.621*1000^0.564)/0.2))*W251/1000+AC250*inputs!$C$53</f>
        <v>6.0127231563491478E-14</v>
      </c>
      <c r="AD251" s="7">
        <f>(((0.648*20^0.651)/0.2))*AA251/20+AD250*inputs!$C$54</f>
        <v>4.0165929312332473E-13</v>
      </c>
      <c r="AE251" s="7">
        <f>(((0.013*2^0.773)/0.2))*AA251/2+AE250*inputs!$C$54</f>
        <v>1.958627399071967E-14</v>
      </c>
    </row>
    <row r="252" spans="1:31" x14ac:dyDescent="0.3">
      <c r="A252" s="7">
        <f>IF(A251&lt;(inputs!$C$9-1),(1+A251),0)</f>
        <v>0</v>
      </c>
      <c r="B252" s="7">
        <f>IF(inputs!$C$8&gt;B251,IF(A251=(inputs!$C$9-1),(B251+1),B251), B251)</f>
        <v>1</v>
      </c>
      <c r="C252" s="7">
        <f t="shared" si="7"/>
        <v>249</v>
      </c>
      <c r="D252" s="8">
        <f>IF((B252&gt;B251), (EXP(-LN(2)/inputs!$C$51)*D251+$D$3), (EXP(-LN(2)/inputs!$C$51)*D251))</f>
        <v>8.6387570635075265E-13</v>
      </c>
      <c r="E252" s="8">
        <f>IF((B252&gt;B251), (EXP(-LN(2)/inputs!$C$51)*E251+$E$3), (EXP(-LN(2)/inputs!$C$51)*E251))</f>
        <v>3.9594303207742826E-13</v>
      </c>
      <c r="F252" s="8">
        <f>IF((B252&gt;B251), (EXP(-LN(2)/inputs!$C$51)*F251+$F$3), (EXP(-LN(2)/inputs!$C$51)*F251))</f>
        <v>4.859300848222989E-13</v>
      </c>
      <c r="G252" s="8">
        <f>IF((B252&gt;B251), (EXP(-LN(2)/inputs!$C$51)*G251+$G$3), (EXP(-LN(2)/inputs!$C$51)*G251))</f>
        <v>5.3992231646922041E-14</v>
      </c>
      <c r="H252" s="8">
        <f>IF((B252&gt;B251), (EXP(-LN(2)/inputs!$C$51)*H251+$H$3), (EXP(-LN(2)/inputs!$C$51)*H251))</f>
        <v>3.3835131832071161E-13</v>
      </c>
      <c r="I252" s="7">
        <f>O252*(10^inputs!$C$55)*0.01/1</f>
        <v>5.916909546611402E-2</v>
      </c>
      <c r="J252" s="7">
        <f>(((0.621*15^0.564)/0.2))*D252/15+J251*inputs!$C$53</f>
        <v>9.2958610346684426E-13</v>
      </c>
      <c r="K252" s="7">
        <f>(((0.621*1000^0.564)/0.2))*D252/1000+K251*inputs!$C$53</f>
        <v>1.4895854162365612E-13</v>
      </c>
      <c r="L252" s="7">
        <f>(((0.648*20^0.651)/0.2))*H252/20+L251*inputs!$C$54</f>
        <v>5.0965255313918558E-13</v>
      </c>
      <c r="M252" s="7">
        <f>(((0.013*2^0.773)/0.2))*H252/2+M251*inputs!$C$54</f>
        <v>2.4852392853235913E-14</v>
      </c>
      <c r="N252" s="7">
        <f>O252*0.015*inputs!$C$56</f>
        <v>8.6930997755917967E-3</v>
      </c>
      <c r="O252" s="7">
        <f>IF((B252&gt;B251), (EXP(-LN(2)/inputs!$C$52)*O251+$O$3), (EXP(-LN(2)/inputs!$C$52)*O251))</f>
        <v>9.3776696608325759E-4</v>
      </c>
      <c r="P252" s="3">
        <f>IF((B252&gt;B251), (EXP(-LN(2)/inputs!$C$52)*P251+$P$3), (EXP(-LN(2)/inputs!$C$52)*P251))</f>
        <v>9.0616883444204525E-4</v>
      </c>
      <c r="Q252" s="19">
        <f>IF((F252*0.62*1/(0.012*(10^inputs!$C$55)))&gt;inputs!$C$57, inputs!$C$57, (F252*0.62*1/(0.012*(10^inputs!$C$55))))</f>
        <v>3.9790942978090467E-15</v>
      </c>
      <c r="R252" s="3">
        <f>IF((B252&gt;B251), (EXP(-LN(2)/inputs!$C$51)*R251+$R$3), (EXP(-LN(2)/inputs!$C$51)*R251))</f>
        <v>9.2452032462298202E-21</v>
      </c>
      <c r="T252" s="7">
        <f>IF(T251&lt;(inputs!$C$9-1),(1+T251),0)</f>
        <v>0</v>
      </c>
      <c r="U252" s="7">
        <f>IF(inputs!$C$8&gt;U251,IF(T251=(inputs!$C$9-1),(U251+1),U251), U251)</f>
        <v>1</v>
      </c>
      <c r="V252" s="7">
        <f t="shared" si="6"/>
        <v>249</v>
      </c>
      <c r="W252" s="8">
        <f>IF((U252&gt;U251), (EXP(-LN(2)/inputs!$C$51)*W251+$W$3), (EXP(-LN(2)/inputs!$C$51)*W251))</f>
        <v>3.0595597933255893E-13</v>
      </c>
      <c r="X252" s="8">
        <f>IF((U252&gt;U251), (EXP(-LN(2)/inputs!$C$51)*X251+$X$3), (EXP(-LN(2)/inputs!$C$51)*X251))</f>
        <v>1.2958135595261286E-13</v>
      </c>
      <c r="Y252" s="8">
        <f>IF((U252&gt;U251), (EXP(-LN(2)/inputs!$C$51)*Y251+$Y$3), (EXP(-LN(2)/inputs!$C$51)*Y251))</f>
        <v>1.6197669494076637E-13</v>
      </c>
      <c r="Z252" s="8">
        <f>IF((U252&gt;U251), (EXP(-LN(2)/inputs!$C$51)*Z251+$Z$3), (EXP(-LN(2)/inputs!$C$51)*Z251))</f>
        <v>2.5196374768563611E-14</v>
      </c>
      <c r="AA252" s="8">
        <f>IF((U252&gt;U251), (EXP(-LN(2)/inputs!$C$51)*AA251+$AA$3), (EXP(-LN(2)/inputs!$C$51)*AA251))</f>
        <v>2.339663371366621E-13</v>
      </c>
      <c r="AB252" s="7">
        <f>(((0.621*15^0.564)/0.2))*W252/15+AB251*inputs!$C$53</f>
        <v>3.2922841164450808E-13</v>
      </c>
      <c r="AC252" s="7">
        <f>(((0.621*1000^0.564)/0.2))*W252/1000+AC251*inputs!$C$53</f>
        <v>5.2756150158378335E-14</v>
      </c>
      <c r="AD252" s="7">
        <f>(((0.648*20^0.651)/0.2))*AA252/20+AD251*inputs!$C$54</f>
        <v>3.5241931866007484E-13</v>
      </c>
      <c r="AE252" s="7">
        <f>(((0.013*2^0.773)/0.2))*AA252/2+AE251*inputs!$C$54</f>
        <v>1.7185165270854609E-14</v>
      </c>
    </row>
    <row r="253" spans="1:31" x14ac:dyDescent="0.3">
      <c r="A253" s="7">
        <f>IF(A252&lt;(inputs!$C$9-1),(1+A252),0)</f>
        <v>0</v>
      </c>
      <c r="B253" s="7">
        <f>IF(inputs!$C$8&gt;B252,IF(A252=(inputs!$C$9-1),(B252+1),B252), B252)</f>
        <v>1</v>
      </c>
      <c r="C253" s="7">
        <f t="shared" si="7"/>
        <v>250</v>
      </c>
      <c r="D253" s="8">
        <f>IF((B253&gt;B252), (EXP(-LN(2)/inputs!$C$51)*D252+$D$3), (EXP(-LN(2)/inputs!$C$51)*D252))</f>
        <v>7.5797197538174838E-13</v>
      </c>
      <c r="E253" s="8">
        <f>IF((B253&gt;B252), (EXP(-LN(2)/inputs!$C$51)*E252+$E$3), (EXP(-LN(2)/inputs!$C$51)*E252))</f>
        <v>3.4740382204996798E-13</v>
      </c>
      <c r="F253" s="8">
        <f>IF((B253&gt;B252), (EXP(-LN(2)/inputs!$C$51)*F252+$F$3), (EXP(-LN(2)/inputs!$C$51)*F252))</f>
        <v>4.2635923615223392E-13</v>
      </c>
      <c r="G253" s="8">
        <f>IF((B253&gt;B252), (EXP(-LN(2)/inputs!$C$51)*G252+$G$3), (EXP(-LN(2)/inputs!$C$51)*G252))</f>
        <v>4.7373248461359273E-14</v>
      </c>
      <c r="H253" s="8">
        <f>IF((B253&gt;B252), (EXP(-LN(2)/inputs!$C$51)*H252+$H$3), (EXP(-LN(2)/inputs!$C$51)*H252))</f>
        <v>2.9687235702451825E-13</v>
      </c>
      <c r="I253" s="7">
        <f>O253*(10^inputs!$C$55)*0.01/1</f>
        <v>5.7975046647490001E-2</v>
      </c>
      <c r="J253" s="7">
        <f>(((0.621*15^0.564)/0.2))*D253/15+J252*inputs!$C$53</f>
        <v>8.1562684301959409E-13</v>
      </c>
      <c r="K253" s="7">
        <f>(((0.621*1000^0.564)/0.2))*D253/1000+K252*inputs!$C$53</f>
        <v>1.3069750568795891E-13</v>
      </c>
      <c r="L253" s="7">
        <f>(((0.648*20^0.651)/0.2))*H253/20+L252*inputs!$C$54</f>
        <v>4.4717353390235597E-13</v>
      </c>
      <c r="M253" s="7">
        <f>(((0.013*2^0.773)/0.2))*H253/2+M252*inputs!$C$54</f>
        <v>2.1805703257364275E-14</v>
      </c>
      <c r="N253" s="7">
        <f>O253*0.015*inputs!$C$56</f>
        <v>8.5176706020434079E-3</v>
      </c>
      <c r="O253" s="7">
        <f>IF((B253&gt;B252), (EXP(-LN(2)/inputs!$C$52)*O252+$O$3), (EXP(-LN(2)/inputs!$C$52)*O252))</f>
        <v>9.1884256764222317E-4</v>
      </c>
      <c r="P253" s="3">
        <f>IF((B253&gt;B252), (EXP(-LN(2)/inputs!$C$52)*P252+$P$3), (EXP(-LN(2)/inputs!$C$52)*P252))</f>
        <v>8.8788209509415216E-4</v>
      </c>
      <c r="Q253" s="19">
        <f>IF((F253*0.62*1/(0.012*(10^inputs!$C$55)))&gt;inputs!$C$57, inputs!$C$57, (F253*0.62*1/(0.012*(10^inputs!$C$55))))</f>
        <v>3.4912915630897411E-15</v>
      </c>
      <c r="R253" s="3">
        <f>IF((B253&gt;B252), (EXP(-LN(2)/inputs!$C$51)*R252+$R$3), (EXP(-LN(2)/inputs!$C$51)*R252))</f>
        <v>8.1118208508867668E-21</v>
      </c>
      <c r="T253" s="7">
        <f>IF(T252&lt;(inputs!$C$9-1),(1+T252),0)</f>
        <v>0</v>
      </c>
      <c r="U253" s="7">
        <f>IF(inputs!$C$8&gt;U252,IF(T252=(inputs!$C$9-1),(U252+1),U252), U252)</f>
        <v>1</v>
      </c>
      <c r="V253" s="7">
        <f t="shared" si="6"/>
        <v>250</v>
      </c>
      <c r="W253" s="8">
        <f>IF((U253&gt;U252), (EXP(-LN(2)/inputs!$C$51)*W252+$W$3), (EXP(-LN(2)/inputs!$C$51)*W252))</f>
        <v>2.6844840794770316E-13</v>
      </c>
      <c r="X253" s="8">
        <f>IF((U253&gt;U252), (EXP(-LN(2)/inputs!$C$51)*X252+$X$3), (EXP(-LN(2)/inputs!$C$51)*X252))</f>
        <v>1.1369579630726222E-13</v>
      </c>
      <c r="Y253" s="8">
        <f>IF((U253&gt;U252), (EXP(-LN(2)/inputs!$C$51)*Y252+$Y$3), (EXP(-LN(2)/inputs!$C$51)*Y252))</f>
        <v>1.4211974538407804E-13</v>
      </c>
      <c r="Z253" s="8">
        <f>IF((U253&gt;U252), (EXP(-LN(2)/inputs!$C$51)*Z252+$Z$3), (EXP(-LN(2)/inputs!$C$51)*Z252))</f>
        <v>2.2107515948634322E-14</v>
      </c>
      <c r="AA253" s="8">
        <f>IF((U253&gt;U252), (EXP(-LN(2)/inputs!$C$51)*AA252+$AA$3), (EXP(-LN(2)/inputs!$C$51)*AA252))</f>
        <v>2.0528407666589012E-13</v>
      </c>
      <c r="AB253" s="7">
        <f>(((0.621*15^0.564)/0.2))*W253/15+AB252*inputs!$C$53</f>
        <v>2.888678402361069E-13</v>
      </c>
      <c r="AC253" s="7">
        <f>(((0.621*1000^0.564)/0.2))*W253/1000+AC252*inputs!$C$53</f>
        <v>4.6288699931152219E-14</v>
      </c>
      <c r="AD253" s="7">
        <f>(((0.648*20^0.651)/0.2))*AA253/20+AD252*inputs!$C$54</f>
        <v>3.0921574152822457E-13</v>
      </c>
      <c r="AE253" s="7">
        <f>(((0.013*2^0.773)/0.2))*AA253/2+AE252*inputs!$C$54</f>
        <v>1.5078411826900819E-14</v>
      </c>
    </row>
    <row r="254" spans="1:31" x14ac:dyDescent="0.3">
      <c r="A254" s="7">
        <f>IF(A253&lt;(inputs!$C$9-1),(1+A253),0)</f>
        <v>0</v>
      </c>
      <c r="B254" s="7">
        <f>IF(inputs!$C$8&gt;B253,IF(A253=(inputs!$C$9-1),(B253+1),B253), B253)</f>
        <v>1</v>
      </c>
      <c r="C254" s="7">
        <f t="shared" si="7"/>
        <v>251</v>
      </c>
      <c r="D254" s="8">
        <f>IF((B254&gt;B253), (EXP(-LN(2)/inputs!$C$51)*D253+$D$3), (EXP(-LN(2)/inputs!$C$51)*D253))</f>
        <v>6.6505113089826984E-13</v>
      </c>
      <c r="E254" s="8">
        <f>IF((B254&gt;B253), (EXP(-LN(2)/inputs!$C$51)*E253+$E$3), (EXP(-LN(2)/inputs!$C$51)*E253))</f>
        <v>3.04815101661707E-13</v>
      </c>
      <c r="F254" s="8">
        <f>IF((B254&gt;B253), (EXP(-LN(2)/inputs!$C$51)*F253+$F$3), (EXP(-LN(2)/inputs!$C$51)*F253))</f>
        <v>3.740912611302772E-13</v>
      </c>
      <c r="G254" s="8">
        <f>IF((B254&gt;B253), (EXP(-LN(2)/inputs!$C$51)*G253+$G$3), (EXP(-LN(2)/inputs!$C$51)*G253))</f>
        <v>4.1565695681141865E-14</v>
      </c>
      <c r="H254" s="8">
        <f>IF((B254&gt;B253), (EXP(-LN(2)/inputs!$C$51)*H253+$H$3), (EXP(-LN(2)/inputs!$C$51)*H253))</f>
        <v>2.6047835960182251E-13</v>
      </c>
      <c r="I254" s="7">
        <f>O254*(10^inputs!$C$55)*0.01/1</f>
        <v>5.6805094066437738E-2</v>
      </c>
      <c r="J254" s="7">
        <f>(((0.621*15^0.564)/0.2))*D254/15+J253*inputs!$C$53</f>
        <v>7.1563800768224054E-13</v>
      </c>
      <c r="K254" s="7">
        <f>(((0.621*1000^0.564)/0.2))*D254/1000+K253*inputs!$C$53</f>
        <v>1.1467511568562029E-13</v>
      </c>
      <c r="L254" s="7">
        <f>(((0.648*20^0.651)/0.2))*H254/20+L253*inputs!$C$54</f>
        <v>3.9235390501048164E-13</v>
      </c>
      <c r="M254" s="7">
        <f>(((0.013*2^0.773)/0.2))*H254/2+M253*inputs!$C$54</f>
        <v>1.9132511599836383E-14</v>
      </c>
      <c r="N254" s="7">
        <f>O254*0.015*inputs!$C$56</f>
        <v>8.3457816380550533E-3</v>
      </c>
      <c r="O254" s="7">
        <f>IF((B254&gt;B253), (EXP(-LN(2)/inputs!$C$52)*O253+$O$3), (EXP(-LN(2)/inputs!$C$52)*O253))</f>
        <v>9.0030006883010279E-4</v>
      </c>
      <c r="P254" s="3">
        <f>IF((B254&gt;B253), (EXP(-LN(2)/inputs!$C$52)*P253+$P$3), (EXP(-LN(2)/inputs!$C$52)*P253))</f>
        <v>8.6996438723715519E-4</v>
      </c>
      <c r="Q254" s="19">
        <f>IF((F254*0.62*1/(0.012*(10^inputs!$C$55)))&gt;inputs!$C$57, inputs!$C$57, (F254*0.62*1/(0.012*(10^inputs!$C$55))))</f>
        <v>3.0632892478102703E-15</v>
      </c>
      <c r="R254" s="3">
        <f>IF((B254&gt;B253), (EXP(-LN(2)/inputs!$C$51)*R253+$R$3), (EXP(-LN(2)/inputs!$C$51)*R253))</f>
        <v>7.1173813884205428E-21</v>
      </c>
      <c r="T254" s="7">
        <f>IF(T253&lt;(inputs!$C$9-1),(1+T253),0)</f>
        <v>0</v>
      </c>
      <c r="U254" s="7">
        <f>IF(inputs!$C$8&gt;U253,IF(T253=(inputs!$C$9-1),(U253+1),U253), U253)</f>
        <v>1</v>
      </c>
      <c r="V254" s="7">
        <f t="shared" si="6"/>
        <v>251</v>
      </c>
      <c r="W254" s="8">
        <f>IF((U254&gt;U253), (EXP(-LN(2)/inputs!$C$51)*W253+$W$3), (EXP(-LN(2)/inputs!$C$51)*W253))</f>
        <v>2.3553894219313776E-13</v>
      </c>
      <c r="X254" s="8">
        <f>IF((U254&gt;U253), (EXP(-LN(2)/inputs!$C$51)*X253+$X$3), (EXP(-LN(2)/inputs!$C$51)*X253))</f>
        <v>9.9757669634740449E-14</v>
      </c>
      <c r="Y254" s="8">
        <f>IF((U254&gt;U253), (EXP(-LN(2)/inputs!$C$51)*Y253+$Y$3), (EXP(-LN(2)/inputs!$C$51)*Y253))</f>
        <v>1.2469708704342581E-13</v>
      </c>
      <c r="Z254" s="8">
        <f>IF((U254&gt;U253), (EXP(-LN(2)/inputs!$C$51)*Z253+$Z$3), (EXP(-LN(2)/inputs!$C$51)*Z253))</f>
        <v>1.9397324651199534E-14</v>
      </c>
      <c r="AA254" s="8">
        <f>IF((U254&gt;U253), (EXP(-LN(2)/inputs!$C$51)*AA253+$AA$3), (EXP(-LN(2)/inputs!$C$51)*AA253))</f>
        <v>1.8011801461828137E-13</v>
      </c>
      <c r="AB254" s="7">
        <f>(((0.621*15^0.564)/0.2))*W254/15+AB253*inputs!$C$53</f>
        <v>2.5345512772079411E-13</v>
      </c>
      <c r="AC254" s="7">
        <f>(((0.621*1000^0.564)/0.2))*W254/1000+AC253*inputs!$C$53</f>
        <v>4.061410347199061E-14</v>
      </c>
      <c r="AD254" s="7">
        <f>(((0.648*20^0.651)/0.2))*AA254/20+AD253*inputs!$C$54</f>
        <v>2.7130855133703497E-13</v>
      </c>
      <c r="AE254" s="7">
        <f>(((0.013*2^0.773)/0.2))*AA254/2+AE253*inputs!$C$54</f>
        <v>1.3229928233929404E-14</v>
      </c>
    </row>
    <row r="255" spans="1:31" x14ac:dyDescent="0.3">
      <c r="A255" s="7">
        <f>IF(A254&lt;(inputs!$C$9-1),(1+A254),0)</f>
        <v>0</v>
      </c>
      <c r="B255" s="7">
        <f>IF(inputs!$C$8&gt;B254,IF(A254=(inputs!$C$9-1),(B254+1),B254), B254)</f>
        <v>1</v>
      </c>
      <c r="C255" s="7">
        <f t="shared" si="7"/>
        <v>252</v>
      </c>
      <c r="D255" s="8">
        <f>IF((B255&gt;B254), (EXP(-LN(2)/inputs!$C$51)*D254+$D$3), (EXP(-LN(2)/inputs!$C$51)*D254))</f>
        <v>5.8352158268953057E-13</v>
      </c>
      <c r="E255" s="8">
        <f>IF((B255&gt;B254), (EXP(-LN(2)/inputs!$C$51)*E254+$E$3), (EXP(-LN(2)/inputs!$C$51)*E254))</f>
        <v>2.674473920660348E-13</v>
      </c>
      <c r="F255" s="8">
        <f>IF((B255&gt;B254), (EXP(-LN(2)/inputs!$C$51)*F254+$F$3), (EXP(-LN(2)/inputs!$C$51)*F254))</f>
        <v>3.2823089026286131E-13</v>
      </c>
      <c r="G255" s="8">
        <f>IF((B255&gt;B254), (EXP(-LN(2)/inputs!$C$51)*G254+$G$3), (EXP(-LN(2)/inputs!$C$51)*G254))</f>
        <v>3.6470098918095661E-14</v>
      </c>
      <c r="H255" s="8">
        <f>IF((B255&gt;B254), (EXP(-LN(2)/inputs!$C$51)*H254+$H$3), (EXP(-LN(2)/inputs!$C$51)*H254))</f>
        <v>2.2854595322006625E-13</v>
      </c>
      <c r="I255" s="7">
        <f>O255*(10^inputs!$C$55)*0.01/1</f>
        <v>5.5658751454174864E-2</v>
      </c>
      <c r="J255" s="7">
        <f>(((0.621*15^0.564)/0.2))*D255/15+J254*inputs!$C$53</f>
        <v>6.2790694350296577E-13</v>
      </c>
      <c r="K255" s="7">
        <f>(((0.621*1000^0.564)/0.2))*D255/1000+K254*inputs!$C$53</f>
        <v>1.0061693288093054E-13</v>
      </c>
      <c r="L255" s="7">
        <f>(((0.648*20^0.651)/0.2))*H255/20+L254*inputs!$C$54</f>
        <v>3.4425469108954133E-13</v>
      </c>
      <c r="M255" s="7">
        <f>(((0.013*2^0.773)/0.2))*H255/2+M254*inputs!$C$54</f>
        <v>1.6787030246054986E-14</v>
      </c>
      <c r="N255" s="7">
        <f>O255*0.015*inputs!$C$56</f>
        <v>8.1773614412122466E-3</v>
      </c>
      <c r="O255" s="7">
        <f>IF((B255&gt;B254), (EXP(-LN(2)/inputs!$C$52)*O254+$O$3), (EXP(-LN(2)/inputs!$C$52)*O254))</f>
        <v>8.8213176280606763E-4</v>
      </c>
      <c r="P255" s="3">
        <f>IF((B255&gt;B254), (EXP(-LN(2)/inputs!$C$52)*P254+$P$3), (EXP(-LN(2)/inputs!$C$52)*P254))</f>
        <v>8.5240826371283328E-4</v>
      </c>
      <c r="Q255" s="19">
        <f>IF((F255*0.62*1/(0.012*(10^inputs!$C$55)))&gt;inputs!$C$57, inputs!$C$57, (F255*0.62*1/(0.012*(10^inputs!$C$55))))</f>
        <v>2.6877563349208054E-15</v>
      </c>
      <c r="R255" s="3">
        <f>IF((B255&gt;B254), (EXP(-LN(2)/inputs!$C$51)*R254+$R$3), (EXP(-LN(2)/inputs!$C$51)*R254))</f>
        <v>6.2448516503785228E-21</v>
      </c>
      <c r="T255" s="7">
        <f>IF(T254&lt;(inputs!$C$9-1),(1+T254),0)</f>
        <v>0</v>
      </c>
      <c r="U255" s="7">
        <f>IF(inputs!$C$8&gt;U254,IF(T254=(inputs!$C$9-1),(U254+1),U254), U254)</f>
        <v>1</v>
      </c>
      <c r="V255" s="7">
        <f t="shared" si="6"/>
        <v>252</v>
      </c>
      <c r="W255" s="8">
        <f>IF((U255&gt;U254), (EXP(-LN(2)/inputs!$C$51)*W254+$W$3), (EXP(-LN(2)/inputs!$C$51)*W254))</f>
        <v>2.066638938692092E-13</v>
      </c>
      <c r="X255" s="8">
        <f>IF((U255&gt;U254), (EXP(-LN(2)/inputs!$C$51)*X254+$X$3), (EXP(-LN(2)/inputs!$C$51)*X254))</f>
        <v>8.7528237403429553E-14</v>
      </c>
      <c r="Y255" s="8">
        <f>IF((U255&gt;U254), (EXP(-LN(2)/inputs!$C$51)*Y254+$Y$3), (EXP(-LN(2)/inputs!$C$51)*Y254))</f>
        <v>1.0941029675428716E-13</v>
      </c>
      <c r="Z255" s="8">
        <f>IF((U255&gt;U254), (EXP(-LN(2)/inputs!$C$51)*Z254+$Z$3), (EXP(-LN(2)/inputs!$C$51)*Z254))</f>
        <v>1.7019379495111304E-14</v>
      </c>
      <c r="AA255" s="8">
        <f>IF((U255&gt;U254), (EXP(-LN(2)/inputs!$C$51)*AA254+$AA$3), (EXP(-LN(2)/inputs!$C$51)*AA254))</f>
        <v>1.5803709531174781E-13</v>
      </c>
      <c r="AB255" s="7">
        <f>(((0.621*15^0.564)/0.2))*W255/15+AB254*inputs!$C$53</f>
        <v>2.2238370915730087E-13</v>
      </c>
      <c r="AC255" s="7">
        <f>(((0.621*1000^0.564)/0.2))*W255/1000+AC254*inputs!$C$53</f>
        <v>3.5635163728662974E-14</v>
      </c>
      <c r="AD255" s="7">
        <f>(((0.648*20^0.651)/0.2))*AA255/20+AD254*inputs!$C$54</f>
        <v>2.3804845660446986E-13</v>
      </c>
      <c r="AE255" s="7">
        <f>(((0.013*2^0.773)/0.2))*AA255/2+AE254*inputs!$C$54</f>
        <v>1.1608052829718862E-14</v>
      </c>
    </row>
    <row r="256" spans="1:31" x14ac:dyDescent="0.3">
      <c r="A256" s="7">
        <f>IF(A255&lt;(inputs!$C$9-1),(1+A255),0)</f>
        <v>0</v>
      </c>
      <c r="B256" s="7">
        <f>IF(inputs!$C$8&gt;B255,IF(A255=(inputs!$C$9-1),(B255+1),B255), B255)</f>
        <v>1</v>
      </c>
      <c r="C256" s="7">
        <f t="shared" si="7"/>
        <v>253</v>
      </c>
      <c r="D256" s="8">
        <f>IF((B256&gt;B255), (EXP(-LN(2)/inputs!$C$51)*D255+$D$3), (EXP(-LN(2)/inputs!$C$51)*D255))</f>
        <v>5.1198685581451801E-13</v>
      </c>
      <c r="E256" s="8">
        <f>IF((B256&gt;B255), (EXP(-LN(2)/inputs!$C$51)*E255+$E$3), (EXP(-LN(2)/inputs!$C$51)*E255))</f>
        <v>2.3466064224832075E-13</v>
      </c>
      <c r="F256" s="8">
        <f>IF((B256&gt;B255), (EXP(-LN(2)/inputs!$C$51)*F255+$F$3), (EXP(-LN(2)/inputs!$C$51)*F255))</f>
        <v>2.879926063956667E-13</v>
      </c>
      <c r="G256" s="8">
        <f>IF((B256&gt;B255), (EXP(-LN(2)/inputs!$C$51)*G255+$G$3), (EXP(-LN(2)/inputs!$C$51)*G255))</f>
        <v>3.1999178488407376E-14</v>
      </c>
      <c r="H256" s="8">
        <f>IF((B256&gt;B255), (EXP(-LN(2)/inputs!$C$51)*H255+$H$3), (EXP(-LN(2)/inputs!$C$51)*H255))</f>
        <v>2.0052818519401967E-13</v>
      </c>
      <c r="I256" s="7">
        <f>O256*(10^inputs!$C$55)*0.01/1</f>
        <v>5.453554235495843E-2</v>
      </c>
      <c r="J256" s="7">
        <f>(((0.621*15^0.564)/0.2))*D256/15+J255*inputs!$C$53</f>
        <v>5.5093095317304635E-13</v>
      </c>
      <c r="K256" s="7">
        <f>(((0.621*1000^0.564)/0.2))*D256/1000+K255*inputs!$C$53</f>
        <v>8.8282162366592238E-14</v>
      </c>
      <c r="L256" s="7">
        <f>(((0.648*20^0.651)/0.2))*H256/20+L255*inputs!$C$54</f>
        <v>3.0205202706976883E-13</v>
      </c>
      <c r="M256" s="7">
        <f>(((0.013*2^0.773)/0.2))*H256/2+M255*inputs!$C$54</f>
        <v>1.4729084731581966E-14</v>
      </c>
      <c r="N256" s="7">
        <f>O256*0.015*inputs!$C$56</f>
        <v>8.0123400108283224E-3</v>
      </c>
      <c r="O256" s="7">
        <f>IF((B256&gt;B255), (EXP(-LN(2)/inputs!$C$52)*O255+$O$3), (EXP(-LN(2)/inputs!$C$52)*O255))</f>
        <v>8.6433009825548249E-4</v>
      </c>
      <c r="P256" s="3">
        <f>IF((B256&gt;B255), (EXP(-LN(2)/inputs!$C$52)*P255+$P$3), (EXP(-LN(2)/inputs!$C$52)*P255))</f>
        <v>8.3520642764869132E-4</v>
      </c>
      <c r="Q256" s="19">
        <f>IF((F256*0.62*1/(0.012*(10^inputs!$C$55)))&gt;inputs!$C$57, inputs!$C$57, (F256*0.62*1/(0.012*(10^inputs!$C$55))))</f>
        <v>2.3582605270040606E-15</v>
      </c>
      <c r="R256" s="3">
        <f>IF((B256&gt;B255), (EXP(-LN(2)/inputs!$C$51)*R255+$R$3), (EXP(-LN(2)/inputs!$C$51)*R255))</f>
        <v>5.479286553153176E-21</v>
      </c>
      <c r="T256" s="7">
        <f>IF(T255&lt;(inputs!$C$9-1),(1+T255),0)</f>
        <v>0</v>
      </c>
      <c r="U256" s="7">
        <f>IF(inputs!$C$8&gt;U255,IF(T255=(inputs!$C$9-1),(U255+1),U255), U255)</f>
        <v>1</v>
      </c>
      <c r="V256" s="7">
        <f t="shared" si="6"/>
        <v>253</v>
      </c>
      <c r="W256" s="8">
        <f>IF((U256&gt;U255), (EXP(-LN(2)/inputs!$C$51)*W255+$W$3), (EXP(-LN(2)/inputs!$C$51)*W255))</f>
        <v>1.8132867810097553E-13</v>
      </c>
      <c r="X256" s="8">
        <f>IF((U256&gt;U255), (EXP(-LN(2)/inputs!$C$51)*X255+$X$3), (EXP(-LN(2)/inputs!$C$51)*X255))</f>
        <v>7.6798028372177671E-14</v>
      </c>
      <c r="Y256" s="8">
        <f>IF((U256&gt;U255), (EXP(-LN(2)/inputs!$C$51)*Y255+$Y$3), (EXP(-LN(2)/inputs!$C$51)*Y255))</f>
        <v>9.5997535465222291E-14</v>
      </c>
      <c r="Z256" s="8">
        <f>IF((U256&gt;U255), (EXP(-LN(2)/inputs!$C$51)*Z255+$Z$3), (EXP(-LN(2)/inputs!$C$51)*Z255))</f>
        <v>1.493294996125677E-14</v>
      </c>
      <c r="AA256" s="8">
        <f>IF((U256&gt;U255), (EXP(-LN(2)/inputs!$C$51)*AA255+$AA$3), (EXP(-LN(2)/inputs!$C$51)*AA255))</f>
        <v>1.3866310678309858E-13</v>
      </c>
      <c r="AB256" s="7">
        <f>(((0.621*15^0.564)/0.2))*W256/15+AB255*inputs!$C$53</f>
        <v>1.9512137924878769E-13</v>
      </c>
      <c r="AC256" s="7">
        <f>(((0.621*1000^0.564)/0.2))*W256/1000+AC255*inputs!$C$53</f>
        <v>3.1266599171501487E-14</v>
      </c>
      <c r="AD256" s="7">
        <f>(((0.648*20^0.651)/0.2))*AA256/20+AD255*inputs!$C$54</f>
        <v>2.0886576339930805E-13</v>
      </c>
      <c r="AE256" s="7">
        <f>(((0.013*2^0.773)/0.2))*AA256/2+AE255*inputs!$C$54</f>
        <v>1.0185005399498158E-14</v>
      </c>
    </row>
    <row r="257" spans="1:31" x14ac:dyDescent="0.3">
      <c r="A257" s="7">
        <f>IF(A256&lt;(inputs!$C$9-1),(1+A256),0)</f>
        <v>0</v>
      </c>
      <c r="B257" s="7">
        <f>IF(inputs!$C$8&gt;B256,IF(A256=(inputs!$C$9-1),(B256+1),B256), B256)</f>
        <v>1</v>
      </c>
      <c r="C257" s="7">
        <f t="shared" si="7"/>
        <v>254</v>
      </c>
      <c r="D257" s="8">
        <f>IF((B257&gt;B256), (EXP(-LN(2)/inputs!$C$51)*D256+$D$3), (EXP(-LN(2)/inputs!$C$51)*D256))</f>
        <v>4.4922167114820438E-13</v>
      </c>
      <c r="E257" s="8">
        <f>IF((B257&gt;B256), (EXP(-LN(2)/inputs!$C$51)*E256+$E$3), (EXP(-LN(2)/inputs!$C$51)*E256))</f>
        <v>2.0589326594292701E-13</v>
      </c>
      <c r="F257" s="8">
        <f>IF((B257&gt;B256), (EXP(-LN(2)/inputs!$C$51)*F256+$F$3), (EXP(-LN(2)/inputs!$C$51)*F256))</f>
        <v>2.5268719002086523E-13</v>
      </c>
      <c r="G257" s="8">
        <f>IF((B257&gt;B256), (EXP(-LN(2)/inputs!$C$51)*G256+$G$3), (EXP(-LN(2)/inputs!$C$51)*G256))</f>
        <v>2.8076354446762774E-14</v>
      </c>
      <c r="H257" s="8">
        <f>IF((B257&gt;B256), (EXP(-LN(2)/inputs!$C$51)*H256+$H$3), (EXP(-LN(2)/inputs!$C$51)*H256))</f>
        <v>1.7594515453304682E-13</v>
      </c>
      <c r="I257" s="7">
        <f>O257*(10^inputs!$C$55)*0.01/1</f>
        <v>5.3434999928054991E-2</v>
      </c>
      <c r="J257" s="7">
        <f>(((0.621*15^0.564)/0.2))*D257/15+J256*inputs!$C$53</f>
        <v>4.8339155714835269E-13</v>
      </c>
      <c r="K257" s="7">
        <f>(((0.621*1000^0.564)/0.2))*D257/1000+K256*inputs!$C$53</f>
        <v>7.7459528619744553E-14</v>
      </c>
      <c r="L257" s="7">
        <f>(((0.648*20^0.651)/0.2))*H257/20+L256*inputs!$C$54</f>
        <v>2.6502304665247348E-13</v>
      </c>
      <c r="M257" s="7">
        <f>(((0.013*2^0.773)/0.2))*H257/2+M256*inputs!$C$54</f>
        <v>1.2923425635758537E-14</v>
      </c>
      <c r="N257" s="7">
        <f>O257*0.015*inputs!$C$56</f>
        <v>7.8506487588499551E-3</v>
      </c>
      <c r="O257" s="7">
        <f>IF((B257&gt;B256), (EXP(-LN(2)/inputs!$C$52)*O256+$O$3), (EXP(-LN(2)/inputs!$C$52)*O256))</f>
        <v>8.468876762513436E-4</v>
      </c>
      <c r="P257" s="3">
        <f>IF((B257&gt;B256), (EXP(-LN(2)/inputs!$C$52)*P256+$P$3), (EXP(-LN(2)/inputs!$C$52)*P256))</f>
        <v>8.1835172942515259E-4</v>
      </c>
      <c r="Q257" s="19">
        <f>IF((F257*0.62*1/(0.012*(10^inputs!$C$55)))&gt;inputs!$C$57, inputs!$C$57, (F257*0.62*1/(0.012*(10^inputs!$C$55))))</f>
        <v>2.0691580709786828E-15</v>
      </c>
      <c r="R257" s="3">
        <f>IF((B257&gt;B256), (EXP(-LN(2)/inputs!$C$51)*R256+$R$3), (EXP(-LN(2)/inputs!$C$51)*R256))</f>
        <v>4.8075731518370711E-21</v>
      </c>
      <c r="T257" s="7">
        <f>IF(T256&lt;(inputs!$C$9-1),(1+T256),0)</f>
        <v>0</v>
      </c>
      <c r="U257" s="7">
        <f>IF(inputs!$C$8&gt;U256,IF(T256=(inputs!$C$9-1),(U256+1),U256), U256)</f>
        <v>1</v>
      </c>
      <c r="V257" s="7">
        <f t="shared" si="6"/>
        <v>254</v>
      </c>
      <c r="W257" s="8">
        <f>IF((U257&gt;U256), (EXP(-LN(2)/inputs!$C$51)*W256+$W$3), (EXP(-LN(2)/inputs!$C$51)*W256))</f>
        <v>1.590993418649894E-13</v>
      </c>
      <c r="X257" s="8">
        <f>IF((U257&gt;U256), (EXP(-LN(2)/inputs!$C$51)*X256+$X$3), (EXP(-LN(2)/inputs!$C$51)*X256))</f>
        <v>6.738325067223063E-14</v>
      </c>
      <c r="Y257" s="8">
        <f>IF((U257&gt;U256), (EXP(-LN(2)/inputs!$C$51)*Y256+$Y$3), (EXP(-LN(2)/inputs!$C$51)*Y256))</f>
        <v>8.4229063340288464E-14</v>
      </c>
      <c r="Z257" s="8">
        <f>IF((U257&gt;U256), (EXP(-LN(2)/inputs!$C$51)*Z256+$Z$3), (EXP(-LN(2)/inputs!$C$51)*Z256))</f>
        <v>1.3102298741822624E-14</v>
      </c>
      <c r="AA257" s="8">
        <f>IF((U257&gt;U256), (EXP(-LN(2)/inputs!$C$51)*AA256+$AA$3), (EXP(-LN(2)/inputs!$C$51)*AA256))</f>
        <v>1.2166420260263866E-13</v>
      </c>
      <c r="AB257" s="7">
        <f>(((0.621*15^0.564)/0.2))*W257/15+AB256*inputs!$C$53</f>
        <v>1.7120117649004197E-13</v>
      </c>
      <c r="AC257" s="7">
        <f>(((0.621*1000^0.564)/0.2))*W257/1000+AC256*inputs!$C$53</f>
        <v>2.7433583052826255E-14</v>
      </c>
      <c r="AD257" s="7">
        <f>(((0.648*20^0.651)/0.2))*AA257/20+AD256*inputs!$C$54</f>
        <v>1.8326061736607193E-13</v>
      </c>
      <c r="AE257" s="7">
        <f>(((0.013*2^0.773)/0.2))*AA257/2+AE256*inputs!$C$54</f>
        <v>8.936411343875576E-15</v>
      </c>
    </row>
    <row r="258" spans="1:31" x14ac:dyDescent="0.3">
      <c r="A258" s="7">
        <f>IF(A257&lt;(inputs!$C$9-1),(1+A257),0)</f>
        <v>0</v>
      </c>
      <c r="B258" s="7">
        <f>IF(inputs!$C$8&gt;B257,IF(A257=(inputs!$C$9-1),(B257+1),B257), B257)</f>
        <v>1</v>
      </c>
      <c r="C258" s="7">
        <f t="shared" si="7"/>
        <v>255</v>
      </c>
      <c r="D258" s="8">
        <f>IF((B258&gt;B257), (EXP(-LN(2)/inputs!$C$51)*D257+$D$3), (EXP(-LN(2)/inputs!$C$51)*D257))</f>
        <v>3.9415095824704805E-13</v>
      </c>
      <c r="E258" s="8">
        <f>IF((B258&gt;B257), (EXP(-LN(2)/inputs!$C$51)*E257+$E$3), (EXP(-LN(2)/inputs!$C$51)*E257))</f>
        <v>1.8065252252989701E-13</v>
      </c>
      <c r="F258" s="8">
        <f>IF((B258&gt;B257), (EXP(-LN(2)/inputs!$C$51)*F257+$F$3), (EXP(-LN(2)/inputs!$C$51)*F257))</f>
        <v>2.2170991401396476E-13</v>
      </c>
      <c r="G258" s="8">
        <f>IF((B258&gt;B257), (EXP(-LN(2)/inputs!$C$51)*G257+$G$3), (EXP(-LN(2)/inputs!$C$51)*G257))</f>
        <v>2.4634434890440503E-14</v>
      </c>
      <c r="H258" s="8">
        <f>IF((B258&gt;B257), (EXP(-LN(2)/inputs!$C$51)*H257+$H$3), (EXP(-LN(2)/inputs!$C$51)*H257))</f>
        <v>1.5437579198009389E-13</v>
      </c>
      <c r="I258" s="7">
        <f>O258*(10^inputs!$C$55)*0.01/1</f>
        <v>5.2356666753707093E-2</v>
      </c>
      <c r="J258" s="7">
        <f>(((0.621*15^0.564)/0.2))*D258/15+J257*inputs!$C$53</f>
        <v>4.2413191013595979E-13</v>
      </c>
      <c r="K258" s="7">
        <f>(((0.621*1000^0.564)/0.2))*D258/1000+K257*inputs!$C$53</f>
        <v>6.7963656679342266E-14</v>
      </c>
      <c r="L258" s="7">
        <f>(((0.648*20^0.651)/0.2))*H258/20+L257*inputs!$C$54</f>
        <v>2.3253350072944731E-13</v>
      </c>
      <c r="M258" s="7">
        <f>(((0.013*2^0.773)/0.2))*H258/2+M257*inputs!$C$54</f>
        <v>1.1339124813700684E-14</v>
      </c>
      <c r="N258" s="7">
        <f>O258*0.015*inputs!$C$56</f>
        <v>7.6922204813498285E-3</v>
      </c>
      <c r="O258" s="7">
        <f>IF((B258&gt;B257), (EXP(-LN(2)/inputs!$C$52)*O257+$O$3), (EXP(-LN(2)/inputs!$C$52)*O257))</f>
        <v>8.2979724717905387E-4</v>
      </c>
      <c r="P258" s="3">
        <f>IF((B258&gt;B257), (EXP(-LN(2)/inputs!$C$52)*P257+$P$3), (EXP(-LN(2)/inputs!$C$52)*P257))</f>
        <v>8.0183716370395373E-4</v>
      </c>
      <c r="Q258" s="19">
        <f>IF((F258*0.62*1/(0.012*(10^inputs!$C$55)))&gt;inputs!$C$57, inputs!$C$57, (F258*0.62*1/(0.012*(10^inputs!$C$55))))</f>
        <v>1.8154970893463346E-15</v>
      </c>
      <c r="R258" s="3">
        <f>IF((B258&gt;B257), (EXP(-LN(2)/inputs!$C$51)*R257+$R$3), (EXP(-LN(2)/inputs!$C$51)*R257))</f>
        <v>4.2182060357773921E-21</v>
      </c>
      <c r="T258" s="7">
        <f>IF(T257&lt;(inputs!$C$9-1),(1+T257),0)</f>
        <v>0</v>
      </c>
      <c r="U258" s="7">
        <f>IF(inputs!$C$8&gt;U257,IF(T257=(inputs!$C$9-1),(U257+1),U257), U257)</f>
        <v>1</v>
      </c>
      <c r="V258" s="7">
        <f t="shared" si="6"/>
        <v>255</v>
      </c>
      <c r="W258" s="8">
        <f>IF((U258&gt;U257), (EXP(-LN(2)/inputs!$C$51)*W257+$W$3), (EXP(-LN(2)/inputs!$C$51)*W257))</f>
        <v>1.3959513104582982E-13</v>
      </c>
      <c r="X258" s="8">
        <f>IF((U258&gt;U257), (EXP(-LN(2)/inputs!$C$51)*X257+$X$3), (EXP(-LN(2)/inputs!$C$51)*X257))</f>
        <v>5.9122643737057182E-14</v>
      </c>
      <c r="Y258" s="8">
        <f>IF((U258&gt;U257), (EXP(-LN(2)/inputs!$C$51)*Y257+$Y$3), (EXP(-LN(2)/inputs!$C$51)*Y257))</f>
        <v>7.3903304671321632E-14</v>
      </c>
      <c r="Z258" s="8">
        <f>IF((U258&gt;U257), (EXP(-LN(2)/inputs!$C$51)*Z257+$Z$3), (EXP(-LN(2)/inputs!$C$51)*Z257))</f>
        <v>1.1496069615538898E-14</v>
      </c>
      <c r="AA258" s="8">
        <f>IF((U258&gt;U257), (EXP(-LN(2)/inputs!$C$51)*AA257+$AA$3), (EXP(-LN(2)/inputs!$C$51)*AA257))</f>
        <v>1.0674921785857549E-13</v>
      </c>
      <c r="AB258" s="7">
        <f>(((0.621*15^0.564)/0.2))*W258/15+AB257*inputs!$C$53</f>
        <v>1.5021338483981945E-13</v>
      </c>
      <c r="AC258" s="7">
        <f>(((0.621*1000^0.564)/0.2))*W258/1000+AC257*inputs!$C$53</f>
        <v>2.4070461740600441E-14</v>
      </c>
      <c r="AD258" s="7">
        <f>(((0.648*20^0.651)/0.2))*AA258/20+AD257*inputs!$C$54</f>
        <v>1.6079444199376667E-13</v>
      </c>
      <c r="AE258" s="7">
        <f>(((0.013*2^0.773)/0.2))*AA258/2+AE257*inputs!$C$54</f>
        <v>7.8408841796866374E-15</v>
      </c>
    </row>
    <row r="259" spans="1:31" x14ac:dyDescent="0.3">
      <c r="A259" s="7">
        <f>IF(A258&lt;(inputs!$C$9-1),(1+A258),0)</f>
        <v>0</v>
      </c>
      <c r="B259" s="7">
        <f>IF(inputs!$C$8&gt;B258,IF(A258=(inputs!$C$9-1),(B258+1),B258), B258)</f>
        <v>1</v>
      </c>
      <c r="C259" s="7">
        <f t="shared" si="7"/>
        <v>256</v>
      </c>
      <c r="D259" s="8">
        <f>IF((B259&gt;B258), (EXP(-LN(2)/inputs!$C$51)*D258+$D$3), (EXP(-LN(2)/inputs!$C$51)*D258))</f>
        <v>3.458314410566637E-13</v>
      </c>
      <c r="E259" s="8">
        <f>IF((B259&gt;B258), (EXP(-LN(2)/inputs!$C$51)*E258+$E$3), (EXP(-LN(2)/inputs!$C$51)*E258))</f>
        <v>1.5850607715097085E-13</v>
      </c>
      <c r="F259" s="8">
        <f>IF((B259&gt;B258), (EXP(-LN(2)/inputs!$C$51)*F258+$F$3), (EXP(-LN(2)/inputs!$C$51)*F258))</f>
        <v>1.9453018559437354E-13</v>
      </c>
      <c r="G259" s="8">
        <f>IF((B259&gt;B258), (EXP(-LN(2)/inputs!$C$51)*G258+$G$3), (EXP(-LN(2)/inputs!$C$51)*G258))</f>
        <v>2.1614465066041481E-14</v>
      </c>
      <c r="H259" s="8">
        <f>IF((B259&gt;B258), (EXP(-LN(2)/inputs!$C$51)*H258+$H$3), (EXP(-LN(2)/inputs!$C$51)*H258))</f>
        <v>1.3545064774719336E-13</v>
      </c>
      <c r="I259" s="7">
        <f>O259*(10^inputs!$C$55)*0.01/1</f>
        <v>5.1300094643015298E-2</v>
      </c>
      <c r="J259" s="7">
        <f>(((0.621*15^0.564)/0.2))*D259/15+J258*inputs!$C$53</f>
        <v>3.7213698612524657E-13</v>
      </c>
      <c r="K259" s="7">
        <f>(((0.621*1000^0.564)/0.2))*D259/1000+K258*inputs!$C$53</f>
        <v>5.963189696006102E-14</v>
      </c>
      <c r="L259" s="7">
        <f>(((0.648*20^0.651)/0.2))*H259/20+L258*inputs!$C$54</f>
        <v>2.0402689367765301E-13</v>
      </c>
      <c r="M259" s="7">
        <f>(((0.013*2^0.773)/0.2))*H259/2+M258*inputs!$C$54</f>
        <v>9.9490456450586331E-15</v>
      </c>
      <c r="N259" s="7">
        <f>O259*0.015*inputs!$C$56</f>
        <v>7.5369893305945934E-3</v>
      </c>
      <c r="O259" s="7">
        <f>IF((B259&gt;B258), (EXP(-LN(2)/inputs!$C$52)*O258+$O$3), (EXP(-LN(2)/inputs!$C$52)*O258))</f>
        <v>8.1305170772325713E-4</v>
      </c>
      <c r="P259" s="3">
        <f>IF((B259&gt;B258), (EXP(-LN(2)/inputs!$C$52)*P258+$P$3), (EXP(-LN(2)/inputs!$C$52)*P258))</f>
        <v>7.8565586651650797E-4</v>
      </c>
      <c r="Q259" s="19">
        <f>IF((F259*0.62*1/(0.012*(10^inputs!$C$55)))&gt;inputs!$C$57, inputs!$C$57, (F259*0.62*1/(0.012*(10^inputs!$C$55))))</f>
        <v>1.5929327621963827E-15</v>
      </c>
      <c r="R259" s="3">
        <f>IF((B259&gt;B258), (EXP(-LN(2)/inputs!$C$51)*R258+$R$3), (EXP(-LN(2)/inputs!$C$51)*R258))</f>
        <v>3.7010902587035323E-21</v>
      </c>
      <c r="T259" s="7">
        <f>IF(T258&lt;(inputs!$C$9-1),(1+T258),0)</f>
        <v>0</v>
      </c>
      <c r="U259" s="7">
        <f>IF(inputs!$C$8&gt;U258,IF(T258=(inputs!$C$9-1),(U258+1),U258), U258)</f>
        <v>1</v>
      </c>
      <c r="V259" s="7">
        <f t="shared" si="6"/>
        <v>256</v>
      </c>
      <c r="W259" s="8">
        <f>IF((U259&gt;U258), (EXP(-LN(2)/inputs!$C$51)*W258+$W$3), (EXP(-LN(2)/inputs!$C$51)*W258))</f>
        <v>1.2248196870756865E-13</v>
      </c>
      <c r="X259" s="8">
        <f>IF((U259&gt;U258), (EXP(-LN(2)/inputs!$C$51)*X258+$X$3), (EXP(-LN(2)/inputs!$C$51)*X258))</f>
        <v>5.187471615849953E-14</v>
      </c>
      <c r="Y259" s="8">
        <f>IF((U259&gt;U258), (EXP(-LN(2)/inputs!$C$51)*Y258+$Y$3), (EXP(-LN(2)/inputs!$C$51)*Y258))</f>
        <v>6.4843395198124555E-14</v>
      </c>
      <c r="Z259" s="8">
        <f>IF((U259&gt;U258), (EXP(-LN(2)/inputs!$C$51)*Z258+$Z$3), (EXP(-LN(2)/inputs!$C$51)*Z258))</f>
        <v>1.0086750364152688E-14</v>
      </c>
      <c r="AA259" s="8">
        <f>IF((U259&gt;U258), (EXP(-LN(2)/inputs!$C$51)*AA258+$AA$3), (EXP(-LN(2)/inputs!$C$51)*AA258))</f>
        <v>9.36626819528464E-14</v>
      </c>
      <c r="AB259" s="7">
        <f>(((0.621*15^0.564)/0.2))*W259/15+AB258*inputs!$C$53</f>
        <v>1.3179851591935844E-13</v>
      </c>
      <c r="AC259" s="7">
        <f>(((0.621*1000^0.564)/0.2))*W259/1000+AC258*inputs!$C$53</f>
        <v>2.1119630173354992E-14</v>
      </c>
      <c r="AD259" s="7">
        <f>(((0.648*20^0.651)/0.2))*AA259/20+AD258*inputs!$C$54</f>
        <v>1.4108242647922807E-13</v>
      </c>
      <c r="AE259" s="7">
        <f>(((0.013*2^0.773)/0.2))*AA259/2+AE258*inputs!$C$54</f>
        <v>6.879659222646923E-15</v>
      </c>
    </row>
    <row r="260" spans="1:31" x14ac:dyDescent="0.3">
      <c r="A260" s="7">
        <f>IF(A259&lt;(inputs!$C$9-1),(1+A259),0)</f>
        <v>0</v>
      </c>
      <c r="B260" s="7">
        <f>IF(inputs!$C$8&gt;B259,IF(A259=(inputs!$C$9-1),(B259+1),B259), B259)</f>
        <v>1</v>
      </c>
      <c r="C260" s="7">
        <f t="shared" si="7"/>
        <v>257</v>
      </c>
      <c r="D260" s="8">
        <f>IF((B260&gt;B259), (EXP(-LN(2)/inputs!$C$51)*D259+$D$3), (EXP(-LN(2)/inputs!$C$51)*D259))</f>
        <v>3.0343548105334178E-13</v>
      </c>
      <c r="E260" s="8">
        <f>IF((B260&gt;B259), (EXP(-LN(2)/inputs!$C$51)*E259+$E$3), (EXP(-LN(2)/inputs!$C$51)*E259))</f>
        <v>1.3907459548278166E-13</v>
      </c>
      <c r="F260" s="8">
        <f>IF((B260&gt;B259), (EXP(-LN(2)/inputs!$C$51)*F259+$F$3), (EXP(-LN(2)/inputs!$C$51)*F259))</f>
        <v>1.7068245809250494E-13</v>
      </c>
      <c r="G260" s="8">
        <f>IF((B260&gt;B259), (EXP(-LN(2)/inputs!$C$51)*G259+$G$3), (EXP(-LN(2)/inputs!$C$51)*G259))</f>
        <v>1.8964717565833861E-14</v>
      </c>
      <c r="H260" s="8">
        <f>IF((B260&gt;B259), (EXP(-LN(2)/inputs!$C$51)*H259+$H$3), (EXP(-LN(2)/inputs!$C$51)*H259))</f>
        <v>1.1884556341255892E-13</v>
      </c>
      <c r="I260" s="7">
        <f>O260*(10^inputs!$C$55)*0.01/1</f>
        <v>5.0264844451656993E-2</v>
      </c>
      <c r="J260" s="7">
        <f>(((0.621*15^0.564)/0.2))*D260/15+J259*inputs!$C$53</f>
        <v>3.2651619256374483E-13</v>
      </c>
      <c r="K260" s="7">
        <f>(((0.621*1000^0.564)/0.2))*D260/1000+K259*inputs!$C$53</f>
        <v>5.2321539316706296E-14</v>
      </c>
      <c r="L260" s="7">
        <f>(((0.648*20^0.651)/0.2))*H260/20+L259*inputs!$C$54</f>
        <v>1.7901495145073872E-13</v>
      </c>
      <c r="M260" s="7">
        <f>(((0.013*2^0.773)/0.2))*H260/2+M259*inputs!$C$54</f>
        <v>8.7293782257217685E-15</v>
      </c>
      <c r="N260" s="7">
        <f>O260*0.015*inputs!$C$56</f>
        <v>7.3848907876764864E-3</v>
      </c>
      <c r="O260" s="7">
        <f>IF((B260&gt;B259), (EXP(-LN(2)/inputs!$C$52)*O259+$O$3), (EXP(-LN(2)/inputs!$C$52)*O259))</f>
        <v>7.9664409791547857E-4</v>
      </c>
      <c r="P260" s="3">
        <f>IF((B260&gt;B259), (EXP(-LN(2)/inputs!$C$52)*P259+$P$3), (EXP(-LN(2)/inputs!$C$52)*P259))</f>
        <v>7.6980111241102534E-4</v>
      </c>
      <c r="Q260" s="19">
        <f>IF((F260*0.62*1/(0.012*(10^inputs!$C$55)))&gt;inputs!$C$57, inputs!$C$57, (F260*0.62*1/(0.012*(10^inputs!$C$55))))</f>
        <v>1.3976529071672571E-15</v>
      </c>
      <c r="R260" s="3">
        <f>IF((B260&gt;B259), (EXP(-LN(2)/inputs!$C$51)*R259+$R$3), (EXP(-LN(2)/inputs!$C$51)*R259))</f>
        <v>3.2473684279259492E-21</v>
      </c>
      <c r="T260" s="7">
        <f>IF(T259&lt;(inputs!$C$9-1),(1+T259),0)</f>
        <v>0</v>
      </c>
      <c r="U260" s="7">
        <f>IF(inputs!$C$8&gt;U259,IF(T259=(inputs!$C$9-1),(U259+1),U259), U259)</f>
        <v>1</v>
      </c>
      <c r="V260" s="7">
        <f t="shared" ref="V260:V323" si="8">V259+1</f>
        <v>257</v>
      </c>
      <c r="W260" s="8">
        <f>IF((U260&gt;U259), (EXP(-LN(2)/inputs!$C$51)*W259+$W$3), (EXP(-LN(2)/inputs!$C$51)*W259))</f>
        <v>1.0746673287305877E-13</v>
      </c>
      <c r="X260" s="8">
        <f>IF((U260&gt;U259), (EXP(-LN(2)/inputs!$C$51)*X259+$X$3), (EXP(-LN(2)/inputs!$C$51)*X259))</f>
        <v>4.5515322158001248E-14</v>
      </c>
      <c r="Y260" s="8">
        <f>IF((U260&gt;U259), (EXP(-LN(2)/inputs!$C$51)*Y259+$Y$3), (EXP(-LN(2)/inputs!$C$51)*Y259))</f>
        <v>5.6894152697501682E-14</v>
      </c>
      <c r="Z260" s="8">
        <f>IF((U260&gt;U259), (EXP(-LN(2)/inputs!$C$51)*Z259+$Z$3), (EXP(-LN(2)/inputs!$C$51)*Z259))</f>
        <v>8.8502015307224655E-15</v>
      </c>
      <c r="AA260" s="8">
        <f>IF((U260&gt;U259), (EXP(-LN(2)/inputs!$C$51)*AA259+$AA$3), (EXP(-LN(2)/inputs!$C$51)*AA259))</f>
        <v>8.218044278528005E-14</v>
      </c>
      <c r="AB260" s="7">
        <f>(((0.621*15^0.564)/0.2))*W260/15+AB259*inputs!$C$53</f>
        <v>1.156411515329932E-13</v>
      </c>
      <c r="AC260" s="7">
        <f>(((0.621*1000^0.564)/0.2))*W260/1000+AC259*inputs!$C$53</f>
        <v>1.8530545174666853E-14</v>
      </c>
      <c r="AD260" s="7">
        <f>(((0.648*20^0.651)/0.2))*AA260/20+AD259*inputs!$C$54</f>
        <v>1.2378693451380861E-13</v>
      </c>
      <c r="AE260" s="7">
        <f>(((0.013*2^0.773)/0.2))*AA260/2+AE259*inputs!$C$54</f>
        <v>6.0362721773607942E-15</v>
      </c>
    </row>
    <row r="261" spans="1:31" x14ac:dyDescent="0.3">
      <c r="A261" s="7">
        <f>IF(A260&lt;(inputs!$C$9-1),(1+A260),0)</f>
        <v>0</v>
      </c>
      <c r="B261" s="7">
        <f>IF(inputs!$C$8&gt;B260,IF(A260=(inputs!$C$9-1),(B260+1),B260), B260)</f>
        <v>1</v>
      </c>
      <c r="C261" s="7">
        <f t="shared" ref="C261:C324" si="9">C260+1</f>
        <v>258</v>
      </c>
      <c r="D261" s="8">
        <f>IF((B261&gt;B260), (EXP(-LN(2)/inputs!$C$51)*D260+$D$3), (EXP(-LN(2)/inputs!$C$51)*D260))</f>
        <v>2.6623690107744416E-13</v>
      </c>
      <c r="E261" s="8">
        <f>IF((B261&gt;B260), (EXP(-LN(2)/inputs!$C$51)*E260+$E$3), (EXP(-LN(2)/inputs!$C$51)*E260))</f>
        <v>1.2202524632716192E-13</v>
      </c>
      <c r="F261" s="8">
        <f>IF((B261&gt;B260), (EXP(-LN(2)/inputs!$C$51)*F260+$F$3), (EXP(-LN(2)/inputs!$C$51)*F260))</f>
        <v>1.4975825685606251E-13</v>
      </c>
      <c r="G261" s="8">
        <f>IF((B261&gt;B260), (EXP(-LN(2)/inputs!$C$51)*G260+$G$3), (EXP(-LN(2)/inputs!$C$51)*G260))</f>
        <v>1.663980631734026E-14</v>
      </c>
      <c r="H261" s="8">
        <f>IF((B261&gt;B260), (EXP(-LN(2)/inputs!$C$51)*H260+$H$3), (EXP(-LN(2)/inputs!$C$51)*H260))</f>
        <v>1.0427611958866569E-13</v>
      </c>
      <c r="I261" s="7">
        <f>O261*(10^inputs!$C$55)*0.01/1</f>
        <v>4.9250485897364173E-2</v>
      </c>
      <c r="J261" s="7">
        <f>(((0.621*15^0.564)/0.2))*D261/15+J260*inputs!$C$53</f>
        <v>2.8648811588548424E-13</v>
      </c>
      <c r="K261" s="7">
        <f>(((0.621*1000^0.564)/0.2))*D261/1000+K260*inputs!$C$53</f>
        <v>4.5907368640362659E-14</v>
      </c>
      <c r="L261" s="7">
        <f>(((0.648*20^0.651)/0.2))*H261/20+L260*inputs!$C$54</f>
        <v>1.5706925820054457E-13</v>
      </c>
      <c r="M261" s="7">
        <f>(((0.013*2^0.773)/0.2))*H261/2+M260*inputs!$C$54</f>
        <v>7.6592315410224712E-15</v>
      </c>
      <c r="N261" s="7">
        <f>O261*0.015*inputs!$C$56</f>
        <v>7.2358616356972653E-3</v>
      </c>
      <c r="O261" s="7">
        <f>IF((B261&gt;B260), (EXP(-LN(2)/inputs!$C$52)*O260+$O$3), (EXP(-LN(2)/inputs!$C$52)*O260))</f>
        <v>7.8056759824134472E-4</v>
      </c>
      <c r="P261" s="3">
        <f>IF((B261&gt;B260), (EXP(-LN(2)/inputs!$C$52)*P260+$P$3), (EXP(-LN(2)/inputs!$C$52)*P260))</f>
        <v>7.5426631165720522E-4</v>
      </c>
      <c r="Q261" s="19">
        <f>IF((F261*0.62*1/(0.012*(10^inputs!$C$55)))&gt;inputs!$C$57, inputs!$C$57, (F261*0.62*1/(0.012*(10^inputs!$C$55))))</f>
        <v>1.2263126826644165E-15</v>
      </c>
      <c r="R261" s="3">
        <f>IF((B261&gt;B260), (EXP(-LN(2)/inputs!$C$51)*R260+$R$3), (EXP(-LN(2)/inputs!$C$51)*R260))</f>
        <v>2.849268990911947E-21</v>
      </c>
      <c r="T261" s="7">
        <f>IF(T260&lt;(inputs!$C$9-1),(1+T260),0)</f>
        <v>0</v>
      </c>
      <c r="U261" s="7">
        <f>IF(inputs!$C$8&gt;U260,IF(T260=(inputs!$C$9-1),(U260+1),U260), U260)</f>
        <v>1</v>
      </c>
      <c r="V261" s="7">
        <f t="shared" si="8"/>
        <v>258</v>
      </c>
      <c r="W261" s="8">
        <f>IF((U261&gt;U260), (EXP(-LN(2)/inputs!$C$51)*W260+$W$3), (EXP(-LN(2)/inputs!$C$51)*W260))</f>
        <v>9.4292235798261681E-14</v>
      </c>
      <c r="X261" s="8">
        <f>IF((U261&gt;U260), (EXP(-LN(2)/inputs!$C$51)*X260+$X$3), (EXP(-LN(2)/inputs!$C$51)*X260))</f>
        <v>3.993553516161661E-14</v>
      </c>
      <c r="Y261" s="8">
        <f>IF((U261&gt;U260), (EXP(-LN(2)/inputs!$C$51)*Y260+$Y$3), (EXP(-LN(2)/inputs!$C$51)*Y260))</f>
        <v>4.9919418952020868E-14</v>
      </c>
      <c r="Z261" s="8">
        <f>IF((U261&gt;U260), (EXP(-LN(2)/inputs!$C$51)*Z260+$Z$3), (EXP(-LN(2)/inputs!$C$51)*Z260))</f>
        <v>7.7652429480921188E-15</v>
      </c>
      <c r="AA261" s="8">
        <f>IF((U261&gt;U260), (EXP(-LN(2)/inputs!$C$51)*AA260+$AA$3), (EXP(-LN(2)/inputs!$C$51)*AA260))</f>
        <v>7.210582737514112E-14</v>
      </c>
      <c r="AB261" s="7">
        <f>(((0.621*15^0.564)/0.2))*W261/15+AB260*inputs!$C$53</f>
        <v>1.0146454104277589E-13</v>
      </c>
      <c r="AC261" s="7">
        <f>(((0.621*1000^0.564)/0.2))*W261/1000+AC260*inputs!$C$53</f>
        <v>1.6258859726795145E-14</v>
      </c>
      <c r="AD261" s="7">
        <f>(((0.648*20^0.651)/0.2))*AA261/20+AD260*inputs!$C$54</f>
        <v>1.086117210961212E-13</v>
      </c>
      <c r="AE261" s="7">
        <f>(((0.013*2^0.773)/0.2))*AA261/2+AE260*inputs!$C$54</f>
        <v>5.2962771294304289E-15</v>
      </c>
    </row>
    <row r="262" spans="1:31" x14ac:dyDescent="0.3">
      <c r="A262" s="7">
        <f>IF(A261&lt;(inputs!$C$9-1),(1+A261),0)</f>
        <v>0</v>
      </c>
      <c r="B262" s="7">
        <f>IF(inputs!$C$8&gt;B261,IF(A261=(inputs!$C$9-1),(B261+1),B261), B261)</f>
        <v>1</v>
      </c>
      <c r="C262" s="7">
        <f t="shared" si="9"/>
        <v>259</v>
      </c>
      <c r="D262" s="8">
        <f>IF((B262&gt;B261), (EXP(-LN(2)/inputs!$C$51)*D261+$D$3), (EXP(-LN(2)/inputs!$C$51)*D261))</f>
        <v>2.3359854704288924E-13</v>
      </c>
      <c r="E262" s="8">
        <f>IF((B262&gt;B261), (EXP(-LN(2)/inputs!$C$51)*E261+$E$3), (EXP(-LN(2)/inputs!$C$51)*E261))</f>
        <v>1.0706600072799093E-13</v>
      </c>
      <c r="F262" s="8">
        <f>IF((B262&gt;B261), (EXP(-LN(2)/inputs!$C$51)*F261+$F$3), (EXP(-LN(2)/inputs!$C$51)*F261))</f>
        <v>1.3139918271162535E-13</v>
      </c>
      <c r="G262" s="8">
        <f>IF((B262&gt;B261), (EXP(-LN(2)/inputs!$C$51)*G261+$G$3), (EXP(-LN(2)/inputs!$C$51)*G261))</f>
        <v>1.4599909190180578E-14</v>
      </c>
      <c r="H262" s="8">
        <f>IF((B262&gt;B261), (EXP(-LN(2)/inputs!$C$51)*H261+$H$3), (EXP(-LN(2)/inputs!$C$51)*H261))</f>
        <v>9.1492764258465016E-14</v>
      </c>
      <c r="I262" s="7">
        <f>O262*(10^inputs!$C$55)*0.01/1</f>
        <v>4.8256597381084829E-2</v>
      </c>
      <c r="J262" s="7">
        <f>(((0.621*15^0.564)/0.2))*D262/15+J261*inputs!$C$53</f>
        <v>2.5136713710635132E-13</v>
      </c>
      <c r="K262" s="7">
        <f>(((0.621*1000^0.564)/0.2))*D262/1000+K261*inputs!$C$53</f>
        <v>4.0279520117429555E-14</v>
      </c>
      <c r="L262" s="7">
        <f>(((0.648*20^0.651)/0.2))*H262/20+L261*inputs!$C$54</f>
        <v>1.3781391817687494E-13</v>
      </c>
      <c r="M262" s="7">
        <f>(((0.013*2^0.773)/0.2))*H262/2+M261*inputs!$C$54</f>
        <v>6.7202756349972425E-15</v>
      </c>
      <c r="N262" s="7">
        <f>O262*0.015*inputs!$C$56</f>
        <v>7.0898399334932954E-3</v>
      </c>
      <c r="O262" s="7">
        <f>IF((B262&gt;B261), (EXP(-LN(2)/inputs!$C$52)*O261+$O$3), (EXP(-LN(2)/inputs!$C$52)*O261))</f>
        <v>7.6481552680618067E-4</v>
      </c>
      <c r="P262" s="3">
        <f>IF((B262&gt;B261), (EXP(-LN(2)/inputs!$C$52)*P261+$P$3), (EXP(-LN(2)/inputs!$C$52)*P261))</f>
        <v>7.3904500750733917E-4</v>
      </c>
      <c r="Q262" s="19">
        <f>IF((F262*0.62*1/(0.012*(10^inputs!$C$55)))&gt;inputs!$C$57, inputs!$C$57, (F262*0.62*1/(0.012*(10^inputs!$C$55))))</f>
        <v>1.0759772959021457E-15</v>
      </c>
      <c r="R262" s="3">
        <f>IF((B262&gt;B261), (EXP(-LN(2)/inputs!$C$51)*R261+$R$3), (EXP(-LN(2)/inputs!$C$51)*R261))</f>
        <v>2.4999731206223052E-21</v>
      </c>
      <c r="T262" s="7">
        <f>IF(T261&lt;(inputs!$C$9-1),(1+T261),0)</f>
        <v>0</v>
      </c>
      <c r="U262" s="7">
        <f>IF(inputs!$C$8&gt;U261,IF(T261=(inputs!$C$9-1),(U261+1),U261), U261)</f>
        <v>1</v>
      </c>
      <c r="V262" s="7">
        <f t="shared" si="8"/>
        <v>259</v>
      </c>
      <c r="W262" s="8">
        <f>IF((U262&gt;U261), (EXP(-LN(2)/inputs!$C$51)*W261+$W$3), (EXP(-LN(2)/inputs!$C$51)*W261))</f>
        <v>8.2732818744356795E-14</v>
      </c>
      <c r="X262" s="8">
        <f>IF((U262&gt;U261), (EXP(-LN(2)/inputs!$C$51)*X261+$X$3), (EXP(-LN(2)/inputs!$C$51)*X261))</f>
        <v>3.5039782056433376E-14</v>
      </c>
      <c r="Y262" s="8">
        <f>IF((U262&gt;U261), (EXP(-LN(2)/inputs!$C$51)*Y261+$Y$3), (EXP(-LN(2)/inputs!$C$51)*Y261))</f>
        <v>4.3799727570541812E-14</v>
      </c>
      <c r="Z262" s="8">
        <f>IF((U262&gt;U261), (EXP(-LN(2)/inputs!$C$51)*Z261+$Z$3), (EXP(-LN(2)/inputs!$C$51)*Z261))</f>
        <v>6.8132909554176014E-15</v>
      </c>
      <c r="AA262" s="8">
        <f>IF((U262&gt;U261), (EXP(-LN(2)/inputs!$C$51)*AA261+$AA$3), (EXP(-LN(2)/inputs!$C$51)*AA261))</f>
        <v>6.3266273157449165E-14</v>
      </c>
      <c r="AB262" s="7">
        <f>(((0.621*15^0.564)/0.2))*W262/15+AB261*inputs!$C$53</f>
        <v>8.9025861058499635E-14</v>
      </c>
      <c r="AC262" s="7">
        <f>(((0.621*1000^0.564)/0.2))*W262/1000+AC261*inputs!$C$53</f>
        <v>1.4265663374922999E-14</v>
      </c>
      <c r="AD262" s="7">
        <f>(((0.648*20^0.651)/0.2))*AA262/20+AD261*inputs!$C$54</f>
        <v>9.5296858313796429E-14</v>
      </c>
      <c r="AE262" s="7">
        <f>(((0.013*2^0.773)/0.2))*AA262/2+AE261*inputs!$C$54</f>
        <v>4.6469991093066001E-15</v>
      </c>
    </row>
    <row r="263" spans="1:31" x14ac:dyDescent="0.3">
      <c r="A263" s="7">
        <f>IF(A262&lt;(inputs!$C$9-1),(1+A262),0)</f>
        <v>0</v>
      </c>
      <c r="B263" s="7">
        <f>IF(inputs!$C$8&gt;B262,IF(A262=(inputs!$C$9-1),(B262+1),B262), B262)</f>
        <v>1</v>
      </c>
      <c r="C263" s="7">
        <f t="shared" si="9"/>
        <v>260</v>
      </c>
      <c r="D263" s="8">
        <f>IF((B263&gt;B262), (EXP(-LN(2)/inputs!$C$51)*D262+$D$3), (EXP(-LN(2)/inputs!$C$51)*D262))</f>
        <v>2.0496137447406616E-13</v>
      </c>
      <c r="E263" s="8">
        <f>IF((B263&gt;B262), (EXP(-LN(2)/inputs!$C$51)*E262+$E$3), (EXP(-LN(2)/inputs!$C$51)*E262))</f>
        <v>9.3940629967280349E-14</v>
      </c>
      <c r="F263" s="8">
        <f>IF((B263&gt;B262), (EXP(-LN(2)/inputs!$C$51)*F262+$F$3), (EXP(-LN(2)/inputs!$C$51)*F262))</f>
        <v>1.1529077314166234E-13</v>
      </c>
      <c r="G263" s="8">
        <f>IF((B263&gt;B262), (EXP(-LN(2)/inputs!$C$51)*G262+$G$3), (EXP(-LN(2)/inputs!$C$51)*G262))</f>
        <v>1.2810085904629135E-14</v>
      </c>
      <c r="H263" s="8">
        <f>IF((B263&gt;B262), (EXP(-LN(2)/inputs!$C$51)*H262+$H$3), (EXP(-LN(2)/inputs!$C$51)*H262))</f>
        <v>8.0276538335675971E-14</v>
      </c>
      <c r="I263" s="7">
        <f>O263*(10^inputs!$C$55)*0.01/1</f>
        <v>4.728276581175319E-2</v>
      </c>
      <c r="J263" s="7">
        <f>(((0.621*15^0.564)/0.2))*D263/15+J262*inputs!$C$53</f>
        <v>2.2055168823233092E-13</v>
      </c>
      <c r="K263" s="7">
        <f>(((0.621*1000^0.564)/0.2))*D263/1000+K262*inputs!$C$53</f>
        <v>3.5341597415451337E-14</v>
      </c>
      <c r="L263" s="7">
        <f>(((0.648*20^0.651)/0.2))*H263/20+L262*inputs!$C$54</f>
        <v>1.2091911721523958E-13</v>
      </c>
      <c r="M263" s="7">
        <f>(((0.013*2^0.773)/0.2))*H263/2+M262*inputs!$C$54</f>
        <v>5.896427646618535E-15</v>
      </c>
      <c r="N263" s="7">
        <f>O263*0.015*inputs!$C$56</f>
        <v>6.946764989890864E-3</v>
      </c>
      <c r="O263" s="7">
        <f>IF((B263&gt;B262), (EXP(-LN(2)/inputs!$C$52)*O262+$O$3), (EXP(-LN(2)/inputs!$C$52)*O262))</f>
        <v>7.4938133655780628E-4</v>
      </c>
      <c r="P263" s="3">
        <f>IF((B263&gt;B262), (EXP(-LN(2)/inputs!$C$52)*P262+$P$3), (EXP(-LN(2)/inputs!$C$52)*P262))</f>
        <v>7.2413087351268484E-4</v>
      </c>
      <c r="Q263" s="19">
        <f>IF((F263*0.62*1/(0.012*(10^inputs!$C$55)))&gt;inputs!$C$57, inputs!$C$57, (F263*0.62*1/(0.012*(10^inputs!$C$55))))</f>
        <v>9.4407173444662833E-16</v>
      </c>
      <c r="R263" s="3">
        <f>IF((B263&gt;B262), (EXP(-LN(2)/inputs!$C$51)*R262+$R$3), (EXP(-LN(2)/inputs!$C$51)*R262))</f>
        <v>2.1934979195606497E-21</v>
      </c>
      <c r="T263" s="7">
        <f>IF(T262&lt;(inputs!$C$9-1),(1+T262),0)</f>
        <v>0</v>
      </c>
      <c r="U263" s="7">
        <f>IF(inputs!$C$8&gt;U262,IF(T262=(inputs!$C$9-1),(U262+1),U262), U262)</f>
        <v>1</v>
      </c>
      <c r="V263" s="7">
        <f t="shared" si="8"/>
        <v>260</v>
      </c>
      <c r="W263" s="8">
        <f>IF((U263&gt;U262), (EXP(-LN(2)/inputs!$C$51)*W262+$W$3), (EXP(-LN(2)/inputs!$C$51)*W262))</f>
        <v>7.2590486792898596E-14</v>
      </c>
      <c r="X263" s="8">
        <f>IF((U263&gt;U262), (EXP(-LN(2)/inputs!$C$51)*X262+$X$3), (EXP(-LN(2)/inputs!$C$51)*X262))</f>
        <v>3.0744206171109916E-14</v>
      </c>
      <c r="Y263" s="8">
        <f>IF((U263&gt;U262), (EXP(-LN(2)/inputs!$C$51)*Y262+$Y$3), (EXP(-LN(2)/inputs!$C$51)*Y262))</f>
        <v>3.8430257713887474E-14</v>
      </c>
      <c r="Z263" s="8">
        <f>IF((U263&gt;U262), (EXP(-LN(2)/inputs!$C$51)*Z262+$Z$3), (EXP(-LN(2)/inputs!$C$51)*Z262))</f>
        <v>5.9780400888269287E-15</v>
      </c>
      <c r="AA263" s="8">
        <f>IF((U263&gt;U262), (EXP(-LN(2)/inputs!$C$51)*AA262+$AA$3), (EXP(-LN(2)/inputs!$C$51)*AA262))</f>
        <v>5.5510372253392918E-14</v>
      </c>
      <c r="AB263" s="7">
        <f>(((0.621*15^0.564)/0.2))*W263/15+AB262*inputs!$C$53</f>
        <v>7.8112056248950722E-14</v>
      </c>
      <c r="AC263" s="7">
        <f>(((0.621*1000^0.564)/0.2))*W263/1000+AC262*inputs!$C$53</f>
        <v>1.2516815751305707E-14</v>
      </c>
      <c r="AD263" s="7">
        <f>(((0.648*20^0.651)/0.2))*AA263/20+AD262*inputs!$C$54</f>
        <v>8.3614283180750704E-14</v>
      </c>
      <c r="AE263" s="7">
        <f>(((0.013*2^0.773)/0.2))*AA263/2+AE262*inputs!$C$54</f>
        <v>4.0773169896830265E-15</v>
      </c>
    </row>
    <row r="264" spans="1:31" x14ac:dyDescent="0.3">
      <c r="A264" s="7">
        <f>IF(A263&lt;(inputs!$C$9-1),(1+A263),0)</f>
        <v>0</v>
      </c>
      <c r="B264" s="7">
        <f>IF(inputs!$C$8&gt;B263,IF(A263=(inputs!$C$9-1),(B263+1),B263), B263)</f>
        <v>1</v>
      </c>
      <c r="C264" s="7">
        <f t="shared" si="9"/>
        <v>261</v>
      </c>
      <c r="D264" s="8">
        <f>IF((B264&gt;B263), (EXP(-LN(2)/inputs!$C$51)*D263+$D$3), (EXP(-LN(2)/inputs!$C$51)*D263))</f>
        <v>1.798348729394511E-13</v>
      </c>
      <c r="E264" s="8">
        <f>IF((B264&gt;B263), (EXP(-LN(2)/inputs!$C$51)*E263+$E$3), (EXP(-LN(2)/inputs!$C$51)*E263))</f>
        <v>8.2424316763915113E-14</v>
      </c>
      <c r="F264" s="8">
        <f>IF((B264&gt;B263), (EXP(-LN(2)/inputs!$C$51)*F263+$F$3), (EXP(-LN(2)/inputs!$C$51)*F263))</f>
        <v>1.0115711602844136E-13</v>
      </c>
      <c r="G264" s="8">
        <f>IF((B264&gt;B263), (EXP(-LN(2)/inputs!$C$51)*G263+$G$3), (EXP(-LN(2)/inputs!$C$51)*G263))</f>
        <v>1.1239679558715694E-14</v>
      </c>
      <c r="H264" s="8">
        <f>IF((B264&gt;B263), (EXP(-LN(2)/inputs!$C$51)*H263+$H$3), (EXP(-LN(2)/inputs!$C$51)*H263))</f>
        <v>7.0435325234618407E-14</v>
      </c>
      <c r="I264" s="7">
        <f>O264*(10^inputs!$C$55)*0.01/1</f>
        <v>4.6328586434596176E-2</v>
      </c>
      <c r="J264" s="7">
        <f>(((0.621*15^0.564)/0.2))*D264/15+J263*inputs!$C$53</f>
        <v>1.9351394833108532E-13</v>
      </c>
      <c r="K264" s="7">
        <f>(((0.621*1000^0.564)/0.2))*D264/1000+K263*inputs!$C$53</f>
        <v>3.1009021563178028E-14</v>
      </c>
      <c r="L264" s="7">
        <f>(((0.648*20^0.651)/0.2))*H264/20+L263*inputs!$C$54</f>
        <v>1.0609547353081723E-13</v>
      </c>
      <c r="M264" s="7">
        <f>(((0.013*2^0.773)/0.2))*H264/2+M263*inputs!$C$54</f>
        <v>5.1735763352840016E-15</v>
      </c>
      <c r="N264" s="7">
        <f>O264*0.015*inputs!$C$56</f>
        <v>6.8065773384810438E-3</v>
      </c>
      <c r="O264" s="7">
        <f>IF((B264&gt;B263), (EXP(-LN(2)/inputs!$C$52)*O263+$O$3), (EXP(-LN(2)/inputs!$C$52)*O263))</f>
        <v>7.3425861256537701E-4</v>
      </c>
      <c r="P264" s="3">
        <f>IF((B264&gt;B263), (EXP(-LN(2)/inputs!$C$52)*P263+$P$3), (EXP(-LN(2)/inputs!$C$52)*P263))</f>
        <v>7.0951771089399678E-4</v>
      </c>
      <c r="Q264" s="19">
        <f>IF((F264*0.62*1/(0.012*(10^inputs!$C$55)))&gt;inputs!$C$57, inputs!$C$57, (F264*0.62*1/(0.012*(10^inputs!$C$55))))</f>
        <v>8.2833666023945683E-16</v>
      </c>
      <c r="R264" s="3">
        <f>IF((B264&gt;B263), (EXP(-LN(2)/inputs!$C$51)*R263+$R$3), (EXP(-LN(2)/inputs!$C$51)*R263))</f>
        <v>1.9245939420017498E-21</v>
      </c>
      <c r="T264" s="7">
        <f>IF(T263&lt;(inputs!$C$9-1),(1+T263),0)</f>
        <v>0</v>
      </c>
      <c r="U264" s="7">
        <f>IF(inputs!$C$8&gt;U263,IF(T263=(inputs!$C$9-1),(U263+1),U263), U263)</f>
        <v>1</v>
      </c>
      <c r="V264" s="7">
        <f t="shared" si="8"/>
        <v>261</v>
      </c>
      <c r="W264" s="8">
        <f>IF((U264&gt;U263), (EXP(-LN(2)/inputs!$C$51)*W263+$W$3), (EXP(-LN(2)/inputs!$C$51)*W263))</f>
        <v>6.369151749938908E-14</v>
      </c>
      <c r="X264" s="8">
        <f>IF((U264&gt;U263), (EXP(-LN(2)/inputs!$C$51)*X263+$X$3), (EXP(-LN(2)/inputs!$C$51)*X263))</f>
        <v>2.6975230940917659E-14</v>
      </c>
      <c r="Y264" s="8">
        <f>IF((U264&gt;U263), (EXP(-LN(2)/inputs!$C$51)*Y263+$Y$3), (EXP(-LN(2)/inputs!$C$51)*Y263))</f>
        <v>3.3719038676147143E-14</v>
      </c>
      <c r="Z264" s="8">
        <f>IF((U264&gt;U263), (EXP(-LN(2)/inputs!$C$51)*Z263+$Z$3), (EXP(-LN(2)/inputs!$C$51)*Z263))</f>
        <v>5.2451837940673233E-15</v>
      </c>
      <c r="AA264" s="8">
        <f>IF((U264&gt;U263), (EXP(-LN(2)/inputs!$C$51)*AA263+$AA$3), (EXP(-LN(2)/inputs!$C$51)*AA263))</f>
        <v>4.8705278087768008E-14</v>
      </c>
      <c r="AB264" s="7">
        <f>(((0.621*15^0.564)/0.2))*W264/15+AB263*inputs!$C$53</f>
        <v>6.8536190033926215E-14</v>
      </c>
      <c r="AC264" s="7">
        <f>(((0.621*1000^0.564)/0.2))*W264/1000+AC263*inputs!$C$53</f>
        <v>1.0982361803625576E-14</v>
      </c>
      <c r="AD264" s="7">
        <f>(((0.648*20^0.651)/0.2))*AA264/20+AD263*inputs!$C$54</f>
        <v>7.3363891271309728E-14</v>
      </c>
      <c r="AE264" s="7">
        <f>(((0.013*2^0.773)/0.2))*AA264/2+AE263*inputs!$C$54</f>
        <v>3.577472997802764E-15</v>
      </c>
    </row>
    <row r="265" spans="1:31" x14ac:dyDescent="0.3">
      <c r="A265" s="7">
        <f>IF(A264&lt;(inputs!$C$9-1),(1+A264),0)</f>
        <v>0</v>
      </c>
      <c r="B265" s="7">
        <f>IF(inputs!$C$8&gt;B264,IF(A264=(inputs!$C$9-1),(B264+1),B264), B264)</f>
        <v>1</v>
      </c>
      <c r="C265" s="7">
        <f t="shared" si="9"/>
        <v>262</v>
      </c>
      <c r="D265" s="8">
        <f>IF((B265&gt;B264), (EXP(-LN(2)/inputs!$C$51)*D264+$D$3), (EXP(-LN(2)/inputs!$C$51)*D264))</f>
        <v>1.577886643672981E-13</v>
      </c>
      <c r="E265" s="8">
        <f>IF((B265&gt;B264), (EXP(-LN(2)/inputs!$C$51)*E264+$E$3), (EXP(-LN(2)/inputs!$C$51)*E264))</f>
        <v>7.2319804501678313E-14</v>
      </c>
      <c r="F265" s="8">
        <f>IF((B265&gt;B264), (EXP(-LN(2)/inputs!$C$51)*F264+$F$3), (EXP(-LN(2)/inputs!$C$51)*F264))</f>
        <v>8.8756123706605283E-14</v>
      </c>
      <c r="G265" s="8">
        <f>IF((B265&gt;B264), (EXP(-LN(2)/inputs!$C$51)*G264+$G$3), (EXP(-LN(2)/inputs!$C$51)*G264))</f>
        <v>9.861791522956131E-15</v>
      </c>
      <c r="H265" s="8">
        <f>IF((B265&gt;B264), (EXP(-LN(2)/inputs!$C$51)*H264+$H$3), (EXP(-LN(2)/inputs!$C$51)*H264))</f>
        <v>6.1800560210525139E-14</v>
      </c>
      <c r="I265" s="7">
        <f>O265*(10^inputs!$C$55)*0.01/1</f>
        <v>4.5393662662904725E-2</v>
      </c>
      <c r="J265" s="7">
        <f>(((0.621*15^0.564)/0.2))*D265/15+J264*inputs!$C$53</f>
        <v>1.6979080277652786E-13</v>
      </c>
      <c r="K265" s="7">
        <f>(((0.621*1000^0.564)/0.2))*D265/1000+K264*inputs!$C$53</f>
        <v>2.7207582243728647E-14</v>
      </c>
      <c r="L265" s="7">
        <f>(((0.648*20^0.651)/0.2))*H265/20+L264*inputs!$C$54</f>
        <v>9.3089081056487419E-14</v>
      </c>
      <c r="M265" s="7">
        <f>(((0.013*2^0.773)/0.2))*H265/2+M264*inputs!$C$54</f>
        <v>4.5393403771112593E-15</v>
      </c>
      <c r="N265" s="7">
        <f>O265*0.015*inputs!$C$56</f>
        <v>6.669218712903594E-3</v>
      </c>
      <c r="O265" s="7">
        <f>IF((B265&gt;B264), (EXP(-LN(2)/inputs!$C$52)*O264+$O$3), (EXP(-LN(2)/inputs!$C$52)*O264))</f>
        <v>7.194410693531386E-4</v>
      </c>
      <c r="P265" s="3">
        <f>IF((B265&gt;B264), (EXP(-LN(2)/inputs!$C$52)*P264+$P$3), (EXP(-LN(2)/inputs!$C$52)*P264))</f>
        <v>6.9519944596512049E-4</v>
      </c>
      <c r="Q265" s="19">
        <f>IF((F265*0.62*1/(0.012*(10^inputs!$C$55)))&gt;inputs!$C$57, inputs!$C$57, (F265*0.62*1/(0.012*(10^inputs!$C$55))))</f>
        <v>7.267897106344809E-16</v>
      </c>
      <c r="R265" s="3">
        <f>IF((B265&gt;B264), (EXP(-LN(2)/inputs!$C$51)*R264+$R$3), (EXP(-LN(2)/inputs!$C$51)*R264))</f>
        <v>1.6886552791131644E-21</v>
      </c>
      <c r="T265" s="7">
        <f>IF(T264&lt;(inputs!$C$9-1),(1+T264),0)</f>
        <v>0</v>
      </c>
      <c r="U265" s="7">
        <f>IF(inputs!$C$8&gt;U264,IF(T264=(inputs!$C$9-1),(U264+1),U264), U264)</f>
        <v>1</v>
      </c>
      <c r="V265" s="7">
        <f t="shared" si="8"/>
        <v>262</v>
      </c>
      <c r="W265" s="8">
        <f>IF((U265&gt;U264), (EXP(-LN(2)/inputs!$C$51)*W264+$W$3), (EXP(-LN(2)/inputs!$C$51)*W264))</f>
        <v>5.5883485296751538E-14</v>
      </c>
      <c r="X265" s="8">
        <f>IF((U265&gt;U264), (EXP(-LN(2)/inputs!$C$51)*X264+$X$3), (EXP(-LN(2)/inputs!$C$51)*X264))</f>
        <v>2.366829965509471E-14</v>
      </c>
      <c r="Y265" s="8">
        <f>IF((U265&gt;U264), (EXP(-LN(2)/inputs!$C$51)*Y264+$Y$3), (EXP(-LN(2)/inputs!$C$51)*Y264))</f>
        <v>2.9585374568868447E-14</v>
      </c>
      <c r="Z265" s="8">
        <f>IF((U265&gt;U264), (EXP(-LN(2)/inputs!$C$51)*Z264+$Z$3), (EXP(-LN(2)/inputs!$C$51)*Z264))</f>
        <v>4.6021693773795276E-15</v>
      </c>
      <c r="AA265" s="8">
        <f>IF((U265&gt;U264), (EXP(-LN(2)/inputs!$C$51)*AA264+$AA$3), (EXP(-LN(2)/inputs!$C$51)*AA264))</f>
        <v>4.2734429932809904E-14</v>
      </c>
      <c r="AB265" s="7">
        <f>(((0.621*15^0.564)/0.2))*W265/15+AB264*inputs!$C$53</f>
        <v>6.0134242650020425E-14</v>
      </c>
      <c r="AC265" s="7">
        <f>(((0.621*1000^0.564)/0.2))*W265/1000+AC264*inputs!$C$53</f>
        <v>9.6360187113205841E-15</v>
      </c>
      <c r="AD265" s="7">
        <f>(((0.648*20^0.651)/0.2))*AA265/20+AD264*inputs!$C$54</f>
        <v>6.4370109241188056E-14</v>
      </c>
      <c r="AE265" s="7">
        <f>(((0.013*2^0.773)/0.2))*AA265/2+AE264*inputs!$C$54</f>
        <v>3.1389055799173577E-15</v>
      </c>
    </row>
    <row r="266" spans="1:31" x14ac:dyDescent="0.3">
      <c r="A266" s="7">
        <f>IF(A265&lt;(inputs!$C$9-1),(1+A265),0)</f>
        <v>0</v>
      </c>
      <c r="B266" s="7">
        <f>IF(inputs!$C$8&gt;B265,IF(A265=(inputs!$C$9-1),(B265+1),B265), B265)</f>
        <v>1</v>
      </c>
      <c r="C266" s="7">
        <f t="shared" si="9"/>
        <v>263</v>
      </c>
      <c r="D266" s="8">
        <f>IF((B266&gt;B265), (EXP(-LN(2)/inputs!$C$51)*D265+$D$3), (EXP(-LN(2)/inputs!$C$51)*D265))</f>
        <v>1.3844513133555887E-13</v>
      </c>
      <c r="E266" s="8">
        <f>IF((B266&gt;B265), (EXP(-LN(2)/inputs!$C$51)*E265+$E$3), (EXP(-LN(2)/inputs!$C$51)*E265))</f>
        <v>6.3454018528797831E-14</v>
      </c>
      <c r="F266" s="8">
        <f>IF((B266&gt;B265), (EXP(-LN(2)/inputs!$C$51)*F265+$F$3), (EXP(-LN(2)/inputs!$C$51)*F265))</f>
        <v>7.7875386376251944E-14</v>
      </c>
      <c r="G266" s="8">
        <f>IF((B266&gt;B265), (EXP(-LN(2)/inputs!$C$51)*G265+$G$3), (EXP(-LN(2)/inputs!$C$51)*G265))</f>
        <v>8.6528207084724292E-15</v>
      </c>
      <c r="H266" s="8">
        <f>IF((B266&gt;B265), (EXP(-LN(2)/inputs!$C$51)*H265+$H$3), (EXP(-LN(2)/inputs!$C$51)*H265))</f>
        <v>5.4224343106427265E-14</v>
      </c>
      <c r="I266" s="7">
        <f>O266*(10^inputs!$C$55)*0.01/1</f>
        <v>4.4477605913199984E-2</v>
      </c>
      <c r="J266" s="7">
        <f>(((0.621*15^0.564)/0.2))*D266/15+J265*inputs!$C$53</f>
        <v>1.4897591081224825E-13</v>
      </c>
      <c r="K266" s="7">
        <f>(((0.621*1000^0.564)/0.2))*D266/1000+K265*inputs!$C$53</f>
        <v>2.387216668675153E-14</v>
      </c>
      <c r="L266" s="7">
        <f>(((0.648*20^0.651)/0.2))*H266/20+L265*inputs!$C$54</f>
        <v>8.167716042498477E-14</v>
      </c>
      <c r="M266" s="7">
        <f>(((0.013*2^0.773)/0.2))*H266/2+M265*inputs!$C$54</f>
        <v>3.9828562920279114E-15</v>
      </c>
      <c r="N266" s="7">
        <f>O266*0.015*inputs!$C$56</f>
        <v>6.5346320226296432E-3</v>
      </c>
      <c r="O266" s="7">
        <f>IF((B266&gt;B265), (EXP(-LN(2)/inputs!$C$52)*O265+$O$3), (EXP(-LN(2)/inputs!$C$52)*O265))</f>
        <v>7.0492254828798746E-4</v>
      </c>
      <c r="P266" s="3">
        <f>IF((B266&gt;B265), (EXP(-LN(2)/inputs!$C$52)*P265+$P$3), (EXP(-LN(2)/inputs!$C$52)*P265))</f>
        <v>6.8117012760857869E-4</v>
      </c>
      <c r="Q266" s="19">
        <f>IF((F266*0.62*1/(0.012*(10^inputs!$C$55)))&gt;inputs!$C$57, inputs!$C$57, (F266*0.62*1/(0.012*(10^inputs!$C$55))))</f>
        <v>6.3769154359466938E-16</v>
      </c>
      <c r="R266" s="3">
        <f>IF((B266&gt;B265), (EXP(-LN(2)/inputs!$C$51)*R265+$R$3), (EXP(-LN(2)/inputs!$C$51)*R265))</f>
        <v>1.4816406668675707E-21</v>
      </c>
      <c r="T266" s="7">
        <f>IF(T265&lt;(inputs!$C$9-1),(1+T265),0)</f>
        <v>0</v>
      </c>
      <c r="U266" s="7">
        <f>IF(inputs!$C$8&gt;U265,IF(T265=(inputs!$C$9-1),(U265+1),U265), U265)</f>
        <v>1</v>
      </c>
      <c r="V266" s="7">
        <f t="shared" si="8"/>
        <v>263</v>
      </c>
      <c r="W266" s="8">
        <f>IF((U266&gt;U265), (EXP(-LN(2)/inputs!$C$51)*W265+$W$3), (EXP(-LN(2)/inputs!$C$51)*W265))</f>
        <v>4.9032650681343875E-14</v>
      </c>
      <c r="X266" s="8">
        <f>IF((U266&gt;U265), (EXP(-LN(2)/inputs!$C$51)*X265+$X$3), (EXP(-LN(2)/inputs!$C$51)*X265))</f>
        <v>2.0766769700333824E-14</v>
      </c>
      <c r="Y266" s="8">
        <f>IF((U266&gt;U265), (EXP(-LN(2)/inputs!$C$51)*Y265+$Y$3), (EXP(-LN(2)/inputs!$C$51)*Y265))</f>
        <v>2.5958462125417332E-14</v>
      </c>
      <c r="Z266" s="8">
        <f>IF((U266&gt;U265), (EXP(-LN(2)/inputs!$C$51)*Z265+$Z$3), (EXP(-LN(2)/inputs!$C$51)*Z265))</f>
        <v>4.037982997287133E-15</v>
      </c>
      <c r="AA266" s="8">
        <f>IF((U266&gt;U265), (EXP(-LN(2)/inputs!$C$51)*AA265+$AA$3), (EXP(-LN(2)/inputs!$C$51)*AA265))</f>
        <v>3.7495556403380524E-14</v>
      </c>
      <c r="AB266" s="7">
        <f>(((0.621*15^0.564)/0.2))*W266/15+AB265*inputs!$C$53</f>
        <v>5.2762301746004701E-14</v>
      </c>
      <c r="AC266" s="7">
        <f>(((0.621*1000^0.564)/0.2))*W266/1000+AC265*inputs!$C$53</f>
        <v>8.4547257015578512E-15</v>
      </c>
      <c r="AD266" s="7">
        <f>(((0.648*20^0.651)/0.2))*AA266/20+AD265*inputs!$C$54</f>
        <v>5.6478887527914952E-14</v>
      </c>
      <c r="AE266" s="7">
        <f>(((0.013*2^0.773)/0.2))*AA266/2+AE265*inputs!$C$54</f>
        <v>2.7541027551256815E-15</v>
      </c>
    </row>
    <row r="267" spans="1:31" x14ac:dyDescent="0.3">
      <c r="A267" s="7">
        <f>IF(A266&lt;(inputs!$C$9-1),(1+A266),0)</f>
        <v>0</v>
      </c>
      <c r="B267" s="7">
        <f>IF(inputs!$C$8&gt;B266,IF(A266=(inputs!$C$9-1),(B266+1),B266), B266)</f>
        <v>1</v>
      </c>
      <c r="C267" s="7">
        <f t="shared" si="9"/>
        <v>264</v>
      </c>
      <c r="D267" s="8">
        <f>IF((B267&gt;B266), (EXP(-LN(2)/inputs!$C$51)*D266+$D$3), (EXP(-LN(2)/inputs!$C$51)*D266))</f>
        <v>1.214729490700508E-13</v>
      </c>
      <c r="E267" s="8">
        <f>IF((B267&gt;B266), (EXP(-LN(2)/inputs!$C$51)*E266+$E$3), (EXP(-LN(2)/inputs!$C$51)*E266))</f>
        <v>5.5675101657106639E-14</v>
      </c>
      <c r="F267" s="8">
        <f>IF((B267&gt;B266), (EXP(-LN(2)/inputs!$C$51)*F266+$F$3), (EXP(-LN(2)/inputs!$C$51)*F266))</f>
        <v>6.8328533851903655E-14</v>
      </c>
      <c r="G267" s="8">
        <f>IF((B267&gt;B266), (EXP(-LN(2)/inputs!$C$51)*G266+$G$3), (EXP(-LN(2)/inputs!$C$51)*G266))</f>
        <v>7.5920593168781751E-15</v>
      </c>
      <c r="H267" s="8">
        <f>IF((B267&gt;B266), (EXP(-LN(2)/inputs!$C$51)*H266+$H$3), (EXP(-LN(2)/inputs!$C$51)*H266))</f>
        <v>4.7576905052436606E-14</v>
      </c>
      <c r="I267" s="7">
        <f>O267*(10^inputs!$C$55)*0.01/1</f>
        <v>4.3580035443725816E-2</v>
      </c>
      <c r="J267" s="7">
        <f>(((0.621*15^0.564)/0.2))*D267/15+J266*inputs!$C$53</f>
        <v>1.3071274556343077E-13</v>
      </c>
      <c r="K267" s="7">
        <f>(((0.621*1000^0.564)/0.2))*D267/1000+K266*inputs!$C$53</f>
        <v>2.0945644387472428E-14</v>
      </c>
      <c r="L267" s="7">
        <f>(((0.648*20^0.651)/0.2))*H267/20+L266*inputs!$C$54</f>
        <v>7.1664243103233235E-14</v>
      </c>
      <c r="M267" s="7">
        <f>(((0.013*2^0.773)/0.2))*H267/2+M266*inputs!$C$54</f>
        <v>3.4945923691761794E-15</v>
      </c>
      <c r="N267" s="7">
        <f>O267*0.015*inputs!$C$56</f>
        <v>6.4027613292330851E-3</v>
      </c>
      <c r="O267" s="7">
        <f>IF((B267&gt;B266), (EXP(-LN(2)/inputs!$C$52)*O266+$O$3), (EXP(-LN(2)/inputs!$C$52)*O266))</f>
        <v>6.906970150197503E-4</v>
      </c>
      <c r="P267" s="3">
        <f>IF((B267&gt;B266), (EXP(-LN(2)/inputs!$C$52)*P266+$P$3), (EXP(-LN(2)/inputs!$C$52)*P266))</f>
        <v>6.6742392480210176E-4</v>
      </c>
      <c r="Q267" s="19">
        <f>IF((F267*0.62*1/(0.012*(10^inputs!$C$55)))&gt;inputs!$C$57, inputs!$C$57, (F267*0.62*1/(0.012*(10^inputs!$C$55))))</f>
        <v>5.5951604545577542E-16</v>
      </c>
      <c r="R267" s="3">
        <f>IF((B267&gt;B266), (EXP(-LN(2)/inputs!$C$51)*R266+$R$3), (EXP(-LN(2)/inputs!$C$51)*R266))</f>
        <v>1.3000042654464502E-21</v>
      </c>
      <c r="T267" s="7">
        <f>IF(T266&lt;(inputs!$C$9-1),(1+T266),0)</f>
        <v>0</v>
      </c>
      <c r="U267" s="7">
        <f>IF(inputs!$C$8&gt;U266,IF(T266=(inputs!$C$9-1),(U266+1),U266), U266)</f>
        <v>1</v>
      </c>
      <c r="V267" s="7">
        <f t="shared" si="8"/>
        <v>264</v>
      </c>
      <c r="W267" s="8">
        <f>IF((U267&gt;U266), (EXP(-LN(2)/inputs!$C$51)*W266+$W$3), (EXP(-LN(2)/inputs!$C$51)*W266))</f>
        <v>4.3021669462309755E-14</v>
      </c>
      <c r="X267" s="8">
        <f>IF((U267&gt;U266), (EXP(-LN(2)/inputs!$C$51)*X266+$X$3), (EXP(-LN(2)/inputs!$C$51)*X266))</f>
        <v>1.8220942360507617E-14</v>
      </c>
      <c r="Y267" s="8">
        <f>IF((U267&gt;U266), (EXP(-LN(2)/inputs!$C$51)*Y266+$Y$3), (EXP(-LN(2)/inputs!$C$51)*Y266))</f>
        <v>2.2776177950634566E-14</v>
      </c>
      <c r="Z267" s="8">
        <f>IF((U267&gt;U266), (EXP(-LN(2)/inputs!$C$51)*Z266+$Z$3), (EXP(-LN(2)/inputs!$C$51)*Z266))</f>
        <v>3.5429610145431483E-15</v>
      </c>
      <c r="AA267" s="8">
        <f>IF((U267&gt;U266), (EXP(-LN(2)/inputs!$C$51)*AA266+$AA$3), (EXP(-LN(2)/inputs!$C$51)*AA266))</f>
        <v>3.2898923706472091E-14</v>
      </c>
      <c r="AB267" s="7">
        <f>(((0.621*15^0.564)/0.2))*W267/15+AB266*inputs!$C$53</f>
        <v>4.6294097387048493E-14</v>
      </c>
      <c r="AC267" s="7">
        <f>(((0.621*1000^0.564)/0.2))*W267/1000+AC266*inputs!$C$53</f>
        <v>7.4182490538965007E-15</v>
      </c>
      <c r="AD267" s="7">
        <f>(((0.648*20^0.651)/0.2))*AA267/20+AD266*inputs!$C$54</f>
        <v>4.9555061720320812E-14</v>
      </c>
      <c r="AE267" s="7">
        <f>(((0.013*2^0.773)/0.2))*AA267/2+AE266*inputs!$C$54</f>
        <v>2.4164734467707602E-15</v>
      </c>
    </row>
    <row r="268" spans="1:31" x14ac:dyDescent="0.3">
      <c r="A268" s="7">
        <f>IF(A267&lt;(inputs!$C$9-1),(1+A267),0)</f>
        <v>0</v>
      </c>
      <c r="B268" s="7">
        <f>IF(inputs!$C$8&gt;B267,IF(A267=(inputs!$C$9-1),(B267+1),B267), B267)</f>
        <v>1</v>
      </c>
      <c r="C268" s="7">
        <f t="shared" si="9"/>
        <v>265</v>
      </c>
      <c r="D268" s="8">
        <f>IF((B268&gt;B267), (EXP(-LN(2)/inputs!$C$51)*D267+$D$3), (EXP(-LN(2)/inputs!$C$51)*D267))</f>
        <v>1.0658141036401504E-13</v>
      </c>
      <c r="E268" s="8">
        <f>IF((B268&gt;B267), (EXP(-LN(2)/inputs!$C$51)*E267+$E$3), (EXP(-LN(2)/inputs!$C$51)*E267))</f>
        <v>4.8849813083506913E-14</v>
      </c>
      <c r="F268" s="8">
        <f>IF((B268&gt;B267), (EXP(-LN(2)/inputs!$C$51)*F267+$F$3), (EXP(-LN(2)/inputs!$C$51)*F267))</f>
        <v>5.9952043329758529E-14</v>
      </c>
      <c r="G268" s="8">
        <f>IF((B268&gt;B267), (EXP(-LN(2)/inputs!$C$51)*G267+$G$3), (EXP(-LN(2)/inputs!$C$51)*G267))</f>
        <v>6.66133814775094E-15</v>
      </c>
      <c r="H268" s="8">
        <f>IF((B268&gt;B267), (EXP(-LN(2)/inputs!$C$51)*H267+$H$3), (EXP(-LN(2)/inputs!$C$51)*H267))</f>
        <v>4.174438572590593E-14</v>
      </c>
      <c r="I268" s="7">
        <f>O268*(10^inputs!$C$55)*0.01/1</f>
        <v>4.2700578196200802E-2</v>
      </c>
      <c r="J268" s="7">
        <f>(((0.621*15^0.564)/0.2))*D268/15+J267*inputs!$C$53</f>
        <v>1.1468848728344513E-13</v>
      </c>
      <c r="K268" s="7">
        <f>(((0.621*1000^0.564)/0.2))*D268/1000+K267*inputs!$C$53</f>
        <v>1.8377888549594213E-14</v>
      </c>
      <c r="L268" s="7">
        <f>(((0.648*20^0.651)/0.2))*H268/20+L267*inputs!$C$54</f>
        <v>6.2878823318988702E-14</v>
      </c>
      <c r="M268" s="7">
        <f>(((0.013*2^0.773)/0.2))*H268/2+M267*inputs!$C$54</f>
        <v>3.0661854034624051E-15</v>
      </c>
      <c r="N268" s="7">
        <f>O268*0.015*inputs!$C$56</f>
        <v>6.2735518231408251E-3</v>
      </c>
      <c r="O268" s="7">
        <f>IF((B268&gt;B267), (EXP(-LN(2)/inputs!$C$52)*O267+$O$3), (EXP(-LN(2)/inputs!$C$52)*O267))</f>
        <v>6.7675855697312036E-4</v>
      </c>
      <c r="P268" s="3">
        <f>IF((B268&gt;B267), (EXP(-LN(2)/inputs!$C$52)*P267+$P$3), (EXP(-LN(2)/inputs!$C$52)*P267))</f>
        <v>6.5395512419507275E-4</v>
      </c>
      <c r="Q268" s="19">
        <f>IF((F268*0.62*1/(0.012*(10^inputs!$C$55)))&gt;inputs!$C$57, inputs!$C$57, (F268*0.62*1/(0.012*(10^inputs!$C$55))))</f>
        <v>4.909241909619175E-16</v>
      </c>
      <c r="R268" s="3">
        <f>IF((B268&gt;B267), (EXP(-LN(2)/inputs!$C$51)*R267+$R$3), (EXP(-LN(2)/inputs!$C$51)*R267))</f>
        <v>1.1406349244934824E-21</v>
      </c>
      <c r="T268" s="7">
        <f>IF(T267&lt;(inputs!$C$9-1),(1+T267),0)</f>
        <v>0</v>
      </c>
      <c r="U268" s="7">
        <f>IF(inputs!$C$8&gt;U267,IF(T267=(inputs!$C$9-1),(U267+1),U267), U267)</f>
        <v>1</v>
      </c>
      <c r="V268" s="7">
        <f t="shared" si="8"/>
        <v>265</v>
      </c>
      <c r="W268" s="8">
        <f>IF((U268&gt;U267), (EXP(-LN(2)/inputs!$C$51)*W267+$W$3), (EXP(-LN(2)/inputs!$C$51)*W267))</f>
        <v>3.7747582837255411E-14</v>
      </c>
      <c r="X268" s="8">
        <f>IF((U268&gt;U267), (EXP(-LN(2)/inputs!$C$51)*X267+$X$3), (EXP(-LN(2)/inputs!$C$51)*X267))</f>
        <v>1.5987211554602254E-14</v>
      </c>
      <c r="Y268" s="8">
        <f>IF((U268&gt;U267), (EXP(-LN(2)/inputs!$C$51)*Y267+$Y$3), (EXP(-LN(2)/inputs!$C$51)*Y267))</f>
        <v>1.9984014443252856E-14</v>
      </c>
      <c r="Z268" s="8">
        <f>IF((U268&gt;U267), (EXP(-LN(2)/inputs!$C$51)*Z267+$Z$3), (EXP(-LN(2)/inputs!$C$51)*Z267))</f>
        <v>3.1086244689504387E-15</v>
      </c>
      <c r="AA268" s="8">
        <f>IF((U268&gt;U267), (EXP(-LN(2)/inputs!$C$51)*AA267+$AA$3), (EXP(-LN(2)/inputs!$C$51)*AA267))</f>
        <v>2.886579864025407E-14</v>
      </c>
      <c r="AB268" s="7">
        <f>(((0.621*15^0.564)/0.2))*W268/15+AB267*inputs!$C$53</f>
        <v>4.061883924622024E-14</v>
      </c>
      <c r="AC268" s="7">
        <f>(((0.621*1000^0.564)/0.2))*W268/1000+AC267*inputs!$C$53</f>
        <v>6.5088355279812973E-15</v>
      </c>
      <c r="AD268" s="7">
        <f>(((0.648*20^0.651)/0.2))*AA268/20+AD267*inputs!$C$54</f>
        <v>4.3480037401428312E-14</v>
      </c>
      <c r="AE268" s="7">
        <f>(((0.013*2^0.773)/0.2))*AA268/2+AE267*inputs!$C$54</f>
        <v>2.1202345875005973E-15</v>
      </c>
    </row>
    <row r="269" spans="1:31" x14ac:dyDescent="0.3">
      <c r="A269" s="7">
        <f>IF(A268&lt;(inputs!$C$9-1),(1+A268),0)</f>
        <v>0</v>
      </c>
      <c r="B269" s="7">
        <f>IF(inputs!$C$8&gt;B268,IF(A268=(inputs!$C$9-1),(B268+1),B268), B268)</f>
        <v>1</v>
      </c>
      <c r="C269" s="7">
        <f t="shared" si="9"/>
        <v>266</v>
      </c>
      <c r="D269" s="8">
        <f>IF((B269&gt;B268), (EXP(-LN(2)/inputs!$C$51)*D268+$D$3), (EXP(-LN(2)/inputs!$C$51)*D268))</f>
        <v>9.3515446213722376E-14</v>
      </c>
      <c r="E269" s="8">
        <f>IF((B269&gt;B268), (EXP(-LN(2)/inputs!$C$51)*E268+$E$3), (EXP(-LN(2)/inputs!$C$51)*E268))</f>
        <v>4.2861246181289434E-14</v>
      </c>
      <c r="F269" s="8">
        <f>IF((B269&gt;B268), (EXP(-LN(2)/inputs!$C$51)*F268+$F$3), (EXP(-LN(2)/inputs!$C$51)*F268))</f>
        <v>5.2602438495218895E-14</v>
      </c>
      <c r="G269" s="8">
        <f>IF((B269&gt;B268), (EXP(-LN(2)/inputs!$C$51)*G268+$G$3), (EXP(-LN(2)/inputs!$C$51)*G268))</f>
        <v>5.8447153883576485E-15</v>
      </c>
      <c r="H269" s="8">
        <f>IF((B269&gt;B268), (EXP(-LN(2)/inputs!$C$51)*H268+$H$3), (EXP(-LN(2)/inputs!$C$51)*H268))</f>
        <v>3.6626883100374627E-14</v>
      </c>
      <c r="I269" s="7">
        <f>O269*(10^inputs!$C$55)*0.01/1</f>
        <v>4.183886864076343E-2</v>
      </c>
      <c r="J269" s="7">
        <f>(((0.621*15^0.564)/0.2))*D269/15+J268*inputs!$C$53</f>
        <v>1.006286652358779E-13</v>
      </c>
      <c r="K269" s="7">
        <f>(((0.621*1000^0.564)/0.2))*D269/1000+K268*inputs!$C$53</f>
        <v>1.6124917490879969E-14</v>
      </c>
      <c r="L269" s="7">
        <f>(((0.648*20^0.651)/0.2))*H269/20+L268*inputs!$C$54</f>
        <v>5.5170420432476703E-14</v>
      </c>
      <c r="M269" s="7">
        <f>(((0.013*2^0.773)/0.2))*H269/2+M268*inputs!$C$54</f>
        <v>2.6902974468012803E-15</v>
      </c>
      <c r="N269" s="7">
        <f>O269*0.015*inputs!$C$56</f>
        <v>6.1469498008522158E-3</v>
      </c>
      <c r="O269" s="7">
        <f>IF((B269&gt;B268), (EXP(-LN(2)/inputs!$C$52)*O268+$O$3), (EXP(-LN(2)/inputs!$C$52)*O268))</f>
        <v>6.6310138089020667E-4</v>
      </c>
      <c r="P269" s="3">
        <f>IF((B269&gt;B268), (EXP(-LN(2)/inputs!$C$52)*P268+$P$3), (EXP(-LN(2)/inputs!$C$52)*P268))</f>
        <v>6.407581277338805E-4</v>
      </c>
      <c r="Q269" s="19">
        <f>IF((F269*0.62*1/(0.012*(10^inputs!$C$55)))&gt;inputs!$C$57, inputs!$C$57, (F269*0.62*1/(0.012*(10^inputs!$C$55))))</f>
        <v>4.3074110783595488E-16</v>
      </c>
      <c r="R269" s="3">
        <f>IF((B269&gt;B268), (EXP(-LN(2)/inputs!$C$51)*R268+$R$3), (EXP(-LN(2)/inputs!$C$51)*R268))</f>
        <v>1.0008028939254625E-21</v>
      </c>
      <c r="T269" s="7">
        <f>IF(T268&lt;(inputs!$C$9-1),(1+T268),0)</f>
        <v>0</v>
      </c>
      <c r="U269" s="7">
        <f>IF(inputs!$C$8&gt;U268,IF(T268=(inputs!$C$9-1),(U268+1),U268), U268)</f>
        <v>1</v>
      </c>
      <c r="V269" s="7">
        <f t="shared" si="8"/>
        <v>266</v>
      </c>
      <c r="W269" s="8">
        <f>IF((U269&gt;U268), (EXP(-LN(2)/inputs!$C$51)*W268+$W$3), (EXP(-LN(2)/inputs!$C$51)*W268))</f>
        <v>3.312005386736008E-14</v>
      </c>
      <c r="X269" s="8">
        <f>IF((U269&gt;U268), (EXP(-LN(2)/inputs!$C$51)*X268+$X$3), (EXP(-LN(2)/inputs!$C$51)*X268))</f>
        <v>1.4027316932058354E-14</v>
      </c>
      <c r="Y269" s="8">
        <f>IF((U269&gt;U268), (EXP(-LN(2)/inputs!$C$51)*Y268+$Y$3), (EXP(-LN(2)/inputs!$C$51)*Y268))</f>
        <v>1.7534146165072975E-14</v>
      </c>
      <c r="Z269" s="8">
        <f>IF((U269&gt;U268), (EXP(-LN(2)/inputs!$C$51)*Z268+$Z$3), (EXP(-LN(2)/inputs!$C$51)*Z268))</f>
        <v>2.7275338479002357E-15</v>
      </c>
      <c r="AA269" s="8">
        <f>IF((U269&gt;U268), (EXP(-LN(2)/inputs!$C$51)*AA268+$AA$3), (EXP(-LN(2)/inputs!$C$51)*AA268))</f>
        <v>2.5327100016216471E-14</v>
      </c>
      <c r="AB269" s="7">
        <f>(((0.621*15^0.564)/0.2))*W269/15+AB268*inputs!$C$53</f>
        <v>3.5639318937706831E-14</v>
      </c>
      <c r="AC269" s="7">
        <f>(((0.621*1000^0.564)/0.2))*W269/1000+AC268*inputs!$C$53</f>
        <v>5.7109082780200016E-15</v>
      </c>
      <c r="AD269" s="7">
        <f>(((0.648*20^0.651)/0.2))*AA269/20+AD268*inputs!$C$54</f>
        <v>3.8149758809691301E-14</v>
      </c>
      <c r="AE269" s="7">
        <f>(((0.013*2^0.773)/0.2))*AA269/2+AE268*inputs!$C$54</f>
        <v>1.8603120642774792E-15</v>
      </c>
    </row>
    <row r="270" spans="1:31" x14ac:dyDescent="0.3">
      <c r="A270" s="7">
        <f>IF(A269&lt;(inputs!$C$9-1),(1+A269),0)</f>
        <v>0</v>
      </c>
      <c r="B270" s="7">
        <f>IF(inputs!$C$8&gt;B269,IF(A269=(inputs!$C$9-1),(B269+1),B269), B269)</f>
        <v>1</v>
      </c>
      <c r="C270" s="7">
        <f t="shared" si="9"/>
        <v>267</v>
      </c>
      <c r="D270" s="8">
        <f>IF((B270&gt;B269), (EXP(-LN(2)/inputs!$C$51)*D269+$D$3), (EXP(-LN(2)/inputs!$C$51)*D269))</f>
        <v>8.2051256881323963E-14</v>
      </c>
      <c r="E270" s="8">
        <f>IF((B270&gt;B269), (EXP(-LN(2)/inputs!$C$51)*E269+$E$3), (EXP(-LN(2)/inputs!$C$51)*E269))</f>
        <v>3.7606826070606825E-14</v>
      </c>
      <c r="F270" s="8">
        <f>IF((B270&gt;B269), (EXP(-LN(2)/inputs!$C$51)*F269+$F$3), (EXP(-LN(2)/inputs!$C$51)*F269))</f>
        <v>4.6153831995744779E-14</v>
      </c>
      <c r="G270" s="8">
        <f>IF((B270&gt;B269), (EXP(-LN(2)/inputs!$C$51)*G269+$G$3), (EXP(-LN(2)/inputs!$C$51)*G269))</f>
        <v>5.1282035550827477E-15</v>
      </c>
      <c r="H270" s="8">
        <f>IF((B270&gt;B269), (EXP(-LN(2)/inputs!$C$51)*H269+$H$3), (EXP(-LN(2)/inputs!$C$51)*H269))</f>
        <v>3.2136742278518578E-14</v>
      </c>
      <c r="I270" s="7">
        <f>O270*(10^inputs!$C$55)*0.01/1</f>
        <v>4.0994548624046612E-2</v>
      </c>
      <c r="J270" s="7">
        <f>(((0.621*15^0.564)/0.2))*D270/15+J269*inputs!$C$53</f>
        <v>8.8292456435738941E-14</v>
      </c>
      <c r="K270" s="7">
        <f>(((0.621*1000^0.564)/0.2))*D270/1000+K269*inputs!$C$53</f>
        <v>1.4148141305026466E-14</v>
      </c>
      <c r="L270" s="7">
        <f>(((0.648*20^0.651)/0.2))*H270/20+L269*inputs!$C$54</f>
        <v>4.8407001435999474E-14</v>
      </c>
      <c r="M270" s="7">
        <f>(((0.013*2^0.773)/0.2))*H270/2+M269*inputs!$C$54</f>
        <v>2.360490120425371E-15</v>
      </c>
      <c r="N270" s="7">
        <f>O270*0.015*inputs!$C$56</f>
        <v>6.0229026426181984E-3</v>
      </c>
      <c r="O270" s="7">
        <f>IF((B270&gt;B269), (EXP(-LN(2)/inputs!$C$52)*O269+$O$3), (EXP(-LN(2)/inputs!$C$52)*O269))</f>
        <v>6.4971981042267514E-4</v>
      </c>
      <c r="P270" s="3">
        <f>IF((B270&gt;B269), (EXP(-LN(2)/inputs!$C$52)*P269+$P$3), (EXP(-LN(2)/inputs!$C$52)*P269))</f>
        <v>6.2782745033519445E-4</v>
      </c>
      <c r="Q270" s="19">
        <f>IF((F270*0.62*1/(0.012*(10^inputs!$C$55)))&gt;inputs!$C$57, inputs!$C$57, (F270*0.62*1/(0.012*(10^inputs!$C$55))))</f>
        <v>3.7793595303625702E-16</v>
      </c>
      <c r="R270" s="3">
        <f>IF((B270&gt;B269), (EXP(-LN(2)/inputs!$C$51)*R269+$R$3), (EXP(-LN(2)/inputs!$C$51)*R269))</f>
        <v>8.7811306753943225E-22</v>
      </c>
      <c r="T270" s="7">
        <f>IF(T269&lt;(inputs!$C$9-1),(1+T269),0)</f>
        <v>0</v>
      </c>
      <c r="U270" s="7">
        <f>IF(inputs!$C$8&gt;U269,IF(T269=(inputs!$C$9-1),(U269+1),U269), U269)</f>
        <v>1</v>
      </c>
      <c r="V270" s="7">
        <f t="shared" si="8"/>
        <v>267</v>
      </c>
      <c r="W270" s="8">
        <f>IF((U270&gt;U269), (EXP(-LN(2)/inputs!$C$51)*W269+$W$3), (EXP(-LN(2)/inputs!$C$51)*W269))</f>
        <v>2.9059820145468966E-14</v>
      </c>
      <c r="X270" s="8">
        <f>IF((U270&gt;U269), (EXP(-LN(2)/inputs!$C$51)*X269+$X$3), (EXP(-LN(2)/inputs!$C$51)*X269))</f>
        <v>1.2307688532198593E-14</v>
      </c>
      <c r="Y270" s="8">
        <f>IF((U270&gt;U269), (EXP(-LN(2)/inputs!$C$51)*Y269+$Y$3), (EXP(-LN(2)/inputs!$C$51)*Y269))</f>
        <v>1.5384610665248269E-14</v>
      </c>
      <c r="Z270" s="8">
        <f>IF((U270&gt;U269), (EXP(-LN(2)/inputs!$C$51)*Z269+$Z$3), (EXP(-LN(2)/inputs!$C$51)*Z269))</f>
        <v>2.3931616590386153E-15</v>
      </c>
      <c r="AA270" s="8">
        <f>IF((U270&gt;U269), (EXP(-LN(2)/inputs!$C$51)*AA269+$AA$3), (EXP(-LN(2)/inputs!$C$51)*AA269))</f>
        <v>2.2222215405358569E-14</v>
      </c>
      <c r="AB270" s="7">
        <f>(((0.621*15^0.564)/0.2))*W270/15+AB269*inputs!$C$53</f>
        <v>3.1270244987657611E-14</v>
      </c>
      <c r="AC270" s="7">
        <f>(((0.621*1000^0.564)/0.2))*W270/1000+AC269*inputs!$C$53</f>
        <v>5.0108000455302164E-15</v>
      </c>
      <c r="AD270" s="7">
        <f>(((0.648*20^0.651)/0.2))*AA270/20+AD269*inputs!$C$54</f>
        <v>3.3472926524893221E-14</v>
      </c>
      <c r="AE270" s="7">
        <f>(((0.013*2^0.773)/0.2))*AA270/2+AE269*inputs!$C$54</f>
        <v>1.6322538066771165E-15</v>
      </c>
    </row>
    <row r="271" spans="1:31" x14ac:dyDescent="0.3">
      <c r="A271" s="7">
        <f>IF(A270&lt;(inputs!$C$9-1),(1+A270),0)</f>
        <v>0</v>
      </c>
      <c r="B271" s="7">
        <f>IF(inputs!$C$8&gt;B270,IF(A270=(inputs!$C$9-1),(B270+1),B270), B270)</f>
        <v>1</v>
      </c>
      <c r="C271" s="7">
        <f t="shared" si="9"/>
        <v>268</v>
      </c>
      <c r="D271" s="8">
        <f>IF((B271&gt;B270), (EXP(-LN(2)/inputs!$C$51)*D270+$D$3), (EXP(-LN(2)/inputs!$C$51)*D270))</f>
        <v>7.1992478551817089E-14</v>
      </c>
      <c r="E271" s="8">
        <f>IF((B271&gt;B270), (EXP(-LN(2)/inputs!$C$51)*E270+$E$3), (EXP(-LN(2)/inputs!$C$51)*E270))</f>
        <v>3.299655266958284E-14</v>
      </c>
      <c r="F271" s="8">
        <f>IF((B271&gt;B270), (EXP(-LN(2)/inputs!$C$51)*F270+$F$3), (EXP(-LN(2)/inputs!$C$51)*F270))</f>
        <v>4.0495769185397158E-14</v>
      </c>
      <c r="G271" s="8">
        <f>IF((B271&gt;B270), (EXP(-LN(2)/inputs!$C$51)*G270+$G$3), (EXP(-LN(2)/inputs!$C$51)*G270))</f>
        <v>4.4995299094885681E-15</v>
      </c>
      <c r="H271" s="8">
        <f>IF((B271&gt;B270), (EXP(-LN(2)/inputs!$C$51)*H270+$H$3), (EXP(-LN(2)/inputs!$C$51)*H270))</f>
        <v>2.8197054099461715E-14</v>
      </c>
      <c r="I271" s="7">
        <f>O271*(10^inputs!$C$55)*0.01/1</f>
        <v>4.0167267220317847E-2</v>
      </c>
      <c r="J271" s="7">
        <f>(((0.621*15^0.564)/0.2))*D271/15+J270*inputs!$C$53</f>
        <v>7.7468560724558345E-14</v>
      </c>
      <c r="K271" s="7">
        <f>(((0.621*1000^0.564)/0.2))*D271/1000+K270*inputs!$C$53</f>
        <v>1.2413700876312035E-14</v>
      </c>
      <c r="L271" s="7">
        <f>(((0.648*20^0.651)/0.2))*H271/20+L270*inputs!$C$54</f>
        <v>4.2472719432920633E-14</v>
      </c>
      <c r="M271" s="7">
        <f>(((0.013*2^0.773)/0.2))*H271/2+M270*inputs!$C$54</f>
        <v>2.0711143354243956E-15</v>
      </c>
      <c r="N271" s="7">
        <f>O271*0.015*inputs!$C$56</f>
        <v>5.9013587905709011E-3</v>
      </c>
      <c r="O271" s="7">
        <f>IF((B271&gt;B270), (EXP(-LN(2)/inputs!$C$52)*O270+$O$3), (EXP(-LN(2)/inputs!$C$52)*O270))</f>
        <v>6.366082837724813E-4</v>
      </c>
      <c r="P271" s="3">
        <f>IF((B271&gt;B270), (EXP(-LN(2)/inputs!$C$52)*P270+$P$3), (EXP(-LN(2)/inputs!$C$52)*P270))</f>
        <v>6.1515771760619242E-4</v>
      </c>
      <c r="Q271" s="19">
        <f>IF((F271*0.62*1/(0.012*(10^inputs!$C$55)))&gt;inputs!$C$57, inputs!$C$57, (F271*0.62*1/(0.012*(10^inputs!$C$55))))</f>
        <v>3.3160425601129747E-16</v>
      </c>
      <c r="R271" s="3">
        <f>IF((B271&gt;B270), (EXP(-LN(2)/inputs!$C$51)*R270+$R$3), (EXP(-LN(2)/inputs!$C$51)*R270))</f>
        <v>7.7046395855140279E-22</v>
      </c>
      <c r="T271" s="7">
        <f>IF(T270&lt;(inputs!$C$9-1),(1+T270),0)</f>
        <v>0</v>
      </c>
      <c r="U271" s="7">
        <f>IF(inputs!$C$8&gt;U270,IF(T270=(inputs!$C$9-1),(U270+1),U270), U270)</f>
        <v>1</v>
      </c>
      <c r="V271" s="7">
        <f t="shared" si="8"/>
        <v>268</v>
      </c>
      <c r="W271" s="8">
        <f>IF((U271&gt;U270), (EXP(-LN(2)/inputs!$C$51)*W270+$W$3), (EXP(-LN(2)/inputs!$C$51)*W270))</f>
        <v>2.5497336153768606E-14</v>
      </c>
      <c r="X271" s="8">
        <f>IF((U271&gt;U270), (EXP(-LN(2)/inputs!$C$51)*X270+$X$3), (EXP(-LN(2)/inputs!$C$51)*X270))</f>
        <v>1.0798871782772562E-14</v>
      </c>
      <c r="Y271" s="8">
        <f>IF((U271&gt;U270), (EXP(-LN(2)/inputs!$C$51)*Y270+$Y$3), (EXP(-LN(2)/inputs!$C$51)*Y270))</f>
        <v>1.3498589728465728E-14</v>
      </c>
      <c r="Z271" s="8">
        <f>IF((U271&gt;U270), (EXP(-LN(2)/inputs!$C$51)*Z270+$Z$3), (EXP(-LN(2)/inputs!$C$51)*Z270))</f>
        <v>2.0997806244279984E-15</v>
      </c>
      <c r="AA271" s="8">
        <f>IF((U271&gt;U270), (EXP(-LN(2)/inputs!$C$51)*AA270+$AA$3), (EXP(-LN(2)/inputs!$C$51)*AA270))</f>
        <v>1.9497962941117125E-14</v>
      </c>
      <c r="AB271" s="7">
        <f>(((0.621*15^0.564)/0.2))*W271/15+AB270*inputs!$C$53</f>
        <v>2.7436781923281137E-14</v>
      </c>
      <c r="AC271" s="7">
        <f>(((0.621*1000^0.564)/0.2))*W271/1000+AC270*inputs!$C$53</f>
        <v>4.3965190603605213E-15</v>
      </c>
      <c r="AD271" s="7">
        <f>(((0.648*20^0.651)/0.2))*AA271/20+AD270*inputs!$C$54</f>
        <v>2.9369433650423812E-14</v>
      </c>
      <c r="AE271" s="7">
        <f>(((0.013*2^0.773)/0.2))*AA271/2+AE270*inputs!$C$54</f>
        <v>1.4321535298147403E-15</v>
      </c>
    </row>
    <row r="272" spans="1:31" x14ac:dyDescent="0.3">
      <c r="A272" s="7">
        <f>IF(A271&lt;(inputs!$C$9-1),(1+A271),0)</f>
        <v>0</v>
      </c>
      <c r="B272" s="7">
        <f>IF(inputs!$C$8&gt;B271,IF(A271=(inputs!$C$9-1),(B271+1),B271), B271)</f>
        <v>1</v>
      </c>
      <c r="C272" s="7">
        <f t="shared" si="9"/>
        <v>269</v>
      </c>
      <c r="D272" s="8">
        <f>IF((B272&gt;B271), (EXP(-LN(2)/inputs!$C$51)*D271+$D$3), (EXP(-LN(2)/inputs!$C$51)*D271))</f>
        <v>6.3166819924894411E-14</v>
      </c>
      <c r="E272" s="8">
        <f>IF((B272&gt;B271), (EXP(-LN(2)/inputs!$C$51)*E271+$E$3), (EXP(-LN(2)/inputs!$C$51)*E271))</f>
        <v>2.8951459132243274E-14</v>
      </c>
      <c r="F272" s="8">
        <f>IF((B272&gt;B271), (EXP(-LN(2)/inputs!$C$51)*F271+$F$3), (EXP(-LN(2)/inputs!$C$51)*F271))</f>
        <v>3.553133620775314E-14</v>
      </c>
      <c r="G272" s="8">
        <f>IF((B272&gt;B271), (EXP(-LN(2)/inputs!$C$51)*G271+$G$3), (EXP(-LN(2)/inputs!$C$51)*G271))</f>
        <v>3.9479262453059007E-15</v>
      </c>
      <c r="H272" s="8">
        <f>IF((B272&gt;B271), (EXP(-LN(2)/inputs!$C$51)*H271+$H$3), (EXP(-LN(2)/inputs!$C$51)*H271))</f>
        <v>2.4740337803916994E-14</v>
      </c>
      <c r="I272" s="7">
        <f>O272*(10^inputs!$C$55)*0.01/1</f>
        <v>3.9356680585623673E-2</v>
      </c>
      <c r="J272" s="7">
        <f>(((0.621*15^0.564)/0.2))*D272/15+J271*inputs!$C$53</f>
        <v>6.7971581525795571E-14</v>
      </c>
      <c r="K272" s="7">
        <f>(((0.621*1000^0.564)/0.2))*D272/1000+K271*inputs!$C$53</f>
        <v>1.0891887925363209E-14</v>
      </c>
      <c r="L272" s="7">
        <f>(((0.648*20^0.651)/0.2))*H272/20+L271*inputs!$C$54</f>
        <v>3.7265929359673988E-14</v>
      </c>
      <c r="M272" s="7">
        <f>(((0.013*2^0.773)/0.2))*H272/2+M271*inputs!$C$54</f>
        <v>1.8172135325978175E-15</v>
      </c>
      <c r="N272" s="7">
        <f>O272*0.015*inputs!$C$56</f>
        <v>5.7822677272945803E-3</v>
      </c>
      <c r="O272" s="7">
        <f>IF((B272&gt;B271), (EXP(-LN(2)/inputs!$C$52)*O271+$O$3), (EXP(-LN(2)/inputs!$C$52)*O271))</f>
        <v>6.2376135138021368E-4</v>
      </c>
      <c r="P272" s="3">
        <f>IF((B272&gt;B271), (EXP(-LN(2)/inputs!$C$52)*P271+$P$3), (EXP(-LN(2)/inputs!$C$52)*P271))</f>
        <v>6.0274366361079575E-4</v>
      </c>
      <c r="Q272" s="19">
        <f>IF((F272*0.62*1/(0.012*(10^inputs!$C$55)))&gt;inputs!$C$57, inputs!$C$57, (F272*0.62*1/(0.012*(10^inputs!$C$55))))</f>
        <v>2.9095242651936068E-16</v>
      </c>
      <c r="R272" s="3">
        <f>IF((B272&gt;B271), (EXP(-LN(2)/inputs!$C$51)*R271+$R$3), (EXP(-LN(2)/inputs!$C$51)*R271))</f>
        <v>6.7601170438115711E-22</v>
      </c>
      <c r="T272" s="7">
        <f>IF(T271&lt;(inputs!$C$9-1),(1+T271),0)</f>
        <v>0</v>
      </c>
      <c r="U272" s="7">
        <f>IF(inputs!$C$8&gt;U271,IF(T271=(inputs!$C$9-1),(U271+1),U271), U271)</f>
        <v>1</v>
      </c>
      <c r="V272" s="7">
        <f t="shared" si="8"/>
        <v>269</v>
      </c>
      <c r="W272" s="8">
        <f>IF((U272&gt;U271), (EXP(-LN(2)/inputs!$C$51)*W271+$W$3), (EXP(-LN(2)/inputs!$C$51)*W271))</f>
        <v>2.2371582056733481E-14</v>
      </c>
      <c r="X272" s="8">
        <f>IF((U272&gt;U271), (EXP(-LN(2)/inputs!$C$51)*X271+$X$3), (EXP(-LN(2)/inputs!$C$51)*X271))</f>
        <v>9.47502298873416E-15</v>
      </c>
      <c r="Y272" s="8">
        <f>IF((U272&gt;U271), (EXP(-LN(2)/inputs!$C$51)*Y271+$Y$3), (EXP(-LN(2)/inputs!$C$51)*Y271))</f>
        <v>1.1843778735917722E-14</v>
      </c>
      <c r="Z272" s="8">
        <f>IF((U272&gt;U271), (EXP(-LN(2)/inputs!$C$51)*Z271+$Z$3), (EXP(-LN(2)/inputs!$C$51)*Z271))</f>
        <v>1.8423655811427534E-15</v>
      </c>
      <c r="AA272" s="8">
        <f>IF((U272&gt;U271), (EXP(-LN(2)/inputs!$C$51)*AA271+$AA$3), (EXP(-LN(2)/inputs!$C$51)*AA271))</f>
        <v>1.7107680396325565E-14</v>
      </c>
      <c r="AB272" s="7">
        <f>(((0.621*15^0.564)/0.2))*W272/15+AB271*inputs!$C$53</f>
        <v>2.4073268457052642E-14</v>
      </c>
      <c r="AC272" s="7">
        <f>(((0.621*1000^0.564)/0.2))*W272/1000+AC271*inputs!$C$53</f>
        <v>3.8575436402328103E-15</v>
      </c>
      <c r="AD272" s="7">
        <f>(((0.648*20^0.651)/0.2))*AA272/20+AD271*inputs!$C$54</f>
        <v>2.5768993706157525E-14</v>
      </c>
      <c r="AE272" s="7">
        <f>(((0.013*2^0.773)/0.2))*AA272/2+AE271*inputs!$C$54</f>
        <v>1.2565838257325324E-15</v>
      </c>
    </row>
    <row r="273" spans="1:31" x14ac:dyDescent="0.3">
      <c r="A273" s="7">
        <f>IF(A272&lt;(inputs!$C$9-1),(1+A272),0)</f>
        <v>0</v>
      </c>
      <c r="B273" s="7">
        <f>IF(inputs!$C$8&gt;B272,IF(A272=(inputs!$C$9-1),(B272+1),B272), B272)</f>
        <v>1</v>
      </c>
      <c r="C273" s="7">
        <f t="shared" si="9"/>
        <v>270</v>
      </c>
      <c r="D273" s="8">
        <f>IF((B273&gt;B272), (EXP(-LN(2)/inputs!$C$51)*D272+$D$3), (EXP(-LN(2)/inputs!$C$51)*D272))</f>
        <v>5.5423111131702083E-14</v>
      </c>
      <c r="E273" s="8">
        <f>IF((B273&gt;B272), (EXP(-LN(2)/inputs!$C$51)*E272+$E$3), (EXP(-LN(2)/inputs!$C$51)*E272))</f>
        <v>2.5402259268696789E-14</v>
      </c>
      <c r="F273" s="8">
        <f>IF((B273&gt;B272), (EXP(-LN(2)/inputs!$C$51)*F272+$F$3), (EXP(-LN(2)/inputs!$C$51)*F272))</f>
        <v>3.1175500011582449E-14</v>
      </c>
      <c r="G273" s="8">
        <f>IF((B273&gt;B272), (EXP(-LN(2)/inputs!$C$51)*G272+$G$3), (EXP(-LN(2)/inputs!$C$51)*G272))</f>
        <v>3.4639444457313802E-15</v>
      </c>
      <c r="H273" s="8">
        <f>IF((B273&gt;B272), (EXP(-LN(2)/inputs!$C$51)*H272+$H$3), (EXP(-LN(2)/inputs!$C$51)*H272))</f>
        <v>2.1707385193249995E-14</v>
      </c>
      <c r="I273" s="7">
        <f>O273*(10^inputs!$C$55)*0.01/1</f>
        <v>3.8562451814877295E-2</v>
      </c>
      <c r="J273" s="7">
        <f>(((0.621*15^0.564)/0.2))*D273/15+J272*inputs!$C$53</f>
        <v>5.9638850288504739E-14</v>
      </c>
      <c r="K273" s="7">
        <f>(((0.621*1000^0.564)/0.2))*D273/1000+K272*inputs!$C$53</f>
        <v>9.5566361523218343E-15</v>
      </c>
      <c r="L273" s="7">
        <f>(((0.648*20^0.651)/0.2))*H273/20+L272*inputs!$C$54</f>
        <v>3.2697446963186242E-14</v>
      </c>
      <c r="M273" s="7">
        <f>(((0.013*2^0.773)/0.2))*H273/2+M272*inputs!$C$54</f>
        <v>1.5944387842692258E-15</v>
      </c>
      <c r="N273" s="7">
        <f>O273*0.015*inputs!$C$56</f>
        <v>5.6655799548290036E-3</v>
      </c>
      <c r="O273" s="7">
        <f>IF((B273&gt;B272), (EXP(-LN(2)/inputs!$C$52)*O272+$O$3), (EXP(-LN(2)/inputs!$C$52)*O272))</f>
        <v>6.1117367366008671E-4</v>
      </c>
      <c r="P273" s="3">
        <f>IF((B273&gt;B272), (EXP(-LN(2)/inputs!$C$52)*P272+$P$3), (EXP(-LN(2)/inputs!$C$52)*P272))</f>
        <v>5.9058012868098162E-4</v>
      </c>
      <c r="Q273" s="19">
        <f>IF((F273*0.62*1/(0.012*(10^inputs!$C$55)))&gt;inputs!$C$57, inputs!$C$57, (F273*0.62*1/(0.012*(10^inputs!$C$55))))</f>
        <v>2.5528416165629642E-16</v>
      </c>
      <c r="R273" s="3">
        <f>IF((B273&gt;B272), (EXP(-LN(2)/inputs!$C$51)*R272+$R$3), (EXP(-LN(2)/inputs!$C$51)*R272))</f>
        <v>5.9313848414082299E-22</v>
      </c>
      <c r="T273" s="7">
        <f>IF(T272&lt;(inputs!$C$9-1),(1+T272),0)</f>
        <v>0</v>
      </c>
      <c r="U273" s="7">
        <f>IF(inputs!$C$8&gt;U272,IF(T272=(inputs!$C$9-1),(U272+1),U272), U272)</f>
        <v>1</v>
      </c>
      <c r="V273" s="7">
        <f t="shared" si="8"/>
        <v>270</v>
      </c>
      <c r="W273" s="8">
        <f>IF((U273&gt;U272), (EXP(-LN(2)/inputs!$C$51)*W272+$W$3), (EXP(-LN(2)/inputs!$C$51)*W272))</f>
        <v>1.9629018525811192E-14</v>
      </c>
      <c r="X273" s="8">
        <f>IF((U273&gt;U272), (EXP(-LN(2)/inputs!$C$51)*X272+$X$3), (EXP(-LN(2)/inputs!$C$51)*X272))</f>
        <v>8.3134666697553115E-15</v>
      </c>
      <c r="Y273" s="8">
        <f>IF((U273&gt;U272), (EXP(-LN(2)/inputs!$C$51)*Y272+$Y$3), (EXP(-LN(2)/inputs!$C$51)*Y272))</f>
        <v>1.0391833337194158E-14</v>
      </c>
      <c r="Z273" s="8">
        <f>IF((U273&gt;U272), (EXP(-LN(2)/inputs!$C$51)*Z272+$Z$3), (EXP(-LN(2)/inputs!$C$51)*Z272))</f>
        <v>1.6165074080079771E-15</v>
      </c>
      <c r="AA273" s="8">
        <f>IF((U273&gt;U272), (EXP(-LN(2)/inputs!$C$51)*AA272+$AA$3), (EXP(-LN(2)/inputs!$C$51)*AA272))</f>
        <v>1.5010425931502642E-14</v>
      </c>
      <c r="AB273" s="7">
        <f>(((0.621*15^0.564)/0.2))*W273/15+AB272*inputs!$C$53</f>
        <v>2.1122092810512134E-14</v>
      </c>
      <c r="AC273" s="7">
        <f>(((0.621*1000^0.564)/0.2))*W273/1000+AC272*inputs!$C$53</f>
        <v>3.3846419706139891E-15</v>
      </c>
      <c r="AD273" s="7">
        <f>(((0.648*20^0.651)/0.2))*AA273/20+AD272*inputs!$C$54</f>
        <v>2.2609936729862809E-14</v>
      </c>
      <c r="AE273" s="7">
        <f>(((0.013*2^0.773)/0.2))*AA273/2+AE272*inputs!$C$54</f>
        <v>1.1025374572074425E-15</v>
      </c>
    </row>
    <row r="274" spans="1:31" x14ac:dyDescent="0.3">
      <c r="A274" s="7">
        <f>IF(A273&lt;(inputs!$C$9-1),(1+A273),0)</f>
        <v>0</v>
      </c>
      <c r="B274" s="7">
        <f>IF(inputs!$C$8&gt;B273,IF(A273=(inputs!$C$9-1),(B273+1),B273), B273)</f>
        <v>1</v>
      </c>
      <c r="C274" s="7">
        <f t="shared" si="9"/>
        <v>271</v>
      </c>
      <c r="D274" s="8">
        <f>IF((B274&gt;B273), (EXP(-LN(2)/inputs!$C$51)*D273+$D$3), (EXP(-LN(2)/inputs!$C$51)*D273))</f>
        <v>4.8628714429019657E-14</v>
      </c>
      <c r="E274" s="8">
        <f>IF((B274&gt;B273), (EXP(-LN(2)/inputs!$C$51)*E273+$E$3), (EXP(-LN(2)/inputs!$C$51)*E273))</f>
        <v>2.2288160779967343E-14</v>
      </c>
      <c r="F274" s="8">
        <f>IF((B274&gt;B273), (EXP(-LN(2)/inputs!$C$51)*F273+$F$3), (EXP(-LN(2)/inputs!$C$51)*F273))</f>
        <v>2.7353651866323582E-14</v>
      </c>
      <c r="G274" s="8">
        <f>IF((B274&gt;B273), (EXP(-LN(2)/inputs!$C$51)*G273+$G$3), (EXP(-LN(2)/inputs!$C$51)*G273))</f>
        <v>3.0392946518137286E-15</v>
      </c>
      <c r="H274" s="8">
        <f>IF((B274&gt;B273), (EXP(-LN(2)/inputs!$C$51)*H273+$H$3), (EXP(-LN(2)/inputs!$C$51)*H273))</f>
        <v>1.9046246484699379E-14</v>
      </c>
      <c r="I274" s="7">
        <f>O274*(10^inputs!$C$55)*0.01/1</f>
        <v>3.7784250801830371E-2</v>
      </c>
      <c r="J274" s="7">
        <f>(((0.621*15^0.564)/0.2))*D274/15+J273*inputs!$C$53</f>
        <v>5.2327640226891888E-14</v>
      </c>
      <c r="K274" s="7">
        <f>(((0.621*1000^0.564)/0.2))*D274/1000+K273*inputs!$C$53</f>
        <v>8.385074761483017E-15</v>
      </c>
      <c r="L274" s="7">
        <f>(((0.648*20^0.651)/0.2))*H274/20+L273*inputs!$C$54</f>
        <v>2.8689021212692231E-14</v>
      </c>
      <c r="M274" s="7">
        <f>(((0.013*2^0.773)/0.2))*H274/2+M273*inputs!$C$54</f>
        <v>1.3989743038880234E-15</v>
      </c>
      <c r="N274" s="7">
        <f>O274*0.015*inputs!$C$56</f>
        <v>5.551246974096557E-3</v>
      </c>
      <c r="O274" s="7">
        <f>IF((B274&gt;B273), (EXP(-LN(2)/inputs!$C$52)*O273+$O$3), (EXP(-LN(2)/inputs!$C$52)*O273))</f>
        <v>5.9884001878064263E-4</v>
      </c>
      <c r="P274" s="3">
        <f>IF((B274&gt;B273), (EXP(-LN(2)/inputs!$C$52)*P273+$P$3), (EXP(-LN(2)/inputs!$C$52)*P273))</f>
        <v>5.7866205727226448E-4</v>
      </c>
      <c r="Q274" s="19">
        <f>IF((F274*0.62*1/(0.012*(10^inputs!$C$55)))&gt;inputs!$C$57, inputs!$C$57, (F274*0.62*1/(0.012*(10^inputs!$C$55))))</f>
        <v>2.2398851926475175E-16</v>
      </c>
      <c r="R274" s="3">
        <f>IF((B274&gt;B273), (EXP(-LN(2)/inputs!$C$51)*R273+$R$3), (EXP(-LN(2)/inputs!$C$51)*R273))</f>
        <v>5.2042480786769E-22</v>
      </c>
      <c r="T274" s="7">
        <f>IF(T273&lt;(inputs!$C$9-1),(1+T273),0)</f>
        <v>0</v>
      </c>
      <c r="U274" s="7">
        <f>IF(inputs!$C$8&gt;U273,IF(T273=(inputs!$C$9-1),(U273+1),U273), U273)</f>
        <v>1</v>
      </c>
      <c r="V274" s="7">
        <f t="shared" si="8"/>
        <v>271</v>
      </c>
      <c r="W274" s="8">
        <f>IF((U274&gt;U273), (EXP(-LN(2)/inputs!$C$51)*W273+$W$3), (EXP(-LN(2)/inputs!$C$51)*W273))</f>
        <v>1.7222669693611161E-14</v>
      </c>
      <c r="X274" s="8">
        <f>IF((U274&gt;U273), (EXP(-LN(2)/inputs!$C$51)*X273+$X$3), (EXP(-LN(2)/inputs!$C$51)*X273))</f>
        <v>7.2943071643529476E-15</v>
      </c>
      <c r="Y274" s="8">
        <f>IF((U274&gt;U273), (EXP(-LN(2)/inputs!$C$51)*Y273+$Y$3), (EXP(-LN(2)/inputs!$C$51)*Y273))</f>
        <v>9.1178839554412003E-15</v>
      </c>
      <c r="Z274" s="8">
        <f>IF((U274&gt;U273), (EXP(-LN(2)/inputs!$C$51)*Z273+$Z$3), (EXP(-LN(2)/inputs!$C$51)*Z273))</f>
        <v>1.4183375041797398E-15</v>
      </c>
      <c r="AA274" s="8">
        <f>IF((U274&gt;U273), (EXP(-LN(2)/inputs!$C$51)*AA273+$AA$3), (EXP(-LN(2)/inputs!$C$51)*AA273))</f>
        <v>1.3170276824526154E-14</v>
      </c>
      <c r="AB274" s="7">
        <f>(((0.621*15^0.564)/0.2))*W274/15+AB273*inputs!$C$53</f>
        <v>1.8532705913690914E-14</v>
      </c>
      <c r="AC274" s="7">
        <f>(((0.621*1000^0.564)/0.2))*W274/1000+AC273*inputs!$C$53</f>
        <v>2.9697139780252413E-15</v>
      </c>
      <c r="AD274" s="7">
        <f>(((0.648*20^0.651)/0.2))*AA274/20+AD273*inputs!$C$54</f>
        <v>1.9838152966223332E-14</v>
      </c>
      <c r="AE274" s="7">
        <f>(((0.013*2^0.773)/0.2))*AA274/2+AE273*inputs!$C$54</f>
        <v>9.6737584843320659E-16</v>
      </c>
    </row>
    <row r="275" spans="1:31" x14ac:dyDescent="0.3">
      <c r="A275" s="7">
        <f>IF(A274&lt;(inputs!$C$9-1),(1+A274),0)</f>
        <v>0</v>
      </c>
      <c r="B275" s="7">
        <f>IF(inputs!$C$8&gt;B274,IF(A274=(inputs!$C$9-1),(B274+1),B274), B274)</f>
        <v>1</v>
      </c>
      <c r="C275" s="7">
        <f t="shared" si="9"/>
        <v>272</v>
      </c>
      <c r="D275" s="8">
        <f>IF((B275&gt;B274), (EXP(-LN(2)/inputs!$C$51)*D274+$D$3), (EXP(-LN(2)/inputs!$C$51)*D274))</f>
        <v>4.2667252320061549E-14</v>
      </c>
      <c r="E275" s="8">
        <f>IF((B275&gt;B274), (EXP(-LN(2)/inputs!$C$51)*E274+$E$3), (EXP(-LN(2)/inputs!$C$51)*E274))</f>
        <v>1.9555823980028208E-14</v>
      </c>
      <c r="F275" s="8">
        <f>IF((B275&gt;B274), (EXP(-LN(2)/inputs!$C$51)*F274+$F$3), (EXP(-LN(2)/inputs!$C$51)*F274))</f>
        <v>2.4000329430034641E-14</v>
      </c>
      <c r="G275" s="8">
        <f>IF((B275&gt;B274), (EXP(-LN(2)/inputs!$C$51)*G274+$G$3), (EXP(-LN(2)/inputs!$C$51)*G274))</f>
        <v>2.6667032700038468E-15</v>
      </c>
      <c r="H275" s="8">
        <f>IF((B275&gt;B274), (EXP(-LN(2)/inputs!$C$51)*H274+$H$3), (EXP(-LN(2)/inputs!$C$51)*H274))</f>
        <v>1.6711340492024118E-14</v>
      </c>
      <c r="I275" s="7">
        <f>O275*(10^inputs!$C$55)*0.01/1</f>
        <v>3.7021754101870551E-2</v>
      </c>
      <c r="J275" s="7">
        <f>(((0.621*15^0.564)/0.2))*D275/15+J274*inputs!$C$53</f>
        <v>4.5912721631436498E-14</v>
      </c>
      <c r="K275" s="7">
        <f>(((0.621*1000^0.564)/0.2))*D275/1000+K274*inputs!$C$53</f>
        <v>7.3571367199720641E-15</v>
      </c>
      <c r="L275" s="7">
        <f>(((0.648*20^0.651)/0.2))*H275/20+L274*inputs!$C$54</f>
        <v>2.5171993980722116E-14</v>
      </c>
      <c r="M275" s="7">
        <f>(((0.013*2^0.773)/0.2))*H275/2+M274*inputs!$C$54</f>
        <v>1.227472087513215E-15</v>
      </c>
      <c r="N275" s="7">
        <f>O275*0.015*inputs!$C$56</f>
        <v>5.4392212647445138E-3</v>
      </c>
      <c r="O275" s="7">
        <f>IF((B275&gt;B274), (EXP(-LN(2)/inputs!$C$52)*O274+$O$3), (EXP(-LN(2)/inputs!$C$52)*O274))</f>
        <v>5.8675526049023886E-4</v>
      </c>
      <c r="P275" s="3">
        <f>IF((B275&gt;B274), (EXP(-LN(2)/inputs!$C$52)*P274+$P$3), (EXP(-LN(2)/inputs!$C$52)*P274))</f>
        <v>5.6698449586245383E-4</v>
      </c>
      <c r="Q275" s="19">
        <f>IF((F275*0.62*1/(0.012*(10^inputs!$C$55)))&gt;inputs!$C$57, inputs!$C$57, (F275*0.62*1/(0.012*(10^inputs!$C$55))))</f>
        <v>1.9652945344084424E-16</v>
      </c>
      <c r="R275" s="3">
        <f>IF((B275&gt;B274), (EXP(-LN(2)/inputs!$C$51)*R274+$R$3), (EXP(-LN(2)/inputs!$C$51)*R274))</f>
        <v>4.5662520285872854E-22</v>
      </c>
      <c r="T275" s="7">
        <f>IF(T274&lt;(inputs!$C$9-1),(1+T274),0)</f>
        <v>0</v>
      </c>
      <c r="U275" s="7">
        <f>IF(inputs!$C$8&gt;U274,IF(T274=(inputs!$C$9-1),(U274+1),U274), U274)</f>
        <v>1</v>
      </c>
      <c r="V275" s="7">
        <f t="shared" si="8"/>
        <v>272</v>
      </c>
      <c r="W275" s="8">
        <f>IF((U275&gt;U274), (EXP(-LN(2)/inputs!$C$51)*W274+$W$3), (EXP(-LN(2)/inputs!$C$51)*W274))</f>
        <v>1.5111318530021825E-14</v>
      </c>
      <c r="X275" s="8">
        <f>IF((U275&gt;U274), (EXP(-LN(2)/inputs!$C$51)*X274+$X$3), (EXP(-LN(2)/inputs!$C$51)*X274))</f>
        <v>6.4000878480092312E-15</v>
      </c>
      <c r="Y275" s="8">
        <f>IF((U275&gt;U274), (EXP(-LN(2)/inputs!$C$51)*Y274+$Y$3), (EXP(-LN(2)/inputs!$C$51)*Y274))</f>
        <v>8.0001098100115534E-15</v>
      </c>
      <c r="Z275" s="8">
        <f>IF((U275&gt;U274), (EXP(-LN(2)/inputs!$C$51)*Z274+$Z$3), (EXP(-LN(2)/inputs!$C$51)*Z274))</f>
        <v>1.244461526001795E-15</v>
      </c>
      <c r="AA275" s="8">
        <f>IF((U275&gt;U274), (EXP(-LN(2)/inputs!$C$51)*AA274+$AA$3), (EXP(-LN(2)/inputs!$C$51)*AA274))</f>
        <v>1.1555714170016666E-14</v>
      </c>
      <c r="AB275" s="7">
        <f>(((0.621*15^0.564)/0.2))*W275/15+AB274*inputs!$C$53</f>
        <v>1.6260755577800458E-14</v>
      </c>
      <c r="AC275" s="7">
        <f>(((0.621*1000^0.564)/0.2))*W275/1000+AC274*inputs!$C$53</f>
        <v>2.6056525883234441E-15</v>
      </c>
      <c r="AD275" s="7">
        <f>(((0.648*20^0.651)/0.2))*AA275/20+AD274*inputs!$C$54</f>
        <v>1.7406166050499317E-14</v>
      </c>
      <c r="AE275" s="7">
        <f>(((0.013*2^0.773)/0.2))*AA275/2+AE274*inputs!$C$54</f>
        <v>8.4878389030169024E-16</v>
      </c>
    </row>
    <row r="276" spans="1:31" x14ac:dyDescent="0.3">
      <c r="A276" s="7">
        <f>IF(A275&lt;(inputs!$C$9-1),(1+A275),0)</f>
        <v>0</v>
      </c>
      <c r="B276" s="7">
        <f>IF(inputs!$C$8&gt;B275,IF(A275=(inputs!$C$9-1),(B275+1),B275), B275)</f>
        <v>1</v>
      </c>
      <c r="C276" s="7">
        <f t="shared" si="9"/>
        <v>273</v>
      </c>
      <c r="D276" s="8">
        <f>IF((B276&gt;B275), (EXP(-LN(2)/inputs!$C$51)*D275+$D$3), (EXP(-LN(2)/inputs!$C$51)*D275))</f>
        <v>3.7436614188126671E-14</v>
      </c>
      <c r="E276" s="8">
        <f>IF((B276&gt;B275), (EXP(-LN(2)/inputs!$C$51)*E275+$E$3), (EXP(-LN(2)/inputs!$C$51)*E275))</f>
        <v>1.7158448169558058E-14</v>
      </c>
      <c r="F276" s="8">
        <f>IF((B276&gt;B275), (EXP(-LN(2)/inputs!$C$51)*F275+$F$3), (EXP(-LN(2)/inputs!$C$51)*F275))</f>
        <v>2.105809548082127E-14</v>
      </c>
      <c r="G276" s="8">
        <f>IF((B276&gt;B275), (EXP(-LN(2)/inputs!$C$51)*G275+$G$3), (EXP(-LN(2)/inputs!$C$51)*G275))</f>
        <v>2.339788386757917E-15</v>
      </c>
      <c r="H276" s="8">
        <f>IF((B276&gt;B275), (EXP(-LN(2)/inputs!$C$51)*H275+$H$3), (EXP(-LN(2)/inputs!$C$51)*H275))</f>
        <v>1.4662673890349624E-14</v>
      </c>
      <c r="I276" s="7">
        <f>O276*(10^inputs!$C$55)*0.01/1</f>
        <v>3.6274644797587817E-2</v>
      </c>
      <c r="J276" s="7">
        <f>(((0.621*15^0.564)/0.2))*D276/15+J275*inputs!$C$53</f>
        <v>4.0284216877841517E-14</v>
      </c>
      <c r="K276" s="7">
        <f>(((0.621*1000^0.564)/0.2))*D276/1000+K275*inputs!$C$53</f>
        <v>6.4552150405380632E-15</v>
      </c>
      <c r="L276" s="7">
        <f>(((0.648*20^0.651)/0.2))*H276/20+L275*inputs!$C$54</f>
        <v>2.2086124035670767E-14</v>
      </c>
      <c r="M276" s="7">
        <f>(((0.013*2^0.773)/0.2))*H276/2+M275*inputs!$C$54</f>
        <v>1.0769945676891059E-15</v>
      </c>
      <c r="N276" s="7">
        <f>O276*0.015*inputs!$C$56</f>
        <v>5.3294562653940962E-3</v>
      </c>
      <c r="O276" s="7">
        <f>IF((B276&gt;B275), (EXP(-LN(2)/inputs!$C$52)*O275+$O$3), (EXP(-LN(2)/inputs!$C$52)*O275))</f>
        <v>5.7491437598641815E-4</v>
      </c>
      <c r="P276" s="3">
        <f>IF((B276&gt;B275), (EXP(-LN(2)/inputs!$C$52)*P275+$P$3), (EXP(-LN(2)/inputs!$C$52)*P275))</f>
        <v>5.5554259089281614E-4</v>
      </c>
      <c r="Q276" s="19">
        <f>IF((F276*0.62*1/(0.012*(10^inputs!$C$55)))&gt;inputs!$C$57, inputs!$C$57, (F276*0.62*1/(0.012*(10^inputs!$C$55))))</f>
        <v>1.7243663289770697E-16</v>
      </c>
      <c r="R276" s="3">
        <f>IF((B276&gt;B275), (EXP(-LN(2)/inputs!$C$51)*R275+$R$3), (EXP(-LN(2)/inputs!$C$51)*R275))</f>
        <v>4.0064688065136318E-22</v>
      </c>
      <c r="T276" s="7">
        <f>IF(T275&lt;(inputs!$C$9-1),(1+T275),0)</f>
        <v>0</v>
      </c>
      <c r="U276" s="7">
        <f>IF(inputs!$C$8&gt;U275,IF(T275=(inputs!$C$9-1),(U275+1),U275), U275)</f>
        <v>1</v>
      </c>
      <c r="V276" s="7">
        <f t="shared" si="8"/>
        <v>273</v>
      </c>
      <c r="W276" s="8">
        <f>IF((U276&gt;U275), (EXP(-LN(2)/inputs!$C$51)*W275+$W$3), (EXP(-LN(2)/inputs!$C$51)*W275))</f>
        <v>1.3258800858294886E-14</v>
      </c>
      <c r="X276" s="8">
        <f>IF((U276&gt;U275), (EXP(-LN(2)/inputs!$C$51)*X275+$X$3), (EXP(-LN(2)/inputs!$C$51)*X275))</f>
        <v>5.6154921282190002E-15</v>
      </c>
      <c r="Y276" s="8">
        <f>IF((U276&gt;U275), (EXP(-LN(2)/inputs!$C$51)*Y275+$Y$3), (EXP(-LN(2)/inputs!$C$51)*Y275))</f>
        <v>7.0193651602737627E-15</v>
      </c>
      <c r="Z276" s="8">
        <f>IF((U276&gt;U275), (EXP(-LN(2)/inputs!$C$51)*Z275+$Z$3), (EXP(-LN(2)/inputs!$C$51)*Z275))</f>
        <v>1.0919012471536944E-15</v>
      </c>
      <c r="AA276" s="8">
        <f>IF((U276&gt;U275), (EXP(-LN(2)/inputs!$C$51)*AA275+$AA$3), (EXP(-LN(2)/inputs!$C$51)*AA275))</f>
        <v>1.0139083009284304E-14</v>
      </c>
      <c r="AB276" s="7">
        <f>(((0.621*15^0.564)/0.2))*W276/15+AB275*inputs!$C$53</f>
        <v>1.4267326810902229E-14</v>
      </c>
      <c r="AC276" s="7">
        <f>(((0.621*1000^0.564)/0.2))*W276/1000+AC275*inputs!$C$53</f>
        <v>2.286221993523902E-15</v>
      </c>
      <c r="AD276" s="7">
        <f>(((0.648*20^0.651)/0.2))*AA276/20+AD275*inputs!$C$54</f>
        <v>1.5272319811899985E-14</v>
      </c>
      <c r="AE276" s="7">
        <f>(((0.013*2^0.773)/0.2))*AA276/2+AE275*inputs!$C$54</f>
        <v>7.4473028616799793E-16</v>
      </c>
    </row>
    <row r="277" spans="1:31" x14ac:dyDescent="0.3">
      <c r="A277" s="7">
        <f>IF(A276&lt;(inputs!$C$9-1),(1+A276),0)</f>
        <v>0</v>
      </c>
      <c r="B277" s="7">
        <f>IF(inputs!$C$8&gt;B276,IF(A276=(inputs!$C$9-1),(B276+1),B276), B276)</f>
        <v>1</v>
      </c>
      <c r="C277" s="7">
        <f t="shared" si="9"/>
        <v>274</v>
      </c>
      <c r="D277" s="8">
        <f>IF((B277&gt;B276), (EXP(-LN(2)/inputs!$C$51)*D276+$D$3), (EXP(-LN(2)/inputs!$C$51)*D276))</f>
        <v>3.2847207299816714E-14</v>
      </c>
      <c r="E277" s="8">
        <f>IF((B277&gt;B276), (EXP(-LN(2)/inputs!$C$51)*E276+$E$3), (EXP(-LN(2)/inputs!$C$51)*E276))</f>
        <v>1.5054970012415993E-14</v>
      </c>
      <c r="F277" s="8">
        <f>IF((B277&gt;B276), (EXP(-LN(2)/inputs!$C$51)*F276+$F$3), (EXP(-LN(2)/inputs!$C$51)*F276))</f>
        <v>1.8476554106146917E-14</v>
      </c>
      <c r="G277" s="8">
        <f>IF((B277&gt;B276), (EXP(-LN(2)/inputs!$C$51)*G276+$G$3), (EXP(-LN(2)/inputs!$C$51)*G276))</f>
        <v>2.0529504562385446E-15</v>
      </c>
      <c r="H277" s="8">
        <f>IF((B277&gt;B276), (EXP(-LN(2)/inputs!$C$51)*H276+$H$3), (EXP(-LN(2)/inputs!$C$51)*H276))</f>
        <v>1.2865156192428222E-14</v>
      </c>
      <c r="I277" s="7">
        <f>O277*(10^inputs!$C$55)*0.01/1</f>
        <v>3.554261236705368E-2</v>
      </c>
      <c r="J277" s="7">
        <f>(((0.621*15^0.564)/0.2))*D277/15+J276*inputs!$C$53</f>
        <v>3.5345718393435986E-14</v>
      </c>
      <c r="K277" s="7">
        <f>(((0.621*1000^0.564)/0.2))*D277/1000+K276*inputs!$C$53</f>
        <v>5.6638612011205172E-15</v>
      </c>
      <c r="L277" s="7">
        <f>(((0.648*20^0.651)/0.2))*H277/20+L276*inputs!$C$54</f>
        <v>1.9378555202762708E-14</v>
      </c>
      <c r="M277" s="7">
        <f>(((0.013*2^0.773)/0.2))*H277/2+M276*inputs!$C$54</f>
        <v>9.4496429746257377E-16</v>
      </c>
      <c r="N277" s="7">
        <f>O277*0.015*inputs!$C$56</f>
        <v>5.2219063542881094E-3</v>
      </c>
      <c r="O277" s="7">
        <f>IF((B277&gt;B276), (EXP(-LN(2)/inputs!$C$52)*O276+$O$3), (EXP(-LN(2)/inputs!$C$52)*O276))</f>
        <v>5.6331244382827508E-4</v>
      </c>
      <c r="P277" s="3">
        <f>IF((B277&gt;B276), (EXP(-LN(2)/inputs!$C$52)*P276+$P$3), (EXP(-LN(2)/inputs!$C$52)*P276))</f>
        <v>5.4433158675078403E-4</v>
      </c>
      <c r="Q277" s="19">
        <f>IF((F277*0.62*1/(0.012*(10^inputs!$C$55)))&gt;inputs!$C$57, inputs!$C$57, (F277*0.62*1/(0.012*(10^inputs!$C$55))))</f>
        <v>1.5129738491868687E-16</v>
      </c>
      <c r="R277" s="3">
        <f>IF((B277&gt;B276), (EXP(-LN(2)/inputs!$C$51)*R276+$R$3), (EXP(-LN(2)/inputs!$C$51)*R276))</f>
        <v>3.5153101924890675E-22</v>
      </c>
      <c r="T277" s="7">
        <f>IF(T276&lt;(inputs!$C$9-1),(1+T276),0)</f>
        <v>0</v>
      </c>
      <c r="U277" s="7">
        <f>IF(inputs!$C$8&gt;U276,IF(T276=(inputs!$C$9-1),(U276+1),U276), U276)</f>
        <v>1</v>
      </c>
      <c r="V277" s="7">
        <f t="shared" si="8"/>
        <v>274</v>
      </c>
      <c r="W277" s="8">
        <f>IF((U277&gt;U276), (EXP(-LN(2)/inputs!$C$51)*W276+$W$3), (EXP(-LN(2)/inputs!$C$51)*W276))</f>
        <v>1.1633385918685107E-14</v>
      </c>
      <c r="X277" s="8">
        <f>IF((U277&gt;U276), (EXP(-LN(2)/inputs!$C$51)*X276+$X$3), (EXP(-LN(2)/inputs!$C$51)*X276))</f>
        <v>4.9270810949725068E-15</v>
      </c>
      <c r="Y277" s="8">
        <f>IF((U277&gt;U276), (EXP(-LN(2)/inputs!$C$51)*Y276+$Y$3), (EXP(-LN(2)/inputs!$C$51)*Y276))</f>
        <v>6.1588513687156438E-15</v>
      </c>
      <c r="Z277" s="8">
        <f>IF((U277&gt;U276), (EXP(-LN(2)/inputs!$C$51)*Z276+$Z$3), (EXP(-LN(2)/inputs!$C$51)*Z276))</f>
        <v>9.5804354624465393E-16</v>
      </c>
      <c r="AA277" s="8">
        <f>IF((U277&gt;U276), (EXP(-LN(2)/inputs!$C$51)*AA276+$AA$3), (EXP(-LN(2)/inputs!$C$51)*AA276))</f>
        <v>8.8961186437003573E-15</v>
      </c>
      <c r="AB277" s="7">
        <f>(((0.621*15^0.564)/0.2))*W277/15+AB276*inputs!$C$53</f>
        <v>1.2518275264341934E-14</v>
      </c>
      <c r="AC277" s="7">
        <f>(((0.621*1000^0.564)/0.2))*W277/1000+AC276*inputs!$C$53</f>
        <v>2.0059508420635201E-15</v>
      </c>
      <c r="AD277" s="7">
        <f>(((0.648*20^0.651)/0.2))*AA277/20+AD276*inputs!$C$54</f>
        <v>1.3400064767867816E-14</v>
      </c>
      <c r="AE277" s="7">
        <f>(((0.013*2^0.773)/0.2))*AA277/2+AE276*inputs!$C$54</f>
        <v>6.5343275888369402E-16</v>
      </c>
    </row>
    <row r="278" spans="1:31" x14ac:dyDescent="0.3">
      <c r="A278" s="7">
        <f>IF(A277&lt;(inputs!$C$9-1),(1+A277),0)</f>
        <v>0</v>
      </c>
      <c r="B278" s="7">
        <f>IF(inputs!$C$8&gt;B277,IF(A277=(inputs!$C$9-1),(B277+1),B277), B277)</f>
        <v>1</v>
      </c>
      <c r="C278" s="7">
        <f t="shared" si="9"/>
        <v>275</v>
      </c>
      <c r="D278" s="8">
        <f>IF((B278&gt;B277), (EXP(-LN(2)/inputs!$C$51)*D277+$D$3), (EXP(-LN(2)/inputs!$C$51)*D277))</f>
        <v>2.8820422220215807E-14</v>
      </c>
      <c r="E278" s="8">
        <f>IF((B278&gt;B277), (EXP(-LN(2)/inputs!$C$51)*E277+$E$3), (EXP(-LN(2)/inputs!$C$51)*E277))</f>
        <v>1.3209360184265579E-14</v>
      </c>
      <c r="F278" s="8">
        <f>IF((B278&gt;B277), (EXP(-LN(2)/inputs!$C$51)*F277+$F$3), (EXP(-LN(2)/inputs!$C$51)*F277))</f>
        <v>1.6211487498871407E-14</v>
      </c>
      <c r="G278" s="8">
        <f>IF((B278&gt;B277), (EXP(-LN(2)/inputs!$C$51)*G277+$G$3), (EXP(-LN(2)/inputs!$C$51)*G277))</f>
        <v>1.801276388763488E-15</v>
      </c>
      <c r="H278" s="8">
        <f>IF((B278&gt;B277), (EXP(-LN(2)/inputs!$C$51)*H277+$H$3), (EXP(-LN(2)/inputs!$C$51)*H277))</f>
        <v>1.1287998702917866E-14</v>
      </c>
      <c r="I278" s="7">
        <f>O278*(10^inputs!$C$55)*0.01/1</f>
        <v>3.4825352554758646E-2</v>
      </c>
      <c r="J278" s="7">
        <f>(((0.621*15^0.564)/0.2))*D278/15+J277*inputs!$C$53</f>
        <v>3.1012637344708364E-14</v>
      </c>
      <c r="K278" s="7">
        <f>(((0.621*1000^0.564)/0.2))*D278/1000+K277*inputs!$C$53</f>
        <v>4.96952053558303E-15</v>
      </c>
      <c r="L278" s="7">
        <f>(((0.648*20^0.651)/0.2))*H278/20+L277*inputs!$C$54</f>
        <v>1.7002911019607362E-14</v>
      </c>
      <c r="M278" s="7">
        <f>(((0.013*2^0.773)/0.2))*H278/2+M277*inputs!$C$54</f>
        <v>8.2911980270703101E-16</v>
      </c>
      <c r="N278" s="7">
        <f>O278*0.015*inputs!$C$56</f>
        <v>5.116526830329122E-3</v>
      </c>
      <c r="O278" s="7">
        <f>IF((B278&gt;B277), (EXP(-LN(2)/inputs!$C$52)*O277+$O$3), (EXP(-LN(2)/inputs!$C$52)*O277))</f>
        <v>5.519446418909517E-4</v>
      </c>
      <c r="P278" s="3">
        <f>IF((B278&gt;B277), (EXP(-LN(2)/inputs!$C$52)*P277+$P$3), (EXP(-LN(2)/inputs!$C$52)*P277))</f>
        <v>5.3334682379337593E-4</v>
      </c>
      <c r="Q278" s="19">
        <f>IF((F278*0.62*1/(0.012*(10^inputs!$C$55)))&gt;inputs!$C$57, inputs!$C$57, (F278*0.62*1/(0.012*(10^inputs!$C$55))))</f>
        <v>1.3274962691258684E-16</v>
      </c>
      <c r="R278" s="3">
        <f>IF((B278&gt;B277), (EXP(-LN(2)/inputs!$C$51)*R277+$R$3), (EXP(-LN(2)/inputs!$C$51)*R277))</f>
        <v>3.0843633998415556E-22</v>
      </c>
      <c r="T278" s="7">
        <f>IF(T277&lt;(inputs!$C$9-1),(1+T277),0)</f>
        <v>0</v>
      </c>
      <c r="U278" s="7">
        <f>IF(inputs!$C$8&gt;U277,IF(T277=(inputs!$C$9-1),(U277+1),U277), U277)</f>
        <v>1</v>
      </c>
      <c r="V278" s="7">
        <f t="shared" si="8"/>
        <v>275</v>
      </c>
      <c r="W278" s="8">
        <f>IF((U278&gt;U277), (EXP(-LN(2)/inputs!$C$51)*W277+$W$3), (EXP(-LN(2)/inputs!$C$51)*W277))</f>
        <v>1.0207232869659784E-14</v>
      </c>
      <c r="X278" s="8">
        <f>IF((U278&gt;U277), (EXP(-LN(2)/inputs!$C$51)*X277+$X$3), (EXP(-LN(2)/inputs!$C$51)*X277))</f>
        <v>4.3230633330323709E-15</v>
      </c>
      <c r="Y278" s="8">
        <f>IF((U278&gt;U277), (EXP(-LN(2)/inputs!$C$51)*Y277+$Y$3), (EXP(-LN(2)/inputs!$C$51)*Y277))</f>
        <v>5.4038291662904733E-15</v>
      </c>
      <c r="Z278" s="8">
        <f>IF((U278&gt;U277), (EXP(-LN(2)/inputs!$C$51)*Z277+$Z$3), (EXP(-LN(2)/inputs!$C$51)*Z277))</f>
        <v>8.4059564808962756E-16</v>
      </c>
      <c r="AA278" s="8">
        <f>IF((U278&gt;U277), (EXP(-LN(2)/inputs!$C$51)*AA277+$AA$3), (EXP(-LN(2)/inputs!$C$51)*AA277))</f>
        <v>7.8055310179751126E-15</v>
      </c>
      <c r="AB278" s="7">
        <f>(((0.621*15^0.564)/0.2))*W278/15+AB277*inputs!$C$53</f>
        <v>1.0983642392917567E-14</v>
      </c>
      <c r="AC278" s="7">
        <f>(((0.621*1000^0.564)/0.2))*W278/1000+AC277*inputs!$C$53</f>
        <v>1.7600385230189927E-15</v>
      </c>
      <c r="AD278" s="7">
        <f>(((0.648*20^0.651)/0.2))*AA278/20+AD277*inputs!$C$54</f>
        <v>1.1757332088026356E-14</v>
      </c>
      <c r="AE278" s="7">
        <f>(((0.013*2^0.773)/0.2))*AA278/2+AE277*inputs!$C$54</f>
        <v>5.7332752314847832E-16</v>
      </c>
    </row>
    <row r="279" spans="1:31" x14ac:dyDescent="0.3">
      <c r="A279" s="7">
        <f>IF(A278&lt;(inputs!$C$9-1),(1+A278),0)</f>
        <v>0</v>
      </c>
      <c r="B279" s="7">
        <f>IF(inputs!$C$8&gt;B278,IF(A278=(inputs!$C$9-1),(B278+1),B278), B278)</f>
        <v>1</v>
      </c>
      <c r="C279" s="7">
        <f t="shared" si="9"/>
        <v>276</v>
      </c>
      <c r="D279" s="8">
        <f>IF((B279&gt;B278), (EXP(-LN(2)/inputs!$C$51)*D278+$D$3), (EXP(-LN(2)/inputs!$C$51)*D278))</f>
        <v>2.528728635496948E-14</v>
      </c>
      <c r="E279" s="8">
        <f>IF((B279&gt;B278), (EXP(-LN(2)/inputs!$C$51)*E278+$E$3), (EXP(-LN(2)/inputs!$C$51)*E278))</f>
        <v>1.159000624602768E-14</v>
      </c>
      <c r="F279" s="8">
        <f>IF((B279&gt;B278), (EXP(-LN(2)/inputs!$C$51)*F278+$F$3), (EXP(-LN(2)/inputs!$C$51)*F278))</f>
        <v>1.4224098574670347E-14</v>
      </c>
      <c r="G279" s="8">
        <f>IF((B279&gt;B278), (EXP(-LN(2)/inputs!$C$51)*G278+$G$3), (EXP(-LN(2)/inputs!$C$51)*G278))</f>
        <v>1.5804553971855925E-15</v>
      </c>
      <c r="H279" s="8">
        <f>IF((B279&gt;B278), (EXP(-LN(2)/inputs!$C$51)*H278+$H$3), (EXP(-LN(2)/inputs!$C$51)*H278))</f>
        <v>9.9041871556963877E-15</v>
      </c>
      <c r="I279" s="7">
        <f>O279*(10^inputs!$C$55)*0.01/1</f>
        <v>3.4122567245154091E-2</v>
      </c>
      <c r="J279" s="7">
        <f>(((0.621*15^0.564)/0.2))*D279/15+J278*inputs!$C$53</f>
        <v>2.7210754761544522E-14</v>
      </c>
      <c r="K279" s="7">
        <f>(((0.621*1000^0.564)/0.2))*D279/1000+K278*inputs!$C$53</f>
        <v>4.3603000632670251E-15</v>
      </c>
      <c r="L279" s="7">
        <f>(((0.648*20^0.651)/0.2))*H279/20+L278*inputs!$C$54</f>
        <v>1.4918500379195967E-14</v>
      </c>
      <c r="M279" s="7">
        <f>(((0.013*2^0.773)/0.2))*H279/2+M278*inputs!$C$54</f>
        <v>7.2747684657173279E-16</v>
      </c>
      <c r="N279" s="7">
        <f>O279*0.015*inputs!$C$56</f>
        <v>5.0132738945002919E-3</v>
      </c>
      <c r="O279" s="7">
        <f>IF((B279&gt;B278), (EXP(-LN(2)/inputs!$C$52)*O278+$O$3), (EXP(-LN(2)/inputs!$C$52)*O278))</f>
        <v>5.408062453614123E-4</v>
      </c>
      <c r="P279" s="3">
        <f>IF((B279&gt;B278), (EXP(-LN(2)/inputs!$C$52)*P278+$P$3), (EXP(-LN(2)/inputs!$C$52)*P278))</f>
        <v>5.2258373641050264E-4</v>
      </c>
      <c r="Q279" s="19">
        <f>IF((F279*0.62*1/(0.012*(10^inputs!$C$55)))&gt;inputs!$C$57, inputs!$C$57, (F279*0.62*1/(0.012*(10^inputs!$C$55))))</f>
        <v>1.1647566449943599E-16</v>
      </c>
      <c r="R279" s="3">
        <f>IF((B279&gt;B278), (EXP(-LN(2)/inputs!$C$51)*R278+$R$3), (EXP(-LN(2)/inputs!$C$51)*R278))</f>
        <v>2.7062469771824397E-22</v>
      </c>
      <c r="T279" s="7">
        <f>IF(T278&lt;(inputs!$C$9-1),(1+T278),0)</f>
        <v>0</v>
      </c>
      <c r="U279" s="7">
        <f>IF(inputs!$C$8&gt;U278,IF(T278=(inputs!$C$9-1),(U278+1),U278), U278)</f>
        <v>1</v>
      </c>
      <c r="V279" s="7">
        <f t="shared" si="8"/>
        <v>276</v>
      </c>
      <c r="W279" s="8">
        <f>IF((U279&gt;U278), (EXP(-LN(2)/inputs!$C$51)*W278+$W$3), (EXP(-LN(2)/inputs!$C$51)*W278))</f>
        <v>8.9559139173850406E-15</v>
      </c>
      <c r="X279" s="8">
        <f>IF((U279&gt;U278), (EXP(-LN(2)/inputs!$C$51)*X278+$X$3), (EXP(-LN(2)/inputs!$C$51)*X278))</f>
        <v>3.7930929532454216E-15</v>
      </c>
      <c r="Y279" s="8">
        <f>IF((U279&gt;U278), (EXP(-LN(2)/inputs!$C$51)*Y278+$Y$3), (EXP(-LN(2)/inputs!$C$51)*Y278))</f>
        <v>4.7413661915567861E-15</v>
      </c>
      <c r="Z279" s="8">
        <f>IF((U279&gt;U278), (EXP(-LN(2)/inputs!$C$51)*Z278+$Z$3), (EXP(-LN(2)/inputs!$C$51)*Z278))</f>
        <v>7.3754585201994302E-16</v>
      </c>
      <c r="AA279" s="8">
        <f>IF((U279&gt;U278), (EXP(-LN(2)/inputs!$C$51)*AA278+$AA$3), (EXP(-LN(2)/inputs!$C$51)*AA278))</f>
        <v>6.8486400544708991E-15</v>
      </c>
      <c r="AB279" s="7">
        <f>(((0.621*15^0.564)/0.2))*W279/15+AB278*inputs!$C$53</f>
        <v>9.6371423113803699E-15</v>
      </c>
      <c r="AC279" s="7">
        <f>(((0.621*1000^0.564)/0.2))*W279/1000+AC278*inputs!$C$53</f>
        <v>1.5442729390737408E-15</v>
      </c>
      <c r="AD279" s="7">
        <f>(((0.648*20^0.651)/0.2))*AA279/20+AD278*inputs!$C$54</f>
        <v>1.0315984304763159E-14</v>
      </c>
      <c r="AE279" s="7">
        <f>(((0.013*2^0.773)/0.2))*AA279/2+AE278*inputs!$C$54</f>
        <v>5.0304250028896362E-16</v>
      </c>
    </row>
    <row r="280" spans="1:31" x14ac:dyDescent="0.3">
      <c r="A280" s="7">
        <f>IF(A279&lt;(inputs!$C$9-1),(1+A279),0)</f>
        <v>0</v>
      </c>
      <c r="B280" s="7">
        <f>IF(inputs!$C$8&gt;B279,IF(A279=(inputs!$C$9-1),(B279+1),B279), B279)</f>
        <v>1</v>
      </c>
      <c r="C280" s="7">
        <f t="shared" si="9"/>
        <v>277</v>
      </c>
      <c r="D280" s="8">
        <f>IF((B280&gt;B279), (EXP(-LN(2)/inputs!$C$51)*D279+$D$3), (EXP(-LN(2)/inputs!$C$51)*D279))</f>
        <v>2.2187282556523125E-14</v>
      </c>
      <c r="E280" s="8">
        <f>IF((B280&gt;B279), (EXP(-LN(2)/inputs!$C$51)*E279+$E$3), (EXP(-LN(2)/inputs!$C$51)*E279))</f>
        <v>1.0169171171739767E-14</v>
      </c>
      <c r="F280" s="8">
        <f>IF((B280&gt;B279), (EXP(-LN(2)/inputs!$C$51)*F279+$F$3), (EXP(-LN(2)/inputs!$C$51)*F279))</f>
        <v>1.2480346438044272E-14</v>
      </c>
      <c r="G280" s="8">
        <f>IF((B280&gt;B279), (EXP(-LN(2)/inputs!$C$51)*G279+$G$3), (EXP(-LN(2)/inputs!$C$51)*G279))</f>
        <v>1.3867051597826953E-15</v>
      </c>
      <c r="H280" s="8">
        <f>IF((B280&gt;B279), (EXP(-LN(2)/inputs!$C$51)*H279+$H$3), (EXP(-LN(2)/inputs!$C$51)*H279))</f>
        <v>8.6900190013048976E-15</v>
      </c>
      <c r="I280" s="7">
        <f>O280*(10^inputs!$C$55)*0.01/1</f>
        <v>3.3433964338746146E-2</v>
      </c>
      <c r="J280" s="7">
        <f>(((0.621*15^0.564)/0.2))*D280/15+J279*inputs!$C$53</f>
        <v>2.3874950281171599E-14</v>
      </c>
      <c r="K280" s="7">
        <f>(((0.621*1000^0.564)/0.2))*D280/1000+K279*inputs!$C$53</f>
        <v>3.8257647806451596E-15</v>
      </c>
      <c r="L280" s="7">
        <f>(((0.648*20^0.651)/0.2))*H280/20+L279*inputs!$C$54</f>
        <v>1.308962055423435E-14</v>
      </c>
      <c r="M280" s="7">
        <f>(((0.013*2^0.773)/0.2))*H280/2+M279*inputs!$C$54</f>
        <v>6.3829444257641612E-16</v>
      </c>
      <c r="N280" s="7">
        <f>O280*0.015*inputs!$C$56</f>
        <v>4.912104631661131E-3</v>
      </c>
      <c r="O280" s="7">
        <f>IF((B280&gt;B279), (EXP(-LN(2)/inputs!$C$52)*O279+$O$3), (EXP(-LN(2)/inputs!$C$52)*O279))</f>
        <v>5.2989262477466355E-4</v>
      </c>
      <c r="P280" s="3">
        <f>IF((B280&gt;B279), (EXP(-LN(2)/inputs!$C$52)*P279+$P$3), (EXP(-LN(2)/inputs!$C$52)*P279))</f>
        <v>5.1203785112735774E-4</v>
      </c>
      <c r="Q280" s="19">
        <f>IF((F280*0.62*1/(0.012*(10^inputs!$C$55)))&gt;inputs!$C$57, inputs!$C$57, (F280*0.62*1/(0.012*(10^inputs!$C$55))))</f>
        <v>1.0219674989759869E-16</v>
      </c>
      <c r="R280" s="3">
        <f>IF((B280&gt;B279), (EXP(-LN(2)/inputs!$C$51)*R279+$R$3), (EXP(-LN(2)/inputs!$C$51)*R279))</f>
        <v>2.3744843755717356E-22</v>
      </c>
      <c r="T280" s="7">
        <f>IF(T279&lt;(inputs!$C$9-1),(1+T279),0)</f>
        <v>0</v>
      </c>
      <c r="U280" s="7">
        <f>IF(inputs!$C$8&gt;U279,IF(T279=(inputs!$C$9-1),(U279+1),U279), U279)</f>
        <v>1</v>
      </c>
      <c r="V280" s="7">
        <f t="shared" si="8"/>
        <v>277</v>
      </c>
      <c r="W280" s="8">
        <f>IF((U280&gt;U279), (EXP(-LN(2)/inputs!$C$51)*W279+$W$3), (EXP(-LN(2)/inputs!$C$51)*W279))</f>
        <v>7.8579959054352882E-15</v>
      </c>
      <c r="X280" s="8">
        <f>IF((U280&gt;U279), (EXP(-LN(2)/inputs!$C$51)*X279+$X$3), (EXP(-LN(2)/inputs!$C$51)*X279))</f>
        <v>3.3280923834784683E-15</v>
      </c>
      <c r="Y280" s="8">
        <f>IF((U280&gt;U279), (EXP(-LN(2)/inputs!$C$51)*Y279+$Y$3), (EXP(-LN(2)/inputs!$C$51)*Y279))</f>
        <v>4.1601154793480935E-15</v>
      </c>
      <c r="Z280" s="8">
        <f>IF((U280&gt;U279), (EXP(-LN(2)/inputs!$C$51)*Z279+$Z$3), (EXP(-LN(2)/inputs!$C$51)*Z279))</f>
        <v>6.4712907456525767E-16</v>
      </c>
      <c r="AA280" s="8">
        <f>IF((U280&gt;U279), (EXP(-LN(2)/inputs!$C$51)*AA279+$AA$3), (EXP(-LN(2)/inputs!$C$51)*AA279))</f>
        <v>6.0090556923916786E-15</v>
      </c>
      <c r="AB280" s="7">
        <f>(((0.621*15^0.564)/0.2))*W280/15+AB279*inputs!$C$53</f>
        <v>8.455711557914957E-15</v>
      </c>
      <c r="AC280" s="7">
        <f>(((0.621*1000^0.564)/0.2))*W280/1000+AC279*inputs!$C$53</f>
        <v>1.3549583598118298E-15</v>
      </c>
      <c r="AD280" s="7">
        <f>(((0.648*20^0.651)/0.2))*AA280/20+AD279*inputs!$C$54</f>
        <v>9.0513333619705521E-15</v>
      </c>
      <c r="AE280" s="7">
        <f>(((0.013*2^0.773)/0.2))*AA280/2+AE279*inputs!$C$54</f>
        <v>4.4137381667518091E-16</v>
      </c>
    </row>
    <row r="281" spans="1:31" x14ac:dyDescent="0.3">
      <c r="A281" s="7">
        <f>IF(A280&lt;(inputs!$C$9-1),(1+A280),0)</f>
        <v>0</v>
      </c>
      <c r="B281" s="7">
        <f>IF(inputs!$C$8&gt;B280,IF(A280=(inputs!$C$9-1),(B280+1),B280), B280)</f>
        <v>1</v>
      </c>
      <c r="C281" s="7">
        <f t="shared" si="9"/>
        <v>278</v>
      </c>
      <c r="D281" s="8">
        <f>IF((B281&gt;B280), (EXP(-LN(2)/inputs!$C$51)*D280+$D$3), (EXP(-LN(2)/inputs!$C$51)*D280))</f>
        <v>1.9467312559073899E-14</v>
      </c>
      <c r="E281" s="8">
        <f>IF((B281&gt;B280), (EXP(-LN(2)/inputs!$C$51)*E280+$E$3), (EXP(-LN(2)/inputs!$C$51)*E280))</f>
        <v>8.9225182562422035E-15</v>
      </c>
      <c r="F281" s="8">
        <f>IF((B281&gt;B280), (EXP(-LN(2)/inputs!$C$51)*F280+$F$3), (EXP(-LN(2)/inputs!$C$51)*F280))</f>
        <v>1.0950363314479079E-14</v>
      </c>
      <c r="G281" s="8">
        <f>IF((B281&gt;B280), (EXP(-LN(2)/inputs!$C$51)*G280+$G$3), (EXP(-LN(2)/inputs!$C$51)*G280))</f>
        <v>1.2167070349421187E-15</v>
      </c>
      <c r="H281" s="8">
        <f>IF((B281&gt;B280), (EXP(-LN(2)/inputs!$C$51)*H280+$H$3), (EXP(-LN(2)/inputs!$C$51)*H280))</f>
        <v>7.6246974189706153E-15</v>
      </c>
      <c r="I281" s="7">
        <f>O281*(10^inputs!$C$55)*0.01/1</f>
        <v>3.2759257630690077E-2</v>
      </c>
      <c r="J281" s="7">
        <f>(((0.621*15^0.564)/0.2))*D281/15+J280*inputs!$C$53</f>
        <v>2.0948086737159696E-14</v>
      </c>
      <c r="K281" s="7">
        <f>(((0.621*1000^0.564)/0.2))*D281/1000+K280*inputs!$C$53</f>
        <v>3.3567589258658245E-15</v>
      </c>
      <c r="L281" s="7">
        <f>(((0.648*20^0.651)/0.2))*H281/20+L280*inputs!$C$54</f>
        <v>1.1484945664697476E-14</v>
      </c>
      <c r="M281" s="7">
        <f>(((0.013*2^0.773)/0.2))*H281/2+M280*inputs!$C$54</f>
        <v>5.6004503420819754E-16</v>
      </c>
      <c r="N281" s="7">
        <f>O281*0.015*inputs!$C$56</f>
        <v>4.8129769927106325E-3</v>
      </c>
      <c r="O281" s="7">
        <f>IF((B281&gt;B280), (EXP(-LN(2)/inputs!$C$52)*O280+$O$3), (EXP(-LN(2)/inputs!$C$52)*O280))</f>
        <v>5.1919924408960435E-4</v>
      </c>
      <c r="P281" s="3">
        <f>IF((B281&gt;B280), (EXP(-LN(2)/inputs!$C$52)*P280+$P$3), (EXP(-LN(2)/inputs!$C$52)*P280))</f>
        <v>5.0170478474510164E-4</v>
      </c>
      <c r="Q281" s="19">
        <f>IF((F281*0.62*1/(0.012*(10^inputs!$C$55)))&gt;inputs!$C$57, inputs!$C$57, (F281*0.62*1/(0.012*(10^inputs!$C$55))))</f>
        <v>8.9668307405817904E-17</v>
      </c>
      <c r="R281" s="3">
        <f>IF((B281&gt;B280), (EXP(-LN(2)/inputs!$C$51)*R280+$R$3), (EXP(-LN(2)/inputs!$C$51)*R280))</f>
        <v>2.0833930152614457E-22</v>
      </c>
      <c r="T281" s="7">
        <f>IF(T280&lt;(inputs!$C$9-1),(1+T280),0)</f>
        <v>0</v>
      </c>
      <c r="U281" s="7">
        <f>IF(inputs!$C$8&gt;U280,IF(T280=(inputs!$C$9-1),(U280+1),U280), U280)</f>
        <v>1</v>
      </c>
      <c r="V281" s="7">
        <f t="shared" si="8"/>
        <v>278</v>
      </c>
      <c r="W281" s="8">
        <f>IF((U281&gt;U280), (EXP(-LN(2)/inputs!$C$51)*W280+$W$3), (EXP(-LN(2)/inputs!$C$51)*W280))</f>
        <v>6.8946731980053517E-15</v>
      </c>
      <c r="X281" s="8">
        <f>IF((U281&gt;U280), (EXP(-LN(2)/inputs!$C$51)*X280+$X$3), (EXP(-LN(2)/inputs!$C$51)*X280))</f>
        <v>2.9200968838610841E-15</v>
      </c>
      <c r="Y281" s="8">
        <f>IF((U281&gt;U280), (EXP(-LN(2)/inputs!$C$51)*Y280+$Y$3), (EXP(-LN(2)/inputs!$C$51)*Y280))</f>
        <v>3.6501211048263623E-15</v>
      </c>
      <c r="Z281" s="8">
        <f>IF((U281&gt;U280), (EXP(-LN(2)/inputs!$C$51)*Z280+$Z$3), (EXP(-LN(2)/inputs!$C$51)*Z280))</f>
        <v>5.677966163063219E-16</v>
      </c>
      <c r="AA281" s="8">
        <f>IF((U281&gt;U280), (EXP(-LN(2)/inputs!$C$51)*AA280+$AA$3), (EXP(-LN(2)/inputs!$C$51)*AA280))</f>
        <v>5.2723971514158459E-15</v>
      </c>
      <c r="AB281" s="7">
        <f>(((0.621*15^0.564)/0.2))*W281/15+AB280*inputs!$C$53</f>
        <v>7.4191140527440732E-15</v>
      </c>
      <c r="AC281" s="7">
        <f>(((0.621*1000^0.564)/0.2))*W281/1000+AC280*inputs!$C$53</f>
        <v>1.1888521195774816E-15</v>
      </c>
      <c r="AD281" s="7">
        <f>(((0.648*20^0.651)/0.2))*AA281/20+AD280*inputs!$C$54</f>
        <v>7.9417177468652691E-15</v>
      </c>
      <c r="AE281" s="7">
        <f>(((0.013*2^0.773)/0.2))*AA281/2+AE280*inputs!$C$54</f>
        <v>3.8726518322907236E-16</v>
      </c>
    </row>
    <row r="282" spans="1:31" x14ac:dyDescent="0.3">
      <c r="A282" s="7">
        <f>IF(A281&lt;(inputs!$C$9-1),(1+A281),0)</f>
        <v>0</v>
      </c>
      <c r="B282" s="7">
        <f>IF(inputs!$C$8&gt;B281,IF(A281=(inputs!$C$9-1),(B281+1),B281), B281)</f>
        <v>1</v>
      </c>
      <c r="C282" s="7">
        <f t="shared" si="9"/>
        <v>279</v>
      </c>
      <c r="D282" s="8">
        <f>IF((B282&gt;B281), (EXP(-LN(2)/inputs!$C$51)*D281+$D$3), (EXP(-LN(2)/inputs!$C$51)*D281))</f>
        <v>1.708078748748148E-14</v>
      </c>
      <c r="E282" s="8">
        <f>IF((B282&gt;B281), (EXP(-LN(2)/inputs!$C$51)*E281+$E$3), (EXP(-LN(2)/inputs!$C$51)*E281))</f>
        <v>7.8286942650956784E-15</v>
      </c>
      <c r="F282" s="8">
        <f>IF((B282&gt;B281), (EXP(-LN(2)/inputs!$C$51)*F281+$F$3), (EXP(-LN(2)/inputs!$C$51)*F281))</f>
        <v>9.6079429617083421E-15</v>
      </c>
      <c r="G282" s="8">
        <f>IF((B282&gt;B281), (EXP(-LN(2)/inputs!$C$51)*G281+$G$3), (EXP(-LN(2)/inputs!$C$51)*G281))</f>
        <v>1.0675492179675925E-15</v>
      </c>
      <c r="H282" s="8">
        <f>IF((B282&gt;B281), (EXP(-LN(2)/inputs!$C$51)*H281+$H$3), (EXP(-LN(2)/inputs!$C$51)*H281))</f>
        <v>6.6899750992635841E-15</v>
      </c>
      <c r="I282" s="7">
        <f>O282*(10^inputs!$C$55)*0.01/1</f>
        <v>3.2098166691834552E-2</v>
      </c>
      <c r="J282" s="7">
        <f>(((0.621*15^0.564)/0.2))*D282/15+J281*inputs!$C$53</f>
        <v>1.8380031488217697E-14</v>
      </c>
      <c r="K282" s="7">
        <f>(((0.621*1000^0.564)/0.2))*D282/1000+K281*inputs!$C$53</f>
        <v>2.9452491547271047E-15</v>
      </c>
      <c r="L282" s="7">
        <f>(((0.648*20^0.651)/0.2))*H282/20+L281*inputs!$C$54</f>
        <v>1.0076990114001726E-14</v>
      </c>
      <c r="M282" s="7">
        <f>(((0.013*2^0.773)/0.2))*H282/2+M281*inputs!$C$54</f>
        <v>4.9138833024339099E-16</v>
      </c>
      <c r="N282" s="7">
        <f>O282*0.015*inputs!$C$56</f>
        <v>4.7158497771103538E-3</v>
      </c>
      <c r="O282" s="7">
        <f>IF((B282&gt;B281), (EXP(-LN(2)/inputs!$C$52)*O281+$O$3), (EXP(-LN(2)/inputs!$C$52)*O281))</f>
        <v>5.0872165880370588E-4</v>
      </c>
      <c r="P282" s="3">
        <f>IF((B282&gt;B281), (EXP(-LN(2)/inputs!$C$52)*P281+$P$3), (EXP(-LN(2)/inputs!$C$52)*P281))</f>
        <v>4.9158024251906769E-4</v>
      </c>
      <c r="Q282" s="19">
        <f>IF((F282*0.62*1/(0.012*(10^inputs!$C$55)))&gt;inputs!$C$57, inputs!$C$57, (F282*0.62*1/(0.012*(10^inputs!$C$55))))</f>
        <v>7.8675744200092065E-17</v>
      </c>
      <c r="R282" s="3">
        <f>IF((B282&gt;B281), (EXP(-LN(2)/inputs!$C$51)*R281+$R$3), (EXP(-LN(2)/inputs!$C$51)*R281))</f>
        <v>1.8279869519019485E-22</v>
      </c>
      <c r="T282" s="7">
        <f>IF(T281&lt;(inputs!$C$9-1),(1+T281),0)</f>
        <v>0</v>
      </c>
      <c r="U282" s="7">
        <f>IF(inputs!$C$8&gt;U281,IF(T281=(inputs!$C$9-1),(U281+1),U281), U281)</f>
        <v>1</v>
      </c>
      <c r="V282" s="7">
        <f t="shared" si="8"/>
        <v>279</v>
      </c>
      <c r="W282" s="8">
        <f>IF((U282&gt;U281), (EXP(-LN(2)/inputs!$C$51)*W281+$W$3), (EXP(-LN(2)/inputs!$C$51)*W281))</f>
        <v>6.0494455684830352E-15</v>
      </c>
      <c r="X282" s="8">
        <f>IF((U282&gt;U281), (EXP(-LN(2)/inputs!$C$51)*X281+$X$3), (EXP(-LN(2)/inputs!$C$51)*X281))</f>
        <v>2.5621181231222214E-15</v>
      </c>
      <c r="Y282" s="8">
        <f>IF((U282&gt;U281), (EXP(-LN(2)/inputs!$C$51)*Y281+$Y$3), (EXP(-LN(2)/inputs!$C$51)*Y281))</f>
        <v>3.2026476539027833E-15</v>
      </c>
      <c r="Z282" s="8">
        <f>IF((U282&gt;U281), (EXP(-LN(2)/inputs!$C$51)*Z281+$Z$3), (EXP(-LN(2)/inputs!$C$51)*Z281))</f>
        <v>4.9818963505154307E-16</v>
      </c>
      <c r="AA282" s="8">
        <f>IF((U282&gt;U281), (EXP(-LN(2)/inputs!$C$51)*AA281+$AA$3), (EXP(-LN(2)/inputs!$C$51)*AA281))</f>
        <v>4.6260466111928998E-15</v>
      </c>
      <c r="AB282" s="7">
        <f>(((0.621*15^0.564)/0.2))*W282/15+AB281*inputs!$C$53</f>
        <v>6.5095944854104468E-15</v>
      </c>
      <c r="AC282" s="7">
        <f>(((0.621*1000^0.564)/0.2))*W282/1000+AC281*inputs!$C$53</f>
        <v>1.0431090756325182E-15</v>
      </c>
      <c r="AD282" s="7">
        <f>(((0.648*20^0.651)/0.2))*AA282/20+AD281*inputs!$C$54</f>
        <v>6.9681314618096986E-15</v>
      </c>
      <c r="AE282" s="7">
        <f>(((0.013*2^0.773)/0.2))*AA282/2+AE281*inputs!$C$54</f>
        <v>3.3978980282787641E-16</v>
      </c>
    </row>
    <row r="283" spans="1:31" x14ac:dyDescent="0.3">
      <c r="A283" s="7">
        <f>IF(A282&lt;(inputs!$C$9-1),(1+A282),0)</f>
        <v>0</v>
      </c>
      <c r="B283" s="7">
        <f>IF(inputs!$C$8&gt;B282,IF(A282=(inputs!$C$9-1),(B282+1),B282), B282)</f>
        <v>1</v>
      </c>
      <c r="C283" s="7">
        <f t="shared" si="9"/>
        <v>280</v>
      </c>
      <c r="D283" s="8">
        <f>IF((B283&gt;B282), (EXP(-LN(2)/inputs!$C$51)*D282+$D$3), (EXP(-LN(2)/inputs!$C$51)*D282))</f>
        <v>1.4986829861963403E-14</v>
      </c>
      <c r="E283" s="8">
        <f>IF((B283&gt;B282), (EXP(-LN(2)/inputs!$C$51)*E282+$E$3), (EXP(-LN(2)/inputs!$C$51)*E282))</f>
        <v>6.8689636867332264E-15</v>
      </c>
      <c r="F283" s="8">
        <f>IF((B283&gt;B282), (EXP(-LN(2)/inputs!$C$51)*F282+$F$3), (EXP(-LN(2)/inputs!$C$51)*F282))</f>
        <v>8.4300917973544234E-15</v>
      </c>
      <c r="G283" s="8">
        <f>IF((B283&gt;B282), (EXP(-LN(2)/inputs!$C$51)*G282+$G$3), (EXP(-LN(2)/inputs!$C$51)*G282))</f>
        <v>9.3667686637271268E-16</v>
      </c>
      <c r="H283" s="8">
        <f>IF((B283&gt;B282), (EXP(-LN(2)/inputs!$C$51)*H282+$H$3), (EXP(-LN(2)/inputs!$C$51)*H282))</f>
        <v>5.8698416959356699E-15</v>
      </c>
      <c r="I283" s="7">
        <f>O283*(10^inputs!$C$55)*0.01/1</f>
        <v>3.1450416752166616E-2</v>
      </c>
      <c r="J283" s="7">
        <f>(((0.621*15^0.564)/0.2))*D283/15+J282*inputs!$C$53</f>
        <v>1.6126797723660708E-14</v>
      </c>
      <c r="K283" s="7">
        <f>(((0.621*1000^0.564)/0.2))*D283/1000+K282*inputs!$C$53</f>
        <v>2.5841869419274046E-15</v>
      </c>
      <c r="L283" s="7">
        <f>(((0.648*20^0.651)/0.2))*H283/20+L282*inputs!$C$54</f>
        <v>8.8416378032871884E-15</v>
      </c>
      <c r="M283" s="7">
        <f>(((0.013*2^0.773)/0.2))*H283/2+M282*inputs!$C$54</f>
        <v>4.3114834763381518E-16</v>
      </c>
      <c r="N283" s="7">
        <f>O283*0.015*inputs!$C$56</f>
        <v>4.6206826157601886E-3</v>
      </c>
      <c r="O283" s="7">
        <f>IF((B283&gt;B282), (EXP(-LN(2)/inputs!$C$52)*O282+$O$3), (EXP(-LN(2)/inputs!$C$52)*O282))</f>
        <v>4.9845551410573777E-4</v>
      </c>
      <c r="P283" s="3">
        <f>IF((B283&gt;B282), (EXP(-LN(2)/inputs!$C$52)*P282+$P$3), (EXP(-LN(2)/inputs!$C$52)*P282))</f>
        <v>4.8166001637373209E-4</v>
      </c>
      <c r="Q283" s="19">
        <f>IF((F283*0.62*1/(0.012*(10^inputs!$C$55)))&gt;inputs!$C$57, inputs!$C$57, (F283*0.62*1/(0.012*(10^inputs!$C$55))))</f>
        <v>6.9030774690821307E-17</v>
      </c>
      <c r="R283" s="3">
        <f>IF((B283&gt;B282), (EXP(-LN(2)/inputs!$C$51)*R282+$R$3), (EXP(-LN(2)/inputs!$C$51)*R282))</f>
        <v>1.6038914750342704E-22</v>
      </c>
      <c r="T283" s="7">
        <f>IF(T282&lt;(inputs!$C$9-1),(1+T282),0)</f>
        <v>0</v>
      </c>
      <c r="U283" s="7">
        <f>IF(inputs!$C$8&gt;U282,IF(T282=(inputs!$C$9-1),(U282+1),U282), U282)</f>
        <v>1</v>
      </c>
      <c r="V283" s="7">
        <f t="shared" si="8"/>
        <v>280</v>
      </c>
      <c r="W283" s="8">
        <f>IF((U283&gt;U282), (EXP(-LN(2)/inputs!$C$51)*W282+$W$3), (EXP(-LN(2)/inputs!$C$51)*W282))</f>
        <v>5.3078355761120484E-15</v>
      </c>
      <c r="X283" s="8">
        <f>IF((U283&gt;U282), (EXP(-LN(2)/inputs!$C$51)*X282+$X$3), (EXP(-LN(2)/inputs!$C$51)*X282))</f>
        <v>2.24802447929451E-15</v>
      </c>
      <c r="Y283" s="8">
        <f>IF((U283&gt;U282), (EXP(-LN(2)/inputs!$C$51)*Y282+$Y$3), (EXP(-LN(2)/inputs!$C$51)*Y282))</f>
        <v>2.8100305991181434E-15</v>
      </c>
      <c r="Z283" s="8">
        <f>IF((U283&gt;U282), (EXP(-LN(2)/inputs!$C$51)*Z282+$Z$3), (EXP(-LN(2)/inputs!$C$51)*Z282))</f>
        <v>4.371158709739325E-16</v>
      </c>
      <c r="AA283" s="8">
        <f>IF((U283&gt;U282), (EXP(-LN(2)/inputs!$C$51)*AA282+$AA$3), (EXP(-LN(2)/inputs!$C$51)*AA282))</f>
        <v>4.0589330876150874E-15</v>
      </c>
      <c r="AB283" s="7">
        <f>(((0.621*15^0.564)/0.2))*W283/15+AB282*inputs!$C$53</f>
        <v>5.7115741937965121E-15</v>
      </c>
      <c r="AC283" s="7">
        <f>(((0.621*1000^0.564)/0.2))*W283/1000+AC282*inputs!$C$53</f>
        <v>9.1523287526595751E-16</v>
      </c>
      <c r="AD283" s="7">
        <f>(((0.648*20^0.651)/0.2))*AA283/20+AD282*inputs!$C$54</f>
        <v>6.1138984809964549E-15</v>
      </c>
      <c r="AE283" s="7">
        <f>(((0.013*2^0.773)/0.2))*AA283/2+AE282*inputs!$C$54</f>
        <v>2.9813449570423364E-16</v>
      </c>
    </row>
    <row r="284" spans="1:31" x14ac:dyDescent="0.3">
      <c r="A284" s="7">
        <f>IF(A283&lt;(inputs!$C$9-1),(1+A283),0)</f>
        <v>0</v>
      </c>
      <c r="B284" s="7">
        <f>IF(inputs!$C$8&gt;B283,IF(A283=(inputs!$C$9-1),(B283+1),B283), B283)</f>
        <v>1</v>
      </c>
      <c r="C284" s="7">
        <f t="shared" si="9"/>
        <v>281</v>
      </c>
      <c r="D284" s="8">
        <f>IF((B284&gt;B283), (EXP(-LN(2)/inputs!$C$51)*D283+$D$3), (EXP(-LN(2)/inputs!$C$51)*D283))</f>
        <v>1.3149573430150758E-14</v>
      </c>
      <c r="E284" s="8">
        <f>IF((B284&gt;B283), (EXP(-LN(2)/inputs!$C$51)*E283+$E$3), (EXP(-LN(2)/inputs!$C$51)*E283))</f>
        <v>6.0268878221524306E-15</v>
      </c>
      <c r="F284" s="8">
        <f>IF((B284&gt;B283), (EXP(-LN(2)/inputs!$C$51)*F283+$F$3), (EXP(-LN(2)/inputs!$C$51)*F283))</f>
        <v>7.3966350544598097E-15</v>
      </c>
      <c r="G284" s="8">
        <f>IF((B284&gt;B283), (EXP(-LN(2)/inputs!$C$51)*G283+$G$3), (EXP(-LN(2)/inputs!$C$51)*G283))</f>
        <v>8.2184833938442239E-16</v>
      </c>
      <c r="H284" s="8">
        <f>IF((B284&gt;B283), (EXP(-LN(2)/inputs!$C$51)*H283+$H$3), (EXP(-LN(2)/inputs!$C$51)*H283))</f>
        <v>5.1502495934757169E-15</v>
      </c>
      <c r="I284" s="7">
        <f>O284*(10^inputs!$C$55)*0.01/1</f>
        <v>3.0815738586608642E-2</v>
      </c>
      <c r="J284" s="7">
        <f>(((0.621*15^0.564)/0.2))*D284/15+J283*inputs!$C$53</f>
        <v>1.4149791037441112E-14</v>
      </c>
      <c r="K284" s="7">
        <f>(((0.621*1000^0.564)/0.2))*D284/1000+K283*inputs!$C$53</f>
        <v>2.2673878507391918E-15</v>
      </c>
      <c r="L284" s="7">
        <f>(((0.648*20^0.651)/0.2))*H284/20+L283*inputs!$C$54</f>
        <v>7.7577290599794787E-15</v>
      </c>
      <c r="M284" s="7">
        <f>(((0.013*2^0.773)/0.2))*H284/2+M283*inputs!$C$54</f>
        <v>3.7829326873777402E-16</v>
      </c>
      <c r="N284" s="7">
        <f>O284*0.015*inputs!$C$56</f>
        <v>4.5274359542197109E-3</v>
      </c>
      <c r="O284" s="7">
        <f>IF((B284&gt;B283), (EXP(-LN(2)/inputs!$C$52)*O283+$O$3), (EXP(-LN(2)/inputs!$C$52)*O283))</f>
        <v>4.8839654306577246E-4</v>
      </c>
      <c r="P284" s="3">
        <f>IF((B284&gt;B283), (EXP(-LN(2)/inputs!$C$52)*P283+$P$3), (EXP(-LN(2)/inputs!$C$52)*P283))</f>
        <v>4.7193998315370672E-4</v>
      </c>
      <c r="Q284" s="19">
        <f>IF((F284*0.62*1/(0.012*(10^inputs!$C$55)))&gt;inputs!$C$57, inputs!$C$57, (F284*0.62*1/(0.012*(10^inputs!$C$55))))</f>
        <v>6.0568195482151658E-17</v>
      </c>
      <c r="R284" s="3">
        <f>IF((B284&gt;B283), (EXP(-LN(2)/inputs!$C$51)*R283+$R$3), (EXP(-LN(2)/inputs!$C$51)*R283))</f>
        <v>1.4072681760726224E-22</v>
      </c>
      <c r="T284" s="7">
        <f>IF(T283&lt;(inputs!$C$9-1),(1+T283),0)</f>
        <v>0</v>
      </c>
      <c r="U284" s="7">
        <f>IF(inputs!$C$8&gt;U283,IF(T283=(inputs!$C$9-1),(U283+1),U283), U283)</f>
        <v>1</v>
      </c>
      <c r="V284" s="7">
        <f t="shared" si="8"/>
        <v>281</v>
      </c>
      <c r="W284" s="8">
        <f>IF((U284&gt;U283), (EXP(-LN(2)/inputs!$C$51)*W283+$W$3), (EXP(-LN(2)/inputs!$C$51)*W283))</f>
        <v>4.657140589845069E-15</v>
      </c>
      <c r="X284" s="8">
        <f>IF((U284&gt;U283), (EXP(-LN(2)/inputs!$C$51)*X283+$X$3), (EXP(-LN(2)/inputs!$C$51)*X283))</f>
        <v>1.9724360145226134E-15</v>
      </c>
      <c r="Y284" s="8">
        <f>IF((U284&gt;U283), (EXP(-LN(2)/inputs!$C$51)*Y283+$Y$3), (EXP(-LN(2)/inputs!$C$51)*Y283))</f>
        <v>2.465545018153272E-15</v>
      </c>
      <c r="Z284" s="8">
        <f>IF((U284&gt;U283), (EXP(-LN(2)/inputs!$C$51)*Z283+$Z$3), (EXP(-LN(2)/inputs!$C$51)*Z283))</f>
        <v>3.8352922504606369E-16</v>
      </c>
      <c r="AA284" s="8">
        <f>IF((U284&gt;U283), (EXP(-LN(2)/inputs!$C$51)*AA283+$AA$3), (EXP(-LN(2)/inputs!$C$51)*AA283))</f>
        <v>3.5613428039991626E-15</v>
      </c>
      <c r="AB284" s="7">
        <f>(((0.621*15^0.564)/0.2))*W284/15+AB283*inputs!$C$53</f>
        <v>5.0113843257604033E-15</v>
      </c>
      <c r="AC284" s="7">
        <f>(((0.621*1000^0.564)/0.2))*W284/1000+AC283*inputs!$C$53</f>
        <v>8.0303319713679855E-16</v>
      </c>
      <c r="AD284" s="7">
        <f>(((0.648*20^0.651)/0.2))*AA284/20+AD283*inputs!$C$54</f>
        <v>5.3643871159432521E-15</v>
      </c>
      <c r="AE284" s="7">
        <f>(((0.013*2^0.773)/0.2))*AA284/2+AE283*inputs!$C$54</f>
        <v>2.6158577093569459E-16</v>
      </c>
    </row>
    <row r="285" spans="1:31" x14ac:dyDescent="0.3">
      <c r="A285" s="7">
        <f>IF(A284&lt;(inputs!$C$9-1),(1+A284),0)</f>
        <v>0</v>
      </c>
      <c r="B285" s="7">
        <f>IF(inputs!$C$8&gt;B284,IF(A284=(inputs!$C$9-1),(B284+1),B284), B284)</f>
        <v>1</v>
      </c>
      <c r="C285" s="7">
        <f t="shared" si="9"/>
        <v>282</v>
      </c>
      <c r="D285" s="8">
        <f>IF((B285&gt;B284), (EXP(-LN(2)/inputs!$C$51)*D284+$D$3), (EXP(-LN(2)/inputs!$C$51)*D284))</f>
        <v>1.1537548833711382E-14</v>
      </c>
      <c r="E285" s="8">
        <f>IF((B285&gt;B284), (EXP(-LN(2)/inputs!$C$51)*E284+$E$3), (EXP(-LN(2)/inputs!$C$51)*E284))</f>
        <v>5.2880432154510502E-15</v>
      </c>
      <c r="F285" s="8">
        <f>IF((B285&gt;B284), (EXP(-LN(2)/inputs!$C$51)*F284+$F$3), (EXP(-LN(2)/inputs!$C$51)*F284))</f>
        <v>6.4898712189626602E-15</v>
      </c>
      <c r="G285" s="8">
        <f>IF((B285&gt;B284), (EXP(-LN(2)/inputs!$C$51)*G284+$G$3), (EXP(-LN(2)/inputs!$C$51)*G284))</f>
        <v>7.210968021069614E-16</v>
      </c>
      <c r="H285" s="8">
        <f>IF((B285&gt;B284), (EXP(-LN(2)/inputs!$C$51)*H284+$H$3), (EXP(-LN(2)/inputs!$C$51)*H284))</f>
        <v>4.5188732932036274E-15</v>
      </c>
      <c r="I285" s="7">
        <f>O285*(10^inputs!$C$55)*0.01/1</f>
        <v>3.0193868403120043E-2</v>
      </c>
      <c r="J285" s="7">
        <f>(((0.621*15^0.564)/0.2))*D285/15+J284*inputs!$C$53</f>
        <v>1.2415148365722823E-14</v>
      </c>
      <c r="K285" s="7">
        <f>(((0.621*1000^0.564)/0.2))*D285/1000+K284*inputs!$C$53</f>
        <v>1.9894256031822776E-15</v>
      </c>
      <c r="L285" s="7">
        <f>(((0.648*20^0.651)/0.2))*H285/20+L284*inputs!$C$54</f>
        <v>6.8066982053568383E-15</v>
      </c>
      <c r="M285" s="7">
        <f>(((0.013*2^0.773)/0.2))*H285/2+M284*inputs!$C$54</f>
        <v>3.319177678812606E-16</v>
      </c>
      <c r="N285" s="7">
        <f>O285*0.015*inputs!$C$56</f>
        <v>4.4360710362681089E-3</v>
      </c>
      <c r="O285" s="7">
        <f>IF((B285&gt;B284), (EXP(-LN(2)/inputs!$C$52)*O284+$O$3), (EXP(-LN(2)/inputs!$C$52)*O284))</f>
        <v>4.7854056486171622E-4</v>
      </c>
      <c r="P285" s="3">
        <f>IF((B285&gt;B284), (EXP(-LN(2)/inputs!$C$52)*P284+$P$3), (EXP(-LN(2)/inputs!$C$52)*P284))</f>
        <v>4.6241610291002696E-4</v>
      </c>
      <c r="Q285" s="19">
        <f>IF((F285*0.62*1/(0.012*(10^inputs!$C$55)))&gt;inputs!$C$57, inputs!$C$57, (F285*0.62*1/(0.012*(10^inputs!$C$55))))</f>
        <v>5.3143055693563295E-17</v>
      </c>
      <c r="R285" s="3">
        <f>IF((B285&gt;B284), (EXP(-LN(2)/inputs!$C$51)*R284+$R$3), (EXP(-LN(2)/inputs!$C$51)*R284))</f>
        <v>1.2347492023077497E-22</v>
      </c>
      <c r="T285" s="7">
        <f>IF(T284&lt;(inputs!$C$9-1),(1+T284),0)</f>
        <v>0</v>
      </c>
      <c r="U285" s="7">
        <f>IF(inputs!$C$8&gt;U284,IF(T284=(inputs!$C$9-1),(U284+1),U284), U284)</f>
        <v>1</v>
      </c>
      <c r="V285" s="7">
        <f t="shared" si="8"/>
        <v>282</v>
      </c>
      <c r="W285" s="8">
        <f>IF((U285&gt;U284), (EXP(-LN(2)/inputs!$C$51)*W284+$W$3), (EXP(-LN(2)/inputs!$C$51)*W284))</f>
        <v>4.086215211939456E-15</v>
      </c>
      <c r="X285" s="8">
        <f>IF((U285&gt;U284), (EXP(-LN(2)/inputs!$C$51)*X284+$X$3), (EXP(-LN(2)/inputs!$C$51)*X284))</f>
        <v>1.7306323250567071E-15</v>
      </c>
      <c r="Y285" s="8">
        <f>IF((U285&gt;U284), (EXP(-LN(2)/inputs!$C$51)*Y284+$Y$3), (EXP(-LN(2)/inputs!$C$51)*Y284))</f>
        <v>2.1632904063208884E-15</v>
      </c>
      <c r="Z285" s="8">
        <f>IF((U285&gt;U284), (EXP(-LN(2)/inputs!$C$51)*Z284+$Z$3), (EXP(-LN(2)/inputs!$C$51)*Z284))</f>
        <v>3.3651184098324859E-16</v>
      </c>
      <c r="AA285" s="8">
        <f>IF((U285&gt;U284), (EXP(-LN(2)/inputs!$C$51)*AA284+$AA$3), (EXP(-LN(2)/inputs!$C$51)*AA284))</f>
        <v>3.1247528091301653E-15</v>
      </c>
      <c r="AB285" s="7">
        <f>(((0.621*15^0.564)/0.2))*W285/15+AB284*inputs!$C$53</f>
        <v>4.3970317128601762E-15</v>
      </c>
      <c r="AC285" s="7">
        <f>(((0.621*1000^0.564)/0.2))*W285/1000+AC284*inputs!$C$53</f>
        <v>7.0458823446039133E-16</v>
      </c>
      <c r="AD285" s="7">
        <f>(((0.648*20^0.651)/0.2))*AA285/20+AD284*inputs!$C$54</f>
        <v>4.7067593973212138E-15</v>
      </c>
      <c r="AE285" s="7">
        <f>(((0.013*2^0.773)/0.2))*AA285/2+AE284*inputs!$C$54</f>
        <v>2.2951760544980767E-16</v>
      </c>
    </row>
    <row r="286" spans="1:31" x14ac:dyDescent="0.3">
      <c r="A286" s="7">
        <f>IF(A285&lt;(inputs!$C$9-1),(1+A285),0)</f>
        <v>0</v>
      </c>
      <c r="B286" s="7">
        <f>IF(inputs!$C$8&gt;B285,IF(A285=(inputs!$C$9-1),(B285+1),B285), B285)</f>
        <v>1</v>
      </c>
      <c r="C286" s="7">
        <f t="shared" si="9"/>
        <v>283</v>
      </c>
      <c r="D286" s="8">
        <f>IF((B286&gt;B285), (EXP(-LN(2)/inputs!$C$51)*D285+$D$3), (EXP(-LN(2)/inputs!$C$51)*D285))</f>
        <v>1.0123144586960851E-14</v>
      </c>
      <c r="E286" s="8">
        <f>IF((B286&gt;B285), (EXP(-LN(2)/inputs!$C$51)*E285+$E$3), (EXP(-LN(2)/inputs!$C$51)*E285))</f>
        <v>4.6397746023570564E-15</v>
      </c>
      <c r="F286" s="8">
        <f>IF((B286&gt;B285), (EXP(-LN(2)/inputs!$C$51)*F285+$F$3), (EXP(-LN(2)/inputs!$C$51)*F285))</f>
        <v>5.6942688301654852E-15</v>
      </c>
      <c r="G286" s="8">
        <f>IF((B286&gt;B285), (EXP(-LN(2)/inputs!$C$51)*G285+$G$3), (EXP(-LN(2)/inputs!$C$51)*G285))</f>
        <v>6.3269653668505318E-16</v>
      </c>
      <c r="H286" s="8">
        <f>IF((B286&gt;B285), (EXP(-LN(2)/inputs!$C$51)*H285+$H$3), (EXP(-LN(2)/inputs!$C$51)*H285))</f>
        <v>3.9648982965596692E-15</v>
      </c>
      <c r="I286" s="7">
        <f>O286*(10^inputs!$C$55)*0.01/1</f>
        <v>2.9584547733057038E-2</v>
      </c>
      <c r="J286" s="7">
        <f>(((0.621*15^0.564)/0.2))*D286/15+J285*inputs!$C$53</f>
        <v>1.0893157965022819E-14</v>
      </c>
      <c r="K286" s="7">
        <f>(((0.621*1000^0.564)/0.2))*D286/1000+K285*inputs!$C$53</f>
        <v>1.7455391362826966E-15</v>
      </c>
      <c r="L286" s="7">
        <f>(((0.648*20^0.651)/0.2))*H286/20+L285*inputs!$C$54</f>
        <v>5.9722555532160547E-15</v>
      </c>
      <c r="M286" s="7">
        <f>(((0.013*2^0.773)/0.2))*H286/2+M285*inputs!$C$54</f>
        <v>2.9122750453073964E-16</v>
      </c>
      <c r="N286" s="7">
        <f>O286*0.015*inputs!$C$56</f>
        <v>4.3465498877959027E-3</v>
      </c>
      <c r="O286" s="7">
        <f>IF((B286&gt;B285), (EXP(-LN(2)/inputs!$C$52)*O285+$O$3), (EXP(-LN(2)/inputs!$C$52)*O285))</f>
        <v>4.6888348304162917E-4</v>
      </c>
      <c r="P286" s="3">
        <f>IF((B286&gt;B285), (EXP(-LN(2)/inputs!$C$52)*P285+$P$3), (EXP(-LN(2)/inputs!$C$52)*P285))</f>
        <v>4.5308441722102306E-4</v>
      </c>
      <c r="Q286" s="19">
        <f>IF((F286*0.62*1/(0.012*(10^inputs!$C$55)))&gt;inputs!$C$57, inputs!$C$57, (F286*0.62*1/(0.012*(10^inputs!$C$55))))</f>
        <v>4.6628174175692679E-17</v>
      </c>
      <c r="R286" s="3">
        <f>IF((B286&gt;B285), (EXP(-LN(2)/inputs!$C$51)*R285+$R$3), (EXP(-LN(2)/inputs!$C$51)*R285))</f>
        <v>1.0833795708039564E-22</v>
      </c>
      <c r="T286" s="7">
        <f>IF(T285&lt;(inputs!$C$9-1),(1+T285),0)</f>
        <v>0</v>
      </c>
      <c r="U286" s="7">
        <f>IF(inputs!$C$8&gt;U285,IF(T285=(inputs!$C$9-1),(U285+1),U285), U285)</f>
        <v>1</v>
      </c>
      <c r="V286" s="7">
        <f t="shared" si="8"/>
        <v>283</v>
      </c>
      <c r="W286" s="8">
        <f>IF((U286&gt;U285), (EXP(-LN(2)/inputs!$C$51)*W285+$W$3), (EXP(-LN(2)/inputs!$C$51)*W285))</f>
        <v>3.5852803745486419E-15</v>
      </c>
      <c r="X286" s="8">
        <f>IF((U286&gt;U285), (EXP(-LN(2)/inputs!$C$51)*X285+$X$3), (EXP(-LN(2)/inputs!$C$51)*X285))</f>
        <v>1.5184716880441276E-15</v>
      </c>
      <c r="Y286" s="8">
        <f>IF((U286&gt;U285), (EXP(-LN(2)/inputs!$C$51)*Y285+$Y$3), (EXP(-LN(2)/inputs!$C$51)*Y285))</f>
        <v>1.8980896100551632E-15</v>
      </c>
      <c r="Z286" s="8">
        <f>IF((U286&gt;U285), (EXP(-LN(2)/inputs!$C$51)*Z285+$Z$3), (EXP(-LN(2)/inputs!$C$51)*Z285))</f>
        <v>2.9525838378635809E-16</v>
      </c>
      <c r="AA286" s="8">
        <f>IF((U286&gt;U285), (EXP(-LN(2)/inputs!$C$51)*AA285+$AA$3), (EXP(-LN(2)/inputs!$C$51)*AA285))</f>
        <v>2.7416849923018964E-15</v>
      </c>
      <c r="AB286" s="7">
        <f>(((0.621*15^0.564)/0.2))*W286/15+AB285*inputs!$C$53</f>
        <v>3.857993445945589E-15</v>
      </c>
      <c r="AC286" s="7">
        <f>(((0.621*1000^0.564)/0.2))*W286/1000+AC285*inputs!$C$53</f>
        <v>6.1821177743345615E-16</v>
      </c>
      <c r="AD286" s="7">
        <f>(((0.648*20^0.651)/0.2))*AA286/20+AD285*inputs!$C$54</f>
        <v>4.1297511804153537E-15</v>
      </c>
      <c r="AE286" s="7">
        <f>(((0.013*2^0.773)/0.2))*AA286/2+AE285*inputs!$C$54</f>
        <v>2.0138072121806447E-16</v>
      </c>
    </row>
    <row r="287" spans="1:31" x14ac:dyDescent="0.3">
      <c r="A287" s="7">
        <f>IF(A286&lt;(inputs!$C$9-1),(1+A286),0)</f>
        <v>0</v>
      </c>
      <c r="B287" s="7">
        <f>IF(inputs!$C$8&gt;B286,IF(A286=(inputs!$C$9-1),(B286+1),B286), B286)</f>
        <v>1</v>
      </c>
      <c r="C287" s="7">
        <f t="shared" si="9"/>
        <v>284</v>
      </c>
      <c r="D287" s="8">
        <f>IF((B287&gt;B286), (EXP(-LN(2)/inputs!$C$51)*D286+$D$3), (EXP(-LN(2)/inputs!$C$51)*D286))</f>
        <v>8.8821341348593704E-15</v>
      </c>
      <c r="E287" s="8">
        <f>IF((B287&gt;B286), (EXP(-LN(2)/inputs!$C$51)*E286+$E$3), (EXP(-LN(2)/inputs!$C$51)*E286))</f>
        <v>4.0709781451438773E-15</v>
      </c>
      <c r="F287" s="8">
        <f>IF((B287&gt;B286), (EXP(-LN(2)/inputs!$C$51)*F286+$F$3), (EXP(-LN(2)/inputs!$C$51)*F286))</f>
        <v>4.9962004508584015E-15</v>
      </c>
      <c r="G287" s="8">
        <f>IF((B287&gt;B286), (EXP(-LN(2)/inputs!$C$51)*G286+$G$3), (EXP(-LN(2)/inputs!$C$51)*G286))</f>
        <v>5.5513338342871065E-16</v>
      </c>
      <c r="H287" s="8">
        <f>IF((B287&gt;B286), (EXP(-LN(2)/inputs!$C$51)*H286+$H$3), (EXP(-LN(2)/inputs!$C$51)*H286))</f>
        <v>3.4788358694865887E-15</v>
      </c>
      <c r="I287" s="7">
        <f>O287*(10^inputs!$C$55)*0.01/1</f>
        <v>2.8987523323745025E-2</v>
      </c>
      <c r="J287" s="7">
        <f>(((0.621*15^0.564)/0.2))*D287/15+J286*inputs!$C$53</f>
        <v>9.5577504960434289E-15</v>
      </c>
      <c r="K287" s="7">
        <f>(((0.621*1000^0.564)/0.2))*D287/1000+K286*inputs!$C$53</f>
        <v>1.5315510524347942E-15</v>
      </c>
      <c r="L287" s="7">
        <f>(((0.648*20^0.651)/0.2))*H287/20+L286*inputs!$C$54</f>
        <v>5.2401083927666411E-15</v>
      </c>
      <c r="M287" s="7">
        <f>(((0.013*2^0.773)/0.2))*H287/2+M286*inputs!$C$54</f>
        <v>2.5552551746956471E-16</v>
      </c>
      <c r="N287" s="7">
        <f>O287*0.015*inputs!$C$56</f>
        <v>4.2588353010217074E-3</v>
      </c>
      <c r="O287" s="7">
        <f>IF((B287&gt;B286), (EXP(-LN(2)/inputs!$C$52)*O286+$O$3), (EXP(-LN(2)/inputs!$C$52)*O286))</f>
        <v>4.5942128382111196E-4</v>
      </c>
      <c r="P287" s="3">
        <f>IF((B287&gt;B286), (EXP(-LN(2)/inputs!$C$52)*P286+$P$3), (EXP(-LN(2)/inputs!$C$52)*P286))</f>
        <v>4.4394104754707652E-4</v>
      </c>
      <c r="Q287" s="19">
        <f>IF((F287*0.62*1/(0.012*(10^inputs!$C$55)))&gt;inputs!$C$57, inputs!$C$57, (F287*0.62*1/(0.012*(10^inputs!$C$55))))</f>
        <v>4.0911961094139198E-17</v>
      </c>
      <c r="R287" s="3">
        <f>IF((B287&gt;B286), (EXP(-LN(2)/inputs!$C$51)*R286+$R$3), (EXP(-LN(2)/inputs!$C$51)*R286))</f>
        <v>9.5056655411616792E-23</v>
      </c>
      <c r="T287" s="7">
        <f>IF(T286&lt;(inputs!$C$9-1),(1+T286),0)</f>
        <v>0</v>
      </c>
      <c r="U287" s="7">
        <f>IF(inputs!$C$8&gt;U286,IF(T286=(inputs!$C$9-1),(U286+1),U286), U286)</f>
        <v>1</v>
      </c>
      <c r="V287" s="7">
        <f t="shared" si="8"/>
        <v>284</v>
      </c>
      <c r="W287" s="8">
        <f>IF((U287&gt;U286), (EXP(-LN(2)/inputs!$C$51)*W286+$W$3), (EXP(-LN(2)/inputs!$C$51)*W286))</f>
        <v>3.1457558394293664E-15</v>
      </c>
      <c r="X287" s="8">
        <f>IF((U287&gt;U286), (EXP(-LN(2)/inputs!$C$51)*X286+$X$3), (EXP(-LN(2)/inputs!$C$51)*X286))</f>
        <v>1.3323201202289054E-15</v>
      </c>
      <c r="Y287" s="8">
        <f>IF((U287&gt;U286), (EXP(-LN(2)/inputs!$C$51)*Y286+$Y$3), (EXP(-LN(2)/inputs!$C$51)*Y286))</f>
        <v>1.665400150286135E-15</v>
      </c>
      <c r="Z287" s="8">
        <f>IF((U287&gt;U286), (EXP(-LN(2)/inputs!$C$51)*Z286+$Z$3), (EXP(-LN(2)/inputs!$C$51)*Z286))</f>
        <v>2.590622456000649E-16</v>
      </c>
      <c r="AA287" s="8">
        <f>IF((U287&gt;U286), (EXP(-LN(2)/inputs!$C$51)*AA286+$AA$3), (EXP(-LN(2)/inputs!$C$51)*AA286))</f>
        <v>2.4055779948577454E-15</v>
      </c>
      <c r="AB287" s="7">
        <f>(((0.621*15^0.564)/0.2))*W287/15+AB286*inputs!$C$53</f>
        <v>3.3850366340153869E-15</v>
      </c>
      <c r="AC287" s="7">
        <f>(((0.621*1000^0.564)/0.2))*W287/1000+AC286*inputs!$C$53</f>
        <v>5.4242433107065726E-16</v>
      </c>
      <c r="AD287" s="7">
        <f>(((0.648*20^0.651)/0.2))*AA287/20+AD286*inputs!$C$54</f>
        <v>3.6234792077641635E-15</v>
      </c>
      <c r="AE287" s="7">
        <f>(((0.013*2^0.773)/0.2))*AA287/2+AE286*inputs!$C$54</f>
        <v>1.7669317697363501E-16</v>
      </c>
    </row>
    <row r="288" spans="1:31" x14ac:dyDescent="0.3">
      <c r="A288" s="7">
        <f>IF(A287&lt;(inputs!$C$9-1),(1+A287),0)</f>
        <v>0</v>
      </c>
      <c r="B288" s="7">
        <f>IF(inputs!$C$8&gt;B287,IF(A287=(inputs!$C$9-1),(B287+1),B287), B287)</f>
        <v>1</v>
      </c>
      <c r="C288" s="7">
        <f t="shared" si="9"/>
        <v>285</v>
      </c>
      <c r="D288" s="8">
        <f>IF((B288&gt;B287), (EXP(-LN(2)/inputs!$C$51)*D287+$D$3), (EXP(-LN(2)/inputs!$C$51)*D287))</f>
        <v>7.7932608896302346E-15</v>
      </c>
      <c r="E288" s="8">
        <f>IF((B288&gt;B287), (EXP(-LN(2)/inputs!$C$51)*E287+$E$3), (EXP(-LN(2)/inputs!$C$51)*E287))</f>
        <v>3.5719112410805232E-15</v>
      </c>
      <c r="F288" s="8">
        <f>IF((B288&gt;B287), (EXP(-LN(2)/inputs!$C$51)*F287+$F$3), (EXP(-LN(2)/inputs!$C$51)*F287))</f>
        <v>4.3837092504170113E-15</v>
      </c>
      <c r="G288" s="8">
        <f>IF((B288&gt;B287), (EXP(-LN(2)/inputs!$C$51)*G287+$G$3), (EXP(-LN(2)/inputs!$C$51)*G287))</f>
        <v>4.8707880560188967E-16</v>
      </c>
      <c r="H288" s="8">
        <f>IF((B288&gt;B287), (EXP(-LN(2)/inputs!$C$51)*H287+$H$3), (EXP(-LN(2)/inputs!$C$51)*H287))</f>
        <v>3.0523605151051769E-15</v>
      </c>
      <c r="I288" s="7">
        <f>O288*(10^inputs!$C$55)*0.01/1</f>
        <v>2.8402547033218897E-2</v>
      </c>
      <c r="J288" s="7">
        <f>(((0.621*15^0.564)/0.2))*D288/15+J287*inputs!$C$53</f>
        <v>8.3860524962493768E-15</v>
      </c>
      <c r="K288" s="7">
        <f>(((0.621*1000^0.564)/0.2))*D288/1000+K287*inputs!$C$53</f>
        <v>1.3437960670474701E-15</v>
      </c>
      <c r="L288" s="7">
        <f>(((0.648*20^0.651)/0.2))*H288/20+L287*inputs!$C$54</f>
        <v>4.5977161766222285E-15</v>
      </c>
      <c r="M288" s="7">
        <f>(((0.013*2^0.773)/0.2))*H288/2+M287*inputs!$C$54</f>
        <v>2.2420028693133613E-16</v>
      </c>
      <c r="N288" s="7">
        <f>O288*0.015*inputs!$C$56</f>
        <v>4.1728908190275292E-3</v>
      </c>
      <c r="O288" s="7">
        <f>IF((B288&gt;B287), (EXP(-LN(2)/inputs!$C$52)*O287+$O$3), (EXP(-LN(2)/inputs!$C$52)*O287))</f>
        <v>4.5015003441505177E-4</v>
      </c>
      <c r="P288" s="3">
        <f>IF((B288&gt;B287), (EXP(-LN(2)/inputs!$C$52)*P287+$P$3), (EXP(-LN(2)/inputs!$C$52)*P287))</f>
        <v>4.3498219361857803E-4</v>
      </c>
      <c r="Q288" s="19">
        <f>IF((F288*0.62*1/(0.012*(10^inputs!$C$55)))&gt;inputs!$C$57, inputs!$C$57, (F288*0.62*1/(0.012*(10^inputs!$C$55))))</f>
        <v>3.5896506568359414E-17</v>
      </c>
      <c r="R288" s="3">
        <f>IF((B288&gt;B287), (EXP(-LN(2)/inputs!$C$51)*R287+$R$3), (EXP(-LN(2)/inputs!$C$51)*R287))</f>
        <v>8.3403527088272273E-23</v>
      </c>
      <c r="T288" s="7">
        <f>IF(T287&lt;(inputs!$C$9-1),(1+T287),0)</f>
        <v>0</v>
      </c>
      <c r="U288" s="7">
        <f>IF(inputs!$C$8&gt;U287,IF(T287=(inputs!$C$9-1),(U287+1),U287), U287)</f>
        <v>1</v>
      </c>
      <c r="V288" s="7">
        <f t="shared" si="8"/>
        <v>285</v>
      </c>
      <c r="W288" s="8">
        <f>IF((U288&gt;U287), (EXP(-LN(2)/inputs!$C$51)*W287+$W$3), (EXP(-LN(2)/inputs!$C$51)*W287))</f>
        <v>2.7601132317440468E-15</v>
      </c>
      <c r="X288" s="8">
        <f>IF((U288&gt;U287), (EXP(-LN(2)/inputs!$C$51)*X287+$X$3), (EXP(-LN(2)/inputs!$C$51)*X287))</f>
        <v>1.168989133444535E-15</v>
      </c>
      <c r="Y288" s="8">
        <f>IF((U288&gt;U287), (EXP(-LN(2)/inputs!$C$51)*Y287+$Y$3), (EXP(-LN(2)/inputs!$C$51)*Y287))</f>
        <v>1.4612364168056716E-15</v>
      </c>
      <c r="Z288" s="8">
        <f>IF((U288&gt;U287), (EXP(-LN(2)/inputs!$C$51)*Z287+$Z$3), (EXP(-LN(2)/inputs!$C$51)*Z287))</f>
        <v>2.2730344261421511E-16</v>
      </c>
      <c r="AA288" s="8">
        <f>IF((U288&gt;U287), (EXP(-LN(2)/inputs!$C$51)*AA287+$AA$3), (EXP(-LN(2)/inputs!$C$51)*AA287))</f>
        <v>2.1106748242748546E-15</v>
      </c>
      <c r="AB288" s="7">
        <f>(((0.621*15^0.564)/0.2))*W288/15+AB287*inputs!$C$53</f>
        <v>2.9700602590883264E-15</v>
      </c>
      <c r="AC288" s="7">
        <f>(((0.621*1000^0.564)/0.2))*W288/1000+AC287*inputs!$C$53</f>
        <v>4.759277737459799E-16</v>
      </c>
      <c r="AD288" s="7">
        <f>(((0.648*20^0.651)/0.2))*AA288/20+AD287*inputs!$C$54</f>
        <v>3.1792718242600494E-15</v>
      </c>
      <c r="AE288" s="7">
        <f>(((0.013*2^0.773)/0.2))*AA288/2+AE287*inputs!$C$54</f>
        <v>1.5503211330358336E-16</v>
      </c>
    </row>
    <row r="289" spans="1:31" x14ac:dyDescent="0.3">
      <c r="A289" s="7">
        <f>IF(A288&lt;(inputs!$C$9-1),(1+A288),0)</f>
        <v>0</v>
      </c>
      <c r="B289" s="7">
        <f>IF(inputs!$C$8&gt;B288,IF(A288=(inputs!$C$9-1),(B288+1),B288), B288)</f>
        <v>1</v>
      </c>
      <c r="C289" s="7">
        <f t="shared" si="9"/>
        <v>286</v>
      </c>
      <c r="D289" s="8">
        <f>IF((B289&gt;B288), (EXP(-LN(2)/inputs!$C$51)*D288+$D$3), (EXP(-LN(2)/inputs!$C$51)*D288))</f>
        <v>6.8378741383195559E-15</v>
      </c>
      <c r="E289" s="8">
        <f>IF((B289&gt;B288), (EXP(-LN(2)/inputs!$C$51)*E288+$E$3), (EXP(-LN(2)/inputs!$C$51)*E288))</f>
        <v>3.1340256467297958E-15</v>
      </c>
      <c r="F289" s="8">
        <f>IF((B289&gt;B288), (EXP(-LN(2)/inputs!$C$51)*F288+$F$3), (EXP(-LN(2)/inputs!$C$51)*F288))</f>
        <v>3.8463042028047542E-15</v>
      </c>
      <c r="G289" s="8">
        <f>IF((B289&gt;B288), (EXP(-LN(2)/inputs!$C$51)*G288+$G$3), (EXP(-LN(2)/inputs!$C$51)*G288))</f>
        <v>4.2736713364497225E-16</v>
      </c>
      <c r="H289" s="8">
        <f>IF((B289&gt;B288), (EXP(-LN(2)/inputs!$C$51)*H288+$H$3), (EXP(-LN(2)/inputs!$C$51)*H288))</f>
        <v>2.6781673708418278E-15</v>
      </c>
      <c r="I289" s="7">
        <f>O289*(10^inputs!$C$55)*0.01/1</f>
        <v>2.782937572708746E-2</v>
      </c>
      <c r="J289" s="7">
        <f>(((0.621*15^0.564)/0.2))*D289/15+J288*inputs!$C$53</f>
        <v>7.3579945928660542E-15</v>
      </c>
      <c r="K289" s="7">
        <f>(((0.621*1000^0.564)/0.2))*D289/1000+K288*inputs!$C$53</f>
        <v>1.1790582278935361E-15</v>
      </c>
      <c r="L289" s="7">
        <f>(((0.648*20^0.651)/0.2))*H289/20+L288*inputs!$C$54</f>
        <v>4.0340757206384593E-15</v>
      </c>
      <c r="M289" s="7">
        <f>(((0.013*2^0.773)/0.2))*H289/2+M288*inputs!$C$54</f>
        <v>1.9671526021302566E-16</v>
      </c>
      <c r="N289" s="7">
        <f>O289*0.015*inputs!$C$56</f>
        <v>4.0886807206061268E-3</v>
      </c>
      <c r="O289" s="7">
        <f>IF((B289&gt;B288), (EXP(-LN(2)/inputs!$C$52)*O288+$O$3), (EXP(-LN(2)/inputs!$C$52)*O288))</f>
        <v>4.410658814030342E-4</v>
      </c>
      <c r="P289" s="3">
        <f>IF((B289&gt;B288), (EXP(-LN(2)/inputs!$C$52)*P288+$P$3), (EXP(-LN(2)/inputs!$C$52)*P288))</f>
        <v>4.2620413185641708E-4</v>
      </c>
      <c r="Q289" s="19">
        <f>IF((F289*0.62*1/(0.012*(10^inputs!$C$55)))&gt;inputs!$C$57, inputs!$C$57, (F289*0.62*1/(0.012*(10^inputs!$C$55))))</f>
        <v>3.14959036269924E-17</v>
      </c>
      <c r="R289" s="3">
        <f>IF((B289&gt;B288), (EXP(-LN(2)/inputs!$C$51)*R288+$R$3), (EXP(-LN(2)/inputs!$C$51)*R288))</f>
        <v>7.3178972062949962E-23</v>
      </c>
      <c r="T289" s="7">
        <f>IF(T288&lt;(inputs!$C$9-1),(1+T288),0)</f>
        <v>0</v>
      </c>
      <c r="U289" s="7">
        <f>IF(inputs!$C$8&gt;U288,IF(T288=(inputs!$C$9-1),(U288+1),U288), U288)</f>
        <v>1</v>
      </c>
      <c r="V289" s="7">
        <f t="shared" si="8"/>
        <v>286</v>
      </c>
      <c r="W289" s="8">
        <f>IF((U289&gt;U288), (EXP(-LN(2)/inputs!$C$51)*W288+$W$3), (EXP(-LN(2)/inputs!$C$51)*W288))</f>
        <v>2.4217470906548473E-15</v>
      </c>
      <c r="X289" s="8">
        <f>IF((U289&gt;U288), (EXP(-LN(2)/inputs!$C$51)*X288+$X$3), (EXP(-LN(2)/inputs!$C$51)*X288))</f>
        <v>1.0256811207479332E-15</v>
      </c>
      <c r="Y289" s="8">
        <f>IF((U289&gt;U288), (EXP(-LN(2)/inputs!$C$51)*Y288+$Y$3), (EXP(-LN(2)/inputs!$C$51)*Y288))</f>
        <v>1.2821014009349191E-15</v>
      </c>
      <c r="Z289" s="8">
        <f>IF((U289&gt;U288), (EXP(-LN(2)/inputs!$C$51)*Z288+$Z$3), (EXP(-LN(2)/inputs!$C$51)*Z288))</f>
        <v>1.9943799570098699E-16</v>
      </c>
      <c r="AA289" s="8">
        <f>IF((U289&gt;U288), (EXP(-LN(2)/inputs!$C$51)*AA288+$AA$3), (EXP(-LN(2)/inputs!$C$51)*AA288))</f>
        <v>1.8519242457948791E-15</v>
      </c>
      <c r="AB289" s="7">
        <f>(((0.621*15^0.564)/0.2))*W289/15+AB288*inputs!$C$53</f>
        <v>2.6059564183067323E-15</v>
      </c>
      <c r="AC289" s="7">
        <f>(((0.621*1000^0.564)/0.2))*W289/1000+AC288*inputs!$C$53</f>
        <v>4.1758312237896152E-16</v>
      </c>
      <c r="AD289" s="7">
        <f>(((0.648*20^0.651)/0.2))*AA289/20+AD288*inputs!$C$54</f>
        <v>2.7895204451223365E-15</v>
      </c>
      <c r="AE289" s="7">
        <f>(((0.013*2^0.773)/0.2))*AA289/2+AE288*inputs!$C$54</f>
        <v>1.3602650972177293E-16</v>
      </c>
    </row>
    <row r="290" spans="1:31" x14ac:dyDescent="0.3">
      <c r="A290" s="7">
        <f>IF(A289&lt;(inputs!$C$9-1),(1+A289),0)</f>
        <v>0</v>
      </c>
      <c r="B290" s="7">
        <f>IF(inputs!$C$8&gt;B289,IF(A289=(inputs!$C$9-1),(B289+1),B289), B289)</f>
        <v>1</v>
      </c>
      <c r="C290" s="7">
        <f t="shared" si="9"/>
        <v>287</v>
      </c>
      <c r="D290" s="8">
        <f>IF((B290&gt;B289), (EXP(-LN(2)/inputs!$C$51)*D289+$D$3), (EXP(-LN(2)/inputs!$C$51)*D289))</f>
        <v>5.9996095849574281E-15</v>
      </c>
      <c r="E290" s="8">
        <f>IF((B290&gt;B289), (EXP(-LN(2)/inputs!$C$51)*E289+$E$3), (EXP(-LN(2)/inputs!$C$51)*E289))</f>
        <v>2.7498210597721541E-15</v>
      </c>
      <c r="F290" s="8">
        <f>IF((B290&gt;B289), (EXP(-LN(2)/inputs!$C$51)*F289+$F$3), (EXP(-LN(2)/inputs!$C$51)*F289))</f>
        <v>3.3747803915385568E-15</v>
      </c>
      <c r="G290" s="8">
        <f>IF((B290&gt;B289), (EXP(-LN(2)/inputs!$C$51)*G289+$G$3), (EXP(-LN(2)/inputs!$C$51)*G289))</f>
        <v>3.7497559905983926E-16</v>
      </c>
      <c r="H290" s="8">
        <f>IF((B290&gt;B289), (EXP(-LN(2)/inputs!$C$51)*H289+$H$3), (EXP(-LN(2)/inputs!$C$51)*H289))</f>
        <v>2.3498470874416608E-15</v>
      </c>
      <c r="I290" s="7">
        <f>O290*(10^inputs!$C$55)*0.01/1</f>
        <v>2.7267771177479236E-2</v>
      </c>
      <c r="J290" s="7">
        <f>(((0.621*15^0.564)/0.2))*D290/15+J289*inputs!$C$53</f>
        <v>6.4559677455942476E-15</v>
      </c>
      <c r="K290" s="7">
        <f>(((0.621*1000^0.564)/0.2))*D290/1000+K289*inputs!$C$53</f>
        <v>1.0345158308268342E-15</v>
      </c>
      <c r="L290" s="7">
        <f>(((0.648*20^0.651)/0.2))*H290/20+L289*inputs!$C$54</f>
        <v>3.5395327364031493E-15</v>
      </c>
      <c r="M290" s="7">
        <f>(((0.013*2^0.773)/0.2))*H290/2+M289*inputs!$C$54</f>
        <v>1.7259966135783649E-16</v>
      </c>
      <c r="N290" s="7">
        <f>O290*0.015*inputs!$C$56</f>
        <v>4.0061700054141646E-3</v>
      </c>
      <c r="O290" s="7">
        <f>IF((B290&gt;B289), (EXP(-LN(2)/inputs!$C$52)*O289+$O$3), (EXP(-LN(2)/inputs!$C$52)*O289))</f>
        <v>4.3216504912774162E-4</v>
      </c>
      <c r="P290" s="3">
        <f>IF((B290&gt;B289), (EXP(-LN(2)/inputs!$C$52)*P289+$P$3), (EXP(-LN(2)/inputs!$C$52)*P289))</f>
        <v>4.1760321382434604E-4</v>
      </c>
      <c r="Q290" s="19">
        <f>IF((F290*0.62*1/(0.012*(10^inputs!$C$55)))&gt;inputs!$C$57, inputs!$C$57, (F290*0.62*1/(0.012*(10^inputs!$C$55))))</f>
        <v>2.7634776754436972E-17</v>
      </c>
      <c r="R290" s="3">
        <f>IF((B290&gt;B289), (EXP(-LN(2)/inputs!$C$51)*R289+$R$3), (EXP(-LN(2)/inputs!$C$51)*R289))</f>
        <v>6.4207859537190042E-23</v>
      </c>
      <c r="T290" s="7">
        <f>IF(T289&lt;(inputs!$C$9-1),(1+T289),0)</f>
        <v>0</v>
      </c>
      <c r="U290" s="7">
        <f>IF(inputs!$C$8&gt;U289,IF(T289=(inputs!$C$9-1),(U289+1),U289), U289)</f>
        <v>1</v>
      </c>
      <c r="V290" s="7">
        <f t="shared" si="8"/>
        <v>287</v>
      </c>
      <c r="W290" s="8">
        <f>IF((U290&gt;U289), (EXP(-LN(2)/inputs!$C$51)*W289+$W$3), (EXP(-LN(2)/inputs!$C$51)*W289))</f>
        <v>2.1248617280057601E-15</v>
      </c>
      <c r="X290" s="8">
        <f>IF((U290&gt;U289), (EXP(-LN(2)/inputs!$C$51)*X289+$X$3), (EXP(-LN(2)/inputs!$C$51)*X289))</f>
        <v>8.9994143774361398E-16</v>
      </c>
      <c r="Y290" s="8">
        <f>IF((U290&gt;U289), (EXP(-LN(2)/inputs!$C$51)*Y289+$Y$3), (EXP(-LN(2)/inputs!$C$51)*Y289))</f>
        <v>1.1249267971795198E-15</v>
      </c>
      <c r="Z290" s="8">
        <f>IF((U290&gt;U289), (EXP(-LN(2)/inputs!$C$51)*Z289+$Z$3), (EXP(-LN(2)/inputs!$C$51)*Z289))</f>
        <v>1.7498861289459161E-16</v>
      </c>
      <c r="AA290" s="8">
        <f>IF((U290&gt;U289), (EXP(-LN(2)/inputs!$C$51)*AA289+$AA$3), (EXP(-LN(2)/inputs!$C$51)*AA289))</f>
        <v>1.6248942625926362E-15</v>
      </c>
      <c r="AB290" s="7">
        <f>(((0.621*15^0.564)/0.2))*W290/15+AB289*inputs!$C$53</f>
        <v>2.2864885765646335E-15</v>
      </c>
      <c r="AC290" s="7">
        <f>(((0.621*1000^0.564)/0.2))*W290/1000+AC289*inputs!$C$53</f>
        <v>3.6639102341783788E-16</v>
      </c>
      <c r="AD290" s="7">
        <f>(((0.648*20^0.651)/0.2))*AA290/20+AD289*inputs!$C$54</f>
        <v>2.4475492326191967E-15</v>
      </c>
      <c r="AE290" s="7">
        <f>(((0.013*2^0.773)/0.2))*AA290/2+AE289*inputs!$C$54</f>
        <v>1.1935082966233362E-16</v>
      </c>
    </row>
    <row r="291" spans="1:31" x14ac:dyDescent="0.3">
      <c r="A291" s="7">
        <f>IF(A290&lt;(inputs!$C$9-1),(1+A290),0)</f>
        <v>0</v>
      </c>
      <c r="B291" s="7">
        <f>IF(inputs!$C$8&gt;B290,IF(A290=(inputs!$C$9-1),(B290+1),B290), B290)</f>
        <v>1</v>
      </c>
      <c r="C291" s="7">
        <f t="shared" si="9"/>
        <v>288</v>
      </c>
      <c r="D291" s="8">
        <f>IF((B291&gt;B290), (EXP(-LN(2)/inputs!$C$51)*D290+$D$3), (EXP(-LN(2)/inputs!$C$51)*D290))</f>
        <v>5.2641090555023123E-15</v>
      </c>
      <c r="E291" s="8">
        <f>IF((B291&gt;B290), (EXP(-LN(2)/inputs!$C$51)*E290+$E$3), (EXP(-LN(2)/inputs!$C$51)*E290))</f>
        <v>2.4127166504385594E-15</v>
      </c>
      <c r="F291" s="8">
        <f>IF((B291&gt;B290), (EXP(-LN(2)/inputs!$C$51)*F290+$F$3), (EXP(-LN(2)/inputs!$C$51)*F290))</f>
        <v>2.9610613437200537E-15</v>
      </c>
      <c r="G291" s="8">
        <f>IF((B291&gt;B290), (EXP(-LN(2)/inputs!$C$51)*G290+$G$3), (EXP(-LN(2)/inputs!$C$51)*G290))</f>
        <v>3.2900681596889452E-16</v>
      </c>
      <c r="H291" s="8">
        <f>IF((B291&gt;B290), (EXP(-LN(2)/inputs!$C$51)*H290+$H$3), (EXP(-LN(2)/inputs!$C$51)*H290))</f>
        <v>2.0617760467384069E-15</v>
      </c>
      <c r="I291" s="7">
        <f>O291*(10^inputs!$C$55)*0.01/1</f>
        <v>2.671749996402752E-2</v>
      </c>
      <c r="J291" s="7">
        <f>(((0.621*15^0.564)/0.2))*D291/15+J290*inputs!$C$53</f>
        <v>5.6645216310112082E-15</v>
      </c>
      <c r="K291" s="7">
        <f>(((0.621*1000^0.564)/0.2))*D291/1000+K290*inputs!$C$53</f>
        <v>9.0769308835862836E-16</v>
      </c>
      <c r="L291" s="7">
        <f>(((0.648*20^0.651)/0.2))*H291/20+L290*inputs!$C$54</f>
        <v>3.1056164682220582E-15</v>
      </c>
      <c r="M291" s="7">
        <f>(((0.013*2^0.773)/0.2))*H291/2+M290*inputs!$C$54</f>
        <v>1.5144042749189433E-16</v>
      </c>
      <c r="N291" s="7">
        <f>O291*0.015*inputs!$C$56</f>
        <v>3.925324379424981E-3</v>
      </c>
      <c r="O291" s="7">
        <f>IF((B291&gt;B290), (EXP(-LN(2)/inputs!$C$52)*O290+$O$3), (EXP(-LN(2)/inputs!$C$52)*O290))</f>
        <v>4.2344383812567218E-4</v>
      </c>
      <c r="P291" s="3">
        <f>IF((B291&gt;B290), (EXP(-LN(2)/inputs!$C$52)*P290+$P$3), (EXP(-LN(2)/inputs!$C$52)*P290))</f>
        <v>4.0917586471257662E-4</v>
      </c>
      <c r="Q291" s="19">
        <f>IF((F291*0.62*1/(0.012*(10^inputs!$C$55)))&gt;inputs!$C$57, inputs!$C$57, (F291*0.62*1/(0.012*(10^inputs!$C$55))))</f>
        <v>2.424699082496194E-17</v>
      </c>
      <c r="R291" s="3">
        <f>IF((B291&gt;B290), (EXP(-LN(2)/inputs!$C$51)*R290+$R$3), (EXP(-LN(2)/inputs!$C$51)*R290))</f>
        <v>5.6336528242035758E-23</v>
      </c>
      <c r="T291" s="7">
        <f>IF(T290&lt;(inputs!$C$9-1),(1+T290),0)</f>
        <v>0</v>
      </c>
      <c r="U291" s="7">
        <f>IF(inputs!$C$8&gt;U290,IF(T290=(inputs!$C$9-1),(U290+1),U290), U290)</f>
        <v>1</v>
      </c>
      <c r="V291" s="7">
        <f t="shared" si="8"/>
        <v>288</v>
      </c>
      <c r="W291" s="8">
        <f>IF((U291&gt;U290), (EXP(-LN(2)/inputs!$C$51)*W290+$W$3), (EXP(-LN(2)/inputs!$C$51)*W290))</f>
        <v>1.8643719571570727E-15</v>
      </c>
      <c r="X291" s="8">
        <f>IF((U291&gt;U290), (EXP(-LN(2)/inputs!$C$51)*X290+$X$3), (EXP(-LN(2)/inputs!$C$51)*X290))</f>
        <v>7.8961635832534658E-16</v>
      </c>
      <c r="Y291" s="8">
        <f>IF((U291&gt;U290), (EXP(-LN(2)/inputs!$C$51)*Y290+$Y$3), (EXP(-LN(2)/inputs!$C$51)*Y290))</f>
        <v>9.8702044790668534E-16</v>
      </c>
      <c r="Z291" s="8">
        <f>IF((U291&gt;U290), (EXP(-LN(2)/inputs!$C$51)*Z290+$Z$3), (EXP(-LN(2)/inputs!$C$51)*Z290))</f>
        <v>1.5353651411881741E-16</v>
      </c>
      <c r="AA291" s="8">
        <f>IF((U291&gt;U290), (EXP(-LN(2)/inputs!$C$51)*AA290+$AA$3), (EXP(-LN(2)/inputs!$C$51)*AA290))</f>
        <v>1.4256962025318757E-15</v>
      </c>
      <c r="AB291" s="7">
        <f>(((0.621*15^0.564)/0.2))*W291/15+AB290*inputs!$C$53</f>
        <v>2.0061847443164731E-15</v>
      </c>
      <c r="AC291" s="7">
        <f>(((0.621*1000^0.564)/0.2))*W291/1000+AC290*inputs!$C$53</f>
        <v>3.2147463546034819E-16</v>
      </c>
      <c r="AD291" s="7">
        <f>(((0.648*20^0.651)/0.2))*AA291/20+AD290*inputs!$C$54</f>
        <v>2.147500749302485E-15</v>
      </c>
      <c r="AE291" s="7">
        <f>(((0.013*2^0.773)/0.2))*AA291/2+AE290*inputs!$C$54</f>
        <v>1.0471944454226725E-16</v>
      </c>
    </row>
    <row r="292" spans="1:31" x14ac:dyDescent="0.3">
      <c r="A292" s="7">
        <f>IF(A291&lt;(inputs!$C$9-1),(1+A291),0)</f>
        <v>0</v>
      </c>
      <c r="B292" s="7">
        <f>IF(inputs!$C$8&gt;B291,IF(A291=(inputs!$C$9-1),(B291+1),B291), B291)</f>
        <v>1</v>
      </c>
      <c r="C292" s="7">
        <f t="shared" si="9"/>
        <v>289</v>
      </c>
      <c r="D292" s="8">
        <f>IF((B292&gt;B291), (EXP(-LN(2)/inputs!$C$51)*D291+$D$3), (EXP(-LN(2)/inputs!$C$51)*D291))</f>
        <v>4.6187745645482823E-15</v>
      </c>
      <c r="E292" s="8">
        <f>IF((B292&gt;B291), (EXP(-LN(2)/inputs!$C$51)*E291+$E$3), (EXP(-LN(2)/inputs!$C$51)*E291))</f>
        <v>2.1169383420846292E-15</v>
      </c>
      <c r="F292" s="8">
        <f>IF((B292&gt;B291), (EXP(-LN(2)/inputs!$C$51)*F291+$F$3), (EXP(-LN(2)/inputs!$C$51)*F291))</f>
        <v>2.5980606925584113E-15</v>
      </c>
      <c r="G292" s="8">
        <f>IF((B292&gt;B291), (EXP(-LN(2)/inputs!$C$51)*G291+$G$3), (EXP(-LN(2)/inputs!$C$51)*G291))</f>
        <v>2.8867341028426765E-16</v>
      </c>
      <c r="H292" s="8">
        <f>IF((B292&gt;B291), (EXP(-LN(2)/inputs!$C$51)*H291+$H$3), (EXP(-LN(2)/inputs!$C$51)*H291))</f>
        <v>1.8090200377814115E-15</v>
      </c>
      <c r="I292" s="7">
        <f>O292*(10^inputs!$C$55)*0.01/1</f>
        <v>2.6178333376853567E-2</v>
      </c>
      <c r="J292" s="7">
        <f>(((0.621*15^0.564)/0.2))*D292/15+J291*inputs!$C$53</f>
        <v>4.9701000024498115E-15</v>
      </c>
      <c r="K292" s="7">
        <f>(((0.621*1000^0.564)/0.2))*D292/1000+K291*inputs!$C$53</f>
        <v>7.9641772325080749E-16</v>
      </c>
      <c r="L292" s="7">
        <f>(((0.648*20^0.651)/0.2))*H292/20+L291*inputs!$C$54</f>
        <v>2.7248946021878268E-15</v>
      </c>
      <c r="M292" s="7">
        <f>(((0.013*2^0.773)/0.2))*H292/2+M291*inputs!$C$54</f>
        <v>1.3287513369670018E-16</v>
      </c>
      <c r="N292" s="7">
        <f>O292*0.015*inputs!$C$56</f>
        <v>3.8461102406749182E-3</v>
      </c>
      <c r="O292" s="7">
        <f>IF((B292&gt;B291), (EXP(-LN(2)/inputs!$C$52)*O291+$O$3), (EXP(-LN(2)/inputs!$C$52)*O291))</f>
        <v>4.1489862358952732E-4</v>
      </c>
      <c r="P292" s="3">
        <f>IF((B292&gt;B291), (EXP(-LN(2)/inputs!$C$52)*P291+$P$3), (EXP(-LN(2)/inputs!$C$52)*P291))</f>
        <v>4.0091858185197719E-4</v>
      </c>
      <c r="Q292" s="19">
        <f>IF((F292*0.62*1/(0.012*(10^inputs!$C$55)))&gt;inputs!$C$57, inputs!$C$57, (F292*0.62*1/(0.012*(10^inputs!$C$55))))</f>
        <v>2.1274518310389245E-17</v>
      </c>
      <c r="R292" s="3">
        <f>IF((B292&gt;B291), (EXP(-LN(2)/inputs!$C$51)*R291+$R$3), (EXP(-LN(2)/inputs!$C$51)*R291))</f>
        <v>4.9430154458386567E-23</v>
      </c>
      <c r="T292" s="7">
        <f>IF(T291&lt;(inputs!$C$9-1),(1+T291),0)</f>
        <v>0</v>
      </c>
      <c r="U292" s="7">
        <f>IF(inputs!$C$8&gt;U291,IF(T291=(inputs!$C$9-1),(U291+1),U291), U291)</f>
        <v>1</v>
      </c>
      <c r="V292" s="7">
        <f t="shared" si="8"/>
        <v>289</v>
      </c>
      <c r="W292" s="8">
        <f>IF((U292&gt;U291), (EXP(-LN(2)/inputs!$C$51)*W291+$W$3), (EXP(-LN(2)/inputs!$C$51)*W291))</f>
        <v>1.6358159916108533E-15</v>
      </c>
      <c r="X292" s="8">
        <f>IF((U292&gt;U291), (EXP(-LN(2)/inputs!$C$51)*X291+$X$3), (EXP(-LN(2)/inputs!$C$51)*X291))</f>
        <v>6.9281618468224208E-16</v>
      </c>
      <c r="Y292" s="8">
        <f>IF((U292&gt;U291), (EXP(-LN(2)/inputs!$C$51)*Y291+$Y$3), (EXP(-LN(2)/inputs!$C$51)*Y291))</f>
        <v>8.6602023085280447E-16</v>
      </c>
      <c r="Z292" s="8">
        <f>IF((U292&gt;U291), (EXP(-LN(2)/inputs!$C$51)*Z291+$Z$3), (EXP(-LN(2)/inputs!$C$51)*Z291))</f>
        <v>1.3471425813265821E-16</v>
      </c>
      <c r="AA292" s="8">
        <f>IF((U292&gt;U291), (EXP(-LN(2)/inputs!$C$51)*AA291+$AA$3), (EXP(-LN(2)/inputs!$C$51)*AA291))</f>
        <v>1.250918111231826E-15</v>
      </c>
      <c r="AB292" s="7">
        <f>(((0.621*15^0.564)/0.2))*W292/15+AB291*inputs!$C$53</f>
        <v>1.7602437508676451E-15</v>
      </c>
      <c r="AC292" s="7">
        <f>(((0.621*1000^0.564)/0.2))*W292/1000+AC291*inputs!$C$53</f>
        <v>2.8206461031799491E-16</v>
      </c>
      <c r="AD292" s="7">
        <f>(((0.648*20^0.651)/0.2))*AA292/20+AD291*inputs!$C$54</f>
        <v>1.8842356291724321E-15</v>
      </c>
      <c r="AE292" s="7">
        <f>(((0.013*2^0.773)/0.2))*AA292/2+AE291*inputs!$C$54</f>
        <v>9.1881741386015997E-17</v>
      </c>
    </row>
    <row r="293" spans="1:31" x14ac:dyDescent="0.3">
      <c r="A293" s="7">
        <f>IF(A292&lt;(inputs!$C$9-1),(1+A292),0)</f>
        <v>0</v>
      </c>
      <c r="B293" s="7">
        <f>IF(inputs!$C$8&gt;B292,IF(A292=(inputs!$C$9-1),(B292+1),B292), B292)</f>
        <v>1</v>
      </c>
      <c r="C293" s="7">
        <f t="shared" si="9"/>
        <v>290</v>
      </c>
      <c r="D293" s="8">
        <f>IF((B293&gt;B292), (EXP(-LN(2)/inputs!$C$51)*D292+$D$3), (EXP(-LN(2)/inputs!$C$51)*D292))</f>
        <v>4.0525525313385679E-15</v>
      </c>
      <c r="E293" s="8">
        <f>IF((B293&gt;B292), (EXP(-LN(2)/inputs!$C$51)*E292+$E$3), (EXP(-LN(2)/inputs!$C$51)*E292))</f>
        <v>1.8574199101968434E-15</v>
      </c>
      <c r="F293" s="8">
        <f>IF((B293&gt;B292), (EXP(-LN(2)/inputs!$C$51)*F292+$F$3), (EXP(-LN(2)/inputs!$C$51)*F292))</f>
        <v>2.2795607988779469E-15</v>
      </c>
      <c r="G293" s="8">
        <f>IF((B293&gt;B292), (EXP(-LN(2)/inputs!$C$51)*G292+$G$3), (EXP(-LN(2)/inputs!$C$51)*G292))</f>
        <v>2.5328453320866049E-16</v>
      </c>
      <c r="H293" s="8">
        <f>IF((B293&gt;B292), (EXP(-LN(2)/inputs!$C$51)*H292+$H$3), (EXP(-LN(2)/inputs!$C$51)*H292))</f>
        <v>1.58724974144094E-15</v>
      </c>
      <c r="I293" s="7">
        <f>O293*(10^inputs!$C$55)*0.01/1</f>
        <v>2.5650047321507677E-2</v>
      </c>
      <c r="J293" s="7">
        <f>(((0.621*15^0.564)/0.2))*D293/15+J292*inputs!$C$53</f>
        <v>4.3608084924802255E-15</v>
      </c>
      <c r="K293" s="7">
        <f>(((0.621*1000^0.564)/0.2))*D293/1000+K292*inputs!$C$53</f>
        <v>6.9878376076980321E-16</v>
      </c>
      <c r="L293" s="7">
        <f>(((0.648*20^0.651)/0.2))*H293/20+L292*inputs!$C$54</f>
        <v>2.3908459621490675E-15</v>
      </c>
      <c r="M293" s="7">
        <f>(((0.013*2^0.773)/0.2))*H293/2+M292*inputs!$C$54</f>
        <v>1.1658578523136404E-16</v>
      </c>
      <c r="N293" s="7">
        <f>O293*0.015*inputs!$C$56</f>
        <v>3.7684946652973002E-3</v>
      </c>
      <c r="O293" s="7">
        <f>IF((B293&gt;B292), (EXP(-LN(2)/inputs!$C$52)*O292+$O$3), (EXP(-LN(2)/inputs!$C$52)*O292))</f>
        <v>4.0652585386162895E-4</v>
      </c>
      <c r="P293" s="3">
        <f>IF((B293&gt;B292), (EXP(-LN(2)/inputs!$C$52)*P292+$P$3), (EXP(-LN(2)/inputs!$C$52)*P292))</f>
        <v>3.9282793325825431E-4</v>
      </c>
      <c r="Q293" s="19">
        <f>IF((F293*0.62*1/(0.012*(10^inputs!$C$55)))&gt;inputs!$C$57, inputs!$C$57, (F293*0.62*1/(0.012*(10^inputs!$C$55))))</f>
        <v>1.8666445358371503E-17</v>
      </c>
      <c r="R293" s="3">
        <f>IF((B293&gt;B292), (EXP(-LN(2)/inputs!$C$51)*R292+$R$3), (EXP(-LN(2)/inputs!$C$51)*R292))</f>
        <v>4.3370442695417003E-23</v>
      </c>
      <c r="T293" s="7">
        <f>IF(T292&lt;(inputs!$C$9-1),(1+T292),0)</f>
        <v>0</v>
      </c>
      <c r="U293" s="7">
        <f>IF(inputs!$C$8&gt;U292,IF(T292=(inputs!$C$9-1),(U292+1),U292), U292)</f>
        <v>1</v>
      </c>
      <c r="V293" s="7">
        <f t="shared" si="8"/>
        <v>290</v>
      </c>
      <c r="W293" s="8">
        <f>IF((U293&gt;U292), (EXP(-LN(2)/inputs!$C$51)*W292+$W$3), (EXP(-LN(2)/inputs!$C$51)*W292))</f>
        <v>1.4352790215157458E-15</v>
      </c>
      <c r="X293" s="8">
        <f>IF((U293&gt;U292), (EXP(-LN(2)/inputs!$C$51)*X292+$X$3), (EXP(-LN(2)/inputs!$C$51)*X292))</f>
        <v>6.0788287970078496E-16</v>
      </c>
      <c r="Y293" s="8">
        <f>IF((U293&gt;U292), (EXP(-LN(2)/inputs!$C$51)*Y292+$Y$3), (EXP(-LN(2)/inputs!$C$51)*Y292))</f>
        <v>7.5985359962598286E-16</v>
      </c>
      <c r="Z293" s="8">
        <f>IF((U293&gt;U292), (EXP(-LN(2)/inputs!$C$51)*Z292+$Z$3), (EXP(-LN(2)/inputs!$C$51)*Z292))</f>
        <v>1.1819944883070821E-16</v>
      </c>
      <c r="AA293" s="8">
        <f>IF((U293&gt;U292), (EXP(-LN(2)/inputs!$C$51)*AA292+$AA$3), (EXP(-LN(2)/inputs!$C$51)*AA292))</f>
        <v>1.0975663105708618E-15</v>
      </c>
      <c r="AB293" s="7">
        <f>(((0.621*15^0.564)/0.2))*W293/15+AB292*inputs!$C$53</f>
        <v>1.5444530077534164E-15</v>
      </c>
      <c r="AC293" s="7">
        <f>(((0.621*1000^0.564)/0.2))*W293/1000+AC292*inputs!$C$53</f>
        <v>2.4748591527263915E-16</v>
      </c>
      <c r="AD293" s="7">
        <f>(((0.648*20^0.651)/0.2))*AA293/20+AD292*inputs!$C$54</f>
        <v>1.6532445482945667E-15</v>
      </c>
      <c r="AE293" s="7">
        <f>(((0.013*2^0.773)/0.2))*AA293/2+AE292*inputs!$C$54</f>
        <v>8.0617830213177186E-17</v>
      </c>
    </row>
    <row r="294" spans="1:31" x14ac:dyDescent="0.3">
      <c r="A294" s="7">
        <f>IF(A293&lt;(inputs!$C$9-1),(1+A293),0)</f>
        <v>0</v>
      </c>
      <c r="B294" s="7">
        <f>IF(inputs!$C$8&gt;B293,IF(A293=(inputs!$C$9-1),(B293+1),B293), B293)</f>
        <v>1</v>
      </c>
      <c r="C294" s="7">
        <f t="shared" si="9"/>
        <v>291</v>
      </c>
      <c r="D294" s="8">
        <f>IF((B294&gt;B293), (EXP(-LN(2)/inputs!$C$51)*D293+$D$3), (EXP(-LN(2)/inputs!$C$51)*D293))</f>
        <v>3.5557444490397698E-15</v>
      </c>
      <c r="E294" s="8">
        <f>IF((B294&gt;B293), (EXP(-LN(2)/inputs!$C$51)*E293+$E$3), (EXP(-LN(2)/inputs!$C$51)*E293))</f>
        <v>1.6297162058098944E-15</v>
      </c>
      <c r="F294" s="8">
        <f>IF((B294&gt;B293), (EXP(-LN(2)/inputs!$C$51)*F293+$F$3), (EXP(-LN(2)/inputs!$C$51)*F293))</f>
        <v>2.0001062525848727E-15</v>
      </c>
      <c r="G294" s="8">
        <f>IF((B294&gt;B293), (EXP(-LN(2)/inputs!$C$51)*G293+$G$3), (EXP(-LN(2)/inputs!$C$51)*G293))</f>
        <v>2.2223402806498561E-16</v>
      </c>
      <c r="H294" s="8">
        <f>IF((B294&gt;B293), (EXP(-LN(2)/inputs!$C$51)*H293+$H$3), (EXP(-LN(2)/inputs!$C$51)*H293))</f>
        <v>1.3926665758739106E-15</v>
      </c>
      <c r="I294" s="7">
        <f>O294*(10^inputs!$C$55)*0.01/1</f>
        <v>2.5132422225828517E-2</v>
      </c>
      <c r="J294" s="7">
        <f>(((0.621*15^0.564)/0.2))*D294/15+J293*inputs!$C$53</f>
        <v>3.8262108808100767E-15</v>
      </c>
      <c r="K294" s="7">
        <f>(((0.621*1000^0.564)/0.2))*D294/1000+K293*inputs!$C$53</f>
        <v>6.1311888229013538E-16</v>
      </c>
      <c r="L294" s="7">
        <f>(((0.648*20^0.651)/0.2))*H294/20+L293*inputs!$C$54</f>
        <v>2.0977488120586351E-15</v>
      </c>
      <c r="M294" s="7">
        <f>(((0.013*2^0.773)/0.2))*H294/2+M293*inputs!$C$54</f>
        <v>1.0229337077499619E-16</v>
      </c>
      <c r="N294" s="7">
        <f>O294*0.015*inputs!$C$56</f>
        <v>3.6924453938382467E-3</v>
      </c>
      <c r="O294" s="7">
        <f>IF((B294&gt;B293), (EXP(-LN(2)/inputs!$C$52)*O293+$O$3), (EXP(-LN(2)/inputs!$C$52)*O293))</f>
        <v>3.9832204895773966E-4</v>
      </c>
      <c r="P294" s="3">
        <f>IF((B294&gt;B293), (EXP(-LN(2)/inputs!$C$52)*P293+$P$3), (EXP(-LN(2)/inputs!$C$52)*P293))</f>
        <v>3.8490055620551299E-4</v>
      </c>
      <c r="Q294" s="19">
        <f>IF((F294*0.62*1/(0.012*(10^inputs!$C$55)))&gt;inputs!$C$57, inputs!$C$57, (F294*0.62*1/(0.012*(10^inputs!$C$55))))</f>
        <v>1.6378099716923462E-17</v>
      </c>
      <c r="R294" s="3">
        <f>IF((B294&gt;B293), (EXP(-LN(2)/inputs!$C$51)*R293+$R$3), (EXP(-LN(2)/inputs!$C$51)*R293))</f>
        <v>3.805359947195777E-23</v>
      </c>
      <c r="T294" s="7">
        <f>IF(T293&lt;(inputs!$C$9-1),(1+T293),0)</f>
        <v>0</v>
      </c>
      <c r="U294" s="7">
        <f>IF(inputs!$C$8&gt;U293,IF(T293=(inputs!$C$9-1),(U293+1),U293), U293)</f>
        <v>1</v>
      </c>
      <c r="V294" s="7">
        <f t="shared" si="8"/>
        <v>291</v>
      </c>
      <c r="W294" s="8">
        <f>IF((U294&gt;U293), (EXP(-LN(2)/inputs!$C$51)*W293+$W$3), (EXP(-LN(2)/inputs!$C$51)*W293))</f>
        <v>1.2593261590349212E-15</v>
      </c>
      <c r="X294" s="8">
        <f>IF((U294&gt;U293), (EXP(-LN(2)/inputs!$C$51)*X293+$X$3), (EXP(-LN(2)/inputs!$C$51)*X293))</f>
        <v>5.3336166735596529E-16</v>
      </c>
      <c r="Y294" s="8">
        <f>IF((U294&gt;U293), (EXP(-LN(2)/inputs!$C$51)*Y293+$Y$3), (EXP(-LN(2)/inputs!$C$51)*Y293))</f>
        <v>6.6670208419495806E-16</v>
      </c>
      <c r="Z294" s="8">
        <f>IF((U294&gt;U293), (EXP(-LN(2)/inputs!$C$51)*Z293+$Z$3), (EXP(-LN(2)/inputs!$C$51)*Z293))</f>
        <v>1.0370921309699328E-16</v>
      </c>
      <c r="AA294" s="8">
        <f>IF((U294&gt;U293), (EXP(-LN(2)/inputs!$C$51)*AA293+$AA$3), (EXP(-LN(2)/inputs!$C$51)*AA293))</f>
        <v>9.630141216149374E-16</v>
      </c>
      <c r="AB294" s="7">
        <f>(((0.621*15^0.564)/0.2))*W294/15+AB293*inputs!$C$53</f>
        <v>1.3551163536202384E-15</v>
      </c>
      <c r="AC294" s="7">
        <f>(((0.621*1000^0.564)/0.2))*W294/1000+AC293*inputs!$C$53</f>
        <v>2.1714627081109009E-16</v>
      </c>
      <c r="AD294" s="7">
        <f>(((0.648*20^0.651)/0.2))*AA294/20+AD293*inputs!$C$54</f>
        <v>1.4505709870618209E-15</v>
      </c>
      <c r="AE294" s="7">
        <f>(((0.013*2^0.773)/0.2))*AA294/2+AE293*inputs!$C$54</f>
        <v>7.0734777663561134E-17</v>
      </c>
    </row>
    <row r="295" spans="1:31" x14ac:dyDescent="0.3">
      <c r="A295" s="7">
        <f>IF(A294&lt;(inputs!$C$9-1),(1+A294),0)</f>
        <v>0</v>
      </c>
      <c r="B295" s="7">
        <f>IF(inputs!$C$8&gt;B294,IF(A294=(inputs!$C$9-1),(B294+1),B294), B294)</f>
        <v>1</v>
      </c>
      <c r="C295" s="7">
        <f t="shared" si="9"/>
        <v>292</v>
      </c>
      <c r="D295" s="8">
        <f>IF((B295&gt;B294), (EXP(-LN(2)/inputs!$C$51)*D294+$D$3), (EXP(-LN(2)/inputs!$C$51)*D294))</f>
        <v>3.1198407643345261E-15</v>
      </c>
      <c r="E295" s="8">
        <f>IF((B295&gt;B294), (EXP(-LN(2)/inputs!$C$51)*E294+$E$3), (EXP(-LN(2)/inputs!$C$51)*E294))</f>
        <v>1.4299270169866577E-15</v>
      </c>
      <c r="F295" s="8">
        <f>IF((B295&gt;B294), (EXP(-LN(2)/inputs!$C$51)*F294+$F$3), (EXP(-LN(2)/inputs!$C$51)*F294))</f>
        <v>1.7549104299381729E-15</v>
      </c>
      <c r="G295" s="8">
        <f>IF((B295&gt;B294), (EXP(-LN(2)/inputs!$C$51)*G294+$G$3), (EXP(-LN(2)/inputs!$C$51)*G294))</f>
        <v>1.9499004777090788E-16</v>
      </c>
      <c r="H295" s="8">
        <f>IF((B295&gt;B294), (EXP(-LN(2)/inputs!$C$51)*H294+$H$3), (EXP(-LN(2)/inputs!$C$51)*H294))</f>
        <v>1.22193763269769E-15</v>
      </c>
      <c r="I295" s="7">
        <f>O295*(10^inputs!$C$55)*0.01/1</f>
        <v>2.4625242948682111E-2</v>
      </c>
      <c r="J295" s="7">
        <f>(((0.621*15^0.564)/0.2))*D295/15+J294*inputs!$C$53</f>
        <v>3.3571503379876546E-15</v>
      </c>
      <c r="K295" s="7">
        <f>(((0.621*1000^0.564)/0.2))*D295/1000+K294*inputs!$C$53</f>
        <v>5.3795578106535413E-16</v>
      </c>
      <c r="L295" s="7">
        <f>(((0.648*20^0.651)/0.2))*H295/20+L294*inputs!$C$54</f>
        <v>1.8405828514932331E-15</v>
      </c>
      <c r="M295" s="7">
        <f>(((0.013*2^0.773)/0.2))*H295/2+M294*inputs!$C$54</f>
        <v>8.9753083394731244E-17</v>
      </c>
      <c r="N295" s="7">
        <f>O295*0.015*inputs!$C$56</f>
        <v>3.6179308178486361E-3</v>
      </c>
      <c r="O295" s="7">
        <f>IF((B295&gt;B294), (EXP(-LN(2)/inputs!$C$52)*O294+$O$3), (EXP(-LN(2)/inputs!$C$52)*O294))</f>
        <v>3.9028379912067274E-4</v>
      </c>
      <c r="P295" s="3">
        <f>IF((B295&gt;B294), (EXP(-LN(2)/inputs!$C$52)*P294+$P$3), (EXP(-LN(2)/inputs!$C$52)*P294))</f>
        <v>3.7713315582860293E-4</v>
      </c>
      <c r="Q295" s="19">
        <f>IF((F295*0.62*1/(0.012*(10^inputs!$C$55)))&gt;inputs!$C$57, inputs!$C$57, (F295*0.62*1/(0.012*(10^inputs!$C$55))))</f>
        <v>1.4370285567904735E-17</v>
      </c>
      <c r="R295" s="3">
        <f>IF((B295&gt;B294), (EXP(-LN(2)/inputs!$C$51)*R294+$R$3), (EXP(-LN(2)/inputs!$C$51)*R294))</f>
        <v>3.338855549485097E-23</v>
      </c>
      <c r="T295" s="7">
        <f>IF(T294&lt;(inputs!$C$9-1),(1+T294),0)</f>
        <v>0</v>
      </c>
      <c r="U295" s="7">
        <f>IF(inputs!$C$8&gt;U294,IF(T294=(inputs!$C$9-1),(U294+1),U294), U294)</f>
        <v>1</v>
      </c>
      <c r="V295" s="7">
        <f t="shared" si="8"/>
        <v>292</v>
      </c>
      <c r="W295" s="8">
        <f>IF((U295&gt;U294), (EXP(-LN(2)/inputs!$C$51)*W294+$W$3), (EXP(-LN(2)/inputs!$C$51)*W294))</f>
        <v>1.1049436040351471E-15</v>
      </c>
      <c r="X295" s="8">
        <f>IF((U295&gt;U294), (EXP(-LN(2)/inputs!$C$51)*X294+$X$3), (EXP(-LN(2)/inputs!$C$51)*X294))</f>
        <v>4.6797611465017872E-16</v>
      </c>
      <c r="Y295" s="8">
        <f>IF((U295&gt;U294), (EXP(-LN(2)/inputs!$C$51)*Y294+$Y$3), (EXP(-LN(2)/inputs!$C$51)*Y294))</f>
        <v>5.8497014331272473E-16</v>
      </c>
      <c r="Z295" s="8">
        <f>IF((U295&gt;U294), (EXP(-LN(2)/inputs!$C$51)*Z294+$Z$3), (EXP(-LN(2)/inputs!$C$51)*Z294))</f>
        <v>9.099535562642367E-17</v>
      </c>
      <c r="AA295" s="8">
        <f>IF((U295&gt;U294), (EXP(-LN(2)/inputs!$C$51)*AA294+$AA$3), (EXP(-LN(2)/inputs!$C$51)*AA294))</f>
        <v>8.4495687367393399E-16</v>
      </c>
      <c r="AB295" s="7">
        <f>(((0.621*15^0.564)/0.2))*W295/15+AB294*inputs!$C$53</f>
        <v>1.1889907447039639E-15</v>
      </c>
      <c r="AC295" s="7">
        <f>(((0.621*1000^0.564)/0.2))*W295/1000+AC294*inputs!$C$53</f>
        <v>1.9052600579397999E-16</v>
      </c>
      <c r="AD295" s="7">
        <f>(((0.648*20^0.651)/0.2))*AA295/20+AD294*inputs!$C$54</f>
        <v>1.2727434611389371E-15</v>
      </c>
      <c r="AE295" s="7">
        <f>(((0.013*2^0.773)/0.2))*AA295/2+AE294*inputs!$C$54</f>
        <v>6.2063302347420485E-17</v>
      </c>
    </row>
    <row r="296" spans="1:31" x14ac:dyDescent="0.3">
      <c r="A296" s="7">
        <f>IF(A295&lt;(inputs!$C$9-1),(1+A295),0)</f>
        <v>0</v>
      </c>
      <c r="B296" s="7">
        <f>IF(inputs!$C$8&gt;B295,IF(A295=(inputs!$C$9-1),(B295+1),B295), B295)</f>
        <v>1</v>
      </c>
      <c r="C296" s="7">
        <f t="shared" si="9"/>
        <v>293</v>
      </c>
      <c r="D296" s="8">
        <f>IF((B296&gt;B295), (EXP(-LN(2)/inputs!$C$51)*D295+$D$3), (EXP(-LN(2)/inputs!$C$51)*D295))</f>
        <v>2.7373751219472341E-15</v>
      </c>
      <c r="E296" s="8">
        <f>IF((B296&gt;B295), (EXP(-LN(2)/inputs!$C$51)*E295+$E$3), (EXP(-LN(2)/inputs!$C$51)*E295))</f>
        <v>1.2546302642258154E-15</v>
      </c>
      <c r="F296" s="8">
        <f>IF((B296&gt;B295), (EXP(-LN(2)/inputs!$C$51)*F295+$F$3), (EXP(-LN(2)/inputs!$C$51)*F295))</f>
        <v>1.5397735060953209E-15</v>
      </c>
      <c r="G296" s="8">
        <f>IF((B296&gt;B295), (EXP(-LN(2)/inputs!$C$51)*G295+$G$3), (EXP(-LN(2)/inputs!$C$51)*G295))</f>
        <v>1.7108594512170213E-16</v>
      </c>
      <c r="H296" s="8">
        <f>IF((B296&gt;B295), (EXP(-LN(2)/inputs!$C$51)*H295+$H$3), (EXP(-LN(2)/inputs!$C$51)*H295))</f>
        <v>1.0721385894293338E-15</v>
      </c>
      <c r="I296" s="7">
        <f>O296*(10^inputs!$C$55)*0.01/1</f>
        <v>2.4128298690542435E-2</v>
      </c>
      <c r="J296" s="7">
        <f>(((0.621*15^0.564)/0.2))*D296/15+J295*inputs!$C$53</f>
        <v>2.9455925830895313E-15</v>
      </c>
      <c r="K296" s="7">
        <f>(((0.621*1000^0.564)/0.2))*D296/1000+K295*inputs!$C$53</f>
        <v>4.7200702953507999E-16</v>
      </c>
      <c r="L296" s="7">
        <f>(((0.648*20^0.651)/0.2))*H296/20+L295*inputs!$C$54</f>
        <v>1.6149432256793335E-15</v>
      </c>
      <c r="M296" s="7">
        <f>(((0.013*2^0.773)/0.2))*H296/2+M295*inputs!$C$54</f>
        <v>7.875012738196554E-17</v>
      </c>
      <c r="N296" s="7">
        <f>O296*0.015*inputs!$C$56</f>
        <v>3.5449199667466507E-3</v>
      </c>
      <c r="O296" s="7">
        <f>IF((B296&gt;B295), (EXP(-LN(2)/inputs!$C$52)*O295+$O$3), (EXP(-LN(2)/inputs!$C$52)*O295))</f>
        <v>3.8240776340309071E-4</v>
      </c>
      <c r="P296" s="3">
        <f>IF((B296&gt;B295), (EXP(-LN(2)/inputs!$C$52)*P295+$P$3), (EXP(-LN(2)/inputs!$C$52)*P295))</f>
        <v>3.6952250375366991E-4</v>
      </c>
      <c r="Q296" s="19">
        <f>IF((F296*0.62*1/(0.012*(10^inputs!$C$55)))&gt;inputs!$C$57, inputs!$C$57, (F296*0.62*1/(0.012*(10^inputs!$C$55))))</f>
        <v>1.2608612163336004E-17</v>
      </c>
      <c r="R296" s="3">
        <f>IF((B296&gt;B295), (EXP(-LN(2)/inputs!$C$51)*R295+$R$3), (EXP(-LN(2)/inputs!$C$51)*R295))</f>
        <v>2.9295405782947066E-23</v>
      </c>
      <c r="T296" s="7">
        <f>IF(T295&lt;(inputs!$C$9-1),(1+T295),0)</f>
        <v>0</v>
      </c>
      <c r="U296" s="7">
        <f>IF(inputs!$C$8&gt;U295,IF(T295=(inputs!$C$9-1),(U295+1),U295), U295)</f>
        <v>1</v>
      </c>
      <c r="V296" s="7">
        <f t="shared" si="8"/>
        <v>293</v>
      </c>
      <c r="W296" s="8">
        <f>IF((U296&gt;U295), (EXP(-LN(2)/inputs!$C$51)*W295+$W$3), (EXP(-LN(2)/inputs!$C$51)*W295))</f>
        <v>9.6948702235631416E-16</v>
      </c>
      <c r="X296" s="8">
        <f>IF((U296&gt;U295), (EXP(-LN(2)/inputs!$C$51)*X295+$X$3), (EXP(-LN(2)/inputs!$C$51)*X295))</f>
        <v>4.1060626829208494E-16</v>
      </c>
      <c r="Y296" s="8">
        <f>IF((U296&gt;U295), (EXP(-LN(2)/inputs!$C$51)*Y295+$Y$3), (EXP(-LN(2)/inputs!$C$51)*Y295))</f>
        <v>5.1325783536510729E-16</v>
      </c>
      <c r="Z296" s="8">
        <f>IF((U296&gt;U295), (EXP(-LN(2)/inputs!$C$51)*Z295+$Z$3), (EXP(-LN(2)/inputs!$C$51)*Z295))</f>
        <v>7.9840107723460986E-17</v>
      </c>
      <c r="AA296" s="8">
        <f>IF((U296&gt;U295), (EXP(-LN(2)/inputs!$C$51)*AA295+$AA$3), (EXP(-LN(2)/inputs!$C$51)*AA295))</f>
        <v>7.4137242886070905E-16</v>
      </c>
      <c r="AB296" s="7">
        <f>(((0.621*15^0.564)/0.2))*W296/15+AB295*inputs!$C$53</f>
        <v>1.0432307065108779E-15</v>
      </c>
      <c r="AC296" s="7">
        <f>(((0.621*1000^0.564)/0.2))*W296/1000+AC295*inputs!$C$53</f>
        <v>1.6716915629367451E-16</v>
      </c>
      <c r="AD296" s="7">
        <f>(((0.648*20^0.651)/0.2))*AA296/20+AD295*inputs!$C$54</f>
        <v>1.1167160603101766E-15</v>
      </c>
      <c r="AE296" s="7">
        <f>(((0.013*2^0.773)/0.2))*AA296/2+AE295*inputs!$C$54</f>
        <v>5.4454875317316556E-17</v>
      </c>
    </row>
    <row r="297" spans="1:31" x14ac:dyDescent="0.3">
      <c r="A297" s="7">
        <f>IF(A296&lt;(inputs!$C$9-1),(1+A296),0)</f>
        <v>0</v>
      </c>
      <c r="B297" s="7">
        <f>IF(inputs!$C$8&gt;B296,IF(A296=(inputs!$C$9-1),(B296+1),B296), B296)</f>
        <v>1</v>
      </c>
      <c r="C297" s="7">
        <f t="shared" si="9"/>
        <v>294</v>
      </c>
      <c r="D297" s="8">
        <f>IF((B297&gt;B296), (EXP(-LN(2)/inputs!$C$51)*D296+$D$3), (EXP(-LN(2)/inputs!$C$51)*D296))</f>
        <v>2.4017964775372014E-15</v>
      </c>
      <c r="E297" s="8">
        <f>IF((B297&gt;B296), (EXP(-LN(2)/inputs!$C$51)*E296+$E$3), (EXP(-LN(2)/inputs!$C$51)*E296))</f>
        <v>1.1008233855378838E-15</v>
      </c>
      <c r="F297" s="8">
        <f>IF((B297&gt;B296), (EXP(-LN(2)/inputs!$C$51)*F296+$F$3), (EXP(-LN(2)/inputs!$C$51)*F296))</f>
        <v>1.3510105186146772E-15</v>
      </c>
      <c r="G297" s="8">
        <f>IF((B297&gt;B296), (EXP(-LN(2)/inputs!$C$51)*G296+$G$3), (EXP(-LN(2)/inputs!$C$51)*G296))</f>
        <v>1.5011227984607509E-16</v>
      </c>
      <c r="H297" s="8">
        <f>IF((B297&gt;B296), (EXP(-LN(2)/inputs!$C$51)*H296+$H$3), (EXP(-LN(2)/inputs!$C$51)*H296))</f>
        <v>9.4070362036873767E-16</v>
      </c>
      <c r="I297" s="7">
        <f>O297*(10^inputs!$C$55)*0.01/1</f>
        <v>2.3641382905876616E-2</v>
      </c>
      <c r="J297" s="7">
        <f>(((0.621*15^0.564)/0.2))*D297/15+J296*inputs!$C$53</f>
        <v>2.5844882689265984E-15</v>
      </c>
      <c r="K297" s="7">
        <f>(((0.621*1000^0.564)/0.2))*D297/1000+K296*inputs!$C$53</f>
        <v>4.1414302768402439E-16</v>
      </c>
      <c r="L297" s="7">
        <f>(((0.648*20^0.651)/0.2))*H297/20+L296*inputs!$C$54</f>
        <v>1.4169650771502687E-15</v>
      </c>
      <c r="M297" s="7">
        <f>(((0.013*2^0.773)/0.2))*H297/2+M296*inputs!$C$54</f>
        <v>6.9096039134404279E-17</v>
      </c>
      <c r="N297" s="7">
        <f>O297*0.015*inputs!$C$56</f>
        <v>3.4733824949454354E-3</v>
      </c>
      <c r="O297" s="7">
        <f>IF((B297&gt;B296), (EXP(-LN(2)/inputs!$C$52)*O296+$O$3), (EXP(-LN(2)/inputs!$C$52)*O296))</f>
        <v>3.7469066827890352E-4</v>
      </c>
      <c r="P297" s="3">
        <f>IF((B297&gt;B296), (EXP(-LN(2)/inputs!$C$52)*P296+$P$3), (EXP(-LN(2)/inputs!$C$52)*P296))</f>
        <v>3.6206543675634275E-4</v>
      </c>
      <c r="Q297" s="19">
        <f>IF((F297*0.62*1/(0.012*(10^inputs!$C$55)))&gt;inputs!$C$57, inputs!$C$57, (F297*0.62*1/(0.012*(10^inputs!$C$55))))</f>
        <v>1.1062904765128083E-17</v>
      </c>
      <c r="R297" s="3">
        <f>IF((B297&gt;B296), (EXP(-LN(2)/inputs!$C$51)*R296+$R$3), (EXP(-LN(2)/inputs!$C$51)*R296))</f>
        <v>2.5704041018482492E-23</v>
      </c>
      <c r="T297" s="7">
        <f>IF(T296&lt;(inputs!$C$9-1),(1+T296),0)</f>
        <v>0</v>
      </c>
      <c r="U297" s="7">
        <f>IF(inputs!$C$8&gt;U296,IF(T296=(inputs!$C$9-1),(U296+1),U296), U296)</f>
        <v>1</v>
      </c>
      <c r="V297" s="7">
        <f t="shared" si="8"/>
        <v>294</v>
      </c>
      <c r="W297" s="8">
        <f>IF((U297&gt;U296), (EXP(-LN(2)/inputs!$C$51)*W296+$W$3), (EXP(-LN(2)/inputs!$C$51)*W296))</f>
        <v>8.5063625246109391E-16</v>
      </c>
      <c r="X297" s="8">
        <f>IF((U297&gt;U296), (EXP(-LN(2)/inputs!$C$51)*X296+$X$3), (EXP(-LN(2)/inputs!$C$51)*X296))</f>
        <v>3.6026947163058006E-16</v>
      </c>
      <c r="Y297" s="8">
        <f>IF((U297&gt;U296), (EXP(-LN(2)/inputs!$C$51)*Y296+$Y$3), (EXP(-LN(2)/inputs!$C$51)*Y296))</f>
        <v>4.5033683953822598E-16</v>
      </c>
      <c r="Z297" s="8">
        <f>IF((U297&gt;U296), (EXP(-LN(2)/inputs!$C$51)*Z296+$Z$3), (EXP(-LN(2)/inputs!$C$51)*Z296))</f>
        <v>7.0052397261501697E-17</v>
      </c>
      <c r="AA297" s="8">
        <f>IF((U297&gt;U296), (EXP(-LN(2)/inputs!$C$51)*AA296+$AA$3), (EXP(-LN(2)/inputs!$C$51)*AA296))</f>
        <v>6.5048654599965852E-16</v>
      </c>
      <c r="AB297" s="7">
        <f>(((0.621*15^0.564)/0.2))*W297/15+AB296*inputs!$C$53</f>
        <v>9.1533959524483863E-16</v>
      </c>
      <c r="AC297" s="7">
        <f>(((0.621*1000^0.564)/0.2))*W297/1000+AC296*inputs!$C$53</f>
        <v>1.4667565563809225E-16</v>
      </c>
      <c r="AD297" s="7">
        <f>(((0.648*20^0.651)/0.2))*AA297/20+AD296*inputs!$C$54</f>
        <v>9.7981627675284469E-16</v>
      </c>
      <c r="AE297" s="7">
        <f>(((0.013*2^0.773)/0.2))*AA297/2+AE296*inputs!$C$54</f>
        <v>4.7779175997194409E-17</v>
      </c>
    </row>
    <row r="298" spans="1:31" x14ac:dyDescent="0.3">
      <c r="A298" s="7">
        <f>IF(A297&lt;(inputs!$C$9-1),(1+A297),0)</f>
        <v>0</v>
      </c>
      <c r="B298" s="7">
        <f>IF(inputs!$C$8&gt;B297,IF(A297=(inputs!$C$9-1),(B297+1),B297), B297)</f>
        <v>1</v>
      </c>
      <c r="C298" s="7">
        <f t="shared" si="9"/>
        <v>295</v>
      </c>
      <c r="D298" s="8">
        <f>IF((B298&gt;B297), (EXP(-LN(2)/inputs!$C$51)*D297+$D$3), (EXP(-LN(2)/inputs!$C$51)*D297))</f>
        <v>2.1073568884510761E-15</v>
      </c>
      <c r="E298" s="8">
        <f>IF((B298&gt;B297), (EXP(-LN(2)/inputs!$C$51)*E297+$E$3), (EXP(-LN(2)/inputs!$C$51)*E297))</f>
        <v>9.6587190720674304E-16</v>
      </c>
      <c r="F298" s="8">
        <f>IF((B298&gt;B297), (EXP(-LN(2)/inputs!$C$51)*F297+$F$3), (EXP(-LN(2)/inputs!$C$51)*F297))</f>
        <v>1.1853882497537315E-15</v>
      </c>
      <c r="G298" s="8">
        <f>IF((B298&gt;B297), (EXP(-LN(2)/inputs!$C$51)*G297+$G$3), (EXP(-LN(2)/inputs!$C$51)*G297))</f>
        <v>1.3170980552819226E-16</v>
      </c>
      <c r="H298" s="8">
        <f>IF((B298&gt;B297), (EXP(-LN(2)/inputs!$C$51)*H297+$H$3), (EXP(-LN(2)/inputs!$C$51)*H297))</f>
        <v>8.2538144797667181E-16</v>
      </c>
      <c r="I298" s="7">
        <f>O298*(10^inputs!$C$55)*0.01/1</f>
        <v>2.3164293217298113E-2</v>
      </c>
      <c r="J298" s="7">
        <f>(((0.621*15^0.564)/0.2))*D298/15+J297*inputs!$C$53</f>
        <v>2.2676522376401499E-15</v>
      </c>
      <c r="K298" s="7">
        <f>(((0.621*1000^0.564)/0.2))*D298/1000+K297*inputs!$C$53</f>
        <v>3.6337265474251471E-16</v>
      </c>
      <c r="L298" s="7">
        <f>(((0.648*20^0.651)/0.2))*H298/20+L297*inputs!$C$54</f>
        <v>1.2432573467212019E-15</v>
      </c>
      <c r="M298" s="7">
        <f>(((0.013*2^0.773)/0.2))*H298/2+M297*inputs!$C$54</f>
        <v>6.0625459066323673E-17</v>
      </c>
      <c r="N298" s="7">
        <f>O298*0.015*inputs!$C$56</f>
        <v>3.4032886692405258E-3</v>
      </c>
      <c r="O298" s="7">
        <f>IF((B298&gt;B297), (EXP(-LN(2)/inputs!$C$52)*O297+$O$3), (EXP(-LN(2)/inputs!$C$52)*O297))</f>
        <v>3.6712930628268888E-4</v>
      </c>
      <c r="P298" s="3">
        <f>IF((B298&gt;B297), (EXP(-LN(2)/inputs!$C$52)*P297+$P$3), (EXP(-LN(2)/inputs!$C$52)*P297))</f>
        <v>3.5475885544699871E-4</v>
      </c>
      <c r="Q298" s="19">
        <f>IF((F298*0.62*1/(0.012*(10^inputs!$C$55)))&gt;inputs!$C$57, inputs!$C$57, (F298*0.62*1/(0.012*(10^inputs!$C$55))))</f>
        <v>9.7066877985334195E-18</v>
      </c>
      <c r="R298" s="3">
        <f>IF((B298&gt;B297), (EXP(-LN(2)/inputs!$C$51)*R297+$R$3), (EXP(-LN(2)/inputs!$C$51)*R297))</f>
        <v>2.2552946683005986E-23</v>
      </c>
      <c r="T298" s="7">
        <f>IF(T297&lt;(inputs!$C$9-1),(1+T297),0)</f>
        <v>0</v>
      </c>
      <c r="U298" s="7">
        <f>IF(inputs!$C$8&gt;U297,IF(T297=(inputs!$C$9-1),(U297+1),U297), U297)</f>
        <v>1</v>
      </c>
      <c r="V298" s="7">
        <f t="shared" si="8"/>
        <v>295</v>
      </c>
      <c r="W298" s="8">
        <f>IF((U298&gt;U297), (EXP(-LN(2)/inputs!$C$51)*W297+$W$3), (EXP(-LN(2)/inputs!$C$51)*W297))</f>
        <v>7.4635556465975766E-16</v>
      </c>
      <c r="X298" s="8">
        <f>IF((U298&gt;U297), (EXP(-LN(2)/inputs!$C$51)*X297+$X$3), (EXP(-LN(2)/inputs!$C$51)*X297))</f>
        <v>3.1610353326766126E-16</v>
      </c>
      <c r="Y298" s="8">
        <f>IF((U298&gt;U297), (EXP(-LN(2)/inputs!$C$51)*Y297+$Y$3), (EXP(-LN(2)/inputs!$C$51)*Y297))</f>
        <v>3.9512941658457739E-16</v>
      </c>
      <c r="Z298" s="8">
        <f>IF((U298&gt;U297), (EXP(-LN(2)/inputs!$C$51)*Z297+$Z$3), (EXP(-LN(2)/inputs!$C$51)*Z297))</f>
        <v>6.1464575913156375E-17</v>
      </c>
      <c r="AA298" s="8">
        <f>IF((U298&gt;U297), (EXP(-LN(2)/inputs!$C$51)*AA297+$AA$3), (EXP(-LN(2)/inputs!$C$51)*AA297))</f>
        <v>5.7074249062216624E-16</v>
      </c>
      <c r="AB298" s="7">
        <f>(((0.621*15^0.564)/0.2))*W298/15+AB297*inputs!$C$53</f>
        <v>8.0312683416422127E-16</v>
      </c>
      <c r="AC298" s="7">
        <f>(((0.621*1000^0.564)/0.2))*W298/1000+AC297*inputs!$C$53</f>
        <v>1.2869448188797421E-16</v>
      </c>
      <c r="AD298" s="7">
        <f>(((0.648*20^0.651)/0.2))*AA298/20+AD297*inputs!$C$54</f>
        <v>8.5969922911572389E-16</v>
      </c>
      <c r="AE298" s="7">
        <f>(((0.013*2^0.773)/0.2))*AA298/2+AE297*inputs!$C$54</f>
        <v>4.1921859992670585E-17</v>
      </c>
    </row>
    <row r="299" spans="1:31" x14ac:dyDescent="0.3">
      <c r="A299" s="7">
        <f>IF(A298&lt;(inputs!$C$9-1),(1+A298),0)</f>
        <v>0</v>
      </c>
      <c r="B299" s="7">
        <f>IF(inputs!$C$8&gt;B298,IF(A298=(inputs!$C$9-1),(B298+1),B298), B298)</f>
        <v>1</v>
      </c>
      <c r="C299" s="7">
        <f t="shared" si="9"/>
        <v>296</v>
      </c>
      <c r="D299" s="8">
        <f>IF((B299&gt;B298), (EXP(-LN(2)/inputs!$C$51)*D298+$D$3), (EXP(-LN(2)/inputs!$C$51)*D298))</f>
        <v>1.8490130603638604E-15</v>
      </c>
      <c r="E299" s="8">
        <f>IF((B299&gt;B298), (EXP(-LN(2)/inputs!$C$51)*E298+$E$3), (EXP(-LN(2)/inputs!$C$51)*E298))</f>
        <v>8.4746431933343598E-16</v>
      </c>
      <c r="F299" s="8">
        <f>IF((B299&gt;B298), (EXP(-LN(2)/inputs!$C$51)*F298+$F$3), (EXP(-LN(2)/inputs!$C$51)*F298))</f>
        <v>1.0400698464546725E-15</v>
      </c>
      <c r="G299" s="8">
        <f>IF((B299&gt;B298), (EXP(-LN(2)/inputs!$C$51)*G298+$G$3), (EXP(-LN(2)/inputs!$C$51)*G298))</f>
        <v>1.1556331627274128E-16</v>
      </c>
      <c r="H299" s="8">
        <f>IF((B299&gt;B298), (EXP(-LN(2)/inputs!$C$51)*H298+$H$3), (EXP(-LN(2)/inputs!$C$51)*H298))</f>
        <v>7.2419678197584571E-16</v>
      </c>
      <c r="I299" s="7">
        <f>O299*(10^inputs!$C$55)*0.01/1</f>
        <v>2.269683133145239E-2</v>
      </c>
      <c r="J299" s="7">
        <f>(((0.621*15^0.564)/0.2))*D299/15+J298*inputs!$C$53</f>
        <v>1.9896575785233026E-15</v>
      </c>
      <c r="K299" s="7">
        <f>(((0.621*1000^0.564)/0.2))*D299/1000+K298*inputs!$C$53</f>
        <v>3.18826292822112E-16</v>
      </c>
      <c r="L299" s="7">
        <f>(((0.648*20^0.651)/0.2))*H299/20+L298*inputs!$C$54</f>
        <v>1.0908446898951503E-15</v>
      </c>
      <c r="M299" s="7">
        <f>(((0.013*2^0.773)/0.2))*H299/2+M298*inputs!$C$54</f>
        <v>5.3193299254868717E-17</v>
      </c>
      <c r="N299" s="7">
        <f>O299*0.015*inputs!$C$56</f>
        <v>3.3346093564518009E-3</v>
      </c>
      <c r="O299" s="7">
        <f>IF((B299&gt;B298), (EXP(-LN(2)/inputs!$C$52)*O298+$O$3), (EXP(-LN(2)/inputs!$C$52)*O298))</f>
        <v>3.5972053467656968E-4</v>
      </c>
      <c r="P299" s="3">
        <f>IF((B299&gt;B298), (EXP(-LN(2)/inputs!$C$52)*P298+$P$3), (EXP(-LN(2)/inputs!$C$52)*P298))</f>
        <v>3.4759972298256051E-4</v>
      </c>
      <c r="Q299" s="19">
        <f>IF((F299*0.62*1/(0.012*(10^inputs!$C$55)))&gt;inputs!$C$57, inputs!$C$57, (F299*0.62*1/(0.012*(10^inputs!$C$55))))</f>
        <v>8.516731366538769E-18</v>
      </c>
      <c r="R299" s="3">
        <f>IF((B299&gt;B298), (EXP(-LN(2)/inputs!$C$51)*R298+$R$3), (EXP(-LN(2)/inputs!$C$51)*R298))</f>
        <v>1.978814940891109E-23</v>
      </c>
      <c r="T299" s="7">
        <f>IF(T298&lt;(inputs!$C$9-1),(1+T298),0)</f>
        <v>0</v>
      </c>
      <c r="U299" s="7">
        <f>IF(inputs!$C$8&gt;U298,IF(T298=(inputs!$C$9-1),(U298+1),U298), U298)</f>
        <v>1</v>
      </c>
      <c r="V299" s="7">
        <f t="shared" si="8"/>
        <v>296</v>
      </c>
      <c r="W299" s="8">
        <f>IF((U299&gt;U298), (EXP(-LN(2)/inputs!$C$51)*W298+$W$3), (EXP(-LN(2)/inputs!$C$51)*W298))</f>
        <v>6.5485879221220202E-16</v>
      </c>
      <c r="X299" s="8">
        <f>IF((U299&gt;U298), (EXP(-LN(2)/inputs!$C$51)*X298+$X$3), (EXP(-LN(2)/inputs!$C$51)*X298))</f>
        <v>2.7735195905457895E-16</v>
      </c>
      <c r="Y299" s="8">
        <f>IF((U299&gt;U298), (EXP(-LN(2)/inputs!$C$51)*Y298+$Y$3), (EXP(-LN(2)/inputs!$C$51)*Y298))</f>
        <v>3.4668994881822442E-16</v>
      </c>
      <c r="Z299" s="8">
        <f>IF((U299&gt;U298), (EXP(-LN(2)/inputs!$C$51)*Z298+$Z$3), (EXP(-LN(2)/inputs!$C$51)*Z298))</f>
        <v>5.3929547593945923E-17</v>
      </c>
      <c r="AA299" s="8">
        <f>IF((U299&gt;U298), (EXP(-LN(2)/inputs!$C$51)*AA298+$AA$3), (EXP(-LN(2)/inputs!$C$51)*AA298))</f>
        <v>5.0077437051521211E-16</v>
      </c>
      <c r="AB299" s="7">
        <f>(((0.621*15^0.564)/0.2))*W299/15+AB298*inputs!$C$53</f>
        <v>7.0467039239367111E-16</v>
      </c>
      <c r="AC299" s="7">
        <f>(((0.621*1000^0.564)/0.2))*W299/1000+AC298*inputs!$C$53</f>
        <v>1.1291764537449823E-16</v>
      </c>
      <c r="AD299" s="7">
        <f>(((0.648*20^0.651)/0.2))*AA299/20+AD298*inputs!$C$54</f>
        <v>7.5430749833175214E-16</v>
      </c>
      <c r="AE299" s="7">
        <f>(((0.013*2^0.773)/0.2))*AA299/2+AE298*inputs!$C$54</f>
        <v>3.6782600548579405E-17</v>
      </c>
    </row>
    <row r="300" spans="1:31" x14ac:dyDescent="0.3">
      <c r="A300" s="7">
        <f>IF(A299&lt;(inputs!$C$9-1),(1+A299),0)</f>
        <v>0</v>
      </c>
      <c r="B300" s="7">
        <f>IF(inputs!$C$8&gt;B299,IF(A299=(inputs!$C$9-1),(B299+1),B299), B299)</f>
        <v>1</v>
      </c>
      <c r="C300" s="7">
        <f t="shared" si="9"/>
        <v>297</v>
      </c>
      <c r="D300" s="8">
        <f>IF((B300&gt;B299), (EXP(-LN(2)/inputs!$C$51)*D299+$D$3), (EXP(-LN(2)/inputs!$C$51)*D299))</f>
        <v>1.62233996345489E-15</v>
      </c>
      <c r="E300" s="8">
        <f>IF((B300&gt;B299), (EXP(-LN(2)/inputs!$C$51)*E299+$E$3), (EXP(-LN(2)/inputs!$C$51)*E299))</f>
        <v>7.4357248325015783E-16</v>
      </c>
      <c r="F300" s="8">
        <f>IF((B300&gt;B299), (EXP(-LN(2)/inputs!$C$51)*F299+$F$3), (EXP(-LN(2)/inputs!$C$51)*F299))</f>
        <v>9.1256622944337644E-16</v>
      </c>
      <c r="G300" s="8">
        <f>IF((B300&gt;B299), (EXP(-LN(2)/inputs!$C$51)*G299+$G$3), (EXP(-LN(2)/inputs!$C$51)*G299))</f>
        <v>1.0139624771593062E-16</v>
      </c>
      <c r="H300" s="8">
        <f>IF((B300&gt;B299), (EXP(-LN(2)/inputs!$C$51)*H299+$H$3), (EXP(-LN(2)/inputs!$C$51)*H299))</f>
        <v>6.3541648568649883E-16</v>
      </c>
      <c r="I300" s="7">
        <f>O300*(10^inputs!$C$55)*0.01/1</f>
        <v>2.2238802956600009E-2</v>
      </c>
      <c r="J300" s="7">
        <f>(((0.621*15^0.564)/0.2))*D300/15+J299*inputs!$C$53</f>
        <v>1.7457426734422484E-15</v>
      </c>
      <c r="K300" s="7">
        <f>(((0.621*1000^0.564)/0.2))*D300/1000+K299*inputs!$C$53</f>
        <v>2.7974093170747884E-16</v>
      </c>
      <c r="L300" s="7">
        <f>(((0.648*20^0.651)/0.2))*H300/20+L299*inputs!$C$54</f>
        <v>9.5711651381802673E-16</v>
      </c>
      <c r="M300" s="7">
        <f>(((0.013*2^0.773)/0.2))*H300/2+M299*inputs!$C$54</f>
        <v>4.6672258308552207E-17</v>
      </c>
      <c r="N300" s="7">
        <f>O300*0.015*inputs!$C$56</f>
        <v>3.2673160113148247E-3</v>
      </c>
      <c r="O300" s="7">
        <f>IF((B300&gt;B299), (EXP(-LN(2)/inputs!$C$52)*O299+$O$3), (EXP(-LN(2)/inputs!$C$52)*O299))</f>
        <v>3.5246127414399406E-4</v>
      </c>
      <c r="P300" s="3">
        <f>IF((B300&gt;B299), (EXP(-LN(2)/inputs!$C$52)*P299+$P$3), (EXP(-LN(2)/inputs!$C$52)*P299))</f>
        <v>3.4058506380428962E-4</v>
      </c>
      <c r="Q300" s="19">
        <f>IF((F300*0.62*1/(0.012*(10^inputs!$C$55)))&gt;inputs!$C$57, inputs!$C$57, (F300*0.62*1/(0.012*(10^inputs!$C$55))))</f>
        <v>7.4726533576926812E-18</v>
      </c>
      <c r="R300" s="3">
        <f>IF((B300&gt;B299), (EXP(-LN(2)/inputs!$C$51)*R299+$R$3), (EXP(-LN(2)/inputs!$C$51)*R299))</f>
        <v>1.7362292499207802E-23</v>
      </c>
      <c r="T300" s="7">
        <f>IF(T299&lt;(inputs!$C$9-1),(1+T299),0)</f>
        <v>0</v>
      </c>
      <c r="U300" s="7">
        <f>IF(inputs!$C$8&gt;U299,IF(T299=(inputs!$C$9-1),(U299+1),U299), U299)</f>
        <v>1</v>
      </c>
      <c r="V300" s="7">
        <f t="shared" si="8"/>
        <v>297</v>
      </c>
      <c r="W300" s="8">
        <f>IF((U300&gt;U299), (EXP(-LN(2)/inputs!$C$51)*W299+$W$3), (EXP(-LN(2)/inputs!$C$51)*W299))</f>
        <v>5.7457873705694149E-16</v>
      </c>
      <c r="X300" s="8">
        <f>IF((U300&gt;U299), (EXP(-LN(2)/inputs!$C$51)*X299+$X$3), (EXP(-LN(2)/inputs!$C$51)*X299))</f>
        <v>2.4335099451823339E-16</v>
      </c>
      <c r="Y300" s="8">
        <f>IF((U300&gt;U299), (EXP(-LN(2)/inputs!$C$51)*Y299+$Y$3), (EXP(-LN(2)/inputs!$C$51)*Y299))</f>
        <v>3.0418874314779236E-16</v>
      </c>
      <c r="Z300" s="8">
        <f>IF((U300&gt;U299), (EXP(-LN(2)/inputs!$C$51)*Z299+$Z$3), (EXP(-LN(2)/inputs!$C$51)*Z299))</f>
        <v>4.7318248934100949E-17</v>
      </c>
      <c r="AA300" s="8">
        <f>IF((U300&gt;U299), (EXP(-LN(2)/inputs!$C$51)*AA299+$AA$3), (EXP(-LN(2)/inputs!$C$51)*AA299))</f>
        <v>4.3938374010236591E-16</v>
      </c>
      <c r="AB300" s="7">
        <f>(((0.621*15^0.564)/0.2))*W300/15+AB299*inputs!$C$53</f>
        <v>6.1828386351079771E-16</v>
      </c>
      <c r="AC300" s="7">
        <f>(((0.621*1000^0.564)/0.2))*W300/1000+AC299*inputs!$C$53</f>
        <v>9.9074913313065664E-17</v>
      </c>
      <c r="AD300" s="7">
        <f>(((0.648*20^0.651)/0.2))*AA300/20+AD299*inputs!$C$54</f>
        <v>6.6183588721459237E-16</v>
      </c>
      <c r="AE300" s="7">
        <f>(((0.013*2^0.773)/0.2))*AA300/2+AE299*inputs!$C$54</f>
        <v>3.2273370106977565E-17</v>
      </c>
    </row>
    <row r="301" spans="1:31" x14ac:dyDescent="0.3">
      <c r="A301" s="7">
        <f>IF(A300&lt;(inputs!$C$9-1),(1+A300),0)</f>
        <v>0</v>
      </c>
      <c r="B301" s="7">
        <f>IF(inputs!$C$8&gt;B300,IF(A300=(inputs!$C$9-1),(B300+1),B300), B300)</f>
        <v>1</v>
      </c>
      <c r="C301" s="7">
        <f t="shared" si="9"/>
        <v>298</v>
      </c>
      <c r="D301" s="8">
        <f>IF((B301&gt;B300), (EXP(-LN(2)/inputs!$C$51)*D300+$D$3), (EXP(-LN(2)/inputs!$C$51)*D300))</f>
        <v>1.4234550384976051E-15</v>
      </c>
      <c r="E301" s="8">
        <f>IF((B301&gt;B300), (EXP(-LN(2)/inputs!$C$51)*E300+$E$3), (EXP(-LN(2)/inputs!$C$51)*E300))</f>
        <v>6.5241689264473559E-16</v>
      </c>
      <c r="F301" s="8">
        <f>IF((B301&gt;B300), (EXP(-LN(2)/inputs!$C$51)*F300+$F$3), (EXP(-LN(2)/inputs!$C$51)*F300))</f>
        <v>8.0069345915490364E-16</v>
      </c>
      <c r="G301" s="8">
        <f>IF((B301&gt;B300), (EXP(-LN(2)/inputs!$C$51)*G300+$G$3), (EXP(-LN(2)/inputs!$C$51)*G300))</f>
        <v>8.8965939906100319E-17</v>
      </c>
      <c r="H301" s="8">
        <f>IF((B301&gt;B300), (EXP(-LN(2)/inputs!$C$51)*H300+$H$3), (EXP(-LN(2)/inputs!$C$51)*H300))</f>
        <v>5.5751989007822893E-16</v>
      </c>
      <c r="I301" s="7">
        <f>O301*(10^inputs!$C$55)*0.01/1</f>
        <v>2.1790017721862932E-2</v>
      </c>
      <c r="J301" s="7">
        <f>(((0.621*15^0.564)/0.2))*D301/15+J300*inputs!$C$53</f>
        <v>1.5317296376893105E-15</v>
      </c>
      <c r="K301" s="7">
        <f>(((0.621*1000^0.564)/0.2))*D301/1000+K300*inputs!$C$53</f>
        <v>2.4544709967264353E-16</v>
      </c>
      <c r="L301" s="7">
        <f>(((0.648*20^0.651)/0.2))*H301/20+L300*inputs!$C$54</f>
        <v>8.3978226186463239E-16</v>
      </c>
      <c r="M301" s="7">
        <f>(((0.013*2^0.773)/0.2))*H301/2+M300*inputs!$C$54</f>
        <v>4.0950640891499949E-17</v>
      </c>
      <c r="N301" s="7">
        <f>O301*0.015*inputs!$C$56</f>
        <v>3.2013806646165452E-3</v>
      </c>
      <c r="O301" s="7">
        <f>IF((B301&gt;B300), (EXP(-LN(2)/inputs!$C$52)*O300+$O$3), (EXP(-LN(2)/inputs!$C$52)*O300))</f>
        <v>3.4534850750987548E-4</v>
      </c>
      <c r="P301" s="3">
        <f>IF((B301&gt;B300), (EXP(-LN(2)/inputs!$C$52)*P300+$P$3), (EXP(-LN(2)/inputs!$C$52)*P300))</f>
        <v>3.3371196240105115E-4</v>
      </c>
      <c r="Q301" s="19">
        <f>IF((F301*0.62*1/(0.012*(10^inputs!$C$55)))&gt;inputs!$C$57, inputs!$C$57, (F301*0.62*1/(0.012*(10^inputs!$C$55))))</f>
        <v>6.5565703320908546E-18</v>
      </c>
      <c r="R301" s="3">
        <f>IF((B301&gt;B300), (EXP(-LN(2)/inputs!$C$51)*R300+$R$3), (EXP(-LN(2)/inputs!$C$51)*R300))</f>
        <v>1.523382478061832E-23</v>
      </c>
      <c r="T301" s="7">
        <f>IF(T300&lt;(inputs!$C$9-1),(1+T300),0)</f>
        <v>0</v>
      </c>
      <c r="U301" s="7">
        <f>IF(inputs!$C$8&gt;U300,IF(T300=(inputs!$C$9-1),(U300+1),U300), U300)</f>
        <v>1</v>
      </c>
      <c r="V301" s="7">
        <f t="shared" si="8"/>
        <v>298</v>
      </c>
      <c r="W301" s="8">
        <f>IF((U301&gt;U300), (EXP(-LN(2)/inputs!$C$51)*W300+$W$3), (EXP(-LN(2)/inputs!$C$51)*W300))</f>
        <v>5.0414032613456962E-16</v>
      </c>
      <c r="X301" s="8">
        <f>IF((U301&gt;U300), (EXP(-LN(2)/inputs!$C$51)*X300+$X$3), (EXP(-LN(2)/inputs!$C$51)*X300))</f>
        <v>2.1351825577464069E-16</v>
      </c>
      <c r="Y301" s="8">
        <f>IF((U301&gt;U300), (EXP(-LN(2)/inputs!$C$51)*Y300+$Y$3), (EXP(-LN(2)/inputs!$C$51)*Y300))</f>
        <v>2.6689781971830138E-16</v>
      </c>
      <c r="Z301" s="8">
        <f>IF((U301&gt;U300), (EXP(-LN(2)/inputs!$C$51)*Z300+$Z$3), (EXP(-LN(2)/inputs!$C$51)*Z300))</f>
        <v>4.1517438622846808E-17</v>
      </c>
      <c r="AA301" s="8">
        <f>IF((U301&gt;U300), (EXP(-LN(2)/inputs!$C$51)*AA300+$AA$3), (EXP(-LN(2)/inputs!$C$51)*AA300))</f>
        <v>3.8551907292643461E-16</v>
      </c>
      <c r="AB301" s="7">
        <f>(((0.621*15^0.564)/0.2))*W301/15+AB300*inputs!$C$53</f>
        <v>5.4248758001496539E-16</v>
      </c>
      <c r="AC301" s="7">
        <f>(((0.621*1000^0.564)/0.2))*W301/1000+AC300*inputs!$C$53</f>
        <v>8.6929181134061447E-17</v>
      </c>
      <c r="AD301" s="7">
        <f>(((0.648*20^0.651)/0.2))*AA301/20+AD300*inputs!$C$54</f>
        <v>5.8070050022554328E-16</v>
      </c>
      <c r="AE301" s="7">
        <f>(((0.013*2^0.773)/0.2))*AA301/2+AE300*inputs!$C$54</f>
        <v>2.8316932531356328E-17</v>
      </c>
    </row>
    <row r="302" spans="1:31" x14ac:dyDescent="0.3">
      <c r="A302" s="7">
        <f>IF(A301&lt;(inputs!$C$9-1),(1+A301),0)</f>
        <v>0</v>
      </c>
      <c r="B302" s="7">
        <f>IF(inputs!$C$8&gt;B301,IF(A301=(inputs!$C$9-1),(B301+1),B301), B301)</f>
        <v>1</v>
      </c>
      <c r="C302" s="7">
        <f t="shared" si="9"/>
        <v>299</v>
      </c>
      <c r="D302" s="8">
        <f>IF((B302&gt;B301), (EXP(-LN(2)/inputs!$C$51)*D301+$D$3), (EXP(-LN(2)/inputs!$C$51)*D301))</f>
        <v>1.2489516946307774E-15</v>
      </c>
      <c r="E302" s="8">
        <f>IF((B302&gt;B301), (EXP(-LN(2)/inputs!$C$51)*E301+$E$3), (EXP(-LN(2)/inputs!$C$51)*E301))</f>
        <v>5.7243619337243962E-16</v>
      </c>
      <c r="F302" s="8">
        <f>IF((B302&gt;B301), (EXP(-LN(2)/inputs!$C$51)*F301+$F$3), (EXP(-LN(2)/inputs!$C$51)*F301))</f>
        <v>7.0253532822981302E-16</v>
      </c>
      <c r="G302" s="8">
        <f>IF((B302&gt;B301), (EXP(-LN(2)/inputs!$C$51)*G301+$G$3), (EXP(-LN(2)/inputs!$C$51)*G301))</f>
        <v>7.8059480914423588E-17</v>
      </c>
      <c r="H302" s="8">
        <f>IF((B302&gt;B301), (EXP(-LN(2)/inputs!$C$51)*H301+$H$3), (EXP(-LN(2)/inputs!$C$51)*H301))</f>
        <v>4.8917274706372138E-16</v>
      </c>
      <c r="I302" s="7">
        <f>O302*(10^inputs!$C$55)*0.01/1</f>
        <v>2.1350289098100422E-2</v>
      </c>
      <c r="J302" s="7">
        <f>(((0.621*15^0.564)/0.2))*D302/15+J301*inputs!$C$53</f>
        <v>1.3439527592858844E-15</v>
      </c>
      <c r="K302" s="7">
        <f>(((0.621*1000^0.564)/0.2))*D302/1000+K301*inputs!$C$53</f>
        <v>2.1535739646677519E-16</v>
      </c>
      <c r="L302" s="7">
        <f>(((0.648*20^0.651)/0.2))*H302/20+L301*inputs!$C$54</f>
        <v>7.368321799497881E-16</v>
      </c>
      <c r="M302" s="7">
        <f>(((0.013*2^0.773)/0.2))*H302/2+M301*inputs!$C$54</f>
        <v>3.5930444555268133E-17</v>
      </c>
      <c r="N302" s="7">
        <f>O302*0.015*inputs!$C$56</f>
        <v>3.136775911570416E-3</v>
      </c>
      <c r="O302" s="7">
        <f>IF((B302&gt;B301), (EXP(-LN(2)/inputs!$C$52)*O301+$O$3), (EXP(-LN(2)/inputs!$C$52)*O301))</f>
        <v>3.3837927848656051E-4</v>
      </c>
      <c r="P302" s="3">
        <f>IF((B302&gt;B301), (EXP(-LN(2)/inputs!$C$52)*P301+$P$3), (EXP(-LN(2)/inputs!$C$52)*P301))</f>
        <v>3.2697756209753659E-4</v>
      </c>
      <c r="Q302" s="19">
        <f>IF((F302*0.62*1/(0.012*(10^inputs!$C$55)))&gt;inputs!$C$57, inputs!$C$57, (F302*0.62*1/(0.012*(10^inputs!$C$55))))</f>
        <v>5.7527912057367942E-18</v>
      </c>
      <c r="R302" s="3">
        <f>IF((B302&gt;B301), (EXP(-LN(2)/inputs!$C$51)*R301+$R$3), (EXP(-LN(2)/inputs!$C$51)*R301))</f>
        <v>1.336628889630615E-23</v>
      </c>
      <c r="T302" s="7">
        <f>IF(T301&lt;(inputs!$C$9-1),(1+T301),0)</f>
        <v>0</v>
      </c>
      <c r="U302" s="7">
        <f>IF(inputs!$C$8&gt;U301,IF(T301=(inputs!$C$9-1),(U301+1),U301), U301)</f>
        <v>1</v>
      </c>
      <c r="V302" s="7">
        <f t="shared" si="8"/>
        <v>299</v>
      </c>
      <c r="W302" s="8">
        <f>IF((U302&gt;U301), (EXP(-LN(2)/inputs!$C$51)*W301+$W$3), (EXP(-LN(2)/inputs!$C$51)*W301))</f>
        <v>4.4233705851506804E-16</v>
      </c>
      <c r="X302" s="8">
        <f>IF((U302&gt;U301), (EXP(-LN(2)/inputs!$C$51)*X301+$X$3), (EXP(-LN(2)/inputs!$C$51)*X301))</f>
        <v>1.8734275419461655E-16</v>
      </c>
      <c r="Y302" s="8">
        <f>IF((U302&gt;U301), (EXP(-LN(2)/inputs!$C$51)*Y301+$Y$3), (EXP(-LN(2)/inputs!$C$51)*Y301))</f>
        <v>2.3417844274327112E-16</v>
      </c>
      <c r="Z302" s="8">
        <f>IF((U302&gt;U301), (EXP(-LN(2)/inputs!$C$51)*Z301+$Z$3), (EXP(-LN(2)/inputs!$C$51)*Z301))</f>
        <v>3.6427757760064333E-17</v>
      </c>
      <c r="AA302" s="8">
        <f>IF((U302&gt;U301), (EXP(-LN(2)/inputs!$C$51)*AA301+$AA$3), (EXP(-LN(2)/inputs!$C$51)*AA301))</f>
        <v>3.3825775062916879E-16</v>
      </c>
      <c r="AB302" s="7">
        <f>(((0.621*15^0.564)/0.2))*W302/15+AB301*inputs!$C$53</f>
        <v>4.7598326891375175E-16</v>
      </c>
      <c r="AC302" s="7">
        <f>(((0.621*1000^0.564)/0.2))*W302/1000+AC301*inputs!$C$53</f>
        <v>7.6272411248649731E-17</v>
      </c>
      <c r="AD302" s="7">
        <f>(((0.648*20^0.651)/0.2))*AA302/20+AD301*inputs!$C$54</f>
        <v>5.0951161379506592E-16</v>
      </c>
      <c r="AE302" s="7">
        <f>(((0.013*2^0.773)/0.2))*AA302/2+AE301*inputs!$C$54</f>
        <v>2.4845520171196035E-17</v>
      </c>
    </row>
    <row r="303" spans="1:31" x14ac:dyDescent="0.3">
      <c r="A303" s="7">
        <f>IF(A302&lt;(inputs!$C$9-1),(1+A302),0)</f>
        <v>0</v>
      </c>
      <c r="B303" s="7">
        <f>IF(inputs!$C$8&gt;B302,IF(A302=(inputs!$C$9-1),(B302+1),B302), B302)</f>
        <v>1</v>
      </c>
      <c r="C303" s="7">
        <f t="shared" si="9"/>
        <v>300</v>
      </c>
      <c r="D303" s="8">
        <f>IF((B303&gt;B302), (EXP(-LN(2)/inputs!$C$51)*D302+$D$3), (EXP(-LN(2)/inputs!$C$51)*D302))</f>
        <v>1.0958409597309632E-15</v>
      </c>
      <c r="E303" s="8">
        <f>IF((B303&gt;B302), (EXP(-LN(2)/inputs!$C$51)*E302+$E$3), (EXP(-LN(2)/inputs!$C$51)*E302))</f>
        <v>5.022604398766914E-16</v>
      </c>
      <c r="F303" s="8">
        <f>IF((B303&gt;B302), (EXP(-LN(2)/inputs!$C$51)*F302+$F$3), (EXP(-LN(2)/inputs!$C$51)*F302))</f>
        <v>6.1641053984866748E-16</v>
      </c>
      <c r="G303" s="8">
        <f>IF((B303&gt;B302), (EXP(-LN(2)/inputs!$C$51)*G302+$G$3), (EXP(-LN(2)/inputs!$C$51)*G302))</f>
        <v>6.8490059983185202E-17</v>
      </c>
      <c r="H303" s="8">
        <f>IF((B303&gt;B302), (EXP(-LN(2)/inputs!$C$51)*H302+$H$3), (EXP(-LN(2)/inputs!$C$51)*H302))</f>
        <v>4.2920437589462743E-16</v>
      </c>
      <c r="I303" s="7">
        <f>O303*(10^inputs!$C$55)*0.01/1</f>
        <v>2.0919434320381739E-2</v>
      </c>
      <c r="J303" s="7">
        <f>(((0.621*15^0.564)/0.2))*D303/15+J302*inputs!$C$53</f>
        <v>1.1791957110113097E-15</v>
      </c>
      <c r="K303" s="7">
        <f>(((0.621*1000^0.564)/0.2))*D303/1000+K302*inputs!$C$53</f>
        <v>1.8895643205726981E-16</v>
      </c>
      <c r="L303" s="7">
        <f>(((0.648*20^0.651)/0.2))*H303/20+L302*inputs!$C$54</f>
        <v>6.4650289255225131E-16</v>
      </c>
      <c r="M303" s="7">
        <f>(((0.013*2^0.773)/0.2))*H303/2+M302*inputs!$C$54</f>
        <v>3.1525681108623811E-17</v>
      </c>
      <c r="N303" s="7">
        <f>O303*0.015*inputs!$C$56</f>
        <v>3.0734749004261109E-3</v>
      </c>
      <c r="O303" s="7">
        <f>IF((B303&gt;B302), (EXP(-LN(2)/inputs!$C$52)*O302+$O$3), (EXP(-LN(2)/inputs!$C$52)*O302))</f>
        <v>3.3155069044510366E-4</v>
      </c>
      <c r="P303" s="3">
        <f>IF((B303&gt;B302), (EXP(-LN(2)/inputs!$C$52)*P302+$P$3), (EXP(-LN(2)/inputs!$C$52)*P302))</f>
        <v>3.2037906386694047E-4</v>
      </c>
      <c r="Q303" s="19">
        <f>IF((F303*0.62*1/(0.012*(10^inputs!$C$55)))&gt;inputs!$C$57, inputs!$C$57, (F303*0.62*1/(0.012*(10^inputs!$C$55))))</f>
        <v>5.0475484865650653E-18</v>
      </c>
      <c r="R303" s="3">
        <f>IF((B303&gt;B302), (EXP(-LN(2)/inputs!$C$51)*R302+$R$3), (EXP(-LN(2)/inputs!$C$51)*R302))</f>
        <v>1.1727696847794885E-23</v>
      </c>
      <c r="T303" s="7">
        <f>IF(T302&lt;(inputs!$C$9-1),(1+T302),0)</f>
        <v>0</v>
      </c>
      <c r="U303" s="7">
        <f>IF(inputs!$C$8&gt;U302,IF(T302=(inputs!$C$9-1),(U302+1),U302), U302)</f>
        <v>1</v>
      </c>
      <c r="V303" s="7">
        <f t="shared" si="8"/>
        <v>300</v>
      </c>
      <c r="W303" s="8">
        <f>IF((U303&gt;U302), (EXP(-LN(2)/inputs!$C$51)*W302+$W$3), (EXP(-LN(2)/inputs!$C$51)*W302))</f>
        <v>3.8811033990471704E-16</v>
      </c>
      <c r="X303" s="8">
        <f>IF((U303&gt;U302), (EXP(-LN(2)/inputs!$C$51)*X302+$X$3), (EXP(-LN(2)/inputs!$C$51)*X302))</f>
        <v>1.6437614395964442E-16</v>
      </c>
      <c r="Y303" s="8">
        <f>IF((U303&gt;U302), (EXP(-LN(2)/inputs!$C$51)*Y302+$Y$3), (EXP(-LN(2)/inputs!$C$51)*Y302))</f>
        <v>2.054701799495559E-16</v>
      </c>
      <c r="Z303" s="8">
        <f>IF((U303&gt;U302), (EXP(-LN(2)/inputs!$C$51)*Z302+$Z$3), (EXP(-LN(2)/inputs!$C$51)*Z302))</f>
        <v>3.1962027992153085E-17</v>
      </c>
      <c r="AA303" s="8">
        <f>IF((U303&gt;U302), (EXP(-LN(2)/inputs!$C$51)*AA302+$AA$3), (EXP(-LN(2)/inputs!$C$51)*AA302))</f>
        <v>2.9679025992713577E-16</v>
      </c>
      <c r="AB303" s="7">
        <f>(((0.621*15^0.564)/0.2))*W303/15+AB302*inputs!$C$53</f>
        <v>4.1763181431650647E-16</v>
      </c>
      <c r="AC303" s="7">
        <f>(((0.621*1000^0.564)/0.2))*W303/1000+AC302*inputs!$C$53</f>
        <v>6.6922069686949864E-17</v>
      </c>
      <c r="AD303" s="7">
        <f>(((0.648*20^0.651)/0.2))*AA303/20+AD302*inputs!$C$54</f>
        <v>4.4704987250953512E-16</v>
      </c>
      <c r="AE303" s="7">
        <f>(((0.013*2^0.773)/0.2))*AA303/2+AE302*inputs!$C$54</f>
        <v>2.1799673107027088E-17</v>
      </c>
    </row>
    <row r="304" spans="1:31" x14ac:dyDescent="0.3">
      <c r="A304" s="7">
        <f>IF(A303&lt;(inputs!$C$9-1),(1+A303),0)</f>
        <v>0</v>
      </c>
      <c r="B304" s="7">
        <f>IF(inputs!$C$8&gt;B303,IF(A303=(inputs!$C$9-1),(B303+1),B303), B303)</f>
        <v>1</v>
      </c>
      <c r="C304" s="7">
        <f t="shared" si="9"/>
        <v>301</v>
      </c>
      <c r="D304" s="8">
        <f>IF((B304&gt;B303), (EXP(-LN(2)/inputs!$C$51)*D303+$D$3), (EXP(-LN(2)/inputs!$C$51)*D303))</f>
        <v>9.6150028394739971E-16</v>
      </c>
      <c r="E304" s="8">
        <f>IF((B304&gt;B303), (EXP(-LN(2)/inputs!$C$51)*E303+$E$3), (EXP(-LN(2)/inputs!$C$51)*E303))</f>
        <v>4.4068763014255811E-16</v>
      </c>
      <c r="F304" s="8">
        <f>IF((B304&gt;B303), (EXP(-LN(2)/inputs!$C$51)*F303+$F$3), (EXP(-LN(2)/inputs!$C$51)*F303))</f>
        <v>5.4084390972041292E-16</v>
      </c>
      <c r="G304" s="8">
        <f>IF((B304&gt;B303), (EXP(-LN(2)/inputs!$C$51)*G303+$G$3), (EXP(-LN(2)/inputs!$C$51)*G303))</f>
        <v>6.0093767746712482E-17</v>
      </c>
      <c r="H304" s="8">
        <f>IF((B304&gt;B303), (EXP(-LN(2)/inputs!$C$51)*H303+$H$3), (EXP(-LN(2)/inputs!$C$51)*H303))</f>
        <v>3.765876112127317E-16</v>
      </c>
      <c r="I304" s="7">
        <f>O304*(10^inputs!$C$55)*0.01/1</f>
        <v>2.049727431202332E-2</v>
      </c>
      <c r="J304" s="7">
        <f>(((0.621*15^0.564)/0.2))*D304/15+J303*inputs!$C$53</f>
        <v>1.0346364596969301E-15</v>
      </c>
      <c r="K304" s="7">
        <f>(((0.621*1000^0.564)/0.2))*D304/1000+K303*inputs!$C$53</f>
        <v>1.6579199879639159E-16</v>
      </c>
      <c r="L304" s="7">
        <f>(((0.648*20^0.651)/0.2))*H304/20+L303*inputs!$C$54</f>
        <v>5.6724719882200349E-16</v>
      </c>
      <c r="M304" s="7">
        <f>(((0.013*2^0.773)/0.2))*H304/2+M303*inputs!$C$54</f>
        <v>2.7660903772951476E-17</v>
      </c>
      <c r="N304" s="7">
        <f>O304*0.015*inputs!$C$56</f>
        <v>3.0114513213091018E-3</v>
      </c>
      <c r="O304" s="7">
        <f>IF((B304&gt;B303), (EXP(-LN(2)/inputs!$C$52)*O303+$O$3), (EXP(-LN(2)/inputs!$C$52)*O303))</f>
        <v>3.2485990521133784E-4</v>
      </c>
      <c r="P304" s="3">
        <f>IF((B304&gt;B303), (EXP(-LN(2)/inputs!$C$52)*P303+$P$3), (EXP(-LN(2)/inputs!$C$52)*P303))</f>
        <v>3.1391372516759744E-4</v>
      </c>
      <c r="Q304" s="19">
        <f>IF((F304*0.62*1/(0.012*(10^inputs!$C$55)))&gt;inputs!$C$57, inputs!$C$57, (F304*0.62*1/(0.012*(10^inputs!$C$55))))</f>
        <v>4.4287624586163281E-18</v>
      </c>
      <c r="R304" s="3">
        <f>IF((B304&gt;B303), (EXP(-LN(2)/inputs!$C$51)*R303+$R$3), (EXP(-LN(2)/inputs!$C$51)*R303))</f>
        <v>1.0289982090076456E-23</v>
      </c>
      <c r="T304" s="7">
        <f>IF(T303&lt;(inputs!$C$9-1),(1+T303),0)</f>
        <v>0</v>
      </c>
      <c r="U304" s="7">
        <f>IF(inputs!$C$8&gt;U303,IF(T303=(inputs!$C$9-1),(U303+1),U303), U303)</f>
        <v>1</v>
      </c>
      <c r="V304" s="7">
        <f t="shared" si="8"/>
        <v>301</v>
      </c>
      <c r="W304" s="8">
        <f>IF((U304&gt;U303), (EXP(-LN(2)/inputs!$C$51)*W303+$W$3), (EXP(-LN(2)/inputs!$C$51)*W303))</f>
        <v>3.4053135056470483E-16</v>
      </c>
      <c r="X304" s="8">
        <f>IF((U304&gt;U303), (EXP(-LN(2)/inputs!$C$51)*X303+$X$3), (EXP(-LN(2)/inputs!$C$51)*X303))</f>
        <v>1.442250425921099E-16</v>
      </c>
      <c r="Y304" s="8">
        <f>IF((U304&gt;U303), (EXP(-LN(2)/inputs!$C$51)*Y303+$Y$3), (EXP(-LN(2)/inputs!$C$51)*Y303))</f>
        <v>1.8028130324013771E-16</v>
      </c>
      <c r="Z304" s="8">
        <f>IF((U304&gt;U303), (EXP(-LN(2)/inputs!$C$51)*Z303+$Z$3), (EXP(-LN(2)/inputs!$C$51)*Z303))</f>
        <v>2.8043758281799149E-17</v>
      </c>
      <c r="AA304" s="8">
        <f>IF((U304&gt;U303), (EXP(-LN(2)/inputs!$C$51)*AA303+$AA$3), (EXP(-LN(2)/inputs!$C$51)*AA303))</f>
        <v>2.6040632690242065E-16</v>
      </c>
      <c r="AB304" s="7">
        <f>(((0.621*15^0.564)/0.2))*W304/15+AB303*inputs!$C$53</f>
        <v>3.6643374614266363E-16</v>
      </c>
      <c r="AC304" s="7">
        <f>(((0.621*1000^0.564)/0.2))*W304/1000+AC303*inputs!$C$53</f>
        <v>5.8717999573722146E-17</v>
      </c>
      <c r="AD304" s="7">
        <f>(((0.648*20^0.651)/0.2))*AA304/20+AD303*inputs!$C$54</f>
        <v>3.9224540344074681E-16</v>
      </c>
      <c r="AE304" s="7">
        <f>(((0.013*2^0.773)/0.2))*AA304/2+AE303*inputs!$C$54</f>
        <v>1.9127220694062178E-17</v>
      </c>
    </row>
    <row r="305" spans="1:31" x14ac:dyDescent="0.3">
      <c r="A305" s="7">
        <f>IF(A304&lt;(inputs!$C$9-1),(1+A304),0)</f>
        <v>0</v>
      </c>
      <c r="B305" s="7">
        <f>IF(inputs!$C$8&gt;B304,IF(A304=(inputs!$C$9-1),(B304+1),B304), B304)</f>
        <v>1</v>
      </c>
      <c r="C305" s="7">
        <f t="shared" si="9"/>
        <v>302</v>
      </c>
      <c r="D305" s="8">
        <f>IF((B305&gt;B304), (EXP(-LN(2)/inputs!$C$51)*D304+$D$3), (EXP(-LN(2)/inputs!$C$51)*D304))</f>
        <v>8.4362861948315689E-16</v>
      </c>
      <c r="E305" s="8">
        <f>IF((B305&gt;B304), (EXP(-LN(2)/inputs!$C$51)*E304+$E$3), (EXP(-LN(2)/inputs!$C$51)*E304))</f>
        <v>3.8666311726311354E-16</v>
      </c>
      <c r="F305" s="8">
        <f>IF((B305&gt;B304), (EXP(-LN(2)/inputs!$C$51)*F304+$F$3), (EXP(-LN(2)/inputs!$C$51)*F304))</f>
        <v>4.7454109845927627E-16</v>
      </c>
      <c r="G305" s="8">
        <f>IF((B305&gt;B304), (EXP(-LN(2)/inputs!$C$51)*G304+$G$3), (EXP(-LN(2)/inputs!$C$51)*G304))</f>
        <v>5.2726788717697306E-17</v>
      </c>
      <c r="H305" s="8">
        <f>IF((B305&gt;B304), (EXP(-LN(2)/inputs!$C$51)*H304+$H$3), (EXP(-LN(2)/inputs!$C$51)*H304))</f>
        <v>3.3042120929756993E-16</v>
      </c>
      <c r="I305" s="7">
        <f>O305*(10^inputs!$C$55)*0.01/1</f>
        <v>2.0083633610158941E-2</v>
      </c>
      <c r="J305" s="7">
        <f>(((0.621*15^0.564)/0.2))*D305/15+J304*inputs!$C$53</f>
        <v>9.0779892916684009E-16</v>
      </c>
      <c r="K305" s="7">
        <f>(((0.621*1000^0.564)/0.2))*D305/1000+K304*inputs!$C$53</f>
        <v>1.4546732580435168E-16</v>
      </c>
      <c r="L305" s="7">
        <f>(((0.648*20^0.651)/0.2))*H305/20+L304*inputs!$C$54</f>
        <v>4.9770757142498591E-16</v>
      </c>
      <c r="M305" s="7">
        <f>(((0.013*2^0.773)/0.2))*H305/2+M304*inputs!$C$54</f>
        <v>2.4269914895738196E-17</v>
      </c>
      <c r="N305" s="7">
        <f>O305*0.015*inputs!$C$56</f>
        <v>2.9506793952854531E-3</v>
      </c>
      <c r="O305" s="7">
        <f>IF((B305&gt;B304), (EXP(-LN(2)/inputs!$C$52)*O304+$O$3), (EXP(-LN(2)/inputs!$C$52)*O304))</f>
        <v>3.1830414188624092E-4</v>
      </c>
      <c r="P305" s="3">
        <f>IF((B305&gt;B304), (EXP(-LN(2)/inputs!$C$52)*P304+$P$3), (EXP(-LN(2)/inputs!$C$52)*P304))</f>
        <v>3.0757885880309643E-4</v>
      </c>
      <c r="Q305" s="19">
        <f>IF((F305*0.62*1/(0.012*(10^inputs!$C$55)))&gt;inputs!$C$57, inputs!$C$57, (F305*0.62*1/(0.012*(10^inputs!$C$55))))</f>
        <v>3.8858342752041471E-18</v>
      </c>
      <c r="R305" s="3">
        <f>IF((B305&gt;B304), (EXP(-LN(2)/inputs!$C$51)*R304+$R$3), (EXP(-LN(2)/inputs!$C$51)*R304))</f>
        <v>9.0285187951463088E-24</v>
      </c>
      <c r="T305" s="7">
        <f>IF(T304&lt;(inputs!$C$9-1),(1+T304),0)</f>
        <v>0</v>
      </c>
      <c r="U305" s="7">
        <f>IF(inputs!$C$8&gt;U304,IF(T304=(inputs!$C$9-1),(U304+1),U304), U304)</f>
        <v>1</v>
      </c>
      <c r="V305" s="7">
        <f t="shared" si="8"/>
        <v>302</v>
      </c>
      <c r="W305" s="8">
        <f>IF((U305&gt;U304), (EXP(-LN(2)/inputs!$C$51)*W304+$W$3), (EXP(-LN(2)/inputs!$C$51)*W304))</f>
        <v>2.9878513606695208E-16</v>
      </c>
      <c r="X305" s="8">
        <f>IF((U305&gt;U304), (EXP(-LN(2)/inputs!$C$51)*X304+$X$3), (EXP(-LN(2)/inputs!$C$51)*X304))</f>
        <v>1.2654429292247349E-16</v>
      </c>
      <c r="Y305" s="8">
        <f>IF((U305&gt;U304), (EXP(-LN(2)/inputs!$C$51)*Y304+$Y$3), (EXP(-LN(2)/inputs!$C$51)*Y304))</f>
        <v>1.5818036615309216E-16</v>
      </c>
      <c r="Z305" s="8">
        <f>IF((U305&gt;U304), (EXP(-LN(2)/inputs!$C$51)*Z304+$Z$3), (EXP(-LN(2)/inputs!$C$51)*Z304))</f>
        <v>2.4605834734925401E-17</v>
      </c>
      <c r="AA305" s="8">
        <f>IF((U305&gt;U304), (EXP(-LN(2)/inputs!$C$51)*AA304+$AA$3), (EXP(-LN(2)/inputs!$C$51)*AA304))</f>
        <v>2.2848275111002158E-16</v>
      </c>
      <c r="AB305" s="7">
        <f>(((0.621*15^0.564)/0.2))*W305/15+AB304*inputs!$C$53</f>
        <v>3.2151212074658993E-16</v>
      </c>
      <c r="AC305" s="7">
        <f>(((0.621*1000^0.564)/0.2))*W305/1000+AC304*inputs!$C$53</f>
        <v>5.1519677889041343E-17</v>
      </c>
      <c r="AD305" s="7">
        <f>(((0.648*20^0.651)/0.2))*AA305/20+AD304*inputs!$C$54</f>
        <v>3.4415949087897934E-16</v>
      </c>
      <c r="AE305" s="7">
        <f>(((0.013*2^0.773)/0.2))*AA305/2+AE304*inputs!$C$54</f>
        <v>1.6782387959818954E-17</v>
      </c>
    </row>
    <row r="306" spans="1:31" x14ac:dyDescent="0.3">
      <c r="A306" s="7">
        <f>IF(A305&lt;(inputs!$C$9-1),(1+A305),0)</f>
        <v>0</v>
      </c>
      <c r="B306" s="7">
        <f>IF(inputs!$C$8&gt;B305,IF(A305=(inputs!$C$9-1),(B305+1),B305), B305)</f>
        <v>1</v>
      </c>
      <c r="C306" s="7">
        <f t="shared" si="9"/>
        <v>303</v>
      </c>
      <c r="D306" s="8">
        <f>IF((B306&gt;B305), (EXP(-LN(2)/inputs!$C$51)*D305+$D$3), (EXP(-LN(2)/inputs!$C$51)*D305))</f>
        <v>7.4020700720873865E-16</v>
      </c>
      <c r="E306" s="8">
        <f>IF((B306&gt;B305), (EXP(-LN(2)/inputs!$C$51)*E305+$E$3), (EXP(-LN(2)/inputs!$C$51)*E305))</f>
        <v>3.3926154497067186E-16</v>
      </c>
      <c r="F306" s="8">
        <f>IF((B306&gt;B305), (EXP(-LN(2)/inputs!$C$51)*F305+$F$3), (EXP(-LN(2)/inputs!$C$51)*F305))</f>
        <v>4.1636644155491594E-16</v>
      </c>
      <c r="G306" s="8">
        <f>IF((B306&gt;B305), (EXP(-LN(2)/inputs!$C$51)*G305+$G$3), (EXP(-LN(2)/inputs!$C$51)*G305))</f>
        <v>4.6262937950546166E-17</v>
      </c>
      <c r="H306" s="8">
        <f>IF((B306&gt;B305), (EXP(-LN(2)/inputs!$C$51)*H305+$H$3), (EXP(-LN(2)/inputs!$C$51)*H305))</f>
        <v>2.899144111567561E-16</v>
      </c>
      <c r="I306" s="7">
        <f>O306*(10^inputs!$C$55)*0.01/1</f>
        <v>1.9678340292811854E-2</v>
      </c>
      <c r="J306" s="7">
        <f>(((0.621*15^0.564)/0.2))*D306/15+J305*inputs!$C$53</f>
        <v>7.9651058888632235E-16</v>
      </c>
      <c r="K306" s="7">
        <f>(((0.621*1000^0.564)/0.2))*D306/1000+K305*inputs!$C$53</f>
        <v>1.2763428289839737E-16</v>
      </c>
      <c r="L306" s="7">
        <f>(((0.648*20^0.651)/0.2))*H306/20+L305*inputs!$C$54</f>
        <v>4.366929042015195E-16</v>
      </c>
      <c r="M306" s="7">
        <f>(((0.013*2^0.773)/0.2))*H306/2+M305*inputs!$C$54</f>
        <v>2.12946320872698E-17</v>
      </c>
      <c r="N306" s="7">
        <f>O306*0.015*inputs!$C$56</f>
        <v>2.8911338636472927E-3</v>
      </c>
      <c r="O306" s="7">
        <f>IF((B306&gt;B305), (EXP(-LN(2)/inputs!$C$52)*O305+$O$3), (EXP(-LN(2)/inputs!$C$52)*O305))</f>
        <v>3.1188067569010711E-4</v>
      </c>
      <c r="P306" s="3">
        <f>IF((B306&gt;B305), (EXP(-LN(2)/inputs!$C$52)*P305+$P$3), (EXP(-LN(2)/inputs!$C$52)*P305))</f>
        <v>3.0137183180539804E-4</v>
      </c>
      <c r="Q306" s="19">
        <f>IF((F306*0.62*1/(0.012*(10^inputs!$C$55)))&gt;inputs!$C$57, inputs!$C$57, (F306*0.62*1/(0.012*(10^inputs!$C$55))))</f>
        <v>3.4094644170798253E-18</v>
      </c>
      <c r="R306" s="3">
        <f>IF((B306&gt;B305), (EXP(-LN(2)/inputs!$C$51)*R305+$R$3), (EXP(-LN(2)/inputs!$C$51)*R305))</f>
        <v>7.9217000496941082E-24</v>
      </c>
      <c r="T306" s="7">
        <f>IF(T305&lt;(inputs!$C$9-1),(1+T305),0)</f>
        <v>0</v>
      </c>
      <c r="U306" s="7">
        <f>IF(inputs!$C$8&gt;U305,IF(T305=(inputs!$C$9-1),(U305+1),U305), U305)</f>
        <v>1</v>
      </c>
      <c r="V306" s="7">
        <f t="shared" si="8"/>
        <v>303</v>
      </c>
      <c r="W306" s="8">
        <f>IF((U306&gt;U305), (EXP(-LN(2)/inputs!$C$51)*W305+$W$3), (EXP(-LN(2)/inputs!$C$51)*W305))</f>
        <v>2.6215664838642886E-16</v>
      </c>
      <c r="X306" s="8">
        <f>IF((U306&gt;U305), (EXP(-LN(2)/inputs!$C$51)*X305+$X$3), (EXP(-LN(2)/inputs!$C$51)*X305))</f>
        <v>1.1103105108131076E-16</v>
      </c>
      <c r="Y306" s="8">
        <f>IF((U306&gt;U305), (EXP(-LN(2)/inputs!$C$51)*Y305+$Y$3), (EXP(-LN(2)/inputs!$C$51)*Y305))</f>
        <v>1.3878881385163871E-16</v>
      </c>
      <c r="Z306" s="8">
        <f>IF((U306&gt;U305), (EXP(-LN(2)/inputs!$C$51)*Z305+$Z$3), (EXP(-LN(2)/inputs!$C$51)*Z305))</f>
        <v>2.1589371043588205E-17</v>
      </c>
      <c r="AA306" s="8">
        <f>IF((U306&gt;U305), (EXP(-LN(2)/inputs!$C$51)*AA305+$AA$3), (EXP(-LN(2)/inputs!$C$51)*AA305))</f>
        <v>2.0047273111903332E-16</v>
      </c>
      <c r="AB306" s="7">
        <f>(((0.621*15^0.564)/0.2))*W306/15+AB305*inputs!$C$53</f>
        <v>2.8209750023057314E-16</v>
      </c>
      <c r="AC306" s="7">
        <f>(((0.621*1000^0.564)/0.2))*W306/1000+AC305*inputs!$C$53</f>
        <v>4.5203808526515839E-17</v>
      </c>
      <c r="AD306" s="7">
        <f>(((0.648*20^0.651)/0.2))*AA306/20+AD305*inputs!$C$54</f>
        <v>3.019684975861568E-16</v>
      </c>
      <c r="AE306" s="7">
        <f>(((0.013*2^0.773)/0.2))*AA306/2+AE305*inputs!$C$54</f>
        <v>1.4725011549707831E-17</v>
      </c>
    </row>
    <row r="307" spans="1:31" x14ac:dyDescent="0.3">
      <c r="A307" s="7">
        <f>IF(A306&lt;(inputs!$C$9-1),(1+A306),0)</f>
        <v>0</v>
      </c>
      <c r="B307" s="7">
        <f>IF(inputs!$C$8&gt;B306,IF(A306=(inputs!$C$9-1),(B306+1),B306), B306)</f>
        <v>1</v>
      </c>
      <c r="C307" s="7">
        <f t="shared" si="9"/>
        <v>304</v>
      </c>
      <c r="D307" s="8">
        <f>IF((B307&gt;B306), (EXP(-LN(2)/inputs!$C$51)*D306+$D$3), (EXP(-LN(2)/inputs!$C$51)*D306))</f>
        <v>6.4946399501784164E-16</v>
      </c>
      <c r="E307" s="8">
        <f>IF((B307&gt;B306), (EXP(-LN(2)/inputs!$C$51)*E306+$E$3), (EXP(-LN(2)/inputs!$C$51)*E306))</f>
        <v>2.9767099771651075E-16</v>
      </c>
      <c r="F307" s="8">
        <f>IF((B307&gt;B306), (EXP(-LN(2)/inputs!$C$51)*F306+$F$3), (EXP(-LN(2)/inputs!$C$51)*F306))</f>
        <v>3.6532349719753633E-16</v>
      </c>
      <c r="G307" s="8">
        <f>IF((B307&gt;B306), (EXP(-LN(2)/inputs!$C$51)*G306+$G$3), (EXP(-LN(2)/inputs!$C$51)*G306))</f>
        <v>4.0591499688615103E-17</v>
      </c>
      <c r="H307" s="8">
        <f>IF((B307&gt;B306), (EXP(-LN(2)/inputs!$C$51)*H306+$H$3), (EXP(-LN(2)/inputs!$C$51)*H306))</f>
        <v>2.5437339804865479E-16</v>
      </c>
      <c r="I307" s="7">
        <f>O307*(10^inputs!$C$55)*0.01/1</f>
        <v>1.9281225907438661E-2</v>
      </c>
      <c r="J307" s="7">
        <f>(((0.621*15^0.564)/0.2))*D307/15+J306*inputs!$C$53</f>
        <v>6.9886524187718803E-16</v>
      </c>
      <c r="K307" s="7">
        <f>(((0.621*1000^0.564)/0.2))*D307/1000+K306*inputs!$C$53</f>
        <v>1.1198741766173857E-16</v>
      </c>
      <c r="L307" s="7">
        <f>(((0.648*20^0.651)/0.2))*H307/20+L306*inputs!$C$54</f>
        <v>3.8315811036179847E-16</v>
      </c>
      <c r="M307" s="7">
        <f>(((0.013*2^0.773)/0.2))*H307/2+M306*inputs!$C$54</f>
        <v>1.8684093359215217E-17</v>
      </c>
      <c r="N307" s="7">
        <f>O307*0.015*inputs!$C$56</f>
        <v>2.8327899774145044E-3</v>
      </c>
      <c r="O307" s="7">
        <f>IF((B307&gt;B306), (EXP(-LN(2)/inputs!$C$52)*O306+$O$3), (EXP(-LN(2)/inputs!$C$52)*O306))</f>
        <v>3.0558683683004363E-4</v>
      </c>
      <c r="P307" s="3">
        <f>IF((B307&gt;B306), (EXP(-LN(2)/inputs!$C$52)*P306+$P$3), (EXP(-LN(2)/inputs!$C$52)*P306))</f>
        <v>2.9529006434049097E-4</v>
      </c>
      <c r="Q307" s="19">
        <f>IF((F307*0.62*1/(0.012*(10^inputs!$C$55)))&gt;inputs!$C$57, inputs!$C$57, (F307*0.62*1/(0.012*(10^inputs!$C$55))))</f>
        <v>2.9914934060647171E-18</v>
      </c>
      <c r="R307" s="3">
        <f>IF((B307&gt;B306), (EXP(-LN(2)/inputs!$C$51)*R306+$R$3), (EXP(-LN(2)/inputs!$C$51)*R306))</f>
        <v>6.9505677621294364E-24</v>
      </c>
      <c r="T307" s="7">
        <f>IF(T306&lt;(inputs!$C$9-1),(1+T306),0)</f>
        <v>0</v>
      </c>
      <c r="U307" s="7">
        <f>IF(inputs!$C$8&gt;U306,IF(T306=(inputs!$C$9-1),(U306+1),U306), U306)</f>
        <v>1</v>
      </c>
      <c r="V307" s="7">
        <f t="shared" si="8"/>
        <v>304</v>
      </c>
      <c r="W307" s="8">
        <f>IF((U307&gt;U306), (EXP(-LN(2)/inputs!$C$51)*W306+$W$3), (EXP(-LN(2)/inputs!$C$51)*W306))</f>
        <v>2.300184982354861E-16</v>
      </c>
      <c r="X307" s="8">
        <f>IF((U307&gt;U306), (EXP(-LN(2)/inputs!$C$51)*X306+$X$3), (EXP(-LN(2)/inputs!$C$51)*X306))</f>
        <v>9.741959925267622E-17</v>
      </c>
      <c r="Y307" s="8">
        <f>IF((U307&gt;U306), (EXP(-LN(2)/inputs!$C$51)*Y306+$Y$3), (EXP(-LN(2)/inputs!$C$51)*Y306))</f>
        <v>1.2177449906584552E-16</v>
      </c>
      <c r="Z307" s="8">
        <f>IF((U307&gt;U306), (EXP(-LN(2)/inputs!$C$51)*Z306+$Z$3), (EXP(-LN(2)/inputs!$C$51)*Z306))</f>
        <v>1.8942699854687045E-17</v>
      </c>
      <c r="AA307" s="8">
        <f>IF((U307&gt;U306), (EXP(-LN(2)/inputs!$C$51)*AA306+$AA$3), (EXP(-LN(2)/inputs!$C$51)*AA306))</f>
        <v>1.758964986506654E-16</v>
      </c>
      <c r="AB307" s="7">
        <f>(((0.621*15^0.564)/0.2))*W307/15+AB306*inputs!$C$53</f>
        <v>2.47514773164838E-16</v>
      </c>
      <c r="AC307" s="7">
        <f>(((0.621*1000^0.564)/0.2))*W307/1000+AC306*inputs!$C$53</f>
        <v>3.966221042186583E-17</v>
      </c>
      <c r="AD307" s="7">
        <f>(((0.648*20^0.651)/0.2))*AA307/20+AD306*inputs!$C$54</f>
        <v>2.6494975716507322E-16</v>
      </c>
      <c r="AE307" s="7">
        <f>(((0.013*2^0.773)/0.2))*AA307/2+AE306*inputs!$C$54</f>
        <v>1.2919851790946684E-17</v>
      </c>
    </row>
    <row r="308" spans="1:31" x14ac:dyDescent="0.3">
      <c r="A308" s="7">
        <f>IF(A307&lt;(inputs!$C$9-1),(1+A307),0)</f>
        <v>0</v>
      </c>
      <c r="B308" s="7">
        <f>IF(inputs!$C$8&gt;B307,IF(A307=(inputs!$C$9-1),(B307+1),B307), B307)</f>
        <v>1</v>
      </c>
      <c r="C308" s="7">
        <f t="shared" si="9"/>
        <v>305</v>
      </c>
      <c r="D308" s="8">
        <f>IF((B308&gt;B307), (EXP(-LN(2)/inputs!$C$51)*D307+$D$3), (EXP(-LN(2)/inputs!$C$51)*D307))</f>
        <v>5.698452955952447E-16</v>
      </c>
      <c r="E308" s="8">
        <f>IF((B308&gt;B307), (EXP(-LN(2)/inputs!$C$51)*E307+$E$3), (EXP(-LN(2)/inputs!$C$51)*E307))</f>
        <v>2.6117909381448711E-16</v>
      </c>
      <c r="F308" s="8">
        <f>IF((B308&gt;B307), (EXP(-LN(2)/inputs!$C$51)*F307+$F$3), (EXP(-LN(2)/inputs!$C$51)*F307))</f>
        <v>3.205379787723255E-16</v>
      </c>
      <c r="G308" s="8">
        <f>IF((B308&gt;B307), (EXP(-LN(2)/inputs!$C$51)*G307+$G$3), (EXP(-LN(2)/inputs!$C$51)*G307))</f>
        <v>3.5615330974702794E-17</v>
      </c>
      <c r="H308" s="8">
        <f>IF((B308&gt;B307), (EXP(-LN(2)/inputs!$C$51)*H307+$H$3), (EXP(-LN(2)/inputs!$C$51)*H307))</f>
        <v>2.2318940744147095E-16</v>
      </c>
      <c r="I308" s="7">
        <f>O308*(10^inputs!$C$55)*0.01/1</f>
        <v>1.88921254009152E-2</v>
      </c>
      <c r="J308" s="7">
        <f>(((0.621*15^0.564)/0.2))*D308/15+J307*inputs!$C$53</f>
        <v>6.1319037451461501E-16</v>
      </c>
      <c r="K308" s="7">
        <f>(((0.621*1000^0.564)/0.2))*D308/1000+K307*inputs!$C$53</f>
        <v>9.8258723516533732E-17</v>
      </c>
      <c r="L308" s="7">
        <f>(((0.648*20^0.651)/0.2))*H308/20+L307*inputs!$C$54</f>
        <v>3.3618622176713021E-16</v>
      </c>
      <c r="M308" s="7">
        <f>(((0.013*2^0.773)/0.2))*H308/2+M307*inputs!$C$54</f>
        <v>1.6393584224663072E-17</v>
      </c>
      <c r="N308" s="7">
        <f>O308*0.015*inputs!$C$56</f>
        <v>2.7756234870482811E-3</v>
      </c>
      <c r="O308" s="7">
        <f>IF((B308&gt;B307), (EXP(-LN(2)/inputs!$C$52)*O307+$O$3), (EXP(-LN(2)/inputs!$C$52)*O307))</f>
        <v>2.9942000939032159E-4</v>
      </c>
      <c r="P308" s="3">
        <f>IF((B308&gt;B307), (EXP(-LN(2)/inputs!$C$52)*P307+$P$3), (EXP(-LN(2)/inputs!$C$52)*P307))</f>
        <v>2.893310286361324E-4</v>
      </c>
      <c r="Q308" s="19">
        <f>IF((F308*0.62*1/(0.012*(10^inputs!$C$55)))&gt;inputs!$C$57, inputs!$C$57, (F308*0.62*1/(0.012*(10^inputs!$C$55))))</f>
        <v>2.6247620458210991E-18</v>
      </c>
      <c r="R308" s="3">
        <f>IF((B308&gt;B307), (EXP(-LN(2)/inputs!$C$51)*R307+$R$3), (EXP(-LN(2)/inputs!$C$51)*R307))</f>
        <v>6.0984879398227761E-24</v>
      </c>
      <c r="T308" s="7">
        <f>IF(T307&lt;(inputs!$C$9-1),(1+T307),0)</f>
        <v>0</v>
      </c>
      <c r="U308" s="7">
        <f>IF(inputs!$C$8&gt;U307,IF(T307=(inputs!$C$9-1),(U307+1),U307), U307)</f>
        <v>1</v>
      </c>
      <c r="V308" s="7">
        <f t="shared" si="8"/>
        <v>305</v>
      </c>
      <c r="W308" s="8">
        <f>IF((U308&gt;U307), (EXP(-LN(2)/inputs!$C$51)*W307+$W$3), (EXP(-LN(2)/inputs!$C$51)*W307))</f>
        <v>2.0182020885664961E-16</v>
      </c>
      <c r="X308" s="8">
        <f>IF((U308&gt;U307), (EXP(-LN(2)/inputs!$C$51)*X307+$X$3), (EXP(-LN(2)/inputs!$C$51)*X307))</f>
        <v>8.5476794339286673E-17</v>
      </c>
      <c r="Y308" s="8">
        <f>IF((U308&gt;U307), (EXP(-LN(2)/inputs!$C$51)*Y307+$Y$3), (EXP(-LN(2)/inputs!$C$51)*Y307))</f>
        <v>1.0684599292410855E-16</v>
      </c>
      <c r="Z308" s="8">
        <f>IF((U308&gt;U307), (EXP(-LN(2)/inputs!$C$51)*Z307+$Z$3), (EXP(-LN(2)/inputs!$C$51)*Z307))</f>
        <v>1.6620487788194633E-17</v>
      </c>
      <c r="AA308" s="8">
        <f>IF((U308&gt;U307), (EXP(-LN(2)/inputs!$C$51)*AA307+$AA$3), (EXP(-LN(2)/inputs!$C$51)*AA307))</f>
        <v>1.5433310089037872E-16</v>
      </c>
      <c r="AB308" s="7">
        <f>(((0.621*15^0.564)/0.2))*W308/15+AB307*inputs!$C$53</f>
        <v>2.1717159097392663E-16</v>
      </c>
      <c r="AC308" s="7">
        <f>(((0.621*1000^0.564)/0.2))*W308/1000+AC307*inputs!$C$53</f>
        <v>3.4799964578772435E-17</v>
      </c>
      <c r="AD308" s="7">
        <f>(((0.648*20^0.651)/0.2))*AA308/20+AD307*inputs!$C$54</f>
        <v>2.324691959028026E-16</v>
      </c>
      <c r="AE308" s="7">
        <f>(((0.013*2^0.773)/0.2))*AA308/2+AE307*inputs!$C$54</f>
        <v>1.1335989091522326E-17</v>
      </c>
    </row>
    <row r="309" spans="1:31" x14ac:dyDescent="0.3">
      <c r="A309" s="7">
        <f>IF(A308&lt;(inputs!$C$9-1),(1+A308),0)</f>
        <v>0</v>
      </c>
      <c r="B309" s="7">
        <f>IF(inputs!$C$8&gt;B308,IF(A308=(inputs!$C$9-1),(B308+1),B308), B308)</f>
        <v>1</v>
      </c>
      <c r="C309" s="7">
        <f t="shared" si="9"/>
        <v>306</v>
      </c>
      <c r="D309" s="8">
        <f>IF((B309&gt;B308), (EXP(-LN(2)/inputs!$C$51)*D308+$D$3), (EXP(-LN(2)/inputs!$C$51)*D308))</f>
        <v>4.9998716388136524E-16</v>
      </c>
      <c r="E309" s="8">
        <f>IF((B309&gt;B308), (EXP(-LN(2)/inputs!$C$51)*E308+$E$3), (EXP(-LN(2)/inputs!$C$51)*E308))</f>
        <v>2.2916078344562573E-16</v>
      </c>
      <c r="F309" s="8">
        <f>IF((B309&gt;B308), (EXP(-LN(2)/inputs!$C$51)*F308+$F$3), (EXP(-LN(2)/inputs!$C$51)*F308))</f>
        <v>2.8124277968326826E-16</v>
      </c>
      <c r="G309" s="8">
        <f>IF((B309&gt;B308), (EXP(-LN(2)/inputs!$C$51)*G308+$G$3), (EXP(-LN(2)/inputs!$C$51)*G308))</f>
        <v>3.1249197742585328E-17</v>
      </c>
      <c r="H309" s="8">
        <f>IF((B309&gt;B308), (EXP(-LN(2)/inputs!$C$51)*H308+$H$3), (EXP(-LN(2)/inputs!$C$51)*H308))</f>
        <v>1.9582830585353483E-16</v>
      </c>
      <c r="I309" s="7">
        <f>O309*(10^inputs!$C$55)*0.01/1</f>
        <v>1.8510877050935293E-2</v>
      </c>
      <c r="J309" s="7">
        <f>(((0.621*15^0.564)/0.2))*D309/15+J308*inputs!$C$53</f>
        <v>5.3801850895805308E-16</v>
      </c>
      <c r="K309" s="7">
        <f>(((0.621*1000^0.564)/0.2))*D309/1000+K308*inputs!$C$53</f>
        <v>8.6213049186125233E-17</v>
      </c>
      <c r="L309" s="7">
        <f>(((0.648*20^0.651)/0.2))*H309/20+L308*inputs!$C$54</f>
        <v>2.9497268268532113E-16</v>
      </c>
      <c r="M309" s="7">
        <f>(((0.013*2^0.773)/0.2))*H309/2+M308*inputs!$C$54</f>
        <v>1.4383871808185513E-17</v>
      </c>
      <c r="N309" s="7">
        <f>O309*0.015*inputs!$C$56</f>
        <v>2.7196106323722595E-3</v>
      </c>
      <c r="O309" s="7">
        <f>IF((B309&gt;B308), (EXP(-LN(2)/inputs!$C$52)*O308+$O$3), (EXP(-LN(2)/inputs!$C$52)*O308))</f>
        <v>2.933776302451197E-4</v>
      </c>
      <c r="P309" s="3">
        <f>IF((B309&gt;B308), (EXP(-LN(2)/inputs!$C$52)*P308+$P$3), (EXP(-LN(2)/inputs!$C$52)*P308))</f>
        <v>2.8349224793122708E-4</v>
      </c>
      <c r="Q309" s="19">
        <f>IF((F309*0.62*1/(0.012*(10^inputs!$C$55)))&gt;inputs!$C$57, inputs!$C$57, (F309*0.62*1/(0.012*(10^inputs!$C$55))))</f>
        <v>2.3029887959024029E-18</v>
      </c>
      <c r="R309" s="3">
        <f>IF((B309&gt;B308), (EXP(-LN(2)/inputs!$C$51)*R308+$R$3), (EXP(-LN(2)/inputs!$C$51)*R308))</f>
        <v>5.3508657745636484E-24</v>
      </c>
      <c r="T309" s="7">
        <f>IF(T308&lt;(inputs!$C$9-1),(1+T308),0)</f>
        <v>0</v>
      </c>
      <c r="U309" s="7">
        <f>IF(inputs!$C$8&gt;U308,IF(T308=(inputs!$C$9-1),(U308+1),U308), U308)</f>
        <v>1</v>
      </c>
      <c r="V309" s="7">
        <f t="shared" si="8"/>
        <v>306</v>
      </c>
      <c r="W309" s="8">
        <f>IF((U309&gt;U308), (EXP(-LN(2)/inputs!$C$51)*W308+$W$3), (EXP(-LN(2)/inputs!$C$51)*W308))</f>
        <v>1.7707878720798391E-16</v>
      </c>
      <c r="X309" s="8">
        <f>IF((U309&gt;U308), (EXP(-LN(2)/inputs!$C$51)*X308+$X$3), (EXP(-LN(2)/inputs!$C$51)*X308))</f>
        <v>7.4998074582204757E-17</v>
      </c>
      <c r="Y309" s="8">
        <f>IF((U309&gt;U308), (EXP(-LN(2)/inputs!$C$51)*Y308+$Y$3), (EXP(-LN(2)/inputs!$C$51)*Y308))</f>
        <v>9.3747593227756143E-17</v>
      </c>
      <c r="Z309" s="8">
        <f>IF((U309&gt;U308), (EXP(-LN(2)/inputs!$C$51)*Z308+$Z$3), (EXP(-LN(2)/inputs!$C$51)*Z308))</f>
        <v>1.4582958946539815E-17</v>
      </c>
      <c r="AA309" s="8">
        <f>IF((U309&gt;U308), (EXP(-LN(2)/inputs!$C$51)*AA308+$AA$3), (EXP(-LN(2)/inputs!$C$51)*AA308))</f>
        <v>1.3541319021786971E-16</v>
      </c>
      <c r="AB309" s="7">
        <f>(((0.621*15^0.564)/0.2))*W309/15+AB308*inputs!$C$53</f>
        <v>1.9054822192264423E-16</v>
      </c>
      <c r="AC309" s="7">
        <f>(((0.621*1000^0.564)/0.2))*W309/1000+AC308*inputs!$C$53</f>
        <v>3.0533788253419421E-17</v>
      </c>
      <c r="AD309" s="7">
        <f>(((0.648*20^0.651)/0.2))*AA309/20+AD308*inputs!$C$54</f>
        <v>2.0397047206963676E-16</v>
      </c>
      <c r="AE309" s="7">
        <f>(((0.013*2^0.773)/0.2))*AA309/2+AE308*inputs!$C$54</f>
        <v>9.9462943354474204E-18</v>
      </c>
    </row>
    <row r="310" spans="1:31" x14ac:dyDescent="0.3">
      <c r="A310" s="7">
        <f>IF(A309&lt;(inputs!$C$9-1),(1+A309),0)</f>
        <v>0</v>
      </c>
      <c r="B310" s="7">
        <f>IF(inputs!$C$8&gt;B309,IF(A309=(inputs!$C$9-1),(B309+1),B309), B309)</f>
        <v>1</v>
      </c>
      <c r="C310" s="7">
        <f t="shared" si="9"/>
        <v>307</v>
      </c>
      <c r="D310" s="8">
        <f>IF((B310&gt;B309), (EXP(-LN(2)/inputs!$C$51)*D309+$D$3), (EXP(-LN(2)/inputs!$C$51)*D309))</f>
        <v>4.3869303823066834E-16</v>
      </c>
      <c r="E310" s="8">
        <f>IF((B310&gt;B309), (EXP(-LN(2)/inputs!$C$51)*E309+$E$3), (EXP(-LN(2)/inputs!$C$51)*E309))</f>
        <v>2.0106764252238966E-16</v>
      </c>
      <c r="F310" s="8">
        <f>IF((B310&gt;B309), (EXP(-LN(2)/inputs!$C$51)*F309+$F$3), (EXP(-LN(2)/inputs!$C$51)*F309))</f>
        <v>2.467648340047512E-16</v>
      </c>
      <c r="G310" s="8">
        <f>IF((B310&gt;B309), (EXP(-LN(2)/inputs!$C$51)*G309+$G$3), (EXP(-LN(2)/inputs!$C$51)*G309))</f>
        <v>2.7418314889416771E-17</v>
      </c>
      <c r="H310" s="8">
        <f>IF((B310&gt;B309), (EXP(-LN(2)/inputs!$C$51)*H309+$H$3), (EXP(-LN(2)/inputs!$C$51)*H309))</f>
        <v>1.7182143997367853E-16</v>
      </c>
      <c r="I310" s="7">
        <f>O310*(10^inputs!$C$55)*0.01/1</f>
        <v>1.8137322398793922E-2</v>
      </c>
      <c r="J310" s="7">
        <f>(((0.621*15^0.564)/0.2))*D310/15+J309*inputs!$C$53</f>
        <v>4.7206206752768818E-16</v>
      </c>
      <c r="K310" s="7">
        <f>(((0.621*1000^0.564)/0.2))*D310/1000+K309*inputs!$C$53</f>
        <v>7.564407091771929E-17</v>
      </c>
      <c r="L310" s="7">
        <f>(((0.648*20^0.651)/0.2))*H310/20+L309*inputs!$C$54</f>
        <v>2.5881156899655613E-16</v>
      </c>
      <c r="M310" s="7">
        <f>(((0.013*2^0.773)/0.2))*H310/2+M309*inputs!$C$54</f>
        <v>1.2620532847420446E-17</v>
      </c>
      <c r="N310" s="7">
        <f>O310*0.015*inputs!$C$56</f>
        <v>2.6647281326970507E-3</v>
      </c>
      <c r="O310" s="7">
        <f>IF((B310&gt;B309), (EXP(-LN(2)/inputs!$C$52)*O309+$O$3), (EXP(-LN(2)/inputs!$C$52)*O309))</f>
        <v>2.8745718799320935E-4</v>
      </c>
      <c r="P310" s="3">
        <f>IF((B310&gt;B309), (EXP(-LN(2)/inputs!$C$52)*P309+$P$3), (EXP(-LN(2)/inputs!$C$52)*P309))</f>
        <v>2.7777129544640823E-4</v>
      </c>
      <c r="Q310" s="19">
        <f>IF((F310*0.62*1/(0.012*(10^inputs!$C$55)))&gt;inputs!$C$57, inputs!$C$57, (F310*0.62*1/(0.012*(10^inputs!$C$55))))</f>
        <v>2.0206621786901199E-18</v>
      </c>
      <c r="R310" s="3">
        <f>IF((B310&gt;B309), (EXP(-LN(2)/inputs!$C$51)*R309+$R$3), (EXP(-LN(2)/inputs!$C$51)*R309))</f>
        <v>4.6948956560908897E-24</v>
      </c>
      <c r="T310" s="7">
        <f>IF(T309&lt;(inputs!$C$9-1),(1+T309),0)</f>
        <v>0</v>
      </c>
      <c r="U310" s="7">
        <f>IF(inputs!$C$8&gt;U309,IF(T309=(inputs!$C$9-1),(U309+1),U309), U309)</f>
        <v>1</v>
      </c>
      <c r="V310" s="7">
        <f t="shared" si="8"/>
        <v>307</v>
      </c>
      <c r="W310" s="8">
        <f>IF((U310&gt;U309), (EXP(-LN(2)/inputs!$C$51)*W309+$W$3), (EXP(-LN(2)/inputs!$C$51)*W309))</f>
        <v>1.5537045104002871E-16</v>
      </c>
      <c r="X310" s="8">
        <f>IF((U310&gt;U309), (EXP(-LN(2)/inputs!$C$51)*X309+$X$3), (EXP(-LN(2)/inputs!$C$51)*X309))</f>
        <v>6.5803955734600224E-17</v>
      </c>
      <c r="Y310" s="8">
        <f>IF((U310&gt;U309), (EXP(-LN(2)/inputs!$C$51)*Y309+$Y$3), (EXP(-LN(2)/inputs!$C$51)*Y309))</f>
        <v>8.2254944668250453E-17</v>
      </c>
      <c r="Z310" s="8">
        <f>IF((U310&gt;U309), (EXP(-LN(2)/inputs!$C$51)*Z309+$Z$3), (EXP(-LN(2)/inputs!$C$51)*Z309))</f>
        <v>1.2795213615061156E-17</v>
      </c>
      <c r="AA310" s="8">
        <f>IF((U310&gt;U309), (EXP(-LN(2)/inputs!$C$51)*AA309+$AA$3), (EXP(-LN(2)/inputs!$C$51)*AA309))</f>
        <v>1.1881269785413932E-16</v>
      </c>
      <c r="AB310" s="7">
        <f>(((0.621*15^0.564)/0.2))*W310/15+AB309*inputs!$C$53</f>
        <v>1.6718864891605661E-16</v>
      </c>
      <c r="AC310" s="7">
        <f>(((0.621*1000^0.564)/0.2))*W310/1000+AC309*inputs!$C$53</f>
        <v>2.679060845002564E-17</v>
      </c>
      <c r="AD310" s="7">
        <f>(((0.648*20^0.651)/0.2))*AA310/20+AD309*inputs!$C$54</f>
        <v>1.7896544664655462E-16</v>
      </c>
      <c r="AE310" s="7">
        <f>(((0.013*2^0.773)/0.2))*AA310/2+AE309*inputs!$C$54</f>
        <v>8.7269642030034921E-18</v>
      </c>
    </row>
    <row r="311" spans="1:31" x14ac:dyDescent="0.3">
      <c r="A311" s="7">
        <f>IF(A310&lt;(inputs!$C$9-1),(1+A310),0)</f>
        <v>0</v>
      </c>
      <c r="B311" s="7">
        <f>IF(inputs!$C$8&gt;B310,IF(A310=(inputs!$C$9-1),(B310+1),B310), B310)</f>
        <v>1</v>
      </c>
      <c r="C311" s="7">
        <f t="shared" si="9"/>
        <v>308</v>
      </c>
      <c r="D311" s="8">
        <f>IF((B311&gt;B310), (EXP(-LN(2)/inputs!$C$51)*D310+$D$3), (EXP(-LN(2)/inputs!$C$51)*D310))</f>
        <v>3.8491304516313286E-16</v>
      </c>
      <c r="E311" s="8">
        <f>IF((B311&gt;B310), (EXP(-LN(2)/inputs!$C$51)*E310+$E$3), (EXP(-LN(2)/inputs!$C$51)*E310))</f>
        <v>1.7641847903310255E-16</v>
      </c>
      <c r="F311" s="8">
        <f>IF((B311&gt;B310), (EXP(-LN(2)/inputs!$C$51)*F310+$F$3), (EXP(-LN(2)/inputs!$C$51)*F310))</f>
        <v>2.1651358790426246E-16</v>
      </c>
      <c r="G311" s="8">
        <f>IF((B311&gt;B310), (EXP(-LN(2)/inputs!$C$51)*G310+$G$3), (EXP(-LN(2)/inputs!$C$51)*G310))</f>
        <v>2.4057065322695804E-17</v>
      </c>
      <c r="H311" s="8">
        <f>IF((B311&gt;B310), (EXP(-LN(2)/inputs!$C$51)*H310+$H$3), (EXP(-LN(2)/inputs!$C$51)*H310))</f>
        <v>1.5075760935556044E-16</v>
      </c>
      <c r="I311" s="7">
        <f>O311*(10^inputs!$C$55)*0.01/1</f>
        <v>1.7771306183526854E-2</v>
      </c>
      <c r="J311" s="7">
        <f>(((0.621*15^0.564)/0.2))*D311/15+J310*inputs!$C$53</f>
        <v>4.1419131849214823E-16</v>
      </c>
      <c r="K311" s="7">
        <f>(((0.621*1000^0.564)/0.2))*D311/1000+K310*inputs!$C$53</f>
        <v>6.6370758475920182E-17</v>
      </c>
      <c r="L311" s="7">
        <f>(((0.648*20^0.651)/0.2))*H311/20+L310*inputs!$C$54</f>
        <v>2.2708349680610088E-16</v>
      </c>
      <c r="M311" s="7">
        <f>(((0.013*2^0.773)/0.2))*H311/2+M310*inputs!$C$54</f>
        <v>1.1073364075879574E-17</v>
      </c>
      <c r="N311" s="7">
        <f>O311*0.015*inputs!$C$56</f>
        <v>2.6109531771440569E-3</v>
      </c>
      <c r="O311" s="7">
        <f>IF((B311&gt;B310), (EXP(-LN(2)/inputs!$C$52)*O310+$O$3), (EXP(-LN(2)/inputs!$C$52)*O310))</f>
        <v>2.8165622191413776E-4</v>
      </c>
      <c r="P311" s="3">
        <f>IF((B311&gt;B310), (EXP(-LN(2)/inputs!$C$52)*P310+$P$3), (EXP(-LN(2)/inputs!$C$52)*P310))</f>
        <v>2.7216579337539218E-4</v>
      </c>
      <c r="Q311" s="19">
        <f>IF((F311*0.62*1/(0.012*(10^inputs!$C$55)))&gt;inputs!$C$57, inputs!$C$57, (F311*0.62*1/(0.012*(10^inputs!$C$55))))</f>
        <v>1.7729463763147799E-18</v>
      </c>
      <c r="R311" s="3">
        <f>IF((B311&gt;B310), (EXP(-LN(2)/inputs!$C$51)*R310+$R$3), (EXP(-LN(2)/inputs!$C$51)*R310))</f>
        <v>4.1193418318138594E-24</v>
      </c>
      <c r="T311" s="7">
        <f>IF(T310&lt;(inputs!$C$9-1),(1+T310),0)</f>
        <v>0</v>
      </c>
      <c r="U311" s="7">
        <f>IF(inputs!$C$8&gt;U310,IF(T310=(inputs!$C$9-1),(U310+1),U310), U310)</f>
        <v>1</v>
      </c>
      <c r="V311" s="7">
        <f t="shared" si="8"/>
        <v>308</v>
      </c>
      <c r="W311" s="8">
        <f>IF((U311&gt;U310), (EXP(-LN(2)/inputs!$C$51)*W310+$W$3), (EXP(-LN(2)/inputs!$C$51)*W310))</f>
        <v>1.3632337016194318E-16</v>
      </c>
      <c r="X311" s="8">
        <f>IF((U311&gt;U310), (EXP(-LN(2)/inputs!$C$51)*X310+$X$3), (EXP(-LN(2)/inputs!$C$51)*X310))</f>
        <v>5.7736956774469904E-17</v>
      </c>
      <c r="Y311" s="8">
        <f>IF((U311&gt;U310), (EXP(-LN(2)/inputs!$C$51)*Y310+$Y$3), (EXP(-LN(2)/inputs!$C$51)*Y310))</f>
        <v>7.2171195968087531E-17</v>
      </c>
      <c r="Z311" s="8">
        <f>IF((U311&gt;U310), (EXP(-LN(2)/inputs!$C$51)*Z310+$Z$3), (EXP(-LN(2)/inputs!$C$51)*Z310))</f>
        <v>1.1226630483924705E-17</v>
      </c>
      <c r="AA311" s="8">
        <f>IF((U311&gt;U310), (EXP(-LN(2)/inputs!$C$51)*AA310+$AA$3), (EXP(-LN(2)/inputs!$C$51)*AA310))</f>
        <v>1.0424728306501513E-16</v>
      </c>
      <c r="AB311" s="7">
        <f>(((0.621*15^0.564)/0.2))*W311/15+AB310*inputs!$C$53</f>
        <v>1.4669275863263618E-16</v>
      </c>
      <c r="AC311" s="7">
        <f>(((0.621*1000^0.564)/0.2))*W311/1000+AC310*inputs!$C$53</f>
        <v>2.3506310293555118E-17</v>
      </c>
      <c r="AD311" s="7">
        <f>(((0.648*20^0.651)/0.2))*AA311/20+AD310*inputs!$C$54</f>
        <v>1.5702582225953776E-16</v>
      </c>
      <c r="AE311" s="7">
        <f>(((0.013*2^0.773)/0.2))*AA311/2+AE310*inputs!$C$54</f>
        <v>7.6571134567252318E-18</v>
      </c>
    </row>
    <row r="312" spans="1:31" x14ac:dyDescent="0.3">
      <c r="A312" s="7">
        <f>IF(A311&lt;(inputs!$C$9-1),(1+A311),0)</f>
        <v>0</v>
      </c>
      <c r="B312" s="7">
        <f>IF(inputs!$C$8&gt;B311,IF(A311=(inputs!$C$9-1),(B311+1),B311), B311)</f>
        <v>1</v>
      </c>
      <c r="C312" s="7">
        <f t="shared" si="9"/>
        <v>309</v>
      </c>
      <c r="D312" s="8">
        <f>IF((B312&gt;B311), (EXP(-LN(2)/inputs!$C$51)*D311+$D$3), (EXP(-LN(2)/inputs!$C$51)*D311))</f>
        <v>3.3772601665689815E-16</v>
      </c>
      <c r="E312" s="8">
        <f>IF((B312&gt;B311), (EXP(-LN(2)/inputs!$C$51)*E311+$E$3), (EXP(-LN(2)/inputs!$C$51)*E311))</f>
        <v>1.5479109096774497E-16</v>
      </c>
      <c r="F312" s="8">
        <f>IF((B312&gt;B311), (EXP(-LN(2)/inputs!$C$51)*F311+$F$3), (EXP(-LN(2)/inputs!$C$51)*F311))</f>
        <v>1.8997088436950541E-16</v>
      </c>
      <c r="G312" s="8">
        <f>IF((B312&gt;B311), (EXP(-LN(2)/inputs!$C$51)*G311+$G$3), (EXP(-LN(2)/inputs!$C$51)*G311))</f>
        <v>2.1107876041056134E-17</v>
      </c>
      <c r="H312" s="8">
        <f>IF((B312&gt;B311), (EXP(-LN(2)/inputs!$C$51)*H311+$H$3), (EXP(-LN(2)/inputs!$C$51)*H311))</f>
        <v>1.3227602319061851E-16</v>
      </c>
      <c r="I312" s="7">
        <f>O312*(10^inputs!$C$55)*0.01/1</f>
        <v>1.7412676277379337E-2</v>
      </c>
      <c r="J312" s="7">
        <f>(((0.621*15^0.564)/0.2))*D312/15+J311*inputs!$C$53</f>
        <v>3.634150255129361E-16</v>
      </c>
      <c r="K312" s="7">
        <f>(((0.621*1000^0.564)/0.2))*D312/1000+K311*inputs!$C$53</f>
        <v>5.823427437505959E-17</v>
      </c>
      <c r="L312" s="7">
        <f>(((0.648*20^0.651)/0.2))*H312/20+L311*inputs!$C$54</f>
        <v>1.9924501335708302E-16</v>
      </c>
      <c r="M312" s="7">
        <f>(((0.013*2^0.773)/0.2))*H312/2+M311*inputs!$C$54</f>
        <v>9.7158648877525714E-18</v>
      </c>
      <c r="N312" s="7">
        <f>O312*0.015*inputs!$C$56</f>
        <v>2.5582634151645632E-3</v>
      </c>
      <c r="O312" s="7">
        <f>IF((B312&gt;B311), (EXP(-LN(2)/inputs!$C$52)*O311+$O$3), (EXP(-LN(2)/inputs!$C$52)*O311))</f>
        <v>2.7597232094547607E-4</v>
      </c>
      <c r="P312" s="3">
        <f>IF((B312&gt;B311), (EXP(-LN(2)/inputs!$C$52)*P311+$P$3), (EXP(-LN(2)/inputs!$C$52)*P311))</f>
        <v>2.6667341189668813E-4</v>
      </c>
      <c r="Q312" s="19">
        <f>IF((F312*0.62*1/(0.012*(10^inputs!$C$55)))&gt;inputs!$C$57, inputs!$C$57, (F312*0.62*1/(0.012*(10^inputs!$C$55))))</f>
        <v>1.555598400582405E-18</v>
      </c>
      <c r="R312" s="3">
        <f>IF((B312&gt;B311), (EXP(-LN(2)/inputs!$C$51)*R311+$R$3), (EXP(-LN(2)/inputs!$C$51)*R311))</f>
        <v>3.6143459557651682E-24</v>
      </c>
      <c r="T312" s="7">
        <f>IF(T311&lt;(inputs!$C$9-1),(1+T311),0)</f>
        <v>0</v>
      </c>
      <c r="U312" s="7">
        <f>IF(inputs!$C$8&gt;U311,IF(T311=(inputs!$C$9-1),(U311+1),U311), U311)</f>
        <v>1</v>
      </c>
      <c r="V312" s="7">
        <f t="shared" si="8"/>
        <v>309</v>
      </c>
      <c r="W312" s="8">
        <f>IF((U312&gt;U311), (EXP(-LN(2)/inputs!$C$51)*W311+$W$3), (EXP(-LN(2)/inputs!$C$51)*W311))</f>
        <v>1.1961129756598501E-16</v>
      </c>
      <c r="X312" s="8">
        <f>IF((U312&gt;U311), (EXP(-LN(2)/inputs!$C$51)*X311+$X$3), (EXP(-LN(2)/inputs!$C$51)*X311))</f>
        <v>5.0658902498534697E-17</v>
      </c>
      <c r="Y312" s="8">
        <f>IF((U312&gt;U311), (EXP(-LN(2)/inputs!$C$51)*Y311+$Y$3), (EXP(-LN(2)/inputs!$C$51)*Y311))</f>
        <v>6.3323628123168511E-17</v>
      </c>
      <c r="Z312" s="8">
        <f>IF((U312&gt;U311), (EXP(-LN(2)/inputs!$C$51)*Z311+$Z$3), (EXP(-LN(2)/inputs!$C$51)*Z311))</f>
        <v>9.850342152492859E-18</v>
      </c>
      <c r="AA312" s="8">
        <f>IF((U312&gt;U311), (EXP(-LN(2)/inputs!$C$51)*AA311+$AA$3), (EXP(-LN(2)/inputs!$C$51)*AA311))</f>
        <v>9.1467462844576562E-17</v>
      </c>
      <c r="AB312" s="7">
        <f>(((0.621*15^0.564)/0.2))*W312/15+AB311*inputs!$C$53</f>
        <v>1.2870948820249848E-16</v>
      </c>
      <c r="AC312" s="7">
        <f>(((0.621*1000^0.564)/0.2))*W312/1000+AC311*inputs!$C$53</f>
        <v>2.0624638841166984E-17</v>
      </c>
      <c r="AD312" s="7">
        <f>(((0.648*20^0.651)/0.2))*AA312/20+AD311*inputs!$C$54</f>
        <v>1.3777580710862117E-16</v>
      </c>
      <c r="AE312" s="7">
        <f>(((0.013*2^0.773)/0.2))*AA312/2+AE311*inputs!$C$54</f>
        <v>6.7184172096161357E-18</v>
      </c>
    </row>
    <row r="313" spans="1:31" x14ac:dyDescent="0.3">
      <c r="A313" s="7">
        <f>IF(A312&lt;(inputs!$C$9-1),(1+A312),0)</f>
        <v>0</v>
      </c>
      <c r="B313" s="7">
        <f>IF(inputs!$C$8&gt;B312,IF(A312=(inputs!$C$9-1),(B312+1),B312), B312)</f>
        <v>1</v>
      </c>
      <c r="C313" s="7">
        <f t="shared" si="9"/>
        <v>310</v>
      </c>
      <c r="D313" s="8">
        <f>IF((B313&gt;B312), (EXP(-LN(2)/inputs!$C$51)*D312+$D$3), (EXP(-LN(2)/inputs!$C$51)*D312))</f>
        <v>2.9632371196615408E-16</v>
      </c>
      <c r="E313" s="8">
        <f>IF((B313&gt;B312), (EXP(-LN(2)/inputs!$C$51)*E312+$E$3), (EXP(-LN(2)/inputs!$C$51)*E312))</f>
        <v>1.3581503465115396E-16</v>
      </c>
      <c r="F313" s="8">
        <f>IF((B313&gt;B312), (EXP(-LN(2)/inputs!$C$51)*F312+$F$3), (EXP(-LN(2)/inputs!$C$51)*F312))</f>
        <v>1.6668208798096186E-16</v>
      </c>
      <c r="G313" s="8">
        <f>IF((B313&gt;B312), (EXP(-LN(2)/inputs!$C$51)*G312+$G$3), (EXP(-LN(2)/inputs!$C$51)*G312))</f>
        <v>1.852023199788463E-17</v>
      </c>
      <c r="H313" s="8">
        <f>IF((B313&gt;B312), (EXP(-LN(2)/inputs!$C$51)*H312+$H$3), (EXP(-LN(2)/inputs!$C$51)*H312))</f>
        <v>1.1606012052007707E-16</v>
      </c>
      <c r="I313" s="7">
        <f>O313*(10^inputs!$C$55)*0.01/1</f>
        <v>1.7061283622577056E-2</v>
      </c>
      <c r="J313" s="7">
        <f>(((0.621*15^0.564)/0.2))*D313/15+J312*inputs!$C$53</f>
        <v>3.1886346930053206E-16</v>
      </c>
      <c r="K313" s="7">
        <f>(((0.621*1000^0.564)/0.2))*D313/1000+K312*inputs!$C$53</f>
        <v>5.1095253238970992E-17</v>
      </c>
      <c r="L313" s="7">
        <f>(((0.648*20^0.651)/0.2))*H313/20+L312*inputs!$C$54</f>
        <v>1.7481928852611203E-16</v>
      </c>
      <c r="M313" s="7">
        <f>(((0.013*2^0.773)/0.2))*H313/2+M312*inputs!$C$54</f>
        <v>8.5247834235564145E-18</v>
      </c>
      <c r="N313" s="7">
        <f>O313*0.015*inputs!$C$56</f>
        <v>2.5066369472501481E-3</v>
      </c>
      <c r="O313" s="7">
        <f>IF((B313&gt;B312), (EXP(-LN(2)/inputs!$C$52)*O312+$O$3), (EXP(-LN(2)/inputs!$C$52)*O312))</f>
        <v>2.7040312268070637E-4</v>
      </c>
      <c r="P313" s="3">
        <f>IF((B313&gt;B312), (EXP(-LN(2)/inputs!$C$52)*P312+$P$3), (EXP(-LN(2)/inputs!$C$52)*P312))</f>
        <v>2.6129186820525148E-4</v>
      </c>
      <c r="Q313" s="19">
        <f>IF((F313*0.62*1/(0.012*(10^inputs!$C$55)))&gt;inputs!$C$57, inputs!$C$57, (F313*0.62*1/(0.012*(10^inputs!$C$55))))</f>
        <v>1.3648954171555245E-18</v>
      </c>
      <c r="R313" s="3">
        <f>IF((B313&gt;B312), (EXP(-LN(2)/inputs!$C$51)*R312+$R$3), (EXP(-LN(2)/inputs!$C$51)*R312))</f>
        <v>3.1712582303964348E-24</v>
      </c>
      <c r="T313" s="7">
        <f>IF(T312&lt;(inputs!$C$9-1),(1+T312),0)</f>
        <v>0</v>
      </c>
      <c r="U313" s="7">
        <f>IF(inputs!$C$8&gt;U312,IF(T312=(inputs!$C$9-1),(U312+1),U312), U312)</f>
        <v>1</v>
      </c>
      <c r="V313" s="7">
        <f t="shared" si="8"/>
        <v>310</v>
      </c>
      <c r="W313" s="8">
        <f>IF((U313&gt;U312), (EXP(-LN(2)/inputs!$C$51)*W312+$W$3), (EXP(-LN(2)/inputs!$C$51)*W312))</f>
        <v>1.0494798132134646E-16</v>
      </c>
      <c r="X313" s="8">
        <f>IF((U313&gt;U312), (EXP(-LN(2)/inputs!$C$51)*X312+$X$3), (EXP(-LN(2)/inputs!$C$51)*X312))</f>
        <v>4.4448556794923094E-17</v>
      </c>
      <c r="Y313" s="8">
        <f>IF((U313&gt;U312), (EXP(-LN(2)/inputs!$C$51)*Y312+$Y$3), (EXP(-LN(2)/inputs!$C$51)*Y312))</f>
        <v>5.5560695993653986E-17</v>
      </c>
      <c r="Z313" s="8">
        <f>IF((U313&gt;U312), (EXP(-LN(2)/inputs!$C$51)*Z312+$Z$3), (EXP(-LN(2)/inputs!$C$51)*Z312))</f>
        <v>8.6427749323461577E-18</v>
      </c>
      <c r="AA313" s="8">
        <f>IF((U313&gt;U312), (EXP(-LN(2)/inputs!$C$51)*AA312+$AA$3), (EXP(-LN(2)/inputs!$C$51)*AA312))</f>
        <v>8.0254338657500049E-17</v>
      </c>
      <c r="AB313" s="7">
        <f>(((0.621*15^0.564)/0.2))*W313/15+AB312*inputs!$C$53</f>
        <v>1.1293081204393867E-16</v>
      </c>
      <c r="AC313" s="7">
        <f>(((0.621*1000^0.564)/0.2))*W313/1000+AC312*inputs!$C$53</f>
        <v>1.8096235522135598E-17</v>
      </c>
      <c r="AD313" s="7">
        <f>(((0.648*20^0.651)/0.2))*AA313/20+AD312*inputs!$C$54</f>
        <v>1.2088567823614122E-16</v>
      </c>
      <c r="AE313" s="7">
        <f>(((0.013*2^0.773)/0.2))*AA313/2+AE312*inputs!$C$54</f>
        <v>5.8947970482039006E-18</v>
      </c>
    </row>
    <row r="314" spans="1:31" x14ac:dyDescent="0.3">
      <c r="A314" s="7">
        <f>IF(A313&lt;(inputs!$C$9-1),(1+A313),0)</f>
        <v>0</v>
      </c>
      <c r="B314" s="7">
        <f>IF(inputs!$C$8&gt;B313,IF(A313=(inputs!$C$9-1),(B313+1),B313), B313)</f>
        <v>1</v>
      </c>
      <c r="C314" s="7">
        <f t="shared" si="9"/>
        <v>311</v>
      </c>
      <c r="D314" s="8">
        <f>IF((B314&gt;B313), (EXP(-LN(2)/inputs!$C$51)*D313+$D$3), (EXP(-LN(2)/inputs!$C$51)*D313))</f>
        <v>2.5999697370844156E-16</v>
      </c>
      <c r="E314" s="8">
        <f>IF((B314&gt;B313), (EXP(-LN(2)/inputs!$C$51)*E313+$E$3), (EXP(-LN(2)/inputs!$C$51)*E313))</f>
        <v>1.1916527961636906E-16</v>
      </c>
      <c r="F314" s="8">
        <f>IF((B314&gt;B313), (EXP(-LN(2)/inputs!$C$51)*F313+$F$3), (EXP(-LN(2)/inputs!$C$51)*F313))</f>
        <v>1.4624829771099855E-16</v>
      </c>
      <c r="G314" s="8">
        <f>IF((B314&gt;B313), (EXP(-LN(2)/inputs!$C$51)*G313+$G$3), (EXP(-LN(2)/inputs!$C$51)*G313))</f>
        <v>1.6249810856777598E-17</v>
      </c>
      <c r="H314" s="8">
        <f>IF((B314&gt;B313), (EXP(-LN(2)/inputs!$C$51)*H313+$H$3), (EXP(-LN(2)/inputs!$C$51)*H313))</f>
        <v>1.0183214803580634E-16</v>
      </c>
      <c r="I314" s="7">
        <f>O314*(10^inputs!$C$55)*0.01/1</f>
        <v>1.6716982169373087E-2</v>
      </c>
      <c r="J314" s="7">
        <f>(((0.621*15^0.564)/0.2))*D314/15+J313*inputs!$C$53</f>
        <v>2.797735506694182E-16</v>
      </c>
      <c r="K314" s="7">
        <f>(((0.621*1000^0.564)/0.2))*D314/1000+K313*inputs!$C$53</f>
        <v>4.4831414687854159E-17</v>
      </c>
      <c r="L314" s="7">
        <f>(((0.648*20^0.651)/0.2))*H314/20+L313*inputs!$C$54</f>
        <v>1.5338794746146931E-16</v>
      </c>
      <c r="M314" s="7">
        <f>(((0.013*2^0.773)/0.2))*H314/2+M313*inputs!$C$54</f>
        <v>7.479718301779757E-18</v>
      </c>
      <c r="N314" s="7">
        <f>O314*0.015*inputs!$C$56</f>
        <v>2.4560523158305668E-3</v>
      </c>
      <c r="O314" s="7">
        <f>IF((B314&gt;B313), (EXP(-LN(2)/inputs!$C$52)*O313+$O$3), (EXP(-LN(2)/inputs!$C$52)*O313))</f>
        <v>2.6494631238733194E-4</v>
      </c>
      <c r="P314" s="3">
        <f>IF((B314&gt;B313), (EXP(-LN(2)/inputs!$C$52)*P313+$P$3), (EXP(-LN(2)/inputs!$C$52)*P313))</f>
        <v>2.5601892556367903E-4</v>
      </c>
      <c r="Q314" s="19">
        <f>IF((F314*0.62*1/(0.012*(10^inputs!$C$55)))&gt;inputs!$C$57, inputs!$C$57, (F314*0.62*1/(0.012*(10^inputs!$C$55))))</f>
        <v>1.1975709791644692E-18</v>
      </c>
      <c r="R314" s="3">
        <f>IF((B314&gt;B313), (EXP(-LN(2)/inputs!$C$51)*R313+$R$3), (EXP(-LN(2)/inputs!$C$51)*R313))</f>
        <v>2.7824892489374482E-24</v>
      </c>
      <c r="T314" s="7">
        <f>IF(T313&lt;(inputs!$C$9-1),(1+T313),0)</f>
        <v>0</v>
      </c>
      <c r="U314" s="7">
        <f>IF(inputs!$C$8&gt;U313,IF(T313=(inputs!$C$9-1),(U313+1),U313), U313)</f>
        <v>1</v>
      </c>
      <c r="V314" s="7">
        <f t="shared" si="8"/>
        <v>311</v>
      </c>
      <c r="W314" s="8">
        <f>IF((U314&gt;U313), (EXP(-LN(2)/inputs!$C$51)*W313+$W$3), (EXP(-LN(2)/inputs!$C$51)*W313))</f>
        <v>9.2082261521739923E-17</v>
      </c>
      <c r="X314" s="8">
        <f>IF((U314&gt;U313), (EXP(-LN(2)/inputs!$C$51)*X313+$X$3), (EXP(-LN(2)/inputs!$C$51)*X313))</f>
        <v>3.8999546056266221E-17</v>
      </c>
      <c r="Y314" s="8">
        <f>IF((U314&gt;U313), (EXP(-LN(2)/inputs!$C$51)*Y313+$Y$3), (EXP(-LN(2)/inputs!$C$51)*Y313))</f>
        <v>4.8749432570332879E-17</v>
      </c>
      <c r="Z314" s="8">
        <f>IF((U314&gt;U313), (EXP(-LN(2)/inputs!$C$51)*Z313+$Z$3), (EXP(-LN(2)/inputs!$C$51)*Z313))</f>
        <v>7.5832450664962098E-18</v>
      </c>
      <c r="AA314" s="8">
        <f>IF((U314&gt;U313), (EXP(-LN(2)/inputs!$C$51)*AA313+$AA$3), (EXP(-LN(2)/inputs!$C$51)*AA313))</f>
        <v>7.041584704603625E-17</v>
      </c>
      <c r="AB314" s="7">
        <f>(((0.621*15^0.564)/0.2))*W314/15+AB313*inputs!$C$53</f>
        <v>9.9086465862085828E-17</v>
      </c>
      <c r="AC314" s="7">
        <f>(((0.621*1000^0.564)/0.2))*W314/1000+AC313*inputs!$C$53</f>
        <v>1.5877792701948384E-17</v>
      </c>
      <c r="AD314" s="7">
        <f>(((0.648*20^0.651)/0.2))*AA314/20+AD313*inputs!$C$54</f>
        <v>1.0606613388293086E-16</v>
      </c>
      <c r="AE314" s="7">
        <f>(((0.013*2^0.773)/0.2))*AA314/2+AE313*inputs!$C$54</f>
        <v>5.1721456342094032E-18</v>
      </c>
    </row>
    <row r="315" spans="1:31" x14ac:dyDescent="0.3">
      <c r="A315" s="7">
        <f>IF(A314&lt;(inputs!$C$9-1),(1+A314),0)</f>
        <v>0</v>
      </c>
      <c r="B315" s="7">
        <f>IF(inputs!$C$8&gt;B314,IF(A314=(inputs!$C$9-1),(B314+1),B314), B314)</f>
        <v>1</v>
      </c>
      <c r="C315" s="7">
        <f t="shared" si="9"/>
        <v>312</v>
      </c>
      <c r="D315" s="8">
        <f>IF((B315&gt;B314), (EXP(-LN(2)/inputs!$C$51)*D314+$D$3), (EXP(-LN(2)/inputs!$C$51)*D314))</f>
        <v>2.2812358109657153E-16</v>
      </c>
      <c r="E315" s="8">
        <f>IF((B315&gt;B314), (EXP(-LN(2)/inputs!$C$51)*E314+$E$3), (EXP(-LN(2)/inputs!$C$51)*E314))</f>
        <v>1.0455664133592864E-16</v>
      </c>
      <c r="F315" s="8">
        <f>IF((B315&gt;B314), (EXP(-LN(2)/inputs!$C$51)*F314+$F$3), (EXP(-LN(2)/inputs!$C$51)*F314))</f>
        <v>1.2831951436682163E-16</v>
      </c>
      <c r="G315" s="8">
        <f>IF((B315&gt;B314), (EXP(-LN(2)/inputs!$C$51)*G314+$G$3), (EXP(-LN(2)/inputs!$C$51)*G314))</f>
        <v>1.425772381853572E-17</v>
      </c>
      <c r="H315" s="8">
        <f>IF((B315&gt;B314), (EXP(-LN(2)/inputs!$C$51)*H314+$H$3), (EXP(-LN(2)/inputs!$C$51)*H314))</f>
        <v>8.9348402596157243E-17</v>
      </c>
      <c r="I315" s="7">
        <f>O315*(10^inputs!$C$55)*0.01/1</f>
        <v>1.6379628815345045E-2</v>
      </c>
      <c r="J315" s="7">
        <f>(((0.621*15^0.564)/0.2))*D315/15+J314*inputs!$C$53</f>
        <v>2.4547571983042121E-16</v>
      </c>
      <c r="K315" s="7">
        <f>(((0.621*1000^0.564)/0.2))*D315/1000+K314*inputs!$C$53</f>
        <v>3.9335468864677299E-17</v>
      </c>
      <c r="L315" s="7">
        <f>(((0.648*20^0.651)/0.2))*H315/20+L314*inputs!$C$54</f>
        <v>1.3458390446960444E-16</v>
      </c>
      <c r="M315" s="7">
        <f>(((0.013*2^0.773)/0.2))*H315/2+M314*inputs!$C$54</f>
        <v>6.5627691748019947E-18</v>
      </c>
      <c r="N315" s="7">
        <f>O315*0.015*inputs!$C$56</f>
        <v>2.4064884963553176E-3</v>
      </c>
      <c r="O315" s="7">
        <f>IF((B315&gt;B314), (EXP(-LN(2)/inputs!$C$52)*O314+$O$3), (EXP(-LN(2)/inputs!$C$52)*O314))</f>
        <v>2.5959962204480234E-4</v>
      </c>
      <c r="P315" s="3">
        <f>IF((B315&gt;B314), (EXP(-LN(2)/inputs!$C$52)*P314+$P$3), (EXP(-LN(2)/inputs!$C$52)*P314))</f>
        <v>2.5085239237255098E-4</v>
      </c>
      <c r="Q315" s="19">
        <f>IF((F315*0.62*1/(0.012*(10^inputs!$C$55)))&gt;inputs!$C$57, inputs!$C$57, (F315*0.62*1/(0.012*(10^inputs!$C$55))))</f>
        <v>1.0507590780294392E-18</v>
      </c>
      <c r="R315" s="3">
        <f>IF((B315&gt;B314), (EXP(-LN(2)/inputs!$C$51)*R314+$R$3), (EXP(-LN(2)/inputs!$C$51)*R314))</f>
        <v>2.4413800006077199E-24</v>
      </c>
      <c r="T315" s="7">
        <f>IF(T314&lt;(inputs!$C$9-1),(1+T314),0)</f>
        <v>0</v>
      </c>
      <c r="U315" s="7">
        <f>IF(inputs!$C$8&gt;U314,IF(T314=(inputs!$C$9-1),(U314+1),U314), U314)</f>
        <v>1</v>
      </c>
      <c r="V315" s="7">
        <f t="shared" si="8"/>
        <v>312</v>
      </c>
      <c r="W315" s="8">
        <f>IF((U315&gt;U314), (EXP(-LN(2)/inputs!$C$51)*W314+$W$3), (EXP(-LN(2)/inputs!$C$51)*W314))</f>
        <v>8.0793768305035933E-17</v>
      </c>
      <c r="X315" s="8">
        <f>IF((U315&gt;U314), (EXP(-LN(2)/inputs!$C$51)*X314+$X$3), (EXP(-LN(2)/inputs!$C$51)*X314))</f>
        <v>3.4218537164485719E-17</v>
      </c>
      <c r="Y315" s="8">
        <f>IF((U315&gt;U314), (EXP(-LN(2)/inputs!$C$51)*Y314+$Y$3), (EXP(-LN(2)/inputs!$C$51)*Y314))</f>
        <v>4.2773171455607238E-17</v>
      </c>
      <c r="Z315" s="8">
        <f>IF((U315&gt;U314), (EXP(-LN(2)/inputs!$C$51)*Z314+$Z$3), (EXP(-LN(2)/inputs!$C$51)*Z314))</f>
        <v>6.6536044486500014E-18</v>
      </c>
      <c r="AA315" s="8">
        <f>IF((U315&gt;U314), (EXP(-LN(2)/inputs!$C$51)*AA314+$AA$3), (EXP(-LN(2)/inputs!$C$51)*AA314))</f>
        <v>6.178346988032145E-17</v>
      </c>
      <c r="AB315" s="7">
        <f>(((0.621*15^0.564)/0.2))*W315/15+AB314*inputs!$C$53</f>
        <v>8.693931743994105E-17</v>
      </c>
      <c r="AC315" s="7">
        <f>(((0.621*1000^0.564)/0.2))*W315/1000+AC314*inputs!$C$53</f>
        <v>1.3931311889573241E-17</v>
      </c>
      <c r="AD315" s="7">
        <f>(((0.648*20^0.651)/0.2))*AA315/20+AD314*inputs!$C$54</f>
        <v>9.3063338197066825E-17</v>
      </c>
      <c r="AE315" s="7">
        <f>(((0.013*2^0.773)/0.2))*AA315/2+AE314*inputs!$C$54</f>
        <v>4.5380850676822266E-18</v>
      </c>
    </row>
    <row r="316" spans="1:31" x14ac:dyDescent="0.3">
      <c r="A316" s="7">
        <f>IF(A315&lt;(inputs!$C$9-1),(1+A315),0)</f>
        <v>0</v>
      </c>
      <c r="B316" s="7">
        <f>IF(inputs!$C$8&gt;B315,IF(A315=(inputs!$C$9-1),(B315+1),B315), B315)</f>
        <v>1</v>
      </c>
      <c r="C316" s="7">
        <f t="shared" si="9"/>
        <v>313</v>
      </c>
      <c r="D316" s="8">
        <f>IF((B316&gt;B315), (EXP(-LN(2)/inputs!$C$51)*D315+$D$3), (EXP(-LN(2)/inputs!$C$51)*D315))</f>
        <v>2.0015759225983023E-16</v>
      </c>
      <c r="E316" s="8">
        <f>IF((B316&gt;B315), (EXP(-LN(2)/inputs!$C$51)*E315+$E$3), (EXP(-LN(2)/inputs!$C$51)*E315))</f>
        <v>9.1738896452422215E-17</v>
      </c>
      <c r="F316" s="8">
        <f>IF((B316&gt;B315), (EXP(-LN(2)/inputs!$C$51)*F315+$F$3), (EXP(-LN(2)/inputs!$C$51)*F315))</f>
        <v>1.1258864564615463E-16</v>
      </c>
      <c r="G316" s="8">
        <f>IF((B316&gt;B315), (EXP(-LN(2)/inputs!$C$51)*G315+$G$3), (EXP(-LN(2)/inputs!$C$51)*G315))</f>
        <v>1.250984951623939E-17</v>
      </c>
      <c r="H316" s="8">
        <f>IF((B316&gt;B315), (EXP(-LN(2)/inputs!$C$51)*H315+$H$3), (EXP(-LN(2)/inputs!$C$51)*H315))</f>
        <v>7.8395056968433565E-17</v>
      </c>
      <c r="I316" s="7">
        <f>O316*(10^inputs!$C$55)*0.01/1</f>
        <v>1.6049083345917287E-2</v>
      </c>
      <c r="J316" s="7">
        <f>(((0.621*15^0.564)/0.2))*D316/15+J315*inputs!$C$53</f>
        <v>2.1538250803938567E-16</v>
      </c>
      <c r="K316" s="7">
        <f>(((0.621*1000^0.564)/0.2))*D316/1000+K315*inputs!$C$53</f>
        <v>3.4513278726026696E-17</v>
      </c>
      <c r="L316" s="7">
        <f>(((0.648*20^0.651)/0.2))*H316/20+L315*inputs!$C$54</f>
        <v>1.180850754055074E-16</v>
      </c>
      <c r="M316" s="7">
        <f>(((0.013*2^0.773)/0.2))*H316/2+M315*inputs!$C$54</f>
        <v>5.7582301236509131E-18</v>
      </c>
      <c r="N316" s="7">
        <f>O316*0.015*inputs!$C$56</f>
        <v>2.3579248885551782E-3</v>
      </c>
      <c r="O316" s="7">
        <f>IF((B316&gt;B315), (EXP(-LN(2)/inputs!$C$52)*O315+$O$3), (EXP(-LN(2)/inputs!$C$52)*O315))</f>
        <v>2.543608294018531E-4</v>
      </c>
      <c r="P316" s="3">
        <f>IF((B316&gt;B315), (EXP(-LN(2)/inputs!$C$52)*P315+$P$3), (EXP(-LN(2)/inputs!$C$52)*P315))</f>
        <v>2.4579012125953401E-4</v>
      </c>
      <c r="Q316" s="19">
        <f>IF((F316*0.62*1/(0.012*(10^inputs!$C$55)))&gt;inputs!$C$57, inputs!$C$57, (F316*0.62*1/(0.012*(10^inputs!$C$55))))</f>
        <v>9.2194505317053548E-19</v>
      </c>
      <c r="R316" s="3">
        <f>IF((B316&gt;B315), (EXP(-LN(2)/inputs!$C$51)*R315+$R$3), (EXP(-LN(2)/inputs!$C$51)*R315))</f>
        <v>2.142087812070947E-24</v>
      </c>
      <c r="T316" s="7">
        <f>IF(T315&lt;(inputs!$C$9-1),(1+T315),0)</f>
        <v>0</v>
      </c>
      <c r="U316" s="7">
        <f>IF(inputs!$C$8&gt;U315,IF(T315=(inputs!$C$9-1),(U315+1),U315), U315)</f>
        <v>1</v>
      </c>
      <c r="V316" s="7">
        <f t="shared" si="8"/>
        <v>313</v>
      </c>
      <c r="W316" s="8">
        <f>IF((U316&gt;U315), (EXP(-LN(2)/inputs!$C$51)*W315+$W$3), (EXP(-LN(2)/inputs!$C$51)*W315))</f>
        <v>7.0889147258690035E-17</v>
      </c>
      <c r="X316" s="8">
        <f>IF((U316&gt;U315), (EXP(-LN(2)/inputs!$C$51)*X315+$X$3), (EXP(-LN(2)/inputs!$C$51)*X315))</f>
        <v>3.0023638838974528E-17</v>
      </c>
      <c r="Y316" s="8">
        <f>IF((U316&gt;U315), (EXP(-LN(2)/inputs!$C$51)*Y315+$Y$3), (EXP(-LN(2)/inputs!$C$51)*Y315))</f>
        <v>3.7529548548718237E-17</v>
      </c>
      <c r="Z316" s="8">
        <f>IF((U316&gt;U315), (EXP(-LN(2)/inputs!$C$51)*Z315+$Z$3), (EXP(-LN(2)/inputs!$C$51)*Z315))</f>
        <v>5.8379297742450476E-18</v>
      </c>
      <c r="AA316" s="8">
        <f>IF((U316&gt;U315), (EXP(-LN(2)/inputs!$C$51)*AA315+$AA$3), (EXP(-LN(2)/inputs!$C$51)*AA315))</f>
        <v>5.4209347903704022E-17</v>
      </c>
      <c r="AB316" s="7">
        <f>(((0.621*15^0.564)/0.2))*W316/15+AB315*inputs!$C$53</f>
        <v>7.6281304930615939E-17</v>
      </c>
      <c r="AC316" s="7">
        <f>(((0.621*1000^0.564)/0.2))*W316/1000+AC315*inputs!$C$53</f>
        <v>1.222345288213448E-17</v>
      </c>
      <c r="AD316" s="7">
        <f>(((0.648*20^0.651)/0.2))*AA316/20+AD315*inputs!$C$54</f>
        <v>8.1654573418701859E-17</v>
      </c>
      <c r="AE316" s="7">
        <f>(((0.013*2^0.773)/0.2))*AA316/2+AE315*inputs!$C$54</f>
        <v>3.9817548727373306E-18</v>
      </c>
    </row>
    <row r="317" spans="1:31" x14ac:dyDescent="0.3">
      <c r="A317" s="7">
        <f>IF(A316&lt;(inputs!$C$9-1),(1+A316),0)</f>
        <v>0</v>
      </c>
      <c r="B317" s="7">
        <f>IF(inputs!$C$8&gt;B316,IF(A316=(inputs!$C$9-1),(B316+1),B316), B316)</f>
        <v>1</v>
      </c>
      <c r="C317" s="7">
        <f t="shared" si="9"/>
        <v>314</v>
      </c>
      <c r="D317" s="8">
        <f>IF((B317&gt;B316), (EXP(-LN(2)/inputs!$C$51)*D316+$D$3), (EXP(-LN(2)/inputs!$C$51)*D316))</f>
        <v>1.7561999310493272E-16</v>
      </c>
      <c r="E317" s="8">
        <f>IF((B317&gt;B316), (EXP(-LN(2)/inputs!$C$51)*E316+$E$3), (EXP(-LN(2)/inputs!$C$51)*E316))</f>
        <v>8.0492496839760853E-17</v>
      </c>
      <c r="F317" s="8">
        <f>IF((B317&gt;B316), (EXP(-LN(2)/inputs!$C$51)*F316+$F$3), (EXP(-LN(2)/inputs!$C$51)*F316))</f>
        <v>9.8786246121524766E-17</v>
      </c>
      <c r="G317" s="8">
        <f>IF((B317&gt;B316), (EXP(-LN(2)/inputs!$C$51)*G316+$G$3), (EXP(-LN(2)/inputs!$C$51)*G316))</f>
        <v>1.0976249569058295E-17</v>
      </c>
      <c r="H317" s="8">
        <f>IF((B317&gt;B316), (EXP(-LN(2)/inputs!$C$51)*H316+$H$3), (EXP(-LN(2)/inputs!$C$51)*H316))</f>
        <v>6.8784497299432038E-17</v>
      </c>
      <c r="I317" s="7">
        <f>O317*(10^inputs!$C$55)*0.01/1</f>
        <v>1.5725208376083315E-2</v>
      </c>
      <c r="J317" s="7">
        <f>(((0.621*15^0.564)/0.2))*D317/15+J316*inputs!$C$53</f>
        <v>1.8897846516707551E-16</v>
      </c>
      <c r="K317" s="7">
        <f>(((0.621*1000^0.564)/0.2))*D317/1000+K316*inputs!$C$53</f>
        <v>3.0282247620291043E-17</v>
      </c>
      <c r="L317" s="7">
        <f>(((0.648*20^0.651)/0.2))*H317/20+L316*inputs!$C$54</f>
        <v>1.036088608699387E-16</v>
      </c>
      <c r="M317" s="7">
        <f>(((0.013*2^0.773)/0.2))*H317/2+M316*inputs!$C$54</f>
        <v>5.0523206399257828E-18</v>
      </c>
      <c r="N317" s="7">
        <f>O317*0.015*inputs!$C$56</f>
        <v>2.310341307880096E-3</v>
      </c>
      <c r="O317" s="7">
        <f>IF((B317&gt;B316), (EXP(-LN(2)/inputs!$C$52)*O316+$O$3), (EXP(-LN(2)/inputs!$C$52)*O316))</f>
        <v>2.4922775705286905E-4</v>
      </c>
      <c r="P317" s="3">
        <f>IF((B317&gt;B316), (EXP(-LN(2)/inputs!$C$52)*P316+$P$3), (EXP(-LN(2)/inputs!$C$52)*P316))</f>
        <v>2.4083000818686621E-4</v>
      </c>
      <c r="Q317" s="19">
        <f>IF((F317*0.62*1/(0.012*(10^inputs!$C$55)))&gt;inputs!$C$57, inputs!$C$57, (F317*0.62*1/(0.012*(10^inputs!$C$55))))</f>
        <v>8.0892251976509456E-19</v>
      </c>
      <c r="R317" s="3">
        <f>IF((B317&gt;B316), (EXP(-LN(2)/inputs!$C$51)*R316+$R$3), (EXP(-LN(2)/inputs!$C$51)*R316))</f>
        <v>1.8794862714860838E-24</v>
      </c>
      <c r="T317" s="7">
        <f>IF(T316&lt;(inputs!$C$9-1),(1+T316),0)</f>
        <v>0</v>
      </c>
      <c r="U317" s="7">
        <f>IF(inputs!$C$8&gt;U316,IF(T316=(inputs!$C$9-1),(U316+1),U316), U316)</f>
        <v>1</v>
      </c>
      <c r="V317" s="7">
        <f t="shared" si="8"/>
        <v>314</v>
      </c>
      <c r="W317" s="8">
        <f>IF((U317&gt;U316), (EXP(-LN(2)/inputs!$C$51)*W316+$W$3), (EXP(-LN(2)/inputs!$C$51)*W316))</f>
        <v>6.2198747557997149E-17</v>
      </c>
      <c r="X317" s="8">
        <f>IF((U317&gt;U316), (EXP(-LN(2)/inputs!$C$51)*X316+$X$3), (EXP(-LN(2)/inputs!$C$51)*X316))</f>
        <v>2.6342998965739902E-17</v>
      </c>
      <c r="Y317" s="8">
        <f>IF((U317&gt;U316), (EXP(-LN(2)/inputs!$C$51)*Y316+$Y$3), (EXP(-LN(2)/inputs!$C$51)*Y316))</f>
        <v>3.2928748707174945E-17</v>
      </c>
      <c r="Z317" s="8">
        <f>IF((U317&gt;U316), (EXP(-LN(2)/inputs!$C$51)*Z316+$Z$3), (EXP(-LN(2)/inputs!$C$51)*Z316))</f>
        <v>5.1222497988938704E-18</v>
      </c>
      <c r="AA317" s="8">
        <f>IF((U317&gt;U316), (EXP(-LN(2)/inputs!$C$51)*AA316+$AA$3), (EXP(-LN(2)/inputs!$C$51)*AA316))</f>
        <v>4.7563748132585945E-17</v>
      </c>
      <c r="AB317" s="7">
        <f>(((0.621*15^0.564)/0.2))*W317/15+AB316*inputs!$C$53</f>
        <v>6.6929873080006069E-17</v>
      </c>
      <c r="AC317" s="7">
        <f>(((0.621*1000^0.564)/0.2))*W317/1000+AC316*inputs!$C$53</f>
        <v>1.0724962698853102E-17</v>
      </c>
      <c r="AD317" s="7">
        <f>(((0.648*20^0.651)/0.2))*AA317/20+AD316*inputs!$C$54</f>
        <v>7.1644425069638406E-17</v>
      </c>
      <c r="AE317" s="7">
        <f>(((0.013*2^0.773)/0.2))*AA317/2+AE316*inputs!$C$54</f>
        <v>3.4936259744167617E-18</v>
      </c>
    </row>
    <row r="318" spans="1:31" x14ac:dyDescent="0.3">
      <c r="A318" s="7">
        <f>IF(A317&lt;(inputs!$C$9-1),(1+A317),0)</f>
        <v>0</v>
      </c>
      <c r="B318" s="7">
        <f>IF(inputs!$C$8&gt;B317,IF(A317=(inputs!$C$9-1),(B317+1),B317), B317)</f>
        <v>1</v>
      </c>
      <c r="C318" s="7">
        <f t="shared" si="9"/>
        <v>315</v>
      </c>
      <c r="D318" s="8">
        <f>IF((B318&gt;B317), (EXP(-LN(2)/inputs!$C$51)*D317+$D$3), (EXP(-LN(2)/inputs!$C$51)*D317))</f>
        <v>1.5409049254618955E-16</v>
      </c>
      <c r="E318" s="8">
        <f>IF((B318&gt;B317), (EXP(-LN(2)/inputs!$C$51)*E317+$E$3), (EXP(-LN(2)/inputs!$C$51)*E317))</f>
        <v>7.0624809083670227E-17</v>
      </c>
      <c r="F318" s="8">
        <f>IF((B318&gt;B317), (EXP(-LN(2)/inputs!$C$51)*F317+$F$3), (EXP(-LN(2)/inputs!$C$51)*F317))</f>
        <v>8.6675902057231722E-17</v>
      </c>
      <c r="G318" s="8">
        <f>IF((B318&gt;B317), (EXP(-LN(2)/inputs!$C$51)*G317+$G$3), (EXP(-LN(2)/inputs!$C$51)*G317))</f>
        <v>9.6306557841368467E-18</v>
      </c>
      <c r="H318" s="8">
        <f>IF((B318&gt;B317), (EXP(-LN(2)/inputs!$C$51)*H317+$H$3), (EXP(-LN(2)/inputs!$C$51)*H317))</f>
        <v>6.0352109580590956E-17</v>
      </c>
      <c r="I318" s="7">
        <f>O318*(10^inputs!$C$55)*0.01/1</f>
        <v>1.5407869293304332E-2</v>
      </c>
      <c r="J318" s="7">
        <f>(((0.621*15^0.564)/0.2))*D318/15+J317*inputs!$C$53</f>
        <v>1.6581133083645299E-16</v>
      </c>
      <c r="K318" s="7">
        <f>(((0.621*1000^0.564)/0.2))*D318/1000+K317*inputs!$C$53</f>
        <v>2.6569904534891257E-17</v>
      </c>
      <c r="L318" s="7">
        <f>(((0.648*20^0.651)/0.2))*H318/20+L317*inputs!$C$54</f>
        <v>9.0907305719225995E-17</v>
      </c>
      <c r="M318" s="7">
        <f>(((0.013*2^0.773)/0.2))*H318/2+M317*inputs!$C$54</f>
        <v>4.4329495870227141E-18</v>
      </c>
      <c r="N318" s="7">
        <f>O318*0.015*inputs!$C$56</f>
        <v>2.2637179771098567E-3</v>
      </c>
      <c r="O318" s="7">
        <f>IF((B318&gt;B317), (EXP(-LN(2)/inputs!$C$52)*O317+$O$3), (EXP(-LN(2)/inputs!$C$52)*O317))</f>
        <v>2.4419827153288639E-4</v>
      </c>
      <c r="P318" s="3">
        <f>IF((B318&gt;B317), (EXP(-LN(2)/inputs!$C$52)*P317+$P$3), (EXP(-LN(2)/inputs!$C$52)*P317))</f>
        <v>2.3596999157685352E-4</v>
      </c>
      <c r="Q318" s="19">
        <f>IF((F318*0.62*1/(0.012*(10^inputs!$C$55)))&gt;inputs!$C$57, inputs!$C$57, (F318*0.62*1/(0.012*(10^inputs!$C$55))))</f>
        <v>7.0975557679148525E-19</v>
      </c>
      <c r="R318" s="3">
        <f>IF((B318&gt;B317), (EXP(-LN(2)/inputs!$C$51)*R317+$R$3), (EXP(-LN(2)/inputs!$C$51)*R317))</f>
        <v>1.6490774210089496E-24</v>
      </c>
      <c r="T318" s="7">
        <f>IF(T317&lt;(inputs!$C$9-1),(1+T317),0)</f>
        <v>0</v>
      </c>
      <c r="U318" s="7">
        <f>IF(inputs!$C$8&gt;U317,IF(T317=(inputs!$C$9-1),(U317+1),U317), U317)</f>
        <v>1</v>
      </c>
      <c r="V318" s="7">
        <f t="shared" si="8"/>
        <v>315</v>
      </c>
      <c r="W318" s="8">
        <f>IF((U318&gt;U317), (EXP(-LN(2)/inputs!$C$51)*W317+$W$3), (EXP(-LN(2)/inputs!$C$51)*W317))</f>
        <v>5.4573716110108924E-17</v>
      </c>
      <c r="X318" s="8">
        <f>IF((U318&gt;U317), (EXP(-LN(2)/inputs!$C$51)*X317+$X$3), (EXP(-LN(2)/inputs!$C$51)*X317))</f>
        <v>2.3113573881928428E-17</v>
      </c>
      <c r="Y318" s="8">
        <f>IF((U318&gt;U317), (EXP(-LN(2)/inputs!$C$51)*Y317+$Y$3), (EXP(-LN(2)/inputs!$C$51)*Y317))</f>
        <v>2.8891967352410592E-17</v>
      </c>
      <c r="Z318" s="8">
        <f>IF((U318&gt;U317), (EXP(-LN(2)/inputs!$C$51)*Z317+$Z$3), (EXP(-LN(2)/inputs!$C$51)*Z317))</f>
        <v>4.494306032597195E-18</v>
      </c>
      <c r="AA318" s="8">
        <f>IF((U318&gt;U317), (EXP(-LN(2)/inputs!$C$51)*AA317+$AA$3), (EXP(-LN(2)/inputs!$C$51)*AA317))</f>
        <v>4.1732841731259672E-17</v>
      </c>
      <c r="AB318" s="7">
        <f>(((0.621*15^0.564)/0.2))*W318/15+AB317*inputs!$C$53</f>
        <v>5.8724846337910571E-17</v>
      </c>
      <c r="AC318" s="7">
        <f>(((0.621*1000^0.564)/0.2))*W318/1000+AC317*inputs!$C$53</f>
        <v>9.4101745227740079E-18</v>
      </c>
      <c r="AD318" s="7">
        <f>(((0.648*20^0.651)/0.2))*AA318/20+AD317*inputs!$C$54</f>
        <v>6.2861434805847711E-17</v>
      </c>
      <c r="AE318" s="7">
        <f>(((0.013*2^0.773)/0.2))*AA318/2+AE317*inputs!$C$54</f>
        <v>3.0653374803880446E-18</v>
      </c>
    </row>
    <row r="319" spans="1:31" x14ac:dyDescent="0.3">
      <c r="A319" s="7">
        <f>IF(A318&lt;(inputs!$C$9-1),(1+A318),0)</f>
        <v>0</v>
      </c>
      <c r="B319" s="7">
        <f>IF(inputs!$C$8&gt;B318,IF(A318=(inputs!$C$9-1),(B318+1),B318), B318)</f>
        <v>1</v>
      </c>
      <c r="C319" s="7">
        <f t="shared" si="9"/>
        <v>316</v>
      </c>
      <c r="D319" s="8">
        <f>IF((B319&gt;B318), (EXP(-LN(2)/inputs!$C$51)*D318+$D$3), (EXP(-LN(2)/inputs!$C$51)*D318))</f>
        <v>1.3520032356988171E-16</v>
      </c>
      <c r="E319" s="8">
        <f>IF((B319&gt;B318), (EXP(-LN(2)/inputs!$C$51)*E318+$E$3), (EXP(-LN(2)/inputs!$C$51)*E318))</f>
        <v>6.1966814969529132E-17</v>
      </c>
      <c r="F319" s="8">
        <f>IF((B319&gt;B318), (EXP(-LN(2)/inputs!$C$51)*F318+$F$3), (EXP(-LN(2)/inputs!$C$51)*F318))</f>
        <v>7.605018200805854E-17</v>
      </c>
      <c r="G319" s="8">
        <f>IF((B319&gt;B318), (EXP(-LN(2)/inputs!$C$51)*G318+$G$3), (EXP(-LN(2)/inputs!$C$51)*G318))</f>
        <v>8.4500202231176066E-18</v>
      </c>
      <c r="H319" s="8">
        <f>IF((B319&gt;B318), (EXP(-LN(2)/inputs!$C$51)*H318+$H$3), (EXP(-LN(2)/inputs!$C$51)*H318))</f>
        <v>5.2953460064870376E-17</v>
      </c>
      <c r="I319" s="7">
        <f>O319*(10^inputs!$C$55)*0.01/1</f>
        <v>1.509693420156003E-2</v>
      </c>
      <c r="J319" s="7">
        <f>(((0.621*15^0.564)/0.2))*D319/15+J318*inputs!$C$53</f>
        <v>1.4548428790258618E-16</v>
      </c>
      <c r="K319" s="7">
        <f>(((0.621*1000^0.564)/0.2))*D319/1000+K318*inputs!$C$53</f>
        <v>2.3312662780030792E-17</v>
      </c>
      <c r="L319" s="7">
        <f>(((0.648*20^0.651)/0.2))*H319/20+L318*inputs!$C$54</f>
        <v>7.9762851977524189E-17</v>
      </c>
      <c r="M319" s="7">
        <f>(((0.013*2^0.773)/0.2))*H319/2+M318*inputs!$C$54</f>
        <v>3.8895080976835072E-18</v>
      </c>
      <c r="N319" s="7">
        <f>O319*0.015*inputs!$C$56</f>
        <v>2.2180355181340562E-3</v>
      </c>
      <c r="O319" s="7">
        <f>IF((B319&gt;B318), (EXP(-LN(2)/inputs!$C$52)*O318+$O$3), (EXP(-LN(2)/inputs!$C$52)*O318))</f>
        <v>2.3927028243085827E-4</v>
      </c>
      <c r="P319" s="3">
        <f>IF((B319&gt;B318), (EXP(-LN(2)/inputs!$C$52)*P318+$P$3), (EXP(-LN(2)/inputs!$C$52)*P318))</f>
        <v>2.3120805145501364E-4</v>
      </c>
      <c r="Q319" s="19">
        <f>IF((F319*0.62*1/(0.012*(10^inputs!$C$55)))&gt;inputs!$C$57, inputs!$C$57, (F319*0.62*1/(0.012*(10^inputs!$C$55))))</f>
        <v>6.2274564804166931E-19</v>
      </c>
      <c r="R319" s="3">
        <f>IF((B319&gt;B318), (EXP(-LN(2)/inputs!$C$51)*R318+$R$3), (EXP(-LN(2)/inputs!$C$51)*R318))</f>
        <v>1.446914713737862E-24</v>
      </c>
      <c r="T319" s="7">
        <f>IF(T318&lt;(inputs!$C$9-1),(1+T318),0)</f>
        <v>0</v>
      </c>
      <c r="U319" s="7">
        <f>IF(inputs!$C$8&gt;U318,IF(T318=(inputs!$C$9-1),(U318+1),U318), U318)</f>
        <v>1</v>
      </c>
      <c r="V319" s="7">
        <f t="shared" si="8"/>
        <v>316</v>
      </c>
      <c r="W319" s="8">
        <f>IF((U319&gt;U318), (EXP(-LN(2)/inputs!$C$51)*W318+$W$3), (EXP(-LN(2)/inputs!$C$51)*W318))</f>
        <v>4.7883447930999878E-17</v>
      </c>
      <c r="X319" s="8">
        <f>IF((U319&gt;U318), (EXP(-LN(2)/inputs!$C$51)*X318+$X$3), (EXP(-LN(2)/inputs!$C$51)*X318))</f>
        <v>2.028004853548225E-17</v>
      </c>
      <c r="Y319" s="8">
        <f>IF((U319&gt;U318), (EXP(-LN(2)/inputs!$C$51)*Y318+$Y$3), (EXP(-LN(2)/inputs!$C$51)*Y318))</f>
        <v>2.5350060669352863E-17</v>
      </c>
      <c r="Z319" s="8">
        <f>IF((U319&gt;U318), (EXP(-LN(2)/inputs!$C$51)*Z318+$Z$3), (EXP(-LN(2)/inputs!$C$51)*Z318))</f>
        <v>3.9433427707882158E-18</v>
      </c>
      <c r="AA319" s="8">
        <f>IF((U319&gt;U318), (EXP(-LN(2)/inputs!$C$51)*AA318+$AA$3), (EXP(-LN(2)/inputs!$C$51)*AA318))</f>
        <v>3.6616754300176293E-17</v>
      </c>
      <c r="AB319" s="7">
        <f>(((0.621*15^0.564)/0.2))*W319/15+AB318*inputs!$C$53</f>
        <v>5.1525685298832716E-17</v>
      </c>
      <c r="AC319" s="7">
        <f>(((0.621*1000^0.564)/0.2))*W319/1000+AC318*inputs!$C$53</f>
        <v>8.2565680679275891E-18</v>
      </c>
      <c r="AD319" s="7">
        <f>(((0.648*20^0.651)/0.2))*AA319/20+AD318*inputs!$C$54</f>
        <v>5.5155163601479445E-17</v>
      </c>
      <c r="AE319" s="7">
        <f>(((0.013*2^0.773)/0.2))*AA319/2+AE318*inputs!$C$54</f>
        <v>2.6895534718024234E-18</v>
      </c>
    </row>
    <row r="320" spans="1:31" x14ac:dyDescent="0.3">
      <c r="A320" s="7">
        <f>IF(A319&lt;(inputs!$C$9-1),(1+A319),0)</f>
        <v>0</v>
      </c>
      <c r="B320" s="7">
        <f>IF(inputs!$C$8&gt;B319,IF(A319=(inputs!$C$9-1),(B319+1),B319), B319)</f>
        <v>1</v>
      </c>
      <c r="C320" s="7">
        <f t="shared" si="9"/>
        <v>317</v>
      </c>
      <c r="D320" s="8">
        <f>IF((B320&gt;B319), (EXP(-LN(2)/inputs!$C$51)*D319+$D$3), (EXP(-LN(2)/inputs!$C$51)*D319))</f>
        <v>1.1862592682622149E-16</v>
      </c>
      <c r="E320" s="8">
        <f>IF((B320&gt;B319), (EXP(-LN(2)/inputs!$C$51)*E319+$E$3), (EXP(-LN(2)/inputs!$C$51)*E319))</f>
        <v>5.4370216462018202E-17</v>
      </c>
      <c r="F320" s="8">
        <f>IF((B320&gt;B319), (EXP(-LN(2)/inputs!$C$51)*F319+$F$3), (EXP(-LN(2)/inputs!$C$51)*F319))</f>
        <v>6.6727083839749663E-17</v>
      </c>
      <c r="G320" s="8">
        <f>IF((B320&gt;B319), (EXP(-LN(2)/inputs!$C$51)*G319+$G$3), (EXP(-LN(2)/inputs!$C$51)*G319))</f>
        <v>7.4141204266388429E-18</v>
      </c>
      <c r="H320" s="8">
        <f>IF((B320&gt;B319), (EXP(-LN(2)/inputs!$C$51)*H319+$H$3), (EXP(-LN(2)/inputs!$C$51)*H319))</f>
        <v>4.6461821340270123E-17</v>
      </c>
      <c r="I320" s="7">
        <f>O320*(10^inputs!$C$55)*0.01/1</f>
        <v>1.4792273866528528E-2</v>
      </c>
      <c r="J320" s="7">
        <f>(((0.621*15^0.564)/0.2))*D320/15+J319*inputs!$C$53</f>
        <v>1.2764916558928786E-16</v>
      </c>
      <c r="K320" s="7">
        <f>(((0.621*1000^0.564)/0.2))*D320/1000+K319*inputs!$C$53</f>
        <v>2.0454730847141043E-17</v>
      </c>
      <c r="L320" s="7">
        <f>(((0.648*20^0.651)/0.2))*H320/20+L319*inputs!$C$54</f>
        <v>6.9984612405501206E-17</v>
      </c>
      <c r="M320" s="7">
        <f>(((0.013*2^0.773)/0.2))*H320/2+M319*inputs!$C$54</f>
        <v>3.4126878605236127E-18</v>
      </c>
      <c r="N320" s="7">
        <f>O320*0.015*inputs!$C$56</f>
        <v>2.1732749438979526E-3</v>
      </c>
      <c r="O320" s="7">
        <f>IF((B320&gt;B319), (EXP(-LN(2)/inputs!$C$52)*O319+$O$3), (EXP(-LN(2)/inputs!$C$52)*O319))</f>
        <v>2.3444174152081475E-4</v>
      </c>
      <c r="P320" s="3">
        <f>IF((B320&gt;B319), (EXP(-LN(2)/inputs!$C$52)*P319+$P$3), (EXP(-LN(2)/inputs!$C$52)*P319))</f>
        <v>2.2654220861051169E-4</v>
      </c>
      <c r="Q320" s="19">
        <f>IF((F320*0.62*1/(0.012*(10^inputs!$C$55)))&gt;inputs!$C$57, inputs!$C$57, (F320*0.62*1/(0.012*(10^inputs!$C$55))))</f>
        <v>5.4640238814040569E-19</v>
      </c>
      <c r="R320" s="3">
        <f>IF((B320&gt;B319), (EXP(-LN(2)/inputs!$C$51)*R319+$R$3), (EXP(-LN(2)/inputs!$C$51)*R319))</f>
        <v>1.269535415475049E-24</v>
      </c>
      <c r="T320" s="7">
        <f>IF(T319&lt;(inputs!$C$9-1),(1+T319),0)</f>
        <v>0</v>
      </c>
      <c r="U320" s="7">
        <f>IF(inputs!$C$8&gt;U319,IF(T319=(inputs!$C$9-1),(U319+1),U319), U319)</f>
        <v>1</v>
      </c>
      <c r="V320" s="7">
        <f t="shared" si="8"/>
        <v>317</v>
      </c>
      <c r="W320" s="8">
        <f>IF((U320&gt;U319), (EXP(-LN(2)/inputs!$C$51)*W319+$W$3), (EXP(-LN(2)/inputs!$C$51)*W319))</f>
        <v>4.201334908428687E-17</v>
      </c>
      <c r="X320" s="8">
        <f>IF((U320&gt;U319), (EXP(-LN(2)/inputs!$C$51)*X319+$X$3), (EXP(-LN(2)/inputs!$C$51)*X319))</f>
        <v>1.779388902393322E-17</v>
      </c>
      <c r="Y320" s="8">
        <f>IF((U320&gt;U319), (EXP(-LN(2)/inputs!$C$51)*Y319+$Y$3), (EXP(-LN(2)/inputs!$C$51)*Y319))</f>
        <v>2.2242361279916569E-17</v>
      </c>
      <c r="Z320" s="8">
        <f>IF((U320&gt;U319), (EXP(-LN(2)/inputs!$C$51)*Z319+$Z$3), (EXP(-LN(2)/inputs!$C$51)*Z319))</f>
        <v>3.4599228657647932E-18</v>
      </c>
      <c r="AA320" s="8">
        <f>IF((U320&gt;U319), (EXP(-LN(2)/inputs!$C$51)*AA319+$AA$3), (EXP(-LN(2)/inputs!$C$51)*AA319))</f>
        <v>3.2127855182101652E-17</v>
      </c>
      <c r="AB320" s="7">
        <f>(((0.621*15^0.564)/0.2))*W320/15+AB319*inputs!$C$53</f>
        <v>4.5209079479539544E-17</v>
      </c>
      <c r="AC320" s="7">
        <f>(((0.621*1000^0.564)/0.2))*W320/1000+AC319*inputs!$C$53</f>
        <v>7.2443838416958015E-18</v>
      </c>
      <c r="AD320" s="7">
        <f>(((0.648*20^0.651)/0.2))*AA320/20+AD319*inputs!$C$54</f>
        <v>4.8393614961250793E-17</v>
      </c>
      <c r="AE320" s="7">
        <f>(((0.013*2^0.773)/0.2))*AA320/2+AE319*inputs!$C$54</f>
        <v>2.3598373503620705E-18</v>
      </c>
    </row>
    <row r="321" spans="1:31" x14ac:dyDescent="0.3">
      <c r="A321" s="7">
        <f>IF(A320&lt;(inputs!$C$9-1),(1+A320),0)</f>
        <v>0</v>
      </c>
      <c r="B321" s="7">
        <f>IF(inputs!$C$8&gt;B320,IF(A320=(inputs!$C$9-1),(B320+1),B320), B320)</f>
        <v>1</v>
      </c>
      <c r="C321" s="7">
        <f t="shared" si="9"/>
        <v>318</v>
      </c>
      <c r="D321" s="8">
        <f>IF((B321&gt;B320), (EXP(-LN(2)/inputs!$C$51)*D320+$D$3), (EXP(-LN(2)/inputs!$C$51)*D320))</f>
        <v>1.0408340855860844E-16</v>
      </c>
      <c r="E321" s="8">
        <f>IF((B321&gt;B320), (EXP(-LN(2)/inputs!$C$51)*E320+$E$3), (EXP(-LN(2)/inputs!$C$51)*E320))</f>
        <v>4.770489558936222E-17</v>
      </c>
      <c r="F321" s="8">
        <f>IF((B321&gt;B320), (EXP(-LN(2)/inputs!$C$51)*F320+$F$3), (EXP(-LN(2)/inputs!$C$51)*F320))</f>
        <v>5.8546917314217313E-17</v>
      </c>
      <c r="G321" s="8">
        <f>IF((B321&gt;B320), (EXP(-LN(2)/inputs!$C$51)*G320+$G$3), (EXP(-LN(2)/inputs!$C$51)*G320))</f>
        <v>6.5052130349130274E-18</v>
      </c>
      <c r="H321" s="8">
        <f>IF((B321&gt;B320), (EXP(-LN(2)/inputs!$C$51)*H320+$H$3), (EXP(-LN(2)/inputs!$C$51)*H320))</f>
        <v>4.076600168545501E-17</v>
      </c>
      <c r="I321" s="7">
        <f>O321*(10^inputs!$C$55)*0.01/1</f>
        <v>1.4493761661872523E-2</v>
      </c>
      <c r="J321" s="7">
        <f>(((0.621*15^0.564)/0.2))*D321/15+J320*inputs!$C$53</f>
        <v>1.1200047586273939E-16</v>
      </c>
      <c r="K321" s="7">
        <f>(((0.621*1000^0.564)/0.2))*D321/1000+K320*inputs!$C$53</f>
        <v>1.7947156786713098E-17</v>
      </c>
      <c r="L321" s="7">
        <f>(((0.648*20^0.651)/0.2))*H321/20+L320*inputs!$C$54</f>
        <v>6.1405100897449905E-17</v>
      </c>
      <c r="M321" s="7">
        <f>(((0.013*2^0.773)/0.2))*H321/2+M320*inputs!$C$54</f>
        <v>2.9943216830687549E-18</v>
      </c>
      <c r="N321" s="7">
        <f>O321*0.015*inputs!$C$56</f>
        <v>2.1294176505108555E-3</v>
      </c>
      <c r="O321" s="7">
        <f>IF((B321&gt;B320), (EXP(-LN(2)/inputs!$C$52)*O320+$O$3), (EXP(-LN(2)/inputs!$C$52)*O320))</f>
        <v>2.2971064191055614E-4</v>
      </c>
      <c r="P321" s="3">
        <f>IF((B321&gt;B320), (EXP(-LN(2)/inputs!$C$52)*P320+$P$3), (EXP(-LN(2)/inputs!$C$52)*P320))</f>
        <v>2.2197052377353842E-4</v>
      </c>
      <c r="Q321" s="19">
        <f>IF((F321*0.62*1/(0.012*(10^inputs!$C$55)))&gt;inputs!$C$57, inputs!$C$57, (F321*0.62*1/(0.012*(10^inputs!$C$55))))</f>
        <v>4.7941815523624755E-19</v>
      </c>
      <c r="R321" s="3">
        <f>IF((B321&gt;B320), (EXP(-LN(2)/inputs!$C$51)*R320+$R$3), (EXP(-LN(2)/inputs!$C$51)*R320))</f>
        <v>1.1139012934506664E-24</v>
      </c>
      <c r="T321" s="7">
        <f>IF(T320&lt;(inputs!$C$9-1),(1+T320),0)</f>
        <v>0</v>
      </c>
      <c r="U321" s="7">
        <f>IF(inputs!$C$8&gt;U320,IF(T320=(inputs!$C$9-1),(U320+1),U320), U320)</f>
        <v>1</v>
      </c>
      <c r="V321" s="7">
        <f t="shared" si="8"/>
        <v>318</v>
      </c>
      <c r="W321" s="8">
        <f>IF((U321&gt;U320), (EXP(-LN(2)/inputs!$C$51)*W320+$W$3), (EXP(-LN(2)/inputs!$C$51)*W320))</f>
        <v>3.6862873864507237E-17</v>
      </c>
      <c r="X321" s="8">
        <f>IF((U321&gt;U320), (EXP(-LN(2)/inputs!$C$51)*X320+$X$3), (EXP(-LN(2)/inputs!$C$51)*X320))</f>
        <v>1.5612511283791264E-17</v>
      </c>
      <c r="Y321" s="8">
        <f>IF((U321&gt;U320), (EXP(-LN(2)/inputs!$C$51)*Y320+$Y$3), (EXP(-LN(2)/inputs!$C$51)*Y320))</f>
        <v>1.9515639104739117E-17</v>
      </c>
      <c r="Z321" s="8">
        <f>IF((U321&gt;U320), (EXP(-LN(2)/inputs!$C$51)*Z320+$Z$3), (EXP(-LN(2)/inputs!$C$51)*Z320))</f>
        <v>3.0357660829594128E-18</v>
      </c>
      <c r="AA321" s="8">
        <f>IF((U321&gt;U320), (EXP(-LN(2)/inputs!$C$51)*AA320+$AA$3), (EXP(-LN(2)/inputs!$C$51)*AA320))</f>
        <v>2.8189256484623115E-17</v>
      </c>
      <c r="AB321" s="7">
        <f>(((0.621*15^0.564)/0.2))*W321/15+AB320*inputs!$C$53</f>
        <v>3.9666835201386953E-17</v>
      </c>
      <c r="AC321" s="7">
        <f>(((0.621*1000^0.564)/0.2))*W321/1000+AC320*inputs!$C$53</f>
        <v>6.3562846952942357E-18</v>
      </c>
      <c r="AD321" s="7">
        <f>(((0.648*20^0.651)/0.2))*AA321/20+AD320*inputs!$C$54</f>
        <v>4.2460974024832336E-17</v>
      </c>
      <c r="AE321" s="7">
        <f>(((0.013*2^0.773)/0.2))*AA321/2+AE320*inputs!$C$54</f>
        <v>2.070541589356052E-18</v>
      </c>
    </row>
    <row r="322" spans="1:31" x14ac:dyDescent="0.3">
      <c r="A322" s="7">
        <f>IF(A321&lt;(inputs!$C$9-1),(1+A321),0)</f>
        <v>0</v>
      </c>
      <c r="B322" s="7">
        <f>IF(inputs!$C$8&gt;B321,IF(A321=(inputs!$C$9-1),(B321+1),B321), B321)</f>
        <v>1</v>
      </c>
      <c r="C322" s="7">
        <f t="shared" si="9"/>
        <v>319</v>
      </c>
      <c r="D322" s="8">
        <f>IF((B322&gt;B321), (EXP(-LN(2)/inputs!$C$51)*D321+$D$3), (EXP(-LN(2)/inputs!$C$51)*D321))</f>
        <v>9.1323677943088257E-17</v>
      </c>
      <c r="E322" s="8">
        <f>IF((B322&gt;B321), (EXP(-LN(2)/inputs!$C$51)*E321+$E$3), (EXP(-LN(2)/inputs!$C$51)*E321))</f>
        <v>4.1856685723915463E-17</v>
      </c>
      <c r="F322" s="8">
        <f>IF((B322&gt;B321), (EXP(-LN(2)/inputs!$C$51)*F321+$F$3), (EXP(-LN(2)/inputs!$C$51)*F321))</f>
        <v>5.1369568842987202E-17</v>
      </c>
      <c r="G322" s="8">
        <f>IF((B322&gt;B321), (EXP(-LN(2)/inputs!$C$51)*G321+$G$3), (EXP(-LN(2)/inputs!$C$51)*G321))</f>
        <v>5.7077298714430161E-18</v>
      </c>
      <c r="H322" s="8">
        <f>IF((B322&gt;B321), (EXP(-LN(2)/inputs!$C$51)*H321+$H$3), (EXP(-LN(2)/inputs!$C$51)*H321))</f>
        <v>3.5768440527709597E-17</v>
      </c>
      <c r="I322" s="7">
        <f>O322*(10^inputs!$C$55)*0.01/1</f>
        <v>1.4201273516609457E-2</v>
      </c>
      <c r="J322" s="7">
        <f>(((0.621*15^0.564)/0.2))*D322/15+J321*inputs!$C$53</f>
        <v>9.8270180894412007E-17</v>
      </c>
      <c r="K322" s="7">
        <f>(((0.621*1000^0.564)/0.2))*D322/1000+K321*inputs!$C$53</f>
        <v>1.574698973718747E-17</v>
      </c>
      <c r="L322" s="7">
        <f>(((0.648*20^0.651)/0.2))*H322/20+L321*inputs!$C$54</f>
        <v>5.387736370359053E-17</v>
      </c>
      <c r="M322" s="7">
        <f>(((0.013*2^0.773)/0.2))*H322/2+M321*inputs!$C$54</f>
        <v>2.6272436003918753E-18</v>
      </c>
      <c r="N322" s="7">
        <f>O322*0.015*inputs!$C$56</f>
        <v>2.0864454095137659E-3</v>
      </c>
      <c r="O322" s="7">
        <f>IF((B322&gt;B321), (EXP(-LN(2)/inputs!$C$52)*O321+$O$3), (EXP(-LN(2)/inputs!$C$52)*O321))</f>
        <v>2.2507501720752602E-4</v>
      </c>
      <c r="P322" s="3">
        <f>IF((B322&gt;B321), (EXP(-LN(2)/inputs!$C$52)*P321+$P$3), (EXP(-LN(2)/inputs!$C$52)*P321))</f>
        <v>2.1749109680928918E-4</v>
      </c>
      <c r="Q322" s="19">
        <f>IF((F322*0.62*1/(0.012*(10^inputs!$C$55)))&gt;inputs!$C$57, inputs!$C$57, (F322*0.62*1/(0.012*(10^inputs!$C$55))))</f>
        <v>4.2064561312104969E-19</v>
      </c>
      <c r="R322" s="3">
        <f>IF((B322&gt;B321), (EXP(-LN(2)/inputs!$C$51)*R321+$R$3), (EXP(-LN(2)/inputs!$C$51)*R321))</f>
        <v>9.7734657609908445E-25</v>
      </c>
      <c r="T322" s="7">
        <f>IF(T321&lt;(inputs!$C$9-1),(1+T321),0)</f>
        <v>0</v>
      </c>
      <c r="U322" s="7">
        <f>IF(inputs!$C$8&gt;U321,IF(T321=(inputs!$C$9-1),(U321+1),U321), U321)</f>
        <v>1</v>
      </c>
      <c r="V322" s="7">
        <f t="shared" si="8"/>
        <v>319</v>
      </c>
      <c r="W322" s="8">
        <f>IF((U322&gt;U321), (EXP(-LN(2)/inputs!$C$51)*W321+$W$3), (EXP(-LN(2)/inputs!$C$51)*W321))</f>
        <v>3.2343802604843828E-17</v>
      </c>
      <c r="X322" s="8">
        <f>IF((U322&gt;U321), (EXP(-LN(2)/inputs!$C$51)*X321+$X$3), (EXP(-LN(2)/inputs!$C$51)*X321))</f>
        <v>1.3698551691463236E-17</v>
      </c>
      <c r="Y322" s="8">
        <f>IF((U322&gt;U321), (EXP(-LN(2)/inputs!$C$51)*Y321+$Y$3), (EXP(-LN(2)/inputs!$C$51)*Y321))</f>
        <v>1.7123189614329078E-17</v>
      </c>
      <c r="Z322" s="8">
        <f>IF((U322&gt;U321), (EXP(-LN(2)/inputs!$C$51)*Z321+$Z$3), (EXP(-LN(2)/inputs!$C$51)*Z321))</f>
        <v>2.663607273340074E-18</v>
      </c>
      <c r="AA322" s="8">
        <f>IF((U322&gt;U321), (EXP(-LN(2)/inputs!$C$51)*AA321+$AA$3), (EXP(-LN(2)/inputs!$C$51)*AA321))</f>
        <v>2.4733496109586397E-17</v>
      </c>
      <c r="AB322" s="7">
        <f>(((0.621*15^0.564)/0.2))*W322/15+AB321*inputs!$C$53</f>
        <v>3.4804022400104328E-17</v>
      </c>
      <c r="AC322" s="7">
        <f>(((0.621*1000^0.564)/0.2))*W322/1000+AC321*inputs!$C$53</f>
        <v>5.5770588652539078E-18</v>
      </c>
      <c r="AD322" s="7">
        <f>(((0.648*20^0.651)/0.2))*AA322/20+AD321*inputs!$C$54</f>
        <v>3.7255623837589161E-17</v>
      </c>
      <c r="AE322" s="7">
        <f>(((0.013*2^0.773)/0.2))*AA322/2+AE321*inputs!$C$54</f>
        <v>1.8167110002709758E-18</v>
      </c>
    </row>
    <row r="323" spans="1:31" x14ac:dyDescent="0.3">
      <c r="A323" s="7">
        <f>IF(A322&lt;(inputs!$C$9-1),(1+A322),0)</f>
        <v>0</v>
      </c>
      <c r="B323" s="7">
        <f>IF(inputs!$C$8&gt;B322,IF(A322=(inputs!$C$9-1),(B322+1),B322), B322)</f>
        <v>1</v>
      </c>
      <c r="C323" s="7">
        <f t="shared" si="9"/>
        <v>320</v>
      </c>
      <c r="D323" s="8">
        <f>IF((B323&gt;B322), (EXP(-LN(2)/inputs!$C$51)*D322+$D$3), (EXP(-LN(2)/inputs!$C$51)*D322))</f>
        <v>8.0128180548167933E-17</v>
      </c>
      <c r="E323" s="8">
        <f>IF((B323&gt;B322), (EXP(-LN(2)/inputs!$C$51)*E322+$E$3), (EXP(-LN(2)/inputs!$C$51)*E322))</f>
        <v>3.6725416084576978E-17</v>
      </c>
      <c r="F323" s="8">
        <f>IF((B323&gt;B322), (EXP(-LN(2)/inputs!$C$51)*F322+$F$3), (EXP(-LN(2)/inputs!$C$51)*F322))</f>
        <v>4.5072101558344511E-17</v>
      </c>
      <c r="G323" s="8">
        <f>IF((B323&gt;B322), (EXP(-LN(2)/inputs!$C$51)*G322+$G$3), (EXP(-LN(2)/inputs!$C$51)*G322))</f>
        <v>5.0080112842604958E-18</v>
      </c>
      <c r="H323" s="8">
        <f>IF((B323&gt;B322), (EXP(-LN(2)/inputs!$C$51)*H322+$H$3), (EXP(-LN(2)/inputs!$C$51)*H322))</f>
        <v>3.1383537381365799E-17</v>
      </c>
      <c r="I323" s="7">
        <f>O323*(10^inputs!$C$55)*0.01/1</f>
        <v>1.3914687863543738E-2</v>
      </c>
      <c r="J323" s="7">
        <f>(((0.621*15^0.564)/0.2))*D323/15+J322*inputs!$C$53</f>
        <v>8.6223101988026309E-17</v>
      </c>
      <c r="K323" s="7">
        <f>(((0.621*1000^0.564)/0.2))*D323/1000+K322*inputs!$C$53</f>
        <v>1.3816544243189908E-17</v>
      </c>
      <c r="L323" s="7">
        <f>(((0.648*20^0.651)/0.2))*H323/20+L322*inputs!$C$54</f>
        <v>4.7272462339843236E-17</v>
      </c>
      <c r="M323" s="7">
        <f>(((0.013*2^0.773)/0.2))*H323/2+M322*inputs!$C$54</f>
        <v>2.3051661332279013E-18</v>
      </c>
      <c r="N323" s="7">
        <f>O323*0.015*inputs!$C$56</f>
        <v>2.0443403603030647E-3</v>
      </c>
      <c r="O323" s="7">
        <f>IF((B323&gt;B322), (EXP(-LN(2)/inputs!$C$52)*O322+$O$3), (EXP(-LN(2)/inputs!$C$52)*O322))</f>
        <v>2.2053294070151723E-4</v>
      </c>
      <c r="P323" s="3">
        <f>IF((B323&gt;B322), (EXP(-LN(2)/inputs!$C$52)*P322+$P$3), (EXP(-LN(2)/inputs!$C$52)*P322))</f>
        <v>2.1310206592820867E-4</v>
      </c>
      <c r="Q323" s="19">
        <f>IF((F323*0.62*1/(0.012*(10^inputs!$C$55)))&gt;inputs!$C$57, inputs!$C$57, (F323*0.62*1/(0.012*(10^inputs!$C$55))))</f>
        <v>3.6907807913696974E-19</v>
      </c>
      <c r="R323" s="3">
        <f>IF((B323&gt;B322), (EXP(-LN(2)/inputs!$C$51)*R322+$R$3), (EXP(-LN(2)/inputs!$C$51)*R322))</f>
        <v>8.5753229251897681E-25</v>
      </c>
      <c r="T323" s="7">
        <f>IF(T322&lt;(inputs!$C$9-1),(1+T322),0)</f>
        <v>0</v>
      </c>
      <c r="U323" s="7">
        <f>IF(inputs!$C$8&gt;U322,IF(T322=(inputs!$C$9-1),(U322+1),U322), U322)</f>
        <v>1</v>
      </c>
      <c r="V323" s="7">
        <f t="shared" si="8"/>
        <v>320</v>
      </c>
      <c r="W323" s="8">
        <f>IF((U323&gt;U322), (EXP(-LN(2)/inputs!$C$51)*W322+$W$3), (EXP(-LN(2)/inputs!$C$51)*W322))</f>
        <v>2.8378730610809538E-17</v>
      </c>
      <c r="X323" s="8">
        <f>IF((U323&gt;U322), (EXP(-LN(2)/inputs!$C$51)*X322+$X$3), (EXP(-LN(2)/inputs!$C$51)*X322))</f>
        <v>1.2019227082225188E-17</v>
      </c>
      <c r="Y323" s="8">
        <f>IF((U323&gt;U322), (EXP(-LN(2)/inputs!$C$51)*Y322+$Y$3), (EXP(-LN(2)/inputs!$C$51)*Y322))</f>
        <v>1.5024033852781513E-17</v>
      </c>
      <c r="Z323" s="8">
        <f>IF((U323&gt;U322), (EXP(-LN(2)/inputs!$C$51)*Z322+$Z$3), (EXP(-LN(2)/inputs!$C$51)*Z322))</f>
        <v>2.3370719326548978E-18</v>
      </c>
      <c r="AA323" s="8">
        <f>IF((U323&gt;U322), (EXP(-LN(2)/inputs!$C$51)*AA322+$AA$3), (EXP(-LN(2)/inputs!$C$51)*AA322))</f>
        <v>2.1701382231795477E-17</v>
      </c>
      <c r="AB323" s="7">
        <f>(((0.621*15^0.564)/0.2))*W323/15+AB322*inputs!$C$53</f>
        <v>3.0537348620759385E-17</v>
      </c>
      <c r="AC323" s="7">
        <f>(((0.621*1000^0.564)/0.2))*W323/1000+AC322*inputs!$C$53</f>
        <v>4.8933594194631019E-18</v>
      </c>
      <c r="AD323" s="7">
        <f>(((0.648*20^0.651)/0.2))*AA323/20+AD322*inputs!$C$54</f>
        <v>3.2688404809466036E-17</v>
      </c>
      <c r="AE323" s="7">
        <f>(((0.013*2^0.773)/0.2))*AA323/2+AE322*inputs!$C$54</f>
        <v>1.5939978580831215E-18</v>
      </c>
    </row>
    <row r="324" spans="1:31" x14ac:dyDescent="0.3">
      <c r="A324" s="7">
        <f>IF(A323&lt;(inputs!$C$9-1),(1+A323),0)</f>
        <v>0</v>
      </c>
      <c r="B324" s="7">
        <f>IF(inputs!$C$8&gt;B323,IF(A323=(inputs!$C$9-1),(B323+1),B323), B323)</f>
        <v>1</v>
      </c>
      <c r="C324" s="7">
        <f t="shared" si="9"/>
        <v>321</v>
      </c>
      <c r="D324" s="8">
        <f>IF((B324&gt;B323), (EXP(-LN(2)/inputs!$C$51)*D323+$D$3), (EXP(-LN(2)/inputs!$C$51)*D323))</f>
        <v>7.0305154835758876E-17</v>
      </c>
      <c r="E324" s="8">
        <f>IF((B324&gt;B323), (EXP(-LN(2)/inputs!$C$51)*E323+$E$3), (EXP(-LN(2)/inputs!$C$51)*E323))</f>
        <v>3.2223195966389492E-17</v>
      </c>
      <c r="F324" s="8">
        <f>IF((B324&gt;B323), (EXP(-LN(2)/inputs!$C$51)*F323+$F$3), (EXP(-LN(2)/inputs!$C$51)*F323))</f>
        <v>3.9546649595114412E-17</v>
      </c>
      <c r="G324" s="8">
        <f>IF((B324&gt;B323), (EXP(-LN(2)/inputs!$C$51)*G323+$G$3), (EXP(-LN(2)/inputs!$C$51)*G323))</f>
        <v>4.3940721772349297E-18</v>
      </c>
      <c r="H324" s="8">
        <f>IF((B324&gt;B323), (EXP(-LN(2)/inputs!$C$51)*H323+$H$3), (EXP(-LN(2)/inputs!$C$51)*H323))</f>
        <v>2.7536185644005581E-17</v>
      </c>
      <c r="I324" s="7">
        <f>O324*(10^inputs!$C$55)*0.01/1</f>
        <v>1.3633885588739627E-2</v>
      </c>
      <c r="J324" s="7">
        <f>(((0.621*15^0.564)/0.2))*D324/15+J323*inputs!$C$53</f>
        <v>7.5652891332576509E-17</v>
      </c>
      <c r="K324" s="7">
        <f>(((0.621*1000^0.564)/0.2))*D324/1000+K323*inputs!$C$53</f>
        <v>1.2122754762023471E-17</v>
      </c>
      <c r="L324" s="7">
        <f>(((0.648*20^0.651)/0.2))*H324/20+L323*inputs!$C$54</f>
        <v>4.1477265071211556E-17</v>
      </c>
      <c r="M324" s="7">
        <f>(((0.013*2^0.773)/0.2))*H324/2+M323*inputs!$C$54</f>
        <v>2.0225725931878863E-18</v>
      </c>
      <c r="N324" s="7">
        <f>O324*0.015*inputs!$C$56</f>
        <v>2.0030850027070836E-3</v>
      </c>
      <c r="O324" s="7">
        <f>IF((B324&gt;B323), (EXP(-LN(2)/inputs!$C$52)*O323+$O$3), (EXP(-LN(2)/inputs!$C$52)*O323))</f>
        <v>2.1608252456387095E-4</v>
      </c>
      <c r="P324" s="3">
        <f>IF((B324&gt;B323), (EXP(-LN(2)/inputs!$C$52)*P323+$P$3), (EXP(-LN(2)/inputs!$C$52)*P323))</f>
        <v>2.0880160691217316E-4</v>
      </c>
      <c r="Q324" s="19">
        <f>IF((F324*0.62*1/(0.012*(10^inputs!$C$55)))&gt;inputs!$C$57, inputs!$C$57, (F324*0.62*1/(0.012*(10^inputs!$C$55))))</f>
        <v>3.2383228126103269E-19</v>
      </c>
      <c r="R324" s="3">
        <f>IF((B324&gt;B323), (EXP(-LN(2)/inputs!$C$51)*R323+$R$3), (EXP(-LN(2)/inputs!$C$51)*R323))</f>
        <v>7.5240620952285429E-25</v>
      </c>
      <c r="T324" s="7">
        <f>IF(T323&lt;(inputs!$C$9-1),(1+T323),0)</f>
        <v>0</v>
      </c>
      <c r="U324" s="7">
        <f>IF(inputs!$C$8&gt;U323,IF(T323=(inputs!$C$9-1),(U323+1),U323), U323)</f>
        <v>1</v>
      </c>
      <c r="V324" s="7">
        <f t="shared" ref="V324:V368" si="10">V323+1</f>
        <v>321</v>
      </c>
      <c r="W324" s="8">
        <f>IF((U324&gt;U323), (EXP(-LN(2)/inputs!$C$51)*W323+$W$3), (EXP(-LN(2)/inputs!$C$51)*W323))</f>
        <v>2.4899742337664655E-17</v>
      </c>
      <c r="X324" s="8">
        <f>IF((U324&gt;U323), (EXP(-LN(2)/inputs!$C$51)*X323+$X$3), (EXP(-LN(2)/inputs!$C$51)*X323))</f>
        <v>1.054577322536383E-17</v>
      </c>
      <c r="Y324" s="8">
        <f>IF((U324&gt;U323), (EXP(-LN(2)/inputs!$C$51)*Y323+$Y$3), (EXP(-LN(2)/inputs!$C$51)*Y323))</f>
        <v>1.3182216531704812E-17</v>
      </c>
      <c r="Z324" s="8">
        <f>IF((U324&gt;U323), (EXP(-LN(2)/inputs!$C$51)*Z323+$Z$3), (EXP(-LN(2)/inputs!$C$51)*Z323))</f>
        <v>2.0505670160429672E-18</v>
      </c>
      <c r="AA324" s="8">
        <f>IF((U324&gt;U323), (EXP(-LN(2)/inputs!$C$51)*AA323+$AA$3), (EXP(-LN(2)/inputs!$C$51)*AA323))</f>
        <v>1.9040979434684692E-17</v>
      </c>
      <c r="AB324" s="7">
        <f>(((0.621*15^0.564)/0.2))*W324/15+AB323*inputs!$C$53</f>
        <v>2.6793732346954236E-17</v>
      </c>
      <c r="AC324" s="7">
        <f>(((0.621*1000^0.564)/0.2))*W324/1000+AC323*inputs!$C$53</f>
        <v>4.2934756448833216E-18</v>
      </c>
      <c r="AD324" s="7">
        <f>(((0.648*20^0.651)/0.2))*AA324/20+AD323*inputs!$C$54</f>
        <v>2.8681087549242004E-17</v>
      </c>
      <c r="AE324" s="7">
        <f>(((0.013*2^0.773)/0.2))*AA324/2+AE323*inputs!$C$54</f>
        <v>1.3985874314597073E-18</v>
      </c>
    </row>
    <row r="325" spans="1:31" x14ac:dyDescent="0.3">
      <c r="A325" s="7">
        <f>IF(A324&lt;(inputs!$C$9-1),(1+A324),0)</f>
        <v>0</v>
      </c>
      <c r="B325" s="7">
        <f>IF(inputs!$C$8&gt;B324,IF(A324=(inputs!$C$9-1),(B324+1),B324), B324)</f>
        <v>1</v>
      </c>
      <c r="C325" s="7">
        <f t="shared" ref="C325:C368" si="11">C324+1</f>
        <v>322</v>
      </c>
      <c r="D325" s="8">
        <f>IF((B325&gt;B324), (EXP(-LN(2)/inputs!$C$51)*D324+$D$3), (EXP(-LN(2)/inputs!$C$51)*D324))</f>
        <v>6.1686347582904698E-17</v>
      </c>
      <c r="E325" s="8">
        <f>IF((B325&gt;B324), (EXP(-LN(2)/inputs!$C$51)*E324+$E$3), (EXP(-LN(2)/inputs!$C$51)*E324))</f>
        <v>2.8272909308831322E-17</v>
      </c>
      <c r="F325" s="8">
        <f>IF((B325&gt;B324), (EXP(-LN(2)/inputs!$C$51)*F324+$F$3), (EXP(-LN(2)/inputs!$C$51)*F324))</f>
        <v>3.4698570515383926E-17</v>
      </c>
      <c r="G325" s="8">
        <f>IF((B325&gt;B324), (EXP(-LN(2)/inputs!$C$51)*G324+$G$3), (EXP(-LN(2)/inputs!$C$51)*G324))</f>
        <v>3.8553967239315436E-18</v>
      </c>
      <c r="H325" s="8">
        <f>IF((B325&gt;B324), (EXP(-LN(2)/inputs!$C$51)*H324+$H$3), (EXP(-LN(2)/inputs!$C$51)*H324))</f>
        <v>2.4160486136637689E-17</v>
      </c>
      <c r="I325" s="7">
        <f>O325*(10^inputs!$C$55)*0.01/1</f>
        <v>1.3358749982013767E-2</v>
      </c>
      <c r="J325" s="7">
        <f>(((0.621*15^0.564)/0.2))*D325/15+J324*inputs!$C$53</f>
        <v>6.6378497583784737E-17</v>
      </c>
      <c r="K325" s="7">
        <f>(((0.621*1000^0.564)/0.2))*D325/1000+K324*inputs!$C$53</f>
        <v>1.0636609302112509E-17</v>
      </c>
      <c r="L325" s="7">
        <f>(((0.648*20^0.651)/0.2))*H325/20+L324*inputs!$C$54</f>
        <v>3.6392509140306629E-17</v>
      </c>
      <c r="M325" s="7">
        <f>(((0.013*2^0.773)/0.2))*H325/2+M324*inputs!$C$54</f>
        <v>1.7746225904275562E-18</v>
      </c>
      <c r="N325" s="7">
        <f>O325*0.015*inputs!$C$56</f>
        <v>1.9626621897124918E-3</v>
      </c>
      <c r="O325" s="7">
        <f>IF((B325&gt;B324), (EXP(-LN(2)/inputs!$C$52)*O324+$O$3), (EXP(-LN(2)/inputs!$C$52)*O324))</f>
        <v>2.1172191906283623E-4</v>
      </c>
      <c r="P325" s="3">
        <f>IF((B325&gt;B324), (EXP(-LN(2)/inputs!$C$52)*P324+$P$3), (EXP(-LN(2)/inputs!$C$52)*P324))</f>
        <v>2.0458793235628845E-4</v>
      </c>
      <c r="Q325" s="19">
        <f>IF((F325*0.62*1/(0.012*(10^inputs!$C$55)))&gt;inputs!$C$57, inputs!$C$57, (F325*0.62*1/(0.012*(10^inputs!$C$55))))</f>
        <v>2.8413322902281316E-19</v>
      </c>
      <c r="R325" s="3">
        <f>IF((B325&gt;B324), (EXP(-LN(2)/inputs!$C$51)*R324+$R$3), (EXP(-LN(2)/inputs!$C$51)*R324))</f>
        <v>6.6016768005972374E-25</v>
      </c>
      <c r="T325" s="7">
        <f>IF(T324&lt;(inputs!$C$9-1),(1+T324),0)</f>
        <v>0</v>
      </c>
      <c r="U325" s="7">
        <f>IF(inputs!$C$8&gt;U324,IF(T324=(inputs!$C$9-1),(U324+1),U324), U324)</f>
        <v>1</v>
      </c>
      <c r="V325" s="7">
        <f t="shared" si="10"/>
        <v>322</v>
      </c>
      <c r="W325" s="8">
        <f>IF((U325&gt;U324), (EXP(-LN(2)/inputs!$C$51)*W324+$W$3), (EXP(-LN(2)/inputs!$C$51)*W324))</f>
        <v>2.184724810227879E-17</v>
      </c>
      <c r="X325" s="8">
        <f>IF((U325&gt;U324), (EXP(-LN(2)/inputs!$C$51)*X324+$X$3), (EXP(-LN(2)/inputs!$C$51)*X324))</f>
        <v>9.2529521374357031E-18</v>
      </c>
      <c r="Y325" s="8">
        <f>IF((U325&gt;U324), (EXP(-LN(2)/inputs!$C$51)*Y324+$Y$3), (EXP(-LN(2)/inputs!$C$51)*Y324))</f>
        <v>1.156619017179465E-17</v>
      </c>
      <c r="Z325" s="8">
        <f>IF((U325&gt;U324), (EXP(-LN(2)/inputs!$C$51)*Z324+$Z$3), (EXP(-LN(2)/inputs!$C$51)*Z324))</f>
        <v>1.7991851378347201E-18</v>
      </c>
      <c r="AA325" s="8">
        <f>IF((U325&gt;U324), (EXP(-LN(2)/inputs!$C$51)*AA324+$AA$3), (EXP(-LN(2)/inputs!$C$51)*AA324))</f>
        <v>1.6706719137036685E-17</v>
      </c>
      <c r="AB325" s="7">
        <f>(((0.621*15^0.564)/0.2))*W325/15+AB324*inputs!$C$53</f>
        <v>2.3509051227590471E-17</v>
      </c>
      <c r="AC325" s="7">
        <f>(((0.621*1000^0.564)/0.2))*W325/1000+AC324*inputs!$C$53</f>
        <v>3.7671324611648538E-18</v>
      </c>
      <c r="AD325" s="7">
        <f>(((0.648*20^0.651)/0.2))*AA325/20+AD324*inputs!$C$54</f>
        <v>2.5165032916169458E-17</v>
      </c>
      <c r="AE325" s="7">
        <f>(((0.013*2^0.773)/0.2))*AA325/2+AE324*inputs!$C$54</f>
        <v>1.2271326423169262E-18</v>
      </c>
    </row>
    <row r="326" spans="1:31" x14ac:dyDescent="0.3">
      <c r="A326" s="7">
        <f>IF(A325&lt;(inputs!$C$9-1),(1+A325),0)</f>
        <v>0</v>
      </c>
      <c r="B326" s="7">
        <f>IF(inputs!$C$8&gt;B325,IF(A325=(inputs!$C$9-1),(B325+1),B325), B325)</f>
        <v>1</v>
      </c>
      <c r="C326" s="7">
        <f t="shared" si="11"/>
        <v>323</v>
      </c>
      <c r="D326" s="8">
        <f>IF((B326&gt;B325), (EXP(-LN(2)/inputs!$C$51)*D325+$D$3), (EXP(-LN(2)/inputs!$C$51)*D325))</f>
        <v>5.4124131964552815E-17</v>
      </c>
      <c r="E326" s="8">
        <f>IF((B326&gt;B325), (EXP(-LN(2)/inputs!$C$51)*E325+$E$3), (EXP(-LN(2)/inputs!$C$51)*E325))</f>
        <v>2.4806893817086708E-17</v>
      </c>
      <c r="F326" s="8">
        <f>IF((B326&gt;B325), (EXP(-LN(2)/inputs!$C$51)*F325+$F$3), (EXP(-LN(2)/inputs!$C$51)*F325))</f>
        <v>3.0444824230060985E-17</v>
      </c>
      <c r="G326" s="8">
        <f>IF((B326&gt;B325), (EXP(-LN(2)/inputs!$C$51)*G325+$G$3), (EXP(-LN(2)/inputs!$C$51)*G325))</f>
        <v>3.382758247784551E-18</v>
      </c>
      <c r="H326" s="8">
        <f>IF((B326&gt;B325), (EXP(-LN(2)/inputs!$C$51)*H325+$H$3), (EXP(-LN(2)/inputs!$C$51)*H325))</f>
        <v>2.1198618352783199E-17</v>
      </c>
      <c r="I326" s="7">
        <f>O326*(10^inputs!$C$55)*0.01/1</f>
        <v>1.3089166688426792E-2</v>
      </c>
      <c r="J326" s="7">
        <f>(((0.621*15^0.564)/0.2))*D326/15+J325*inputs!$C$53</f>
        <v>5.8241064734867909E-17</v>
      </c>
      <c r="K326" s="7">
        <f>(((0.621*1000^0.564)/0.2))*D326/1000+K325*inputs!$C$53</f>
        <v>9.3326524925017913E-18</v>
      </c>
      <c r="L326" s="7">
        <f>(((0.648*20^0.651)/0.2))*H326/20+L325*inputs!$C$54</f>
        <v>3.1931100549986564E-17</v>
      </c>
      <c r="M326" s="7">
        <f>(((0.013*2^0.773)/0.2))*H326/2+M325*inputs!$C$54</f>
        <v>1.5570691252629159E-18</v>
      </c>
      <c r="N326" s="7">
        <f>O326*0.015*inputs!$C$56</f>
        <v>1.9230551203374604E-3</v>
      </c>
      <c r="O326" s="7">
        <f>IF((B326&gt;B325), (EXP(-LN(2)/inputs!$C$52)*O325+$O$3), (EXP(-LN(2)/inputs!$C$52)*O325))</f>
        <v>2.0744931179476379E-4</v>
      </c>
      <c r="P326" s="3">
        <f>IF((B326&gt;B325), (EXP(-LN(2)/inputs!$C$52)*P325+$P$3), (EXP(-LN(2)/inputs!$C$52)*P325))</f>
        <v>2.0045929092598873E-4</v>
      </c>
      <c r="Q326" s="19">
        <f>IF((F326*0.62*1/(0.012*(10^inputs!$C$55)))&gt;inputs!$C$57, inputs!$C$57, (F326*0.62*1/(0.012*(10^inputs!$C$55))))</f>
        <v>2.4930093911747697E-19</v>
      </c>
      <c r="R326" s="3">
        <f>IF((B326&gt;B325), (EXP(-LN(2)/inputs!$C$51)*R325+$R$3), (EXP(-LN(2)/inputs!$C$51)*R325))</f>
        <v>5.7923680091877245E-25</v>
      </c>
      <c r="T326" s="7">
        <f>IF(T325&lt;(inputs!$C$9-1),(1+T325),0)</f>
        <v>0</v>
      </c>
      <c r="U326" s="7">
        <f>IF(inputs!$C$8&gt;U325,IF(T325=(inputs!$C$9-1),(U325+1),U325), U325)</f>
        <v>1</v>
      </c>
      <c r="V326" s="7">
        <f t="shared" si="10"/>
        <v>323</v>
      </c>
      <c r="W326" s="8">
        <f>IF((U326&gt;U325), (EXP(-LN(2)/inputs!$C$51)*W325+$W$3), (EXP(-LN(2)/inputs!$C$51)*W325))</f>
        <v>1.9168963404112492E-17</v>
      </c>
      <c r="X326" s="8">
        <f>IF((U326&gt;U325), (EXP(-LN(2)/inputs!$C$51)*X325+$X$3), (EXP(-LN(2)/inputs!$C$51)*X325))</f>
        <v>8.1186197946829214E-18</v>
      </c>
      <c r="Y326" s="8">
        <f>IF((U326&gt;U325), (EXP(-LN(2)/inputs!$C$51)*Y325+$Y$3), (EXP(-LN(2)/inputs!$C$51)*Y325))</f>
        <v>1.0148274743353669E-17</v>
      </c>
      <c r="Z326" s="8">
        <f>IF((U326&gt;U325), (EXP(-LN(2)/inputs!$C$51)*Z325+$Z$3), (EXP(-LN(2)/inputs!$C$51)*Z325))</f>
        <v>1.5786205156327901E-18</v>
      </c>
      <c r="AA326" s="8">
        <f>IF((U326&gt;U325), (EXP(-LN(2)/inputs!$C$51)*AA325+$AA$3), (EXP(-LN(2)/inputs!$C$51)*AA325))</f>
        <v>1.4658619073733049E-17</v>
      </c>
      <c r="AB326" s="7">
        <f>(((0.621*15^0.564)/0.2))*W326/15+AB325*inputs!$C$53</f>
        <v>2.0627043760265756E-17</v>
      </c>
      <c r="AC326" s="7">
        <f>(((0.621*1000^0.564)/0.2))*W326/1000+AC325*inputs!$C$53</f>
        <v>3.3053144244277238E-18</v>
      </c>
      <c r="AD326" s="7">
        <f>(((0.648*20^0.651)/0.2))*AA326/20+AD325*inputs!$C$54</f>
        <v>2.2080016337756649E-17</v>
      </c>
      <c r="AE326" s="7">
        <f>(((0.013*2^0.773)/0.2))*AA326/2+AE325*inputs!$C$54</f>
        <v>1.076696735554143E-18</v>
      </c>
    </row>
    <row r="327" spans="1:31" x14ac:dyDescent="0.3">
      <c r="A327" s="7">
        <f>IF(A326&lt;(inputs!$C$9-1),(1+A326),0)</f>
        <v>0</v>
      </c>
      <c r="B327" s="7">
        <f>IF(inputs!$C$8&gt;B326,IF(A326=(inputs!$C$9-1),(B326+1),B326), B326)</f>
        <v>1</v>
      </c>
      <c r="C327" s="7">
        <f t="shared" si="11"/>
        <v>324</v>
      </c>
      <c r="D327" s="8">
        <f>IF((B327&gt;B326), (EXP(-LN(2)/inputs!$C$51)*D326+$D$3), (EXP(-LN(2)/inputs!$C$51)*D326))</f>
        <v>4.7488978934589509E-17</v>
      </c>
      <c r="E327" s="8">
        <f>IF((B327&gt;B326), (EXP(-LN(2)/inputs!$C$51)*E326+$E$3), (EXP(-LN(2)/inputs!$C$51)*E326))</f>
        <v>2.1765782011686858E-17</v>
      </c>
      <c r="F327" s="8">
        <f>IF((B327&gt;B326), (EXP(-LN(2)/inputs!$C$51)*F326+$F$3), (EXP(-LN(2)/inputs!$C$51)*F326))</f>
        <v>2.6712550650706623E-17</v>
      </c>
      <c r="G327" s="8">
        <f>IF((B327&gt;B326), (EXP(-LN(2)/inputs!$C$51)*G326+$G$3), (EXP(-LN(2)/inputs!$C$51)*G326))</f>
        <v>2.9680611834118443E-18</v>
      </c>
      <c r="H327" s="8">
        <f>IF((B327&gt;B326), (EXP(-LN(2)/inputs!$C$51)*H326+$H$3), (EXP(-LN(2)/inputs!$C$51)*H326))</f>
        <v>1.8599850082714237E-17</v>
      </c>
      <c r="I327" s="7">
        <f>O327*(10^inputs!$C$55)*0.01/1</f>
        <v>1.2825023660753847E-2</v>
      </c>
      <c r="J327" s="7">
        <f>(((0.621*15^0.564)/0.2))*D327/15+J326*inputs!$C$53</f>
        <v>5.1101211159074109E-17</v>
      </c>
      <c r="K327" s="7">
        <f>(((0.621*1000^0.564)/0.2))*D327/1000+K326*inputs!$C$53</f>
        <v>8.1885495717607588E-18</v>
      </c>
      <c r="L327" s="7">
        <f>(((0.648*20^0.651)/0.2))*H327/20+L326*inputs!$C$54</f>
        <v>2.8016622278019757E-17</v>
      </c>
      <c r="M327" s="7">
        <f>(((0.013*2^0.773)/0.2))*H327/2+M326*inputs!$C$54</f>
        <v>1.3661858436406478E-18</v>
      </c>
      <c r="N327" s="7">
        <f>O327*0.015*inputs!$C$56</f>
        <v>1.8842473326486514E-3</v>
      </c>
      <c r="O327" s="7">
        <f>IF((B327&gt;B326), (EXP(-LN(2)/inputs!$C$52)*O326+$O$3), (EXP(-LN(2)/inputs!$C$52)*O326))</f>
        <v>2.0326292693081461E-4</v>
      </c>
      <c r="P327" s="3">
        <f>IF((B327&gt;B326), (EXP(-LN(2)/inputs!$C$52)*P326+$P$3), (EXP(-LN(2)/inputs!$C$52)*P326))</f>
        <v>1.9641396662912729E-4</v>
      </c>
      <c r="Q327" s="19">
        <f>IF((F327*0.62*1/(0.012*(10^inputs!$C$55)))&gt;inputs!$C$57, inputs!$C$57, (F327*0.62*1/(0.012*(10^inputs!$C$55))))</f>
        <v>2.1873878834448413E-19</v>
      </c>
      <c r="R327" s="3">
        <f>IF((B327&gt;B326), (EXP(-LN(2)/inputs!$C$51)*R326+$R$3), (EXP(-LN(2)/inputs!$C$51)*R326))</f>
        <v>5.0822735143329102E-25</v>
      </c>
      <c r="T327" s="7">
        <f>IF(T326&lt;(inputs!$C$9-1),(1+T326),0)</f>
        <v>0</v>
      </c>
      <c r="U327" s="7">
        <f>IF(inputs!$C$8&gt;U326,IF(T326=(inputs!$C$9-1),(U326+1),U326), U326)</f>
        <v>1</v>
      </c>
      <c r="V327" s="7">
        <f t="shared" si="10"/>
        <v>324</v>
      </c>
      <c r="W327" s="8">
        <f>IF((U327&gt;U326), (EXP(-LN(2)/inputs!$C$51)*W326+$W$3), (EXP(-LN(2)/inputs!$C$51)*W326))</f>
        <v>1.6819013372667149E-17</v>
      </c>
      <c r="X327" s="8">
        <f>IF((U327&gt;U326), (EXP(-LN(2)/inputs!$C$51)*X326+$X$3), (EXP(-LN(2)/inputs!$C$51)*X326))</f>
        <v>7.1233468401884254E-18</v>
      </c>
      <c r="Y327" s="8">
        <f>IF((U327&gt;U326), (EXP(-LN(2)/inputs!$C$51)*Y326+$Y$3), (EXP(-LN(2)/inputs!$C$51)*Y326))</f>
        <v>8.9041835502355472E-18</v>
      </c>
      <c r="Z327" s="8">
        <f>IF((U327&gt;U326), (EXP(-LN(2)/inputs!$C$51)*Z326+$Z$3), (EXP(-LN(2)/inputs!$C$51)*Z326))</f>
        <v>1.3850952189255272E-18</v>
      </c>
      <c r="AA327" s="8">
        <f>IF((U327&gt;U326), (EXP(-LN(2)/inputs!$C$51)*AA326+$AA$3), (EXP(-LN(2)/inputs!$C$51)*AA326))</f>
        <v>1.2861598461451322E-17</v>
      </c>
      <c r="AB327" s="7">
        <f>(((0.621*15^0.564)/0.2))*W327/15+AB326*inputs!$C$53</f>
        <v>1.8098345618838783E-17</v>
      </c>
      <c r="AC327" s="7">
        <f>(((0.621*1000^0.564)/0.2))*W327/1000+AC326*inputs!$C$53</f>
        <v>2.9001113066652747E-18</v>
      </c>
      <c r="AD327" s="7">
        <f>(((0.648*20^0.651)/0.2))*AA327/20+AD326*inputs!$C$54</f>
        <v>1.9373196256077472E-17</v>
      </c>
      <c r="AE327" s="7">
        <f>(((0.013*2^0.773)/0.2))*AA327/2+AE326*inputs!$C$54</f>
        <v>9.4470297698555331E-19</v>
      </c>
    </row>
    <row r="328" spans="1:31" x14ac:dyDescent="0.3">
      <c r="A328" s="7">
        <f>IF(A327&lt;(inputs!$C$9-1),(1+A327),0)</f>
        <v>0</v>
      </c>
      <c r="B328" s="7">
        <f>IF(inputs!$C$8&gt;B327,IF(A327=(inputs!$C$9-1),(B327+1),B327), B327)</f>
        <v>1</v>
      </c>
      <c r="C328" s="7">
        <f t="shared" si="11"/>
        <v>325</v>
      </c>
      <c r="D328" s="8">
        <f>IF((B328&gt;B327), (EXP(-LN(2)/inputs!$C$51)*D327+$D$3), (EXP(-LN(2)/inputs!$C$51)*D327))</f>
        <v>4.1667238593810106E-17</v>
      </c>
      <c r="E328" s="8">
        <f>IF((B328&gt;B327), (EXP(-LN(2)/inputs!$C$51)*E327+$E$3), (EXP(-LN(2)/inputs!$C$51)*E327))</f>
        <v>1.9097484355496297E-17</v>
      </c>
      <c r="F328" s="8">
        <f>IF((B328&gt;B327), (EXP(-LN(2)/inputs!$C$51)*F327+$F$3), (EXP(-LN(2)/inputs!$C$51)*F327))</f>
        <v>2.3437821709018204E-17</v>
      </c>
      <c r="G328" s="8">
        <f>IF((B328&gt;B327), (EXP(-LN(2)/inputs!$C$51)*G327+$G$3), (EXP(-LN(2)/inputs!$C$51)*G327))</f>
        <v>2.6042024121131316E-18</v>
      </c>
      <c r="H328" s="8">
        <f>IF((B328&gt;B327), (EXP(-LN(2)/inputs!$C$51)*H327+$H$3), (EXP(-LN(2)/inputs!$C$51)*H327))</f>
        <v>1.6319668449242303E-17</v>
      </c>
      <c r="I328" s="7">
        <f>O328*(10^inputs!$C$55)*0.01/1</f>
        <v>1.2566211112914267E-2</v>
      </c>
      <c r="J328" s="7">
        <f>(((0.621*15^0.564)/0.2))*D328/15+J327*inputs!$C$53</f>
        <v>4.4836642218199705E-17</v>
      </c>
      <c r="K328" s="7">
        <f>(((0.621*1000^0.564)/0.2))*D328/1000+K327*inputs!$C$53</f>
        <v>7.1847038280977189E-18</v>
      </c>
      <c r="L328" s="7">
        <f>(((0.648*20^0.651)/0.2))*H328/20+L327*inputs!$C$54</f>
        <v>2.4582025371798941E-17</v>
      </c>
      <c r="M328" s="7">
        <f>(((0.013*2^0.773)/0.2))*H328/2+M327*inputs!$C$54</f>
        <v>1.198703210462124E-18</v>
      </c>
      <c r="N328" s="7">
        <f>O328*0.015*inputs!$C$56</f>
        <v>1.8462226969191244E-3</v>
      </c>
      <c r="O328" s="7">
        <f>IF((B328&gt;B327), (EXP(-LN(2)/inputs!$C$52)*O327+$O$3), (EXP(-LN(2)/inputs!$C$52)*O327))</f>
        <v>1.9916102447886997E-4</v>
      </c>
      <c r="P328" s="3">
        <f>IF((B328&gt;B327), (EXP(-LN(2)/inputs!$C$52)*P327+$P$3), (EXP(-LN(2)/inputs!$C$52)*P327))</f>
        <v>1.9245027810275661E-4</v>
      </c>
      <c r="Q328" s="19">
        <f>IF((F328*0.62*1/(0.012*(10^inputs!$C$55)))&gt;inputs!$C$57, inputs!$C$57, (F328*0.62*1/(0.012*(10^inputs!$C$55))))</f>
        <v>1.9192329437582445E-19</v>
      </c>
      <c r="R328" s="3">
        <f>IF((B328&gt;B327), (EXP(-LN(2)/inputs!$C$51)*R327+$R$3), (EXP(-LN(2)/inputs!$C$51)*R327))</f>
        <v>4.4592304966672709E-25</v>
      </c>
      <c r="T328" s="7">
        <f>IF(T327&lt;(inputs!$C$9-1),(1+T327),0)</f>
        <v>0</v>
      </c>
      <c r="U328" s="7">
        <f>IF(inputs!$C$8&gt;U327,IF(T327=(inputs!$C$9-1),(U327+1),U327), U327)</f>
        <v>1</v>
      </c>
      <c r="V328" s="7">
        <f t="shared" si="10"/>
        <v>325</v>
      </c>
      <c r="W328" s="8">
        <f>IF((U328&gt;U327), (EXP(-LN(2)/inputs!$C$51)*W327+$W$3), (EXP(-LN(2)/inputs!$C$51)*W327))</f>
        <v>1.4757147001974439E-17</v>
      </c>
      <c r="X328" s="8">
        <f>IF((U328&gt;U327), (EXP(-LN(2)/inputs!$C$51)*X327+$X$3), (EXP(-LN(2)/inputs!$C$51)*X327))</f>
        <v>6.2500857890715149E-18</v>
      </c>
      <c r="Y328" s="8">
        <f>IF((U328&gt;U327), (EXP(-LN(2)/inputs!$C$51)*Y327+$Y$3), (EXP(-LN(2)/inputs!$C$51)*Y327))</f>
        <v>7.8126072363394077E-18</v>
      </c>
      <c r="Z328" s="8">
        <f>IF((U328&gt;U327), (EXP(-LN(2)/inputs!$C$51)*Z327+$Z$3), (EXP(-LN(2)/inputs!$C$51)*Z327))</f>
        <v>1.2152944589861279E-18</v>
      </c>
      <c r="AA328" s="8">
        <f>IF((U328&gt;U327), (EXP(-LN(2)/inputs!$C$51)*AA327+$AA$3), (EXP(-LN(2)/inputs!$C$51)*AA327))</f>
        <v>1.12848771191569E-17</v>
      </c>
      <c r="AB328" s="7">
        <f>(((0.621*15^0.564)/0.2))*W328/15+AB327*inputs!$C$53</f>
        <v>1.587964411894576E-17</v>
      </c>
      <c r="AC328" s="7">
        <f>(((0.621*1000^0.564)/0.2))*W328/1000+AC327*inputs!$C$53</f>
        <v>2.5445826057846134E-18</v>
      </c>
      <c r="AD328" s="7">
        <f>(((0.648*20^0.651)/0.2))*AA328/20+AD327*inputs!$C$54</f>
        <v>1.6998209033690739E-17</v>
      </c>
      <c r="AE328" s="7">
        <f>(((0.013*2^0.773)/0.2))*AA328/2+AE327*inputs!$C$54</f>
        <v>8.2889051787274437E-19</v>
      </c>
    </row>
    <row r="329" spans="1:31" x14ac:dyDescent="0.3">
      <c r="A329" s="7">
        <f>IF(A328&lt;(inputs!$C$9-1),(1+A328),0)</f>
        <v>0</v>
      </c>
      <c r="B329" s="7">
        <f>IF(inputs!$C$8&gt;B328,IF(A328=(inputs!$C$9-1),(B328+1),B328), B328)</f>
        <v>1</v>
      </c>
      <c r="C329" s="7">
        <f t="shared" si="11"/>
        <v>326</v>
      </c>
      <c r="D329" s="8">
        <f>IF((B329&gt;B328), (EXP(-LN(2)/inputs!$C$51)*D328+$D$3), (EXP(-LN(2)/inputs!$C$51)*D328))</f>
        <v>3.6559193543092453E-17</v>
      </c>
      <c r="E329" s="8">
        <f>IF((B329&gt;B328), (EXP(-LN(2)/inputs!$C$51)*E328+$E$3), (EXP(-LN(2)/inputs!$C$51)*E328))</f>
        <v>1.6756297040584041E-17</v>
      </c>
      <c r="F329" s="8">
        <f>IF((B329&gt;B328), (EXP(-LN(2)/inputs!$C$51)*F328+$F$3), (EXP(-LN(2)/inputs!$C$51)*F328))</f>
        <v>2.0564546367989522E-17</v>
      </c>
      <c r="G329" s="8">
        <f>IF((B329&gt;B328), (EXP(-LN(2)/inputs!$C$51)*G328+$G$3), (EXP(-LN(2)/inputs!$C$51)*G328))</f>
        <v>2.2849495964432783E-18</v>
      </c>
      <c r="H329" s="8">
        <f>IF((B329&gt;B328), (EXP(-LN(2)/inputs!$C$51)*H328+$H$3), (EXP(-LN(2)/inputs!$C$51)*H328))</f>
        <v>1.4319017471044554E-17</v>
      </c>
      <c r="I329" s="7">
        <f>O329*(10^inputs!$C$55)*0.01/1</f>
        <v>1.2312621474341064E-2</v>
      </c>
      <c r="J329" s="7">
        <f>(((0.621*15^0.564)/0.2))*D329/15+J328*inputs!$C$53</f>
        <v>3.9340055544767106E-17</v>
      </c>
      <c r="K329" s="7">
        <f>(((0.621*1000^0.564)/0.2))*D329/1000+K328*inputs!$C$53</f>
        <v>6.3039209380254523E-18</v>
      </c>
      <c r="L329" s="7">
        <f>(((0.648*20^0.651)/0.2))*H329/20+L328*inputs!$C$54</f>
        <v>2.1568480503584733E-17</v>
      </c>
      <c r="M329" s="7">
        <f>(((0.013*2^0.773)/0.2))*H329/2+M328*inputs!$C$54</f>
        <v>1.0517525075088925E-18</v>
      </c>
      <c r="N329" s="7">
        <f>O329*0.015*inputs!$C$56</f>
        <v>1.8089654089243194E-3</v>
      </c>
      <c r="O329" s="7">
        <f>IF((B329&gt;B328), (EXP(-LN(2)/inputs!$C$52)*O328+$O$3), (EXP(-LN(2)/inputs!$C$52)*O328))</f>
        <v>1.9514189956033651E-4</v>
      </c>
      <c r="P329" s="3">
        <f>IF((B329&gt;B328), (EXP(-LN(2)/inputs!$C$52)*P328+$P$3), (EXP(-LN(2)/inputs!$C$52)*P328))</f>
        <v>1.8856657791430157E-4</v>
      </c>
      <c r="Q329" s="19">
        <f>IF((F329*0.62*1/(0.012*(10^inputs!$C$55)))&gt;inputs!$C$57, inputs!$C$57, (F329*0.62*1/(0.012*(10^inputs!$C$55))))</f>
        <v>1.6839514931416697E-19</v>
      </c>
      <c r="R329" s="3">
        <f>IF((B329&gt;B328), (EXP(-LN(2)/inputs!$C$51)*R328+$R$3), (EXP(-LN(2)/inputs!$C$51)*R328))</f>
        <v>3.9125671938609686E-25</v>
      </c>
      <c r="T329" s="7">
        <f>IF(T328&lt;(inputs!$C$9-1),(1+T328),0)</f>
        <v>0</v>
      </c>
      <c r="U329" s="7">
        <f>IF(inputs!$C$8&gt;U328,IF(T328=(inputs!$C$9-1),(U328+1),U328), U328)</f>
        <v>1</v>
      </c>
      <c r="V329" s="7">
        <f t="shared" si="10"/>
        <v>326</v>
      </c>
      <c r="W329" s="8">
        <f>IF((U329&gt;U328), (EXP(-LN(2)/inputs!$C$51)*W328+$W$3), (EXP(-LN(2)/inputs!$C$51)*W328))</f>
        <v>1.29480477131786E-17</v>
      </c>
      <c r="X329" s="8">
        <f>IF((U329&gt;U328), (EXP(-LN(2)/inputs!$C$51)*X328+$X$3), (EXP(-LN(2)/inputs!$C$51)*X328))</f>
        <v>5.4838790314638674E-18</v>
      </c>
      <c r="Y329" s="8">
        <f>IF((U329&gt;U328), (EXP(-LN(2)/inputs!$C$51)*Y328+$Y$3), (EXP(-LN(2)/inputs!$C$51)*Y328))</f>
        <v>6.8548487893298464E-18</v>
      </c>
      <c r="Z329" s="8">
        <f>IF((U329&gt;U328), (EXP(-LN(2)/inputs!$C$51)*Z328+$Z$3), (EXP(-LN(2)/inputs!$C$51)*Z328))</f>
        <v>1.0663098116735297E-18</v>
      </c>
      <c r="AA329" s="8">
        <f>IF((U329&gt;U328), (EXP(-LN(2)/inputs!$C$51)*AA328+$AA$3), (EXP(-LN(2)/inputs!$C$51)*AA328))</f>
        <v>9.9014482512542028E-18</v>
      </c>
      <c r="AB329" s="7">
        <f>(((0.621*15^0.564)/0.2))*W329/15+AB328*inputs!$C$53</f>
        <v>1.3932936338771708E-17</v>
      </c>
      <c r="AC329" s="7">
        <f>(((0.621*1000^0.564)/0.2))*W329/1000+AC328*inputs!$C$53</f>
        <v>2.2326386655506855E-18</v>
      </c>
      <c r="AD329" s="7">
        <f>(((0.648*20^0.651)/0.2))*AA329/20+AD328*inputs!$C$54</f>
        <v>1.4914374816308579E-17</v>
      </c>
      <c r="AE329" s="7">
        <f>(((0.013*2^0.773)/0.2))*AA329/2+AE328*inputs!$C$54</f>
        <v>7.2727567008593548E-19</v>
      </c>
    </row>
    <row r="330" spans="1:31" x14ac:dyDescent="0.3">
      <c r="A330" s="7">
        <f>IF(A329&lt;(inputs!$C$9-1),(1+A329),0)</f>
        <v>0</v>
      </c>
      <c r="B330" s="7">
        <f>IF(inputs!$C$8&gt;B329,IF(A329=(inputs!$C$9-1),(B329+1),B329), B329)</f>
        <v>1</v>
      </c>
      <c r="C330" s="7">
        <f t="shared" si="11"/>
        <v>327</v>
      </c>
      <c r="D330" s="8">
        <f>IF((B330&gt;B329), (EXP(-LN(2)/inputs!$C$51)*D329+$D$3), (EXP(-LN(2)/inputs!$C$51)*D329))</f>
        <v>3.207735087872726E-17</v>
      </c>
      <c r="E330" s="8">
        <f>IF((B330&gt;B329), (EXP(-LN(2)/inputs!$C$51)*E329+$E$3), (EXP(-LN(2)/inputs!$C$51)*E329))</f>
        <v>1.4702119152749993E-17</v>
      </c>
      <c r="F330" s="8">
        <f>IF((B330&gt;B329), (EXP(-LN(2)/inputs!$C$51)*F329+$F$3), (EXP(-LN(2)/inputs!$C$51)*F329))</f>
        <v>1.8043509869284099E-17</v>
      </c>
      <c r="G330" s="8">
        <f>IF((B330&gt;B329), (EXP(-LN(2)/inputs!$C$51)*G329+$G$3), (EXP(-LN(2)/inputs!$C$51)*G329))</f>
        <v>2.0048344299204537E-18</v>
      </c>
      <c r="H330" s="8">
        <f>IF((B330&gt;B329), (EXP(-LN(2)/inputs!$C$51)*H329+$H$3), (EXP(-LN(2)/inputs!$C$51)*H329))</f>
        <v>1.2563629094168186E-17</v>
      </c>
      <c r="I330" s="7">
        <f>O330*(10^inputs!$C$55)*0.01/1</f>
        <v>1.2064149345271226E-2</v>
      </c>
      <c r="J330" s="7">
        <f>(((0.621*15^0.564)/0.2))*D330/15+J329*inputs!$C$53</f>
        <v>3.451730311858983E-17</v>
      </c>
      <c r="K330" s="7">
        <f>(((0.621*1000^0.564)/0.2))*D330/1000+K329*inputs!$C$53</f>
        <v>5.5311144542192551E-18</v>
      </c>
      <c r="L330" s="7">
        <f>(((0.648*20^0.651)/0.2))*H330/20+L329*inputs!$C$54</f>
        <v>1.8924370315197957E-17</v>
      </c>
      <c r="M330" s="7">
        <f>(((0.013*2^0.773)/0.2))*H330/2+M329*inputs!$C$54</f>
        <v>9.2281669674079469E-19</v>
      </c>
      <c r="N330" s="7">
        <f>O330*0.015*inputs!$C$56</f>
        <v>1.7724599833733267E-3</v>
      </c>
      <c r="O330" s="7">
        <f>IF((B330&gt;B329), (EXP(-LN(2)/inputs!$C$52)*O329+$O$3), (EXP(-LN(2)/inputs!$C$52)*O329))</f>
        <v>1.9120388170154549E-4</v>
      </c>
      <c r="P330" s="3">
        <f>IF((B330&gt;B329), (EXP(-LN(2)/inputs!$C$52)*P329+$P$3), (EXP(-LN(2)/inputs!$C$52)*P329))</f>
        <v>1.8476125187683504E-4</v>
      </c>
      <c r="Q330" s="19">
        <f>IF((F330*0.62*1/(0.012*(10^inputs!$C$55)))&gt;inputs!$C$57, inputs!$C$57, (F330*0.62*1/(0.012*(10^inputs!$C$55))))</f>
        <v>1.4775135245965515E-19</v>
      </c>
      <c r="R330" s="3">
        <f>IF((B330&gt;B329), (EXP(-LN(2)/inputs!$C$51)*R329+$R$3), (EXP(-LN(2)/inputs!$C$51)*R329))</f>
        <v>3.432920109852605E-25</v>
      </c>
      <c r="T330" s="7">
        <f>IF(T329&lt;(inputs!$C$9-1),(1+T329),0)</f>
        <v>0</v>
      </c>
      <c r="U330" s="7">
        <f>IF(inputs!$C$8&gt;U329,IF(T329=(inputs!$C$9-1),(U329+1),U329), U329)</f>
        <v>1</v>
      </c>
      <c r="V330" s="7">
        <f t="shared" si="10"/>
        <v>327</v>
      </c>
      <c r="W330" s="8">
        <f>IF((U330&gt;U329), (EXP(-LN(2)/inputs!$C$51)*W329+$W$3), (EXP(-LN(2)/inputs!$C$51)*W329))</f>
        <v>1.1360728436215925E-17</v>
      </c>
      <c r="X330" s="8">
        <f>IF((U330&gt;U329), (EXP(-LN(2)/inputs!$C$51)*X329+$X$3), (EXP(-LN(2)/inputs!$C$51)*X329))</f>
        <v>4.8116026318090887E-18</v>
      </c>
      <c r="Y330" s="8">
        <f>IF((U330&gt;U329), (EXP(-LN(2)/inputs!$C$51)*Y329+$Y$3), (EXP(-LN(2)/inputs!$C$51)*Y329))</f>
        <v>6.0145032897613709E-18</v>
      </c>
      <c r="Z330" s="8">
        <f>IF((U330&gt;U329), (EXP(-LN(2)/inputs!$C$51)*Z329+$Z$3), (EXP(-LN(2)/inputs!$C$51)*Z329))</f>
        <v>9.3558940062954485E-19</v>
      </c>
      <c r="AA330" s="8">
        <f>IF((U330&gt;U329), (EXP(-LN(2)/inputs!$C$51)*AA329+$AA$3), (EXP(-LN(2)/inputs!$C$51)*AA329))</f>
        <v>8.6876158629886302E-18</v>
      </c>
      <c r="AB330" s="7">
        <f>(((0.621*15^0.564)/0.2))*W330/15+AB329*inputs!$C$53</f>
        <v>1.222487818783392E-17</v>
      </c>
      <c r="AC330" s="7">
        <f>(((0.621*1000^0.564)/0.2))*W330/1000+AC329*inputs!$C$53</f>
        <v>1.9589363692026564E-18</v>
      </c>
      <c r="AD330" s="7">
        <f>(((0.648*20^0.651)/0.2))*AA330/20+AD329*inputs!$C$54</f>
        <v>1.3086000749870914E-17</v>
      </c>
      <c r="AE330" s="7">
        <f>(((0.013*2^0.773)/0.2))*AA330/2+AE329*inputs!$C$54</f>
        <v>6.3811792859735744E-19</v>
      </c>
    </row>
    <row r="331" spans="1:31" x14ac:dyDescent="0.3">
      <c r="A331" s="7">
        <f>IF(A330&lt;(inputs!$C$9-1),(1+A330),0)</f>
        <v>0</v>
      </c>
      <c r="B331" s="7">
        <f>IF(inputs!$C$8&gt;B330,IF(A330=(inputs!$C$9-1),(B330+1),B330), B330)</f>
        <v>1</v>
      </c>
      <c r="C331" s="7">
        <f t="shared" si="11"/>
        <v>328</v>
      </c>
      <c r="D331" s="8">
        <f>IF((B331&gt;B330), (EXP(-LN(2)/inputs!$C$51)*D330+$D$3), (EXP(-LN(2)/inputs!$C$51)*D330))</f>
        <v>2.8144943574429499E-17</v>
      </c>
      <c r="E331" s="8">
        <f>IF((B331&gt;B330), (EXP(-LN(2)/inputs!$C$51)*E330+$E$3), (EXP(-LN(2)/inputs!$C$51)*E330))</f>
        <v>1.2899765804946854E-17</v>
      </c>
      <c r="F331" s="8">
        <f>IF((B331&gt;B330), (EXP(-LN(2)/inputs!$C$51)*F330+$F$3), (EXP(-LN(2)/inputs!$C$51)*F330))</f>
        <v>1.5831530760616608E-17</v>
      </c>
      <c r="G331" s="8">
        <f>IF((B331&gt;B330), (EXP(-LN(2)/inputs!$C$51)*G330+$G$3), (EXP(-LN(2)/inputs!$C$51)*G330))</f>
        <v>1.7590589734018437E-18</v>
      </c>
      <c r="H331" s="8">
        <f>IF((B331&gt;B330), (EXP(-LN(2)/inputs!$C$51)*H330+$H$3), (EXP(-LN(2)/inputs!$C$51)*H330))</f>
        <v>1.1023436233318229E-17</v>
      </c>
      <c r="I331" s="7">
        <f>O331*(10^inputs!$C$55)*0.01/1</f>
        <v>1.1820691452938317E-2</v>
      </c>
      <c r="J331" s="7">
        <f>(((0.621*15^0.564)/0.2))*D331/15+J330*inputs!$C$53</f>
        <v>3.0285778656941762E-17</v>
      </c>
      <c r="K331" s="7">
        <f>(((0.621*1000^0.564)/0.2))*D331/1000+K330*inputs!$C$53</f>
        <v>4.8530473980303027E-18</v>
      </c>
      <c r="L331" s="7">
        <f>(((0.648*20^0.651)/0.2))*H331/20+L330*inputs!$C$54</f>
        <v>1.6604405292585314E-17</v>
      </c>
      <c r="M331" s="7">
        <f>(((0.013*2^0.773)/0.2))*H331/2+M330*inputs!$C$54</f>
        <v>8.0968730733108497E-19</v>
      </c>
      <c r="N331" s="7">
        <f>O331*0.015*inputs!$C$56</f>
        <v>1.736691247472719E-3</v>
      </c>
      <c r="O331" s="7">
        <f>IF((B331&gt;B330), (EXP(-LN(2)/inputs!$C$52)*O330+$O$3), (EXP(-LN(2)/inputs!$C$52)*O330))</f>
        <v>1.873453341394519E-4</v>
      </c>
      <c r="P331" s="3">
        <f>IF((B331&gt;B330), (EXP(-LN(2)/inputs!$C$52)*P330+$P$3), (EXP(-LN(2)/inputs!$C$52)*P330))</f>
        <v>1.8103271837817145E-4</v>
      </c>
      <c r="Q331" s="19">
        <f>IF((F331*0.62*1/(0.012*(10^inputs!$C$55)))&gt;inputs!$C$57, inputs!$C$57, (F331*0.62*1/(0.012*(10^inputs!$C$55))))</f>
        <v>1.2963830753182308E-19</v>
      </c>
      <c r="R331" s="3">
        <f>IF((B331&gt;B330), (EXP(-LN(2)/inputs!$C$51)*R330+$R$3), (EXP(-LN(2)/inputs!$C$51)*R330))</f>
        <v>3.0120736326577691E-25</v>
      </c>
      <c r="T331" s="7">
        <f>IF(T330&lt;(inputs!$C$9-1),(1+T330),0)</f>
        <v>0</v>
      </c>
      <c r="U331" s="7">
        <f>IF(inputs!$C$8&gt;U330,IF(T330=(inputs!$C$9-1),(U330+1),U330), U330)</f>
        <v>1</v>
      </c>
      <c r="V331" s="7">
        <f t="shared" si="10"/>
        <v>328</v>
      </c>
      <c r="W331" s="8">
        <f>IF((U331&gt;U330), (EXP(-LN(2)/inputs!$C$51)*W330+$W$3), (EXP(-LN(2)/inputs!$C$51)*W330))</f>
        <v>9.9680008492771331E-18</v>
      </c>
      <c r="X331" s="8">
        <f>IF((U331&gt;U330), (EXP(-LN(2)/inputs!$C$51)*X330+$X$3), (EXP(-LN(2)/inputs!$C$51)*X330))</f>
        <v>4.2217415361644247E-18</v>
      </c>
      <c r="Y331" s="8">
        <f>IF((U331&gt;U330), (EXP(-LN(2)/inputs!$C$51)*Y330+$Y$3), (EXP(-LN(2)/inputs!$C$51)*Y330))</f>
        <v>5.2771769202055404E-18</v>
      </c>
      <c r="Z331" s="8">
        <f>IF((U331&gt;U330), (EXP(-LN(2)/inputs!$C$51)*Z330+$Z$3), (EXP(-LN(2)/inputs!$C$51)*Z330))</f>
        <v>8.2089418758752692E-19</v>
      </c>
      <c r="AA331" s="8">
        <f>IF((U331&gt;U330), (EXP(-LN(2)/inputs!$C$51)*AA330+$AA$3), (EXP(-LN(2)/inputs!$C$51)*AA330))</f>
        <v>7.6225888847413209E-18</v>
      </c>
      <c r="AB331" s="7">
        <f>(((0.621*15^0.564)/0.2))*W331/15+AB330*inputs!$C$53</f>
        <v>1.0726213274333562E-17</v>
      </c>
      <c r="AC331" s="7">
        <f>(((0.621*1000^0.564)/0.2))*W331/1000+AC330*inputs!$C$53</f>
        <v>1.7187876201357351E-18</v>
      </c>
      <c r="AD331" s="7">
        <f>(((0.648*20^0.651)/0.2))*AA331/20+AD330*inputs!$C$54</f>
        <v>1.1481769617213238E-17</v>
      </c>
      <c r="AE331" s="7">
        <f>(((0.013*2^0.773)/0.2))*AA331/2+AE330*inputs!$C$54</f>
        <v>5.5989015932468586E-19</v>
      </c>
    </row>
    <row r="332" spans="1:31" x14ac:dyDescent="0.3">
      <c r="A332" s="7">
        <f>IF(A331&lt;(inputs!$C$9-1),(1+A331),0)</f>
        <v>0</v>
      </c>
      <c r="B332" s="7">
        <f>IF(inputs!$C$8&gt;B331,IF(A331=(inputs!$C$9-1),(B331+1),B331), B331)</f>
        <v>1</v>
      </c>
      <c r="C332" s="7">
        <f t="shared" si="11"/>
        <v>329</v>
      </c>
      <c r="D332" s="8">
        <f>IF((B332&gt;B331), (EXP(-LN(2)/inputs!$C$51)*D331+$D$3), (EXP(-LN(2)/inputs!$C$51)*D331))</f>
        <v>2.4694615581024882E-17</v>
      </c>
      <c r="E332" s="8">
        <f>IF((B332&gt;B331), (EXP(-LN(2)/inputs!$C$51)*E331+$E$3), (EXP(-LN(2)/inputs!$C$51)*E331))</f>
        <v>1.1318365474636406E-17</v>
      </c>
      <c r="F332" s="8">
        <f>IF((B332&gt;B331), (EXP(-LN(2)/inputs!$C$51)*F331+$F$3), (EXP(-LN(2)/inputs!$C$51)*F331))</f>
        <v>1.3890721264326511E-17</v>
      </c>
      <c r="G332" s="8">
        <f>IF((B332&gt;B331), (EXP(-LN(2)/inputs!$C$51)*G331+$G$3), (EXP(-LN(2)/inputs!$C$51)*G331))</f>
        <v>1.5434134738140552E-18</v>
      </c>
      <c r="H332" s="8">
        <f>IF((B332&gt;B331), (EXP(-LN(2)/inputs!$C$51)*H331+$H$3), (EXP(-LN(2)/inputs!$C$51)*H331))</f>
        <v>9.6720577692347536E-18</v>
      </c>
      <c r="I332" s="7">
        <f>O332*(10^inputs!$C$55)*0.01/1</f>
        <v>1.1582146608649065E-2</v>
      </c>
      <c r="J332" s="7">
        <f>(((0.621*15^0.564)/0.2))*D332/15+J331*inputs!$C$53</f>
        <v>2.6573002696820822E-17</v>
      </c>
      <c r="K332" s="7">
        <f>(((0.621*1000^0.564)/0.2))*D332/1000+K331*inputs!$C$53</f>
        <v>4.2581055305342042E-18</v>
      </c>
      <c r="L332" s="7">
        <f>(((0.648*20^0.651)/0.2))*H332/20+L331*inputs!$C$54</f>
        <v>1.4568848026558562E-17</v>
      </c>
      <c r="M332" s="7">
        <f>(((0.013*2^0.773)/0.2))*H332/2+M331*inputs!$C$54</f>
        <v>7.1042660798020781E-19</v>
      </c>
      <c r="N332" s="7">
        <f>O332*0.015*inputs!$C$56</f>
        <v>1.7016443346202642E-3</v>
      </c>
      <c r="O332" s="7">
        <f>IF((B332&gt;B331), (EXP(-LN(2)/inputs!$C$52)*O331+$O$3), (EXP(-LN(2)/inputs!$C$52)*O331))</f>
        <v>1.8356465314134458E-4</v>
      </c>
      <c r="P332" s="3">
        <f>IF((B332&gt;B331), (EXP(-LN(2)/inputs!$C$52)*P331+$P$3), (EXP(-LN(2)/inputs!$C$52)*P331))</f>
        <v>1.7737942772349944E-4</v>
      </c>
      <c r="Q332" s="19">
        <f>IF((F332*0.62*1/(0.012*(10^inputs!$C$55)))&gt;inputs!$C$57, inputs!$C$57, (F332*0.62*1/(0.012*(10^inputs!$C$55))))</f>
        <v>1.1374576611273046E-19</v>
      </c>
      <c r="R332" s="3">
        <f>IF((B332&gt;B331), (EXP(-LN(2)/inputs!$C$51)*R331+$R$3), (EXP(-LN(2)/inputs!$C$51)*R331))</f>
        <v>2.6428193136547262E-25</v>
      </c>
      <c r="T332" s="7">
        <f>IF(T331&lt;(inputs!$C$9-1),(1+T331),0)</f>
        <v>0</v>
      </c>
      <c r="U332" s="7">
        <f>IF(inputs!$C$8&gt;U331,IF(T331=(inputs!$C$9-1),(U331+1),U331), U331)</f>
        <v>1</v>
      </c>
      <c r="V332" s="7">
        <f t="shared" si="10"/>
        <v>329</v>
      </c>
      <c r="W332" s="8">
        <f>IF((U332&gt;U331), (EXP(-LN(2)/inputs!$C$51)*W331+$W$3), (EXP(-LN(2)/inputs!$C$51)*W331))</f>
        <v>8.7460096849463287E-18</v>
      </c>
      <c r="X332" s="8">
        <f>IF((U332&gt;U331), (EXP(-LN(2)/inputs!$C$51)*X331+$X$3), (EXP(-LN(2)/inputs!$C$51)*X331))</f>
        <v>3.7041923371537321E-18</v>
      </c>
      <c r="Y332" s="8">
        <f>IF((U332&gt;U331), (EXP(-LN(2)/inputs!$C$51)*Y331+$Y$3), (EXP(-LN(2)/inputs!$C$51)*Y331))</f>
        <v>4.6302404214421739E-18</v>
      </c>
      <c r="Z332" s="8">
        <f>IF((U332&gt;U331), (EXP(-LN(2)/inputs!$C$51)*Z331+$Z$3), (EXP(-LN(2)/inputs!$C$51)*Z331))</f>
        <v>7.202596211132256E-19</v>
      </c>
      <c r="AA332" s="8">
        <f>IF((U332&gt;U331), (EXP(-LN(2)/inputs!$C$51)*AA331+$AA$3), (EXP(-LN(2)/inputs!$C$51)*AA331))</f>
        <v>6.6881250531942374E-18</v>
      </c>
      <c r="AB332" s="7">
        <f>(((0.621*15^0.564)/0.2))*W332/15+AB331*inputs!$C$53</f>
        <v>9.4112717884573925E-18</v>
      </c>
      <c r="AC332" s="7">
        <f>(((0.621*1000^0.564)/0.2))*W332/1000+AC331*inputs!$C$53</f>
        <v>1.5080790420642E-18</v>
      </c>
      <c r="AD332" s="7">
        <f>(((0.648*20^0.651)/0.2))*AA332/20+AD331*inputs!$C$54</f>
        <v>1.0074203422620272E-17</v>
      </c>
      <c r="AE332" s="7">
        <f>(((0.013*2^0.773)/0.2))*AA332/2+AE331*inputs!$C$54</f>
        <v>4.9125244168844104E-19</v>
      </c>
    </row>
    <row r="333" spans="1:31" x14ac:dyDescent="0.3">
      <c r="A333" s="7">
        <f>IF(A332&lt;(inputs!$C$9-1),(1+A332),0)</f>
        <v>0</v>
      </c>
      <c r="B333" s="7">
        <f>IF(inputs!$C$8&gt;B332,IF(A332=(inputs!$C$9-1),(B332+1),B332), B332)</f>
        <v>1</v>
      </c>
      <c r="C333" s="7">
        <f t="shared" si="11"/>
        <v>330</v>
      </c>
      <c r="D333" s="8">
        <f>IF((B333&gt;B332), (EXP(-LN(2)/inputs!$C$51)*D332+$D$3), (EXP(-LN(2)/inputs!$C$51)*D332))</f>
        <v>2.1667268121604615E-17</v>
      </c>
      <c r="E333" s="8">
        <f>IF((B333&gt;B332), (EXP(-LN(2)/inputs!$C$51)*E332+$E$3), (EXP(-LN(2)/inputs!$C$51)*E332))</f>
        <v>9.9308312224021158E-18</v>
      </c>
      <c r="F333" s="8">
        <f>IF((B333&gt;B332), (EXP(-LN(2)/inputs!$C$51)*F332+$F$3), (EXP(-LN(2)/inputs!$C$51)*F332))</f>
        <v>1.2187838318402609E-17</v>
      </c>
      <c r="G333" s="8">
        <f>IF((B333&gt;B332), (EXP(-LN(2)/inputs!$C$51)*G332+$G$3), (EXP(-LN(2)/inputs!$C$51)*G332))</f>
        <v>1.3542042576002884E-18</v>
      </c>
      <c r="H333" s="8">
        <f>IF((B333&gt;B332), (EXP(-LN(2)/inputs!$C$51)*H332+$H$3), (EXP(-LN(2)/inputs!$C$51)*H332))</f>
        <v>8.486346680961814E-18</v>
      </c>
      <c r="I333" s="7">
        <f>O333*(10^inputs!$C$55)*0.01/1</f>
        <v>1.1348415665726204E-2</v>
      </c>
      <c r="J333" s="7">
        <f>(((0.621*15^0.564)/0.2))*D333/15+J332*inputs!$C$53</f>
        <v>2.331538113395664E-17</v>
      </c>
      <c r="K333" s="7">
        <f>(((0.621*1000^0.564)/0.2))*D333/1000+K332*inputs!$C$53</f>
        <v>3.7360984185987887E-18</v>
      </c>
      <c r="L333" s="7">
        <f>(((0.648*20^0.651)/0.2))*H333/20+L332*inputs!$C$54</f>
        <v>1.2782832572494482E-17</v>
      </c>
      <c r="M333" s="7">
        <f>(((0.013*2^0.773)/0.2))*H333/2+M332*inputs!$C$54</f>
        <v>6.2333441657853137E-19</v>
      </c>
      <c r="N333" s="7">
        <f>O333*0.015*inputs!$C$56</f>
        <v>1.6673046782259018E-3</v>
      </c>
      <c r="O333" s="7">
        <f>IF((B333&gt;B332), (EXP(-LN(2)/inputs!$C$52)*O332+$O$3), (EXP(-LN(2)/inputs!$C$52)*O332))</f>
        <v>1.7986026733828498E-4</v>
      </c>
      <c r="P333" s="3">
        <f>IF((B333&gt;B332), (EXP(-LN(2)/inputs!$C$52)*P332+$P$3), (EXP(-LN(2)/inputs!$C$52)*P332))</f>
        <v>1.7379986149128034E-4</v>
      </c>
      <c r="Q333" s="19">
        <f>IF((F333*0.62*1/(0.012*(10^inputs!$C$55)))&gt;inputs!$C$57, inputs!$C$57, (F333*0.62*1/(0.012*(10^inputs!$C$55))))</f>
        <v>9.9801513571873719E-20</v>
      </c>
      <c r="R333" s="3">
        <f>IF((B333&gt;B332), (EXP(-LN(2)/inputs!$C$51)*R332+$R$3), (EXP(-LN(2)/inputs!$C$51)*R332))</f>
        <v>2.3188323980192731E-25</v>
      </c>
      <c r="T333" s="7">
        <f>IF(T332&lt;(inputs!$C$9-1),(1+T332),0)</f>
        <v>0</v>
      </c>
      <c r="U333" s="7">
        <f>IF(inputs!$C$8&gt;U332,IF(T332=(inputs!$C$9-1),(U332+1),U332), U332)</f>
        <v>1</v>
      </c>
      <c r="V333" s="7">
        <f t="shared" si="10"/>
        <v>330</v>
      </c>
      <c r="W333" s="8">
        <f>IF((U333&gt;U332), (EXP(-LN(2)/inputs!$C$51)*W332+$W$3), (EXP(-LN(2)/inputs!$C$51)*W332))</f>
        <v>7.6738241264016486E-18</v>
      </c>
      <c r="X333" s="8">
        <f>IF((U333&gt;U332), (EXP(-LN(2)/inputs!$C$51)*X332+$X$3), (EXP(-LN(2)/inputs!$C$51)*X332))</f>
        <v>3.2500902182406917E-18</v>
      </c>
      <c r="Y333" s="8">
        <f>IF((U333&gt;U332), (EXP(-LN(2)/inputs!$C$51)*Y332+$Y$3), (EXP(-LN(2)/inputs!$C$51)*Y332))</f>
        <v>4.0626127728008726E-18</v>
      </c>
      <c r="Z333" s="8">
        <f>IF((U333&gt;U332), (EXP(-LN(2)/inputs!$C$51)*Z332+$Z$3), (EXP(-LN(2)/inputs!$C$51)*Z332))</f>
        <v>6.3196198688013444E-19</v>
      </c>
      <c r="AA333" s="8">
        <f>IF((U333&gt;U332), (EXP(-LN(2)/inputs!$C$51)*AA332+$AA$3), (EXP(-LN(2)/inputs!$C$51)*AA332))</f>
        <v>5.8682184496012486E-18</v>
      </c>
      <c r="AB333" s="7">
        <f>(((0.621*15^0.564)/0.2))*W333/15+AB332*inputs!$C$53</f>
        <v>8.2575308182763252E-18</v>
      </c>
      <c r="AC333" s="7">
        <f>(((0.621*1000^0.564)/0.2))*W333/1000+AC332*inputs!$C$53</f>
        <v>1.32320152325374E-18</v>
      </c>
      <c r="AD333" s="7">
        <f>(((0.648*20^0.651)/0.2))*AA333/20+AD332*inputs!$C$54</f>
        <v>8.8391927362993673E-18</v>
      </c>
      <c r="AE333" s="7">
        <f>(((0.013*2^0.773)/0.2))*AA333/2+AE332*inputs!$C$54</f>
        <v>4.3102911784685635E-19</v>
      </c>
    </row>
    <row r="334" spans="1:31" x14ac:dyDescent="0.3">
      <c r="A334" s="7">
        <f>IF(A333&lt;(inputs!$C$9-1),(1+A333),0)</f>
        <v>0</v>
      </c>
      <c r="B334" s="7">
        <f>IF(inputs!$C$8&gt;B333,IF(A333=(inputs!$C$9-1),(B333+1),B333), B333)</f>
        <v>1</v>
      </c>
      <c r="C334" s="7">
        <f t="shared" si="11"/>
        <v>331</v>
      </c>
      <c r="D334" s="8">
        <f>IF((B334&gt;B333), (EXP(-LN(2)/inputs!$C$51)*D333+$D$3), (EXP(-LN(2)/inputs!$C$51)*D333))</f>
        <v>1.9011047420970604E-17</v>
      </c>
      <c r="E334" s="8">
        <f>IF((B334&gt;B333), (EXP(-LN(2)/inputs!$C$51)*E333+$E$3), (EXP(-LN(2)/inputs!$C$51)*E333))</f>
        <v>8.7133967346115268E-18</v>
      </c>
      <c r="F334" s="8">
        <f>IF((B334&gt;B333), (EXP(-LN(2)/inputs!$C$51)*F333+$F$3), (EXP(-LN(2)/inputs!$C$51)*F333))</f>
        <v>1.0693714174295976E-17</v>
      </c>
      <c r="G334" s="8">
        <f>IF((B334&gt;B333), (EXP(-LN(2)/inputs!$C$51)*G333+$G$3), (EXP(-LN(2)/inputs!$C$51)*G333))</f>
        <v>1.1881904638106628E-18</v>
      </c>
      <c r="H334" s="8">
        <f>IF((B334&gt;B333), (EXP(-LN(2)/inputs!$C$51)*H333+$H$3), (EXP(-LN(2)/inputs!$C$51)*H333))</f>
        <v>7.4459935732134915E-18</v>
      </c>
      <c r="I334" s="7">
        <f>O334*(10^inputs!$C$55)*0.01/1</f>
        <v>1.1119401478300013E-2</v>
      </c>
      <c r="J334" s="7">
        <f>(((0.621*15^0.564)/0.2))*D334/15+J333*inputs!$C$53</f>
        <v>2.0457115954257515E-17</v>
      </c>
      <c r="K334" s="7">
        <f>(((0.621*1000^0.564)/0.2))*D334/1000+K333*inputs!$C$53</f>
        <v>3.2780848885408442E-18</v>
      </c>
      <c r="L334" s="7">
        <f>(((0.648*20^0.651)/0.2))*H334/20+L333*inputs!$C$54</f>
        <v>1.1215767250681128E-17</v>
      </c>
      <c r="M334" s="7">
        <f>(((0.013*2^0.773)/0.2))*H334/2+M333*inputs!$C$54</f>
        <v>5.4691897871894291E-19</v>
      </c>
      <c r="N334" s="7">
        <f>O334*0.015*inputs!$C$56</f>
        <v>1.6336580056574136E-3</v>
      </c>
      <c r="O334" s="7">
        <f>IF((B334&gt;B333), (EXP(-LN(2)/inputs!$C$52)*O333+$O$3), (EXP(-LN(2)/inputs!$C$52)*O333))</f>
        <v>1.7623063707199716E-4</v>
      </c>
      <c r="P334" s="3">
        <f>IF((B334&gt;B333), (EXP(-LN(2)/inputs!$C$52)*P333+$P$3), (EXP(-LN(2)/inputs!$C$52)*P333))</f>
        <v>1.7029253190214489E-4</v>
      </c>
      <c r="Q334" s="19">
        <f>IF((F334*0.62*1/(0.012*(10^inputs!$C$55)))&gt;inputs!$C$57, inputs!$C$57, (F334*0.62*1/(0.012*(10^inputs!$C$55))))</f>
        <v>8.7566706450994046E-20</v>
      </c>
      <c r="R334" s="3">
        <f>IF((B334&gt;B333), (EXP(-LN(2)/inputs!$C$51)*R333+$R$3), (EXP(-LN(2)/inputs!$C$51)*R333))</f>
        <v>2.0345634914662555E-25</v>
      </c>
      <c r="T334" s="7">
        <f>IF(T333&lt;(inputs!$C$9-1),(1+T333),0)</f>
        <v>0</v>
      </c>
      <c r="U334" s="7">
        <f>IF(inputs!$C$8&gt;U333,IF(T333=(inputs!$C$9-1),(U333+1),U333), U333)</f>
        <v>1</v>
      </c>
      <c r="V334" s="7">
        <f t="shared" si="10"/>
        <v>331</v>
      </c>
      <c r="W334" s="8">
        <f>IF((U334&gt;U333), (EXP(-LN(2)/inputs!$C$51)*W333+$W$3), (EXP(-LN(2)/inputs!$C$51)*W333))</f>
        <v>6.7330792949271013E-18</v>
      </c>
      <c r="X334" s="8">
        <f>IF((U334&gt;U333), (EXP(-LN(2)/inputs!$C$51)*X333+$X$3), (EXP(-LN(2)/inputs!$C$51)*X333))</f>
        <v>2.8516571131455899E-18</v>
      </c>
      <c r="Y334" s="8">
        <f>IF((U334&gt;U333), (EXP(-LN(2)/inputs!$C$51)*Y333+$Y$3), (EXP(-LN(2)/inputs!$C$51)*Y333))</f>
        <v>3.5645713914319944E-18</v>
      </c>
      <c r="Z334" s="8">
        <f>IF((U334&gt;U333), (EXP(-LN(2)/inputs!$C$51)*Z333+$Z$3), (EXP(-LN(2)/inputs!$C$51)*Z333))</f>
        <v>5.5448888311164248E-19</v>
      </c>
      <c r="AA334" s="8">
        <f>IF((U334&gt;U333), (EXP(-LN(2)/inputs!$C$51)*AA333+$AA$3), (EXP(-LN(2)/inputs!$C$51)*AA333))</f>
        <v>5.148825343179537E-18</v>
      </c>
      <c r="AB334" s="7">
        <f>(((0.621*15^0.564)/0.2))*W334/15+AB333*inputs!$C$53</f>
        <v>7.245228567132884E-18</v>
      </c>
      <c r="AC334" s="7">
        <f>(((0.621*1000^0.564)/0.2))*W334/1000+AC333*inputs!$C$53</f>
        <v>1.1609883980248843E-18</v>
      </c>
      <c r="AD334" s="7">
        <f>(((0.648*20^0.651)/0.2))*AA334/20+AD333*inputs!$C$54</f>
        <v>7.7555837371731144E-18</v>
      </c>
      <c r="AE334" s="7">
        <f>(((0.013*2^0.773)/0.2))*AA334/2+AE333*inputs!$C$54</f>
        <v>3.7818865549714097E-19</v>
      </c>
    </row>
    <row r="335" spans="1:31" x14ac:dyDescent="0.3">
      <c r="A335" s="7">
        <f>IF(A334&lt;(inputs!$C$9-1),(1+A334),0)</f>
        <v>0</v>
      </c>
      <c r="B335" s="7">
        <f>IF(inputs!$C$8&gt;B334,IF(A334=(inputs!$C$9-1),(B334+1),B334), B334)</f>
        <v>1</v>
      </c>
      <c r="C335" s="7">
        <f t="shared" si="11"/>
        <v>332</v>
      </c>
      <c r="D335" s="8">
        <f>IF((B335&gt;B334), (EXP(-LN(2)/inputs!$C$51)*D334+$D$3), (EXP(-LN(2)/inputs!$C$51)*D334))</f>
        <v>1.6680456530743632E-17</v>
      </c>
      <c r="E335" s="8">
        <f>IF((B335&gt;B334), (EXP(-LN(2)/inputs!$C$51)*E334+$E$3), (EXP(-LN(2)/inputs!$C$51)*E334))</f>
        <v>7.6452092432574984E-18</v>
      </c>
      <c r="F335" s="8">
        <f>IF((B335&gt;B334), (EXP(-LN(2)/inputs!$C$51)*F334+$F$3), (EXP(-LN(2)/inputs!$C$51)*F334))</f>
        <v>9.3827567985433029E-18</v>
      </c>
      <c r="G335" s="8">
        <f>IF((B335&gt;B334), (EXP(-LN(2)/inputs!$C$51)*G334+$G$3), (EXP(-LN(2)/inputs!$C$51)*G334))</f>
        <v>1.042528533171477E-18</v>
      </c>
      <c r="H335" s="8">
        <f>IF((B335&gt;B334), (EXP(-LN(2)/inputs!$C$51)*H334+$H$3), (EXP(-LN(2)/inputs!$C$51)*H334))</f>
        <v>6.5331788078745939E-18</v>
      </c>
      <c r="I335" s="7">
        <f>O335*(10^inputs!$C$55)*0.01/1</f>
        <v>1.0895008860931475E-2</v>
      </c>
      <c r="J335" s="7">
        <f>(((0.621*15^0.564)/0.2))*D335/15+J334*inputs!$C$53</f>
        <v>1.7949249500212595E-17</v>
      </c>
      <c r="K335" s="7">
        <f>(((0.621*1000^0.564)/0.2))*D335/1000+K334*inputs!$C$53</f>
        <v>2.8762198776631881E-18</v>
      </c>
      <c r="L335" s="7">
        <f>(((0.648*20^0.651)/0.2))*H335/20+L334*inputs!$C$54</f>
        <v>9.8408106582048107E-18</v>
      </c>
      <c r="M335" s="7">
        <f>(((0.013*2^0.773)/0.2))*H335/2+M334*inputs!$C$54</f>
        <v>4.7987141625331151E-19</v>
      </c>
      <c r="N335" s="7">
        <f>O335*0.015*inputs!$C$56</f>
        <v>1.6006903323082739E-3</v>
      </c>
      <c r="O335" s="7">
        <f>IF((B335&gt;B334), (EXP(-LN(2)/inputs!$C$52)*O334+$O$3), (EXP(-LN(2)/inputs!$C$52)*O334))</f>
        <v>1.7267425375493787E-4</v>
      </c>
      <c r="P335" s="3">
        <f>IF((B335&gt;B334), (EXP(-LN(2)/inputs!$C$52)*P334+$P$3), (EXP(-LN(2)/inputs!$C$52)*P334))</f>
        <v>1.6685598120052566E-4</v>
      </c>
      <c r="Q335" s="19">
        <f>IF((F335*0.62*1/(0.012*(10^inputs!$C$55)))&gt;inputs!$C$57, inputs!$C$57, (F335*0.62*1/(0.012*(10^inputs!$C$55))))</f>
        <v>7.6831781445402407E-20</v>
      </c>
      <c r="R335" s="3">
        <f>IF((B335&gt;B334), (EXP(-LN(2)/inputs!$C$51)*R334+$R$3), (EXP(-LN(2)/inputs!$C$51)*R334))</f>
        <v>1.7851435077167466E-25</v>
      </c>
      <c r="T335" s="7">
        <f>IF(T334&lt;(inputs!$C$9-1),(1+T334),0)</f>
        <v>0</v>
      </c>
      <c r="U335" s="7">
        <f>IF(inputs!$C$8&gt;U334,IF(T334=(inputs!$C$9-1),(U334+1),U334), U334)</f>
        <v>1</v>
      </c>
      <c r="V335" s="7">
        <f t="shared" si="10"/>
        <v>332</v>
      </c>
      <c r="W335" s="8">
        <f>IF((U335&gt;U334), (EXP(-LN(2)/inputs!$C$51)*W334+$W$3), (EXP(-LN(2)/inputs!$C$51)*W334))</f>
        <v>5.9076616879717141E-18</v>
      </c>
      <c r="X335" s="8">
        <f>IF((U335&gt;U334), (EXP(-LN(2)/inputs!$C$51)*X334+$X$3), (EXP(-LN(2)/inputs!$C$51)*X334))</f>
        <v>2.5020684796115443E-18</v>
      </c>
      <c r="Y335" s="8">
        <f>IF((U335&gt;U334), (EXP(-LN(2)/inputs!$C$51)*Y334+$Y$3), (EXP(-LN(2)/inputs!$C$51)*Y334))</f>
        <v>3.1275855995144369E-18</v>
      </c>
      <c r="Z335" s="8">
        <f>IF((U335&gt;U334), (EXP(-LN(2)/inputs!$C$51)*Z334+$Z$3), (EXP(-LN(2)/inputs!$C$51)*Z334))</f>
        <v>4.8651331548002253E-19</v>
      </c>
      <c r="AA335" s="8">
        <f>IF((U335&gt;U334), (EXP(-LN(2)/inputs!$C$51)*AA334+$AA$3), (EXP(-LN(2)/inputs!$C$51)*AA334))</f>
        <v>4.5176236437430662E-18</v>
      </c>
      <c r="AB335" s="7">
        <f>(((0.621*15^0.564)/0.2))*W335/15+AB334*inputs!$C$53</f>
        <v>6.3570258646586395E-18</v>
      </c>
      <c r="AC335" s="7">
        <f>(((0.621*1000^0.564)/0.2))*W335/1000+AC334*inputs!$C$53</f>
        <v>1.0186612066723811E-18</v>
      </c>
      <c r="AD335" s="7">
        <f>(((0.648*20^0.651)/0.2))*AA335/20+AD334*inputs!$C$54</f>
        <v>6.8048158806735338E-18</v>
      </c>
      <c r="AE335" s="7">
        <f>(((0.013*2^0.773)/0.2))*AA335/2+AE334*inputs!$C$54</f>
        <v>3.3182597932409806E-19</v>
      </c>
    </row>
    <row r="336" spans="1:31" x14ac:dyDescent="0.3">
      <c r="A336" s="7">
        <f>IF(A335&lt;(inputs!$C$9-1),(1+A335),0)</f>
        <v>0</v>
      </c>
      <c r="B336" s="7">
        <f>IF(inputs!$C$8&gt;B335,IF(A335=(inputs!$C$9-1),(B335+1),B335), B335)</f>
        <v>1</v>
      </c>
      <c r="C336" s="7">
        <f t="shared" si="11"/>
        <v>333</v>
      </c>
      <c r="D336" s="8">
        <f>IF((B336&gt;B335), (EXP(-LN(2)/inputs!$C$51)*D335+$D$3), (EXP(-LN(2)/inputs!$C$51)*D335))</f>
        <v>1.4635576037073636E-17</v>
      </c>
      <c r="E336" s="8">
        <f>IF((B336&gt;B335), (EXP(-LN(2)/inputs!$C$51)*E335+$E$3), (EXP(-LN(2)/inputs!$C$51)*E335))</f>
        <v>6.7079723503254164E-18</v>
      </c>
      <c r="F336" s="8">
        <f>IF((B336&gt;B335), (EXP(-LN(2)/inputs!$C$51)*F335+$F$3), (EXP(-LN(2)/inputs!$C$51)*F335))</f>
        <v>8.2325115208539291E-18</v>
      </c>
      <c r="G336" s="8">
        <f>IF((B336&gt;B335), (EXP(-LN(2)/inputs!$C$51)*G335+$G$3), (EXP(-LN(2)/inputs!$C$51)*G335))</f>
        <v>9.1472350231710222E-19</v>
      </c>
      <c r="H336" s="8">
        <f>IF((B336&gt;B335), (EXP(-LN(2)/inputs!$C$51)*H335+$H$3), (EXP(-LN(2)/inputs!$C$51)*H335))</f>
        <v>5.7322672811871777E-18</v>
      </c>
      <c r="I336" s="7">
        <f>O336*(10^inputs!$C$55)*0.01/1</f>
        <v>1.0675144549050219E-2</v>
      </c>
      <c r="J336" s="7">
        <f>(((0.621*15^0.564)/0.2))*D336/15+J335*inputs!$C$53</f>
        <v>1.574882590201241E-17</v>
      </c>
      <c r="K336" s="7">
        <f>(((0.621*1000^0.564)/0.2))*D336/1000+K335*inputs!$C$53</f>
        <v>2.523620060475981E-18</v>
      </c>
      <c r="L336" s="7">
        <f>(((0.648*20^0.651)/0.2))*H336/20+L335*inputs!$C$54</f>
        <v>8.6344119172726449E-18</v>
      </c>
      <c r="M336" s="7">
        <f>(((0.013*2^0.773)/0.2))*H336/2+M335*inputs!$C$54</f>
        <v>4.2104330823614764E-19</v>
      </c>
      <c r="N336" s="7">
        <f>O336*0.015*inputs!$C$56</f>
        <v>1.5683879557852093E-3</v>
      </c>
      <c r="O336" s="7">
        <f>IF((B336&gt;B335), (EXP(-LN(2)/inputs!$C$52)*O335+$O$3), (EXP(-LN(2)/inputs!$C$52)*O335))</f>
        <v>1.6918963924328039E-4</v>
      </c>
      <c r="P336" s="3">
        <f>IF((B336&gt;B335), (EXP(-LN(2)/inputs!$C$52)*P335+$P$3), (EXP(-LN(2)/inputs!$C$52)*P335))</f>
        <v>1.6348878104876838E-4</v>
      </c>
      <c r="Q336" s="19">
        <f>IF((F336*0.62*1/(0.012*(10^inputs!$C$55)))&gt;inputs!$C$57, inputs!$C$57, (F336*0.62*1/(0.012*(10^inputs!$C$55))))</f>
        <v>6.7412865909005183E-20</v>
      </c>
      <c r="R336" s="3">
        <f>IF((B336&gt;B335), (EXP(-LN(2)/inputs!$C$51)*R335+$R$3), (EXP(-LN(2)/inputs!$C$51)*R335))</f>
        <v>1.5663002685881546E-25</v>
      </c>
      <c r="T336" s="7">
        <f>IF(T335&lt;(inputs!$C$9-1),(1+T335),0)</f>
        <v>0</v>
      </c>
      <c r="U336" s="7">
        <f>IF(inputs!$C$8&gt;U335,IF(T335=(inputs!$C$9-1),(U335+1),U335), U335)</f>
        <v>1</v>
      </c>
      <c r="V336" s="7">
        <f t="shared" si="10"/>
        <v>333</v>
      </c>
      <c r="W336" s="8">
        <f>IF((U336&gt;U335), (EXP(-LN(2)/inputs!$C$51)*W335+$W$3), (EXP(-LN(2)/inputs!$C$51)*W335))</f>
        <v>5.1834331797969223E-18</v>
      </c>
      <c r="X336" s="8">
        <f>IF((U336&gt;U335), (EXP(-LN(2)/inputs!$C$51)*X335+$X$3), (EXP(-LN(2)/inputs!$C$51)*X335))</f>
        <v>2.195336405561045E-18</v>
      </c>
      <c r="Y336" s="8">
        <f>IF((U336&gt;U335), (EXP(-LN(2)/inputs!$C$51)*Y335+$Y$3), (EXP(-LN(2)/inputs!$C$51)*Y335))</f>
        <v>2.7441705069513119E-18</v>
      </c>
      <c r="Z336" s="8">
        <f>IF((U336&gt;U335), (EXP(-LN(2)/inputs!$C$51)*Z335+$Z$3), (EXP(-LN(2)/inputs!$C$51)*Z335))</f>
        <v>4.2687096774798096E-19</v>
      </c>
      <c r="AA336" s="8">
        <f>IF((U336&gt;U335), (EXP(-LN(2)/inputs!$C$51)*AA335+$AA$3), (EXP(-LN(2)/inputs!$C$51)*AA335))</f>
        <v>3.9638018433741088E-18</v>
      </c>
      <c r="AB336" s="7">
        <f>(((0.621*15^0.564)/0.2))*W336/15+AB335*inputs!$C$53</f>
        <v>5.5777091736294063E-18</v>
      </c>
      <c r="AC336" s="7">
        <f>(((0.621*1000^0.564)/0.2))*W336/1000+AC335*inputs!$C$53</f>
        <v>8.9378210475191163E-19</v>
      </c>
      <c r="AD336" s="7">
        <f>(((0.648*20^0.651)/0.2))*AA336/20+AD335*inputs!$C$54</f>
        <v>5.9706039853481005E-18</v>
      </c>
      <c r="AE336" s="7">
        <f>(((0.013*2^0.773)/0.2))*AA336/2+AE335*inputs!$C$54</f>
        <v>2.9114696846116566E-19</v>
      </c>
    </row>
    <row r="337" spans="1:31" x14ac:dyDescent="0.3">
      <c r="A337" s="7">
        <f>IF(A336&lt;(inputs!$C$9-1),(1+A336),0)</f>
        <v>0</v>
      </c>
      <c r="B337" s="7">
        <f>IF(inputs!$C$8&gt;B336,IF(A336=(inputs!$C$9-1),(B336+1),B336), B336)</f>
        <v>1</v>
      </c>
      <c r="C337" s="7">
        <f t="shared" si="11"/>
        <v>334</v>
      </c>
      <c r="D337" s="8">
        <f>IF((B337&gt;B336), (EXP(-LN(2)/inputs!$C$51)*D336+$D$3), (EXP(-LN(2)/inputs!$C$51)*D336))</f>
        <v>1.28413803028816E-17</v>
      </c>
      <c r="E337" s="8">
        <f>IF((B337&gt;B336), (EXP(-LN(2)/inputs!$C$51)*E336+$E$3), (EXP(-LN(2)/inputs!$C$51)*E336))</f>
        <v>5.8856326388207331E-18</v>
      </c>
      <c r="F337" s="8">
        <f>IF((B337&gt;B336), (EXP(-LN(2)/inputs!$C$51)*F336+$F$3), (EXP(-LN(2)/inputs!$C$51)*F336))</f>
        <v>7.2232764203709079E-18</v>
      </c>
      <c r="G337" s="8">
        <f>IF((B337&gt;B336), (EXP(-LN(2)/inputs!$C$51)*G336+$G$3), (EXP(-LN(2)/inputs!$C$51)*G336))</f>
        <v>8.0258626893009999E-19</v>
      </c>
      <c r="H337" s="8">
        <f>IF((B337&gt;B336), (EXP(-LN(2)/inputs!$C$51)*H336+$H$3), (EXP(-LN(2)/inputs!$C$51)*H336))</f>
        <v>5.0295406186286298E-18</v>
      </c>
      <c r="I337" s="7">
        <f>O337*(10^inputs!$C$55)*0.01/1</f>
        <v>1.0459717160190877E-2</v>
      </c>
      <c r="J337" s="7">
        <f>(((0.621*15^0.564)/0.2))*D337/15+J336*inputs!$C$53</f>
        <v>1.3818155310001086E-17</v>
      </c>
      <c r="K337" s="7">
        <f>(((0.621*1000^0.564)/0.2))*D337/1000+K336*inputs!$C$53</f>
        <v>2.214245947987492E-18</v>
      </c>
      <c r="L337" s="7">
        <f>(((0.648*20^0.651)/0.2))*H337/20+L336*inputs!$C$54</f>
        <v>7.5759072851362097E-18</v>
      </c>
      <c r="M337" s="7">
        <f>(((0.013*2^0.773)/0.2))*H337/2+M336*inputs!$C$54</f>
        <v>3.6942702025173244E-19</v>
      </c>
      <c r="N337" s="7">
        <f>O337*0.015*inputs!$C$56</f>
        <v>1.5367374502130565E-3</v>
      </c>
      <c r="O337" s="7">
        <f>IF((B337&gt;B336), (EXP(-LN(2)/inputs!$C$52)*O336+$O$3), (EXP(-LN(2)/inputs!$C$52)*O336))</f>
        <v>1.6577534522255194E-4</v>
      </c>
      <c r="P337" s="3">
        <f>IF((B337&gt;B336), (EXP(-LN(2)/inputs!$C$52)*P336+$P$3), (EXP(-LN(2)/inputs!$C$52)*P336))</f>
        <v>1.6018953193347031E-4</v>
      </c>
      <c r="Q337" s="19">
        <f>IF((F337*0.62*1/(0.012*(10^inputs!$C$55)))&gt;inputs!$C$57, inputs!$C$57, (F337*0.62*1/(0.012*(10^inputs!$C$55))))</f>
        <v>5.9148628400538728E-20</v>
      </c>
      <c r="R337" s="3">
        <f>IF((B337&gt;B336), (EXP(-LN(2)/inputs!$C$51)*R336+$R$3), (EXP(-LN(2)/inputs!$C$51)*R336))</f>
        <v>1.3742853281959203E-25</v>
      </c>
      <c r="T337" s="7">
        <f>IF(T336&lt;(inputs!$C$9-1),(1+T336),0)</f>
        <v>0</v>
      </c>
      <c r="U337" s="7">
        <f>IF(inputs!$C$8&gt;U336,IF(T336=(inputs!$C$9-1),(U336+1),U336), U336)</f>
        <v>1</v>
      </c>
      <c r="V337" s="7">
        <f t="shared" si="10"/>
        <v>334</v>
      </c>
      <c r="W337" s="8">
        <f>IF((U337&gt;U336), (EXP(-LN(2)/inputs!$C$51)*W336+$W$3), (EXP(-LN(2)/inputs!$C$51)*W336))</f>
        <v>4.5479888572705752E-18</v>
      </c>
      <c r="X337" s="8">
        <f>IF((U337&gt;U336), (EXP(-LN(2)/inputs!$C$51)*X336+$X$3), (EXP(-LN(2)/inputs!$C$51)*X336))</f>
        <v>1.9262070454322397E-18</v>
      </c>
      <c r="Y337" s="8">
        <f>IF((U337&gt;U336), (EXP(-LN(2)/inputs!$C$51)*Y336+$Y$3), (EXP(-LN(2)/inputs!$C$51)*Y336))</f>
        <v>2.4077588067903047E-18</v>
      </c>
      <c r="Z337" s="8">
        <f>IF((U337&gt;U336), (EXP(-LN(2)/inputs!$C$51)*Z336+$Z$3), (EXP(-LN(2)/inputs!$C$51)*Z336))</f>
        <v>3.7454025883404657E-19</v>
      </c>
      <c r="AA337" s="8">
        <f>IF((U337&gt;U336), (EXP(-LN(2)/inputs!$C$51)*AA336+$AA$3), (EXP(-LN(2)/inputs!$C$51)*AA336))</f>
        <v>3.4778738320304322E-18</v>
      </c>
      <c r="AB337" s="7">
        <f>(((0.621*15^0.564)/0.2))*W337/15+AB336*inputs!$C$53</f>
        <v>4.8939300056253939E-18</v>
      </c>
      <c r="AC337" s="7">
        <f>(((0.621*1000^0.564)/0.2))*W337/1000+AC336*inputs!$C$53</f>
        <v>7.8421210657890483E-19</v>
      </c>
      <c r="AD337" s="7">
        <f>(((0.648*20^0.651)/0.2))*AA337/20+AD336*inputs!$C$54</f>
        <v>5.2386592929133322E-18</v>
      </c>
      <c r="AE337" s="7">
        <f>(((0.013*2^0.773)/0.2))*AA337/2+AE336*inputs!$C$54</f>
        <v>2.5545485442938925E-19</v>
      </c>
    </row>
    <row r="338" spans="1:31" x14ac:dyDescent="0.3">
      <c r="A338" s="7">
        <f>IF(A337&lt;(inputs!$C$9-1),(1+A337),0)</f>
        <v>0</v>
      </c>
      <c r="B338" s="7">
        <f>IF(inputs!$C$8&gt;B337,IF(A337=(inputs!$C$9-1),(B337+1),B337), B337)</f>
        <v>1</v>
      </c>
      <c r="C338" s="7">
        <f t="shared" si="11"/>
        <v>335</v>
      </c>
      <c r="D338" s="8">
        <f>IF((B338&gt;B337), (EXP(-LN(2)/inputs!$C$51)*D337+$D$3), (EXP(-LN(2)/inputs!$C$51)*D337))</f>
        <v>1.1267137532921272E-17</v>
      </c>
      <c r="E338" s="8">
        <f>IF((B338&gt;B337), (EXP(-LN(2)/inputs!$C$51)*E337+$E$3), (EXP(-LN(2)/inputs!$C$51)*E337))</f>
        <v>5.1641047025889162E-18</v>
      </c>
      <c r="F338" s="8">
        <f>IF((B338&gt;B337), (EXP(-LN(2)/inputs!$C$51)*F337+$F$3), (EXP(-LN(2)/inputs!$C$51)*F337))</f>
        <v>6.3377648622682228E-18</v>
      </c>
      <c r="G338" s="8">
        <f>IF((B338&gt;B337), (EXP(-LN(2)/inputs!$C$51)*G337+$G$3), (EXP(-LN(2)/inputs!$C$51)*G337))</f>
        <v>7.0419609580757949E-19</v>
      </c>
      <c r="H338" s="8">
        <f>IF((B338&gt;B337), (EXP(-LN(2)/inputs!$C$51)*H337+$H$3), (EXP(-LN(2)/inputs!$C$51)*H337))</f>
        <v>4.4129622003941674E-18</v>
      </c>
      <c r="I338" s="7">
        <f>O338*(10^inputs!$C$55)*0.01/1</f>
        <v>1.0248637156011667E-2</v>
      </c>
      <c r="J338" s="7">
        <f>(((0.621*15^0.564)/0.2))*D338/15+J337*inputs!$C$53</f>
        <v>1.2124168325901194E-17</v>
      </c>
      <c r="K338" s="7">
        <f>(((0.621*1000^0.564)/0.2))*D338/1000+K337*inputs!$C$53</f>
        <v>1.942798440607693E-18</v>
      </c>
      <c r="L338" s="7">
        <f>(((0.648*20^0.651)/0.2))*H338/20+L337*inputs!$C$54</f>
        <v>6.6471662161687874E-18</v>
      </c>
      <c r="M338" s="7">
        <f>(((0.013*2^0.773)/0.2))*H338/2+M337*inputs!$C$54</f>
        <v>3.2413844519654356E-19</v>
      </c>
      <c r="N338" s="7">
        <f>O338*0.015*inputs!$C$56</f>
        <v>1.505725660654552E-3</v>
      </c>
      <c r="O338" s="7">
        <f>IF((B338&gt;B337), (EXP(-LN(2)/inputs!$C$52)*O337+$O$3), (EXP(-LN(2)/inputs!$C$52)*O337))</f>
        <v>1.6242995260566903E-4</v>
      </c>
      <c r="P338" s="3">
        <f>IF((B338&gt;B337), (EXP(-LN(2)/inputs!$C$52)*P337+$P$3), (EXP(-LN(2)/inputs!$C$52)*P337))</f>
        <v>1.569568625837988E-4</v>
      </c>
      <c r="Q338" s="19">
        <f>IF((F338*0.62*1/(0.012*(10^inputs!$C$55)))&gt;inputs!$C$57, inputs!$C$57, (F338*0.62*1/(0.012*(10^inputs!$C$55))))</f>
        <v>5.1897515325745405E-20</v>
      </c>
      <c r="R338" s="3">
        <f>IF((B338&gt;B337), (EXP(-LN(2)/inputs!$C$51)*R337+$R$3), (EXP(-LN(2)/inputs!$C$51)*R337))</f>
        <v>1.2058097678786618E-25</v>
      </c>
      <c r="T338" s="7">
        <f>IF(T337&lt;(inputs!$C$9-1),(1+T337),0)</f>
        <v>0</v>
      </c>
      <c r="U338" s="7">
        <f>IF(inputs!$C$8&gt;U337,IF(T337=(inputs!$C$9-1),(U337+1),U337), U337)</f>
        <v>1</v>
      </c>
      <c r="V338" s="7">
        <f t="shared" si="10"/>
        <v>335</v>
      </c>
      <c r="W338" s="8">
        <f>IF((U338&gt;U337), (EXP(-LN(2)/inputs!$C$51)*W337+$W$3), (EXP(-LN(2)/inputs!$C$51)*W337))</f>
        <v>3.990444542909625E-18</v>
      </c>
      <c r="X338" s="8">
        <f>IF((U338&gt;U337), (EXP(-LN(2)/inputs!$C$51)*X337+$X$3), (EXP(-LN(2)/inputs!$C$51)*X337))</f>
        <v>1.6900706299381906E-18</v>
      </c>
      <c r="Y338" s="8">
        <f>IF((U338&gt;U337), (EXP(-LN(2)/inputs!$C$51)*Y337+$Y$3), (EXP(-LN(2)/inputs!$C$51)*Y337))</f>
        <v>2.1125882874227426E-18</v>
      </c>
      <c r="Z338" s="8">
        <f>IF((U338&gt;U337), (EXP(-LN(2)/inputs!$C$51)*Z337+$Z$3), (EXP(-LN(2)/inputs!$C$51)*Z337))</f>
        <v>3.286248447102037E-19</v>
      </c>
      <c r="AA338" s="8">
        <f>IF((U338&gt;U337), (EXP(-LN(2)/inputs!$C$51)*AA337+$AA$3), (EXP(-LN(2)/inputs!$C$51)*AA337))</f>
        <v>3.0515164151661771E-18</v>
      </c>
      <c r="AB338" s="7">
        <f>(((0.621*15^0.564)/0.2))*W338/15+AB337*inputs!$C$53</f>
        <v>4.2939762820900158E-18</v>
      </c>
      <c r="AC338" s="7">
        <f>(((0.621*1000^0.564)/0.2))*W338/1000+AC337*inputs!$C$53</f>
        <v>6.8807444771522591E-19</v>
      </c>
      <c r="AD338" s="7">
        <f>(((0.648*20^0.651)/0.2))*AA338/20+AD337*inputs!$C$54</f>
        <v>4.5964447239464979E-18</v>
      </c>
      <c r="AE338" s="7">
        <f>(((0.013*2^0.773)/0.2))*AA338/2+AE337*inputs!$C$54</f>
        <v>2.241382865720778E-19</v>
      </c>
    </row>
    <row r="339" spans="1:31" x14ac:dyDescent="0.3">
      <c r="A339" s="7">
        <f>IF(A338&lt;(inputs!$C$9-1),(1+A338),0)</f>
        <v>0</v>
      </c>
      <c r="B339" s="7">
        <f>IF(inputs!$C$8&gt;B338,IF(A338=(inputs!$C$9-1),(B338+1),B338), B338)</f>
        <v>1</v>
      </c>
      <c r="C339" s="7">
        <f t="shared" si="11"/>
        <v>336</v>
      </c>
      <c r="D339" s="8">
        <f>IF((B339&gt;B338), (EXP(-LN(2)/inputs!$C$51)*D338+$D$3), (EXP(-LN(2)/inputs!$C$51)*D338))</f>
        <v>9.8858833857039559E-18</v>
      </c>
      <c r="E339" s="8">
        <f>IF((B339&gt;B338), (EXP(-LN(2)/inputs!$C$51)*E338+$E$3), (EXP(-LN(2)/inputs!$C$51)*E338))</f>
        <v>4.5310298851143129E-18</v>
      </c>
      <c r="F339" s="8">
        <f>IF((B339&gt;B338), (EXP(-LN(2)/inputs!$C$51)*F338+$F$3), (EXP(-LN(2)/inputs!$C$51)*F338))</f>
        <v>5.5608094044584817E-18</v>
      </c>
      <c r="G339" s="8">
        <f>IF((B339&gt;B338), (EXP(-LN(2)/inputs!$C$51)*G338+$G$3), (EXP(-LN(2)/inputs!$C$51)*G338))</f>
        <v>6.1786771160649724E-19</v>
      </c>
      <c r="H339" s="8">
        <f>IF((B339&gt;B338), (EXP(-LN(2)/inputs!$C$51)*H338+$H$3), (EXP(-LN(2)/inputs!$C$51)*H338))</f>
        <v>3.871970992734052E-18</v>
      </c>
      <c r="I339" s="7">
        <f>O339*(10^inputs!$C$55)*0.01/1</f>
        <v>1.0041816805079477E-2</v>
      </c>
      <c r="J339" s="7">
        <f>(((0.621*15^0.564)/0.2))*D339/15+J338*inputs!$C$53</f>
        <v>1.0637849575217596E-17</v>
      </c>
      <c r="K339" s="7">
        <f>(((0.621*1000^0.564)/0.2))*D339/1000+K338*inputs!$C$53</f>
        <v>1.7046280627760709E-18</v>
      </c>
      <c r="L339" s="7">
        <f>(((0.648*20^0.651)/0.2))*H339/20+L338*inputs!$C$54</f>
        <v>5.8322808136875534E-18</v>
      </c>
      <c r="M339" s="7">
        <f>(((0.013*2^0.773)/0.2))*H339/2+M338*inputs!$C$54</f>
        <v>2.8440185989330043E-19</v>
      </c>
      <c r="N339" s="7">
        <f>O339*0.015*inputs!$C$56</f>
        <v>1.4753396976427276E-3</v>
      </c>
      <c r="O339" s="7">
        <f>IF((B339&gt;B338), (EXP(-LN(2)/inputs!$C$52)*O338+$O$3), (EXP(-LN(2)/inputs!$C$52)*O338))</f>
        <v>1.5915207094312057E-4</v>
      </c>
      <c r="P339" s="3">
        <f>IF((B339&gt;B338), (EXP(-LN(2)/inputs!$C$52)*P338+$P$3), (EXP(-LN(2)/inputs!$C$52)*P338))</f>
        <v>1.537894294015483E-4</v>
      </c>
      <c r="Q339" s="19">
        <f>IF((F339*0.62*1/(0.012*(10^inputs!$C$55)))&gt;inputs!$C$57, inputs!$C$57, (F339*0.62*1/(0.012*(10^inputs!$C$55))))</f>
        <v>4.5535326343449882E-20</v>
      </c>
      <c r="R339" s="3">
        <f>IF((B339&gt;B338), (EXP(-LN(2)/inputs!$C$51)*R338+$R$3), (EXP(-LN(2)/inputs!$C$51)*R338))</f>
        <v>1.0579878621132387E-25</v>
      </c>
      <c r="T339" s="7">
        <f>IF(T338&lt;(inputs!$C$9-1),(1+T338),0)</f>
        <v>0</v>
      </c>
      <c r="U339" s="7">
        <f>IF(inputs!$C$8&gt;U338,IF(T338=(inputs!$C$9-1),(U338+1),U338), U338)</f>
        <v>1</v>
      </c>
      <c r="V339" s="7">
        <f t="shared" si="10"/>
        <v>336</v>
      </c>
      <c r="W339" s="8">
        <f>IF((U339&gt;U338), (EXP(-LN(2)/inputs!$C$51)*W338+$W$3), (EXP(-LN(2)/inputs!$C$51)*W338))</f>
        <v>3.5012503657701581E-18</v>
      </c>
      <c r="X339" s="8">
        <f>IF((U339&gt;U338), (EXP(-LN(2)/inputs!$C$51)*X338+$X$3), (EXP(-LN(2)/inputs!$C$51)*X338))</f>
        <v>1.4828825078555933E-18</v>
      </c>
      <c r="Y339" s="8">
        <f>IF((U339&gt;U338), (EXP(-LN(2)/inputs!$C$51)*Y338+$Y$3), (EXP(-LN(2)/inputs!$C$51)*Y338))</f>
        <v>1.8536031348194953E-18</v>
      </c>
      <c r="Z339" s="8">
        <f>IF((U339&gt;U338), (EXP(-LN(2)/inputs!$C$51)*Z338+$Z$3), (EXP(-LN(2)/inputs!$C$51)*Z338))</f>
        <v>2.8833826541636532E-19</v>
      </c>
      <c r="AA339" s="8">
        <f>IF((U339&gt;U338), (EXP(-LN(2)/inputs!$C$51)*AA338+$AA$3), (EXP(-LN(2)/inputs!$C$51)*AA338))</f>
        <v>2.6774267502948207E-18</v>
      </c>
      <c r="AB339" s="7">
        <f>(((0.621*15^0.564)/0.2))*W339/15+AB338*inputs!$C$53</f>
        <v>3.7675717245562393E-18</v>
      </c>
      <c r="AC339" s="7">
        <f>(((0.621*1000^0.564)/0.2))*W339/1000+AC338*inputs!$C$53</f>
        <v>6.0372243889985952E-19</v>
      </c>
      <c r="AD339" s="7">
        <f>(((0.648*20^0.651)/0.2))*AA339/20+AD338*inputs!$C$54</f>
        <v>4.0329601371243688E-18</v>
      </c>
      <c r="AE339" s="7">
        <f>(((0.013*2^0.773)/0.2))*AA339/2+AE338*inputs!$C$54</f>
        <v>1.9666086056451608E-19</v>
      </c>
    </row>
    <row r="340" spans="1:31" x14ac:dyDescent="0.3">
      <c r="A340" s="7">
        <f>IF(A339&lt;(inputs!$C$9-1),(1+A339),0)</f>
        <v>0</v>
      </c>
      <c r="B340" s="7">
        <f>IF(inputs!$C$8&gt;B339,IF(A339=(inputs!$C$9-1),(B339+1),B339), B339)</f>
        <v>1</v>
      </c>
      <c r="C340" s="7">
        <f t="shared" si="11"/>
        <v>337</v>
      </c>
      <c r="D340" s="8">
        <f>IF((B340&gt;B339), (EXP(-LN(2)/inputs!$C$51)*D339+$D$3), (EXP(-LN(2)/inputs!$C$51)*D339))</f>
        <v>8.6739591160736039E-18</v>
      </c>
      <c r="E340" s="8">
        <f>IF((B340&gt;B339), (EXP(-LN(2)/inputs!$C$51)*E339+$E$3), (EXP(-LN(2)/inputs!$C$51)*E339))</f>
        <v>3.9755645948670676E-18</v>
      </c>
      <c r="F340" s="8">
        <f>IF((B340&gt;B339), (EXP(-LN(2)/inputs!$C$51)*F339+$F$3), (EXP(-LN(2)/inputs!$C$51)*F339))</f>
        <v>4.8791020027914077E-18</v>
      </c>
      <c r="G340" s="8">
        <f>IF((B340&gt;B339), (EXP(-LN(2)/inputs!$C$51)*G339+$G$3), (EXP(-LN(2)/inputs!$C$51)*G339))</f>
        <v>5.4212244475460025E-19</v>
      </c>
      <c r="H340" s="8">
        <f>IF((B340&gt;B339), (EXP(-LN(2)/inputs!$C$51)*H339+$H$3), (EXP(-LN(2)/inputs!$C$51)*H339))</f>
        <v>3.3973006537954968E-18</v>
      </c>
      <c r="I340" s="7">
        <f>O340*(10^inputs!$C$55)*0.01/1</f>
        <v>9.8391701464059338E-3</v>
      </c>
      <c r="J340" s="7">
        <f>(((0.621*15^0.564)/0.2))*D340/15+J339*inputs!$C$53</f>
        <v>9.3337407187924111E-18</v>
      </c>
      <c r="K340" s="7">
        <f>(((0.621*1000^0.564)/0.2))*D340/1000+K339*inputs!$C$53</f>
        <v>1.4956553246433537E-18</v>
      </c>
      <c r="L340" s="7">
        <f>(((0.648*20^0.651)/0.2))*H340/20+L339*inputs!$C$54</f>
        <v>5.1172933523111729E-18</v>
      </c>
      <c r="M340" s="7">
        <f>(((0.013*2^0.773)/0.2))*H340/2+M339*inputs!$C$54</f>
        <v>2.4953663815387179E-19</v>
      </c>
      <c r="N340" s="7">
        <f>O340*0.015*inputs!$C$56</f>
        <v>1.4455669318236474E-3</v>
      </c>
      <c r="O340" s="7">
        <f>IF((B340&gt;B339), (EXP(-LN(2)/inputs!$C$52)*O339+$O$3), (EXP(-LN(2)/inputs!$C$52)*O339))</f>
        <v>1.5594033784505366E-4</v>
      </c>
      <c r="P340" s="3">
        <f>IF((B340&gt;B339), (EXP(-LN(2)/inputs!$C$52)*P339+$P$3), (EXP(-LN(2)/inputs!$C$52)*P339))</f>
        <v>1.506859159026991E-4</v>
      </c>
      <c r="Q340" s="19">
        <f>IF((F340*0.62*1/(0.012*(10^inputs!$C$55)))&gt;inputs!$C$57, inputs!$C$57, (F340*0.62*1/(0.012*(10^inputs!$C$55))))</f>
        <v>3.9953087005995311E-20</v>
      </c>
      <c r="R340" s="3">
        <f>IF((B340&gt;B339), (EXP(-LN(2)/inputs!$C$51)*R339+$R$3), (EXP(-LN(2)/inputs!$C$51)*R339))</f>
        <v>9.2828765050407023E-26</v>
      </c>
      <c r="T340" s="7">
        <f>IF(T339&lt;(inputs!$C$9-1),(1+T339),0)</f>
        <v>0</v>
      </c>
      <c r="U340" s="7">
        <f>IF(inputs!$C$8&gt;U339,IF(T339=(inputs!$C$9-1),(U339+1),U339), U339)</f>
        <v>1</v>
      </c>
      <c r="V340" s="7">
        <f t="shared" si="10"/>
        <v>337</v>
      </c>
      <c r="W340" s="8">
        <f>IF((U340&gt;U339), (EXP(-LN(2)/inputs!$C$51)*W339+$W$3), (EXP(-LN(2)/inputs!$C$51)*W339))</f>
        <v>3.0720271869427407E-18</v>
      </c>
      <c r="X340" s="8">
        <f>IF((U340&gt;U339), (EXP(-LN(2)/inputs!$C$51)*X339+$X$3), (EXP(-LN(2)/inputs!$C$51)*X339))</f>
        <v>1.3010938674110405E-18</v>
      </c>
      <c r="Y340" s="8">
        <f>IF((U340&gt;U339), (EXP(-LN(2)/inputs!$C$51)*Y339+$Y$3), (EXP(-LN(2)/inputs!$C$51)*Y339))</f>
        <v>1.6263673342638037E-18</v>
      </c>
      <c r="Z340" s="8">
        <f>IF((U340&gt;U339), (EXP(-LN(2)/inputs!$C$51)*Z339+$Z$3), (EXP(-LN(2)/inputs!$C$51)*Z339))</f>
        <v>2.5299047421881338E-19</v>
      </c>
      <c r="AA340" s="8">
        <f>IF((U340&gt;U339), (EXP(-LN(2)/inputs!$C$51)*AA339+$AA$3), (EXP(-LN(2)/inputs!$C$51)*AA339))</f>
        <v>2.349197260603267E-18</v>
      </c>
      <c r="AB340" s="7">
        <f>(((0.621*15^0.564)/0.2))*W340/15+AB339*inputs!$C$53</f>
        <v>3.3056998379056513E-18</v>
      </c>
      <c r="AC340" s="7">
        <f>(((0.621*1000^0.564)/0.2))*W340/1000+AC339*inputs!$C$53</f>
        <v>5.2971126081118873E-19</v>
      </c>
      <c r="AD340" s="7">
        <f>(((0.648*20^0.651)/0.2))*AA340/20+AD339*inputs!$C$54</f>
        <v>3.5385539138321909E-18</v>
      </c>
      <c r="AE340" s="7">
        <f>(((0.013*2^0.773)/0.2))*AA340/2+AE339*inputs!$C$54</f>
        <v>1.7255193063831544E-19</v>
      </c>
    </row>
    <row r="341" spans="1:31" x14ac:dyDescent="0.3">
      <c r="A341" s="7">
        <f>IF(A340&lt;(inputs!$C$9-1),(1+A340),0)</f>
        <v>0</v>
      </c>
      <c r="B341" s="7">
        <f>IF(inputs!$C$8&gt;B340,IF(A340=(inputs!$C$9-1),(B340+1),B340), B340)</f>
        <v>1</v>
      </c>
      <c r="C341" s="7">
        <f t="shared" si="11"/>
        <v>338</v>
      </c>
      <c r="D341" s="8">
        <f>IF((B341&gt;B340), (EXP(-LN(2)/inputs!$C$51)*D340+$D$3), (EXP(-LN(2)/inputs!$C$51)*D340))</f>
        <v>7.610606337529526E-18</v>
      </c>
      <c r="E341" s="8">
        <f>IF((B341&gt;B340), (EXP(-LN(2)/inputs!$C$51)*E340+$E$3), (EXP(-LN(2)/inputs!$C$51)*E340))</f>
        <v>3.4881945713676984E-18</v>
      </c>
      <c r="F341" s="8">
        <f>IF((B341&gt;B340), (EXP(-LN(2)/inputs!$C$51)*F340+$F$3), (EXP(-LN(2)/inputs!$C$51)*F340))</f>
        <v>4.2809660648603626E-18</v>
      </c>
      <c r="G341" s="8">
        <f>IF((B341&gt;B340), (EXP(-LN(2)/inputs!$C$51)*G340+$G$3), (EXP(-LN(2)/inputs!$C$51)*G340))</f>
        <v>4.7566289609559538E-19</v>
      </c>
      <c r="H341" s="8">
        <f>IF((B341&gt;B340), (EXP(-LN(2)/inputs!$C$51)*H340+$H$3), (EXP(-LN(2)/inputs!$C$51)*H340))</f>
        <v>2.9808208155323993E-18</v>
      </c>
      <c r="I341" s="7">
        <f>O341*(10^inputs!$C$55)*0.01/1</f>
        <v>9.6406129537193377E-3</v>
      </c>
      <c r="J341" s="7">
        <f>(((0.621*15^0.564)/0.2))*D341/15+J340*inputs!$C$53</f>
        <v>8.189504390868532E-18</v>
      </c>
      <c r="K341" s="7">
        <f>(((0.621*1000^0.564)/0.2))*D341/1000+K340*inputs!$C$53</f>
        <v>1.312300846726045E-18</v>
      </c>
      <c r="L341" s="7">
        <f>(((0.648*20^0.651)/0.2))*H341/20+L340*inputs!$C$54</f>
        <v>4.4899572037326451E-18</v>
      </c>
      <c r="M341" s="7">
        <f>(((0.013*2^0.773)/0.2))*H341/2+M340*inputs!$C$54</f>
        <v>2.1894559270638294E-19</v>
      </c>
      <c r="N341" s="7">
        <f>O341*0.015*inputs!$C$56</f>
        <v>1.4163949887072531E-3</v>
      </c>
      <c r="O341" s="7">
        <f>IF((B341&gt;B340), (EXP(-LN(2)/inputs!$C$52)*O340+$O$3), (EXP(-LN(2)/inputs!$C$52)*O340))</f>
        <v>1.5279341841502192E-4</v>
      </c>
      <c r="P341" s="3">
        <f>IF((B341&gt;B340), (EXP(-LN(2)/inputs!$C$52)*P340+$P$3), (EXP(-LN(2)/inputs!$C$52)*P340))</f>
        <v>1.4764503217024557E-4</v>
      </c>
      <c r="Q341" s="19">
        <f>IF((F341*0.62*1/(0.012*(10^inputs!$C$55)))&gt;inputs!$C$57, inputs!$C$57, (F341*0.62*1/(0.012*(10^inputs!$C$55))))</f>
        <v>3.505518219566349E-20</v>
      </c>
      <c r="R341" s="3">
        <f>IF((B341&gt;B340), (EXP(-LN(2)/inputs!$C$51)*R340+$R$3), (EXP(-LN(2)/inputs!$C$51)*R340))</f>
        <v>8.1448756922140892E-26</v>
      </c>
      <c r="T341" s="7">
        <f>IF(T340&lt;(inputs!$C$9-1),(1+T340),0)</f>
        <v>0</v>
      </c>
      <c r="U341" s="7">
        <f>IF(inputs!$C$8&gt;U340,IF(T340=(inputs!$C$9-1),(U340+1),U340), U340)</f>
        <v>1</v>
      </c>
      <c r="V341" s="7">
        <f t="shared" si="10"/>
        <v>338</v>
      </c>
      <c r="W341" s="8">
        <f>IF((U341&gt;U340), (EXP(-LN(2)/inputs!$C$51)*W340+$W$3), (EXP(-LN(2)/inputs!$C$51)*W340))</f>
        <v>2.6954230778750457E-18</v>
      </c>
      <c r="X341" s="8">
        <f>IF((U341&gt;U340), (EXP(-LN(2)/inputs!$C$51)*X340+$X$3), (EXP(-LN(2)/inputs!$C$51)*X340))</f>
        <v>1.1415909506294287E-18</v>
      </c>
      <c r="Y341" s="8">
        <f>IF((U341&gt;U340), (EXP(-LN(2)/inputs!$C$51)*Y340+$Y$3), (EXP(-LN(2)/inputs!$C$51)*Y340))</f>
        <v>1.4269886882867886E-18</v>
      </c>
      <c r="Z341" s="8">
        <f>IF((U341&gt;U340), (EXP(-LN(2)/inputs!$C$51)*Z340+$Z$3), (EXP(-LN(2)/inputs!$C$51)*Z340))</f>
        <v>2.2197601817794445E-19</v>
      </c>
      <c r="AA341" s="8">
        <f>IF((U341&gt;U340), (EXP(-LN(2)/inputs!$C$51)*AA340+$AA$3), (EXP(-LN(2)/inputs!$C$51)*AA340))</f>
        <v>2.0612058830809127E-18</v>
      </c>
      <c r="AB341" s="7">
        <f>(((0.621*15^0.564)/0.2))*W341/15+AB340*inputs!$C$53</f>
        <v>2.9004494717659438E-18</v>
      </c>
      <c r="AC341" s="7">
        <f>(((0.621*1000^0.564)/0.2))*W341/1000+AC340*inputs!$C$53</f>
        <v>4.6477321654880849E-19</v>
      </c>
      <c r="AD341" s="7">
        <f>(((0.648*20^0.651)/0.2))*AA341/20+AD340*inputs!$C$54</f>
        <v>3.1047576408789545E-18</v>
      </c>
      <c r="AE341" s="7">
        <f>(((0.013*2^0.773)/0.2))*AA341/2+AE340*inputs!$C$54</f>
        <v>1.5139854814803062E-19</v>
      </c>
    </row>
    <row r="342" spans="1:31" x14ac:dyDescent="0.3">
      <c r="A342" s="7">
        <f>IF(A341&lt;(inputs!$C$9-1),(1+A341),0)</f>
        <v>0</v>
      </c>
      <c r="B342" s="7">
        <f>IF(inputs!$C$8&gt;B341,IF(A341=(inputs!$C$9-1),(B341+1),B341), B341)</f>
        <v>1</v>
      </c>
      <c r="C342" s="7">
        <f t="shared" si="11"/>
        <v>339</v>
      </c>
      <c r="D342" s="8">
        <f>IF((B342&gt;B341), (EXP(-LN(2)/inputs!$C$51)*D341+$D$3), (EXP(-LN(2)/inputs!$C$51)*D341))</f>
        <v>6.6776114632026913E-18</v>
      </c>
      <c r="E342" s="8">
        <f>IF((B342&gt;B341), (EXP(-LN(2)/inputs!$C$51)*E341+$E$3), (EXP(-LN(2)/inputs!$C$51)*E341))</f>
        <v>3.0605719206345662E-18</v>
      </c>
      <c r="F342" s="8">
        <f>IF((B342&gt;B341), (EXP(-LN(2)/inputs!$C$51)*F341+$F$3), (EXP(-LN(2)/inputs!$C$51)*F341))</f>
        <v>3.7561564480515177E-18</v>
      </c>
      <c r="G342" s="8">
        <f>IF((B342&gt;B341), (EXP(-LN(2)/inputs!$C$51)*G341+$G$3), (EXP(-LN(2)/inputs!$C$51)*G341))</f>
        <v>4.1735071645016821E-19</v>
      </c>
      <c r="H342" s="8">
        <f>IF((B342&gt;B341), (EXP(-LN(2)/inputs!$C$51)*H341+$H$3), (EXP(-LN(2)/inputs!$C$51)*H341))</f>
        <v>2.6153978230877224E-18</v>
      </c>
      <c r="I342" s="7">
        <f>O342*(10^inputs!$C$55)*0.01/1</f>
        <v>9.4460627004576067E-3</v>
      </c>
      <c r="J342" s="7">
        <f>(((0.621*15^0.564)/0.2))*D342/15+J341*inputs!$C$53</f>
        <v>7.185541594595756E-18</v>
      </c>
      <c r="K342" s="7">
        <f>(((0.621*1000^0.564)/0.2))*D342/1000+K341*inputs!$C$53</f>
        <v>1.1514240506772813E-18</v>
      </c>
      <c r="L342" s="7">
        <f>(((0.648*20^0.651)/0.2))*H342/20+L341*inputs!$C$54</f>
        <v>3.9395270709359954E-18</v>
      </c>
      <c r="M342" s="7">
        <f>(((0.013*2^0.773)/0.2))*H342/2+M341*inputs!$C$54</f>
        <v>1.9210474630178287E-19</v>
      </c>
      <c r="N342" s="7">
        <f>O342*0.015*inputs!$C$56</f>
        <v>1.3878117435241416E-3</v>
      </c>
      <c r="O342" s="7">
        <f>IF((B342&gt;B341), (EXP(-LN(2)/inputs!$C$52)*O341+$O$3), (EXP(-LN(2)/inputs!$C$52)*O341))</f>
        <v>1.497100046951609E-4</v>
      </c>
      <c r="P342" s="3">
        <f>IF((B342&gt;B341), (EXP(-LN(2)/inputs!$C$52)*P341+$P$3), (EXP(-LN(2)/inputs!$C$52)*P341))</f>
        <v>1.4466551431806628E-4</v>
      </c>
      <c r="Q342" s="19">
        <f>IF((F342*0.62*1/(0.012*(10^inputs!$C$55)))&gt;inputs!$C$57, inputs!$C$57, (F342*0.62*1/(0.012*(10^inputs!$C$55))))</f>
        <v>3.0757718385734765E-20</v>
      </c>
      <c r="R342" s="3">
        <f>IF((B342&gt;B341), (EXP(-LN(2)/inputs!$C$51)*R341+$R$3), (EXP(-LN(2)/inputs!$C$51)*R341))</f>
        <v>7.1463839905224572E-26</v>
      </c>
      <c r="T342" s="7">
        <f>IF(T341&lt;(inputs!$C$9-1),(1+T341),0)</f>
        <v>0</v>
      </c>
      <c r="U342" s="7">
        <f>IF(inputs!$C$8&gt;U341,IF(T341=(inputs!$C$9-1),(U341+1),U341), U341)</f>
        <v>1</v>
      </c>
      <c r="V342" s="7">
        <f t="shared" si="10"/>
        <v>339</v>
      </c>
      <c r="W342" s="8">
        <f>IF((U342&gt;U341), (EXP(-LN(2)/inputs!$C$51)*W341+$W$3), (EXP(-LN(2)/inputs!$C$51)*W341))</f>
        <v>2.3649873932176243E-18</v>
      </c>
      <c r="X342" s="8">
        <f>IF((U342&gt;U341), (EXP(-LN(2)/inputs!$C$51)*X341+$X$3), (EXP(-LN(2)/inputs!$C$51)*X341))</f>
        <v>1.0016417194804035E-18</v>
      </c>
      <c r="Y342" s="8">
        <f>IF((U342&gt;U341), (EXP(-LN(2)/inputs!$C$51)*Y341+$Y$3), (EXP(-LN(2)/inputs!$C$51)*Y341))</f>
        <v>1.2520521493505069E-18</v>
      </c>
      <c r="Z342" s="8">
        <f>IF((U342&gt;U341), (EXP(-LN(2)/inputs!$C$51)*Z341+$Z$3), (EXP(-LN(2)/inputs!$C$51)*Z341))</f>
        <v>1.947636676767451E-19</v>
      </c>
      <c r="AA342" s="8">
        <f>IF((U342&gt;U341), (EXP(-LN(2)/inputs!$C$51)*AA341+$AA$3), (EXP(-LN(2)/inputs!$C$51)*AA341))</f>
        <v>1.8085197712840616E-18</v>
      </c>
      <c r="AB342" s="7">
        <f>(((0.621*15^0.564)/0.2))*W342/15+AB341*inputs!$C$53</f>
        <v>2.5448793147526682E-18</v>
      </c>
      <c r="AC342" s="7">
        <f>(((0.621*1000^0.564)/0.2))*W342/1000+AC341*inputs!$C$53</f>
        <v>4.0779601794820461E-19</v>
      </c>
      <c r="AD342" s="7">
        <f>(((0.648*20^0.651)/0.2))*AA342/20+AD341*inputs!$C$54</f>
        <v>2.7241410596897817E-18</v>
      </c>
      <c r="AE342" s="7">
        <f>(((0.013*2^0.773)/0.2))*AA342/2+AE341*inputs!$C$54</f>
        <v>1.3283838840016887E-19</v>
      </c>
    </row>
    <row r="343" spans="1:31" x14ac:dyDescent="0.3">
      <c r="A343" s="7">
        <f>IF(A342&lt;(inputs!$C$9-1),(1+A342),0)</f>
        <v>0</v>
      </c>
      <c r="B343" s="7">
        <f>IF(inputs!$C$8&gt;B342,IF(A342=(inputs!$C$9-1),(B342+1),B342), B342)</f>
        <v>1</v>
      </c>
      <c r="C343" s="7">
        <f t="shared" si="11"/>
        <v>340</v>
      </c>
      <c r="D343" s="8">
        <f>IF((B343&gt;B342), (EXP(-LN(2)/inputs!$C$51)*D342+$D$3), (EXP(-LN(2)/inputs!$C$51)*D342))</f>
        <v>5.8589937353099884E-18</v>
      </c>
      <c r="E343" s="8">
        <f>IF((B343&gt;B342), (EXP(-LN(2)/inputs!$C$51)*E342+$E$3), (EXP(-LN(2)/inputs!$C$51)*E342))</f>
        <v>2.6853721286837442E-18</v>
      </c>
      <c r="F343" s="8">
        <f>IF((B343&gt;B342), (EXP(-LN(2)/inputs!$C$51)*F342+$F$3), (EXP(-LN(2)/inputs!$C$51)*F342))</f>
        <v>3.2956839761118718E-18</v>
      </c>
      <c r="G343" s="8">
        <f>IF((B343&gt;B342), (EXP(-LN(2)/inputs!$C$51)*G342+$G$3), (EXP(-LN(2)/inputs!$C$51)*G342))</f>
        <v>3.6618710845687427E-19</v>
      </c>
      <c r="H343" s="8">
        <f>IF((B343&gt;B342), (EXP(-LN(2)/inputs!$C$51)*H342+$H$3), (EXP(-LN(2)/inputs!$C$51)*H342))</f>
        <v>2.2947725463297469E-18</v>
      </c>
      <c r="I343" s="7">
        <f>O343*(10^inputs!$C$55)*0.01/1</f>
        <v>9.2554385254676533E-3</v>
      </c>
      <c r="J343" s="7">
        <f>(((0.621*15^0.564)/0.2))*D343/15+J342*inputs!$C$53</f>
        <v>6.3046560015568824E-18</v>
      </c>
      <c r="K343" s="7">
        <f>(((0.621*1000^0.564)/0.2))*D343/1000+K342*inputs!$C$53</f>
        <v>1.0102693660418302E-18</v>
      </c>
      <c r="L343" s="7">
        <f>(((0.648*20^0.651)/0.2))*H343/20+L342*inputs!$C$54</f>
        <v>3.4565749378937005E-18</v>
      </c>
      <c r="M343" s="7">
        <f>(((0.013*2^0.773)/0.2))*H343/2+M342*inputs!$C$54</f>
        <v>1.685543567947622E-19</v>
      </c>
      <c r="N343" s="7">
        <f>O343*0.015*inputs!$C$56</f>
        <v>1.3598053161861308E-3</v>
      </c>
      <c r="O343" s="7">
        <f>IF((B343&gt;B342), (EXP(-LN(2)/inputs!$C$52)*O342+$O$3), (EXP(-LN(2)/inputs!$C$52)*O342))</f>
        <v>1.4668881512255996E-4</v>
      </c>
      <c r="P343" s="3">
        <f>IF((B343&gt;B342), (EXP(-LN(2)/inputs!$C$52)*P342+$P$3), (EXP(-LN(2)/inputs!$C$52)*P342))</f>
        <v>1.4174612396561362E-4</v>
      </c>
      <c r="Q343" s="19">
        <f>IF((F343*0.62*1/(0.012*(10^inputs!$C$55)))&gt;inputs!$C$57, inputs!$C$57, (F343*0.62*1/(0.012*(10^inputs!$C$55))))</f>
        <v>2.6987086674254855E-20</v>
      </c>
      <c r="R343" s="3">
        <f>IF((B343&gt;B342), (EXP(-LN(2)/inputs!$C$51)*R342+$R$3), (EXP(-LN(2)/inputs!$C$51)*R342))</f>
        <v>6.270298782928715E-26</v>
      </c>
      <c r="T343" s="7">
        <f>IF(T342&lt;(inputs!$C$9-1),(1+T342),0)</f>
        <v>0</v>
      </c>
      <c r="U343" s="7">
        <f>IF(inputs!$C$8&gt;U342,IF(T342=(inputs!$C$9-1),(U342+1),U342), U342)</f>
        <v>1</v>
      </c>
      <c r="V343" s="7">
        <f t="shared" si="10"/>
        <v>340</v>
      </c>
      <c r="W343" s="8">
        <f>IF((U343&gt;U342), (EXP(-LN(2)/inputs!$C$51)*W342+$W$3), (EXP(-LN(2)/inputs!$C$51)*W342))</f>
        <v>2.0750602812556251E-18</v>
      </c>
      <c r="X343" s="8">
        <f>IF((U343&gt;U342), (EXP(-LN(2)/inputs!$C$51)*X342+$X$3), (EXP(-LN(2)/inputs!$C$51)*X342))</f>
        <v>8.7884906029649802E-19</v>
      </c>
      <c r="Y343" s="8">
        <f>IF((U343&gt;U342), (EXP(-LN(2)/inputs!$C$51)*Y342+$Y$3), (EXP(-LN(2)/inputs!$C$51)*Y342))</f>
        <v>1.0985613253706248E-18</v>
      </c>
      <c r="Z343" s="8">
        <f>IF((U343&gt;U342), (EXP(-LN(2)/inputs!$C$51)*Z342+$Z$3), (EXP(-LN(2)/inputs!$C$51)*Z342))</f>
        <v>1.7088731727987462E-19</v>
      </c>
      <c r="AA343" s="8">
        <f>IF((U343&gt;U342), (EXP(-LN(2)/inputs!$C$51)*AA342+$AA$3), (EXP(-LN(2)/inputs!$C$51)*AA342))</f>
        <v>1.5868108033131213E-18</v>
      </c>
      <c r="AB343" s="7">
        <f>(((0.621*15^0.564)/0.2))*W343/15+AB342*inputs!$C$53</f>
        <v>2.2328990005513999E-18</v>
      </c>
      <c r="AC343" s="7">
        <f>(((0.621*1000^0.564)/0.2))*W343/1000+AC342*inputs!$C$53</f>
        <v>3.578037338064823E-19</v>
      </c>
      <c r="AD343" s="7">
        <f>(((0.648*20^0.651)/0.2))*AA343/20+AD342*inputs!$C$54</f>
        <v>2.3901847974796843E-18</v>
      </c>
      <c r="AE343" s="7">
        <f>(((0.013*2^0.773)/0.2))*AA343/2+AE342*inputs!$C$54</f>
        <v>1.1655354459212267E-19</v>
      </c>
    </row>
    <row r="344" spans="1:31" x14ac:dyDescent="0.3">
      <c r="A344" s="7">
        <f>IF(A343&lt;(inputs!$C$9-1),(1+A343),0)</f>
        <v>0</v>
      </c>
      <c r="B344" s="7">
        <f>IF(inputs!$C$8&gt;B343,IF(A343=(inputs!$C$9-1),(B343+1),B343), B343)</f>
        <v>1</v>
      </c>
      <c r="C344" s="7">
        <f t="shared" si="11"/>
        <v>341</v>
      </c>
      <c r="D344" s="8">
        <f>IF((B344&gt;B343), (EXP(-LN(2)/inputs!$C$51)*D343+$D$3), (EXP(-LN(2)/inputs!$C$51)*D343))</f>
        <v>5.1407314995139769E-18</v>
      </c>
      <c r="E344" s="8">
        <f>IF((B344&gt;B343), (EXP(-LN(2)/inputs!$C$51)*E343+$E$3), (EXP(-LN(2)/inputs!$C$51)*E343))</f>
        <v>2.3561686039439057E-18</v>
      </c>
      <c r="F344" s="8">
        <f>IF((B344&gt;B343), (EXP(-LN(2)/inputs!$C$51)*F343+$F$3), (EXP(-LN(2)/inputs!$C$51)*F343))</f>
        <v>2.8916614684766149E-18</v>
      </c>
      <c r="G344" s="8">
        <f>IF((B344&gt;B343), (EXP(-LN(2)/inputs!$C$51)*G343+$G$3), (EXP(-LN(2)/inputs!$C$51)*G343))</f>
        <v>3.2129571871962356E-19</v>
      </c>
      <c r="H344" s="8">
        <f>IF((B344&gt;B343), (EXP(-LN(2)/inputs!$C$51)*H343+$H$3), (EXP(-LN(2)/inputs!$C$51)*H343))</f>
        <v>2.0134531706429755E-18</v>
      </c>
      <c r="I344" s="7">
        <f>O344*(10^inputs!$C$55)*0.01/1</f>
        <v>9.0686611993969681E-3</v>
      </c>
      <c r="J344" s="7">
        <f>(((0.621*15^0.564)/0.2))*D344/15+J343*inputs!$C$53</f>
        <v>5.531759405284383E-18</v>
      </c>
      <c r="K344" s="7">
        <f>(((0.621*1000^0.564)/0.2))*D344/1000+K343*inputs!$C$53</f>
        <v>8.86419031600223E-19</v>
      </c>
      <c r="L344" s="7">
        <f>(((0.648*20^0.651)/0.2))*H344/20+L343*inputs!$C$54</f>
        <v>3.0328285822481037E-18</v>
      </c>
      <c r="M344" s="7">
        <f>(((0.013*2^0.773)/0.2))*H344/2+M343*inputs!$C$54</f>
        <v>1.4789104247255306E-19</v>
      </c>
      <c r="N344" s="7">
        <f>O344*0.015*inputs!$C$56</f>
        <v>1.3323640663485264E-3</v>
      </c>
      <c r="O344" s="7">
        <f>IF((B344&gt;B343), (EXP(-LN(2)/inputs!$C$52)*O343+$O$3), (EXP(-LN(2)/inputs!$C$52)*O343))</f>
        <v>1.4372859399660478E-4</v>
      </c>
      <c r="P344" s="3">
        <f>IF((B344&gt;B343), (EXP(-LN(2)/inputs!$C$52)*P343+$P$3), (EXP(-LN(2)/inputs!$C$52)*P343))</f>
        <v>1.388856477232042E-4</v>
      </c>
      <c r="Q344" s="19">
        <f>IF((F344*0.62*1/(0.012*(10^inputs!$C$55)))&gt;inputs!$C$57, inputs!$C$57, (F344*0.62*1/(0.012*(10^inputs!$C$55))))</f>
        <v>2.3678701977501895E-20</v>
      </c>
      <c r="R344" s="3">
        <f>IF((B344&gt;B343), (EXP(-LN(2)/inputs!$C$51)*R343+$R$3), (EXP(-LN(2)/inputs!$C$51)*R343))</f>
        <v>5.5016140861363045E-26</v>
      </c>
      <c r="T344" s="7">
        <f>IF(T343&lt;(inputs!$C$9-1),(1+T343),0)</f>
        <v>0</v>
      </c>
      <c r="U344" s="7">
        <f>IF(inputs!$C$8&gt;U343,IF(T343=(inputs!$C$9-1),(U343+1),U343), U343)</f>
        <v>1</v>
      </c>
      <c r="V344" s="7">
        <f t="shared" si="10"/>
        <v>341</v>
      </c>
      <c r="W344" s="8">
        <f>IF((U344&gt;U343), (EXP(-LN(2)/inputs!$C$51)*W343+$W$3), (EXP(-LN(2)/inputs!$C$51)*W343))</f>
        <v>1.8206757394112038E-18</v>
      </c>
      <c r="X344" s="8">
        <f>IF((U344&gt;U343), (EXP(-LN(2)/inputs!$C$51)*X343+$X$3), (EXP(-LN(2)/inputs!$C$51)*X343))</f>
        <v>7.7110972492709626E-19</v>
      </c>
      <c r="Y344" s="8">
        <f>IF((U344&gt;U343), (EXP(-LN(2)/inputs!$C$51)*Y343+$Y$3), (EXP(-LN(2)/inputs!$C$51)*Y343))</f>
        <v>9.638871561588724E-19</v>
      </c>
      <c r="Z344" s="8">
        <f>IF((U344&gt;U343), (EXP(-LN(2)/inputs!$C$51)*Z343+$Z$3), (EXP(-LN(2)/inputs!$C$51)*Z343))</f>
        <v>1.4993800206915763E-19</v>
      </c>
      <c r="AA344" s="8">
        <f>IF((U344&gt;U343), (EXP(-LN(2)/inputs!$C$51)*AA343+$AA$3), (EXP(-LN(2)/inputs!$C$51)*AA343))</f>
        <v>1.3922814477850348E-18</v>
      </c>
      <c r="AB344" s="7">
        <f>(((0.621*15^0.564)/0.2))*W344/15+AB343*inputs!$C$53</f>
        <v>1.9591647893715557E-18</v>
      </c>
      <c r="AC344" s="7">
        <f>(((0.621*1000^0.564)/0.2))*W344/1000+AC343*inputs!$C$53</f>
        <v>3.1394007369174628E-19</v>
      </c>
      <c r="AD344" s="7">
        <f>(((0.648*20^0.651)/0.2))*AA344/20+AD343*inputs!$C$54</f>
        <v>2.097168700490708E-18</v>
      </c>
      <c r="AE344" s="7">
        <f>(((0.013*2^0.773)/0.2))*AA344/2+AE343*inputs!$C$54</f>
        <v>1.0226508256080786E-19</v>
      </c>
    </row>
    <row r="345" spans="1:31" x14ac:dyDescent="0.3">
      <c r="A345" s="7">
        <f>IF(A344&lt;(inputs!$C$9-1),(1+A344),0)</f>
        <v>0</v>
      </c>
      <c r="B345" s="7">
        <f>IF(inputs!$C$8&gt;B344,IF(A344=(inputs!$C$9-1),(B344+1),B344), B344)</f>
        <v>1</v>
      </c>
      <c r="C345" s="7">
        <f t="shared" si="11"/>
        <v>342</v>
      </c>
      <c r="D345" s="8">
        <f>IF((B345&gt;B344), (EXP(-LN(2)/inputs!$C$51)*D344+$D$3), (EXP(-LN(2)/inputs!$C$51)*D344))</f>
        <v>4.510522035691682E-18</v>
      </c>
      <c r="E345" s="8">
        <f>IF((B345&gt;B344), (EXP(-LN(2)/inputs!$C$51)*E344+$E$3), (EXP(-LN(2)/inputs!$C$51)*E344))</f>
        <v>2.0673225996920207E-18</v>
      </c>
      <c r="F345" s="8">
        <f>IF((B345&gt;B344), (EXP(-LN(2)/inputs!$C$51)*F344+$F$3), (EXP(-LN(2)/inputs!$C$51)*F344))</f>
        <v>2.5371686450765736E-18</v>
      </c>
      <c r="G345" s="8">
        <f>IF((B345&gt;B344), (EXP(-LN(2)/inputs!$C$51)*G344+$G$3), (EXP(-LN(2)/inputs!$C$51)*G344))</f>
        <v>2.8190762723073012E-19</v>
      </c>
      <c r="H345" s="8">
        <f>IF((B345&gt;B344), (EXP(-LN(2)/inputs!$C$51)*H344+$H$3), (EXP(-LN(2)/inputs!$C$51)*H344))</f>
        <v>1.7666211306459097E-18</v>
      </c>
      <c r="I345" s="7">
        <f>O345*(10^inputs!$C$55)*0.01/1</f>
        <v>8.885653091763434E-3</v>
      </c>
      <c r="J345" s="7">
        <f>(((0.621*15^0.564)/0.2))*D345/15+J344*inputs!$C$53</f>
        <v>4.8536132836423941E-18</v>
      </c>
      <c r="K345" s="7">
        <f>(((0.621*1000^0.564)/0.2))*D345/1000+K344*inputs!$C$53</f>
        <v>7.7775168286211669E-19</v>
      </c>
      <c r="L345" s="7">
        <f>(((0.648*20^0.651)/0.2))*H345/20+L344*inputs!$C$54</f>
        <v>2.6610298849490496E-18</v>
      </c>
      <c r="M345" s="7">
        <f>(((0.013*2^0.773)/0.2))*H345/2+M344*inputs!$C$54</f>
        <v>1.2976087275068377E-19</v>
      </c>
      <c r="N345" s="7">
        <f>O345*0.015*inputs!$C$56</f>
        <v>1.3054765885720295E-3</v>
      </c>
      <c r="O345" s="7">
        <f>IF((B345&gt;B344), (EXP(-LN(2)/inputs!$C$52)*O344+$O$3), (EXP(-LN(2)/inputs!$C$52)*O344))</f>
        <v>1.4082811095706899E-4</v>
      </c>
      <c r="P345" s="3">
        <f>IF((B345&gt;B344), (EXP(-LN(2)/inputs!$C$52)*P344+$P$3), (EXP(-LN(2)/inputs!$C$52)*P344))</f>
        <v>1.3608289668769617E-4</v>
      </c>
      <c r="Q345" s="19">
        <f>IF((F345*0.62*1/(0.012*(10^inputs!$C$55)))&gt;inputs!$C$57, inputs!$C$57, (F345*0.62*1/(0.012*(10^inputs!$C$55))))</f>
        <v>2.0775896787489497E-20</v>
      </c>
      <c r="R345" s="3">
        <f>IF((B345&gt;B344), (EXP(-LN(2)/inputs!$C$51)*R344+$R$3), (EXP(-LN(2)/inputs!$C$51)*R344))</f>
        <v>4.8271635213268132E-26</v>
      </c>
      <c r="T345" s="7">
        <f>IF(T344&lt;(inputs!$C$9-1),(1+T344),0)</f>
        <v>0</v>
      </c>
      <c r="U345" s="7">
        <f>IF(inputs!$C$8&gt;U344,IF(T344=(inputs!$C$9-1),(U344+1),U344), U344)</f>
        <v>1</v>
      </c>
      <c r="V345" s="7">
        <f t="shared" si="10"/>
        <v>342</v>
      </c>
      <c r="W345" s="8">
        <f>IF((U345&gt;U344), (EXP(-LN(2)/inputs!$C$51)*W344+$W$3), (EXP(-LN(2)/inputs!$C$51)*W344))</f>
        <v>1.597476554307474E-18</v>
      </c>
      <c r="X345" s="8">
        <f>IF((U345&gt;U344), (EXP(-LN(2)/inputs!$C$51)*X344+$X$3), (EXP(-LN(2)/inputs!$C$51)*X344))</f>
        <v>6.7657830535375203E-19</v>
      </c>
      <c r="Y345" s="8">
        <f>IF((U345&gt;U344), (EXP(-LN(2)/inputs!$C$51)*Y344+$Y$3), (EXP(-LN(2)/inputs!$C$51)*Y344))</f>
        <v>8.4572288169219186E-19</v>
      </c>
      <c r="Z345" s="8">
        <f>IF((U345&gt;U344), (EXP(-LN(2)/inputs!$C$51)*Z344+$Z$3), (EXP(-LN(2)/inputs!$C$51)*Z344))</f>
        <v>1.3155689270767403E-19</v>
      </c>
      <c r="AA345" s="8">
        <f>IF((U345&gt;U344), (EXP(-LN(2)/inputs!$C$51)*AA344+$AA$3), (EXP(-LN(2)/inputs!$C$51)*AA344))</f>
        <v>1.2215997179998301E-18</v>
      </c>
      <c r="AB345" s="7">
        <f>(((0.621*15^0.564)/0.2))*W345/15+AB344*inputs!$C$53</f>
        <v>1.7189880379566847E-18</v>
      </c>
      <c r="AC345" s="7">
        <f>(((0.621*1000^0.564)/0.2))*W345/1000+AC344*inputs!$C$53</f>
        <v>2.754537210136669E-19</v>
      </c>
      <c r="AD345" s="7">
        <f>(((0.648*20^0.651)/0.2))*AA345/20+AD344*inputs!$C$54</f>
        <v>1.8400738566137032E-18</v>
      </c>
      <c r="AE345" s="7">
        <f>(((0.013*2^0.773)/0.2))*AA345/2+AE344*inputs!$C$54</f>
        <v>8.9728263072281247E-20</v>
      </c>
    </row>
    <row r="346" spans="1:31" x14ac:dyDescent="0.3">
      <c r="A346" s="7">
        <f>IF(A345&lt;(inputs!$C$9-1),(1+A345),0)</f>
        <v>0</v>
      </c>
      <c r="B346" s="7">
        <f>IF(inputs!$C$8&gt;B345,IF(A345=(inputs!$C$9-1),(B345+1),B345), B345)</f>
        <v>1</v>
      </c>
      <c r="C346" s="7">
        <f t="shared" si="11"/>
        <v>343</v>
      </c>
      <c r="D346" s="8">
        <f>IF((B346&gt;B345), (EXP(-LN(2)/inputs!$C$51)*D345+$D$3), (EXP(-LN(2)/inputs!$C$51)*D345))</f>
        <v>3.9575708313853202E-18</v>
      </c>
      <c r="E346" s="8">
        <f>IF((B346&gt;B345), (EXP(-LN(2)/inputs!$C$51)*E345+$E$3), (EXP(-LN(2)/inputs!$C$51)*E345))</f>
        <v>1.8138866310516049E-18</v>
      </c>
      <c r="F346" s="8">
        <f>IF((B346&gt;B345), (EXP(-LN(2)/inputs!$C$51)*F345+$F$3), (EXP(-LN(2)/inputs!$C$51)*F345))</f>
        <v>2.226133592654245E-18</v>
      </c>
      <c r="G346" s="8">
        <f>IF((B346&gt;B345), (EXP(-LN(2)/inputs!$C$51)*G345+$G$3), (EXP(-LN(2)/inputs!$C$51)*G345))</f>
        <v>2.4734817696158251E-19</v>
      </c>
      <c r="H346" s="8">
        <f>IF((B346&gt;B345), (EXP(-LN(2)/inputs!$C$51)*H345+$H$3), (EXP(-LN(2)/inputs!$C$51)*H345))</f>
        <v>1.550048575625918E-18</v>
      </c>
      <c r="I346" s="7">
        <f>O346*(10^inputs!$C$55)*0.01/1</f>
        <v>8.7063381386896753E-3</v>
      </c>
      <c r="J346" s="7">
        <f>(((0.621*15^0.564)/0.2))*D346/15+J345*inputs!$C$53</f>
        <v>4.2586020434377202E-18</v>
      </c>
      <c r="K346" s="7">
        <f>(((0.621*1000^0.564)/0.2))*D346/1000+K345*inputs!$C$53</f>
        <v>6.8240601637676095E-19</v>
      </c>
      <c r="L346" s="7">
        <f>(((0.648*20^0.651)/0.2))*H346/20+L345*inputs!$C$54</f>
        <v>2.3348105099111987E-18</v>
      </c>
      <c r="M346" s="7">
        <f>(((0.013*2^0.773)/0.2))*H346/2+M345*inputs!$C$54</f>
        <v>1.1385330589000394E-19</v>
      </c>
      <c r="N346" s="7">
        <f>O346*0.015*inputs!$C$56</f>
        <v>1.2791317075822825E-3</v>
      </c>
      <c r="O346" s="7">
        <f>IF((B346&gt;B345), (EXP(-LN(2)/inputs!$C$52)*O345+$O$3), (EXP(-LN(2)/inputs!$C$52)*O345))</f>
        <v>1.3798616047273814E-4</v>
      </c>
      <c r="P346" s="3">
        <f>IF((B346&gt;B345), (EXP(-LN(2)/inputs!$C$52)*P345+$P$3), (EXP(-LN(2)/inputs!$C$52)*P345))</f>
        <v>1.3333670594834415E-4</v>
      </c>
      <c r="Q346" s="19">
        <f>IF((F346*0.62*1/(0.012*(10^inputs!$C$55)))&gt;inputs!$C$57, inputs!$C$57, (F346*0.62*1/(0.012*(10^inputs!$C$55))))</f>
        <v>1.8228950545284671E-20</v>
      </c>
      <c r="R346" s="3">
        <f>IF((B346&gt;B345), (EXP(-LN(2)/inputs!$C$51)*R345+$R$3), (EXP(-LN(2)/inputs!$C$51)*R345))</f>
        <v>4.2353947944743167E-26</v>
      </c>
      <c r="T346" s="7">
        <f>IF(T345&lt;(inputs!$C$9-1),(1+T345),0)</f>
        <v>0</v>
      </c>
      <c r="U346" s="7">
        <f>IF(inputs!$C$8&gt;U345,IF(T345=(inputs!$C$9-1),(U345+1),U345), U345)</f>
        <v>1</v>
      </c>
      <c r="V346" s="7">
        <f t="shared" si="10"/>
        <v>343</v>
      </c>
      <c r="W346" s="8">
        <f>IF((U346&gt;U345), (EXP(-LN(2)/inputs!$C$51)*W345+$W$3), (EXP(-LN(2)/inputs!$C$51)*W345))</f>
        <v>1.4016396694489706E-18</v>
      </c>
      <c r="X346" s="8">
        <f>IF((U346&gt;U345), (EXP(-LN(2)/inputs!$C$51)*X345+$X$3), (EXP(-LN(2)/inputs!$C$51)*X345))</f>
        <v>5.9363562470779782E-19</v>
      </c>
      <c r="Y346" s="8">
        <f>IF((U346&gt;U345), (EXP(-LN(2)/inputs!$C$51)*Y345+$Y$3), (EXP(-LN(2)/inputs!$C$51)*Y345))</f>
        <v>7.4204453088474888E-19</v>
      </c>
      <c r="Z346" s="8">
        <f>IF((U346&gt;U345), (EXP(-LN(2)/inputs!$C$51)*Z345+$Z$3), (EXP(-LN(2)/inputs!$C$51)*Z345))</f>
        <v>1.1542914924873849E-19</v>
      </c>
      <c r="AA346" s="8">
        <f>IF((U346&gt;U345), (EXP(-LN(2)/inputs!$C$51)*AA345+$AA$3), (EXP(-LN(2)/inputs!$C$51)*AA345))</f>
        <v>1.0718421001668573E-18</v>
      </c>
      <c r="AB346" s="7">
        <f>(((0.621*15^0.564)/0.2))*W346/15+AB345*inputs!$C$53</f>
        <v>1.5082548903841957E-18</v>
      </c>
      <c r="AC346" s="7">
        <f>(((0.621*1000^0.564)/0.2))*W346/1000+AC345*inputs!$C$53</f>
        <v>2.4168546413343667E-19</v>
      </c>
      <c r="AD346" s="7">
        <f>(((0.648*20^0.651)/0.2))*AA346/20+AD345*inputs!$C$54</f>
        <v>1.6144966291939128E-18</v>
      </c>
      <c r="AE346" s="7">
        <f>(((0.013*2^0.773)/0.2))*AA346/2+AE345*inputs!$C$54</f>
        <v>7.8728349817555846E-20</v>
      </c>
    </row>
    <row r="347" spans="1:31" x14ac:dyDescent="0.3">
      <c r="A347" s="7">
        <f>IF(A346&lt;(inputs!$C$9-1),(1+A346),0)</f>
        <v>0</v>
      </c>
      <c r="B347" s="7">
        <f>IF(inputs!$C$8&gt;B346,IF(A346=(inputs!$C$9-1),(B346+1),B346), B346)</f>
        <v>1</v>
      </c>
      <c r="C347" s="7">
        <f t="shared" si="11"/>
        <v>344</v>
      </c>
      <c r="D347" s="8">
        <f>IF((B347&gt;B346), (EXP(-LN(2)/inputs!$C$51)*D346+$D$3), (EXP(-LN(2)/inputs!$C$51)*D346))</f>
        <v>3.4724066885154002E-18</v>
      </c>
      <c r="E347" s="8">
        <f>IF((B347&gt;B346), (EXP(-LN(2)/inputs!$C$51)*E346+$E$3), (EXP(-LN(2)/inputs!$C$51)*E346))</f>
        <v>1.591519732236225E-18</v>
      </c>
      <c r="F347" s="8">
        <f>IF((B347&gt;B346), (EXP(-LN(2)/inputs!$C$51)*F346+$F$3), (EXP(-LN(2)/inputs!$C$51)*F346))</f>
        <v>1.9532287622899148E-18</v>
      </c>
      <c r="G347" s="8">
        <f>IF((B347&gt;B346), (EXP(-LN(2)/inputs!$C$51)*G346+$G$3), (EXP(-LN(2)/inputs!$C$51)*G346))</f>
        <v>2.1702541803221251E-19</v>
      </c>
      <c r="H347" s="8">
        <f>IF((B347&gt;B346), (EXP(-LN(2)/inputs!$C$51)*H346+$H$3), (EXP(-LN(2)/inputs!$C$51)*H346))</f>
        <v>1.3600259530018658E-18</v>
      </c>
      <c r="I347" s="7">
        <f>O347*(10^inputs!$C$55)*0.01/1</f>
        <v>8.5306418112885349E-3</v>
      </c>
      <c r="J347" s="7">
        <f>(((0.621*15^0.564)/0.2))*D347/15+J346*inputs!$C$53</f>
        <v>3.7365340632910905E-18</v>
      </c>
      <c r="K347" s="7">
        <f>(((0.621*1000^0.564)/0.2))*D347/1000+K346*inputs!$C$53</f>
        <v>5.9874890848646034E-19</v>
      </c>
      <c r="L347" s="7">
        <f>(((0.648*20^0.651)/0.2))*H347/20+L346*inputs!$C$54</f>
        <v>2.0485828242760109E-18</v>
      </c>
      <c r="M347" s="7">
        <f>(((0.013*2^0.773)/0.2))*H347/2+M346*inputs!$C$54</f>
        <v>9.9895869897457212E-20</v>
      </c>
      <c r="N347" s="7">
        <f>O347*0.015*inputs!$C$56</f>
        <v>1.2533184736250752E-3</v>
      </c>
      <c r="O347" s="7">
        <f>IF((B347&gt;B346), (EXP(-LN(2)/inputs!$C$52)*O346+$O$3), (EXP(-LN(2)/inputs!$C$52)*O346))</f>
        <v>1.3520156134035329E-4</v>
      </c>
      <c r="P347" s="3">
        <f>IF((B347&gt;B346), (EXP(-LN(2)/inputs!$C$52)*P346+$P$3), (EXP(-LN(2)/inputs!$C$52)*P346))</f>
        <v>1.3064593410262582E-4</v>
      </c>
      <c r="Q347" s="19">
        <f>IF((F347*0.62*1/(0.012*(10^inputs!$C$55)))&gt;inputs!$C$57, inputs!$C$57, (F347*0.62*1/(0.012*(10^inputs!$C$55))))</f>
        <v>1.5994238004808068E-20</v>
      </c>
      <c r="R347" s="3">
        <f>IF((B347&gt;B346), (EXP(-LN(2)/inputs!$C$51)*R346+$R$3), (EXP(-LN(2)/inputs!$C$51)*R346))</f>
        <v>3.716171823433376E-26</v>
      </c>
      <c r="T347" s="7">
        <f>IF(T346&lt;(inputs!$C$9-1),(1+T346),0)</f>
        <v>0</v>
      </c>
      <c r="U347" s="7">
        <f>IF(inputs!$C$8&gt;U346,IF(T346=(inputs!$C$9-1),(U346+1),U346), U346)</f>
        <v>1</v>
      </c>
      <c r="V347" s="7">
        <f t="shared" si="10"/>
        <v>344</v>
      </c>
      <c r="W347" s="8">
        <f>IF((U347&gt;U346), (EXP(-LN(2)/inputs!$C$51)*W346+$W$3), (EXP(-LN(2)/inputs!$C$51)*W346))</f>
        <v>1.2298107021825402E-18</v>
      </c>
      <c r="X347" s="8">
        <f>IF((U347&gt;U346), (EXP(-LN(2)/inputs!$C$51)*X346+$X$3), (EXP(-LN(2)/inputs!$C$51)*X346))</f>
        <v>5.2086100327730985E-19</v>
      </c>
      <c r="Y347" s="8">
        <f>IF((U347&gt;U346), (EXP(-LN(2)/inputs!$C$51)*Y346+$Y$3), (EXP(-LN(2)/inputs!$C$51)*Y346))</f>
        <v>6.5107625409663873E-19</v>
      </c>
      <c r="Z347" s="8">
        <f>IF((U347&gt;U346), (EXP(-LN(2)/inputs!$C$51)*Z346+$Z$3), (EXP(-LN(2)/inputs!$C$51)*Z346))</f>
        <v>1.012785284150325E-19</v>
      </c>
      <c r="AA347" s="8">
        <f>IF((U347&gt;U346), (EXP(-LN(2)/inputs!$C$51)*AA346+$AA$3), (EXP(-LN(2)/inputs!$C$51)*AA346))</f>
        <v>9.404434781395873E-19</v>
      </c>
      <c r="AB347" s="7">
        <f>(((0.621*15^0.564)/0.2))*W347/15+AB346*inputs!$C$53</f>
        <v>1.323355814082264E-18</v>
      </c>
      <c r="AC347" s="7">
        <f>(((0.621*1000^0.564)/0.2))*W347/1000+AC346*inputs!$C$53</f>
        <v>2.1205690508895516E-19</v>
      </c>
      <c r="AD347" s="7">
        <f>(((0.648*20^0.651)/0.2))*AA347/20+AD346*inputs!$C$54</f>
        <v>1.4165732295525595E-18</v>
      </c>
      <c r="AE347" s="7">
        <f>(((0.013*2^0.773)/0.2))*AA347/2+AE346*inputs!$C$54</f>
        <v>6.9076931312071419E-20</v>
      </c>
    </row>
    <row r="348" spans="1:31" x14ac:dyDescent="0.3">
      <c r="A348" s="7">
        <f>IF(A347&lt;(inputs!$C$9-1),(1+A347),0)</f>
        <v>0</v>
      </c>
      <c r="B348" s="7">
        <f>IF(inputs!$C$8&gt;B347,IF(A347=(inputs!$C$9-1),(B347+1),B347), B347)</f>
        <v>1</v>
      </c>
      <c r="C348" s="7">
        <f t="shared" si="11"/>
        <v>345</v>
      </c>
      <c r="D348" s="8">
        <f>IF((B348&gt;B347), (EXP(-LN(2)/inputs!$C$51)*D347+$D$3), (EXP(-LN(2)/inputs!$C$51)*D347))</f>
        <v>3.0467194964204356E-18</v>
      </c>
      <c r="E348" s="8">
        <f>IF((B348&gt;B347), (EXP(-LN(2)/inputs!$C$51)*E347+$E$3), (EXP(-LN(2)/inputs!$C$51)*E347))</f>
        <v>1.3964131025260329E-18</v>
      </c>
      <c r="F348" s="8">
        <f>IF((B348&gt;B347), (EXP(-LN(2)/inputs!$C$51)*F347+$F$3), (EXP(-LN(2)/inputs!$C$51)*F347))</f>
        <v>1.713779716736497E-18</v>
      </c>
      <c r="G348" s="8">
        <f>IF((B348&gt;B347), (EXP(-LN(2)/inputs!$C$51)*G347+$G$3), (EXP(-LN(2)/inputs!$C$51)*G347))</f>
        <v>1.9041996852627723E-19</v>
      </c>
      <c r="H348" s="8">
        <f>IF((B348&gt;B347), (EXP(-LN(2)/inputs!$C$51)*H347+$H$3), (EXP(-LN(2)/inputs!$C$51)*H347))</f>
        <v>1.1932984694313379E-18</v>
      </c>
      <c r="I348" s="7">
        <f>O348*(10^inputs!$C$55)*0.01/1</f>
        <v>8.3584910846865486E-3</v>
      </c>
      <c r="J348" s="7">
        <f>(((0.621*15^0.564)/0.2))*D348/15+J347*inputs!$C$53</f>
        <v>3.2784671269410689E-18</v>
      </c>
      <c r="K348" s="7">
        <f>(((0.621*1000^0.564)/0.2))*D348/1000+K347*inputs!$C$53</f>
        <v>5.2534744244663489E-19</v>
      </c>
      <c r="L348" s="7">
        <f>(((0.648*20^0.651)/0.2))*H348/20+L347*inputs!$C$54</f>
        <v>1.7974441909113605E-18</v>
      </c>
      <c r="M348" s="7">
        <f>(((0.013*2^0.773)/0.2))*H348/2+M347*inputs!$C$54</f>
        <v>8.764949550266723E-20</v>
      </c>
      <c r="N348" s="7">
        <f>O348*0.015*inputs!$C$56</f>
        <v>1.2280261579152845E-3</v>
      </c>
      <c r="O348" s="7">
        <f>IF((B348&gt;B347), (EXP(-LN(2)/inputs!$C$52)*O347+$O$3), (EXP(-LN(2)/inputs!$C$52)*O347))</f>
        <v>1.3247315619366608E-4</v>
      </c>
      <c r="P348" s="3">
        <f>IF((B348&gt;B347), (EXP(-LN(2)/inputs!$C$52)*P347+$P$3), (EXP(-LN(2)/inputs!$C$52)*P347))</f>
        <v>1.280094627818396E-4</v>
      </c>
      <c r="Q348" s="19">
        <f>IF((F348*0.62*1/(0.012*(10^inputs!$C$55)))&gt;inputs!$C$57, inputs!$C$57, (F348*0.62*1/(0.012*(10^inputs!$C$55))))</f>
        <v>1.4033481999906968E-20</v>
      </c>
      <c r="R348" s="3">
        <f>IF((B348&gt;B347), (EXP(-LN(2)/inputs!$C$51)*R347+$R$3), (EXP(-LN(2)/inputs!$C$51)*R347))</f>
        <v>3.2606011225440401E-26</v>
      </c>
      <c r="T348" s="7">
        <f>IF(T347&lt;(inputs!$C$9-1),(1+T347),0)</f>
        <v>0</v>
      </c>
      <c r="U348" s="7">
        <f>IF(inputs!$C$8&gt;U347,IF(T347=(inputs!$C$9-1),(U347+1),U347), U347)</f>
        <v>1</v>
      </c>
      <c r="V348" s="7">
        <f t="shared" si="10"/>
        <v>345</v>
      </c>
      <c r="W348" s="8">
        <f>IF((U348&gt;U347), (EXP(-LN(2)/inputs!$C$51)*W347+$W$3), (EXP(-LN(2)/inputs!$C$51)*W347))</f>
        <v>1.0790464883155733E-18</v>
      </c>
      <c r="X348" s="8">
        <f>IF((U348&gt;U347), (EXP(-LN(2)/inputs!$C$51)*X347+$X$3), (EXP(-LN(2)/inputs!$C$51)*X347))</f>
        <v>4.5700792446306515E-19</v>
      </c>
      <c r="Y348" s="8">
        <f>IF((U348&gt;U347), (EXP(-LN(2)/inputs!$C$51)*Y347+$Y$3), (EXP(-LN(2)/inputs!$C$51)*Y347))</f>
        <v>5.7125990557883274E-19</v>
      </c>
      <c r="Z348" s="8">
        <f>IF((U348&gt;U347), (EXP(-LN(2)/inputs!$C$51)*Z347+$Z$3), (EXP(-LN(2)/inputs!$C$51)*Z347))</f>
        <v>8.8862651978929365E-20</v>
      </c>
      <c r="AA348" s="8">
        <f>IF((U348&gt;U347), (EXP(-LN(2)/inputs!$C$51)*AA347+$AA$3), (EXP(-LN(2)/inputs!$C$51)*AA347))</f>
        <v>8.2515319694720116E-19</v>
      </c>
      <c r="AB348" s="7">
        <f>(((0.621*15^0.564)/0.2))*W348/15+AB347*inputs!$C$53</f>
        <v>1.1611237741249647E-18</v>
      </c>
      <c r="AC348" s="7">
        <f>(((0.621*1000^0.564)/0.2))*W348/1000+AC347*inputs!$C$53</f>
        <v>1.8606055253318358E-19</v>
      </c>
      <c r="AD348" s="7">
        <f>(((0.648*20^0.651)/0.2))*AA348/20+AD347*inputs!$C$54</f>
        <v>1.2429135362684932E-18</v>
      </c>
      <c r="AE348" s="7">
        <f>(((0.013*2^0.773)/0.2))*AA348/2+AE347*inputs!$C$54</f>
        <v>6.0608693698652817E-20</v>
      </c>
    </row>
    <row r="349" spans="1:31" x14ac:dyDescent="0.3">
      <c r="A349" s="7">
        <f>IF(A348&lt;(inputs!$C$9-1),(1+A348),0)</f>
        <v>0</v>
      </c>
      <c r="B349" s="7">
        <f>IF(inputs!$C$8&gt;B348,IF(A348=(inputs!$C$9-1),(B348+1),B348), B348)</f>
        <v>1</v>
      </c>
      <c r="C349" s="7">
        <f t="shared" si="11"/>
        <v>346</v>
      </c>
      <c r="D349" s="8">
        <f>IF((B349&gt;B348), (EXP(-LN(2)/inputs!$C$51)*D348+$D$3), (EXP(-LN(2)/inputs!$C$51)*D348))</f>
        <v>2.6732178925265958E-18</v>
      </c>
      <c r="E349" s="8">
        <f>IF((B349&gt;B348), (EXP(-LN(2)/inputs!$C$51)*E348+$E$3), (EXP(-LN(2)/inputs!$C$51)*E348))</f>
        <v>1.2252248674080229E-18</v>
      </c>
      <c r="F349" s="8">
        <f>IF((B349&gt;B348), (EXP(-LN(2)/inputs!$C$51)*F348+$F$3), (EXP(-LN(2)/inputs!$C$51)*F348))</f>
        <v>1.5036850645462118E-18</v>
      </c>
      <c r="G349" s="8">
        <f>IF((B349&gt;B348), (EXP(-LN(2)/inputs!$C$51)*G348+$G$3), (EXP(-LN(2)/inputs!$C$51)*G348))</f>
        <v>1.6707611828291224E-19</v>
      </c>
      <c r="H349" s="8">
        <f>IF((B349&gt;B348), (EXP(-LN(2)/inputs!$C$51)*H348+$H$3), (EXP(-LN(2)/inputs!$C$51)*H348))</f>
        <v>1.0470103412395838E-18</v>
      </c>
      <c r="I349" s="7">
        <f>O349*(10^inputs!$C$55)*0.01/1</f>
        <v>8.1898144076725313E-3</v>
      </c>
      <c r="J349" s="7">
        <f>(((0.621*15^0.564)/0.2))*D349/15+J348*inputs!$C$53</f>
        <v>2.8765552569233704E-18</v>
      </c>
      <c r="K349" s="7">
        <f>(((0.621*1000^0.564)/0.2))*D349/1000+K348*inputs!$C$53</f>
        <v>4.6094436478035155E-19</v>
      </c>
      <c r="L349" s="7">
        <f>(((0.648*20^0.651)/0.2))*H349/20+L348*inputs!$C$54</f>
        <v>1.5770929938274741E-18</v>
      </c>
      <c r="M349" s="7">
        <f>(((0.013*2^0.773)/0.2))*H349/2+M348*inputs!$C$54</f>
        <v>7.6904421271450723E-20</v>
      </c>
      <c r="N349" s="7">
        <f>O349*0.015*inputs!$C$56</f>
        <v>1.2032442481776599E-3</v>
      </c>
      <c r="O349" s="7">
        <f>IF((B349&gt;B348), (EXP(-LN(2)/inputs!$C$52)*O348+$O$3), (EXP(-LN(2)/inputs!$C$52)*O348))</f>
        <v>1.2979981102240128E-4</v>
      </c>
      <c r="P349" s="3">
        <f>IF((B349&gt;B348), (EXP(-LN(2)/inputs!$C$52)*P348+$P$3), (EXP(-LN(2)/inputs!$C$52)*P348))</f>
        <v>1.2542619618627557E-4</v>
      </c>
      <c r="Q349" s="19">
        <f>IF((F349*0.62*1/(0.012*(10^inputs!$C$55)))&gt;inputs!$C$57, inputs!$C$57, (F349*0.62*1/(0.012*(10^inputs!$C$55))))</f>
        <v>1.2313097815757817E-20</v>
      </c>
      <c r="R349" s="3">
        <f>IF((B349&gt;B348), (EXP(-LN(2)/inputs!$C$51)*R348+$R$3), (EXP(-LN(2)/inputs!$C$51)*R348))</f>
        <v>2.8608794709909244E-26</v>
      </c>
      <c r="T349" s="7">
        <f>IF(T348&lt;(inputs!$C$9-1),(1+T348),0)</f>
        <v>0</v>
      </c>
      <c r="U349" s="7">
        <f>IF(inputs!$C$8&gt;U348,IF(T348=(inputs!$C$9-1),(U348+1),U348), U348)</f>
        <v>1</v>
      </c>
      <c r="V349" s="7">
        <f t="shared" si="10"/>
        <v>346</v>
      </c>
      <c r="W349" s="8">
        <f>IF((U349&gt;U348), (EXP(-LN(2)/inputs!$C$51)*W348+$W$3), (EXP(-LN(2)/inputs!$C$51)*W348))</f>
        <v>9.4676467026983805E-19</v>
      </c>
      <c r="X349" s="8">
        <f>IF((U349&gt;U348), (EXP(-LN(2)/inputs!$C$51)*X348+$X$3), (EXP(-LN(2)/inputs!$C$51)*X348))</f>
        <v>4.009826838789892E-19</v>
      </c>
      <c r="Y349" s="8">
        <f>IF((U349&gt;U348), (EXP(-LN(2)/inputs!$C$51)*Y348+$Y$3), (EXP(-LN(2)/inputs!$C$51)*Y348))</f>
        <v>5.0122835484873758E-19</v>
      </c>
      <c r="Z349" s="8">
        <f>IF((U349&gt;U348), (EXP(-LN(2)/inputs!$C$51)*Z348+$Z$3), (EXP(-LN(2)/inputs!$C$51)*Z348))</f>
        <v>7.7968855198692369E-20</v>
      </c>
      <c r="AA349" s="8">
        <f>IF((U349&gt;U348), (EXP(-LN(2)/inputs!$C$51)*AA348+$AA$3), (EXP(-LN(2)/inputs!$C$51)*AA348))</f>
        <v>7.2399651255928618E-19</v>
      </c>
      <c r="AB349" s="7">
        <f>(((0.621*15^0.564)/0.2))*W349/15+AB348*inputs!$C$53</f>
        <v>1.0187799868270292E-18</v>
      </c>
      <c r="AC349" s="7">
        <f>(((0.621*1000^0.564)/0.2))*W349/1000+AC348*inputs!$C$53</f>
        <v>1.6325112919304152E-19</v>
      </c>
      <c r="AD349" s="7">
        <f>(((0.648*20^0.651)/0.2))*AA349/20+AD348*inputs!$C$54</f>
        <v>1.0905430276466568E-18</v>
      </c>
      <c r="AE349" s="7">
        <f>(((0.013*2^0.773)/0.2))*AA349/2+AE348*inputs!$C$54</f>
        <v>5.3178589177066949E-20</v>
      </c>
    </row>
    <row r="350" spans="1:31" x14ac:dyDescent="0.3">
      <c r="A350" s="7">
        <f>IF(A349&lt;(inputs!$C$9-1),(1+A349),0)</f>
        <v>0</v>
      </c>
      <c r="B350" s="7">
        <f>IF(inputs!$C$8&gt;B349,IF(A349=(inputs!$C$9-1),(B349+1),B349), B349)</f>
        <v>1</v>
      </c>
      <c r="C350" s="7">
        <f t="shared" si="11"/>
        <v>347</v>
      </c>
      <c r="D350" s="8">
        <f>IF((B350&gt;B349), (EXP(-LN(2)/inputs!$C$51)*D349+$D$3), (EXP(-LN(2)/inputs!$C$51)*D349))</f>
        <v>2.3455043725949233E-18</v>
      </c>
      <c r="E350" s="8">
        <f>IF((B350&gt;B349), (EXP(-LN(2)/inputs!$C$51)*E349+$E$3), (EXP(-LN(2)/inputs!$C$51)*E349))</f>
        <v>1.0750228374393397E-18</v>
      </c>
      <c r="F350" s="8">
        <f>IF((B350&gt;B349), (EXP(-LN(2)/inputs!$C$51)*F349+$F$3), (EXP(-LN(2)/inputs!$C$51)*F349))</f>
        <v>1.3193462095846457E-18</v>
      </c>
      <c r="G350" s="8">
        <f>IF((B350&gt;B349), (EXP(-LN(2)/inputs!$C$51)*G349+$G$3), (EXP(-LN(2)/inputs!$C$51)*G349))</f>
        <v>1.4659402328718271E-19</v>
      </c>
      <c r="H350" s="8">
        <f>IF((B350&gt;B349), (EXP(-LN(2)/inputs!$C$51)*H349+$H$3), (EXP(-LN(2)/inputs!$C$51)*H349))</f>
        <v>9.1865587926634538E-19</v>
      </c>
      <c r="I350" s="7">
        <f>O350*(10^inputs!$C$55)*0.01/1</f>
        <v>8.0245416729586502E-3</v>
      </c>
      <c r="J350" s="7">
        <f>(((0.621*15^0.564)/0.2))*D350/15+J349*inputs!$C$53</f>
        <v>2.5239143251236312E-18</v>
      </c>
      <c r="K350" s="7">
        <f>(((0.621*1000^0.564)/0.2))*D350/1000+K349*inputs!$C$53</f>
        <v>4.0443655047268007E-19</v>
      </c>
      <c r="L350" s="7">
        <f>(((0.648*20^0.651)/0.2))*H350/20+L349*inputs!$C$54</f>
        <v>1.3837549581545593E-18</v>
      </c>
      <c r="M350" s="7">
        <f>(((0.013*2^0.773)/0.2))*H350/2+M349*inputs!$C$54</f>
        <v>6.7476600717191679E-20</v>
      </c>
      <c r="N350" s="7">
        <f>O350*0.015*inputs!$C$56</f>
        <v>1.17896244427759E-3</v>
      </c>
      <c r="O350" s="7">
        <f>IF((B350&gt;B349), (EXP(-LN(2)/inputs!$C$52)*O349+$O$3), (EXP(-LN(2)/inputs!$C$52)*O349))</f>
        <v>1.2718041470092666E-4</v>
      </c>
      <c r="P350" s="3">
        <f>IF((B350&gt;B349), (EXP(-LN(2)/inputs!$C$52)*P349+$P$3), (EXP(-LN(2)/inputs!$C$52)*P349))</f>
        <v>1.2289506062976708E-4</v>
      </c>
      <c r="Q350" s="19">
        <f>IF((F350*0.62*1/(0.012*(10^inputs!$C$55)))&gt;inputs!$C$57, inputs!$C$57, (F350*0.62*1/(0.012*(10^inputs!$C$55))))</f>
        <v>1.0803617934695393E-20</v>
      </c>
      <c r="R350" s="3">
        <f>IF((B350&gt;B349), (EXP(-LN(2)/inputs!$C$51)*R349+$R$3), (EXP(-LN(2)/inputs!$C$51)*R349))</f>
        <v>2.5101602557111808E-26</v>
      </c>
      <c r="T350" s="7">
        <f>IF(T349&lt;(inputs!$C$9-1),(1+T349),0)</f>
        <v>0</v>
      </c>
      <c r="U350" s="7">
        <f>IF(inputs!$C$8&gt;U349,IF(T349=(inputs!$C$9-1),(U349+1),U349), U349)</f>
        <v>1</v>
      </c>
      <c r="V350" s="7">
        <f t="shared" si="10"/>
        <v>347</v>
      </c>
      <c r="W350" s="8">
        <f>IF((U350&gt;U349), (EXP(-LN(2)/inputs!$C$51)*W349+$W$3), (EXP(-LN(2)/inputs!$C$51)*W349))</f>
        <v>8.3069946529403702E-19</v>
      </c>
      <c r="X350" s="8">
        <f>IF((U350&gt;U349), (EXP(-LN(2)/inputs!$C$51)*X349+$X$3), (EXP(-LN(2)/inputs!$C$51)*X349))</f>
        <v>3.5182565588923834E-19</v>
      </c>
      <c r="Y350" s="8">
        <f>IF((U350&gt;U349), (EXP(-LN(2)/inputs!$C$51)*Y349+$Y$3), (EXP(-LN(2)/inputs!$C$51)*Y349))</f>
        <v>4.3978206986154881E-19</v>
      </c>
      <c r="Z350" s="8">
        <f>IF((U350&gt;U349), (EXP(-LN(2)/inputs!$C$51)*Z349+$Z$3), (EXP(-LN(2)/inputs!$C$51)*Z349))</f>
        <v>6.8410544200685251E-20</v>
      </c>
      <c r="AA350" s="8">
        <f>IF((U350&gt;U349), (EXP(-LN(2)/inputs!$C$51)*AA349+$AA$3), (EXP(-LN(2)/inputs!$C$51)*AA349))</f>
        <v>6.3524076757779152E-19</v>
      </c>
      <c r="AB350" s="7">
        <f>(((0.621*15^0.564)/0.2))*W350/15+AB349*inputs!$C$53</f>
        <v>8.9388632348128773E-19</v>
      </c>
      <c r="AC350" s="7">
        <f>(((0.621*1000^0.564)/0.2))*W350/1000+AC349*inputs!$C$53</f>
        <v>1.4323794495907446E-19</v>
      </c>
      <c r="AD350" s="7">
        <f>(((0.648*20^0.651)/0.2))*AA350/20+AD349*inputs!$C$54</f>
        <v>9.5685183276644989E-19</v>
      </c>
      <c r="AE350" s="7">
        <f>(((0.013*2^0.773)/0.2))*AA350/2+AE349*inputs!$C$54</f>
        <v>4.6659351559760165E-20</v>
      </c>
    </row>
    <row r="351" spans="1:31" x14ac:dyDescent="0.3">
      <c r="A351" s="7">
        <f>IF(A350&lt;(inputs!$C$9-1),(1+A350),0)</f>
        <v>0</v>
      </c>
      <c r="B351" s="7">
        <f>IF(inputs!$C$8&gt;B350,IF(A350=(inputs!$C$9-1),(B350+1),B350), B350)</f>
        <v>1</v>
      </c>
      <c r="C351" s="7">
        <f t="shared" si="11"/>
        <v>348</v>
      </c>
      <c r="D351" s="8">
        <f>IF((B351&gt;B350), (EXP(-LN(2)/inputs!$C$51)*D350+$D$3), (EXP(-LN(2)/inputs!$C$51)*D350))</f>
        <v>2.057965711378004E-18</v>
      </c>
      <c r="E351" s="8">
        <f>IF((B351&gt;B350), (EXP(-LN(2)/inputs!$C$51)*E350+$E$3), (EXP(-LN(2)/inputs!$C$51)*E350))</f>
        <v>9.43234284381585E-19</v>
      </c>
      <c r="F351" s="8">
        <f>IF((B351&gt;B350), (EXP(-LN(2)/inputs!$C$51)*F350+$F$3), (EXP(-LN(2)/inputs!$C$51)*F350))</f>
        <v>1.1576057126501284E-18</v>
      </c>
      <c r="G351" s="8">
        <f>IF((B351&gt;B350), (EXP(-LN(2)/inputs!$C$51)*G350+$G$3), (EXP(-LN(2)/inputs!$C$51)*G350))</f>
        <v>1.2862285696112525E-19</v>
      </c>
      <c r="H351" s="8">
        <f>IF((B351&gt;B350), (EXP(-LN(2)/inputs!$C$51)*H350+$H$3), (EXP(-LN(2)/inputs!$C$51)*H350))</f>
        <v>8.0603657028971857E-19</v>
      </c>
      <c r="I351" s="7">
        <f>O351*(10^inputs!$C$55)*0.01/1</f>
        <v>7.8626041880416643E-3</v>
      </c>
      <c r="J351" s="7">
        <f>(((0.621*15^0.564)/0.2))*D351/15+J350*inputs!$C$53</f>
        <v>2.2145041383204589E-18</v>
      </c>
      <c r="K351" s="7">
        <f>(((0.621*1000^0.564)/0.2))*D351/1000+K350*inputs!$C$53</f>
        <v>3.5485610814698702E-19</v>
      </c>
      <c r="L351" s="7">
        <f>(((0.648*20^0.651)/0.2))*H351/20+L350*inputs!$C$54</f>
        <v>1.2141185026574237E-18</v>
      </c>
      <c r="M351" s="7">
        <f>(((0.013*2^0.773)/0.2))*H351/2+M350*inputs!$C$54</f>
        <v>5.9204549869456712E-20</v>
      </c>
      <c r="N351" s="7">
        <f>O351*0.015*inputs!$C$56</f>
        <v>1.1551706539400489E-3</v>
      </c>
      <c r="O351" s="7">
        <f>IF((B351&gt;B350), (EXP(-LN(2)/inputs!$C$52)*O350+$O$3), (EXP(-LN(2)/inputs!$C$52)*O350))</f>
        <v>1.2461387852643463E-4</v>
      </c>
      <c r="P351" s="3">
        <f>IF((B351&gt;B350), (EXP(-LN(2)/inputs!$C$52)*P350+$P$3), (EXP(-LN(2)/inputs!$C$52)*P350))</f>
        <v>1.2041500409343318E-4</v>
      </c>
      <c r="Q351" s="19">
        <f>IF((F351*0.62*1/(0.012*(10^inputs!$C$55)))&gt;inputs!$C$57, inputs!$C$57, (F351*0.62*1/(0.012*(10^inputs!$C$55))))</f>
        <v>9.4791873032552925E-21</v>
      </c>
      <c r="R351" s="3">
        <f>IF((B351&gt;B350), (EXP(-LN(2)/inputs!$C$51)*R350+$R$3), (EXP(-LN(2)/inputs!$C$51)*R350))</f>
        <v>2.2024361995123033E-26</v>
      </c>
      <c r="T351" s="7">
        <f>IF(T350&lt;(inputs!$C$9-1),(1+T350),0)</f>
        <v>0</v>
      </c>
      <c r="U351" s="7">
        <f>IF(inputs!$C$8&gt;U350,IF(T350=(inputs!$C$9-1),(U350+1),U350), U350)</f>
        <v>1</v>
      </c>
      <c r="V351" s="7">
        <f t="shared" si="10"/>
        <v>348</v>
      </c>
      <c r="W351" s="8">
        <f>IF((U351&gt;U350), (EXP(-LN(2)/inputs!$C$51)*W350+$W$3), (EXP(-LN(2)/inputs!$C$51)*W350))</f>
        <v>7.2886285611304459E-19</v>
      </c>
      <c r="X351" s="8">
        <f>IF((U351&gt;U350), (EXP(-LN(2)/inputs!$C$51)*X350+$X$3), (EXP(-LN(2)/inputs!$C$51)*X350))</f>
        <v>3.0869485670670045E-19</v>
      </c>
      <c r="Y351" s="8">
        <f>IF((U351&gt;U350), (EXP(-LN(2)/inputs!$C$51)*Y350+$Y$3), (EXP(-LN(2)/inputs!$C$51)*Y350))</f>
        <v>3.8586857088337635E-19</v>
      </c>
      <c r="Z351" s="8">
        <f>IF((U351&gt;U350), (EXP(-LN(2)/inputs!$C$51)*Z350+$Z$3), (EXP(-LN(2)/inputs!$C$51)*Z350))</f>
        <v>6.0023999915191772E-20</v>
      </c>
      <c r="AA351" s="8">
        <f>IF((U351&gt;U350), (EXP(-LN(2)/inputs!$C$51)*AA350+$AA$3), (EXP(-LN(2)/inputs!$C$51)*AA350))</f>
        <v>5.5736571349820922E-19</v>
      </c>
      <c r="AB351" s="7">
        <f>(((0.621*15^0.564)/0.2))*W351/15+AB350*inputs!$C$53</f>
        <v>7.8430354898849734E-19</v>
      </c>
      <c r="AC351" s="7">
        <f>(((0.621*1000^0.564)/0.2))*W351/1000+AC350*inputs!$C$53</f>
        <v>1.2567820496872481E-19</v>
      </c>
      <c r="AD351" s="7">
        <f>(((0.648*20^0.651)/0.2))*AA351/20+AD350*inputs!$C$54</f>
        <v>8.3955002843332411E-19</v>
      </c>
      <c r="AE351" s="7">
        <f>(((0.013*2^0.773)/0.2))*AA351/2+AE350*inputs!$C$54</f>
        <v>4.0939316399092368E-20</v>
      </c>
    </row>
    <row r="352" spans="1:31" x14ac:dyDescent="0.3">
      <c r="A352" s="7">
        <f>IF(A351&lt;(inputs!$C$9-1),(1+A351),0)</f>
        <v>0</v>
      </c>
      <c r="B352" s="7">
        <f>IF(inputs!$C$8&gt;B351,IF(A351=(inputs!$C$9-1),(B351+1),B351), B351)</f>
        <v>1</v>
      </c>
      <c r="C352" s="7">
        <f t="shared" si="11"/>
        <v>349</v>
      </c>
      <c r="D352" s="8">
        <f>IF((B352&gt;B351), (EXP(-LN(2)/inputs!$C$51)*D351+$D$3), (EXP(-LN(2)/inputs!$C$51)*D351))</f>
        <v>1.8056768167615824E-18</v>
      </c>
      <c r="E352" s="8">
        <f>IF((B352&gt;B351), (EXP(-LN(2)/inputs!$C$51)*E351+$E$3), (EXP(-LN(2)/inputs!$C$51)*E351))</f>
        <v>8.2760187434905858E-19</v>
      </c>
      <c r="F352" s="8">
        <f>IF((B352&gt;B351), (EXP(-LN(2)/inputs!$C$51)*F351+$F$3), (EXP(-LN(2)/inputs!$C$51)*F351))</f>
        <v>1.0156932094283911E-18</v>
      </c>
      <c r="G352" s="8">
        <f>IF((B352&gt;B351), (EXP(-LN(2)/inputs!$C$51)*G351+$G$3), (EXP(-LN(2)/inputs!$C$51)*G351))</f>
        <v>1.128548010475989E-19</v>
      </c>
      <c r="H352" s="8">
        <f>IF((B352&gt;B351), (EXP(-LN(2)/inputs!$C$51)*H351+$H$3), (EXP(-LN(2)/inputs!$C$51)*H351))</f>
        <v>7.0722341989828683E-19</v>
      </c>
      <c r="I352" s="7">
        <f>O352*(10^inputs!$C$55)*0.01/1</f>
        <v>7.7039346466521727E-3</v>
      </c>
      <c r="J352" s="7">
        <f>(((0.621*15^0.564)/0.2))*D352/15+J351*inputs!$C$53</f>
        <v>1.9430249790266627E-18</v>
      </c>
      <c r="K352" s="7">
        <f>(((0.621*1000^0.564)/0.2))*D352/1000+K351*inputs!$C$53</f>
        <v>3.1135380158409375E-19</v>
      </c>
      <c r="L352" s="7">
        <f>(((0.648*20^0.651)/0.2))*H352/20+L351*inputs!$C$54</f>
        <v>1.0652780174757327E-18</v>
      </c>
      <c r="M352" s="7">
        <f>(((0.013*2^0.773)/0.2))*H352/2+M351*inputs!$C$54</f>
        <v>5.1946581303582731E-20</v>
      </c>
      <c r="N352" s="7">
        <f>O352*0.015*inputs!$C$56</f>
        <v>1.1318589885549294E-3</v>
      </c>
      <c r="O352" s="7">
        <f>IF((B352&gt;B351), (EXP(-LN(2)/inputs!$C$52)*O351+$O$3), (EXP(-LN(2)/inputs!$C$52)*O351))</f>
        <v>1.2209913576644331E-4</v>
      </c>
      <c r="P352" s="3">
        <f>IF((B352&gt;B351), (EXP(-LN(2)/inputs!$C$52)*P351+$P$3), (EXP(-LN(2)/inputs!$C$52)*P351))</f>
        <v>1.1798499578842684E-4</v>
      </c>
      <c r="Q352" s="19">
        <f>IF((F352*0.62*1/(0.012*(10^inputs!$C$55)))&gt;inputs!$C$57, inputs!$C$57, (F352*0.62*1/(0.012*(10^inputs!$C$55))))</f>
        <v>8.3171204751355166E-21</v>
      </c>
      <c r="R352" s="3">
        <f>IF((B352&gt;B351), (EXP(-LN(2)/inputs!$C$51)*R351+$R$3), (EXP(-LN(2)/inputs!$C$51)*R351))</f>
        <v>1.9324364657139736E-26</v>
      </c>
      <c r="T352" s="7">
        <f>IF(T351&lt;(inputs!$C$9-1),(1+T351),0)</f>
        <v>0</v>
      </c>
      <c r="U352" s="7">
        <f>IF(inputs!$C$8&gt;U351,IF(T351=(inputs!$C$9-1),(U351+1),U351), U351)</f>
        <v>1</v>
      </c>
      <c r="V352" s="7">
        <f t="shared" si="10"/>
        <v>349</v>
      </c>
      <c r="W352" s="8">
        <f>IF((U352&gt;U351), (EXP(-LN(2)/inputs!$C$51)*W351+$W$3), (EXP(-LN(2)/inputs!$C$51)*W351))</f>
        <v>6.3951053926972854E-19</v>
      </c>
      <c r="X352" s="8">
        <f>IF((U352&gt;U351), (EXP(-LN(2)/inputs!$C$51)*X351+$X$3), (EXP(-LN(2)/inputs!$C$51)*X351))</f>
        <v>2.7085152251423726E-19</v>
      </c>
      <c r="Y352" s="8">
        <f>IF((U352&gt;U351), (EXP(-LN(2)/inputs!$C$51)*Y351+$Y$3), (EXP(-LN(2)/inputs!$C$51)*Y351))</f>
        <v>3.3856440314279728E-19</v>
      </c>
      <c r="Z352" s="8">
        <f>IF((U352&gt;U351), (EXP(-LN(2)/inputs!$C$51)*Z351+$Z$3), (EXP(-LN(2)/inputs!$C$51)*Z351))</f>
        <v>5.2665573822212815E-20</v>
      </c>
      <c r="AA352" s="8">
        <f>IF((U352&gt;U351), (EXP(-LN(2)/inputs!$C$51)*AA351+$AA$3), (EXP(-LN(2)/inputs!$C$51)*AA351))</f>
        <v>4.8903747120626183E-19</v>
      </c>
      <c r="AB352" s="7">
        <f>(((0.621*15^0.564)/0.2))*W352/15+AB351*inputs!$C$53</f>
        <v>6.8815468007194445E-19</v>
      </c>
      <c r="AC352" s="7">
        <f>(((0.621*1000^0.564)/0.2))*W352/1000+AC351*inputs!$C$53</f>
        <v>1.1027113806103343E-19</v>
      </c>
      <c r="AD352" s="7">
        <f>(((0.648*20^0.651)/0.2))*AA352/20+AD351*inputs!$C$54</f>
        <v>7.366284163396017E-19</v>
      </c>
      <c r="AE352" s="7">
        <f>(((0.013*2^0.773)/0.2))*AA352/2+AE351*inputs!$C$54</f>
        <v>3.5920508348222075E-20</v>
      </c>
    </row>
    <row r="353" spans="1:31" x14ac:dyDescent="0.3">
      <c r="A353" s="7">
        <f>IF(A352&lt;(inputs!$C$9-1),(1+A352),0)</f>
        <v>0</v>
      </c>
      <c r="B353" s="7">
        <f>IF(inputs!$C$8&gt;B352,IF(A352=(inputs!$C$9-1),(B352+1),B352), B352)</f>
        <v>1</v>
      </c>
      <c r="C353" s="7">
        <f t="shared" si="11"/>
        <v>350</v>
      </c>
      <c r="D353" s="8">
        <f>IF((B353&gt;B352), (EXP(-LN(2)/inputs!$C$51)*D352+$D$3), (EXP(-LN(2)/inputs!$C$51)*D352))</f>
        <v>1.584316370561416E-18</v>
      </c>
      <c r="E353" s="8">
        <f>IF((B353&gt;B352), (EXP(-LN(2)/inputs!$C$51)*E352+$E$3), (EXP(-LN(2)/inputs!$C$51)*E352))</f>
        <v>7.2614500317398225E-19</v>
      </c>
      <c r="F353" s="8">
        <f>IF((B353&gt;B352), (EXP(-LN(2)/inputs!$C$51)*F352+$F$3), (EXP(-LN(2)/inputs!$C$51)*F352))</f>
        <v>8.911779584407973E-19</v>
      </c>
      <c r="G353" s="8">
        <f>IF((B353&gt;B352), (EXP(-LN(2)/inputs!$C$51)*G352+$G$3), (EXP(-LN(2)/inputs!$C$51)*G352))</f>
        <v>9.9019773160088498E-20</v>
      </c>
      <c r="H353" s="8">
        <f>IF((B353&gt;B352), (EXP(-LN(2)/inputs!$C$51)*H352+$H$3), (EXP(-LN(2)/inputs!$C$51)*H352))</f>
        <v>6.2052391180322151E-19</v>
      </c>
      <c r="I353" s="7">
        <f>O353*(10^inputs!$C$55)*0.01/1</f>
        <v>7.5484671007800229E-3</v>
      </c>
      <c r="J353" s="7">
        <f>(((0.621*15^0.564)/0.2))*D353/15+J352*inputs!$C$53</f>
        <v>1.7048268295334457E-18</v>
      </c>
      <c r="K353" s="7">
        <f>(((0.621*1000^0.564)/0.2))*D353/1000+K352*inputs!$C$53</f>
        <v>2.7318450362058481E-19</v>
      </c>
      <c r="L353" s="7">
        <f>(((0.648*20^0.651)/0.2))*H353/20+L352*inputs!$C$54</f>
        <v>9.3468409552541673E-19</v>
      </c>
      <c r="M353" s="7">
        <f>(((0.013*2^0.773)/0.2))*H353/2+M352*inputs!$C$54</f>
        <v>4.5578377254445515E-20</v>
      </c>
      <c r="N353" s="7">
        <f>O353*0.015*inputs!$C$56</f>
        <v>1.1090177590670292E-3</v>
      </c>
      <c r="O353" s="7">
        <f>IF((B353&gt;B352), (EXP(-LN(2)/inputs!$C$52)*O352+$O$3), (EXP(-LN(2)/inputs!$C$52)*O352))</f>
        <v>1.1963514121542925E-4</v>
      </c>
      <c r="P353" s="3">
        <f>IF((B353&gt;B352), (EXP(-LN(2)/inputs!$C$52)*P352+$P$3), (EXP(-LN(2)/inputs!$C$52)*P352))</f>
        <v>1.156040257275069E-4</v>
      </c>
      <c r="Q353" s="19">
        <f>IF((F353*0.62*1/(0.012*(10^inputs!$C$55)))&gt;inputs!$C$57, inputs!$C$57, (F353*0.62*1/(0.012*(10^inputs!$C$55))))</f>
        <v>7.2975130446217589E-21</v>
      </c>
      <c r="R353" s="3">
        <f>IF((B353&gt;B352), (EXP(-LN(2)/inputs!$C$51)*R352+$R$3), (EXP(-LN(2)/inputs!$C$51)*R352))</f>
        <v>1.6955363768757619E-26</v>
      </c>
      <c r="T353" s="7">
        <f>IF(T352&lt;(inputs!$C$9-1),(1+T352),0)</f>
        <v>0</v>
      </c>
      <c r="U353" s="7">
        <f>IF(inputs!$C$8&gt;U352,IF(T352=(inputs!$C$9-1),(U352+1),U352), U352)</f>
        <v>1</v>
      </c>
      <c r="V353" s="7">
        <f t="shared" si="10"/>
        <v>350</v>
      </c>
      <c r="W353" s="8">
        <f>IF((U353&gt;U352), (EXP(-LN(2)/inputs!$C$51)*W352+$W$3), (EXP(-LN(2)/inputs!$C$51)*W352))</f>
        <v>5.6111204790716942E-19</v>
      </c>
      <c r="X353" s="8">
        <f>IF((U353&gt;U352), (EXP(-LN(2)/inputs!$C$51)*X352+$X$3), (EXP(-LN(2)/inputs!$C$51)*X352))</f>
        <v>2.376474555842123E-19</v>
      </c>
      <c r="Y353" s="8">
        <f>IF((U353&gt;U352), (EXP(-LN(2)/inputs!$C$51)*Y352+$Y$3), (EXP(-LN(2)/inputs!$C$51)*Y352))</f>
        <v>2.9705931948026598E-19</v>
      </c>
      <c r="Z353" s="8">
        <f>IF((U353&gt;U352), (EXP(-LN(2)/inputs!$C$51)*Z352+$Z$3), (EXP(-LN(2)/inputs!$C$51)*Z352))</f>
        <v>4.6209227474707958E-20</v>
      </c>
      <c r="AA353" s="8">
        <f>IF((U353&gt;U352), (EXP(-LN(2)/inputs!$C$51)*AA352+$AA$3), (EXP(-LN(2)/inputs!$C$51)*AA352))</f>
        <v>4.2908568369371671E-19</v>
      </c>
      <c r="AB353" s="7">
        <f>(((0.621*15^0.564)/0.2))*W353/15+AB352*inputs!$C$53</f>
        <v>6.0379283545976339E-19</v>
      </c>
      <c r="AC353" s="7">
        <f>(((0.621*1000^0.564)/0.2))*W353/1000+AC352*inputs!$C$53</f>
        <v>9.6752845032290687E-20</v>
      </c>
      <c r="AD353" s="7">
        <f>(((0.648*20^0.651)/0.2))*AA353/20+AD352*inputs!$C$54</f>
        <v>6.4632410860800036E-19</v>
      </c>
      <c r="AE353" s="7">
        <f>(((0.013*2^0.773)/0.2))*AA353/2+AE352*inputs!$C$54</f>
        <v>3.1516962995095278E-20</v>
      </c>
    </row>
    <row r="354" spans="1:31" x14ac:dyDescent="0.3">
      <c r="A354" s="7">
        <f>IF(A353&lt;(inputs!$C$9-1),(1+A353),0)</f>
        <v>0</v>
      </c>
      <c r="B354" s="7">
        <f>IF(inputs!$C$8&gt;B353,IF(A353=(inputs!$C$9-1),(B353+1),B353), B353)</f>
        <v>1</v>
      </c>
      <c r="C354" s="7">
        <f t="shared" si="11"/>
        <v>351</v>
      </c>
      <c r="D354" s="8">
        <f>IF((B354&gt;B353), (EXP(-LN(2)/inputs!$C$51)*D353+$D$3), (EXP(-LN(2)/inputs!$C$51)*D353))</f>
        <v>1.3900928110328175E-18</v>
      </c>
      <c r="E354" s="8">
        <f>IF((B354&gt;B353), (EXP(-LN(2)/inputs!$C$51)*E353+$E$3), (EXP(-LN(2)/inputs!$C$51)*E353))</f>
        <v>6.371258717233746E-19</v>
      </c>
      <c r="F354" s="8">
        <f>IF((B354&gt;B353), (EXP(-LN(2)/inputs!$C$51)*F353+$F$3), (EXP(-LN(2)/inputs!$C$51)*F353))</f>
        <v>7.8192720620596058E-19</v>
      </c>
      <c r="G354" s="8">
        <f>IF((B354&gt;B353), (EXP(-LN(2)/inputs!$C$51)*G353+$G$3), (EXP(-LN(2)/inputs!$C$51)*G353))</f>
        <v>8.6880800689551093E-20</v>
      </c>
      <c r="H354" s="8">
        <f>IF((B354&gt;B353), (EXP(-LN(2)/inputs!$C$51)*H353+$H$3), (EXP(-LN(2)/inputs!$C$51)*H353))</f>
        <v>5.4445301765452043E-19</v>
      </c>
      <c r="I354" s="7">
        <f>O354*(10^inputs!$C$55)*0.01/1</f>
        <v>7.3961369332642699E-3</v>
      </c>
      <c r="J354" s="7">
        <f>(((0.621*15^0.564)/0.2))*D354/15+J353*inputs!$C$53</f>
        <v>1.4958297243059672E-18</v>
      </c>
      <c r="K354" s="7">
        <f>(((0.621*1000^0.564)/0.2))*D354/1000+K353*inputs!$C$53</f>
        <v>2.3969443327406595E-19</v>
      </c>
      <c r="L354" s="7">
        <f>(((0.648*20^0.651)/0.2))*H354/20+L353*inputs!$C$54</f>
        <v>8.2009986510218007E-19</v>
      </c>
      <c r="M354" s="7">
        <f>(((0.013*2^0.773)/0.2))*H354/2+M353*inputs!$C$54</f>
        <v>3.9990860245605419E-20</v>
      </c>
      <c r="N354" s="7">
        <f>O354*0.015*inputs!$C$56</f>
        <v>1.0866374719489772E-3</v>
      </c>
      <c r="O354" s="7">
        <f>IF((B354&gt;B353), (EXP(-LN(2)/inputs!$C$52)*O353+$O$3), (EXP(-LN(2)/inputs!$C$52)*O353))</f>
        <v>1.1722087076040748E-4</v>
      </c>
      <c r="P354" s="3">
        <f>IF((B354&gt;B353), (EXP(-LN(2)/inputs!$C$52)*P353+$P$3), (EXP(-LN(2)/inputs!$C$52)*P353))</f>
        <v>1.1327110430525593E-4</v>
      </c>
      <c r="Q354" s="19">
        <f>IF((F354*0.62*1/(0.012*(10^inputs!$C$55)))&gt;inputs!$C$57, inputs!$C$57, (F354*0.62*1/(0.012*(10^inputs!$C$55))))</f>
        <v>6.4029007149324752E-21</v>
      </c>
      <c r="R354" s="3">
        <f>IF((B354&gt;B353), (EXP(-LN(2)/inputs!$C$51)*R353+$R$3), (EXP(-LN(2)/inputs!$C$51)*R353))</f>
        <v>1.4876782012322578E-26</v>
      </c>
      <c r="T354" s="7">
        <f>IF(T353&lt;(inputs!$C$9-1),(1+T353),0)</f>
        <v>0</v>
      </c>
      <c r="U354" s="7">
        <f>IF(inputs!$C$8&gt;U353,IF(T353=(inputs!$C$9-1),(U353+1),U353), U353)</f>
        <v>1</v>
      </c>
      <c r="V354" s="7">
        <f t="shared" si="10"/>
        <v>351</v>
      </c>
      <c r="W354" s="8">
        <f>IF((U354&gt;U353), (EXP(-LN(2)/inputs!$C$51)*W353+$W$3), (EXP(-LN(2)/inputs!$C$51)*W353))</f>
        <v>4.9232453724079064E-19</v>
      </c>
      <c r="X354" s="8">
        <f>IF((U354&gt;U353), (EXP(-LN(2)/inputs!$C$51)*X353+$X$3), (EXP(-LN(2)/inputs!$C$51)*X353))</f>
        <v>2.0851392165492255E-19</v>
      </c>
      <c r="Y354" s="8">
        <f>IF((U354&gt;U353), (EXP(-LN(2)/inputs!$C$51)*Y353+$Y$3), (EXP(-LN(2)/inputs!$C$51)*Y353))</f>
        <v>2.6064240206865369E-19</v>
      </c>
      <c r="Z354" s="8">
        <f>IF((U354&gt;U353), (EXP(-LN(2)/inputs!$C$51)*Z353+$Z$3), (EXP(-LN(2)/inputs!$C$51)*Z353))</f>
        <v>4.0544373655123836E-20</v>
      </c>
      <c r="AA354" s="8">
        <f>IF((U354&gt;U353), (EXP(-LN(2)/inputs!$C$51)*AA353+$AA$3), (EXP(-LN(2)/inputs!$C$51)*AA353))</f>
        <v>3.764834696547213E-19</v>
      </c>
      <c r="AB354" s="7">
        <f>(((0.621*15^0.564)/0.2))*W354/15+AB353*inputs!$C$53</f>
        <v>5.2977302735836464E-19</v>
      </c>
      <c r="AC354" s="7">
        <f>(((0.621*1000^0.564)/0.2))*W354/1000+AC353*inputs!$C$53</f>
        <v>8.4891778451231882E-20</v>
      </c>
      <c r="AD354" s="7">
        <f>(((0.648*20^0.651)/0.2))*AA354/20+AD353*inputs!$C$54</f>
        <v>5.6709033225150711E-19</v>
      </c>
      <c r="AE354" s="7">
        <f>(((0.013*2^0.773)/0.2))*AA354/2+AE353*inputs!$C$54</f>
        <v>2.7653254425152664E-20</v>
      </c>
    </row>
    <row r="355" spans="1:31" x14ac:dyDescent="0.3">
      <c r="A355" s="7">
        <f>IF(A354&lt;(inputs!$C$9-1),(1+A354),0)</f>
        <v>0</v>
      </c>
      <c r="B355" s="7">
        <f>IF(inputs!$C$8&gt;B354,IF(A354=(inputs!$C$9-1),(B354+1),B354), B354)</f>
        <v>1</v>
      </c>
      <c r="C355" s="7">
        <f t="shared" si="11"/>
        <v>352</v>
      </c>
      <c r="D355" s="8">
        <f>IF((B355&gt;B354), (EXP(-LN(2)/inputs!$C$51)*D354+$D$3), (EXP(-LN(2)/inputs!$C$51)*D354))</f>
        <v>1.2196793892878686E-18</v>
      </c>
      <c r="E355" s="8">
        <f>IF((B355&gt;B354), (EXP(-LN(2)/inputs!$C$51)*E354+$E$3), (EXP(-LN(2)/inputs!$C$51)*E354))</f>
        <v>5.5901972009027306E-19</v>
      </c>
      <c r="F355" s="8">
        <f>IF((B355&gt;B354), (EXP(-LN(2)/inputs!$C$51)*F354+$F$3), (EXP(-LN(2)/inputs!$C$51)*F354))</f>
        <v>6.8606965647442677E-19</v>
      </c>
      <c r="G355" s="8">
        <f>IF((B355&gt;B354), (EXP(-LN(2)/inputs!$C$51)*G354+$G$3), (EXP(-LN(2)/inputs!$C$51)*G354))</f>
        <v>7.6229961830491785E-20</v>
      </c>
      <c r="H355" s="8">
        <f>IF((B355&gt;B354), (EXP(-LN(2)/inputs!$C$51)*H354+$H$3), (EXP(-LN(2)/inputs!$C$51)*H354))</f>
        <v>4.7770776080441541E-19</v>
      </c>
      <c r="I355" s="7">
        <f>O355*(10^inputs!$C$55)*0.01/1</f>
        <v>7.2468808309362675E-3</v>
      </c>
      <c r="J355" s="7">
        <f>(((0.621*15^0.564)/0.2))*D355/15+J354*inputs!$C$53</f>
        <v>1.3124538664901215E-18</v>
      </c>
      <c r="K355" s="7">
        <f>(((0.621*1000^0.564)/0.2))*D355/1000+K354*inputs!$C$53</f>
        <v>2.1030995748708515E-19</v>
      </c>
      <c r="L355" s="7">
        <f>(((0.648*20^0.651)/0.2))*H355/20+L354*inputs!$C$54</f>
        <v>7.1956267573221494E-19</v>
      </c>
      <c r="M355" s="7">
        <f>(((0.013*2^0.773)/0.2))*H355/2+M354*inputs!$C$54</f>
        <v>3.5088324761004036E-20</v>
      </c>
      <c r="N355" s="7">
        <f>O355*0.015*inputs!$C$56</f>
        <v>1.0647088252554286E-3</v>
      </c>
      <c r="O355" s="7">
        <f>IF((B355&gt;B354), (EXP(-LN(2)/inputs!$C$52)*O354+$O$3), (EXP(-LN(2)/inputs!$C$52)*O354))</f>
        <v>1.1485532095527817E-4</v>
      </c>
      <c r="P355" s="3">
        <f>IF((B355&gt;B354), (EXP(-LN(2)/inputs!$C$52)*P354+$P$3), (EXP(-LN(2)/inputs!$C$52)*P354))</f>
        <v>1.1098526188676929E-4</v>
      </c>
      <c r="Q355" s="19">
        <f>IF((F355*0.62*1/(0.012*(10^inputs!$C$55)))&gt;inputs!$C$57, inputs!$C$57, (F355*0.62*1/(0.012*(10^inputs!$C$55))))</f>
        <v>5.6179601618523381E-21</v>
      </c>
      <c r="R355" s="3">
        <f>IF((B355&gt;B354), (EXP(-LN(2)/inputs!$C$51)*R354+$R$3), (EXP(-LN(2)/inputs!$C$51)*R354))</f>
        <v>1.3053016500298975E-26</v>
      </c>
      <c r="T355" s="7">
        <f>IF(T354&lt;(inputs!$C$9-1),(1+T354),0)</f>
        <v>0</v>
      </c>
      <c r="U355" s="7">
        <f>IF(inputs!$C$8&gt;U354,IF(T354=(inputs!$C$9-1),(U354+1),U354), U354)</f>
        <v>1</v>
      </c>
      <c r="V355" s="7">
        <f t="shared" si="10"/>
        <v>352</v>
      </c>
      <c r="W355" s="8">
        <f>IF((U355&gt;U354), (EXP(-LN(2)/inputs!$C$51)*W354+$W$3), (EXP(-LN(2)/inputs!$C$51)*W354))</f>
        <v>4.3196978370612114E-19</v>
      </c>
      <c r="X355" s="8">
        <f>IF((U355&gt;U354), (EXP(-LN(2)/inputs!$C$51)*X354+$X$3), (EXP(-LN(2)/inputs!$C$51)*X354))</f>
        <v>1.8295190839318023E-19</v>
      </c>
      <c r="Y355" s="8">
        <f>IF((U355&gt;U354), (EXP(-LN(2)/inputs!$C$51)*Y354+$Y$3), (EXP(-LN(2)/inputs!$C$51)*Y354))</f>
        <v>2.286898854914757E-19</v>
      </c>
      <c r="Z355" s="8">
        <f>IF((U355&gt;U354), (EXP(-LN(2)/inputs!$C$51)*Z354+$Z$3), (EXP(-LN(2)/inputs!$C$51)*Z354))</f>
        <v>3.5573982187562826E-20</v>
      </c>
      <c r="AA355" s="8">
        <f>IF((U355&gt;U354), (EXP(-LN(2)/inputs!$C$51)*AA354+$AA$3), (EXP(-LN(2)/inputs!$C$51)*AA354))</f>
        <v>3.3032983459879765E-19</v>
      </c>
      <c r="AB355" s="7">
        <f>(((0.621*15^0.564)/0.2))*W355/15+AB354*inputs!$C$53</f>
        <v>4.6482741104858569E-19</v>
      </c>
      <c r="AC355" s="7">
        <f>(((0.621*1000^0.564)/0.2))*W355/1000+AC354*inputs!$C$53</f>
        <v>7.4484776610009503E-20</v>
      </c>
      <c r="AD355" s="7">
        <f>(((0.648*20^0.651)/0.2))*AA355/20+AD354*inputs!$C$54</f>
        <v>4.9756993534674407E-19</v>
      </c>
      <c r="AE355" s="7">
        <f>(((0.013*2^0.773)/0.2))*AA355/2+AE354*inputs!$C$54</f>
        <v>2.4263203292183628E-20</v>
      </c>
    </row>
    <row r="356" spans="1:31" x14ac:dyDescent="0.3">
      <c r="A356" s="7">
        <f>IF(A355&lt;(inputs!$C$9-1),(1+A355),0)</f>
        <v>0</v>
      </c>
      <c r="B356" s="7">
        <f>IF(inputs!$C$8&gt;B355,IF(A355=(inputs!$C$9-1),(B355+1),B355), B355)</f>
        <v>1</v>
      </c>
      <c r="C356" s="7">
        <f t="shared" si="11"/>
        <v>353</v>
      </c>
      <c r="D356" s="8">
        <f>IF((B356&gt;B355), (EXP(-LN(2)/inputs!$C$51)*D355+$D$3), (EXP(-LN(2)/inputs!$C$51)*D355))</f>
        <v>1.0701571872372688E-18</v>
      </c>
      <c r="E356" s="8">
        <f>IF((B356&gt;B355), (EXP(-LN(2)/inputs!$C$51)*E355+$E$3), (EXP(-LN(2)/inputs!$C$51)*E355))</f>
        <v>4.9048871081708144E-19</v>
      </c>
      <c r="F356" s="8">
        <f>IF((B356&gt;B355), (EXP(-LN(2)/inputs!$C$51)*F355+$F$3), (EXP(-LN(2)/inputs!$C$51)*F355))</f>
        <v>6.0196341782096434E-19</v>
      </c>
      <c r="G356" s="8">
        <f>IF((B356&gt;B355), (EXP(-LN(2)/inputs!$C$51)*G355+$G$3), (EXP(-LN(2)/inputs!$C$51)*G355))</f>
        <v>6.6884824202329299E-20</v>
      </c>
      <c r="H356" s="8">
        <f>IF((B356&gt;B355), (EXP(-LN(2)/inputs!$C$51)*H355+$H$3), (EXP(-LN(2)/inputs!$C$51)*H355))</f>
        <v>4.191448983345971E-19</v>
      </c>
      <c r="I356" s="7">
        <f>O356*(10^inputs!$C$55)*0.01/1</f>
        <v>7.1006367583047337E-3</v>
      </c>
      <c r="J356" s="7">
        <f>(((0.621*15^0.564)/0.2))*D356/15+J355*inputs!$C$53</f>
        <v>1.1515583115344821E-18</v>
      </c>
      <c r="K356" s="7">
        <f>(((0.621*1000^0.564)/0.2))*D356/1000+K355*inputs!$C$53</f>
        <v>1.8452776568092755E-19</v>
      </c>
      <c r="L356" s="7">
        <f>(((0.648*20^0.651)/0.2))*H356/20+L355*inputs!$C$54</f>
        <v>6.3135048100805792E-19</v>
      </c>
      <c r="M356" s="7">
        <f>(((0.013*2^0.773)/0.2))*H356/2+M355*inputs!$C$54</f>
        <v>3.078679795764044E-20</v>
      </c>
      <c r="N356" s="7">
        <f>O356*0.015*inputs!$C$56</f>
        <v>1.043222704756884E-3</v>
      </c>
      <c r="O356" s="7">
        <f>IF((B356&gt;B355), (EXP(-LN(2)/inputs!$C$52)*O355+$O$3), (EXP(-LN(2)/inputs!$C$52)*O355))</f>
        <v>1.1253750860376311E-4</v>
      </c>
      <c r="P356" s="3">
        <f>IF((B356&gt;B355), (EXP(-LN(2)/inputs!$C$52)*P355+$P$3), (EXP(-LN(2)/inputs!$C$52)*P355))</f>
        <v>1.0874554840464467E-4</v>
      </c>
      <c r="Q356" s="19">
        <f>IF((F356*0.62*1/(0.012*(10^inputs!$C$55)))&gt;inputs!$C$57, inputs!$C$57, (F356*0.62*1/(0.012*(10^inputs!$C$55))))</f>
        <v>4.9292465689111966E-21</v>
      </c>
      <c r="R356" s="3">
        <f>IF((B356&gt;B355), (EXP(-LN(2)/inputs!$C$51)*R355+$R$3), (EXP(-LN(2)/inputs!$C$51)*R355))</f>
        <v>1.1452828952924692E-26</v>
      </c>
      <c r="T356" s="7">
        <f>IF(T355&lt;(inputs!$C$9-1),(1+T355),0)</f>
        <v>0</v>
      </c>
      <c r="U356" s="7">
        <f>IF(inputs!$C$8&gt;U355,IF(T355=(inputs!$C$9-1),(U355+1),U355), U355)</f>
        <v>1</v>
      </c>
      <c r="V356" s="7">
        <f t="shared" si="10"/>
        <v>353</v>
      </c>
      <c r="W356" s="8">
        <f>IF((U356&gt;U355), (EXP(-LN(2)/inputs!$C$51)*W355+$W$3), (EXP(-LN(2)/inputs!$C$51)*W355))</f>
        <v>3.7901400381320023E-19</v>
      </c>
      <c r="X356" s="8">
        <f>IF((U356&gt;U355), (EXP(-LN(2)/inputs!$C$51)*X355+$X$3), (EXP(-LN(2)/inputs!$C$51)*X355))</f>
        <v>1.6052357808559025E-19</v>
      </c>
      <c r="Y356" s="8">
        <f>IF((U356&gt;U355), (EXP(-LN(2)/inputs!$C$51)*Y355+$Y$3), (EXP(-LN(2)/inputs!$C$51)*Y355))</f>
        <v>2.0065447260698818E-19</v>
      </c>
      <c r="Z356" s="8">
        <f>IF((U356&gt;U355), (EXP(-LN(2)/inputs!$C$51)*Z355+$Z$3), (EXP(-LN(2)/inputs!$C$51)*Z355))</f>
        <v>3.1212917961086997E-20</v>
      </c>
      <c r="AA356" s="8">
        <f>IF((U356&gt;U355), (EXP(-LN(2)/inputs!$C$51)*AA355+$AA$3), (EXP(-LN(2)/inputs!$C$51)*AA355))</f>
        <v>2.8983423821009352E-19</v>
      </c>
      <c r="AB356" s="7">
        <f>(((0.621*15^0.564)/0.2))*W356/15+AB355*inputs!$C$53</f>
        <v>4.0784356866846335E-19</v>
      </c>
      <c r="AC356" s="7">
        <f>(((0.621*1000^0.564)/0.2))*W356/1000+AC355*inputs!$C$53</f>
        <v>6.5353583678661976E-20</v>
      </c>
      <c r="AD356" s="7">
        <f>(((0.648*20^0.651)/0.2))*AA356/20+AD355*inputs!$C$54</f>
        <v>4.3657214112259289E-19</v>
      </c>
      <c r="AE356" s="7">
        <f>(((0.013*2^0.773)/0.2))*AA356/2+AE355*inputs!$C$54</f>
        <v>2.128874326858114E-20</v>
      </c>
    </row>
    <row r="357" spans="1:31" x14ac:dyDescent="0.3">
      <c r="A357" s="7">
        <f>IF(A356&lt;(inputs!$C$9-1),(1+A356),0)</f>
        <v>0</v>
      </c>
      <c r="B357" s="7">
        <f>IF(inputs!$C$8&gt;B356,IF(A356=(inputs!$C$9-1),(B356+1),B356), B356)</f>
        <v>1</v>
      </c>
      <c r="C357" s="7">
        <f t="shared" si="11"/>
        <v>354</v>
      </c>
      <c r="D357" s="8">
        <f>IF((B357&gt;B356), (EXP(-LN(2)/inputs!$C$51)*D356+$D$3), (EXP(-LN(2)/inputs!$C$51)*D356))</f>
        <v>9.3896512104238253E-19</v>
      </c>
      <c r="E357" s="8">
        <f>IF((B357&gt;B356), (EXP(-LN(2)/inputs!$C$51)*E356+$E$3), (EXP(-LN(2)/inputs!$C$51)*E356))</f>
        <v>4.3035901381109191E-19</v>
      </c>
      <c r="F357" s="8">
        <f>IF((B357&gt;B356), (EXP(-LN(2)/inputs!$C$51)*F356+$F$3), (EXP(-LN(2)/inputs!$C$51)*F356))</f>
        <v>5.2816788058634074E-19</v>
      </c>
      <c r="G357" s="8">
        <f>IF((B357&gt;B356), (EXP(-LN(2)/inputs!$C$51)*G356+$G$3), (EXP(-LN(2)/inputs!$C$51)*G356))</f>
        <v>5.8685320065148908E-20</v>
      </c>
      <c r="H357" s="8">
        <f>IF((B357&gt;B356), (EXP(-LN(2)/inputs!$C$51)*H356+$H$3), (EXP(-LN(2)/inputs!$C$51)*H356))</f>
        <v>3.677613390749333E-19</v>
      </c>
      <c r="I357" s="7">
        <f>O357*(10^inputs!$C$55)*0.01/1</f>
        <v>6.9573439317718744E-3</v>
      </c>
      <c r="J357" s="7">
        <f>(((0.621*15^0.564)/0.2))*D357/15+J356*inputs!$C$53</f>
        <v>1.0103871676727833E-18</v>
      </c>
      <c r="K357" s="7">
        <f>(((0.621*1000^0.564)/0.2))*D357/1000+K356*inputs!$C$53</f>
        <v>1.6190624882460116E-19</v>
      </c>
      <c r="L357" s="7">
        <f>(((0.648*20^0.651)/0.2))*H357/20+L356*inputs!$C$54</f>
        <v>5.5395234259961278E-19</v>
      </c>
      <c r="M357" s="7">
        <f>(((0.013*2^0.773)/0.2))*H357/2+M356*inputs!$C$54</f>
        <v>2.7012601340772926E-20</v>
      </c>
      <c r="N357" s="7">
        <f>O357*0.015*inputs!$C$56</f>
        <v>1.0221701801515332E-3</v>
      </c>
      <c r="O357" s="7">
        <f>IF((B357&gt;B356), (EXP(-LN(2)/inputs!$C$52)*O356+$O$3), (EXP(-LN(2)/inputs!$C$52)*O356))</f>
        <v>1.1026647035075871E-4</v>
      </c>
      <c r="P357" s="3">
        <f>IF((B357&gt;B356), (EXP(-LN(2)/inputs!$C$52)*P356+$P$3), (EXP(-LN(2)/inputs!$C$52)*P356))</f>
        <v>1.0655103296410442E-4</v>
      </c>
      <c r="Q357" s="19">
        <f>IF((F357*0.62*1/(0.012*(10^inputs!$C$55)))&gt;inputs!$C$57, inputs!$C$57, (F357*0.62*1/(0.012*(10^inputs!$C$55))))</f>
        <v>4.3249633384925079E-21</v>
      </c>
      <c r="R357" s="3">
        <f>IF((B357&gt;B356), (EXP(-LN(2)/inputs!$C$51)*R356+$R$3), (EXP(-LN(2)/inputs!$C$51)*R356))</f>
        <v>1.0048810634840289E-26</v>
      </c>
      <c r="T357" s="7">
        <f>IF(T356&lt;(inputs!$C$9-1),(1+T356),0)</f>
        <v>0</v>
      </c>
      <c r="U357" s="7">
        <f>IF(inputs!$C$8&gt;U356,IF(T356=(inputs!$C$9-1),(U356+1),U356), U356)</f>
        <v>1</v>
      </c>
      <c r="V357" s="7">
        <f t="shared" si="10"/>
        <v>354</v>
      </c>
      <c r="W357" s="8">
        <f>IF((U357&gt;U356), (EXP(-LN(2)/inputs!$C$51)*W356+$W$3), (EXP(-LN(2)/inputs!$C$51)*W356))</f>
        <v>3.3255014703584456E-19</v>
      </c>
      <c r="X357" s="8">
        <f>IF((U357&gt;U356), (EXP(-LN(2)/inputs!$C$51)*X356+$X$3), (EXP(-LN(2)/inputs!$C$51)*X356))</f>
        <v>1.4084476815635732E-19</v>
      </c>
      <c r="Y357" s="8">
        <f>IF((U357&gt;U356), (EXP(-LN(2)/inputs!$C$51)*Y356+$Y$3), (EXP(-LN(2)/inputs!$C$51)*Y356))</f>
        <v>1.7605596019544698E-19</v>
      </c>
      <c r="Z357" s="8">
        <f>IF((U357&gt;U356), (EXP(-LN(2)/inputs!$C$51)*Z356+$Z$3), (EXP(-LN(2)/inputs!$C$51)*Z356))</f>
        <v>2.7386482697069481E-20</v>
      </c>
      <c r="AA357" s="8">
        <f>IF((U357&gt;U356), (EXP(-LN(2)/inputs!$C$51)*AA356+$AA$3), (EXP(-LN(2)/inputs!$C$51)*AA356))</f>
        <v>2.5430305361564517E-19</v>
      </c>
      <c r="AB357" s="7">
        <f>(((0.621*15^0.564)/0.2))*W357/15+AB356*inputs!$C$53</f>
        <v>3.5784545521744495E-19</v>
      </c>
      <c r="AC357" s="7">
        <f>(((0.621*1000^0.564)/0.2))*W357/1000+AC356*inputs!$C$53</f>
        <v>5.7341796458713033E-20</v>
      </c>
      <c r="AD357" s="7">
        <f>(((0.648*20^0.651)/0.2))*AA357/20+AD356*inputs!$C$54</f>
        <v>3.830521517976043E-19</v>
      </c>
      <c r="AE357" s="7">
        <f>(((0.013*2^0.773)/0.2))*AA357/2+AE356*inputs!$C$54</f>
        <v>1.8678926459045096E-20</v>
      </c>
    </row>
    <row r="358" spans="1:31" x14ac:dyDescent="0.3">
      <c r="A358" s="7">
        <f>IF(A357&lt;(inputs!$C$9-1),(1+A357),0)</f>
        <v>0</v>
      </c>
      <c r="B358" s="7">
        <f>IF(inputs!$C$8&gt;B357,IF(A357=(inputs!$C$9-1),(B357+1),B357), B357)</f>
        <v>1</v>
      </c>
      <c r="C358" s="7">
        <f t="shared" si="11"/>
        <v>355</v>
      </c>
      <c r="D358" s="8">
        <f>IF((B358&gt;B357), (EXP(-LN(2)/inputs!$C$51)*D357+$D$3), (EXP(-LN(2)/inputs!$C$51)*D357))</f>
        <v>8.238560737140204E-19</v>
      </c>
      <c r="E358" s="8">
        <f>IF((B358&gt;B357), (EXP(-LN(2)/inputs!$C$51)*E357+$E$3), (EXP(-LN(2)/inputs!$C$51)*E357))</f>
        <v>3.7760070045225931E-19</v>
      </c>
      <c r="F358" s="8">
        <f>IF((B358&gt;B357), (EXP(-LN(2)/inputs!$C$51)*F357+$F$3), (EXP(-LN(2)/inputs!$C$51)*F357))</f>
        <v>4.6341904146413699E-19</v>
      </c>
      <c r="G358" s="8">
        <f>IF((B358&gt;B357), (EXP(-LN(2)/inputs!$C$51)*G357+$G$3), (EXP(-LN(2)/inputs!$C$51)*G357))</f>
        <v>5.1491004607126275E-20</v>
      </c>
      <c r="H358" s="8">
        <f>IF((B358&gt;B357), (EXP(-LN(2)/inputs!$C$51)*H357+$H$3), (EXP(-LN(2)/inputs!$C$51)*H357))</f>
        <v>3.2267696220465814E-19</v>
      </c>
      <c r="I358" s="7">
        <f>O358*(10^inputs!$C$55)*0.01/1</f>
        <v>6.8169427943698194E-3</v>
      </c>
      <c r="J358" s="7">
        <f>(((0.621*15^0.564)/0.2))*D358/15+J357*inputs!$C$53</f>
        <v>8.8652239176449228E-19</v>
      </c>
      <c r="K358" s="7">
        <f>(((0.621*1000^0.564)/0.2))*D358/1000+K357*inputs!$C$53</f>
        <v>1.4205793535581219E-19</v>
      </c>
      <c r="L358" s="7">
        <f>(((0.648*20^0.651)/0.2))*H358/20+L357*inputs!$C$54</f>
        <v>4.8604255021971281E-19</v>
      </c>
      <c r="M358" s="7">
        <f>(((0.013*2^0.773)/0.2))*H358/2+M357*inputs!$C$54</f>
        <v>2.3701088765369332E-20</v>
      </c>
      <c r="N358" s="7">
        <f>O358*0.015*inputs!$C$56</f>
        <v>1.0015425013535427E-3</v>
      </c>
      <c r="O358" s="7">
        <f>IF((B358&gt;B357), (EXP(-LN(2)/inputs!$C$52)*O357+$O$3), (EXP(-LN(2)/inputs!$C$52)*O357))</f>
        <v>1.0804126228193557E-4</v>
      </c>
      <c r="P358" s="3">
        <f>IF((B358&gt;B357), (EXP(-LN(2)/inputs!$C$52)*P357+$P$3), (EXP(-LN(2)/inputs!$C$52)*P357))</f>
        <v>1.0440080345608666E-4</v>
      </c>
      <c r="Q358" s="19">
        <f>IF((F358*0.62*1/(0.012*(10^inputs!$C$55)))&gt;inputs!$C$57, inputs!$C$57, (F358*0.62*1/(0.012*(10^inputs!$C$55))))</f>
        <v>3.7947600343790499E-21</v>
      </c>
      <c r="R358" s="3">
        <f>IF((B358&gt;B357), (EXP(-LN(2)/inputs!$C$51)*R357+$R$3), (EXP(-LN(2)/inputs!$C$51)*R357))</f>
        <v>8.8169128858850672E-27</v>
      </c>
      <c r="T358" s="7">
        <f>IF(T357&lt;(inputs!$C$9-1),(1+T357),0)</f>
        <v>0</v>
      </c>
      <c r="U358" s="7">
        <f>IF(inputs!$C$8&gt;U357,IF(T357=(inputs!$C$9-1),(U357+1),U357), U357)</f>
        <v>1</v>
      </c>
      <c r="V358" s="7">
        <f t="shared" si="10"/>
        <v>355</v>
      </c>
      <c r="W358" s="8">
        <f>IF((U358&gt;U357), (EXP(-LN(2)/inputs!$C$51)*W357+$W$3), (EXP(-LN(2)/inputs!$C$51)*W357))</f>
        <v>2.9178235944038289E-19</v>
      </c>
      <c r="X358" s="8">
        <f>IF((U358&gt;U357), (EXP(-LN(2)/inputs!$C$51)*X357+$X$3), (EXP(-LN(2)/inputs!$C$51)*X357))</f>
        <v>1.2357841105710302E-19</v>
      </c>
      <c r="Y358" s="8">
        <f>IF((U358&gt;U357), (EXP(-LN(2)/inputs!$C$51)*Y357+$Y$3), (EXP(-LN(2)/inputs!$C$51)*Y357))</f>
        <v>1.5447301382137906E-19</v>
      </c>
      <c r="Z358" s="8">
        <f>IF((U358&gt;U357), (EXP(-LN(2)/inputs!$C$51)*Z357+$Z$3), (EXP(-LN(2)/inputs!$C$51)*Z357))</f>
        <v>2.4029135483325587E-20</v>
      </c>
      <c r="AA358" s="8">
        <f>IF((U358&gt;U357), (EXP(-LN(2)/inputs!$C$51)*AA357+$AA$3), (EXP(-LN(2)/inputs!$C$51)*AA357))</f>
        <v>2.2312768663088045E-19</v>
      </c>
      <c r="AB358" s="7">
        <f>(((0.621*15^0.564)/0.2))*W358/15+AB357*inputs!$C$53</f>
        <v>3.1397668041659173E-19</v>
      </c>
      <c r="AC358" s="7">
        <f>(((0.621*1000^0.564)/0.2))*W358/1000+AC357*inputs!$C$53</f>
        <v>5.0312185438516936E-20</v>
      </c>
      <c r="AD358" s="7">
        <f>(((0.648*20^0.651)/0.2))*AA358/20+AD357*inputs!$C$54</f>
        <v>3.3609325281150326E-19</v>
      </c>
      <c r="AE358" s="7">
        <f>(((0.013*2^0.773)/0.2))*AA358/2+AE357*inputs!$C$54</f>
        <v>1.6389050742010698E-20</v>
      </c>
    </row>
    <row r="359" spans="1:31" x14ac:dyDescent="0.3">
      <c r="A359" s="7">
        <f>IF(A358&lt;(inputs!$C$9-1),(1+A358),0)</f>
        <v>0</v>
      </c>
      <c r="B359" s="7">
        <f>IF(inputs!$C$8&gt;B358,IF(A358=(inputs!$C$9-1),(B358+1),B358), B358)</f>
        <v>1</v>
      </c>
      <c r="C359" s="7">
        <f t="shared" si="11"/>
        <v>356</v>
      </c>
      <c r="D359" s="8">
        <f>IF((B359&gt;B358), (EXP(-LN(2)/inputs!$C$51)*D358+$D$3), (EXP(-LN(2)/inputs!$C$51)*D358))</f>
        <v>7.2285840547728384E-19</v>
      </c>
      <c r="E359" s="8">
        <f>IF((B359&gt;B358), (EXP(-LN(2)/inputs!$C$51)*E358+$E$3), (EXP(-LN(2)/inputs!$C$51)*E358))</f>
        <v>3.3131010251042174E-19</v>
      </c>
      <c r="F359" s="8">
        <f>IF((B359&gt;B358), (EXP(-LN(2)/inputs!$C$51)*F358+$F$3), (EXP(-LN(2)/inputs!$C$51)*F358))</f>
        <v>4.066078530809726E-19</v>
      </c>
      <c r="G359" s="8">
        <f>IF((B359&gt;B358), (EXP(-LN(2)/inputs!$C$51)*G358+$G$3), (EXP(-LN(2)/inputs!$C$51)*G358))</f>
        <v>4.517865034233024E-20</v>
      </c>
      <c r="H359" s="8">
        <f>IF((B359&gt;B358), (EXP(-LN(2)/inputs!$C$51)*H358+$H$3), (EXP(-LN(2)/inputs!$C$51)*H358))</f>
        <v>2.8311954214526963E-19</v>
      </c>
      <c r="I359" s="7">
        <f>O359*(10^inputs!$C$55)*0.01/1</f>
        <v>6.6793749910068895E-3</v>
      </c>
      <c r="J359" s="7">
        <f>(((0.621*15^0.564)/0.2))*D359/15+J358*inputs!$C$53</f>
        <v>7.7784237195929917E-19</v>
      </c>
      <c r="K359" s="7">
        <f>(((0.621*1000^0.564)/0.2))*D359/1000+K358*inputs!$C$53</f>
        <v>1.2464285439296618E-19</v>
      </c>
      <c r="L359" s="7">
        <f>(((0.648*20^0.651)/0.2))*H359/20+L358*inputs!$C$54</f>
        <v>4.2645791425929639E-19</v>
      </c>
      <c r="M359" s="7">
        <f>(((0.013*2^0.773)/0.2))*H359/2+M358*inputs!$C$54</f>
        <v>2.0795539147724414E-20</v>
      </c>
      <c r="N359" s="7">
        <f>O359*0.015*inputs!$C$56</f>
        <v>9.8133109485624656E-4</v>
      </c>
      <c r="O359" s="7">
        <f>IF((B359&gt;B358), (EXP(-LN(2)/inputs!$C$52)*O358+$O$3), (EXP(-LN(2)/inputs!$C$52)*O358))</f>
        <v>1.0586095953141819E-4</v>
      </c>
      <c r="P359" s="3">
        <f>IF((B359&gt;B358), (EXP(-LN(2)/inputs!$C$52)*P358+$P$3), (EXP(-LN(2)/inputs!$C$52)*P358))</f>
        <v>1.022939661781443E-4</v>
      </c>
      <c r="Q359" s="19">
        <f>IF((F359*0.62*1/(0.012*(10^inputs!$C$55)))&gt;inputs!$C$57, inputs!$C$57, (F359*0.62*1/(0.012*(10^inputs!$C$55))))</f>
        <v>3.3295550948045169E-21</v>
      </c>
      <c r="R359" s="3">
        <f>IF((B359&gt;B358), (EXP(-LN(2)/inputs!$C$51)*R358+$R$3), (EXP(-LN(2)/inputs!$C$51)*R358))</f>
        <v>7.7360352047794026E-27</v>
      </c>
      <c r="T359" s="7">
        <f>IF(T358&lt;(inputs!$C$9-1),(1+T358),0)</f>
        <v>0</v>
      </c>
      <c r="U359" s="7">
        <f>IF(inputs!$C$8&gt;U358,IF(T358=(inputs!$C$9-1),(U358+1),U358), U358)</f>
        <v>1</v>
      </c>
      <c r="V359" s="7">
        <f t="shared" si="10"/>
        <v>356</v>
      </c>
      <c r="W359" s="8">
        <f>IF((U359&gt;U358), (EXP(-LN(2)/inputs!$C$51)*W358+$W$3), (EXP(-LN(2)/inputs!$C$51)*W358))</f>
        <v>2.5601235193987194E-19</v>
      </c>
      <c r="X359" s="8">
        <f>IF((U359&gt;U358), (EXP(-LN(2)/inputs!$C$51)*X358+$X$3), (EXP(-LN(2)/inputs!$C$51)*X358))</f>
        <v>1.0842876082159254E-19</v>
      </c>
      <c r="Y359" s="8">
        <f>IF((U359&gt;U358), (EXP(-LN(2)/inputs!$C$51)*Y358+$Y$3), (EXP(-LN(2)/inputs!$C$51)*Y358))</f>
        <v>1.3553595102699093E-19</v>
      </c>
      <c r="Z359" s="8">
        <f>IF((U359&gt;U358), (EXP(-LN(2)/inputs!$C$51)*Z358+$Z$3), (EXP(-LN(2)/inputs!$C$51)*Z358))</f>
        <v>2.1083370159754106E-20</v>
      </c>
      <c r="AA359" s="8">
        <f>IF((U359&gt;U358), (EXP(-LN(2)/inputs!$C$51)*AA358+$AA$3), (EXP(-LN(2)/inputs!$C$51)*AA358))</f>
        <v>1.9577415148343098E-19</v>
      </c>
      <c r="AB359" s="7">
        <f>(((0.621*15^0.564)/0.2))*W359/15+AB358*inputs!$C$53</f>
        <v>2.7548584006891908E-19</v>
      </c>
      <c r="AC359" s="7">
        <f>(((0.621*1000^0.564)/0.2))*W359/1000+AC358*inputs!$C$53</f>
        <v>4.4144344264175624E-20</v>
      </c>
      <c r="AD359" s="7">
        <f>(((0.648*20^0.651)/0.2))*AA359/20+AD358*inputs!$C$54</f>
        <v>2.9489111092398125E-19</v>
      </c>
      <c r="AE359" s="7">
        <f>(((0.013*2^0.773)/0.2))*AA359/2+AE358*inputs!$C$54</f>
        <v>1.4379894091511554E-20</v>
      </c>
    </row>
    <row r="360" spans="1:31" x14ac:dyDescent="0.3">
      <c r="A360" s="7">
        <f>IF(A359&lt;(inputs!$C$9-1),(1+A359),0)</f>
        <v>0</v>
      </c>
      <c r="B360" s="7">
        <f>IF(inputs!$C$8&gt;B359,IF(A359=(inputs!$C$9-1),(B359+1),B359), B359)</f>
        <v>1</v>
      </c>
      <c r="C360" s="7">
        <f t="shared" si="11"/>
        <v>357</v>
      </c>
      <c r="D360" s="8">
        <f>IF((B360&gt;B359), (EXP(-LN(2)/inputs!$C$51)*D359+$D$3), (EXP(-LN(2)/inputs!$C$51)*D359))</f>
        <v>6.3424218263461098E-19</v>
      </c>
      <c r="E360" s="8">
        <f>IF((B360&gt;B359), (EXP(-LN(2)/inputs!$C$51)*E359+$E$3), (EXP(-LN(2)/inputs!$C$51)*E359))</f>
        <v>2.9069433370753002E-19</v>
      </c>
      <c r="F360" s="8">
        <f>IF((B360&gt;B359), (EXP(-LN(2)/inputs!$C$51)*F359+$F$3), (EXP(-LN(2)/inputs!$C$51)*F359))</f>
        <v>3.5676122773196907E-19</v>
      </c>
      <c r="G360" s="8">
        <f>IF((B360&gt;B359), (EXP(-LN(2)/inputs!$C$51)*G359+$G$3), (EXP(-LN(2)/inputs!$C$51)*G359))</f>
        <v>3.9640136414663186E-20</v>
      </c>
      <c r="H360" s="8">
        <f>IF((B360&gt;B359), (EXP(-LN(2)/inputs!$C$51)*H359+$H$3), (EXP(-LN(2)/inputs!$C$51)*H359))</f>
        <v>2.4841152153188944E-19</v>
      </c>
      <c r="I360" s="7">
        <f>O360*(10^inputs!$C$55)*0.01/1</f>
        <v>6.5445833442134014E-3</v>
      </c>
      <c r="J360" s="7">
        <f>(((0.621*15^0.564)/0.2))*D360/15+J359*inputs!$C$53</f>
        <v>6.8248558777069143E-19</v>
      </c>
      <c r="K360" s="7">
        <f>(((0.621*1000^0.564)/0.2))*D360/1000+K359*inputs!$C$53</f>
        <v>1.0936271256029157E-19</v>
      </c>
      <c r="L360" s="7">
        <f>(((0.648*20^0.651)/0.2))*H360/20+L359*inputs!$C$54</f>
        <v>3.7417784215019382E-19</v>
      </c>
      <c r="M360" s="7">
        <f>(((0.013*2^0.773)/0.2))*H360/2+M359*inputs!$C$54</f>
        <v>1.8246184921108611E-20</v>
      </c>
      <c r="N360" s="7">
        <f>O360*0.015*inputs!$C$56</f>
        <v>9.6152756016873095E-4</v>
      </c>
      <c r="O360" s="7">
        <f>IF((B360&gt;B359), (EXP(-LN(2)/inputs!$C$52)*O359+$O$3), (EXP(-LN(2)/inputs!$C$52)*O359))</f>
        <v>1.0372465589738198E-4</v>
      </c>
      <c r="P360" s="3">
        <f>IF((B360&gt;B359), (EXP(-LN(2)/inputs!$C$52)*P359+$P$3), (EXP(-LN(2)/inputs!$C$52)*P359))</f>
        <v>1.0022964546299445E-4</v>
      </c>
      <c r="Q360" s="19">
        <f>IF((F360*0.62*1/(0.012*(10^inputs!$C$55)))&gt;inputs!$C$57, inputs!$C$57, (F360*0.62*1/(0.012*(10^inputs!$C$55))))</f>
        <v>2.9213802793600753E-21</v>
      </c>
      <c r="R360" s="3">
        <f>IF((B360&gt;B359), (EXP(-LN(2)/inputs!$C$51)*R359+$R$3), (EXP(-LN(2)/inputs!$C$51)*R359))</f>
        <v>6.7876638302045277E-27</v>
      </c>
      <c r="T360" s="7">
        <f>IF(T359&lt;(inputs!$C$9-1),(1+T359),0)</f>
        <v>0</v>
      </c>
      <c r="U360" s="7">
        <f>IF(inputs!$C$8&gt;U359,IF(T359=(inputs!$C$9-1),(U359+1),U359), U359)</f>
        <v>1</v>
      </c>
      <c r="V360" s="7">
        <f t="shared" si="10"/>
        <v>357</v>
      </c>
      <c r="W360" s="8">
        <f>IF((U360&gt;U359), (EXP(-LN(2)/inputs!$C$51)*W359+$W$3), (EXP(-LN(2)/inputs!$C$51)*W359))</f>
        <v>2.2462743968309189E-19</v>
      </c>
      <c r="X360" s="8">
        <f>IF((U360&gt;U359), (EXP(-LN(2)/inputs!$C$51)*X359+$X$3), (EXP(-LN(2)/inputs!$C$51)*X359))</f>
        <v>9.5136327395191621E-20</v>
      </c>
      <c r="Y360" s="8">
        <f>IF((U360&gt;U359), (EXP(-LN(2)/inputs!$C$51)*Y359+$Y$3), (EXP(-LN(2)/inputs!$C$51)*Y359))</f>
        <v>1.1892040924398976E-19</v>
      </c>
      <c r="Z360" s="8">
        <f>IF((U360&gt;U359), (EXP(-LN(2)/inputs!$C$51)*Z359+$Z$3), (EXP(-LN(2)/inputs!$C$51)*Z359))</f>
        <v>1.8498730326842817E-20</v>
      </c>
      <c r="AA360" s="8">
        <f>IF((U360&gt;U359), (EXP(-LN(2)/inputs!$C$51)*AA359+$AA$3), (EXP(-LN(2)/inputs!$C$51)*AA359))</f>
        <v>1.7177392446354043E-19</v>
      </c>
      <c r="AB360" s="7">
        <f>(((0.621*15^0.564)/0.2))*W360/15+AB359*inputs!$C$53</f>
        <v>2.4171364566878711E-19</v>
      </c>
      <c r="AC360" s="7">
        <f>(((0.621*1000^0.564)/0.2))*W360/1000+AC359*inputs!$C$53</f>
        <v>3.8732627365103349E-20</v>
      </c>
      <c r="AD360" s="7">
        <f>(((0.648*20^0.651)/0.2))*AA360/20+AD359*inputs!$C$54</f>
        <v>2.5873999723151681E-19</v>
      </c>
      <c r="AE360" s="7">
        <f>(((0.013*2^0.773)/0.2))*AA360/2+AE359*inputs!$C$54</f>
        <v>1.2617042764596371E-20</v>
      </c>
    </row>
    <row r="361" spans="1:31" x14ac:dyDescent="0.3">
      <c r="A361" s="7">
        <f>IF(A360&lt;(inputs!$C$9-1),(1+A360),0)</f>
        <v>0</v>
      </c>
      <c r="B361" s="7">
        <f>IF(inputs!$C$8&gt;B360,IF(A360=(inputs!$C$9-1),(B360+1),B360), B360)</f>
        <v>1</v>
      </c>
      <c r="C361" s="7">
        <f t="shared" si="11"/>
        <v>358</v>
      </c>
      <c r="D361" s="8">
        <f>IF((B361&gt;B360), (EXP(-LN(2)/inputs!$C$51)*D360+$D$3), (EXP(-LN(2)/inputs!$C$51)*D360))</f>
        <v>5.5648954647973115E-19</v>
      </c>
      <c r="E361" s="8">
        <f>IF((B361&gt;B360), (EXP(-LN(2)/inputs!$C$51)*E360+$E$3), (EXP(-LN(2)/inputs!$C$51)*E360))</f>
        <v>2.5505770880321007E-19</v>
      </c>
      <c r="F361" s="8">
        <f>IF((B361&gt;B360), (EXP(-LN(2)/inputs!$C$51)*F360+$F$3), (EXP(-LN(2)/inputs!$C$51)*F360))</f>
        <v>3.1302536989484912E-19</v>
      </c>
      <c r="G361" s="8">
        <f>IF((B361&gt;B360), (EXP(-LN(2)/inputs!$C$51)*G360+$G$3), (EXP(-LN(2)/inputs!$C$51)*G360))</f>
        <v>3.4780596654983197E-20</v>
      </c>
      <c r="H361" s="8">
        <f>IF((B361&gt;B360), (EXP(-LN(2)/inputs!$C$51)*H360+$H$3), (EXP(-LN(2)/inputs!$C$51)*H360))</f>
        <v>2.1795840570456147E-19</v>
      </c>
      <c r="I361" s="7">
        <f>O361*(10^inputs!$C$55)*0.01/1</f>
        <v>6.4125118303769279E-3</v>
      </c>
      <c r="J361" s="7">
        <f>(((0.621*15^0.564)/0.2))*D361/15+J360*inputs!$C$53</f>
        <v>5.9881872511192872E-19</v>
      </c>
      <c r="K361" s="7">
        <f>(((0.621*1000^0.564)/0.2))*D361/1000+K360*inputs!$C$53</f>
        <v>9.5955784684114973E-20</v>
      </c>
      <c r="L361" s="7">
        <f>(((0.648*20^0.651)/0.2))*H361/20+L360*inputs!$C$54</f>
        <v>3.2830685719446309E-19</v>
      </c>
      <c r="M361" s="7">
        <f>(((0.013*2^0.773)/0.2))*H361/2+M360*inputs!$C$54</f>
        <v>1.6009359594397531E-20</v>
      </c>
      <c r="N361" s="7">
        <f>O361*0.015*inputs!$C$56</f>
        <v>9.4212366632432645E-4</v>
      </c>
      <c r="O361" s="7">
        <f>IF((B361&gt;B360), (EXP(-LN(2)/inputs!$C$52)*O360+$O$3), (EXP(-LN(2)/inputs!$C$52)*O360))</f>
        <v>1.0163146346540739E-4</v>
      </c>
      <c r="P361" s="3">
        <f>IF((B361&gt;B360), (EXP(-LN(2)/inputs!$C$52)*P360+$P$3), (EXP(-LN(2)/inputs!$C$52)*P360))</f>
        <v>9.8206983314563713E-5</v>
      </c>
      <c r="Q361" s="19">
        <f>IF((F361*0.62*1/(0.012*(10^inputs!$C$55)))&gt;inputs!$C$57, inputs!$C$57, (F361*0.62*1/(0.012*(10^inputs!$C$55))))</f>
        <v>2.5632441853721671E-21</v>
      </c>
      <c r="R361" s="3">
        <f>IF((B361&gt;B360), (EXP(-LN(2)/inputs!$C$51)*R360+$R$3), (EXP(-LN(2)/inputs!$C$51)*R360))</f>
        <v>5.9555546287331798E-27</v>
      </c>
      <c r="T361" s="7">
        <f>IF(T360&lt;(inputs!$C$9-1),(1+T360),0)</f>
        <v>0</v>
      </c>
      <c r="U361" s="7">
        <f>IF(inputs!$C$8&gt;U360,IF(T360=(inputs!$C$9-1),(U360+1),U360), U360)</f>
        <v>1</v>
      </c>
      <c r="V361" s="7">
        <f t="shared" si="10"/>
        <v>358</v>
      </c>
      <c r="W361" s="8">
        <f>IF((U361&gt;U360), (EXP(-LN(2)/inputs!$C$51)*W360+$W$3), (EXP(-LN(2)/inputs!$C$51)*W360))</f>
        <v>1.9709004771157189E-19</v>
      </c>
      <c r="X361" s="8">
        <f>IF((U361&gt;U360), (EXP(-LN(2)/inputs!$C$51)*X360+$X$3), (EXP(-LN(2)/inputs!$C$51)*X360))</f>
        <v>8.3473431971959641E-20</v>
      </c>
      <c r="Y361" s="8">
        <f>IF((U361&gt;U360), (EXP(-LN(2)/inputs!$C$51)*Y360+$Y$3), (EXP(-LN(2)/inputs!$C$51)*Y360))</f>
        <v>1.0434178996494976E-19</v>
      </c>
      <c r="Z361" s="8">
        <f>IF((U361&gt;U360), (EXP(-LN(2)/inputs!$C$51)*Z360+$Z$3), (EXP(-LN(2)/inputs!$C$51)*Z360))</f>
        <v>1.6230945105658821E-20</v>
      </c>
      <c r="AA361" s="8">
        <f>IF((U361&gt;U360), (EXP(-LN(2)/inputs!$C$51)*AA360+$AA$3), (EXP(-LN(2)/inputs!$C$51)*AA360))</f>
        <v>1.5071591883826047E-19</v>
      </c>
      <c r="AB361" s="7">
        <f>(((0.621*15^0.564)/0.2))*W361/15+AB360*inputs!$C$53</f>
        <v>2.1208163181047523E-19</v>
      </c>
      <c r="AC361" s="7">
        <f>(((0.621*1000^0.564)/0.2))*W361/1000+AC360*inputs!$C$53</f>
        <v>3.3984340408957456E-20</v>
      </c>
      <c r="AD361" s="7">
        <f>(((0.648*20^0.651)/0.2))*AA361/20+AD360*inputs!$C$54</f>
        <v>2.2702069912383066E-19</v>
      </c>
      <c r="AE361" s="7">
        <f>(((0.013*2^0.773)/0.2))*AA361/2+AE360*inputs!$C$54</f>
        <v>1.1070301847189772E-20</v>
      </c>
    </row>
    <row r="362" spans="1:31" x14ac:dyDescent="0.3">
      <c r="A362" s="7">
        <f>IF(A361&lt;(inputs!$C$9-1),(1+A361),0)</f>
        <v>0</v>
      </c>
      <c r="B362" s="7">
        <f>IF(inputs!$C$8&gt;B361,IF(A361=(inputs!$C$9-1),(B361+1),B361), B361)</f>
        <v>1</v>
      </c>
      <c r="C362" s="7">
        <f t="shared" si="11"/>
        <v>359</v>
      </c>
      <c r="D362" s="8">
        <f>IF((B362&gt;B361), (EXP(-LN(2)/inputs!$C$51)*D361+$D$3), (EXP(-LN(2)/inputs!$C$51)*D361))</f>
        <v>4.8826871472789574E-19</v>
      </c>
      <c r="E362" s="8">
        <f>IF((B362&gt;B361), (EXP(-LN(2)/inputs!$C$51)*E361+$E$3), (EXP(-LN(2)/inputs!$C$51)*E361))</f>
        <v>2.2378982758361888E-19</v>
      </c>
      <c r="F362" s="8">
        <f>IF((B362&gt;B361), (EXP(-LN(2)/inputs!$C$51)*F361+$F$3), (EXP(-LN(2)/inputs!$C$51)*F361))</f>
        <v>2.7465115203444166E-19</v>
      </c>
      <c r="G362" s="8">
        <f>IF((B362&gt;B361), (EXP(-LN(2)/inputs!$C$51)*G361+$G$3), (EXP(-LN(2)/inputs!$C$51)*G361))</f>
        <v>3.0516794670493484E-20</v>
      </c>
      <c r="H362" s="8">
        <f>IF((B362&gt;B361), (EXP(-LN(2)/inputs!$C$51)*H361+$H$3), (EXP(-LN(2)/inputs!$C$51)*H361))</f>
        <v>1.9123857993509261E-19</v>
      </c>
      <c r="I362" s="7">
        <f>O362*(10^inputs!$C$55)*0.01/1</f>
        <v>6.2831055564571397E-3</v>
      </c>
      <c r="J362" s="7">
        <f>(((0.621*15^0.564)/0.2))*D362/15+J361*inputs!$C$53</f>
        <v>5.2540870015434871E-19</v>
      </c>
      <c r="K362" s="7">
        <f>(((0.621*1000^0.564)/0.2))*D362/1000+K361*inputs!$C$53</f>
        <v>8.4192430845825423E-20</v>
      </c>
      <c r="L362" s="7">
        <f>(((0.648*20^0.651)/0.2))*H362/20+L361*inputs!$C$54</f>
        <v>2.8805926043488391E-19</v>
      </c>
      <c r="M362" s="7">
        <f>(((0.013*2^0.773)/0.2))*H362/2+M361*inputs!$C$54</f>
        <v>1.4046749812681165E-20</v>
      </c>
      <c r="N362" s="7">
        <f>O362*0.015*inputs!$C$56</f>
        <v>9.2311134845956297E-4</v>
      </c>
      <c r="O362" s="7">
        <f>IF((B362&gt;B361), (EXP(-LN(2)/inputs!$C$52)*O361+$O$3), (EXP(-LN(2)/inputs!$C$52)*O361))</f>
        <v>9.9580512239435065E-5</v>
      </c>
      <c r="P362" s="3">
        <f>IF((B362&gt;B361), (EXP(-LN(2)/inputs!$C$52)*P361+$P$3), (EXP(-LN(2)/inputs!$C$52)*P361))</f>
        <v>9.622513905137837E-5</v>
      </c>
      <c r="Q362" s="19">
        <f>IF((F362*0.62*1/(0.012*(10^inputs!$C$55)))&gt;inputs!$C$57, inputs!$C$57, (F362*0.62*1/(0.012*(10^inputs!$C$55))))</f>
        <v>2.2490124959984404E-21</v>
      </c>
      <c r="R362" s="3">
        <f>IF((B362&gt;B361), (EXP(-LN(2)/inputs!$C$51)*R361+$R$3), (EXP(-LN(2)/inputs!$C$51)*R361))</f>
        <v>5.2254548579723129E-27</v>
      </c>
      <c r="T362" s="7">
        <f>IF(T361&lt;(inputs!$C$9-1),(1+T361),0)</f>
        <v>0</v>
      </c>
      <c r="U362" s="7">
        <f>IF(inputs!$C$8&gt;U361,IF(T361=(inputs!$C$9-1),(U361+1),U361), U361)</f>
        <v>1</v>
      </c>
      <c r="V362" s="7">
        <f t="shared" si="10"/>
        <v>359</v>
      </c>
      <c r="W362" s="8">
        <f>IF((U362&gt;U361), (EXP(-LN(2)/inputs!$C$51)*W361+$W$3), (EXP(-LN(2)/inputs!$C$51)*W361))</f>
        <v>1.7292850313279679E-19</v>
      </c>
      <c r="X362" s="8">
        <f>IF((U362&gt;U361), (EXP(-LN(2)/inputs!$C$51)*X361+$X$3), (EXP(-LN(2)/inputs!$C$51)*X361))</f>
        <v>7.3240307209184333E-20</v>
      </c>
      <c r="Y362" s="8">
        <f>IF((U362&gt;U361), (EXP(-LN(2)/inputs!$C$51)*Y361+$Y$3), (EXP(-LN(2)/inputs!$C$51)*Y361))</f>
        <v>9.1550384011480609E-20</v>
      </c>
      <c r="Z362" s="8">
        <f>IF((U362&gt;U361), (EXP(-LN(2)/inputs!$C$51)*Z361+$Z$3), (EXP(-LN(2)/inputs!$C$51)*Z361))</f>
        <v>1.4241170846230288E-20</v>
      </c>
      <c r="AA362" s="8">
        <f>IF((U362&gt;U361), (EXP(-LN(2)/inputs!$C$51)*AA361+$AA$3), (EXP(-LN(2)/inputs!$C$51)*AA361))</f>
        <v>1.3223944357213839E-19</v>
      </c>
      <c r="AB362" s="7">
        <f>(((0.621*15^0.564)/0.2))*W362/15+AB361*inputs!$C$53</f>
        <v>1.8608224797133225E-19</v>
      </c>
      <c r="AC362" s="7">
        <f>(((0.621*1000^0.564)/0.2))*W362/1000+AC361*inputs!$C$53</f>
        <v>2.9818152591229903E-20</v>
      </c>
      <c r="AD362" s="7">
        <f>(((0.648*20^0.651)/0.2))*AA362/20+AD361*inputs!$C$54</f>
        <v>1.9918991413050465E-19</v>
      </c>
      <c r="AE362" s="7">
        <f>(((0.013*2^0.773)/0.2))*AA362/2+AE361*inputs!$C$54</f>
        <v>9.7131780619603715E-21</v>
      </c>
    </row>
    <row r="363" spans="1:31" x14ac:dyDescent="0.3">
      <c r="A363" s="7">
        <f>IF(A362&lt;(inputs!$C$9-1),(1+A362),0)</f>
        <v>0</v>
      </c>
      <c r="B363" s="7">
        <f>IF(inputs!$C$8&gt;B362,IF(A362=(inputs!$C$9-1),(B362+1),B362), B362)</f>
        <v>1</v>
      </c>
      <c r="C363" s="7">
        <f t="shared" si="11"/>
        <v>360</v>
      </c>
      <c r="D363" s="8">
        <f>IF((B363&gt;B362), (EXP(-LN(2)/inputs!$C$51)*D362+$D$3), (EXP(-LN(2)/inputs!$C$51)*D362))</f>
        <v>4.2841117014713705E-19</v>
      </c>
      <c r="E363" s="8">
        <f>IF((B363&gt;B362), (EXP(-LN(2)/inputs!$C$51)*E362+$E$3), (EXP(-LN(2)/inputs!$C$51)*E362))</f>
        <v>1.9635511965077115E-19</v>
      </c>
      <c r="F363" s="8">
        <f>IF((B363&gt;B362), (EXP(-LN(2)/inputs!$C$51)*F362+$F$3), (EXP(-LN(2)/inputs!$C$51)*F362))</f>
        <v>2.4098128320776484E-19</v>
      </c>
      <c r="G363" s="8">
        <f>IF((B363&gt;B362), (EXP(-LN(2)/inputs!$C$51)*G362+$G$3), (EXP(-LN(2)/inputs!$C$51)*G362))</f>
        <v>2.6775698134196066E-20</v>
      </c>
      <c r="H363" s="8">
        <f>IF((B363&gt;B362), (EXP(-LN(2)/inputs!$C$51)*H362+$H$3), (EXP(-LN(2)/inputs!$C$51)*H362))</f>
        <v>1.6779437497429544E-19</v>
      </c>
      <c r="I363" s="7">
        <f>O363*(10^inputs!$C$55)*0.01/1</f>
        <v>6.1563107371705363E-3</v>
      </c>
      <c r="J363" s="7">
        <f>(((0.621*15^0.564)/0.2))*D363/15+J362*inputs!$C$53</f>
        <v>4.6099811282000798E-19</v>
      </c>
      <c r="K363" s="7">
        <f>(((0.621*1000^0.564)/0.2))*D363/1000+K362*inputs!$C$53</f>
        <v>7.3871163005585244E-20</v>
      </c>
      <c r="L363" s="7">
        <f>(((0.648*20^0.651)/0.2))*H363/20+L362*inputs!$C$54</f>
        <v>2.5274567284819935E-19</v>
      </c>
      <c r="M363" s="7">
        <f>(((0.013*2^0.773)/0.2))*H363/2+M362*inputs!$C$54</f>
        <v>1.2324739108809029E-20</v>
      </c>
      <c r="N363" s="7">
        <f>O363*0.015*inputs!$C$56</f>
        <v>9.0448270446216044E-4</v>
      </c>
      <c r="O363" s="7">
        <f>IF((B363&gt;B362), (EXP(-LN(2)/inputs!$C$52)*O362+$O$3), (EXP(-LN(2)/inputs!$C$52)*O362))</f>
        <v>9.7570949780168334E-5</v>
      </c>
      <c r="P363" s="3">
        <f>IF((B363&gt;B362), (EXP(-LN(2)/inputs!$C$52)*P362+$P$3), (EXP(-LN(2)/inputs!$C$52)*P362))</f>
        <v>9.4283288957150855E-5</v>
      </c>
      <c r="Q363" s="19">
        <f>IF((F363*0.62*1/(0.012*(10^inputs!$C$55)))&gt;inputs!$C$57, inputs!$C$57, (F363*0.62*1/(0.012*(10^inputs!$C$55))))</f>
        <v>1.9733029088770702E-21</v>
      </c>
      <c r="R363" s="3">
        <f>IF((B363&gt;B362), (EXP(-LN(2)/inputs!$C$51)*R362+$R$3), (EXP(-LN(2)/inputs!$C$51)*R362))</f>
        <v>4.5848590391512595E-27</v>
      </c>
      <c r="T363" s="7">
        <f>IF(T362&lt;(inputs!$C$9-1),(1+T362),0)</f>
        <v>0</v>
      </c>
      <c r="U363" s="7">
        <f>IF(inputs!$C$8&gt;U362,IF(T362=(inputs!$C$9-1),(U362+1),U362), U362)</f>
        <v>1</v>
      </c>
      <c r="V363" s="7">
        <f t="shared" si="10"/>
        <v>360</v>
      </c>
      <c r="W363" s="8">
        <f>IF((U363&gt;U362), (EXP(-LN(2)/inputs!$C$51)*W362+$W$3), (EXP(-LN(2)/inputs!$C$51)*W362))</f>
        <v>1.5172895609377804E-19</v>
      </c>
      <c r="X363" s="8">
        <f>IF((U363&gt;U362), (EXP(-LN(2)/inputs!$C$51)*X362+$X$3), (EXP(-LN(2)/inputs!$C$51)*X362))</f>
        <v>6.4261675522070532E-20</v>
      </c>
      <c r="Y363" s="8">
        <f>IF((U363&gt;U362), (EXP(-LN(2)/inputs!$C$51)*Y362+$Y$3), (EXP(-LN(2)/inputs!$C$51)*Y362))</f>
        <v>8.0327094402588333E-20</v>
      </c>
      <c r="Z363" s="8">
        <f>IF((U363&gt;U362), (EXP(-LN(2)/inputs!$C$51)*Z362+$Z$3), (EXP(-LN(2)/inputs!$C$51)*Z362))</f>
        <v>1.249532579595816E-20</v>
      </c>
      <c r="AA363" s="8">
        <f>IF((U363&gt;U362), (EXP(-LN(2)/inputs!$C$51)*AA362+$AA$3), (EXP(-LN(2)/inputs!$C$51)*AA362))</f>
        <v>1.1602802524818293E-19</v>
      </c>
      <c r="AB363" s="7">
        <f>(((0.621*15^0.564)/0.2))*W363/15+AB362*inputs!$C$53</f>
        <v>1.6327016495708653E-19</v>
      </c>
      <c r="AC363" s="7">
        <f>(((0.621*1000^0.564)/0.2))*W363/1000+AC362*inputs!$C$53</f>
        <v>2.6162703564478164E-20</v>
      </c>
      <c r="AD363" s="7">
        <f>(((0.648*20^0.651)/0.2))*AA363/20+AD362*inputs!$C$54</f>
        <v>1.7477094399077599E-19</v>
      </c>
      <c r="AE363" s="7">
        <f>(((0.013*2^0.773)/0.2))*AA363/2+AE362*inputs!$C$54</f>
        <v>8.5224259794955978E-21</v>
      </c>
    </row>
    <row r="364" spans="1:31" x14ac:dyDescent="0.3">
      <c r="A364" s="7">
        <f>IF(A363&lt;(inputs!$C$9-1),(1+A363),0)</f>
        <v>0</v>
      </c>
      <c r="B364" s="7">
        <f>IF(inputs!$C$8&gt;B363,IF(A363=(inputs!$C$9-1),(B363+1),B363), B363)</f>
        <v>1</v>
      </c>
      <c r="C364" s="7">
        <f t="shared" si="11"/>
        <v>361</v>
      </c>
      <c r="D364" s="8">
        <f>IF((B364&gt;B363), (EXP(-LN(2)/inputs!$C$51)*D363+$D$3), (EXP(-LN(2)/inputs!$C$51)*D363))</f>
        <v>3.7589164566712193E-19</v>
      </c>
      <c r="E364" s="8">
        <f>IF((B364&gt;B363), (EXP(-LN(2)/inputs!$C$51)*E363+$E$3), (EXP(-LN(2)/inputs!$C$51)*E363))</f>
        <v>1.7228367093076421E-19</v>
      </c>
      <c r="F364" s="8">
        <f>IF((B364&gt;B363), (EXP(-LN(2)/inputs!$C$51)*F363+$F$3), (EXP(-LN(2)/inputs!$C$51)*F363))</f>
        <v>2.1143905068775631E-19</v>
      </c>
      <c r="G364" s="8">
        <f>IF((B364&gt;B363), (EXP(-LN(2)/inputs!$C$51)*G363+$G$3), (EXP(-LN(2)/inputs!$C$51)*G363))</f>
        <v>2.3493227854195121E-20</v>
      </c>
      <c r="H364" s="8">
        <f>IF((B364&gt;B363), (EXP(-LN(2)/inputs!$C$51)*H363+$H$3), (EXP(-LN(2)/inputs!$C$51)*H363))</f>
        <v>1.4722422788628949E-19</v>
      </c>
      <c r="I364" s="7">
        <f>O364*(10^inputs!$C$55)*0.01/1</f>
        <v>6.0320746726356192E-3</v>
      </c>
      <c r="J364" s="7">
        <f>(((0.621*15^0.564)/0.2))*D364/15+J363*inputs!$C$53</f>
        <v>4.0448370946498851E-19</v>
      </c>
      <c r="K364" s="7">
        <f>(((0.621*1000^0.564)/0.2))*D364/1000+K363*inputs!$C$53</f>
        <v>6.4815193824140803E-20</v>
      </c>
      <c r="L364" s="7">
        <f>(((0.648*20^0.651)/0.2))*H364/20+L363*inputs!$C$54</f>
        <v>2.2176122734970789E-19</v>
      </c>
      <c r="M364" s="7">
        <f>(((0.013*2^0.773)/0.2))*H364/2+M363*inputs!$C$54</f>
        <v>1.0813832105351147E-20</v>
      </c>
      <c r="N364" s="7">
        <f>O364*0.015*inputs!$C$56</f>
        <v>8.8622999168666409E-4</v>
      </c>
      <c r="O364" s="7">
        <f>IF((B364&gt;B363), (EXP(-LN(2)/inputs!$C$52)*O363+$O$3), (EXP(-LN(2)/inputs!$C$52)*O363))</f>
        <v>9.5601940850772828E-5</v>
      </c>
      <c r="P364" s="3">
        <f>IF((B364&gt;B363), (EXP(-LN(2)/inputs!$C$52)*P363+$P$3), (EXP(-LN(2)/inputs!$C$52)*P363))</f>
        <v>9.2380625938417587E-5</v>
      </c>
      <c r="Q364" s="19">
        <f>IF((F364*0.62*1/(0.012*(10^inputs!$C$55)))&gt;inputs!$C$57, inputs!$C$57, (F364*0.62*1/(0.012*(10^inputs!$C$55))))</f>
        <v>1.7313929456199022E-21</v>
      </c>
      <c r="R364" s="3">
        <f>IF((B364&gt;B363), (EXP(-LN(2)/inputs!$C$51)*R363+$R$3), (EXP(-LN(2)/inputs!$C$51)*R363))</f>
        <v>4.0227947576307221E-27</v>
      </c>
      <c r="T364" s="7">
        <f>IF(T363&lt;(inputs!$C$9-1),(1+T363),0)</f>
        <v>0</v>
      </c>
      <c r="U364" s="7">
        <f>IF(inputs!$C$8&gt;U363,IF(T363=(inputs!$C$9-1),(U363+1),U363), U363)</f>
        <v>1</v>
      </c>
      <c r="V364" s="7">
        <f t="shared" si="10"/>
        <v>361</v>
      </c>
      <c r="W364" s="8">
        <f>IF((U364&gt;U363), (EXP(-LN(2)/inputs!$C$51)*W363+$W$3), (EXP(-LN(2)/inputs!$C$51)*W363))</f>
        <v>1.3312829117377264E-19</v>
      </c>
      <c r="X364" s="8">
        <f>IF((U364&gt;U363), (EXP(-LN(2)/inputs!$C$51)*X363+$X$3), (EXP(-LN(2)/inputs!$C$51)*X363))</f>
        <v>5.6383746850068265E-20</v>
      </c>
      <c r="Y364" s="8">
        <f>IF((U364&gt;U363), (EXP(-LN(2)/inputs!$C$51)*Y363+$Y$3), (EXP(-LN(2)/inputs!$C$51)*Y363))</f>
        <v>7.0479683562585479E-20</v>
      </c>
      <c r="Z364" s="8">
        <f>IF((U364&gt;U363), (EXP(-LN(2)/inputs!$C$51)*Z363+$Z$3), (EXP(-LN(2)/inputs!$C$51)*Z363))</f>
        <v>1.0963506331957719E-20</v>
      </c>
      <c r="AA364" s="8">
        <f>IF((U364&gt;U363), (EXP(-LN(2)/inputs!$C$51)*AA363+$AA$3), (EXP(-LN(2)/inputs!$C$51)*AA363))</f>
        <v>1.0180398736817884E-19</v>
      </c>
      <c r="AB364" s="7">
        <f>(((0.621*15^0.564)/0.2))*W364/15+AB363*inputs!$C$53</f>
        <v>1.4325464710218377E-19</v>
      </c>
      <c r="AC364" s="7">
        <f>(((0.621*1000^0.564)/0.2))*W364/1000+AC363*inputs!$C$53</f>
        <v>2.295538114604992E-20</v>
      </c>
      <c r="AD364" s="7">
        <f>(((0.648*20^0.651)/0.2))*AA364/20+AD363*inputs!$C$54</f>
        <v>1.5334552955032985E-19</v>
      </c>
      <c r="AE364" s="7">
        <f>(((0.013*2^0.773)/0.2))*AA364/2+AE363*inputs!$C$54</f>
        <v>7.4776498600832342E-21</v>
      </c>
    </row>
    <row r="365" spans="1:31" x14ac:dyDescent="0.3">
      <c r="A365" s="7">
        <f>IF(A364&lt;(inputs!$C$9-1),(1+A364),0)</f>
        <v>0</v>
      </c>
      <c r="B365" s="7">
        <f>IF(inputs!$C$8&gt;B364,IF(A364=(inputs!$C$9-1),(B364+1),B364), B364)</f>
        <v>1</v>
      </c>
      <c r="C365" s="7">
        <f t="shared" si="11"/>
        <v>362</v>
      </c>
      <c r="D365" s="8">
        <f>IF((B365&gt;B364), (EXP(-LN(2)/inputs!$C$51)*D364+$D$3), (EXP(-LN(2)/inputs!$C$51)*D364))</f>
        <v>3.298105631415021E-19</v>
      </c>
      <c r="E365" s="8">
        <f>IF((B365&gt;B364), (EXP(-LN(2)/inputs!$C$51)*E364+$E$3), (EXP(-LN(2)/inputs!$C$51)*E364))</f>
        <v>1.5116317477318845E-19</v>
      </c>
      <c r="F365" s="8">
        <f>IF((B365&gt;B364), (EXP(-LN(2)/inputs!$C$51)*F364+$F$3), (EXP(-LN(2)/inputs!$C$51)*F364))</f>
        <v>1.8551844176709513E-19</v>
      </c>
      <c r="G365" s="8">
        <f>IF((B365&gt;B364), (EXP(-LN(2)/inputs!$C$51)*G364+$G$3), (EXP(-LN(2)/inputs!$C$51)*G364))</f>
        <v>2.0613160196343881E-20</v>
      </c>
      <c r="H365" s="8">
        <f>IF((B365&gt;B364), (EXP(-LN(2)/inputs!$C$51)*H364+$H$3), (EXP(-LN(2)/inputs!$C$51)*H364))</f>
        <v>1.2917580389708839E-19</v>
      </c>
      <c r="I365" s="7">
        <f>O365*(10^inputs!$C$55)*0.01/1</f>
        <v>5.9103457264691643E-3</v>
      </c>
      <c r="J365" s="7">
        <f>(((0.621*15^0.564)/0.2))*D365/15+J364*inputs!$C$53</f>
        <v>3.5489748585247666E-19</v>
      </c>
      <c r="K365" s="7">
        <f>(((0.621*1000^0.564)/0.2))*D365/1000+K364*inputs!$C$53</f>
        <v>5.6869408569394131E-20</v>
      </c>
      <c r="L365" s="7">
        <f>(((0.648*20^0.651)/0.2))*H365/20+L364*inputs!$C$54</f>
        <v>1.9457520835652639E-19</v>
      </c>
      <c r="M365" s="7">
        <f>(((0.013*2^0.773)/0.2))*H365/2+M364*inputs!$C$54</f>
        <v>9.4881493044458705E-21</v>
      </c>
      <c r="N365" s="7">
        <f>O365*0.015*inputs!$C$56</f>
        <v>8.6834562373636027E-4</v>
      </c>
      <c r="O365" s="7">
        <f>IF((B365&gt;B364), (EXP(-LN(2)/inputs!$C$52)*O364+$O$3), (EXP(-LN(2)/inputs!$C$52)*O364))</f>
        <v>9.3672667069726029E-5</v>
      </c>
      <c r="P365" s="3">
        <f>IF((B365&gt;B364), (EXP(-LN(2)/inputs!$C$52)*P364+$P$3), (EXP(-LN(2)/inputs!$C$52)*P364))</f>
        <v>9.0516359189085795E-5</v>
      </c>
      <c r="Q365" s="19">
        <f>IF((F365*0.62*1/(0.012*(10^inputs!$C$55)))&gt;inputs!$C$57, inputs!$C$57, (F365*0.62*1/(0.012*(10^inputs!$C$55))))</f>
        <v>1.5191390630687549E-21</v>
      </c>
      <c r="R365" s="3">
        <f>IF((B365&gt;B364), (EXP(-LN(2)/inputs!$C$51)*R364+$R$3), (EXP(-LN(2)/inputs!$C$51)*R364))</f>
        <v>3.5296347224269221E-27</v>
      </c>
      <c r="T365" s="7">
        <f>IF(T364&lt;(inputs!$C$9-1),(1+T364),0)</f>
        <v>0</v>
      </c>
      <c r="U365" s="7">
        <f>IF(inputs!$C$8&gt;U364,IF(T364=(inputs!$C$9-1),(U364+1),U364), U364)</f>
        <v>1</v>
      </c>
      <c r="V365" s="7">
        <f t="shared" si="10"/>
        <v>362</v>
      </c>
      <c r="W365" s="8">
        <f>IF((U365&gt;U364), (EXP(-LN(2)/inputs!$C$51)*W364+$W$3), (EXP(-LN(2)/inputs!$C$51)*W364))</f>
        <v>1.1680790777928223E-19</v>
      </c>
      <c r="X365" s="8">
        <f>IF((U365&gt;U364), (EXP(-LN(2)/inputs!$C$51)*X364+$X$3), (EXP(-LN(2)/inputs!$C$51)*X364))</f>
        <v>4.9471584471225291E-20</v>
      </c>
      <c r="Y365" s="8">
        <f>IF((U365&gt;U364), (EXP(-LN(2)/inputs!$C$51)*Y364+$Y$3), (EXP(-LN(2)/inputs!$C$51)*Y364))</f>
        <v>6.1839480589031749E-20</v>
      </c>
      <c r="Z365" s="8">
        <f>IF((U365&gt;U364), (EXP(-LN(2)/inputs!$C$51)*Z364+$Z$3), (EXP(-LN(2)/inputs!$C$51)*Z364))</f>
        <v>9.6194747582938077E-21</v>
      </c>
      <c r="AA365" s="8">
        <f>IF((U365&gt;U364), (EXP(-LN(2)/inputs!$C$51)*AA364+$AA$3), (EXP(-LN(2)/inputs!$C$51)*AA364))</f>
        <v>8.9323694184156799E-20</v>
      </c>
      <c r="AB365" s="7">
        <f>(((0.621*15^0.564)/0.2))*W365/15+AB364*inputs!$C$53</f>
        <v>1.2569285957275242E-19</v>
      </c>
      <c r="AC365" s="7">
        <f>(((0.621*1000^0.564)/0.2))*W365/1000+AC364*inputs!$C$53</f>
        <v>2.0141248868327133E-20</v>
      </c>
      <c r="AD365" s="7">
        <f>(((0.648*20^0.651)/0.2))*AA365/20+AD364*inputs!$C$54</f>
        <v>1.3454668662951286E-19</v>
      </c>
      <c r="AE365" s="7">
        <f>(((0.013*2^0.773)/0.2))*AA365/2+AE364*inputs!$C$54</f>
        <v>6.5609543062657575E-21</v>
      </c>
    </row>
    <row r="366" spans="1:31" x14ac:dyDescent="0.3">
      <c r="A366" s="7">
        <f>IF(A365&lt;(inputs!$C$9-1),(1+A365),0)</f>
        <v>0</v>
      </c>
      <c r="B366" s="7">
        <f>IF(inputs!$C$8&gt;B365,IF(A365=(inputs!$C$9-1),(B365+1),B365), B365)</f>
        <v>1</v>
      </c>
      <c r="C366" s="7">
        <f t="shared" si="11"/>
        <v>363</v>
      </c>
      <c r="D366" s="8">
        <f>IF((B366&gt;B365), (EXP(-LN(2)/inputs!$C$51)*D365+$D$3), (EXP(-LN(2)/inputs!$C$51)*D365))</f>
        <v>2.8937862496694735E-19</v>
      </c>
      <c r="E366" s="8">
        <f>IF((B366&gt;B365), (EXP(-LN(2)/inputs!$C$51)*E365+$E$3), (EXP(-LN(2)/inputs!$C$51)*E365))</f>
        <v>1.3263186977651754E-19</v>
      </c>
      <c r="F366" s="8">
        <f>IF((B366&gt;B365), (EXP(-LN(2)/inputs!$C$51)*F365+$F$3), (EXP(-LN(2)/inputs!$C$51)*F365))</f>
        <v>1.6277547654390807E-19</v>
      </c>
      <c r="G366" s="8">
        <f>IF((B366&gt;B365), (EXP(-LN(2)/inputs!$C$51)*G365+$G$3), (EXP(-LN(2)/inputs!$C$51)*G365))</f>
        <v>1.8086164060434209E-20</v>
      </c>
      <c r="H366" s="8">
        <f>IF((B366&gt;B365), (EXP(-LN(2)/inputs!$C$51)*H365+$H$3), (EXP(-LN(2)/inputs!$C$51)*H365))</f>
        <v>1.1333996144538777E-19</v>
      </c>
      <c r="I366" s="7">
        <f>O366*(10^inputs!$C$55)*0.01/1</f>
        <v>5.7910733043245377E-3</v>
      </c>
      <c r="J366" s="7">
        <f>(((0.621*15^0.564)/0.2))*D366/15+J365*inputs!$C$53</f>
        <v>3.1139010673880084E-19</v>
      </c>
      <c r="K366" s="7">
        <f>(((0.621*1000^0.564)/0.2))*D366/1000+K365*inputs!$C$53</f>
        <v>4.989770824118261E-20</v>
      </c>
      <c r="L366" s="7">
        <f>(((0.648*20^0.651)/0.2))*H366/20+L365*inputs!$C$54</f>
        <v>1.7072196145128128E-19</v>
      </c>
      <c r="M366" s="7">
        <f>(((0.013*2^0.773)/0.2))*H366/2+M365*inputs!$C$54</f>
        <v>8.3249838120668111E-21</v>
      </c>
      <c r="N366" s="7">
        <f>O366*0.015*inputs!$C$56</f>
        <v>8.5082216731013286E-4</v>
      </c>
      <c r="O366" s="7">
        <f>IF((B366&gt;B365), (EXP(-LN(2)/inputs!$C$52)*O365+$O$3), (EXP(-LN(2)/inputs!$C$52)*O365))</f>
        <v>9.178232657067237E-5</v>
      </c>
      <c r="P366" s="3">
        <f>IF((B366&gt;B365), (EXP(-LN(2)/inputs!$C$52)*P365+$P$3), (EXP(-LN(2)/inputs!$C$52)*P365))</f>
        <v>8.8689713861749787E-5</v>
      </c>
      <c r="Q366" s="19">
        <f>IF((F366*0.62*1/(0.012*(10^inputs!$C$55)))&gt;inputs!$C$57, inputs!$C$57, (F366*0.62*1/(0.012*(10^inputs!$C$55))))</f>
        <v>1.3329056808159419E-21</v>
      </c>
      <c r="R366" s="3">
        <f>IF((B366&gt;B365), (EXP(-LN(2)/inputs!$C$51)*R365+$R$3), (EXP(-LN(2)/inputs!$C$51)*R365))</f>
        <v>3.0969318656215183E-27</v>
      </c>
      <c r="T366" s="7">
        <f>IF(T365&lt;(inputs!$C$9-1),(1+T365),0)</f>
        <v>0</v>
      </c>
      <c r="U366" s="7">
        <f>IF(inputs!$C$8&gt;U365,IF(T365=(inputs!$C$9-1),(U365+1),U365), U365)</f>
        <v>1</v>
      </c>
      <c r="V366" s="7">
        <f t="shared" si="10"/>
        <v>363</v>
      </c>
      <c r="W366" s="8">
        <f>IF((U366&gt;U365), (EXP(-LN(2)/inputs!$C$51)*W365+$W$3), (EXP(-LN(2)/inputs!$C$51)*W365))</f>
        <v>1.024882630091274E-19</v>
      </c>
      <c r="X366" s="8">
        <f>IF((U366&gt;U365), (EXP(-LN(2)/inputs!$C$51)*X365+$X$3), (EXP(-LN(2)/inputs!$C$51)*X365))</f>
        <v>4.3406793745042084E-20</v>
      </c>
      <c r="Y366" s="8">
        <f>IF((U366&gt;U365), (EXP(-LN(2)/inputs!$C$51)*Y365+$Y$3), (EXP(-LN(2)/inputs!$C$51)*Y365))</f>
        <v>5.4258492181302721E-20</v>
      </c>
      <c r="Z366" s="8">
        <f>IF((U366&gt;U365), (EXP(-LN(2)/inputs!$C$51)*Z365+$Z$3), (EXP(-LN(2)/inputs!$C$51)*Z365))</f>
        <v>8.4402098948692946E-21</v>
      </c>
      <c r="AA366" s="8">
        <f>IF((U366&gt;U365), (EXP(-LN(2)/inputs!$C$51)*AA365+$AA$3), (EXP(-LN(2)/inputs!$C$51)*AA365))</f>
        <v>7.8373377595214892E-20</v>
      </c>
      <c r="AB366" s="7">
        <f>(((0.621*15^0.564)/0.2))*W366/15+AB365*inputs!$C$53</f>
        <v>1.1028399613665886E-19</v>
      </c>
      <c r="AC366" s="7">
        <f>(((0.621*1000^0.564)/0.2))*W366/1000+AC365*inputs!$C$53</f>
        <v>1.7672105002085545E-20</v>
      </c>
      <c r="AD366" s="7">
        <f>(((0.648*20^0.651)/0.2))*AA366/20+AD365*inputs!$C$54</f>
        <v>1.1805242015248166E-19</v>
      </c>
      <c r="AE366" s="7">
        <f>(((0.013*2^0.773)/0.2))*AA366/2+AE365*inputs!$C$54</f>
        <v>5.7566377423866217E-21</v>
      </c>
    </row>
    <row r="367" spans="1:31" x14ac:dyDescent="0.3">
      <c r="A367" s="7">
        <f>IF(A366&lt;(inputs!$C$9-1),(1+A366),0)</f>
        <v>0</v>
      </c>
      <c r="B367" s="7">
        <f>IF(inputs!$C$8&gt;B366,IF(A366=(inputs!$C$9-1),(B366+1),B366), B366)</f>
        <v>1</v>
      </c>
      <c r="C367" s="7">
        <f t="shared" si="11"/>
        <v>364</v>
      </c>
      <c r="D367" s="8">
        <f>IF((B367&gt;B366), (EXP(-LN(2)/inputs!$C$51)*D366+$D$3), (EXP(-LN(2)/inputs!$C$51)*D366))</f>
        <v>2.5390329463714996E-19</v>
      </c>
      <c r="E367" s="8">
        <f>IF((B367&gt;B366), (EXP(-LN(2)/inputs!$C$51)*E366+$E$3), (EXP(-LN(2)/inputs!$C$51)*E366))</f>
        <v>1.1637234337536041E-19</v>
      </c>
      <c r="F367" s="8">
        <f>IF((B367&gt;B366), (EXP(-LN(2)/inputs!$C$51)*F366+$F$3), (EXP(-LN(2)/inputs!$C$51)*F366))</f>
        <v>1.4282060323339702E-19</v>
      </c>
      <c r="G367" s="8">
        <f>IF((B367&gt;B366), (EXP(-LN(2)/inputs!$C$51)*G366+$G$3), (EXP(-LN(2)/inputs!$C$51)*G366))</f>
        <v>1.5868955914821873E-20</v>
      </c>
      <c r="H367" s="8">
        <f>IF((B367&gt;B366), (EXP(-LN(2)/inputs!$C$51)*H366+$H$3), (EXP(-LN(2)/inputs!$C$51)*H366))</f>
        <v>9.9445457066217124E-20</v>
      </c>
      <c r="I367" s="7">
        <f>O367*(10^inputs!$C$55)*0.01/1</f>
        <v>5.6742078328631063E-3</v>
      </c>
      <c r="J367" s="7">
        <f>(((0.621*15^0.564)/0.2))*D367/15+J366*inputs!$C$53</f>
        <v>2.7321635807560371E-19</v>
      </c>
      <c r="K367" s="7">
        <f>(((0.621*1000^0.564)/0.2))*D367/1000+K366*inputs!$C$53</f>
        <v>4.3780678406107577E-20</v>
      </c>
      <c r="L367" s="7">
        <f>(((0.648*20^0.651)/0.2))*H367/20+L366*inputs!$C$54</f>
        <v>1.4979291744284112E-19</v>
      </c>
      <c r="M367" s="7">
        <f>(((0.013*2^0.773)/0.2))*H367/2+M366*inputs!$C$54</f>
        <v>7.3044124040817939E-21</v>
      </c>
      <c r="N367" s="7">
        <f>O367*0.015*inputs!$C$56</f>
        <v>8.3365233911295163E-4</v>
      </c>
      <c r="O367" s="7">
        <f>IF((B367&gt;B366), (EXP(-LN(2)/inputs!$C$52)*O366+$O$3), (EXP(-LN(2)/inputs!$C$52)*O366))</f>
        <v>8.9930133669142569E-5</v>
      </c>
      <c r="P367" s="3">
        <f>IF((B367&gt;B366), (EXP(-LN(2)/inputs!$C$52)*P366+$P$3), (EXP(-LN(2)/inputs!$C$52)*P366))</f>
        <v>8.6899930745640237E-5</v>
      </c>
      <c r="Q367" s="19">
        <f>IF((F367*0.62*1/(0.012*(10^inputs!$C$55)))&gt;inputs!$C$57, inputs!$C$57, (F367*0.62*1/(0.012*(10^inputs!$C$55))))</f>
        <v>1.169502909340302E-21</v>
      </c>
      <c r="R367" s="3">
        <f>IF((B367&gt;B366), (EXP(-LN(2)/inputs!$C$51)*R366+$R$3), (EXP(-LN(2)/inputs!$C$51)*R366))</f>
        <v>2.7172746571654768E-27</v>
      </c>
      <c r="T367" s="7">
        <f>IF(T366&lt;(inputs!$C$9-1),(1+T366),0)</f>
        <v>0</v>
      </c>
      <c r="U367" s="7">
        <f>IF(inputs!$C$8&gt;U366,IF(T366=(inputs!$C$9-1),(U366+1),U366), U366)</f>
        <v>1</v>
      </c>
      <c r="V367" s="7">
        <f t="shared" si="10"/>
        <v>364</v>
      </c>
      <c r="W367" s="8">
        <f>IF((U367&gt;U366), (EXP(-LN(2)/inputs!$C$51)*W366+$W$3), (EXP(-LN(2)/inputs!$C$51)*W366))</f>
        <v>8.9924083517324144E-20</v>
      </c>
      <c r="X367" s="8">
        <f>IF((U367&gt;U366), (EXP(-LN(2)/inputs!$C$51)*X366+$X$3), (EXP(-LN(2)/inputs!$C$51)*X366))</f>
        <v>3.8085494195572481E-20</v>
      </c>
      <c r="Y367" s="8">
        <f>IF((U367&gt;U366), (EXP(-LN(2)/inputs!$C$51)*Y366+$Y$3), (EXP(-LN(2)/inputs!$C$51)*Y366))</f>
        <v>4.7606867744465702E-20</v>
      </c>
      <c r="Z367" s="8">
        <f>IF((U367&gt;U366), (EXP(-LN(2)/inputs!$C$51)*Z366+$Z$3), (EXP(-LN(2)/inputs!$C$51)*Z366))</f>
        <v>7.4055127602502048E-21</v>
      </c>
      <c r="AA367" s="8">
        <f>IF((U367&gt;U366), (EXP(-LN(2)/inputs!$C$51)*AA366+$AA$3), (EXP(-LN(2)/inputs!$C$51)*AA366))</f>
        <v>6.8765475630894776E-20</v>
      </c>
      <c r="AB367" s="7">
        <f>(((0.621*15^0.564)/0.2))*W367/15+AB366*inputs!$C$53</f>
        <v>9.6764126818443192E-20</v>
      </c>
      <c r="AC367" s="7">
        <f>(((0.621*1000^0.564)/0.2))*W367/1000+AC366*inputs!$C$53</f>
        <v>1.5505656935496469E-20</v>
      </c>
      <c r="AD367" s="7">
        <f>(((0.648*20^0.651)/0.2))*AA367/20+AD366*inputs!$C$54</f>
        <v>1.0358020887004967E-19</v>
      </c>
      <c r="AE367" s="7">
        <f>(((0.013*2^0.773)/0.2))*AA367/2+AE366*inputs!$C$54</f>
        <v>5.0509234709076203E-21</v>
      </c>
    </row>
    <row r="368" spans="1:31" x14ac:dyDescent="0.3">
      <c r="A368" s="7">
        <f>IF(A367&lt;(inputs!$C$9-1),(1+A367),0)</f>
        <v>0</v>
      </c>
      <c r="B368" s="7">
        <f>IF(inputs!$C$8&gt;B367,IF(A367=(inputs!$C$9-1),(B367+1),B367), B367)</f>
        <v>1</v>
      </c>
      <c r="C368" s="7">
        <f t="shared" si="11"/>
        <v>365</v>
      </c>
      <c r="D368" s="8">
        <f>IF((B368&gt;B367), (EXP(-LN(2)/inputs!$C$51)*D367+$D$3), (EXP(-LN(2)/inputs!$C$51)*D367))</f>
        <v>2.2277693466462063E-19</v>
      </c>
      <c r="E368" s="8">
        <f>IF((B368&gt;B367), (EXP(-LN(2)/inputs!$C$51)*E367+$E$3), (EXP(-LN(2)/inputs!$C$51)*E367))</f>
        <v>1.0210609505461781E-19</v>
      </c>
      <c r="F368" s="8">
        <f>IF((B368&gt;B367), (EXP(-LN(2)/inputs!$C$51)*F367+$F$3), (EXP(-LN(2)/inputs!$C$51)*F367))</f>
        <v>1.2531202574884925E-19</v>
      </c>
      <c r="G368" s="8">
        <f>IF((B368&gt;B367), (EXP(-LN(2)/inputs!$C$51)*G367+$G$3), (EXP(-LN(2)/inputs!$C$51)*G367))</f>
        <v>1.3923558416538789E-20</v>
      </c>
      <c r="H368" s="8">
        <f>IF((B368&gt;B367), (EXP(-LN(2)/inputs!$C$51)*H367+$H$3), (EXP(-LN(2)/inputs!$C$51)*H367))</f>
        <v>8.7254299410309807E-20</v>
      </c>
      <c r="I368" s="7">
        <f>O368*(10^inputs!$C$55)*0.01/1</f>
        <v>5.5597007391500119E-3</v>
      </c>
      <c r="J368" s="7">
        <f>(((0.621*15^0.564)/0.2))*D368/15+J367*inputs!$C$53</f>
        <v>2.3972238264689572E-19</v>
      </c>
      <c r="K368" s="7">
        <f>(((0.621*1000^0.564)/0.2))*D368/1000+K367*inputs!$C$53</f>
        <v>3.8413543813161425E-20</v>
      </c>
      <c r="L368" s="7">
        <f>(((0.648*20^0.651)/0.2))*H368/20+L367*inputs!$C$54</f>
        <v>1.3142959420859808E-19</v>
      </c>
      <c r="M368" s="7">
        <f>(((0.013*2^0.773)/0.2))*H368/2+M367*inputs!$C$54</f>
        <v>6.4089542722675729E-21</v>
      </c>
      <c r="N368" s="7">
        <f>O368*0.015*inputs!$C$56</f>
        <v>8.1682900282870757E-4</v>
      </c>
      <c r="O368" s="7">
        <f>IF((B368&gt;B367), (EXP(-LN(2)/inputs!$C$52)*O367+$O$3), (EXP(-LN(2)/inputs!$C$52)*O367))</f>
        <v>8.8115318535998664E-5</v>
      </c>
      <c r="P368" s="3">
        <f>IF((B368&gt;B367), (EXP(-LN(2)/inputs!$C$52)*P367+$P$3), (EXP(-LN(2)/inputs!$C$52)*P367))</f>
        <v>8.5146265951072513E-5</v>
      </c>
      <c r="Q368" s="19">
        <f>IF((F368*0.62*1/(0.012*(10^inputs!$C$55)))&gt;inputs!$C$57, inputs!$C$57, (F368*0.62*1/(0.012*(10^inputs!$C$55))))</f>
        <v>1.0261319121381242E-21</v>
      </c>
      <c r="R368" s="3">
        <f>IF((B368&gt;B367), (EXP(-LN(2)/inputs!$C$51)*R367+$R$3), (EXP(-LN(2)/inputs!$C$51)*R367))</f>
        <v>2.3841601568434765E-27</v>
      </c>
      <c r="T368" s="7">
        <f>IF(T367&lt;(inputs!$C$9-1),(1+T367),0)</f>
        <v>0</v>
      </c>
      <c r="U368" s="7">
        <f>IF(inputs!$C$8&gt;U367,IF(T367=(inputs!$C$9-1),(U367+1),U367), U367)</f>
        <v>1</v>
      </c>
      <c r="V368" s="7">
        <f t="shared" si="10"/>
        <v>365</v>
      </c>
      <c r="W368" s="8">
        <f>IF((U368&gt;U367), (EXP(-LN(2)/inputs!$C$51)*W367+$W$3), (EXP(-LN(2)/inputs!$C$51)*W367))</f>
        <v>7.8900164360386653E-20</v>
      </c>
      <c r="X368" s="8">
        <f>IF((U368&gt;U367), (EXP(-LN(2)/inputs!$C$51)*X367+$X$3), (EXP(-LN(2)/inputs!$C$51)*X367))</f>
        <v>3.3416540199693085E-20</v>
      </c>
      <c r="Y368" s="8">
        <f>IF((U368&gt;U367), (EXP(-LN(2)/inputs!$C$51)*Y367+$Y$3), (EXP(-LN(2)/inputs!$C$51)*Y367))</f>
        <v>4.1770675249616444E-20</v>
      </c>
      <c r="Z368" s="8">
        <f>IF((U368&gt;U367), (EXP(-LN(2)/inputs!$C$51)*Z367+$Z$3), (EXP(-LN(2)/inputs!$C$51)*Z367))</f>
        <v>6.497660594384767E-21</v>
      </c>
      <c r="AA368" s="8">
        <f>IF((U368&gt;U367), (EXP(-LN(2)/inputs!$C$51)*AA367+$AA$3), (EXP(-LN(2)/inputs!$C$51)*AA367))</f>
        <v>6.0335419805001416E-20</v>
      </c>
      <c r="AB368" s="7">
        <f>(((0.621*15^0.564)/0.2))*W368/15+AB367*inputs!$C$53</f>
        <v>8.4901677187442431E-20</v>
      </c>
      <c r="AC368" s="7">
        <f>(((0.621*1000^0.564)/0.2))*W368/1000+AC367*inputs!$C$53</f>
        <v>1.3604796767161368E-20</v>
      </c>
      <c r="AD368" s="7">
        <f>(((0.648*20^0.651)/0.2))*AA368/20+AD367*inputs!$C$54</f>
        <v>9.0882166208073071E-20</v>
      </c>
      <c r="AE368" s="7">
        <f>(((0.013*2^0.773)/0.2))*AA368/2+AE367*inputs!$C$54</f>
        <v>4.4317236989084245E-21</v>
      </c>
    </row>
  </sheetData>
  <sheetProtection algorithmName="SHA-512" hashValue="+oQJmLg8oDDgOSbJjWTf/mWfmEb8ftO16sE8SNFztSOKgXi5gFsqrPUkcz67jPc65ryJqx/0CCmobqGjbde8JA==" saltValue="Q8IRFV+TltJ2GYTv9KSYdQ==" spinCount="100000"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AG368"/>
  <sheetViews>
    <sheetView topLeftCell="I1" workbookViewId="0">
      <pane ySplit="2" topLeftCell="A3" activePane="bottomLeft" state="frozen"/>
      <selection pane="bottomLeft" activeCell="R3" sqref="R3"/>
    </sheetView>
  </sheetViews>
  <sheetFormatPr defaultColWidth="9.109375" defaultRowHeight="14.4" x14ac:dyDescent="0.3"/>
  <cols>
    <col min="1" max="1" width="7.6640625" style="4" customWidth="1"/>
    <col min="2" max="2" width="6.5546875" style="4" customWidth="1"/>
    <col min="3" max="3" width="4.44140625" style="4" customWidth="1"/>
    <col min="4" max="4" width="6.44140625" style="4" customWidth="1"/>
    <col min="5" max="5" width="10.5546875" style="4" customWidth="1"/>
    <col min="6" max="6" width="9.6640625" style="4" customWidth="1"/>
    <col min="7" max="7" width="10.109375" style="4" customWidth="1"/>
    <col min="8" max="8" width="11.5546875" style="4" customWidth="1"/>
    <col min="9" max="9" width="13.33203125" style="4" customWidth="1"/>
    <col min="10" max="14" width="12.6640625" style="4" customWidth="1"/>
    <col min="15" max="15" width="9.5546875" style="4" customWidth="1"/>
    <col min="16" max="16" width="9.109375" style="16"/>
    <col min="17" max="17" width="6.44140625" style="16" customWidth="1"/>
    <col min="18" max="18" width="12" style="16" bestFit="1" customWidth="1"/>
    <col min="19" max="19" width="3.44140625" style="4" customWidth="1"/>
    <col min="20" max="20" width="10.109375" style="4" customWidth="1"/>
    <col min="21" max="21" width="5.5546875" style="4" customWidth="1"/>
    <col min="22" max="22" width="7.6640625" style="4" customWidth="1"/>
    <col min="23" max="23" width="10.44140625" style="4" customWidth="1"/>
    <col min="24" max="24" width="11.88671875" style="4" customWidth="1"/>
    <col min="25" max="25" width="9.6640625" style="4" customWidth="1"/>
    <col min="26" max="26" width="10.109375" style="4" customWidth="1"/>
    <col min="27" max="27" width="11.5546875" style="4" customWidth="1"/>
    <col min="28" max="31" width="12.6640625" style="4" customWidth="1"/>
    <col min="32" max="16384" width="9.109375" style="4"/>
  </cols>
  <sheetData>
    <row r="1" spans="1:33" x14ac:dyDescent="0.3">
      <c r="A1" s="1" t="s">
        <v>793</v>
      </c>
      <c r="T1" s="1" t="s">
        <v>794</v>
      </c>
      <c r="AG1" s="174"/>
    </row>
    <row r="2" spans="1:33" s="5" customFormat="1" ht="90" customHeight="1" x14ac:dyDescent="0.3">
      <c r="A2" s="6" t="s">
        <v>95</v>
      </c>
      <c r="B2" s="6" t="s">
        <v>96</v>
      </c>
      <c r="C2" s="6" t="s">
        <v>97</v>
      </c>
      <c r="D2" s="6" t="s">
        <v>98</v>
      </c>
      <c r="E2" s="6" t="s">
        <v>99</v>
      </c>
      <c r="F2" s="6" t="s">
        <v>100</v>
      </c>
      <c r="G2" s="6" t="s">
        <v>101</v>
      </c>
      <c r="H2" s="6" t="s">
        <v>102</v>
      </c>
      <c r="I2" s="6" t="s">
        <v>103</v>
      </c>
      <c r="J2" s="6" t="s">
        <v>104</v>
      </c>
      <c r="K2" s="6" t="s">
        <v>105</v>
      </c>
      <c r="L2" s="6" t="s">
        <v>106</v>
      </c>
      <c r="M2" s="6" t="s">
        <v>107</v>
      </c>
      <c r="N2" s="6" t="s">
        <v>769</v>
      </c>
      <c r="O2" s="6" t="s">
        <v>108</v>
      </c>
      <c r="P2" s="17" t="s">
        <v>109</v>
      </c>
      <c r="Q2" s="17" t="s">
        <v>110</v>
      </c>
      <c r="R2" s="17" t="s">
        <v>111</v>
      </c>
      <c r="T2" s="6" t="s">
        <v>95</v>
      </c>
      <c r="U2" s="6" t="s">
        <v>96</v>
      </c>
      <c r="V2" s="6" t="s">
        <v>97</v>
      </c>
      <c r="W2" s="6" t="s">
        <v>98</v>
      </c>
      <c r="X2" s="6" t="s">
        <v>99</v>
      </c>
      <c r="Y2" s="6" t="s">
        <v>100</v>
      </c>
      <c r="Z2" s="6" t="s">
        <v>101</v>
      </c>
      <c r="AA2" s="6" t="s">
        <v>102</v>
      </c>
      <c r="AB2" s="6" t="s">
        <v>104</v>
      </c>
      <c r="AC2" s="6" t="s">
        <v>105</v>
      </c>
      <c r="AD2" s="6" t="s">
        <v>106</v>
      </c>
      <c r="AE2" s="6" t="s">
        <v>107</v>
      </c>
      <c r="AG2" s="174"/>
    </row>
    <row r="3" spans="1:33" x14ac:dyDescent="0.3">
      <c r="A3" s="7">
        <v>0</v>
      </c>
      <c r="B3" s="7">
        <v>1</v>
      </c>
      <c r="C3" s="7">
        <v>0</v>
      </c>
      <c r="D3" s="7">
        <f>240*inputs!C18</f>
        <v>720</v>
      </c>
      <c r="E3" s="7">
        <f>110*inputs!C18</f>
        <v>330</v>
      </c>
      <c r="F3" s="7">
        <f>135*inputs!C18</f>
        <v>405</v>
      </c>
      <c r="G3" s="7">
        <f>15*inputs!C18</f>
        <v>45</v>
      </c>
      <c r="H3" s="7">
        <f>94*inputs!C18</f>
        <v>282</v>
      </c>
      <c r="I3" s="7">
        <f>O3*(10^inputs!$C$55)*0.01/1</f>
        <v>56.865414300472793</v>
      </c>
      <c r="J3" s="7">
        <f>(((0.621*15^0.564)/0.2))*D3/15</f>
        <v>686.46486205830786</v>
      </c>
      <c r="K3" s="7">
        <f>(((0.621*1000^0.564)/0.2))*D3/1000</f>
        <v>110.00035859694511</v>
      </c>
      <c r="L3" s="7">
        <f>(((0.648*20^0.651)/0.2))*H3/20</f>
        <v>321.16976211344019</v>
      </c>
      <c r="M3" s="7">
        <f>(((0.013*2^0.773)/0.2))*H3/2</f>
        <v>15.661330550508806</v>
      </c>
      <c r="N3" s="7">
        <f>O3*0.015*inputs!$C$56</f>
        <v>8.354643862647519</v>
      </c>
      <c r="O3" s="7">
        <f>(inputs!$C$18*11.2)/(2.6*((1-1.5/2.65)+1.5*inputs!$C$56*0.015))</f>
        <v>0.90125608011300096</v>
      </c>
      <c r="P3" s="3">
        <f>(inputs!$C$18*11.2)/(1.3+2.6*((1-1.5/2.65)+1.5*inputs!$C$56*0.015))</f>
        <v>0.8708881856447227</v>
      </c>
      <c r="Q3" s="19">
        <f>IF((F3*0.62*1/(0.012*(10^inputs!$C$55)))&gt;inputs!$C$57, inputs!$C$57, (F3*0.62*1/(0.012*(10^inputs!$C$55))))</f>
        <v>3.3163890052248766</v>
      </c>
      <c r="R3" s="18">
        <f>(inputs!$C$18*1.12*(10^6))/((1*10^7)+(25000*(10^(1.065*inputs!C55-LOG10(inputs!C58/(0.00008205*298))-1.654))/0.77))</f>
        <v>7.7054445313719311E-6</v>
      </c>
      <c r="T3" s="7">
        <v>0</v>
      </c>
      <c r="U3" s="7">
        <v>1</v>
      </c>
      <c r="V3" s="7">
        <v>0</v>
      </c>
      <c r="W3" s="7">
        <f>85*inputs!C18</f>
        <v>255</v>
      </c>
      <c r="X3" s="7">
        <f>36*inputs!C18</f>
        <v>108</v>
      </c>
      <c r="Y3" s="7">
        <f>45*inputs!C18</f>
        <v>135</v>
      </c>
      <c r="Z3" s="7">
        <f>7*inputs!C18</f>
        <v>21</v>
      </c>
      <c r="AA3" s="7">
        <f>65*inputs!C18</f>
        <v>195</v>
      </c>
      <c r="AB3" s="7">
        <f>(((0.621*15^0.564)/0.2))*W3/15</f>
        <v>243.122971978984</v>
      </c>
      <c r="AC3" s="7">
        <f>(((0.621*1000^0.564)/0.2))*W3/1000</f>
        <v>38.958460336418057</v>
      </c>
      <c r="AD3" s="7">
        <f>(((0.648*20^0.651)/0.2))*AA3/20</f>
        <v>222.08547380184692</v>
      </c>
      <c r="AE3" s="7">
        <f>(((0.013*2^0.773)/0.2))*AA3/2</f>
        <v>10.829643465777366</v>
      </c>
    </row>
    <row r="4" spans="1:33" x14ac:dyDescent="0.3">
      <c r="A4" s="7">
        <f>IF(A3&lt;(inputs!$C$20-1),(1+A3),0)</f>
        <v>0</v>
      </c>
      <c r="B4" s="7">
        <f>IF(inputs!$C$19&gt;B3,IF(A3=(inputs!$C$20-1),(B3+1),B3), B3)</f>
        <v>1</v>
      </c>
      <c r="C4" s="7">
        <f>C3+1</f>
        <v>1</v>
      </c>
      <c r="D4" s="8">
        <f>IF((B4&gt;B3), (EXP(-LN(2)/inputs!$C$51)*D3+$D$3), (EXP(-LN(2)/inputs!$C$51)*D3))</f>
        <v>631.73419308225846</v>
      </c>
      <c r="E4" s="8">
        <f>IF((B4&gt;B3), (EXP(-LN(2)/inputs!$C$51)*E3+$E$3), (EXP(-LN(2)/inputs!$C$51)*E3))</f>
        <v>289.54483849603514</v>
      </c>
      <c r="F4" s="8">
        <f>IF((B4&gt;B3), (EXP(-LN(2)/inputs!$C$51)*F3+$F$3), (EXP(-LN(2)/inputs!$C$51)*F3))</f>
        <v>355.35048360877039</v>
      </c>
      <c r="G4" s="8">
        <f>IF((B4&gt;B3), (EXP(-LN(2)/inputs!$C$51)*G3+$G$3), (EXP(-LN(2)/inputs!$C$51)*G3))</f>
        <v>39.483387067641154</v>
      </c>
      <c r="H4" s="8">
        <f>IF((B4&gt;B3), (EXP(-LN(2)/inputs!$C$51)*H3+$H$3), (EXP(-LN(2)/inputs!$C$51)*H3))</f>
        <v>247.42922562388458</v>
      </c>
      <c r="I4" s="7">
        <f>O4*(10^inputs!$C$55)*0.01/1</f>
        <v>55.717854409094507</v>
      </c>
      <c r="J4" s="7">
        <f>(((0.621*15^0.564)/0.2))*D4/15+J3*inputs!$C$53</f>
        <v>670.95666080545425</v>
      </c>
      <c r="K4" s="7">
        <f>(((0.621*1000^0.564)/0.2))*D4/1000+K3*inputs!$C$53</f>
        <v>107.51529666108367</v>
      </c>
      <c r="L4" s="7">
        <f>(((0.648*20^0.651)/0.2))*H4/20+L3*inputs!$C$54</f>
        <v>350.52744091332482</v>
      </c>
      <c r="M4" s="7">
        <f>(((0.013*2^0.773)/0.2))*H4/2+M3*inputs!$C$54</f>
        <v>17.092910873809167</v>
      </c>
      <c r="N4" s="7">
        <f>O4*0.015*inputs!$C$56</f>
        <v>8.1860448236452772</v>
      </c>
      <c r="O4" s="7">
        <f>IF((B4&gt;B3), (EXP(-LN(2)/inputs!$C$52)*O3+$O$3), (EXP(-LN(2)/inputs!$C$52)*O3))</f>
        <v>0.8830684815151324</v>
      </c>
      <c r="P4" s="3">
        <f>IF((B4&gt;B3), (EXP(-LN(2)/inputs!$C$52)*P3+$P$3), (EXP(-LN(2)/inputs!$C$52)*P3))</f>
        <v>0.85331341961135931</v>
      </c>
      <c r="Q4" s="19">
        <f>IF((F4*0.62*1/(0.012*(10^inputs!$C$55)))&gt;inputs!$C$57, inputs!$C$57, (F4*0.62*1/(0.012*(10^inputs!$C$55))))</f>
        <v>2.9098282391147379</v>
      </c>
      <c r="R4" s="3">
        <f>IF((B4&gt;B3), (EXP(-LN(2)/inputs!$C$51)*R3+$R$3), (EXP(-LN(2)/inputs!$C$51)*R3))</f>
        <v>6.7608233102310399E-6</v>
      </c>
      <c r="S4"/>
      <c r="T4" s="7">
        <f>IF(T3&lt;(inputs!$C$20-1),(1+T3),0)</f>
        <v>0</v>
      </c>
      <c r="U4" s="7">
        <f>IF(inputs!$C$19&gt;U3,IF(T3=(inputs!$C$20-1),(U3+1),U3), U3)</f>
        <v>1</v>
      </c>
      <c r="V4" s="7">
        <f t="shared" ref="V4:V67" si="0">V3+1</f>
        <v>1</v>
      </c>
      <c r="W4" s="8">
        <f>IF((U4&gt;U3), (EXP(-LN(2)/inputs!$C$51)*W3+$W$3), (EXP(-LN(2)/inputs!$C$51)*W3))</f>
        <v>223.73919338329989</v>
      </c>
      <c r="X4" s="8">
        <f>IF((U4&gt;U3), (EXP(-LN(2)/inputs!$C$51)*X3+$X$3), (EXP(-LN(2)/inputs!$C$51)*X3))</f>
        <v>94.760128962338783</v>
      </c>
      <c r="Y4" s="8">
        <f>IF((U4&gt;U3), (EXP(-LN(2)/inputs!$C$51)*Y3+$Y$3), (EXP(-LN(2)/inputs!$C$51)*Y3))</f>
        <v>118.45016120292347</v>
      </c>
      <c r="Z4" s="8">
        <f>IF((U4&gt;U3), (EXP(-LN(2)/inputs!$C$51)*Z3+$Z$3), (EXP(-LN(2)/inputs!$C$51)*Z3))</f>
        <v>18.425580631565872</v>
      </c>
      <c r="AA4" s="8">
        <f>IF((U4&gt;U3), (EXP(-LN(2)/inputs!$C$51)*AA3+$AA$3), (EXP(-LN(2)/inputs!$C$51)*AA3))</f>
        <v>171.09467729311169</v>
      </c>
      <c r="AB4" s="7">
        <f>(((0.621*15^0.564)/0.2))*W4/15+AB3*inputs!$C$53</f>
        <v>237.63048403526508</v>
      </c>
      <c r="AC4" s="7">
        <f>(((0.621*1000^0.564)/0.2))*W4/1000+AC3*inputs!$C$53</f>
        <v>38.078334234133798</v>
      </c>
      <c r="AD4" s="7">
        <f>(((0.648*20^0.651)/0.2))*AA4/20+AD3*inputs!$C$54</f>
        <v>242.38599637623525</v>
      </c>
      <c r="AE4" s="7">
        <f>(((0.013*2^0.773)/0.2))*AA4/2+AE3*inputs!$C$54</f>
        <v>11.81956602976166</v>
      </c>
    </row>
    <row r="5" spans="1:33" x14ac:dyDescent="0.3">
      <c r="A5" s="7">
        <f>IF(A4&lt;(inputs!$C$20-1),(1+A4),0)</f>
        <v>0</v>
      </c>
      <c r="B5" s="7">
        <f>IF(inputs!$C$19&gt;B4,IF(A4=(inputs!$C$20-1),(B4+1),B4), B4)</f>
        <v>1</v>
      </c>
      <c r="C5" s="7">
        <f t="shared" ref="C5:C68" si="1">C4+1</f>
        <v>2</v>
      </c>
      <c r="D5" s="8">
        <f>IF((B5&gt;B4), (EXP(-LN(2)/inputs!$C$51)*D4+$D$3), (EXP(-LN(2)/inputs!$C$51)*D4))</f>
        <v>554.28901487401697</v>
      </c>
      <c r="E5" s="8">
        <f>IF((B5&gt;B4), (EXP(-LN(2)/inputs!$C$51)*E4+$E$3), (EXP(-LN(2)/inputs!$C$51)*E4))</f>
        <v>254.0491318172578</v>
      </c>
      <c r="F5" s="8">
        <f>IF((B5&gt;B4), (EXP(-LN(2)/inputs!$C$51)*F4+$F$3), (EXP(-LN(2)/inputs!$C$51)*F4))</f>
        <v>311.78757086663455</v>
      </c>
      <c r="G5" s="8">
        <f>IF((B5&gt;B4), (EXP(-LN(2)/inputs!$C$51)*G4+$G$3), (EXP(-LN(2)/inputs!$C$51)*G4))</f>
        <v>34.643063429626061</v>
      </c>
      <c r="H5" s="8">
        <f>IF((B5&gt;B4), (EXP(-LN(2)/inputs!$C$51)*H4+$H$3), (EXP(-LN(2)/inputs!$C$51)*H4))</f>
        <v>217.09653082565669</v>
      </c>
      <c r="I5" s="7">
        <f>O5*(10^inputs!$C$55)*0.01/1</f>
        <v>54.593452595794091</v>
      </c>
      <c r="J5" s="7">
        <f>(((0.621*15^0.564)/0.2))*D5/15+J4*inputs!$C$53</f>
        <v>595.56779404711131</v>
      </c>
      <c r="K5" s="7">
        <f>(((0.621*1000^0.564)/0.2))*D5/1000+K4*inputs!$C$53</f>
        <v>95.434849669565736</v>
      </c>
      <c r="L5" s="7">
        <f>(((0.648*20^0.651)/0.2))*H5/20+L4*inputs!$C$54</f>
        <v>322.26408214598092</v>
      </c>
      <c r="M5" s="7">
        <f>(((0.013*2^0.773)/0.2))*H5/2+M4*inputs!$C$54</f>
        <v>15.714693319297762</v>
      </c>
      <c r="N5" s="7">
        <f>O5*0.015*inputs!$C$56</f>
        <v>8.0208481601864818</v>
      </c>
      <c r="O5" s="7">
        <f>IF((B5&gt;B4), (EXP(-LN(2)/inputs!$C$52)*O4+$O$3), (EXP(-LN(2)/inputs!$C$52)*O4))</f>
        <v>0.86524791372022469</v>
      </c>
      <c r="P5" s="3">
        <f>IF((B5&gt;B4), (EXP(-LN(2)/inputs!$C$52)*P4+$P$3), (EXP(-LN(2)/inputs!$C$52)*P4))</f>
        <v>0.83609331724919822</v>
      </c>
      <c r="Q5" s="19">
        <f>IF((F5*0.62*1/(0.012*(10^inputs!$C$55)))&gt;inputs!$C$57, inputs!$C$57, (F5*0.62*1/(0.012*(10^inputs!$C$55))))</f>
        <v>2.5531083258959968</v>
      </c>
      <c r="R5" s="3">
        <f>IF((B5&gt;B4), (EXP(-LN(2)/inputs!$C$51)*R4+$R$3), (EXP(-LN(2)/inputs!$C$51)*R4))</f>
        <v>5.9320045256396246E-6</v>
      </c>
      <c r="T5" s="7">
        <f>IF(T4&lt;(inputs!$C$20-1),(1+T4),0)</f>
        <v>0</v>
      </c>
      <c r="U5" s="7">
        <f>IF(inputs!$C$19&gt;U4,IF(T4=(inputs!$C$20-1),(U4+1),U4), U4)</f>
        <v>1</v>
      </c>
      <c r="V5" s="7">
        <f t="shared" si="0"/>
        <v>2</v>
      </c>
      <c r="W5" s="8">
        <f>IF((U5&gt;U4), (EXP(-LN(2)/inputs!$C$51)*W4+$W$3), (EXP(-LN(2)/inputs!$C$51)*W4))</f>
        <v>196.31069276788105</v>
      </c>
      <c r="X5" s="8">
        <f>IF((U5&gt;U4), (EXP(-LN(2)/inputs!$C$51)*X4+$X$3), (EXP(-LN(2)/inputs!$C$51)*X4))</f>
        <v>83.143352231102568</v>
      </c>
      <c r="Y5" s="8">
        <f>IF((U5&gt;U4), (EXP(-LN(2)/inputs!$C$51)*Y4+$Y$3), (EXP(-LN(2)/inputs!$C$51)*Y4))</f>
        <v>103.92919028887819</v>
      </c>
      <c r="Z5" s="8">
        <f>IF((U5&gt;U4), (EXP(-LN(2)/inputs!$C$51)*Z4+$Z$3), (EXP(-LN(2)/inputs!$C$51)*Z4))</f>
        <v>16.166762933825495</v>
      </c>
      <c r="AA5" s="8">
        <f>IF((U5&gt;U4), (EXP(-LN(2)/inputs!$C$51)*AA4+$AA$3), (EXP(-LN(2)/inputs!$C$51)*AA4))</f>
        <v>150.11994152837963</v>
      </c>
      <c r="AB5" s="7">
        <f>(((0.621*15^0.564)/0.2))*W5/15+AB4*inputs!$C$53</f>
        <v>210.93026039168527</v>
      </c>
      <c r="AC5" s="7">
        <f>(((0.621*1000^0.564)/0.2))*W5/1000+AC4*inputs!$C$53</f>
        <v>33.799842591304539</v>
      </c>
      <c r="AD5" s="7">
        <f>(((0.648*20^0.651)/0.2))*AA5/20+AD4*inputs!$C$54</f>
        <v>222.84218446264637</v>
      </c>
      <c r="AE5" s="7">
        <f>(((0.013*2^0.773)/0.2))*AA5/2+AE4*inputs!$C$54</f>
        <v>10.866543252705901</v>
      </c>
    </row>
    <row r="6" spans="1:33" x14ac:dyDescent="0.3">
      <c r="A6" s="7">
        <f>IF(A5&lt;(inputs!$C$20-1),(1+A5),0)</f>
        <v>0</v>
      </c>
      <c r="B6" s="7">
        <f>IF(inputs!$C$19&gt;B5,IF(A5=(inputs!$C$20-1),(B5+1),B5), B5)</f>
        <v>1</v>
      </c>
      <c r="C6" s="7">
        <f t="shared" si="1"/>
        <v>3</v>
      </c>
      <c r="D6" s="8">
        <f>IF((B6&gt;B5), (EXP(-LN(2)/inputs!$C$51)*D5+$D$3), (EXP(-LN(2)/inputs!$C$51)*D5))</f>
        <v>486.33794936916263</v>
      </c>
      <c r="E6" s="8">
        <f>IF((B6&gt;B5), (EXP(-LN(2)/inputs!$C$51)*E5+$E$3), (EXP(-LN(2)/inputs!$C$51)*E5))</f>
        <v>222.90489346086622</v>
      </c>
      <c r="F6" s="8">
        <f>IF((B6&gt;B5), (EXP(-LN(2)/inputs!$C$51)*F5+$F$3), (EXP(-LN(2)/inputs!$C$51)*F5))</f>
        <v>273.56509652015399</v>
      </c>
      <c r="G6" s="8">
        <f>IF((B6&gt;B5), (EXP(-LN(2)/inputs!$C$51)*G5+$G$3), (EXP(-LN(2)/inputs!$C$51)*G5))</f>
        <v>30.396121835572664</v>
      </c>
      <c r="H6" s="8">
        <f>IF((B6&gt;B5), (EXP(-LN(2)/inputs!$C$51)*H5+$H$3), (EXP(-LN(2)/inputs!$C$51)*H5))</f>
        <v>190.48236350292206</v>
      </c>
      <c r="I6" s="7">
        <f>O6*(10^inputs!$C$55)*0.01/1</f>
        <v>53.491741524108924</v>
      </c>
      <c r="J6" s="7">
        <f>(((0.621*15^0.564)/0.2))*D6/15+J5*inputs!$C$53</f>
        <v>523.24277013724236</v>
      </c>
      <c r="K6" s="7">
        <f>(((0.621*1000^0.564)/0.2))*D6/1000+K5*inputs!$C$53</f>
        <v>83.845358341832707</v>
      </c>
      <c r="L6" s="7">
        <f>(((0.648*20^0.651)/0.2))*H6/20+L5*inputs!$C$54</f>
        <v>285.90485178150698</v>
      </c>
      <c r="M6" s="7">
        <f>(((0.013*2^0.773)/0.2))*H6/2+M5*inputs!$C$54</f>
        <v>13.941693515228433</v>
      </c>
      <c r="N6" s="7">
        <f>O6*0.015*inputs!$C$56</f>
        <v>7.8589852113854786</v>
      </c>
      <c r="O6" s="7">
        <f>IF((B6&gt;B5), (EXP(-LN(2)/inputs!$C$52)*O5+$O$3), (EXP(-LN(2)/inputs!$C$52)*O5))</f>
        <v>0.84778696994449609</v>
      </c>
      <c r="P6" s="3">
        <f>IF((B6&gt;B5), (EXP(-LN(2)/inputs!$C$52)*P5+$P$3), (EXP(-LN(2)/inputs!$C$52)*P5))</f>
        <v>0.8192207213466195</v>
      </c>
      <c r="Q6" s="19">
        <f>IF((F6*0.62*1/(0.012*(10^inputs!$C$55)))&gt;inputs!$C$57, inputs!$C$57, (F6*0.62*1/(0.012*(10^inputs!$C$55))))</f>
        <v>2.240119205710422</v>
      </c>
      <c r="R6" s="3">
        <f>IF((B6&gt;B5), (EXP(-LN(2)/inputs!$C$51)*R5+$R$3), (EXP(-LN(2)/inputs!$C$51)*R5))</f>
        <v>5.2047917949517417E-6</v>
      </c>
      <c r="T6" s="7">
        <f>IF(T5&lt;(inputs!$C$20-1),(1+T5),0)</f>
        <v>0</v>
      </c>
      <c r="U6" s="7">
        <f>IF(inputs!$C$19&gt;U5,IF(T5=(inputs!$C$20-1),(U5+1),U5), U5)</f>
        <v>1</v>
      </c>
      <c r="V6" s="7">
        <f t="shared" si="0"/>
        <v>3</v>
      </c>
      <c r="W6" s="8">
        <f>IF((U6&gt;U5), (EXP(-LN(2)/inputs!$C$51)*W5+$W$3), (EXP(-LN(2)/inputs!$C$51)*W5))</f>
        <v>172.24469040157848</v>
      </c>
      <c r="X6" s="8">
        <f>IF((U6&gt;U5), (EXP(-LN(2)/inputs!$C$51)*X5+$X$3), (EXP(-LN(2)/inputs!$C$51)*X5))</f>
        <v>72.950692405374411</v>
      </c>
      <c r="Y6" s="8">
        <f>IF((U6&gt;U5), (EXP(-LN(2)/inputs!$C$51)*Y5+$Y$3), (EXP(-LN(2)/inputs!$C$51)*Y5))</f>
        <v>91.188365506718</v>
      </c>
      <c r="Z6" s="8">
        <f>IF((U6&gt;U5), (EXP(-LN(2)/inputs!$C$51)*Z5+$Z$3), (EXP(-LN(2)/inputs!$C$51)*Z5))</f>
        <v>14.184856856600577</v>
      </c>
      <c r="AA6" s="8">
        <f>IF((U6&gt;U5), (EXP(-LN(2)/inputs!$C$51)*AA5+$AA$3), (EXP(-LN(2)/inputs!$C$51)*AA5))</f>
        <v>131.71652795414823</v>
      </c>
      <c r="AB6" s="7">
        <f>(((0.621*15^0.564)/0.2))*W6/15+AB5*inputs!$C$53</f>
        <v>185.31514775694006</v>
      </c>
      <c r="AC6" s="7">
        <f>(((0.621*1000^0.564)/0.2))*W6/1000+AC5*inputs!$C$53</f>
        <v>29.6952310793991</v>
      </c>
      <c r="AD6" s="7">
        <f>(((0.648*20^0.651)/0.2))*AA6/20+AD5*inputs!$C$54</f>
        <v>197.70016346593565</v>
      </c>
      <c r="AE6" s="7">
        <f>(((0.013*2^0.773)/0.2))*AA6/2+AE5*inputs!$C$54</f>
        <v>9.6405327498920013</v>
      </c>
    </row>
    <row r="7" spans="1:33" x14ac:dyDescent="0.3">
      <c r="A7" s="7">
        <f>IF(A6&lt;(inputs!$C$20-1),(1+A6),0)</f>
        <v>0</v>
      </c>
      <c r="B7" s="7">
        <f>IF(inputs!$C$19&gt;B6,IF(A6=(inputs!$C$20-1),(B6+1),B6), B6)</f>
        <v>1</v>
      </c>
      <c r="C7" s="7">
        <f t="shared" si="1"/>
        <v>4</v>
      </c>
      <c r="D7" s="8">
        <f>IF((B7&gt;B6), (EXP(-LN(2)/inputs!$C$51)*D6+$D$3), (EXP(-LN(2)/inputs!$C$51)*D6))</f>
        <v>426.71710001390034</v>
      </c>
      <c r="E7" s="8">
        <f>IF((B7&gt;B6), (EXP(-LN(2)/inputs!$C$51)*E6+$E$3), (EXP(-LN(2)/inputs!$C$51)*E6))</f>
        <v>195.57867083970433</v>
      </c>
      <c r="F7" s="8">
        <f>IF((B7&gt;B6), (EXP(-LN(2)/inputs!$C$51)*F6+$F$3), (EXP(-LN(2)/inputs!$C$51)*F6))</f>
        <v>240.02836875781895</v>
      </c>
      <c r="G7" s="8">
        <f>IF((B7&gt;B6), (EXP(-LN(2)/inputs!$C$51)*G6+$G$3), (EXP(-LN(2)/inputs!$C$51)*G6))</f>
        <v>26.669818750868771</v>
      </c>
      <c r="H7" s="8">
        <f>IF((B7&gt;B6), (EXP(-LN(2)/inputs!$C$51)*H6+$H$3), (EXP(-LN(2)/inputs!$C$51)*H6))</f>
        <v>167.13086417211099</v>
      </c>
      <c r="I7" s="7">
        <f>O7*(10^inputs!$C$55)*0.01/1</f>
        <v>52.412263288556325</v>
      </c>
      <c r="J7" s="7">
        <f>(((0.621*15^0.564)/0.2))*D7/15+J6*inputs!$C$53</f>
        <v>459.16635367895094</v>
      </c>
      <c r="K7" s="7">
        <f>(((0.621*1000^0.564)/0.2))*D7/1000+K6*inputs!$C$53</f>
        <v>73.577638641096499</v>
      </c>
      <c r="L7" s="7">
        <f>(((0.648*20^0.651)/0.2))*H7/20+L6*inputs!$C$54</f>
        <v>251.52895703291117</v>
      </c>
      <c r="M7" s="7">
        <f>(((0.013*2^0.773)/0.2))*H7/2+M6*inputs!$C$54</f>
        <v>12.265407905136966</v>
      </c>
      <c r="N7" s="7">
        <f>O7*0.015*inputs!$C$56</f>
        <v>7.700388701952396</v>
      </c>
      <c r="O7" s="7">
        <f>IF((B7&gt;B6), (EXP(-LN(2)/inputs!$C$52)*O6+$O$3), (EXP(-LN(2)/inputs!$C$52)*O6))</f>
        <v>0.83067839287512368</v>
      </c>
      <c r="P7" s="3">
        <f>IF((B7&gt;B6), (EXP(-LN(2)/inputs!$C$52)*P6+$P$3), (EXP(-LN(2)/inputs!$C$52)*P6))</f>
        <v>0.80268861912652634</v>
      </c>
      <c r="Q7" s="19">
        <f>IF((F7*0.62*1/(0.012*(10^inputs!$C$55)))&gt;inputs!$C$57, inputs!$C$57, (F7*0.62*1/(0.012*(10^inputs!$C$55))))</f>
        <v>1.9654998594826989</v>
      </c>
      <c r="R7" s="3">
        <f>IF((B7&gt;B6), (EXP(-LN(2)/inputs!$C$51)*R6+$R$3), (EXP(-LN(2)/inputs!$C$51)*R6))</f>
        <v>4.5667290899236088E-6</v>
      </c>
      <c r="T7" s="7">
        <f>IF(T6&lt;(inputs!$C$20-1),(1+T6),0)</f>
        <v>0</v>
      </c>
      <c r="U7" s="7">
        <f>IF(inputs!$C$19&gt;U6,IF(T6=(inputs!$C$20-1),(U6+1),U6), U6)</f>
        <v>1</v>
      </c>
      <c r="V7" s="7">
        <f t="shared" si="0"/>
        <v>4</v>
      </c>
      <c r="W7" s="8">
        <f>IF((U7&gt;U6), (EXP(-LN(2)/inputs!$C$51)*W6+$W$3), (EXP(-LN(2)/inputs!$C$51)*W6))</f>
        <v>151.12897292158974</v>
      </c>
      <c r="X7" s="8">
        <f>IF((U7&gt;U6), (EXP(-LN(2)/inputs!$C$51)*X6+$X$3), (EXP(-LN(2)/inputs!$C$51)*X6))</f>
        <v>64.007565002085073</v>
      </c>
      <c r="Y7" s="8">
        <f>IF((U7&gt;U6), (EXP(-LN(2)/inputs!$C$51)*Y6+$Y$3), (EXP(-LN(2)/inputs!$C$51)*Y6))</f>
        <v>80.009456252606327</v>
      </c>
      <c r="Z7" s="8">
        <f>IF((U7&gt;U6), (EXP(-LN(2)/inputs!$C$51)*Z6+$Z$3), (EXP(-LN(2)/inputs!$C$51)*Z6))</f>
        <v>12.445915417072094</v>
      </c>
      <c r="AA7" s="8">
        <f>IF((U7&gt;U6), (EXP(-LN(2)/inputs!$C$51)*AA6+$AA$3), (EXP(-LN(2)/inputs!$C$51)*AA6))</f>
        <v>115.56921458709803</v>
      </c>
      <c r="AB7" s="7">
        <f>(((0.621*15^0.564)/0.2))*W7/15+AB6*inputs!$C$53</f>
        <v>162.62141692796183</v>
      </c>
      <c r="AC7" s="7">
        <f>(((0.621*1000^0.564)/0.2))*W7/1000+AC6*inputs!$C$53</f>
        <v>26.058747018721686</v>
      </c>
      <c r="AD7" s="7">
        <f>(((0.648*20^0.651)/0.2))*AA7/20+AD6*inputs!$C$54</f>
        <v>173.92959794828963</v>
      </c>
      <c r="AE7" s="7">
        <f>(((0.013*2^0.773)/0.2))*AA7/2+AE6*inputs!$C$54</f>
        <v>8.4813990833393937</v>
      </c>
    </row>
    <row r="8" spans="1:33" x14ac:dyDescent="0.3">
      <c r="A8" s="7">
        <f>IF(A7&lt;(inputs!$C$20-1),(1+A7),0)</f>
        <v>0</v>
      </c>
      <c r="B8" s="7">
        <f>IF(inputs!$C$19&gt;B7,IF(A7=(inputs!$C$20-1),(B7+1),B7), B7)</f>
        <v>1</v>
      </c>
      <c r="C8" s="7">
        <f t="shared" si="1"/>
        <v>5</v>
      </c>
      <c r="D8" s="8">
        <f>IF((B8&gt;B7), (EXP(-LN(2)/inputs!$C$51)*D7+$D$3), (EXP(-LN(2)/inputs!$C$51)*D7))</f>
        <v>374.40525396067045</v>
      </c>
      <c r="E8" s="8">
        <f>IF((B8&gt;B7), (EXP(-LN(2)/inputs!$C$51)*E7+$E$3), (EXP(-LN(2)/inputs!$C$51)*E7))</f>
        <v>171.60240806530732</v>
      </c>
      <c r="F8" s="8">
        <f>IF((B8&gt;B7), (EXP(-LN(2)/inputs!$C$51)*F7+$F$3), (EXP(-LN(2)/inputs!$C$51)*F7))</f>
        <v>210.60295535287713</v>
      </c>
      <c r="G8" s="8">
        <f>IF((B8&gt;B7), (EXP(-LN(2)/inputs!$C$51)*G7+$G$3), (EXP(-LN(2)/inputs!$C$51)*G7))</f>
        <v>23.400328372541903</v>
      </c>
      <c r="H8" s="8">
        <f>IF((B8&gt;B7), (EXP(-LN(2)/inputs!$C$51)*H7+$H$3), (EXP(-LN(2)/inputs!$C$51)*H7))</f>
        <v>146.64205780126261</v>
      </c>
      <c r="I8" s="7">
        <f>O8*(10^inputs!$C$55)*0.01/1</f>
        <v>51.354569224313735</v>
      </c>
      <c r="J8" s="7">
        <f>(((0.621*15^0.564)/0.2))*D8/15+J7*inputs!$C$53</f>
        <v>402.88337288736358</v>
      </c>
      <c r="K8" s="7">
        <f>(((0.621*1000^0.564)/0.2))*D8/1000+K7*inputs!$C$53</f>
        <v>64.558753025573623</v>
      </c>
      <c r="L8" s="7">
        <f>(((0.648*20^0.651)/0.2))*H8/20+L7*inputs!$C$54</f>
        <v>220.83781673361338</v>
      </c>
      <c r="M8" s="7">
        <f>(((0.013*2^0.773)/0.2))*H8/2+M7*inputs!$C$54</f>
        <v>10.768803461317724</v>
      </c>
      <c r="N8" s="7">
        <f>O8*0.015*inputs!$C$56</f>
        <v>7.5449927142314452</v>
      </c>
      <c r="O8" s="7">
        <f>IF((B8&gt;B7), (EXP(-LN(2)/inputs!$C$52)*O7+$O$3), (EXP(-LN(2)/inputs!$C$52)*O7))</f>
        <v>0.81391507165387766</v>
      </c>
      <c r="P8" s="3">
        <f>IF((B8&gt;B7), (EXP(-LN(2)/inputs!$C$52)*P7+$P$3), (EXP(-LN(2)/inputs!$C$52)*P7))</f>
        <v>0.78649013933161593</v>
      </c>
      <c r="Q8" s="19">
        <f>IF((F8*0.62*1/(0.012*(10^inputs!$C$55)))&gt;inputs!$C$57, inputs!$C$57, (F8*0.62*1/(0.012*(10^inputs!$C$55))))</f>
        <v>1.7245464829633266</v>
      </c>
      <c r="R8" s="3">
        <f>IF((B8&gt;B7), (EXP(-LN(2)/inputs!$C$51)*R7+$R$3), (EXP(-LN(2)/inputs!$C$51)*R7))</f>
        <v>4.0068873842335665E-6</v>
      </c>
      <c r="T8" s="7">
        <f>IF(T7&lt;(inputs!$C$20-1),(1+T7),0)</f>
        <v>0</v>
      </c>
      <c r="U8" s="7">
        <f>IF(inputs!$C$19&gt;U7,IF(T7=(inputs!$C$20-1),(U7+1),U7), U7)</f>
        <v>1</v>
      </c>
      <c r="V8" s="7">
        <f t="shared" si="0"/>
        <v>5</v>
      </c>
      <c r="W8" s="8">
        <f>IF((U8&gt;U7), (EXP(-LN(2)/inputs!$C$51)*W7+$W$3), (EXP(-LN(2)/inputs!$C$51)*W7))</f>
        <v>132.60186077773747</v>
      </c>
      <c r="X8" s="8">
        <f>IF((U8&gt;U7), (EXP(-LN(2)/inputs!$C$51)*X7+$X$3), (EXP(-LN(2)/inputs!$C$51)*X7))</f>
        <v>56.160788094100589</v>
      </c>
      <c r="Y8" s="8">
        <f>IF((U8&gt;U7), (EXP(-LN(2)/inputs!$C$51)*Y7+$Y$3), (EXP(-LN(2)/inputs!$C$51)*Y7))</f>
        <v>70.20098511762572</v>
      </c>
      <c r="Z8" s="8">
        <f>IF((U8&gt;U7), (EXP(-LN(2)/inputs!$C$51)*Z7+$Z$3), (EXP(-LN(2)/inputs!$C$51)*Z7))</f>
        <v>10.920153240519555</v>
      </c>
      <c r="AA8" s="8">
        <f>IF((U8&gt;U7), (EXP(-LN(2)/inputs!$C$51)*AA7+$AA$3), (EXP(-LN(2)/inputs!$C$51)*AA7))</f>
        <v>101.40142294768161</v>
      </c>
      <c r="AB8" s="7">
        <f>(((0.621*15^0.564)/0.2))*W8/15+AB7*inputs!$C$53</f>
        <v>142.68786123094131</v>
      </c>
      <c r="AC8" s="7">
        <f>(((0.621*1000^0.564)/0.2))*W8/1000+AC7*inputs!$C$53</f>
        <v>22.864558363223992</v>
      </c>
      <c r="AD8" s="7">
        <f>(((0.648*20^0.651)/0.2))*AA8/20+AD7*inputs!$C$54</f>
        <v>152.70700093281778</v>
      </c>
      <c r="AE8" s="7">
        <f>(((0.013*2^0.773)/0.2))*AA8/2+AE7*inputs!$C$54</f>
        <v>7.4465130317622563</v>
      </c>
    </row>
    <row r="9" spans="1:33" x14ac:dyDescent="0.3">
      <c r="A9" s="7">
        <f>IF(A8&lt;(inputs!$C$20-1),(1+A8),0)</f>
        <v>0</v>
      </c>
      <c r="B9" s="7">
        <f>IF(inputs!$C$19&gt;B8,IF(A8=(inputs!$C$20-1),(B8+1),B8), B8)</f>
        <v>1</v>
      </c>
      <c r="C9" s="7">
        <f t="shared" si="1"/>
        <v>6</v>
      </c>
      <c r="D9" s="8">
        <f>IF((B9&gt;B8), (EXP(-LN(2)/inputs!$C$51)*D8+$D$3), (EXP(-LN(2)/inputs!$C$51)*D8))</f>
        <v>328.50639027305863</v>
      </c>
      <c r="E9" s="8">
        <f>IF((B9&gt;B8), (EXP(-LN(2)/inputs!$C$51)*E8+$E$3), (EXP(-LN(2)/inputs!$C$51)*E8))</f>
        <v>150.56542887515189</v>
      </c>
      <c r="F9" s="8">
        <f>IF((B9&gt;B8), (EXP(-LN(2)/inputs!$C$51)*F8+$F$3), (EXP(-LN(2)/inputs!$C$51)*F8))</f>
        <v>184.7848445285955</v>
      </c>
      <c r="G9" s="8">
        <f>IF((B9&gt;B8), (EXP(-LN(2)/inputs!$C$51)*G8+$G$3), (EXP(-LN(2)/inputs!$C$51)*G8))</f>
        <v>20.531649392066164</v>
      </c>
      <c r="H9" s="8">
        <f>IF((B9&gt;B8), (EXP(-LN(2)/inputs!$C$51)*H8+$H$3), (EXP(-LN(2)/inputs!$C$51)*H8))</f>
        <v>128.66500285694798</v>
      </c>
      <c r="I9" s="7">
        <f>O9*(10^inputs!$C$55)*0.01/1</f>
        <v>50.318219720739606</v>
      </c>
      <c r="J9" s="7">
        <f>(((0.621*15^0.564)/0.2))*D9/15+J8*inputs!$C$53</f>
        <v>353.49402323883055</v>
      </c>
      <c r="K9" s="7">
        <f>(((0.621*1000^0.564)/0.2))*D9/1000+K8*inputs!$C$53</f>
        <v>56.644515207313546</v>
      </c>
      <c r="L9" s="7">
        <f>(((0.648*20^0.651)/0.2))*H9/20+L8*inputs!$C$54</f>
        <v>193.79584724869213</v>
      </c>
      <c r="M9" s="7">
        <f>(((0.013*2^0.773)/0.2))*H9/2+M8*inputs!$C$54</f>
        <v>9.4501450046398006</v>
      </c>
      <c r="N9" s="7">
        <f>O9*0.015*inputs!$C$56</f>
        <v>7.3927326608034809</v>
      </c>
      <c r="O9" s="7">
        <f>IF((B9&gt;B8), (EXP(-LN(2)/inputs!$C$52)*O8+$O$3), (EXP(-LN(2)/inputs!$C$52)*O8))</f>
        <v>0.79749003892162684</v>
      </c>
      <c r="P9" s="3">
        <f>IF((B9&gt;B8), (EXP(-LN(2)/inputs!$C$52)*P8+$P$3), (EXP(-LN(2)/inputs!$C$52)*P8))</f>
        <v>0.77061854936847074</v>
      </c>
      <c r="Q9" s="19">
        <f>IF((F9*0.62*1/(0.012*(10^inputs!$C$55)))&gt;inputs!$C$57, inputs!$C$57, (F9*0.62*1/(0.012*(10^inputs!$C$55))))</f>
        <v>1.5131319178440057</v>
      </c>
      <c r="R9" s="3">
        <f>IF((B9&gt;B8), (EXP(-LN(2)/inputs!$C$51)*R8+$R$3), (EXP(-LN(2)/inputs!$C$51)*R8))</f>
        <v>3.5156774561809356E-6</v>
      </c>
      <c r="T9" s="7">
        <f>IF(T8&lt;(inputs!$C$20-1),(1+T8),0)</f>
        <v>0</v>
      </c>
      <c r="U9" s="7">
        <f>IF(inputs!$C$19&gt;U8,IF(T8=(inputs!$C$20-1),(U8+1),U8), U8)</f>
        <v>1</v>
      </c>
      <c r="V9" s="7">
        <f t="shared" si="0"/>
        <v>6</v>
      </c>
      <c r="W9" s="8">
        <f>IF((U9&gt;U8), (EXP(-LN(2)/inputs!$C$51)*W8+$W$3), (EXP(-LN(2)/inputs!$C$51)*W8))</f>
        <v>116.34601322170829</v>
      </c>
      <c r="X9" s="8">
        <f>IF((U9&gt;U8), (EXP(-LN(2)/inputs!$C$51)*X8+$X$3), (EXP(-LN(2)/inputs!$C$51)*X8))</f>
        <v>49.275958540958811</v>
      </c>
      <c r="Y9" s="8">
        <f>IF((U9&gt;U8), (EXP(-LN(2)/inputs!$C$51)*Y8+$Y$3), (EXP(-LN(2)/inputs!$C$51)*Y8))</f>
        <v>61.594948176198507</v>
      </c>
      <c r="Z9" s="8">
        <f>IF((U9&gt;U8), (EXP(-LN(2)/inputs!$C$51)*Z8+$Z$3), (EXP(-LN(2)/inputs!$C$51)*Z8))</f>
        <v>9.5814363829642115</v>
      </c>
      <c r="AA9" s="8">
        <f>IF((U9&gt;U8), (EXP(-LN(2)/inputs!$C$51)*AA8+$AA$3), (EXP(-LN(2)/inputs!$C$51)*AA8))</f>
        <v>88.970480698953409</v>
      </c>
      <c r="AB9" s="7">
        <f>(((0.621*15^0.564)/0.2))*W9/15+AB8*inputs!$C$53</f>
        <v>125.19579989708585</v>
      </c>
      <c r="AC9" s="7">
        <f>(((0.621*1000^0.564)/0.2))*W9/1000+AC8*inputs!$C$53</f>
        <v>20.061599135923551</v>
      </c>
      <c r="AD9" s="7">
        <f>(((0.648*20^0.651)/0.2))*AA9/20+AD8*inputs!$C$54</f>
        <v>134.00776671452118</v>
      </c>
      <c r="AE9" s="7">
        <f>(((0.013*2^0.773)/0.2))*AA9/2+AE8*inputs!$C$54</f>
        <v>6.5346747372509277</v>
      </c>
    </row>
    <row r="10" spans="1:33" x14ac:dyDescent="0.3">
      <c r="A10" s="7">
        <f>IF(A9&lt;(inputs!$C$20-1),(1+A9),0)</f>
        <v>0</v>
      </c>
      <c r="B10" s="7">
        <f>IF(inputs!$C$19&gt;B9,IF(A9=(inputs!$C$20-1),(B9+1),B9), B9)</f>
        <v>1</v>
      </c>
      <c r="C10" s="7">
        <f t="shared" si="1"/>
        <v>7</v>
      </c>
      <c r="D10" s="8">
        <f>IF((B10&gt;B9), (EXP(-LN(2)/inputs!$C$51)*D9+$D$3), (EXP(-LN(2)/inputs!$C$51)*D9))</f>
        <v>288.23433247432803</v>
      </c>
      <c r="E10" s="8">
        <f>IF((B10&gt;B9), (EXP(-LN(2)/inputs!$C$51)*E9+$E$3), (EXP(-LN(2)/inputs!$C$51)*E9))</f>
        <v>132.10740238406703</v>
      </c>
      <c r="F10" s="8">
        <f>IF((B10&gt;B9), (EXP(-LN(2)/inputs!$C$51)*F9+$F$3), (EXP(-LN(2)/inputs!$C$51)*F9))</f>
        <v>162.13181201680953</v>
      </c>
      <c r="G10" s="8">
        <f>IF((B10&gt;B9), (EXP(-LN(2)/inputs!$C$51)*G9+$G$3), (EXP(-LN(2)/inputs!$C$51)*G9))</f>
        <v>18.014645779645502</v>
      </c>
      <c r="H10" s="8">
        <f>IF((B10&gt;B9), (EXP(-LN(2)/inputs!$C$51)*H9+$H$3), (EXP(-LN(2)/inputs!$C$51)*H9))</f>
        <v>112.89178021911182</v>
      </c>
      <c r="I10" s="7">
        <f>O10*(10^inputs!$C$55)*0.01/1</f>
        <v>49.302784038657535</v>
      </c>
      <c r="J10" s="7">
        <f>(((0.621*15^0.564)/0.2))*D10/15+J9*inputs!$C$53</f>
        <v>310.15876521618583</v>
      </c>
      <c r="K10" s="7">
        <f>(((0.621*1000^0.564)/0.2))*D10/1000+K9*inputs!$C$53</f>
        <v>49.700395870907997</v>
      </c>
      <c r="L10" s="7">
        <f>(((0.648*20^0.651)/0.2))*H10/20+L9*inputs!$C$54</f>
        <v>170.04474463581198</v>
      </c>
      <c r="M10" s="7">
        <f>(((0.013*2^0.773)/0.2))*H10/2+M9*inputs!$C$54</f>
        <v>8.2919604155563977</v>
      </c>
      <c r="N10" s="7">
        <f>O10*0.015*inputs!$C$56</f>
        <v>7.2435452576414541</v>
      </c>
      <c r="O10" s="7">
        <f>IF((B10&gt;B9), (EXP(-LN(2)/inputs!$C$52)*O9+$O$3), (EXP(-LN(2)/inputs!$C$52)*O9))</f>
        <v>0.78139646792248696</v>
      </c>
      <c r="P10" s="3">
        <f>IF((B10&gt;B9), (EXP(-LN(2)/inputs!$C$52)*P9+$P$3), (EXP(-LN(2)/inputs!$C$52)*P9))</f>
        <v>0.75506725250928264</v>
      </c>
      <c r="Q10" s="19">
        <f>IF((F10*0.62*1/(0.012*(10^inputs!$C$55)))&gt;inputs!$C$57, inputs!$C$57, (F10*0.62*1/(0.012*(10^inputs!$C$55))))</f>
        <v>1.3276349599252684</v>
      </c>
      <c r="R10" s="3">
        <f>IF((B10&gt;B9), (EXP(-LN(2)/inputs!$C$51)*R9+$R$3), (EXP(-LN(2)/inputs!$C$51)*R9))</f>
        <v>3.0846856401638203E-6</v>
      </c>
      <c r="T10" s="7">
        <f>IF(T9&lt;(inputs!$C$20-1),(1+T9),0)</f>
        <v>0</v>
      </c>
      <c r="U10" s="7">
        <f>IF(inputs!$C$19&gt;U9,IF(T9=(inputs!$C$20-1),(U9+1),U9), U9)</f>
        <v>1</v>
      </c>
      <c r="V10" s="7">
        <f t="shared" si="0"/>
        <v>7</v>
      </c>
      <c r="W10" s="8">
        <f>IF((U10&gt;U9), (EXP(-LN(2)/inputs!$C$51)*W9+$W$3), (EXP(-LN(2)/inputs!$C$51)*W9))</f>
        <v>102.08299275132454</v>
      </c>
      <c r="X10" s="8">
        <f>IF((U10&gt;U9), (EXP(-LN(2)/inputs!$C$51)*X9+$X$3), (EXP(-LN(2)/inputs!$C$51)*X9))</f>
        <v>43.235149871149218</v>
      </c>
      <c r="Y10" s="8">
        <f>IF((U10&gt;U9), (EXP(-LN(2)/inputs!$C$51)*Y9+$Y$3), (EXP(-LN(2)/inputs!$C$51)*Y9))</f>
        <v>54.043937338936523</v>
      </c>
      <c r="Z10" s="8">
        <f>IF((U10&gt;U9), (EXP(-LN(2)/inputs!$C$51)*Z9+$Z$3), (EXP(-LN(2)/inputs!$C$51)*Z9))</f>
        <v>8.406834697167902</v>
      </c>
      <c r="AA10" s="8">
        <f>IF((U10&gt;U9), (EXP(-LN(2)/inputs!$C$51)*AA9+$AA$3), (EXP(-LN(2)/inputs!$C$51)*AA9))</f>
        <v>78.063465045130542</v>
      </c>
      <c r="AB10" s="7">
        <f>(((0.621*15^0.564)/0.2))*W10/15+AB9*inputs!$C$53</f>
        <v>109.84789601406585</v>
      </c>
      <c r="AC10" s="7">
        <f>(((0.621*1000^0.564)/0.2))*W10/1000+AC9*inputs!$C$53</f>
        <v>17.602223537613256</v>
      </c>
      <c r="AD10" s="7">
        <f>(((0.648*20^0.651)/0.2))*AA10/20+AD9*inputs!$C$54</f>
        <v>117.58413192901897</v>
      </c>
      <c r="AE10" s="7">
        <f>(((0.013*2^0.773)/0.2))*AA10/2+AE9*inputs!$C$54</f>
        <v>5.7338024150124047</v>
      </c>
    </row>
    <row r="11" spans="1:33" x14ac:dyDescent="0.3">
      <c r="A11" s="7">
        <f>IF(A10&lt;(inputs!$C$20-1),(1+A10),0)</f>
        <v>0</v>
      </c>
      <c r="B11" s="7">
        <f>IF(inputs!$C$19&gt;B10,IF(A10=(inputs!$C$20-1),(B10+1),B10), B10)</f>
        <v>1</v>
      </c>
      <c r="C11" s="7">
        <f t="shared" si="1"/>
        <v>8</v>
      </c>
      <c r="D11" s="8">
        <f>IF((B11&gt;B10), (EXP(-LN(2)/inputs!$C$51)*D10+$D$3), (EXP(-LN(2)/inputs!$C$51)*D10))</f>
        <v>252.89928256149034</v>
      </c>
      <c r="E11" s="8">
        <f>IF((B11&gt;B10), (EXP(-LN(2)/inputs!$C$51)*E10+$E$3), (EXP(-LN(2)/inputs!$C$51)*E10))</f>
        <v>115.91217117401642</v>
      </c>
      <c r="F11" s="8">
        <f>IF((B11&gt;B10), (EXP(-LN(2)/inputs!$C$51)*F10+$F$3), (EXP(-LN(2)/inputs!$C$51)*F10))</f>
        <v>142.25584644083833</v>
      </c>
      <c r="G11" s="8">
        <f>IF((B11&gt;B10), (EXP(-LN(2)/inputs!$C$51)*G10+$G$3), (EXP(-LN(2)/inputs!$C$51)*G10))</f>
        <v>15.806205160093146</v>
      </c>
      <c r="H11" s="8">
        <f>IF((B11&gt;B10), (EXP(-LN(2)/inputs!$C$51)*H10+$H$3), (EXP(-LN(2)/inputs!$C$51)*H10))</f>
        <v>99.052219003250386</v>
      </c>
      <c r="I11" s="7">
        <f>O11*(10^inputs!$C$55)*0.01/1</f>
        <v>48.307840131327588</v>
      </c>
      <c r="J11" s="7">
        <f>(((0.621*15^0.564)/0.2))*D11/15+J10*inputs!$C$53</f>
        <v>272.13597529692203</v>
      </c>
      <c r="K11" s="7">
        <f>(((0.621*1000^0.564)/0.2))*D11/1000+K10*inputs!$C$53</f>
        <v>43.607555935249259</v>
      </c>
      <c r="L11" s="7">
        <f>(((0.648*20^0.651)/0.2))*H11/20+L10*inputs!$C$54</f>
        <v>149.20013426724921</v>
      </c>
      <c r="M11" s="7">
        <f>(((0.013*2^0.773)/0.2))*H11/2+M10*inputs!$C$54</f>
        <v>7.2755062791818848</v>
      </c>
      <c r="N11" s="7">
        <f>O11*0.015*inputs!$C$56</f>
        <v>7.0973684978076026</v>
      </c>
      <c r="O11" s="7">
        <f>IF((B11&gt;B10), (EXP(-LN(2)/inputs!$C$52)*O10+$O$3), (EXP(-LN(2)/inputs!$C$52)*O10))</f>
        <v>0.76562766966640805</v>
      </c>
      <c r="P11" s="3">
        <f>IF((B11&gt;B10), (EXP(-LN(2)/inputs!$C$52)*P10+$P$3), (EXP(-LN(2)/inputs!$C$52)*P10))</f>
        <v>0.73982978515004727</v>
      </c>
      <c r="Q11" s="19">
        <f>IF((F11*0.62*1/(0.012*(10^inputs!$C$55)))&gt;inputs!$C$57, inputs!$C$57, (F11*0.62*1/(0.012*(10^inputs!$C$55))))</f>
        <v>1.1648783334947028</v>
      </c>
      <c r="R11" s="3">
        <f>IF((B11&gt;B10), (EXP(-LN(2)/inputs!$C$51)*R10+$R$3), (EXP(-LN(2)/inputs!$C$51)*R10))</f>
        <v>2.706529713612946E-6</v>
      </c>
      <c r="T11" s="7">
        <f>IF(T10&lt;(inputs!$C$20-1),(1+T10),0)</f>
        <v>0</v>
      </c>
      <c r="U11" s="7">
        <f>IF(inputs!$C$19&gt;U10,IF(T10=(inputs!$C$20-1),(U10+1),U10), U10)</f>
        <v>1</v>
      </c>
      <c r="V11" s="7">
        <f t="shared" si="0"/>
        <v>8</v>
      </c>
      <c r="W11" s="8">
        <f>IF((U11&gt;U10), (EXP(-LN(2)/inputs!$C$51)*W10+$W$3), (EXP(-LN(2)/inputs!$C$51)*W10))</f>
        <v>89.568495907194517</v>
      </c>
      <c r="X11" s="8">
        <f>IF((U11&gt;U10), (EXP(-LN(2)/inputs!$C$51)*X10+$X$3), (EXP(-LN(2)/inputs!$C$51)*X10))</f>
        <v>37.934892384223559</v>
      </c>
      <c r="Y11" s="8">
        <f>IF((U11&gt;U10), (EXP(-LN(2)/inputs!$C$51)*Y10+$Y$3), (EXP(-LN(2)/inputs!$C$51)*Y10))</f>
        <v>47.418615480279449</v>
      </c>
      <c r="Z11" s="8">
        <f>IF((U11&gt;U10), (EXP(-LN(2)/inputs!$C$51)*Z10+$Z$3), (EXP(-LN(2)/inputs!$C$51)*Z10))</f>
        <v>7.3762290747101353</v>
      </c>
      <c r="AA11" s="8">
        <f>IF((U11&gt;U10), (EXP(-LN(2)/inputs!$C$51)*AA10+$AA$3), (EXP(-LN(2)/inputs!$C$51)*AA10))</f>
        <v>68.493555693736994</v>
      </c>
      <c r="AB11" s="7">
        <f>(((0.621*15^0.564)/0.2))*W11/15+AB10*inputs!$C$53</f>
        <v>96.38149125099325</v>
      </c>
      <c r="AC11" s="7">
        <f>(((0.621*1000^0.564)/0.2))*W11/1000+AC10*inputs!$C$53</f>
        <v>15.444342727067447</v>
      </c>
      <c r="AD11" s="7">
        <f>(((0.648*20^0.651)/0.2))*AA11/20+AD10*inputs!$C$54</f>
        <v>103.17030561033195</v>
      </c>
      <c r="AE11" s="7">
        <f>(((0.013*2^0.773)/0.2))*AA11/2+AE10*inputs!$C$54</f>
        <v>5.0309351930513051</v>
      </c>
    </row>
    <row r="12" spans="1:33" x14ac:dyDescent="0.3">
      <c r="A12" s="7">
        <f>IF(A11&lt;(inputs!$C$20-1),(1+A11),0)</f>
        <v>0</v>
      </c>
      <c r="B12" s="7">
        <f>IF(inputs!$C$19&gt;B11,IF(A11=(inputs!$C$20-1),(B11+1),B11), B11)</f>
        <v>1</v>
      </c>
      <c r="C12" s="7">
        <f t="shared" si="1"/>
        <v>9</v>
      </c>
      <c r="D12" s="8">
        <f>IF((B12&gt;B11), (EXP(-LN(2)/inputs!$C$51)*D11+$D$3), (EXP(-LN(2)/inputs!$C$51)*D11))</f>
        <v>221.89600583342389</v>
      </c>
      <c r="E12" s="8">
        <f>IF((B12&gt;B11), (EXP(-LN(2)/inputs!$C$51)*E11+$E$3), (EXP(-LN(2)/inputs!$C$51)*E11))</f>
        <v>101.70233600698596</v>
      </c>
      <c r="F12" s="8">
        <f>IF((B12&gt;B11), (EXP(-LN(2)/inputs!$C$51)*F11+$F$3), (EXP(-LN(2)/inputs!$C$51)*F11))</f>
        <v>124.81650328130094</v>
      </c>
      <c r="G12" s="8">
        <f>IF((B12&gt;B11), (EXP(-LN(2)/inputs!$C$51)*G11+$G$3), (EXP(-LN(2)/inputs!$C$51)*G11))</f>
        <v>13.868500364588993</v>
      </c>
      <c r="H12" s="8">
        <f>IF((B12&gt;B11), (EXP(-LN(2)/inputs!$C$51)*H11+$H$3), (EXP(-LN(2)/inputs!$C$51)*H11))</f>
        <v>86.909268951424352</v>
      </c>
      <c r="I12" s="7">
        <f>O12*(10^inputs!$C$55)*0.01/1</f>
        <v>47.33297446903056</v>
      </c>
      <c r="J12" s="7">
        <f>(((0.621*15^0.564)/0.2))*D12/15+J11*inputs!$C$53</f>
        <v>238.77444619042939</v>
      </c>
      <c r="K12" s="7">
        <f>(((0.621*1000^0.564)/0.2))*D12/1000+K11*inputs!$C$53</f>
        <v>38.261644778117223</v>
      </c>
      <c r="L12" s="7">
        <f>(((0.648*20^0.651)/0.2))*H12/20+L11*inputs!$C$54</f>
        <v>130.90978346575145</v>
      </c>
      <c r="M12" s="7">
        <f>(((0.013*2^0.773)/0.2))*H12/2+M11*inputs!$C$54</f>
        <v>6.3836065315155919</v>
      </c>
      <c r="N12" s="7">
        <f>O12*0.015*inputs!$C$56</f>
        <v>6.9541416256814284</v>
      </c>
      <c r="O12" s="7">
        <f>IF((B12&gt;B11), (EXP(-LN(2)/inputs!$C$52)*O11+$O$3), (EXP(-LN(2)/inputs!$C$52)*O11))</f>
        <v>0.75017709014902145</v>
      </c>
      <c r="P12" s="3">
        <f>IF((B12&gt;B11), (EXP(-LN(2)/inputs!$C$52)*P11+$P$3), (EXP(-LN(2)/inputs!$C$52)*P11))</f>
        <v>0.72489981412408844</v>
      </c>
      <c r="Q12" s="19">
        <f>IF((F12*0.62*1/(0.012*(10^inputs!$C$55)))&gt;inputs!$C$57, inputs!$C$57, (F12*0.62*1/(0.012*(10^inputs!$C$55))))</f>
        <v>1.0220742695128917</v>
      </c>
      <c r="R12" s="3">
        <f>IF((B12&gt;B11), (EXP(-LN(2)/inputs!$C$51)*R11+$R$3), (EXP(-LN(2)/inputs!$C$51)*R11))</f>
        <v>2.3747324509478202E-6</v>
      </c>
      <c r="T12" s="7">
        <f>IF(T11&lt;(inputs!$C$20-1),(1+T11),0)</f>
        <v>0</v>
      </c>
      <c r="U12" s="7">
        <f>IF(inputs!$C$19&gt;U11,IF(T11=(inputs!$C$20-1),(U11+1),U11), U11)</f>
        <v>1</v>
      </c>
      <c r="V12" s="7">
        <f t="shared" si="0"/>
        <v>9</v>
      </c>
      <c r="W12" s="8">
        <f>IF((U12&gt;U11), (EXP(-LN(2)/inputs!$C$51)*W11+$W$3), (EXP(-LN(2)/inputs!$C$51)*W11))</f>
        <v>78.588168732670979</v>
      </c>
      <c r="X12" s="8">
        <f>IF((U12&gt;U11), (EXP(-LN(2)/inputs!$C$51)*X11+$X$3), (EXP(-LN(2)/inputs!$C$51)*X11))</f>
        <v>33.284400875013588</v>
      </c>
      <c r="Y12" s="8">
        <f>IF((U12&gt;U11), (EXP(-LN(2)/inputs!$C$51)*Y11+$Y$3), (EXP(-LN(2)/inputs!$C$51)*Y11))</f>
        <v>41.605501093766989</v>
      </c>
      <c r="Z12" s="8">
        <f>IF((U12&gt;U11), (EXP(-LN(2)/inputs!$C$51)*Z11+$Z$3), (EXP(-LN(2)/inputs!$C$51)*Z11))</f>
        <v>6.4719668368081971</v>
      </c>
      <c r="AA12" s="8">
        <f>IF((U12&gt;U11), (EXP(-LN(2)/inputs!$C$51)*AA11+$AA$3), (EXP(-LN(2)/inputs!$C$51)*AA11))</f>
        <v>60.096834913218991</v>
      </c>
      <c r="AB12" s="7">
        <f>(((0.621*15^0.564)/0.2))*W12/15+AB11*inputs!$C$53</f>
        <v>84.56594969244378</v>
      </c>
      <c r="AC12" s="7">
        <f>(((0.621*1000^0.564)/0.2))*W12/1000+AC11*inputs!$C$53</f>
        <v>13.550999192249852</v>
      </c>
      <c r="AD12" s="7">
        <f>(((0.648*20^0.651)/0.2))*AA12/20+AD11*inputs!$C$54</f>
        <v>90.522722609296238</v>
      </c>
      <c r="AE12" s="7">
        <f>(((0.013*2^0.773)/0.2))*AA12/2+AE11*inputs!$C$54</f>
        <v>4.4141960058352518</v>
      </c>
    </row>
    <row r="13" spans="1:33" x14ac:dyDescent="0.3">
      <c r="A13" s="7">
        <f>IF(A12&lt;(inputs!$C$20-1),(1+A12),0)</f>
        <v>0</v>
      </c>
      <c r="B13" s="7">
        <f>IF(inputs!$C$19&gt;B12,IF(A12=(inputs!$C$20-1),(B12+1),B12), B12)</f>
        <v>1</v>
      </c>
      <c r="C13" s="7">
        <f t="shared" si="1"/>
        <v>10</v>
      </c>
      <c r="D13" s="8">
        <f>IF((B13&gt;B12), (EXP(-LN(2)/inputs!$C$51)*D12+$D$3), (EXP(-LN(2)/inputs!$C$51)*D12))</f>
        <v>194.69346415743635</v>
      </c>
      <c r="E13" s="8">
        <f>IF((B13&gt;B12), (EXP(-LN(2)/inputs!$C$51)*E12+$E$3), (EXP(-LN(2)/inputs!$C$51)*E12))</f>
        <v>89.234504405491663</v>
      </c>
      <c r="F13" s="8">
        <f>IF((B13&gt;B12), (EXP(-LN(2)/inputs!$C$51)*F12+$F$3), (EXP(-LN(2)/inputs!$C$51)*F12))</f>
        <v>109.51507358855794</v>
      </c>
      <c r="G13" s="8">
        <f>IF((B13&gt;B12), (EXP(-LN(2)/inputs!$C$51)*G12+$G$3), (EXP(-LN(2)/inputs!$C$51)*G12))</f>
        <v>12.168341509839772</v>
      </c>
      <c r="H13" s="8">
        <f>IF((B13&gt;B12), (EXP(-LN(2)/inputs!$C$51)*H12+$H$3), (EXP(-LN(2)/inputs!$C$51)*H12))</f>
        <v>76.254940128329224</v>
      </c>
      <c r="I13" s="7">
        <f>O13*(10^inputs!$C$55)*0.01/1</f>
        <v>46.377781867192077</v>
      </c>
      <c r="J13" s="7">
        <f>(((0.621*15^0.564)/0.2))*D13/15+J12*inputs!$C$53</f>
        <v>209.50275297527713</v>
      </c>
      <c r="K13" s="7">
        <f>(((0.621*1000^0.564)/0.2))*D13/1000+K12*inputs!$C$53</f>
        <v>33.57109624697766</v>
      </c>
      <c r="L13" s="7">
        <f>(((0.648*20^0.651)/0.2))*H13/20+L12*inputs!$C$54</f>
        <v>114.86143472901165</v>
      </c>
      <c r="M13" s="7">
        <f>(((0.013*2^0.773)/0.2))*H13/2+M12*inputs!$C$54</f>
        <v>5.6010344341238483</v>
      </c>
      <c r="N13" s="7">
        <f>O13*0.015*inputs!$C$56</f>
        <v>6.8138051117077705</v>
      </c>
      <c r="O13" s="7">
        <f>IF((B13&gt;B12), (EXP(-LN(2)/inputs!$C$52)*O12+$O$3), (EXP(-LN(2)/inputs!$C$52)*O12))</f>
        <v>0.73503830762759126</v>
      </c>
      <c r="P13" s="3">
        <f>IF((B13&gt;B12), (EXP(-LN(2)/inputs!$C$52)*P12+$P$3), (EXP(-LN(2)/inputs!$C$52)*P12))</f>
        <v>0.71027113406979647</v>
      </c>
      <c r="Q13" s="19">
        <f>IF((F13*0.62*1/(0.012*(10^inputs!$C$55)))&gt;inputs!$C$57, inputs!$C$57, (F13*0.62*1/(0.012*(10^inputs!$C$55))))</f>
        <v>0.89677675544564639</v>
      </c>
      <c r="R13" s="3">
        <f>IF((B13&gt;B12), (EXP(-LN(2)/inputs!$C$51)*R12+$R$3), (EXP(-LN(2)/inputs!$C$51)*R12))</f>
        <v>2.0836106787302434E-6</v>
      </c>
      <c r="T13" s="7">
        <f>IF(T12&lt;(inputs!$C$20-1),(1+T12),0)</f>
        <v>0</v>
      </c>
      <c r="U13" s="7">
        <f>IF(inputs!$C$19&gt;U12,IF(T12=(inputs!$C$20-1),(U12+1),U12), U12)</f>
        <v>1</v>
      </c>
      <c r="V13" s="7">
        <f t="shared" si="0"/>
        <v>10</v>
      </c>
      <c r="W13" s="8">
        <f>IF((U13&gt;U12), (EXP(-LN(2)/inputs!$C$51)*W12+$W$3), (EXP(-LN(2)/inputs!$C$51)*W12))</f>
        <v>68.953935222425386</v>
      </c>
      <c r="X13" s="8">
        <f>IF((U13&gt;U12), (EXP(-LN(2)/inputs!$C$51)*X12+$X$3), (EXP(-LN(2)/inputs!$C$51)*X12))</f>
        <v>29.204019623615455</v>
      </c>
      <c r="Y13" s="8">
        <f>IF((U13&gt;U12), (EXP(-LN(2)/inputs!$C$51)*Y12+$Y$3), (EXP(-LN(2)/inputs!$C$51)*Y12))</f>
        <v>36.505024529519325</v>
      </c>
      <c r="Z13" s="8">
        <f>IF((U13&gt;U12), (EXP(-LN(2)/inputs!$C$51)*Z12+$Z$3), (EXP(-LN(2)/inputs!$C$51)*Z12))</f>
        <v>5.6785593712585607</v>
      </c>
      <c r="AA13" s="8">
        <f>IF((U13&gt;U12), (EXP(-LN(2)/inputs!$C$51)*AA12+$AA$3), (EXP(-LN(2)/inputs!$C$51)*AA12))</f>
        <v>52.729479875972359</v>
      </c>
      <c r="AB13" s="7">
        <f>(((0.621*15^0.564)/0.2))*W13/15+AB12*inputs!$C$53</f>
        <v>74.198891678744005</v>
      </c>
      <c r="AC13" s="7">
        <f>(((0.621*1000^0.564)/0.2))*W13/1000+AC12*inputs!$C$53</f>
        <v>11.889763254137925</v>
      </c>
      <c r="AD13" s="7">
        <f>(((0.648*20^0.651)/0.2))*AA13/20+AD12*inputs!$C$54</f>
        <v>79.4254601849549</v>
      </c>
      <c r="AE13" s="7">
        <f>(((0.013*2^0.773)/0.2))*AA13/2+AE12*inputs!$C$54</f>
        <v>3.8730557257239395</v>
      </c>
    </row>
    <row r="14" spans="1:33" x14ac:dyDescent="0.3">
      <c r="A14" s="7">
        <f>IF(A13&lt;(inputs!$C$20-1),(1+A13),0)</f>
        <v>0</v>
      </c>
      <c r="B14" s="7">
        <f>IF(inputs!$C$19&gt;B13,IF(A13=(inputs!$C$20-1),(B13+1),B13), B13)</f>
        <v>1</v>
      </c>
      <c r="C14" s="7">
        <f t="shared" si="1"/>
        <v>11</v>
      </c>
      <c r="D14" s="8">
        <f>IF((B14&gt;B13), (EXP(-LN(2)/inputs!$C$51)*D13+$D$3), (EXP(-LN(2)/inputs!$C$51)*D13))</f>
        <v>170.82572010817734</v>
      </c>
      <c r="E14" s="8">
        <f>IF((B14&gt;B13), (EXP(-LN(2)/inputs!$C$51)*E13+$E$3), (EXP(-LN(2)/inputs!$C$51)*E13))</f>
        <v>78.295121716247948</v>
      </c>
      <c r="F14" s="8">
        <f>IF((B14&gt;B13), (EXP(-LN(2)/inputs!$C$51)*F13+$F$3), (EXP(-LN(2)/inputs!$C$51)*F13))</f>
        <v>96.089467560849741</v>
      </c>
      <c r="G14" s="8">
        <f>IF((B14&gt;B13), (EXP(-LN(2)/inputs!$C$51)*G13+$G$3), (EXP(-LN(2)/inputs!$C$51)*G13))</f>
        <v>10.676607506761083</v>
      </c>
      <c r="H14" s="8">
        <f>IF((B14&gt;B13), (EXP(-LN(2)/inputs!$C$51)*H13+$H$3), (EXP(-LN(2)/inputs!$C$51)*H13))</f>
        <v>66.906740375702768</v>
      </c>
      <c r="I14" s="7">
        <f>O14*(10^inputs!$C$55)*0.01/1</f>
        <v>45.441865317975306</v>
      </c>
      <c r="J14" s="7">
        <f>(((0.621*15^0.564)/0.2))*D14/15+J13*inputs!$C$53</f>
        <v>183.81951750595974</v>
      </c>
      <c r="K14" s="7">
        <f>(((0.621*1000^0.564)/0.2))*D14/1000+K13*inputs!$C$53</f>
        <v>29.455568610087884</v>
      </c>
      <c r="L14" s="7">
        <f>(((0.648*20^0.651)/0.2))*H14/20+L13*inputs!$C$54</f>
        <v>100.78042465700905</v>
      </c>
      <c r="M14" s="7">
        <f>(((0.013*2^0.773)/0.2))*H14/2+M13*inputs!$C$54</f>
        <v>4.9143964649342582</v>
      </c>
      <c r="N14" s="7">
        <f>O14*0.015*inputs!$C$56</f>
        <v>6.6763006276544612</v>
      </c>
      <c r="O14" s="7">
        <f>IF((B14&gt;B13), (EXP(-LN(2)/inputs!$C$52)*O13+$O$3), (EXP(-LN(2)/inputs!$C$52)*O13))</f>
        <v>0.72020502995193769</v>
      </c>
      <c r="P14" s="3">
        <f>IF((B14&gt;B13), (EXP(-LN(2)/inputs!$C$52)*P13+$P$3), (EXP(-LN(2)/inputs!$C$52)*P13))</f>
        <v>0.69593766485148656</v>
      </c>
      <c r="Q14" s="19">
        <f>IF((F14*0.62*1/(0.012*(10^inputs!$C$55)))&gt;inputs!$C$57, inputs!$C$57, (F14*0.62*1/(0.012*(10^inputs!$C$55))))</f>
        <v>0.78683963885608521</v>
      </c>
      <c r="R14" s="3">
        <f>IF((B14&gt;B13), (EXP(-LN(2)/inputs!$C$51)*R13+$R$3), (EXP(-LN(2)/inputs!$C$51)*R13))</f>
        <v>1.8281779317017046E-6</v>
      </c>
      <c r="T14" s="7">
        <f>IF(T13&lt;(inputs!$C$20-1),(1+T13),0)</f>
        <v>0</v>
      </c>
      <c r="U14" s="7">
        <f>IF(inputs!$C$19&gt;U13,IF(T13=(inputs!$C$20-1),(U13+1),U13), U13)</f>
        <v>1</v>
      </c>
      <c r="V14" s="7">
        <f t="shared" si="0"/>
        <v>11</v>
      </c>
      <c r="W14" s="8">
        <f>IF((U14&gt;U13), (EXP(-LN(2)/inputs!$C$51)*W13+$W$3), (EXP(-LN(2)/inputs!$C$51)*W13))</f>
        <v>60.500775871646148</v>
      </c>
      <c r="X14" s="8">
        <f>IF((U14&gt;U13), (EXP(-LN(2)/inputs!$C$51)*X13+$X$3), (EXP(-LN(2)/inputs!$C$51)*X13))</f>
        <v>25.623858016226599</v>
      </c>
      <c r="Y14" s="8">
        <f>IF((U14&gt;U13), (EXP(-LN(2)/inputs!$C$51)*Y13+$Y$3), (EXP(-LN(2)/inputs!$C$51)*Y13))</f>
        <v>32.029822520283254</v>
      </c>
      <c r="Z14" s="8">
        <f>IF((U14&gt;U13), (EXP(-LN(2)/inputs!$C$51)*Z13+$Z$3), (EXP(-LN(2)/inputs!$C$51)*Z13))</f>
        <v>4.9824168364885058</v>
      </c>
      <c r="AA14" s="8">
        <f>IF((U14&gt;U13), (EXP(-LN(2)/inputs!$C$51)*AA13+$AA$3), (EXP(-LN(2)/inputs!$C$51)*AA13))</f>
        <v>46.265299195964701</v>
      </c>
      <c r="AB14" s="7">
        <f>(((0.621*15^0.564)/0.2))*W14/15+AB13*inputs!$C$53</f>
        <v>65.102745783360746</v>
      </c>
      <c r="AC14" s="7">
        <f>(((0.621*1000^0.564)/0.2))*W14/1000+AC13*inputs!$C$53</f>
        <v>10.432180549406127</v>
      </c>
      <c r="AD14" s="7">
        <f>(((0.648*20^0.651)/0.2))*AA14/20+AD13*inputs!$C$54</f>
        <v>69.688591518144591</v>
      </c>
      <c r="AE14" s="7">
        <f>(((0.013*2^0.773)/0.2))*AA14/2+AE13*inputs!$C$54</f>
        <v>3.3982528746885841</v>
      </c>
    </row>
    <row r="15" spans="1:33" x14ac:dyDescent="0.3">
      <c r="A15" s="7">
        <f>IF(A14&lt;(inputs!$C$20-1),(1+A14),0)</f>
        <v>0</v>
      </c>
      <c r="B15" s="7">
        <f>IF(inputs!$C$19&gt;B14,IF(A14=(inputs!$C$20-1),(B14+1),B14), B14)</f>
        <v>1</v>
      </c>
      <c r="C15" s="7">
        <f t="shared" si="1"/>
        <v>12</v>
      </c>
      <c r="D15" s="8">
        <f>IF((B15&gt;B14), (EXP(-LN(2)/inputs!$C$51)*D14+$D$3), (EXP(-LN(2)/inputs!$C$51)*D14))</f>
        <v>149.88395618088217</v>
      </c>
      <c r="E15" s="8">
        <f>IF((B15&gt;B14), (EXP(-LN(2)/inputs!$C$51)*E14+$E$3), (EXP(-LN(2)/inputs!$C$51)*E14))</f>
        <v>68.696813249570994</v>
      </c>
      <c r="F15" s="8">
        <f>IF((B15&gt;B14), (EXP(-LN(2)/inputs!$C$51)*F14+$F$3), (EXP(-LN(2)/inputs!$C$51)*F14))</f>
        <v>84.309725351746209</v>
      </c>
      <c r="G15" s="8">
        <f>IF((B15&gt;B14), (EXP(-LN(2)/inputs!$C$51)*G14+$G$3), (EXP(-LN(2)/inputs!$C$51)*G14))</f>
        <v>9.3677472613051354</v>
      </c>
      <c r="H15" s="8">
        <f>IF((B15&gt;B14), (EXP(-LN(2)/inputs!$C$51)*H14+$H$3), (EXP(-LN(2)/inputs!$C$51)*H14))</f>
        <v>58.704549504178821</v>
      </c>
      <c r="I15" s="7">
        <f>O15*(10^inputs!$C$55)*0.01/1</f>
        <v>44.524835825272071</v>
      </c>
      <c r="J15" s="7">
        <f>(((0.621*15^0.564)/0.2))*D15/15+J14*inputs!$C$53</f>
        <v>161.28482578457198</v>
      </c>
      <c r="K15" s="7">
        <f>(((0.621*1000^0.564)/0.2))*D15/1000+K14*inputs!$C$53</f>
        <v>25.844569260766907</v>
      </c>
      <c r="L15" s="7">
        <f>(((0.648*20^0.651)/0.2))*H15/20+L14*inputs!$C$54</f>
        <v>88.425614419982139</v>
      </c>
      <c r="M15" s="7">
        <f>(((0.013*2^0.773)/0.2))*H15/2+M14*inputs!$C$54</f>
        <v>4.3119338740053363</v>
      </c>
      <c r="N15" s="7">
        <f>O15*0.015*inputs!$C$56</f>
        <v>6.5415710223693004</v>
      </c>
      <c r="O15" s="7">
        <f>IF((B15&gt;B14), (EXP(-LN(2)/inputs!$C$52)*O14+$O$3), (EXP(-LN(2)/inputs!$C$52)*O14))</f>
        <v>0.70567109194922328</v>
      </c>
      <c r="P15" s="3">
        <f>IF((B15&gt;B14), (EXP(-LN(2)/inputs!$C$52)*P14+$P$3), (EXP(-LN(2)/inputs!$C$52)*P14))</f>
        <v>0.68189344903230475</v>
      </c>
      <c r="Q15" s="19">
        <f>IF((F15*0.62*1/(0.012*(10^inputs!$C$55)))&gt;inputs!$C$57, inputs!$C$57, (F15*0.62*1/(0.012*(10^inputs!$C$55))))</f>
        <v>0.69037986713595101</v>
      </c>
      <c r="R15" s="3">
        <f>IF((B15&gt;B14), (EXP(-LN(2)/inputs!$C$51)*R14+$R$3), (EXP(-LN(2)/inputs!$C$51)*R14))</f>
        <v>1.6040590423532897E-6</v>
      </c>
      <c r="T15" s="7">
        <f>IF(T14&lt;(inputs!$C$20-1),(1+T14),0)</f>
        <v>0</v>
      </c>
      <c r="U15" s="7">
        <f>IF(inputs!$C$19&gt;U14,IF(T14=(inputs!$C$20-1),(U14+1),U14), U14)</f>
        <v>1</v>
      </c>
      <c r="V15" s="7">
        <f t="shared" si="0"/>
        <v>12</v>
      </c>
      <c r="W15" s="8">
        <f>IF((U15&gt;U14), (EXP(-LN(2)/inputs!$C$51)*W14+$W$3), (EXP(-LN(2)/inputs!$C$51)*W14))</f>
        <v>53.083901147395771</v>
      </c>
      <c r="X15" s="8">
        <f>IF((U15&gt;U14), (EXP(-LN(2)/inputs!$C$51)*X14+$X$3), (EXP(-LN(2)/inputs!$C$51)*X14))</f>
        <v>22.482593427132322</v>
      </c>
      <c r="Y15" s="8">
        <f>IF((U15&gt;U14), (EXP(-LN(2)/inputs!$C$51)*Y14+$Y$3), (EXP(-LN(2)/inputs!$C$51)*Y14))</f>
        <v>28.103241783915408</v>
      </c>
      <c r="Z15" s="8">
        <f>IF((U15&gt;U14), (EXP(-LN(2)/inputs!$C$51)*Z14+$Z$3), (EXP(-LN(2)/inputs!$C$51)*Z14))</f>
        <v>4.3716153886090625</v>
      </c>
      <c r="AA15" s="8">
        <f>IF((U15&gt;U14), (EXP(-LN(2)/inputs!$C$51)*AA14+$AA$3), (EXP(-LN(2)/inputs!$C$51)*AA14))</f>
        <v>40.593571465655586</v>
      </c>
      <c r="AB15" s="7">
        <f>(((0.621*15^0.564)/0.2))*W15/15+AB14*inputs!$C$53</f>
        <v>57.12170913203591</v>
      </c>
      <c r="AC15" s="7">
        <f>(((0.621*1000^0.564)/0.2))*W15/1000+AC14*inputs!$C$53</f>
        <v>9.1532849465216142</v>
      </c>
      <c r="AD15" s="7">
        <f>(((0.648*20^0.651)/0.2))*AA15/20+AD14*inputs!$C$54</f>
        <v>61.145371673391935</v>
      </c>
      <c r="AE15" s="7">
        <f>(((0.013*2^0.773)/0.2))*AA15/2+AE14*inputs!$C$54</f>
        <v>2.9816564022377343</v>
      </c>
    </row>
    <row r="16" spans="1:33" x14ac:dyDescent="0.3">
      <c r="A16" s="7">
        <f>IF(A15&lt;(inputs!$C$20-1),(1+A15),0)</f>
        <v>0</v>
      </c>
      <c r="B16" s="7">
        <f>IF(inputs!$C$19&gt;B15,IF(A15=(inputs!$C$20-1),(B15+1),B15), B15)</f>
        <v>1</v>
      </c>
      <c r="C16" s="7">
        <f t="shared" si="1"/>
        <v>13</v>
      </c>
      <c r="D16" s="8">
        <f>IF((B16&gt;B15), (EXP(-LN(2)/inputs!$C$51)*D15+$D$3), (EXP(-LN(2)/inputs!$C$51)*D15))</f>
        <v>131.50947238042525</v>
      </c>
      <c r="E16" s="8">
        <f>IF((B16&gt;B15), (EXP(-LN(2)/inputs!$C$51)*E15+$E$3), (EXP(-LN(2)/inputs!$C$51)*E15))</f>
        <v>60.275174841028246</v>
      </c>
      <c r="F16" s="8">
        <f>IF((B16&gt;B15), (EXP(-LN(2)/inputs!$C$51)*F15+$F$3), (EXP(-LN(2)/inputs!$C$51)*F15))</f>
        <v>73.974078213989202</v>
      </c>
      <c r="G16" s="8">
        <f>IF((B16&gt;B15), (EXP(-LN(2)/inputs!$C$51)*G15+$G$3), (EXP(-LN(2)/inputs!$C$51)*G15))</f>
        <v>8.2193420237765782</v>
      </c>
      <c r="H16" s="8">
        <f>IF((B16&gt;B15), (EXP(-LN(2)/inputs!$C$51)*H15+$H$3), (EXP(-LN(2)/inputs!$C$51)*H15))</f>
        <v>51.507876682333205</v>
      </c>
      <c r="I16" s="7">
        <f>O16*(10^inputs!$C$55)*0.01/1</f>
        <v>43.626312243023932</v>
      </c>
      <c r="J16" s="7">
        <f>(((0.621*15^0.564)/0.2))*D16/15+J15*inputs!$C$53</f>
        <v>141.51269343538701</v>
      </c>
      <c r="K16" s="7">
        <f>(((0.621*1000^0.564)/0.2))*D16/1000+K15*inputs!$C$53</f>
        <v>22.676247371551447</v>
      </c>
      <c r="L16" s="7">
        <f>(((0.648*20^0.651)/0.2))*H16/20+L15*inputs!$C$54</f>
        <v>77.58539531932783</v>
      </c>
      <c r="M16" s="7">
        <f>(((0.013*2^0.773)/0.2))*H16/2+M15*inputs!$C$54</f>
        <v>3.783327901082763</v>
      </c>
      <c r="N16" s="7">
        <f>O16*0.015*inputs!$C$56</f>
        <v>6.4095602980262427</v>
      </c>
      <c r="O16" s="7">
        <f>IF((B16&gt;B15), (EXP(-LN(2)/inputs!$C$52)*O15+$O$3), (EXP(-LN(2)/inputs!$C$52)*O15))</f>
        <v>0.69143045286151494</v>
      </c>
      <c r="P16" s="3">
        <f>IF((B16&gt;B15), (EXP(-LN(2)/inputs!$C$52)*P15+$P$3), (EXP(-LN(2)/inputs!$C$52)*P15))</f>
        <v>0.66813264939813122</v>
      </c>
      <c r="Q16" s="19">
        <f>IF((F16*0.62*1/(0.012*(10^inputs!$C$55)))&gt;inputs!$C$57, inputs!$C$57, (F16*0.62*1/(0.012*(10^inputs!$C$55))))</f>
        <v>0.60574523372967615</v>
      </c>
      <c r="R16" s="3">
        <f>IF((B16&gt;B15), (EXP(-LN(2)/inputs!$C$51)*R15+$R$3), (EXP(-LN(2)/inputs!$C$51)*R15))</f>
        <v>1.4074152010796607E-6</v>
      </c>
      <c r="T16" s="7">
        <f>IF(T15&lt;(inputs!$C$20-1),(1+T15),0)</f>
        <v>0</v>
      </c>
      <c r="U16" s="7">
        <f>IF(inputs!$C$19&gt;U15,IF(T15=(inputs!$C$20-1),(U15+1),U15), U15)</f>
        <v>1</v>
      </c>
      <c r="V16" s="7">
        <f t="shared" si="0"/>
        <v>13</v>
      </c>
      <c r="W16" s="8">
        <f>IF((U16&gt;U15), (EXP(-LN(2)/inputs!$C$51)*W15+$W$3), (EXP(-LN(2)/inputs!$C$51)*W15))</f>
        <v>46.576271468067283</v>
      </c>
      <c r="X16" s="8">
        <f>IF((U16&gt;U15), (EXP(-LN(2)/inputs!$C$51)*X15+$X$3), (EXP(-LN(2)/inputs!$C$51)*X15))</f>
        <v>19.726420857063786</v>
      </c>
      <c r="Y16" s="8">
        <f>IF((U16&gt;U15), (EXP(-LN(2)/inputs!$C$51)*Y15+$Y$3), (EXP(-LN(2)/inputs!$C$51)*Y15))</f>
        <v>24.658026071329736</v>
      </c>
      <c r="Z16" s="8">
        <f>IF((U16&gt;U15), (EXP(-LN(2)/inputs!$C$51)*Z15+$Z$3), (EXP(-LN(2)/inputs!$C$51)*Z15))</f>
        <v>3.8356929444290695</v>
      </c>
      <c r="AA16" s="8">
        <f>IF((U16&gt;U15), (EXP(-LN(2)/inputs!$C$51)*AA15+$AA$3), (EXP(-LN(2)/inputs!$C$51)*AA15))</f>
        <v>35.61714876969851</v>
      </c>
      <c r="AB16" s="7">
        <f>(((0.621*15^0.564)/0.2))*W16/15+AB15*inputs!$C$53</f>
        <v>50.119078925032902</v>
      </c>
      <c r="AC16" s="7">
        <f>(((0.621*1000^0.564)/0.2))*W16/1000+AC15*inputs!$C$53</f>
        <v>8.031170944091139</v>
      </c>
      <c r="AD16" s="7">
        <f>(((0.648*20^0.651)/0.2))*AA16/20+AD15*inputs!$C$54</f>
        <v>53.649475486769262</v>
      </c>
      <c r="AE16" s="7">
        <f>(((0.013*2^0.773)/0.2))*AA16/2+AE15*inputs!$C$54</f>
        <v>2.6161309954295717</v>
      </c>
    </row>
    <row r="17" spans="1:31" x14ac:dyDescent="0.3">
      <c r="A17" s="7">
        <f>IF(A16&lt;(inputs!$C$20-1),(1+A16),0)</f>
        <v>0</v>
      </c>
      <c r="B17" s="7">
        <f>IF(inputs!$C$19&gt;B16,IF(A16=(inputs!$C$20-1),(B16+1),B16), B16)</f>
        <v>1</v>
      </c>
      <c r="C17" s="7">
        <f t="shared" si="1"/>
        <v>14</v>
      </c>
      <c r="D17" s="8">
        <f>IF((B17&gt;B16), (EXP(-LN(2)/inputs!$C$51)*D16+$D$3), (EXP(-LN(2)/inputs!$C$51)*D16))</f>
        <v>115.38754224572432</v>
      </c>
      <c r="E17" s="8">
        <f>IF((B17&gt;B16), (EXP(-LN(2)/inputs!$C$51)*E16+$E$3), (EXP(-LN(2)/inputs!$C$51)*E16))</f>
        <v>52.885956862623651</v>
      </c>
      <c r="F17" s="8">
        <f>IF((B17&gt;B16), (EXP(-LN(2)/inputs!$C$51)*F16+$F$3), (EXP(-LN(2)/inputs!$C$51)*F16))</f>
        <v>64.905492513219926</v>
      </c>
      <c r="G17" s="8">
        <f>IF((B17&gt;B16), (EXP(-LN(2)/inputs!$C$51)*G16+$G$3), (EXP(-LN(2)/inputs!$C$51)*G16))</f>
        <v>7.2117213903577699</v>
      </c>
      <c r="H17" s="8">
        <f>IF((B17&gt;B16), (EXP(-LN(2)/inputs!$C$51)*H16+$H$3), (EXP(-LN(2)/inputs!$C$51)*H16))</f>
        <v>45.19345404624201</v>
      </c>
      <c r="I17" s="7">
        <f>O17*(10^inputs!$C$55)*0.01/1</f>
        <v>42.745921116806052</v>
      </c>
      <c r="J17" s="7">
        <f>(((0.621*15^0.564)/0.2))*D17/15+J16*inputs!$C$53</f>
        <v>124.16445444209189</v>
      </c>
      <c r="K17" s="7">
        <f>(((0.621*1000^0.564)/0.2))*D17/1000+K16*inputs!$C$53</f>
        <v>19.896334493613239</v>
      </c>
      <c r="L17" s="7">
        <f>(((0.648*20^0.651)/0.2))*H17/20+L16*inputs!$C$54</f>
        <v>68.074093339883092</v>
      </c>
      <c r="M17" s="7">
        <f>(((0.013*2^0.773)/0.2))*H17/2+M16*inputs!$C$54</f>
        <v>3.3195244493332212</v>
      </c>
      <c r="N17" s="7">
        <f>O17*0.015*inputs!$C$56</f>
        <v>6.2802135868509685</v>
      </c>
      <c r="O17" s="7">
        <f>IF((B17&gt;B16), (EXP(-LN(2)/inputs!$C$52)*O16+$O$3), (EXP(-LN(2)/inputs!$C$52)*O16))</f>
        <v>0.677477193835056</v>
      </c>
      <c r="P17" s="3">
        <f>IF((B17&gt;B16), (EXP(-LN(2)/inputs!$C$52)*P16+$P$3), (EXP(-LN(2)/inputs!$C$52)*P16))</f>
        <v>0.65464954653145202</v>
      </c>
      <c r="Q17" s="19">
        <f>IF((F17*0.62*1/(0.012*(10^inputs!$C$55)))&gt;inputs!$C$57, inputs!$C$57, (F17*0.62*1/(0.012*(10^inputs!$C$55))))</f>
        <v>0.5314860783939459</v>
      </c>
      <c r="R17" s="3">
        <f>IF((B17&gt;B16), (EXP(-LN(2)/inputs!$C$51)*R16+$R$3), (EXP(-LN(2)/inputs!$C$51)*R16))</f>
        <v>1.2348782033135613E-6</v>
      </c>
      <c r="T17" s="7">
        <f>IF(T16&lt;(inputs!$C$20-1),(1+T16),0)</f>
        <v>0</v>
      </c>
      <c r="U17" s="7">
        <f>IF(inputs!$C$19&gt;U16,IF(T16=(inputs!$C$20-1),(U16+1),U16), U16)</f>
        <v>1</v>
      </c>
      <c r="V17" s="7">
        <f t="shared" si="0"/>
        <v>14</v>
      </c>
      <c r="W17" s="8">
        <f>IF((U17&gt;U16), (EXP(-LN(2)/inputs!$C$51)*W16+$W$3), (EXP(-LN(2)/inputs!$C$51)*W16))</f>
        <v>40.866421212027369</v>
      </c>
      <c r="X17" s="8">
        <f>IF((U17&gt;U16), (EXP(-LN(2)/inputs!$C$51)*X16+$X$3), (EXP(-LN(2)/inputs!$C$51)*X16))</f>
        <v>17.308131336858647</v>
      </c>
      <c r="Y17" s="8">
        <f>IF((U17&gt;U16), (EXP(-LN(2)/inputs!$C$51)*Y16+$Y$3), (EXP(-LN(2)/inputs!$C$51)*Y16))</f>
        <v>21.63516417107331</v>
      </c>
      <c r="Z17" s="8">
        <f>IF((U17&gt;U16), (EXP(-LN(2)/inputs!$C$51)*Z16+$Z$3), (EXP(-LN(2)/inputs!$C$51)*Z16))</f>
        <v>3.3654699821669589</v>
      </c>
      <c r="AA17" s="8">
        <f>IF((U17&gt;U16), (EXP(-LN(2)/inputs!$C$51)*AA16+$AA$3), (EXP(-LN(2)/inputs!$C$51)*AA16))</f>
        <v>31.250792691550341</v>
      </c>
      <c r="AB17" s="7">
        <f>(((0.621*15^0.564)/0.2))*W17/15+AB16*inputs!$C$53</f>
        <v>43.974910948240883</v>
      </c>
      <c r="AC17" s="7">
        <f>(((0.621*1000^0.564)/0.2))*W17/1000+AC16*inputs!$C$53</f>
        <v>7.0466184664880229</v>
      </c>
      <c r="AD17" s="7">
        <f>(((0.648*20^0.651)/0.2))*AA17/20+AD16*inputs!$C$54</f>
        <v>47.072511352046831</v>
      </c>
      <c r="AE17" s="7">
        <f>(((0.013*2^0.773)/0.2))*AA17/2+AE16*inputs!$C$54</f>
        <v>2.295415842624037</v>
      </c>
    </row>
    <row r="18" spans="1:31" x14ac:dyDescent="0.3">
      <c r="A18" s="7">
        <f>IF(A17&lt;(inputs!$C$20-1),(1+A17),0)</f>
        <v>0</v>
      </c>
      <c r="B18" s="7">
        <f>IF(inputs!$C$19&gt;B17,IF(A17=(inputs!$C$20-1),(B17+1),B17), B17)</f>
        <v>1</v>
      </c>
      <c r="C18" s="7">
        <f t="shared" si="1"/>
        <v>15</v>
      </c>
      <c r="D18" s="8">
        <f>IF((B18&gt;B17), (EXP(-LN(2)/inputs!$C$51)*D17+$D$3), (EXP(-LN(2)/inputs!$C$51)*D17))</f>
        <v>101.2420220727051</v>
      </c>
      <c r="E18" s="8">
        <f>IF((B18&gt;B17), (EXP(-LN(2)/inputs!$C$51)*E17+$E$3), (EXP(-LN(2)/inputs!$C$51)*E17))</f>
        <v>46.402593449989837</v>
      </c>
      <c r="F18" s="8">
        <f>IF((B18&gt;B17), (EXP(-LN(2)/inputs!$C$51)*F17+$F$3), (EXP(-LN(2)/inputs!$C$51)*F17))</f>
        <v>56.948637415896613</v>
      </c>
      <c r="G18" s="8">
        <f>IF((B18&gt;B17), (EXP(-LN(2)/inputs!$C$51)*G17+$G$3), (EXP(-LN(2)/inputs!$C$51)*G17))</f>
        <v>6.3276263795440686</v>
      </c>
      <c r="H18" s="8">
        <f>IF((B18&gt;B17), (EXP(-LN(2)/inputs!$C$51)*H17+$H$3), (EXP(-LN(2)/inputs!$C$51)*H17))</f>
        <v>39.653125311809482</v>
      </c>
      <c r="I18" s="7">
        <f>O18*(10^inputs!$C$55)*0.01/1</f>
        <v>41.883296528607829</v>
      </c>
      <c r="J18" s="7">
        <f>(((0.621*15^0.564)/0.2))*D18/15+J17*inputs!$C$53</f>
        <v>108.94296032843648</v>
      </c>
      <c r="K18" s="7">
        <f>(((0.621*1000^0.564)/0.2))*D18/1000+K17*inputs!$C$53</f>
        <v>17.457215023079925</v>
      </c>
      <c r="L18" s="7">
        <f>(((0.648*20^0.651)/0.2))*H18/20+L17*inputs!$C$54</f>
        <v>59.72879506497712</v>
      </c>
      <c r="M18" s="7">
        <f>(((0.013*2^0.773)/0.2))*H18/2+M17*inputs!$C$54</f>
        <v>2.9125793061608407</v>
      </c>
      <c r="N18" s="7">
        <f>O18*0.015*inputs!$C$56</f>
        <v>6.1534771283161156</v>
      </c>
      <c r="O18" s="7">
        <f>IF((B18&gt;B17), (EXP(-LN(2)/inputs!$C$52)*O17+$O$3), (EXP(-LN(2)/inputs!$C$52)*O17))</f>
        <v>0.66380551546020672</v>
      </c>
      <c r="P18" s="3">
        <f>IF((B18&gt;B17), (EXP(-LN(2)/inputs!$C$52)*P17+$P$3), (EXP(-LN(2)/inputs!$C$52)*P17))</f>
        <v>0.64143853643419102</v>
      </c>
      <c r="Q18" s="19">
        <f>IF((F18*0.62*1/(0.012*(10^inputs!$C$55)))&gt;inputs!$C$57, inputs!$C$57, (F18*0.62*1/(0.012*(10^inputs!$C$55))))</f>
        <v>0.46633045676201862</v>
      </c>
      <c r="R18" s="3">
        <f>IF((B18&gt;B17), (EXP(-LN(2)/inputs!$C$51)*R17+$R$3), (EXP(-LN(2)/inputs!$C$51)*R17))</f>
        <v>1.083492757396058E-6</v>
      </c>
      <c r="T18" s="7">
        <f>IF(T17&lt;(inputs!$C$20-1),(1+T17),0)</f>
        <v>0</v>
      </c>
      <c r="U18" s="7">
        <f>IF(inputs!$C$19&gt;U17,IF(T17=(inputs!$C$20-1),(U17+1),U17), U17)</f>
        <v>1</v>
      </c>
      <c r="V18" s="7">
        <f t="shared" si="0"/>
        <v>15</v>
      </c>
      <c r="W18" s="8">
        <f>IF((U18&gt;U17), (EXP(-LN(2)/inputs!$C$51)*W17+$W$3), (EXP(-LN(2)/inputs!$C$51)*W17))</f>
        <v>35.856549484083061</v>
      </c>
      <c r="X18" s="8">
        <f>IF((U18&gt;U17), (EXP(-LN(2)/inputs!$C$51)*X17+$X$3), (EXP(-LN(2)/inputs!$C$51)*X17))</f>
        <v>15.186303310905764</v>
      </c>
      <c r="Y18" s="8">
        <f>IF((U18&gt;U17), (EXP(-LN(2)/inputs!$C$51)*Y17+$Y$3), (EXP(-LN(2)/inputs!$C$51)*Y17))</f>
        <v>18.982879138632207</v>
      </c>
      <c r="Z18" s="8">
        <f>IF((U18&gt;U17), (EXP(-LN(2)/inputs!$C$51)*Z17+$Z$3), (EXP(-LN(2)/inputs!$C$51)*Z17))</f>
        <v>2.9528923104538984</v>
      </c>
      <c r="AA18" s="8">
        <f>IF((U18&gt;U17), (EXP(-LN(2)/inputs!$C$51)*AA17+$AA$3), (EXP(-LN(2)/inputs!$C$51)*AA17))</f>
        <v>27.419714311357634</v>
      </c>
      <c r="AB18" s="7">
        <f>(((0.621*15^0.564)/0.2))*W18/15+AB17*inputs!$C$53</f>
        <v>38.583965116321259</v>
      </c>
      <c r="AC18" s="7">
        <f>(((0.621*1000^0.564)/0.2))*W18/1000+AC17*inputs!$C$53</f>
        <v>6.1827636540074744</v>
      </c>
      <c r="AD18" s="7">
        <f>(((0.648*20^0.651)/0.2))*AA18/20+AD17*inputs!$C$54</f>
        <v>41.301826374718239</v>
      </c>
      <c r="AE18" s="7">
        <f>(((0.013*2^0.773)/0.2))*AA18/2+AE17*inputs!$C$54</f>
        <v>2.0140176053239864</v>
      </c>
    </row>
    <row r="19" spans="1:31" x14ac:dyDescent="0.3">
      <c r="A19" s="7">
        <f>IF(A18&lt;(inputs!$C$20-1),(1+A18),0)</f>
        <v>0</v>
      </c>
      <c r="B19" s="7">
        <f>IF(inputs!$C$19&gt;B18,IF(A18=(inputs!$C$20-1),(B18+1),B18), B18)</f>
        <v>1</v>
      </c>
      <c r="C19" s="7">
        <f t="shared" si="1"/>
        <v>16</v>
      </c>
      <c r="D19" s="8">
        <f>IF((B19&gt;B18), (EXP(-LN(2)/inputs!$C$51)*D18+$D$3), (EXP(-LN(2)/inputs!$C$51)*D18))</f>
        <v>88.830621000161884</v>
      </c>
      <c r="E19" s="8">
        <f>IF((B19&gt;B18), (EXP(-LN(2)/inputs!$C$51)*E18+$E$3), (EXP(-LN(2)/inputs!$C$51)*E18))</f>
        <v>40.714034625074198</v>
      </c>
      <c r="F19" s="8">
        <f>IF((B19&gt;B18), (EXP(-LN(2)/inputs!$C$51)*F18+$F$3), (EXP(-LN(2)/inputs!$C$51)*F18))</f>
        <v>49.967224312591057</v>
      </c>
      <c r="G19" s="8">
        <f>IF((B19&gt;B18), (EXP(-LN(2)/inputs!$C$51)*G18+$G$3), (EXP(-LN(2)/inputs!$C$51)*G18))</f>
        <v>5.5519138125101177</v>
      </c>
      <c r="H19" s="8">
        <f>IF((B19&gt;B18), (EXP(-LN(2)/inputs!$C$51)*H18+$H$3), (EXP(-LN(2)/inputs!$C$51)*H18))</f>
        <v>34.791993225063393</v>
      </c>
      <c r="I19" s="7">
        <f>O19*(10^inputs!$C$55)*0.01/1</f>
        <v>41.038079944745988</v>
      </c>
      <c r="J19" s="7">
        <f>(((0.621*15^0.564)/0.2))*D19/15+J18*inputs!$C$53</f>
        <v>95.58749046538523</v>
      </c>
      <c r="K19" s="7">
        <f>(((0.621*1000^0.564)/0.2))*D19/1000+K18*inputs!$C$53</f>
        <v>15.317110619540118</v>
      </c>
      <c r="L19" s="7">
        <f>(((0.648*20^0.651)/0.2))*H19/20+L18*inputs!$C$54</f>
        <v>52.406558553642796</v>
      </c>
      <c r="M19" s="7">
        <f>(((0.013*2^0.773)/0.2))*H19/2+M18*inputs!$C$54</f>
        <v>2.5555221360885643</v>
      </c>
      <c r="N19" s="7">
        <f>O19*0.015*inputs!$C$56</f>
        <v>6.0292982467967295</v>
      </c>
      <c r="O19" s="7">
        <f>IF((B19&gt;B18), (EXP(-LN(2)/inputs!$C$52)*O18+$O$3), (EXP(-LN(2)/inputs!$C$52)*O18))</f>
        <v>0.65040973536102809</v>
      </c>
      <c r="P19" s="3">
        <f>IF((B19&gt;B18), (EXP(-LN(2)/inputs!$C$52)*P18+$P$3), (EXP(-LN(2)/inputs!$C$52)*P18))</f>
        <v>0.62849412819851336</v>
      </c>
      <c r="Q19" s="19">
        <f>IF((F19*0.62*1/(0.012*(10^inputs!$C$55)))&gt;inputs!$C$57, inputs!$C$57, (F19*0.62*1/(0.012*(10^inputs!$C$55))))</f>
        <v>0.40916235390588179</v>
      </c>
      <c r="R19" s="3">
        <f>IF((B19&gt;B18), (EXP(-LN(2)/inputs!$C$51)*R18+$R$3), (EXP(-LN(2)/inputs!$C$51)*R18))</f>
        <v>9.5066586500565269E-7</v>
      </c>
      <c r="T19" s="7">
        <f>IF(T18&lt;(inputs!$C$20-1),(1+T18),0)</f>
        <v>0</v>
      </c>
      <c r="U19" s="7">
        <f>IF(inputs!$C$19&gt;U18,IF(T18=(inputs!$C$20-1),(U18+1),U18), U18)</f>
        <v>1</v>
      </c>
      <c r="V19" s="7">
        <f t="shared" si="0"/>
        <v>16</v>
      </c>
      <c r="W19" s="8">
        <f>IF((U19&gt;U18), (EXP(-LN(2)/inputs!$C$51)*W18+$W$3), (EXP(-LN(2)/inputs!$C$51)*W18))</f>
        <v>31.46084493755734</v>
      </c>
      <c r="X19" s="8">
        <f>IF((U19&gt;U18), (EXP(-LN(2)/inputs!$C$51)*X18+$X$3), (EXP(-LN(2)/inputs!$C$51)*X18))</f>
        <v>13.324593150024283</v>
      </c>
      <c r="Y19" s="8">
        <f>IF((U19&gt;U18), (EXP(-LN(2)/inputs!$C$51)*Y18+$Y$3), (EXP(-LN(2)/inputs!$C$51)*Y18))</f>
        <v>16.655741437530356</v>
      </c>
      <c r="Z19" s="8">
        <f>IF((U19&gt;U18), (EXP(-LN(2)/inputs!$C$51)*Z18+$Z$3), (EXP(-LN(2)/inputs!$C$51)*Z18))</f>
        <v>2.5908931125047214</v>
      </c>
      <c r="AA19" s="8">
        <f>IF((U19&gt;U18), (EXP(-LN(2)/inputs!$C$51)*AA18+$AA$3), (EXP(-LN(2)/inputs!$C$51)*AA18))</f>
        <v>24.058293187543846</v>
      </c>
      <c r="AB19" s="7">
        <f>(((0.621*15^0.564)/0.2))*W19/15+AB18*inputs!$C$53</f>
        <v>33.853902873157281</v>
      </c>
      <c r="AC19" s="7">
        <f>(((0.621*1000^0.564)/0.2))*W19/1000+AC18*inputs!$C$53</f>
        <v>5.4248100110871267</v>
      </c>
      <c r="AD19" s="7">
        <f>(((0.648*20^0.651)/0.2))*AA19/20+AD18*inputs!$C$54</f>
        <v>36.238577723263653</v>
      </c>
      <c r="AE19" s="7">
        <f>(((0.013*2^0.773)/0.2))*AA19/2+AE18*inputs!$C$54</f>
        <v>1.7671163706995399</v>
      </c>
    </row>
    <row r="20" spans="1:31" x14ac:dyDescent="0.3">
      <c r="A20" s="7">
        <f>IF(A19&lt;(inputs!$C$20-1),(1+A19),0)</f>
        <v>0</v>
      </c>
      <c r="B20" s="7">
        <f>IF(inputs!$C$19&gt;B19,IF(A19=(inputs!$C$20-1),(B19+1),B19), B19)</f>
        <v>1</v>
      </c>
      <c r="C20" s="7">
        <f t="shared" si="1"/>
        <v>17</v>
      </c>
      <c r="D20" s="8">
        <f>IF((B20&gt;B19), (EXP(-LN(2)/inputs!$C$51)*D19+$D$3), (EXP(-LN(2)/inputs!$C$51)*D19))</f>
        <v>77.94075094240722</v>
      </c>
      <c r="E20" s="8">
        <f>IF((B20&gt;B19), (EXP(-LN(2)/inputs!$C$51)*E19+$E$3), (EXP(-LN(2)/inputs!$C$51)*E19))</f>
        <v>35.722844181936644</v>
      </c>
      <c r="F20" s="8">
        <f>IF((B20&gt;B19), (EXP(-LN(2)/inputs!$C$51)*F19+$F$3), (EXP(-LN(2)/inputs!$C$51)*F19))</f>
        <v>43.841672405104056</v>
      </c>
      <c r="G20" s="8">
        <f>IF((B20&gt;B19), (EXP(-LN(2)/inputs!$C$51)*G19+$G$3), (EXP(-LN(2)/inputs!$C$51)*G19))</f>
        <v>4.8712969339004513</v>
      </c>
      <c r="H20" s="8">
        <f>IF((B20&gt;B19), (EXP(-LN(2)/inputs!$C$51)*H19+$H$3), (EXP(-LN(2)/inputs!$C$51)*H19))</f>
        <v>30.526794119109482</v>
      </c>
      <c r="I20" s="7">
        <f>O20*(10^inputs!$C$55)*0.01/1</f>
        <v>40.209920066846813</v>
      </c>
      <c r="J20" s="7">
        <f>(((0.621*15^0.564)/0.2))*D20/15+J19*inputs!$C$53</f>
        <v>83.869286330428096</v>
      </c>
      <c r="K20" s="7">
        <f>(((0.621*1000^0.564)/0.2))*D20/1000+K19*inputs!$C$53</f>
        <v>13.439364607759542</v>
      </c>
      <c r="L20" s="7">
        <f>(((0.648*20^0.651)/0.2))*H20/20+L19*inputs!$C$54</f>
        <v>45.981965251473731</v>
      </c>
      <c r="M20" s="7">
        <f>(((0.013*2^0.773)/0.2))*H20/2+M19*inputs!$C$54</f>
        <v>2.242237103600619</v>
      </c>
      <c r="N20" s="7">
        <f>O20*0.015*inputs!$C$56</f>
        <v>5.9076253296766339</v>
      </c>
      <c r="O20" s="7">
        <f>IF((B20&gt;B19), (EXP(-LN(2)/inputs!$C$52)*O19+$O$3), (EXP(-LN(2)/inputs!$C$52)*O19))</f>
        <v>0.63728428583350971</v>
      </c>
      <c r="P20" s="3">
        <f>IF((B20&gt;B19), (EXP(-LN(2)/inputs!$C$52)*P19+$P$3), (EXP(-LN(2)/inputs!$C$52)*P19))</f>
        <v>0.61581094172463269</v>
      </c>
      <c r="Q20" s="19">
        <f>IF((F20*0.62*1/(0.012*(10^inputs!$C$55)))&gt;inputs!$C$57, inputs!$C$57, (F20*0.62*1/(0.012*(10^inputs!$C$55))))</f>
        <v>0.35900256872829128</v>
      </c>
      <c r="R20" s="3">
        <f>IF((B20&gt;B19), (EXP(-LN(2)/inputs!$C$51)*R19+$R$3), (EXP(-LN(2)/inputs!$C$51)*R19))</f>
        <v>8.341224071113796E-7</v>
      </c>
      <c r="T20" s="7">
        <f>IF(T19&lt;(inputs!$C$20-1),(1+T19),0)</f>
        <v>0</v>
      </c>
      <c r="U20" s="7">
        <f>IF(inputs!$C$19&gt;U19,IF(T19=(inputs!$C$20-1),(U19+1),U19), U19)</f>
        <v>1</v>
      </c>
      <c r="V20" s="7">
        <f t="shared" si="0"/>
        <v>17</v>
      </c>
      <c r="W20" s="8">
        <f>IF((U20&gt;U19), (EXP(-LN(2)/inputs!$C$51)*W19+$W$3), (EXP(-LN(2)/inputs!$C$51)*W19))</f>
        <v>27.604015958769228</v>
      </c>
      <c r="X20" s="8">
        <f>IF((U20&gt;U19), (EXP(-LN(2)/inputs!$C$51)*X19+$X$3), (EXP(-LN(2)/inputs!$C$51)*X19))</f>
        <v>11.691112641361082</v>
      </c>
      <c r="Y20" s="8">
        <f>IF((U20&gt;U19), (EXP(-LN(2)/inputs!$C$51)*Y19+$Y$3), (EXP(-LN(2)/inputs!$C$51)*Y19))</f>
        <v>14.613890801701356</v>
      </c>
      <c r="Z20" s="8">
        <f>IF((U20&gt;U19), (EXP(-LN(2)/inputs!$C$51)*Z19+$Z$3), (EXP(-LN(2)/inputs!$C$51)*Z19))</f>
        <v>2.273271902486877</v>
      </c>
      <c r="AA20" s="8">
        <f>IF((U20&gt;U19), (EXP(-LN(2)/inputs!$C$51)*AA19+$AA$3), (EXP(-LN(2)/inputs!$C$51)*AA19))</f>
        <v>21.108953380235288</v>
      </c>
      <c r="AB20" s="7">
        <f>(((0.621*15^0.564)/0.2))*W20/15+AB19*inputs!$C$53</f>
        <v>29.703705575359958</v>
      </c>
      <c r="AC20" s="7">
        <f>(((0.621*1000^0.564)/0.2))*W20/1000+AC19*inputs!$C$53</f>
        <v>4.7597749652481722</v>
      </c>
      <c r="AD20" s="7">
        <f>(((0.648*20^0.651)/0.2))*AA20/20+AD19*inputs!$C$54</f>
        <v>31.796039801550997</v>
      </c>
      <c r="AE20" s="7">
        <f>(((0.013*2^0.773)/0.2))*AA20/2+AE19*inputs!$C$54</f>
        <v>1.5504831035536202</v>
      </c>
    </row>
    <row r="21" spans="1:31" x14ac:dyDescent="0.3">
      <c r="A21" s="7">
        <f>IF(A20&lt;(inputs!$C$20-1),(1+A20),0)</f>
        <v>0</v>
      </c>
      <c r="B21" s="7">
        <f>IF(inputs!$C$19&gt;B20,IF(A20=(inputs!$C$20-1),(B20+1),B20), B20)</f>
        <v>1</v>
      </c>
      <c r="C21" s="7">
        <f t="shared" si="1"/>
        <v>18</v>
      </c>
      <c r="D21" s="8">
        <f>IF((B21&gt;B20), (EXP(-LN(2)/inputs!$C$51)*D20+$D$3), (EXP(-LN(2)/inputs!$C$51)*D20))</f>
        <v>68.385885284481816</v>
      </c>
      <c r="E21" s="8">
        <f>IF((B21&gt;B20), (EXP(-LN(2)/inputs!$C$51)*E20+$E$3), (EXP(-LN(2)/inputs!$C$51)*E20))</f>
        <v>31.343530755387498</v>
      </c>
      <c r="F21" s="8">
        <f>IF((B21&gt;B20), (EXP(-LN(2)/inputs!$C$51)*F20+$F$3), (EXP(-LN(2)/inputs!$C$51)*F20))</f>
        <v>38.467060472521013</v>
      </c>
      <c r="G21" s="8">
        <f>IF((B21&gt;B20), (EXP(-LN(2)/inputs!$C$51)*G20+$G$3), (EXP(-LN(2)/inputs!$C$51)*G20))</f>
        <v>4.2741178302801135</v>
      </c>
      <c r="H21" s="8">
        <f>IF((B21&gt;B20), (EXP(-LN(2)/inputs!$C$51)*H20+$H$3), (EXP(-LN(2)/inputs!$C$51)*H20))</f>
        <v>26.784471736422031</v>
      </c>
      <c r="I21" s="7">
        <f>O21*(10^inputs!$C$55)*0.01/1</f>
        <v>39.398472685835529</v>
      </c>
      <c r="J21" s="7">
        <f>(((0.621*15^0.564)/0.2))*D21/15+J20*inputs!$C$53</f>
        <v>73.587633228247071</v>
      </c>
      <c r="K21" s="7">
        <f>(((0.621*1000^0.564)/0.2))*D21/1000+K20*inputs!$C$53</f>
        <v>11.791814105585052</v>
      </c>
      <c r="L21" s="7">
        <f>(((0.648*20^0.651)/0.2))*H21/20+L20*inputs!$C$54</f>
        <v>40.344971825945962</v>
      </c>
      <c r="M21" s="7">
        <f>(((0.013*2^0.773)/0.2))*H21/2+M20*inputs!$C$54</f>
        <v>1.9673581213225395</v>
      </c>
      <c r="N21" s="7">
        <f>O21*0.015*inputs!$C$56</f>
        <v>5.7884078058966146</v>
      </c>
      <c r="O21" s="7">
        <f>IF((B21&gt;B20), (EXP(-LN(2)/inputs!$C$52)*O20+$O$3), (EXP(-LN(2)/inputs!$C$52)*O20))</f>
        <v>0.62442371153145793</v>
      </c>
      <c r="P21" s="3">
        <f>IF((B21&gt;B20), (EXP(-LN(2)/inputs!$C$52)*P20+$P$3), (EXP(-LN(2)/inputs!$C$52)*P20))</f>
        <v>0.60338370548467446</v>
      </c>
      <c r="Q21" s="19">
        <f>IF((F21*0.62*1/(0.012*(10^inputs!$C$55)))&gt;inputs!$C$57, inputs!$C$57, (F21*0.62*1/(0.012*(10^inputs!$C$55))))</f>
        <v>0.31499194176392381</v>
      </c>
      <c r="R21" s="3">
        <f>IF((B21&gt;B20), (EXP(-LN(2)/inputs!$C$51)*R20+$R$3), (EXP(-LN(2)/inputs!$C$51)*R20))</f>
        <v>7.3186617470602572E-7</v>
      </c>
      <c r="T21" s="7">
        <f>IF(T20&lt;(inputs!$C$20-1),(1+T20),0)</f>
        <v>0</v>
      </c>
      <c r="U21" s="7">
        <f>IF(inputs!$C$19&gt;U20,IF(T20=(inputs!$C$20-1),(U20+1),U20), U20)</f>
        <v>1</v>
      </c>
      <c r="V21" s="7">
        <f t="shared" si="0"/>
        <v>18</v>
      </c>
      <c r="W21" s="8">
        <f>IF((U21&gt;U20), (EXP(-LN(2)/inputs!$C$51)*W20+$W$3), (EXP(-LN(2)/inputs!$C$51)*W20))</f>
        <v>24.220001038253979</v>
      </c>
      <c r="X21" s="8">
        <f>IF((U21&gt;U20), (EXP(-LN(2)/inputs!$C$51)*X20+$X$3), (EXP(-LN(2)/inputs!$C$51)*X20))</f>
        <v>10.257882792672271</v>
      </c>
      <c r="Y21" s="8">
        <f>IF((U21&gt;U20), (EXP(-LN(2)/inputs!$C$51)*Y20+$Y$3), (EXP(-LN(2)/inputs!$C$51)*Y20))</f>
        <v>12.82235349084034</v>
      </c>
      <c r="Z21" s="8">
        <f>IF((U21&gt;U20), (EXP(-LN(2)/inputs!$C$51)*Z20+$Z$3), (EXP(-LN(2)/inputs!$C$51)*Z20))</f>
        <v>1.994588320797386</v>
      </c>
      <c r="AA21" s="8">
        <f>IF((U21&gt;U20), (EXP(-LN(2)/inputs!$C$51)*AA20+$AA$3), (EXP(-LN(2)/inputs!$C$51)*AA20))</f>
        <v>18.521177264547156</v>
      </c>
      <c r="AB21" s="7">
        <f>(((0.621*15^0.564)/0.2))*W21/15+AB20*inputs!$C$53</f>
        <v>26.062286768337511</v>
      </c>
      <c r="AC21" s="7">
        <f>(((0.621*1000^0.564)/0.2))*W21/1000+AC20*inputs!$C$53</f>
        <v>4.1762674957280401</v>
      </c>
      <c r="AD21" s="7">
        <f>(((0.648*20^0.651)/0.2))*AA21/20+AD20*inputs!$C$54</f>
        <v>27.89811881581371</v>
      </c>
      <c r="AE21" s="7">
        <f>(((0.013*2^0.773)/0.2))*AA21/2+AE20*inputs!$C$54</f>
        <v>1.3604072115528203</v>
      </c>
    </row>
    <row r="22" spans="1:31" x14ac:dyDescent="0.3">
      <c r="A22" s="7">
        <f>IF(A21&lt;(inputs!$C$20-1),(1+A21),0)</f>
        <v>0</v>
      </c>
      <c r="B22" s="7">
        <f>IF(inputs!$C$19&gt;B21,IF(A21=(inputs!$C$20-1),(B21+1),B21), B21)</f>
        <v>1</v>
      </c>
      <c r="C22" s="7">
        <f t="shared" si="1"/>
        <v>19</v>
      </c>
      <c r="D22" s="8">
        <f>IF((B22&gt;B21), (EXP(-LN(2)/inputs!$C$51)*D21+$D$3), (EXP(-LN(2)/inputs!$C$51)*D21))</f>
        <v>60.002363970011132</v>
      </c>
      <c r="E22" s="8">
        <f>IF((B22&gt;B21), (EXP(-LN(2)/inputs!$C$51)*E21+$E$3), (EXP(-LN(2)/inputs!$C$51)*E21))</f>
        <v>27.501083486255101</v>
      </c>
      <c r="F22" s="8">
        <f>IF((B22&gt;B21), (EXP(-LN(2)/inputs!$C$51)*F21+$F$3), (EXP(-LN(2)/inputs!$C$51)*F21))</f>
        <v>33.751329733131257</v>
      </c>
      <c r="G22" s="8">
        <f>IF((B22&gt;B21), (EXP(-LN(2)/inputs!$C$51)*G21+$G$3), (EXP(-LN(2)/inputs!$C$51)*G21))</f>
        <v>3.7501477481256957</v>
      </c>
      <c r="H22" s="8">
        <f>IF((B22&gt;B21), (EXP(-LN(2)/inputs!$C$51)*H21+$H$3), (EXP(-LN(2)/inputs!$C$51)*H21))</f>
        <v>23.500925888254347</v>
      </c>
      <c r="I22" s="7">
        <f>O22*(10^inputs!$C$55)*0.01/1</f>
        <v>38.60340053887235</v>
      </c>
      <c r="J22" s="7">
        <f>(((0.621*15^0.564)/0.2))*D22/15+J21*inputs!$C$53</f>
        <v>64.566422358722022</v>
      </c>
      <c r="K22" s="7">
        <f>(((0.621*1000^0.564)/0.2))*D22/1000+K21*inputs!$C$53</f>
        <v>10.346239123566342</v>
      </c>
      <c r="L22" s="7">
        <f>(((0.648*20^0.651)/0.2))*H22/20+L21*inputs!$C$54</f>
        <v>35.399025307547596</v>
      </c>
      <c r="M22" s="7">
        <f>(((0.013*2^0.773)/0.2))*H22/2+M21*inputs!$C$54</f>
        <v>1.7261769378884173</v>
      </c>
      <c r="N22" s="7">
        <f>O22*0.015*inputs!$C$56</f>
        <v>5.6715961249355091</v>
      </c>
      <c r="O22" s="7">
        <f>IF((B22&gt;B21), (EXP(-LN(2)/inputs!$C$52)*O21+$O$3), (EXP(-LN(2)/inputs!$C$52)*O21))</f>
        <v>0.61182266719908407</v>
      </c>
      <c r="P22" s="3">
        <f>IF((B22&gt;B21), (EXP(-LN(2)/inputs!$C$52)*P21+$P$3), (EXP(-LN(2)/inputs!$C$52)*P21))</f>
        <v>0.59120725433166388</v>
      </c>
      <c r="Q22" s="19">
        <f>IF((F22*0.62*1/(0.012*(10^inputs!$C$55)))&gt;inputs!$C$57, inputs!$C$57, (F22*0.62*1/(0.012*(10^inputs!$C$55))))</f>
        <v>0.27637663910784188</v>
      </c>
      <c r="R22" s="3">
        <f>IF((B22&gt;B21), (EXP(-LN(2)/inputs!$C$51)*R21+$R$3), (EXP(-LN(2)/inputs!$C$51)*R21))</f>
        <v>6.4214567683626446E-7</v>
      </c>
      <c r="T22" s="7">
        <f>IF(T21&lt;(inputs!$C$20-1),(1+T21),0)</f>
        <v>0</v>
      </c>
      <c r="U22" s="7">
        <f>IF(inputs!$C$19&gt;U21,IF(T21=(inputs!$C$20-1),(U21+1),U21), U21)</f>
        <v>1</v>
      </c>
      <c r="V22" s="7">
        <f t="shared" si="0"/>
        <v>19</v>
      </c>
      <c r="W22" s="8">
        <f>IF((U22&gt;U21), (EXP(-LN(2)/inputs!$C$51)*W21+$W$3), (EXP(-LN(2)/inputs!$C$51)*W21))</f>
        <v>21.250837239378946</v>
      </c>
      <c r="X22" s="8">
        <f>IF((U22&gt;U21), (EXP(-LN(2)/inputs!$C$51)*X21+$X$3), (EXP(-LN(2)/inputs!$C$51)*X21))</f>
        <v>9.0003545955016691</v>
      </c>
      <c r="Y22" s="8">
        <f>IF((U22&gt;U21), (EXP(-LN(2)/inputs!$C$51)*Y21+$Y$3), (EXP(-LN(2)/inputs!$C$51)*Y21))</f>
        <v>11.250443244377088</v>
      </c>
      <c r="Z22" s="8">
        <f>IF((U22&gt;U21), (EXP(-LN(2)/inputs!$C$51)*Z21+$Z$3), (EXP(-LN(2)/inputs!$C$51)*Z21))</f>
        <v>1.7500689491253245</v>
      </c>
      <c r="AA22" s="8">
        <f>IF((U22&gt;U21), (EXP(-LN(2)/inputs!$C$51)*AA21+$AA$3), (EXP(-LN(2)/inputs!$C$51)*AA21))</f>
        <v>16.250640241878013</v>
      </c>
      <c r="AB22" s="7">
        <f>(((0.621*15^0.564)/0.2))*W22/15+AB21*inputs!$C$53</f>
        <v>22.86727458538072</v>
      </c>
      <c r="AC22" s="7">
        <f>(((0.621*1000^0.564)/0.2))*W22/1000+AC21*inputs!$C$53</f>
        <v>3.6642930229297472</v>
      </c>
      <c r="AD22" s="7">
        <f>(((0.648*20^0.651)/0.2))*AA22/20+AD21*inputs!$C$54</f>
        <v>24.478049414793563</v>
      </c>
      <c r="AE22" s="7">
        <f>(((0.013*2^0.773)/0.2))*AA22/2+AE21*inputs!$C$54</f>
        <v>1.1936329889653954</v>
      </c>
    </row>
    <row r="23" spans="1:31" x14ac:dyDescent="0.3">
      <c r="A23" s="7">
        <f>IF(A22&lt;(inputs!$C$20-1),(1+A22),0)</f>
        <v>0</v>
      </c>
      <c r="B23" s="7">
        <f>IF(inputs!$C$19&gt;B22,IF(A22=(inputs!$C$20-1),(B22+1),B22), B22)</f>
        <v>1</v>
      </c>
      <c r="C23" s="7">
        <f t="shared" si="1"/>
        <v>20</v>
      </c>
      <c r="D23" s="8">
        <f>IF((B23&gt;B22), (EXP(-LN(2)/inputs!$C$51)*D22+$D$3), (EXP(-LN(2)/inputs!$C$51)*D22))</f>
        <v>52.64659025780967</v>
      </c>
      <c r="E23" s="8">
        <f>IF((B23&gt;B22), (EXP(-LN(2)/inputs!$C$51)*E22+$E$3), (EXP(-LN(2)/inputs!$C$51)*E22))</f>
        <v>24.1296872014961</v>
      </c>
      <c r="F23" s="8">
        <f>IF((B23&gt;B22), (EXP(-LN(2)/inputs!$C$51)*F22+$F$3), (EXP(-LN(2)/inputs!$C$51)*F22))</f>
        <v>29.613707020017937</v>
      </c>
      <c r="G23" s="8">
        <f>IF((B23&gt;B22), (EXP(-LN(2)/inputs!$C$51)*G22+$G$3), (EXP(-LN(2)/inputs!$C$51)*G22))</f>
        <v>3.2904118911131044</v>
      </c>
      <c r="H23" s="8">
        <f>IF((B23&gt;B22), (EXP(-LN(2)/inputs!$C$51)*H22+$H$3), (EXP(-LN(2)/inputs!$C$51)*H22))</f>
        <v>20.619914517642108</v>
      </c>
      <c r="I23" s="7">
        <f>O23*(10^inputs!$C$55)*0.01/1</f>
        <v>37.824373169175466</v>
      </c>
      <c r="J23" s="7">
        <f>(((0.621*15^0.564)/0.2))*D23/15+J22*inputs!$C$53</f>
        <v>56.651134345827153</v>
      </c>
      <c r="K23" s="7">
        <f>(((0.621*1000^0.564)/0.2))*D23/1000+K22*inputs!$C$53</f>
        <v>9.0778792002253859</v>
      </c>
      <c r="L23" s="7">
        <f>(((0.648*20^0.651)/0.2))*H23/20+L22*inputs!$C$54</f>
        <v>31.059409289682513</v>
      </c>
      <c r="M23" s="7">
        <f>(((0.013*2^0.773)/0.2))*H23/2+M22*inputs!$C$54</f>
        <v>1.5145624930202786</v>
      </c>
      <c r="N23" s="7">
        <f>O23*0.015*inputs!$C$56</f>
        <v>5.5571417362154678</v>
      </c>
      <c r="O23" s="7">
        <f>IF((B23&gt;B22), (EXP(-LN(2)/inputs!$C$52)*O22+$O$3), (EXP(-LN(2)/inputs!$C$52)*O22))</f>
        <v>0.59947591544934931</v>
      </c>
      <c r="P23" s="3">
        <f>IF((B23&gt;B22), (EXP(-LN(2)/inputs!$C$52)*P22+$P$3), (EXP(-LN(2)/inputs!$C$52)*P22))</f>
        <v>0.57927652735273016</v>
      </c>
      <c r="Q23" s="19">
        <f>IF((F23*0.62*1/(0.012*(10^inputs!$C$55)))&gt;inputs!$C$57, inputs!$C$57, (F23*0.62*1/(0.012*(10^inputs!$C$55))))</f>
        <v>0.2424952404077487</v>
      </c>
      <c r="R23" s="3">
        <f>IF((B23&gt;B22), (EXP(-LN(2)/inputs!$C$51)*R22+$R$3), (EXP(-LN(2)/inputs!$C$51)*R22))</f>
        <v>5.6342414027419206E-7</v>
      </c>
      <c r="T23" s="7">
        <f>IF(T22&lt;(inputs!$C$20-1),(1+T22),0)</f>
        <v>0</v>
      </c>
      <c r="U23" s="7">
        <f>IF(inputs!$C$19&gt;U22,IF(T22=(inputs!$C$20-1),(U22+1),U22), U22)</f>
        <v>1</v>
      </c>
      <c r="V23" s="7">
        <f t="shared" si="0"/>
        <v>20</v>
      </c>
      <c r="W23" s="8">
        <f>IF((U23&gt;U22), (EXP(-LN(2)/inputs!$C$51)*W22+$W$3), (EXP(-LN(2)/inputs!$C$51)*W22))</f>
        <v>18.64566738297426</v>
      </c>
      <c r="X23" s="8">
        <f>IF((U23&gt;U22), (EXP(-LN(2)/inputs!$C$51)*X22+$X$3), (EXP(-LN(2)/inputs!$C$51)*X22))</f>
        <v>7.89698853867145</v>
      </c>
      <c r="Y23" s="8">
        <f>IF((U23&gt;U22), (EXP(-LN(2)/inputs!$C$51)*Y22+$Y$3), (EXP(-LN(2)/inputs!$C$51)*Y22))</f>
        <v>9.8712356733393136</v>
      </c>
      <c r="Z23" s="8">
        <f>IF((U23&gt;U22), (EXP(-LN(2)/inputs!$C$51)*Z22+$Z$3), (EXP(-LN(2)/inputs!$C$51)*Z22))</f>
        <v>1.5355255491861153</v>
      </c>
      <c r="AA23" s="8">
        <f>IF((U23&gt;U22), (EXP(-LN(2)/inputs!$C$51)*AA22+$AA$3), (EXP(-LN(2)/inputs!$C$51)*AA22))</f>
        <v>14.258451528156785</v>
      </c>
      <c r="AB23" s="7">
        <f>(((0.621*15^0.564)/0.2))*W23/15+AB22*inputs!$C$53</f>
        <v>20.063943414147118</v>
      </c>
      <c r="AC23" s="7">
        <f>(((0.621*1000^0.564)/0.2))*W23/1000+AC22*inputs!$C$53</f>
        <v>3.2150822167464908</v>
      </c>
      <c r="AD23" s="7">
        <f>(((0.648*20^0.651)/0.2))*AA23/20+AD22*inputs!$C$54</f>
        <v>21.477251104567706</v>
      </c>
      <c r="AE23" s="7">
        <f>(((0.013*2^0.773)/0.2))*AA23/2+AE22*inputs!$C$54</f>
        <v>1.0473038515565762</v>
      </c>
    </row>
    <row r="24" spans="1:31" x14ac:dyDescent="0.3">
      <c r="A24" s="7">
        <f>IF(A23&lt;(inputs!$C$20-1),(1+A23),0)</f>
        <v>0</v>
      </c>
      <c r="B24" s="7">
        <f>IF(inputs!$C$19&gt;B23,IF(A23=(inputs!$C$20-1),(B23+1),B23), B23)</f>
        <v>1</v>
      </c>
      <c r="C24" s="7">
        <f t="shared" si="1"/>
        <v>21</v>
      </c>
      <c r="D24" s="8">
        <f>IF((B24&gt;B23), (EXP(-LN(2)/inputs!$C$51)*D23+$D$3), (EXP(-LN(2)/inputs!$C$51)*D23))</f>
        <v>46.192571132013448</v>
      </c>
      <c r="E24" s="8">
        <f>IF((B24&gt;B23), (EXP(-LN(2)/inputs!$C$51)*E23+$E$3), (EXP(-LN(2)/inputs!$C$51)*E23))</f>
        <v>21.171595102172834</v>
      </c>
      <c r="F24" s="8">
        <f>IF((B24&gt;B23), (EXP(-LN(2)/inputs!$C$51)*F23+$F$3), (EXP(-LN(2)/inputs!$C$51)*F23))</f>
        <v>25.983321261757563</v>
      </c>
      <c r="G24" s="8">
        <f>IF((B24&gt;B23), (EXP(-LN(2)/inputs!$C$51)*G23+$G$3), (EXP(-LN(2)/inputs!$C$51)*G23))</f>
        <v>2.8870356957508405</v>
      </c>
      <c r="H24" s="8">
        <f>IF((B24&gt;B23), (EXP(-LN(2)/inputs!$C$51)*H23+$H$3), (EXP(-LN(2)/inputs!$C$51)*H23))</f>
        <v>18.09209036003859</v>
      </c>
      <c r="I24" s="7">
        <f>O24*(10^inputs!$C$55)*0.01/1</f>
        <v>37.061066788672939</v>
      </c>
      <c r="J24" s="7">
        <f>(((0.621*15^0.564)/0.2))*D24/15+J23*inputs!$C$53</f>
        <v>49.706192559938522</v>
      </c>
      <c r="K24" s="7">
        <f>(((0.621*1000^0.564)/0.2))*D24/1000+K23*inputs!$C$53</f>
        <v>7.9650092936841697</v>
      </c>
      <c r="L24" s="7">
        <f>(((0.648*20^0.651)/0.2))*H24/20+L23*inputs!$C$54</f>
        <v>27.251792868376661</v>
      </c>
      <c r="M24" s="7">
        <f>(((0.013*2^0.773)/0.2))*H24/2+M23*inputs!$C$54</f>
        <v>1.3288901588901629</v>
      </c>
      <c r="N24" s="7">
        <f>O24*0.015*inputs!$C$56</f>
        <v>5.4449970689228202</v>
      </c>
      <c r="O24" s="7">
        <f>IF((B24&gt;B23), (EXP(-LN(2)/inputs!$C$52)*O23+$O$3), (EXP(-LN(2)/inputs!$C$52)*O23))</f>
        <v>0.58737832458714345</v>
      </c>
      <c r="P24" s="3">
        <f>IF((B24&gt;B23), (EXP(-LN(2)/inputs!$C$52)*P23+$P$3), (EXP(-LN(2)/inputs!$C$52)*P23))</f>
        <v>0.56758656576563304</v>
      </c>
      <c r="Q24" s="19">
        <f>IF((F24*0.62*1/(0.012*(10^inputs!$C$55)))&gt;inputs!$C$57, inputs!$C$57, (F24*0.62*1/(0.012*(10^inputs!$C$55))))</f>
        <v>0.21276740975732975</v>
      </c>
      <c r="R24" s="3">
        <f>IF((B24&gt;B23), (EXP(-LN(2)/inputs!$C$51)*R23+$R$3), (EXP(-LN(2)/inputs!$C$51)*R23))</f>
        <v>4.94353186971086E-7</v>
      </c>
      <c r="T24" s="7">
        <f>IF(T23&lt;(inputs!$C$20-1),(1+T23),0)</f>
        <v>0</v>
      </c>
      <c r="U24" s="7">
        <f>IF(inputs!$C$19&gt;U23,IF(T23=(inputs!$C$20-1),(U23+1),U23), U23)</f>
        <v>1</v>
      </c>
      <c r="V24" s="7">
        <f t="shared" si="0"/>
        <v>21</v>
      </c>
      <c r="W24" s="8">
        <f>IF((U24&gt;U23), (EXP(-LN(2)/inputs!$C$51)*W23+$W$3), (EXP(-LN(2)/inputs!$C$51)*W23))</f>
        <v>16.359868942588097</v>
      </c>
      <c r="X24" s="8">
        <f>IF((U24&gt;U23), (EXP(-LN(2)/inputs!$C$51)*X23+$X$3), (EXP(-LN(2)/inputs!$C$51)*X23))</f>
        <v>6.9288856698020167</v>
      </c>
      <c r="Y24" s="8">
        <f>IF((U24&gt;U23), (EXP(-LN(2)/inputs!$C$51)*Y23+$Y$3), (EXP(-LN(2)/inputs!$C$51)*Y23))</f>
        <v>8.6611070872525229</v>
      </c>
      <c r="Z24" s="8">
        <f>IF((U24&gt;U23), (EXP(-LN(2)/inputs!$C$51)*Z23+$Z$3), (EXP(-LN(2)/inputs!$C$51)*Z23))</f>
        <v>1.3472833246837255</v>
      </c>
      <c r="AA24" s="8">
        <f>IF((U24&gt;U23), (EXP(-LN(2)/inputs!$C$51)*AA23+$AA$3), (EXP(-LN(2)/inputs!$C$51)*AA23))</f>
        <v>12.510488014920309</v>
      </c>
      <c r="AB24" s="7">
        <f>(((0.621*15^0.564)/0.2))*W24/15+AB23*inputs!$C$53</f>
        <v>17.604276531644896</v>
      </c>
      <c r="AC24" s="7">
        <f>(((0.621*1000^0.564)/0.2))*W24/1000+AC23*inputs!$C$53</f>
        <v>2.8209407915131433</v>
      </c>
      <c r="AD24" s="7">
        <f>(((0.648*20^0.651)/0.2))*AA24/20+AD23*inputs!$C$54</f>
        <v>18.844324855792379</v>
      </c>
      <c r="AE24" s="7">
        <f>(((0.013*2^0.773)/0.2))*AA24/2+AE23*inputs!$C$54</f>
        <v>0.91891340774319841</v>
      </c>
    </row>
    <row r="25" spans="1:31" x14ac:dyDescent="0.3">
      <c r="A25" s="7">
        <f>IF(A24&lt;(inputs!$C$20-1),(1+A24),0)</f>
        <v>0</v>
      </c>
      <c r="B25" s="7">
        <f>IF(inputs!$C$19&gt;B24,IF(A24=(inputs!$C$20-1),(B24+1),B24), B24)</f>
        <v>1</v>
      </c>
      <c r="C25" s="7">
        <f t="shared" si="1"/>
        <v>22</v>
      </c>
      <c r="D25" s="8">
        <f>IF((B25&gt;B24), (EXP(-LN(2)/inputs!$C$51)*D24+$D$3), (EXP(-LN(2)/inputs!$C$51)*D24))</f>
        <v>40.52975923677409</v>
      </c>
      <c r="E25" s="8">
        <f>IF((B25&gt;B24), (EXP(-LN(2)/inputs!$C$51)*E24+$E$3), (EXP(-LN(2)/inputs!$C$51)*E24))</f>
        <v>18.576139650188129</v>
      </c>
      <c r="F25" s="8">
        <f>IF((B25&gt;B24), (EXP(-LN(2)/inputs!$C$51)*F24+$F$3), (EXP(-LN(2)/inputs!$C$51)*F24))</f>
        <v>22.797989570685424</v>
      </c>
      <c r="G25" s="8">
        <f>IF((B25&gt;B24), (EXP(-LN(2)/inputs!$C$51)*G24+$G$3), (EXP(-LN(2)/inputs!$C$51)*G24))</f>
        <v>2.5331099522983807</v>
      </c>
      <c r="H25" s="8">
        <f>IF((B25&gt;B24), (EXP(-LN(2)/inputs!$C$51)*H24+$H$3), (EXP(-LN(2)/inputs!$C$51)*H24))</f>
        <v>15.874155701069842</v>
      </c>
      <c r="I25" s="7">
        <f>O25*(10^inputs!$C$55)*0.01/1</f>
        <v>36.313164143426242</v>
      </c>
      <c r="J25" s="7">
        <f>(((0.621*15^0.564)/0.2))*D25/15+J24*inputs!$C$53</f>
        <v>43.612640900061287</v>
      </c>
      <c r="K25" s="7">
        <f>(((0.621*1000^0.564)/0.2))*D25/1000+K24*inputs!$C$53</f>
        <v>6.9885676653309146</v>
      </c>
      <c r="L25" s="7">
        <f>(((0.648*20^0.651)/0.2))*H25/20+L24*inputs!$C$54</f>
        <v>23.910957469096118</v>
      </c>
      <c r="M25" s="7">
        <f>(((0.013*2^0.773)/0.2))*H25/2+M24*inputs!$C$54</f>
        <v>1.1659796558631284</v>
      </c>
      <c r="N25" s="7">
        <f>O25*0.015*inputs!$C$56</f>
        <v>5.335115512236154</v>
      </c>
      <c r="O25" s="7">
        <f>IF((B25&gt;B24), (EXP(-LN(2)/inputs!$C$52)*O24+$O$3), (EXP(-LN(2)/inputs!$C$52)*O24))</f>
        <v>0.57552486647639201</v>
      </c>
      <c r="P25" s="3">
        <f>IF((B25&gt;B24), (EXP(-LN(2)/inputs!$C$52)*P24+$P$3), (EXP(-LN(2)/inputs!$C$52)*P24))</f>
        <v>0.55613251085773863</v>
      </c>
      <c r="Q25" s="19">
        <f>IF((F25*0.62*1/(0.012*(10^inputs!$C$55)))&gt;inputs!$C$57, inputs!$C$57, (F25*0.62*1/(0.012*(10^inputs!$C$55))))</f>
        <v>0.18668395544062355</v>
      </c>
      <c r="R25" s="3">
        <f>IF((B25&gt;B24), (EXP(-LN(2)/inputs!$C$51)*R24+$R$3), (EXP(-LN(2)/inputs!$C$51)*R24))</f>
        <v>4.3374973842891931E-7</v>
      </c>
      <c r="T25" s="7">
        <f>IF(T24&lt;(inputs!$C$20-1),(1+T24),0)</f>
        <v>0</v>
      </c>
      <c r="U25" s="7">
        <f>IF(inputs!$C$19&gt;U24,IF(T24=(inputs!$C$20-1),(U24+1),U24), U24)</f>
        <v>1</v>
      </c>
      <c r="V25" s="7">
        <f t="shared" si="0"/>
        <v>22</v>
      </c>
      <c r="W25" s="8">
        <f>IF((U25&gt;U24), (EXP(-LN(2)/inputs!$C$51)*W24+$W$3), (EXP(-LN(2)/inputs!$C$51)*W24))</f>
        <v>14.354289729690825</v>
      </c>
      <c r="X25" s="8">
        <f>IF((U25&gt;U24), (EXP(-LN(2)/inputs!$C$51)*X24+$X$3), (EXP(-LN(2)/inputs!$C$51)*X24))</f>
        <v>6.0794638855161125</v>
      </c>
      <c r="Y25" s="8">
        <f>IF((U25&gt;U24), (EXP(-LN(2)/inputs!$C$51)*Y24+$Y$3), (EXP(-LN(2)/inputs!$C$51)*Y24))</f>
        <v>7.5993298568951433</v>
      </c>
      <c r="Z25" s="8">
        <f>IF((U25&gt;U24), (EXP(-LN(2)/inputs!$C$51)*Z24+$Z$3), (EXP(-LN(2)/inputs!$C$51)*Z24))</f>
        <v>1.1821179777392441</v>
      </c>
      <c r="AA25" s="8">
        <f>IF((U25&gt;U24), (EXP(-LN(2)/inputs!$C$51)*AA24+$AA$3), (EXP(-LN(2)/inputs!$C$51)*AA24))</f>
        <v>10.976809793292983</v>
      </c>
      <c r="AB25" s="7">
        <f>(((0.621*15^0.564)/0.2))*W25/15+AB24*inputs!$C$53</f>
        <v>15.446143652105039</v>
      </c>
      <c r="AC25" s="7">
        <f>(((0.621*1000^0.564)/0.2))*W25/1000+AC24*inputs!$C$53</f>
        <v>2.475117714804699</v>
      </c>
      <c r="AD25" s="7">
        <f>(((0.648*20^0.651)/0.2))*AA25/20+AD24*inputs!$C$54</f>
        <v>16.534172717992007</v>
      </c>
      <c r="AE25" s="7">
        <f>(((0.013*2^0.773)/0.2))*AA25/2+AE24*inputs!$C$54</f>
        <v>0.80626252799046161</v>
      </c>
    </row>
    <row r="26" spans="1:31" x14ac:dyDescent="0.3">
      <c r="A26" s="7">
        <f>IF(A25&lt;(inputs!$C$20-1),(1+A25),0)</f>
        <v>0</v>
      </c>
      <c r="B26" s="7">
        <f>IF(inputs!$C$19&gt;B25,IF(A25=(inputs!$C$20-1),(B25+1),B25), B25)</f>
        <v>1</v>
      </c>
      <c r="C26" s="7">
        <f t="shared" si="1"/>
        <v>23</v>
      </c>
      <c r="D26" s="8">
        <f>IF((B26&gt;B25), (EXP(-LN(2)/inputs!$C$51)*D25+$D$3), (EXP(-LN(2)/inputs!$C$51)*D25))</f>
        <v>35.561159371196794</v>
      </c>
      <c r="E26" s="8">
        <f>IF((B26&gt;B25), (EXP(-LN(2)/inputs!$C$51)*E25+$E$3), (EXP(-LN(2)/inputs!$C$51)*E25))</f>
        <v>16.298864711798537</v>
      </c>
      <c r="F26" s="8">
        <f>IF((B26&gt;B25), (EXP(-LN(2)/inputs!$C$51)*F25+$F$3), (EXP(-LN(2)/inputs!$C$51)*F25))</f>
        <v>20.003152146298195</v>
      </c>
      <c r="G26" s="8">
        <f>IF((B26&gt;B25), (EXP(-LN(2)/inputs!$C$51)*G25+$G$3), (EXP(-LN(2)/inputs!$C$51)*G25))</f>
        <v>2.2225724606997996</v>
      </c>
      <c r="H26" s="8">
        <f>IF((B26&gt;B25), (EXP(-LN(2)/inputs!$C$51)*H25+$H$3), (EXP(-LN(2)/inputs!$C$51)*H25))</f>
        <v>13.928120753718737</v>
      </c>
      <c r="I26" s="7">
        <f>O26*(10^inputs!$C$55)*0.01/1</f>
        <v>35.580354381769666</v>
      </c>
      <c r="J26" s="7">
        <f>(((0.621*15^0.564)/0.2))*D26/15+J25*inputs!$C$53</f>
        <v>38.266106259981278</v>
      </c>
      <c r="K26" s="7">
        <f>(((0.621*1000^0.564)/0.2))*D26/1000+K25*inputs!$C$53</f>
        <v>6.1318293817480392</v>
      </c>
      <c r="L26" s="7">
        <f>(((0.648*20^0.651)/0.2))*H26/20+L25*inputs!$C$54</f>
        <v>20.979679753560738</v>
      </c>
      <c r="M26" s="7">
        <f>(((0.013*2^0.773)/0.2))*H26/2+M25*inputs!$C$54</f>
        <v>1.0230405792319823</v>
      </c>
      <c r="N26" s="7">
        <f>O26*0.015*inputs!$C$56</f>
        <v>5.2274513959534126</v>
      </c>
      <c r="O26" s="7">
        <f>IF((B26&gt;B25), (EXP(-LN(2)/inputs!$C$52)*O25+$O$3), (EXP(-LN(2)/inputs!$C$52)*O25))</f>
        <v>0.5639106144502064</v>
      </c>
      <c r="P26" s="3">
        <f>IF((B26&gt;B25), (EXP(-LN(2)/inputs!$C$52)*P25+$P$3), (EXP(-LN(2)/inputs!$C$52)*P25))</f>
        <v>0.54490960196658633</v>
      </c>
      <c r="Q26" s="19">
        <f>IF((F26*0.62*1/(0.012*(10^inputs!$C$55)))&gt;inputs!$C$57, inputs!$C$57, (F26*0.62*1/(0.012*(10^inputs!$C$55))))</f>
        <v>0.16379810826623142</v>
      </c>
      <c r="R26" s="3">
        <f>IF((B26&gt;B25), (EXP(-LN(2)/inputs!$C$51)*R25+$R$3), (EXP(-LN(2)/inputs!$C$51)*R25))</f>
        <v>3.8057575139726949E-7</v>
      </c>
      <c r="T26" s="7">
        <f>IF(T25&lt;(inputs!$C$20-1),(1+T25),0)</f>
        <v>0</v>
      </c>
      <c r="U26" s="7">
        <f>IF(inputs!$C$19&gt;U25,IF(T25=(inputs!$C$20-1),(U25+1),U25), U25)</f>
        <v>1</v>
      </c>
      <c r="V26" s="7">
        <f t="shared" si="0"/>
        <v>23</v>
      </c>
      <c r="W26" s="8">
        <f>IF((U26&gt;U25), (EXP(-LN(2)/inputs!$C$51)*W25+$W$3), (EXP(-LN(2)/inputs!$C$51)*W25))</f>
        <v>12.594577277298866</v>
      </c>
      <c r="X26" s="8">
        <f>IF((U26&gt;U25), (EXP(-LN(2)/inputs!$C$51)*X25+$X$3), (EXP(-LN(2)/inputs!$C$51)*X25))</f>
        <v>5.3341739056795188</v>
      </c>
      <c r="Y26" s="8">
        <f>IF((U26&gt;U25), (EXP(-LN(2)/inputs!$C$51)*Y25+$Y$3), (EXP(-LN(2)/inputs!$C$51)*Y25))</f>
        <v>6.6677173820994007</v>
      </c>
      <c r="Z26" s="8">
        <f>IF((U26&gt;U25), (EXP(-LN(2)/inputs!$C$51)*Z25+$Z$3), (EXP(-LN(2)/inputs!$C$51)*Z25))</f>
        <v>1.0372004816599063</v>
      </c>
      <c r="AA26" s="8">
        <f>IF((U26&gt;U25), (EXP(-LN(2)/inputs!$C$51)*AA25+$AA$3), (EXP(-LN(2)/inputs!$C$51)*AA25))</f>
        <v>9.6311473296991323</v>
      </c>
      <c r="AB26" s="7">
        <f>(((0.621*15^0.564)/0.2))*W26/15+AB25*inputs!$C$53</f>
        <v>13.552579300410038</v>
      </c>
      <c r="AC26" s="7">
        <f>(((0.621*1000^0.564)/0.2))*W26/1000+AC25*inputs!$C$53</f>
        <v>2.1716895727024306</v>
      </c>
      <c r="AD26" s="7">
        <f>(((0.648*20^0.651)/0.2))*AA26/20+AD25*inputs!$C$54</f>
        <v>14.507225361504775</v>
      </c>
      <c r="AE26" s="7">
        <f>(((0.013*2^0.773)/0.2))*AA26/2+AE25*inputs!$C$54</f>
        <v>0.7074216771284989</v>
      </c>
    </row>
    <row r="27" spans="1:31" x14ac:dyDescent="0.3">
      <c r="A27" s="7">
        <f>IF(A26&lt;(inputs!$C$20-1),(1+A26),0)</f>
        <v>0</v>
      </c>
      <c r="B27" s="7">
        <f>IF(inputs!$C$19&gt;B26,IF(A26=(inputs!$C$20-1),(B26+1),B26), B26)</f>
        <v>1</v>
      </c>
      <c r="C27" s="7">
        <f t="shared" si="1"/>
        <v>24</v>
      </c>
      <c r="D27" s="8">
        <f>IF((B27&gt;B26), (EXP(-LN(2)/inputs!$C$51)*D26+$D$3), (EXP(-LN(2)/inputs!$C$51)*D26))</f>
        <v>31.201667111711949</v>
      </c>
      <c r="E27" s="8">
        <f>IF((B27&gt;B26), (EXP(-LN(2)/inputs!$C$51)*E26+$E$3), (EXP(-LN(2)/inputs!$C$51)*E26))</f>
        <v>14.300764092867981</v>
      </c>
      <c r="F27" s="8">
        <f>IF((B27&gt;B26), (EXP(-LN(2)/inputs!$C$51)*F26+$F$3), (EXP(-LN(2)/inputs!$C$51)*F26))</f>
        <v>17.550937750337969</v>
      </c>
      <c r="G27" s="8">
        <f>IF((B27&gt;B26), (EXP(-LN(2)/inputs!$C$51)*G26+$G$3), (EXP(-LN(2)/inputs!$C$51)*G26))</f>
        <v>1.9501041944819968</v>
      </c>
      <c r="H27" s="8">
        <f>IF((B27&gt;B26), (EXP(-LN(2)/inputs!$C$51)*H26+$H$3), (EXP(-LN(2)/inputs!$C$51)*H26))</f>
        <v>12.220652952087173</v>
      </c>
      <c r="I27" s="7">
        <f>O27*(10^inputs!$C$55)*0.01/1</f>
        <v>34.862332925110643</v>
      </c>
      <c r="J27" s="7">
        <f>(((0.621*15^0.564)/0.2))*D27/15+J26*inputs!$C$53</f>
        <v>33.575010778540602</v>
      </c>
      <c r="K27" s="7">
        <f>(((0.621*1000^0.564)/0.2))*D27/1000+K26*inputs!$C$53</f>
        <v>5.3801198424953913</v>
      </c>
      <c r="L27" s="7">
        <f>(((0.648*20^0.651)/0.2))*H27/20+L26*inputs!$C$54</f>
        <v>18.407751472555429</v>
      </c>
      <c r="M27" s="7">
        <f>(((0.013*2^0.773)/0.2))*H27/2+M26*inputs!$C$54</f>
        <v>0.89762460390489407</v>
      </c>
      <c r="N27" s="7">
        <f>O27*0.015*inputs!$C$56</f>
        <v>5.1219599715099333</v>
      </c>
      <c r="O27" s="7">
        <f>IF((B27&gt;B26), (EXP(-LN(2)/inputs!$C$52)*O26+$O$3), (EXP(-LN(2)/inputs!$C$52)*O26))</f>
        <v>0.55253074126320745</v>
      </c>
      <c r="P27" s="3">
        <f>IF((B27&gt;B26), (EXP(-LN(2)/inputs!$C$52)*P26+$P$3), (EXP(-LN(2)/inputs!$C$52)*P26))</f>
        <v>0.53391317450120934</v>
      </c>
      <c r="Q27" s="19">
        <f>IF((F27*0.62*1/(0.012*(10^inputs!$C$55)))&gt;inputs!$C$57, inputs!$C$57, (F27*0.62*1/(0.012*(10^inputs!$C$55))))</f>
        <v>0.14371786910273351</v>
      </c>
      <c r="R27" s="3">
        <f>IF((B27&gt;B26), (EXP(-LN(2)/inputs!$C$51)*R26+$R$3), (EXP(-LN(2)/inputs!$C$51)*R26))</f>
        <v>3.3392043779948371E-7</v>
      </c>
      <c r="T27" s="7">
        <f>IF(T26&lt;(inputs!$C$20-1),(1+T26),0)</f>
        <v>0</v>
      </c>
      <c r="U27" s="7">
        <f>IF(inputs!$C$19&gt;U26,IF(T26=(inputs!$C$20-1),(U26+1),U26), U26)</f>
        <v>1</v>
      </c>
      <c r="V27" s="7">
        <f t="shared" si="0"/>
        <v>24</v>
      </c>
      <c r="W27" s="8">
        <f>IF((U27&gt;U26), (EXP(-LN(2)/inputs!$C$51)*W26+$W$3), (EXP(-LN(2)/inputs!$C$51)*W26))</f>
        <v>11.050590435397982</v>
      </c>
      <c r="X27" s="8">
        <f>IF((U27&gt;U26), (EXP(-LN(2)/inputs!$C$51)*X26+$X$3), (EXP(-LN(2)/inputs!$C$51)*X26))</f>
        <v>4.6802500667567921</v>
      </c>
      <c r="Y27" s="8">
        <f>IF((U27&gt;U26), (EXP(-LN(2)/inputs!$C$51)*Y26+$Y$3), (EXP(-LN(2)/inputs!$C$51)*Y26))</f>
        <v>5.8503125834459917</v>
      </c>
      <c r="Z27" s="8">
        <f>IF((U27&gt;U26), (EXP(-LN(2)/inputs!$C$51)*Z26+$Z$3), (EXP(-LN(2)/inputs!$C$51)*Z26))</f>
        <v>0.91004862409159826</v>
      </c>
      <c r="AA27" s="8">
        <f>IF((U27&gt;U26), (EXP(-LN(2)/inputs!$C$51)*AA26+$AA$3), (EXP(-LN(2)/inputs!$C$51)*AA26))</f>
        <v>8.4504515094219865</v>
      </c>
      <c r="AB27" s="7">
        <f>(((0.621*15^0.564)/0.2))*W27/15+AB26*inputs!$C$53</f>
        <v>11.89114965073313</v>
      </c>
      <c r="AC27" s="7">
        <f>(((0.621*1000^0.564)/0.2))*W27/1000+AC26*inputs!$C$53</f>
        <v>1.9054591108837846</v>
      </c>
      <c r="AD27" s="7">
        <f>(((0.648*20^0.651)/0.2))*AA27/20+AD26*inputs!$C$54</f>
        <v>12.728764316128762</v>
      </c>
      <c r="AE27" s="7">
        <f>(((0.013*2^0.773)/0.2))*AA27/2+AE26*inputs!$C$54</f>
        <v>0.62069786440232078</v>
      </c>
    </row>
    <row r="28" spans="1:31" x14ac:dyDescent="0.3">
      <c r="A28" s="7">
        <f>IF(A27&lt;(inputs!$C$20-1),(1+A27),0)</f>
        <v>0</v>
      </c>
      <c r="B28" s="7">
        <f>IF(inputs!$C$19&gt;B27,IF(A27=(inputs!$C$20-1),(B27+1),B27), B27)</f>
        <v>1</v>
      </c>
      <c r="C28" s="7">
        <f t="shared" si="1"/>
        <v>25</v>
      </c>
      <c r="D28" s="8">
        <f>IF((B28&gt;B27), (EXP(-LN(2)/inputs!$C$51)*D27+$D$3), (EXP(-LN(2)/inputs!$C$51)*D27))</f>
        <v>27.376611105053598</v>
      </c>
      <c r="E28" s="8">
        <f>IF((B28&gt;B27), (EXP(-LN(2)/inputs!$C$51)*E27+$E$3), (EXP(-LN(2)/inputs!$C$51)*E27))</f>
        <v>12.547613423149571</v>
      </c>
      <c r="F28" s="8">
        <f>IF((B28&gt;B27), (EXP(-LN(2)/inputs!$C$51)*F27+$F$3), (EXP(-LN(2)/inputs!$C$51)*F27))</f>
        <v>15.399343746592647</v>
      </c>
      <c r="G28" s="8">
        <f>IF((B28&gt;B27), (EXP(-LN(2)/inputs!$C$51)*G27+$G$3), (EXP(-LN(2)/inputs!$C$51)*G27))</f>
        <v>1.7110381940658499</v>
      </c>
      <c r="H28" s="8">
        <f>IF((B28&gt;B27), (EXP(-LN(2)/inputs!$C$51)*H27+$H$3), (EXP(-LN(2)/inputs!$C$51)*H27))</f>
        <v>10.722506016145987</v>
      </c>
      <c r="I28" s="7">
        <f>O28*(10^inputs!$C$55)*0.01/1</f>
        <v>34.158801341337401</v>
      </c>
      <c r="J28" s="7">
        <f>(((0.621*15^0.564)/0.2))*D28/15+J27*inputs!$C$53</f>
        <v>29.459003252652053</v>
      </c>
      <c r="K28" s="7">
        <f>(((0.621*1000^0.564)/0.2))*D28/1000+K27*inputs!$C$53</f>
        <v>4.7205634269231576</v>
      </c>
      <c r="L28" s="7">
        <f>(((0.648*20^0.651)/0.2))*H28/20+L27*inputs!$C$54</f>
        <v>16.151119476352171</v>
      </c>
      <c r="M28" s="7">
        <f>(((0.013*2^0.773)/0.2))*H28/2+M27*inputs!$C$54</f>
        <v>0.78758354838700062</v>
      </c>
      <c r="N28" s="7">
        <f>O28*0.015*inputs!$C$56</f>
        <v>5.0185973933795394</v>
      </c>
      <c r="O28" s="7">
        <f>IF((B28&gt;B27), (EXP(-LN(2)/inputs!$C$52)*O27+$O$3), (EXP(-LN(2)/inputs!$C$52)*O27))</f>
        <v>0.54138051708517143</v>
      </c>
      <c r="P28" s="3">
        <f>IF((B28&gt;B27), (EXP(-LN(2)/inputs!$C$52)*P27+$P$3), (EXP(-LN(2)/inputs!$C$52)*P27))</f>
        <v>0.52313865800338533</v>
      </c>
      <c r="Q28" s="19">
        <f>IF((F28*0.62*1/(0.012*(10^inputs!$C$55)))&gt;inputs!$C$57, inputs!$C$57, (F28*0.62*1/(0.012*(10^inputs!$C$55))))</f>
        <v>0.12609929454044028</v>
      </c>
      <c r="R28" s="3">
        <f>IF((B28&gt;B27), (EXP(-LN(2)/inputs!$C$51)*R27+$R$3), (EXP(-LN(2)/inputs!$C$51)*R27))</f>
        <v>2.929846643429602E-7</v>
      </c>
      <c r="T28" s="7">
        <f>IF(T27&lt;(inputs!$C$20-1),(1+T27),0)</f>
        <v>0</v>
      </c>
      <c r="U28" s="7">
        <f>IF(inputs!$C$19&gt;U27,IF(T27=(inputs!$C$20-1),(U27+1),U27), U27)</f>
        <v>1</v>
      </c>
      <c r="V28" s="7">
        <f t="shared" si="0"/>
        <v>25</v>
      </c>
      <c r="W28" s="8">
        <f>IF((U28&gt;U27), (EXP(-LN(2)/inputs!$C$51)*W27+$W$3), (EXP(-LN(2)/inputs!$C$51)*W27))</f>
        <v>9.6958830997064833</v>
      </c>
      <c r="X28" s="8">
        <f>IF((U28&gt;U27), (EXP(-LN(2)/inputs!$C$51)*X27+$X$3), (EXP(-LN(2)/inputs!$C$51)*X27))</f>
        <v>4.1064916657580399</v>
      </c>
      <c r="Y28" s="8">
        <f>IF((U28&gt;U27), (EXP(-LN(2)/inputs!$C$51)*Y27+$Y$3), (EXP(-LN(2)/inputs!$C$51)*Y27))</f>
        <v>5.1331145821975506</v>
      </c>
      <c r="Z28" s="8">
        <f>IF((U28&gt;U27), (EXP(-LN(2)/inputs!$C$51)*Z27+$Z$3), (EXP(-LN(2)/inputs!$C$51)*Z27))</f>
        <v>0.79848449056406312</v>
      </c>
      <c r="AA28" s="8">
        <f>IF((U28&gt;U27), (EXP(-LN(2)/inputs!$C$51)*AA27+$AA$3), (EXP(-LN(2)/inputs!$C$51)*AA27))</f>
        <v>7.4144988409520165</v>
      </c>
      <c r="AB28" s="7">
        <f>(((0.621*15^0.564)/0.2))*W28/15+AB27*inputs!$C$53</f>
        <v>10.433396985314269</v>
      </c>
      <c r="AC28" s="7">
        <f>(((0.621*1000^0.564)/0.2))*W28/1000+AC27*inputs!$C$53</f>
        <v>1.671866213701952</v>
      </c>
      <c r="AD28" s="7">
        <f>(((0.648*20^0.651)/0.2))*AA28/20+AD27*inputs!$C$54</f>
        <v>11.168327297477571</v>
      </c>
      <c r="AE28" s="7">
        <f>(((0.013*2^0.773)/0.2))*AA28/2+AE27*inputs!$C$54</f>
        <v>0.54460564516122412</v>
      </c>
    </row>
    <row r="29" spans="1:31" x14ac:dyDescent="0.3">
      <c r="A29" s="7">
        <f>IF(A28&lt;(inputs!$C$20-1),(1+A28),0)</f>
        <v>0</v>
      </c>
      <c r="B29" s="7">
        <f>IF(inputs!$C$19&gt;B28,IF(A28=(inputs!$C$20-1),(B28+1),B28), B28)</f>
        <v>1</v>
      </c>
      <c r="C29" s="7">
        <f t="shared" si="1"/>
        <v>26</v>
      </c>
      <c r="D29" s="8">
        <f>IF((B29&gt;B28), (EXP(-LN(2)/inputs!$C$51)*D28+$D$3), (EXP(-LN(2)/inputs!$C$51)*D28))</f>
        <v>24.020474063580323</v>
      </c>
      <c r="E29" s="8">
        <f>IF((B29&gt;B28), (EXP(-LN(2)/inputs!$C$51)*E28+$E$3), (EXP(-LN(2)/inputs!$C$51)*E28))</f>
        <v>11.009383945807652</v>
      </c>
      <c r="F29" s="8">
        <f>IF((B29&gt;B28), (EXP(-LN(2)/inputs!$C$51)*F28+$F$3), (EXP(-LN(2)/inputs!$C$51)*F28))</f>
        <v>13.511516660763929</v>
      </c>
      <c r="G29" s="8">
        <f>IF((B29&gt;B28), (EXP(-LN(2)/inputs!$C$51)*G28+$G$3), (EXP(-LN(2)/inputs!$C$51)*G28))</f>
        <v>1.5012796289737702</v>
      </c>
      <c r="H29" s="8">
        <f>IF((B29&gt;B28), (EXP(-LN(2)/inputs!$C$51)*H28+$H$3), (EXP(-LN(2)/inputs!$C$51)*H28))</f>
        <v>9.4080190082356214</v>
      </c>
      <c r="I29" s="7">
        <f>O29*(10^inputs!$C$55)*0.01/1</f>
        <v>33.469467220781247</v>
      </c>
      <c r="J29" s="7">
        <f>(((0.621*15^0.564)/0.2))*D29/15+J28*inputs!$C$53</f>
        <v>25.847582845585798</v>
      </c>
      <c r="K29" s="7">
        <f>(((0.621*1000^0.564)/0.2))*D29/1000+K28*inputs!$C$53</f>
        <v>4.1418629547235035</v>
      </c>
      <c r="L29" s="7">
        <f>(((0.648*20^0.651)/0.2))*H29/20+L28*inputs!$C$54</f>
        <v>14.171131152456235</v>
      </c>
      <c r="M29" s="7">
        <f>(((0.013*2^0.773)/0.2))*H29/2+M28*inputs!$C$54</f>
        <v>0.69103257975711641</v>
      </c>
      <c r="N29" s="7">
        <f>O29*0.015*inputs!$C$56</f>
        <v>4.9173207008509827</v>
      </c>
      <c r="O29" s="7">
        <f>IF((B29&gt;B28), (EXP(-LN(2)/inputs!$C$52)*O28+$O$3), (EXP(-LN(2)/inputs!$C$52)*O28))</f>
        <v>0.53045530753516534</v>
      </c>
      <c r="P29" s="3">
        <f>IF((B29&gt;B28), (EXP(-LN(2)/inputs!$C$52)*P28+$P$3), (EXP(-LN(2)/inputs!$C$52)*P28))</f>
        <v>0.5125815742480111</v>
      </c>
      <c r="Q29" s="19">
        <f>IF((F29*0.62*1/(0.012*(10^inputs!$C$55)))&gt;inputs!$C$57, inputs!$C$57, (F29*0.62*1/(0.012*(10^inputs!$C$55))))</f>
        <v>0.11064060567325984</v>
      </c>
      <c r="R29" s="3">
        <f>IF((B29&gt;B28), (EXP(-LN(2)/inputs!$C$51)*R28+$R$3), (EXP(-LN(2)/inputs!$C$51)*R28))</f>
        <v>2.5706726460302265E-7</v>
      </c>
      <c r="T29" s="7">
        <f>IF(T28&lt;(inputs!$C$20-1),(1+T28),0)</f>
        <v>0</v>
      </c>
      <c r="U29" s="7">
        <f>IF(inputs!$C$19&gt;U28,IF(T28=(inputs!$C$20-1),(U28+1),U28), U28)</f>
        <v>1</v>
      </c>
      <c r="V29" s="7">
        <f t="shared" si="0"/>
        <v>26</v>
      </c>
      <c r="W29" s="8">
        <f>IF((U29&gt;U28), (EXP(-LN(2)/inputs!$C$51)*W28+$W$3), (EXP(-LN(2)/inputs!$C$51)*W28))</f>
        <v>8.5072512308513648</v>
      </c>
      <c r="X29" s="8">
        <f>IF((U29&gt;U28), (EXP(-LN(2)/inputs!$C$51)*X28+$X$3), (EXP(-LN(2)/inputs!$C$51)*X28))</f>
        <v>3.6030711095370487</v>
      </c>
      <c r="Y29" s="8">
        <f>IF((U29&gt;U28), (EXP(-LN(2)/inputs!$C$51)*Y28+$Y$3), (EXP(-LN(2)/inputs!$C$51)*Y28))</f>
        <v>4.5038388869213115</v>
      </c>
      <c r="Z29" s="8">
        <f>IF((U29&gt;U28), (EXP(-LN(2)/inputs!$C$51)*Z28+$Z$3), (EXP(-LN(2)/inputs!$C$51)*Z28))</f>
        <v>0.7005971601877593</v>
      </c>
      <c r="AA29" s="8">
        <f>IF((U29&gt;U28), (EXP(-LN(2)/inputs!$C$51)*AA28+$AA$3), (EXP(-LN(2)/inputs!$C$51)*AA28))</f>
        <v>6.5055450588863373</v>
      </c>
      <c r="AB29" s="7">
        <f>(((0.621*15^0.564)/0.2))*W29/15+AB28*inputs!$C$53</f>
        <v>9.1543522578116381</v>
      </c>
      <c r="AC29" s="7">
        <f>(((0.621*1000^0.564)/0.2))*W29/1000+AC28*inputs!$C$53</f>
        <v>1.4669097964645739</v>
      </c>
      <c r="AD29" s="7">
        <f>(((0.648*20^0.651)/0.2))*AA29/20+AD28*inputs!$C$54</f>
        <v>9.7991864352091049</v>
      </c>
      <c r="AE29" s="7">
        <f>(((0.013*2^0.773)/0.2))*AA29/2+AE28*inputs!$C$54</f>
        <v>0.47784167749162321</v>
      </c>
    </row>
    <row r="30" spans="1:31" x14ac:dyDescent="0.3">
      <c r="A30" s="7">
        <f>IF(A29&lt;(inputs!$C$20-1),(1+A29),0)</f>
        <v>0</v>
      </c>
      <c r="B30" s="7">
        <f>IF(inputs!$C$19&gt;B29,IF(A29=(inputs!$C$20-1),(B29+1),B29), B29)</f>
        <v>1</v>
      </c>
      <c r="C30" s="7">
        <f t="shared" si="1"/>
        <v>27</v>
      </c>
      <c r="D30" s="8">
        <f>IF((B30&gt;B29), (EXP(-LN(2)/inputs!$C$51)*D29+$D$3), (EXP(-LN(2)/inputs!$C$51)*D29))</f>
        <v>21.075770555568383</v>
      </c>
      <c r="E30" s="8">
        <f>IF((B30&gt;B29), (EXP(-LN(2)/inputs!$C$51)*E29+$E$3), (EXP(-LN(2)/inputs!$C$51)*E29))</f>
        <v>9.659728171302179</v>
      </c>
      <c r="F30" s="8">
        <f>IF((B30&gt;B29), (EXP(-LN(2)/inputs!$C$51)*F29+$F$3), (EXP(-LN(2)/inputs!$C$51)*F29))</f>
        <v>11.855120937507213</v>
      </c>
      <c r="G30" s="8">
        <f>IF((B30&gt;B29), (EXP(-LN(2)/inputs!$C$51)*G29+$G$3), (EXP(-LN(2)/inputs!$C$51)*G29))</f>
        <v>1.3172356597230239</v>
      </c>
      <c r="H30" s="8">
        <f>IF((B30&gt;B29), (EXP(-LN(2)/inputs!$C$51)*H29+$H$3), (EXP(-LN(2)/inputs!$C$51)*H29))</f>
        <v>8.2546768009309446</v>
      </c>
      <c r="I30" s="7">
        <f>O30*(10^inputs!$C$55)*0.01/1</f>
        <v>32.79404405468204</v>
      </c>
      <c r="J30" s="7">
        <f>(((0.621*15^0.564)/0.2))*D30/15+J29*inputs!$C$53</f>
        <v>22.678891516781903</v>
      </c>
      <c r="K30" s="7">
        <f>(((0.621*1000^0.564)/0.2))*D30/1000+K29*inputs!$C$53</f>
        <v>3.6341061827215992</v>
      </c>
      <c r="L30" s="7">
        <f>(((0.648*20^0.651)/0.2))*H30/20+L29*inputs!$C$54</f>
        <v>12.433872366194162</v>
      </c>
      <c r="M30" s="7">
        <f>(((0.013*2^0.773)/0.2))*H30/2+M29*inputs!$C$54</f>
        <v>0.60631792939779627</v>
      </c>
      <c r="N30" s="7">
        <f>O30*0.015*inputs!$C$56</f>
        <v>4.8180878001721288</v>
      </c>
      <c r="O30" s="7">
        <f>IF((B30&gt;B29), (EXP(-LN(2)/inputs!$C$52)*O29+$O$3), (EXP(-LN(2)/inputs!$C$52)*O29))</f>
        <v>0.51975057175535366</v>
      </c>
      <c r="P30" s="3">
        <f>IF((B30&gt;B29), (EXP(-LN(2)/inputs!$C$52)*P29+$P$3), (EXP(-LN(2)/inputs!$C$52)*P29))</f>
        <v>0.50223753538181282</v>
      </c>
      <c r="Q30" s="19">
        <f>IF((F30*0.62*1/(0.012*(10^inputs!$C$55)))&gt;inputs!$C$57, inputs!$C$57, (F30*0.62*1/(0.012*(10^inputs!$C$55))))</f>
        <v>9.7077019093234934E-2</v>
      </c>
      <c r="R30" s="3">
        <f>IF((B30&gt;B29), (EXP(-LN(2)/inputs!$C$51)*R29+$R$3), (EXP(-LN(2)/inputs!$C$51)*R29))</f>
        <v>2.2555302912757492E-7</v>
      </c>
      <c r="T30" s="7">
        <f>IF(T29&lt;(inputs!$C$20-1),(1+T29),0)</f>
        <v>0</v>
      </c>
      <c r="U30" s="7">
        <f>IF(inputs!$C$19&gt;U29,IF(T29=(inputs!$C$20-1),(U29+1),U29), U29)</f>
        <v>1</v>
      </c>
      <c r="V30" s="7">
        <f t="shared" si="0"/>
        <v>27</v>
      </c>
      <c r="W30" s="8">
        <f>IF((U30&gt;U29), (EXP(-LN(2)/inputs!$C$51)*W29+$W$3), (EXP(-LN(2)/inputs!$C$51)*W29))</f>
        <v>7.4643354050971356</v>
      </c>
      <c r="X30" s="8">
        <f>IF((U30&gt;U29), (EXP(-LN(2)/inputs!$C$51)*X29+$X$3), (EXP(-LN(2)/inputs!$C$51)*X29))</f>
        <v>3.1613655833352574</v>
      </c>
      <c r="Y30" s="8">
        <f>IF((U30&gt;U29), (EXP(-LN(2)/inputs!$C$51)*Y29+$Y$3), (EXP(-LN(2)/inputs!$C$51)*Y29))</f>
        <v>3.9517069791690722</v>
      </c>
      <c r="Z30" s="8">
        <f>IF((U30&gt;U29), (EXP(-LN(2)/inputs!$C$51)*Z29+$Z$3), (EXP(-LN(2)/inputs!$C$51)*Z29))</f>
        <v>0.61470997453741105</v>
      </c>
      <c r="AA30" s="8">
        <f>IF((U30&gt;U29), (EXP(-LN(2)/inputs!$C$51)*AA29+$AA$3), (EXP(-LN(2)/inputs!$C$51)*AA29))</f>
        <v>5.7080211921331028</v>
      </c>
      <c r="AB30" s="7">
        <f>(((0.621*15^0.564)/0.2))*W30/15+AB29*inputs!$C$53</f>
        <v>8.0321074121935911</v>
      </c>
      <c r="AC30" s="7">
        <f>(((0.621*1000^0.564)/0.2))*W30/1000+AC29*inputs!$C$53</f>
        <v>1.2870792730472331</v>
      </c>
      <c r="AD30" s="7">
        <f>(((0.648*20^0.651)/0.2))*AA30/20+AD29*inputs!$C$54</f>
        <v>8.5978904659853299</v>
      </c>
      <c r="AE30" s="7">
        <f>(((0.013*2^0.773)/0.2))*AA30/2+AE29*inputs!$C$54</f>
        <v>0.41926239798783804</v>
      </c>
    </row>
    <row r="31" spans="1:31" x14ac:dyDescent="0.3">
      <c r="A31" s="7">
        <f>IF(A30&lt;(inputs!$C$20-1),(1+A30),0)</f>
        <v>0</v>
      </c>
      <c r="B31" s="7">
        <f>IF(inputs!$C$19&gt;B30,IF(A30=(inputs!$C$20-1),(B30+1),B30), B30)</f>
        <v>1</v>
      </c>
      <c r="C31" s="7">
        <f t="shared" si="1"/>
        <v>28</v>
      </c>
      <c r="D31" s="8">
        <f>IF((B31&gt;B30), (EXP(-LN(2)/inputs!$C$51)*D30+$D$3), (EXP(-LN(2)/inputs!$C$51)*D30))</f>
        <v>18.492062368762245</v>
      </c>
      <c r="E31" s="8">
        <f>IF((B31&gt;B30), (EXP(-LN(2)/inputs!$C$51)*E30+$E$3), (EXP(-LN(2)/inputs!$C$51)*E30))</f>
        <v>8.4755285856826976</v>
      </c>
      <c r="F31" s="8">
        <f>IF((B31&gt;B30), (EXP(-LN(2)/inputs!$C$51)*F30+$F$3), (EXP(-LN(2)/inputs!$C$51)*F30))</f>
        <v>10.401785082428759</v>
      </c>
      <c r="G31" s="8">
        <f>IF((B31&gt;B30), (EXP(-LN(2)/inputs!$C$51)*G30+$G$3), (EXP(-LN(2)/inputs!$C$51)*G30))</f>
        <v>1.1557538980476403</v>
      </c>
      <c r="H31" s="8">
        <f>IF((B31&gt;B30), (EXP(-LN(2)/inputs!$C$51)*H30+$H$3), (EXP(-LN(2)/inputs!$C$51)*H30))</f>
        <v>7.2427244277652072</v>
      </c>
      <c r="I31" s="7">
        <f>O31*(10^inputs!$C$55)*0.01/1</f>
        <v>32.132251116106147</v>
      </c>
      <c r="J31" s="7">
        <f>(((0.621*15^0.564)/0.2))*D31/15+J30*inputs!$C$53</f>
        <v>19.898654489380966</v>
      </c>
      <c r="K31" s="7">
        <f>(((0.621*1000^0.564)/0.2))*D31/1000+K30*inputs!$C$53</f>
        <v>3.1885960234956618</v>
      </c>
      <c r="L31" s="7">
        <f>(((0.648*20^0.651)/0.2))*H31/20+L30*inputs!$C$54</f>
        <v>10.909586564090919</v>
      </c>
      <c r="M31" s="7">
        <f>(((0.013*2^0.773)/0.2))*H31/2+M30*inputs!$C$54</f>
        <v>0.53198856649919801</v>
      </c>
      <c r="N31" s="7">
        <f>O31*0.015*inputs!$C$56</f>
        <v>4.7208574470544757</v>
      </c>
      <c r="O31" s="7">
        <f>IF((B31&gt;B30), (EXP(-LN(2)/inputs!$C$52)*O30+$O$3), (EXP(-LN(2)/inputs!$C$52)*O30))</f>
        <v>0.50926186052367595</v>
      </c>
      <c r="P31" s="3">
        <f>IF((B31&gt;B30), (EXP(-LN(2)/inputs!$C$52)*P30+$P$3), (EXP(-LN(2)/inputs!$C$52)*P30))</f>
        <v>0.49210224209961723</v>
      </c>
      <c r="Q31" s="19">
        <f>IF((F31*0.62*1/(0.012*(10^inputs!$C$55)))&gt;inputs!$C$57, inputs!$C$57, (F31*0.62*1/(0.012*(10^inputs!$C$55))))</f>
        <v>8.5176211560688567E-2</v>
      </c>
      <c r="R31" s="3">
        <f>IF((B31&gt;B30), (EXP(-LN(2)/inputs!$C$51)*R30+$R$3), (EXP(-LN(2)/inputs!$C$51)*R30))</f>
        <v>1.9790216785162179E-7</v>
      </c>
      <c r="T31" s="7">
        <f>IF(T30&lt;(inputs!$C$20-1),(1+T30),0)</f>
        <v>0</v>
      </c>
      <c r="U31" s="7">
        <f>IF(inputs!$C$19&gt;U30,IF(T30=(inputs!$C$20-1),(U30+1),U30), U30)</f>
        <v>1</v>
      </c>
      <c r="V31" s="7">
        <f t="shared" si="0"/>
        <v>28</v>
      </c>
      <c r="W31" s="8">
        <f>IF((U31&gt;U30), (EXP(-LN(2)/inputs!$C$51)*W30+$W$3), (EXP(-LN(2)/inputs!$C$51)*W30))</f>
        <v>6.549272088936628</v>
      </c>
      <c r="X31" s="8">
        <f>IF((U31&gt;U30), (EXP(-LN(2)/inputs!$C$51)*X30+$X$3), (EXP(-LN(2)/inputs!$C$51)*X30))</f>
        <v>2.7738093553143366</v>
      </c>
      <c r="Y31" s="8">
        <f>IF((U31&gt;U30), (EXP(-LN(2)/inputs!$C$51)*Y30+$Y$3), (EXP(-LN(2)/inputs!$C$51)*Y30))</f>
        <v>3.4672616941429211</v>
      </c>
      <c r="Z31" s="8">
        <f>IF((U31&gt;U30), (EXP(-LN(2)/inputs!$C$51)*Z30+$Z$3), (EXP(-LN(2)/inputs!$C$51)*Z30))</f>
        <v>0.53935181908889862</v>
      </c>
      <c r="AA31" s="8">
        <f>IF((U31&gt;U30), (EXP(-LN(2)/inputs!$C$51)*AA30+$AA$3), (EXP(-LN(2)/inputs!$C$51)*AA30))</f>
        <v>5.0082668915397734</v>
      </c>
      <c r="AB31" s="7">
        <f>(((0.621*15^0.564)/0.2))*W31/15+AB30*inputs!$C$53</f>
        <v>7.0474401316557582</v>
      </c>
      <c r="AC31" s="7">
        <f>(((0.621*1000^0.564)/0.2))*W31/1000+AC30*inputs!$C$53</f>
        <v>1.1292944249880468</v>
      </c>
      <c r="AD31" s="7">
        <f>(((0.648*20^0.651)/0.2))*AA31/20+AD30*inputs!$C$54</f>
        <v>7.5438630496373404</v>
      </c>
      <c r="AE31" s="7">
        <f>(((0.013*2^0.773)/0.2))*AA31/2+AE30*inputs!$C$54</f>
        <v>0.36786443428136051</v>
      </c>
    </row>
    <row r="32" spans="1:31" x14ac:dyDescent="0.3">
      <c r="A32" s="7">
        <f>IF(A31&lt;(inputs!$C$20-1),(1+A31),0)</f>
        <v>0</v>
      </c>
      <c r="B32" s="7">
        <f>IF(inputs!$C$19&gt;B31,IF(A31=(inputs!$C$20-1),(B31+1),B31), B31)</f>
        <v>1</v>
      </c>
      <c r="C32" s="7">
        <f t="shared" si="1"/>
        <v>29</v>
      </c>
      <c r="D32" s="8">
        <f>IF((B32&gt;B31), (EXP(-LN(2)/inputs!$C$51)*D31+$D$3), (EXP(-LN(2)/inputs!$C$51)*D31))</f>
        <v>16.225094581884466</v>
      </c>
      <c r="E32" s="8">
        <f>IF((B32&gt;B31), (EXP(-LN(2)/inputs!$C$51)*E31+$E$3), (EXP(-LN(2)/inputs!$C$51)*E31))</f>
        <v>7.4365016833637148</v>
      </c>
      <c r="F32" s="8">
        <f>IF((B32&gt;B31), (EXP(-LN(2)/inputs!$C$51)*F31+$F$3), (EXP(-LN(2)/inputs!$C$51)*F31))</f>
        <v>9.1266157023100085</v>
      </c>
      <c r="G32" s="8">
        <f>IF((B32&gt;B31), (EXP(-LN(2)/inputs!$C$51)*G31+$G$3), (EXP(-LN(2)/inputs!$C$51)*G31))</f>
        <v>1.0140684113677791</v>
      </c>
      <c r="H32" s="8">
        <f>IF((B32&gt;B31), (EXP(-LN(2)/inputs!$C$51)*H31+$H$3), (EXP(-LN(2)/inputs!$C$51)*H31))</f>
        <v>6.3548287112380777</v>
      </c>
      <c r="I32" s="7">
        <f>O32*(10^inputs!$C$55)*0.01/1</f>
        <v>31.48381334326762</v>
      </c>
      <c r="J32" s="7">
        <f>(((0.621*15^0.564)/0.2))*D32/15+J31*inputs!$C$53</f>
        <v>17.45925060732187</v>
      </c>
      <c r="K32" s="7">
        <f>(((0.621*1000^0.564)/0.2))*D32/1000+K31*inputs!$C$53</f>
        <v>2.7977015777337924</v>
      </c>
      <c r="L32" s="7">
        <f>(((0.648*20^0.651)/0.2))*H32/20+L31*inputs!$C$54</f>
        <v>9.5721650901764246</v>
      </c>
      <c r="M32" s="7">
        <f>(((0.013*2^0.773)/0.2))*H32/2+M31*inputs!$C$54</f>
        <v>0.46677134414771987</v>
      </c>
      <c r="N32" s="7">
        <f>O32*0.015*inputs!$C$56</f>
        <v>4.6255892295307506</v>
      </c>
      <c r="O32" s="7">
        <f>IF((B32&gt;B31), (EXP(-LN(2)/inputs!$C$52)*O31+$O$3), (EXP(-LN(2)/inputs!$C$52)*O31))</f>
        <v>0.49898481440461173</v>
      </c>
      <c r="P32" s="3">
        <f>IF((B32&gt;B31), (EXP(-LN(2)/inputs!$C$52)*P31+$P$3), (EXP(-LN(2)/inputs!$C$52)*P31))</f>
        <v>0.48217148185742637</v>
      </c>
      <c r="Q32" s="19">
        <f>IF((F32*0.62*1/(0.012*(10^inputs!$C$55)))&gt;inputs!$C$57, inputs!$C$57, (F32*0.62*1/(0.012*(10^inputs!$C$55))))</f>
        <v>7.4734340666799071E-2</v>
      </c>
      <c r="R32" s="3">
        <f>IF((B32&gt;B31), (EXP(-LN(2)/inputs!$C$51)*R31+$R$3), (EXP(-LN(2)/inputs!$C$51)*R31))</f>
        <v>1.7364106432913051E-7</v>
      </c>
      <c r="T32" s="7">
        <f>IF(T31&lt;(inputs!$C$20-1),(1+T31),0)</f>
        <v>0</v>
      </c>
      <c r="U32" s="7">
        <f>IF(inputs!$C$19&gt;U31,IF(T31=(inputs!$C$20-1),(U31+1),U31), U31)</f>
        <v>1</v>
      </c>
      <c r="V32" s="7">
        <f t="shared" si="0"/>
        <v>29</v>
      </c>
      <c r="W32" s="8">
        <f>IF((U32&gt;U31), (EXP(-LN(2)/inputs!$C$51)*W31+$W$3), (EXP(-LN(2)/inputs!$C$51)*W31))</f>
        <v>5.7463876644174139</v>
      </c>
      <c r="X32" s="8">
        <f>IF((U32&gt;U31), (EXP(-LN(2)/inputs!$C$51)*X31+$X$3), (EXP(-LN(2)/inputs!$C$51)*X31))</f>
        <v>2.4337641872826694</v>
      </c>
      <c r="Y32" s="8">
        <f>IF((U32&gt;U31), (EXP(-LN(2)/inputs!$C$51)*Y31+$Y$3), (EXP(-LN(2)/inputs!$C$51)*Y31))</f>
        <v>3.0422052341033372</v>
      </c>
      <c r="Z32" s="8">
        <f>IF((U32&gt;U31), (EXP(-LN(2)/inputs!$C$51)*Z31+$Z$3), (EXP(-LN(2)/inputs!$C$51)*Z31))</f>
        <v>0.47323192530496339</v>
      </c>
      <c r="AA32" s="8">
        <f>IF((U32&gt;U31), (EXP(-LN(2)/inputs!$C$51)*AA31+$AA$3), (EXP(-LN(2)/inputs!$C$51)*AA31))</f>
        <v>4.3942964492603744</v>
      </c>
      <c r="AB32" s="7">
        <f>(((0.621*15^0.564)/0.2))*W32/15+AB31*inputs!$C$53</f>
        <v>6.1834845900931619</v>
      </c>
      <c r="AC32" s="7">
        <f>(((0.621*1000^0.564)/0.2))*W32/1000+AC31*inputs!$C$53</f>
        <v>0.99085264211405111</v>
      </c>
      <c r="AD32" s="7">
        <f>(((0.648*20^0.651)/0.2))*AA32/20+AD31*inputs!$C$54</f>
        <v>6.6190503283134881</v>
      </c>
      <c r="AE32" s="7">
        <f>(((0.013*2^0.773)/0.2))*AA32/2+AE31*inputs!$C$54</f>
        <v>0.3227674188255511</v>
      </c>
    </row>
    <row r="33" spans="1:31" x14ac:dyDescent="0.3">
      <c r="A33" s="7">
        <f>IF(A32&lt;(inputs!$C$20-1),(1+A32),0)</f>
        <v>0</v>
      </c>
      <c r="B33" s="7">
        <f>IF(inputs!$C$19&gt;B32,IF(A32=(inputs!$C$20-1),(B32+1),B32), B32)</f>
        <v>1</v>
      </c>
      <c r="C33" s="7">
        <f t="shared" si="1"/>
        <v>30</v>
      </c>
      <c r="D33" s="8">
        <f>IF((B33&gt;B32), (EXP(-LN(2)/inputs!$C$51)*D32+$D$3), (EXP(-LN(2)/inputs!$C$51)*D32))</f>
        <v>14.236037546347372</v>
      </c>
      <c r="E33" s="8">
        <f>IF((B33&gt;B32), (EXP(-LN(2)/inputs!$C$51)*E32+$E$3), (EXP(-LN(2)/inputs!$C$51)*E32))</f>
        <v>6.52485054207588</v>
      </c>
      <c r="F33" s="8">
        <f>IF((B33&gt;B32), (EXP(-LN(2)/inputs!$C$51)*F32+$F$3), (EXP(-LN(2)/inputs!$C$51)*F32))</f>
        <v>8.0077711198203936</v>
      </c>
      <c r="G33" s="8">
        <f>IF((B33&gt;B32), (EXP(-LN(2)/inputs!$C$51)*G32+$G$3), (EXP(-LN(2)/inputs!$C$51)*G32))</f>
        <v>0.88975234664671077</v>
      </c>
      <c r="H33" s="8">
        <f>IF((B33&gt;B32), (EXP(-LN(2)/inputs!$C$51)*H32+$H$3), (EXP(-LN(2)/inputs!$C$51)*H32))</f>
        <v>5.5757813723193834</v>
      </c>
      <c r="I33" s="7">
        <f>O33*(10^inputs!$C$55)*0.01/1</f>
        <v>30.848461225203938</v>
      </c>
      <c r="J33" s="7">
        <f>(((0.621*15^0.564)/0.2))*D33/15+J32*inputs!$C$53</f>
        <v>15.318896658663075</v>
      </c>
      <c r="K33" s="7">
        <f>(((0.621*1000^0.564)/0.2))*D33/1000+K32*inputs!$C$53</f>
        <v>2.454727428742526</v>
      </c>
      <c r="L33" s="7">
        <f>(((0.648*20^0.651)/0.2))*H33/20+L32*inputs!$C$54</f>
        <v>8.3986999851288449</v>
      </c>
      <c r="M33" s="7">
        <f>(((0.013*2^0.773)/0.2))*H33/2+M32*inputs!$C$54</f>
        <v>0.40954919229039027</v>
      </c>
      <c r="N33" s="7">
        <f>O33*0.015*inputs!$C$56</f>
        <v>4.5322435511584276</v>
      </c>
      <c r="O33" s="7">
        <f>IF((B33&gt;B32), (EXP(-LN(2)/inputs!$C$52)*O32+$O$3), (EXP(-LN(2)/inputs!$C$52)*O32))</f>
        <v>0.48891516193726292</v>
      </c>
      <c r="P33" s="3">
        <f>IF((B33&gt;B32), (EXP(-LN(2)/inputs!$C$52)*P32+$P$3), (EXP(-LN(2)/inputs!$C$52)*P32))</f>
        <v>0.4724411271215529</v>
      </c>
      <c r="Q33" s="19">
        <f>IF((F33*0.62*1/(0.012*(10^inputs!$C$55)))&gt;inputs!$C$57, inputs!$C$57, (F33*0.62*1/(0.012*(10^inputs!$C$55))))</f>
        <v>6.5572553328715186E-2</v>
      </c>
      <c r="R33" s="3">
        <f>IF((B33&gt;B32), (EXP(-LN(2)/inputs!$C$51)*R32+$R$3), (EXP(-LN(2)/inputs!$C$51)*R32))</f>
        <v>1.5235416341653861E-7</v>
      </c>
      <c r="T33" s="7">
        <f>IF(T32&lt;(inputs!$C$20-1),(1+T32),0)</f>
        <v>0</v>
      </c>
      <c r="U33" s="7">
        <f>IF(inputs!$C$19&gt;U32,IF(T32=(inputs!$C$20-1),(U32+1),U32), U32)</f>
        <v>1</v>
      </c>
      <c r="V33" s="7">
        <f t="shared" si="0"/>
        <v>30</v>
      </c>
      <c r="W33" s="8">
        <f>IF((U33&gt;U32), (EXP(-LN(2)/inputs!$C$51)*W32+$W$3), (EXP(-LN(2)/inputs!$C$51)*W32))</f>
        <v>5.0419299643313602</v>
      </c>
      <c r="X33" s="8">
        <f>IF((U33&gt;U32), (EXP(-LN(2)/inputs!$C$51)*X32+$X$3), (EXP(-LN(2)/inputs!$C$51)*X32))</f>
        <v>2.1354056319521053</v>
      </c>
      <c r="Y33" s="8">
        <f>IF((U33&gt;U32), (EXP(-LN(2)/inputs!$C$51)*Y32+$Y$3), (EXP(-LN(2)/inputs!$C$51)*Y32))</f>
        <v>2.6692570399401321</v>
      </c>
      <c r="Z33" s="8">
        <f>IF((U33&gt;U32), (EXP(-LN(2)/inputs!$C$51)*Z32+$Z$3), (EXP(-LN(2)/inputs!$C$51)*Z32))</f>
        <v>0.41521776176846481</v>
      </c>
      <c r="AA33" s="8">
        <f>IF((U33&gt;U32), (EXP(-LN(2)/inputs!$C$51)*AA32+$AA$3), (EXP(-LN(2)/inputs!$C$51)*AA32))</f>
        <v>3.8555935021357448</v>
      </c>
      <c r="AB33" s="7">
        <f>(((0.621*15^0.564)/0.2))*W33/15+AB32*inputs!$C$53</f>
        <v>5.4254425666098376</v>
      </c>
      <c r="AC33" s="7">
        <f>(((0.621*1000^0.564)/0.2))*W33/1000+AC32*inputs!$C$53</f>
        <v>0.86938263101297775</v>
      </c>
      <c r="AD33" s="7">
        <f>(((0.648*20^0.651)/0.2))*AA33/20+AD32*inputs!$C$54</f>
        <v>5.8076116918444152</v>
      </c>
      <c r="AE33" s="7">
        <f>(((0.013*2^0.773)/0.2))*AA33/2+AE32*inputs!$C$54</f>
        <v>0.28319890956250404</v>
      </c>
    </row>
    <row r="34" spans="1:31" x14ac:dyDescent="0.3">
      <c r="A34" s="7">
        <f>IF(A33&lt;(inputs!$C$20-1),(1+A33),0)</f>
        <v>0</v>
      </c>
      <c r="B34" s="7">
        <f>IF(inputs!$C$19&gt;B33,IF(A33=(inputs!$C$20-1),(B33+1),B33), B33)</f>
        <v>1</v>
      </c>
      <c r="C34" s="7">
        <f t="shared" si="1"/>
        <v>31</v>
      </c>
      <c r="D34" s="8">
        <f>IF((B34&gt;B33), (EXP(-LN(2)/inputs!$C$51)*D33+$D$3), (EXP(-LN(2)/inputs!$C$51)*D33))</f>
        <v>12.490821794486795</v>
      </c>
      <c r="E34" s="8">
        <f>IF((B34&gt;B33), (EXP(-LN(2)/inputs!$C$51)*E33+$E$3), (EXP(-LN(2)/inputs!$C$51)*E33))</f>
        <v>5.7249599891397818</v>
      </c>
      <c r="F34" s="8">
        <f>IF((B34&gt;B33), (EXP(-LN(2)/inputs!$C$51)*F33+$F$3), (EXP(-LN(2)/inputs!$C$51)*F33))</f>
        <v>7.0260872593988193</v>
      </c>
      <c r="G34" s="8">
        <f>IF((B34&gt;B33), (EXP(-LN(2)/inputs!$C$51)*G33+$G$3), (EXP(-LN(2)/inputs!$C$51)*G33))</f>
        <v>0.78067636215542469</v>
      </c>
      <c r="H34" s="8">
        <f>IF((B34&gt;B33), (EXP(-LN(2)/inputs!$C$51)*H33+$H$3), (EXP(-LN(2)/inputs!$C$51)*H33))</f>
        <v>4.8922385361739913</v>
      </c>
      <c r="I34" s="7">
        <f>O34*(10^inputs!$C$55)*0.01/1</f>
        <v>30.225930689758812</v>
      </c>
      <c r="J34" s="7">
        <f>(((0.621*15^0.564)/0.2))*D34/15+J33*inputs!$C$53</f>
        <v>13.440931693848643</v>
      </c>
      <c r="K34" s="7">
        <f>(((0.621*1000^0.564)/0.2))*D34/1000+K33*inputs!$C$53</f>
        <v>2.1537989603243703</v>
      </c>
      <c r="L34" s="7">
        <f>(((0.648*20^0.651)/0.2))*H34/20+L33*inputs!$C$54</f>
        <v>7.3690916083963156</v>
      </c>
      <c r="M34" s="7">
        <f>(((0.013*2^0.773)/0.2))*H34/2+M33*inputs!$C$54</f>
        <v>0.35934198405425061</v>
      </c>
      <c r="N34" s="7">
        <f>O34*0.015*inputs!$C$56</f>
        <v>4.440781614562213</v>
      </c>
      <c r="O34" s="7">
        <f>IF((B34&gt;B33), (EXP(-LN(2)/inputs!$C$52)*O33+$O$3), (EXP(-LN(2)/inputs!$C$52)*O33))</f>
        <v>0.47904871786000142</v>
      </c>
      <c r="P34" s="3">
        <f>IF((B34&gt;B33), (EXP(-LN(2)/inputs!$C$52)*P33+$P$3), (EXP(-LN(2)/inputs!$C$52)*P33))</f>
        <v>0.46290713365308828</v>
      </c>
      <c r="Q34" s="19">
        <f>IF((F34*0.62*1/(0.012*(10^inputs!$C$55)))&gt;inputs!$C$57, inputs!$C$57, (F34*0.62*1/(0.012*(10^inputs!$C$55))))</f>
        <v>5.7533922313137843E-2</v>
      </c>
      <c r="R34" s="3">
        <f>IF((B34&gt;B33), (EXP(-LN(2)/inputs!$C$51)*R33+$R$3), (EXP(-LN(2)/inputs!$C$51)*R33))</f>
        <v>1.3367685345648552E-7</v>
      </c>
      <c r="T34" s="7">
        <f>IF(T33&lt;(inputs!$C$20-1),(1+T33),0)</f>
        <v>0</v>
      </c>
      <c r="U34" s="7">
        <f>IF(inputs!$C$19&gt;U33,IF(T33=(inputs!$C$20-1),(U33+1),U33), U33)</f>
        <v>1</v>
      </c>
      <c r="V34" s="7">
        <f t="shared" si="0"/>
        <v>31</v>
      </c>
      <c r="W34" s="8">
        <f>IF((U34&gt;U33), (EXP(-LN(2)/inputs!$C$51)*W33+$W$3), (EXP(-LN(2)/inputs!$C$51)*W33))</f>
        <v>4.4238327188807389</v>
      </c>
      <c r="X34" s="8">
        <f>IF((U34&gt;U33), (EXP(-LN(2)/inputs!$C$51)*X33+$X$3), (EXP(-LN(2)/inputs!$C$51)*X33))</f>
        <v>1.8736232691730188</v>
      </c>
      <c r="Y34" s="8">
        <f>IF((U34&gt;U33), (EXP(-LN(2)/inputs!$C$51)*Y33+$Y$3), (EXP(-LN(2)/inputs!$C$51)*Y33))</f>
        <v>2.3420290864662738</v>
      </c>
      <c r="Z34" s="8">
        <f>IF((U34&gt;U33), (EXP(-LN(2)/inputs!$C$51)*Z33+$Z$3), (EXP(-LN(2)/inputs!$C$51)*Z33))</f>
        <v>0.36431563567253133</v>
      </c>
      <c r="AA34" s="8">
        <f>IF((U34&gt;U33), (EXP(-LN(2)/inputs!$C$51)*AA33+$AA$3), (EXP(-LN(2)/inputs!$C$51)*AA33))</f>
        <v>3.3829309026735053</v>
      </c>
      <c r="AB34" s="7">
        <f>(((0.621*15^0.564)/0.2))*W34/15+AB33*inputs!$C$53</f>
        <v>4.7603299749047263</v>
      </c>
      <c r="AC34" s="7">
        <f>(((0.621*1000^0.564)/0.2))*W34/1000+AC33*inputs!$C$53</f>
        <v>0.76280379844821444</v>
      </c>
      <c r="AD34" s="7">
        <f>(((0.648*20^0.651)/0.2))*AA34/20+AD33*inputs!$C$54</f>
        <v>5.0956484526144745</v>
      </c>
      <c r="AE34" s="7">
        <f>(((0.013*2^0.773)/0.2))*AA34/2+AE33*inputs!$C$54</f>
        <v>0.24848115918644997</v>
      </c>
    </row>
    <row r="35" spans="1:31" x14ac:dyDescent="0.3">
      <c r="A35" s="7">
        <f>IF(A34&lt;(inputs!$C$20-1),(1+A34),0)</f>
        <v>0</v>
      </c>
      <c r="B35" s="7">
        <f>IF(inputs!$C$19&gt;B34,IF(A34=(inputs!$C$20-1),(B34+1),B34), B34)</f>
        <v>1</v>
      </c>
      <c r="C35" s="7">
        <f t="shared" si="1"/>
        <v>32</v>
      </c>
      <c r="D35" s="8">
        <f>IF((B35&gt;B34), (EXP(-LN(2)/inputs!$C$51)*D34+$D$3), (EXP(-LN(2)/inputs!$C$51)*D34))</f>
        <v>10.959554482325562</v>
      </c>
      <c r="E35" s="8">
        <f>IF((B35&gt;B34), (EXP(-LN(2)/inputs!$C$51)*E34+$E$3), (EXP(-LN(2)/inputs!$C$51)*E34))</f>
        <v>5.0231291377325489</v>
      </c>
      <c r="F35" s="8">
        <f>IF((B35&gt;B34), (EXP(-LN(2)/inputs!$C$51)*F34+$F$3), (EXP(-LN(2)/inputs!$C$51)*F34))</f>
        <v>6.1647493963081255</v>
      </c>
      <c r="G35" s="8">
        <f>IF((B35&gt;B34), (EXP(-LN(2)/inputs!$C$51)*G34+$G$3), (EXP(-LN(2)/inputs!$C$51)*G34))</f>
        <v>0.68497215514534759</v>
      </c>
      <c r="H35" s="8">
        <f>IF((B35&gt;B34), (EXP(-LN(2)/inputs!$C$51)*H34+$H$3), (EXP(-LN(2)/inputs!$C$51)*H34))</f>
        <v>4.2924921722441747</v>
      </c>
      <c r="I35" s="7">
        <f>O35*(10^inputs!$C$55)*0.01/1</f>
        <v>29.615962993825597</v>
      </c>
      <c r="J35" s="7">
        <f>(((0.621*15^0.564)/0.2))*D35/15+J34*inputs!$C$53</f>
        <v>11.793189080398928</v>
      </c>
      <c r="K35" s="7">
        <f>(((0.621*1000^0.564)/0.2))*D35/1000+K34*inputs!$C$53</f>
        <v>1.8897617336971162</v>
      </c>
      <c r="L35" s="7">
        <f>(((0.648*20^0.651)/0.2))*H35/20+L34*inputs!$C$54</f>
        <v>6.465704362471512</v>
      </c>
      <c r="M35" s="7">
        <f>(((0.013*2^0.773)/0.2))*H35/2+M34*inputs!$C$54</f>
        <v>0.31528974769040252</v>
      </c>
      <c r="N35" s="7">
        <f>O35*0.015*inputs!$C$56</f>
        <v>4.3511654053086506</v>
      </c>
      <c r="O35" s="7">
        <f>IF((B35&gt;B34), (EXP(-LN(2)/inputs!$C$52)*O34+$O$3), (EXP(-LN(2)/inputs!$C$52)*O34))</f>
        <v>0.46938138137094398</v>
      </c>
      <c r="P35" s="3">
        <f>IF((B35&gt;B34), (EXP(-LN(2)/inputs!$C$52)*P34+$P$3), (EXP(-LN(2)/inputs!$C$52)*P34))</f>
        <v>0.45356553882699108</v>
      </c>
      <c r="Q35" s="19">
        <f>IF((F35*0.62*1/(0.012*(10^inputs!$C$55)))&gt;inputs!$C$57, inputs!$C$57, (F35*0.62*1/(0.012*(10^inputs!$C$55))))</f>
        <v>5.0480758315760405E-2</v>
      </c>
      <c r="R35" s="3">
        <f>IF((B35&gt;B34), (EXP(-LN(2)/inputs!$C$51)*R34+$R$3), (EXP(-LN(2)/inputs!$C$51)*R34))</f>
        <v>1.1728922104459472E-7</v>
      </c>
      <c r="T35" s="7">
        <f>IF(T34&lt;(inputs!$C$20-1),(1+T34),0)</f>
        <v>0</v>
      </c>
      <c r="U35" s="7">
        <f>IF(inputs!$C$19&gt;U34,IF(T34=(inputs!$C$20-1),(U34+1),U34), U34)</f>
        <v>1</v>
      </c>
      <c r="V35" s="7">
        <f t="shared" si="0"/>
        <v>32</v>
      </c>
      <c r="W35" s="8">
        <f>IF((U35&gt;U34), (EXP(-LN(2)/inputs!$C$51)*W34+$W$3), (EXP(-LN(2)/inputs!$C$51)*W34))</f>
        <v>3.8815088791569687</v>
      </c>
      <c r="X35" s="8">
        <f>IF((U35&gt;U34), (EXP(-LN(2)/inputs!$C$51)*X34+$X$3), (EXP(-LN(2)/inputs!$C$51)*X34))</f>
        <v>1.6439331723488337</v>
      </c>
      <c r="Y35" s="8">
        <f>IF((U35&gt;U34), (EXP(-LN(2)/inputs!$C$51)*Y34+$Y$3), (EXP(-LN(2)/inputs!$C$51)*Y34))</f>
        <v>2.0549164654360426</v>
      </c>
      <c r="Z35" s="8">
        <f>IF((U35&gt;U34), (EXP(-LN(2)/inputs!$C$51)*Z34+$Z$3), (EXP(-LN(2)/inputs!$C$51)*Z34))</f>
        <v>0.31965367240116205</v>
      </c>
      <c r="AA35" s="8">
        <f>IF((U35&gt;U34), (EXP(-LN(2)/inputs!$C$51)*AA34+$AA$3), (EXP(-LN(2)/inputs!$C$51)*AA34))</f>
        <v>2.9682126722965045</v>
      </c>
      <c r="AB35" s="7">
        <f>(((0.621*15^0.564)/0.2))*W35/15+AB34*inputs!$C$53</f>
        <v>4.1767544659746187</v>
      </c>
      <c r="AC35" s="7">
        <f>(((0.621*1000^0.564)/0.2))*W35/1000+AC34*inputs!$C$53</f>
        <v>0.66929061401772838</v>
      </c>
      <c r="AD35" s="7">
        <f>(((0.648*20^0.651)/0.2))*AA35/20+AD34*inputs!$C$54</f>
        <v>4.4709657825600893</v>
      </c>
      <c r="AE35" s="7">
        <f>(((0.013*2^0.773)/0.2))*AA35/2+AE34*inputs!$C$54</f>
        <v>0.2180195063816614</v>
      </c>
    </row>
    <row r="36" spans="1:31" x14ac:dyDescent="0.3">
      <c r="A36" s="7">
        <f>IF(A35&lt;(inputs!$C$20-1),(1+A35),0)</f>
        <v>0</v>
      </c>
      <c r="B36" s="7">
        <f>IF(inputs!$C$19&gt;B35,IF(A35=(inputs!$C$20-1),(B35+1),B35), B35)</f>
        <v>1</v>
      </c>
      <c r="C36" s="7">
        <f t="shared" si="1"/>
        <v>33</v>
      </c>
      <c r="D36" s="8">
        <f>IF((B36&gt;B35), (EXP(-LN(2)/inputs!$C$51)*D35+$D$3), (EXP(-LN(2)/inputs!$C$51)*D35))</f>
        <v>9.616007371434705</v>
      </c>
      <c r="E36" s="8">
        <f>IF((B36&gt;B35), (EXP(-LN(2)/inputs!$C$51)*E35+$E$3), (EXP(-LN(2)/inputs!$C$51)*E35))</f>
        <v>4.4073367119075728</v>
      </c>
      <c r="F36" s="8">
        <f>IF((B36&gt;B35), (EXP(-LN(2)/inputs!$C$51)*F35+$F$3), (EXP(-LN(2)/inputs!$C$51)*F35))</f>
        <v>5.4090041464320198</v>
      </c>
      <c r="G36" s="8">
        <f>IF((B36&gt;B35), (EXP(-LN(2)/inputs!$C$51)*G35+$G$3), (EXP(-LN(2)/inputs!$C$51)*G35))</f>
        <v>0.60100046071466906</v>
      </c>
      <c r="H36" s="8">
        <f>IF((B36&gt;B35), (EXP(-LN(2)/inputs!$C$51)*H35+$H$3), (EXP(-LN(2)/inputs!$C$51)*H35))</f>
        <v>3.7662695538119233</v>
      </c>
      <c r="I36" s="7">
        <f>O36*(10^inputs!$C$55)*0.01/1</f>
        <v>29.018304615805562</v>
      </c>
      <c r="J36" s="7">
        <f>(((0.621*15^0.564)/0.2))*D36/15+J35*inputs!$C$53</f>
        <v>10.347445538294886</v>
      </c>
      <c r="K36" s="7">
        <f>(((0.621*1000^0.564)/0.2))*D36/1000+K35*inputs!$C$53</f>
        <v>1.6580931999373298</v>
      </c>
      <c r="L36" s="7">
        <f>(((0.648*20^0.651)/0.2))*H36/20+L35*inputs!$C$54</f>
        <v>5.6730646224088606</v>
      </c>
      <c r="M36" s="7">
        <f>(((0.013*2^0.773)/0.2))*H36/2+M35*inputs!$C$54</f>
        <v>0.2766379365893129</v>
      </c>
      <c r="N36" s="7">
        <f>O36*0.015*inputs!$C$56</f>
        <v>4.263357676106132</v>
      </c>
      <c r="O36" s="7">
        <f>IF((B36&gt;B35), (EXP(-LN(2)/inputs!$C$52)*O35+$O$3), (EXP(-LN(2)/inputs!$C$52)*O35))</f>
        <v>0.45990913442353099</v>
      </c>
      <c r="P36" s="3">
        <f>IF((B36&gt;B35), (EXP(-LN(2)/inputs!$C$52)*P35+$P$3), (EXP(-LN(2)/inputs!$C$52)*P35))</f>
        <v>0.44441245998509638</v>
      </c>
      <c r="Q36" s="19">
        <f>IF((F36*0.62*1/(0.012*(10^inputs!$C$55)))&gt;inputs!$C$57, inputs!$C$57, (F36*0.62*1/(0.012*(10^inputs!$C$55))))</f>
        <v>4.4292251556649183E-2</v>
      </c>
      <c r="R36" s="3">
        <f>IF((B36&gt;B35), (EXP(-LN(2)/inputs!$C$51)*R35+$R$3), (EXP(-LN(2)/inputs!$C$51)*R35))</f>
        <v>1.0291057140813014E-7</v>
      </c>
      <c r="T36" s="7">
        <f>IF(T35&lt;(inputs!$C$20-1),(1+T35),0)</f>
        <v>0</v>
      </c>
      <c r="U36" s="7">
        <f>IF(inputs!$C$19&gt;U35,IF(T35=(inputs!$C$20-1),(U35+1),U35), U35)</f>
        <v>1</v>
      </c>
      <c r="V36" s="7">
        <f t="shared" si="0"/>
        <v>33</v>
      </c>
      <c r="W36" s="8">
        <f>IF((U36&gt;U35), (EXP(-LN(2)/inputs!$C$51)*W35+$W$3), (EXP(-LN(2)/inputs!$C$51)*W35))</f>
        <v>3.4056692773831241</v>
      </c>
      <c r="X36" s="8">
        <f>IF((U36&gt;U35), (EXP(-LN(2)/inputs!$C$51)*X35+$X$3), (EXP(-LN(2)/inputs!$C$51)*X35))</f>
        <v>1.4424011057152053</v>
      </c>
      <c r="Y36" s="8">
        <f>IF((U36&gt;U35), (EXP(-LN(2)/inputs!$C$51)*Y35+$Y$3), (EXP(-LN(2)/inputs!$C$51)*Y35))</f>
        <v>1.8030013821440072</v>
      </c>
      <c r="Z36" s="8">
        <f>IF((U36&gt;U35), (EXP(-LN(2)/inputs!$C$51)*Z35+$Z$3), (EXP(-LN(2)/inputs!$C$51)*Z35))</f>
        <v>0.28046688166684541</v>
      </c>
      <c r="AA36" s="8">
        <f>IF((U36&gt;U35), (EXP(-LN(2)/inputs!$C$51)*AA35+$AA$3), (EXP(-LN(2)/inputs!$C$51)*AA35))</f>
        <v>2.6043353297635647</v>
      </c>
      <c r="AB36" s="7">
        <f>(((0.621*15^0.564)/0.2))*W36/15+AB35*inputs!$C$53</f>
        <v>3.6647202948127715</v>
      </c>
      <c r="AC36" s="7">
        <f>(((0.621*1000^0.564)/0.2))*W36/1000+AC35*inputs!$C$53</f>
        <v>0.58724134164447084</v>
      </c>
      <c r="AD36" s="7">
        <f>(((0.648*20^0.651)/0.2))*AA36/20+AD35*inputs!$C$54</f>
        <v>3.9228638346444256</v>
      </c>
      <c r="AE36" s="7">
        <f>(((0.013*2^0.773)/0.2))*AA36/2+AE35*inputs!$C$54</f>
        <v>0.19129219019473775</v>
      </c>
    </row>
    <row r="37" spans="1:31" x14ac:dyDescent="0.3">
      <c r="A37" s="7">
        <f>IF(A36&lt;(inputs!$C$20-1),(1+A36),0)</f>
        <v>0</v>
      </c>
      <c r="B37" s="7">
        <f>IF(inputs!$C$19&gt;B36,IF(A36=(inputs!$C$20-1),(B36+1),B36), B36)</f>
        <v>1</v>
      </c>
      <c r="C37" s="7">
        <f t="shared" si="1"/>
        <v>34</v>
      </c>
      <c r="D37" s="8">
        <f>IF((B37&gt;B36), (EXP(-LN(2)/inputs!$C$51)*D36+$D$3), (EXP(-LN(2)/inputs!$C$51)*D36))</f>
        <v>8.4371675798143784</v>
      </c>
      <c r="E37" s="8">
        <f>IF((B37&gt;B36), (EXP(-LN(2)/inputs!$C$51)*E36+$E$3), (EXP(-LN(2)/inputs!$C$51)*E36))</f>
        <v>3.867035140748257</v>
      </c>
      <c r="F37" s="8">
        <f>IF((B37&gt;B36), (EXP(-LN(2)/inputs!$C$51)*F36+$F$3), (EXP(-LN(2)/inputs!$C$51)*F36))</f>
        <v>4.7459067636455865</v>
      </c>
      <c r="G37" s="8">
        <f>IF((B37&gt;B36), (EXP(-LN(2)/inputs!$C$51)*G36+$G$3), (EXP(-LN(2)/inputs!$C$51)*G36))</f>
        <v>0.52732297373839865</v>
      </c>
      <c r="H37" s="8">
        <f>IF((B37&gt;B36), (EXP(-LN(2)/inputs!$C$51)*H36+$H$3), (EXP(-LN(2)/inputs!$C$51)*H36))</f>
        <v>3.3045573020939627</v>
      </c>
      <c r="I37" s="7">
        <f>O37*(10^inputs!$C$55)*0.01/1</f>
        <v>28.432707150236428</v>
      </c>
      <c r="J37" s="7">
        <f>(((0.621*15^0.564)/0.2))*D37/15+J36*inputs!$C$53</f>
        <v>9.0789377188851876</v>
      </c>
      <c r="K37" s="7">
        <f>(((0.621*1000^0.564)/0.2))*D37/1000+K36*inputs!$C$53</f>
        <v>1.4548252357188736</v>
      </c>
      <c r="L37" s="7">
        <f>(((0.648*20^0.651)/0.2))*H37/20+L36*inputs!$C$54</f>
        <v>4.9775956965846788</v>
      </c>
      <c r="M37" s="7">
        <f>(((0.013*2^0.773)/0.2))*H37/2+M36*inputs!$C$54</f>
        <v>0.24272450506554252</v>
      </c>
      <c r="N37" s="7">
        <f>O37*0.015*inputs!$C$56</f>
        <v>4.1773219313237639</v>
      </c>
      <c r="O37" s="7">
        <f>IF((B37&gt;B36), (EXP(-LN(2)/inputs!$C$52)*O36+$O$3), (EXP(-LN(2)/inputs!$C$52)*O36))</f>
        <v>0.45062804005650098</v>
      </c>
      <c r="P37" s="3">
        <f>IF((B37&gt;B36), (EXP(-LN(2)/inputs!$C$52)*P36+$P$3), (EXP(-LN(2)/inputs!$C$52)*P36))</f>
        <v>0.43544409282236191</v>
      </c>
      <c r="Q37" s="19">
        <f>IF((F37*0.62*1/(0.012*(10^inputs!$C$55)))&gt;inputs!$C$57, inputs!$C$57, (F37*0.62*1/(0.012*(10^inputs!$C$55))))</f>
        <v>3.8862402495744693E-2</v>
      </c>
      <c r="R37" s="3">
        <f>IF((B37&gt;B36), (EXP(-LN(2)/inputs!$C$51)*R36+$R$3), (EXP(-LN(2)/inputs!$C$51)*R36))</f>
        <v>9.0294620539096158E-8</v>
      </c>
      <c r="T37" s="7">
        <f>IF(T36&lt;(inputs!$C$20-1),(1+T36),0)</f>
        <v>0</v>
      </c>
      <c r="U37" s="7">
        <f>IF(inputs!$C$19&gt;U36,IF(T36=(inputs!$C$20-1),(U36+1),U36), U36)</f>
        <v>1</v>
      </c>
      <c r="V37" s="7">
        <f t="shared" si="0"/>
        <v>34</v>
      </c>
      <c r="W37" s="8">
        <f>IF((U37&gt;U36), (EXP(-LN(2)/inputs!$C$51)*W36+$W$3), (EXP(-LN(2)/inputs!$C$51)*W36))</f>
        <v>2.9881635178509254</v>
      </c>
      <c r="X37" s="8">
        <f>IF((U37&gt;U36), (EXP(-LN(2)/inputs!$C$51)*X36+$X$3), (EXP(-LN(2)/inputs!$C$51)*X36))</f>
        <v>1.2655751369721564</v>
      </c>
      <c r="Y37" s="8">
        <f>IF((U37&gt;U36), (EXP(-LN(2)/inputs!$C$51)*Y36+$Y$3), (EXP(-LN(2)/inputs!$C$51)*Y36))</f>
        <v>1.5819689212151962</v>
      </c>
      <c r="Z37" s="8">
        <f>IF((U37&gt;U36), (EXP(-LN(2)/inputs!$C$51)*Z36+$Z$3), (EXP(-LN(2)/inputs!$C$51)*Z36))</f>
        <v>0.24608405441125258</v>
      </c>
      <c r="AA37" s="8">
        <f>IF((U37&gt;U36), (EXP(-LN(2)/inputs!$C$51)*AA36+$AA$3), (EXP(-LN(2)/inputs!$C$51)*AA36))</f>
        <v>2.2850662195330602</v>
      </c>
      <c r="AB37" s="7">
        <f>(((0.621*15^0.564)/0.2))*W37/15+AB36*inputs!$C$53</f>
        <v>3.2154571087718371</v>
      </c>
      <c r="AC37" s="7">
        <f>(((0.621*1000^0.564)/0.2))*W37/1000+AC36*inputs!$C$53</f>
        <v>0.5152506043171009</v>
      </c>
      <c r="AD37" s="7">
        <f>(((0.648*20^0.651)/0.2))*AA37/20+AD36*inputs!$C$54</f>
        <v>3.4419544710425987</v>
      </c>
      <c r="AE37" s="7">
        <f>(((0.013*2^0.773)/0.2))*AA37/2+AE36*inputs!$C$54</f>
        <v>0.16784141307723693</v>
      </c>
    </row>
    <row r="38" spans="1:31" x14ac:dyDescent="0.3">
      <c r="A38" s="7">
        <f>IF(A37&lt;(inputs!$C$20-1),(1+A37),0)</f>
        <v>0</v>
      </c>
      <c r="B38" s="7">
        <f>IF(inputs!$C$19&gt;B37,IF(A37=(inputs!$C$20-1),(B37+1),B37), B37)</f>
        <v>1</v>
      </c>
      <c r="C38" s="7">
        <f t="shared" si="1"/>
        <v>35</v>
      </c>
      <c r="D38" s="8">
        <f>IF((B38&gt;B37), (EXP(-LN(2)/inputs!$C$51)*D37+$D$3), (EXP(-LN(2)/inputs!$C$51)*D37))</f>
        <v>7.4028434068525391</v>
      </c>
      <c r="E38" s="8">
        <f>IF((B38&gt;B37), (EXP(-LN(2)/inputs!$C$51)*E37+$E$3), (EXP(-LN(2)/inputs!$C$51)*E37))</f>
        <v>3.3929698948074143</v>
      </c>
      <c r="F38" s="8">
        <f>IF((B38&gt;B37), (EXP(-LN(2)/inputs!$C$51)*F37+$F$3), (EXP(-LN(2)/inputs!$C$51)*F37))</f>
        <v>4.1640994163545519</v>
      </c>
      <c r="G38" s="8">
        <f>IF((B38&gt;B37), (EXP(-LN(2)/inputs!$C$51)*G37+$G$3), (EXP(-LN(2)/inputs!$C$51)*G37))</f>
        <v>0.46267771292828369</v>
      </c>
      <c r="H38" s="8">
        <f>IF((B38&gt;B37), (EXP(-LN(2)/inputs!$C$51)*H37+$H$3), (EXP(-LN(2)/inputs!$C$51)*H37))</f>
        <v>2.8994470010172426</v>
      </c>
      <c r="I38" s="7">
        <f>O38*(10^inputs!$C$55)*0.01/1</f>
        <v>27.858927204547285</v>
      </c>
      <c r="J38" s="7">
        <f>(((0.621*15^0.564)/0.2))*D38/15+J37*inputs!$C$53</f>
        <v>7.9659380470611323</v>
      </c>
      <c r="K38" s="7">
        <f>(((0.621*1000^0.564)/0.2))*D38/1000+K37*inputs!$C$53</f>
        <v>1.2764761755035681</v>
      </c>
      <c r="L38" s="7">
        <f>(((0.648*20^0.651)/0.2))*H38/20+L37*inputs!$C$54</f>
        <v>4.3673852789883956</v>
      </c>
      <c r="M38" s="7">
        <f>(((0.013*2^0.773)/0.2))*H38/2+M37*inputs!$C$54</f>
        <v>0.21296856854009871</v>
      </c>
      <c r="N38" s="7">
        <f>O38*0.015*inputs!$C$56</f>
        <v>4.093022411822643</v>
      </c>
      <c r="O38" s="7">
        <f>IF((B38&gt;B37), (EXP(-LN(2)/inputs!$C$52)*O37+$O$3), (EXP(-LN(2)/inputs!$C$52)*O37))</f>
        <v>0.4415342407575667</v>
      </c>
      <c r="P38" s="3">
        <f>IF((B38&gt;B37), (EXP(-LN(2)/inputs!$C$52)*P37+$P$3), (EXP(-LN(2)/inputs!$C$52)*P37))</f>
        <v>0.42665670980568021</v>
      </c>
      <c r="Q38" s="19">
        <f>IF((F38*0.62*1/(0.012*(10^inputs!$C$55)))&gt;inputs!$C$57, inputs!$C$57, (F38*0.62*1/(0.012*(10^inputs!$C$55))))</f>
        <v>3.4098206224843365E-2</v>
      </c>
      <c r="R38" s="3">
        <f>IF((B38&gt;B37), (EXP(-LN(2)/inputs!$C$51)*R37+$R$3), (EXP(-LN(2)/inputs!$C$51)*R37))</f>
        <v>7.9225276730464768E-8</v>
      </c>
      <c r="T38" s="7">
        <f>IF(T37&lt;(inputs!$C$20-1),(1+T37),0)</f>
        <v>0</v>
      </c>
      <c r="U38" s="7">
        <f>IF(inputs!$C$19&gt;U37,IF(T37=(inputs!$C$20-1),(U37+1),U37), U37)</f>
        <v>1</v>
      </c>
      <c r="V38" s="7">
        <f t="shared" si="0"/>
        <v>35</v>
      </c>
      <c r="W38" s="8">
        <f>IF((U38&gt;U37), (EXP(-LN(2)/inputs!$C$51)*W37+$W$3), (EXP(-LN(2)/inputs!$C$51)*W37))</f>
        <v>2.621840373260274</v>
      </c>
      <c r="X38" s="8">
        <f>IF((U38&gt;U37), (EXP(-LN(2)/inputs!$C$51)*X37+$X$3), (EXP(-LN(2)/inputs!$C$51)*X37))</f>
        <v>1.1104265110278806</v>
      </c>
      <c r="Y38" s="8">
        <f>IF((U38&gt;U37), (EXP(-LN(2)/inputs!$C$51)*Y37+$Y$3), (EXP(-LN(2)/inputs!$C$51)*Y37))</f>
        <v>1.3880331387848512</v>
      </c>
      <c r="Z38" s="8">
        <f>IF((U38&gt;U37), (EXP(-LN(2)/inputs!$C$51)*Z37+$Z$3), (EXP(-LN(2)/inputs!$C$51)*Z37))</f>
        <v>0.21591626603319897</v>
      </c>
      <c r="AA38" s="8">
        <f>IF((U38&gt;U37), (EXP(-LN(2)/inputs!$C$51)*AA37+$AA$3), (EXP(-LN(2)/inputs!$C$51)*AA37))</f>
        <v>2.0049367560225622</v>
      </c>
      <c r="AB38" s="7">
        <f>(((0.621*15^0.564)/0.2))*W38/15+AB37*inputs!$C$53</f>
        <v>2.8212697250008176</v>
      </c>
      <c r="AC38" s="7">
        <f>(((0.621*1000^0.564)/0.2))*W38/1000+AC37*inputs!$C$53</f>
        <v>0.45208531215751369</v>
      </c>
      <c r="AD38" s="7">
        <f>(((0.648*20^0.651)/0.2))*AA38/20+AD37*inputs!$C$54</f>
        <v>3.0200004588749549</v>
      </c>
      <c r="AE38" s="7">
        <f>(((0.013*2^0.773)/0.2))*AA38/2+AE37*inputs!$C$54</f>
        <v>0.14726549952240875</v>
      </c>
    </row>
    <row r="39" spans="1:31" x14ac:dyDescent="0.3">
      <c r="A39" s="7">
        <f>IF(A38&lt;(inputs!$C$20-1),(1+A38),0)</f>
        <v>0</v>
      </c>
      <c r="B39" s="7">
        <f>IF(inputs!$C$19&gt;B38,IF(A38=(inputs!$C$20-1),(B38+1),B38), B38)</f>
        <v>1</v>
      </c>
      <c r="C39" s="7">
        <f t="shared" si="1"/>
        <v>36</v>
      </c>
      <c r="D39" s="8">
        <f>IF((B39&gt;B38), (EXP(-LN(2)/inputs!$C$51)*D38+$D$3), (EXP(-LN(2)/inputs!$C$51)*D38))</f>
        <v>6.4953184807532036</v>
      </c>
      <c r="E39" s="8">
        <f>IF((B39&gt;B38), (EXP(-LN(2)/inputs!$C$51)*E38+$E$3), (EXP(-LN(2)/inputs!$C$51)*E38))</f>
        <v>2.9770209703452184</v>
      </c>
      <c r="F39" s="8">
        <f>IF((B39&gt;B38), (EXP(-LN(2)/inputs!$C$51)*F38+$F$3), (EXP(-LN(2)/inputs!$C$51)*F38))</f>
        <v>3.6536166454236758</v>
      </c>
      <c r="G39" s="8">
        <f>IF((B39&gt;B38), (EXP(-LN(2)/inputs!$C$51)*G38+$G$3), (EXP(-LN(2)/inputs!$C$51)*G38))</f>
        <v>0.40595740504707523</v>
      </c>
      <c r="H39" s="8">
        <f>IF((B39&gt;B38), (EXP(-LN(2)/inputs!$C$51)*H38+$H$3), (EXP(-LN(2)/inputs!$C$51)*H38))</f>
        <v>2.5439997382950028</v>
      </c>
      <c r="I39" s="7">
        <f>O39*(10^inputs!$C$55)*0.01/1</f>
        <v>27.296726297897077</v>
      </c>
      <c r="J39" s="7">
        <f>(((0.621*15^0.564)/0.2))*D39/15+J38*inputs!$C$53</f>
        <v>6.989382561532536</v>
      </c>
      <c r="K39" s="7">
        <f>(((0.621*1000^0.564)/0.2))*D39/1000+K38*inputs!$C$53</f>
        <v>1.1199911760006582</v>
      </c>
      <c r="L39" s="7">
        <f>(((0.648*20^0.651)/0.2))*H39/20+L38*inputs!$C$54</f>
        <v>3.8319814098625948</v>
      </c>
      <c r="M39" s="7">
        <f>(((0.013*2^0.773)/0.2))*H39/2+M38*inputs!$C$54</f>
        <v>0.18686045388689293</v>
      </c>
      <c r="N39" s="7">
        <f>O39*0.015*inputs!$C$56</f>
        <v>4.0104240800932462</v>
      </c>
      <c r="O39" s="7">
        <f>IF((B39&gt;B38), (EXP(-LN(2)/inputs!$C$52)*O38+$O$3), (EXP(-LN(2)/inputs!$C$52)*O38))</f>
        <v>0.43262395686011285</v>
      </c>
      <c r="P39" s="3">
        <f>IF((B39&gt;B38), (EXP(-LN(2)/inputs!$C$52)*P38+$P$3), (EXP(-LN(2)/inputs!$C$52)*P38))</f>
        <v>0.41804665862459967</v>
      </c>
      <c r="Q39" s="19">
        <f>IF((F39*0.62*1/(0.012*(10^inputs!$C$55)))&gt;inputs!$C$57, inputs!$C$57, (F39*0.62*1/(0.012*(10^inputs!$C$55))))</f>
        <v>2.9918059437505366E-2</v>
      </c>
      <c r="R39" s="3">
        <f>IF((B39&gt;B38), (EXP(-LN(2)/inputs!$C$51)*R38+$R$3), (EXP(-LN(2)/inputs!$C$51)*R38))</f>
        <v>6.9512939259776097E-8</v>
      </c>
      <c r="T39" s="7">
        <f>IF(T38&lt;(inputs!$C$20-1),(1+T38),0)</f>
        <v>0</v>
      </c>
      <c r="U39" s="7">
        <f>IF(inputs!$C$19&gt;U38,IF(T38=(inputs!$C$20-1),(U38+1),U38), U38)</f>
        <v>1</v>
      </c>
      <c r="V39" s="7">
        <f t="shared" si="0"/>
        <v>36</v>
      </c>
      <c r="W39" s="8">
        <f>IF((U39&gt;U38), (EXP(-LN(2)/inputs!$C$51)*W38+$W$3), (EXP(-LN(2)/inputs!$C$51)*W38))</f>
        <v>2.3004252952667592</v>
      </c>
      <c r="X39" s="8">
        <f>IF((U39&gt;U38), (EXP(-LN(2)/inputs!$C$51)*X38+$X$3), (EXP(-LN(2)/inputs!$C$51)*X38))</f>
        <v>0.9742977721129803</v>
      </c>
      <c r="Y39" s="8">
        <f>IF((U39&gt;U38), (EXP(-LN(2)/inputs!$C$51)*Y38+$Y$3), (EXP(-LN(2)/inputs!$C$51)*Y38))</f>
        <v>1.2178722151412258</v>
      </c>
      <c r="Z39" s="8">
        <f>IF((U39&gt;U38), (EXP(-LN(2)/inputs!$C$51)*Z38+$Z$3), (EXP(-LN(2)/inputs!$C$51)*Z38))</f>
        <v>0.18944678902196835</v>
      </c>
      <c r="AA39" s="8">
        <f>IF((U39&gt;U38), (EXP(-LN(2)/inputs!$C$51)*AA38+$AA$3), (EXP(-LN(2)/inputs!$C$51)*AA38))</f>
        <v>1.7591487552039922</v>
      </c>
      <c r="AB39" s="7">
        <f>(((0.621*15^0.564)/0.2))*W39/15+AB38*inputs!$C$53</f>
        <v>2.4754063238761064</v>
      </c>
      <c r="AC39" s="7">
        <f>(((0.621*1000^0.564)/0.2))*W39/1000+AC38*inputs!$C$53</f>
        <v>0.39666354150023309</v>
      </c>
      <c r="AD39" s="7">
        <f>(((0.648*20^0.651)/0.2))*AA39/20+AD38*inputs!$C$54</f>
        <v>2.6497743791603061</v>
      </c>
      <c r="AE39" s="7">
        <f>(((0.013*2^0.773)/0.2))*AA39/2+AE38*inputs!$C$54</f>
        <v>0.12921201598561752</v>
      </c>
    </row>
    <row r="40" spans="1:31" x14ac:dyDescent="0.3">
      <c r="A40" s="7">
        <f>IF(A39&lt;(inputs!$C$20-1),(1+A39),0)</f>
        <v>0</v>
      </c>
      <c r="B40" s="7">
        <f>IF(inputs!$C$19&gt;B39,IF(A39=(inputs!$C$20-1),(B39+1),B39), B39)</f>
        <v>1</v>
      </c>
      <c r="C40" s="7">
        <f t="shared" si="1"/>
        <v>37</v>
      </c>
      <c r="D40" s="8">
        <f>IF((B40&gt;B39), (EXP(-LN(2)/inputs!$C$51)*D39+$D$3), (EXP(-LN(2)/inputs!$C$51)*D39))</f>
        <v>5.6990483045151477</v>
      </c>
      <c r="E40" s="8">
        <f>IF((B40&gt;B39), (EXP(-LN(2)/inputs!$C$51)*E39+$E$3), (EXP(-LN(2)/inputs!$C$51)*E39))</f>
        <v>2.6120638062361095</v>
      </c>
      <c r="F40" s="8">
        <f>IF((B40&gt;B39), (EXP(-LN(2)/inputs!$C$51)*F39+$F$3), (EXP(-LN(2)/inputs!$C$51)*F39))</f>
        <v>3.2057146712897695</v>
      </c>
      <c r="G40" s="8">
        <f>IF((B40&gt;B39), (EXP(-LN(2)/inputs!$C$51)*G39+$G$3), (EXP(-LN(2)/inputs!$C$51)*G39))</f>
        <v>0.35619051903219673</v>
      </c>
      <c r="H40" s="8">
        <f>IF((B40&gt;B39), (EXP(-LN(2)/inputs!$C$51)*H39+$H$3), (EXP(-LN(2)/inputs!$C$51)*H39))</f>
        <v>2.2321272526017646</v>
      </c>
      <c r="I40" s="7">
        <f>O40*(10^inputs!$C$55)*0.01/1</f>
        <v>26.745870762054494</v>
      </c>
      <c r="J40" s="7">
        <f>(((0.621*15^0.564)/0.2))*D40/15+J39*inputs!$C$53</f>
        <v>6.1325443786846749</v>
      </c>
      <c r="K40" s="7">
        <f>(((0.621*1000^0.564)/0.2))*D40/1000+K39*inputs!$C$53</f>
        <v>0.98268989143059127</v>
      </c>
      <c r="L40" s="7">
        <f>(((0.648*20^0.651)/0.2))*H40/20+L39*inputs!$C$54</f>
        <v>3.3622134498135581</v>
      </c>
      <c r="M40" s="7">
        <f>(((0.013*2^0.773)/0.2))*H40/2+M39*inputs!$C$54</f>
        <v>0.16395296952114014</v>
      </c>
      <c r="N40" s="7">
        <f>O40*0.015*inputs!$C$56</f>
        <v>3.9294926056927442</v>
      </c>
      <c r="O40" s="7">
        <f>IF((B40&gt;B39), (EXP(-LN(2)/inputs!$C$52)*O39+$O$3), (EXP(-LN(2)/inputs!$C$52)*O39))</f>
        <v>0.42389348497224855</v>
      </c>
      <c r="P40" s="3">
        <f>IF((B40&gt;B39), (EXP(-LN(2)/inputs!$C$52)*P39+$P$3), (EXP(-LN(2)/inputs!$C$52)*P39))</f>
        <v>0.4096103606733103</v>
      </c>
      <c r="Q40" s="19">
        <f>IF((F40*0.62*1/(0.012*(10^inputs!$C$55)))&gt;inputs!$C$57, inputs!$C$57, (F40*0.62*1/(0.012*(10^inputs!$C$55))))</f>
        <v>2.6250362690749308E-2</v>
      </c>
      <c r="R40" s="3">
        <f>IF((B40&gt;B39), (EXP(-LN(2)/inputs!$C$51)*R39+$R$3), (EXP(-LN(2)/inputs!$C$51)*R39))</f>
        <v>6.0991250822292637E-8</v>
      </c>
      <c r="T40" s="7">
        <f>IF(T39&lt;(inputs!$C$20-1),(1+T39),0)</f>
        <v>0</v>
      </c>
      <c r="U40" s="7">
        <f>IF(inputs!$C$19&gt;U39,IF(T39=(inputs!$C$20-1),(U39+1),U39), U39)</f>
        <v>1</v>
      </c>
      <c r="V40" s="7">
        <f t="shared" si="0"/>
        <v>37</v>
      </c>
      <c r="W40" s="8">
        <f>IF((U40&gt;U39), (EXP(-LN(2)/inputs!$C$51)*W39+$W$3), (EXP(-LN(2)/inputs!$C$51)*W39))</f>
        <v>2.0184129411824476</v>
      </c>
      <c r="X40" s="8">
        <f>IF((U40&gt;U39), (EXP(-LN(2)/inputs!$C$51)*X39+$X$3), (EXP(-LN(2)/inputs!$C$51)*X39))</f>
        <v>0.85485724567727195</v>
      </c>
      <c r="Y40" s="8">
        <f>IF((U40&gt;U39), (EXP(-LN(2)/inputs!$C$51)*Y39+$Y$3), (EXP(-LN(2)/inputs!$C$51)*Y39))</f>
        <v>1.0685715570965904</v>
      </c>
      <c r="Z40" s="8">
        <f>IF((U40&gt;U39), (EXP(-LN(2)/inputs!$C$51)*Z39+$Z$3), (EXP(-LN(2)/inputs!$C$51)*Z39))</f>
        <v>0.16622224221502507</v>
      </c>
      <c r="AA40" s="8">
        <f>IF((U40&gt;U39), (EXP(-LN(2)/inputs!$C$51)*AA39+$AA$3), (EXP(-LN(2)/inputs!$C$51)*AA39))</f>
        <v>1.5434922491395187</v>
      </c>
      <c r="AB40" s="7">
        <f>(((0.621*15^0.564)/0.2))*W40/15+AB39*inputs!$C$53</f>
        <v>2.1719428007841555</v>
      </c>
      <c r="AC40" s="7">
        <f>(((0.621*1000^0.564)/0.2))*W40/1000+AC39*inputs!$C$53</f>
        <v>0.34803600321500106</v>
      </c>
      <c r="AD40" s="7">
        <f>(((0.648*20^0.651)/0.2))*AA40/20+AD39*inputs!$C$54</f>
        <v>2.3249348323178869</v>
      </c>
      <c r="AE40" s="7">
        <f>(((0.013*2^0.773)/0.2))*AA40/2+AE39*inputs!$C$54</f>
        <v>0.11337173424334163</v>
      </c>
    </row>
    <row r="41" spans="1:31" x14ac:dyDescent="0.3">
      <c r="A41" s="7">
        <f>IF(A40&lt;(inputs!$C$20-1),(1+A40),0)</f>
        <v>0</v>
      </c>
      <c r="B41" s="7">
        <f>IF(inputs!$C$19&gt;B40,IF(A40=(inputs!$C$20-1),(B40+1),B40), B40)</f>
        <v>1</v>
      </c>
      <c r="C41" s="7">
        <f t="shared" si="1"/>
        <v>38</v>
      </c>
      <c r="D41" s="8">
        <f>IF((B41&gt;B40), (EXP(-LN(2)/inputs!$C$51)*D40+$D$3), (EXP(-LN(2)/inputs!$C$51)*D40))</f>
        <v>5.0003940027634588</v>
      </c>
      <c r="E41" s="8">
        <f>IF((B41&gt;B40), (EXP(-LN(2)/inputs!$C$51)*E40+$E$3), (EXP(-LN(2)/inputs!$C$51)*E40))</f>
        <v>2.2918472512665855</v>
      </c>
      <c r="F41" s="8">
        <f>IF((B41&gt;B40), (EXP(-LN(2)/inputs!$C$51)*F40+$F$3), (EXP(-LN(2)/inputs!$C$51)*F40))</f>
        <v>2.8127216265544446</v>
      </c>
      <c r="G41" s="8">
        <f>IF((B41&gt;B40), (EXP(-LN(2)/inputs!$C$51)*G40+$G$3), (EXP(-LN(2)/inputs!$C$51)*G40))</f>
        <v>0.31252462517271618</v>
      </c>
      <c r="H41" s="8">
        <f>IF((B41&gt;B40), (EXP(-LN(2)/inputs!$C$51)*H40+$H$3), (EXP(-LN(2)/inputs!$C$51)*H40))</f>
        <v>1.9584876510823532</v>
      </c>
      <c r="I41" s="7">
        <f>O41*(10^inputs!$C$55)*0.01/1</f>
        <v>26.206131644278194</v>
      </c>
      <c r="J41" s="7">
        <f>(((0.621*15^0.564)/0.2))*D41/15+J40*inputs!$C$53</f>
        <v>5.3807471869576435</v>
      </c>
      <c r="K41" s="7">
        <f>(((0.621*1000^0.564)/0.2))*D41/1000+K40*inputs!$C$53</f>
        <v>0.86222056335138442</v>
      </c>
      <c r="L41" s="7">
        <f>(((0.648*20^0.651)/0.2))*H41/20+L40*inputs!$C$54</f>
        <v>2.9500350009559511</v>
      </c>
      <c r="M41" s="7">
        <f>(((0.013*2^0.773)/0.2))*H41/2+M40*inputs!$C$54</f>
        <v>0.14385374569982998</v>
      </c>
      <c r="N41" s="7">
        <f>O41*0.015*inputs!$C$56</f>
        <v>3.8501943509762029</v>
      </c>
      <c r="O41" s="7">
        <f>IF((B41&gt;B40), (EXP(-LN(2)/inputs!$C$52)*O40+$O$3), (EXP(-LN(2)/inputs!$C$52)*O40))</f>
        <v>0.41533919643756234</v>
      </c>
      <c r="P41" s="3">
        <f>IF((B41&gt;B40), (EXP(-LN(2)/inputs!$C$52)*P40+$P$3), (EXP(-LN(2)/inputs!$C$52)*P40))</f>
        <v>0.40134430956326372</v>
      </c>
      <c r="Q41" s="19">
        <f>IF((F41*0.62*1/(0.012*(10^inputs!$C$55)))&gt;inputs!$C$57, inputs!$C$57, (F41*0.62*1/(0.012*(10^inputs!$C$55))))</f>
        <v>2.3032294017440471E-2</v>
      </c>
      <c r="R41" s="3">
        <f>IF((B41&gt;B40), (EXP(-LN(2)/inputs!$C$51)*R40+$R$3), (EXP(-LN(2)/inputs!$C$51)*R40))</f>
        <v>5.3514248087914825E-8</v>
      </c>
      <c r="T41" s="7">
        <f>IF(T40&lt;(inputs!$C$20-1),(1+T40),0)</f>
        <v>0</v>
      </c>
      <c r="U41" s="7">
        <f>IF(inputs!$C$19&gt;U40,IF(T40=(inputs!$C$20-1),(U40+1),U40), U40)</f>
        <v>1</v>
      </c>
      <c r="V41" s="7">
        <f t="shared" si="0"/>
        <v>38</v>
      </c>
      <c r="W41" s="8">
        <f>IF((U41&gt;U40), (EXP(-LN(2)/inputs!$C$51)*W40+$W$3), (EXP(-LN(2)/inputs!$C$51)*W40))</f>
        <v>1.7709728759787244</v>
      </c>
      <c r="X41" s="8">
        <f>IF((U41&gt;U40), (EXP(-LN(2)/inputs!$C$51)*X40+$X$3), (EXP(-LN(2)/inputs!$C$51)*X40))</f>
        <v>0.75005910041451862</v>
      </c>
      <c r="Y41" s="8">
        <f>IF((U41&gt;U40), (EXP(-LN(2)/inputs!$C$51)*Y40+$Y$3), (EXP(-LN(2)/inputs!$C$51)*Y40))</f>
        <v>0.93757387551814864</v>
      </c>
      <c r="Z41" s="8">
        <f>IF((U41&gt;U40), (EXP(-LN(2)/inputs!$C$51)*Z40+$Z$3), (EXP(-LN(2)/inputs!$C$51)*Z40))</f>
        <v>0.14584482508060082</v>
      </c>
      <c r="AA41" s="8">
        <f>IF((U41&gt;U40), (EXP(-LN(2)/inputs!$C$51)*AA40+$AA$3), (EXP(-LN(2)/inputs!$C$51)*AA40))</f>
        <v>1.3542733757484362</v>
      </c>
      <c r="AB41" s="7">
        <f>(((0.621*15^0.564)/0.2))*W41/15+AB40*inputs!$C$53</f>
        <v>1.9056812953808318</v>
      </c>
      <c r="AC41" s="7">
        <f>(((0.621*1000^0.564)/0.2))*W41/1000+AC40*inputs!$C$53</f>
        <v>0.30536978285361521</v>
      </c>
      <c r="AD41" s="7">
        <f>(((0.648*20^0.651)/0.2))*AA41/20+AD40*inputs!$C$54</f>
        <v>2.039917819809967</v>
      </c>
      <c r="AE41" s="7">
        <f>(((0.013*2^0.773)/0.2))*AA41/2+AE40*inputs!$C$54</f>
        <v>9.9473334792435669E-2</v>
      </c>
    </row>
    <row r="42" spans="1:31" x14ac:dyDescent="0.3">
      <c r="A42" s="7">
        <f>IF(A41&lt;(inputs!$C$20-1),(1+A41),0)</f>
        <v>0</v>
      </c>
      <c r="B42" s="7">
        <f>IF(inputs!$C$19&gt;B41,IF(A41=(inputs!$C$20-1),(B41+1),B41), B41)</f>
        <v>1</v>
      </c>
      <c r="C42" s="7">
        <f t="shared" si="1"/>
        <v>39</v>
      </c>
      <c r="D42" s="8">
        <f>IF((B42&gt;B41), (EXP(-LN(2)/inputs!$C$51)*D41+$D$3), (EXP(-LN(2)/inputs!$C$51)*D41))</f>
        <v>4.3873887089293593</v>
      </c>
      <c r="E42" s="8">
        <f>IF((B42&gt;B41), (EXP(-LN(2)/inputs!$C$51)*E41+$E$3), (EXP(-LN(2)/inputs!$C$51)*E41))</f>
        <v>2.0108864915926232</v>
      </c>
      <c r="F42" s="8">
        <f>IF((B42&gt;B41), (EXP(-LN(2)/inputs!$C$51)*F41+$F$3), (EXP(-LN(2)/inputs!$C$51)*F41))</f>
        <v>2.4679061487727636</v>
      </c>
      <c r="G42" s="8">
        <f>IF((B42&gt;B41), (EXP(-LN(2)/inputs!$C$51)*G41+$G$3), (EXP(-LN(2)/inputs!$C$51)*G41))</f>
        <v>0.27421179430808496</v>
      </c>
      <c r="H42" s="8">
        <f>IF((B42&gt;B41), (EXP(-LN(2)/inputs!$C$51)*H41+$H$3), (EXP(-LN(2)/inputs!$C$51)*H41))</f>
        <v>1.718393910997331</v>
      </c>
      <c r="I42" s="7">
        <f>O42*(10^inputs!$C$55)*0.01/1</f>
        <v>25.6772846121569</v>
      </c>
      <c r="J42" s="7">
        <f>(((0.621*15^0.564)/0.2))*D42/15+J41*inputs!$C$53</f>
        <v>4.7211138643504444</v>
      </c>
      <c r="K42" s="7">
        <f>(((0.621*1000^0.564)/0.2))*D42/1000+K41*inputs!$C$53</f>
        <v>0.75651973867738509</v>
      </c>
      <c r="L42" s="7">
        <f>(((0.648*20^0.651)/0.2))*H42/20+L41*inputs!$C$54</f>
        <v>2.5883860845740658</v>
      </c>
      <c r="M42" s="7">
        <f>(((0.013*2^0.773)/0.2))*H42/2+M41*inputs!$C$54</f>
        <v>0.12621851383547569</v>
      </c>
      <c r="N42" s="7">
        <f>O42*0.015*inputs!$C$56</f>
        <v>3.7724963571157275</v>
      </c>
      <c r="O42" s="7">
        <f>IF((B42&gt;B41), (EXP(-LN(2)/inputs!$C$52)*O41+$O$3), (EXP(-LN(2)/inputs!$C$52)*O41))</f>
        <v>0.40695753582693933</v>
      </c>
      <c r="P42" s="3">
        <f>IF((B42&gt;B41), (EXP(-LN(2)/inputs!$C$52)*P41+$P$3), (EXP(-LN(2)/inputs!$C$52)*P41))</f>
        <v>0.39324506966580847</v>
      </c>
      <c r="Q42" s="19">
        <f>IF((F42*0.62*1/(0.012*(10^inputs!$C$55)))&gt;inputs!$C$57, inputs!$C$57, (F42*0.62*1/(0.012*(10^inputs!$C$55))))</f>
        <v>2.020873288325151E-2</v>
      </c>
      <c r="R42" s="3">
        <f>IF((B42&gt;B41), (EXP(-LN(2)/inputs!$C$51)*R41+$R$3), (EXP(-LN(2)/inputs!$C$51)*R41))</f>
        <v>4.6953861575309261E-8</v>
      </c>
      <c r="T42" s="7">
        <f>IF(T41&lt;(inputs!$C$20-1),(1+T41),0)</f>
        <v>0</v>
      </c>
      <c r="U42" s="7">
        <f>IF(inputs!$C$19&gt;U41,IF(T41=(inputs!$C$20-1),(U41+1),U41), U41)</f>
        <v>1</v>
      </c>
      <c r="V42" s="7">
        <f t="shared" si="0"/>
        <v>39</v>
      </c>
      <c r="W42" s="8">
        <f>IF((U42&gt;U41), (EXP(-LN(2)/inputs!$C$51)*W41+$W$3), (EXP(-LN(2)/inputs!$C$51)*W41))</f>
        <v>1.5538668344124809</v>
      </c>
      <c r="X42" s="8">
        <f>IF((U42&gt;U41), (EXP(-LN(2)/inputs!$C$51)*X41+$X$3), (EXP(-LN(2)/inputs!$C$51)*X41))</f>
        <v>0.65810830633940365</v>
      </c>
      <c r="Y42" s="8">
        <f>IF((U42&gt;U41), (EXP(-LN(2)/inputs!$C$51)*Y41+$Y$3), (EXP(-LN(2)/inputs!$C$51)*Y41))</f>
        <v>0.82263538292425487</v>
      </c>
      <c r="Z42" s="8">
        <f>IF((U42&gt;U41), (EXP(-LN(2)/inputs!$C$51)*Z41+$Z$3), (EXP(-LN(2)/inputs!$C$51)*Z41))</f>
        <v>0.12796550401043957</v>
      </c>
      <c r="AA42" s="8">
        <f>IF((U42&gt;U41), (EXP(-LN(2)/inputs!$C$51)*AA41+$AA$3), (EXP(-LN(2)/inputs!$C$51)*AA41))</f>
        <v>1.1882511086683676</v>
      </c>
      <c r="AB42" s="7">
        <f>(((0.621*15^0.564)/0.2))*W42/15+AB41*inputs!$C$53</f>
        <v>1.6720611602907818</v>
      </c>
      <c r="AC42" s="7">
        <f>(((0.621*1000^0.564)/0.2))*W42/1000+AC41*inputs!$C$53</f>
        <v>0.26793407411490711</v>
      </c>
      <c r="AD42" s="7">
        <f>(((0.648*20^0.651)/0.2))*AA42/20+AD41*inputs!$C$54</f>
        <v>1.789841441460791</v>
      </c>
      <c r="AE42" s="7">
        <f>(((0.013*2^0.773)/0.2))*AA42/2+AE41*inputs!$C$54</f>
        <v>8.7278759567084294E-2</v>
      </c>
    </row>
    <row r="43" spans="1:31" x14ac:dyDescent="0.3">
      <c r="A43" s="7">
        <f>IF(A42&lt;(inputs!$C$20-1),(1+A42),0)</f>
        <v>0</v>
      </c>
      <c r="B43" s="7">
        <f>IF(inputs!$C$19&gt;B42,IF(A42=(inputs!$C$20-1),(B42+1),B42), B42)</f>
        <v>1</v>
      </c>
      <c r="C43" s="7">
        <f t="shared" si="1"/>
        <v>40</v>
      </c>
      <c r="D43" s="8">
        <f>IF((B43&gt;B42), (EXP(-LN(2)/inputs!$C$51)*D42+$D$3), (EXP(-LN(2)/inputs!$C$51)*D42))</f>
        <v>3.8495325913523621</v>
      </c>
      <c r="E43" s="8">
        <f>IF((B43&gt;B42), (EXP(-LN(2)/inputs!$C$51)*E42+$E$3), (EXP(-LN(2)/inputs!$C$51)*E42))</f>
        <v>1.7643691043698329</v>
      </c>
      <c r="F43" s="8">
        <f>IF((B43&gt;B42), (EXP(-LN(2)/inputs!$C$51)*F42+$F$3), (EXP(-LN(2)/inputs!$C$51)*F42))</f>
        <v>2.1653620826357027</v>
      </c>
      <c r="G43" s="8">
        <f>IF((B43&gt;B42), (EXP(-LN(2)/inputs!$C$51)*G42+$G$3), (EXP(-LN(2)/inputs!$C$51)*G42))</f>
        <v>0.24059578695952263</v>
      </c>
      <c r="H43" s="8">
        <f>IF((B43&gt;B42), (EXP(-LN(2)/inputs!$C$51)*H42+$H$3), (EXP(-LN(2)/inputs!$C$51)*H42))</f>
        <v>1.507733598279674</v>
      </c>
      <c r="I43" s="7">
        <f>O43*(10^inputs!$C$55)*0.01/1</f>
        <v>25.159109860369835</v>
      </c>
      <c r="J43" s="7">
        <f>(((0.621*15^0.564)/0.2))*D43/15+J42*inputs!$C$53</f>
        <v>4.1423459132567935</v>
      </c>
      <c r="K43" s="7">
        <f>(((0.621*1000^0.564)/0.2))*D43/1000+K42*inputs!$C$53</f>
        <v>0.66377692592244286</v>
      </c>
      <c r="L43" s="7">
        <f>(((0.648*20^0.651)/0.2))*H43/20+L42*inputs!$C$54</f>
        <v>2.2710722146163111</v>
      </c>
      <c r="M43" s="7">
        <f>(((0.013*2^0.773)/0.2))*H43/2+M42*inputs!$C$54</f>
        <v>0.11074520970818907</v>
      </c>
      <c r="N43" s="7">
        <f>O43*0.015*inputs!$C$56</f>
        <v>3.6963663304017449</v>
      </c>
      <c r="O43" s="7">
        <f>IF((B43&gt;B42), (EXP(-LN(2)/inputs!$C$52)*O42+$O$3), (EXP(-LN(2)/inputs!$C$52)*O42))</f>
        <v>0.39874501946081392</v>
      </c>
      <c r="P43" s="3">
        <f>IF((B43&gt;B42), (EXP(-LN(2)/inputs!$C$52)*P42+$P$3), (EXP(-LN(2)/inputs!$C$52)*P42))</f>
        <v>0.38530927468423581</v>
      </c>
      <c r="Q43" s="19">
        <f>IF((F43*0.62*1/(0.012*(10^inputs!$C$55)))&gt;inputs!$C$57, inputs!$C$57, (F43*0.62*1/(0.012*(10^inputs!$C$55))))</f>
        <v>1.7731316057244161E-2</v>
      </c>
      <c r="R43" s="3">
        <f>IF((B43&gt;B42), (EXP(-LN(2)/inputs!$C$51)*R42+$R$3), (EXP(-LN(2)/inputs!$C$51)*R42))</f>
        <v>4.1197722019963971E-8</v>
      </c>
      <c r="T43" s="7">
        <f>IF(T42&lt;(inputs!$C$20-1),(1+T42),0)</f>
        <v>0</v>
      </c>
      <c r="U43" s="7">
        <f>IF(inputs!$C$19&gt;U42,IF(T42=(inputs!$C$20-1),(U42+1),U42), U42)</f>
        <v>1</v>
      </c>
      <c r="V43" s="7">
        <f t="shared" si="0"/>
        <v>40</v>
      </c>
      <c r="W43" s="8">
        <f>IF((U43&gt;U42), (EXP(-LN(2)/inputs!$C$51)*W42+$W$3), (EXP(-LN(2)/inputs!$C$51)*W42))</f>
        <v>1.3633761261039612</v>
      </c>
      <c r="X43" s="8">
        <f>IF((U43&gt;U42), (EXP(-LN(2)/inputs!$C$51)*X42+$X$3), (EXP(-LN(2)/inputs!$C$51)*X42))</f>
        <v>0.57742988870285406</v>
      </c>
      <c r="Y43" s="8">
        <f>IF((U43&gt;U42), (EXP(-LN(2)/inputs!$C$51)*Y42+$Y$3), (EXP(-LN(2)/inputs!$C$51)*Y42))</f>
        <v>0.72178736087856787</v>
      </c>
      <c r="Z43" s="8">
        <f>IF((U43&gt;U42), (EXP(-LN(2)/inputs!$C$51)*Z42+$Z$3), (EXP(-LN(2)/inputs!$C$51)*Z42))</f>
        <v>0.11227803391444383</v>
      </c>
      <c r="AA43" s="8">
        <f>IF((U43&gt;U42), (EXP(-LN(2)/inputs!$C$51)*AA42+$AA$3), (EXP(-LN(2)/inputs!$C$51)*AA42))</f>
        <v>1.0425817434912643</v>
      </c>
      <c r="AB43" s="7">
        <f>(((0.621*15^0.564)/0.2))*W43/15+AB42*inputs!$C$53</f>
        <v>1.4670808442784473</v>
      </c>
      <c r="AC43" s="7">
        <f>(((0.621*1000^0.564)/0.2))*W43/1000+AC42*inputs!$C$53</f>
        <v>0.23508766126419847</v>
      </c>
      <c r="AD43" s="7">
        <f>(((0.648*20^0.651)/0.2))*AA43/20+AD42*inputs!$C$54</f>
        <v>1.5704222760644713</v>
      </c>
      <c r="AE43" s="7">
        <f>(((0.013*2^0.773)/0.2))*AA43/2+AE42*inputs!$C$54</f>
        <v>7.657913437268396E-2</v>
      </c>
    </row>
    <row r="44" spans="1:31" x14ac:dyDescent="0.3">
      <c r="A44" s="7">
        <f>IF(A43&lt;(inputs!$C$20-1),(1+A43),0)</f>
        <v>0</v>
      </c>
      <c r="B44" s="7">
        <f>IF(inputs!$C$19&gt;B43,IF(A43=(inputs!$C$20-1),(B43+1),B43), B43)</f>
        <v>1</v>
      </c>
      <c r="C44" s="7">
        <f t="shared" si="1"/>
        <v>41</v>
      </c>
      <c r="D44" s="8">
        <f>IF((B44&gt;B43), (EXP(-LN(2)/inputs!$C$51)*D43+$D$3), (EXP(-LN(2)/inputs!$C$51)*D43))</f>
        <v>3.3776130074192223</v>
      </c>
      <c r="E44" s="8">
        <f>IF((B44&gt;B43), (EXP(-LN(2)/inputs!$C$51)*E43+$E$3), (EXP(-LN(2)/inputs!$C$51)*E43))</f>
        <v>1.5480726284004771</v>
      </c>
      <c r="F44" s="8">
        <f>IF((B44&gt;B43), (EXP(-LN(2)/inputs!$C$51)*F43+$F$3), (EXP(-LN(2)/inputs!$C$51)*F43))</f>
        <v>1.8999073166733118</v>
      </c>
      <c r="G44" s="8">
        <f>IF((B44&gt;B43), (EXP(-LN(2)/inputs!$C$51)*G43+$G$3), (EXP(-LN(2)/inputs!$C$51)*G43))</f>
        <v>0.2111008129637014</v>
      </c>
      <c r="H44" s="8">
        <f>IF((B44&gt;B43), (EXP(-LN(2)/inputs!$C$51)*H43+$H$3), (EXP(-LN(2)/inputs!$C$51)*H43))</f>
        <v>1.3228984279058611</v>
      </c>
      <c r="I44" s="7">
        <f>O44*(10^inputs!$C$55)*0.01/1</f>
        <v>24.651392019328799</v>
      </c>
      <c r="J44" s="7">
        <f>(((0.621*15^0.564)/0.2))*D44/15+J43*inputs!$C$53</f>
        <v>3.6345299346928774</v>
      </c>
      <c r="K44" s="7">
        <f>(((0.621*1000^0.564)/0.2))*D44/1000+K43*inputs!$C$53</f>
        <v>0.5824035842836619</v>
      </c>
      <c r="L44" s="7">
        <f>(((0.648*20^0.651)/0.2))*H44/20+L43*inputs!$C$54</f>
        <v>1.9926582957391294</v>
      </c>
      <c r="M44" s="7">
        <f>(((0.013*2^0.773)/0.2))*H44/2+M43*inputs!$C$54</f>
        <v>9.716879957323378E-2</v>
      </c>
      <c r="N44" s="7">
        <f>O44*0.015*inputs!$C$56</f>
        <v>3.6217726288207319</v>
      </c>
      <c r="O44" s="7">
        <f>IF((B44&gt;B43), (EXP(-LN(2)/inputs!$C$52)*O43+$O$3), (EXP(-LN(2)/inputs!$C$52)*O43))</f>
        <v>0.39069823396124398</v>
      </c>
      <c r="P44" s="3">
        <f>IF((B44&gt;B43), (EXP(-LN(2)/inputs!$C$52)*P43+$P$3), (EXP(-LN(2)/inputs!$C$52)*P43))</f>
        <v>0.37753362625464176</v>
      </c>
      <c r="Q44" s="19">
        <f>IF((F44*0.62*1/(0.012*(10^inputs!$C$55)))&gt;inputs!$C$57, inputs!$C$57, (F44*0.62*1/(0.012*(10^inputs!$C$55))))</f>
        <v>1.5557609224596715E-2</v>
      </c>
      <c r="R44" s="3">
        <f>IF((B44&gt;B43), (EXP(-LN(2)/inputs!$C$51)*R43+$R$3), (EXP(-LN(2)/inputs!$C$51)*R43))</f>
        <v>3.6147235662651574E-8</v>
      </c>
      <c r="T44" s="7">
        <f>IF(T43&lt;(inputs!$C$20-1),(1+T43),0)</f>
        <v>0</v>
      </c>
      <c r="U44" s="7">
        <f>IF(inputs!$C$19&gt;U43,IF(T43=(inputs!$C$20-1),(U43+1),U43), U43)</f>
        <v>1</v>
      </c>
      <c r="V44" s="7">
        <f t="shared" si="0"/>
        <v>41</v>
      </c>
      <c r="W44" s="8">
        <f>IF((U44&gt;U43), (EXP(-LN(2)/inputs!$C$51)*W43+$W$3), (EXP(-LN(2)/inputs!$C$51)*W43))</f>
        <v>1.1962379401276408</v>
      </c>
      <c r="X44" s="8">
        <f>IF((U44&gt;U43), (EXP(-LN(2)/inputs!$C$51)*X43+$X$3), (EXP(-LN(2)/inputs!$C$51)*X43))</f>
        <v>0.50664195111288313</v>
      </c>
      <c r="Y44" s="8">
        <f>IF((U44&gt;U43), (EXP(-LN(2)/inputs!$C$51)*Y43+$Y$3), (EXP(-LN(2)/inputs!$C$51)*Y43))</f>
        <v>0.63330243889110416</v>
      </c>
      <c r="Z44" s="8">
        <f>IF((U44&gt;U43), (EXP(-LN(2)/inputs!$C$51)*Z43+$Z$3), (EXP(-LN(2)/inputs!$C$51)*Z43))</f>
        <v>9.851371271639392E-2</v>
      </c>
      <c r="AA44" s="8">
        <f>IF((U44&gt;U43), (EXP(-LN(2)/inputs!$C$51)*AA43+$AA$3), (EXP(-LN(2)/inputs!$C$51)*AA43))</f>
        <v>0.91477018950937239</v>
      </c>
      <c r="AB44" s="7">
        <f>(((0.621*15^0.564)/0.2))*W44/15+AB43*inputs!$C$53</f>
        <v>1.2872293518703937</v>
      </c>
      <c r="AC44" s="7">
        <f>(((0.621*1000^0.564)/0.2))*W44/1000+AC43*inputs!$C$53</f>
        <v>0.20626793610046351</v>
      </c>
      <c r="AD44" s="7">
        <f>(((0.648*20^0.651)/0.2))*AA44/20+AD43*inputs!$C$54</f>
        <v>1.3779020130111008</v>
      </c>
      <c r="AE44" s="7">
        <f>(((0.013*2^0.773)/0.2))*AA44/2+AE43*inputs!$C$54</f>
        <v>6.7191191194257427E-2</v>
      </c>
    </row>
    <row r="45" spans="1:31" x14ac:dyDescent="0.3">
      <c r="A45" s="7">
        <f>IF(A44&lt;(inputs!$C$20-1),(1+A44),0)</f>
        <v>0</v>
      </c>
      <c r="B45" s="7">
        <f>IF(inputs!$C$19&gt;B44,IF(A44=(inputs!$C$20-1),(B44+1),B44), B44)</f>
        <v>1</v>
      </c>
      <c r="C45" s="7">
        <f t="shared" si="1"/>
        <v>42</v>
      </c>
      <c r="D45" s="8">
        <f>IF((B45&gt;B44), (EXP(-LN(2)/inputs!$C$51)*D44+$D$3), (EXP(-LN(2)/inputs!$C$51)*D44))</f>
        <v>2.9635467052585041</v>
      </c>
      <c r="E45" s="8">
        <f>IF((B45&gt;B44), (EXP(-LN(2)/inputs!$C$51)*E44+$E$3), (EXP(-LN(2)/inputs!$C$51)*E44))</f>
        <v>1.3582922399101478</v>
      </c>
      <c r="F45" s="8">
        <f>IF((B45&gt;B44), (EXP(-LN(2)/inputs!$C$51)*F44+$F$3), (EXP(-LN(2)/inputs!$C$51)*F44))</f>
        <v>1.6669950217079079</v>
      </c>
      <c r="G45" s="8">
        <f>IF((B45&gt;B44), (EXP(-LN(2)/inputs!$C$51)*G44+$G$3), (EXP(-LN(2)/inputs!$C$51)*G44))</f>
        <v>0.1852216690786565</v>
      </c>
      <c r="H45" s="8">
        <f>IF((B45&gt;B44), (EXP(-LN(2)/inputs!$C$51)*H44+$H$3), (EXP(-LN(2)/inputs!$C$51)*H44))</f>
        <v>1.1607224595595798</v>
      </c>
      <c r="I45" s="7">
        <f>O45*(10^inputs!$C$55)*0.01/1</f>
        <v>24.153920065663826</v>
      </c>
      <c r="J45" s="7">
        <f>(((0.621*15^0.564)/0.2))*D45/15+J44*inputs!$C$53</f>
        <v>3.1889678271201651</v>
      </c>
      <c r="K45" s="7">
        <f>(((0.621*1000^0.564)/0.2))*D45/1000+K44*inputs!$C$53</f>
        <v>0.51100591439674214</v>
      </c>
      <c r="L45" s="7">
        <f>(((0.648*20^0.651)/0.2))*H45/20+L44*inputs!$C$54</f>
        <v>1.7483755285380935</v>
      </c>
      <c r="M45" s="7">
        <f>(((0.013*2^0.773)/0.2))*H45/2+M44*inputs!$C$54</f>
        <v>8.5256740543289647E-2</v>
      </c>
      <c r="N45" s="7">
        <f>O45*0.015*inputs!$C$56</f>
        <v>3.5486842489038053</v>
      </c>
      <c r="O45" s="7">
        <f>IF((B45&gt;B44), (EXP(-LN(2)/inputs!$C$52)*O44+$O$3), (EXP(-LN(2)/inputs!$C$52)*O44))</f>
        <v>0.38281383483320447</v>
      </c>
      <c r="P45" s="3">
        <f>IF((B45&gt;B44), (EXP(-LN(2)/inputs!$C$52)*P44+$P$3), (EXP(-LN(2)/inputs!$C$52)*P44))</f>
        <v>0.36991489257502408</v>
      </c>
      <c r="Q45" s="19">
        <f>IF((F45*0.62*1/(0.012*(10^inputs!$C$55)))&gt;inputs!$C$57, inputs!$C$57, (F45*0.62*1/(0.012*(10^inputs!$C$55))))</f>
        <v>1.3650380152485705E-2</v>
      </c>
      <c r="R45" s="3">
        <f>IF((B45&gt;B44), (EXP(-LN(2)/inputs!$C$51)*R44+$R$3), (EXP(-LN(2)/inputs!$C$51)*R44))</f>
        <v>3.1715895490971432E-8</v>
      </c>
      <c r="T45" s="7">
        <f>IF(T44&lt;(inputs!$C$20-1),(1+T44),0)</f>
        <v>0</v>
      </c>
      <c r="U45" s="7">
        <f>IF(inputs!$C$19&gt;U44,IF(T44=(inputs!$C$20-1),(U44+1),U44), U44)</f>
        <v>1</v>
      </c>
      <c r="V45" s="7">
        <f t="shared" si="0"/>
        <v>42</v>
      </c>
      <c r="W45" s="8">
        <f>IF((U45&gt;U44), (EXP(-LN(2)/inputs!$C$51)*W44+$W$3), (EXP(-LN(2)/inputs!$C$51)*W44))</f>
        <v>1.0495894581123866</v>
      </c>
      <c r="X45" s="8">
        <f>IF((U45&gt;U44), (EXP(-LN(2)/inputs!$C$51)*X44+$X$3), (EXP(-LN(2)/inputs!$C$51)*X44))</f>
        <v>0.44453200578877539</v>
      </c>
      <c r="Y45" s="8">
        <f>IF((U45&gt;U44), (EXP(-LN(2)/inputs!$C$51)*Y44+$Y$3), (EXP(-LN(2)/inputs!$C$51)*Y44))</f>
        <v>0.55566500723596945</v>
      </c>
      <c r="Z45" s="8">
        <f>IF((U45&gt;U44), (EXP(-LN(2)/inputs!$C$51)*Z44+$Z$3), (EXP(-LN(2)/inputs!$C$51)*Z44))</f>
        <v>8.6436778903372979E-2</v>
      </c>
      <c r="AA45" s="8">
        <f>IF((U45&gt;U44), (EXP(-LN(2)/inputs!$C$51)*AA44+$AA$3), (EXP(-LN(2)/inputs!$C$51)*AA44))</f>
        <v>0.8026272326741779</v>
      </c>
      <c r="AB45" s="7">
        <f>(((0.621*15^0.564)/0.2))*W45/15+AB44*inputs!$C$53</f>
        <v>1.1294261054383914</v>
      </c>
      <c r="AC45" s="7">
        <f>(((0.621*1000^0.564)/0.2))*W45/1000+AC44*inputs!$C$53</f>
        <v>0.1809812613488461</v>
      </c>
      <c r="AD45" s="7">
        <f>(((0.648*20^0.651)/0.2))*AA45/20+AD44*inputs!$C$54</f>
        <v>1.2089830782444271</v>
      </c>
      <c r="AE45" s="7">
        <f>(((0.013*2^0.773)/0.2))*AA45/2+AE44*inputs!$C$54</f>
        <v>5.8954129099083291E-2</v>
      </c>
    </row>
    <row r="46" spans="1:31" x14ac:dyDescent="0.3">
      <c r="A46" s="7">
        <f>IF(A45&lt;(inputs!$C$20-1),(1+A45),0)</f>
        <v>0</v>
      </c>
      <c r="B46" s="7">
        <f>IF(inputs!$C$19&gt;B45,IF(A45=(inputs!$C$20-1),(B45+1),B45), B45)</f>
        <v>1</v>
      </c>
      <c r="C46" s="7">
        <f t="shared" si="1"/>
        <v>43</v>
      </c>
      <c r="D46" s="8">
        <f>IF((B46&gt;B45), (EXP(-LN(2)/inputs!$C$51)*D45+$D$3), (EXP(-LN(2)/inputs!$C$51)*D45))</f>
        <v>2.6002413701500928</v>
      </c>
      <c r="E46" s="8">
        <f>IF((B46&gt;B45), (EXP(-LN(2)/inputs!$C$51)*E45+$E$3), (EXP(-LN(2)/inputs!$C$51)*E45))</f>
        <v>1.1917772946521259</v>
      </c>
      <c r="F46" s="8">
        <f>IF((B46&gt;B45), (EXP(-LN(2)/inputs!$C$51)*F45+$F$3), (EXP(-LN(2)/inputs!$C$51)*F45))</f>
        <v>1.4626357707094266</v>
      </c>
      <c r="G46" s="8">
        <f>IF((B46&gt;B45), (EXP(-LN(2)/inputs!$C$51)*G45+$G$3), (EXP(-LN(2)/inputs!$C$51)*G45))</f>
        <v>0.1625150856343808</v>
      </c>
      <c r="H46" s="8">
        <f>IF((B46&gt;B45), (EXP(-LN(2)/inputs!$C$51)*H45+$H$3), (EXP(-LN(2)/inputs!$C$51)*H45))</f>
        <v>1.0184278699754521</v>
      </c>
      <c r="I46" s="7">
        <f>O46*(10^inputs!$C$55)*0.01/1</f>
        <v>23.666487234515301</v>
      </c>
      <c r="J46" s="7">
        <f>(((0.621*15^0.564)/0.2))*D46/15+J45*inputs!$C$53</f>
        <v>2.7980278014320006</v>
      </c>
      <c r="K46" s="7">
        <f>(((0.621*1000^0.564)/0.2))*D46/1000+K45*inputs!$C$53</f>
        <v>0.44836098471067709</v>
      </c>
      <c r="L46" s="7">
        <f>(((0.648*20^0.651)/0.2))*H46/20+L45*inputs!$C$54</f>
        <v>1.5340397273969162</v>
      </c>
      <c r="M46" s="7">
        <f>(((0.013*2^0.773)/0.2))*H46/2+M45*inputs!$C$54</f>
        <v>7.4804997488803551E-2</v>
      </c>
      <c r="N46" s="7">
        <f>O46*0.015*inputs!$C$56</f>
        <v>3.4770708128407177</v>
      </c>
      <c r="O46" s="7">
        <f>IF((B46&gt;B45), (EXP(-LN(2)/inputs!$C$52)*O45+$O$3), (EXP(-LN(2)/inputs!$C$52)*O45))</f>
        <v>0.37508854507451111</v>
      </c>
      <c r="P46" s="3">
        <f>IF((B46&gt;B45), (EXP(-LN(2)/inputs!$C$52)*P45+$P$3), (EXP(-LN(2)/inputs!$C$52)*P45))</f>
        <v>0.36244990706204461</v>
      </c>
      <c r="Q46" s="19">
        <f>IF((F46*0.62*1/(0.012*(10^inputs!$C$55)))&gt;inputs!$C$57, inputs!$C$57, (F46*0.62*1/(0.012*(10^inputs!$C$55))))</f>
        <v>1.1976960959578658E-2</v>
      </c>
      <c r="R46" s="3">
        <f>IF((B46&gt;B45), (EXP(-LN(2)/inputs!$C$51)*R45+$R$3), (EXP(-LN(2)/inputs!$C$51)*R45))</f>
        <v>2.7827799508152887E-8</v>
      </c>
      <c r="T46" s="7">
        <f>IF(T45&lt;(inputs!$C$20-1),(1+T45),0)</f>
        <v>0</v>
      </c>
      <c r="U46" s="7">
        <f>IF(inputs!$C$19&gt;U45,IF(T45=(inputs!$C$20-1),(U45+1),U45), U45)</f>
        <v>1</v>
      </c>
      <c r="V46" s="7">
        <f t="shared" si="0"/>
        <v>43</v>
      </c>
      <c r="W46" s="8">
        <f>IF((U46&gt;U45), (EXP(-LN(2)/inputs!$C$51)*W45+$W$3), (EXP(-LN(2)/inputs!$C$51)*W45))</f>
        <v>0.92091881859482427</v>
      </c>
      <c r="X46" s="8">
        <f>IF((U46&gt;U45), (EXP(-LN(2)/inputs!$C$51)*X45+$X$3), (EXP(-LN(2)/inputs!$C$51)*X45))</f>
        <v>0.39003620552251372</v>
      </c>
      <c r="Y46" s="8">
        <f>IF((U46&gt;U45), (EXP(-LN(2)/inputs!$C$51)*Y45+$Y$3), (EXP(-LN(2)/inputs!$C$51)*Y45))</f>
        <v>0.48754525690314238</v>
      </c>
      <c r="Z46" s="8">
        <f>IF((U46&gt;U45), (EXP(-LN(2)/inputs!$C$51)*Z45+$Z$3), (EXP(-LN(2)/inputs!$C$51)*Z45))</f>
        <v>7.5840373296044331E-2</v>
      </c>
      <c r="AA46" s="8">
        <f>IF((U46&gt;U45), (EXP(-LN(2)/inputs!$C$51)*AA45+$AA$3), (EXP(-LN(2)/inputs!$C$51)*AA45))</f>
        <v>0.70423203774898324</v>
      </c>
      <c r="AB46" s="7">
        <f>(((0.621*15^0.564)/0.2))*W46/15+AB45*inputs!$C$53</f>
        <v>0.99096817967383333</v>
      </c>
      <c r="AC46" s="7">
        <f>(((0.621*1000^0.564)/0.2))*W46/1000+AC45*inputs!$C$53</f>
        <v>0.15879451541836476</v>
      </c>
      <c r="AD46" s="7">
        <f>(((0.648*20^0.651)/0.2))*AA46/20+AD45*inputs!$C$54</f>
        <v>1.0607721519234001</v>
      </c>
      <c r="AE46" s="7">
        <f>(((0.013*2^0.773)/0.2))*AA46/2+AE45*inputs!$C$54</f>
        <v>5.172685996566205E-2</v>
      </c>
    </row>
    <row r="47" spans="1:31" x14ac:dyDescent="0.3">
      <c r="A47" s="7">
        <f>IF(A46&lt;(inputs!$C$20-1),(1+A46),0)</f>
        <v>0</v>
      </c>
      <c r="B47" s="7">
        <f>IF(inputs!$C$19&gt;B46,IF(A46=(inputs!$C$20-1),(B46+1),B46), B46)</f>
        <v>1</v>
      </c>
      <c r="C47" s="7">
        <f t="shared" si="1"/>
        <v>44</v>
      </c>
      <c r="D47" s="8">
        <f>IF((B47&gt;B46), (EXP(-LN(2)/inputs!$C$51)*D46+$D$3), (EXP(-LN(2)/inputs!$C$51)*D46))</f>
        <v>2.2814741441539934</v>
      </c>
      <c r="E47" s="8">
        <f>IF((B47&gt;B46), (EXP(-LN(2)/inputs!$C$51)*E46+$E$3), (EXP(-LN(2)/inputs!$C$51)*E46))</f>
        <v>1.0456756494039137</v>
      </c>
      <c r="F47" s="8">
        <f>IF((B47&gt;B46), (EXP(-LN(2)/inputs!$C$51)*F46+$F$3), (EXP(-LN(2)/inputs!$C$51)*F46))</f>
        <v>1.2833292060866206</v>
      </c>
      <c r="G47" s="8">
        <f>IF((B47&gt;B46), (EXP(-LN(2)/inputs!$C$51)*G46+$G$3), (EXP(-LN(2)/inputs!$C$51)*G46))</f>
        <v>0.14259213400962459</v>
      </c>
      <c r="H47" s="8">
        <f>IF((B47&gt;B46), (EXP(-LN(2)/inputs!$C$51)*H46+$H$3), (EXP(-LN(2)/inputs!$C$51)*H46))</f>
        <v>0.89357737312697993</v>
      </c>
      <c r="I47" s="7">
        <f>O47*(10^inputs!$C$55)*0.01/1</f>
        <v>23.188890933596063</v>
      </c>
      <c r="J47" s="7">
        <f>(((0.621*15^0.564)/0.2))*D47/15+J46*inputs!$C$53</f>
        <v>2.4550136602213484</v>
      </c>
      <c r="K47" s="7">
        <f>(((0.621*1000^0.564)/0.2))*D47/1000+K46*inputs!$C$53</f>
        <v>0.39339578456356461</v>
      </c>
      <c r="L47" s="7">
        <f>(((0.648*20^0.651)/0.2))*H47/20+L46*inputs!$C$54</f>
        <v>1.3459796518655818</v>
      </c>
      <c r="M47" s="7">
        <f>(((0.013*2^0.773)/0.2))*H47/2+M46*inputs!$C$54</f>
        <v>6.5634548232096787E-2</v>
      </c>
      <c r="N47" s="7">
        <f>O47*0.015*inputs!$C$56</f>
        <v>3.4069025558538888</v>
      </c>
      <c r="O47" s="7">
        <f>IF((B47&gt;B46), (EXP(-LN(2)/inputs!$C$52)*O46+$O$3), (EXP(-LN(2)/inputs!$C$52)*O46))</f>
        <v>0.36751915381379596</v>
      </c>
      <c r="P47" s="3">
        <f>IF((B47&gt;B46), (EXP(-LN(2)/inputs!$C$52)*P46+$P$3), (EXP(-LN(2)/inputs!$C$52)*P46))</f>
        <v>0.35513556703489862</v>
      </c>
      <c r="Q47" s="19">
        <f>IF((F47*0.62*1/(0.012*(10^inputs!$C$55)))&gt;inputs!$C$57, inputs!$C$57, (F47*0.62*1/(0.012*(10^inputs!$C$55))))</f>
        <v>1.0508688565801576E-2</v>
      </c>
      <c r="R47" s="3">
        <f>IF((B47&gt;B46), (EXP(-LN(2)/inputs!$C$51)*R46+$R$3), (EXP(-LN(2)/inputs!$C$51)*R46))</f>
        <v>2.4416350649358103E-8</v>
      </c>
      <c r="T47" s="7">
        <f>IF(T46&lt;(inputs!$C$20-1),(1+T46),0)</f>
        <v>0</v>
      </c>
      <c r="U47" s="7">
        <f>IF(inputs!$C$19&gt;U46,IF(T46=(inputs!$C$20-1),(U46+1),U46), U46)</f>
        <v>1</v>
      </c>
      <c r="V47" s="7">
        <f t="shared" si="0"/>
        <v>44</v>
      </c>
      <c r="W47" s="8">
        <f>IF((U47&gt;U46), (EXP(-LN(2)/inputs!$C$51)*W46+$W$3), (EXP(-LN(2)/inputs!$C$51)*W46))</f>
        <v>0.80802209272120573</v>
      </c>
      <c r="X47" s="8">
        <f>IF((U47&gt;U46), (EXP(-LN(2)/inputs!$C$51)*X46+$X$3), (EXP(-LN(2)/inputs!$C$51)*X46))</f>
        <v>0.34222112162309881</v>
      </c>
      <c r="Y47" s="8">
        <f>IF((U47&gt;U46), (EXP(-LN(2)/inputs!$C$51)*Y46+$Y$3), (EXP(-LN(2)/inputs!$C$51)*Y46))</f>
        <v>0.42777640202887374</v>
      </c>
      <c r="Z47" s="8">
        <f>IF((U47&gt;U46), (EXP(-LN(2)/inputs!$C$51)*Z46+$Z$3), (EXP(-LN(2)/inputs!$C$51)*Z46))</f>
        <v>6.6542995871158098E-2</v>
      </c>
      <c r="AA47" s="8">
        <f>IF((U47&gt;U46), (EXP(-LN(2)/inputs!$C$51)*AA46+$AA$3), (EXP(-LN(2)/inputs!$C$51)*AA46))</f>
        <v>0.61789924737503965</v>
      </c>
      <c r="AB47" s="7">
        <f>(((0.621*15^0.564)/0.2))*W47/15+AB46*inputs!$C$53</f>
        <v>0.86948400466172737</v>
      </c>
      <c r="AC47" s="7">
        <f>(((0.621*1000^0.564)/0.2))*W47/1000+AC46*inputs!$C$53</f>
        <v>0.13932767369959573</v>
      </c>
      <c r="AD47" s="7">
        <f>(((0.648*20^0.651)/0.2))*AA47/20+AD46*inputs!$C$54</f>
        <v>0.93073061033258342</v>
      </c>
      <c r="AE47" s="7">
        <f>(((0.013*2^0.773)/0.2))*AA47/2+AE46*inputs!$C$54</f>
        <v>4.5385591862620138E-2</v>
      </c>
    </row>
    <row r="48" spans="1:31" x14ac:dyDescent="0.3">
      <c r="A48" s="7">
        <f>IF(A47&lt;(inputs!$C$20-1),(1+A47),0)</f>
        <v>0</v>
      </c>
      <c r="B48" s="7">
        <f>IF(inputs!$C$19&gt;B47,IF(A47=(inputs!$C$20-1),(B47+1),B47), B47)</f>
        <v>1</v>
      </c>
      <c r="C48" s="7">
        <f t="shared" si="1"/>
        <v>45</v>
      </c>
      <c r="D48" s="8">
        <f>IF((B48&gt;B47), (EXP(-LN(2)/inputs!$C$51)*D47+$D$3), (EXP(-LN(2)/inputs!$C$51)*D47))</f>
        <v>2.0017850381877214</v>
      </c>
      <c r="E48" s="8">
        <f>IF((B48&gt;B47), (EXP(-LN(2)/inputs!$C$51)*E47+$E$3), (EXP(-LN(2)/inputs!$C$51)*E47))</f>
        <v>0.91748480916937225</v>
      </c>
      <c r="F48" s="8">
        <f>IF((B48&gt;B47), (EXP(-LN(2)/inputs!$C$51)*F47+$F$3), (EXP(-LN(2)/inputs!$C$51)*F47))</f>
        <v>1.1260040839805927</v>
      </c>
      <c r="G48" s="8">
        <f>IF((B48&gt;B47), (EXP(-LN(2)/inputs!$C$51)*G47+$G$3), (EXP(-LN(2)/inputs!$C$51)*G47))</f>
        <v>0.12511156488673258</v>
      </c>
      <c r="H48" s="8">
        <f>IF((B48&gt;B47), (EXP(-LN(2)/inputs!$C$51)*H47+$H$3), (EXP(-LN(2)/inputs!$C$51)*H47))</f>
        <v>0.7840324732901901</v>
      </c>
      <c r="I48" s="7">
        <f>O48*(10^inputs!$C$55)*0.01/1</f>
        <v>22.720932658987678</v>
      </c>
      <c r="J48" s="7">
        <f>(((0.621*15^0.564)/0.2))*D48/15+J47*inputs!$C$53</f>
        <v>2.1540501022859107</v>
      </c>
      <c r="K48" s="7">
        <f>(((0.621*1000^0.564)/0.2))*D48/1000+K47*inputs!$C$53</f>
        <v>0.34516884517114654</v>
      </c>
      <c r="L48" s="7">
        <f>(((0.648*20^0.651)/0.2))*H48/20+L47*inputs!$C$54</f>
        <v>1.1809741239950589</v>
      </c>
      <c r="M48" s="7">
        <f>(((0.013*2^0.773)/0.2))*H48/2+M47*inputs!$C$54</f>
        <v>5.7588317174614212E-2</v>
      </c>
      <c r="N48" s="7">
        <f>O48*0.015*inputs!$C$56</f>
        <v>3.3381503138272342</v>
      </c>
      <c r="O48" s="7">
        <f>IF((B48&gt;B47), (EXP(-LN(2)/inputs!$C$52)*O47+$O$3), (EXP(-LN(2)/inputs!$C$52)*O47))</f>
        <v>0.36010251497596918</v>
      </c>
      <c r="P48" s="3">
        <f>IF((B48&gt;B47), (EXP(-LN(2)/inputs!$C$52)*P47+$P$3), (EXP(-LN(2)/inputs!$C$52)*P47))</f>
        <v>0.34796883242574367</v>
      </c>
      <c r="Q48" s="19">
        <f>IF((F48*0.62*1/(0.012*(10^inputs!$C$55)))&gt;inputs!$C$57, inputs!$C$57, (F48*0.62*1/(0.012*(10^inputs!$C$55))))</f>
        <v>9.2204137381519651E-3</v>
      </c>
      <c r="R48" s="3">
        <f>IF((B48&gt;B47), (EXP(-LN(2)/inputs!$C$51)*R47+$R$3), (EXP(-LN(2)/inputs!$C$51)*R47))</f>
        <v>2.1423116077063501E-8</v>
      </c>
      <c r="T48" s="7">
        <f>IF(T47&lt;(inputs!$C$20-1),(1+T47),0)</f>
        <v>0</v>
      </c>
      <c r="U48" s="7">
        <f>IF(inputs!$C$19&gt;U47,IF(T47=(inputs!$C$20-1),(U47+1),U47), U47)</f>
        <v>1</v>
      </c>
      <c r="V48" s="7">
        <f t="shared" si="0"/>
        <v>45</v>
      </c>
      <c r="W48" s="8">
        <f>IF((U48&gt;U47), (EXP(-LN(2)/inputs!$C$51)*W47+$W$3), (EXP(-LN(2)/inputs!$C$51)*W47))</f>
        <v>0.70896553435815102</v>
      </c>
      <c r="X48" s="8">
        <f>IF((U48&gt;U47), (EXP(-LN(2)/inputs!$C$51)*X47+$X$3), (EXP(-LN(2)/inputs!$C$51)*X47))</f>
        <v>0.300267755728158</v>
      </c>
      <c r="Y48" s="8">
        <f>IF((U48&gt;U47), (EXP(-LN(2)/inputs!$C$51)*Y47+$Y$3), (EXP(-LN(2)/inputs!$C$51)*Y47))</f>
        <v>0.3753346946601977</v>
      </c>
      <c r="Z48" s="8">
        <f>IF((U48&gt;U47), (EXP(-LN(2)/inputs!$C$51)*Z47+$Z$3), (EXP(-LN(2)/inputs!$C$51)*Z47))</f>
        <v>5.8385396947141836E-2</v>
      </c>
      <c r="AA48" s="8">
        <f>IF((U48&gt;U47), (EXP(-LN(2)/inputs!$C$51)*AA47+$AA$3), (EXP(-LN(2)/inputs!$C$51)*AA47))</f>
        <v>0.54215011450917427</v>
      </c>
      <c r="AB48" s="7">
        <f>(((0.621*15^0.564)/0.2))*W48/15+AB47*inputs!$C$53</f>
        <v>0.76289274455959299</v>
      </c>
      <c r="AC48" s="7">
        <f>(((0.621*1000^0.564)/0.2))*W48/1000+AC47*inputs!$C$53</f>
        <v>0.12224729933144766</v>
      </c>
      <c r="AD48" s="7">
        <f>(((0.648*20^0.651)/0.2))*AA48/20+AD47*inputs!$C$54</f>
        <v>0.81663104318807289</v>
      </c>
      <c r="AE48" s="7">
        <f>(((0.013*2^0.773)/0.2))*AA48/2+AE47*inputs!$C$54</f>
        <v>3.982170868457368E-2</v>
      </c>
    </row>
    <row r="49" spans="1:31" x14ac:dyDescent="0.3">
      <c r="A49" s="7">
        <f>IF(A48&lt;(inputs!$C$20-1),(1+A48),0)</f>
        <v>0</v>
      </c>
      <c r="B49" s="7">
        <f>IF(inputs!$C$19&gt;B48,IF(A48=(inputs!$C$20-1),(B48+1),B48), B48)</f>
        <v>1</v>
      </c>
      <c r="C49" s="7">
        <f t="shared" si="1"/>
        <v>46</v>
      </c>
      <c r="D49" s="8">
        <f>IF((B49&gt;B48), (EXP(-LN(2)/inputs!$C$51)*D48+$D$3), (EXP(-LN(2)/inputs!$C$51)*D48))</f>
        <v>1.756383410866192</v>
      </c>
      <c r="E49" s="8">
        <f>IF((B49&gt;B48), (EXP(-LN(2)/inputs!$C$51)*E48+$E$3), (EXP(-LN(2)/inputs!$C$51)*E48))</f>
        <v>0.80500906331367128</v>
      </c>
      <c r="F49" s="8">
        <f>IF((B49&gt;B48), (EXP(-LN(2)/inputs!$C$51)*F48+$F$3), (EXP(-LN(2)/inputs!$C$51)*F48))</f>
        <v>0.98796566861223245</v>
      </c>
      <c r="G49" s="8">
        <f>IF((B49&gt;B48), (EXP(-LN(2)/inputs!$C$51)*G48+$G$3), (EXP(-LN(2)/inputs!$C$51)*G48))</f>
        <v>0.109773963179137</v>
      </c>
      <c r="H49" s="8">
        <f>IF((B49&gt;B48), (EXP(-LN(2)/inputs!$C$51)*H48+$H$3), (EXP(-LN(2)/inputs!$C$51)*H48))</f>
        <v>0.68791683592259112</v>
      </c>
      <c r="I49" s="7">
        <f>O49*(10^inputs!$C$55)*0.01/1</f>
        <v>22.262417912636053</v>
      </c>
      <c r="J49" s="7">
        <f>(((0.621*15^0.564)/0.2))*D49/15+J48*inputs!$C$53</f>
        <v>1.8899820878143696</v>
      </c>
      <c r="K49" s="7">
        <f>(((0.621*1000^0.564)/0.2))*D49/1000+K48*inputs!$C$53</f>
        <v>0.3028541137240684</v>
      </c>
      <c r="L49" s="7">
        <f>(((0.648*20^0.651)/0.2))*H49/20+L48*inputs!$C$54</f>
        <v>1.0361968545458966</v>
      </c>
      <c r="M49" s="7">
        <f>(((0.013*2^0.773)/0.2))*H49/2+M48*inputs!$C$54</f>
        <v>5.052848483509733E-2</v>
      </c>
      <c r="N49" s="7">
        <f>O49*0.015*inputs!$C$56</f>
        <v>3.2707855111846529</v>
      </c>
      <c r="O49" s="7">
        <f>IF((B49&gt;B48), (EXP(-LN(2)/inputs!$C$52)*O48+$O$3), (EXP(-LN(2)/inputs!$C$52)*O48))</f>
        <v>0.35283554597461197</v>
      </c>
      <c r="P49" s="3">
        <f>IF((B49&gt;B48), (EXP(-LN(2)/inputs!$C$52)*P48+$P$3), (EXP(-LN(2)/inputs!$C$52)*P48))</f>
        <v>0.34094672451615277</v>
      </c>
      <c r="Q49" s="19">
        <f>IF((F49*0.62*1/(0.012*(10^inputs!$C$55)))&gt;inputs!$C$57, inputs!$C$57, (F49*0.62*1/(0.012*(10^inputs!$C$55))))</f>
        <v>8.0900703232722262E-3</v>
      </c>
      <c r="R49" s="3">
        <f>IF((B49&gt;B48), (EXP(-LN(2)/inputs!$C$51)*R48+$R$3), (EXP(-LN(2)/inputs!$C$51)*R48))</f>
        <v>1.8796826317015653E-8</v>
      </c>
      <c r="T49" s="7">
        <f>IF(T48&lt;(inputs!$C$20-1),(1+T48),0)</f>
        <v>0</v>
      </c>
      <c r="U49" s="7">
        <f>IF(inputs!$C$19&gt;U48,IF(T48=(inputs!$C$20-1),(U48+1),U48), U48)</f>
        <v>1</v>
      </c>
      <c r="V49" s="7">
        <f t="shared" si="0"/>
        <v>46</v>
      </c>
      <c r="W49" s="8">
        <f>IF((U49&gt;U48), (EXP(-LN(2)/inputs!$C$51)*W48+$W$3), (EXP(-LN(2)/inputs!$C$51)*W48))</f>
        <v>0.62205245801510933</v>
      </c>
      <c r="X49" s="8">
        <f>IF((U49&gt;U48), (EXP(-LN(2)/inputs!$C$51)*X48+$X$3), (EXP(-LN(2)/inputs!$C$51)*X48))</f>
        <v>0.26345751162992859</v>
      </c>
      <c r="Y49" s="8">
        <f>IF((U49&gt;U48), (EXP(-LN(2)/inputs!$C$51)*Y48+$Y$3), (EXP(-LN(2)/inputs!$C$51)*Y48))</f>
        <v>0.32932188953741093</v>
      </c>
      <c r="Z49" s="8">
        <f>IF((U49&gt;U48), (EXP(-LN(2)/inputs!$C$51)*Z48+$Z$3), (EXP(-LN(2)/inputs!$C$51)*Z48))</f>
        <v>5.1227849483597231E-2</v>
      </c>
      <c r="AA49" s="8">
        <f>IF((U49&gt;U48), (EXP(-LN(2)/inputs!$C$51)*AA48+$AA$3), (EXP(-LN(2)/inputs!$C$51)*AA48))</f>
        <v>0.47568717377626007</v>
      </c>
      <c r="AB49" s="7">
        <f>(((0.621*15^0.564)/0.2))*W49/15+AB48*inputs!$C$53</f>
        <v>0.66936865610092222</v>
      </c>
      <c r="AC49" s="7">
        <f>(((0.621*1000^0.564)/0.2))*W49/1000+AC48*inputs!$C$53</f>
        <v>0.10726083194394084</v>
      </c>
      <c r="AD49" s="7">
        <f>(((0.648*20^0.651)/0.2))*AA49/20+AD48*inputs!$C$54</f>
        <v>0.71651910154769483</v>
      </c>
      <c r="AE49" s="7">
        <f>(((0.013*2^0.773)/0.2))*AA49/2+AE48*inputs!$C$54</f>
        <v>3.4939909726397114E-2</v>
      </c>
    </row>
    <row r="50" spans="1:31" x14ac:dyDescent="0.3">
      <c r="A50" s="7">
        <f>IF(A49&lt;(inputs!$C$20-1),(1+A49),0)</f>
        <v>0</v>
      </c>
      <c r="B50" s="7">
        <f>IF(inputs!$C$19&gt;B49,IF(A49=(inputs!$C$20-1),(B49+1),B49), B49)</f>
        <v>1</v>
      </c>
      <c r="C50" s="7">
        <f t="shared" si="1"/>
        <v>47</v>
      </c>
      <c r="D50" s="8">
        <f>IF((B50&gt;B49), (EXP(-LN(2)/inputs!$C$51)*D49+$D$3), (EXP(-LN(2)/inputs!$C$51)*D49))</f>
        <v>1.541065912231415</v>
      </c>
      <c r="E50" s="8">
        <f>IF((B50&gt;B49), (EXP(-LN(2)/inputs!$C$51)*E49+$E$3), (EXP(-LN(2)/inputs!$C$51)*E49))</f>
        <v>0.70632187643939848</v>
      </c>
      <c r="F50" s="8">
        <f>IF((B50&gt;B49), (EXP(-LN(2)/inputs!$C$51)*F49+$F$3), (EXP(-LN(2)/inputs!$C$51)*F49))</f>
        <v>0.8668495756301704</v>
      </c>
      <c r="G50" s="8">
        <f>IF((B50&gt;B49), (EXP(-LN(2)/inputs!$C$51)*G49+$G$3), (EXP(-LN(2)/inputs!$C$51)*G49))</f>
        <v>9.6316619514463436E-2</v>
      </c>
      <c r="H50" s="8">
        <f>IF((B50&gt;B49), (EXP(-LN(2)/inputs!$C$51)*H49+$H$3), (EXP(-LN(2)/inputs!$C$51)*H49))</f>
        <v>0.6035841489573035</v>
      </c>
      <c r="I50" s="7">
        <f>O50*(10^inputs!$C$55)*0.01/1</f>
        <v>21.813156121511984</v>
      </c>
      <c r="J50" s="7">
        <f>(((0.621*15^0.564)/0.2))*D50/15+J49*inputs!$C$53</f>
        <v>1.658286540535185</v>
      </c>
      <c r="K50" s="7">
        <f>(((0.621*1000^0.564)/0.2))*D50/1000+K49*inputs!$C$53</f>
        <v>0.26572680438210683</v>
      </c>
      <c r="L50" s="7">
        <f>(((0.648*20^0.651)/0.2))*H50/20+L49*inputs!$C$54</f>
        <v>0.90916803302906435</v>
      </c>
      <c r="M50" s="7">
        <f>(((0.013*2^0.773)/0.2))*H50/2+M49*inputs!$C$54</f>
        <v>4.4334127215235206E-2</v>
      </c>
      <c r="N50" s="7">
        <f>O50*0.015*inputs!$C$56</f>
        <v>3.204780149013124</v>
      </c>
      <c r="O50" s="7">
        <f>IF((B50&gt;B49), (EXP(-LN(2)/inputs!$C$52)*O49+$O$3), (EXP(-LN(2)/inputs!$C$52)*O49))</f>
        <v>0.34571522643075775</v>
      </c>
      <c r="P50" s="3">
        <f>IF((B50&gt;B49), (EXP(-LN(2)/inputs!$C$52)*P49+$P$3), (EXP(-LN(2)/inputs!$C$52)*P49))</f>
        <v>0.334066324699066</v>
      </c>
      <c r="Q50" s="19">
        <f>IF((F50*0.62*1/(0.012*(10^inputs!$C$55)))&gt;inputs!$C$57, inputs!$C$57, (F50*0.62*1/(0.012*(10^inputs!$C$55))))</f>
        <v>7.0982972884043143E-3</v>
      </c>
      <c r="R50" s="3">
        <f>IF((B50&gt;B49), (EXP(-LN(2)/inputs!$C$51)*R49+$R$3), (EXP(-LN(2)/inputs!$C$51)*R49))</f>
        <v>1.6492497091510061E-8</v>
      </c>
      <c r="T50" s="7">
        <f>IF(T49&lt;(inputs!$C$20-1),(1+T49),0)</f>
        <v>0</v>
      </c>
      <c r="U50" s="7">
        <f>IF(inputs!$C$19&gt;U49,IF(T49=(inputs!$C$20-1),(U49+1),U49), U49)</f>
        <v>1</v>
      </c>
      <c r="V50" s="7">
        <f t="shared" si="0"/>
        <v>47</v>
      </c>
      <c r="W50" s="8">
        <f>IF((U50&gt;U49), (EXP(-LN(2)/inputs!$C$51)*W49+$W$3), (EXP(-LN(2)/inputs!$C$51)*W49))</f>
        <v>0.54579417724862578</v>
      </c>
      <c r="X50" s="8">
        <f>IF((U50&gt;U49), (EXP(-LN(2)/inputs!$C$51)*X49+$X$3), (EXP(-LN(2)/inputs!$C$51)*X49))</f>
        <v>0.23115988683471206</v>
      </c>
      <c r="Y50" s="8">
        <f>IF((U50&gt;U49), (EXP(-LN(2)/inputs!$C$51)*Y49+$Y$3), (EXP(-LN(2)/inputs!$C$51)*Y49))</f>
        <v>0.28894985854339023</v>
      </c>
      <c r="Z50" s="8">
        <f>IF((U50&gt;U49), (EXP(-LN(2)/inputs!$C$51)*Z49+$Z$3), (EXP(-LN(2)/inputs!$C$51)*Z49))</f>
        <v>4.4947755773416233E-2</v>
      </c>
      <c r="AA50" s="8">
        <f>IF((U50&gt;U49), (EXP(-LN(2)/inputs!$C$51)*AA49+$AA$3), (EXP(-LN(2)/inputs!$C$51)*AA49))</f>
        <v>0.41737201789600797</v>
      </c>
      <c r="AB50" s="7">
        <f>(((0.621*15^0.564)/0.2))*W50/15+AB49*inputs!$C$53</f>
        <v>0.58730981643954427</v>
      </c>
      <c r="AC50" s="7">
        <f>(((0.621*1000^0.564)/0.2))*W50/1000+AC49*inputs!$C$53</f>
        <v>9.4111576551996118E-2</v>
      </c>
      <c r="AD50" s="7">
        <f>(((0.648*20^0.651)/0.2))*AA50/20+AD49*inputs!$C$54</f>
        <v>0.62868002283924707</v>
      </c>
      <c r="AE50" s="7">
        <f>(((0.013*2^0.773)/0.2))*AA50/2+AE49*inputs!$C$54</f>
        <v>3.0656577329683937E-2</v>
      </c>
    </row>
    <row r="51" spans="1:31" x14ac:dyDescent="0.3">
      <c r="A51" s="7">
        <f>IF(A50&lt;(inputs!$C$20-1),(1+A50),0)</f>
        <v>0</v>
      </c>
      <c r="B51" s="7">
        <f>IF(inputs!$C$19&gt;B50,IF(A50=(inputs!$C$20-1),(B50+1),B50), B50)</f>
        <v>1</v>
      </c>
      <c r="C51" s="7">
        <f t="shared" si="1"/>
        <v>48</v>
      </c>
      <c r="D51" s="8">
        <f>IF((B51&gt;B50), (EXP(-LN(2)/inputs!$C$51)*D50+$D$3), (EXP(-LN(2)/inputs!$C$51)*D50))</f>
        <v>1.3521444868751216</v>
      </c>
      <c r="E51" s="8">
        <f>IF((B51&gt;B50), (EXP(-LN(2)/inputs!$C$51)*E50+$E$3), (EXP(-LN(2)/inputs!$C$51)*E50))</f>
        <v>0.61973288981776398</v>
      </c>
      <c r="F51" s="8">
        <f>IF((B51&gt;B50), (EXP(-LN(2)/inputs!$C$51)*F50+$F$3), (EXP(-LN(2)/inputs!$C$51)*F50))</f>
        <v>0.76058127386725549</v>
      </c>
      <c r="G51" s="8">
        <f>IF((B51&gt;B50), (EXP(-LN(2)/inputs!$C$51)*G50+$G$3), (EXP(-LN(2)/inputs!$C$51)*G50))</f>
        <v>8.4509030429695098E-2</v>
      </c>
      <c r="H51" s="8">
        <f>IF((B51&gt;B50), (EXP(-LN(2)/inputs!$C$51)*H50+$H$3), (EXP(-LN(2)/inputs!$C$51)*H50))</f>
        <v>0.52958992402608873</v>
      </c>
      <c r="I51" s="7">
        <f>O51*(10^inputs!$C$55)*0.01/1</f>
        <v>21.372960558403044</v>
      </c>
      <c r="J51" s="7">
        <f>(((0.621*15^0.564)/0.2))*D51/15+J50*inputs!$C$53</f>
        <v>1.4549948744224515</v>
      </c>
      <c r="K51" s="7">
        <f>(((0.621*1000^0.564)/0.2))*D51/1000+K50*inputs!$C$53</f>
        <v>0.23315098381480195</v>
      </c>
      <c r="L51" s="7">
        <f>(((0.648*20^0.651)/0.2))*H51/20+L50*inputs!$C$54</f>
        <v>0.79771185239138909</v>
      </c>
      <c r="M51" s="7">
        <f>(((0.013*2^0.773)/0.2))*H51/2+M50*inputs!$C$54</f>
        <v>3.8899144558781684E-2</v>
      </c>
      <c r="N51" s="7">
        <f>O51*0.015*inputs!$C$56</f>
        <v>3.1401067934254869</v>
      </c>
      <c r="O51" s="7">
        <f>IF((B51&gt;B50), (EXP(-LN(2)/inputs!$C$52)*O50+$O$3), (EXP(-LN(2)/inputs!$C$52)*O50))</f>
        <v>0.33873859691752828</v>
      </c>
      <c r="P51" s="3">
        <f>IF((B51&gt;B50), (EXP(-LN(2)/inputs!$C$52)*P50+$P$3), (EXP(-LN(2)/inputs!$C$52)*P50))</f>
        <v>0.3273247732657264</v>
      </c>
      <c r="Q51" s="19">
        <f>IF((F51*0.62*1/(0.012*(10^inputs!$C$55)))&gt;inputs!$C$57, inputs!$C$57, (F51*0.62*1/(0.012*(10^inputs!$C$55))))</f>
        <v>6.2281070968723375E-3</v>
      </c>
      <c r="R51" s="3">
        <f>IF((B51&gt;B50), (EXP(-LN(2)/inputs!$C$51)*R50+$R$3), (EXP(-LN(2)/inputs!$C$51)*R50))</f>
        <v>1.4470658808356393E-8</v>
      </c>
      <c r="T51" s="7">
        <f>IF(T50&lt;(inputs!$C$20-1),(1+T50),0)</f>
        <v>0</v>
      </c>
      <c r="U51" s="7">
        <f>IF(inputs!$C$19&gt;U50,IF(T50=(inputs!$C$20-1),(U50+1),U50), U50)</f>
        <v>1</v>
      </c>
      <c r="V51" s="7">
        <f t="shared" si="0"/>
        <v>48</v>
      </c>
      <c r="W51" s="8">
        <f>IF((U51&gt;U50), (EXP(-LN(2)/inputs!$C$51)*W50+$W$3), (EXP(-LN(2)/inputs!$C$51)*W50))</f>
        <v>0.47888450576827191</v>
      </c>
      <c r="X51" s="8">
        <f>IF((U51&gt;U50), (EXP(-LN(2)/inputs!$C$51)*X50+$X$3), (EXP(-LN(2)/inputs!$C$51)*X50))</f>
        <v>0.20282167303126808</v>
      </c>
      <c r="Y51" s="8">
        <f>IF((U51&gt;U50), (EXP(-LN(2)/inputs!$C$51)*Y50+$Y$3), (EXP(-LN(2)/inputs!$C$51)*Y50))</f>
        <v>0.25352709128908524</v>
      </c>
      <c r="Z51" s="8">
        <f>IF((U51&gt;U50), (EXP(-LN(2)/inputs!$C$51)*Z50+$Z$3), (EXP(-LN(2)/inputs!$C$51)*Z50))</f>
        <v>3.9437547533857684E-2</v>
      </c>
      <c r="AA51" s="8">
        <f>IF((U51&gt;U50), (EXP(-LN(2)/inputs!$C$51)*AA50+$AA$3), (EXP(-LN(2)/inputs!$C$51)*AA50))</f>
        <v>0.36620579852867857</v>
      </c>
      <c r="AB51" s="7">
        <f>(((0.621*15^0.564)/0.2))*W51/15+AB50*inputs!$C$53</f>
        <v>0.51531068469128449</v>
      </c>
      <c r="AC51" s="7">
        <f>(((0.621*1000^0.564)/0.2))*W51/1000+AC50*inputs!$C$53</f>
        <v>8.25743067677423E-2</v>
      </c>
      <c r="AD51" s="7">
        <f>(((0.648*20^0.651)/0.2))*AA51/20+AD50*inputs!$C$54</f>
        <v>0.55160925963234386</v>
      </c>
      <c r="AE51" s="7">
        <f>(((0.013*2^0.773)/0.2))*AA51/2+AE50*inputs!$C$54</f>
        <v>2.6898344641710752E-2</v>
      </c>
    </row>
    <row r="52" spans="1:31" x14ac:dyDescent="0.3">
      <c r="A52" s="7">
        <f>IF(A51&lt;(inputs!$C$20-1),(1+A51),0)</f>
        <v>0</v>
      </c>
      <c r="B52" s="7">
        <f>IF(inputs!$C$19&gt;B51,IF(A51=(inputs!$C$20-1),(B51+1),B51), B51)</f>
        <v>1</v>
      </c>
      <c r="C52" s="7">
        <f t="shared" si="1"/>
        <v>49</v>
      </c>
      <c r="D52" s="8">
        <f>IF((B52&gt;B51), (EXP(-LN(2)/inputs!$C$51)*D51+$D$3), (EXP(-LN(2)/inputs!$C$51)*D51))</f>
        <v>1.1863832032592769</v>
      </c>
      <c r="E52" s="8">
        <f>IF((B52&gt;B51), (EXP(-LN(2)/inputs!$C$51)*E51+$E$3), (EXP(-LN(2)/inputs!$C$51)*E51))</f>
        <v>0.54375896816050184</v>
      </c>
      <c r="F52" s="8">
        <f>IF((B52&gt;B51), (EXP(-LN(2)/inputs!$C$51)*F51+$F$3), (EXP(-LN(2)/inputs!$C$51)*F51))</f>
        <v>0.66734055183334295</v>
      </c>
      <c r="G52" s="8">
        <f>IF((B52&gt;B51), (EXP(-LN(2)/inputs!$C$51)*G51+$G$3), (EXP(-LN(2)/inputs!$C$51)*G51))</f>
        <v>7.4148950203704808E-2</v>
      </c>
      <c r="H52" s="8">
        <f>IF((B52&gt;B51), (EXP(-LN(2)/inputs!$C$51)*H51+$H$3), (EXP(-LN(2)/inputs!$C$51)*H51))</f>
        <v>0.46466675460988299</v>
      </c>
      <c r="I52" s="7">
        <f>O52*(10^inputs!$C$55)*0.01/1</f>
        <v>20.941648264303932</v>
      </c>
      <c r="J52" s="7">
        <f>(((0.621*15^0.564)/0.2))*D52/15+J51*inputs!$C$53</f>
        <v>1.2766250179612351</v>
      </c>
      <c r="K52" s="7">
        <f>(((0.621*1000^0.564)/0.2))*D52/1000+K51*inputs!$C$53</f>
        <v>0.20456867864802586</v>
      </c>
      <c r="L52" s="7">
        <f>(((0.648*20^0.651)/0.2))*H52/20+L51*inputs!$C$54</f>
        <v>0.69991924080920553</v>
      </c>
      <c r="M52" s="7">
        <f>(((0.013*2^0.773)/0.2))*H52/2+M51*inputs!$C$54</f>
        <v>3.413044402698899E-2</v>
      </c>
      <c r="N52" s="7">
        <f>O52*0.015*inputs!$C$56</f>
        <v>3.0767385641580605</v>
      </c>
      <c r="O52" s="7">
        <f>IF((B52&gt;B51), (EXP(-LN(2)/inputs!$C$52)*O51+$O$3), (EXP(-LN(2)/inputs!$C$52)*O51))</f>
        <v>0.33190275773010364</v>
      </c>
      <c r="P52" s="3">
        <f>IF((B52&gt;B51), (EXP(-LN(2)/inputs!$C$52)*P51+$P$3), (EXP(-LN(2)/inputs!$C$52)*P51))</f>
        <v>0.3207192682170959</v>
      </c>
      <c r="Q52" s="19">
        <f>IF((F52*0.62*1/(0.012*(10^inputs!$C$55)))&gt;inputs!$C$57, inputs!$C$57, (F52*0.62*1/(0.012*(10^inputs!$C$55))))</f>
        <v>5.4645947378785193E-3</v>
      </c>
      <c r="R52" s="3">
        <f>IF((B52&gt;B51), (EXP(-LN(2)/inputs!$C$51)*R51+$R$3), (EXP(-LN(2)/inputs!$C$51)*R51))</f>
        <v>1.2696680507869032E-8</v>
      </c>
      <c r="T52" s="7">
        <f>IF(T51&lt;(inputs!$C$20-1),(1+T51),0)</f>
        <v>0</v>
      </c>
      <c r="U52" s="7">
        <f>IF(inputs!$C$19&gt;U51,IF(T51=(inputs!$C$20-1),(U51+1),U51), U51)</f>
        <v>1</v>
      </c>
      <c r="V52" s="7">
        <f t="shared" si="0"/>
        <v>49</v>
      </c>
      <c r="W52" s="8">
        <f>IF((U52&gt;U51), (EXP(-LN(2)/inputs!$C$51)*W51+$W$3), (EXP(-LN(2)/inputs!$C$51)*W51))</f>
        <v>0.42017738448766029</v>
      </c>
      <c r="X52" s="8">
        <f>IF((U52&gt;U51), (EXP(-LN(2)/inputs!$C$51)*X51+$X$3), (EXP(-LN(2)/inputs!$C$51)*X51))</f>
        <v>0.1779574804888914</v>
      </c>
      <c r="Y52" s="8">
        <f>IF((U52&gt;U51), (EXP(-LN(2)/inputs!$C$51)*Y51+$Y$3), (EXP(-LN(2)/inputs!$C$51)*Y51))</f>
        <v>0.22244685061111438</v>
      </c>
      <c r="Z52" s="8">
        <f>IF((U52&gt;U51), (EXP(-LN(2)/inputs!$C$51)*Z51+$Z$3), (EXP(-LN(2)/inputs!$C$51)*Z51))</f>
        <v>3.4602843428395549E-2</v>
      </c>
      <c r="AA52" s="8">
        <f>IF((U52&gt;U51), (EXP(-LN(2)/inputs!$C$51)*AA51+$AA$3), (EXP(-LN(2)/inputs!$C$51)*AA51))</f>
        <v>0.32131211754938732</v>
      </c>
      <c r="AB52" s="7">
        <f>(((0.621*15^0.564)/0.2))*W52/15+AB51*inputs!$C$53</f>
        <v>0.45213802719460389</v>
      </c>
      <c r="AC52" s="7">
        <f>(((0.621*1000^0.564)/0.2))*W52/1000+AC51*inputs!$C$53</f>
        <v>7.2451407021175779E-2</v>
      </c>
      <c r="AD52" s="7">
        <f>(((0.648*20^0.651)/0.2))*AA52/20+AD51*inputs!$C$54</f>
        <v>0.48398670907019548</v>
      </c>
      <c r="AE52" s="7">
        <f>(((0.013*2^0.773)/0.2))*AA52/2+AE51*inputs!$C$54</f>
        <v>2.3600838954832823E-2</v>
      </c>
    </row>
    <row r="53" spans="1:31" x14ac:dyDescent="0.3">
      <c r="A53" s="7">
        <f>IF(A52&lt;(inputs!$C$20-1),(1+A52),0)</f>
        <v>0</v>
      </c>
      <c r="B53" s="7">
        <f>IF(inputs!$C$19&gt;B52,IF(A52=(inputs!$C$20-1),(B52+1),B52), B52)</f>
        <v>1</v>
      </c>
      <c r="C53" s="7">
        <f t="shared" si="1"/>
        <v>50</v>
      </c>
      <c r="D53" s="8">
        <f>IF((B53&gt;B52), (EXP(-LN(2)/inputs!$C$51)*D52+$D$3), (EXP(-LN(2)/inputs!$C$51)*D52))</f>
        <v>1.0409428272185339</v>
      </c>
      <c r="E53" s="8">
        <f>IF((B53&gt;B52), (EXP(-LN(2)/inputs!$C$51)*E52+$E$3), (EXP(-LN(2)/inputs!$C$51)*E52))</f>
        <v>0.47709879580849462</v>
      </c>
      <c r="F53" s="8">
        <f>IF((B53&gt;B52), (EXP(-LN(2)/inputs!$C$51)*F52+$F$3), (EXP(-LN(2)/inputs!$C$51)*F52))</f>
        <v>0.58553034031042506</v>
      </c>
      <c r="G53" s="8">
        <f>IF((B53&gt;B52), (EXP(-LN(2)/inputs!$C$51)*G52+$G$3), (EXP(-LN(2)/inputs!$C$51)*G52))</f>
        <v>6.5058926701158371E-2</v>
      </c>
      <c r="H53" s="8">
        <f>IF((B53&gt;B52), (EXP(-LN(2)/inputs!$C$51)*H52+$H$3), (EXP(-LN(2)/inputs!$C$51)*H52))</f>
        <v>0.40770260732725871</v>
      </c>
      <c r="I53" s="7">
        <f>O53*(10^inputs!$C$55)*0.01/1</f>
        <v>20.519039972373012</v>
      </c>
      <c r="J53" s="7">
        <f>(((0.621*15^0.564)/0.2))*D53/15+J52*inputs!$C$53</f>
        <v>1.1201217716532843</v>
      </c>
      <c r="K53" s="7">
        <f>(((0.621*1000^0.564)/0.2))*D53/1000+K52*inputs!$C$53</f>
        <v>0.17949031824390899</v>
      </c>
      <c r="L53" s="7">
        <f>(((0.648*20^0.651)/0.2))*H53/20+L52*inputs!$C$54</f>
        <v>0.61411516224354223</v>
      </c>
      <c r="M53" s="7">
        <f>(((0.013*2^0.773)/0.2))*H53/2+M52*inputs!$C$54</f>
        <v>2.9946345162401501E-2</v>
      </c>
      <c r="N53" s="7">
        <f>O53*0.015*inputs!$C$56</f>
        <v>3.0146491233983674</v>
      </c>
      <c r="O53" s="7">
        <f>IF((B53&gt;B52), (EXP(-LN(2)/inputs!$C$52)*O52+$O$3), (EXP(-LN(2)/inputs!$C$52)*O52))</f>
        <v>0.32520486768051432</v>
      </c>
      <c r="P53" s="3">
        <f>IF((B53&gt;B52), (EXP(-LN(2)/inputs!$C$52)*P52+$P$3), (EXP(-LN(2)/inputs!$C$52)*P52))</f>
        <v>0.31424706409925701</v>
      </c>
      <c r="Q53" s="19">
        <f>IF((F53*0.62*1/(0.012*(10^inputs!$C$55)))&gt;inputs!$C$57, inputs!$C$57, (F53*0.62*1/(0.012*(10^inputs!$C$55))))</f>
        <v>4.7946824267433921E-3</v>
      </c>
      <c r="R53" s="3">
        <f>IF((B53&gt;B52), (EXP(-LN(2)/inputs!$C$51)*R52+$R$3), (EXP(-LN(2)/inputs!$C$51)*R52))</f>
        <v>1.1140176688141505E-8</v>
      </c>
      <c r="T53" s="7">
        <f>IF(T52&lt;(inputs!$C$20-1),(1+T52),0)</f>
        <v>0</v>
      </c>
      <c r="U53" s="7">
        <f>IF(inputs!$C$19&gt;U52,IF(T52=(inputs!$C$20-1),(U52+1),U52), U52)</f>
        <v>1</v>
      </c>
      <c r="V53" s="7">
        <f t="shared" si="0"/>
        <v>50</v>
      </c>
      <c r="W53" s="8">
        <f>IF((U53&gt;U52), (EXP(-LN(2)/inputs!$C$51)*W52+$W$3), (EXP(-LN(2)/inputs!$C$51)*W52))</f>
        <v>0.3686672513065638</v>
      </c>
      <c r="X53" s="8">
        <f>IF((U53&gt;U52), (EXP(-LN(2)/inputs!$C$51)*X52+$X$3), (EXP(-LN(2)/inputs!$C$51)*X52))</f>
        <v>0.15614142408277995</v>
      </c>
      <c r="Y53" s="8">
        <f>IF((U53&gt;U52), (EXP(-LN(2)/inputs!$C$51)*Y52+$Y$3), (EXP(-LN(2)/inputs!$C$51)*Y52))</f>
        <v>0.19517678010347506</v>
      </c>
      <c r="Z53" s="8">
        <f>IF((U53&gt;U52), (EXP(-LN(2)/inputs!$C$51)*Z52+$Z$3), (EXP(-LN(2)/inputs!$C$51)*Z52))</f>
        <v>3.0360832460540547E-2</v>
      </c>
      <c r="AA53" s="8">
        <f>IF((U53&gt;U52), (EXP(-LN(2)/inputs!$C$51)*AA52+$AA$3), (EXP(-LN(2)/inputs!$C$51)*AA52))</f>
        <v>0.28192201570501946</v>
      </c>
      <c r="AB53" s="7">
        <f>(((0.621*15^0.564)/0.2))*W53/15+AB52*inputs!$C$53</f>
        <v>0.39670979412720458</v>
      </c>
      <c r="AC53" s="7">
        <f>(((0.621*1000^0.564)/0.2))*W53/1000+AC52*inputs!$C$53</f>
        <v>6.3569487711384376E-2</v>
      </c>
      <c r="AD53" s="7">
        <f>(((0.648*20^0.651)/0.2))*AA53/20+AD52*inputs!$C$54</f>
        <v>0.42465410155138578</v>
      </c>
      <c r="AE53" s="7">
        <f>(((0.013*2^0.773)/0.2))*AA53/2+AE52*inputs!$C$54</f>
        <v>2.0707579101660621E-2</v>
      </c>
    </row>
    <row r="54" spans="1:31" x14ac:dyDescent="0.3">
      <c r="A54" s="7">
        <f>IF(A53&lt;(inputs!$C$20-1),(1+A53),0)</f>
        <v>0</v>
      </c>
      <c r="B54" s="7">
        <f>IF(inputs!$C$19&gt;B53,IF(A53=(inputs!$C$20-1),(B53+1),B53), B53)</f>
        <v>1</v>
      </c>
      <c r="C54" s="7">
        <f t="shared" si="1"/>
        <v>51</v>
      </c>
      <c r="D54" s="8">
        <f>IF((B54&gt;B53), (EXP(-LN(2)/inputs!$C$51)*D53+$D$3), (EXP(-LN(2)/inputs!$C$51)*D53))</f>
        <v>0.91333219027453527</v>
      </c>
      <c r="E54" s="8">
        <f>IF((B54&gt;B53), (EXP(-LN(2)/inputs!$C$51)*E53+$E$3), (EXP(-LN(2)/inputs!$C$51)*E53))</f>
        <v>0.41861058720916189</v>
      </c>
      <c r="F54" s="8">
        <f>IF((B54&gt;B53), (EXP(-LN(2)/inputs!$C$51)*F53+$F$3), (EXP(-LN(2)/inputs!$C$51)*F53))</f>
        <v>0.51374935702942581</v>
      </c>
      <c r="G54" s="8">
        <f>IF((B54&gt;B53), (EXP(-LN(2)/inputs!$C$51)*G53+$G$3), (EXP(-LN(2)/inputs!$C$51)*G53))</f>
        <v>5.7083261892158454E-2</v>
      </c>
      <c r="H54" s="8">
        <f>IF((B54&gt;B53), (EXP(-LN(2)/inputs!$C$51)*H53+$H$3), (EXP(-LN(2)/inputs!$C$51)*H53))</f>
        <v>0.35772177452419263</v>
      </c>
      <c r="I54" s="7">
        <f>O54*(10^inputs!$C$55)*0.01/1</f>
        <v>20.104960033423421</v>
      </c>
      <c r="J54" s="7">
        <f>(((0.621*15^0.564)/0.2))*D54/15+J53*inputs!$C$53</f>
        <v>0.98280447717952424</v>
      </c>
      <c r="K54" s="7">
        <f>(((0.621*1000^0.564)/0.2))*D54/1000+K53*inputs!$C$53</f>
        <v>0.15748634911374115</v>
      </c>
      <c r="L54" s="7">
        <f>(((0.648*20^0.651)/0.2))*H54/20+L53*inputs!$C$54</f>
        <v>0.53882992566597843</v>
      </c>
      <c r="M54" s="7">
        <f>(((0.013*2^0.773)/0.2))*H54/2+M53*inputs!$C$54</f>
        <v>2.6275180829072931E-2</v>
      </c>
      <c r="N54" s="7">
        <f>O54*0.015*inputs!$C$56</f>
        <v>2.9538126648383201</v>
      </c>
      <c r="O54" s="7">
        <f>IF((B54&gt;B53), (EXP(-LN(2)/inputs!$C$52)*O53+$O$3), (EXP(-LN(2)/inputs!$C$52)*O53))</f>
        <v>0.31864214291675513</v>
      </c>
      <c r="P54" s="3">
        <f>IF((B54&gt;B53), (EXP(-LN(2)/inputs!$C$52)*P53+$P$3), (EXP(-LN(2)/inputs!$C$52)*P53))</f>
        <v>0.30790547086231668</v>
      </c>
      <c r="Q54" s="19">
        <f>IF((F54*0.62*1/(0.012*(10^inputs!$C$55)))&gt;inputs!$C$57, inputs!$C$57, (F54*0.62*1/(0.012*(10^inputs!$C$55))))</f>
        <v>4.206895602700586E-3</v>
      </c>
      <c r="R54" s="3">
        <f>IF((B54&gt;B53), (EXP(-LN(2)/inputs!$C$51)*R53+$R$3), (EXP(-LN(2)/inputs!$C$51)*R53))</f>
        <v>9.7744868484400838E-9</v>
      </c>
      <c r="T54" s="7">
        <f>IF(T53&lt;(inputs!$C$20-1),(1+T53),0)</f>
        <v>0</v>
      </c>
      <c r="U54" s="7">
        <f>IF(inputs!$C$19&gt;U53,IF(T53=(inputs!$C$20-1),(U53+1),U53), U53)</f>
        <v>1</v>
      </c>
      <c r="V54" s="7">
        <f t="shared" si="0"/>
        <v>51</v>
      </c>
      <c r="W54" s="8">
        <f>IF((U54&gt;U53), (EXP(-LN(2)/inputs!$C$51)*W53+$W$3), (EXP(-LN(2)/inputs!$C$51)*W53))</f>
        <v>0.32347181738889763</v>
      </c>
      <c r="X54" s="8">
        <f>IF((U54&gt;U53), (EXP(-LN(2)/inputs!$C$51)*X53+$X$3), (EXP(-LN(2)/inputs!$C$51)*X53))</f>
        <v>0.13699982854118017</v>
      </c>
      <c r="Y54" s="8">
        <f>IF((U54&gt;U53), (EXP(-LN(2)/inputs!$C$51)*Y53+$Y$3), (EXP(-LN(2)/inputs!$C$51)*Y53))</f>
        <v>0.17124978567647531</v>
      </c>
      <c r="Z54" s="8">
        <f>IF((U54&gt;U53), (EXP(-LN(2)/inputs!$C$51)*Z53+$Z$3), (EXP(-LN(2)/inputs!$C$51)*Z53))</f>
        <v>2.663885554967392E-2</v>
      </c>
      <c r="AA54" s="8">
        <f>IF((U54&gt;U53), (EXP(-LN(2)/inputs!$C$51)*AA53+$AA$3), (EXP(-LN(2)/inputs!$C$51)*AA53))</f>
        <v>0.2473608015326865</v>
      </c>
      <c r="AB54" s="7">
        <f>(((0.621*15^0.564)/0.2))*W54/15+AB53*inputs!$C$53</f>
        <v>0.34807658566774785</v>
      </c>
      <c r="AC54" s="7">
        <f>(((0.621*1000^0.564)/0.2))*W54/1000+AC53*inputs!$C$53</f>
        <v>5.5776415311116614E-2</v>
      </c>
      <c r="AD54" s="7">
        <f>(((0.648*20^0.651)/0.2))*AA54/20+AD53*inputs!$C$54</f>
        <v>0.37259516136477244</v>
      </c>
      <c r="AE54" s="7">
        <f>(((0.013*2^0.773)/0.2))*AA54/2+AE53*inputs!$C$54</f>
        <v>1.8169008020103627E-2</v>
      </c>
    </row>
    <row r="55" spans="1:31" x14ac:dyDescent="0.3">
      <c r="A55" s="7">
        <f>IF(A54&lt;(inputs!$C$20-1),(1+A54),0)</f>
        <v>0</v>
      </c>
      <c r="B55" s="7">
        <f>IF(inputs!$C$19&gt;B54,IF(A54=(inputs!$C$20-1),(B54+1),B54), B54)</f>
        <v>1</v>
      </c>
      <c r="C55" s="7">
        <f t="shared" si="1"/>
        <v>52</v>
      </c>
      <c r="D55" s="8">
        <f>IF((B55&gt;B54), (EXP(-LN(2)/inputs!$C$51)*D54+$D$3), (EXP(-LN(2)/inputs!$C$51)*D54))</f>
        <v>0.80136551977657688</v>
      </c>
      <c r="E55" s="8">
        <f>IF((B55&gt;B54), (EXP(-LN(2)/inputs!$C$51)*E54+$E$3), (EXP(-LN(2)/inputs!$C$51)*E54))</f>
        <v>0.36729252989759764</v>
      </c>
      <c r="F55" s="8">
        <f>IF((B55&gt;B54), (EXP(-LN(2)/inputs!$C$51)*F54+$F$3), (EXP(-LN(2)/inputs!$C$51)*F54))</f>
        <v>0.45076810487432423</v>
      </c>
      <c r="G55" s="8">
        <f>IF((B55&gt;B54), (EXP(-LN(2)/inputs!$C$51)*G54+$G$3), (EXP(-LN(2)/inputs!$C$51)*G54))</f>
        <v>5.0085344986036055E-2</v>
      </c>
      <c r="H55" s="8">
        <f>IF((B55&gt;B54), (EXP(-LN(2)/inputs!$C$51)*H54+$H$3), (EXP(-LN(2)/inputs!$C$51)*H54))</f>
        <v>0.31386816191249228</v>
      </c>
      <c r="I55" s="7">
        <f>O55*(10^inputs!$C$55)*0.01/1</f>
        <v>19.699236342917782</v>
      </c>
      <c r="J55" s="7">
        <f>(((0.621*15^0.564)/0.2))*D55/15+J54*inputs!$C$53</f>
        <v>0.86232110187310795</v>
      </c>
      <c r="K55" s="7">
        <f>(((0.621*1000^0.564)/0.2))*D55/1000+K54*inputs!$C$53</f>
        <v>0.13817987733172241</v>
      </c>
      <c r="L55" s="7">
        <f>(((0.648*20^0.651)/0.2))*H55/20+L54*inputs!$C$54</f>
        <v>0.47277401152662524</v>
      </c>
      <c r="M55" s="7">
        <f>(((0.013*2^0.773)/0.2))*H55/2+M54*inputs!$C$54</f>
        <v>2.3054069665478912E-2</v>
      </c>
      <c r="N55" s="7">
        <f>O55*0.015*inputs!$C$56</f>
        <v>2.8942039029483104</v>
      </c>
      <c r="O55" s="7">
        <f>IF((B55&gt;B54), (EXP(-LN(2)/inputs!$C$52)*O54+$O$3), (EXP(-LN(2)/inputs!$C$52)*O54))</f>
        <v>0.31221185576572924</v>
      </c>
      <c r="P55" s="3">
        <f>IF((B55&gt;B54), (EXP(-LN(2)/inputs!$C$52)*P54+$P$3), (EXP(-LN(2)/inputs!$C$52)*P54))</f>
        <v>0.30169185274233751</v>
      </c>
      <c r="Q55" s="19">
        <f>IF((F55*0.62*1/(0.012*(10^inputs!$C$55)))&gt;inputs!$C$57, inputs!$C$57, (F55*0.62*1/(0.012*(10^inputs!$C$55))))</f>
        <v>3.6911663874352172E-3</v>
      </c>
      <c r="R55" s="3">
        <f>IF((B55&gt;B54), (EXP(-LN(2)/inputs!$C$51)*R54+$R$3), (EXP(-LN(2)/inputs!$C$51)*R54))</f>
        <v>8.5762188361006174E-9</v>
      </c>
      <c r="T55" s="7">
        <f>IF(T54&lt;(inputs!$C$20-1),(1+T54),0)</f>
        <v>0</v>
      </c>
      <c r="U55" s="7">
        <f>IF(inputs!$C$19&gt;U54,IF(T54=(inputs!$C$20-1),(U54+1),U54), U54)</f>
        <v>1</v>
      </c>
      <c r="V55" s="7">
        <f t="shared" si="0"/>
        <v>52</v>
      </c>
      <c r="W55" s="8">
        <f>IF((U55&gt;U54), (EXP(-LN(2)/inputs!$C$51)*W54+$W$3), (EXP(-LN(2)/inputs!$C$51)*W54))</f>
        <v>0.28381695492087072</v>
      </c>
      <c r="X55" s="8">
        <f>IF((U55&gt;U54), (EXP(-LN(2)/inputs!$C$51)*X54+$X$3), (EXP(-LN(2)/inputs!$C$51)*X54))</f>
        <v>0.12020482796648642</v>
      </c>
      <c r="Y55" s="8">
        <f>IF((U55&gt;U54), (EXP(-LN(2)/inputs!$C$51)*Y54+$Y$3), (EXP(-LN(2)/inputs!$C$51)*Y54))</f>
        <v>0.1502560349581081</v>
      </c>
      <c r="Z55" s="8">
        <f>IF((U55&gt;U54), (EXP(-LN(2)/inputs!$C$51)*Z54+$Z$3), (EXP(-LN(2)/inputs!$C$51)*Z54))</f>
        <v>2.337316099348347E-2</v>
      </c>
      <c r="AA55" s="8">
        <f>IF((U55&gt;U54), (EXP(-LN(2)/inputs!$C$51)*AA54+$AA$3), (EXP(-LN(2)/inputs!$C$51)*AA54))</f>
        <v>0.21703649493948945</v>
      </c>
      <c r="AB55" s="7">
        <f>(((0.621*15^0.564)/0.2))*W55/15+AB54*inputs!$C$53</f>
        <v>0.30540539024672542</v>
      </c>
      <c r="AC55" s="7">
        <f>(((0.621*1000^0.564)/0.2))*W55/1000+AC54*inputs!$C$53</f>
        <v>4.893870655498498E-2</v>
      </c>
      <c r="AD55" s="7">
        <f>(((0.648*20^0.651)/0.2))*AA55/20+AD54*inputs!$C$54</f>
        <v>0.32691819945990064</v>
      </c>
      <c r="AE55" s="7">
        <f>(((0.013*2^0.773)/0.2))*AA55/2+AE54*inputs!$C$54</f>
        <v>1.5941643917618403E-2</v>
      </c>
    </row>
    <row r="56" spans="1:31" x14ac:dyDescent="0.3">
      <c r="A56" s="7">
        <f>IF(A55&lt;(inputs!$C$20-1),(1+A55),0)</f>
        <v>0</v>
      </c>
      <c r="B56" s="7">
        <f>IF(inputs!$C$19&gt;B55,IF(A55=(inputs!$C$20-1),(B55+1),B55), B55)</f>
        <v>1</v>
      </c>
      <c r="C56" s="7">
        <f t="shared" si="1"/>
        <v>53</v>
      </c>
      <c r="D56" s="8">
        <f>IF((B56&gt;B55), (EXP(-LN(2)/inputs!$C$51)*D55+$D$3), (EXP(-LN(2)/inputs!$C$51)*D55))</f>
        <v>0.70312500000000067</v>
      </c>
      <c r="E56" s="8">
        <f>IF((B56&gt;B55), (EXP(-LN(2)/inputs!$C$51)*E55+$E$3), (EXP(-LN(2)/inputs!$C$51)*E55))</f>
        <v>0.32226562500000022</v>
      </c>
      <c r="F56" s="8">
        <f>IF((B56&gt;B55), (EXP(-LN(2)/inputs!$C$51)*F55+$F$3), (EXP(-LN(2)/inputs!$C$51)*F55))</f>
        <v>0.39550781250000011</v>
      </c>
      <c r="G56" s="8">
        <f>IF((B56&gt;B55), (EXP(-LN(2)/inputs!$C$51)*G55+$G$3), (EXP(-LN(2)/inputs!$C$51)*G55))</f>
        <v>4.3945312500000042E-2</v>
      </c>
      <c r="H56" s="8">
        <f>IF((B56&gt;B55), (EXP(-LN(2)/inputs!$C$51)*H55+$H$3), (EXP(-LN(2)/inputs!$C$51)*H55))</f>
        <v>0.27539062499999994</v>
      </c>
      <c r="I56" s="7">
        <f>O56*(10^inputs!$C$55)*0.01/1</f>
        <v>19.301700269436193</v>
      </c>
      <c r="J56" s="7">
        <f>(((0.621*15^0.564)/0.2))*D56/15+J55*inputs!$C$53</f>
        <v>0.75660795204112763</v>
      </c>
      <c r="K56" s="7">
        <f>(((0.621*1000^0.564)/0.2))*D56/1000+K55*inputs!$C$53</f>
        <v>0.12124021292550155</v>
      </c>
      <c r="L56" s="7">
        <f>(((0.648*20^0.651)/0.2))*H56/20+L55*inputs!$C$54</f>
        <v>0.41481598428060412</v>
      </c>
      <c r="M56" s="7">
        <f>(((0.013*2^0.773)/0.2))*H56/2+M55*inputs!$C$54</f>
        <v>2.022783902414374E-2</v>
      </c>
      <c r="N56" s="7">
        <f>O56*0.015*inputs!$C$56</f>
        <v>2.8357980624677572</v>
      </c>
      <c r="O56" s="7">
        <f>IF((B56&gt;B55), (EXP(-LN(2)/inputs!$C$52)*O55+$O$3), (EXP(-LN(2)/inputs!$C$52)*O55))</f>
        <v>0.30591133359954231</v>
      </c>
      <c r="P56" s="3">
        <f>IF((B56&gt;B55), (EXP(-LN(2)/inputs!$C$52)*P55+$P$3), (EXP(-LN(2)/inputs!$C$52)*P55))</f>
        <v>0.29560362716583222</v>
      </c>
      <c r="Q56" s="19">
        <f>IF((F56*0.62*1/(0.012*(10^inputs!$C$55)))&gt;inputs!$C$57, inputs!$C$57, (F56*0.62*1/(0.012*(10^inputs!$C$55))))</f>
        <v>3.2386611379149194E-3</v>
      </c>
      <c r="R56" s="3">
        <f>IF((B56&gt;B55), (EXP(-LN(2)/inputs!$C$51)*R55+$R$3), (EXP(-LN(2)/inputs!$C$51)*R55))</f>
        <v>7.5248481751679031E-9</v>
      </c>
      <c r="T56" s="7">
        <f>IF(T55&lt;(inputs!$C$20-1),(1+T55),0)</f>
        <v>0</v>
      </c>
      <c r="U56" s="7">
        <f>IF(inputs!$C$19&gt;U55,IF(T55=(inputs!$C$20-1),(U55+1),U55), U55)</f>
        <v>1</v>
      </c>
      <c r="V56" s="7">
        <f t="shared" si="0"/>
        <v>53</v>
      </c>
      <c r="W56" s="8">
        <f>IF((U56&gt;U55), (EXP(-LN(2)/inputs!$C$51)*W55+$W$3), (EXP(-LN(2)/inputs!$C$51)*W55))</f>
        <v>0.2490234375</v>
      </c>
      <c r="X56" s="8">
        <f>IF((U56&gt;U55), (EXP(-LN(2)/inputs!$C$51)*X55+$X$3), (EXP(-LN(2)/inputs!$C$51)*X55))</f>
        <v>0.10546875</v>
      </c>
      <c r="Y56" s="8">
        <f>IF((U56&gt;U55), (EXP(-LN(2)/inputs!$C$51)*Y55+$Y$3), (EXP(-LN(2)/inputs!$C$51)*Y55))</f>
        <v>0.13183593750000006</v>
      </c>
      <c r="Z56" s="8">
        <f>IF((U56&gt;U55), (EXP(-LN(2)/inputs!$C$51)*Z55+$Z$3), (EXP(-LN(2)/inputs!$C$51)*Z55))</f>
        <v>2.05078125E-2</v>
      </c>
      <c r="AA56" s="8">
        <f>IF((U56&gt;U55), (EXP(-LN(2)/inputs!$C$51)*AA55+$AA$3), (EXP(-LN(2)/inputs!$C$51)*AA55))</f>
        <v>0.19042968750000008</v>
      </c>
      <c r="AB56" s="7">
        <f>(((0.621*15^0.564)/0.2))*W56/15+AB55*inputs!$C$53</f>
        <v>0.26796531634789911</v>
      </c>
      <c r="AC56" s="7">
        <f>(((0.621*1000^0.564)/0.2))*W56/1000+AC55*inputs!$C$53</f>
        <v>4.2939242077781756E-2</v>
      </c>
      <c r="AD56" s="7">
        <f>(((0.648*20^0.651)/0.2))*AA56/20+AD55*inputs!$C$54</f>
        <v>0.28684084019403494</v>
      </c>
      <c r="AE56" s="7">
        <f>(((0.013*2^0.773)/0.2))*AA56/2+AE55*inputs!$C$54</f>
        <v>1.3987335495418552E-2</v>
      </c>
    </row>
    <row r="57" spans="1:31" x14ac:dyDescent="0.3">
      <c r="A57" s="7">
        <f>IF(A56&lt;(inputs!$C$20-1),(1+A56),0)</f>
        <v>0</v>
      </c>
      <c r="B57" s="7">
        <f>IF(inputs!$C$19&gt;B56,IF(A56=(inputs!$C$20-1),(B56+1),B56), B56)</f>
        <v>1</v>
      </c>
      <c r="C57" s="7">
        <f t="shared" si="1"/>
        <v>54</v>
      </c>
      <c r="D57" s="8">
        <f>IF((B57&gt;B56), (EXP(-LN(2)/inputs!$C$51)*D56+$D$3), (EXP(-LN(2)/inputs!$C$51)*D56))</f>
        <v>0.61692792293189369</v>
      </c>
      <c r="E57" s="8">
        <f>IF((B57&gt;B56), (EXP(-LN(2)/inputs!$C$51)*E56+$E$3), (EXP(-LN(2)/inputs!$C$51)*E56))</f>
        <v>0.28275863134378454</v>
      </c>
      <c r="F57" s="8">
        <f>IF((B57&gt;B56), (EXP(-LN(2)/inputs!$C$51)*F56+$F$3), (EXP(-LN(2)/inputs!$C$51)*F56))</f>
        <v>0.34702195664918994</v>
      </c>
      <c r="G57" s="8">
        <f>IF((B57&gt;B56), (EXP(-LN(2)/inputs!$C$51)*G56+$G$3), (EXP(-LN(2)/inputs!$C$51)*G56))</f>
        <v>3.8557995183243356E-2</v>
      </c>
      <c r="H57" s="8">
        <f>IF((B57&gt;B56), (EXP(-LN(2)/inputs!$C$51)*H56+$H$3), (EXP(-LN(2)/inputs!$C$51)*H56))</f>
        <v>0.24163010314832473</v>
      </c>
      <c r="I57" s="7">
        <f>O57*(10^inputs!$C$55)*0.01/1</f>
        <v>18.912186584587751</v>
      </c>
      <c r="J57" s="7">
        <f>(((0.621*15^0.564)/0.2))*D57/15+J56*inputs!$C$53</f>
        <v>0.66385432508655817</v>
      </c>
      <c r="K57" s="7">
        <f>(((0.621*1000^0.564)/0.2))*D57/1000+K56*inputs!$C$53</f>
        <v>0.10637720566890685</v>
      </c>
      <c r="L57" s="7">
        <f>(((0.648*20^0.651)/0.2))*H57/20+L56*inputs!$C$54</f>
        <v>0.363963112648792</v>
      </c>
      <c r="M57" s="7">
        <f>(((0.013*2^0.773)/0.2))*H57/2+M56*inputs!$C$54</f>
        <v>1.7748079949604534E-2</v>
      </c>
      <c r="N57" s="7">
        <f>O57*0.015*inputs!$C$56</f>
        <v>2.7785708681077361</v>
      </c>
      <c r="O57" s="7">
        <f>IF((B57&gt;B56), (EXP(-LN(2)/inputs!$C$52)*O56+$O$3), (EXP(-LN(2)/inputs!$C$52)*O56))</f>
        <v>0.29973795772467493</v>
      </c>
      <c r="P57" s="3">
        <f>IF((B57&gt;B56), (EXP(-LN(2)/inputs!$C$52)*P56+$P$3), (EXP(-LN(2)/inputs!$C$52)*P56))</f>
        <v>0.2896382636763653</v>
      </c>
      <c r="Q57" s="19">
        <f>IF((F57*0.62*1/(0.012*(10^inputs!$C$55)))&gt;inputs!$C$57, inputs!$C$57, (F57*0.62*1/(0.012*(10^inputs!$C$55))))</f>
        <v>2.8416291397604871E-3</v>
      </c>
      <c r="R57" s="3">
        <f>IF((B57&gt;B56), (EXP(-LN(2)/inputs!$C$51)*R56+$R$3), (EXP(-LN(2)/inputs!$C$51)*R56))</f>
        <v>6.6023665138975007E-9</v>
      </c>
      <c r="T57" s="7">
        <f>IF(T56&lt;(inputs!$C$20-1),(1+T56),0)</f>
        <v>0</v>
      </c>
      <c r="U57" s="7">
        <f>IF(inputs!$C$19&gt;U56,IF(T56=(inputs!$C$20-1),(U56+1),U56), U56)</f>
        <v>1</v>
      </c>
      <c r="V57" s="7">
        <f t="shared" si="0"/>
        <v>54</v>
      </c>
      <c r="W57" s="8">
        <f>IF((U57&gt;U56), (EXP(-LN(2)/inputs!$C$51)*W56+$W$3), (EXP(-LN(2)/inputs!$C$51)*W56))</f>
        <v>0.2184953060383788</v>
      </c>
      <c r="X57" s="8">
        <f>IF((U57&gt;U56), (EXP(-LN(2)/inputs!$C$51)*X56+$X$3), (EXP(-LN(2)/inputs!$C$51)*X56))</f>
        <v>9.2539188439783968E-2</v>
      </c>
      <c r="Y57" s="8">
        <f>IF((U57&gt;U56), (EXP(-LN(2)/inputs!$C$51)*Y56+$Y$3), (EXP(-LN(2)/inputs!$C$51)*Y56))</f>
        <v>0.11567398554973</v>
      </c>
      <c r="Z57" s="8">
        <f>IF((U57&gt;U56), (EXP(-LN(2)/inputs!$C$51)*Z56+$Z$3), (EXP(-LN(2)/inputs!$C$51)*Z56))</f>
        <v>1.7993731085513547E-2</v>
      </c>
      <c r="AA57" s="8">
        <f>IF((U57&gt;U56), (EXP(-LN(2)/inputs!$C$51)*AA56+$AA$3), (EXP(-LN(2)/inputs!$C$51)*AA56))</f>
        <v>0.16708464579405444</v>
      </c>
      <c r="AB57" s="7">
        <f>(((0.621*15^0.564)/0.2))*W57/15+AB56*inputs!$C$53</f>
        <v>0.2351150734681558</v>
      </c>
      <c r="AC57" s="7">
        <f>(((0.621*1000^0.564)/0.2))*W57/1000+AC56*inputs!$C$53</f>
        <v>3.7675260341071139E-2</v>
      </c>
      <c r="AD57" s="7">
        <f>(((0.648*20^0.651)/0.2))*AA57/20+AD56*inputs!$C$54</f>
        <v>0.25167662044863298</v>
      </c>
      <c r="AE57" s="7">
        <f>(((0.013*2^0.773)/0.2))*AA57/2+AE56*inputs!$C$54</f>
        <v>1.2272608475790375E-2</v>
      </c>
    </row>
    <row r="58" spans="1:31" x14ac:dyDescent="0.3">
      <c r="A58" s="7">
        <f>IF(A57&lt;(inputs!$C$20-1),(1+A57),0)</f>
        <v>0</v>
      </c>
      <c r="B58" s="7">
        <f>IF(inputs!$C$19&gt;B57,IF(A57=(inputs!$C$20-1),(B57+1),B57), B57)</f>
        <v>1</v>
      </c>
      <c r="C58" s="7">
        <f t="shared" si="1"/>
        <v>55</v>
      </c>
      <c r="D58" s="8">
        <f>IF((B58&gt;B57), (EXP(-LN(2)/inputs!$C$51)*D57+$D$3), (EXP(-LN(2)/inputs!$C$51)*D57))</f>
        <v>0.54129786608790786</v>
      </c>
      <c r="E58" s="8">
        <f>IF((B58&gt;B57), (EXP(-LN(2)/inputs!$C$51)*E57+$E$3), (EXP(-LN(2)/inputs!$C$51)*E57))</f>
        <v>0.24809485529029102</v>
      </c>
      <c r="F58" s="8">
        <f>IF((B58&gt;B57), (EXP(-LN(2)/inputs!$C$51)*F57+$F$3), (EXP(-LN(2)/inputs!$C$51)*F57))</f>
        <v>0.30448004967444792</v>
      </c>
      <c r="G58" s="8">
        <f>IF((B58&gt;B57), (EXP(-LN(2)/inputs!$C$51)*G57+$G$3), (EXP(-LN(2)/inputs!$C$51)*G57))</f>
        <v>3.3831116630494242E-2</v>
      </c>
      <c r="H58" s="8">
        <f>IF((B58&gt;B57), (EXP(-LN(2)/inputs!$C$51)*H57+$H$3), (EXP(-LN(2)/inputs!$C$51)*H57))</f>
        <v>0.2120083308844303</v>
      </c>
      <c r="I58" s="7">
        <f>O58*(10^inputs!$C$55)*0.01/1</f>
        <v>18.530533394336487</v>
      </c>
      <c r="J58" s="7">
        <f>(((0.621*15^0.564)/0.2))*D58/15+J57*inputs!$C$53</f>
        <v>0.58247149497600592</v>
      </c>
      <c r="K58" s="7">
        <f>(((0.621*1000^0.564)/0.2))*D58/1000+K57*inputs!$C$53</f>
        <v>9.3336275257767137E-2</v>
      </c>
      <c r="L58" s="7">
        <f>(((0.648*20^0.651)/0.2))*H58/20+L57*inputs!$C$54</f>
        <v>0.31934436566790525</v>
      </c>
      <c r="M58" s="7">
        <f>(((0.013*2^0.773)/0.2))*H58/2+M57*inputs!$C$54</f>
        <v>1.5572318007948376E-2</v>
      </c>
      <c r="N58" s="7">
        <f>O58*0.015*inputs!$C$56</f>
        <v>2.7224985344614123</v>
      </c>
      <c r="O58" s="7">
        <f>IF((B58&gt;B57), (EXP(-LN(2)/inputs!$C$52)*O57+$O$3), (EXP(-LN(2)/inputs!$C$52)*O57))</f>
        <v>0.293689162293572</v>
      </c>
      <c r="P58" s="3">
        <f>IF((B58&gt;B57), (EXP(-LN(2)/inputs!$C$52)*P57+$P$3), (EXP(-LN(2)/inputs!$C$52)*P57))</f>
        <v>0.28379328288281674</v>
      </c>
      <c r="Q58" s="19">
        <f>IF((F58*0.62*1/(0.012*(10^inputs!$C$55)))&gt;inputs!$C$57, inputs!$C$57, (F58*0.62*1/(0.012*(10^inputs!$C$55))))</f>
        <v>2.4932698495078107E-3</v>
      </c>
      <c r="R58" s="3">
        <f>IF((B58&gt;B57), (EXP(-LN(2)/inputs!$C$51)*R57+$R$3), (EXP(-LN(2)/inputs!$C$51)*R57))</f>
        <v>5.7929731695699467E-9</v>
      </c>
      <c r="T58" s="7">
        <f>IF(T57&lt;(inputs!$C$20-1),(1+T57),0)</f>
        <v>0</v>
      </c>
      <c r="U58" s="7">
        <f>IF(inputs!$C$19&gt;U57,IF(T57=(inputs!$C$20-1),(U57+1),U57), U57)</f>
        <v>1</v>
      </c>
      <c r="V58" s="7">
        <f t="shared" si="0"/>
        <v>55</v>
      </c>
      <c r="W58" s="8">
        <f>IF((U58&gt;U57), (EXP(-LN(2)/inputs!$C$51)*W57+$W$3), (EXP(-LN(2)/inputs!$C$51)*W57))</f>
        <v>0.19170966090613384</v>
      </c>
      <c r="X58" s="8">
        <f>IF((U58&gt;U57), (EXP(-LN(2)/inputs!$C$51)*X57+$X$3), (EXP(-LN(2)/inputs!$C$51)*X57))</f>
        <v>8.1194679913186102E-2</v>
      </c>
      <c r="Y58" s="8">
        <f>IF((U58&gt;U57), (EXP(-LN(2)/inputs!$C$51)*Y57+$Y$3), (EXP(-LN(2)/inputs!$C$51)*Y57))</f>
        <v>0.10149334989148266</v>
      </c>
      <c r="Z58" s="8">
        <f>IF((U58&gt;U57), (EXP(-LN(2)/inputs!$C$51)*Z57+$Z$3), (EXP(-LN(2)/inputs!$C$51)*Z57))</f>
        <v>1.578785442756396E-2</v>
      </c>
      <c r="AA58" s="8">
        <f>IF((U58&gt;U57), (EXP(-LN(2)/inputs!$C$51)*AA57+$AA$3), (EXP(-LN(2)/inputs!$C$51)*AA57))</f>
        <v>0.14660150539880829</v>
      </c>
      <c r="AB58" s="7">
        <f>(((0.621*15^0.564)/0.2))*W58/15+AB57*inputs!$C$53</f>
        <v>0.20629198780400188</v>
      </c>
      <c r="AC58" s="7">
        <f>(((0.621*1000^0.564)/0.2))*W58/1000+AC57*inputs!$C$53</f>
        <v>3.3056597487125826E-2</v>
      </c>
      <c r="AD58" s="7">
        <f>(((0.648*20^0.651)/0.2))*AA58/20+AD57*inputs!$C$54</f>
        <v>0.22082323157887085</v>
      </c>
      <c r="AE58" s="7">
        <f>(((0.013*2^0.773)/0.2))*AA58/2+AE57*inputs!$C$54</f>
        <v>1.0768092239538778E-2</v>
      </c>
    </row>
    <row r="59" spans="1:31" x14ac:dyDescent="0.3">
      <c r="A59" s="7">
        <f>IF(A58&lt;(inputs!$C$20-1),(1+A58),0)</f>
        <v>0</v>
      </c>
      <c r="B59" s="7">
        <f>IF(inputs!$C$19&gt;B58,IF(A58=(inputs!$C$20-1),(B58+1),B58), B58)</f>
        <v>1</v>
      </c>
      <c r="C59" s="7">
        <f t="shared" si="1"/>
        <v>56</v>
      </c>
      <c r="D59" s="8">
        <f>IF((B59&gt;B58), (EXP(-LN(2)/inputs!$C$51)*D58+$D$3), (EXP(-LN(2)/inputs!$C$51)*D58))</f>
        <v>0.47493940368082349</v>
      </c>
      <c r="E59" s="8">
        <f>IF((B59&gt;B58), (EXP(-LN(2)/inputs!$C$51)*E58+$E$3), (EXP(-LN(2)/inputs!$C$51)*E58))</f>
        <v>0.21768056002037733</v>
      </c>
      <c r="F59" s="8">
        <f>IF((B59&gt;B58), (EXP(-LN(2)/inputs!$C$51)*F58+$F$3), (EXP(-LN(2)/inputs!$C$51)*F58))</f>
        <v>0.26715341457046299</v>
      </c>
      <c r="G59" s="8">
        <f>IF((B59&gt;B58), (EXP(-LN(2)/inputs!$C$51)*G58+$G$3), (EXP(-LN(2)/inputs!$C$51)*G58))</f>
        <v>2.9683712730051468E-2</v>
      </c>
      <c r="H59" s="8">
        <f>IF((B59&gt;B58), (EXP(-LN(2)/inputs!$C$51)*H58+$H$3), (EXP(-LN(2)/inputs!$C$51)*H58))</f>
        <v>0.18601793310832229</v>
      </c>
      <c r="I59" s="7">
        <f>O59*(10^inputs!$C$55)*0.01/1</f>
        <v>18.156582071713139</v>
      </c>
      <c r="J59" s="7">
        <f>(((0.621*15^0.564)/0.2))*D59/15+J58*inputs!$C$53</f>
        <v>0.51106549982233873</v>
      </c>
      <c r="K59" s="7">
        <f>(((0.621*1000^0.564)/0.2))*D59/1000+K58*inputs!$C$53</f>
        <v>8.18940507434293E-2</v>
      </c>
      <c r="L59" s="7">
        <f>(((0.648*20^0.651)/0.2))*H59/20+L58*inputs!$C$54</f>
        <v>0.28019549327858312</v>
      </c>
      <c r="M59" s="7">
        <f>(((0.013*2^0.773)/0.2))*H59/2+M58*inputs!$C$54</f>
        <v>1.3663285765516099E-2</v>
      </c>
      <c r="N59" s="7">
        <f>O59*0.015*inputs!$C$56</f>
        <v>2.6675577561180797</v>
      </c>
      <c r="O59" s="7">
        <f>IF((B59&gt;B58), (EXP(-LN(2)/inputs!$C$52)*O58+$O$3), (EXP(-LN(2)/inputs!$C$52)*O58))</f>
        <v>0.28776243323819628</v>
      </c>
      <c r="P59" s="3">
        <f>IF((B59&gt;B58), (EXP(-LN(2)/inputs!$C$52)*P58+$P$3), (EXP(-LN(2)/inputs!$C$52)*P58))</f>
        <v>0.27806625542886954</v>
      </c>
      <c r="Q59" s="19">
        <f>IF((F59*0.62*1/(0.012*(10^inputs!$C$55)))&gt;inputs!$C$57, inputs!$C$57, (F59*0.62*1/(0.012*(10^inputs!$C$55))))</f>
        <v>2.1876164118265849E-3</v>
      </c>
      <c r="R59" s="3">
        <f>IF((B59&gt;B58), (EXP(-LN(2)/inputs!$C$51)*R58+$R$3), (EXP(-LN(2)/inputs!$C$51)*R58))</f>
        <v>5.0828044872575611E-9</v>
      </c>
      <c r="T59" s="7">
        <f>IF(T58&lt;(inputs!$C$20-1),(1+T58),0)</f>
        <v>0</v>
      </c>
      <c r="U59" s="7">
        <f>IF(inputs!$C$19&gt;U58,IF(T58=(inputs!$C$20-1),(U58+1),U58), U58)</f>
        <v>1</v>
      </c>
      <c r="V59" s="7">
        <f t="shared" si="0"/>
        <v>56</v>
      </c>
      <c r="W59" s="8">
        <f>IF((U59&gt;U58), (EXP(-LN(2)/inputs!$C$51)*W58+$W$3), (EXP(-LN(2)/inputs!$C$51)*W58))</f>
        <v>0.16820770547029149</v>
      </c>
      <c r="X59" s="8">
        <f>IF((U59&gt;U58), (EXP(-LN(2)/inputs!$C$51)*X58+$X$3), (EXP(-LN(2)/inputs!$C$51)*X58))</f>
        <v>7.1240910552123449E-2</v>
      </c>
      <c r="Y59" s="8">
        <f>IF((U59&gt;U58), (EXP(-LN(2)/inputs!$C$51)*Y58+$Y$3), (EXP(-LN(2)/inputs!$C$51)*Y58))</f>
        <v>8.9051138190154353E-2</v>
      </c>
      <c r="Z59" s="8">
        <f>IF((U59&gt;U58), (EXP(-LN(2)/inputs!$C$51)*Z58+$Z$3), (EXP(-LN(2)/inputs!$C$51)*Z58))</f>
        <v>1.3852399274024001E-2</v>
      </c>
      <c r="AA59" s="8">
        <f>IF((U59&gt;U58), (EXP(-LN(2)/inputs!$C$51)*AA58+$AA$3), (EXP(-LN(2)/inputs!$C$51)*AA58))</f>
        <v>0.12862942183022294</v>
      </c>
      <c r="AB59" s="7">
        <f>(((0.621*15^0.564)/0.2))*W59/15+AB58*inputs!$C$53</f>
        <v>0.18100236452041146</v>
      </c>
      <c r="AC59" s="7">
        <f>(((0.621*1000^0.564)/0.2))*W59/1000+AC58*inputs!$C$53</f>
        <v>2.9004142971631182E-2</v>
      </c>
      <c r="AD59" s="7">
        <f>(((0.648*20^0.651)/0.2))*AA59/20+AD58*inputs!$C$54</f>
        <v>0.19375220279902039</v>
      </c>
      <c r="AE59" s="7">
        <f>(((0.013*2^0.773)/0.2))*AA59/2+AE58*inputs!$C$54</f>
        <v>9.4480167527504991E-3</v>
      </c>
    </row>
    <row r="60" spans="1:31" x14ac:dyDescent="0.3">
      <c r="A60" s="7">
        <f>IF(A59&lt;(inputs!$C$20-1),(1+A59),0)</f>
        <v>0</v>
      </c>
      <c r="B60" s="7">
        <f>IF(inputs!$C$19&gt;B59,IF(A59=(inputs!$C$20-1),(B59+1),B59), B59)</f>
        <v>1</v>
      </c>
      <c r="C60" s="7">
        <f t="shared" si="1"/>
        <v>57</v>
      </c>
      <c r="D60" s="8">
        <f>IF((B60&gt;B59), (EXP(-LN(2)/inputs!$C$51)*D59+$D$3), (EXP(-LN(2)/inputs!$C$51)*D59))</f>
        <v>0.4167159179823251</v>
      </c>
      <c r="E60" s="8">
        <f>IF((B60&gt;B59), (EXP(-LN(2)/inputs!$C$51)*E59+$E$3), (EXP(-LN(2)/inputs!$C$51)*E59))</f>
        <v>0.19099479574189893</v>
      </c>
      <c r="F60" s="8">
        <f>IF((B60&gt;B59), (EXP(-LN(2)/inputs!$C$51)*F59+$F$3), (EXP(-LN(2)/inputs!$C$51)*F59))</f>
        <v>0.23440270386505765</v>
      </c>
      <c r="G60" s="8">
        <f>IF((B60&gt;B59), (EXP(-LN(2)/inputs!$C$51)*G59+$G$3), (EXP(-LN(2)/inputs!$C$51)*G59))</f>
        <v>2.6044744873895319E-2</v>
      </c>
      <c r="H60" s="8">
        <f>IF((B60&gt;B59), (EXP(-LN(2)/inputs!$C$51)*H59+$H$3), (EXP(-LN(2)/inputs!$C$51)*H59))</f>
        <v>0.16321373454307711</v>
      </c>
      <c r="I60" s="7">
        <f>O60*(10^inputs!$C$55)*0.01/1</f>
        <v>17.790177190884851</v>
      </c>
      <c r="J60" s="7">
        <f>(((0.621*15^0.564)/0.2))*D60/15+J59*inputs!$C$53</f>
        <v>0.44841326547561988</v>
      </c>
      <c r="K60" s="7">
        <f>(((0.621*1000^0.564)/0.2))*D60/1000+K59*inputs!$C$53</f>
        <v>7.1854544534219231E-2</v>
      </c>
      <c r="L60" s="7">
        <f>(((0.648*20^0.651)/0.2))*H60/20+L59*inputs!$C$54</f>
        <v>0.24584593590504319</v>
      </c>
      <c r="M60" s="7">
        <f>(((0.013*2^0.773)/0.2))*H60/2+M59*inputs!$C$54</f>
        <v>1.1988284455459196E-2</v>
      </c>
      <c r="N60" s="7">
        <f>O60*0.015*inputs!$C$56</f>
        <v>2.613725697976709</v>
      </c>
      <c r="O60" s="7">
        <f>IF((B60&gt;B59), (EXP(-LN(2)/inputs!$C$52)*O59+$O$3), (EXP(-LN(2)/inputs!$C$52)*O59))</f>
        <v>0.28195530722510348</v>
      </c>
      <c r="P60" s="3">
        <f>IF((B60&gt;B59), (EXP(-LN(2)/inputs!$C$52)*P59+$P$3), (EXP(-LN(2)/inputs!$C$52)*P59))</f>
        <v>0.27245480098329333</v>
      </c>
      <c r="Q60" s="19">
        <f>IF((F60*0.62*1/(0.012*(10^inputs!$C$55)))&gt;inputs!$C$57, inputs!$C$57, (F60*0.62*1/(0.012*(10^inputs!$C$55))))</f>
        <v>1.9194334565260736E-3</v>
      </c>
      <c r="R60" s="3">
        <f>IF((B60&gt;B59), (EXP(-LN(2)/inputs!$C$51)*R59+$R$3), (EXP(-LN(2)/inputs!$C$51)*R59))</f>
        <v>4.459696376878525E-9</v>
      </c>
      <c r="T60" s="7">
        <f>IF(T59&lt;(inputs!$C$20-1),(1+T59),0)</f>
        <v>0</v>
      </c>
      <c r="U60" s="7">
        <f>IF(inputs!$C$19&gt;U59,IF(T59=(inputs!$C$20-1),(U59+1),U59), U59)</f>
        <v>1</v>
      </c>
      <c r="V60" s="7">
        <f t="shared" si="0"/>
        <v>57</v>
      </c>
      <c r="W60" s="8">
        <f>IF((U60&gt;U59), (EXP(-LN(2)/inputs!$C$51)*W59+$W$3), (EXP(-LN(2)/inputs!$C$51)*W59))</f>
        <v>0.14758688761873998</v>
      </c>
      <c r="X60" s="8">
        <f>IF((U60&gt;U59), (EXP(-LN(2)/inputs!$C$51)*X59+$X$3), (EXP(-LN(2)/inputs!$C$51)*X59))</f>
        <v>6.2507387697348704E-2</v>
      </c>
      <c r="Y60" s="8">
        <f>IF((U60&gt;U59), (EXP(-LN(2)/inputs!$C$51)*Y59+$Y$3), (EXP(-LN(2)/inputs!$C$51)*Y59))</f>
        <v>7.8134234621685908E-2</v>
      </c>
      <c r="Z60" s="8">
        <f>IF((U60&gt;U59), (EXP(-LN(2)/inputs!$C$51)*Z59+$Z$3), (EXP(-LN(2)/inputs!$C$51)*Z59))</f>
        <v>1.2154214274484466E-2</v>
      </c>
      <c r="AA60" s="8">
        <f>IF((U60&gt;U59), (EXP(-LN(2)/inputs!$C$51)*AA59+$AA$3), (EXP(-LN(2)/inputs!$C$51)*AA59))</f>
        <v>0.11286056112021296</v>
      </c>
      <c r="AB60" s="7">
        <f>(((0.621*15^0.564)/0.2))*W60/15+AB59*inputs!$C$53</f>
        <v>0.15881303152261519</v>
      </c>
      <c r="AC60" s="7">
        <f>(((0.621*1000^0.564)/0.2))*W60/1000+AC59*inputs!$C$53</f>
        <v>2.5448484522535945E-2</v>
      </c>
      <c r="AD60" s="7">
        <f>(((0.648*20^0.651)/0.2))*AA60/20+AD59*inputs!$C$54</f>
        <v>0.16999984929604062</v>
      </c>
      <c r="AE60" s="7">
        <f>(((0.013*2^0.773)/0.2))*AA60/2+AE59*inputs!$C$54</f>
        <v>8.2897711660090238E-3</v>
      </c>
    </row>
    <row r="61" spans="1:31" x14ac:dyDescent="0.3">
      <c r="A61" s="7">
        <f>IF(A60&lt;(inputs!$C$20-1),(1+A60),0)</f>
        <v>0</v>
      </c>
      <c r="B61" s="7">
        <f>IF(inputs!$C$19&gt;B60,IF(A60=(inputs!$C$20-1),(B60+1),B60), B60)</f>
        <v>1</v>
      </c>
      <c r="C61" s="7">
        <f t="shared" si="1"/>
        <v>58</v>
      </c>
      <c r="D61" s="8">
        <f>IF((B61&gt;B60), (EXP(-LN(2)/inputs!$C$51)*D60+$D$3), (EXP(-LN(2)/inputs!$C$51)*D60))</f>
        <v>0.36563013082096774</v>
      </c>
      <c r="E61" s="8">
        <f>IF((B61&gt;B60), (EXP(-LN(2)/inputs!$C$51)*E60+$E$3), (EXP(-LN(2)/inputs!$C$51)*E60))</f>
        <v>0.16758047662627681</v>
      </c>
      <c r="F61" s="8">
        <f>IF((B61&gt;B60), (EXP(-LN(2)/inputs!$C$51)*F60+$F$3), (EXP(-LN(2)/inputs!$C$51)*F60))</f>
        <v>0.20566694858679416</v>
      </c>
      <c r="G61" s="8">
        <f>IF((B61&gt;B60), (EXP(-LN(2)/inputs!$C$51)*G60+$G$3), (EXP(-LN(2)/inputs!$C$51)*G60))</f>
        <v>2.2851883176310483E-2</v>
      </c>
      <c r="H61" s="8">
        <f>IF((B61&gt;B60), (EXP(-LN(2)/inputs!$C$51)*H60+$H$3), (EXP(-LN(2)/inputs!$C$51)*H60))</f>
        <v>0.14320513457154549</v>
      </c>
      <c r="I61" s="7">
        <f>O61*(10^inputs!$C$55)*0.01/1</f>
        <v>17.431166462555339</v>
      </c>
      <c r="J61" s="7">
        <f>(((0.621*15^0.564)/0.2))*D61/15+J60*inputs!$C$53</f>
        <v>0.39344165615641841</v>
      </c>
      <c r="K61" s="7">
        <f>(((0.621*1000^0.564)/0.2))*D61/1000+K60*inputs!$C$53</f>
        <v>6.3045795431414156E-2</v>
      </c>
      <c r="L61" s="7">
        <f>(((0.648*20^0.651)/0.2))*H61/20+L60*inputs!$C$54</f>
        <v>0.21570733880767373</v>
      </c>
      <c r="M61" s="7">
        <f>(((0.013*2^0.773)/0.2))*H61/2+M60*inputs!$C$54</f>
        <v>1.0518623898486247E-2</v>
      </c>
      <c r="N61" s="7">
        <f>O61*0.015*inputs!$C$56</f>
        <v>2.5609799857549693</v>
      </c>
      <c r="O61" s="7">
        <f>IF((B61&gt;B60), (EXP(-LN(2)/inputs!$C$52)*O60+$O$3), (EXP(-LN(2)/inputs!$C$52)*O60))</f>
        <v>0.276265370631604</v>
      </c>
      <c r="P61" s="3">
        <f>IF((B61&gt;B60), (EXP(-LN(2)/inputs!$C$52)*P60+$P$3), (EXP(-LN(2)/inputs!$C$52)*P60))</f>
        <v>0.26695658725060484</v>
      </c>
      <c r="Q61" s="19">
        <f>IF((F61*0.62*1/(0.012*(10^inputs!$C$55)))&gt;inputs!$C$57, inputs!$C$57, (F61*0.62*1/(0.012*(10^inputs!$C$55))))</f>
        <v>1.6841274247688743E-3</v>
      </c>
      <c r="R61" s="3">
        <f>IF((B61&gt;B60), (EXP(-LN(2)/inputs!$C$51)*R60+$R$3), (EXP(-LN(2)/inputs!$C$51)*R60))</f>
        <v>3.9129759611655931E-9</v>
      </c>
      <c r="T61" s="7">
        <f>IF(T60&lt;(inputs!$C$20-1),(1+T60),0)</f>
        <v>0</v>
      </c>
      <c r="U61" s="7">
        <f>IF(inputs!$C$19&gt;U60,IF(T60=(inputs!$C$20-1),(U60+1),U60), U60)</f>
        <v>1</v>
      </c>
      <c r="V61" s="7">
        <f t="shared" si="0"/>
        <v>58</v>
      </c>
      <c r="W61" s="8">
        <f>IF((U61&gt;U60), (EXP(-LN(2)/inputs!$C$51)*W60+$W$3), (EXP(-LN(2)/inputs!$C$51)*W60))</f>
        <v>0.12949400466575925</v>
      </c>
      <c r="X61" s="8">
        <f>IF((U61&gt;U60), (EXP(-LN(2)/inputs!$C$51)*X60+$X$3), (EXP(-LN(2)/inputs!$C$51)*X60))</f>
        <v>5.4844519623145106E-2</v>
      </c>
      <c r="Y61" s="8">
        <f>IF((U61&gt;U60), (EXP(-LN(2)/inputs!$C$51)*Y60+$Y$3), (EXP(-LN(2)/inputs!$C$51)*Y60))</f>
        <v>6.8555649528931409E-2</v>
      </c>
      <c r="Z61" s="8">
        <f>IF((U61&gt;U60), (EXP(-LN(2)/inputs!$C$51)*Z60+$Z$3), (EXP(-LN(2)/inputs!$C$51)*Z60))</f>
        <v>1.0664212148944878E-2</v>
      </c>
      <c r="AA61" s="8">
        <f>IF((U61&gt;U60), (EXP(-LN(2)/inputs!$C$51)*AA60+$AA$3), (EXP(-LN(2)/inputs!$C$51)*AA60))</f>
        <v>9.902482709734535E-2</v>
      </c>
      <c r="AB61" s="7">
        <f>(((0.621*15^0.564)/0.2))*W61/15+AB60*inputs!$C$53</f>
        <v>0.13934391988873135</v>
      </c>
      <c r="AC61" s="7">
        <f>(((0.621*1000^0.564)/0.2))*W61/1000+AC60*inputs!$C$53</f>
        <v>2.2328719215292486E-2</v>
      </c>
      <c r="AD61" s="7">
        <f>(((0.648*20^0.651)/0.2))*AA61/20+AD60*inputs!$C$54</f>
        <v>0.14915933002658299</v>
      </c>
      <c r="AE61" s="7">
        <f>(((0.013*2^0.773)/0.2))*AA61/2+AE60*inputs!$C$54</f>
        <v>7.2735165255490052E-3</v>
      </c>
    </row>
    <row r="62" spans="1:31" x14ac:dyDescent="0.3">
      <c r="A62" s="7">
        <f>IF(A61&lt;(inputs!$C$20-1),(1+A61),0)</f>
        <v>0</v>
      </c>
      <c r="B62" s="7">
        <f>IF(inputs!$C$19&gt;B61,IF(A61=(inputs!$C$20-1),(B61+1),B61), B61)</f>
        <v>1</v>
      </c>
      <c r="C62" s="7">
        <f t="shared" si="1"/>
        <v>59</v>
      </c>
      <c r="D62" s="8">
        <f>IF((B62&gt;B61), (EXP(-LN(2)/inputs!$C$51)*D61+$D$3), (EXP(-LN(2)/inputs!$C$51)*D61))</f>
        <v>0.32080702175103426</v>
      </c>
      <c r="E62" s="8">
        <f>IF((B62&gt;B61), (EXP(-LN(2)/inputs!$C$51)*E61+$E$3), (EXP(-LN(2)/inputs!$C$51)*E61))</f>
        <v>0.14703655163589066</v>
      </c>
      <c r="F62" s="8">
        <f>IF((B62&gt;B61), (EXP(-LN(2)/inputs!$C$51)*F61+$F$3), (EXP(-LN(2)/inputs!$C$51)*F61))</f>
        <v>0.1804539497349566</v>
      </c>
      <c r="G62" s="8">
        <f>IF((B62&gt;B61), (EXP(-LN(2)/inputs!$C$51)*G61+$G$3), (EXP(-LN(2)/inputs!$C$51)*G61))</f>
        <v>2.0050438859439641E-2</v>
      </c>
      <c r="H62" s="8">
        <f>IF((B62&gt;B61), (EXP(-LN(2)/inputs!$C$51)*H61+$H$3), (EXP(-LN(2)/inputs!$C$51)*H61))</f>
        <v>0.12564941685248823</v>
      </c>
      <c r="I62" s="7">
        <f>O62*(10^inputs!$C$55)*0.01/1</f>
        <v>17.079400670668718</v>
      </c>
      <c r="J62" s="7">
        <f>(((0.621*15^0.564)/0.2))*D62/15+J61*inputs!$C$53</f>
        <v>0.34520909330128113</v>
      </c>
      <c r="K62" s="7">
        <f>(((0.621*1000^0.564)/0.2))*D62/1000+K61*inputs!$C$53</f>
        <v>5.5316923200129944E-2</v>
      </c>
      <c r="L62" s="7">
        <f>(((0.648*20^0.651)/0.2))*H62/20+L61*inputs!$C$54</f>
        <v>0.18926347447720432</v>
      </c>
      <c r="M62" s="7">
        <f>(((0.013*2^0.773)/0.2))*H62/2+M61*inputs!$C$54</f>
        <v>9.2291310845082908E-3</v>
      </c>
      <c r="N62" s="7">
        <f>O62*0.015*inputs!$C$56</f>
        <v>2.5092986966897723</v>
      </c>
      <c r="O62" s="7">
        <f>IF((B62&gt;B61), (EXP(-LN(2)/inputs!$C$52)*O61+$O$3), (EXP(-LN(2)/inputs!$C$52)*O61))</f>
        <v>0.27069025854258599</v>
      </c>
      <c r="P62" s="3">
        <f>IF((B62&gt;B61), (EXP(-LN(2)/inputs!$C$52)*P61+$P$3), (EXP(-LN(2)/inputs!$C$52)*P61))</f>
        <v>0.26156932900169283</v>
      </c>
      <c r="Q62" s="19">
        <f>IF((F62*0.62*1/(0.012*(10^inputs!$C$55)))&gt;inputs!$C$57, inputs!$C$57, (F62*0.62*1/(0.012*(10^inputs!$C$55))))</f>
        <v>1.4776678885195372E-3</v>
      </c>
      <c r="R62" s="3">
        <f>IF((B62&gt;B61), (EXP(-LN(2)/inputs!$C$51)*R61+$R$3), (EXP(-LN(2)/inputs!$C$51)*R61))</f>
        <v>3.4332787658016957E-9</v>
      </c>
      <c r="T62" s="7">
        <f>IF(T61&lt;(inputs!$C$20-1),(1+T61),0)</f>
        <v>0</v>
      </c>
      <c r="U62" s="7">
        <f>IF(inputs!$C$19&gt;U61,IF(T61=(inputs!$C$20-1),(U61+1),U61), U61)</f>
        <v>1</v>
      </c>
      <c r="V62" s="7">
        <f t="shared" si="0"/>
        <v>59</v>
      </c>
      <c r="W62" s="8">
        <f>IF((U62&gt;U61), (EXP(-LN(2)/inputs!$C$51)*W61+$W$3), (EXP(-LN(2)/inputs!$C$51)*W61))</f>
        <v>0.1136191535368245</v>
      </c>
      <c r="X62" s="8">
        <f>IF((U62&gt;U61), (EXP(-LN(2)/inputs!$C$51)*X61+$X$3), (EXP(-LN(2)/inputs!$C$51)*X61))</f>
        <v>4.8121053262655089E-2</v>
      </c>
      <c r="Y62" s="8">
        <f>IF((U62&gt;U61), (EXP(-LN(2)/inputs!$C$51)*Y61+$Y$3), (EXP(-LN(2)/inputs!$C$51)*Y61))</f>
        <v>6.0151316578318889E-2</v>
      </c>
      <c r="Z62" s="8">
        <f>IF((U62&gt;U61), (EXP(-LN(2)/inputs!$C$51)*Z61+$Z$3), (EXP(-LN(2)/inputs!$C$51)*Z61))</f>
        <v>9.3568714677384878E-3</v>
      </c>
      <c r="AA62" s="8">
        <f>IF((U62&gt;U61), (EXP(-LN(2)/inputs!$C$51)*AA61+$AA$3), (EXP(-LN(2)/inputs!$C$51)*AA61))</f>
        <v>8.6885235057571716E-2</v>
      </c>
      <c r="AB62" s="7">
        <f>(((0.621*15^0.564)/0.2))*W62/15+AB61*inputs!$C$53</f>
        <v>0.12226155387753693</v>
      </c>
      <c r="AC62" s="7">
        <f>(((0.621*1000^0.564)/0.2))*W62/1000+AC61*inputs!$C$53</f>
        <v>1.9591410300045999E-2</v>
      </c>
      <c r="AD62" s="7">
        <f>(((0.648*20^0.651)/0.2))*AA62/20+AD61*inputs!$C$54</f>
        <v>0.13087367915976905</v>
      </c>
      <c r="AE62" s="7">
        <f>(((0.013*2^0.773)/0.2))*AA62/2+AE61*inputs!$C$54</f>
        <v>6.3818459626919077E-3</v>
      </c>
    </row>
    <row r="63" spans="1:31" x14ac:dyDescent="0.3">
      <c r="A63" s="7">
        <f>IF(A62&lt;(inputs!$C$20-1),(1+A62),0)</f>
        <v>0</v>
      </c>
      <c r="B63" s="7">
        <f>IF(inputs!$C$19&gt;B62,IF(A62=(inputs!$C$20-1),(B62+1),B62), B62)</f>
        <v>1</v>
      </c>
      <c r="C63" s="7">
        <f t="shared" si="1"/>
        <v>60</v>
      </c>
      <c r="D63" s="8">
        <f>IF((B63&gt;B62), (EXP(-LN(2)/inputs!$C$51)*D62+$D$3), (EXP(-LN(2)/inputs!$C$51)*D62))</f>
        <v>0.28147884030696135</v>
      </c>
      <c r="E63" s="8">
        <f>IF((B63&gt;B62), (EXP(-LN(2)/inputs!$C$51)*E62+$E$3), (EXP(-LN(2)/inputs!$C$51)*E62))</f>
        <v>0.1290111351406906</v>
      </c>
      <c r="F63" s="8">
        <f>IF((B63&gt;B62), (EXP(-LN(2)/inputs!$C$51)*F62+$F$3), (EXP(-LN(2)/inputs!$C$51)*F62))</f>
        <v>0.15833184767266562</v>
      </c>
      <c r="G63" s="8">
        <f>IF((B63&gt;B62), (EXP(-LN(2)/inputs!$C$51)*G62+$G$3), (EXP(-LN(2)/inputs!$C$51)*G62))</f>
        <v>1.7592427519185085E-2</v>
      </c>
      <c r="H63" s="8">
        <f>IF((B63&gt;B62), (EXP(-LN(2)/inputs!$C$51)*H62+$H$3), (EXP(-LN(2)/inputs!$C$51)*H62))</f>
        <v>0.11024587912022638</v>
      </c>
      <c r="I63" s="7">
        <f>O63*(10^inputs!$C$55)*0.01/1</f>
        <v>16.734733610390641</v>
      </c>
      <c r="J63" s="7">
        <f>(((0.621*15^0.564)/0.2))*D63/15+J62*inputs!$C$53</f>
        <v>0.30288942777964295</v>
      </c>
      <c r="K63" s="7">
        <f>(((0.621*1000^0.564)/0.2))*D63/1000+K62*inputs!$C$53</f>
        <v>4.8535544224482433E-2</v>
      </c>
      <c r="L63" s="7">
        <f>(((0.648*20^0.651)/0.2))*H63/20+L62*inputs!$C$54</f>
        <v>0.16606140045666848</v>
      </c>
      <c r="M63" s="7">
        <f>(((0.013*2^0.773)/0.2))*H63/2+M62*inputs!$C$54</f>
        <v>8.0977189979475478E-3</v>
      </c>
      <c r="N63" s="7">
        <f>O63*0.015*inputs!$C$56</f>
        <v>2.458660350425494</v>
      </c>
      <c r="O63" s="7">
        <f>IF((B63&gt;B62), (EXP(-LN(2)/inputs!$C$52)*O62+$O$3), (EXP(-LN(2)/inputs!$C$52)*O62))</f>
        <v>0.26522765376758295</v>
      </c>
      <c r="P63" s="3">
        <f>IF((B63&gt;B62), (EXP(-LN(2)/inputs!$C$52)*P62+$P$3), (EXP(-LN(2)/inputs!$C$52)*P62))</f>
        <v>0.25629078712400571</v>
      </c>
      <c r="Q63" s="19">
        <f>IF((F63*0.62*1/(0.012*(10^inputs!$C$55)))&gt;inputs!$C$57, inputs!$C$57, (F63*0.62*1/(0.012*(10^inputs!$C$55))))</f>
        <v>1.2965185155520203E-3</v>
      </c>
      <c r="R63" s="3">
        <f>IF((B63&gt;B62), (EXP(-LN(2)/inputs!$C$51)*R62+$R$3), (EXP(-LN(2)/inputs!$C$51)*R62))</f>
        <v>3.0123883204724816E-9</v>
      </c>
      <c r="T63" s="7">
        <f>IF(T62&lt;(inputs!$C$20-1),(1+T62),0)</f>
        <v>0</v>
      </c>
      <c r="U63" s="7">
        <f>IF(inputs!$C$19&gt;U62,IF(T62=(inputs!$C$20-1),(U62+1),U62), U62)</f>
        <v>1</v>
      </c>
      <c r="V63" s="7">
        <f t="shared" si="0"/>
        <v>60</v>
      </c>
      <c r="W63" s="8">
        <f>IF((U63&gt;U62), (EXP(-LN(2)/inputs!$C$51)*W62+$W$3), (EXP(-LN(2)/inputs!$C$51)*W62))</f>
        <v>9.9690422608715371E-2</v>
      </c>
      <c r="X63" s="8">
        <f>IF((U63&gt;U62), (EXP(-LN(2)/inputs!$C$51)*X62+$X$3), (EXP(-LN(2)/inputs!$C$51)*X62))</f>
        <v>4.2221826046044159E-2</v>
      </c>
      <c r="Y63" s="8">
        <f>IF((U63&gt;U62), (EXP(-LN(2)/inputs!$C$51)*Y62+$Y$3), (EXP(-LN(2)/inputs!$C$51)*Y62))</f>
        <v>5.2777282557555226E-2</v>
      </c>
      <c r="Z63" s="8">
        <f>IF((U63&gt;U62), (EXP(-LN(2)/inputs!$C$51)*Z62+$Z$3), (EXP(-LN(2)/inputs!$C$51)*Z62))</f>
        <v>8.2097995089530293E-3</v>
      </c>
      <c r="AA63" s="8">
        <f>IF((U63&gt;U62), (EXP(-LN(2)/inputs!$C$51)*AA62+$AA$3), (EXP(-LN(2)/inputs!$C$51)*AA62))</f>
        <v>7.6233852583135309E-2</v>
      </c>
      <c r="AB63" s="7">
        <f>(((0.621*15^0.564)/0.2))*W63/15+AB62*inputs!$C$53</f>
        <v>0.10727333900529008</v>
      </c>
      <c r="AC63" s="7">
        <f>(((0.621*1000^0.564)/0.2))*W63/1000+AC62*inputs!$C$53</f>
        <v>1.7189671912837511E-2</v>
      </c>
      <c r="AD63" s="7">
        <f>(((0.648*20^0.651)/0.2))*AA63/20+AD62*inputs!$C$54</f>
        <v>0.11482969180514317</v>
      </c>
      <c r="AE63" s="7">
        <f>(((0.013*2^0.773)/0.2))*AA63/2+AE62*inputs!$C$54</f>
        <v>5.5994865411339457E-3</v>
      </c>
    </row>
    <row r="64" spans="1:31" x14ac:dyDescent="0.3">
      <c r="A64" s="7">
        <f>IF(A63&lt;(inputs!$C$20-1),(1+A63),0)</f>
        <v>0</v>
      </c>
      <c r="B64" s="7">
        <f>IF(inputs!$C$19&gt;B63,IF(A63=(inputs!$C$20-1),(B63+1),B63), B63)</f>
        <v>1</v>
      </c>
      <c r="C64" s="7">
        <f t="shared" si="1"/>
        <v>61</v>
      </c>
      <c r="D64" s="8">
        <f>IF((B64&gt;B63), (EXP(-LN(2)/inputs!$C$51)*D63+$D$3), (EXP(-LN(2)/inputs!$C$51)*D63))</f>
        <v>0.24697195562645574</v>
      </c>
      <c r="E64" s="8">
        <f>IF((B64&gt;B63), (EXP(-LN(2)/inputs!$C$51)*E63+$E$3), (EXP(-LN(2)/inputs!$C$51)*E63))</f>
        <v>0.11319547966212552</v>
      </c>
      <c r="F64" s="8">
        <f>IF((B64&gt;B63), (EXP(-LN(2)/inputs!$C$51)*F63+$F$3), (EXP(-LN(2)/inputs!$C$51)*F63))</f>
        <v>0.13892172503988123</v>
      </c>
      <c r="G64" s="8">
        <f>IF((B64&gt;B63), (EXP(-LN(2)/inputs!$C$51)*G63+$G$3), (EXP(-LN(2)/inputs!$C$51)*G63))</f>
        <v>1.5435747226653484E-2</v>
      </c>
      <c r="H64" s="8">
        <f>IF((B64&gt;B63), (EXP(-LN(2)/inputs!$C$51)*H63+$H$3), (EXP(-LN(2)/inputs!$C$51)*H63))</f>
        <v>9.6730682620361691E-2</v>
      </c>
      <c r="I64" s="7">
        <f>O64*(10^inputs!$C$55)*0.01/1</f>
        <v>16.397022027341038</v>
      </c>
      <c r="J64" s="7">
        <f>(((0.621*15^0.564)/0.2))*D64/15+J63*inputs!$C$53</f>
        <v>0.26575778923822185</v>
      </c>
      <c r="K64" s="7">
        <f>(((0.621*1000^0.564)/0.2))*D64/1000+K63*inputs!$C$53</f>
        <v>4.2585503981196787E-2</v>
      </c>
      <c r="L64" s="7">
        <f>(((0.648*20^0.651)/0.2))*H64/20+L63*inputs!$C$54</f>
        <v>0.14570370113833786</v>
      </c>
      <c r="M64" s="7">
        <f>(((0.013*2^0.773)/0.2))*H64/2+M63*inputs!$C$54</f>
        <v>7.1050083013545397E-3</v>
      </c>
      <c r="N64" s="7">
        <f>O64*0.015*inputs!$C$56</f>
        <v>2.4090439000860666</v>
      </c>
      <c r="O64" s="7">
        <f>IF((B64&gt;B63), (EXP(-LN(2)/inputs!$C$52)*O63+$O$3), (EXP(-LN(2)/inputs!$C$52)*O63))</f>
        <v>0.25987528587767711</v>
      </c>
      <c r="P64" s="3">
        <f>IF((B64&gt;B63), (EXP(-LN(2)/inputs!$C$52)*P63+$P$3), (EXP(-LN(2)/inputs!$C$52)*P63))</f>
        <v>0.25111876769090657</v>
      </c>
      <c r="Q64" s="19">
        <f>IF((F64*0.62*1/(0.012*(10^inputs!$C$55)))&gt;inputs!$C$57, inputs!$C$57, (F64*0.62*1/(0.012*(10^inputs!$C$55))))</f>
        <v>1.1375764975534212E-3</v>
      </c>
      <c r="R64" s="3">
        <f>IF((B64&gt;B63), (EXP(-LN(2)/inputs!$C$51)*R63+$R$3), (EXP(-LN(2)/inputs!$C$51)*R63))</f>
        <v>2.643095423450143E-9</v>
      </c>
      <c r="T64" s="7">
        <f>IF(T63&lt;(inputs!$C$20-1),(1+T63),0)</f>
        <v>0</v>
      </c>
      <c r="U64" s="7">
        <f>IF(inputs!$C$19&gt;U63,IF(T63=(inputs!$C$20-1),(U63+1),U63), U63)</f>
        <v>1</v>
      </c>
      <c r="V64" s="7">
        <f t="shared" si="0"/>
        <v>61</v>
      </c>
      <c r="W64" s="8">
        <f>IF((U64&gt;U63), (EXP(-LN(2)/inputs!$C$51)*W63+$W$3), (EXP(-LN(2)/inputs!$C$51)*W63))</f>
        <v>8.7469234284369646E-2</v>
      </c>
      <c r="X64" s="8">
        <f>IF((U64&gt;U63), (EXP(-LN(2)/inputs!$C$51)*X63+$X$3), (EXP(-LN(2)/inputs!$C$51)*X63))</f>
        <v>3.704579334396832E-2</v>
      </c>
      <c r="Y64" s="8">
        <f>IF((U64&gt;U63), (EXP(-LN(2)/inputs!$C$51)*Y63+$Y$3), (EXP(-LN(2)/inputs!$C$51)*Y63))</f>
        <v>4.6307241679960427E-2</v>
      </c>
      <c r="Z64" s="8">
        <f>IF((U64&gt;U63), (EXP(-LN(2)/inputs!$C$51)*Z63+$Z$3), (EXP(-LN(2)/inputs!$C$51)*Z63))</f>
        <v>7.2033487057716165E-3</v>
      </c>
      <c r="AA64" s="8">
        <f>IF((U64&gt;U63), (EXP(-LN(2)/inputs!$C$51)*AA63+$AA$3), (EXP(-LN(2)/inputs!$C$51)*AA63))</f>
        <v>6.6888237982165047E-2</v>
      </c>
      <c r="AB64" s="7">
        <f>(((0.621*15^0.564)/0.2))*W64/15+AB63*inputs!$C$53</f>
        <v>9.4122550355203477E-2</v>
      </c>
      <c r="AC64" s="7">
        <f>(((0.621*1000^0.564)/0.2))*W64/1000+AC63*inputs!$C$53</f>
        <v>1.5082365993340509E-2</v>
      </c>
      <c r="AD64" s="7">
        <f>(((0.648*20^0.651)/0.2))*AA64/20+AD63*inputs!$C$54</f>
        <v>0.10075255929778687</v>
      </c>
      <c r="AE64" s="7">
        <f>(((0.013*2^0.773)/0.2))*AA64/2+AE63*inputs!$C$54</f>
        <v>4.9130376551919722E-3</v>
      </c>
    </row>
    <row r="65" spans="1:31" x14ac:dyDescent="0.3">
      <c r="A65" s="7">
        <f>IF(A64&lt;(inputs!$C$20-1),(1+A64),0)</f>
        <v>0</v>
      </c>
      <c r="B65" s="7">
        <f>IF(inputs!$C$19&gt;B64,IF(A64=(inputs!$C$20-1),(B64+1),B64), B64)</f>
        <v>1</v>
      </c>
      <c r="C65" s="7">
        <f t="shared" si="1"/>
        <v>62</v>
      </c>
      <c r="D65" s="8">
        <f>IF((B65&gt;B64), (EXP(-LN(2)/inputs!$C$51)*D64+$D$3), (EXP(-LN(2)/inputs!$C$51)*D64))</f>
        <v>0.21669531819670329</v>
      </c>
      <c r="E65" s="8">
        <f>IF((B65&gt;B64), (EXP(-LN(2)/inputs!$C$51)*E64+$E$3), (EXP(-LN(2)/inputs!$C$51)*E64))</f>
        <v>9.9318687506822323E-2</v>
      </c>
      <c r="F65" s="8">
        <f>IF((B65&gt;B64), (EXP(-LN(2)/inputs!$C$51)*F64+$F$3), (EXP(-LN(2)/inputs!$C$51)*F64))</f>
        <v>0.1218911164856455</v>
      </c>
      <c r="G65" s="8">
        <f>IF((B65&gt;B64), (EXP(-LN(2)/inputs!$C$51)*G64+$G$3), (EXP(-LN(2)/inputs!$C$51)*G64))</f>
        <v>1.3543457387293956E-2</v>
      </c>
      <c r="H65" s="8">
        <f>IF((B65&gt;B64), (EXP(-LN(2)/inputs!$C$51)*H64+$H$3), (EXP(-LN(2)/inputs!$C$51)*H64))</f>
        <v>8.487233296037533E-2</v>
      </c>
      <c r="I65" s="7">
        <f>O65*(10^inputs!$C$55)*0.01/1</f>
        <v>16.066125558053088</v>
      </c>
      <c r="J65" s="7">
        <f>(((0.621*15^0.564)/0.2))*D65/15+J64*inputs!$C$53</f>
        <v>0.23317817019407361</v>
      </c>
      <c r="K65" s="7">
        <f>(((0.621*1000^0.564)/0.2))*D65/1000+K64*inputs!$C$53</f>
        <v>3.736488749244813E-2</v>
      </c>
      <c r="L65" s="7">
        <f>(((0.648*20^0.651)/0.2))*H65/20+L64*inputs!$C$54</f>
        <v>0.12784168064962001</v>
      </c>
      <c r="M65" s="7">
        <f>(((0.013*2^0.773)/0.2))*H65/2+M64*inputs!$C$54</f>
        <v>6.2339953973596643E-3</v>
      </c>
      <c r="N65" s="7">
        <f>O65*0.015*inputs!$C$56</f>
        <v>2.3604287235272405</v>
      </c>
      <c r="O65" s="7">
        <f>IF((B65&gt;B64), (EXP(-LN(2)/inputs!$C$52)*O64+$O$3), (EXP(-LN(2)/inputs!$C$52)*O64))</f>
        <v>0.25463093026183825</v>
      </c>
      <c r="P65" s="3">
        <f>IF((B65&gt;B64), (EXP(-LN(2)/inputs!$C$52)*P64+$P$3), (EXP(-LN(2)/inputs!$C$52)*P64))</f>
        <v>0.24605112104980878</v>
      </c>
      <c r="Q65" s="19">
        <f>IF((F65*0.62*1/(0.012*(10^inputs!$C$55)))&gt;inputs!$C$57, inputs!$C$57, (F65*0.62*1/(0.012*(10^inputs!$C$55))))</f>
        <v>9.9811940382118374E-4</v>
      </c>
      <c r="R65" s="3">
        <f>IF((B65&gt;B64), (EXP(-LN(2)/inputs!$C$51)*R64+$R$3), (EXP(-LN(2)/inputs!$C$51)*R64))</f>
        <v>2.3190746591287311E-9</v>
      </c>
      <c r="T65" s="7">
        <f>IF(T64&lt;(inputs!$C$20-1),(1+T64),0)</f>
        <v>0</v>
      </c>
      <c r="U65" s="7">
        <f>IF(inputs!$C$19&gt;U64,IF(T64=(inputs!$C$20-1),(U64+1),U64), U64)</f>
        <v>1</v>
      </c>
      <c r="V65" s="7">
        <f t="shared" si="0"/>
        <v>62</v>
      </c>
      <c r="W65" s="8">
        <f>IF((U65&gt;U64), (EXP(-LN(2)/inputs!$C$51)*W64+$W$3), (EXP(-LN(2)/inputs!$C$51)*W64))</f>
        <v>7.6746258527999003E-2</v>
      </c>
      <c r="X65" s="8">
        <f>IF((U65&gt;U64), (EXP(-LN(2)/inputs!$C$51)*X64+$X$3), (EXP(-LN(2)/inputs!$C$51)*X64))</f>
        <v>3.2504297729505457E-2</v>
      </c>
      <c r="Y65" s="8">
        <f>IF((U65&gt;U64), (EXP(-LN(2)/inputs!$C$51)*Y64+$Y$3), (EXP(-LN(2)/inputs!$C$51)*Y64))</f>
        <v>4.0630372161881846E-2</v>
      </c>
      <c r="Z65" s="8">
        <f>IF((U65&gt;U64), (EXP(-LN(2)/inputs!$C$51)*Z64+$Z$3), (EXP(-LN(2)/inputs!$C$51)*Z64))</f>
        <v>6.3202801140705049E-3</v>
      </c>
      <c r="AA65" s="8">
        <f>IF((U65&gt;U64), (EXP(-LN(2)/inputs!$C$51)*AA64+$AA$3), (EXP(-LN(2)/inputs!$C$51)*AA64))</f>
        <v>5.8688315344940435E-2</v>
      </c>
      <c r="AB65" s="7">
        <f>(((0.621*15^0.564)/0.2))*W65/15+AB64*inputs!$C$53</f>
        <v>8.2583935277067658E-2</v>
      </c>
      <c r="AC65" s="7">
        <f>(((0.621*1000^0.564)/0.2))*W65/1000+AC64*inputs!$C$53</f>
        <v>1.3233397653575367E-2</v>
      </c>
      <c r="AD65" s="7">
        <f>(((0.648*20^0.651)/0.2))*AA65/20+AD64*inputs!$C$54</f>
        <v>8.8401162151333063E-2</v>
      </c>
      <c r="AE65" s="7">
        <f>(((0.013*2^0.773)/0.2))*AA65/2+AE64*inputs!$C$54</f>
        <v>4.3107414981742396E-3</v>
      </c>
    </row>
    <row r="66" spans="1:31" x14ac:dyDescent="0.3">
      <c r="A66" s="7">
        <f>IF(A65&lt;(inputs!$C$20-1),(1+A65),0)</f>
        <v>0</v>
      </c>
      <c r="B66" s="7">
        <f>IF(inputs!$C$19&gt;B65,IF(A65=(inputs!$C$20-1),(B65+1),B65), B65)</f>
        <v>1</v>
      </c>
      <c r="C66" s="7">
        <f t="shared" si="1"/>
        <v>63</v>
      </c>
      <c r="D66" s="8">
        <f>IF((B66&gt;B65), (EXP(-LN(2)/inputs!$C$51)*D65+$D$3), (EXP(-LN(2)/inputs!$C$51)*D65))</f>
        <v>0.19013033609124666</v>
      </c>
      <c r="E66" s="8">
        <f>IF((B66&gt;B65), (EXP(-LN(2)/inputs!$C$51)*E65+$E$3), (EXP(-LN(2)/inputs!$C$51)*E65))</f>
        <v>8.7143070708488035E-2</v>
      </c>
      <c r="F66" s="8">
        <f>IF((B66&gt;B65), (EXP(-LN(2)/inputs!$C$51)*F65+$F$3), (EXP(-LN(2)/inputs!$C$51)*F65))</f>
        <v>0.10694831405132617</v>
      </c>
      <c r="G66" s="8">
        <f>IF((B66&gt;B65), (EXP(-LN(2)/inputs!$C$51)*G65+$G$3), (EXP(-LN(2)/inputs!$C$51)*G65))</f>
        <v>1.1883146005702916E-2</v>
      </c>
      <c r="H66" s="8">
        <f>IF((B66&gt;B65), (EXP(-LN(2)/inputs!$C$51)*H65+$H$3), (EXP(-LN(2)/inputs!$C$51)*H65))</f>
        <v>7.4467714969071508E-2</v>
      </c>
      <c r="I66" s="7">
        <f>O66*(10^inputs!$C$55)*0.01/1</f>
        <v>15.741906671633826</v>
      </c>
      <c r="J66" s="7">
        <f>(((0.621*15^0.564)/0.2))*D66/15+J65*inputs!$C$53</f>
        <v>0.20459253221104257</v>
      </c>
      <c r="K66" s="7">
        <f>(((0.621*1000^0.564)/0.2))*D66/1000+K65*inputs!$C$53</f>
        <v>3.2784273680070961E-2</v>
      </c>
      <c r="L66" s="7">
        <f>(((0.648*20^0.651)/0.2))*H66/20+L65*inputs!$C$54</f>
        <v>0.11216939023259372</v>
      </c>
      <c r="M66" s="7">
        <f>(((0.013*2^0.773)/0.2))*H66/2+M65*inputs!$C$54</f>
        <v>5.4697611833743349E-3</v>
      </c>
      <c r="N66" s="7">
        <f>O66*0.015*inputs!$C$56</f>
        <v>2.312794614765378</v>
      </c>
      <c r="O66" s="7">
        <f>IF((B66&gt;B65), (EXP(-LN(2)/inputs!$C$52)*O65+$O$3), (EXP(-LN(2)/inputs!$C$52)*O65))</f>
        <v>0.24949240720230614</v>
      </c>
      <c r="P66" s="3">
        <f>IF((B66&gt;B65), (EXP(-LN(2)/inputs!$C$52)*P65+$P$3), (EXP(-LN(2)/inputs!$C$52)*P65))</f>
        <v>0.24108574092871335</v>
      </c>
      <c r="Q66" s="19">
        <f>IF((F66*0.62*1/(0.012*(10^inputs!$C$55)))&gt;inputs!$C$57, inputs!$C$57, (F66*0.62*1/(0.012*(10^inputs!$C$55))))</f>
        <v>8.7575855023988959E-4</v>
      </c>
      <c r="R66" s="3">
        <f>IF((B66&gt;B65), (EXP(-LN(2)/inputs!$C$51)*R65+$R$3), (EXP(-LN(2)/inputs!$C$51)*R65))</f>
        <v>2.0347760534475038E-9</v>
      </c>
      <c r="T66" s="7">
        <f>IF(T65&lt;(inputs!$C$20-1),(1+T65),0)</f>
        <v>0</v>
      </c>
      <c r="U66" s="7">
        <f>IF(inputs!$C$19&gt;U65,IF(T65=(inputs!$C$20-1),(U65+1),U65), U65)</f>
        <v>1</v>
      </c>
      <c r="V66" s="7">
        <f t="shared" si="0"/>
        <v>63</v>
      </c>
      <c r="W66" s="8">
        <f>IF((U66&gt;U65), (EXP(-LN(2)/inputs!$C$51)*W65+$W$3), (EXP(-LN(2)/inputs!$C$51)*W65))</f>
        <v>6.7337827365649791E-2</v>
      </c>
      <c r="X66" s="8">
        <f>IF((U66&gt;U65), (EXP(-LN(2)/inputs!$C$51)*X65+$X$3), (EXP(-LN(2)/inputs!$C$51)*X65))</f>
        <v>2.8519550413686968E-2</v>
      </c>
      <c r="Y66" s="8">
        <f>IF((U66&gt;U65), (EXP(-LN(2)/inputs!$C$51)*Y65+$Y$3), (EXP(-LN(2)/inputs!$C$51)*Y65))</f>
        <v>3.564943801710873E-2</v>
      </c>
      <c r="Z66" s="8">
        <f>IF((U66&gt;U65), (EXP(-LN(2)/inputs!$C$51)*Z65+$Z$3), (EXP(-LN(2)/inputs!$C$51)*Z65))</f>
        <v>5.5454681359946882E-3</v>
      </c>
      <c r="AA66" s="8">
        <f>IF((U66&gt;U65), (EXP(-LN(2)/inputs!$C$51)*AA65+$AA$3), (EXP(-LN(2)/inputs!$C$51)*AA65))</f>
        <v>5.1493632691379271E-2</v>
      </c>
      <c r="AB66" s="7">
        <f>(((0.621*15^0.564)/0.2))*W66/15+AB65*inputs!$C$53</f>
        <v>7.2459855158077499E-2</v>
      </c>
      <c r="AC66" s="7">
        <f>(((0.621*1000^0.564)/0.2))*W66/1000+AC65*inputs!$C$53</f>
        <v>1.1611096928358454E-2</v>
      </c>
      <c r="AD66" s="7">
        <f>(((0.648*20^0.651)/0.2))*AA66/20+AD65*inputs!$C$54</f>
        <v>7.7563940054453162E-2</v>
      </c>
      <c r="AE66" s="7">
        <f>(((0.013*2^0.773)/0.2))*AA66/2+AE65*inputs!$C$54</f>
        <v>3.7822816693545962E-3</v>
      </c>
    </row>
    <row r="67" spans="1:31" x14ac:dyDescent="0.3">
      <c r="A67" s="7">
        <f>IF(A66&lt;(inputs!$C$20-1),(1+A66),0)</f>
        <v>0</v>
      </c>
      <c r="B67" s="7">
        <f>IF(inputs!$C$19&gt;B66,IF(A66=(inputs!$C$20-1),(B66+1),B66), B66)</f>
        <v>1</v>
      </c>
      <c r="C67" s="7">
        <f t="shared" si="1"/>
        <v>64</v>
      </c>
      <c r="D67" s="8">
        <f>IF((B67&gt;B66), (EXP(-LN(2)/inputs!$C$51)*D66+$D$3), (EXP(-LN(2)/inputs!$C$51)*D66))</f>
        <v>0.16682199229314212</v>
      </c>
      <c r="E67" s="8">
        <f>IF((B67&gt;B66), (EXP(-LN(2)/inputs!$C$51)*E66+$E$3), (EXP(-LN(2)/inputs!$C$51)*E66))</f>
        <v>7.6460079801023456E-2</v>
      </c>
      <c r="F67" s="8">
        <f>IF((B67&gt;B66), (EXP(-LN(2)/inputs!$C$51)*F66+$F$3), (EXP(-LN(2)/inputs!$C$51)*F66))</f>
        <v>9.3837370664892367E-2</v>
      </c>
      <c r="G67" s="8">
        <f>IF((B67&gt;B66), (EXP(-LN(2)/inputs!$C$51)*G66+$G$3), (EXP(-LN(2)/inputs!$C$51)*G66))</f>
        <v>1.0426374518321383E-2</v>
      </c>
      <c r="H67" s="8">
        <f>IF((B67&gt;B66), (EXP(-LN(2)/inputs!$C$51)*H66+$H$3), (EXP(-LN(2)/inputs!$C$51)*H66))</f>
        <v>6.5338613648147234E-2</v>
      </c>
      <c r="I67" s="7">
        <f>O67*(10^inputs!$C$55)*0.01/1</f>
        <v>15.424230612601985</v>
      </c>
      <c r="J67" s="7">
        <f>(((0.621*15^0.564)/0.2))*D67/15+J66*inputs!$C$53</f>
        <v>0.17951124756527634</v>
      </c>
      <c r="K67" s="7">
        <f>(((0.621*1000^0.564)/0.2))*D67/1000+K66*inputs!$C$53</f>
        <v>2.8765203720927165E-2</v>
      </c>
      <c r="L67" s="7">
        <f>(((0.648*20^0.651)/0.2))*H67/20+L66*inputs!$C$54</f>
        <v>9.8418387815439656E-2</v>
      </c>
      <c r="M67" s="7">
        <f>(((0.013*2^0.773)/0.2))*H67/2+M66*inputs!$C$54</f>
        <v>4.7992155104606173E-3</v>
      </c>
      <c r="N67" s="7">
        <f>O67*0.015*inputs!$C$56</f>
        <v>2.266121775579216</v>
      </c>
      <c r="O67" s="7">
        <f>IF((B67&gt;B66), (EXP(-LN(2)/inputs!$C$52)*O66+$O$3), (EXP(-LN(2)/inputs!$C$52)*O66))</f>
        <v>0.24445758096863174</v>
      </c>
      <c r="P67" s="3">
        <f>IF((B67&gt;B66), (EXP(-LN(2)/inputs!$C$52)*P66+$P$3), (EXP(-LN(2)/inputs!$C$52)*P66))</f>
        <v>0.23622056356077659</v>
      </c>
      <c r="Q67" s="19">
        <f>IF((F67*0.62*1/(0.012*(10^inputs!$C$55)))&gt;inputs!$C$57, inputs!$C$57, (F67*0.62*1/(0.012*(10^inputs!$C$55))))</f>
        <v>7.6839808482039615E-4</v>
      </c>
      <c r="R67" s="3">
        <f>IF((B67&gt;B66), (EXP(-LN(2)/inputs!$C$51)*R66+$R$3), (EXP(-LN(2)/inputs!$C$51)*R66))</f>
        <v>1.7853300114274463E-9</v>
      </c>
      <c r="T67" s="7">
        <f>IF(T66&lt;(inputs!$C$20-1),(1+T66),0)</f>
        <v>0</v>
      </c>
      <c r="U67" s="7">
        <f>IF(inputs!$C$19&gt;U66,IF(T66=(inputs!$C$20-1),(U66+1),U66), U66)</f>
        <v>1</v>
      </c>
      <c r="V67" s="7">
        <f t="shared" si="0"/>
        <v>64</v>
      </c>
      <c r="W67" s="8">
        <f>IF((U67&gt;U66), (EXP(-LN(2)/inputs!$C$51)*W66+$W$3), (EXP(-LN(2)/inputs!$C$51)*W66))</f>
        <v>5.9082788937154442E-2</v>
      </c>
      <c r="X67" s="8">
        <f>IF((U67&gt;U66), (EXP(-LN(2)/inputs!$C$51)*X66+$X$3), (EXP(-LN(2)/inputs!$C$51)*X66))</f>
        <v>2.5023298843971288E-2</v>
      </c>
      <c r="Y67" s="8">
        <f>IF((U67&gt;U66), (EXP(-LN(2)/inputs!$C$51)*Y66+$Y$3), (EXP(-LN(2)/inputs!$C$51)*Y66))</f>
        <v>3.1279123554964129E-2</v>
      </c>
      <c r="Z67" s="8">
        <f>IF((U67&gt;U66), (EXP(-LN(2)/inputs!$C$51)*Z66+$Z$3), (EXP(-LN(2)/inputs!$C$51)*Z66))</f>
        <v>4.8656414418833064E-3</v>
      </c>
      <c r="AA67" s="8">
        <f>IF((U67&gt;U66), (EXP(-LN(2)/inputs!$C$51)*AA66+$AA$3), (EXP(-LN(2)/inputs!$C$51)*AA66))</f>
        <v>4.5180956246059292E-2</v>
      </c>
      <c r="AB67" s="7">
        <f>(((0.621*15^0.564)/0.2))*W67/15+AB66*inputs!$C$53</f>
        <v>6.3576900179368637E-2</v>
      </c>
      <c r="AC67" s="7">
        <f>(((0.621*1000^0.564)/0.2))*W67/1000+AC66*inputs!$C$53</f>
        <v>1.0187676317828359E-2</v>
      </c>
      <c r="AD67" s="7">
        <f>(((0.648*20^0.651)/0.2))*AA67/20+AD66*inputs!$C$54</f>
        <v>6.8055268170250885E-2</v>
      </c>
      <c r="AE67" s="7">
        <f>(((0.013*2^0.773)/0.2))*AA67/2+AE66*inputs!$C$54</f>
        <v>3.3186064699993658E-3</v>
      </c>
    </row>
    <row r="68" spans="1:31" x14ac:dyDescent="0.3">
      <c r="A68" s="7">
        <f>IF(A67&lt;(inputs!$C$20-1),(1+A67),0)</f>
        <v>0</v>
      </c>
      <c r="B68" s="7">
        <f>IF(inputs!$C$19&gt;B67,IF(A67=(inputs!$C$20-1),(B67+1),B67), B67)</f>
        <v>1</v>
      </c>
      <c r="C68" s="7">
        <f t="shared" si="1"/>
        <v>65</v>
      </c>
      <c r="D68" s="8">
        <f>IF((B68&gt;B67), (EXP(-LN(2)/inputs!$C$51)*D67+$D$3), (EXP(-LN(2)/inputs!$C$51)*D67))</f>
        <v>0.14637105095789291</v>
      </c>
      <c r="E68" s="8">
        <f>IF((B68&gt;B67), (EXP(-LN(2)/inputs!$C$51)*E67+$E$3), (EXP(-LN(2)/inputs!$C$51)*E67))</f>
        <v>6.7086731689034229E-2</v>
      </c>
      <c r="F68" s="8">
        <f>IF((B68&gt;B67), (EXP(-LN(2)/inputs!$C$51)*F67+$F$3), (EXP(-LN(2)/inputs!$C$51)*F67))</f>
        <v>8.2333716163814685E-2</v>
      </c>
      <c r="G68" s="8">
        <f>IF((B68&gt;B67), (EXP(-LN(2)/inputs!$C$51)*G67+$G$3), (EXP(-LN(2)/inputs!$C$51)*G67))</f>
        <v>9.1481906848683067E-3</v>
      </c>
      <c r="H68" s="8">
        <f>IF((B68&gt;B67), (EXP(-LN(2)/inputs!$C$51)*H67+$H$3), (EXP(-LN(2)/inputs!$C$51)*H67))</f>
        <v>5.732866162517463E-2</v>
      </c>
      <c r="I68" s="7">
        <f>O68*(10^inputs!$C$55)*0.01/1</f>
        <v>15.112965344879422</v>
      </c>
      <c r="J68" s="7">
        <f>(((0.621*15^0.564)/0.2))*D68/15+J67*inputs!$C$53</f>
        <v>0.1575047126803325</v>
      </c>
      <c r="K68" s="7">
        <f>(((0.621*1000^0.564)/0.2))*D68/1000+K67*inputs!$C$53</f>
        <v>2.5238837168731529E-2</v>
      </c>
      <c r="L68" s="7">
        <f>(((0.648*20^0.651)/0.2))*H68/20+L67*inputs!$C$54</f>
        <v>8.6353140015338267E-2</v>
      </c>
      <c r="M68" s="7">
        <f>(((0.013*2^0.773)/0.2))*H68/2+M67*inputs!$C$54</f>
        <v>4.210872969345413E-3</v>
      </c>
      <c r="N68" s="7">
        <f>O68*0.015*inputs!$C$56</f>
        <v>2.2203908072811092</v>
      </c>
      <c r="O68" s="7">
        <f>IF((B68&gt;B67), (EXP(-LN(2)/inputs!$C$52)*O67+$O$3), (EXP(-LN(2)/inputs!$C$52)*O67))</f>
        <v>0.23952435893000099</v>
      </c>
      <c r="P68" s="3">
        <f>IF((B68&gt;B67), (EXP(-LN(2)/inputs!$C$52)*P67+$P$3), (EXP(-LN(2)/inputs!$C$52)*P67))</f>
        <v>0.23145356682654428</v>
      </c>
      <c r="Q68" s="19">
        <f>IF((F68*0.62*1/(0.012*(10^inputs!$C$55)))&gt;inputs!$C$57, inputs!$C$57, (F68*0.62*1/(0.012*(10^inputs!$C$55))))</f>
        <v>6.7419908899995248E-4</v>
      </c>
      <c r="R68" s="3">
        <f>IF((B68&gt;B67), (EXP(-LN(2)/inputs!$C$51)*R67+$R$3), (EXP(-LN(2)/inputs!$C$51)*R67))</f>
        <v>1.5664639085481349E-9</v>
      </c>
      <c r="T68" s="7">
        <f>IF(T67&lt;(inputs!$C$20-1),(1+T67),0)</f>
        <v>0</v>
      </c>
      <c r="U68" s="7">
        <f>IF(inputs!$C$19&gt;U67,IF(T67=(inputs!$C$20-1),(U67+1),U67), U67)</f>
        <v>1</v>
      </c>
      <c r="V68" s="7">
        <f t="shared" ref="V68:V131" si="2">V67+1</f>
        <v>65</v>
      </c>
      <c r="W68" s="8">
        <f>IF((U68&gt;U67), (EXP(-LN(2)/inputs!$C$51)*W67+$W$3), (EXP(-LN(2)/inputs!$C$51)*W67))</f>
        <v>5.1839747214253683E-2</v>
      </c>
      <c r="X68" s="8">
        <f>IF((U68&gt;U67), (EXP(-LN(2)/inputs!$C$51)*X67+$X$3), (EXP(-LN(2)/inputs!$C$51)*X67))</f>
        <v>2.1955657643683908E-2</v>
      </c>
      <c r="Y68" s="8">
        <f>IF((U68&gt;U67), (EXP(-LN(2)/inputs!$C$51)*Y67+$Y$3), (EXP(-LN(2)/inputs!$C$51)*Y67))</f>
        <v>2.7444572054604901E-2</v>
      </c>
      <c r="Z68" s="8">
        <f>IF((U68&gt;U67), (EXP(-LN(2)/inputs!$C$51)*Z67+$Z$3), (EXP(-LN(2)/inputs!$C$51)*Z67))</f>
        <v>4.2691556529385376E-3</v>
      </c>
      <c r="AA68" s="8">
        <f>IF((U68&gt;U67), (EXP(-LN(2)/inputs!$C$51)*AA67+$AA$3), (EXP(-LN(2)/inputs!$C$51)*AA67))</f>
        <v>3.9642159634429297E-2</v>
      </c>
      <c r="AB68" s="7">
        <f>(((0.621*15^0.564)/0.2))*W68/15+AB67*inputs!$C$53</f>
        <v>5.5782919074284364E-2</v>
      </c>
      <c r="AC68" s="7">
        <f>(((0.621*1000^0.564)/0.2))*W68/1000+AC67*inputs!$C$53</f>
        <v>8.9387548305924075E-3</v>
      </c>
      <c r="AD68" s="7">
        <f>(((0.648*20^0.651)/0.2))*AA68/20+AD67*inputs!$C$54</f>
        <v>5.9712277670180773E-2</v>
      </c>
      <c r="AE68" s="7">
        <f>(((0.013*2^0.773)/0.2))*AA68/2+AE67*inputs!$C$54</f>
        <v>2.9117738617814048E-3</v>
      </c>
    </row>
    <row r="69" spans="1:31" x14ac:dyDescent="0.3">
      <c r="A69" s="7">
        <f>IF(A68&lt;(inputs!$C$20-1),(1+A68),0)</f>
        <v>0</v>
      </c>
      <c r="B69" s="7">
        <f>IF(inputs!$C$19&gt;B68,IF(A68=(inputs!$C$20-1),(B68+1),B68), B68)</f>
        <v>1</v>
      </c>
      <c r="C69" s="7">
        <f t="shared" ref="C69:C132" si="3">C68+1</f>
        <v>66</v>
      </c>
      <c r="D69" s="8">
        <f>IF((B69&gt;B68), (EXP(-LN(2)/inputs!$C$51)*D68+$D$3), (EXP(-LN(2)/inputs!$C$51)*D68))</f>
        <v>0.1284272191215092</v>
      </c>
      <c r="E69" s="8">
        <f>IF((B69&gt;B68), (EXP(-LN(2)/inputs!$C$51)*E68+$E$3), (EXP(-LN(2)/inputs!$C$51)*E68))</f>
        <v>5.8862475430691695E-2</v>
      </c>
      <c r="F69" s="8">
        <f>IF((B69&gt;B68), (EXP(-LN(2)/inputs!$C$51)*F68+$F$3), (EXP(-LN(2)/inputs!$C$51)*F68))</f>
        <v>7.2240310755848858E-2</v>
      </c>
      <c r="G69" s="8">
        <f>IF((B69&gt;B68), (EXP(-LN(2)/inputs!$C$51)*G68+$G$3), (EXP(-LN(2)/inputs!$C$51)*G68))</f>
        <v>8.026701195094325E-3</v>
      </c>
      <c r="H69" s="8">
        <f>IF((B69&gt;B68), (EXP(-LN(2)/inputs!$C$51)*H68+$H$3), (EXP(-LN(2)/inputs!$C$51)*H68))</f>
        <v>5.030066082259102E-2</v>
      </c>
      <c r="I69" s="7">
        <f>O69*(10^inputs!$C$55)*0.01/1</f>
        <v>14.807981496912815</v>
      </c>
      <c r="J69" s="7">
        <f>(((0.621*15^0.564)/0.2))*D69/15+J68*inputs!$C$53</f>
        <v>0.13819598968300389</v>
      </c>
      <c r="K69" s="7">
        <f>(((0.621*1000^0.564)/0.2))*D69/1000+K68*inputs!$C$53</f>
        <v>2.2144772823782122E-2</v>
      </c>
      <c r="L69" s="7">
        <f>(((0.648*20^0.651)/0.2))*H69/20+L68*inputs!$C$54</f>
        <v>7.576698781626251E-2</v>
      </c>
      <c r="M69" s="7">
        <f>(((0.013*2^0.773)/0.2))*H69/2+M68*inputs!$C$54</f>
        <v>3.6946561631407203E-3</v>
      </c>
      <c r="N69" s="7">
        <f>O69*0.015*inputs!$C$56</f>
        <v>2.175582702654328</v>
      </c>
      <c r="O69" s="7">
        <f>IF((B69&gt;B68), (EXP(-LN(2)/inputs!$C$52)*O68+$O$3), (EXP(-LN(2)/inputs!$C$52)*O68))</f>
        <v>0.23469069068547227</v>
      </c>
      <c r="P69" s="3">
        <f>IF((B69&gt;B68), (EXP(-LN(2)/inputs!$C$52)*P68+$P$3), (EXP(-LN(2)/inputs!$C$52)*P68))</f>
        <v>0.22678276941349568</v>
      </c>
      <c r="Q69" s="19">
        <f>IF((F69*0.62*1/(0.012*(10^inputs!$C$55)))&gt;inputs!$C$57, inputs!$C$57, (F69*0.62*1/(0.012*(10^inputs!$C$55))))</f>
        <v>5.9154807981413719E-4</v>
      </c>
      <c r="R69" s="3">
        <f>IF((B69&gt;B68), (EXP(-LN(2)/inputs!$C$51)*R68+$R$3), (EXP(-LN(2)/inputs!$C$51)*R68))</f>
        <v>1.3744289073043566E-9</v>
      </c>
      <c r="T69" s="7">
        <f>IF(T68&lt;(inputs!$C$20-1),(1+T68),0)</f>
        <v>0</v>
      </c>
      <c r="U69" s="7">
        <f>IF(inputs!$C$19&gt;U68,IF(T68=(inputs!$C$20-1),(U68+1),U68), U68)</f>
        <v>1</v>
      </c>
      <c r="V69" s="7">
        <f t="shared" si="2"/>
        <v>66</v>
      </c>
      <c r="W69" s="8">
        <f>IF((U69&gt;U68), (EXP(-LN(2)/inputs!$C$51)*W68+$W$3), (EXP(-LN(2)/inputs!$C$51)*W68))</f>
        <v>4.5484640105534456E-2</v>
      </c>
      <c r="X69" s="8">
        <f>IF((U69&gt;U68), (EXP(-LN(2)/inputs!$C$51)*X68+$X$3), (EXP(-LN(2)/inputs!$C$51)*X68))</f>
        <v>1.9264082868226354E-2</v>
      </c>
      <c r="Y69" s="8">
        <f>IF((U69&gt;U68), (EXP(-LN(2)/inputs!$C$51)*Y68+$Y$3), (EXP(-LN(2)/inputs!$C$51)*Y68))</f>
        <v>2.4080103585282956E-2</v>
      </c>
      <c r="Z69" s="8">
        <f>IF((U69&gt;U68), (EXP(-LN(2)/inputs!$C$51)*Z68+$Z$3), (EXP(-LN(2)/inputs!$C$51)*Z68))</f>
        <v>3.7457938910440132E-3</v>
      </c>
      <c r="AA69" s="8">
        <f>IF((U69&gt;U68), (EXP(-LN(2)/inputs!$C$51)*AA68+$AA$3), (EXP(-LN(2)/inputs!$C$51)*AA68))</f>
        <v>3.4782371845408708E-2</v>
      </c>
      <c r="AB69" s="7">
        <f>(((0.621*15^0.564)/0.2))*W69/15+AB68*inputs!$C$53</f>
        <v>4.8944413012730496E-2</v>
      </c>
      <c r="AC69" s="7">
        <f>(((0.621*1000^0.564)/0.2))*W69/1000+AC68*inputs!$C$53</f>
        <v>7.8429403750894938E-3</v>
      </c>
      <c r="AD69" s="7">
        <f>(((0.648*20^0.651)/0.2))*AA69/20+AD68*inputs!$C$54</f>
        <v>5.2392066043160296E-2</v>
      </c>
      <c r="AE69" s="7">
        <f>(((0.013*2^0.773)/0.2))*AA69/2+AE68*inputs!$C$54</f>
        <v>2.5548154319590104E-3</v>
      </c>
    </row>
    <row r="70" spans="1:31" x14ac:dyDescent="0.3">
      <c r="A70" s="7">
        <f>IF(A69&lt;(inputs!$C$20-1),(1+A69),0)</f>
        <v>0</v>
      </c>
      <c r="B70" s="7">
        <f>IF(inputs!$C$19&gt;B69,IF(A69=(inputs!$C$20-1),(B69+1),B69), B69)</f>
        <v>1</v>
      </c>
      <c r="C70" s="7">
        <f t="shared" si="3"/>
        <v>67</v>
      </c>
      <c r="D70" s="8">
        <f>IF((B70&gt;B69), (EXP(-LN(2)/inputs!$C$51)*D69+$D$3), (EXP(-LN(2)/inputs!$C$51)*D69))</f>
        <v>0.11268314672434029</v>
      </c>
      <c r="E70" s="8">
        <f>IF((B70&gt;B69), (EXP(-LN(2)/inputs!$C$51)*E69+$E$3), (EXP(-LN(2)/inputs!$C$51)*E69))</f>
        <v>5.1646442248655951E-2</v>
      </c>
      <c r="F70" s="8">
        <f>IF((B70&gt;B69), (EXP(-LN(2)/inputs!$C$51)*F69+$F$3), (EXP(-LN(2)/inputs!$C$51)*F69))</f>
        <v>6.3384270032441362E-2</v>
      </c>
      <c r="G70" s="8">
        <f>IF((B70&gt;B69), (EXP(-LN(2)/inputs!$C$51)*G69+$G$3), (EXP(-LN(2)/inputs!$C$51)*G69))</f>
        <v>7.0426966702712684E-3</v>
      </c>
      <c r="H70" s="8">
        <f>IF((B70&gt;B69), (EXP(-LN(2)/inputs!$C$51)*H69+$H$3), (EXP(-LN(2)/inputs!$C$51)*H69))</f>
        <v>4.4134232467033213E-2</v>
      </c>
      <c r="I70" s="7">
        <f>O70*(10^inputs!$C$55)*0.01/1</f>
        <v>14.509152307902799</v>
      </c>
      <c r="J70" s="7">
        <f>(((0.621*15^0.564)/0.2))*D70/15+J69*inputs!$C$53</f>
        <v>0.12125435004110638</v>
      </c>
      <c r="K70" s="7">
        <f>(((0.621*1000^0.564)/0.2))*D70/1000+K69*inputs!$C$53</f>
        <v>1.9430014153919338E-2</v>
      </c>
      <c r="L70" s="7">
        <f>(((0.648*20^0.651)/0.2))*H70/20+L69*inputs!$C$54</f>
        <v>6.6478606819972114E-2</v>
      </c>
      <c r="M70" s="7">
        <f>(((0.013*2^0.773)/0.2))*H70/2+M69*inputs!$C$54</f>
        <v>3.241723097136245E-3</v>
      </c>
      <c r="N70" s="7">
        <f>O70*0.015*inputs!$C$56</f>
        <v>2.1316788380530687</v>
      </c>
      <c r="O70" s="7">
        <f>IF((B70&gt;B69), (EXP(-LN(2)/inputs!$C$52)*O69+$O$3), (EXP(-LN(2)/inputs!$C$52)*O69))</f>
        <v>0.22995456721176577</v>
      </c>
      <c r="P70" s="3">
        <f>IF((B70&gt;B69), (EXP(-LN(2)/inputs!$C$52)*P69+$P$3), (EXP(-LN(2)/inputs!$C$52)*P69))</f>
        <v>0.22220622999254833</v>
      </c>
      <c r="Q70" s="19">
        <f>IF((F70*0.62*1/(0.012*(10^inputs!$C$55)))&gt;inputs!$C$57, inputs!$C$57, (F70*0.62*1/(0.012*(10^inputs!$C$55))))</f>
        <v>5.1902937343158812E-4</v>
      </c>
      <c r="R70" s="3">
        <f>IF((B70&gt;B69), (EXP(-LN(2)/inputs!$C$51)*R69+$R$3), (EXP(-LN(2)/inputs!$C$51)*R69))</f>
        <v>1.2059357454234001E-9</v>
      </c>
      <c r="T70" s="7">
        <f>IF(T69&lt;(inputs!$C$20-1),(1+T69),0)</f>
        <v>0</v>
      </c>
      <c r="U70" s="7">
        <f>IF(inputs!$C$19&gt;U69,IF(T69=(inputs!$C$20-1),(U69+1),U69), U69)</f>
        <v>1</v>
      </c>
      <c r="V70" s="7">
        <f t="shared" si="2"/>
        <v>67</v>
      </c>
      <c r="W70" s="8">
        <f>IF((U70&gt;U69), (EXP(-LN(2)/inputs!$C$51)*W69+$W$3), (EXP(-LN(2)/inputs!$C$51)*W69))</f>
        <v>3.9908614464870477E-2</v>
      </c>
      <c r="X70" s="8">
        <f>IF((U70&gt;U69), (EXP(-LN(2)/inputs!$C$51)*X69+$X$3), (EXP(-LN(2)/inputs!$C$51)*X69))</f>
        <v>1.6902472008651023E-2</v>
      </c>
      <c r="Y70" s="8">
        <f>IF((U70&gt;U69), (EXP(-LN(2)/inputs!$C$51)*Y69+$Y$3), (EXP(-LN(2)/inputs!$C$51)*Y69))</f>
        <v>2.112809001081379E-2</v>
      </c>
      <c r="Z70" s="8">
        <f>IF((U70&gt;U69), (EXP(-LN(2)/inputs!$C$51)*Z69+$Z$3), (EXP(-LN(2)/inputs!$C$51)*Z69))</f>
        <v>3.2865917794599208E-3</v>
      </c>
      <c r="AA70" s="8">
        <f>IF((U70&gt;U69), (EXP(-LN(2)/inputs!$C$51)*AA69+$AA$3), (EXP(-LN(2)/inputs!$C$51)*AA69))</f>
        <v>3.0518352237842133E-2</v>
      </c>
      <c r="AB70" s="7">
        <f>(((0.621*15^0.564)/0.2))*W70/15+AB69*inputs!$C$53</f>
        <v>4.2944248972891792E-2</v>
      </c>
      <c r="AC70" s="7">
        <f>(((0.621*1000^0.564)/0.2))*W70/1000+AC69*inputs!$C$53</f>
        <v>6.8814633461797593E-3</v>
      </c>
      <c r="AD70" s="7">
        <f>(((0.648*20^0.651)/0.2))*AA70/20+AD69*inputs!$C$54</f>
        <v>4.5969249396789251E-2</v>
      </c>
      <c r="AE70" s="7">
        <f>(((0.013*2^0.773)/0.2))*AA70/2+AE69*inputs!$C$54</f>
        <v>2.2416170352537877E-3</v>
      </c>
    </row>
    <row r="71" spans="1:31" x14ac:dyDescent="0.3">
      <c r="A71" s="7">
        <f>IF(A70&lt;(inputs!$C$20-1),(1+A70),0)</f>
        <v>0</v>
      </c>
      <c r="B71" s="7">
        <f>IF(inputs!$C$19&gt;B70,IF(A70=(inputs!$C$20-1),(B70+1),B70), B70)</f>
        <v>1</v>
      </c>
      <c r="C71" s="7">
        <f t="shared" si="3"/>
        <v>68</v>
      </c>
      <c r="D71" s="8">
        <f>IF((B71&gt;B70), (EXP(-LN(2)/inputs!$C$51)*D70+$D$3), (EXP(-LN(2)/inputs!$C$51)*D70))</f>
        <v>9.8869162180376197E-2</v>
      </c>
      <c r="E71" s="8">
        <f>IF((B71&gt;B70), (EXP(-LN(2)/inputs!$C$51)*E70+$E$3), (EXP(-LN(2)/inputs!$C$51)*E70))</f>
        <v>4.5315032666005742E-2</v>
      </c>
      <c r="F71" s="8">
        <f>IF((B71&gt;B70), (EXP(-LN(2)/inputs!$C$51)*F70+$F$3), (EXP(-LN(2)/inputs!$C$51)*F70))</f>
        <v>5.5613903726461557E-2</v>
      </c>
      <c r="G71" s="8">
        <f>IF((B71&gt;B70), (EXP(-LN(2)/inputs!$C$51)*G70+$G$3), (EXP(-LN(2)/inputs!$C$51)*G70))</f>
        <v>6.1793226362735123E-3</v>
      </c>
      <c r="H71" s="8">
        <f>IF((B71&gt;B70), (EXP(-LN(2)/inputs!$C$51)*H70+$H$3), (EXP(-LN(2)/inputs!$C$51)*H70))</f>
        <v>3.8723755187313948E-2</v>
      </c>
      <c r="I71" s="7">
        <f>O71*(10^inputs!$C$55)*0.01/1</f>
        <v>14.21635357511823</v>
      </c>
      <c r="J71" s="7">
        <f>(((0.621*15^0.564)/0.2))*D71/15+J70*inputs!$C$53</f>
        <v>0.10638960969573899</v>
      </c>
      <c r="K71" s="7">
        <f>(((0.621*1000^0.564)/0.2))*D71/1000+K70*inputs!$C$53</f>
        <v>1.7048061545976524E-2</v>
      </c>
      <c r="L71" s="7">
        <f>(((0.648*20^0.651)/0.2))*H71/20+L70*inputs!$C$54</f>
        <v>5.8328901439788618E-2</v>
      </c>
      <c r="M71" s="7">
        <f>(((0.013*2^0.773)/0.2))*H71/2+M70*inputs!$C$54</f>
        <v>2.8443157291187298E-3</v>
      </c>
      <c r="N71" s="7">
        <f>O71*0.015*inputs!$C$56</f>
        <v>2.0886609656618842</v>
      </c>
      <c r="O71" s="7">
        <f>IF((B71&gt;B70), (EXP(-LN(2)/inputs!$C$52)*O70+$O$3), (EXP(-LN(2)/inputs!$C$52)*O70))</f>
        <v>0.22531402002825074</v>
      </c>
      <c r="P71" s="3">
        <f>IF((B71&gt;B70), (EXP(-LN(2)/inputs!$C$52)*P70+$P$3), (EXP(-LN(2)/inputs!$C$52)*P70))</f>
        <v>0.21772204641118109</v>
      </c>
      <c r="Q71" s="19">
        <f>IF((F71*0.62*1/(0.012*(10^inputs!$C$55)))&gt;inputs!$C$57, inputs!$C$57, (F71*0.62*1/(0.012*(10^inputs!$C$55))))</f>
        <v>4.5540083668165897E-4</v>
      </c>
      <c r="R71" s="3">
        <f>IF((B71&gt;B70), (EXP(-LN(2)/inputs!$C$51)*R70+$R$3), (EXP(-LN(2)/inputs!$C$51)*R70))</f>
        <v>1.0580983958945883E-9</v>
      </c>
      <c r="T71" s="7">
        <f>IF(T70&lt;(inputs!$C$20-1),(1+T70),0)</f>
        <v>0</v>
      </c>
      <c r="U71" s="7">
        <f>IF(inputs!$C$19&gt;U70,IF(T70=(inputs!$C$20-1),(U70+1),U70), U70)</f>
        <v>1</v>
      </c>
      <c r="V71" s="7">
        <f t="shared" si="2"/>
        <v>68</v>
      </c>
      <c r="W71" s="8">
        <f>IF((U71&gt;U70), (EXP(-LN(2)/inputs!$C$51)*W70+$W$3), (EXP(-LN(2)/inputs!$C$51)*W70))</f>
        <v>3.5016161605549864E-2</v>
      </c>
      <c r="X71" s="8">
        <f>IF((U71&gt;U70), (EXP(-LN(2)/inputs!$C$51)*X70+$X$3), (EXP(-LN(2)/inputs!$C$51)*X70))</f>
        <v>1.483037432705641E-2</v>
      </c>
      <c r="Y71" s="8">
        <f>IF((U71&gt;U70), (EXP(-LN(2)/inputs!$C$51)*Y70+$Y$3), (EXP(-LN(2)/inputs!$C$51)*Y70))</f>
        <v>1.8537967908820521E-2</v>
      </c>
      <c r="Z71" s="8">
        <f>IF((U71&gt;U70), (EXP(-LN(2)/inputs!$C$51)*Z70+$Z$3), (EXP(-LN(2)/inputs!$C$51)*Z70))</f>
        <v>2.8836838969276352E-3</v>
      </c>
      <c r="AA71" s="8">
        <f>IF((U71&gt;U70), (EXP(-LN(2)/inputs!$C$51)*AA70+$AA$3), (EXP(-LN(2)/inputs!$C$51)*AA70))</f>
        <v>2.6777064757185193E-2</v>
      </c>
      <c r="AB71" s="7">
        <f>(((0.621*15^0.564)/0.2))*W71/15+AB70*inputs!$C$53</f>
        <v>3.7679653433907508E-2</v>
      </c>
      <c r="AC71" s="7">
        <f>(((0.621*1000^0.564)/0.2))*W71/1000+AC70*inputs!$C$53</f>
        <v>6.0378551308666794E-3</v>
      </c>
      <c r="AD71" s="7">
        <f>(((0.648*20^0.651)/0.2))*AA71/20+AD70*inputs!$C$54</f>
        <v>4.0333814825385769E-2</v>
      </c>
      <c r="AE71" s="7">
        <f>(((0.013*2^0.773)/0.2))*AA71/2+AE70*inputs!$C$54</f>
        <v>1.9668140680076337E-3</v>
      </c>
    </row>
    <row r="72" spans="1:31" x14ac:dyDescent="0.3">
      <c r="A72" s="7">
        <f>IF(A71&lt;(inputs!$C$20-1),(1+A71),0)</f>
        <v>0</v>
      </c>
      <c r="B72" s="7">
        <f>IF(inputs!$C$19&gt;B71,IF(A71=(inputs!$C$20-1),(B71+1),B71), B71)</f>
        <v>1</v>
      </c>
      <c r="C72" s="7">
        <f t="shared" si="3"/>
        <v>69</v>
      </c>
      <c r="D72" s="8">
        <f>IF((B72&gt;B71), (EXP(-LN(2)/inputs!$C$51)*D71+$D$3), (EXP(-LN(2)/inputs!$C$51)*D71))</f>
        <v>8.6748653320470701E-2</v>
      </c>
      <c r="E72" s="8">
        <f>IF((B72&gt;B71), (EXP(-LN(2)/inputs!$C$51)*E71+$E$3), (EXP(-LN(2)/inputs!$C$51)*E71))</f>
        <v>3.9759799438549057E-2</v>
      </c>
      <c r="F72" s="8">
        <f>IF((B72&gt;B71), (EXP(-LN(2)/inputs!$C$51)*F71+$F$3), (EXP(-LN(2)/inputs!$C$51)*F71))</f>
        <v>4.8796117492764725E-2</v>
      </c>
      <c r="G72" s="8">
        <f>IF((B72&gt;B71), (EXP(-LN(2)/inputs!$C$51)*G71+$G$3), (EXP(-LN(2)/inputs!$C$51)*G71))</f>
        <v>5.4217908325294188E-3</v>
      </c>
      <c r="H72" s="8">
        <f>IF((B72&gt;B71), (EXP(-LN(2)/inputs!$C$51)*H71+$H$3), (EXP(-LN(2)/inputs!$C$51)*H71))</f>
        <v>3.397655588385097E-2</v>
      </c>
      <c r="I72" s="7">
        <f>O72*(10^inputs!$C$55)*0.01/1</f>
        <v>13.929463602273659</v>
      </c>
      <c r="J72" s="7">
        <f>(((0.621*15^0.564)/0.2))*D72/15+J71*inputs!$C$53</f>
        <v>9.3347158657602902E-2</v>
      </c>
      <c r="K72" s="7">
        <f>(((0.621*1000^0.564)/0.2))*D72/1000+K71*inputs!$C$53</f>
        <v>1.4958115839394666E-2</v>
      </c>
      <c r="L72" s="7">
        <f>(((0.648*20^0.651)/0.2))*H72/20+L71*inputs!$C$54</f>
        <v>5.1178279839499234E-2</v>
      </c>
      <c r="M72" s="7">
        <f>(((0.013*2^0.773)/0.2))*H72/2+M71*inputs!$C$54</f>
        <v>2.4956270861194395E-3</v>
      </c>
      <c r="N72" s="7">
        <f>O72*0.015*inputs!$C$56</f>
        <v>2.0465112059113242</v>
      </c>
      <c r="O72" s="7">
        <f>IF((B72&gt;B71), (EXP(-LN(2)/inputs!$C$52)*O71+$O$3), (EXP(-LN(2)/inputs!$C$52)*O71))</f>
        <v>0.2207671203787836</v>
      </c>
      <c r="P72" s="3">
        <f>IF((B72&gt;B71), (EXP(-LN(2)/inputs!$C$52)*P71+$P$3), (EXP(-LN(2)/inputs!$C$52)*P71))</f>
        <v>0.21332835490284022</v>
      </c>
      <c r="Q72" s="19">
        <f>IF((F72*0.62*1/(0.012*(10^inputs!$C$55)))&gt;inputs!$C$57, inputs!$C$57, (F72*0.62*1/(0.012*(10^inputs!$C$55))))</f>
        <v>3.9957261123621285E-4</v>
      </c>
      <c r="R72" s="3">
        <f>IF((B72&gt;B71), (EXP(-LN(2)/inputs!$C$51)*R71+$R$3), (EXP(-LN(2)/inputs!$C$51)*R71))</f>
        <v>9.2838463379458311E-10</v>
      </c>
      <c r="T72" s="7">
        <f>IF(T71&lt;(inputs!$C$20-1),(1+T71),0)</f>
        <v>0</v>
      </c>
      <c r="U72" s="7">
        <f>IF(inputs!$C$19&gt;U71,IF(T71=(inputs!$C$20-1),(U71+1),U71), U71)</f>
        <v>1</v>
      </c>
      <c r="V72" s="7">
        <f t="shared" si="2"/>
        <v>69</v>
      </c>
      <c r="W72" s="8">
        <f>IF((U72&gt;U71), (EXP(-LN(2)/inputs!$C$51)*W71+$W$3), (EXP(-LN(2)/inputs!$C$51)*W71))</f>
        <v>3.072348138433334E-2</v>
      </c>
      <c r="X72" s="8">
        <f>IF((U72&gt;U71), (EXP(-LN(2)/inputs!$C$51)*X71+$X$3), (EXP(-LN(2)/inputs!$C$51)*X71))</f>
        <v>1.3012297998070589E-2</v>
      </c>
      <c r="Y72" s="8">
        <f>IF((U72&gt;U71), (EXP(-LN(2)/inputs!$C$51)*Y71+$Y$3), (EXP(-LN(2)/inputs!$C$51)*Y71))</f>
        <v>1.6265372497588242E-2</v>
      </c>
      <c r="Z72" s="8">
        <f>IF((U72&gt;U71), (EXP(-LN(2)/inputs!$C$51)*Z71+$Z$3), (EXP(-LN(2)/inputs!$C$51)*Z71))</f>
        <v>2.530169055180392E-3</v>
      </c>
      <c r="AA72" s="8">
        <f>IF((U72&gt;U71), (EXP(-LN(2)/inputs!$C$51)*AA71+$AA$3), (EXP(-LN(2)/inputs!$C$51)*AA71))</f>
        <v>2.3494426940960791E-2</v>
      </c>
      <c r="AB72" s="7">
        <f>(((0.621*15^0.564)/0.2))*W72/15+AB71*inputs!$C$53</f>
        <v>3.3060452024567658E-2</v>
      </c>
      <c r="AC72" s="7">
        <f>(((0.621*1000^0.564)/0.2))*W72/1000+AC71*inputs!$C$53</f>
        <v>5.2976660264522722E-3</v>
      </c>
      <c r="AD72" s="7">
        <f>(((0.648*20^0.651)/0.2))*AA72/20+AD71*inputs!$C$54</f>
        <v>3.538923605922821E-2</v>
      </c>
      <c r="AE72" s="7">
        <f>(((0.013*2^0.773)/0.2))*AA72/2+AE71*inputs!$C$54</f>
        <v>1.7256995808272732E-3</v>
      </c>
    </row>
    <row r="73" spans="1:31" x14ac:dyDescent="0.3">
      <c r="A73" s="7">
        <f>IF(A72&lt;(inputs!$C$20-1),(1+A72),0)</f>
        <v>0</v>
      </c>
      <c r="B73" s="7">
        <f>IF(inputs!$C$19&gt;B72,IF(A72=(inputs!$C$20-1),(B72+1),B72), B72)</f>
        <v>1</v>
      </c>
      <c r="C73" s="7">
        <f t="shared" si="3"/>
        <v>70</v>
      </c>
      <c r="D73" s="8">
        <f>IF((B73&gt;B72), (EXP(-LN(2)/inputs!$C$51)*D72+$D$3), (EXP(-LN(2)/inputs!$C$51)*D72))</f>
        <v>7.6114014592194648E-2</v>
      </c>
      <c r="E73" s="8">
        <f>IF((B73&gt;B72), (EXP(-LN(2)/inputs!$C$51)*E72+$E$3), (EXP(-LN(2)/inputs!$C$51)*E72))</f>
        <v>3.4885590021422531E-2</v>
      </c>
      <c r="F73" s="8">
        <f>IF((B73&gt;B72), (EXP(-LN(2)/inputs!$C$51)*F72+$F$3), (EXP(-LN(2)/inputs!$C$51)*F72))</f>
        <v>4.2814133208109451E-2</v>
      </c>
      <c r="G73" s="8">
        <f>IF((B73&gt;B72), (EXP(-LN(2)/inputs!$C$51)*G72+$G$3), (EXP(-LN(2)/inputs!$C$51)*G72))</f>
        <v>4.7571259120121655E-3</v>
      </c>
      <c r="H73" s="8">
        <f>IF((B73&gt;B72), (EXP(-LN(2)/inputs!$C$51)*H72+$H$3), (EXP(-LN(2)/inputs!$C$51)*H72))</f>
        <v>2.9811322381942854E-2</v>
      </c>
      <c r="I73" s="7">
        <f>O73*(10^inputs!$C$55)*0.01/1</f>
        <v>13.648363148948555</v>
      </c>
      <c r="J73" s="7">
        <f>(((0.621*15^0.564)/0.2))*D73/15+J72*inputs!$C$53</f>
        <v>8.1903599932058799E-2</v>
      </c>
      <c r="K73" s="7">
        <f>(((0.621*1000^0.564)/0.2))*D73/1000+K72*inputs!$C$53</f>
        <v>1.3124379499765196E-2</v>
      </c>
      <c r="L73" s="7">
        <f>(((0.648*20^0.651)/0.2))*H73/20+L72*inputs!$C$54</f>
        <v>4.490426294131121E-2</v>
      </c>
      <c r="M73" s="7">
        <f>(((0.013*2^0.773)/0.2))*H73/2+M72*inputs!$C$54</f>
        <v>2.1896846715054059E-3</v>
      </c>
      <c r="N73" s="7">
        <f>O73*0.015*inputs!$C$56</f>
        <v>2.0052120400466253</v>
      </c>
      <c r="O73" s="7">
        <f>IF((B73&gt;B72), (EXP(-LN(2)/inputs!$C$52)*O72+$O$3), (EXP(-LN(2)/inputs!$C$52)*O72))</f>
        <v>0.21631197843005667</v>
      </c>
      <c r="P73" s="3">
        <f>IF((B73&gt;B72), (EXP(-LN(2)/inputs!$C$52)*P72+$P$3), (EXP(-LN(2)/inputs!$C$52)*P72))</f>
        <v>0.20902332931229992</v>
      </c>
      <c r="Q73" s="19">
        <f>IF((F73*0.62*1/(0.012*(10^inputs!$C$55)))&gt;inputs!$C$57, inputs!$C$57, (F73*0.62*1/(0.012*(10^inputs!$C$55))))</f>
        <v>3.5058844602372212E-4</v>
      </c>
      <c r="R73" s="3">
        <f>IF((B73&gt;B72), (EXP(-LN(2)/inputs!$C$51)*R72+$R$3), (EXP(-LN(2)/inputs!$C$51)*R72))</f>
        <v>8.1457266319470695E-10</v>
      </c>
      <c r="T73" s="7">
        <f>IF(T72&lt;(inputs!$C$20-1),(1+T72),0)</f>
        <v>0</v>
      </c>
      <c r="U73" s="7">
        <f>IF(inputs!$C$19&gt;U72,IF(T72=(inputs!$C$20-1),(U72+1),U72), U72)</f>
        <v>1</v>
      </c>
      <c r="V73" s="7">
        <f t="shared" si="2"/>
        <v>70</v>
      </c>
      <c r="W73" s="8">
        <f>IF((U73&gt;U72), (EXP(-LN(2)/inputs!$C$51)*W72+$W$3), (EXP(-LN(2)/inputs!$C$51)*W72))</f>
        <v>2.6957046834735574E-2</v>
      </c>
      <c r="X73" s="8">
        <f>IF((U73&gt;U72), (EXP(-LN(2)/inputs!$C$51)*X72+$X$3), (EXP(-LN(2)/inputs!$C$51)*X72))</f>
        <v>1.1417102188829182E-2</v>
      </c>
      <c r="Y73" s="8">
        <f>IF((U73&gt;U72), (EXP(-LN(2)/inputs!$C$51)*Y72+$Y$3), (EXP(-LN(2)/inputs!$C$51)*Y72))</f>
        <v>1.4271377736036484E-2</v>
      </c>
      <c r="Z73" s="8">
        <f>IF((U73&gt;U72), (EXP(-LN(2)/inputs!$C$51)*Z72+$Z$3), (EXP(-LN(2)/inputs!$C$51)*Z72))</f>
        <v>2.2199920922723409E-3</v>
      </c>
      <c r="AA73" s="8">
        <f>IF((U73&gt;U72), (EXP(-LN(2)/inputs!$C$51)*AA72+$AA$3), (EXP(-LN(2)/inputs!$C$51)*AA72))</f>
        <v>2.0614212285386027E-2</v>
      </c>
      <c r="AB73" s="7">
        <f>(((0.621*15^0.564)/0.2))*W73/15+AB72*inputs!$C$53</f>
        <v>2.9007524975937459E-2</v>
      </c>
      <c r="AC73" s="7">
        <f>(((0.621*1000^0.564)/0.2))*W73/1000+AC72*inputs!$C$53</f>
        <v>4.6482177395001682E-3</v>
      </c>
      <c r="AD73" s="7">
        <f>(((0.648*20^0.651)/0.2))*AA73/20+AD72*inputs!$C$54</f>
        <v>3.1050820118991806E-2</v>
      </c>
      <c r="AE73" s="7">
        <f>(((0.013*2^0.773)/0.2))*AA73/2+AE72*inputs!$C$54</f>
        <v>1.5141436558282072E-3</v>
      </c>
    </row>
    <row r="74" spans="1:31" x14ac:dyDescent="0.3">
      <c r="A74" s="7">
        <f>IF(A73&lt;(inputs!$C$20-1),(1+A73),0)</f>
        <v>0</v>
      </c>
      <c r="B74" s="7">
        <f>IF(inputs!$C$19&gt;B73,IF(A73=(inputs!$C$20-1),(B73+1),B73), B73)</f>
        <v>1</v>
      </c>
      <c r="C74" s="7">
        <f t="shared" si="3"/>
        <v>71</v>
      </c>
      <c r="D74" s="8">
        <f>IF((B74&gt;B73), (EXP(-LN(2)/inputs!$C$51)*D73+$D$3), (EXP(-LN(2)/inputs!$C$51)*D73))</f>
        <v>6.6783091098126857E-2</v>
      </c>
      <c r="E74" s="8">
        <f>IF((B74&gt;B73), (EXP(-LN(2)/inputs!$C$51)*E73+$E$3), (EXP(-LN(2)/inputs!$C$51)*E73))</f>
        <v>3.0608916753308128E-2</v>
      </c>
      <c r="F74" s="8">
        <f>IF((B74&gt;B73), (EXP(-LN(2)/inputs!$C$51)*F73+$F$3), (EXP(-LN(2)/inputs!$C$51)*F73))</f>
        <v>3.7565488742696322E-2</v>
      </c>
      <c r="G74" s="8">
        <f>IF((B74&gt;B73), (EXP(-LN(2)/inputs!$C$51)*G73+$G$3), (EXP(-LN(2)/inputs!$C$51)*G73))</f>
        <v>4.1739431936329285E-3</v>
      </c>
      <c r="H74" s="8">
        <f>IF((B74&gt;B73), (EXP(-LN(2)/inputs!$C$51)*H73+$H$3), (EXP(-LN(2)/inputs!$C$51)*H73))</f>
        <v>2.6156710680099639E-2</v>
      </c>
      <c r="I74" s="7">
        <f>O74*(10^inputs!$C$55)*0.01/1</f>
        <v>13.37293538102726</v>
      </c>
      <c r="J74" s="7">
        <f>(((0.621*15^0.564)/0.2))*D74/15+J73*inputs!$C$53</f>
        <v>7.1862923074460128E-2</v>
      </c>
      <c r="K74" s="7">
        <f>(((0.621*1000^0.564)/0.2))*D74/1000+K73*inputs!$C$53</f>
        <v>1.1515443462485418E-2</v>
      </c>
      <c r="L74" s="7">
        <f>(((0.648*20^0.651)/0.2))*H74/20+L73*inputs!$C$54</f>
        <v>3.9399386548864997E-2</v>
      </c>
      <c r="M74" s="7">
        <f>(((0.013*2^0.773)/0.2))*H74/2+M73*inputs!$C$54</f>
        <v>1.9212481653584138E-3</v>
      </c>
      <c r="N74" s="7">
        <f>O74*0.015*inputs!$C$56</f>
        <v>1.9647463028463741</v>
      </c>
      <c r="O74" s="7">
        <f>IF((B74&gt;B73), (EXP(-LN(2)/inputs!$C$52)*O73+$O$3), (EXP(-LN(2)/inputs!$C$52)*O73))</f>
        <v>0.21194674248612452</v>
      </c>
      <c r="P74" s="3">
        <f>IF((B74&gt;B73), (EXP(-LN(2)/inputs!$C$52)*P73+$P$3), (EXP(-LN(2)/inputs!$C$52)*P73))</f>
        <v>0.20480518033665523</v>
      </c>
      <c r="Q74" s="19">
        <f>IF((F74*0.62*1/(0.012*(10^inputs!$C$55)))&gt;inputs!$C$57, inputs!$C$57, (F74*0.62*1/(0.012*(10^inputs!$C$55))))</f>
        <v>3.0760931812883195E-4</v>
      </c>
      <c r="R74" s="3">
        <f>IF((B74&gt;B73), (EXP(-LN(2)/inputs!$C$51)*R73+$R$3), (EXP(-LN(2)/inputs!$C$51)*R73))</f>
        <v>7.1471306123635356E-10</v>
      </c>
      <c r="T74" s="7">
        <f>IF(T73&lt;(inputs!$C$20-1),(1+T73),0)</f>
        <v>0</v>
      </c>
      <c r="U74" s="7">
        <f>IF(inputs!$C$19&gt;U73,IF(T73=(inputs!$C$20-1),(U73+1),U73), U73)</f>
        <v>1</v>
      </c>
      <c r="V74" s="7">
        <f t="shared" si="2"/>
        <v>71</v>
      </c>
      <c r="W74" s="8">
        <f>IF((U74&gt;U73), (EXP(-LN(2)/inputs!$C$51)*W73+$W$3), (EXP(-LN(2)/inputs!$C$51)*W73))</f>
        <v>2.3652344763919902E-2</v>
      </c>
      <c r="X74" s="8">
        <f>IF((U74&gt;U73), (EXP(-LN(2)/inputs!$C$51)*X73+$X$3), (EXP(-LN(2)/inputs!$C$51)*X73))</f>
        <v>1.0017463664719015E-2</v>
      </c>
      <c r="Y74" s="8">
        <f>IF((U74&gt;U73), (EXP(-LN(2)/inputs!$C$51)*Y73+$Y$3), (EXP(-LN(2)/inputs!$C$51)*Y73))</f>
        <v>1.2521829580898773E-2</v>
      </c>
      <c r="Z74" s="8">
        <f>IF((U74&gt;U73), (EXP(-LN(2)/inputs!$C$51)*Z73+$Z$3), (EXP(-LN(2)/inputs!$C$51)*Z73))</f>
        <v>1.9478401570286973E-3</v>
      </c>
      <c r="AA74" s="8">
        <f>IF((U74&gt;U73), (EXP(-LN(2)/inputs!$C$51)*AA73+$AA$3), (EXP(-LN(2)/inputs!$C$51)*AA73))</f>
        <v>1.8087087172409335E-2</v>
      </c>
      <c r="AB74" s="7">
        <f>(((0.621*15^0.564)/0.2))*W74/15+AB73*inputs!$C$53</f>
        <v>2.5451451922204601E-2</v>
      </c>
      <c r="AC74" s="7">
        <f>(((0.621*1000^0.564)/0.2))*W74/1000+AC73*inputs!$C$53</f>
        <v>4.0783862262969142E-3</v>
      </c>
      <c r="AD74" s="7">
        <f>(((0.648*20^0.651)/0.2))*AA74/20+AD73*inputs!$C$54</f>
        <v>2.7244256656130065E-2</v>
      </c>
      <c r="AE74" s="7">
        <f>(((0.013*2^0.773)/0.2))*AA74/2+AE73*inputs!$C$54</f>
        <v>1.328522667535074E-3</v>
      </c>
    </row>
    <row r="75" spans="1:31" x14ac:dyDescent="0.3">
      <c r="A75" s="7">
        <f>IF(A74&lt;(inputs!$C$20-1),(1+A74),0)</f>
        <v>0</v>
      </c>
      <c r="B75" s="7">
        <f>IF(inputs!$C$19&gt;B74,IF(A74=(inputs!$C$20-1),(B74+1),B74), B74)</f>
        <v>1</v>
      </c>
      <c r="C75" s="7">
        <f t="shared" si="3"/>
        <v>72</v>
      </c>
      <c r="D75" s="8">
        <f>IF((B75&gt;B74), (EXP(-LN(2)/inputs!$C$51)*D74+$D$3), (EXP(-LN(2)/inputs!$C$51)*D74))</f>
        <v>5.8596058564464072E-2</v>
      </c>
      <c r="E75" s="8">
        <f>IF((B75&gt;B74), (EXP(-LN(2)/inputs!$C$51)*E74+$E$3), (EXP(-LN(2)/inputs!$C$51)*E74))</f>
        <v>2.6856526842046018E-2</v>
      </c>
      <c r="F75" s="8">
        <f>IF((B75&gt;B74), (EXP(-LN(2)/inputs!$C$51)*F74+$F$3), (EXP(-LN(2)/inputs!$C$51)*F74))</f>
        <v>3.2960282942511007E-2</v>
      </c>
      <c r="G75" s="8">
        <f>IF((B75&gt;B74), (EXP(-LN(2)/inputs!$C$51)*G74+$G$3), (EXP(-LN(2)/inputs!$C$51)*G74))</f>
        <v>3.6622536602790045E-3</v>
      </c>
      <c r="H75" s="8">
        <f>IF((B75&gt;B74), (EXP(-LN(2)/inputs!$C$51)*H74+$H$3), (EXP(-LN(2)/inputs!$C$51)*H74))</f>
        <v>2.2950122937748386E-2</v>
      </c>
      <c r="I75" s="7">
        <f>O75*(10^inputs!$C$55)*0.01/1</f>
        <v>13.103065822139113</v>
      </c>
      <c r="J75" s="7">
        <f>(((0.621*15^0.564)/0.2))*D75/15+J74*inputs!$C$53</f>
        <v>6.3053146834689558E-2</v>
      </c>
      <c r="K75" s="7">
        <f>(((0.621*1000^0.564)/0.2))*D75/1000+K74*inputs!$C$53</f>
        <v>1.0103749144107771E-2</v>
      </c>
      <c r="L75" s="7">
        <f>(((0.648*20^0.651)/0.2))*H75/20+L74*inputs!$C$54</f>
        <v>3.4569360651921135E-2</v>
      </c>
      <c r="M75" s="7">
        <f>(((0.013*2^0.773)/0.2))*H75/2+M74*inputs!$C$54</f>
        <v>1.685719665907593E-3</v>
      </c>
      <c r="N75" s="7">
        <f>O75*0.015*inputs!$C$56</f>
        <v>1.9250971754881039</v>
      </c>
      <c r="O75" s="7">
        <f>IF((B75&gt;B74), (EXP(-LN(2)/inputs!$C$52)*O74+$O$3), (EXP(-LN(2)/inputs!$C$52)*O74))</f>
        <v>0.20766959821878142</v>
      </c>
      <c r="P75" s="3">
        <f>IF((B75&gt;B74), (EXP(-LN(2)/inputs!$C$52)*P74+$P$3), (EXP(-LN(2)/inputs!$C$52)*P74))</f>
        <v>0.20067215478163195</v>
      </c>
      <c r="Q75" s="19">
        <f>IF((F75*0.62*1/(0.012*(10^inputs!$C$55)))&gt;inputs!$C$57, inputs!$C$57, (F75*0.62*1/(0.012*(10^inputs!$C$55))))</f>
        <v>2.6989906162875195E-4</v>
      </c>
      <c r="R75" s="3">
        <f>IF((B75&gt;B74), (EXP(-LN(2)/inputs!$C$51)*R74+$R$3), (EXP(-LN(2)/inputs!$C$51)*R74))</f>
        <v>6.2709538753541472E-10</v>
      </c>
      <c r="T75" s="7">
        <f>IF(T74&lt;(inputs!$C$20-1),(1+T74),0)</f>
        <v>0</v>
      </c>
      <c r="U75" s="7">
        <f>IF(inputs!$C$19&gt;U74,IF(T74=(inputs!$C$20-1),(U74+1),U74), U74)</f>
        <v>1</v>
      </c>
      <c r="V75" s="7">
        <f t="shared" si="2"/>
        <v>72</v>
      </c>
      <c r="W75" s="8">
        <f>IF((U75&gt;U74), (EXP(-LN(2)/inputs!$C$51)*W74+$W$3), (EXP(-LN(2)/inputs!$C$51)*W74))</f>
        <v>2.0752770741581002E-2</v>
      </c>
      <c r="X75" s="8">
        <f>IF((U75&gt;U74), (EXP(-LN(2)/inputs!$C$51)*X74+$X$3), (EXP(-LN(2)/inputs!$C$51)*X74))</f>
        <v>8.7894087846695987E-3</v>
      </c>
      <c r="Y75" s="8">
        <f>IF((U75&gt;U74), (EXP(-LN(2)/inputs!$C$51)*Y74+$Y$3), (EXP(-LN(2)/inputs!$C$51)*Y74))</f>
        <v>1.0986760980837002E-2</v>
      </c>
      <c r="Z75" s="8">
        <f>IF((U75&gt;U74), (EXP(-LN(2)/inputs!$C$51)*Z74+$Z$3), (EXP(-LN(2)/inputs!$C$51)*Z74))</f>
        <v>1.7090517081301997E-3</v>
      </c>
      <c r="AA75" s="8">
        <f>IF((U75&gt;U74), (EXP(-LN(2)/inputs!$C$51)*AA74+$AA$3), (EXP(-LN(2)/inputs!$C$51)*AA74))</f>
        <v>1.5869765861209001E-2</v>
      </c>
      <c r="AB75" s="7">
        <f>(((0.621*15^0.564)/0.2))*W75/15+AB74*inputs!$C$53</f>
        <v>2.2331322837285859E-2</v>
      </c>
      <c r="AC75" s="7">
        <f>(((0.621*1000^0.564)/0.2))*W75/1000+AC74*inputs!$C$53</f>
        <v>3.5784111552048313E-3</v>
      </c>
      <c r="AD75" s="7">
        <f>(((0.648*20^0.651)/0.2))*AA75/20+AD74*inputs!$C$54</f>
        <v>2.390434513164761E-2</v>
      </c>
      <c r="AE75" s="7">
        <f>(((0.013*2^0.773)/0.2))*AA75/2+AE74*inputs!$C$54</f>
        <v>1.1656572157871662E-3</v>
      </c>
    </row>
    <row r="76" spans="1:31" x14ac:dyDescent="0.3">
      <c r="A76" s="7">
        <f>IF(A75&lt;(inputs!$C$20-1),(1+A75),0)</f>
        <v>0</v>
      </c>
      <c r="B76" s="7">
        <f>IF(inputs!$C$19&gt;B75,IF(A75=(inputs!$C$20-1),(B75+1),B75), B75)</f>
        <v>1</v>
      </c>
      <c r="C76" s="7">
        <f t="shared" si="3"/>
        <v>73</v>
      </c>
      <c r="D76" s="8">
        <f>IF((B76&gt;B75), (EXP(-LN(2)/inputs!$C$51)*D75+$D$3), (EXP(-LN(2)/inputs!$C$51)*D75))</f>
        <v>5.1412685798642326E-2</v>
      </c>
      <c r="E76" s="8">
        <f>IF((B76&gt;B75), (EXP(-LN(2)/inputs!$C$51)*E75+$E$3), (EXP(-LN(2)/inputs!$C$51)*E75))</f>
        <v>2.3564147657711053E-2</v>
      </c>
      <c r="F76" s="8">
        <f>IF((B76&gt;B75), (EXP(-LN(2)/inputs!$C$51)*F75+$F$3), (EXP(-LN(2)/inputs!$C$51)*F75))</f>
        <v>2.8919635761736277E-2</v>
      </c>
      <c r="G76" s="8">
        <f>IF((B76&gt;B75), (EXP(-LN(2)/inputs!$C$51)*G75+$G$3), (EXP(-LN(2)/inputs!$C$51)*G75))</f>
        <v>3.2132928624151453E-3</v>
      </c>
      <c r="H76" s="8">
        <f>IF((B76&gt;B75), (EXP(-LN(2)/inputs!$C$51)*H75+$H$3), (EXP(-LN(2)/inputs!$C$51)*H75))</f>
        <v>2.0136635271134871E-2</v>
      </c>
      <c r="I76" s="7">
        <f>O76*(10^inputs!$C$55)*0.01/1</f>
        <v>12.838642306078466</v>
      </c>
      <c r="J76" s="7">
        <f>(((0.621*15^0.564)/0.2))*D76/15+J75*inputs!$C$53</f>
        <v>5.5323373384596905E-2</v>
      </c>
      <c r="K76" s="7">
        <f>(((0.621*1000^0.564)/0.2))*D76/1000+K75*inputs!$C$53</f>
        <v>8.8651164064701155E-3</v>
      </c>
      <c r="L76" s="7">
        <f>(((0.648*20^0.651)/0.2))*H76/20+L75*inputs!$C$54</f>
        <v>3.0331454384459687E-2</v>
      </c>
      <c r="M76" s="7">
        <f>(((0.013*2^0.773)/0.2))*H76/2+M75*inputs!$C$54</f>
        <v>1.4790649345903161E-3</v>
      </c>
      <c r="N76" s="7">
        <f>O76*0.015*inputs!$C$56</f>
        <v>1.886248178557866</v>
      </c>
      <c r="O76" s="7">
        <f>IF((B76&gt;B75), (EXP(-LN(2)/inputs!$C$52)*O75+$O$3), (EXP(-LN(2)/inputs!$C$52)*O75))</f>
        <v>0.20347876791346992</v>
      </c>
      <c r="P76" s="3">
        <f>IF((B76&gt;B75), (EXP(-LN(2)/inputs!$C$52)*P75+$P$3), (EXP(-LN(2)/inputs!$C$52)*P75))</f>
        <v>0.19662253483290432</v>
      </c>
      <c r="Q76" s="19">
        <f>IF((F76*0.62*1/(0.012*(10^inputs!$C$55)))&gt;inputs!$C$57, inputs!$C$57, (F76*0.62*1/(0.012*(10^inputs!$C$55))))</f>
        <v>2.368117582106922E-4</v>
      </c>
      <c r="R76" s="3">
        <f>IF((B76&gt;B75), (EXP(-LN(2)/inputs!$C$51)*R75+$R$3), (EXP(-LN(2)/inputs!$C$51)*R75))</f>
        <v>5.5021888698651589E-10</v>
      </c>
      <c r="T76" s="7">
        <f>IF(T75&lt;(inputs!$C$20-1),(1+T75),0)</f>
        <v>0</v>
      </c>
      <c r="U76" s="7">
        <f>IF(inputs!$C$19&gt;U75,IF(T75=(inputs!$C$20-1),(U75+1),U75), U75)</f>
        <v>1</v>
      </c>
      <c r="V76" s="7">
        <f t="shared" si="2"/>
        <v>73</v>
      </c>
      <c r="W76" s="8">
        <f>IF((U76&gt;U75), (EXP(-LN(2)/inputs!$C$51)*W75+$W$3), (EXP(-LN(2)/inputs!$C$51)*W75))</f>
        <v>1.8208659553685801E-2</v>
      </c>
      <c r="X76" s="8">
        <f>IF((U76&gt;U75), (EXP(-LN(2)/inputs!$C$51)*X75+$X$3), (EXP(-LN(2)/inputs!$C$51)*X75))</f>
        <v>7.7119028697963379E-3</v>
      </c>
      <c r="Y76" s="8">
        <f>IF((U76&gt;U75), (EXP(-LN(2)/inputs!$C$51)*Y75+$Y$3), (EXP(-LN(2)/inputs!$C$51)*Y75))</f>
        <v>9.6398785872454252E-3</v>
      </c>
      <c r="Z76" s="8">
        <f>IF((U76&gt;U75), (EXP(-LN(2)/inputs!$C$51)*Z75+$Z$3), (EXP(-LN(2)/inputs!$C$51)*Z75))</f>
        <v>1.4995366691270657E-3</v>
      </c>
      <c r="AA76" s="8">
        <f>IF((U76&gt;U75), (EXP(-LN(2)/inputs!$C$51)*AA75+$AA$3), (EXP(-LN(2)/inputs!$C$51)*AA75))</f>
        <v>1.3924269070465614E-2</v>
      </c>
      <c r="AB76" s="7">
        <f>(((0.621*15^0.564)/0.2))*W76/15+AB75*inputs!$C$53</f>
        <v>1.9593694740378045E-2</v>
      </c>
      <c r="AC76" s="7">
        <f>(((0.621*1000^0.564)/0.2))*W76/1000+AC75*inputs!$C$53</f>
        <v>3.1397287272914949E-3</v>
      </c>
      <c r="AD76" s="7">
        <f>(((0.648*20^0.651)/0.2))*AA76/20+AD75*inputs!$C$54</f>
        <v>2.0973878031807246E-2</v>
      </c>
      <c r="AE76" s="7">
        <f>(((0.013*2^0.773)/0.2))*AA76/2+AE75*inputs!$C$54</f>
        <v>1.0227576675358578E-3</v>
      </c>
    </row>
    <row r="77" spans="1:31" x14ac:dyDescent="0.3">
      <c r="A77" s="7">
        <f>IF(A76&lt;(inputs!$C$20-1),(1+A76),0)</f>
        <v>0</v>
      </c>
      <c r="B77" s="7">
        <f>IF(inputs!$C$19&gt;B76,IF(A76=(inputs!$C$20-1),(B76+1),B76), B76)</f>
        <v>1</v>
      </c>
      <c r="C77" s="7">
        <f t="shared" si="3"/>
        <v>74</v>
      </c>
      <c r="D77" s="8">
        <f>IF((B77&gt;B76), (EXP(-LN(2)/inputs!$C$51)*D76+$D$3), (EXP(-LN(2)/inputs!$C$51)*D76))</f>
        <v>4.5109932746106945E-2</v>
      </c>
      <c r="E77" s="8">
        <f>IF((B77&gt;B76), (EXP(-LN(2)/inputs!$C$51)*E76+$E$3), (EXP(-LN(2)/inputs!$C$51)*E76))</f>
        <v>2.0675385841965672E-2</v>
      </c>
      <c r="F77" s="8">
        <f>IF((B77&gt;B76), (EXP(-LN(2)/inputs!$C$51)*F76+$F$3), (EXP(-LN(2)/inputs!$C$51)*F76))</f>
        <v>2.5374337169685131E-2</v>
      </c>
      <c r="G77" s="8">
        <f>IF((B77&gt;B76), (EXP(-LN(2)/inputs!$C$51)*G76+$G$3), (EXP(-LN(2)/inputs!$C$51)*G76))</f>
        <v>2.8193707966316841E-3</v>
      </c>
      <c r="H77" s="8">
        <f>IF((B77&gt;B76), (EXP(-LN(2)/inputs!$C$51)*H76+$H$3), (EXP(-LN(2)/inputs!$C$51)*H76))</f>
        <v>1.7668056992225185E-2</v>
      </c>
      <c r="I77" s="7">
        <f>O77*(10^inputs!$C$55)*0.01/1</f>
        <v>12.579554930184932</v>
      </c>
      <c r="J77" s="7">
        <f>(((0.621*15^0.564)/0.2))*D77/15+J76*inputs!$C$53</f>
        <v>4.8541203671815025E-2</v>
      </c>
      <c r="K77" s="7">
        <f>(((0.621*1000^0.564)/0.2))*D77/1000+K76*inputs!$C$53</f>
        <v>7.7783293883634573E-3</v>
      </c>
      <c r="L77" s="7">
        <f>(((0.648*20^0.651)/0.2))*H77/20+L76*inputs!$C$54</f>
        <v>2.6613078973024961E-2</v>
      </c>
      <c r="M77" s="7">
        <f>(((0.013*2^0.773)/0.2))*H77/2+M76*inputs!$C$54</f>
        <v>1.2977442957912177E-3</v>
      </c>
      <c r="N77" s="7">
        <f>O77*0.015*inputs!$C$56</f>
        <v>1.8481831652008744</v>
      </c>
      <c r="O77" s="7">
        <f>IF((B77&gt;B76), (EXP(-LN(2)/inputs!$C$52)*O76+$O$3), (EXP(-LN(2)/inputs!$C$52)*O76))</f>
        <v>0.19937250973040718</v>
      </c>
      <c r="P77" s="3">
        <f>IF((B77&gt;B76), (EXP(-LN(2)/inputs!$C$52)*P76+$P$3), (EXP(-LN(2)/inputs!$C$52)*P76))</f>
        <v>0.19265463734211799</v>
      </c>
      <c r="Q77" s="19">
        <f>IF((F77*0.62*1/(0.012*(10^inputs!$C$55)))&gt;inputs!$C$57, inputs!$C$57, (F77*0.62*1/(0.012*(10^inputs!$C$55))))</f>
        <v>2.0778067359114244E-4</v>
      </c>
      <c r="R77" s="3">
        <f>IF((B77&gt;B76), (EXP(-LN(2)/inputs!$C$51)*R76+$R$3), (EXP(-LN(2)/inputs!$C$51)*R76))</f>
        <v>4.8276678415145138E-10</v>
      </c>
      <c r="T77" s="7">
        <f>IF(T76&lt;(inputs!$C$20-1),(1+T76),0)</f>
        <v>0</v>
      </c>
      <c r="U77" s="7">
        <f>IF(inputs!$C$19&gt;U76,IF(T76=(inputs!$C$20-1),(U76+1),U76), U76)</f>
        <v>1</v>
      </c>
      <c r="V77" s="7">
        <f t="shared" si="2"/>
        <v>74</v>
      </c>
      <c r="W77" s="8">
        <f>IF((U77&gt;U76), (EXP(-LN(2)/inputs!$C$51)*W76+$W$3), (EXP(-LN(2)/inputs!$C$51)*W76))</f>
        <v>1.5976434514246188E-2</v>
      </c>
      <c r="X77" s="8">
        <f>IF((U77&gt;U76), (EXP(-LN(2)/inputs!$C$51)*X76+$X$3), (EXP(-LN(2)/inputs!$C$51)*X76))</f>
        <v>6.7664899119160319E-3</v>
      </c>
      <c r="Y77" s="8">
        <f>IF((U77&gt;U76), (EXP(-LN(2)/inputs!$C$51)*Y76+$Y$3), (EXP(-LN(2)/inputs!$C$51)*Y76))</f>
        <v>8.4581123898950436E-3</v>
      </c>
      <c r="Z77" s="8">
        <f>IF((U77&gt;U76), (EXP(-LN(2)/inputs!$C$51)*Z76+$Z$3), (EXP(-LN(2)/inputs!$C$51)*Z76))</f>
        <v>1.3157063717614507E-3</v>
      </c>
      <c r="AA77" s="8">
        <f>IF((U77&gt;U76), (EXP(-LN(2)/inputs!$C$51)*AA76+$AA$3), (EXP(-LN(2)/inputs!$C$51)*AA76))</f>
        <v>1.2217273452070618E-2</v>
      </c>
      <c r="AB77" s="7">
        <f>(((0.621*15^0.564)/0.2))*W77/15+AB76*inputs!$C$53</f>
        <v>1.7191676300434468E-2</v>
      </c>
      <c r="AC77" s="7">
        <f>(((0.621*1000^0.564)/0.2))*W77/1000+AC76*inputs!$C$53</f>
        <v>2.754824991712054E-3</v>
      </c>
      <c r="AD77" s="7">
        <f>(((0.648*20^0.651)/0.2))*AA77/20+AD76*inputs!$C$54</f>
        <v>1.8402660991985363E-2</v>
      </c>
      <c r="AE77" s="7">
        <f>(((0.013*2^0.773)/0.2))*AA77/2+AE76*inputs!$C$54</f>
        <v>8.9737637474924712E-4</v>
      </c>
    </row>
    <row r="78" spans="1:31" x14ac:dyDescent="0.3">
      <c r="A78" s="7">
        <f>IF(A77&lt;(inputs!$C$20-1),(1+A77),0)</f>
        <v>0</v>
      </c>
      <c r="B78" s="7">
        <f>IF(inputs!$C$19&gt;B77,IF(A77=(inputs!$C$20-1),(B77+1),B77), B77)</f>
        <v>1</v>
      </c>
      <c r="C78" s="7">
        <f t="shared" si="3"/>
        <v>75</v>
      </c>
      <c r="D78" s="8">
        <f>IF((B78&gt;B77), (EXP(-LN(2)/inputs!$C$51)*D77+$D$3), (EXP(-LN(2)/inputs!$C$51)*D77))</f>
        <v>3.9579843004662253E-2</v>
      </c>
      <c r="E78" s="8">
        <f>IF((B78&gt;B77), (EXP(-LN(2)/inputs!$C$51)*E77+$E$3), (EXP(-LN(2)/inputs!$C$51)*E77))</f>
        <v>1.8140761377136855E-2</v>
      </c>
      <c r="F78" s="8">
        <f>IF((B78&gt;B77), (EXP(-LN(2)/inputs!$C$51)*F77+$F$3), (EXP(-LN(2)/inputs!$C$51)*F77))</f>
        <v>2.2263661690122494E-2</v>
      </c>
      <c r="G78" s="8">
        <f>IF((B78&gt;B77), (EXP(-LN(2)/inputs!$C$51)*G77+$G$3), (EXP(-LN(2)/inputs!$C$51)*G77))</f>
        <v>2.4737401877913908E-3</v>
      </c>
      <c r="H78" s="8">
        <f>IF((B78&gt;B77), (EXP(-LN(2)/inputs!$C$51)*H77+$H$3), (EXP(-LN(2)/inputs!$C$51)*H77))</f>
        <v>1.5502105176826018E-2</v>
      </c>
      <c r="I78" s="7">
        <f>O78*(10^inputs!$C$55)*0.01/1</f>
        <v>12.325696009664412</v>
      </c>
      <c r="J78" s="7">
        <f>(((0.621*15^0.564)/0.2))*D78/15+J77*inputs!$C$53</f>
        <v>4.2590469628966163E-2</v>
      </c>
      <c r="K78" s="7">
        <f>(((0.621*1000^0.564)/0.2))*D78/1000+K77*inputs!$C$53</f>
        <v>6.8247731106747308E-3</v>
      </c>
      <c r="L78" s="7">
        <f>(((0.648*20^0.651)/0.2))*H78/20+L77*inputs!$C$54</f>
        <v>2.3350544403414365E-2</v>
      </c>
      <c r="M78" s="7">
        <f>(((0.013*2^0.773)/0.2))*H78/2+M77*inputs!$C$54</f>
        <v>1.1386520076788454E-3</v>
      </c>
      <c r="N78" s="7">
        <f>O78*0.015*inputs!$C$56</f>
        <v>1.8108863144103675</v>
      </c>
      <c r="O78" s="7">
        <f>IF((B78&gt;B77), (EXP(-LN(2)/inputs!$C$52)*O77+$O$3), (EXP(-LN(2)/inputs!$C$52)*O77))</f>
        <v>0.19534911698062218</v>
      </c>
      <c r="P78" s="3">
        <f>IF((B78&gt;B77), (EXP(-LN(2)/inputs!$C$52)*P77+$P$3), (EXP(-LN(2)/inputs!$C$52)*P77))</f>
        <v>0.18876681312732096</v>
      </c>
      <c r="Q78" s="19">
        <f>IF((F78*0.62*1/(0.012*(10^inputs!$C$55)))&gt;inputs!$C$57, inputs!$C$57, (F78*0.62*1/(0.012*(10^inputs!$C$55))))</f>
        <v>1.8230855023498404E-4</v>
      </c>
      <c r="R78" s="3">
        <f>IF((B78&gt;B77), (EXP(-LN(2)/inputs!$C$51)*R77+$R$3), (EXP(-LN(2)/inputs!$C$51)*R77))</f>
        <v>4.2358372893449166E-10</v>
      </c>
      <c r="T78" s="7">
        <f>IF(T77&lt;(inputs!$C$20-1),(1+T77),0)</f>
        <v>0</v>
      </c>
      <c r="U78" s="7">
        <f>IF(inputs!$C$19&gt;U77,IF(T77=(inputs!$C$20-1),(U77+1),U77), U77)</f>
        <v>1</v>
      </c>
      <c r="V78" s="7">
        <f t="shared" si="2"/>
        <v>75</v>
      </c>
      <c r="W78" s="8">
        <f>IF((U78&gt;U77), (EXP(-LN(2)/inputs!$C$51)*W77+$W$3), (EXP(-LN(2)/inputs!$C$51)*W77))</f>
        <v>1.4017861064151196E-2</v>
      </c>
      <c r="X78" s="8">
        <f>IF((U78&gt;U77), (EXP(-LN(2)/inputs!$C$51)*X77+$X$3), (EXP(-LN(2)/inputs!$C$51)*X77))</f>
        <v>5.9369764506993286E-3</v>
      </c>
      <c r="Y78" s="8">
        <f>IF((U78&gt;U77), (EXP(-LN(2)/inputs!$C$51)*Y77+$Y$3), (EXP(-LN(2)/inputs!$C$51)*Y77))</f>
        <v>7.4212205633741642E-3</v>
      </c>
      <c r="Z78" s="8">
        <f>IF((U78&gt;U77), (EXP(-LN(2)/inputs!$C$51)*Z77+$Z$3), (EXP(-LN(2)/inputs!$C$51)*Z77))</f>
        <v>1.1544120876359806E-3</v>
      </c>
      <c r="AA78" s="8">
        <f>IF((U78&gt;U77), (EXP(-LN(2)/inputs!$C$51)*AA77+$AA$3), (EXP(-LN(2)/inputs!$C$51)*AA77))</f>
        <v>1.0719540813762682E-2</v>
      </c>
      <c r="AB78" s="7">
        <f>(((0.621*15^0.564)/0.2))*W78/15+AB77*inputs!$C$53</f>
        <v>1.5084124660258828E-2</v>
      </c>
      <c r="AC78" s="7">
        <f>(((0.621*1000^0.564)/0.2))*W78/1000+AC77*inputs!$C$53</f>
        <v>2.4171071433639639E-3</v>
      </c>
      <c r="AD78" s="7">
        <f>(((0.648*20^0.651)/0.2))*AA78/20+AD77*inputs!$C$54</f>
        <v>1.6146653044914205E-2</v>
      </c>
      <c r="AE78" s="7">
        <f>(((0.013*2^0.773)/0.2))*AA78/2+AE77*inputs!$C$54</f>
        <v>7.8736574999069178E-4</v>
      </c>
    </row>
    <row r="79" spans="1:31" x14ac:dyDescent="0.3">
      <c r="A79" s="7">
        <f>IF(A78&lt;(inputs!$C$20-1),(1+A78),0)</f>
        <v>0</v>
      </c>
      <c r="B79" s="7">
        <f>IF(inputs!$C$19&gt;B78,IF(A78=(inputs!$C$20-1),(B78+1),B78), B78)</f>
        <v>1</v>
      </c>
      <c r="C79" s="7">
        <f t="shared" si="3"/>
        <v>76</v>
      </c>
      <c r="D79" s="8">
        <f>IF((B79&gt;B78), (EXP(-LN(2)/inputs!$C$51)*D78+$D$3), (EXP(-LN(2)/inputs!$C$51)*D78))</f>
        <v>3.4727694698434418E-2</v>
      </c>
      <c r="E79" s="8">
        <f>IF((B79&gt;B78), (EXP(-LN(2)/inputs!$C$51)*E78+$E$3), (EXP(-LN(2)/inputs!$C$51)*E78))</f>
        <v>1.5916860070115765E-2</v>
      </c>
      <c r="F79" s="8">
        <f>IF((B79&gt;B78), (EXP(-LN(2)/inputs!$C$51)*F78+$F$3), (EXP(-LN(2)/inputs!$C$51)*F78))</f>
        <v>1.9534328267869341E-2</v>
      </c>
      <c r="G79" s="8">
        <f>IF((B79&gt;B78), (EXP(-LN(2)/inputs!$C$51)*G78+$G$3), (EXP(-LN(2)/inputs!$C$51)*G78))</f>
        <v>2.1704809186521511E-3</v>
      </c>
      <c r="H79" s="8">
        <f>IF((B79&gt;B78), (EXP(-LN(2)/inputs!$C$51)*H78+$H$3), (EXP(-LN(2)/inputs!$C$51)*H78))</f>
        <v>1.3601680423553454E-2</v>
      </c>
      <c r="I79" s="7">
        <f>O79*(10^inputs!$C$55)*0.01/1</f>
        <v>12.076960032831924</v>
      </c>
      <c r="J79" s="7">
        <f>(((0.621*15^0.564)/0.2))*D79/15+J78*inputs!$C$53</f>
        <v>3.7369244394513022E-2</v>
      </c>
      <c r="K79" s="7">
        <f>(((0.621*1000^0.564)/0.2))*D79/1000+K78*inputs!$C$53</f>
        <v>5.9881146306133273E-3</v>
      </c>
      <c r="L79" s="7">
        <f>(((0.648*20^0.651)/0.2))*H79/20+L78*inputs!$C$54</f>
        <v>2.04879685093367E-2</v>
      </c>
      <c r="M79" s="7">
        <f>(((0.013*2^0.773)/0.2))*H79/2+M78*inputs!$C$54</f>
        <v>9.9906306565623469E-4</v>
      </c>
      <c r="N79" s="7">
        <f>O79*0.015*inputs!$C$56</f>
        <v>1.7743421244519044</v>
      </c>
      <c r="O79" s="7">
        <f>IF((B79&gt;B78), (EXP(-LN(2)/inputs!$C$52)*O78+$O$3), (EXP(-LN(2)/inputs!$C$52)*O78))</f>
        <v>0.19140691741660243</v>
      </c>
      <c r="P79" s="3">
        <f>IF((B79&gt;B78), (EXP(-LN(2)/inputs!$C$52)*P78+$P$3), (EXP(-LN(2)/inputs!$C$52)*P78))</f>
        <v>0.18495744628751212</v>
      </c>
      <c r="Q79" s="19">
        <f>IF((F79*0.62*1/(0.012*(10^inputs!$C$55)))&gt;inputs!$C$57, inputs!$C$57, (F79*0.62*1/(0.012*(10^inputs!$C$55))))</f>
        <v>1.5995909010374171E-4</v>
      </c>
      <c r="R79" s="3">
        <f>IF((B79&gt;B78), (EXP(-LN(2)/inputs!$C$51)*R78+$R$3), (EXP(-LN(2)/inputs!$C$51)*R78))</f>
        <v>3.7165600722389614E-10</v>
      </c>
      <c r="T79" s="7">
        <f>IF(T78&lt;(inputs!$C$20-1),(1+T78),0)</f>
        <v>0</v>
      </c>
      <c r="U79" s="7">
        <f>IF(inputs!$C$19&gt;U78,IF(T78=(inputs!$C$20-1),(U78+1),U78), U78)</f>
        <v>1</v>
      </c>
      <c r="V79" s="7">
        <f t="shared" si="2"/>
        <v>76</v>
      </c>
      <c r="W79" s="8">
        <f>IF((U79&gt;U78), (EXP(-LN(2)/inputs!$C$51)*W78+$W$3), (EXP(-LN(2)/inputs!$C$51)*W78))</f>
        <v>1.2299391872362174E-2</v>
      </c>
      <c r="X79" s="8">
        <f>IF((U79&gt;U78), (EXP(-LN(2)/inputs!$C$51)*X78+$X$3), (EXP(-LN(2)/inputs!$C$51)*X78))</f>
        <v>5.209154204765155E-3</v>
      </c>
      <c r="Y79" s="8">
        <f>IF((U79&gt;U78), (EXP(-LN(2)/inputs!$C$51)*Y78+$Y$3), (EXP(-LN(2)/inputs!$C$51)*Y78))</f>
        <v>6.5114427559564468E-3</v>
      </c>
      <c r="Z79" s="8">
        <f>IF((U79&gt;U78), (EXP(-LN(2)/inputs!$C$51)*Z78+$Z$3), (EXP(-LN(2)/inputs!$C$51)*Z78))</f>
        <v>1.0128910953710022E-3</v>
      </c>
      <c r="AA79" s="8">
        <f>IF((U79&gt;U78), (EXP(-LN(2)/inputs!$C$51)*AA78+$AA$3), (EXP(-LN(2)/inputs!$C$51)*AA78))</f>
        <v>9.4054173141593124E-3</v>
      </c>
      <c r="AB79" s="7">
        <f>(((0.621*15^0.564)/0.2))*W79/15+AB78*inputs!$C$53</f>
        <v>1.3234940723056678E-2</v>
      </c>
      <c r="AC79" s="7">
        <f>(((0.621*1000^0.564)/0.2))*W79/1000+AC78*inputs!$C$53</f>
        <v>2.1207905983422174E-3</v>
      </c>
      <c r="AD79" s="7">
        <f>(((0.648*20^0.651)/0.2))*AA79/20+AD78*inputs!$C$54</f>
        <v>1.4167212267094539E-2</v>
      </c>
      <c r="AE79" s="7">
        <f>(((0.013*2^0.773)/0.2))*AA79/2+AE78*inputs!$C$54</f>
        <v>6.9084148157080145E-4</v>
      </c>
    </row>
    <row r="80" spans="1:31" x14ac:dyDescent="0.3">
      <c r="A80" s="7">
        <f>IF(A79&lt;(inputs!$C$20-1),(1+A79),0)</f>
        <v>0</v>
      </c>
      <c r="B80" s="7">
        <f>IF(inputs!$C$19&gt;B79,IF(A79=(inputs!$C$20-1),(B79+1),B79), B79)</f>
        <v>1</v>
      </c>
      <c r="C80" s="7">
        <f t="shared" si="3"/>
        <v>77</v>
      </c>
      <c r="D80" s="8">
        <f>IF((B80&gt;B79), (EXP(-LN(2)/inputs!$C$51)*D79+$D$3), (EXP(-LN(2)/inputs!$C$51)*D79))</f>
        <v>3.0470378038781241E-2</v>
      </c>
      <c r="E80" s="8">
        <f>IF((B80&gt;B79), (EXP(-LN(2)/inputs!$C$51)*E79+$E$3), (EXP(-LN(2)/inputs!$C$51)*E79))</f>
        <v>1.3965589934441395E-2</v>
      </c>
      <c r="F80" s="8">
        <f>IF((B80&gt;B79), (EXP(-LN(2)/inputs!$C$51)*F79+$F$3), (EXP(-LN(2)/inputs!$C$51)*F79))</f>
        <v>1.7139587646814433E-2</v>
      </c>
      <c r="G80" s="8">
        <f>IF((B80&gt;B79), (EXP(-LN(2)/inputs!$C$51)*G79+$G$3), (EXP(-LN(2)/inputs!$C$51)*G79))</f>
        <v>1.9043986274238276E-3</v>
      </c>
      <c r="H80" s="8">
        <f>IF((B80&gt;B79), (EXP(-LN(2)/inputs!$C$51)*H79+$H$3), (EXP(-LN(2)/inputs!$C$51)*H79))</f>
        <v>1.193423139852263E-2</v>
      </c>
      <c r="I80" s="7">
        <f>O80*(10^inputs!$C$55)*0.01/1</f>
        <v>11.833243617257663</v>
      </c>
      <c r="J80" s="7">
        <f>(((0.621*15^0.564)/0.2))*D80/15+J79*inputs!$C$53</f>
        <v>3.2788096463418598E-2</v>
      </c>
      <c r="K80" s="7">
        <f>(((0.621*1000^0.564)/0.2))*D80/1000+K79*inputs!$C$53</f>
        <v>5.2540232836869134E-3</v>
      </c>
      <c r="L80" s="7">
        <f>(((0.648*20^0.651)/0.2))*H80/20+L79*inputs!$C$54</f>
        <v>1.7976319797417418E-2</v>
      </c>
      <c r="M80" s="7">
        <f>(((0.013*2^0.773)/0.2))*H80/2+M79*inputs!$C$54</f>
        <v>8.7658652725087355E-4</v>
      </c>
      <c r="N80" s="7">
        <f>O80*0.015*inputs!$C$56</f>
        <v>1.7385354064203609</v>
      </c>
      <c r="O80" s="7">
        <f>IF((B80&gt;B79), (EXP(-LN(2)/inputs!$C$52)*O79+$O$3), (EXP(-LN(2)/inputs!$C$52)*O79))</f>
        <v>0.18754427253725575</v>
      </c>
      <c r="P80" s="3">
        <f>IF((B80&gt;B79), (EXP(-LN(2)/inputs!$C$52)*P79+$P$3), (EXP(-LN(2)/inputs!$C$52)*P79))</f>
        <v>0.18122495353102239</v>
      </c>
      <c r="Q80" s="19">
        <f>IF((F80*0.62*1/(0.012*(10^inputs!$C$55)))&gt;inputs!$C$57, inputs!$C$57, (F80*0.62*1/(0.012*(10^inputs!$C$55))))</f>
        <v>1.4034948154563825E-4</v>
      </c>
      <c r="R80" s="3">
        <f>IF((B80&gt;B79), (EXP(-LN(2)/inputs!$C$51)*R79+$R$3), (EXP(-LN(2)/inputs!$C$51)*R79))</f>
        <v>3.2609417753855841E-10</v>
      </c>
      <c r="T80" s="7">
        <f>IF(T79&lt;(inputs!$C$20-1),(1+T79),0)</f>
        <v>0</v>
      </c>
      <c r="U80" s="7">
        <f>IF(inputs!$C$19&gt;U79,IF(T79=(inputs!$C$20-1),(U79+1),U79), U79)</f>
        <v>1</v>
      </c>
      <c r="V80" s="7">
        <f t="shared" si="2"/>
        <v>77</v>
      </c>
      <c r="W80" s="8">
        <f>IF((U80&gt;U79), (EXP(-LN(2)/inputs!$C$51)*W79+$W$3), (EXP(-LN(2)/inputs!$C$51)*W79))</f>
        <v>1.0791592222068342E-2</v>
      </c>
      <c r="X80" s="8">
        <f>IF((U80&gt;U79), (EXP(-LN(2)/inputs!$C$51)*X79+$X$3), (EXP(-LN(2)/inputs!$C$51)*X79))</f>
        <v>4.5705567058171798E-3</v>
      </c>
      <c r="Y80" s="8">
        <f>IF((U80&gt;U79), (EXP(-LN(2)/inputs!$C$51)*Y79+$Y$3), (EXP(-LN(2)/inputs!$C$51)*Y79))</f>
        <v>5.7131958822714771E-3</v>
      </c>
      <c r="Z80" s="8">
        <f>IF((U80&gt;U79), (EXP(-LN(2)/inputs!$C$51)*Z79+$Z$3), (EXP(-LN(2)/inputs!$C$51)*Z79))</f>
        <v>8.8871935946445142E-4</v>
      </c>
      <c r="AA80" s="8">
        <f>IF((U80&gt;U79), (EXP(-LN(2)/inputs!$C$51)*AA79+$AA$3), (EXP(-LN(2)/inputs!$C$51)*AA79))</f>
        <v>8.2523940521699122E-3</v>
      </c>
      <c r="AB80" s="7">
        <f>(((0.621*15^0.564)/0.2))*W80/15+AB79*inputs!$C$53</f>
        <v>1.1612450830794072E-2</v>
      </c>
      <c r="AC80" s="7">
        <f>(((0.621*1000^0.564)/0.2))*W80/1000+AC79*inputs!$C$53</f>
        <v>1.8607999129724459E-3</v>
      </c>
      <c r="AD80" s="7">
        <f>(((0.648*20^0.651)/0.2))*AA80/20+AD79*inputs!$C$54</f>
        <v>1.2430433902469505E-2</v>
      </c>
      <c r="AE80" s="7">
        <f>(((0.013*2^0.773)/0.2))*AA80/2+AE79*inputs!$C$54</f>
        <v>6.0615025820539192E-4</v>
      </c>
    </row>
    <row r="81" spans="1:31" x14ac:dyDescent="0.3">
      <c r="A81" s="7">
        <f>IF(A80&lt;(inputs!$C$20-1),(1+A80),0)</f>
        <v>0</v>
      </c>
      <c r="B81" s="7">
        <f>IF(inputs!$C$19&gt;B80,IF(A80=(inputs!$C$20-1),(B80+1),B80), B80)</f>
        <v>1</v>
      </c>
      <c r="C81" s="7">
        <f t="shared" si="3"/>
        <v>78</v>
      </c>
      <c r="D81" s="8">
        <f>IF((B81&gt;B80), (EXP(-LN(2)/inputs!$C$51)*D80+$D$3), (EXP(-LN(2)/inputs!$C$51)*D80))</f>
        <v>2.6734971782278943E-2</v>
      </c>
      <c r="E81" s="8">
        <f>IF((B81&gt;B80), (EXP(-LN(2)/inputs!$C$51)*E80+$E$3), (EXP(-LN(2)/inputs!$C$51)*E80))</f>
        <v>1.2253528733544508E-2</v>
      </c>
      <c r="F81" s="8">
        <f>IF((B81&gt;B80), (EXP(-LN(2)/inputs!$C$51)*F80+$F$3), (EXP(-LN(2)/inputs!$C$51)*F80))</f>
        <v>1.5038421627531891E-2</v>
      </c>
      <c r="G81" s="8">
        <f>IF((B81&gt;B80), (EXP(-LN(2)/inputs!$C$51)*G80+$G$3), (EXP(-LN(2)/inputs!$C$51)*G80))</f>
        <v>1.6709357363924339E-3</v>
      </c>
      <c r="H81" s="8">
        <f>IF((B81&gt;B80), (EXP(-LN(2)/inputs!$C$51)*H80+$H$3), (EXP(-LN(2)/inputs!$C$51)*H80))</f>
        <v>1.0471197281392565E-2</v>
      </c>
      <c r="I81" s="7">
        <f>O81*(10^inputs!$C$55)*0.01/1</f>
        <v>11.594445466798042</v>
      </c>
      <c r="J81" s="7">
        <f>(((0.621*15^0.564)/0.2))*D81/15+J80*inputs!$C$53</f>
        <v>2.8768557863918062E-2</v>
      </c>
      <c r="K81" s="7">
        <f>(((0.621*1000^0.564)/0.2))*D81/1000+K80*inputs!$C$53</f>
        <v>4.6099252216046521E-3</v>
      </c>
      <c r="L81" s="7">
        <f>(((0.648*20^0.651)/0.2))*H81/20+L80*inputs!$C$54</f>
        <v>1.5772577613625167E-2</v>
      </c>
      <c r="M81" s="7">
        <f>(((0.013*2^0.773)/0.2))*H81/2+M80*inputs!$C$54</f>
        <v>7.6912455897168029E-4</v>
      </c>
      <c r="N81" s="7">
        <f>O81*0.015*inputs!$C$56</f>
        <v>1.703451277926946</v>
      </c>
      <c r="O81" s="7">
        <f>IF((B81&gt;B80), (EXP(-LN(2)/inputs!$C$52)*O80+$O$3), (EXP(-LN(2)/inputs!$C$52)*O80))</f>
        <v>0.18375957690689818</v>
      </c>
      <c r="P81" s="3">
        <f>IF((B81&gt;B80), (EXP(-LN(2)/inputs!$C$52)*P80+$P$3), (EXP(-LN(2)/inputs!$C$52)*P80))</f>
        <v>0.1775677835174494</v>
      </c>
      <c r="Q81" s="19">
        <f>IF((F81*0.62*1/(0.012*(10^inputs!$C$55)))&gt;inputs!$C$57, inputs!$C$57, (F81*0.62*1/(0.012*(10^inputs!$C$55))))</f>
        <v>1.2314384232464879E-4</v>
      </c>
      <c r="R81" s="3">
        <f>IF((B81&gt;B80), (EXP(-LN(2)/inputs!$C$51)*R80+$R$3), (EXP(-LN(2)/inputs!$C$51)*R80))</f>
        <v>2.8611783627242217E-10</v>
      </c>
      <c r="T81" s="7">
        <f>IF(T80&lt;(inputs!$C$20-1),(1+T80),0)</f>
        <v>0</v>
      </c>
      <c r="U81" s="7">
        <f>IF(inputs!$C$19&gt;U80,IF(T80=(inputs!$C$20-1),(U80+1),U80), U80)</f>
        <v>1</v>
      </c>
      <c r="V81" s="7">
        <f t="shared" si="2"/>
        <v>78</v>
      </c>
      <c r="W81" s="8">
        <f>IF((U81&gt;U80), (EXP(-LN(2)/inputs!$C$51)*W80+$W$3), (EXP(-LN(2)/inputs!$C$51)*W80))</f>
        <v>9.4686358395571126E-3</v>
      </c>
      <c r="X81" s="8">
        <f>IF((U81&gt;U80), (EXP(-LN(2)/inputs!$C$51)*X80+$X$3), (EXP(-LN(2)/inputs!$C$51)*X80))</f>
        <v>4.0102457673418359E-3</v>
      </c>
      <c r="Y81" s="8">
        <f>IF((U81&gt;U80), (EXP(-LN(2)/inputs!$C$51)*Y80+$Y$3), (EXP(-LN(2)/inputs!$C$51)*Y80))</f>
        <v>5.0128072091772963E-3</v>
      </c>
      <c r="Z81" s="8">
        <f>IF((U81&gt;U80), (EXP(-LN(2)/inputs!$C$51)*Z80+$Z$3), (EXP(-LN(2)/inputs!$C$51)*Z80))</f>
        <v>7.7977001031646789E-4</v>
      </c>
      <c r="AA81" s="8">
        <f>IF((U81&gt;U80), (EXP(-LN(2)/inputs!$C$51)*AA80+$AA$3), (EXP(-LN(2)/inputs!$C$51)*AA80))</f>
        <v>7.2407215243672071E-3</v>
      </c>
      <c r="AB81" s="7">
        <f>(((0.621*15^0.564)/0.2))*W81/15+AB80*inputs!$C$53</f>
        <v>1.0188864243470966E-2</v>
      </c>
      <c r="AC81" s="7">
        <f>(((0.621*1000^0.564)/0.2))*W81/1000+AC80*inputs!$C$53</f>
        <v>1.6326818493183125E-3</v>
      </c>
      <c r="AD81" s="7">
        <f>(((0.648*20^0.651)/0.2))*AA81/20+AD80*inputs!$C$54</f>
        <v>1.0906569626442948E-2</v>
      </c>
      <c r="AE81" s="7">
        <f>(((0.013*2^0.773)/0.2))*AA81/2+AE80*inputs!$C$54</f>
        <v>5.3184145035275825E-4</v>
      </c>
    </row>
    <row r="82" spans="1:31" x14ac:dyDescent="0.3">
      <c r="A82" s="7">
        <f>IF(A81&lt;(inputs!$C$20-1),(1+A81),0)</f>
        <v>0</v>
      </c>
      <c r="B82" s="7">
        <f>IF(inputs!$C$19&gt;B81,IF(A81=(inputs!$C$20-1),(B81+1),B81), B81)</f>
        <v>1</v>
      </c>
      <c r="C82" s="7">
        <f t="shared" si="3"/>
        <v>79</v>
      </c>
      <c r="D82" s="8">
        <f>IF((B82&gt;B81), (EXP(-LN(2)/inputs!$C$51)*D81+$D$3), (EXP(-LN(2)/inputs!$C$51)*D81))</f>
        <v>2.3457494202715191E-2</v>
      </c>
      <c r="E82" s="8">
        <f>IF((B82&gt;B81), (EXP(-LN(2)/inputs!$C$51)*E81+$E$3), (EXP(-LN(2)/inputs!$C$51)*E81))</f>
        <v>1.0751351509577789E-2</v>
      </c>
      <c r="F82" s="8">
        <f>IF((B82&gt;B81), (EXP(-LN(2)/inputs!$C$51)*F81+$F$3), (EXP(-LN(2)/inputs!$C$51)*F81))</f>
        <v>1.3194840489027283E-2</v>
      </c>
      <c r="G82" s="8">
        <f>IF((B82&gt;B81), (EXP(-LN(2)/inputs!$C$51)*G81+$G$3), (EXP(-LN(2)/inputs!$C$51)*G81))</f>
        <v>1.4660933876696994E-3</v>
      </c>
      <c r="H82" s="8">
        <f>IF((B82&gt;B81), (EXP(-LN(2)/inputs!$C$51)*H81+$H$3), (EXP(-LN(2)/inputs!$C$51)*H81))</f>
        <v>9.1875185627300991E-3</v>
      </c>
      <c r="I82" s="7">
        <f>O82*(10^inputs!$C$55)*0.01/1</f>
        <v>11.36046632949385</v>
      </c>
      <c r="J82" s="7">
        <f>(((0.621*15^0.564)/0.2))*D82/15+J81*inputs!$C$53</f>
        <v>2.5241780122642415E-2</v>
      </c>
      <c r="K82" s="7">
        <f>(((0.621*1000^0.564)/0.2))*D82/1000+K81*inputs!$C$53</f>
        <v>4.0447880417221766E-3</v>
      </c>
      <c r="L82" s="7">
        <f>(((0.648*20^0.651)/0.2))*H82/20+L81*inputs!$C$54</f>
        <v>1.3838995266070542E-2</v>
      </c>
      <c r="M82" s="7">
        <f>(((0.013*2^0.773)/0.2))*H82/2+M81*inputs!$C$54</f>
        <v>6.7483650366905899E-4</v>
      </c>
      <c r="N82" s="7">
        <f>O82*0.015*inputs!$C$56</f>
        <v>1.6690751569136189</v>
      </c>
      <c r="O82" s="7">
        <f>IF((B82&gt;B81), (EXP(-LN(2)/inputs!$C$52)*O81+$O$3), (EXP(-LN(2)/inputs!$C$52)*O81))</f>
        <v>0.18005125748798478</v>
      </c>
      <c r="P82" s="3">
        <f>IF((B82&gt;B81), (EXP(-LN(2)/inputs!$C$52)*P81+$P$3), (EXP(-LN(2)/inputs!$C$52)*P81))</f>
        <v>0.17398441621287192</v>
      </c>
      <c r="Q82" s="19">
        <f>IF((F82*0.62*1/(0.012*(10^inputs!$C$55)))&gt;inputs!$C$57, inputs!$C$57, (F82*0.62*1/(0.012*(10^inputs!$C$55))))</f>
        <v>1.0804746647779288E-4</v>
      </c>
      <c r="R82" s="3">
        <f>IF((B82&gt;B81), (EXP(-LN(2)/inputs!$C$51)*R81+$R$3), (EXP(-LN(2)/inputs!$C$51)*R81))</f>
        <v>2.5104225058888941E-10</v>
      </c>
      <c r="T82" s="7">
        <f>IF(T81&lt;(inputs!$C$20-1),(1+T81),0)</f>
        <v>0</v>
      </c>
      <c r="U82" s="7">
        <f>IF(inputs!$C$19&gt;U81,IF(T81=(inputs!$C$20-1),(U81+1),U81), U81)</f>
        <v>1</v>
      </c>
      <c r="V82" s="7">
        <f t="shared" si="2"/>
        <v>79</v>
      </c>
      <c r="W82" s="8">
        <f>IF((U82&gt;U81), (EXP(-LN(2)/inputs!$C$51)*W81+$W$3), (EXP(-LN(2)/inputs!$C$51)*W81))</f>
        <v>8.3078625301282859E-3</v>
      </c>
      <c r="X82" s="8">
        <f>IF((U82&gt;U81), (EXP(-LN(2)/inputs!$C$51)*X81+$X$3), (EXP(-LN(2)/inputs!$C$51)*X81))</f>
        <v>3.5186241304072741E-3</v>
      </c>
      <c r="Y82" s="8">
        <f>IF((U82&gt;U81), (EXP(-LN(2)/inputs!$C$51)*Y81+$Y$3), (EXP(-LN(2)/inputs!$C$51)*Y81))</f>
        <v>4.3982801630090941E-3</v>
      </c>
      <c r="Z82" s="8">
        <f>IF((U82&gt;U81), (EXP(-LN(2)/inputs!$C$51)*Z81+$Z$3), (EXP(-LN(2)/inputs!$C$51)*Z81))</f>
        <v>6.841769142458587E-4</v>
      </c>
      <c r="AA82" s="8">
        <f>IF((U82&gt;U81), (EXP(-LN(2)/inputs!$C$51)*AA81+$AA$3), (EXP(-LN(2)/inputs!$C$51)*AA81))</f>
        <v>6.3530713465686922E-3</v>
      </c>
      <c r="AB82" s="7">
        <f>(((0.621*15^0.564)/0.2))*W82/15+AB81*inputs!$C$53</f>
        <v>8.9397971267691778E-3</v>
      </c>
      <c r="AC82" s="7">
        <f>(((0.621*1000^0.564)/0.2))*W82/1000+AC81*inputs!$C$53</f>
        <v>1.4325290981099354E-3</v>
      </c>
      <c r="AD82" s="7">
        <f>(((0.648*20^0.651)/0.2))*AA82/20+AD81*inputs!$C$54</f>
        <v>9.5695180031338967E-3</v>
      </c>
      <c r="AE82" s="7">
        <f>(((0.013*2^0.773)/0.2))*AA82/2+AE81*inputs!$C$54</f>
        <v>4.6664226317541361E-4</v>
      </c>
    </row>
    <row r="83" spans="1:31" x14ac:dyDescent="0.3">
      <c r="A83" s="7">
        <f>IF(A82&lt;(inputs!$C$20-1),(1+A82),0)</f>
        <v>0</v>
      </c>
      <c r="B83" s="7">
        <f>IF(inputs!$C$19&gt;B82,IF(A82=(inputs!$C$20-1),(B82+1),B82), B82)</f>
        <v>1</v>
      </c>
      <c r="C83" s="7">
        <f t="shared" si="3"/>
        <v>80</v>
      </c>
      <c r="D83" s="8">
        <f>IF((B83&gt;B82), (EXP(-LN(2)/inputs!$C$51)*D82+$D$3), (EXP(-LN(2)/inputs!$C$51)*D82))</f>
        <v>2.0581807183172277E-2</v>
      </c>
      <c r="E83" s="8">
        <f>IF((B83&gt;B82), (EXP(-LN(2)/inputs!$C$51)*E82+$E$3), (EXP(-LN(2)/inputs!$C$51)*E82))</f>
        <v>9.4333282922872859E-3</v>
      </c>
      <c r="F83" s="8">
        <f>IF((B83&gt;B82), (EXP(-LN(2)/inputs!$C$51)*F82+$F$3), (EXP(-LN(2)/inputs!$C$51)*F82))</f>
        <v>1.1577266540534394E-2</v>
      </c>
      <c r="G83" s="8">
        <f>IF((B83&gt;B82), (EXP(-LN(2)/inputs!$C$51)*G82+$G$3), (EXP(-LN(2)/inputs!$C$51)*G82))</f>
        <v>1.2863629489482673E-3</v>
      </c>
      <c r="H83" s="8">
        <f>IF((B83&gt;B82), (EXP(-LN(2)/inputs!$C$51)*H82+$H$3), (EXP(-LN(2)/inputs!$C$51)*H82))</f>
        <v>8.0612078134091256E-3</v>
      </c>
      <c r="I83" s="7">
        <f>O83*(10^inputs!$C$55)*0.01/1</f>
        <v>11.131208956318039</v>
      </c>
      <c r="J83" s="7">
        <f>(((0.621*15^0.564)/0.2))*D83/15+J82*inputs!$C$53</f>
        <v>2.2147354996857362E-2</v>
      </c>
      <c r="K83" s="7">
        <f>(((0.621*1000^0.564)/0.2))*D83/1000+K82*inputs!$C$53</f>
        <v>3.548931819064067E-3</v>
      </c>
      <c r="L83" s="7">
        <f>(((0.648*20^0.651)/0.2))*H83/20+L82*inputs!$C$54</f>
        <v>1.2142453482611486E-2</v>
      </c>
      <c r="M83" s="7">
        <f>(((0.013*2^0.773)/0.2))*H83/2+M82*inputs!$C$54</f>
        <v>5.9210735292753542E-4</v>
      </c>
      <c r="N83" s="7">
        <f>O83*0.015*inputs!$C$56</f>
        <v>1.6353927555923282</v>
      </c>
      <c r="O83" s="7">
        <f>IF((B83&gt;B82), (EXP(-LN(2)/inputs!$C$52)*O82+$O$3), (EXP(-LN(2)/inputs!$C$52)*O82))</f>
        <v>0.17641777298730618</v>
      </c>
      <c r="P83" s="3">
        <f>IF((B83&gt;B82), (EXP(-LN(2)/inputs!$C$52)*P82+$P$3), (EXP(-LN(2)/inputs!$C$52)*P82))</f>
        <v>0.17047336225807647</v>
      </c>
      <c r="Q83" s="19">
        <f>IF((F83*0.62*1/(0.012*(10^inputs!$C$55)))&gt;inputs!$C$57, inputs!$C$57, (F83*0.62*1/(0.012*(10^inputs!$C$55))))</f>
        <v>9.4801776458237295E-5</v>
      </c>
      <c r="R83" s="3">
        <f>IF((B83&gt;B82), (EXP(-LN(2)/inputs!$C$51)*R82+$R$3), (EXP(-LN(2)/inputs!$C$51)*R82))</f>
        <v>2.2026663000739749E-10</v>
      </c>
      <c r="T83" s="7">
        <f>IF(T82&lt;(inputs!$C$20-1),(1+T82),0)</f>
        <v>0</v>
      </c>
      <c r="U83" s="7">
        <f>IF(inputs!$C$19&gt;U82,IF(T82=(inputs!$C$20-1),(U82+1),U82), U82)</f>
        <v>1</v>
      </c>
      <c r="V83" s="7">
        <f t="shared" si="2"/>
        <v>80</v>
      </c>
      <c r="W83" s="8">
        <f>IF((U83&gt;U82), (EXP(-LN(2)/inputs!$C$51)*W82+$W$3), (EXP(-LN(2)/inputs!$C$51)*W82))</f>
        <v>7.2893900440401714E-3</v>
      </c>
      <c r="X83" s="8">
        <f>IF((U83&gt;U82), (EXP(-LN(2)/inputs!$C$51)*X82+$X$3), (EXP(-LN(2)/inputs!$C$51)*X82))</f>
        <v>3.0872710774758373E-3</v>
      </c>
      <c r="Y83" s="8">
        <f>IF((U83&gt;U82), (EXP(-LN(2)/inputs!$C$51)*Y82+$Y$3), (EXP(-LN(2)/inputs!$C$51)*Y82))</f>
        <v>3.8590888468447979E-3</v>
      </c>
      <c r="Z83" s="8">
        <f>IF((U83&gt;U82), (EXP(-LN(2)/inputs!$C$51)*Z82+$Z$3), (EXP(-LN(2)/inputs!$C$51)*Z82))</f>
        <v>6.0030270950919048E-4</v>
      </c>
      <c r="AA83" s="8">
        <f>IF((U83&gt;U82), (EXP(-LN(2)/inputs!$C$51)*AA82+$AA$3), (EXP(-LN(2)/inputs!$C$51)*AA82))</f>
        <v>5.5742394454424866E-3</v>
      </c>
      <c r="AB83" s="7">
        <f>(((0.621*15^0.564)/0.2))*W83/15+AB82*inputs!$C$53</f>
        <v>7.8438548947203039E-3</v>
      </c>
      <c r="AC83" s="7">
        <f>(((0.621*1000^0.564)/0.2))*W83/1000+AC82*inputs!$C$53</f>
        <v>1.2569133525851886E-3</v>
      </c>
      <c r="AD83" s="7">
        <f>(((0.648*20^0.651)/0.2))*AA83/20+AD82*inputs!$C$54</f>
        <v>8.3963774081888022E-3</v>
      </c>
      <c r="AE83" s="7">
        <f>(((0.013*2^0.773)/0.2))*AA83/2+AE82*inputs!$C$54</f>
        <v>4.0943593553499836E-4</v>
      </c>
    </row>
    <row r="84" spans="1:31" x14ac:dyDescent="0.3">
      <c r="A84" s="7">
        <f>IF(A83&lt;(inputs!$C$20-1),(1+A83),0)</f>
        <v>0</v>
      </c>
      <c r="B84" s="7">
        <f>IF(inputs!$C$19&gt;B83,IF(A83=(inputs!$C$20-1),(B83+1),B83), B83)</f>
        <v>1</v>
      </c>
      <c r="C84" s="7">
        <f t="shared" si="3"/>
        <v>81</v>
      </c>
      <c r="D84" s="8">
        <f>IF((B84&gt;B83), (EXP(-LN(2)/inputs!$C$51)*D83+$D$3), (EXP(-LN(2)/inputs!$C$51)*D83))</f>
        <v>1.8058654656994404E-2</v>
      </c>
      <c r="E84" s="8">
        <f>IF((B84&gt;B83), (EXP(-LN(2)/inputs!$C$51)*E83+$E$3), (EXP(-LN(2)/inputs!$C$51)*E83))</f>
        <v>8.2768833844557611E-3</v>
      </c>
      <c r="F84" s="8">
        <f>IF((B84&gt;B83), (EXP(-LN(2)/inputs!$C$51)*F83+$F$3), (EXP(-LN(2)/inputs!$C$51)*F83))</f>
        <v>1.0157993244559342E-2</v>
      </c>
      <c r="G84" s="8">
        <f>IF((B84&gt;B83), (EXP(-LN(2)/inputs!$C$51)*G83+$G$3), (EXP(-LN(2)/inputs!$C$51)*G83))</f>
        <v>1.1286659160621502E-3</v>
      </c>
      <c r="H84" s="8">
        <f>IF((B84&gt;B83), (EXP(-LN(2)/inputs!$C$51)*H83+$H$3), (EXP(-LN(2)/inputs!$C$51)*H83))</f>
        <v>7.0729730739894602E-3</v>
      </c>
      <c r="I84" s="7">
        <f>O84*(10^inputs!$C$55)*0.01/1</f>
        <v>10.906578060756003</v>
      </c>
      <c r="J84" s="7">
        <f>(((0.621*15^0.564)/0.2))*D84/15+J83*inputs!$C$53</f>
        <v>1.9432279774786128E-2</v>
      </c>
      <c r="K84" s="7">
        <f>(((0.621*1000^0.564)/0.2))*D84/1000+K83*inputs!$C$53</f>
        <v>3.1138633041949862E-3</v>
      </c>
      <c r="L84" s="7">
        <f>(((0.648*20^0.651)/0.2))*H84/20+L83*inputs!$C$54</f>
        <v>1.0653893128995038E-2</v>
      </c>
      <c r="M84" s="7">
        <f>(((0.013*2^0.773)/0.2))*H84/2+M83*inputs!$C$54</f>
        <v>5.1952008447187306E-4</v>
      </c>
      <c r="N84" s="7">
        <f>O84*0.015*inputs!$C$56</f>
        <v>1.602390074506564</v>
      </c>
      <c r="O84" s="7">
        <f>IF((B84&gt;B83), (EXP(-LN(2)/inputs!$C$52)*O83+$O$3), (EXP(-LN(2)/inputs!$C$52)*O83))</f>
        <v>0.17285761321537907</v>
      </c>
      <c r="P84" s="3">
        <f>IF((B84&gt;B83), (EXP(-LN(2)/inputs!$C$52)*P83+$P$3), (EXP(-LN(2)/inputs!$C$52)*P83))</f>
        <v>0.16703316234953308</v>
      </c>
      <c r="Q84" s="19">
        <f>IF((F84*0.62*1/(0.012*(10^inputs!$C$55)))&gt;inputs!$C$57, inputs!$C$57, (F84*0.62*1/(0.012*(10^inputs!$C$55))))</f>
        <v>8.3179894102234996E-5</v>
      </c>
      <c r="R84" s="3">
        <f>IF((B84&gt;B83), (EXP(-LN(2)/inputs!$C$51)*R83+$R$3), (EXP(-LN(2)/inputs!$C$51)*R83))</f>
        <v>1.9326383579259951E-10</v>
      </c>
      <c r="T84" s="7">
        <f>IF(T83&lt;(inputs!$C$20-1),(1+T83),0)</f>
        <v>0</v>
      </c>
      <c r="U84" s="7">
        <f>IF(inputs!$C$19&gt;U83,IF(T83=(inputs!$C$20-1),(U83+1),U83), U83)</f>
        <v>1</v>
      </c>
      <c r="V84" s="7">
        <f t="shared" si="2"/>
        <v>81</v>
      </c>
      <c r="W84" s="8">
        <f>IF((U84&gt;U83), (EXP(-LN(2)/inputs!$C$51)*W83+$W$3), (EXP(-LN(2)/inputs!$C$51)*W83))</f>
        <v>6.3957735243521758E-3</v>
      </c>
      <c r="X84" s="8">
        <f>IF((U84&gt;U83), (EXP(-LN(2)/inputs!$C$51)*X83+$X$3), (EXP(-LN(2)/inputs!$C$51)*X83))</f>
        <v>2.7087981985491568E-3</v>
      </c>
      <c r="Y84" s="8">
        <f>IF((U84&gt;U83), (EXP(-LN(2)/inputs!$C$51)*Y83+$Y$3), (EXP(-LN(2)/inputs!$C$51)*Y83))</f>
        <v>3.3859977481864472E-3</v>
      </c>
      <c r="Z84" s="8">
        <f>IF((U84&gt;U83), (EXP(-LN(2)/inputs!$C$51)*Z83+$Z$3), (EXP(-LN(2)/inputs!$C$51)*Z83))</f>
        <v>5.2671076082900256E-4</v>
      </c>
      <c r="AA84" s="8">
        <f>IF((U84&gt;U83), (EXP(-LN(2)/inputs!$C$51)*AA83+$AA$3), (EXP(-LN(2)/inputs!$C$51)*AA83))</f>
        <v>4.8908856362693135E-3</v>
      </c>
      <c r="AB84" s="7">
        <f>(((0.621*15^0.564)/0.2))*W84/15+AB83*inputs!$C$53</f>
        <v>6.8822657535700764E-3</v>
      </c>
      <c r="AC84" s="7">
        <f>(((0.621*1000^0.564)/0.2))*W84/1000+AC83*inputs!$C$53</f>
        <v>1.1028265869023894E-3</v>
      </c>
      <c r="AD84" s="7">
        <f>(((0.648*20^0.651)/0.2))*AA84/20+AD83*inputs!$C$54</f>
        <v>7.3670537594114705E-3</v>
      </c>
      <c r="AE84" s="7">
        <f>(((0.013*2^0.773)/0.2))*AA84/2+AE83*inputs!$C$54</f>
        <v>3.5924261160289145E-4</v>
      </c>
    </row>
    <row r="85" spans="1:31" x14ac:dyDescent="0.3">
      <c r="A85" s="7">
        <f>IF(A84&lt;(inputs!$C$20-1),(1+A84),0)</f>
        <v>0</v>
      </c>
      <c r="B85" s="7">
        <f>IF(inputs!$C$19&gt;B84,IF(A84=(inputs!$C$20-1),(B84+1),B84), B84)</f>
        <v>1</v>
      </c>
      <c r="C85" s="7">
        <f t="shared" si="3"/>
        <v>82</v>
      </c>
      <c r="D85" s="8">
        <f>IF((B85&gt;B84), (EXP(-LN(2)/inputs!$C$51)*D84+$D$3), (EXP(-LN(2)/inputs!$C$51)*D84))</f>
        <v>1.584481892762157E-2</v>
      </c>
      <c r="E85" s="8">
        <f>IF((B85&gt;B84), (EXP(-LN(2)/inputs!$C$51)*E84+$E$3), (EXP(-LN(2)/inputs!$C$51)*E84))</f>
        <v>7.2622086751598794E-3</v>
      </c>
      <c r="F85" s="8">
        <f>IF((B85&gt;B84), (EXP(-LN(2)/inputs!$C$51)*F84+$F$3), (EXP(-LN(2)/inputs!$C$51)*F84))</f>
        <v>8.9127106467871229E-3</v>
      </c>
      <c r="G85" s="8">
        <f>IF((B85&gt;B84), (EXP(-LN(2)/inputs!$C$51)*G84+$G$3), (EXP(-LN(2)/inputs!$C$51)*G84))</f>
        <v>9.9030118297634812E-4</v>
      </c>
      <c r="H85" s="8">
        <f>IF((B85&gt;B84), (EXP(-LN(2)/inputs!$C$51)*H84+$H$3), (EXP(-LN(2)/inputs!$C$51)*H84))</f>
        <v>6.2058874133184352E-3</v>
      </c>
      <c r="I85" s="7">
        <f>O85*(10^inputs!$C$55)*0.01/1</f>
        <v>10.686480279201533</v>
      </c>
      <c r="J85" s="7">
        <f>(((0.621*15^0.564)/0.2))*D85/15+J84*inputs!$C$53</f>
        <v>1.7050049421212788E-2</v>
      </c>
      <c r="K85" s="7">
        <f>(((0.621*1000^0.564)/0.2))*D85/1000+K84*inputs!$C$53</f>
        <v>2.7321304470056596E-3</v>
      </c>
      <c r="L85" s="7">
        <f>(((0.648*20^0.651)/0.2))*H85/20+L84*inputs!$C$54</f>
        <v>9.3478174708754146E-3</v>
      </c>
      <c r="M85" s="7">
        <f>(((0.013*2^0.773)/0.2))*H85/2+M84*inputs!$C$54</f>
        <v>4.5583139076925768E-4</v>
      </c>
      <c r="N85" s="7">
        <f>O85*0.015*inputs!$C$56</f>
        <v>1.5700533967127452</v>
      </c>
      <c r="O85" s="7">
        <f>IF((B85&gt;B84), (EXP(-LN(2)/inputs!$C$52)*O84+$O$3), (EXP(-LN(2)/inputs!$C$52)*O84))</f>
        <v>0.16936929845876433</v>
      </c>
      <c r="P85" s="3">
        <f>IF((B85&gt;B84), (EXP(-LN(2)/inputs!$C$52)*P84+$P$3), (EXP(-LN(2)/inputs!$C$52)*P84))</f>
        <v>0.16366238663286328</v>
      </c>
      <c r="Q85" s="19">
        <f>IF((F85*0.62*1/(0.012*(10^inputs!$C$55)))&gt;inputs!$C$57, inputs!$C$57, (F85*0.62*1/(0.012*(10^inputs!$C$55))))</f>
        <v>7.2982754557421022E-5</v>
      </c>
      <c r="R85" s="3">
        <f>IF((B85&gt;B84), (EXP(-LN(2)/inputs!$C$51)*R84+$R$3), (EXP(-LN(2)/inputs!$C$51)*R84))</f>
        <v>1.6957135188391662E-10</v>
      </c>
      <c r="T85" s="7">
        <f>IF(T84&lt;(inputs!$C$20-1),(1+T84),0)</f>
        <v>0</v>
      </c>
      <c r="U85" s="7">
        <f>IF(inputs!$C$19&gt;U84,IF(T84=(inputs!$C$20-1),(U84+1),U84), U84)</f>
        <v>1</v>
      </c>
      <c r="V85" s="7">
        <f t="shared" si="2"/>
        <v>82</v>
      </c>
      <c r="W85" s="8">
        <f>IF((U85&gt;U84), (EXP(-LN(2)/inputs!$C$51)*W84+$W$3), (EXP(-LN(2)/inputs!$C$51)*W84))</f>
        <v>5.6117067035326307E-3</v>
      </c>
      <c r="X85" s="8">
        <f>IF((U85&gt;U84), (EXP(-LN(2)/inputs!$C$51)*X84+$X$3), (EXP(-LN(2)/inputs!$C$51)*X84))</f>
        <v>2.3767228391432318E-3</v>
      </c>
      <c r="Y85" s="8">
        <f>IF((U85&gt;U84), (EXP(-LN(2)/inputs!$C$51)*Y84+$Y$3), (EXP(-LN(2)/inputs!$C$51)*Y84))</f>
        <v>2.9709035489290411E-3</v>
      </c>
      <c r="Z85" s="8">
        <f>IF((U85&gt;U84), (EXP(-LN(2)/inputs!$C$51)*Z84+$Z$3), (EXP(-LN(2)/inputs!$C$51)*Z84))</f>
        <v>4.6214055205562831E-4</v>
      </c>
      <c r="AA85" s="8">
        <f>IF((U85&gt;U84), (EXP(-LN(2)/inputs!$C$51)*AA84+$AA$3), (EXP(-LN(2)/inputs!$C$51)*AA84))</f>
        <v>4.2913051262308379E-3</v>
      </c>
      <c r="AB85" s="7">
        <f>(((0.621*15^0.564)/0.2))*W85/15+AB84*inputs!$C$53</f>
        <v>6.0385591700128534E-3</v>
      </c>
      <c r="AC85" s="7">
        <f>(((0.621*1000^0.564)/0.2))*W85/1000+AC84*inputs!$C$53</f>
        <v>9.6762953331450303E-4</v>
      </c>
      <c r="AD85" s="7">
        <f>(((0.648*20^0.651)/0.2))*AA85/20+AD84*inputs!$C$54</f>
        <v>6.463916336243645E-3</v>
      </c>
      <c r="AE85" s="7">
        <f>(((0.013*2^0.773)/0.2))*AA85/2+AE84*inputs!$C$54</f>
        <v>3.1520255744682752E-4</v>
      </c>
    </row>
    <row r="86" spans="1:31" x14ac:dyDescent="0.3">
      <c r="A86" s="7">
        <f>IF(A85&lt;(inputs!$C$20-1),(1+A85),0)</f>
        <v>0</v>
      </c>
      <c r="B86" s="7">
        <f>IF(inputs!$C$19&gt;B85,IF(A85=(inputs!$C$20-1),(B85+1),B85), B85)</f>
        <v>1</v>
      </c>
      <c r="C86" s="7">
        <f t="shared" si="3"/>
        <v>83</v>
      </c>
      <c r="D86" s="8">
        <f>IF((B86&gt;B85), (EXP(-LN(2)/inputs!$C$51)*D85+$D$3), (EXP(-LN(2)/inputs!$C$51)*D85))</f>
        <v>1.3902380416354873E-2</v>
      </c>
      <c r="E86" s="8">
        <f>IF((B86&gt;B85), (EXP(-LN(2)/inputs!$C$51)*E85+$E$3), (EXP(-LN(2)/inputs!$C$51)*E85))</f>
        <v>6.3719243574959774E-3</v>
      </c>
      <c r="F86" s="8">
        <f>IF((B86&gt;B85), (EXP(-LN(2)/inputs!$C$51)*F85+$F$3), (EXP(-LN(2)/inputs!$C$51)*F85))</f>
        <v>7.8200889841996083E-3</v>
      </c>
      <c r="G86" s="8">
        <f>IF((B86&gt;B85), (EXP(-LN(2)/inputs!$C$51)*G85+$G$3), (EXP(-LN(2)/inputs!$C$51)*G85))</f>
        <v>8.6889877602217957E-4</v>
      </c>
      <c r="H86" s="8">
        <f>IF((B86&gt;B85), (EXP(-LN(2)/inputs!$C$51)*H85+$H$3), (EXP(-LN(2)/inputs!$C$51)*H85))</f>
        <v>5.4450989964056479E-3</v>
      </c>
      <c r="I86" s="7">
        <f>O86*(10^inputs!$C$55)*0.01/1</f>
        <v>10.470824132151979</v>
      </c>
      <c r="J86" s="7">
        <f>(((0.621*15^0.564)/0.2))*D86/15+J85*inputs!$C$53</f>
        <v>1.495986001822568E-2</v>
      </c>
      <c r="K86" s="7">
        <f>(((0.621*1000^0.564)/0.2))*D86/1000+K85*inputs!$C$53</f>
        <v>2.3971947546313757E-3</v>
      </c>
      <c r="L86" s="7">
        <f>(((0.648*20^0.651)/0.2))*H86/20+L85*inputs!$C$54</f>
        <v>8.2018554542273876E-3</v>
      </c>
      <c r="M86" s="7">
        <f>(((0.013*2^0.773)/0.2))*H86/2+M85*inputs!$C$54</f>
        <v>3.9995038309608425E-4</v>
      </c>
      <c r="N86" s="7">
        <f>O86*0.015*inputs!$C$56</f>
        <v>1.538369282079032</v>
      </c>
      <c r="O86" s="7">
        <f>IF((B86&gt;B85), (EXP(-LN(2)/inputs!$C$52)*O85+$O$3), (EXP(-LN(2)/inputs!$C$52)*O85))</f>
        <v>0.16595137886505201</v>
      </c>
      <c r="P86" s="3">
        <f>IF((B86&gt;B85), (EXP(-LN(2)/inputs!$C$52)*P85+$P$3), (EXP(-LN(2)/inputs!$C$52)*P85))</f>
        <v>0.16035963410854803</v>
      </c>
      <c r="Q86" s="19">
        <f>IF((F86*0.62*1/(0.012*(10^inputs!$C$55)))&gt;inputs!$C$57, inputs!$C$57, (F86*0.62*1/(0.012*(10^inputs!$C$55))))</f>
        <v>6.4035696610073464E-5</v>
      </c>
      <c r="R86" s="3">
        <f>IF((B86&gt;B85), (EXP(-LN(2)/inputs!$C$51)*R85+$R$3), (EXP(-LN(2)/inputs!$C$51)*R85))</f>
        <v>1.4878336271146359E-10</v>
      </c>
      <c r="T86" s="7">
        <f>IF(T85&lt;(inputs!$C$20-1),(1+T85),0)</f>
        <v>0</v>
      </c>
      <c r="U86" s="7">
        <f>IF(inputs!$C$19&gt;U85,IF(T85=(inputs!$C$20-1),(U85+1),U85), U85)</f>
        <v>1</v>
      </c>
      <c r="V86" s="7">
        <f t="shared" si="2"/>
        <v>83</v>
      </c>
      <c r="W86" s="8">
        <f>IF((U86&gt;U85), (EXP(-LN(2)/inputs!$C$51)*W85+$W$3), (EXP(-LN(2)/inputs!$C$51)*W85))</f>
        <v>4.9237597307923439E-3</v>
      </c>
      <c r="X86" s="8">
        <f>IF((U86&gt;U85), (EXP(-LN(2)/inputs!$C$51)*X85+$X$3), (EXP(-LN(2)/inputs!$C$51)*X85))</f>
        <v>2.0853570624532278E-3</v>
      </c>
      <c r="Y86" s="8">
        <f>IF((U86&gt;U85), (EXP(-LN(2)/inputs!$C$51)*Y85+$Y$3), (EXP(-LN(2)/inputs!$C$51)*Y85))</f>
        <v>2.6066963280665361E-3</v>
      </c>
      <c r="Z86" s="8">
        <f>IF((U86&gt;U85), (EXP(-LN(2)/inputs!$C$51)*Z85+$Z$3), (EXP(-LN(2)/inputs!$C$51)*Z85))</f>
        <v>4.0548609547701642E-4</v>
      </c>
      <c r="AA86" s="8">
        <f>IF((U86&gt;U85), (EXP(-LN(2)/inputs!$C$51)*AA85+$AA$3), (EXP(-LN(2)/inputs!$C$51)*AA85))</f>
        <v>3.7652280294294413E-3</v>
      </c>
      <c r="AB86" s="7">
        <f>(((0.621*15^0.564)/0.2))*W86/15+AB85*inputs!$C$53</f>
        <v>5.2982837564549195E-3</v>
      </c>
      <c r="AC86" s="7">
        <f>(((0.621*1000^0.564)/0.2))*W86/1000+AC85*inputs!$C$53</f>
        <v>8.4900647559861108E-4</v>
      </c>
      <c r="AD86" s="7">
        <f>(((0.648*20^0.651)/0.2))*AA86/20+AD85*inputs!$C$54</f>
        <v>5.671495792816816E-3</v>
      </c>
      <c r="AE86" s="7">
        <f>(((0.013*2^0.773)/0.2))*AA86/2+AE85*inputs!$C$54</f>
        <v>2.7656143511963307E-4</v>
      </c>
    </row>
    <row r="87" spans="1:31" x14ac:dyDescent="0.3">
      <c r="A87" s="7">
        <f>IF(A86&lt;(inputs!$C$20-1),(1+A86),0)</f>
        <v>0</v>
      </c>
      <c r="B87" s="7">
        <f>IF(inputs!$C$19&gt;B86,IF(A86=(inputs!$C$20-1),(B86+1),B86), B86)</f>
        <v>1</v>
      </c>
      <c r="C87" s="7">
        <f t="shared" si="3"/>
        <v>84</v>
      </c>
      <c r="D87" s="8">
        <f>IF((B87&gt;B86), (EXP(-LN(2)/inputs!$C$51)*D86+$D$3), (EXP(-LN(2)/inputs!$C$51)*D86))</f>
        <v>1.2198068158678526E-2</v>
      </c>
      <c r="E87" s="8">
        <f>IF((B87&gt;B86), (EXP(-LN(2)/inputs!$C$51)*E86+$E$3), (EXP(-LN(2)/inputs!$C$51)*E86))</f>
        <v>5.590781239394319E-3</v>
      </c>
      <c r="F87" s="8">
        <f>IF((B87&gt;B86), (EXP(-LN(2)/inputs!$C$51)*F86+$F$3), (EXP(-LN(2)/inputs!$C$51)*F86))</f>
        <v>6.8614133392566638E-3</v>
      </c>
      <c r="G87" s="8">
        <f>IF((B87&gt;B86), (EXP(-LN(2)/inputs!$C$51)*G86+$G$3), (EXP(-LN(2)/inputs!$C$51)*G86))</f>
        <v>7.623792599174079E-4</v>
      </c>
      <c r="H87" s="8">
        <f>IF((B87&gt;B86), (EXP(-LN(2)/inputs!$C$51)*H86+$H$3), (EXP(-LN(2)/inputs!$C$51)*H86))</f>
        <v>4.7775766954824134E-3</v>
      </c>
      <c r="I87" s="7">
        <f>O87*(10^inputs!$C$55)*0.01/1</f>
        <v>10.25951998618652</v>
      </c>
      <c r="J87" s="7">
        <f>(((0.621*15^0.564)/0.2))*D87/15+J86*inputs!$C$53</f>
        <v>1.3125909857274081E-2</v>
      </c>
      <c r="K87" s="7">
        <f>(((0.621*1000^0.564)/0.2))*D87/1000+K86*inputs!$C$53</f>
        <v>2.1033192971917705E-3</v>
      </c>
      <c r="L87" s="7">
        <f>(((0.648*20^0.651)/0.2))*H87/20+L86*inputs!$C$54</f>
        <v>7.196378523824527E-3</v>
      </c>
      <c r="M87" s="7">
        <f>(((0.013*2^0.773)/0.2))*H87/2+M86*inputs!$C$54</f>
        <v>3.5091990630297911E-4</v>
      </c>
      <c r="N87" s="7">
        <f>O87*0.015*inputs!$C$56</f>
        <v>1.5073245616991857</v>
      </c>
      <c r="O87" s="7">
        <f>IF((B87&gt;B86), (EXP(-LN(2)/inputs!$C$52)*O86+$O$3), (EXP(-LN(2)/inputs!$C$52)*O86))</f>
        <v>0.16260243384025735</v>
      </c>
      <c r="P87" s="3">
        <f>IF((B87&gt;B86), (EXP(-LN(2)/inputs!$C$52)*P86+$P$3), (EXP(-LN(2)/inputs!$C$52)*P86))</f>
        <v>0.15712353204962859</v>
      </c>
      <c r="Q87" s="19">
        <f>IF((F87*0.62*1/(0.012*(10^inputs!$C$55)))&gt;inputs!$C$57, inputs!$C$57, (F87*0.62*1/(0.012*(10^inputs!$C$55))))</f>
        <v>5.6185471008923709E-5</v>
      </c>
      <c r="R87" s="3">
        <f>IF((B87&gt;B86), (EXP(-LN(2)/inputs!$C$51)*R86+$R$3), (EXP(-LN(2)/inputs!$C$51)*R86))</f>
        <v>1.3054380220359922E-10</v>
      </c>
      <c r="T87" s="7">
        <f>IF(T86&lt;(inputs!$C$20-1),(1+T86),0)</f>
        <v>0</v>
      </c>
      <c r="U87" s="7">
        <f>IF(inputs!$C$19&gt;U86,IF(T86=(inputs!$C$20-1),(U86+1),U86), U86)</f>
        <v>1</v>
      </c>
      <c r="V87" s="7">
        <f t="shared" si="2"/>
        <v>84</v>
      </c>
      <c r="W87" s="8">
        <f>IF((U87&gt;U86), (EXP(-LN(2)/inputs!$C$51)*W86+$W$3), (EXP(-LN(2)/inputs!$C$51)*W86))</f>
        <v>4.3201491395319716E-3</v>
      </c>
      <c r="X87" s="8">
        <f>IF((U87&gt;U86), (EXP(-LN(2)/inputs!$C$51)*X86+$X$3), (EXP(-LN(2)/inputs!$C$51)*X86))</f>
        <v>1.8297102238017762E-3</v>
      </c>
      <c r="Y87" s="8">
        <f>IF((U87&gt;U86), (EXP(-LN(2)/inputs!$C$51)*Y86+$Y$3), (EXP(-LN(2)/inputs!$C$51)*Y86))</f>
        <v>2.2871377797522214E-3</v>
      </c>
      <c r="Z87" s="8">
        <f>IF((U87&gt;U86), (EXP(-LN(2)/inputs!$C$51)*Z86+$Z$3), (EXP(-LN(2)/inputs!$C$51)*Z86))</f>
        <v>3.5577698796145638E-4</v>
      </c>
      <c r="AA87" s="8">
        <f>IF((U87&gt;U86), (EXP(-LN(2)/inputs!$C$51)*AA86+$AA$3), (EXP(-LN(2)/inputs!$C$51)*AA86))</f>
        <v>3.3036434596420976E-3</v>
      </c>
      <c r="AB87" s="7">
        <f>(((0.621*15^0.564)/0.2))*W87/15+AB86*inputs!$C$53</f>
        <v>4.6487597411178968E-3</v>
      </c>
      <c r="AC87" s="7">
        <f>(((0.621*1000^0.564)/0.2))*W87/1000+AC86*inputs!$C$53</f>
        <v>7.4492558442208442E-4</v>
      </c>
      <c r="AD87" s="7">
        <f>(((0.648*20^0.651)/0.2))*AA87/20+AD86*inputs!$C$54</f>
        <v>4.9762191920063271E-3</v>
      </c>
      <c r="AE87" s="7">
        <f>(((0.013*2^0.773)/0.2))*AA87/2+AE86*inputs!$C$54</f>
        <v>2.4265738201801774E-4</v>
      </c>
    </row>
    <row r="88" spans="1:31" x14ac:dyDescent="0.3">
      <c r="A88" s="7">
        <f>IF(A87&lt;(inputs!$C$20-1),(1+A87),0)</f>
        <v>0</v>
      </c>
      <c r="B88" s="7">
        <f>IF(inputs!$C$19&gt;B87,IF(A87=(inputs!$C$20-1),(B87+1),B87), B87)</f>
        <v>1</v>
      </c>
      <c r="C88" s="7">
        <f t="shared" si="3"/>
        <v>85</v>
      </c>
      <c r="D88" s="8">
        <f>IF((B88&gt;B87), (EXP(-LN(2)/inputs!$C$51)*D87+$D$3), (EXP(-LN(2)/inputs!$C$51)*D87))</f>
        <v>1.0702689924146068E-2</v>
      </c>
      <c r="E88" s="8">
        <f>IF((B88&gt;B87), (EXP(-LN(2)/inputs!$C$51)*E87+$E$3), (EXP(-LN(2)/inputs!$C$51)*E87))</f>
        <v>4.9053995485669431E-3</v>
      </c>
      <c r="F88" s="8">
        <f>IF((B88&gt;B87), (EXP(-LN(2)/inputs!$C$51)*F87+$F$3), (EXP(-LN(2)/inputs!$C$51)*F87))</f>
        <v>6.0202630823321572E-3</v>
      </c>
      <c r="G88" s="8">
        <f>IF((B88&gt;B87), (EXP(-LN(2)/inputs!$C$51)*G87+$G$3), (EXP(-LN(2)/inputs!$C$51)*G87))</f>
        <v>6.6891812025912927E-4</v>
      </c>
      <c r="H88" s="8">
        <f>IF((B88&gt;B87), (EXP(-LN(2)/inputs!$C$51)*H87+$H$3), (EXP(-LN(2)/inputs!$C$51)*H87))</f>
        <v>4.1918868869572018E-3</v>
      </c>
      <c r="I88" s="7">
        <f>O88*(10^inputs!$C$55)*0.01/1</f>
        <v>10.052480016711723</v>
      </c>
      <c r="J88" s="7">
        <f>(((0.621*15^0.564)/0.2))*D88/15+J87*inputs!$C$53</f>
        <v>1.1516786211327091E-2</v>
      </c>
      <c r="K88" s="7">
        <f>(((0.621*1000^0.564)/0.2))*D88/1000+K87*inputs!$C$53</f>
        <v>1.845470443063592E-3</v>
      </c>
      <c r="L88" s="7">
        <f>(((0.648*20^0.651)/0.2))*H88/20+L87*inputs!$C$54</f>
        <v>6.314164416476086E-3</v>
      </c>
      <c r="M88" s="7">
        <f>(((0.013*2^0.773)/0.2))*H88/2+M87*inputs!$C$54</f>
        <v>3.0790014422890871E-4</v>
      </c>
      <c r="N88" s="7">
        <f>O88*0.015*inputs!$C$56</f>
        <v>1.4769063324191616</v>
      </c>
      <c r="O88" s="7">
        <f>IF((B88&gt;B87), (EXP(-LN(2)/inputs!$C$52)*O87+$O$3), (EXP(-LN(2)/inputs!$C$52)*O87))</f>
        <v>0.15932107145837773</v>
      </c>
      <c r="P88" s="3">
        <f>IF((B88&gt;B87), (EXP(-LN(2)/inputs!$C$52)*P87+$P$3), (EXP(-LN(2)/inputs!$C$52)*P87))</f>
        <v>0.15395273543115842</v>
      </c>
      <c r="Q88" s="19">
        <f>IF((F88*0.62*1/(0.012*(10^inputs!$C$55)))&gt;inputs!$C$57, inputs!$C$57, (F88*0.62*1/(0.012*(10^inputs!$C$55))))</f>
        <v>4.9297615542734797E-5</v>
      </c>
      <c r="R88" s="3">
        <f>IF((B88&gt;B87), (EXP(-LN(2)/inputs!$C$51)*R87+$R$3), (EXP(-LN(2)/inputs!$C$51)*R87))</f>
        <v>1.1454025492636211E-10</v>
      </c>
      <c r="T88" s="7">
        <f>IF(T87&lt;(inputs!$C$20-1),(1+T87),0)</f>
        <v>0</v>
      </c>
      <c r="U88" s="7">
        <f>IF(inputs!$C$19&gt;U87,IF(T87=(inputs!$C$20-1),(U87+1),U87), U87)</f>
        <v>1</v>
      </c>
      <c r="V88" s="7">
        <f t="shared" si="2"/>
        <v>85</v>
      </c>
      <c r="W88" s="8">
        <f>IF((U88&gt;U87), (EXP(-LN(2)/inputs!$C$51)*W87+$W$3), (EXP(-LN(2)/inputs!$C$51)*W87))</f>
        <v>3.7905360148017273E-3</v>
      </c>
      <c r="X88" s="8">
        <f>IF((U88&gt;U87), (EXP(-LN(2)/inputs!$C$51)*X87+$X$3), (EXP(-LN(2)/inputs!$C$51)*X87))</f>
        <v>1.6054034886219079E-3</v>
      </c>
      <c r="Y88" s="8">
        <f>IF((U88&gt;U87), (EXP(-LN(2)/inputs!$C$51)*Y87+$Y$3), (EXP(-LN(2)/inputs!$C$51)*Y87))</f>
        <v>2.0067543607773857E-3</v>
      </c>
      <c r="Z88" s="8">
        <f>IF((U88&gt;U87), (EXP(-LN(2)/inputs!$C$51)*Z87+$Z$3), (EXP(-LN(2)/inputs!$C$51)*Z87))</f>
        <v>3.1216178945425981E-4</v>
      </c>
      <c r="AA88" s="8">
        <f>IF((U88&gt;U87), (EXP(-LN(2)/inputs!$C$51)*AA87+$AA$3), (EXP(-LN(2)/inputs!$C$51)*AA87))</f>
        <v>2.8986451877895574E-3</v>
      </c>
      <c r="AB88" s="7">
        <f>(((0.621*15^0.564)/0.2))*W88/15+AB87*inputs!$C$53</f>
        <v>4.0788617831783386E-3</v>
      </c>
      <c r="AC88" s="7">
        <f>(((0.621*1000^0.564)/0.2))*W88/1000+AC87*inputs!$C$53</f>
        <v>6.5360411525168787E-4</v>
      </c>
      <c r="AD88" s="7">
        <f>(((0.648*20^0.651)/0.2))*AA88/20+AD87*inputs!$C$54</f>
        <v>4.3661775220313406E-3</v>
      </c>
      <c r="AE88" s="7">
        <f>(((0.013*2^0.773)/0.2))*AA88/2+AE87*inputs!$C$54</f>
        <v>2.1290967420084135E-4</v>
      </c>
    </row>
    <row r="89" spans="1:31" x14ac:dyDescent="0.3">
      <c r="A89" s="7">
        <f>IF(A88&lt;(inputs!$C$20-1),(1+A88),0)</f>
        <v>0</v>
      </c>
      <c r="B89" s="7">
        <f>IF(inputs!$C$19&gt;B88,IF(A88=(inputs!$C$20-1),(B88+1),B88), B88)</f>
        <v>1</v>
      </c>
      <c r="C89" s="7">
        <f t="shared" si="3"/>
        <v>86</v>
      </c>
      <c r="D89" s="8">
        <f>IF((B89&gt;B88), (EXP(-LN(2)/inputs!$C$51)*D88+$D$3), (EXP(-LN(2)/inputs!$C$51)*D88))</f>
        <v>9.3906321986667145E-3</v>
      </c>
      <c r="E89" s="8">
        <f>IF((B89&gt;B88), (EXP(-LN(2)/inputs!$C$51)*E88+$E$3), (EXP(-LN(2)/inputs!$C$51)*E88))</f>
        <v>4.3040397577222399E-3</v>
      </c>
      <c r="F89" s="8">
        <f>IF((B89&gt;B88), (EXP(-LN(2)/inputs!$C$51)*F88+$F$3), (EXP(-LN(2)/inputs!$C$51)*F88))</f>
        <v>5.2822306117500219E-3</v>
      </c>
      <c r="G89" s="8">
        <f>IF((B89&gt;B88), (EXP(-LN(2)/inputs!$C$51)*G88+$G$3), (EXP(-LN(2)/inputs!$C$51)*G88))</f>
        <v>5.8691451241666965E-4</v>
      </c>
      <c r="H89" s="8">
        <f>IF((B89&gt;B88), (EXP(-LN(2)/inputs!$C$51)*H88+$H$3), (EXP(-LN(2)/inputs!$C$51)*H88))</f>
        <v>3.6779976111444563E-3</v>
      </c>
      <c r="I89" s="7">
        <f>O89*(10^inputs!$C$55)*0.01/1</f>
        <v>9.8496181714589017</v>
      </c>
      <c r="J89" s="7">
        <f>(((0.621*15^0.564)/0.2))*D89/15+J88*inputs!$C$53</f>
        <v>1.0104927283491112E-2</v>
      </c>
      <c r="K89" s="7">
        <f>(((0.621*1000^0.564)/0.2))*D89/1000+K88*inputs!$C$53</f>
        <v>1.6192316405638004E-3</v>
      </c>
      <c r="L89" s="7">
        <f>(((0.648*20^0.651)/0.2))*H89/20+L88*inputs!$C$54</f>
        <v>5.5401021703211529E-3</v>
      </c>
      <c r="M89" s="7">
        <f>(((0.013*2^0.773)/0.2))*H89/2+M88*inputs!$C$54</f>
        <v>2.7015423495050088E-4</v>
      </c>
      <c r="N89" s="7">
        <f>O89*0.015*inputs!$C$56</f>
        <v>1.4471019514741565</v>
      </c>
      <c r="O89" s="7">
        <f>IF((B89&gt;B88), (EXP(-LN(2)/inputs!$C$52)*O88+$O$3), (EXP(-LN(2)/inputs!$C$52)*O88))</f>
        <v>0.15610592788286479</v>
      </c>
      <c r="P89" s="3">
        <f>IF((B89&gt;B88), (EXP(-LN(2)/inputs!$C$52)*P88+$P$3), (EXP(-LN(2)/inputs!$C$52)*P88))</f>
        <v>0.15084592637116884</v>
      </c>
      <c r="Q89" s="19">
        <f>IF((F89*0.62*1/(0.012*(10^inputs!$C$55)))&gt;inputs!$C$57, inputs!$C$57, (F89*0.62*1/(0.012*(10^inputs!$C$55))))</f>
        <v>4.3254151910790238E-5</v>
      </c>
      <c r="R89" s="3">
        <f>IF((B89&gt;B88), (EXP(-LN(2)/inputs!$C$51)*R88+$R$3), (EXP(-LN(2)/inputs!$C$51)*R88))</f>
        <v>1.0049860489075215E-10</v>
      </c>
      <c r="T89" s="7">
        <f>IF(T88&lt;(inputs!$C$20-1),(1+T88),0)</f>
        <v>0</v>
      </c>
      <c r="U89" s="7">
        <f>IF(inputs!$C$19&gt;U88,IF(T88=(inputs!$C$20-1),(U88+1),U88), U88)</f>
        <v>1</v>
      </c>
      <c r="V89" s="7">
        <f t="shared" si="2"/>
        <v>86</v>
      </c>
      <c r="W89" s="8">
        <f>IF((U89&gt;U88), (EXP(-LN(2)/inputs!$C$51)*W88+$W$3), (EXP(-LN(2)/inputs!$C$51)*W88))</f>
        <v>3.3258489036944571E-3</v>
      </c>
      <c r="X89" s="8">
        <f>IF((U89&gt;U88), (EXP(-LN(2)/inputs!$C$51)*X88+$X$3), (EXP(-LN(2)/inputs!$C$51)*X88))</f>
        <v>1.4085948298000052E-3</v>
      </c>
      <c r="Y89" s="8">
        <f>IF((U89&gt;U88), (EXP(-LN(2)/inputs!$C$51)*Y88+$Y$3), (EXP(-LN(2)/inputs!$C$51)*Y88))</f>
        <v>1.7607435372500072E-3</v>
      </c>
      <c r="Z89" s="8">
        <f>IF((U89&gt;U88), (EXP(-LN(2)/inputs!$C$51)*Z88+$Z$3), (EXP(-LN(2)/inputs!$C$51)*Z88))</f>
        <v>2.7389343912777872E-4</v>
      </c>
      <c r="AA89" s="8">
        <f>IF((U89&gt;U88), (EXP(-LN(2)/inputs!$C$51)*AA88+$AA$3), (EXP(-LN(2)/inputs!$C$51)*AA88))</f>
        <v>2.5432962204722329E-3</v>
      </c>
      <c r="AB89" s="7">
        <f>(((0.621*15^0.564)/0.2))*W89/15+AB88*inputs!$C$53</f>
        <v>3.5788284129030972E-3</v>
      </c>
      <c r="AC89" s="7">
        <f>(((0.621*1000^0.564)/0.2))*W89/1000+AC88*inputs!$C$53</f>
        <v>5.7347787269967855E-4</v>
      </c>
      <c r="AD89" s="7">
        <f>(((0.648*20^0.651)/0.2))*AA89/20+AD88*inputs!$C$54</f>
        <v>3.8309217135199499E-3</v>
      </c>
      <c r="AE89" s="7">
        <f>(((0.013*2^0.773)/0.2))*AA89/2+AE88*inputs!$C$54</f>
        <v>1.868087794870487E-4</v>
      </c>
    </row>
    <row r="90" spans="1:31" x14ac:dyDescent="0.3">
      <c r="A90" s="7">
        <f>IF(A89&lt;(inputs!$C$20-1),(1+A89),0)</f>
        <v>0</v>
      </c>
      <c r="B90" s="7">
        <f>IF(inputs!$C$19&gt;B89,IF(A89=(inputs!$C$20-1),(B89+1),B89), B89)</f>
        <v>1</v>
      </c>
      <c r="C90" s="7">
        <f t="shared" si="3"/>
        <v>87</v>
      </c>
      <c r="D90" s="8">
        <f>IF((B90&gt;B89), (EXP(-LN(2)/inputs!$C$51)*D89+$D$3), (EXP(-LN(2)/inputs!$C$51)*D89))</f>
        <v>8.2394214646624893E-3</v>
      </c>
      <c r="E90" s="8">
        <f>IF((B90&gt;B89), (EXP(-LN(2)/inputs!$C$51)*E89+$E$3), (EXP(-LN(2)/inputs!$C$51)*E89))</f>
        <v>3.7764015046369702E-3</v>
      </c>
      <c r="F90" s="8">
        <f>IF((B90&gt;B89), (EXP(-LN(2)/inputs!$C$51)*F89+$F$3), (EXP(-LN(2)/inputs!$C$51)*F89))</f>
        <v>4.6346745738726457E-3</v>
      </c>
      <c r="G90" s="8">
        <f>IF((B90&gt;B89), (EXP(-LN(2)/inputs!$C$51)*G89+$G$3), (EXP(-LN(2)/inputs!$C$51)*G89))</f>
        <v>5.1496384154140558E-4</v>
      </c>
      <c r="H90" s="8">
        <f>IF((B90&gt;B89), (EXP(-LN(2)/inputs!$C$51)*H89+$H$3), (EXP(-LN(2)/inputs!$C$51)*H89))</f>
        <v>3.2271067403261354E-3</v>
      </c>
      <c r="I90" s="7">
        <f>O90*(10^inputs!$C$55)*0.01/1</f>
        <v>9.650850134718107</v>
      </c>
      <c r="J90" s="7">
        <f>(((0.621*15^0.564)/0.2))*D90/15+J89*inputs!$C$53</f>
        <v>8.8661501160988282E-3</v>
      </c>
      <c r="K90" s="7">
        <f>(((0.621*1000^0.564)/0.2))*D90/1000+K89*inputs!$C$53</f>
        <v>1.4207277692567142E-3</v>
      </c>
      <c r="L90" s="7">
        <f>(((0.648*20^0.651)/0.2))*H90/20+L89*inputs!$C$54</f>
        <v>4.8609332974459754E-3</v>
      </c>
      <c r="M90" s="7">
        <f>(((0.013*2^0.773)/0.2))*H90/2+M89*inputs!$C$54</f>
        <v>2.3703564947806887E-4</v>
      </c>
      <c r="N90" s="7">
        <f>O90*0.015*inputs!$C$56</f>
        <v>1.4178990312338802</v>
      </c>
      <c r="O90" s="7">
        <f>IF((B90&gt;B89), (EXP(-LN(2)/inputs!$C$52)*O89+$O$3), (EXP(-LN(2)/inputs!$C$52)*O89))</f>
        <v>0.15295566679977132</v>
      </c>
      <c r="P90" s="3">
        <f>IF((B90&gt;B89), (EXP(-LN(2)/inputs!$C$52)*P89+$P$3), (EXP(-LN(2)/inputs!$C$52)*P89))</f>
        <v>0.14780181358291616</v>
      </c>
      <c r="Q90" s="19">
        <f>IF((F90*0.62*1/(0.012*(10^inputs!$C$55)))&gt;inputs!$C$57, inputs!$C$57, (F90*0.62*1/(0.012*(10^inputs!$C$55))))</f>
        <v>3.795156493725069E-5</v>
      </c>
      <c r="R90" s="3">
        <f>IF((B90&gt;B89), (EXP(-LN(2)/inputs!$C$51)*R89+$R$3), (EXP(-LN(2)/inputs!$C$51)*R89))</f>
        <v>8.8178340370211156E-11</v>
      </c>
      <c r="T90" s="7">
        <f>IF(T89&lt;(inputs!$C$20-1),(1+T89),0)</f>
        <v>0</v>
      </c>
      <c r="U90" s="7">
        <f>IF(inputs!$C$19&gt;U89,IF(T89=(inputs!$C$20-1),(U89+1),U89), U89)</f>
        <v>1</v>
      </c>
      <c r="V90" s="7">
        <f t="shared" si="2"/>
        <v>87</v>
      </c>
      <c r="W90" s="8">
        <f>IF((U90&gt;U89), (EXP(-LN(2)/inputs!$C$51)*W89+$W$3), (EXP(-LN(2)/inputs!$C$51)*W89))</f>
        <v>2.9181284354012943E-3</v>
      </c>
      <c r="X90" s="8">
        <f>IF((U90&gt;U89), (EXP(-LN(2)/inputs!$C$51)*X89+$X$3), (EXP(-LN(2)/inputs!$C$51)*X89))</f>
        <v>1.2359132196993715E-3</v>
      </c>
      <c r="Y90" s="8">
        <f>IF((U90&gt;U89), (EXP(-LN(2)/inputs!$C$51)*Y89+$Y$3), (EXP(-LN(2)/inputs!$C$51)*Y89))</f>
        <v>1.5448915246242152E-3</v>
      </c>
      <c r="Z90" s="8">
        <f>IF((U90&gt;U89), (EXP(-LN(2)/inputs!$C$51)*Z89+$Z$3), (EXP(-LN(2)/inputs!$C$51)*Z89))</f>
        <v>2.4031645938598885E-4</v>
      </c>
      <c r="AA90" s="8">
        <f>IF((U90&gt;U89), (EXP(-LN(2)/inputs!$C$51)*AA89+$AA$3), (EXP(-LN(2)/inputs!$C$51)*AA89))</f>
        <v>2.2315099800127554E-3</v>
      </c>
      <c r="AB90" s="7">
        <f>(((0.621*15^0.564)/0.2))*W90/15+AB89*inputs!$C$53</f>
        <v>3.1400948327849972E-3</v>
      </c>
      <c r="AC90" s="7">
        <f>(((0.621*1000^0.564)/0.2))*W90/1000+AC89*inputs!$C$53</f>
        <v>5.0317441827841885E-4</v>
      </c>
      <c r="AD90" s="7">
        <f>(((0.648*20^0.651)/0.2))*AA90/20+AD89*inputs!$C$54</f>
        <v>3.3612836631275399E-3</v>
      </c>
      <c r="AE90" s="7">
        <f>(((0.013*2^0.773)/0.2))*AA90/2+AE89*inputs!$C$54</f>
        <v>1.6390762995823925E-4</v>
      </c>
    </row>
    <row r="91" spans="1:31" x14ac:dyDescent="0.3">
      <c r="A91" s="7">
        <f>IF(A90&lt;(inputs!$C$20-1),(1+A90),0)</f>
        <v>0</v>
      </c>
      <c r="B91" s="7">
        <f>IF(inputs!$C$19&gt;B90,IF(A90=(inputs!$C$20-1),(B90+1),B90), B90)</f>
        <v>1</v>
      </c>
      <c r="C91" s="7">
        <f t="shared" si="3"/>
        <v>88</v>
      </c>
      <c r="D91" s="8">
        <f>IF((B91&gt;B90), (EXP(-LN(2)/inputs!$C$51)*D90+$D$3), (EXP(-LN(2)/inputs!$C$51)*D90))</f>
        <v>7.2293392645044422E-3</v>
      </c>
      <c r="E91" s="8">
        <f>IF((B91&gt;B90), (EXP(-LN(2)/inputs!$C$51)*E90+$E$3), (EXP(-LN(2)/inputs!$C$51)*E90))</f>
        <v>3.3134471628978655E-3</v>
      </c>
      <c r="F91" s="8">
        <f>IF((B91&gt;B90), (EXP(-LN(2)/inputs!$C$51)*F90+$F$3), (EXP(-LN(2)/inputs!$C$51)*F90))</f>
        <v>4.0665033362837447E-3</v>
      </c>
      <c r="G91" s="8">
        <f>IF((B91&gt;B90), (EXP(-LN(2)/inputs!$C$51)*G90+$G$3), (EXP(-LN(2)/inputs!$C$51)*G90))</f>
        <v>4.5183370403152764E-4</v>
      </c>
      <c r="H91" s="8">
        <f>IF((B91&gt;B90), (EXP(-LN(2)/inputs!$C$51)*H90+$H$3), (EXP(-LN(2)/inputs!$C$51)*H90))</f>
        <v>2.831491211930901E-3</v>
      </c>
      <c r="I91" s="7">
        <f>O91*(10^inputs!$C$55)*0.01/1</f>
        <v>9.4560932922938861</v>
      </c>
      <c r="J91" s="7">
        <f>(((0.621*15^0.564)/0.2))*D91/15+J90*inputs!$C$53</f>
        <v>7.7792363740831465E-3</v>
      </c>
      <c r="K91" s="7">
        <f>(((0.621*1000^0.564)/0.2))*D91/1000+K90*inputs!$C$53</f>
        <v>1.2465587651402049E-3</v>
      </c>
      <c r="L91" s="7">
        <f>(((0.648*20^0.651)/0.2))*H91/20+L90*inputs!$C$54</f>
        <v>4.265024686512105E-3</v>
      </c>
      <c r="M91" s="7">
        <f>(((0.013*2^0.773)/0.2))*H91/2+M90*inputs!$C$54</f>
        <v>2.0797711771494015E-4</v>
      </c>
      <c r="N91" s="7">
        <f>O91*0.015*inputs!$C$56</f>
        <v>1.3892854340538698</v>
      </c>
      <c r="O91" s="7">
        <f>IF((B91&gt;B90), (EXP(-LN(2)/inputs!$C$52)*O90+$O$3), (EXP(-LN(2)/inputs!$C$52)*O90))</f>
        <v>0.14986897886233763</v>
      </c>
      <c r="P91" s="3">
        <f>IF((B91&gt;B90), (EXP(-LN(2)/inputs!$C$52)*P90+$P$3), (EXP(-LN(2)/inputs!$C$52)*P90))</f>
        <v>0.14481913183818271</v>
      </c>
      <c r="Q91" s="19">
        <f>IF((F91*0.62*1/(0.012*(10^inputs!$C$55)))&gt;inputs!$C$57, inputs!$C$57, (F91*0.62*1/(0.012*(10^inputs!$C$55))))</f>
        <v>3.3299029516448612E-5</v>
      </c>
      <c r="R91" s="3">
        <f>IF((B91&gt;B90), (EXP(-LN(2)/inputs!$C$51)*R90+$R$3), (EXP(-LN(2)/inputs!$C$51)*R90))</f>
        <v>7.7368434307094564E-11</v>
      </c>
      <c r="T91" s="7">
        <f>IF(T90&lt;(inputs!$C$20-1),(1+T90),0)</f>
        <v>0</v>
      </c>
      <c r="U91" s="7">
        <f>IF(inputs!$C$19&gt;U90,IF(T90=(inputs!$C$20-1),(U90+1),U90), U90)</f>
        <v>1</v>
      </c>
      <c r="V91" s="7">
        <f t="shared" si="2"/>
        <v>88</v>
      </c>
      <c r="W91" s="8">
        <f>IF((U91&gt;U90), (EXP(-LN(2)/inputs!$C$51)*W90+$W$3), (EXP(-LN(2)/inputs!$C$51)*W90))</f>
        <v>2.5603909895119863E-3</v>
      </c>
      <c r="X91" s="8">
        <f>IF((U91&gt;U90), (EXP(-LN(2)/inputs!$C$51)*X90+$X$3), (EXP(-LN(2)/inputs!$C$51)*X90))</f>
        <v>1.0844008896756646E-3</v>
      </c>
      <c r="Y91" s="8">
        <f>IF((U91&gt;U90), (EXP(-LN(2)/inputs!$C$51)*Y90+$Y$3), (EXP(-LN(2)/inputs!$C$51)*Y90))</f>
        <v>1.3555011120945815E-3</v>
      </c>
      <c r="Z91" s="8">
        <f>IF((U91&gt;U90), (EXP(-LN(2)/inputs!$C$51)*Z90+$Z$3), (EXP(-LN(2)/inputs!$C$51)*Z90))</f>
        <v>2.1085572854804587E-4</v>
      </c>
      <c r="AA91" s="8">
        <f>IF((U91&gt;U90), (EXP(-LN(2)/inputs!$C$51)*AA90+$AA$3), (EXP(-LN(2)/inputs!$C$51)*AA90))</f>
        <v>1.9579460508032847E-3</v>
      </c>
      <c r="AB91" s="7">
        <f>(((0.621*15^0.564)/0.2))*W91/15+AB90*inputs!$C$53</f>
        <v>2.755146215821111E-3</v>
      </c>
      <c r="AC91" s="7">
        <f>(((0.621*1000^0.564)/0.2))*W91/1000+AC90*inputs!$C$53</f>
        <v>4.4148956265382196E-4</v>
      </c>
      <c r="AD91" s="7">
        <f>(((0.648*20^0.651)/0.2))*AA91/20+AD90*inputs!$C$54</f>
        <v>2.9492191981200754E-3</v>
      </c>
      <c r="AE91" s="7">
        <f>(((0.013*2^0.773)/0.2))*AA91/2+AE90*inputs!$C$54</f>
        <v>1.4381396437735238E-4</v>
      </c>
    </row>
    <row r="92" spans="1:31" x14ac:dyDescent="0.3">
      <c r="A92" s="7">
        <f>IF(A91&lt;(inputs!$C$20-1),(1+A91),0)</f>
        <v>0</v>
      </c>
      <c r="B92" s="7">
        <f>IF(inputs!$C$19&gt;B91,IF(A91=(inputs!$C$20-1),(B91+1),B91), B91)</f>
        <v>1</v>
      </c>
      <c r="C92" s="7">
        <f t="shared" si="3"/>
        <v>89</v>
      </c>
      <c r="D92" s="8">
        <f>IF((B92&gt;B91), (EXP(-LN(2)/inputs!$C$51)*D91+$D$3), (EXP(-LN(2)/inputs!$C$51)*D91))</f>
        <v>6.3430844538605582E-3</v>
      </c>
      <c r="E92" s="8">
        <f>IF((B92&gt;B91), (EXP(-LN(2)/inputs!$C$51)*E91+$E$3), (EXP(-LN(2)/inputs!$C$51)*E91))</f>
        <v>2.9072470413527523E-3</v>
      </c>
      <c r="F92" s="8">
        <f>IF((B92&gt;B91), (EXP(-LN(2)/inputs!$C$51)*F91+$F$3), (EXP(-LN(2)/inputs!$C$51)*F91))</f>
        <v>3.5679850052965606E-3</v>
      </c>
      <c r="G92" s="8">
        <f>IF((B92&gt;B91), (EXP(-LN(2)/inputs!$C$51)*G91+$G$3), (EXP(-LN(2)/inputs!$C$51)*G91))</f>
        <v>3.9644277836628489E-4</v>
      </c>
      <c r="H92" s="8">
        <f>IF((B92&gt;B91), (EXP(-LN(2)/inputs!$C$51)*H91+$H$3), (EXP(-LN(2)/inputs!$C$51)*H91))</f>
        <v>2.4843747444287137E-3</v>
      </c>
      <c r="I92" s="7">
        <f>O92*(10^inputs!$C$55)*0.01/1</f>
        <v>9.2652666971682525</v>
      </c>
      <c r="J92" s="7">
        <f>(((0.621*15^0.564)/0.2))*D92/15+J91*inputs!$C$53</f>
        <v>6.8255689077466267E-3</v>
      </c>
      <c r="K92" s="7">
        <f>(((0.621*1000^0.564)/0.2))*D92/1000+K91*inputs!$C$53</f>
        <v>1.0937413828131443E-3</v>
      </c>
      <c r="L92" s="7">
        <f>(((0.648*20^0.651)/0.2))*H92/20+L91*inputs!$C$54</f>
        <v>3.7421693455689403E-3</v>
      </c>
      <c r="M92" s="7">
        <f>(((0.013*2^0.773)/0.2))*H92/2+M91*inputs!$C$54</f>
        <v>1.8248091199891888E-4</v>
      </c>
      <c r="N92" s="7">
        <f>O92*0.015*inputs!$C$56</f>
        <v>1.3612492672307075</v>
      </c>
      <c r="O92" s="7">
        <f>IF((B92&gt;B91), (EXP(-LN(2)/inputs!$C$52)*O91+$O$3), (EXP(-LN(2)/inputs!$C$52)*O91))</f>
        <v>0.14684458114678614</v>
      </c>
      <c r="P92" s="3">
        <f>IF((B92&gt;B91), (EXP(-LN(2)/inputs!$C$52)*P91+$P$3), (EXP(-LN(2)/inputs!$C$52)*P91))</f>
        <v>0.14189664144140843</v>
      </c>
      <c r="Q92" s="19">
        <f>IF((F92*0.62*1/(0.012*(10^inputs!$C$55)))&gt;inputs!$C$57, inputs!$C$57, (F92*0.62*1/(0.012*(10^inputs!$C$55))))</f>
        <v>2.9216854919438857E-5</v>
      </c>
      <c r="R92" s="3">
        <f>IF((B92&gt;B91), (EXP(-LN(2)/inputs!$C$51)*R91+$R$3), (EXP(-LN(2)/inputs!$C$51)*R91))</f>
        <v>6.7883729745875159E-11</v>
      </c>
      <c r="T92" s="7">
        <f>IF(T91&lt;(inputs!$C$20-1),(1+T91),0)</f>
        <v>0</v>
      </c>
      <c r="U92" s="7">
        <f>IF(inputs!$C$19&gt;U91,IF(T91=(inputs!$C$20-1),(U91+1),U91), U91)</f>
        <v>1</v>
      </c>
      <c r="V92" s="7">
        <f t="shared" si="2"/>
        <v>89</v>
      </c>
      <c r="W92" s="8">
        <f>IF((U92&gt;U91), (EXP(-LN(2)/inputs!$C$51)*W91+$W$3), (EXP(-LN(2)/inputs!$C$51)*W91))</f>
        <v>2.2465090774089445E-3</v>
      </c>
      <c r="X92" s="8">
        <f>IF((U92&gt;U91), (EXP(-LN(2)/inputs!$C$51)*X91+$X$3), (EXP(-LN(2)/inputs!$C$51)*X91))</f>
        <v>9.5146266807908232E-4</v>
      </c>
      <c r="Y92" s="8">
        <f>IF((U92&gt;U91), (EXP(-LN(2)/inputs!$C$51)*Y91+$Y$3), (EXP(-LN(2)/inputs!$C$51)*Y91))</f>
        <v>1.1893283350988535E-3</v>
      </c>
      <c r="Z92" s="8">
        <f>IF((U92&gt;U91), (EXP(-LN(2)/inputs!$C$51)*Z91+$Z$3), (EXP(-LN(2)/inputs!$C$51)*Z91))</f>
        <v>1.8500662990426596E-4</v>
      </c>
      <c r="AA92" s="8">
        <f>IF((U92&gt;U91), (EXP(-LN(2)/inputs!$C$51)*AA91+$AA$3), (EXP(-LN(2)/inputs!$C$51)*AA91))</f>
        <v>1.7179187062538997E-3</v>
      </c>
      <c r="AB92" s="7">
        <f>(((0.621*15^0.564)/0.2))*W92/15+AB91*inputs!$C$53</f>
        <v>2.4173889881602601E-3</v>
      </c>
      <c r="AC92" s="7">
        <f>(((0.621*1000^0.564)/0.2))*W92/1000+AC91*inputs!$C$53</f>
        <v>3.8736673974632137E-4</v>
      </c>
      <c r="AD92" s="7">
        <f>(((0.648*20^0.651)/0.2))*AA92/20+AD91*inputs!$C$54</f>
        <v>2.5876702921487377E-3</v>
      </c>
      <c r="AE92" s="7">
        <f>(((0.013*2^0.773)/0.2))*AA92/2+AE91*inputs!$C$54</f>
        <v>1.2618360936095469E-4</v>
      </c>
    </row>
    <row r="93" spans="1:31" x14ac:dyDescent="0.3">
      <c r="A93" s="7">
        <f>IF(A92&lt;(inputs!$C$20-1),(1+A92),0)</f>
        <v>0</v>
      </c>
      <c r="B93" s="7">
        <f>IF(inputs!$C$19&gt;B92,IF(A92=(inputs!$C$20-1),(B92+1),B92), B92)</f>
        <v>1</v>
      </c>
      <c r="C93" s="7">
        <f t="shared" si="3"/>
        <v>90</v>
      </c>
      <c r="D93" s="8">
        <f>IF((B93&gt;B92), (EXP(-LN(2)/inputs!$C$51)*D92+$D$3), (EXP(-LN(2)/inputs!$C$51)*D92))</f>
        <v>5.5654768598780808E-3</v>
      </c>
      <c r="E93" s="8">
        <f>IF((B93&gt;B92), (EXP(-LN(2)/inputs!$C$51)*E92+$E$3), (EXP(-LN(2)/inputs!$C$51)*E92))</f>
        <v>2.5508435607774506E-3</v>
      </c>
      <c r="F93" s="8">
        <f>IF((B93&gt;B92), (EXP(-LN(2)/inputs!$C$51)*F92+$F$3), (EXP(-LN(2)/inputs!$C$51)*F92))</f>
        <v>3.1305807336814173E-3</v>
      </c>
      <c r="G93" s="8">
        <f>IF((B93&gt;B92), (EXP(-LN(2)/inputs!$C$51)*G92+$G$3), (EXP(-LN(2)/inputs!$C$51)*G92))</f>
        <v>3.4784230374238005E-4</v>
      </c>
      <c r="H93" s="8">
        <f>IF((B93&gt;B92), (EXP(-LN(2)/inputs!$C$51)*H92+$H$3), (EXP(-LN(2)/inputs!$C$51)*H92))</f>
        <v>2.1798117701189107E-3</v>
      </c>
      <c r="I93" s="7">
        <f>O93*(10^inputs!$C$55)*0.01/1</f>
        <v>9.0782910358565783</v>
      </c>
      <c r="J93" s="7">
        <f>(((0.621*15^0.564)/0.2))*D93/15+J92*inputs!$C$53</f>
        <v>5.9888128698092607E-3</v>
      </c>
      <c r="K93" s="7">
        <f>(((0.621*1000^0.564)/0.2))*D93/1000+K92*inputs!$C$53</f>
        <v>9.5965809710018798E-4</v>
      </c>
      <c r="L93" s="7">
        <f>(((0.648*20^0.651)/0.2))*H93/20+L92*inputs!$C$54</f>
        <v>3.2834115720835528E-3</v>
      </c>
      <c r="M93" s="7">
        <f>(((0.013*2^0.773)/0.2))*H93/2+M92*inputs!$C$54</f>
        <v>1.6011032179798841E-4</v>
      </c>
      <c r="N93" s="7">
        <f>O93*0.015*inputs!$C$56</f>
        <v>1.3337788780590412</v>
      </c>
      <c r="O93" s="7">
        <f>IF((B93&gt;B92), (EXP(-LN(2)/inputs!$C$52)*O92+$O$3), (EXP(-LN(2)/inputs!$C$52)*O92))</f>
        <v>0.14388121661909828</v>
      </c>
      <c r="P93" s="3">
        <f>IF((B93&gt;B92), (EXP(-LN(2)/inputs!$C$52)*P92+$P$3), (EXP(-LN(2)/inputs!$C$52)*P92))</f>
        <v>0.1390331277144348</v>
      </c>
      <c r="Q93" s="19">
        <f>IF((F93*0.62*1/(0.012*(10^inputs!$C$55)))&gt;inputs!$C$57, inputs!$C$57, (F93*0.62*1/(0.012*(10^inputs!$C$55))))</f>
        <v>2.5635119815184888E-5</v>
      </c>
      <c r="R93" s="3">
        <f>IF((B93&gt;B92), (EXP(-LN(2)/inputs!$C$51)*R92+$R$3), (EXP(-LN(2)/inputs!$C$51)*R92))</f>
        <v>5.9561768381145218E-11</v>
      </c>
      <c r="T93" s="7">
        <f>IF(T92&lt;(inputs!$C$20-1),(1+T92),0)</f>
        <v>0</v>
      </c>
      <c r="U93" s="7">
        <f>IF(inputs!$C$19&gt;U92,IF(T92=(inputs!$C$20-1),(U92+1),U92), U92)</f>
        <v>1</v>
      </c>
      <c r="V93" s="7">
        <f t="shared" si="2"/>
        <v>90</v>
      </c>
      <c r="W93" s="8">
        <f>IF((U93&gt;U92), (EXP(-LN(2)/inputs!$C$51)*W92+$W$3), (EXP(-LN(2)/inputs!$C$51)*W92))</f>
        <v>1.971106387873484E-3</v>
      </c>
      <c r="X93" s="8">
        <f>IF((U93&gt;U92), (EXP(-LN(2)/inputs!$C$51)*X92+$X$3), (EXP(-LN(2)/inputs!$C$51)*X92))</f>
        <v>8.3482152898171089E-4</v>
      </c>
      <c r="Y93" s="8">
        <f>IF((U93&gt;U92), (EXP(-LN(2)/inputs!$C$51)*Y92+$Y$3), (EXP(-LN(2)/inputs!$C$51)*Y92))</f>
        <v>1.0435269112271392E-3</v>
      </c>
      <c r="Z93" s="8">
        <f>IF((U93&gt;U92), (EXP(-LN(2)/inputs!$C$51)*Z92+$Z$3), (EXP(-LN(2)/inputs!$C$51)*Z92))</f>
        <v>1.6232640841311042E-4</v>
      </c>
      <c r="AA93" s="8">
        <f>IF((U93&gt;U92), (EXP(-LN(2)/inputs!$C$51)*AA92+$AA$3), (EXP(-LN(2)/inputs!$C$51)*AA92))</f>
        <v>1.5073166495503123E-3</v>
      </c>
      <c r="AB93" s="7">
        <f>(((0.621*15^0.564)/0.2))*W93/15+AB92*inputs!$C$53</f>
        <v>2.1210378913907768E-3</v>
      </c>
      <c r="AC93" s="7">
        <f>(((0.621*1000^0.564)/0.2))*W93/1000+AC92*inputs!$C$53</f>
        <v>3.3987890938964947E-4</v>
      </c>
      <c r="AD93" s="7">
        <f>(((0.648*20^0.651)/0.2))*AA93/20+AD92*inputs!$C$54</f>
        <v>2.2704441721854377E-3</v>
      </c>
      <c r="AE93" s="7">
        <f>(((0.013*2^0.773)/0.2))*AA93/2+AE92*inputs!$C$54</f>
        <v>1.1071458422201339E-4</v>
      </c>
    </row>
    <row r="94" spans="1:31" x14ac:dyDescent="0.3">
      <c r="A94" s="7">
        <f>IF(A93&lt;(inputs!$C$20-1),(1+A93),0)</f>
        <v>0</v>
      </c>
      <c r="B94" s="7">
        <f>IF(inputs!$C$19&gt;B93,IF(A93=(inputs!$C$20-1),(B93+1),B93), B93)</f>
        <v>1</v>
      </c>
      <c r="C94" s="7">
        <f t="shared" si="3"/>
        <v>91</v>
      </c>
      <c r="D94" s="8">
        <f>IF((B94&gt;B93), (EXP(-LN(2)/inputs!$C$51)*D93+$D$3), (EXP(-LN(2)/inputs!$C$51)*D93))</f>
        <v>4.8831972683236963E-3</v>
      </c>
      <c r="E94" s="8">
        <f>IF((B94&gt;B93), (EXP(-LN(2)/inputs!$C$51)*E93+$E$3), (EXP(-LN(2)/inputs!$C$51)*E93))</f>
        <v>2.2381320813150249E-3</v>
      </c>
      <c r="F94" s="8">
        <f>IF((B94&gt;B93), (EXP(-LN(2)/inputs!$C$51)*F93+$F$3), (EXP(-LN(2)/inputs!$C$51)*F93))</f>
        <v>2.7467984634320765E-3</v>
      </c>
      <c r="G94" s="8">
        <f>IF((B94&gt;B93), (EXP(-LN(2)/inputs!$C$51)*G93+$G$3), (EXP(-LN(2)/inputs!$C$51)*G93))</f>
        <v>3.0519982927023102E-4</v>
      </c>
      <c r="H94" s="8">
        <f>IF((B94&gt;B93), (EXP(-LN(2)/inputs!$C$51)*H93+$H$3), (EXP(-LN(2)/inputs!$C$51)*H93))</f>
        <v>1.9125855967601106E-3</v>
      </c>
      <c r="I94" s="7">
        <f>O94*(10^inputs!$C$55)*0.01/1</f>
        <v>8.8950885954424344</v>
      </c>
      <c r="J94" s="7">
        <f>(((0.621*15^0.564)/0.2))*D94/15+J93*inputs!$C$53</f>
        <v>5.2546359247633307E-3</v>
      </c>
      <c r="K94" s="7">
        <f>(((0.621*1000^0.564)/0.2))*D94/1000+K93*inputs!$C$53</f>
        <v>8.4201226889783743E-4</v>
      </c>
      <c r="L94" s="7">
        <f>(((0.648*20^0.651)/0.2))*H94/20+L93*inputs!$C$54</f>
        <v>2.880893555621046E-3</v>
      </c>
      <c r="M94" s="7">
        <f>(((0.013*2^0.773)/0.2))*H94/2+M93*inputs!$C$54</f>
        <v>1.4048217353499021E-4</v>
      </c>
      <c r="N94" s="7">
        <f>O94*0.015*inputs!$C$56</f>
        <v>1.3068628489883558</v>
      </c>
      <c r="O94" s="7">
        <f>IF((B94&gt;B93), (EXP(-LN(2)/inputs!$C$52)*O93+$O$3), (EXP(-LN(2)/inputs!$C$52)*O93))</f>
        <v>0.14097765361255188</v>
      </c>
      <c r="P94" s="3">
        <f>IF((B94&gt;B93), (EXP(-LN(2)/inputs!$C$52)*P93+$P$3), (EXP(-LN(2)/inputs!$C$52)*P93))</f>
        <v>0.13622740049164669</v>
      </c>
      <c r="Q94" s="19">
        <f>IF((F94*0.62*1/(0.012*(10^inputs!$C$55)))&gt;inputs!$C$57, inputs!$C$57, (F94*0.62*1/(0.012*(10^inputs!$C$55))))</f>
        <v>2.2492474626406727E-5</v>
      </c>
      <c r="R94" s="3">
        <f>IF((B94&gt;B93), (EXP(-LN(2)/inputs!$C$51)*R93+$R$3), (EXP(-LN(2)/inputs!$C$51)*R93))</f>
        <v>5.2260007898354379E-11</v>
      </c>
      <c r="T94" s="7">
        <f>IF(T93&lt;(inputs!$C$20-1),(1+T93),0)</f>
        <v>0</v>
      </c>
      <c r="U94" s="7">
        <f>IF(inputs!$C$19&gt;U93,IF(T93=(inputs!$C$20-1),(U93+1),U93), U93)</f>
        <v>1</v>
      </c>
      <c r="V94" s="7">
        <f t="shared" si="2"/>
        <v>91</v>
      </c>
      <c r="W94" s="8">
        <f>IF((U94&gt;U93), (EXP(-LN(2)/inputs!$C$51)*W93+$W$3), (EXP(-LN(2)/inputs!$C$51)*W93))</f>
        <v>1.7294656991979731E-3</v>
      </c>
      <c r="X94" s="8">
        <f>IF((U94&gt;U93), (EXP(-LN(2)/inputs!$C$51)*X93+$X$3), (EXP(-LN(2)/inputs!$C$51)*X93))</f>
        <v>7.3247959024855334E-4</v>
      </c>
      <c r="Y94" s="8">
        <f>IF((U94&gt;U93), (EXP(-LN(2)/inputs!$C$51)*Y93+$Y$3), (EXP(-LN(2)/inputs!$C$51)*Y93))</f>
        <v>9.1559948781069224E-4</v>
      </c>
      <c r="Z94" s="8">
        <f>IF((U94&gt;U93), (EXP(-LN(2)/inputs!$C$51)*Z93+$Z$3), (EXP(-LN(2)/inputs!$C$51)*Z93))</f>
        <v>1.4242658699277423E-4</v>
      </c>
      <c r="AA94" s="8">
        <f>IF((U94&gt;U93), (EXP(-LN(2)/inputs!$C$51)*AA93+$AA$3), (EXP(-LN(2)/inputs!$C$51)*AA93))</f>
        <v>1.3225325935043333E-3</v>
      </c>
      <c r="AB94" s="7">
        <f>(((0.621*15^0.564)/0.2))*W94/15+AB93*inputs!$C$53</f>
        <v>1.8610168900203435E-3</v>
      </c>
      <c r="AC94" s="7">
        <f>(((0.621*1000^0.564)/0.2))*W94/1000+AC93*inputs!$C$53</f>
        <v>2.9821267856798361E-4</v>
      </c>
      <c r="AD94" s="7">
        <f>(((0.648*20^0.651)/0.2))*AA94/20+AD93*inputs!$C$54</f>
        <v>1.9921072459081722E-3</v>
      </c>
      <c r="AE94" s="7">
        <f>(((0.013*2^0.773)/0.2))*AA94/2+AE93*inputs!$C$54</f>
        <v>9.7141928508238026E-5</v>
      </c>
    </row>
    <row r="95" spans="1:31" x14ac:dyDescent="0.3">
      <c r="A95" s="7">
        <f>IF(A94&lt;(inputs!$C$20-1),(1+A94),0)</f>
        <v>0</v>
      </c>
      <c r="B95" s="7">
        <f>IF(inputs!$C$19&gt;B94,IF(A94=(inputs!$C$20-1),(B94+1),B94), B94)</f>
        <v>1</v>
      </c>
      <c r="C95" s="7">
        <f t="shared" si="3"/>
        <v>92</v>
      </c>
      <c r="D95" s="8">
        <f>IF((B95&gt;B94), (EXP(-LN(2)/inputs!$C$51)*D94+$D$3), (EXP(-LN(2)/inputs!$C$51)*D94))</f>
        <v>4.2845592860638326E-3</v>
      </c>
      <c r="E95" s="8">
        <f>IF((B95&gt;B94), (EXP(-LN(2)/inputs!$C$51)*E94+$E$3), (EXP(-LN(2)/inputs!$C$51)*E94))</f>
        <v>1.9637563394459211E-3</v>
      </c>
      <c r="F95" s="8">
        <f>IF((B95&gt;B94), (EXP(-LN(2)/inputs!$C$51)*F94+$F$3), (EXP(-LN(2)/inputs!$C$51)*F94))</f>
        <v>2.4100645984109033E-3</v>
      </c>
      <c r="G95" s="8">
        <f>IF((B95&gt;B94), (EXP(-LN(2)/inputs!$C$51)*G94+$G$3), (EXP(-LN(2)/inputs!$C$51)*G94))</f>
        <v>2.6778495537898954E-4</v>
      </c>
      <c r="H95" s="8">
        <f>IF((B95&gt;B94), (EXP(-LN(2)/inputs!$C$51)*H94+$H$3), (EXP(-LN(2)/inputs!$C$51)*H94))</f>
        <v>1.678119053708331E-3</v>
      </c>
      <c r="I95" s="7">
        <f>O95*(10^inputs!$C$55)*0.01/1</f>
        <v>8.7155832312776766</v>
      </c>
      <c r="J95" s="7">
        <f>(((0.621*15^0.564)/0.2))*D95/15+J94*inputs!$C$53</f>
        <v>4.610462758154737E-3</v>
      </c>
      <c r="K95" s="7">
        <f>(((0.621*1000^0.564)/0.2))*D95/1000+K94*inputs!$C$53</f>
        <v>7.3878880730213474E-4</v>
      </c>
      <c r="L95" s="7">
        <f>(((0.648*20^0.651)/0.2))*H95/20+L94*inputs!$C$54</f>
        <v>2.5277207857168612E-3</v>
      </c>
      <c r="M95" s="7">
        <f>(((0.013*2^0.773)/0.2))*H95/2+M94*inputs!$C$54</f>
        <v>1.2326026741745673E-4</v>
      </c>
      <c r="N95" s="7">
        <f>O95*0.015*inputs!$C$56</f>
        <v>1.2804899928774853</v>
      </c>
      <c r="O95" s="7">
        <f>IF((B95&gt;B94), (EXP(-LN(2)/inputs!$C$52)*O94+$O$3), (EXP(-LN(2)/inputs!$C$52)*O94))</f>
        <v>0.13813268531580211</v>
      </c>
      <c r="P95" s="3">
        <f>IF((B95&gt;B94), (EXP(-LN(2)/inputs!$C$52)*P94+$P$3), (EXP(-LN(2)/inputs!$C$52)*P94))</f>
        <v>0.13347829362530245</v>
      </c>
      <c r="Q95" s="19">
        <f>IF((F95*0.62*1/(0.012*(10^inputs!$C$55)))&gt;inputs!$C$57, inputs!$C$57, (F95*0.62*1/(0.012*(10^inputs!$C$55))))</f>
        <v>1.9735090706300313E-5</v>
      </c>
      <c r="R95" s="3">
        <f>IF((B95&gt;B94), (EXP(-LN(2)/inputs!$C$51)*R94+$R$3), (EXP(-LN(2)/inputs!$C$51)*R94))</f>
        <v>4.5853380444638002E-11</v>
      </c>
      <c r="T95" s="7">
        <f>IF(T94&lt;(inputs!$C$20-1),(1+T94),0)</f>
        <v>0</v>
      </c>
      <c r="U95" s="7">
        <f>IF(inputs!$C$19&gt;U94,IF(T94=(inputs!$C$20-1),(U94+1),U94), U94)</f>
        <v>1</v>
      </c>
      <c r="V95" s="7">
        <f t="shared" si="2"/>
        <v>92</v>
      </c>
      <c r="W95" s="8">
        <f>IF((U95&gt;U94), (EXP(-LN(2)/inputs!$C$51)*W94+$W$3), (EXP(-LN(2)/inputs!$C$51)*W94))</f>
        <v>1.5174480804809383E-3</v>
      </c>
      <c r="X95" s="8">
        <f>IF((U95&gt;U94), (EXP(-LN(2)/inputs!$C$51)*X94+$X$3), (EXP(-LN(2)/inputs!$C$51)*X94))</f>
        <v>6.4268389290957388E-4</v>
      </c>
      <c r="Y95" s="8">
        <f>IF((U95&gt;U94), (EXP(-LN(2)/inputs!$C$51)*Y94+$Y$3), (EXP(-LN(2)/inputs!$C$51)*Y94))</f>
        <v>8.0335486613696786E-4</v>
      </c>
      <c r="Z95" s="8">
        <f>IF((U95&gt;U94), (EXP(-LN(2)/inputs!$C$51)*Z94+$Z$3), (EXP(-LN(2)/inputs!$C$51)*Z94))</f>
        <v>1.249663125101949E-4</v>
      </c>
      <c r="AA95" s="8">
        <f>IF((U95&gt;U94), (EXP(-LN(2)/inputs!$C$51)*AA94+$AA$3), (EXP(-LN(2)/inputs!$C$51)*AA94))</f>
        <v>1.1604014733089536E-3</v>
      </c>
      <c r="AB95" s="7">
        <f>(((0.621*15^0.564)/0.2))*W95/15+AB94*inputs!$C$53</f>
        <v>1.6328722268464666E-3</v>
      </c>
      <c r="AC95" s="7">
        <f>(((0.621*1000^0.564)/0.2))*W95/1000+AC94*inputs!$C$53</f>
        <v>2.6165436925283897E-4</v>
      </c>
      <c r="AD95" s="7">
        <f>(((0.648*20^0.651)/0.2))*AA95/20+AD94*inputs!$C$54</f>
        <v>1.7478920326765548E-3</v>
      </c>
      <c r="AE95" s="7">
        <f>(((0.013*2^0.773)/0.2))*AA95/2+AE94*inputs!$C$54</f>
        <v>8.523316363973081E-5</v>
      </c>
    </row>
    <row r="96" spans="1:31" x14ac:dyDescent="0.3">
      <c r="A96" s="7">
        <f>IF(A95&lt;(inputs!$C$20-1),(1+A95),0)</f>
        <v>0</v>
      </c>
      <c r="B96" s="7">
        <f>IF(inputs!$C$19&gt;B95,IF(A95=(inputs!$C$20-1),(B95+1),B95), B95)</f>
        <v>1</v>
      </c>
      <c r="C96" s="7">
        <f t="shared" si="3"/>
        <v>93</v>
      </c>
      <c r="D96" s="8">
        <f>IF((B96&gt;B95), (EXP(-LN(2)/inputs!$C$51)*D95+$D$3), (EXP(-LN(2)/inputs!$C$51)*D95))</f>
        <v>3.7593091712425459E-3</v>
      </c>
      <c r="E96" s="8">
        <f>IF((B96&gt;B95), (EXP(-LN(2)/inputs!$C$51)*E95+$E$3), (EXP(-LN(2)/inputs!$C$51)*E95))</f>
        <v>1.7230167034861649E-3</v>
      </c>
      <c r="F96" s="8">
        <f>IF((B96&gt;B95), (EXP(-LN(2)/inputs!$C$51)*F95+$F$3), (EXP(-LN(2)/inputs!$C$51)*F95))</f>
        <v>2.1146114088239298E-3</v>
      </c>
      <c r="G96" s="8">
        <f>IF((B96&gt;B95), (EXP(-LN(2)/inputs!$C$51)*G95+$G$3), (EXP(-LN(2)/inputs!$C$51)*G95))</f>
        <v>2.3495682320265912E-4</v>
      </c>
      <c r="H96" s="8">
        <f>IF((B96&gt;B95), (EXP(-LN(2)/inputs!$C$51)*H95+$H$3), (EXP(-LN(2)/inputs!$C$51)*H95))</f>
        <v>1.4723960920699942E-3</v>
      </c>
      <c r="I96" s="7">
        <f>O96*(10^inputs!$C$55)*0.01/1</f>
        <v>8.5397003353343663</v>
      </c>
      <c r="J96" s="7">
        <f>(((0.621*15^0.564)/0.2))*D96/15+J95*inputs!$C$53</f>
        <v>4.0452596809148426E-3</v>
      </c>
      <c r="K96" s="7">
        <f>(((0.621*1000^0.564)/0.2))*D96/1000+K95*inputs!$C$53</f>
        <v>6.4821965422113647E-4</v>
      </c>
      <c r="L96" s="7">
        <f>(((0.648*20^0.651)/0.2))*H96/20+L95*inputs!$C$54</f>
        <v>2.2178439595862414E-3</v>
      </c>
      <c r="M96" s="7">
        <f>(((0.013*2^0.773)/0.2))*H96/2+M95*inputs!$C$54</f>
        <v>1.0814961885565339E-4</v>
      </c>
      <c r="N96" s="7">
        <f>O96*0.015*inputs!$C$56</f>
        <v>1.2546493483448873</v>
      </c>
      <c r="O96" s="7">
        <f>IF((B96&gt;B95), (EXP(-LN(2)/inputs!$C$52)*O95+$O$3), (EXP(-LN(2)/inputs!$C$52)*O95))</f>
        <v>0.13534512927129311</v>
      </c>
      <c r="P96" s="3">
        <f>IF((B96&gt;B95), (EXP(-LN(2)/inputs!$C$52)*P95+$P$3), (EXP(-LN(2)/inputs!$C$52)*P95))</f>
        <v>0.13078466450084644</v>
      </c>
      <c r="Q96" s="19">
        <f>IF((F96*0.62*1/(0.012*(10^inputs!$C$55)))&gt;inputs!$C$57, inputs!$C$57, (F96*0.62*1/(0.012*(10^inputs!$C$55))))</f>
        <v>1.7315738337152511E-5</v>
      </c>
      <c r="R96" s="3">
        <f>IF((B96&gt;B95), (EXP(-LN(2)/inputs!$C$51)*R95+$R$3), (EXP(-LN(2)/inputs!$C$51)*R95))</f>
        <v>4.0232150410121111E-11</v>
      </c>
      <c r="T96" s="7">
        <f>IF(T95&lt;(inputs!$C$20-1),(1+T95),0)</f>
        <v>0</v>
      </c>
      <c r="U96" s="7">
        <f>IF(inputs!$C$19&gt;U95,IF(T95=(inputs!$C$20-1),(U95+1),U95), U95)</f>
        <v>1</v>
      </c>
      <c r="V96" s="7">
        <f t="shared" si="2"/>
        <v>93</v>
      </c>
      <c r="W96" s="8">
        <f>IF((U96&gt;U95), (EXP(-LN(2)/inputs!$C$51)*W95+$W$3), (EXP(-LN(2)/inputs!$C$51)*W95))</f>
        <v>1.3314219981483996E-3</v>
      </c>
      <c r="X96" s="8">
        <f>IF((U96&gt;U95), (EXP(-LN(2)/inputs!$C$51)*X95+$X$3), (EXP(-LN(2)/inputs!$C$51)*X95))</f>
        <v>5.6389637568638091E-4</v>
      </c>
      <c r="Y96" s="8">
        <f>IF((U96&gt;U95), (EXP(-LN(2)/inputs!$C$51)*Y95+$Y$3), (EXP(-LN(2)/inputs!$C$51)*Y95))</f>
        <v>7.0487046960797666E-4</v>
      </c>
      <c r="Z96" s="8">
        <f>IF((U96&gt;U95), (EXP(-LN(2)/inputs!$C$51)*Z95+$Z$3), (EXP(-LN(2)/inputs!$C$51)*Z95))</f>
        <v>1.0964651749457405E-4</v>
      </c>
      <c r="AA96" s="8">
        <f>IF((U96&gt;U95), (EXP(-LN(2)/inputs!$C$51)*AA95+$AA$3), (EXP(-LN(2)/inputs!$C$51)*AA95))</f>
        <v>1.0181462338781885E-3</v>
      </c>
      <c r="AB96" s="7">
        <f>(((0.621*15^0.564)/0.2))*W96/15+AB95*inputs!$C$53</f>
        <v>1.4326961369906712E-3</v>
      </c>
      <c r="AC96" s="7">
        <f>(((0.621*1000^0.564)/0.2))*W96/1000+AC95*inputs!$C$53</f>
        <v>2.2957779420331882E-4</v>
      </c>
      <c r="AD96" s="7">
        <f>(((0.648*20^0.651)/0.2))*AA96/20+AD95*inputs!$C$54</f>
        <v>1.5336155039692111E-3</v>
      </c>
      <c r="AE96" s="7">
        <f>(((0.013*2^0.773)/0.2))*AA96/2+AE95*inputs!$C$54</f>
        <v>7.4784310910824221E-5</v>
      </c>
    </row>
    <row r="97" spans="1:31" x14ac:dyDescent="0.3">
      <c r="A97" s="7">
        <f>IF(A96&lt;(inputs!$C$20-1),(1+A96),0)</f>
        <v>0</v>
      </c>
      <c r="B97" s="7">
        <f>IF(inputs!$C$19&gt;B96,IF(A96=(inputs!$C$20-1),(B96+1),B96), B96)</f>
        <v>1</v>
      </c>
      <c r="C97" s="7">
        <f t="shared" si="3"/>
        <v>94</v>
      </c>
      <c r="D97" s="8">
        <f>IF((B97&gt;B96), (EXP(-LN(2)/inputs!$C$51)*D96+$D$3), (EXP(-LN(2)/inputs!$C$51)*D96))</f>
        <v>3.2984502025578386E-3</v>
      </c>
      <c r="E97" s="8">
        <f>IF((B97&gt;B96), (EXP(-LN(2)/inputs!$C$51)*E96+$E$3), (EXP(-LN(2)/inputs!$C$51)*E96))</f>
        <v>1.5117896761723409E-3</v>
      </c>
      <c r="F97" s="8">
        <f>IF((B97&gt;B96), (EXP(-LN(2)/inputs!$C$51)*F96+$F$3), (EXP(-LN(2)/inputs!$C$51)*F96))</f>
        <v>1.8553782389387821E-3</v>
      </c>
      <c r="G97" s="8">
        <f>IF((B97&gt;B96), (EXP(-LN(2)/inputs!$C$51)*G96+$G$3), (EXP(-LN(2)/inputs!$C$51)*G96))</f>
        <v>2.0615313765986491E-4</v>
      </c>
      <c r="H97" s="8">
        <f>IF((B97&gt;B96), (EXP(-LN(2)/inputs!$C$51)*H96+$H$3), (EXP(-LN(2)/inputs!$C$51)*H96))</f>
        <v>1.2918929960018175E-3</v>
      </c>
      <c r="I97" s="7">
        <f>O97*(10^inputs!$C$55)*0.01/1</f>
        <v>8.3673668051953278</v>
      </c>
      <c r="J97" s="7">
        <f>(((0.621*15^0.564)/0.2))*D97/15+J96*inputs!$C$53</f>
        <v>3.5493456393485179E-3</v>
      </c>
      <c r="K97" s="7">
        <f>(((0.621*1000^0.564)/0.2))*D97/1000+K96*inputs!$C$53</f>
        <v>5.6875350027701433E-4</v>
      </c>
      <c r="L97" s="7">
        <f>(((0.648*20^0.651)/0.2))*H97/20+L96*inputs!$C$54</f>
        <v>1.9459553669327436E-3</v>
      </c>
      <c r="M97" s="7">
        <f>(((0.013*2^0.773)/0.2))*H97/2+M96*inputs!$C$54</f>
        <v>9.4891405833236113E-5</v>
      </c>
      <c r="N97" s="7">
        <f>O97*0.015*inputs!$C$56</f>
        <v>1.2293301752127481</v>
      </c>
      <c r="O97" s="7">
        <f>IF((B97&gt;B96), (EXP(-LN(2)/inputs!$C$52)*O96+$O$3), (EXP(-LN(2)/inputs!$C$52)*O96))</f>
        <v>0.13261382688379159</v>
      </c>
      <c r="P97" s="3">
        <f>IF((B97&gt;B96), (EXP(-LN(2)/inputs!$C$52)*P96+$P$3), (EXP(-LN(2)/inputs!$C$52)*P96))</f>
        <v>0.12814539356200289</v>
      </c>
      <c r="Q97" s="19">
        <f>IF((F97*0.62*1/(0.012*(10^inputs!$C$55)))&gt;inputs!$C$57, inputs!$C$57, (F97*0.62*1/(0.012*(10^inputs!$C$55))))</f>
        <v>1.5192977758395237E-5</v>
      </c>
      <c r="R97" s="3">
        <f>IF((B97&gt;B96), (EXP(-LN(2)/inputs!$C$51)*R96+$R$3), (EXP(-LN(2)/inputs!$C$51)*R96))</f>
        <v>3.5300034826808217E-11</v>
      </c>
      <c r="T97" s="7">
        <f>IF(T96&lt;(inputs!$C$20-1),(1+T96),0)</f>
        <v>0</v>
      </c>
      <c r="U97" s="7">
        <f>IF(inputs!$C$19&gt;U96,IF(T96=(inputs!$C$20-1),(U96+1),U96), U96)</f>
        <v>1</v>
      </c>
      <c r="V97" s="7">
        <f t="shared" si="2"/>
        <v>94</v>
      </c>
      <c r="W97" s="8">
        <f>IF((U97&gt;U96), (EXP(-LN(2)/inputs!$C$51)*W96+$W$3), (EXP(-LN(2)/inputs!$C$51)*W96))</f>
        <v>1.1682011134058993E-3</v>
      </c>
      <c r="X97" s="8">
        <f>IF((U97&gt;U96), (EXP(-LN(2)/inputs!$C$51)*X96+$X$3), (EXP(-LN(2)/inputs!$C$51)*X96))</f>
        <v>4.9476753038367493E-4</v>
      </c>
      <c r="Y97" s="8">
        <f>IF((U97&gt;U96), (EXP(-LN(2)/inputs!$C$51)*Y96+$Y$3), (EXP(-LN(2)/inputs!$C$51)*Y96))</f>
        <v>6.1845941297959412E-4</v>
      </c>
      <c r="Z97" s="8">
        <f>IF((U97&gt;U96), (EXP(-LN(2)/inputs!$C$51)*Z96+$Z$3), (EXP(-LN(2)/inputs!$C$51)*Z96))</f>
        <v>9.6204797574603437E-5</v>
      </c>
      <c r="AA97" s="8">
        <f>IF((U97&gt;U96), (EXP(-LN(2)/inputs!$C$51)*AA96+$AA$3), (EXP(-LN(2)/inputs!$C$51)*AA96))</f>
        <v>8.9333026319274702E-4</v>
      </c>
      <c r="AB97" s="7">
        <f>(((0.621*15^0.564)/0.2))*W97/15+AB96*inputs!$C$53</f>
        <v>1.2570599139359313E-3</v>
      </c>
      <c r="AC97" s="7">
        <f>(((0.621*1000^0.564)/0.2))*W97/1000+AC96*inputs!$C$53</f>
        <v>2.014335313481089E-4</v>
      </c>
      <c r="AD97" s="7">
        <f>(((0.648*20^0.651)/0.2))*AA97/20+AD96*inputs!$C$54</f>
        <v>1.3456074345811538E-3</v>
      </c>
      <c r="AE97" s="7">
        <f>(((0.013*2^0.773)/0.2))*AA97/2+AE96*inputs!$C$54</f>
        <v>6.5616397650642059E-5</v>
      </c>
    </row>
    <row r="98" spans="1:31" x14ac:dyDescent="0.3">
      <c r="A98" s="7">
        <f>IF(A97&lt;(inputs!$C$20-1),(1+A97),0)</f>
        <v>0</v>
      </c>
      <c r="B98" s="7">
        <f>IF(inputs!$C$19&gt;B97,IF(A97=(inputs!$C$20-1),(B97+1),B97), B97)</f>
        <v>1</v>
      </c>
      <c r="C98" s="7">
        <f t="shared" si="3"/>
        <v>95</v>
      </c>
      <c r="D98" s="8">
        <f>IF((B98&gt;B97), (EXP(-LN(2)/inputs!$C$51)*D97+$D$3), (EXP(-LN(2)/inputs!$C$51)*D97))</f>
        <v>2.8940885793540118E-3</v>
      </c>
      <c r="E98" s="8">
        <f>IF((B98&gt;B97), (EXP(-LN(2)/inputs!$C$51)*E97+$E$3), (EXP(-LN(2)/inputs!$C$51)*E97))</f>
        <v>1.3264572655372537E-3</v>
      </c>
      <c r="F98" s="8">
        <f>IF((B98&gt;B97), (EXP(-LN(2)/inputs!$C$51)*F97+$F$3), (EXP(-LN(2)/inputs!$C$51)*F97))</f>
        <v>1.6279248258866297E-3</v>
      </c>
      <c r="G98" s="8">
        <f>IF((B98&gt;B97), (EXP(-LN(2)/inputs!$C$51)*G97+$G$3), (EXP(-LN(2)/inputs!$C$51)*G97))</f>
        <v>1.8088053620962574E-4</v>
      </c>
      <c r="H98" s="8">
        <f>IF((B98&gt;B97), (EXP(-LN(2)/inputs!$C$51)*H97+$H$3), (EXP(-LN(2)/inputs!$C$51)*H97))</f>
        <v>1.1335180269136521E-3</v>
      </c>
      <c r="I98" s="7">
        <f>O98*(10^inputs!$C$55)*0.01/1</f>
        <v>8.1985110136705259</v>
      </c>
      <c r="J98" s="7">
        <f>(((0.621*15^0.564)/0.2))*D98/15+J97*inputs!$C$53</f>
        <v>3.1142263936720402E-3</v>
      </c>
      <c r="K98" s="7">
        <f>(((0.621*1000^0.564)/0.2))*D98/1000+K97*inputs!$C$53</f>
        <v>4.9902921327806915E-4</v>
      </c>
      <c r="L98" s="7">
        <f>(((0.648*20^0.651)/0.2))*H98/20+L97*inputs!$C$54</f>
        <v>1.707397977087982E-3</v>
      </c>
      <c r="M98" s="7">
        <f>(((0.013*2^0.773)/0.2))*H98/2+M97*inputs!$C$54</f>
        <v>8.3258535686806296E-5</v>
      </c>
      <c r="N98" s="7">
        <f>O98*0.015*inputs!$C$56</f>
        <v>1.2045219500430344</v>
      </c>
      <c r="O98" s="7">
        <f>IF((B98&gt;B97), (EXP(-LN(2)/inputs!$C$52)*O97+$O$3), (EXP(-LN(2)/inputs!$C$52)*O97))</f>
        <v>0.12993764293883867</v>
      </c>
      <c r="P98" s="3">
        <f>IF((B98&gt;B97), (EXP(-LN(2)/inputs!$C$52)*P97+$P$3), (EXP(-LN(2)/inputs!$C$52)*P97))</f>
        <v>0.12555938384545332</v>
      </c>
      <c r="Q98" s="19">
        <f>IF((F98*0.62*1/(0.012*(10^inputs!$C$55)))&gt;inputs!$C$57, inputs!$C$57, (F98*0.62*1/(0.012*(10^inputs!$C$55))))</f>
        <v>1.3330449367661828E-5</v>
      </c>
      <c r="R98" s="3">
        <f>IF((B98&gt;B97), (EXP(-LN(2)/inputs!$C$51)*R97+$R$3), (EXP(-LN(2)/inputs!$C$51)*R97))</f>
        <v>3.0972554190401821E-11</v>
      </c>
      <c r="T98" s="7">
        <f>IF(T97&lt;(inputs!$C$20-1),(1+T97),0)</f>
        <v>0</v>
      </c>
      <c r="U98" s="7">
        <f>IF(inputs!$C$19&gt;U97,IF(T97=(inputs!$C$20-1),(U97+1),U97), U97)</f>
        <v>1</v>
      </c>
      <c r="V98" s="7">
        <f t="shared" si="2"/>
        <v>95</v>
      </c>
      <c r="W98" s="8">
        <f>IF((U98&gt;U97), (EXP(-LN(2)/inputs!$C$51)*W97+$W$3), (EXP(-LN(2)/inputs!$C$51)*W97))</f>
        <v>1.0249897051878775E-3</v>
      </c>
      <c r="X98" s="8">
        <f>IF((U98&gt;U97), (EXP(-LN(2)/inputs!$C$51)*X97+$X$3), (EXP(-LN(2)/inputs!$C$51)*X97))</f>
        <v>4.3411328690310096E-4</v>
      </c>
      <c r="Y98" s="8">
        <f>IF((U98&gt;U97), (EXP(-LN(2)/inputs!$C$51)*Y97+$Y$3), (EXP(-LN(2)/inputs!$C$51)*Y97))</f>
        <v>5.4264160862887664E-4</v>
      </c>
      <c r="Z98" s="8">
        <f>IF((U98&gt;U97), (EXP(-LN(2)/inputs!$C$51)*Z97+$Z$3), (EXP(-LN(2)/inputs!$C$51)*Z97))</f>
        <v>8.4410916897825175E-5</v>
      </c>
      <c r="AA98" s="8">
        <f>IF((U98&gt;U97), (EXP(-LN(2)/inputs!$C$51)*AA97+$AA$3), (EXP(-LN(2)/inputs!$C$51)*AA97))</f>
        <v>7.8381565690837729E-4</v>
      </c>
      <c r="AB98" s="7">
        <f>(((0.621*15^0.564)/0.2))*W98/15+AB97*inputs!$C$53</f>
        <v>1.1029551810921791E-3</v>
      </c>
      <c r="AC98" s="7">
        <f>(((0.621*1000^0.564)/0.2))*W98/1000+AC97*inputs!$C$53</f>
        <v>1.7673951303598251E-4</v>
      </c>
      <c r="AD98" s="7">
        <f>(((0.648*20^0.651)/0.2))*AA98/20+AD97*inputs!$C$54</f>
        <v>1.1806475373480738E-3</v>
      </c>
      <c r="AE98" s="7">
        <f>(((0.013*2^0.773)/0.2))*AA98/2+AE97*inputs!$C$54</f>
        <v>5.757239169832356E-5</v>
      </c>
    </row>
    <row r="99" spans="1:31" x14ac:dyDescent="0.3">
      <c r="A99" s="7">
        <f>IF(A98&lt;(inputs!$C$20-1),(1+A98),0)</f>
        <v>0</v>
      </c>
      <c r="B99" s="7">
        <f>IF(inputs!$C$19&gt;B98,IF(A98=(inputs!$C$20-1),(B98+1),B98), B98)</f>
        <v>1</v>
      </c>
      <c r="C99" s="7">
        <f t="shared" si="3"/>
        <v>96</v>
      </c>
      <c r="D99" s="8">
        <f>IF((B99&gt;B98), (EXP(-LN(2)/inputs!$C$51)*D98+$D$3), (EXP(-LN(2)/inputs!$C$51)*D98))</f>
        <v>2.5392982130372035E-3</v>
      </c>
      <c r="E99" s="8">
        <f>IF((B99&gt;B98), (EXP(-LN(2)/inputs!$C$51)*E98+$E$3), (EXP(-LN(2)/inputs!$C$51)*E98))</f>
        <v>1.1638450143087167E-3</v>
      </c>
      <c r="F99" s="8">
        <f>IF((B99&gt;B98), (EXP(-LN(2)/inputs!$C$51)*F98+$F$3), (EXP(-LN(2)/inputs!$C$51)*F98))</f>
        <v>1.4283552448334253E-3</v>
      </c>
      <c r="G99" s="8">
        <f>IF((B99&gt;B98), (EXP(-LN(2)/inputs!$C$51)*G98+$G$3), (EXP(-LN(2)/inputs!$C$51)*G98))</f>
        <v>1.5870613831482522E-4</v>
      </c>
      <c r="H99" s="8">
        <f>IF((B99&gt;B98), (EXP(-LN(2)/inputs!$C$51)*H98+$H$3), (EXP(-LN(2)/inputs!$C$51)*H98))</f>
        <v>9.9455846677290244E-4</v>
      </c>
      <c r="I99" s="7">
        <f>O99*(10^inputs!$C$55)*0.01/1</f>
        <v>8.0330627790265527</v>
      </c>
      <c r="J99" s="7">
        <f>(((0.621*15^0.564)/0.2))*D99/15+J98*inputs!$C$53</f>
        <v>2.7324490248359424E-3</v>
      </c>
      <c r="K99" s="7">
        <f>(((0.621*1000^0.564)/0.2))*D99/1000+K98*inputs!$C$53</f>
        <v>4.3785252413152125E-4</v>
      </c>
      <c r="L99" s="7">
        <f>(((0.648*20^0.651)/0.2))*H99/20+L98*inputs!$C$54</f>
        <v>1.498085671286051E-3</v>
      </c>
      <c r="M99" s="7">
        <f>(((0.013*2^0.773)/0.2))*H99/2+M98*inputs!$C$54</f>
        <v>7.3051755360159718E-5</v>
      </c>
      <c r="N99" s="7">
        <f>O99*0.015*inputs!$C$56</f>
        <v>1.1802143617636214</v>
      </c>
      <c r="O99" s="7">
        <f>IF((B99&gt;B98), (EXP(-LN(2)/inputs!$C$52)*O98+$O$3), (EXP(-LN(2)/inputs!$C$52)*O98))</f>
        <v>0.12731546513091924</v>
      </c>
      <c r="P99" s="3">
        <f>IF((B99&gt;B98), (EXP(-LN(2)/inputs!$C$52)*P98+$P$3), (EXP(-LN(2)/inputs!$C$52)*P98))</f>
        <v>0.12302556052490442</v>
      </c>
      <c r="Q99" s="19">
        <f>IF((F99*0.62*1/(0.012*(10^inputs!$C$55)))&gt;inputs!$C$57, inputs!$C$57, (F99*0.62*1/(0.012*(10^inputs!$C$55))))</f>
        <v>1.169625093708854E-5</v>
      </c>
      <c r="R99" s="3">
        <f>IF((B99&gt;B98), (EXP(-LN(2)/inputs!$C$51)*R98+$R$3), (EXP(-LN(2)/inputs!$C$51)*R98))</f>
        <v>2.7175585457180583E-11</v>
      </c>
      <c r="T99" s="7">
        <f>IF(T98&lt;(inputs!$C$20-1),(1+T98),0)</f>
        <v>0</v>
      </c>
      <c r="U99" s="7">
        <f>IF(inputs!$C$19&gt;U98,IF(T98=(inputs!$C$20-1),(U98+1),U98), U98)</f>
        <v>1</v>
      </c>
      <c r="V99" s="7">
        <f t="shared" si="2"/>
        <v>96</v>
      </c>
      <c r="W99" s="8">
        <f>IF((U99&gt;U98), (EXP(-LN(2)/inputs!$C$51)*W98+$W$3), (EXP(-LN(2)/inputs!$C$51)*W98))</f>
        <v>8.9933478378400808E-4</v>
      </c>
      <c r="X99" s="8">
        <f>IF((U99&gt;U98), (EXP(-LN(2)/inputs!$C$51)*X98+$X$3), (EXP(-LN(2)/inputs!$C$51)*X98))</f>
        <v>3.8089473195557981E-4</v>
      </c>
      <c r="Y99" s="8">
        <f>IF((U99&gt;U98), (EXP(-LN(2)/inputs!$C$51)*Y98+$Y$3), (EXP(-LN(2)/inputs!$C$51)*Y98))</f>
        <v>4.7611841494447514E-4</v>
      </c>
      <c r="Z99" s="8">
        <f>IF((U99&gt;U98), (EXP(-LN(2)/inputs!$C$51)*Z98+$Z$3), (EXP(-LN(2)/inputs!$C$51)*Z98))</f>
        <v>7.4062864546918292E-5</v>
      </c>
      <c r="AA99" s="8">
        <f>IF((U99&gt;U98), (EXP(-LN(2)/inputs!$C$51)*AA98+$AA$3), (EXP(-LN(2)/inputs!$C$51)*AA98))</f>
        <v>6.8772659936424177E-4</v>
      </c>
      <c r="AB99" s="7">
        <f>(((0.621*15^0.564)/0.2))*W99/15+AB98*inputs!$C$53</f>
        <v>9.6774236296272786E-4</v>
      </c>
      <c r="AC99" s="7">
        <f>(((0.621*1000^0.564)/0.2))*W99/1000+AC98*inputs!$C$53</f>
        <v>1.5507276896324683E-4</v>
      </c>
      <c r="AD99" s="7">
        <f>(((0.648*20^0.651)/0.2))*AA99/20+AD98*inputs!$C$54</f>
        <v>1.0359103046126959E-3</v>
      </c>
      <c r="AE99" s="7">
        <f>(((0.013*2^0.773)/0.2))*AA99/2+AE98*inputs!$C$54</f>
        <v>5.0514511685216873E-5</v>
      </c>
    </row>
    <row r="100" spans="1:31" x14ac:dyDescent="0.3">
      <c r="A100" s="7">
        <f>IF(A99&lt;(inputs!$C$20-1),(1+A99),0)</f>
        <v>0</v>
      </c>
      <c r="B100" s="7">
        <f>IF(inputs!$C$19&gt;B99,IF(A99=(inputs!$C$20-1),(B99+1),B99), B99)</f>
        <v>1</v>
      </c>
      <c r="C100" s="7">
        <f t="shared" si="3"/>
        <v>97</v>
      </c>
      <c r="D100" s="8">
        <f>IF((B100&gt;B99), (EXP(-LN(2)/inputs!$C$51)*D99+$D$3), (EXP(-LN(2)/inputs!$C$51)*D99))</f>
        <v>2.2280020939003872E-3</v>
      </c>
      <c r="E100" s="8">
        <f>IF((B100&gt;B99), (EXP(-LN(2)/inputs!$C$51)*E99+$E$3), (EXP(-LN(2)/inputs!$C$51)*E99))</f>
        <v>1.0211676263710094E-3</v>
      </c>
      <c r="F100" s="8">
        <f>IF((B100&gt;B99), (EXP(-LN(2)/inputs!$C$51)*F99+$F$3), (EXP(-LN(2)/inputs!$C$51)*F99))</f>
        <v>1.2532511778189663E-3</v>
      </c>
      <c r="G100" s="8">
        <f>IF((B100&gt;B99), (EXP(-LN(2)/inputs!$C$51)*G99+$G$3), (EXP(-LN(2)/inputs!$C$51)*G99))</f>
        <v>1.392501308687742E-4</v>
      </c>
      <c r="H100" s="8">
        <f>IF((B100&gt;B99), (EXP(-LN(2)/inputs!$C$51)*H99+$H$3), (EXP(-LN(2)/inputs!$C$51)*H99))</f>
        <v>8.7263415344431634E-4</v>
      </c>
      <c r="I100" s="7">
        <f>O100*(10^inputs!$C$55)*0.01/1</f>
        <v>7.870953335816921</v>
      </c>
      <c r="J100" s="7">
        <f>(((0.621*15^0.564)/0.2))*D100/15+J99*inputs!$C$53</f>
        <v>2.397474277559914E-3</v>
      </c>
      <c r="K100" s="7">
        <f>(((0.621*1000^0.564)/0.2))*D100/1000+K99*inputs!$C$53</f>
        <v>3.8417557086285655E-4</v>
      </c>
      <c r="L100" s="7">
        <f>(((0.648*20^0.651)/0.2))*H100/20+L99*inputs!$C$54</f>
        <v>1.3144332537749822E-3</v>
      </c>
      <c r="M100" s="7">
        <f>(((0.013*2^0.773)/0.2))*H100/2+M99*inputs!$C$54</f>
        <v>6.4096238507907019E-5</v>
      </c>
      <c r="N100" s="7">
        <f>O100*0.015*inputs!$C$56</f>
        <v>1.1563973073826901</v>
      </c>
      <c r="O100" s="7">
        <f>IF((B100&gt;B99), (EXP(-LN(2)/inputs!$C$52)*O99+$O$3), (EXP(-LN(2)/inputs!$C$52)*O99))</f>
        <v>0.12474620360115318</v>
      </c>
      <c r="P100" s="3">
        <f>IF((B100&gt;B99), (EXP(-LN(2)/inputs!$C$52)*P99+$P$3), (EXP(-LN(2)/inputs!$C$52)*P99))</f>
        <v>0.1205428704643567</v>
      </c>
      <c r="Q100" s="19">
        <f>IF((F100*0.62*1/(0.012*(10^inputs!$C$55)))&gt;inputs!$C$57, inputs!$C$57, (F100*0.62*1/(0.012*(10^inputs!$C$55))))</f>
        <v>1.0262391177540608E-5</v>
      </c>
      <c r="R100" s="3">
        <f>IF((B100&gt;B99), (EXP(-LN(2)/inputs!$C$51)*R99+$R$3), (EXP(-LN(2)/inputs!$C$51)*R99))</f>
        <v>2.3844092431013798E-11</v>
      </c>
      <c r="T100" s="7">
        <f>IF(T99&lt;(inputs!$C$20-1),(1+T99),0)</f>
        <v>0</v>
      </c>
      <c r="U100" s="7">
        <f>IF(inputs!$C$19&gt;U99,IF(T99=(inputs!$C$20-1),(U99+1),U99), U99)</f>
        <v>1</v>
      </c>
      <c r="V100" s="7">
        <f t="shared" si="2"/>
        <v>97</v>
      </c>
      <c r="W100" s="8">
        <f>IF((U100&gt;U99), (EXP(-LN(2)/inputs!$C$51)*W99+$W$3), (EXP(-LN(2)/inputs!$C$51)*W99))</f>
        <v>7.8908407492305247E-4</v>
      </c>
      <c r="X100" s="8">
        <f>IF((U100&gt;U99), (EXP(-LN(2)/inputs!$C$51)*X99+$X$3), (EXP(-LN(2)/inputs!$C$51)*X99))</f>
        <v>3.3420031408505743E-4</v>
      </c>
      <c r="Y100" s="8">
        <f>IF((U100&gt;U99), (EXP(-LN(2)/inputs!$C$51)*Y99+$Y$3), (EXP(-LN(2)/inputs!$C$51)*Y99))</f>
        <v>4.1775039260632212E-4</v>
      </c>
      <c r="Z100" s="8">
        <f>IF((U100&gt;U99), (EXP(-LN(2)/inputs!$C$51)*Z99+$Z$3), (EXP(-LN(2)/inputs!$C$51)*Z99))</f>
        <v>6.498339440542783E-5</v>
      </c>
      <c r="AA100" s="8">
        <f>IF((U100&gt;U99), (EXP(-LN(2)/inputs!$C$51)*AA99+$AA$3), (EXP(-LN(2)/inputs!$C$51)*AA99))</f>
        <v>6.0341723376468748E-4</v>
      </c>
      <c r="AB100" s="7">
        <f>(((0.621*15^0.564)/0.2))*W100/15+AB99*inputs!$C$53</f>
        <v>8.4910547330246814E-4</v>
      </c>
      <c r="AC100" s="7">
        <f>(((0.621*1000^0.564)/0.2))*W100/1000+AC99*inputs!$C$53</f>
        <v>1.3606218134726145E-4</v>
      </c>
      <c r="AD100" s="7">
        <f>(((0.648*20^0.651)/0.2))*AA100/20+AD99*inputs!$C$54</f>
        <v>9.0891661165291393E-4</v>
      </c>
      <c r="AE100" s="7">
        <f>(((0.013*2^0.773)/0.2))*AA100/2+AE99*inputs!$C$54</f>
        <v>4.4321867053340006E-5</v>
      </c>
    </row>
    <row r="101" spans="1:31" x14ac:dyDescent="0.3">
      <c r="A101" s="7">
        <f>IF(A100&lt;(inputs!$C$20-1),(1+A100),0)</f>
        <v>0</v>
      </c>
      <c r="B101" s="7">
        <f>IF(inputs!$C$19&gt;B100,IF(A100=(inputs!$C$20-1),(B100+1),B100), B100)</f>
        <v>1</v>
      </c>
      <c r="C101" s="7">
        <f t="shared" si="3"/>
        <v>98</v>
      </c>
      <c r="D101" s="8">
        <f>IF((B101&gt;B100), (EXP(-LN(2)/inputs!$C$51)*D100+$D$3), (EXP(-LN(2)/inputs!$C$51)*D100))</f>
        <v>1.9548682013551992E-3</v>
      </c>
      <c r="E101" s="8">
        <f>IF((B101&gt;B100), (EXP(-LN(2)/inputs!$C$51)*E100+$E$3), (EXP(-LN(2)/inputs!$C$51)*E100))</f>
        <v>8.9598125895446509E-4</v>
      </c>
      <c r="F101" s="8">
        <f>IF((B101&gt;B100), (EXP(-LN(2)/inputs!$C$51)*F100+$F$3), (EXP(-LN(2)/inputs!$C$51)*F100))</f>
        <v>1.0996133632622982E-3</v>
      </c>
      <c r="G101" s="8">
        <f>IF((B101&gt;B100), (EXP(-LN(2)/inputs!$C$51)*G100+$G$3), (EXP(-LN(2)/inputs!$C$51)*G100))</f>
        <v>1.2217926258469995E-4</v>
      </c>
      <c r="H101" s="8">
        <f>IF((B101&gt;B100), (EXP(-LN(2)/inputs!$C$51)*H100+$H$3), (EXP(-LN(2)/inputs!$C$51)*H100))</f>
        <v>7.6565671219745127E-4</v>
      </c>
      <c r="I101" s="7">
        <f>O101*(10^inputs!$C$55)*0.01/1</f>
        <v>7.7121153063009995</v>
      </c>
      <c r="J101" s="7">
        <f>(((0.621*15^0.564)/0.2))*D101/15+J100*inputs!$C$53</f>
        <v>2.1035645530135872E-3</v>
      </c>
      <c r="K101" s="7">
        <f>(((0.621*1000^0.564)/0.2))*D101/1000+K100*inputs!$C$53</f>
        <v>3.3707895036244818E-4</v>
      </c>
      <c r="L101" s="7">
        <f>(((0.648*20^0.651)/0.2))*H101/20+L100*inputs!$C$54</f>
        <v>1.1532950429639247E-3</v>
      </c>
      <c r="M101" s="7">
        <f>(((0.013*2^0.773)/0.2))*H101/2+M100*inputs!$C$54</f>
        <v>5.6238590990834191E-5</v>
      </c>
      <c r="N101" s="7">
        <f>O101*0.015*inputs!$C$56</f>
        <v>1.1330608877896089</v>
      </c>
      <c r="O101" s="7">
        <f>IF((B101&gt;B100), (EXP(-LN(2)/inputs!$C$52)*O100+$O$3), (EXP(-LN(2)/inputs!$C$52)*O100))</f>
        <v>0.12222879048431597</v>
      </c>
      <c r="P101" s="3">
        <f>IF((B101&gt;B100), (EXP(-LN(2)/inputs!$C$52)*P100+$P$3), (EXP(-LN(2)/inputs!$C$52)*P100))</f>
        <v>0.11811028178038832</v>
      </c>
      <c r="Q101" s="19">
        <f>IF((F101*0.62*1/(0.012*(10^inputs!$C$55)))&gt;inputs!$C$57, inputs!$C$57, (F101*0.62*1/(0.012*(10^inputs!$C$55))))</f>
        <v>9.0043102911640352E-6</v>
      </c>
      <c r="R101" s="3">
        <f>IF((B101&gt;B100), (EXP(-LN(2)/inputs!$C$51)*R100+$R$3), (EXP(-LN(2)/inputs!$C$51)*R100))</f>
        <v>2.0921011794007348E-11</v>
      </c>
      <c r="T101" s="7">
        <f>IF(T100&lt;(inputs!$C$20-1),(1+T100),0)</f>
        <v>0</v>
      </c>
      <c r="U101" s="7">
        <f>IF(inputs!$C$19&gt;U100,IF(T100=(inputs!$C$20-1),(U100+1),U100), U100)</f>
        <v>1</v>
      </c>
      <c r="V101" s="7">
        <f t="shared" si="2"/>
        <v>98</v>
      </c>
      <c r="W101" s="8">
        <f>IF((U101&gt;U100), (EXP(-LN(2)/inputs!$C$51)*W100+$W$3), (EXP(-LN(2)/inputs!$C$51)*W100))</f>
        <v>6.9234915464663185E-4</v>
      </c>
      <c r="X101" s="8">
        <f>IF((U101&gt;U100), (EXP(-LN(2)/inputs!$C$51)*X100+$X$3), (EXP(-LN(2)/inputs!$C$51)*X100))</f>
        <v>2.932302302032793E-4</v>
      </c>
      <c r="Y101" s="8">
        <f>IF((U101&gt;U100), (EXP(-LN(2)/inputs!$C$51)*Y100+$Y$3), (EXP(-LN(2)/inputs!$C$51)*Y100))</f>
        <v>3.6653778775409942E-4</v>
      </c>
      <c r="Z101" s="8">
        <f>IF((U101&gt;U100), (EXP(-LN(2)/inputs!$C$51)*Z100+$Z$3), (EXP(-LN(2)/inputs!$C$51)*Z100))</f>
        <v>5.70169892061932E-5</v>
      </c>
      <c r="AA101" s="8">
        <f>IF((U101&gt;U100), (EXP(-LN(2)/inputs!$C$51)*AA100+$AA$3), (EXP(-LN(2)/inputs!$C$51)*AA100))</f>
        <v>5.2944347120036583E-4</v>
      </c>
      <c r="AB101" s="7">
        <f>(((0.621*15^0.564)/0.2))*W101/15+AB100*inputs!$C$53</f>
        <v>7.4501244585897753E-4</v>
      </c>
      <c r="AC101" s="7">
        <f>(((0.621*1000^0.564)/0.2))*W101/1000+AC100*inputs!$C$53</f>
        <v>1.1938212825336686E-4</v>
      </c>
      <c r="AD101" s="7">
        <f>(((0.648*20^0.651)/0.2))*AA101/20+AD100*inputs!$C$54</f>
        <v>7.9749125311335298E-4</v>
      </c>
      <c r="AE101" s="7">
        <f>(((0.013*2^0.773)/0.2))*AA101/2+AE100*inputs!$C$54</f>
        <v>3.8888387387279011E-5</v>
      </c>
    </row>
    <row r="102" spans="1:31" x14ac:dyDescent="0.3">
      <c r="A102" s="7">
        <f>IF(A101&lt;(inputs!$C$20-1),(1+A101),0)</f>
        <v>0</v>
      </c>
      <c r="B102" s="7">
        <f>IF(inputs!$C$19&gt;B101,IF(A101=(inputs!$C$20-1),(B101+1),B101), B101)</f>
        <v>1</v>
      </c>
      <c r="C102" s="7">
        <f t="shared" si="3"/>
        <v>99</v>
      </c>
      <c r="D102" s="8">
        <f>IF((B102&gt;B101), (EXP(-LN(2)/inputs!$C$51)*D101+$D$3), (EXP(-LN(2)/inputs!$C$51)*D101))</f>
        <v>1.7152181746740178E-3</v>
      </c>
      <c r="E102" s="8">
        <f>IF((B102&gt;B101), (EXP(-LN(2)/inputs!$C$51)*E101+$E$3), (EXP(-LN(2)/inputs!$C$51)*E101))</f>
        <v>7.8614166339225711E-4</v>
      </c>
      <c r="F102" s="8">
        <f>IF((B102&gt;B101), (EXP(-LN(2)/inputs!$C$51)*F101+$F$3), (EXP(-LN(2)/inputs!$C$51)*F101))</f>
        <v>9.6481022325413379E-4</v>
      </c>
      <c r="G102" s="8">
        <f>IF((B102&gt;B101), (EXP(-LN(2)/inputs!$C$51)*G101+$G$3), (EXP(-LN(2)/inputs!$C$51)*G101))</f>
        <v>1.0720113591712611E-4</v>
      </c>
      <c r="H102" s="8">
        <f>IF((B102&gt;B101), (EXP(-LN(2)/inputs!$C$51)*H101+$H$3), (EXP(-LN(2)/inputs!$C$51)*H101))</f>
        <v>6.7179378508065539E-4</v>
      </c>
      <c r="I102" s="7">
        <f>O102*(10^inputs!$C$55)*0.01/1</f>
        <v>7.5564826724397181</v>
      </c>
      <c r="J102" s="7">
        <f>(((0.621*15^0.564)/0.2))*D102/15+J101*inputs!$C$53</f>
        <v>1.8456856326312227E-3</v>
      </c>
      <c r="K102" s="7">
        <f>(((0.621*1000^0.564)/0.2))*D102/1000+K101*inputs!$C$53</f>
        <v>2.9575597043366092E-4</v>
      </c>
      <c r="L102" s="7">
        <f>(((0.648*20^0.651)/0.2))*H102/20+L101*inputs!$C$54</f>
        <v>1.0119109907674772E-3</v>
      </c>
      <c r="M102" s="7">
        <f>(((0.013*2^0.773)/0.2))*H102/2+M101*inputs!$C$54</f>
        <v>4.9344223471774736E-5</v>
      </c>
      <c r="N102" s="7">
        <f>O102*0.015*inputs!$C$56</f>
        <v>1.1101954036405555</v>
      </c>
      <c r="O102" s="7">
        <f>IF((B102&gt;B101), (EXP(-LN(2)/inputs!$C$52)*O101+$O$3), (EXP(-LN(2)/inputs!$C$52)*O101))</f>
        <v>0.11976217946500059</v>
      </c>
      <c r="P102" s="3">
        <f>IF((B102&gt;B101), (EXP(-LN(2)/inputs!$C$52)*P101+$P$3), (EXP(-LN(2)/inputs!$C$52)*P101))</f>
        <v>0.11572678341327217</v>
      </c>
      <c r="Q102" s="19">
        <f>IF((F102*0.62*1/(0.012*(10^inputs!$C$55)))&gt;inputs!$C$57, inputs!$C$57, (F102*0.62*1/(0.012*(10^inputs!$C$55))))</f>
        <v>7.9004593000705368E-6</v>
      </c>
      <c r="R102" s="3">
        <f>IF((B102&gt;B101), (EXP(-LN(2)/inputs!$C$51)*R101+$R$3), (EXP(-LN(2)/inputs!$C$51)*R101))</f>
        <v>1.8356275700210618E-11</v>
      </c>
      <c r="T102" s="7">
        <f>IF(T101&lt;(inputs!$C$20-1),(1+T101),0)</f>
        <v>0</v>
      </c>
      <c r="U102" s="7">
        <f>IF(inputs!$C$19&gt;U101,IF(T101=(inputs!$C$20-1),(U101+1),U101), U101)</f>
        <v>1</v>
      </c>
      <c r="V102" s="7">
        <f t="shared" si="2"/>
        <v>99</v>
      </c>
      <c r="W102" s="8">
        <f>IF((U102&gt;U101), (EXP(-LN(2)/inputs!$C$51)*W101+$W$3), (EXP(-LN(2)/inputs!$C$51)*W101))</f>
        <v>6.0747310353038021E-4</v>
      </c>
      <c r="X102" s="8">
        <f>IF((U102&gt;U101), (EXP(-LN(2)/inputs!$C$51)*X101+$X$3), (EXP(-LN(2)/inputs!$C$51)*X101))</f>
        <v>2.5728272620110214E-4</v>
      </c>
      <c r="Y102" s="8">
        <f>IF((U102&gt;U101), (EXP(-LN(2)/inputs!$C$51)*Y101+$Y$3), (EXP(-LN(2)/inputs!$C$51)*Y101))</f>
        <v>3.2160340775137797E-4</v>
      </c>
      <c r="Z102" s="8">
        <f>IF((U102&gt;U101), (EXP(-LN(2)/inputs!$C$51)*Z101+$Z$3), (EXP(-LN(2)/inputs!$C$51)*Z101))</f>
        <v>5.0027196761325421E-5</v>
      </c>
      <c r="AA102" s="8">
        <f>IF((U102&gt;U101), (EXP(-LN(2)/inputs!$C$51)*AA101+$AA$3), (EXP(-LN(2)/inputs!$C$51)*AA101))</f>
        <v>4.6453825564087925E-4</v>
      </c>
      <c r="AB102" s="7">
        <f>(((0.621*15^0.564)/0.2))*W102/15+AB101*inputs!$C$53</f>
        <v>6.5368032822355686E-4</v>
      </c>
      <c r="AC102" s="7">
        <f>(((0.621*1000^0.564)/0.2))*W102/1000+AC101*inputs!$C$53</f>
        <v>1.0474690619525473E-4</v>
      </c>
      <c r="AD102" s="7">
        <f>(((0.648*20^0.651)/0.2))*AA102/20+AD101*inputs!$C$54</f>
        <v>6.9972568510517105E-4</v>
      </c>
      <c r="AE102" s="7">
        <f>(((0.013*2^0.773)/0.2))*AA102/2+AE101*inputs!$C$54</f>
        <v>3.4121005592184695E-5</v>
      </c>
    </row>
    <row r="103" spans="1:31" x14ac:dyDescent="0.3">
      <c r="A103" s="7">
        <f>IF(A102&lt;(inputs!$C$20-1),(1+A102),0)</f>
        <v>0</v>
      </c>
      <c r="B103" s="7">
        <f>IF(inputs!$C$19&gt;B102,IF(A102=(inputs!$C$20-1),(B102+1),B102), B102)</f>
        <v>1</v>
      </c>
      <c r="C103" s="7">
        <f t="shared" si="3"/>
        <v>100</v>
      </c>
      <c r="D103" s="8">
        <f>IF((B103&gt;B102), (EXP(-LN(2)/inputs!$C$51)*D102+$D$3), (EXP(-LN(2)/inputs!$C$51)*D102))</f>
        <v>1.5049471799134929E-3</v>
      </c>
      <c r="E103" s="8">
        <f>IF((B103&gt;B102), (EXP(-LN(2)/inputs!$C$51)*E102+$E$3), (EXP(-LN(2)/inputs!$C$51)*E102))</f>
        <v>6.8976745746035008E-4</v>
      </c>
      <c r="F103" s="8">
        <f>IF((B103&gt;B102), (EXP(-LN(2)/inputs!$C$51)*F102+$F$3), (EXP(-LN(2)/inputs!$C$51)*F102))</f>
        <v>8.4653278870133871E-4</v>
      </c>
      <c r="G103" s="8">
        <f>IF((B103&gt;B102), (EXP(-LN(2)/inputs!$C$51)*G102+$G$3), (EXP(-LN(2)/inputs!$C$51)*G102))</f>
        <v>9.4059198744593308E-5</v>
      </c>
      <c r="H103" s="8">
        <f>IF((B103&gt;B102), (EXP(-LN(2)/inputs!$C$51)*H102+$H$3), (EXP(-LN(2)/inputs!$C$51)*H102))</f>
        <v>5.894376454661167E-4</v>
      </c>
      <c r="I103" s="7">
        <f>O103*(10^inputs!$C$55)*0.01/1</f>
        <v>7.4039907484564145</v>
      </c>
      <c r="J103" s="7">
        <f>(((0.621*15^0.564)/0.2))*D103/15+J102*inputs!$C$53</f>
        <v>1.6194204497413933E-3</v>
      </c>
      <c r="K103" s="7">
        <f>(((0.621*1000^0.564)/0.2))*D103/1000+K102*inputs!$C$53</f>
        <v>2.5949883240440147E-4</v>
      </c>
      <c r="L103" s="7">
        <f>(((0.648*20^0.651)/0.2))*H103/20+L102*inputs!$C$54</f>
        <v>8.8785940725494565E-4</v>
      </c>
      <c r="M103" s="7">
        <f>(((0.013*2^0.773)/0.2))*H103/2+M102*inputs!$C$54</f>
        <v>4.329504610862813E-5</v>
      </c>
      <c r="N103" s="7">
        <f>O103*0.015*inputs!$C$56</f>
        <v>1.0877913513271649</v>
      </c>
      <c r="O103" s="7">
        <f>IF((B103&gt;B102), (EXP(-LN(2)/inputs!$C$52)*O102+$O$3), (EXP(-LN(2)/inputs!$C$52)*O102))</f>
        <v>0.11734534534273623</v>
      </c>
      <c r="P103" s="3">
        <f>IF((B103&gt;B102), (EXP(-LN(2)/inputs!$C$52)*P102+$P$3), (EXP(-LN(2)/inputs!$C$52)*P102))</f>
        <v>0.11339138470674787</v>
      </c>
      <c r="Q103" s="19">
        <f>IF((F103*0.62*1/(0.012*(10^inputs!$C$55)))&gt;inputs!$C$57, inputs!$C$57, (F103*0.62*1/(0.012*(10^inputs!$C$55))))</f>
        <v>6.9319309457073407E-6</v>
      </c>
      <c r="R103" s="3">
        <f>IF((B103&gt;B102), (EXP(-LN(2)/inputs!$C$51)*R102+$R$3), (EXP(-LN(2)/inputs!$C$51)*R102))</f>
        <v>1.6105954190927813E-11</v>
      </c>
      <c r="T103" s="7">
        <f>IF(T102&lt;(inputs!$C$20-1),(1+T102),0)</f>
        <v>0</v>
      </c>
      <c r="U103" s="7">
        <f>IF(inputs!$C$19&gt;U102,IF(T102=(inputs!$C$20-1),(U102+1),U102), U102)</f>
        <v>1</v>
      </c>
      <c r="V103" s="7">
        <f t="shared" si="2"/>
        <v>100</v>
      </c>
      <c r="W103" s="8">
        <f>IF((U103&gt;U102), (EXP(-LN(2)/inputs!$C$51)*W102+$W$3), (EXP(-LN(2)/inputs!$C$51)*W102))</f>
        <v>5.3300212621936111E-4</v>
      </c>
      <c r="X103" s="8">
        <f>IF((U103&gt;U102), (EXP(-LN(2)/inputs!$C$51)*X102+$X$3), (EXP(-LN(2)/inputs!$C$51)*X102))</f>
        <v>2.2574207698702349E-4</v>
      </c>
      <c r="Y103" s="8">
        <f>IF((U103&gt;U102), (EXP(-LN(2)/inputs!$C$51)*Y102+$Y$3), (EXP(-LN(2)/inputs!$C$51)*Y102))</f>
        <v>2.8217759623377963E-4</v>
      </c>
      <c r="Z103" s="8">
        <f>IF((U103&gt;U102), (EXP(-LN(2)/inputs!$C$51)*Z102+$Z$3), (EXP(-LN(2)/inputs!$C$51)*Z102))</f>
        <v>4.389429274747679E-5</v>
      </c>
      <c r="AA103" s="8">
        <f>IF((U103&gt;U102), (EXP(-LN(2)/inputs!$C$51)*AA102+$AA$3), (EXP(-LN(2)/inputs!$C$51)*AA102))</f>
        <v>4.075898612265705E-4</v>
      </c>
      <c r="AB103" s="7">
        <f>(((0.621*15^0.564)/0.2))*W103/15+AB102*inputs!$C$53</f>
        <v>5.7354474261674246E-4</v>
      </c>
      <c r="AC103" s="7">
        <f>(((0.621*1000^0.564)/0.2))*W103/1000+AC102*inputs!$C$53</f>
        <v>9.1905836476558709E-5</v>
      </c>
      <c r="AD103" s="7">
        <f>(((0.648*20^0.651)/0.2))*AA103/20+AD102*inputs!$C$54</f>
        <v>6.1394533480395243E-4</v>
      </c>
      <c r="AE103" s="7">
        <f>(((0.013*2^0.773)/0.2))*AA103/2+AE102*inputs!$C$54</f>
        <v>2.9938063798519487E-5</v>
      </c>
    </row>
    <row r="104" spans="1:31" x14ac:dyDescent="0.3">
      <c r="A104" s="7">
        <f>IF(A103&lt;(inputs!$C$20-1),(1+A103),0)</f>
        <v>0</v>
      </c>
      <c r="B104" s="7">
        <f>IF(inputs!$C$19&gt;B103,IF(A103=(inputs!$C$20-1),(B103+1),B103), B103)</f>
        <v>1</v>
      </c>
      <c r="C104" s="7">
        <f t="shared" si="3"/>
        <v>101</v>
      </c>
      <c r="D104" s="8">
        <f>IF((B104&gt;B103), (EXP(-LN(2)/inputs!$C$51)*D103+$D$3), (EXP(-LN(2)/inputs!$C$51)*D103))</f>
        <v>1.3204536004639874E-3</v>
      </c>
      <c r="E104" s="8">
        <f>IF((B104&gt;B103), (EXP(-LN(2)/inputs!$C$51)*E103+$E$3), (EXP(-LN(2)/inputs!$C$51)*E103))</f>
        <v>6.0520790021266013E-4</v>
      </c>
      <c r="F104" s="8">
        <f>IF((B104&gt;B103), (EXP(-LN(2)/inputs!$C$51)*F103+$F$3), (EXP(-LN(2)/inputs!$C$51)*F103))</f>
        <v>7.4275515026099202E-4</v>
      </c>
      <c r="G104" s="8">
        <f>IF((B104&gt;B103), (EXP(-LN(2)/inputs!$C$51)*G103+$G$3), (EXP(-LN(2)/inputs!$C$51)*G103))</f>
        <v>8.2528350028999214E-5</v>
      </c>
      <c r="H104" s="8">
        <f>IF((B104&gt;B103), (EXP(-LN(2)/inputs!$C$51)*H103+$H$3), (EXP(-LN(2)/inputs!$C$51)*H103))</f>
        <v>5.1717766018172728E-4</v>
      </c>
      <c r="I104" s="7">
        <f>O104*(10^inputs!$C$55)*0.01/1</f>
        <v>7.2545761539514055</v>
      </c>
      <c r="J104" s="7">
        <f>(((0.621*15^0.564)/0.2))*D104/15+J103*inputs!$C$53</f>
        <v>1.4208934320531768E-3</v>
      </c>
      <c r="K104" s="7">
        <f>(((0.621*1000^0.564)/0.2))*D104/1000+K103*inputs!$C$53</f>
        <v>2.276865076316428E-4</v>
      </c>
      <c r="L104" s="7">
        <f>(((0.648*20^0.651)/0.2))*H104/20+L103*inputs!$C$54</f>
        <v>7.7901548085096591E-4</v>
      </c>
      <c r="M104" s="7">
        <f>(((0.013*2^0.773)/0.2))*H104/2+M103*inputs!$C$54</f>
        <v>3.7987445858185238E-5</v>
      </c>
      <c r="N104" s="7">
        <f>O104*0.015*inputs!$C$56</f>
        <v>1.0658394190265352</v>
      </c>
      <c r="O104" s="7">
        <f>IF((B104&gt;B103), (EXP(-LN(2)/inputs!$C$52)*O103+$O$3), (EXP(-LN(2)/inputs!$C$52)*O103))</f>
        <v>0.11497728360588298</v>
      </c>
      <c r="P104" s="3">
        <f>IF((B104&gt;B103), (EXP(-LN(2)/inputs!$C$52)*P103+$P$3), (EXP(-LN(2)/inputs!$C$52)*P103))</f>
        <v>0.11110311499627419</v>
      </c>
      <c r="Q104" s="19">
        <f>IF((F104*0.62*1/(0.012*(10^inputs!$C$55)))&gt;inputs!$C$57, inputs!$C$57, (F104*0.62*1/(0.012*(10^inputs!$C$55))))</f>
        <v>6.0821358367893946E-6</v>
      </c>
      <c r="R104" s="3">
        <f>IF((B104&gt;B103), (EXP(-LN(2)/inputs!$C$51)*R103+$R$3), (EXP(-LN(2)/inputs!$C$51)*R103))</f>
        <v>1.4131502742535558E-11</v>
      </c>
      <c r="T104" s="7">
        <f>IF(T103&lt;(inputs!$C$20-1),(1+T103),0)</f>
        <v>0</v>
      </c>
      <c r="U104" s="7">
        <f>IF(inputs!$C$19&gt;U103,IF(T103=(inputs!$C$20-1),(U103+1),U103), U103)</f>
        <v>1</v>
      </c>
      <c r="V104" s="7">
        <f t="shared" si="2"/>
        <v>101</v>
      </c>
      <c r="W104" s="8">
        <f>IF((U104&gt;U103), (EXP(-LN(2)/inputs!$C$51)*W103+$W$3), (EXP(-LN(2)/inputs!$C$51)*W103))</f>
        <v>4.6766065016432803E-4</v>
      </c>
      <c r="X104" s="8">
        <f>IF((U104&gt;U103), (EXP(-LN(2)/inputs!$C$51)*X103+$X$3), (EXP(-LN(2)/inputs!$C$51)*X103))</f>
        <v>1.9806804006959773E-4</v>
      </c>
      <c r="Y104" s="8">
        <f>IF((U104&gt;U103), (EXP(-LN(2)/inputs!$C$51)*Y103+$Y$3), (EXP(-LN(2)/inputs!$C$51)*Y103))</f>
        <v>2.4758505008699741E-4</v>
      </c>
      <c r="Z104" s="8">
        <f>IF((U104&gt;U103), (EXP(-LN(2)/inputs!$C$51)*Z103+$Z$3), (EXP(-LN(2)/inputs!$C$51)*Z103))</f>
        <v>3.8513230013532894E-5</v>
      </c>
      <c r="AA104" s="8">
        <f>IF((U104&gt;U103), (EXP(-LN(2)/inputs!$C$51)*AA103+$AA$3), (EXP(-LN(2)/inputs!$C$51)*AA103))</f>
        <v>3.5762285012566283E-4</v>
      </c>
      <c r="AB104" s="7">
        <f>(((0.621*15^0.564)/0.2))*W104/15+AB103*inputs!$C$53</f>
        <v>5.0323309051883251E-4</v>
      </c>
      <c r="AC104" s="7">
        <f>(((0.621*1000^0.564)/0.2))*W104/1000+AC103*inputs!$C$53</f>
        <v>8.063897145287334E-5</v>
      </c>
      <c r="AD104" s="7">
        <f>(((0.648*20^0.651)/0.2))*AA104/20+AD103*inputs!$C$54</f>
        <v>5.3868091760971102E-4</v>
      </c>
      <c r="AE104" s="7">
        <f>(((0.013*2^0.773)/0.2))*AA104/2+AE103*inputs!$C$54</f>
        <v>2.6267914689170669E-5</v>
      </c>
    </row>
    <row r="105" spans="1:31" x14ac:dyDescent="0.3">
      <c r="A105" s="7">
        <f>IF(A104&lt;(inputs!$C$20-1),(1+A104),0)</f>
        <v>0</v>
      </c>
      <c r="B105" s="7">
        <f>IF(inputs!$C$19&gt;B104,IF(A104=(inputs!$C$20-1),(B104+1),B104), B104)</f>
        <v>1</v>
      </c>
      <c r="C105" s="7">
        <f t="shared" si="3"/>
        <v>102</v>
      </c>
      <c r="D105" s="8">
        <f>IF((B105&gt;B104), (EXP(-LN(2)/inputs!$C$51)*D104+$D$3), (EXP(-LN(2)/inputs!$C$51)*D104))</f>
        <v>1.1585773469328889E-3</v>
      </c>
      <c r="E105" s="8">
        <f>IF((B105&gt;B104), (EXP(-LN(2)/inputs!$C$51)*E104+$E$3), (EXP(-LN(2)/inputs!$C$51)*E104))</f>
        <v>5.3101461734424008E-4</v>
      </c>
      <c r="F105" s="8">
        <f>IF((B105&gt;B104), (EXP(-LN(2)/inputs!$C$51)*F104+$F$3), (EXP(-LN(2)/inputs!$C$51)*F104))</f>
        <v>6.516997576497493E-4</v>
      </c>
      <c r="G105" s="8">
        <f>IF((B105&gt;B104), (EXP(-LN(2)/inputs!$C$51)*G104+$G$3), (EXP(-LN(2)/inputs!$C$51)*G104))</f>
        <v>7.2411084183305558E-5</v>
      </c>
      <c r="H105" s="8">
        <f>IF((B105&gt;B104), (EXP(-LN(2)/inputs!$C$51)*H104+$H$3), (EXP(-LN(2)/inputs!$C$51)*H104))</f>
        <v>4.5377612754871386E-4</v>
      </c>
      <c r="I105" s="7">
        <f>O105*(10^inputs!$C$55)*0.01/1</f>
        <v>7.1081767875591213</v>
      </c>
      <c r="J105" s="7">
        <f>(((0.621*15^0.564)/0.2))*D105/15+J104*inputs!$C$53</f>
        <v>1.2467041191027704E-3</v>
      </c>
      <c r="K105" s="7">
        <f>(((0.621*1000^0.564)/0.2))*D105/1000+K104*inputs!$C$53</f>
        <v>1.9977410024221297E-4</v>
      </c>
      <c r="L105" s="7">
        <f>(((0.648*20^0.651)/0.2))*H105/20+L104*inputs!$C$54</f>
        <v>6.8351488360273978E-4</v>
      </c>
      <c r="M105" s="7">
        <f>(((0.013*2^0.773)/0.2))*H105/2+M104*inputs!$C$54</f>
        <v>3.3330511745106436E-5</v>
      </c>
      <c r="N105" s="7">
        <f>O105*0.015*inputs!$C$56</f>
        <v>1.044330482830943</v>
      </c>
      <c r="O105" s="7">
        <f>IF((B105&gt;B104), (EXP(-LN(2)/inputs!$C$52)*O104+$O$3), (EXP(-LN(2)/inputs!$C$52)*O104))</f>
        <v>0.11265701001412547</v>
      </c>
      <c r="P105" s="3">
        <f>IF((B105&gt;B104), (EXP(-LN(2)/inputs!$C$52)*P104+$P$3), (EXP(-LN(2)/inputs!$C$52)*P104))</f>
        <v>0.10886102320559056</v>
      </c>
      <c r="Q105" s="19">
        <f>IF((F105*0.62*1/(0.012*(10^inputs!$C$55)))&gt;inputs!$C$57, inputs!$C$57, (F105*0.62*1/(0.012*(10^inputs!$C$55))))</f>
        <v>5.3365182987094949E-6</v>
      </c>
      <c r="R105" s="3">
        <f>IF((B105&gt;B104), (EXP(-LN(2)/inputs!$C$51)*R104+$R$3), (EXP(-LN(2)/inputs!$C$51)*R104))</f>
        <v>1.2399102058465866E-11</v>
      </c>
      <c r="T105" s="7">
        <f>IF(T104&lt;(inputs!$C$20-1),(1+T104),0)</f>
        <v>0</v>
      </c>
      <c r="U105" s="7">
        <f>IF(inputs!$C$19&gt;U104,IF(T104=(inputs!$C$20-1),(U104+1),U104), U104)</f>
        <v>1</v>
      </c>
      <c r="V105" s="7">
        <f t="shared" si="2"/>
        <v>102</v>
      </c>
      <c r="W105" s="8">
        <f>IF((U105&gt;U104), (EXP(-LN(2)/inputs!$C$51)*W104+$W$3), (EXP(-LN(2)/inputs!$C$51)*W104))</f>
        <v>4.1032947703873075E-4</v>
      </c>
      <c r="X105" s="8">
        <f>IF((U105&gt;U104), (EXP(-LN(2)/inputs!$C$51)*X104+$X$3), (EXP(-LN(2)/inputs!$C$51)*X104))</f>
        <v>1.7378660203993301E-4</v>
      </c>
      <c r="Y105" s="8">
        <f>IF((U105&gt;U104), (EXP(-LN(2)/inputs!$C$51)*Y104+$Y$3), (EXP(-LN(2)/inputs!$C$51)*Y104))</f>
        <v>2.1723325254991647E-4</v>
      </c>
      <c r="Z105" s="8">
        <f>IF((U105&gt;U104), (EXP(-LN(2)/inputs!$C$51)*Z104+$Z$3), (EXP(-LN(2)/inputs!$C$51)*Z104))</f>
        <v>3.3791839285542529E-5</v>
      </c>
      <c r="AA105" s="8">
        <f>IF((U105&gt;U104), (EXP(-LN(2)/inputs!$C$51)*AA104+$AA$3), (EXP(-LN(2)/inputs!$C$51)*AA104))</f>
        <v>3.1378136479432372E-4</v>
      </c>
      <c r="AB105" s="7">
        <f>(((0.621*15^0.564)/0.2))*W105/15+AB104*inputs!$C$53</f>
        <v>4.4154104218223036E-4</v>
      </c>
      <c r="AC105" s="7">
        <f>(((0.621*1000^0.564)/0.2))*W105/1000+AC104*inputs!$C$53</f>
        <v>7.0753327169116971E-5</v>
      </c>
      <c r="AD105" s="7">
        <f>(((0.648*20^0.651)/0.2))*AA105/20+AD104*inputs!$C$54</f>
        <v>4.7264327057636304E-4</v>
      </c>
      <c r="AE105" s="7">
        <f>(((0.013*2^0.773)/0.2))*AA105/2+AE104*inputs!$C$54</f>
        <v>2.3047694291828942E-5</v>
      </c>
    </row>
    <row r="106" spans="1:31" x14ac:dyDescent="0.3">
      <c r="A106" s="7">
        <f>IF(A105&lt;(inputs!$C$20-1),(1+A105),0)</f>
        <v>0</v>
      </c>
      <c r="B106" s="7">
        <f>IF(inputs!$C$19&gt;B105,IF(A105=(inputs!$C$20-1),(B105+1),B105), B105)</f>
        <v>1</v>
      </c>
      <c r="C106" s="7">
        <f t="shared" si="3"/>
        <v>103</v>
      </c>
      <c r="D106" s="8">
        <f>IF((B106&gt;B105), (EXP(-LN(2)/inputs!$C$51)*D105+$D$3), (EXP(-LN(2)/inputs!$C$51)*D105))</f>
        <v>1.0165457297056006E-3</v>
      </c>
      <c r="E106" s="8">
        <f>IF((B106&gt;B105), (EXP(-LN(2)/inputs!$C$51)*E105+$E$3), (EXP(-LN(2)/inputs!$C$51)*E105))</f>
        <v>4.6591679278173303E-4</v>
      </c>
      <c r="F106" s="8">
        <f>IF((B106&gt;B105), (EXP(-LN(2)/inputs!$C$51)*F105+$F$3), (EXP(-LN(2)/inputs!$C$51)*F105))</f>
        <v>5.7180697295939969E-4</v>
      </c>
      <c r="G106" s="8">
        <f>IF((B106&gt;B105), (EXP(-LN(2)/inputs!$C$51)*G105+$G$3), (EXP(-LN(2)/inputs!$C$51)*G105))</f>
        <v>6.3534108106600039E-5</v>
      </c>
      <c r="H106" s="8">
        <f>IF((B106&gt;B105), (EXP(-LN(2)/inputs!$C$51)*H105+$H$3), (EXP(-LN(2)/inputs!$C$51)*H105))</f>
        <v>3.9814707746802609E-4</v>
      </c>
      <c r="I106" s="7">
        <f>O106*(10^inputs!$C$55)*0.01/1</f>
        <v>6.9647318011368355</v>
      </c>
      <c r="J106" s="7">
        <f>(((0.621*15^0.564)/0.2))*D106/15+J105*inputs!$C$53</f>
        <v>1.0938689176301618E-3</v>
      </c>
      <c r="K106" s="7">
        <f>(((0.621*1000^0.564)/0.2))*D106/1000+K105*inputs!$C$53</f>
        <v>1.7528351391006756E-4</v>
      </c>
      <c r="L106" s="7">
        <f>(((0.648*20^0.651)/0.2))*H106/20+L105*inputs!$C$54</f>
        <v>5.9972183812845921E-4</v>
      </c>
      <c r="M106" s="7">
        <f>(((0.013*2^0.773)/0.2))*H106/2+M105*inputs!$C$54</f>
        <v>2.9244477697657716E-5</v>
      </c>
      <c r="N106" s="7">
        <f>O106*0.015*inputs!$C$56</f>
        <v>1.0232556029556628</v>
      </c>
      <c r="O106" s="7">
        <f>IF((B106&gt;B105), (EXP(-LN(2)/inputs!$C$52)*O105+$O$3), (EXP(-LN(2)/inputs!$C$52)*O105))</f>
        <v>0.1103835601893919</v>
      </c>
      <c r="P106" s="3">
        <f>IF((B106&gt;B105), (EXP(-LN(2)/inputs!$C$52)*P105+$P$3), (EXP(-LN(2)/inputs!$C$52)*P105))</f>
        <v>0.10666417745142012</v>
      </c>
      <c r="Q106" s="19">
        <f>IF((F106*0.62*1/(0.012*(10^inputs!$C$55)))&gt;inputs!$C$57, inputs!$C$57, (F106*0.62*1/(0.012*(10^inputs!$C$55))))</f>
        <v>4.6823070573665956E-6</v>
      </c>
      <c r="R106" s="3">
        <f>IF((B106&gt;B105), (EXP(-LN(2)/inputs!$C$51)*R105+$R$3), (EXP(-LN(2)/inputs!$C$51)*R105))</f>
        <v>1.0879078797013201E-11</v>
      </c>
      <c r="T106" s="7">
        <f>IF(T105&lt;(inputs!$C$20-1),(1+T105),0)</f>
        <v>0</v>
      </c>
      <c r="U106" s="7">
        <f>IF(inputs!$C$19&gt;U105,IF(T105=(inputs!$C$20-1),(U105+1),U105), U105)</f>
        <v>1</v>
      </c>
      <c r="V106" s="7">
        <f t="shared" si="2"/>
        <v>103</v>
      </c>
      <c r="W106" s="8">
        <f>IF((U106&gt;U105), (EXP(-LN(2)/inputs!$C$51)*W105+$W$3), (EXP(-LN(2)/inputs!$C$51)*W105))</f>
        <v>3.6002661260406621E-4</v>
      </c>
      <c r="X106" s="8">
        <f>IF((U106&gt;U105), (EXP(-LN(2)/inputs!$C$51)*X105+$X$3), (EXP(-LN(2)/inputs!$C$51)*X105))</f>
        <v>1.524818594558398E-4</v>
      </c>
      <c r="Y106" s="8">
        <f>IF((U106&gt;U105), (EXP(-LN(2)/inputs!$C$51)*Y105+$Y$3), (EXP(-LN(2)/inputs!$C$51)*Y105))</f>
        <v>1.9060232431979994E-4</v>
      </c>
      <c r="Z106" s="8">
        <f>IF((U106&gt;U105), (EXP(-LN(2)/inputs!$C$51)*Z105+$Z$3), (EXP(-LN(2)/inputs!$C$51)*Z105))</f>
        <v>2.9649250449746628E-5</v>
      </c>
      <c r="AA106" s="8">
        <f>IF((U106&gt;U105), (EXP(-LN(2)/inputs!$C$51)*AA105+$AA$3), (EXP(-LN(2)/inputs!$C$51)*AA105))</f>
        <v>2.7531446846193317E-4</v>
      </c>
      <c r="AB106" s="7">
        <f>(((0.621*15^0.564)/0.2))*W106/15+AB105*inputs!$C$53</f>
        <v>3.8741190832734823E-4</v>
      </c>
      <c r="AC106" s="7">
        <f>(((0.621*1000^0.564)/0.2))*W106/1000+AC105*inputs!$C$53</f>
        <v>6.2079577843148805E-5</v>
      </c>
      <c r="AD106" s="7">
        <f>(((0.648*20^0.651)/0.2))*AA106/20+AD105*inputs!$C$54</f>
        <v>4.1470127104627539E-4</v>
      </c>
      <c r="AE106" s="7">
        <f>(((0.013*2^0.773)/0.2))*AA106/2+AE105*inputs!$C$54</f>
        <v>2.0222245216465461E-5</v>
      </c>
    </row>
    <row r="107" spans="1:31" x14ac:dyDescent="0.3">
      <c r="A107" s="7">
        <f>IF(A106&lt;(inputs!$C$20-1),(1+A106),0)</f>
        <v>0</v>
      </c>
      <c r="B107" s="7">
        <f>IF(inputs!$C$19&gt;B106,IF(A106=(inputs!$C$20-1),(B106+1),B106), B106)</f>
        <v>1</v>
      </c>
      <c r="C107" s="7">
        <f t="shared" si="3"/>
        <v>104</v>
      </c>
      <c r="D107" s="8">
        <f>IF((B107&gt;B106), (EXP(-LN(2)/inputs!$C$51)*D106+$D$3), (EXP(-LN(2)/inputs!$C$51)*D106))</f>
        <v>8.9192596706497672E-4</v>
      </c>
      <c r="E107" s="8">
        <f>IF((B107&gt;B106), (EXP(-LN(2)/inputs!$C$51)*E106+$E$3), (EXP(-LN(2)/inputs!$C$51)*E106))</f>
        <v>4.0879940157144716E-4</v>
      </c>
      <c r="F107" s="8">
        <f>IF((B107&gt;B106), (EXP(-LN(2)/inputs!$C$51)*F106+$F$3), (EXP(-LN(2)/inputs!$C$51)*F106))</f>
        <v>5.0170835647404886E-4</v>
      </c>
      <c r="G107" s="8">
        <f>IF((B107&gt;B106), (EXP(-LN(2)/inputs!$C$51)*G106+$G$3), (EXP(-LN(2)/inputs!$C$51)*G106))</f>
        <v>5.5745372941561045E-5</v>
      </c>
      <c r="H107" s="8">
        <f>IF((B107&gt;B106), (EXP(-LN(2)/inputs!$C$51)*H106+$H$3), (EXP(-LN(2)/inputs!$C$51)*H106))</f>
        <v>3.4933767043378186E-4</v>
      </c>
      <c r="I107" s="7">
        <f>O107*(10^inputs!$C$55)*0.01/1</f>
        <v>6.8241815744742818</v>
      </c>
      <c r="J107" s="7">
        <f>(((0.621*15^0.564)/0.2))*D107/15+J106*inputs!$C$53</f>
        <v>9.5976999724563011E-4</v>
      </c>
      <c r="K107" s="7">
        <f>(((0.621*1000^0.564)/0.2))*D107/1000+K106*inputs!$C$53</f>
        <v>1.5379526280638801E-4</v>
      </c>
      <c r="L107" s="7">
        <f>(((0.648*20^0.651)/0.2))*H107/20+L106*inputs!$C$54</f>
        <v>5.2620109928318206E-4</v>
      </c>
      <c r="M107" s="7">
        <f>(((0.013*2^0.773)/0.2))*H107/2+M106*inputs!$C$54</f>
        <v>2.5659356278391534E-5</v>
      </c>
      <c r="N107" s="7">
        <f>O107*0.015*inputs!$C$56</f>
        <v>1.0026060200233136</v>
      </c>
      <c r="O107" s="7">
        <f>IF((B107&gt;B106), (EXP(-LN(2)/inputs!$C$52)*O106+$O$3), (EXP(-LN(2)/inputs!$C$52)*O106))</f>
        <v>0.10815598921502842</v>
      </c>
      <c r="P107" s="3">
        <f>IF((B107&gt;B106), (EXP(-LN(2)/inputs!$C$52)*P106+$P$3), (EXP(-LN(2)/inputs!$C$52)*P106))</f>
        <v>0.10451166465614997</v>
      </c>
      <c r="Q107" s="19">
        <f>IF((F107*0.62*1/(0.012*(10^inputs!$C$55)))&gt;inputs!$C$57, inputs!$C$57, (F107*0.62*1/(0.012*(10^inputs!$C$55))))</f>
        <v>4.1082964870122928E-6</v>
      </c>
      <c r="R107" s="3">
        <f>IF((B107&gt;B106), (EXP(-LN(2)/inputs!$C$51)*R106+$R$3), (EXP(-LN(2)/inputs!$C$51)*R106))</f>
        <v>9.5453973129297807E-12</v>
      </c>
      <c r="T107" s="7">
        <f>IF(T106&lt;(inputs!$C$20-1),(1+T106),0)</f>
        <v>0</v>
      </c>
      <c r="U107" s="7">
        <f>IF(inputs!$C$19&gt;U106,IF(T106=(inputs!$C$20-1),(U106+1),U106), U106)</f>
        <v>1</v>
      </c>
      <c r="V107" s="7">
        <f t="shared" si="2"/>
        <v>104</v>
      </c>
      <c r="W107" s="8">
        <f>IF((U107&gt;U106), (EXP(-LN(2)/inputs!$C$51)*W106+$W$3), (EXP(-LN(2)/inputs!$C$51)*W106))</f>
        <v>3.1589044666884534E-4</v>
      </c>
      <c r="X107" s="8">
        <f>IF((U107&gt;U106), (EXP(-LN(2)/inputs!$C$51)*X106+$X$3), (EXP(-LN(2)/inputs!$C$51)*X106))</f>
        <v>1.3378889505974626E-4</v>
      </c>
      <c r="Y107" s="8">
        <f>IF((U107&gt;U106), (EXP(-LN(2)/inputs!$C$51)*Y106+$Y$3), (EXP(-LN(2)/inputs!$C$51)*Y106))</f>
        <v>1.67236118824683E-4</v>
      </c>
      <c r="Z107" s="8">
        <f>IF((U107&gt;U106), (EXP(-LN(2)/inputs!$C$51)*Z106+$Z$3), (EXP(-LN(2)/inputs!$C$51)*Z106))</f>
        <v>2.6014507372728438E-5</v>
      </c>
      <c r="AA107" s="8">
        <f>IF((U107&gt;U106), (EXP(-LN(2)/inputs!$C$51)*AA106+$AA$3), (EXP(-LN(2)/inputs!$C$51)*AA106))</f>
        <v>2.4156328274676427E-4</v>
      </c>
      <c r="AB107" s="7">
        <f>(((0.621*15^0.564)/0.2))*W107/15+AB106*inputs!$C$53</f>
        <v>3.3991854069116001E-4</v>
      </c>
      <c r="AC107" s="7">
        <f>(((0.621*1000^0.564)/0.2))*W107/1000+AC106*inputs!$C$53</f>
        <v>5.4469155577262319E-5</v>
      </c>
      <c r="AD107" s="7">
        <f>(((0.648*20^0.651)/0.2))*AA107/20+AD106*inputs!$C$54</f>
        <v>3.6386246227028575E-4</v>
      </c>
      <c r="AE107" s="7">
        <f>(((0.013*2^0.773)/0.2))*AA107/2+AE106*inputs!$C$54</f>
        <v>1.7743171894632459E-5</v>
      </c>
    </row>
    <row r="108" spans="1:31" x14ac:dyDescent="0.3">
      <c r="A108" s="7">
        <f>IF(A107&lt;(inputs!$C$20-1),(1+A107),0)</f>
        <v>0</v>
      </c>
      <c r="B108" s="7">
        <f>IF(inputs!$C$19&gt;B107,IF(A107=(inputs!$C$20-1),(B107+1),B107), B107)</f>
        <v>1</v>
      </c>
      <c r="C108" s="7">
        <f t="shared" si="3"/>
        <v>105</v>
      </c>
      <c r="D108" s="8">
        <f>IF((B108&gt;B107), (EXP(-LN(2)/inputs!$C$51)*D107+$D$3), (EXP(-LN(2)/inputs!$C$51)*D107))</f>
        <v>7.8258351540681412E-4</v>
      </c>
      <c r="E108" s="8">
        <f>IF((B108&gt;B107), (EXP(-LN(2)/inputs!$C$51)*E107+$E$3), (EXP(-LN(2)/inputs!$C$51)*E107))</f>
        <v>3.586841112281227E-4</v>
      </c>
      <c r="F108" s="8">
        <f>IF((B108&gt;B107), (EXP(-LN(2)/inputs!$C$51)*F107+$F$3), (EXP(-LN(2)/inputs!$C$51)*F107))</f>
        <v>4.4020322741633247E-4</v>
      </c>
      <c r="G108" s="8">
        <f>IF((B108&gt;B107), (EXP(-LN(2)/inputs!$C$51)*G107+$G$3), (EXP(-LN(2)/inputs!$C$51)*G107))</f>
        <v>4.8911469712925883E-5</v>
      </c>
      <c r="H108" s="8">
        <f>IF((B108&gt;B107), (EXP(-LN(2)/inputs!$C$51)*H107+$H$3), (EXP(-LN(2)/inputs!$C$51)*H107))</f>
        <v>3.0651187686766824E-4</v>
      </c>
      <c r="I108" s="7">
        <f>O108*(10^inputs!$C$55)*0.01/1</f>
        <v>6.686467690513636</v>
      </c>
      <c r="J108" s="7">
        <f>(((0.621*15^0.564)/0.2))*D108/15+J107*inputs!$C$53</f>
        <v>8.4211045104795774E-4</v>
      </c>
      <c r="K108" s="7">
        <f>(((0.621*1000^0.564)/0.2))*D108/1000+K107*inputs!$C$53</f>
        <v>1.349412864567603E-4</v>
      </c>
      <c r="L108" s="7">
        <f>(((0.648*20^0.651)/0.2))*H108/20+L107*inputs!$C$54</f>
        <v>4.6169337063146996E-4</v>
      </c>
      <c r="M108" s="7">
        <f>(((0.013*2^0.773)/0.2))*H108/2+M107*inputs!$C$54</f>
        <v>2.251373990769425E-5</v>
      </c>
      <c r="N108" s="7">
        <f>O108*0.015*inputs!$C$56</f>
        <v>0.98237315142318782</v>
      </c>
      <c r="O108" s="7">
        <f>IF((B108&gt;B107), (EXP(-LN(2)/inputs!$C$52)*O107+$O$3), (EXP(-LN(2)/inputs!$C$52)*O107))</f>
        <v>0.10597337124306234</v>
      </c>
      <c r="P108" s="3">
        <f>IF((B108&gt;B107), (EXP(-LN(2)/inputs!$C$52)*P107+$P$3), (EXP(-LN(2)/inputs!$C$52)*P107))</f>
        <v>0.10240259016832763</v>
      </c>
      <c r="Q108" s="19">
        <f>IF((F108*0.62*1/(0.012*(10^inputs!$C$55)))&gt;inputs!$C$57, inputs!$C$57, (F108*0.62*1/(0.012*(10^inputs!$C$55))))</f>
        <v>3.6046546752297056E-6</v>
      </c>
      <c r="R108" s="3">
        <f>IF((B108&gt;B107), (EXP(-LN(2)/inputs!$C$51)*R107+$R$3), (EXP(-LN(2)/inputs!$C$51)*R107))</f>
        <v>8.3752137071295189E-12</v>
      </c>
      <c r="T108" s="7">
        <f>IF(T107&lt;(inputs!$C$20-1),(1+T107),0)</f>
        <v>0</v>
      </c>
      <c r="U108" s="7">
        <f>IF(inputs!$C$19&gt;U107,IF(T107=(inputs!$C$20-1),(U107+1),U107), U107)</f>
        <v>1</v>
      </c>
      <c r="V108" s="7">
        <f t="shared" si="2"/>
        <v>105</v>
      </c>
      <c r="W108" s="8">
        <f>IF((U108&gt;U107), (EXP(-LN(2)/inputs!$C$51)*W107+$W$3), (EXP(-LN(2)/inputs!$C$51)*W107))</f>
        <v>2.7716499503991282E-4</v>
      </c>
      <c r="X108" s="8">
        <f>IF((U108&gt;U107), (EXP(-LN(2)/inputs!$C$51)*X107+$X$3), (EXP(-LN(2)/inputs!$C$51)*X107))</f>
        <v>1.1738752731102189E-4</v>
      </c>
      <c r="Y108" s="8">
        <f>IF((U108&gt;U107), (EXP(-LN(2)/inputs!$C$51)*Y107+$Y$3), (EXP(-LN(2)/inputs!$C$51)*Y107))</f>
        <v>1.4673440913877753E-4</v>
      </c>
      <c r="Z108" s="8">
        <f>IF((U108&gt;U107), (EXP(-LN(2)/inputs!$C$51)*Z107+$Z$3), (EXP(-LN(2)/inputs!$C$51)*Z107))</f>
        <v>2.2825352532698701E-5</v>
      </c>
      <c r="AA108" s="8">
        <f>IF((U108&gt;U107), (EXP(-LN(2)/inputs!$C$51)*AA107+$AA$3), (EXP(-LN(2)/inputs!$C$51)*AA107))</f>
        <v>2.1194970208934525E-4</v>
      </c>
      <c r="AB108" s="7">
        <f>(((0.621*15^0.564)/0.2))*W108/15+AB107*inputs!$C$53</f>
        <v>2.9824745141281779E-4</v>
      </c>
      <c r="AC108" s="7">
        <f>(((0.621*1000^0.564)/0.2))*W108/1000+AC107*inputs!$C$53</f>
        <v>4.779170562010252E-5</v>
      </c>
      <c r="AD108" s="7">
        <f>(((0.648*20^0.651)/0.2))*AA108/20+AD107*inputs!$C$54</f>
        <v>3.1925605416005933E-4</v>
      </c>
      <c r="AE108" s="7">
        <f>(((0.013*2^0.773)/0.2))*AA108/2+AE107*inputs!$C$54</f>
        <v>1.5568011638299229E-5</v>
      </c>
    </row>
    <row r="109" spans="1:31" x14ac:dyDescent="0.3">
      <c r="A109" s="7">
        <f>IF(A108&lt;(inputs!$C$20-1),(1+A108),0)</f>
        <v>0</v>
      </c>
      <c r="B109" s="7">
        <f>IF(inputs!$C$19&gt;B108,IF(A108=(inputs!$C$20-1),(B108+1),B108), B108)</f>
        <v>1</v>
      </c>
      <c r="C109" s="7">
        <f t="shared" si="3"/>
        <v>106</v>
      </c>
      <c r="D109" s="8">
        <f>IF((B109&gt;B108), (EXP(-LN(2)/inputs!$C$51)*D108+$D$3), (EXP(-LN(2)/inputs!$C$51)*D108))</f>
        <v>6.866455078125013E-4</v>
      </c>
      <c r="E109" s="8">
        <f>IF((B109&gt;B108), (EXP(-LN(2)/inputs!$C$51)*E108+$E$3), (EXP(-LN(2)/inputs!$C$51)*E108))</f>
        <v>3.1471252441406272E-4</v>
      </c>
      <c r="F109" s="8">
        <f>IF((B109&gt;B108), (EXP(-LN(2)/inputs!$C$51)*F108+$F$3), (EXP(-LN(2)/inputs!$C$51)*F108))</f>
        <v>3.8623809814453158E-4</v>
      </c>
      <c r="G109" s="8">
        <f>IF((B109&gt;B108), (EXP(-LN(2)/inputs!$C$51)*G108+$G$3), (EXP(-LN(2)/inputs!$C$51)*G108))</f>
        <v>4.2915344238281331E-5</v>
      </c>
      <c r="H109" s="8">
        <f>IF((B109&gt;B108), (EXP(-LN(2)/inputs!$C$51)*H108+$H$3), (EXP(-LN(2)/inputs!$C$51)*H108))</f>
        <v>2.6893615722656245E-4</v>
      </c>
      <c r="I109" s="7">
        <f>O109*(10^inputs!$C$55)*0.01/1</f>
        <v>6.551532911069561</v>
      </c>
      <c r="J109" s="7">
        <f>(((0.621*15^0.564)/0.2))*D109/15+J108*inputs!$C$53</f>
        <v>7.3887495316516435E-4</v>
      </c>
      <c r="K109" s="7">
        <f>(((0.621*1000^0.564)/0.2))*D109/1000+K108*inputs!$C$53</f>
        <v>1.1839864543506024E-4</v>
      </c>
      <c r="L109" s="7">
        <f>(((0.648*20^0.651)/0.2))*H109/20+L108*inputs!$C$54</f>
        <v>4.0509373464902746E-4</v>
      </c>
      <c r="M109" s="7">
        <f>(((0.013*2^0.773)/0.2))*H109/2+M108*inputs!$C$54</f>
        <v>1.9753749047015371E-5</v>
      </c>
      <c r="N109" s="7">
        <f>O109*0.015*inputs!$C$56</f>
        <v>0.96254858774405261</v>
      </c>
      <c r="O109" s="7">
        <f>IF((B109&gt;B108), (EXP(-LN(2)/inputs!$C$52)*O108+$O$3), (EXP(-LN(2)/inputs!$C$52)*O108))</f>
        <v>0.10383479910939079</v>
      </c>
      <c r="P109" s="3">
        <f>IF((B109&gt;B108), (EXP(-LN(2)/inputs!$C$52)*P108+$P$3), (EXP(-LN(2)/inputs!$C$52)*P108))</f>
        <v>0.10033607739081599</v>
      </c>
      <c r="Q109" s="19">
        <f>IF((F109*0.62*1/(0.012*(10^inputs!$C$55)))&gt;inputs!$C$57, inputs!$C$57, (F109*0.62*1/(0.012*(10^inputs!$C$55))))</f>
        <v>3.1627550174950406E-6</v>
      </c>
      <c r="R109" s="3">
        <f>IF((B109&gt;B108), (EXP(-LN(2)/inputs!$C$51)*R108+$R$3), (EXP(-LN(2)/inputs!$C$51)*R108))</f>
        <v>7.3484845460624135E-12</v>
      </c>
      <c r="T109" s="7">
        <f>IF(T108&lt;(inputs!$C$20-1),(1+T108),0)</f>
        <v>0</v>
      </c>
      <c r="U109" s="7">
        <f>IF(inputs!$C$19&gt;U108,IF(T108=(inputs!$C$20-1),(U108+1),U108), U108)</f>
        <v>1</v>
      </c>
      <c r="V109" s="7">
        <f t="shared" si="2"/>
        <v>106</v>
      </c>
      <c r="W109" s="8">
        <f>IF((U109&gt;U108), (EXP(-LN(2)/inputs!$C$51)*W108+$W$3), (EXP(-LN(2)/inputs!$C$51)*W108))</f>
        <v>2.4318695068359375E-4</v>
      </c>
      <c r="X109" s="8">
        <f>IF((U109&gt;U108), (EXP(-LN(2)/inputs!$C$51)*X108+$X$3), (EXP(-LN(2)/inputs!$C$51)*X108))</f>
        <v>1.02996826171875E-4</v>
      </c>
      <c r="Y109" s="8">
        <f>IF((U109&gt;U108), (EXP(-LN(2)/inputs!$C$51)*Y108+$Y$3), (EXP(-LN(2)/inputs!$C$51)*Y108))</f>
        <v>1.2874603271484389E-4</v>
      </c>
      <c r="Z109" s="8">
        <f>IF((U109&gt;U108), (EXP(-LN(2)/inputs!$C$51)*Z108+$Z$3), (EXP(-LN(2)/inputs!$C$51)*Z108))</f>
        <v>2.002716064453125E-5</v>
      </c>
      <c r="AA109" s="8">
        <f>IF((U109&gt;U108), (EXP(-LN(2)/inputs!$C$51)*AA108+$AA$3), (EXP(-LN(2)/inputs!$C$51)*AA108))</f>
        <v>1.8596649169921889E-4</v>
      </c>
      <c r="AB109" s="7">
        <f>(((0.621*15^0.564)/0.2))*W109/15+AB108*inputs!$C$53</f>
        <v>2.6168487924599522E-4</v>
      </c>
      <c r="AC109" s="7">
        <f>(((0.621*1000^0.564)/0.2))*W109/1000+AC108*inputs!$C$53</f>
        <v>4.1932853591583746E-5</v>
      </c>
      <c r="AD109" s="7">
        <f>(((0.648*20^0.651)/0.2))*AA109/20+AD108*inputs!$C$54</f>
        <v>2.8011800800198736E-4</v>
      </c>
      <c r="AE109" s="7">
        <f>(((0.013*2^0.773)/0.2))*AA109/2+AE108*inputs!$C$54</f>
        <v>1.3659507319744683E-5</v>
      </c>
    </row>
    <row r="110" spans="1:31" x14ac:dyDescent="0.3">
      <c r="A110" s="7">
        <f>IF(A109&lt;(inputs!$C$20-1),(1+A109),0)</f>
        <v>0</v>
      </c>
      <c r="B110" s="7">
        <f>IF(inputs!$C$19&gt;B109,IF(A109=(inputs!$C$20-1),(B109+1),B109), B109)</f>
        <v>1</v>
      </c>
      <c r="C110" s="7">
        <f t="shared" si="3"/>
        <v>107</v>
      </c>
      <c r="D110" s="8">
        <f>IF((B110&gt;B109), (EXP(-LN(2)/inputs!$C$51)*D109+$D$3), (EXP(-LN(2)/inputs!$C$51)*D109))</f>
        <v>6.0246867473817797E-4</v>
      </c>
      <c r="E110" s="8">
        <f>IF((B110&gt;B109), (EXP(-LN(2)/inputs!$C$51)*E109+$E$3), (EXP(-LN(2)/inputs!$C$51)*E109))</f>
        <v>2.7613147592166459E-4</v>
      </c>
      <c r="F110" s="8">
        <f>IF((B110&gt;B109), (EXP(-LN(2)/inputs!$C$51)*F109+$F$3), (EXP(-LN(2)/inputs!$C$51)*F109))</f>
        <v>3.3888862954022477E-4</v>
      </c>
      <c r="G110" s="8">
        <f>IF((B110&gt;B109), (EXP(-LN(2)/inputs!$C$51)*G109+$G$3), (EXP(-LN(2)/inputs!$C$51)*G109))</f>
        <v>3.7654292171136123E-5</v>
      </c>
      <c r="H110" s="8">
        <f>IF((B110&gt;B109), (EXP(-LN(2)/inputs!$C$51)*H109+$H$3), (EXP(-LN(2)/inputs!$C$51)*H109))</f>
        <v>2.3596689760578587E-4</v>
      </c>
      <c r="I110" s="7">
        <f>O110*(10^inputs!$C$55)*0.01/1</f>
        <v>6.4193211530392364</v>
      </c>
      <c r="J110" s="7">
        <f>(((0.621*15^0.564)/0.2))*D110/15+J109*inputs!$C$53</f>
        <v>6.4829523934234262E-4</v>
      </c>
      <c r="K110" s="7">
        <f>(((0.621*1000^0.564)/0.2))*D110/1000+K109*inputs!$C$53</f>
        <v>1.0388398991104195E-4</v>
      </c>
      <c r="L110" s="7">
        <f>(((0.648*20^0.651)/0.2))*H110/20+L109*inputs!$C$54</f>
        <v>3.5543272719608594E-4</v>
      </c>
      <c r="M110" s="7">
        <f>(((0.013*2^0.773)/0.2))*H110/2+M109*inputs!$C$54</f>
        <v>1.7332109325785678E-5</v>
      </c>
      <c r="N110" s="7">
        <f>O110*0.015*inputs!$C$56</f>
        <v>0.94312408927893365</v>
      </c>
      <c r="O110" s="7">
        <f>IF((B110&gt;B109), (EXP(-LN(2)/inputs!$C$52)*O109+$O$3), (EXP(-LN(2)/inputs!$C$52)*O109))</f>
        <v>0.10173938395673503</v>
      </c>
      <c r="P110" s="3">
        <f>IF((B110&gt;B109), (EXP(-LN(2)/inputs!$C$52)*P109+$P$3), (EXP(-LN(2)/inputs!$C$52)*P109))</f>
        <v>9.8311267416452172E-2</v>
      </c>
      <c r="Q110" s="19">
        <f>IF((F110*0.62*1/(0.012*(10^inputs!$C$55)))&gt;inputs!$C$57, inputs!$C$57, (F110*0.62*1/(0.012*(10^inputs!$C$55))))</f>
        <v>2.7750284567973523E-6</v>
      </c>
      <c r="R110" s="3">
        <f>IF((B110&gt;B109), (EXP(-LN(2)/inputs!$C$51)*R109+$R$3), (EXP(-LN(2)/inputs!$C$51)*R109))</f>
        <v>6.4476235487280353E-12</v>
      </c>
      <c r="T110" s="7">
        <f>IF(T109&lt;(inputs!$C$20-1),(1+T109),0)</f>
        <v>0</v>
      </c>
      <c r="U110" s="7">
        <f>IF(inputs!$C$19&gt;U109,IF(T109=(inputs!$C$20-1),(U109+1),U109), U109)</f>
        <v>1</v>
      </c>
      <c r="V110" s="7">
        <f t="shared" si="2"/>
        <v>107</v>
      </c>
      <c r="W110" s="8">
        <f>IF((U110&gt;U109), (EXP(-LN(2)/inputs!$C$51)*W109+$W$3), (EXP(-LN(2)/inputs!$C$51)*W109))</f>
        <v>2.133743223031043E-4</v>
      </c>
      <c r="X110" s="8">
        <f>IF((U110&gt;U109), (EXP(-LN(2)/inputs!$C$51)*X109+$X$3), (EXP(-LN(2)/inputs!$C$51)*X109))</f>
        <v>9.0370301210726531E-5</v>
      </c>
      <c r="Y110" s="8">
        <f>IF((U110&gt;U109), (EXP(-LN(2)/inputs!$C$51)*Y109+$Y$3), (EXP(-LN(2)/inputs!$C$51)*Y109))</f>
        <v>1.1296287651340828E-4</v>
      </c>
      <c r="Z110" s="8">
        <f>IF((U110&gt;U109), (EXP(-LN(2)/inputs!$C$51)*Z109+$Z$3), (EXP(-LN(2)/inputs!$C$51)*Z109))</f>
        <v>1.7572003013196823E-5</v>
      </c>
      <c r="AA110" s="8">
        <f>IF((U110&gt;U109), (EXP(-LN(2)/inputs!$C$51)*AA109+$AA$3), (EXP(-LN(2)/inputs!$C$51)*AA109))</f>
        <v>1.6316859940825634E-4</v>
      </c>
      <c r="AB110" s="7">
        <f>(((0.621*15^0.564)/0.2))*W110/15+AB109*inputs!$C$53</f>
        <v>2.296045639337459E-4</v>
      </c>
      <c r="AC110" s="7">
        <f>(((0.621*1000^0.564)/0.2))*W110/1000+AC109*inputs!$C$53</f>
        <v>3.6792246426827284E-5</v>
      </c>
      <c r="AD110" s="7">
        <f>(((0.648*20^0.651)/0.2))*AA110/20+AD109*inputs!$C$54</f>
        <v>2.457779496568682E-4</v>
      </c>
      <c r="AE110" s="7">
        <f>(((0.013*2^0.773)/0.2))*AA110/2+AE109*inputs!$C$54</f>
        <v>1.1984969214639043E-5</v>
      </c>
    </row>
    <row r="111" spans="1:31" x14ac:dyDescent="0.3">
      <c r="A111" s="7">
        <f>IF(A110&lt;(inputs!$C$20-1),(1+A110),0)</f>
        <v>0</v>
      </c>
      <c r="B111" s="7">
        <f>IF(inputs!$C$19&gt;B110,IF(A110=(inputs!$C$20-1),(B110+1),B110), B110)</f>
        <v>1</v>
      </c>
      <c r="C111" s="7">
        <f t="shared" si="3"/>
        <v>108</v>
      </c>
      <c r="D111" s="8">
        <f>IF((B111&gt;B110), (EXP(-LN(2)/inputs!$C$51)*D110+$D$3), (EXP(-LN(2)/inputs!$C$51)*D110))</f>
        <v>5.2861119735147296E-4</v>
      </c>
      <c r="E111" s="8">
        <f>IF((B111&gt;B110), (EXP(-LN(2)/inputs!$C$51)*E110+$E$3), (EXP(-LN(2)/inputs!$C$51)*E110))</f>
        <v>2.4228013211942482E-4</v>
      </c>
      <c r="F111" s="8">
        <f>IF((B111&gt;B110), (EXP(-LN(2)/inputs!$C$51)*F110+$F$3), (EXP(-LN(2)/inputs!$C$51)*F110))</f>
        <v>2.9734379851020326E-4</v>
      </c>
      <c r="G111" s="8">
        <f>IF((B111&gt;B110), (EXP(-LN(2)/inputs!$C$51)*G110+$G$3), (EXP(-LN(2)/inputs!$C$51)*G110))</f>
        <v>3.303819983446706E-5</v>
      </c>
      <c r="H111" s="8">
        <f>IF((B111&gt;B110), (EXP(-LN(2)/inputs!$C$51)*H110+$H$3), (EXP(-LN(2)/inputs!$C$51)*H110))</f>
        <v>2.0703938562932647E-4</v>
      </c>
      <c r="I111" s="7">
        <f>O111*(10^inputs!$C$55)*0.01/1</f>
        <v>6.2897774650924703</v>
      </c>
      <c r="J111" s="7">
        <f>(((0.621*15^0.564)/0.2))*D111/15+J110*inputs!$C$53</f>
        <v>5.6881981931250622E-4</v>
      </c>
      <c r="K111" s="7">
        <f>(((0.621*1000^0.564)/0.2))*D111/1000+K110*inputs!$C$53</f>
        <v>9.1148706306413274E-5</v>
      </c>
      <c r="L111" s="7">
        <f>(((0.648*20^0.651)/0.2))*H111/20+L110*inputs!$C$54</f>
        <v>3.1185973209756372E-4</v>
      </c>
      <c r="M111" s="7">
        <f>(((0.013*2^0.773)/0.2))*H111/2+M110*inputs!$C$54</f>
        <v>1.5207341804637086E-5</v>
      </c>
      <c r="N111" s="7">
        <f>O111*0.015*inputs!$C$56</f>
        <v>0.92409158260043789</v>
      </c>
      <c r="O111" s="7">
        <f>IF((B111&gt;B110), (EXP(-LN(2)/inputs!$C$52)*O110+$O$3), (EXP(-LN(2)/inputs!$C$52)*O110))</f>
        <v>9.9686254865203661E-2</v>
      </c>
      <c r="P111" s="3">
        <f>IF((B111&gt;B110), (EXP(-LN(2)/inputs!$C$52)*P110+$P$3), (EXP(-LN(2)/inputs!$C$52)*P110))</f>
        <v>9.6327318671059009E-2</v>
      </c>
      <c r="Q111" s="19">
        <f>IF((F111*0.62*1/(0.012*(10^inputs!$C$55)))&gt;inputs!$C$57, inputs!$C$57, (F111*0.62*1/(0.012*(10^inputs!$C$55))))</f>
        <v>2.434833837409973E-6</v>
      </c>
      <c r="R111" s="3">
        <f>IF((B111&gt;B110), (EXP(-LN(2)/inputs!$C$51)*R110+$R$3), (EXP(-LN(2)/inputs!$C$51)*R110))</f>
        <v>5.6572003609081575E-12</v>
      </c>
      <c r="T111" s="7">
        <f>IF(T110&lt;(inputs!$C$20-1),(1+T110),0)</f>
        <v>0</v>
      </c>
      <c r="U111" s="7">
        <f>IF(inputs!$C$19&gt;U110,IF(T110=(inputs!$C$20-1),(U110+1),U110), U110)</f>
        <v>1</v>
      </c>
      <c r="V111" s="7">
        <f t="shared" si="2"/>
        <v>108</v>
      </c>
      <c r="W111" s="8">
        <f>IF((U111&gt;U110), (EXP(-LN(2)/inputs!$C$51)*W110+$W$3), (EXP(-LN(2)/inputs!$C$51)*W110))</f>
        <v>1.8721646572864633E-4</v>
      </c>
      <c r="X111" s="8">
        <f>IF((U111&gt;U110), (EXP(-LN(2)/inputs!$C$51)*X110+$X$3), (EXP(-LN(2)/inputs!$C$51)*X110))</f>
        <v>7.9291679602720803E-5</v>
      </c>
      <c r="Y111" s="8">
        <f>IF((U111&gt;U110), (EXP(-LN(2)/inputs!$C$51)*Y110+$Y$3), (EXP(-LN(2)/inputs!$C$51)*Y110))</f>
        <v>9.9114599503401091E-5</v>
      </c>
      <c r="Z111" s="8">
        <f>IF((U111&gt;U110), (EXP(-LN(2)/inputs!$C$51)*Z110+$Z$3), (EXP(-LN(2)/inputs!$C$51)*Z110))</f>
        <v>1.541782658941793E-5</v>
      </c>
      <c r="AA111" s="8">
        <f>IF((U111&gt;U110), (EXP(-LN(2)/inputs!$C$51)*AA110+$AA$3), (EXP(-LN(2)/inputs!$C$51)*AA110))</f>
        <v>1.4316553261602374E-4</v>
      </c>
      <c r="AB111" s="7">
        <f>(((0.621*15^0.564)/0.2))*W111/15+AB110*inputs!$C$53</f>
        <v>2.0145701933984558E-4</v>
      </c>
      <c r="AC111" s="7">
        <f>(((0.621*1000^0.564)/0.2))*W111/1000+AC110*inputs!$C$53</f>
        <v>3.2281833483521314E-5</v>
      </c>
      <c r="AD111" s="7">
        <f>(((0.648*20^0.651)/0.2))*AA111/20+AD110*inputs!$C$54</f>
        <v>2.1564768708874109E-4</v>
      </c>
      <c r="AE111" s="7">
        <f>(((0.013*2^0.773)/0.2))*AA111/2+AE110*inputs!$C$54</f>
        <v>1.0515715077674591E-5</v>
      </c>
    </row>
    <row r="112" spans="1:31" x14ac:dyDescent="0.3">
      <c r="A112" s="7">
        <f>IF(A111&lt;(inputs!$C$20-1),(1+A111),0)</f>
        <v>0</v>
      </c>
      <c r="B112" s="7">
        <f>IF(inputs!$C$19&gt;B111,IF(A111=(inputs!$C$20-1),(B111+1),B111), B111)</f>
        <v>1</v>
      </c>
      <c r="C112" s="7">
        <f t="shared" si="3"/>
        <v>109</v>
      </c>
      <c r="D112" s="8">
        <f>IF((B112&gt;B111), (EXP(-LN(2)/inputs!$C$51)*D111+$D$3), (EXP(-LN(2)/inputs!$C$51)*D111))</f>
        <v>4.6380801140705457E-4</v>
      </c>
      <c r="E112" s="8">
        <f>IF((B112&gt;B111), (EXP(-LN(2)/inputs!$C$51)*E111+$E$3), (EXP(-LN(2)/inputs!$C$51)*E111))</f>
        <v>2.1257867189489974E-4</v>
      </c>
      <c r="F112" s="8">
        <f>IF((B112&gt;B111), (EXP(-LN(2)/inputs!$C$51)*F111+$F$3), (EXP(-LN(2)/inputs!$C$51)*F111))</f>
        <v>2.6089200641646792E-4</v>
      </c>
      <c r="G112" s="8">
        <f>IF((B112&gt;B111), (EXP(-LN(2)/inputs!$C$51)*G111+$G$3), (EXP(-LN(2)/inputs!$C$51)*G111))</f>
        <v>2.8988000712940911E-5</v>
      </c>
      <c r="H112" s="8">
        <f>IF((B112&gt;B111), (EXP(-LN(2)/inputs!$C$51)*H111+$H$3), (EXP(-LN(2)/inputs!$C$51)*H111))</f>
        <v>1.8165813780109599E-4</v>
      </c>
      <c r="I112" s="7">
        <f>O112*(10^inputs!$C$55)*0.01/1</f>
        <v>6.1628480048322105</v>
      </c>
      <c r="J112" s="7">
        <f>(((0.621*15^0.564)/0.2))*D112/15+J111*inputs!$C$53</f>
        <v>4.990874021702531E-4</v>
      </c>
      <c r="K112" s="7">
        <f>(((0.621*1000^0.564)/0.2))*D112/1000+K111*inputs!$C$53</f>
        <v>7.9974658929130244E-5</v>
      </c>
      <c r="L112" s="7">
        <f>(((0.648*20^0.651)/0.2))*H112/20+L111*inputs!$C$54</f>
        <v>2.7362841140486633E-4</v>
      </c>
      <c r="M112" s="7">
        <f>(((0.013*2^0.773)/0.2))*H112/2+M111*inputs!$C$54</f>
        <v>1.3343052505386816E-5</v>
      </c>
      <c r="N112" s="7">
        <f>O112*0.015*inputs!$C$56</f>
        <v>0.90544315720518442</v>
      </c>
      <c r="O112" s="7">
        <f>IF((B112&gt;B111), (EXP(-LN(2)/inputs!$C$52)*O111+$O$3), (EXP(-LN(2)/inputs!$C$52)*O111))</f>
        <v>9.7674558490311161E-2</v>
      </c>
      <c r="P112" s="3">
        <f>IF((B112&gt;B111), (EXP(-LN(2)/inputs!$C$52)*P111+$P$3), (EXP(-LN(2)/inputs!$C$52)*P111))</f>
        <v>9.4383406563660496E-2</v>
      </c>
      <c r="Q112" s="19">
        <f>IF((F112*0.62*1/(0.012*(10^inputs!$C$55)))&gt;inputs!$C$57, inputs!$C$57, (F112*0.62*1/(0.012*(10^inputs!$C$55))))</f>
        <v>2.1363441521744005E-6</v>
      </c>
      <c r="R112" s="3">
        <f>IF((B112&gt;B111), (EXP(-LN(2)/inputs!$C$51)*R111+$R$3), (EXP(-LN(2)/inputs!$C$51)*R111))</f>
        <v>4.9636762570874676E-12</v>
      </c>
      <c r="T112" s="7">
        <f>IF(T111&lt;(inputs!$C$20-1),(1+T111),0)</f>
        <v>0</v>
      </c>
      <c r="U112" s="7">
        <f>IF(inputs!$C$19&gt;U111,IF(T111=(inputs!$C$20-1),(U111+1),U111), U111)</f>
        <v>1</v>
      </c>
      <c r="V112" s="7">
        <f t="shared" si="2"/>
        <v>109</v>
      </c>
      <c r="W112" s="8">
        <f>IF((U112&gt;U111), (EXP(-LN(2)/inputs!$C$51)*W111+$W$3), (EXP(-LN(2)/inputs!$C$51)*W111))</f>
        <v>1.6426533737333153E-4</v>
      </c>
      <c r="X112" s="8">
        <f>IF((U112&gt;U111), (EXP(-LN(2)/inputs!$C$51)*X111+$X$3), (EXP(-LN(2)/inputs!$C$51)*X111))</f>
        <v>6.9571201711058055E-5</v>
      </c>
      <c r="Y112" s="8">
        <f>IF((U112&gt;U111), (EXP(-LN(2)/inputs!$C$51)*Y111+$Y$3), (EXP(-LN(2)/inputs!$C$51)*Y111))</f>
        <v>8.6964002138822651E-5</v>
      </c>
      <c r="Z112" s="8">
        <f>IF((U112&gt;U111), (EXP(-LN(2)/inputs!$C$51)*Z111+$Z$3), (EXP(-LN(2)/inputs!$C$51)*Z111))</f>
        <v>1.3527733666039063E-5</v>
      </c>
      <c r="AA112" s="8">
        <f>IF((U112&gt;U111), (EXP(-LN(2)/inputs!$C$51)*AA111+$AA$3), (EXP(-LN(2)/inputs!$C$51)*AA111))</f>
        <v>1.2561466975607712E-4</v>
      </c>
      <c r="AB112" s="7">
        <f>(((0.621*15^0.564)/0.2))*W112/15+AB111*inputs!$C$53</f>
        <v>1.7676012160196432E-4</v>
      </c>
      <c r="AC112" s="7">
        <f>(((0.621*1000^0.564)/0.2))*W112/1000+AC111*inputs!$C$53</f>
        <v>2.8324358370733576E-5</v>
      </c>
      <c r="AD112" s="7">
        <f>(((0.648*20^0.651)/0.2))*AA112/20+AD111*inputs!$C$54</f>
        <v>1.8921113554591838E-4</v>
      </c>
      <c r="AE112" s="7">
        <f>(((0.013*2^0.773)/0.2))*AA112/2+AE111*inputs!$C$54</f>
        <v>9.2265788601079127E-6</v>
      </c>
    </row>
    <row r="113" spans="1:31" x14ac:dyDescent="0.3">
      <c r="A113" s="7">
        <f>IF(A112&lt;(inputs!$C$20-1),(1+A112),0)</f>
        <v>0</v>
      </c>
      <c r="B113" s="7">
        <f>IF(inputs!$C$19&gt;B112,IF(A112=(inputs!$C$20-1),(B112+1),B112), B112)</f>
        <v>1</v>
      </c>
      <c r="C113" s="7">
        <f t="shared" si="3"/>
        <v>110</v>
      </c>
      <c r="D113" s="8">
        <f>IF((B113&gt;B112), (EXP(-LN(2)/inputs!$C$51)*D112+$D$3), (EXP(-LN(2)/inputs!$C$51)*D112))</f>
        <v>4.0694913865461468E-4</v>
      </c>
      <c r="E113" s="8">
        <f>IF((B113&gt;B112), (EXP(-LN(2)/inputs!$C$51)*E112+$E$3), (EXP(-LN(2)/inputs!$C$51)*E112))</f>
        <v>1.8651835521669817E-4</v>
      </c>
      <c r="F113" s="8">
        <f>IF((B113&gt;B112), (EXP(-LN(2)/inputs!$C$51)*F112+$F$3), (EXP(-LN(2)/inputs!$C$51)*F112))</f>
        <v>2.2890889049322053E-4</v>
      </c>
      <c r="G113" s="8">
        <f>IF((B113&gt;B112), (EXP(-LN(2)/inputs!$C$51)*G112+$G$3), (EXP(-LN(2)/inputs!$C$51)*G112))</f>
        <v>2.5434321165913418E-5</v>
      </c>
      <c r="H113" s="8">
        <f>IF((B113&gt;B112), (EXP(-LN(2)/inputs!$C$51)*H112+$H$3), (EXP(-LN(2)/inputs!$C$51)*H112))</f>
        <v>1.5938841263972374E-4</v>
      </c>
      <c r="I113" s="7">
        <f>O113*(10^inputs!$C$55)*0.01/1</f>
        <v>6.0384800164159662</v>
      </c>
      <c r="J113" s="7">
        <f>(((0.621*15^0.564)/0.2))*D113/15+J112*inputs!$C$53</f>
        <v>4.3790357956603537E-4</v>
      </c>
      <c r="K113" s="7">
        <f>(((0.621*1000^0.564)/0.2))*D113/1000+K112*inputs!$C$53</f>
        <v>7.0170453646698508E-5</v>
      </c>
      <c r="L113" s="7">
        <f>(((0.648*20^0.651)/0.2))*H113/20+L112*inputs!$C$54</f>
        <v>2.4008392178226874E-4</v>
      </c>
      <c r="M113" s="7">
        <f>(((0.013*2^0.773)/0.2))*H113/2+M112*inputs!$C$54</f>
        <v>1.1707309038534372E-5</v>
      </c>
      <c r="N113" s="7">
        <f>O113*0.015*inputs!$C$56</f>
        <v>0.88717106222595288</v>
      </c>
      <c r="O113" s="7">
        <f>IF((B113&gt;B112), (EXP(-LN(2)/inputs!$C$52)*O112+$O$3), (EXP(-LN(2)/inputs!$C$52)*O112))</f>
        <v>9.5703458708301284E-2</v>
      </c>
      <c r="P113" s="3">
        <f>IF((B113&gt;B112), (EXP(-LN(2)/inputs!$C$52)*P112+$P$3), (EXP(-LN(2)/inputs!$C$52)*P112))</f>
        <v>9.2478723143756075E-2</v>
      </c>
      <c r="Q113" s="19">
        <f>IF((F113*0.62*1/(0.012*(10^inputs!$C$55)))&gt;inputs!$C$57, inputs!$C$57, (F113*0.62*1/(0.012*(10^inputs!$C$55))))</f>
        <v>1.8744467348887452E-6</v>
      </c>
      <c r="R113" s="3">
        <f>IF((B113&gt;B112), (EXP(-LN(2)/inputs!$C$51)*R112+$R$3), (EXP(-LN(2)/inputs!$C$51)*R112))</f>
        <v>4.3551722430454394E-12</v>
      </c>
      <c r="T113" s="7">
        <f>IF(T112&lt;(inputs!$C$20-1),(1+T112),0)</f>
        <v>0</v>
      </c>
      <c r="U113" s="7">
        <f>IF(inputs!$C$19&gt;U112,IF(T112=(inputs!$C$20-1),(U112+1),U112), U112)</f>
        <v>1</v>
      </c>
      <c r="V113" s="7">
        <f t="shared" si="2"/>
        <v>110</v>
      </c>
      <c r="W113" s="8">
        <f>IF((U113&gt;U112), (EXP(-LN(2)/inputs!$C$51)*W112+$W$3), (EXP(-LN(2)/inputs!$C$51)*W112))</f>
        <v>1.4412781994017576E-4</v>
      </c>
      <c r="X113" s="8">
        <f>IF((U113&gt;U112), (EXP(-LN(2)/inputs!$C$51)*X112+$X$3), (EXP(-LN(2)/inputs!$C$51)*X112))</f>
        <v>6.1042370798192094E-5</v>
      </c>
      <c r="Y113" s="8">
        <f>IF((U113&gt;U112), (EXP(-LN(2)/inputs!$C$51)*Y112+$Y$3), (EXP(-LN(2)/inputs!$C$51)*Y112))</f>
        <v>7.6302963497740185E-5</v>
      </c>
      <c r="Z113" s="8">
        <f>IF((U113&gt;U112), (EXP(-LN(2)/inputs!$C$51)*Z112+$Z$3), (EXP(-LN(2)/inputs!$C$51)*Z112))</f>
        <v>1.1869349877426237E-5</v>
      </c>
      <c r="AA113" s="8">
        <f>IF((U113&gt;U112), (EXP(-LN(2)/inputs!$C$51)*AA112+$AA$3), (EXP(-LN(2)/inputs!$C$51)*AA112))</f>
        <v>1.10215391718958E-4</v>
      </c>
      <c r="AB113" s="7">
        <f>(((0.621*15^0.564)/0.2))*W113/15+AB112*inputs!$C$53</f>
        <v>1.550908510963039E-4</v>
      </c>
      <c r="AC113" s="7">
        <f>(((0.621*1000^0.564)/0.2))*W113/1000+AC112*inputs!$C$53</f>
        <v>2.4852035666539009E-5</v>
      </c>
      <c r="AD113" s="7">
        <f>(((0.648*20^0.651)/0.2))*AA113/20+AD112*inputs!$C$54</f>
        <v>1.6601547782816469E-4</v>
      </c>
      <c r="AE113" s="7">
        <f>(((0.013*2^0.773)/0.2))*AA113/2+AE112*inputs!$C$54</f>
        <v>8.095479654305689E-6</v>
      </c>
    </row>
    <row r="114" spans="1:31" x14ac:dyDescent="0.3">
      <c r="A114" s="7">
        <f>IF(A113&lt;(inputs!$C$20-1),(1+A113),0)</f>
        <v>0</v>
      </c>
      <c r="B114" s="7">
        <f>IF(inputs!$C$19&gt;B113,IF(A113=(inputs!$C$20-1),(B113+1),B113), B113)</f>
        <v>1</v>
      </c>
      <c r="C114" s="7">
        <f t="shared" si="3"/>
        <v>111</v>
      </c>
      <c r="D114" s="8">
        <f>IF((B114&gt;B113), (EXP(-LN(2)/inputs!$C$51)*D113+$D$3), (EXP(-LN(2)/inputs!$C$51)*D113))</f>
        <v>3.5706067462985158E-4</v>
      </c>
      <c r="E114" s="8">
        <f>IF((B114&gt;B113), (EXP(-LN(2)/inputs!$C$51)*E113+$E$3), (EXP(-LN(2)/inputs!$C$51)*E113))</f>
        <v>1.6365280920534845E-4</v>
      </c>
      <c r="F114" s="8">
        <f>IF((B114&gt;B113), (EXP(-LN(2)/inputs!$C$51)*F113+$F$3), (EXP(-LN(2)/inputs!$C$51)*F113))</f>
        <v>2.008466294792913E-4</v>
      </c>
      <c r="G114" s="8">
        <f>IF((B114&gt;B113), (EXP(-LN(2)/inputs!$C$51)*G113+$G$3), (EXP(-LN(2)/inputs!$C$51)*G113))</f>
        <v>2.2316292164365723E-5</v>
      </c>
      <c r="H114" s="8">
        <f>IF((B114&gt;B113), (EXP(-LN(2)/inputs!$C$51)*H113+$H$3), (EXP(-LN(2)/inputs!$C$51)*H113))</f>
        <v>1.3984876423002489E-4</v>
      </c>
      <c r="I114" s="7">
        <f>O114*(10^inputs!$C$55)*0.01/1</f>
        <v>5.916621808628836</v>
      </c>
      <c r="J114" s="7">
        <f>(((0.621*15^0.564)/0.2))*D114/15+J113*inputs!$C$53</f>
        <v>3.8422036734025268E-4</v>
      </c>
      <c r="K114" s="7">
        <f>(((0.621*1000^0.564)/0.2))*D114/1000+K113*inputs!$C$53</f>
        <v>6.1568159600990427E-5</v>
      </c>
      <c r="L114" s="7">
        <f>(((0.648*20^0.651)/0.2))*H114/20+L113*inputs!$C$54</f>
        <v>2.1065169805436888E-4</v>
      </c>
      <c r="M114" s="7">
        <f>(((0.013*2^0.773)/0.2))*H114/2+M113*inputs!$C$54</f>
        <v>1.0272093650865475E-5</v>
      </c>
      <c r="N114" s="7">
        <f>O114*0.015*inputs!$C$56</f>
        <v>0.8692677032101811</v>
      </c>
      <c r="O114" s="7">
        <f>IF((B114&gt;B113), (EXP(-LN(2)/inputs!$C$52)*O113+$O$3), (EXP(-LN(2)/inputs!$C$52)*O113))</f>
        <v>9.3772136268627945E-2</v>
      </c>
      <c r="P114" s="3">
        <f>IF((B114&gt;B113), (EXP(-LN(2)/inputs!$C$52)*P113+$P$3), (EXP(-LN(2)/inputs!$C$52)*P113))</f>
        <v>9.0612476765511207E-2</v>
      </c>
      <c r="Q114" s="19">
        <f>IF((F114*0.62*1/(0.012*(10^inputs!$C$55)))&gt;inputs!$C$57, inputs!$C$57, (F114*0.62*1/(0.012*(10^inputs!$C$55))))</f>
        <v>1.6446556882508548E-6</v>
      </c>
      <c r="R114" s="3">
        <f>IF((B114&gt;B113), (EXP(-LN(2)/inputs!$C$51)*R113+$R$3), (EXP(-LN(2)/inputs!$C$51)*R113))</f>
        <v>3.8212655870757785E-12</v>
      </c>
      <c r="T114" s="7">
        <f>IF(T113&lt;(inputs!$C$20-1),(1+T113),0)</f>
        <v>0</v>
      </c>
      <c r="U114" s="7">
        <f>IF(inputs!$C$19&gt;U113,IF(T113=(inputs!$C$20-1),(U113+1),U113), U113)</f>
        <v>1</v>
      </c>
      <c r="V114" s="7">
        <f t="shared" si="2"/>
        <v>111</v>
      </c>
      <c r="W114" s="8">
        <f>IF((U114&gt;U113), (EXP(-LN(2)/inputs!$C$51)*W113+$W$3), (EXP(-LN(2)/inputs!$C$51)*W113))</f>
        <v>1.2645898893140552E-4</v>
      </c>
      <c r="X114" s="8">
        <f>IF((U114&gt;U113), (EXP(-LN(2)/inputs!$C$51)*X113+$X$3), (EXP(-LN(2)/inputs!$C$51)*X113))</f>
        <v>5.3559101194477643E-5</v>
      </c>
      <c r="Y114" s="8">
        <f>IF((U114&gt;U113), (EXP(-LN(2)/inputs!$C$51)*Y113+$Y$3), (EXP(-LN(2)/inputs!$C$51)*Y113))</f>
        <v>6.694887649309712E-5</v>
      </c>
      <c r="Z114" s="8">
        <f>IF((U114&gt;U113), (EXP(-LN(2)/inputs!$C$51)*Z113+$Z$3), (EXP(-LN(2)/inputs!$C$51)*Z113))</f>
        <v>1.0414269676703983E-5</v>
      </c>
      <c r="AA114" s="8">
        <f>IF((U114&gt;U113), (EXP(-LN(2)/inputs!$C$51)*AA113+$AA$3), (EXP(-LN(2)/inputs!$C$51)*AA113))</f>
        <v>9.6703932712251345E-5</v>
      </c>
      <c r="AB114" s="7">
        <f>(((0.621*15^0.564)/0.2))*W114/15+AB113*inputs!$C$53</f>
        <v>1.3607804676633921E-4</v>
      </c>
      <c r="AC114" s="7">
        <f>(((0.621*1000^0.564)/0.2))*W114/1000+AC113*inputs!$C$53</f>
        <v>2.1805389858684068E-5</v>
      </c>
      <c r="AD114" s="7">
        <f>(((0.648*20^0.651)/0.2))*AA114/20+AD113*inputs!$C$54</f>
        <v>1.4566340822908501E-4</v>
      </c>
      <c r="AE114" s="7">
        <f>(((0.013*2^0.773)/0.2))*AA114/2+AE113*inputs!$C$54</f>
        <v>7.1030434819814521E-6</v>
      </c>
    </row>
    <row r="115" spans="1:31" x14ac:dyDescent="0.3">
      <c r="A115" s="7">
        <f>IF(A114&lt;(inputs!$C$20-1),(1+A114),0)</f>
        <v>0</v>
      </c>
      <c r="B115" s="7">
        <f>IF(inputs!$C$19&gt;B114,IF(A114=(inputs!$C$20-1),(B114+1),B114), B114)</f>
        <v>1</v>
      </c>
      <c r="C115" s="7">
        <f t="shared" si="3"/>
        <v>112</v>
      </c>
      <c r="D115" s="8">
        <f>IF((B115&gt;B114), (EXP(-LN(2)/inputs!$C$51)*D114+$D$3), (EXP(-LN(2)/inputs!$C$51)*D114))</f>
        <v>3.1328810717874461E-4</v>
      </c>
      <c r="E115" s="8">
        <f>IF((B115&gt;B114), (EXP(-LN(2)/inputs!$C$51)*E114+$E$3), (EXP(-LN(2)/inputs!$C$51)*E114))</f>
        <v>1.4359038245692447E-4</v>
      </c>
      <c r="F115" s="8">
        <f>IF((B115&gt;B114), (EXP(-LN(2)/inputs!$C$51)*F114+$F$3), (EXP(-LN(2)/inputs!$C$51)*F114))</f>
        <v>1.7622456028804369E-4</v>
      </c>
      <c r="G115" s="8">
        <f>IF((B115&gt;B114), (EXP(-LN(2)/inputs!$C$51)*G114+$G$3), (EXP(-LN(2)/inputs!$C$51)*G114))</f>
        <v>1.9580506698671538E-5</v>
      </c>
      <c r="H115" s="8">
        <f>IF((B115&gt;B114), (EXP(-LN(2)/inputs!$C$51)*H114+$H$3), (EXP(-LN(2)/inputs!$C$51)*H114))</f>
        <v>1.2270450864500804E-4</v>
      </c>
      <c r="I115" s="7">
        <f>O115*(10^inputs!$C$55)*0.01/1</f>
        <v>5.7972227333990256</v>
      </c>
      <c r="J115" s="7">
        <f>(((0.621*15^0.564)/0.2))*D115/15+J114*inputs!$C$53</f>
        <v>3.3711825517703252E-4</v>
      </c>
      <c r="K115" s="7">
        <f>(((0.621*1000^0.564)/0.2))*D115/1000+K114*inputs!$C$53</f>
        <v>5.4020432812626933E-5</v>
      </c>
      <c r="L115" s="7">
        <f>(((0.648*20^0.651)/0.2))*H115/20+L114*inputs!$C$54</f>
        <v>1.8482761179414484E-4</v>
      </c>
      <c r="M115" s="7">
        <f>(((0.013*2^0.773)/0.2))*H115/2+M114*inputs!$C$54</f>
        <v>9.0128233247151277E-6</v>
      </c>
      <c r="N115" s="7">
        <f>O115*0.015*inputs!$C$56</f>
        <v>0.85172563896347364</v>
      </c>
      <c r="O115" s="7">
        <f>IF((B115&gt;B114), (EXP(-LN(2)/inputs!$C$52)*O114+$O$3), (EXP(-LN(2)/inputs!$C$52)*O114))</f>
        <v>9.1879788453449157E-2</v>
      </c>
      <c r="P115" s="3">
        <f>IF((B115&gt;B114), (EXP(-LN(2)/inputs!$C$52)*P114+$P$3), (EXP(-LN(2)/inputs!$C$52)*P114))</f>
        <v>8.8783891758724712E-2</v>
      </c>
      <c r="Q115" s="19">
        <f>IF((F115*0.62*1/(0.012*(10^inputs!$C$55)))&gt;inputs!$C$57, inputs!$C$57, (F115*0.62*1/(0.012*(10^inputs!$C$55))))</f>
        <v>1.4430350473823616E-6</v>
      </c>
      <c r="R115" s="3">
        <f>IF((B115&gt;B114), (EXP(-LN(2)/inputs!$C$51)*R114+$R$3), (EXP(-LN(2)/inputs!$C$51)*R114))</f>
        <v>3.3528112947282221E-12</v>
      </c>
      <c r="T115" s="7">
        <f>IF(T114&lt;(inputs!$C$20-1),(1+T114),0)</f>
        <v>0</v>
      </c>
      <c r="U115" s="7">
        <f>IF(inputs!$C$19&gt;U114,IF(T114=(inputs!$C$20-1),(U114+1),U114), U114)</f>
        <v>1</v>
      </c>
      <c r="V115" s="7">
        <f t="shared" si="2"/>
        <v>112</v>
      </c>
      <c r="W115" s="8">
        <f>IF((U115&gt;U114), (EXP(-LN(2)/inputs!$C$51)*W114+$W$3), (EXP(-LN(2)/inputs!$C$51)*W114))</f>
        <v>1.1095620462580518E-4</v>
      </c>
      <c r="X115" s="8">
        <f>IF((U115&gt;U114), (EXP(-LN(2)/inputs!$C$51)*X114+$X$3), (EXP(-LN(2)/inputs!$C$51)*X114))</f>
        <v>4.699321607681161E-5</v>
      </c>
      <c r="Y115" s="8">
        <f>IF((U115&gt;U114), (EXP(-LN(2)/inputs!$C$51)*Y114+$Y$3), (EXP(-LN(2)/inputs!$C$51)*Y114))</f>
        <v>5.8741520096014574E-5</v>
      </c>
      <c r="Z115" s="8">
        <f>IF((U115&gt;U114), (EXP(-LN(2)/inputs!$C$51)*Z114+$Z$3), (EXP(-LN(2)/inputs!$C$51)*Z114))</f>
        <v>9.137569792713367E-6</v>
      </c>
      <c r="AA115" s="8">
        <f>IF((U115&gt;U114), (EXP(-LN(2)/inputs!$C$51)*AA114+$AA$3), (EXP(-LN(2)/inputs!$C$51)*AA114))</f>
        <v>8.4848862360909893E-5</v>
      </c>
      <c r="AB115" s="7">
        <f>(((0.621*15^0.564)/0.2))*W115/15+AB114*inputs!$C$53</f>
        <v>1.1939604870853216E-4</v>
      </c>
      <c r="AC115" s="7">
        <f>(((0.621*1000^0.564)/0.2))*W115/1000+AC114*inputs!$C$53</f>
        <v>1.913223662113867E-5</v>
      </c>
      <c r="AD115" s="7">
        <f>(((0.648*20^0.651)/0.2))*AA115/20+AD114*inputs!$C$54</f>
        <v>1.2780632730446196E-4</v>
      </c>
      <c r="AE115" s="7">
        <f>(((0.013*2^0.773)/0.2))*AA115/2+AE114*inputs!$C$54</f>
        <v>6.2322714479413169E-6</v>
      </c>
    </row>
    <row r="116" spans="1:31" x14ac:dyDescent="0.3">
      <c r="A116" s="7">
        <f>IF(A115&lt;(inputs!$C$20-1),(1+A115),0)</f>
        <v>0</v>
      </c>
      <c r="B116" s="7">
        <f>IF(inputs!$C$19&gt;B115,IF(A115=(inputs!$C$20-1),(B115+1),B115), B115)</f>
        <v>1</v>
      </c>
      <c r="C116" s="7">
        <f t="shared" si="3"/>
        <v>113</v>
      </c>
      <c r="D116" s="8">
        <f>IF((B116&gt;B115), (EXP(-LN(2)/inputs!$C$51)*D115+$D$3), (EXP(-LN(2)/inputs!$C$51)*D115))</f>
        <v>2.7488167998726716E-4</v>
      </c>
      <c r="E116" s="8">
        <f>IF((B116&gt;B115), (EXP(-LN(2)/inputs!$C$51)*E115+$E$3), (EXP(-LN(2)/inputs!$C$51)*E115))</f>
        <v>1.2598743666083066E-4</v>
      </c>
      <c r="F116" s="8">
        <f>IF((B116&gt;B115), (EXP(-LN(2)/inputs!$C$51)*F115+$F$3), (EXP(-LN(2)/inputs!$C$51)*F115))</f>
        <v>1.5462094499283762E-4</v>
      </c>
      <c r="G116" s="8">
        <f>IF((B116&gt;B115), (EXP(-LN(2)/inputs!$C$51)*G115+$G$3), (EXP(-LN(2)/inputs!$C$51)*G115))</f>
        <v>1.7180104999204198E-5</v>
      </c>
      <c r="H116" s="8">
        <f>IF((B116&gt;B115), (EXP(-LN(2)/inputs!$C$51)*H115+$H$3), (EXP(-LN(2)/inputs!$C$51)*H115))</f>
        <v>1.0766199132834607E-4</v>
      </c>
      <c r="I116" s="7">
        <f>O116*(10^inputs!$C$55)*0.01/1</f>
        <v>5.6802331647469284</v>
      </c>
      <c r="J116" s="7">
        <f>(((0.621*15^0.564)/0.2))*D116/15+J115*inputs!$C$53</f>
        <v>2.9579045681605779E-4</v>
      </c>
      <c r="K116" s="7">
        <f>(((0.621*1000^0.564)/0.2))*D116/1000+K115*inputs!$C$53</f>
        <v>4.7397992406721166E-5</v>
      </c>
      <c r="L116" s="7">
        <f>(((0.648*20^0.651)/0.2))*H116/20+L115*inputs!$C$54</f>
        <v>1.6216933638346531E-4</v>
      </c>
      <c r="M116" s="7">
        <f>(((0.013*2^0.773)/0.2))*H116/2+M115*inputs!$C$54</f>
        <v>7.9079287089331521E-6</v>
      </c>
      <c r="N116" s="7">
        <f>O116*0.015*inputs!$C$56</f>
        <v>0.83453757845680998</v>
      </c>
      <c r="O116" s="7">
        <f>IF((B116&gt;B115), (EXP(-LN(2)/inputs!$C$52)*O115+$O$3), (EXP(-LN(2)/inputs!$C$52)*O115))</f>
        <v>9.0025628743992447E-2</v>
      </c>
      <c r="P116" s="3">
        <f>IF((B116&gt;B115), (EXP(-LN(2)/inputs!$C$52)*P115+$P$3), (EXP(-LN(2)/inputs!$C$52)*P115))</f>
        <v>8.6992208106435973E-2</v>
      </c>
      <c r="Q116" s="19">
        <f>IF((F116*0.62*1/(0.012*(10^inputs!$C$55)))&gt;inputs!$C$57, inputs!$C$57, (F116*0.62*1/(0.012*(10^inputs!$C$55))))</f>
        <v>1.2661313628437707E-6</v>
      </c>
      <c r="R116" s="3">
        <f>IF((B116&gt;B115), (EXP(-LN(2)/inputs!$C$51)*R115+$R$3), (EXP(-LN(2)/inputs!$C$51)*R115))</f>
        <v>2.941785469211411E-12</v>
      </c>
      <c r="T116" s="7">
        <f>IF(T115&lt;(inputs!$C$20-1),(1+T115),0)</f>
        <v>0</v>
      </c>
      <c r="U116" s="7">
        <f>IF(inputs!$C$19&gt;U115,IF(T115=(inputs!$C$20-1),(U115+1),U115), U115)</f>
        <v>1</v>
      </c>
      <c r="V116" s="7">
        <f t="shared" si="2"/>
        <v>113</v>
      </c>
      <c r="W116" s="8">
        <f>IF((U116&gt;U115), (EXP(-LN(2)/inputs!$C$51)*W115+$W$3), (EXP(-LN(2)/inputs!$C$51)*W115))</f>
        <v>9.7353928328823604E-5</v>
      </c>
      <c r="X116" s="8">
        <f>IF((U116&gt;U115), (EXP(-LN(2)/inputs!$C$51)*X115+$X$3), (EXP(-LN(2)/inputs!$C$51)*X115))</f>
        <v>4.1232251998089999E-5</v>
      </c>
      <c r="Y116" s="8">
        <f>IF((U116&gt;U115), (EXP(-LN(2)/inputs!$C$51)*Y115+$Y$3), (EXP(-LN(2)/inputs!$C$51)*Y115))</f>
        <v>5.1540314997612552E-5</v>
      </c>
      <c r="Z116" s="8">
        <f>IF((U116&gt;U115), (EXP(-LN(2)/inputs!$C$51)*Z115+$Z$3), (EXP(-LN(2)/inputs!$C$51)*Z115))</f>
        <v>8.0173823329619427E-6</v>
      </c>
      <c r="AA116" s="8">
        <f>IF((U116&gt;U115), (EXP(-LN(2)/inputs!$C$51)*AA115+$AA$3), (EXP(-LN(2)/inputs!$C$51)*AA115))</f>
        <v>7.4447121663218088E-5</v>
      </c>
      <c r="AB116" s="7">
        <f>(((0.621*15^0.564)/0.2))*W116/15+AB115*inputs!$C$53</f>
        <v>1.047591201223536E-4</v>
      </c>
      <c r="AC116" s="7">
        <f>(((0.621*1000^0.564)/0.2))*W116/1000+AC115*inputs!$C$53</f>
        <v>1.6786788977380381E-5</v>
      </c>
      <c r="AD116" s="7">
        <f>(((0.648*20^0.651)/0.2))*AA116/20+AD115*inputs!$C$54</f>
        <v>1.1213837090346016E-4</v>
      </c>
      <c r="AE116" s="7">
        <f>(((0.013*2^0.773)/0.2))*AA116/2+AE115*inputs!$C$54</f>
        <v>5.4682485753261205E-6</v>
      </c>
    </row>
    <row r="117" spans="1:31" x14ac:dyDescent="0.3">
      <c r="A117" s="7">
        <f>IF(A116&lt;(inputs!$C$20-1),(1+A116),0)</f>
        <v>0</v>
      </c>
      <c r="B117" s="7">
        <f>IF(inputs!$C$19&gt;B116,IF(A116=(inputs!$C$20-1),(B116+1),B116), B116)</f>
        <v>1</v>
      </c>
      <c r="C117" s="7">
        <f t="shared" si="3"/>
        <v>114</v>
      </c>
      <c r="D117" s="8">
        <f>IF((B117&gt;B116), (EXP(-LN(2)/inputs!$C$51)*D116+$D$3), (EXP(-LN(2)/inputs!$C$51)*D116))</f>
        <v>2.4118355041646087E-4</v>
      </c>
      <c r="E117" s="8">
        <f>IF((B117&gt;B116), (EXP(-LN(2)/inputs!$C$51)*E116+$E$3), (EXP(-LN(2)/inputs!$C$51)*E116))</f>
        <v>1.1054246060754446E-4</v>
      </c>
      <c r="F117" s="8">
        <f>IF((B117&gt;B116), (EXP(-LN(2)/inputs!$C$51)*F116+$F$3), (EXP(-LN(2)/inputs!$C$51)*F116))</f>
        <v>1.356657471092591E-4</v>
      </c>
      <c r="G117" s="8">
        <f>IF((B117&gt;B116), (EXP(-LN(2)/inputs!$C$51)*G116+$G$3), (EXP(-LN(2)/inputs!$C$51)*G116))</f>
        <v>1.5073971901028805E-5</v>
      </c>
      <c r="H117" s="8">
        <f>IF((B117&gt;B116), (EXP(-LN(2)/inputs!$C$51)*H116+$H$3), (EXP(-LN(2)/inputs!$C$51)*H116))</f>
        <v>9.4463557246446964E-5</v>
      </c>
      <c r="I117" s="7">
        <f>O117*(10^inputs!$C$55)*0.01/1</f>
        <v>5.565604478159023</v>
      </c>
      <c r="J117" s="7">
        <f>(((0.621*15^0.564)/0.2))*D117/15+J116*inputs!$C$53</f>
        <v>2.5952909105295125E-4</v>
      </c>
      <c r="K117" s="7">
        <f>(((0.621*1000^0.564)/0.2))*D117/1000+K116*inputs!$C$53</f>
        <v>4.1587406231637515E-5</v>
      </c>
      <c r="L117" s="7">
        <f>(((0.648*20^0.651)/0.2))*H117/20+L116*inputs!$C$54</f>
        <v>1.4228877064290807E-4</v>
      </c>
      <c r="M117" s="7">
        <f>(((0.013*2^0.773)/0.2))*H117/2+M116*inputs!$C$54</f>
        <v>6.9384846692915427E-6</v>
      </c>
      <c r="N117" s="7">
        <f>O117*0.015*inputs!$C$56</f>
        <v>0.81769637779616466</v>
      </c>
      <c r="O117" s="7">
        <f>IF((B117&gt;B116), (EXP(-LN(2)/inputs!$C$52)*O116+$O$3), (EXP(-LN(2)/inputs!$C$52)*O116))</f>
        <v>8.8208886493653146E-2</v>
      </c>
      <c r="P117" s="3">
        <f>IF((B117&gt;B116), (EXP(-LN(2)/inputs!$C$52)*P116+$P$3), (EXP(-LN(2)/inputs!$C$52)*P116))</f>
        <v>8.5236681129038247E-2</v>
      </c>
      <c r="Q117" s="19">
        <f>IF((F117*0.62*1/(0.012*(10^inputs!$C$55)))&gt;inputs!$C$57, inputs!$C$57, (F117*0.62*1/(0.012*(10^inputs!$C$55))))</f>
        <v>1.1109145483920135E-6</v>
      </c>
      <c r="R117" s="3">
        <f>IF((B117&gt;B116), (EXP(-LN(2)/inputs!$C$51)*R116+$R$3), (EXP(-LN(2)/inputs!$C$51)*R116))</f>
        <v>2.5811478744630331E-12</v>
      </c>
      <c r="T117" s="7">
        <f>IF(T116&lt;(inputs!$C$20-1),(1+T116),0)</f>
        <v>0</v>
      </c>
      <c r="U117" s="7">
        <f>IF(inputs!$C$19&gt;U116,IF(T116=(inputs!$C$20-1),(U116+1),U116), U116)</f>
        <v>1</v>
      </c>
      <c r="V117" s="7">
        <f t="shared" si="2"/>
        <v>114</v>
      </c>
      <c r="W117" s="8">
        <f>IF((U117&gt;U116), (EXP(-LN(2)/inputs!$C$51)*W116+$W$3), (EXP(-LN(2)/inputs!$C$51)*W116))</f>
        <v>8.5419174105829732E-5</v>
      </c>
      <c r="X117" s="8">
        <f>IF((U117&gt;U116), (EXP(-LN(2)/inputs!$C$51)*X116+$X$3), (EXP(-LN(2)/inputs!$C$51)*X116))</f>
        <v>3.6177532562469062E-5</v>
      </c>
      <c r="Y117" s="8">
        <f>IF((U117&gt;U116), (EXP(-LN(2)/inputs!$C$51)*Y116+$Y$3), (EXP(-LN(2)/inputs!$C$51)*Y116))</f>
        <v>4.5221915703086375E-5</v>
      </c>
      <c r="Z117" s="8">
        <f>IF((U117&gt;U116), (EXP(-LN(2)/inputs!$C$51)*Z116+$Z$3), (EXP(-LN(2)/inputs!$C$51)*Z116))</f>
        <v>7.0345202204800943E-6</v>
      </c>
      <c r="AA117" s="8">
        <f>IF((U117&gt;U116), (EXP(-LN(2)/inputs!$C$51)*AA116+$AA$3), (EXP(-LN(2)/inputs!$C$51)*AA116))</f>
        <v>6.5320544904458067E-5</v>
      </c>
      <c r="AB117" s="7">
        <f>(((0.621*15^0.564)/0.2))*W117/15+AB116*inputs!$C$53</f>
        <v>9.1916553081253396E-5</v>
      </c>
      <c r="AC117" s="7">
        <f>(((0.621*1000^0.564)/0.2))*W117/1000+AC116*inputs!$C$53</f>
        <v>1.4728873040371591E-5</v>
      </c>
      <c r="AD117" s="7">
        <f>(((0.648*20^0.651)/0.2))*AA117/20+AD116*inputs!$C$54</f>
        <v>9.8391171189245031E-5</v>
      </c>
      <c r="AE117" s="7">
        <f>(((0.013*2^0.773)/0.2))*AA117/2+AE116*inputs!$C$54</f>
        <v>4.797888335148412E-6</v>
      </c>
    </row>
    <row r="118" spans="1:31" x14ac:dyDescent="0.3">
      <c r="A118" s="7">
        <f>IF(A117&lt;(inputs!$C$20-1),(1+A117),0)</f>
        <v>0</v>
      </c>
      <c r="B118" s="7">
        <f>IF(inputs!$C$19&gt;B117,IF(A117=(inputs!$C$20-1),(B117+1),B117), B117)</f>
        <v>1</v>
      </c>
      <c r="C118" s="7">
        <f t="shared" si="3"/>
        <v>115</v>
      </c>
      <c r="D118" s="8">
        <f>IF((B118&gt;B117), (EXP(-LN(2)/inputs!$C$51)*D117+$D$3), (EXP(-LN(2)/inputs!$C$51)*D117))</f>
        <v>2.1161652167646822E-4</v>
      </c>
      <c r="E118" s="8">
        <f>IF((B118&gt;B117), (EXP(-LN(2)/inputs!$C$51)*E117+$E$3), (EXP(-LN(2)/inputs!$C$51)*E117))</f>
        <v>9.6990905768381175E-5</v>
      </c>
      <c r="F118" s="8">
        <f>IF((B118&gt;B117), (EXP(-LN(2)/inputs!$C$51)*F117+$F$3), (EXP(-LN(2)/inputs!$C$51)*F117))</f>
        <v>1.1903429344301325E-4</v>
      </c>
      <c r="G118" s="8">
        <f>IF((B118&gt;B117), (EXP(-LN(2)/inputs!$C$51)*G117+$G$3), (EXP(-LN(2)/inputs!$C$51)*G117))</f>
        <v>1.3226032604779264E-5</v>
      </c>
      <c r="H118" s="8">
        <f>IF((B118&gt;B117), (EXP(-LN(2)/inputs!$C$51)*H117+$H$3), (EXP(-LN(2)/inputs!$C$51)*H117))</f>
        <v>8.2883137656616533E-5</v>
      </c>
      <c r="I118" s="7">
        <f>O118*(10^inputs!$C$55)*0.01/1</f>
        <v>5.4532890303780048</v>
      </c>
      <c r="J118" s="7">
        <f>(((0.621*15^0.564)/0.2))*D118/15+J117*inputs!$C$53</f>
        <v>2.277130568301502E-4</v>
      </c>
      <c r="K118" s="7">
        <f>(((0.621*1000^0.564)/0.2))*D118/1000+K117*inputs!$C$53</f>
        <v>3.6489147941843911E-5</v>
      </c>
      <c r="L118" s="7">
        <f>(((0.648*20^0.651)/0.2))*H118/20+L117*inputs!$C$54</f>
        <v>1.2484539125939454E-4</v>
      </c>
      <c r="M118" s="7">
        <f>(((0.013*2^0.773)/0.2))*H118/2+M117*inputs!$C$54</f>
        <v>6.0878861302340471E-6</v>
      </c>
      <c r="N118" s="7">
        <f>O118*0.015*inputs!$C$56</f>
        <v>0.80119503725328256</v>
      </c>
      <c r="O118" s="7">
        <f>IF((B118&gt;B117), (EXP(-LN(2)/inputs!$C$52)*O117+$O$3), (EXP(-LN(2)/inputs!$C$52)*O117))</f>
        <v>8.642880660768959E-2</v>
      </c>
      <c r="P118" s="3">
        <f>IF((B118&gt;B117), (EXP(-LN(2)/inputs!$C$52)*P117+$P$3), (EXP(-LN(2)/inputs!$C$52)*P117))</f>
        <v>8.3516581174766555E-2</v>
      </c>
      <c r="Q118" s="19">
        <f>IF((F118*0.62*1/(0.012*(10^inputs!$C$55)))&gt;inputs!$C$57, inputs!$C$57, (F118*0.62*1/(0.012*(10^inputs!$C$55))))</f>
        <v>9.7472598029412538E-7</v>
      </c>
      <c r="R118" s="3">
        <f>IF((B118&gt;B117), (EXP(-LN(2)/inputs!$C$51)*R117+$R$3), (EXP(-LN(2)/inputs!$C$51)*R117))</f>
        <v>2.2647213468054039E-12</v>
      </c>
      <c r="T118" s="7">
        <f>IF(T117&lt;(inputs!$C$20-1),(1+T117),0)</f>
        <v>0</v>
      </c>
      <c r="U118" s="7">
        <f>IF(inputs!$C$19&gt;U117,IF(T117=(inputs!$C$20-1),(U117+1),U117), U117)</f>
        <v>1</v>
      </c>
      <c r="V118" s="7">
        <f t="shared" si="2"/>
        <v>115</v>
      </c>
      <c r="W118" s="8">
        <f>IF((U118&gt;U117), (EXP(-LN(2)/inputs!$C$51)*W117+$W$3), (EXP(-LN(2)/inputs!$C$51)*W117))</f>
        <v>7.4947518093749027E-5</v>
      </c>
      <c r="X118" s="8">
        <f>IF((U118&gt;U117), (EXP(-LN(2)/inputs!$C$51)*X117+$X$3), (EXP(-LN(2)/inputs!$C$51)*X117))</f>
        <v>3.1742478251470173E-5</v>
      </c>
      <c r="Y118" s="8">
        <f>IF((U118&gt;U117), (EXP(-LN(2)/inputs!$C$51)*Y117+$Y$3), (EXP(-LN(2)/inputs!$C$51)*Y117))</f>
        <v>3.9678097814337761E-5</v>
      </c>
      <c r="Z118" s="8">
        <f>IF((U118&gt;U117), (EXP(-LN(2)/inputs!$C$51)*Z117+$Z$3), (EXP(-LN(2)/inputs!$C$51)*Z117))</f>
        <v>6.1721485488969775E-6</v>
      </c>
      <c r="AA118" s="8">
        <f>IF((U118&gt;U117), (EXP(-LN(2)/inputs!$C$51)*AA117+$AA$3), (EXP(-LN(2)/inputs!$C$51)*AA117))</f>
        <v>5.73128079540434E-5</v>
      </c>
      <c r="AB118" s="7">
        <f>(((0.621*15^0.564)/0.2))*W118/15+AB117*inputs!$C$53</f>
        <v>8.0648374294011384E-5</v>
      </c>
      <c r="AC118" s="7">
        <f>(((0.621*1000^0.564)/0.2))*W118/1000+AC117*inputs!$C$53</f>
        <v>1.2923239896069694E-5</v>
      </c>
      <c r="AD118" s="7">
        <f>(((0.648*20^0.651)/0.2))*AA118/20+AD117*inputs!$C$54</f>
        <v>8.6329259913411207E-5</v>
      </c>
      <c r="AE118" s="7">
        <f>(((0.013*2^0.773)/0.2))*AA118/2+AE117*inputs!$C$54</f>
        <v>4.2097084943107808E-6</v>
      </c>
    </row>
    <row r="119" spans="1:31" x14ac:dyDescent="0.3">
      <c r="A119" s="7">
        <f>IF(A118&lt;(inputs!$C$20-1),(1+A118),0)</f>
        <v>0</v>
      </c>
      <c r="B119" s="7">
        <f>IF(inputs!$C$19&gt;B118,IF(A118=(inputs!$C$20-1),(B118+1),B118), B118)</f>
        <v>1</v>
      </c>
      <c r="C119" s="7">
        <f t="shared" si="3"/>
        <v>116</v>
      </c>
      <c r="D119" s="8">
        <f>IF((B119&gt;B118), (EXP(-LN(2)/inputs!$C$51)*D118+$D$3), (EXP(-LN(2)/inputs!$C$51)*D118))</f>
        <v>1.8567415633910823E-4</v>
      </c>
      <c r="E119" s="8">
        <f>IF((B119&gt;B118), (EXP(-LN(2)/inputs!$C$51)*E118+$E$3), (EXP(-LN(2)/inputs!$C$51)*E118))</f>
        <v>8.5100654988757847E-5</v>
      </c>
      <c r="F119" s="8">
        <f>IF((B119&gt;B118), (EXP(-LN(2)/inputs!$C$51)*F118+$F$3), (EXP(-LN(2)/inputs!$C$51)*F118))</f>
        <v>1.0444171294074827E-4</v>
      </c>
      <c r="G119" s="8">
        <f>IF((B119&gt;B118), (EXP(-LN(2)/inputs!$C$51)*G118+$G$3), (EXP(-LN(2)/inputs!$C$51)*G118))</f>
        <v>1.1604634771194264E-5</v>
      </c>
      <c r="H119" s="8">
        <f>IF((B119&gt;B118), (EXP(-LN(2)/inputs!$C$51)*H118+$H$3), (EXP(-LN(2)/inputs!$C$51)*H118))</f>
        <v>7.2722377899483894E-5</v>
      </c>
      <c r="I119" s="7">
        <f>O119*(10^inputs!$C$55)*0.01/1</f>
        <v>5.3432401396007698</v>
      </c>
      <c r="J119" s="7">
        <f>(((0.621*15^0.564)/0.2))*D119/15+J118*inputs!$C$53</f>
        <v>1.9979739473734642E-4</v>
      </c>
      <c r="K119" s="7">
        <f>(((0.621*1000^0.564)/0.2))*D119/1000+K118*inputs!$C$53</f>
        <v>3.2015892265694331E-5</v>
      </c>
      <c r="L119" s="7">
        <f>(((0.648*20^0.651)/0.2))*H119/20+L118*inputs!$C$54</f>
        <v>1.095404201490173E-4</v>
      </c>
      <c r="M119" s="7">
        <f>(((0.013*2^0.773)/0.2))*H119/2+M118*inputs!$C$54</f>
        <v>5.3415636556389989E-6</v>
      </c>
      <c r="N119" s="7">
        <f>O119*0.015*inputs!$C$56</f>
        <v>0.78502669835637318</v>
      </c>
      <c r="O119" s="7">
        <f>IF((B119&gt;B118), (EXP(-LN(2)/inputs!$C$52)*O118+$O$3), (EXP(-LN(2)/inputs!$C$52)*O118))</f>
        <v>8.4684649229382222E-2</v>
      </c>
      <c r="P119" s="3">
        <f>IF((B119&gt;B118), (EXP(-LN(2)/inputs!$C$52)*P118+$P$3), (EXP(-LN(2)/inputs!$C$52)*P118))</f>
        <v>8.1831193316431655E-2</v>
      </c>
      <c r="Q119" s="19">
        <f>IF((F119*0.62*1/(0.012*(10^inputs!$C$55)))&gt;inputs!$C$57, inputs!$C$57, (F119*0.62*1/(0.012*(10^inputs!$C$55))))</f>
        <v>8.5523295921864261E-7</v>
      </c>
      <c r="R119" s="3">
        <f>IF((B119&gt;B118), (EXP(-LN(2)/inputs!$C$51)*R118+$R$3), (EXP(-LN(2)/inputs!$C$51)*R118))</f>
        <v>1.9870859896948299E-12</v>
      </c>
      <c r="T119" s="7">
        <f>IF(T118&lt;(inputs!$C$20-1),(1+T118),0)</f>
        <v>0</v>
      </c>
      <c r="U119" s="7">
        <f>IF(inputs!$C$19&gt;U118,IF(T118=(inputs!$C$20-1),(U118+1),U118), U118)</f>
        <v>1</v>
      </c>
      <c r="V119" s="7">
        <f t="shared" si="2"/>
        <v>116</v>
      </c>
      <c r="W119" s="8">
        <f>IF((U119&gt;U118), (EXP(-LN(2)/inputs!$C$51)*W118+$W$3), (EXP(-LN(2)/inputs!$C$51)*W118))</f>
        <v>6.5759597036767374E-5</v>
      </c>
      <c r="X119" s="8">
        <f>IF((U119&gt;U118), (EXP(-LN(2)/inputs!$C$51)*X118+$X$3), (EXP(-LN(2)/inputs!$C$51)*X118))</f>
        <v>2.7851123450866179E-5</v>
      </c>
      <c r="Y119" s="8">
        <f>IF((U119&gt;U118), (EXP(-LN(2)/inputs!$C$51)*Y118+$Y$3), (EXP(-LN(2)/inputs!$C$51)*Y118))</f>
        <v>3.4813904313582764E-5</v>
      </c>
      <c r="Z119" s="8">
        <f>IF((U119&gt;U118), (EXP(-LN(2)/inputs!$C$51)*Z118+$Z$3), (EXP(-LN(2)/inputs!$C$51)*Z118))</f>
        <v>5.4154962265573127E-6</v>
      </c>
      <c r="AA119" s="8">
        <f>IF((U119&gt;U118), (EXP(-LN(2)/inputs!$C$51)*AA118+$AA$3), (EXP(-LN(2)/inputs!$C$51)*AA118))</f>
        <v>5.0286750675175076E-5</v>
      </c>
      <c r="AB119" s="7">
        <f>(((0.621*15^0.564)/0.2))*W119/15+AB118*inputs!$C$53</f>
        <v>7.0761577302810058E-5</v>
      </c>
      <c r="AC119" s="7">
        <f>(((0.621*1000^0.564)/0.2))*W119/1000+AC118*inputs!$C$53</f>
        <v>1.1338961844100053E-5</v>
      </c>
      <c r="AD119" s="7">
        <f>(((0.648*20^0.651)/0.2))*AA119/20+AD118*inputs!$C$54</f>
        <v>7.574603520942693E-5</v>
      </c>
      <c r="AE119" s="7">
        <f>(((0.013*2^0.773)/0.2))*AA119/2+AE118*inputs!$C$54</f>
        <v>3.6936344427290983E-6</v>
      </c>
    </row>
    <row r="120" spans="1:31" x14ac:dyDescent="0.3">
      <c r="A120" s="7">
        <f>IF(A119&lt;(inputs!$C$20-1),(1+A119),0)</f>
        <v>0</v>
      </c>
      <c r="B120" s="7">
        <f>IF(inputs!$C$19&gt;B119,IF(A119=(inputs!$C$20-1),(B119+1),B119), B119)</f>
        <v>1</v>
      </c>
      <c r="C120" s="7">
        <f t="shared" si="3"/>
        <v>117</v>
      </c>
      <c r="D120" s="8">
        <f>IF((B120&gt;B119), (EXP(-LN(2)/inputs!$C$51)*D119+$D$3), (EXP(-LN(2)/inputs!$C$51)*D119))</f>
        <v>1.6291210184877174E-4</v>
      </c>
      <c r="E120" s="8">
        <f>IF((B120&gt;B119), (EXP(-LN(2)/inputs!$C$51)*E119+$E$3), (EXP(-LN(2)/inputs!$C$51)*E119))</f>
        <v>7.4668046680686969E-5</v>
      </c>
      <c r="F120" s="8">
        <f>IF((B120&gt;B119), (EXP(-LN(2)/inputs!$C$51)*F119+$F$3), (EXP(-LN(2)/inputs!$C$51)*F119))</f>
        <v>9.1638057289934006E-5</v>
      </c>
      <c r="G120" s="8">
        <f>IF((B120&gt;B119), (EXP(-LN(2)/inputs!$C$51)*G119+$G$3), (EXP(-LN(2)/inputs!$C$51)*G119))</f>
        <v>1.0182006365548234E-5</v>
      </c>
      <c r="H120" s="8">
        <f>IF((B120&gt;B119), (EXP(-LN(2)/inputs!$C$51)*H119+$H$3), (EXP(-LN(2)/inputs!$C$51)*H119))</f>
        <v>6.3807239890768783E-5</v>
      </c>
      <c r="I120" s="7">
        <f>O120*(10^inputs!$C$55)*0.01/1</f>
        <v>5.235412066075992</v>
      </c>
      <c r="J120" s="7">
        <f>(((0.621*15^0.564)/0.2))*D120/15+J119*inputs!$C$53</f>
        <v>1.7530395270046531E-4</v>
      </c>
      <c r="K120" s="7">
        <f>(((0.621*1000^0.564)/0.2))*D120/1000+K119*inputs!$C$53</f>
        <v>2.8091019258717958E-5</v>
      </c>
      <c r="L120" s="7">
        <f>(((0.648*20^0.651)/0.2))*H120/20+L119*inputs!$C$54</f>
        <v>9.6111706851015289E-5</v>
      </c>
      <c r="M120" s="7">
        <f>(((0.013*2^0.773)/0.2))*H120/2+M119*inputs!$C$54</f>
        <v>4.6867338969341965E-6</v>
      </c>
      <c r="N120" s="7">
        <f>O120*0.015*inputs!$C$56</f>
        <v>0.76918464103951645</v>
      </c>
      <c r="O120" s="7">
        <f>IF((B120&gt;B119), (EXP(-LN(2)/inputs!$C$52)*O119+$O$3), (EXP(-LN(2)/inputs!$C$52)*O119))</f>
        <v>8.2975689432526048E-2</v>
      </c>
      <c r="P120" s="3">
        <f>IF((B120&gt;B119), (EXP(-LN(2)/inputs!$C$52)*P119+$P$3), (EXP(-LN(2)/inputs!$C$52)*P119))</f>
        <v>8.017981705427403E-2</v>
      </c>
      <c r="Q120" s="19">
        <f>IF((F120*0.62*1/(0.012*(10^inputs!$C$55)))&gt;inputs!$C$57, inputs!$C$57, (F120*0.62*1/(0.012*(10^inputs!$C$55))))</f>
        <v>7.5038875470741854E-7</v>
      </c>
      <c r="R120" s="3">
        <f>IF((B120&gt;B119), (EXP(-LN(2)/inputs!$C$51)*R119+$R$3), (EXP(-LN(2)/inputs!$C$51)*R119))</f>
        <v>1.7434863392846173E-12</v>
      </c>
      <c r="T120" s="7">
        <f>IF(T119&lt;(inputs!$C$20-1),(1+T119),0)</f>
        <v>0</v>
      </c>
      <c r="U120" s="7">
        <f>IF(inputs!$C$19&gt;U119,IF(T119=(inputs!$C$20-1),(U119+1),U119), U119)</f>
        <v>1</v>
      </c>
      <c r="V120" s="7">
        <f t="shared" si="2"/>
        <v>117</v>
      </c>
      <c r="W120" s="8">
        <f>IF((U120&gt;U119), (EXP(-LN(2)/inputs!$C$51)*W119+$W$3), (EXP(-LN(2)/inputs!$C$51)*W119))</f>
        <v>5.7698036071439884E-5</v>
      </c>
      <c r="X120" s="8">
        <f>IF((U120&gt;U119), (EXP(-LN(2)/inputs!$C$51)*X119+$X$3), (EXP(-LN(2)/inputs!$C$51)*X119))</f>
        <v>2.4436815277315711E-5</v>
      </c>
      <c r="Y120" s="8">
        <f>IF((U120&gt;U119), (EXP(-LN(2)/inputs!$C$51)*Y119+$Y$3), (EXP(-LN(2)/inputs!$C$51)*Y119))</f>
        <v>3.0546019096644678E-5</v>
      </c>
      <c r="Z120" s="8">
        <f>IF((U120&gt;U119), (EXP(-LN(2)/inputs!$C$51)*Z119+$Z$3), (EXP(-LN(2)/inputs!$C$51)*Z119))</f>
        <v>4.7516029705891664E-6</v>
      </c>
      <c r="AA120" s="8">
        <f>IF((U120&gt;U119), (EXP(-LN(2)/inputs!$C$51)*AA119+$AA$3), (EXP(-LN(2)/inputs!$C$51)*AA119))</f>
        <v>4.4122027584042284E-5</v>
      </c>
      <c r="AB120" s="7">
        <f>(((0.621*15^0.564)/0.2))*W120/15+AB119*inputs!$C$53</f>
        <v>6.2086816581414684E-5</v>
      </c>
      <c r="AC120" s="7">
        <f>(((0.621*1000^0.564)/0.2))*W120/1000+AC119*inputs!$C$53</f>
        <v>9.9489026541292566E-6</v>
      </c>
      <c r="AD120" s="7">
        <f>(((0.648*20^0.651)/0.2))*AA120/20+AD119*inputs!$C$54</f>
        <v>6.6460222822510643E-5</v>
      </c>
      <c r="AE120" s="7">
        <f>(((0.013*2^0.773)/0.2))*AA120/2+AE119*inputs!$C$54</f>
        <v>3.2408266308587565E-6</v>
      </c>
    </row>
    <row r="121" spans="1:31" x14ac:dyDescent="0.3">
      <c r="A121" s="7">
        <f>IF(A120&lt;(inputs!$C$20-1),(1+A120),0)</f>
        <v>0</v>
      </c>
      <c r="B121" s="7">
        <f>IF(inputs!$C$19&gt;B120,IF(A120=(inputs!$C$20-1),(B120+1),B120), B120)</f>
        <v>1</v>
      </c>
      <c r="C121" s="7">
        <f t="shared" si="3"/>
        <v>118</v>
      </c>
      <c r="D121" s="8">
        <f>IF((B121&gt;B120), (EXP(-LN(2)/inputs!$C$51)*D120+$D$3), (EXP(-LN(2)/inputs!$C$51)*D120))</f>
        <v>1.429404794510674E-4</v>
      </c>
      <c r="E121" s="8">
        <f>IF((B121&gt;B120), (EXP(-LN(2)/inputs!$C$51)*E120+$E$3), (EXP(-LN(2)/inputs!$C$51)*E120))</f>
        <v>6.5514386415072489E-5</v>
      </c>
      <c r="F121" s="8">
        <f>IF((B121&gt;B120), (EXP(-LN(2)/inputs!$C$51)*F120+$F$3), (EXP(-LN(2)/inputs!$C$51)*F120))</f>
        <v>8.0404019691225333E-5</v>
      </c>
      <c r="G121" s="8">
        <f>IF((B121&gt;B120), (EXP(-LN(2)/inputs!$C$51)*G120+$G$3), (EXP(-LN(2)/inputs!$C$51)*G120))</f>
        <v>8.9337799656917125E-6</v>
      </c>
      <c r="H121" s="8">
        <f>IF((B121&gt;B120), (EXP(-LN(2)/inputs!$C$51)*H120+$H$3), (EXP(-LN(2)/inputs!$C$51)*H120))</f>
        <v>5.59850211183346E-5</v>
      </c>
      <c r="I121" s="7">
        <f>O121*(10^inputs!$C$55)*0.01/1</f>
        <v>5.1297599930932618</v>
      </c>
      <c r="J121" s="7">
        <f>(((0.621*15^0.564)/0.2))*D121/15+J120*inputs!$C$53</f>
        <v>1.5381319597688732E-4</v>
      </c>
      <c r="K121" s="7">
        <f>(((0.621*1000^0.564)/0.2))*D121/1000+K120*inputs!$C$53</f>
        <v>2.4647301922589401E-5</v>
      </c>
      <c r="L121" s="7">
        <f>(((0.648*20^0.651)/0.2))*H121/20+L120*inputs!$C$54</f>
        <v>8.4329238296228777E-5</v>
      </c>
      <c r="M121" s="7">
        <f>(((0.013*2^0.773)/0.2))*H121/2+M120*inputs!$C$54</f>
        <v>4.1121806341263799E-6</v>
      </c>
      <c r="N121" s="7">
        <f>O121*0.015*inputs!$C$56</f>
        <v>0.75366228084959319</v>
      </c>
      <c r="O121" s="7">
        <f>IF((B121&gt;B120), (EXP(-LN(2)/inputs!$C$52)*O120+$O$3), (EXP(-LN(2)/inputs!$C$52)*O120))</f>
        <v>8.1301216920128719E-2</v>
      </c>
      <c r="P121" s="3">
        <f>IF((B121&gt;B120), (EXP(-LN(2)/inputs!$C$52)*P120+$P$3), (EXP(-LN(2)/inputs!$C$52)*P120))</f>
        <v>7.8561766024814308E-2</v>
      </c>
      <c r="Q121" s="19">
        <f>IF((F121*0.62*1/(0.012*(10^inputs!$C$55)))&gt;inputs!$C$57, inputs!$C$57, (F121*0.62*1/(0.012*(10^inputs!$C$55))))</f>
        <v>6.5839754785151641E-7</v>
      </c>
      <c r="R121" s="3">
        <f>IF((B121&gt;B120), (EXP(-LN(2)/inputs!$C$51)*R120+$R$3), (EXP(-LN(2)/inputs!$C$51)*R120))</f>
        <v>1.5297499106915396E-12</v>
      </c>
      <c r="T121" s="7">
        <f>IF(T120&lt;(inputs!$C$20-1),(1+T120),0)</f>
        <v>0</v>
      </c>
      <c r="U121" s="7">
        <f>IF(inputs!$C$19&gt;U120,IF(T120=(inputs!$C$20-1),(U120+1),U120), U120)</f>
        <v>1</v>
      </c>
      <c r="V121" s="7">
        <f t="shared" si="2"/>
        <v>118</v>
      </c>
      <c r="W121" s="8">
        <f>IF((U121&gt;U120), (EXP(-LN(2)/inputs!$C$51)*W120+$W$3), (EXP(-LN(2)/inputs!$C$51)*W120))</f>
        <v>5.0624753138919612E-5</v>
      </c>
      <c r="X121" s="8">
        <f>IF((U121&gt;U120), (EXP(-LN(2)/inputs!$C$51)*X120+$X$3), (EXP(-LN(2)/inputs!$C$51)*X120))</f>
        <v>2.1441071917660067E-5</v>
      </c>
      <c r="Y121" s="8">
        <f>IF((U121&gt;U120), (EXP(-LN(2)/inputs!$C$51)*Y120+$Y$3), (EXP(-LN(2)/inputs!$C$51)*Y120))</f>
        <v>2.6801339897075119E-5</v>
      </c>
      <c r="Z121" s="8">
        <f>IF((U121&gt;U120), (EXP(-LN(2)/inputs!$C$51)*Z120+$Z$3), (EXP(-LN(2)/inputs!$C$51)*Z120))</f>
        <v>4.1690973173227906E-6</v>
      </c>
      <c r="AA121" s="8">
        <f>IF((U121&gt;U120), (EXP(-LN(2)/inputs!$C$51)*AA120+$AA$3), (EXP(-LN(2)/inputs!$C$51)*AA120))</f>
        <v>3.8713046517997367E-5</v>
      </c>
      <c r="AB121" s="7">
        <f>(((0.621*15^0.564)/0.2))*W121/15+AB120*inputs!$C$53</f>
        <v>5.4475506908480824E-5</v>
      </c>
      <c r="AC121" s="7">
        <f>(((0.621*1000^0.564)/0.2))*W121/1000+AC120*inputs!$C$53</f>
        <v>8.7292527642503979E-6</v>
      </c>
      <c r="AD121" s="7">
        <f>(((0.648*20^0.651)/0.2))*AA121/20+AD120*inputs!$C$54</f>
        <v>5.8312771162285918E-5</v>
      </c>
      <c r="AE121" s="7">
        <f>(((0.013*2^0.773)/0.2))*AA121/2+AE120*inputs!$C$54</f>
        <v>2.843529161895904E-6</v>
      </c>
    </row>
    <row r="122" spans="1:31" x14ac:dyDescent="0.3">
      <c r="A122" s="7">
        <f>IF(A121&lt;(inputs!$C$20-1),(1+A121),0)</f>
        <v>0</v>
      </c>
      <c r="B122" s="7">
        <f>IF(inputs!$C$19&gt;B121,IF(A121=(inputs!$C$20-1),(B121+1),B121), B121)</f>
        <v>1</v>
      </c>
      <c r="C122" s="7">
        <f t="shared" si="3"/>
        <v>119</v>
      </c>
      <c r="D122" s="8">
        <f>IF((B122&gt;B121), (EXP(-LN(2)/inputs!$C$51)*D121+$D$3), (EXP(-LN(2)/inputs!$C$51)*D121))</f>
        <v>1.2541720617334891E-4</v>
      </c>
      <c r="E122" s="8">
        <f>IF((B122&gt;B121), (EXP(-LN(2)/inputs!$C$51)*E121+$E$3), (EXP(-LN(2)/inputs!$C$51)*E121))</f>
        <v>5.7482886162784858E-5</v>
      </c>
      <c r="F122" s="8">
        <f>IF((B122&gt;B121), (EXP(-LN(2)/inputs!$C$51)*F121+$F$3), (EXP(-LN(2)/inputs!$C$51)*F121))</f>
        <v>7.0547178472508691E-5</v>
      </c>
      <c r="G122" s="8">
        <f>IF((B122&gt;B121), (EXP(-LN(2)/inputs!$C$51)*G121+$G$3), (EXP(-LN(2)/inputs!$C$51)*G121))</f>
        <v>7.8385753858343069E-6</v>
      </c>
      <c r="H122" s="8">
        <f>IF((B122&gt;B121), (EXP(-LN(2)/inputs!$C$51)*H121+$H$3), (EXP(-LN(2)/inputs!$C$51)*H121))</f>
        <v>4.9121739084561543E-5</v>
      </c>
      <c r="I122" s="7">
        <f>O122*(10^inputs!$C$55)*0.01/1</f>
        <v>5.0262400083558632</v>
      </c>
      <c r="J122" s="7">
        <f>(((0.621*15^0.564)/0.2))*D122/15+J121*inputs!$C$53</f>
        <v>1.349570211748086E-4</v>
      </c>
      <c r="K122" s="7">
        <f>(((0.621*1000^0.564)/0.2))*D122/1000+K121*inputs!$C$53</f>
        <v>2.1625754710724746E-5</v>
      </c>
      <c r="L122" s="7">
        <f>(((0.648*20^0.651)/0.2))*H122/20+L121*inputs!$C$54</f>
        <v>7.3991199039318857E-5</v>
      </c>
      <c r="M122" s="7">
        <f>(((0.013*2^0.773)/0.2))*H122/2+M121*inputs!$C$54</f>
        <v>3.6080626593171096E-6</v>
      </c>
      <c r="N122" s="7">
        <f>O122*0.015*inputs!$C$56</f>
        <v>0.73845316620958112</v>
      </c>
      <c r="O122" s="7">
        <f>IF((B122&gt;B121), (EXP(-LN(2)/inputs!$C$52)*O121+$O$3), (EXP(-LN(2)/inputs!$C$52)*O121))</f>
        <v>7.9660535729188908E-2</v>
      </c>
      <c r="P122" s="3">
        <f>IF((B122&gt;B121), (EXP(-LN(2)/inputs!$C$52)*P121+$P$3), (EXP(-LN(2)/inputs!$C$52)*P121))</f>
        <v>7.6976367715579225E-2</v>
      </c>
      <c r="Q122" s="19">
        <f>IF((F122*0.62*1/(0.012*(10^inputs!$C$55)))&gt;inputs!$C$57, inputs!$C$57, (F122*0.62*1/(0.012*(10^inputs!$C$55))))</f>
        <v>5.7768367169349366E-7</v>
      </c>
      <c r="R122" s="3">
        <f>IF((B122&gt;B121), (EXP(-LN(2)/inputs!$C$51)*R121+$R$3), (EXP(-LN(2)/inputs!$C$51)*R121))</f>
        <v>1.3422157297894122E-12</v>
      </c>
      <c r="T122" s="7">
        <f>IF(T121&lt;(inputs!$C$20-1),(1+T121),0)</f>
        <v>0</v>
      </c>
      <c r="U122" s="7">
        <f>IF(inputs!$C$19&gt;U121,IF(T121=(inputs!$C$20-1),(U121+1),U121), U121)</f>
        <v>1</v>
      </c>
      <c r="V122" s="7">
        <f t="shared" si="2"/>
        <v>119</v>
      </c>
      <c r="W122" s="8">
        <f>IF((U122&gt;U121), (EXP(-LN(2)/inputs!$C$51)*W121+$W$3), (EXP(-LN(2)/inputs!$C$51)*W121))</f>
        <v>4.4418593853060992E-5</v>
      </c>
      <c r="X122" s="8">
        <f>IF((U122&gt;U121), (EXP(-LN(2)/inputs!$C$51)*X121+$X$3), (EXP(-LN(2)/inputs!$C$51)*X121))</f>
        <v>1.8812580926002299E-5</v>
      </c>
      <c r="Y122" s="8">
        <f>IF((U122&gt;U121), (EXP(-LN(2)/inputs!$C$51)*Y121+$Y$3), (EXP(-LN(2)/inputs!$C$51)*Y121))</f>
        <v>2.3515726157502904E-5</v>
      </c>
      <c r="Z122" s="8">
        <f>IF((U122&gt;U121), (EXP(-LN(2)/inputs!$C$51)*Z121+$Z$3), (EXP(-LN(2)/inputs!$C$51)*Z121))</f>
        <v>3.6580018467226691E-6</v>
      </c>
      <c r="AA122" s="8">
        <f>IF((U122&gt;U121), (EXP(-LN(2)/inputs!$C$51)*AA121+$AA$3), (EXP(-LN(2)/inputs!$C$51)*AA121))</f>
        <v>3.3967160005281948E-5</v>
      </c>
      <c r="AB122" s="7">
        <f>(((0.621*15^0.564)/0.2))*W122/15+AB121*inputs!$C$53</f>
        <v>4.7797278332744625E-5</v>
      </c>
      <c r="AC122" s="7">
        <f>(((0.621*1000^0.564)/0.2))*W122/1000+AC121*inputs!$C$53</f>
        <v>7.6591214600483338E-6</v>
      </c>
      <c r="AD122" s="7">
        <f>(((0.648*20^0.651)/0.2))*AA122/20+AD121*inputs!$C$54</f>
        <v>5.1164126995273733E-5</v>
      </c>
      <c r="AE122" s="7">
        <f>(((0.013*2^0.773)/0.2))*AA122/2+AE121*inputs!$C$54</f>
        <v>2.4949369452724716E-6</v>
      </c>
    </row>
    <row r="123" spans="1:31" x14ac:dyDescent="0.3">
      <c r="A123" s="7">
        <f>IF(A122&lt;(inputs!$C$20-1),(1+A122),0)</f>
        <v>0</v>
      </c>
      <c r="B123" s="7">
        <f>IF(inputs!$C$19&gt;B122,IF(A122=(inputs!$C$20-1),(B122+1),B122), B122)</f>
        <v>1</v>
      </c>
      <c r="C123" s="7">
        <f t="shared" si="3"/>
        <v>120</v>
      </c>
      <c r="D123" s="8">
        <f>IF((B123&gt;B122), (EXP(-LN(2)/inputs!$C$51)*D122+$D$3), (EXP(-LN(2)/inputs!$C$51)*D122))</f>
        <v>1.1004213547298865E-4</v>
      </c>
      <c r="E123" s="8">
        <f>IF((B123&gt;B122), (EXP(-LN(2)/inputs!$C$51)*E122+$E$3), (EXP(-LN(2)/inputs!$C$51)*E122))</f>
        <v>5.0435978758453077E-5</v>
      </c>
      <c r="F123" s="8">
        <f>IF((B123&gt;B122), (EXP(-LN(2)/inputs!$C$51)*F122+$F$3), (EXP(-LN(2)/inputs!$C$51)*F122))</f>
        <v>6.1898701203556044E-5</v>
      </c>
      <c r="G123" s="8">
        <f>IF((B123&gt;B122), (EXP(-LN(2)/inputs!$C$51)*G122+$G$3), (EXP(-LN(2)/inputs!$C$51)*G122))</f>
        <v>6.8776334670617906E-6</v>
      </c>
      <c r="H123" s="8">
        <f>IF((B123&gt;B122), (EXP(-LN(2)/inputs!$C$51)*H122+$H$3), (EXP(-LN(2)/inputs!$C$51)*H122))</f>
        <v>4.3099836393587122E-5</v>
      </c>
      <c r="I123" s="7">
        <f>O123*(10^inputs!$C$55)*0.01/1</f>
        <v>4.9248090857294535</v>
      </c>
      <c r="J123" s="7">
        <f>(((0.621*15^0.564)/0.2))*D123/15+J122*inputs!$C$53</f>
        <v>1.1841245121201803E-4</v>
      </c>
      <c r="K123" s="7">
        <f>(((0.621*1000^0.564)/0.2))*D123/1000+K122*inputs!$C$53</f>
        <v>1.8974623197186874E-5</v>
      </c>
      <c r="L123" s="7">
        <f>(((0.648*20^0.651)/0.2))*H123/20+L122*inputs!$C$54</f>
        <v>6.4920514472629017E-5</v>
      </c>
      <c r="M123" s="7">
        <f>(((0.013*2^0.773)/0.2))*H123/2+M122*inputs!$C$54</f>
        <v>3.1657452120471142E-6</v>
      </c>
      <c r="N123" s="7">
        <f>O123*0.015*inputs!$C$56</f>
        <v>0.72355097573707861</v>
      </c>
      <c r="O123" s="7">
        <f>IF((B123&gt;B122), (EXP(-LN(2)/inputs!$C$52)*O122+$O$3), (EXP(-LN(2)/inputs!$C$52)*O122))</f>
        <v>7.8052963941432435E-2</v>
      </c>
      <c r="P123" s="3">
        <f>IF((B123&gt;B122), (EXP(-LN(2)/inputs!$C$52)*P122+$P$3), (EXP(-LN(2)/inputs!$C$52)*P122))</f>
        <v>7.5422963185584432E-2</v>
      </c>
      <c r="Q123" s="19">
        <f>IF((F123*0.62*1/(0.012*(10^inputs!$C$55)))&gt;inputs!$C$57, inputs!$C$57, (F123*0.62*1/(0.012*(10^inputs!$C$55))))</f>
        <v>5.0686462249178538E-7</v>
      </c>
      <c r="R123" s="3">
        <f>IF((B123&gt;B122), (EXP(-LN(2)/inputs!$C$51)*R122+$R$3), (EXP(-LN(2)/inputs!$C$51)*R122))</f>
        <v>1.1776716263900404E-12</v>
      </c>
      <c r="T123" s="7">
        <f>IF(T122&lt;(inputs!$C$20-1),(1+T122),0)</f>
        <v>0</v>
      </c>
      <c r="U123" s="7">
        <f>IF(inputs!$C$19&gt;U122,IF(T122=(inputs!$C$20-1),(U122+1),U122), U122)</f>
        <v>1</v>
      </c>
      <c r="V123" s="7">
        <f t="shared" si="2"/>
        <v>120</v>
      </c>
      <c r="W123" s="8">
        <f>IF((U123&gt;U122), (EXP(-LN(2)/inputs!$C$51)*W122+$W$3), (EXP(-LN(2)/inputs!$C$51)*W122))</f>
        <v>3.8973256313350076E-5</v>
      </c>
      <c r="X123" s="8">
        <f>IF((U123&gt;U122), (EXP(-LN(2)/inputs!$C$51)*X122+$X$3), (EXP(-LN(2)/inputs!$C$51)*X122))</f>
        <v>1.6506320320948264E-5</v>
      </c>
      <c r="Y123" s="8">
        <f>IF((U123&gt;U122), (EXP(-LN(2)/inputs!$C$51)*Y122+$Y$3), (EXP(-LN(2)/inputs!$C$51)*Y122))</f>
        <v>2.0632900401185355E-5</v>
      </c>
      <c r="Z123" s="8">
        <f>IF((U123&gt;U122), (EXP(-LN(2)/inputs!$C$51)*Z122+$Z$3), (EXP(-LN(2)/inputs!$C$51)*Z122))</f>
        <v>3.2095622846288289E-6</v>
      </c>
      <c r="AA123" s="8">
        <f>IF((U123&gt;U122), (EXP(-LN(2)/inputs!$C$51)*AA122+$AA$3), (EXP(-LN(2)/inputs!$C$51)*AA122))</f>
        <v>2.9803078357267715E-5</v>
      </c>
      <c r="AB123" s="7">
        <f>(((0.621*15^0.564)/0.2))*W123/15+AB122*inputs!$C$53</f>
        <v>4.1937743137589641E-5</v>
      </c>
      <c r="AC123" s="7">
        <f>(((0.621*1000^0.564)/0.2))*W123/1000+AC122*inputs!$C$53</f>
        <v>6.7201790490036712E-6</v>
      </c>
      <c r="AD123" s="7">
        <f>(((0.648*20^0.651)/0.2))*AA123/20+AD122*inputs!$C$54</f>
        <v>4.489184511405201E-5</v>
      </c>
      <c r="AE123" s="7">
        <f>(((0.013*2^0.773)/0.2))*AA123/2+AE122*inputs!$C$54</f>
        <v>2.1890791359900275E-6</v>
      </c>
    </row>
    <row r="124" spans="1:31" x14ac:dyDescent="0.3">
      <c r="A124" s="7">
        <f>IF(A123&lt;(inputs!$C$20-1),(1+A123),0)</f>
        <v>0</v>
      </c>
      <c r="B124" s="7">
        <f>IF(inputs!$C$19&gt;B123,IF(A123=(inputs!$C$20-1),(B123+1),B123), B123)</f>
        <v>1</v>
      </c>
      <c r="C124" s="7">
        <f t="shared" si="3"/>
        <v>121</v>
      </c>
      <c r="D124" s="8">
        <f>IF((B124&gt;B123), (EXP(-LN(2)/inputs!$C$51)*D123+$D$3), (EXP(-LN(2)/inputs!$C$51)*D123))</f>
        <v>9.6551916191773697E-5</v>
      </c>
      <c r="E124" s="8">
        <f>IF((B124&gt;B123), (EXP(-LN(2)/inputs!$C$51)*E123+$E$3), (EXP(-LN(2)/inputs!$C$51)*E123))</f>
        <v>4.4252961587896232E-5</v>
      </c>
      <c r="F124" s="8">
        <f>IF((B124&gt;B123), (EXP(-LN(2)/inputs!$C$51)*F123+$F$3), (EXP(-LN(2)/inputs!$C$51)*F123))</f>
        <v>5.4310452857872641E-5</v>
      </c>
      <c r="G124" s="8">
        <f>IF((B124&gt;B123), (EXP(-LN(2)/inputs!$C$51)*G123+$G$3), (EXP(-LN(2)/inputs!$C$51)*G123))</f>
        <v>6.0344947619858561E-6</v>
      </c>
      <c r="H124" s="8">
        <f>IF((B124&gt;B123), (EXP(-LN(2)/inputs!$C$51)*H123+$H$3), (EXP(-LN(2)/inputs!$C$51)*H123))</f>
        <v>3.7816167175111277E-5</v>
      </c>
      <c r="I124" s="7">
        <f>O124*(10^inputs!$C$55)*0.01/1</f>
        <v>4.8254250673590562</v>
      </c>
      <c r="J124" s="7">
        <f>(((0.621*15^0.564)/0.2))*D124/15+J123*inputs!$C$53</f>
        <v>1.0389610321849518E-4</v>
      </c>
      <c r="K124" s="7">
        <f>(((0.621*1000^0.564)/0.2))*D124/1000+K123*inputs!$C$53</f>
        <v>1.6648497603492713E-5</v>
      </c>
      <c r="L124" s="7">
        <f>(((0.648*20^0.651)/0.2))*H124/20+L123*inputs!$C$54</f>
        <v>5.6961817812293572E-5</v>
      </c>
      <c r="M124" s="7">
        <f>(((0.013*2^0.773)/0.2))*H124/2+M123*inputs!$C$54</f>
        <v>2.7776520792175096E-6</v>
      </c>
      <c r="N124" s="7">
        <f>O124*0.015*inputs!$C$56</f>
        <v>0.70894951561694042</v>
      </c>
      <c r="O124" s="7">
        <f>IF((B124&gt;B123), (EXP(-LN(2)/inputs!$C$52)*O123+$O$3), (EXP(-LN(2)/inputs!$C$52)*O123))</f>
        <v>7.6477833399885703E-2</v>
      </c>
      <c r="P124" s="3">
        <f>IF((B124&gt;B123), (EXP(-LN(2)/inputs!$C$52)*P123+$P$3), (EXP(-LN(2)/inputs!$C$52)*P123))</f>
        <v>7.3900906791458096E-2</v>
      </c>
      <c r="Q124" s="19">
        <f>IF((F124*0.62*1/(0.012*(10^inputs!$C$55)))&gt;inputs!$C$57, inputs!$C$57, (F124*0.62*1/(0.012*(10^inputs!$C$55))))</f>
        <v>4.4472737957193285E-7</v>
      </c>
      <c r="R124" s="3">
        <f>IF((B124&gt;B123), (EXP(-LN(2)/inputs!$C$51)*R123+$R$3), (EXP(-LN(2)/inputs!$C$51)*R123))</f>
        <v>1.0332992147408099E-12</v>
      </c>
      <c r="T124" s="7">
        <f>IF(T123&lt;(inputs!$C$20-1),(1+T123),0)</f>
        <v>0</v>
      </c>
      <c r="U124" s="7">
        <f>IF(inputs!$C$19&gt;U123,IF(T123=(inputs!$C$20-1),(U123+1),U123), U123)</f>
        <v>1</v>
      </c>
      <c r="V124" s="7">
        <f t="shared" si="2"/>
        <v>121</v>
      </c>
      <c r="W124" s="8">
        <f>IF((U124&gt;U123), (EXP(-LN(2)/inputs!$C$51)*W123+$W$3), (EXP(-LN(2)/inputs!$C$51)*W123))</f>
        <v>3.4195470317919789E-5</v>
      </c>
      <c r="X124" s="8">
        <f>IF((U124&gt;U123), (EXP(-LN(2)/inputs!$C$51)*X123+$X$3), (EXP(-LN(2)/inputs!$C$51)*X123))</f>
        <v>1.4482787428766025E-5</v>
      </c>
      <c r="Y124" s="8">
        <f>IF((U124&gt;U123), (EXP(-LN(2)/inputs!$C$51)*Y123+$Y$3), (EXP(-LN(2)/inputs!$C$51)*Y123))</f>
        <v>1.8103484285957554E-5</v>
      </c>
      <c r="Z124" s="8">
        <f>IF((U124&gt;U123), (EXP(-LN(2)/inputs!$C$51)*Z123+$Z$3), (EXP(-LN(2)/inputs!$C$51)*Z123))</f>
        <v>2.8160975555933937E-6</v>
      </c>
      <c r="AA124" s="8">
        <f>IF((U124&gt;U123), (EXP(-LN(2)/inputs!$C$51)*AA123+$AA$3), (EXP(-LN(2)/inputs!$C$51)*AA123))</f>
        <v>2.6149477301938672E-5</v>
      </c>
      <c r="AB124" s="7">
        <f>(((0.621*15^0.564)/0.2))*W124/15+AB123*inputs!$C$53</f>
        <v>3.67965365565503E-5</v>
      </c>
      <c r="AC124" s="7">
        <f>(((0.621*1000^0.564)/0.2))*W124/1000+AC123*inputs!$C$53</f>
        <v>5.8963429012369916E-6</v>
      </c>
      <c r="AD124" s="7">
        <f>(((0.648*20^0.651)/0.2))*AA124/20+AD123*inputs!$C$54</f>
        <v>3.9388491040415804E-5</v>
      </c>
      <c r="AE124" s="7">
        <f>(((0.013*2^0.773)/0.2))*AA124/2+AE123*inputs!$C$54</f>
        <v>1.9207168632887052E-6</v>
      </c>
    </row>
    <row r="125" spans="1:31" x14ac:dyDescent="0.3">
      <c r="A125" s="7">
        <f>IF(A124&lt;(inputs!$C$20-1),(1+A124),0)</f>
        <v>0</v>
      </c>
      <c r="B125" s="7">
        <f>IF(inputs!$C$19&gt;B124,IF(A124=(inputs!$C$20-1),(B124+1),B124), B124)</f>
        <v>1</v>
      </c>
      <c r="C125" s="7">
        <f t="shared" si="3"/>
        <v>122</v>
      </c>
      <c r="D125" s="8">
        <f>IF((B125&gt;B124), (EXP(-LN(2)/inputs!$C$51)*D124+$D$3), (EXP(-LN(2)/inputs!$C$51)*D124))</f>
        <v>8.4715481758272236E-5</v>
      </c>
      <c r="E125" s="8">
        <f>IF((B125&gt;B124), (EXP(-LN(2)/inputs!$C$51)*E124+$E$3), (EXP(-LN(2)/inputs!$C$51)*E124))</f>
        <v>3.8827929139208063E-5</v>
      </c>
      <c r="F125" s="8">
        <f>IF((B125&gt;B124), (EXP(-LN(2)/inputs!$C$51)*F124+$F$3), (EXP(-LN(2)/inputs!$C$51)*F124))</f>
        <v>4.7652458489028072E-5</v>
      </c>
      <c r="G125" s="8">
        <f>IF((B125&gt;B124), (EXP(-LN(2)/inputs!$C$51)*G124+$G$3), (EXP(-LN(2)/inputs!$C$51)*G124))</f>
        <v>5.2947176098920148E-6</v>
      </c>
      <c r="H125" s="8">
        <f>IF((B125&gt;B124), (EXP(-LN(2)/inputs!$C$51)*H124+$H$3), (EXP(-LN(2)/inputs!$C$51)*H124))</f>
        <v>3.3180230355323213E-5</v>
      </c>
      <c r="I125" s="7">
        <f>O125*(10^inputs!$C$55)*0.01/1</f>
        <v>4.7280466461469457</v>
      </c>
      <c r="J125" s="7">
        <f>(((0.621*15^0.564)/0.2))*D125/15+J124*inputs!$C$53</f>
        <v>9.1159334626565416E-5</v>
      </c>
      <c r="K125" s="7">
        <f>(((0.621*1000^0.564)/0.2))*D125/1000+K124*inputs!$C$53</f>
        <v>1.4607534999408865E-5</v>
      </c>
      <c r="L125" s="7">
        <f>(((0.648*20^0.651)/0.2))*H125/20+L124*inputs!$C$54</f>
        <v>4.9978788905760971E-5</v>
      </c>
      <c r="M125" s="7">
        <f>(((0.013*2^0.773)/0.2))*H125/2+M124*inputs!$C$54</f>
        <v>2.4371358262885152E-6</v>
      </c>
      <c r="N125" s="7">
        <f>O125*0.015*inputs!$C$56</f>
        <v>0.69464271702693525</v>
      </c>
      <c r="O125" s="7">
        <f>IF((B125&gt;B124), (EXP(-LN(2)/inputs!$C$52)*O124+$O$3), (EXP(-LN(2)/inputs!$C$52)*O124))</f>
        <v>7.4934489431168858E-2</v>
      </c>
      <c r="P125" s="3">
        <f>IF((B125&gt;B124), (EXP(-LN(2)/inputs!$C$52)*P124+$P$3), (EXP(-LN(2)/inputs!$C$52)*P124))</f>
        <v>7.2409565919091368E-2</v>
      </c>
      <c r="Q125" s="19">
        <f>IF((F125*0.62*1/(0.012*(10^inputs!$C$55)))&gt;inputs!$C$57, inputs!$C$57, (F125*0.62*1/(0.012*(10^inputs!$C$55))))</f>
        <v>3.9020762816036427E-7</v>
      </c>
      <c r="R125" s="3">
        <f>IF((B125&gt;B124), (EXP(-LN(2)/inputs!$C$51)*R124+$R$3), (EXP(-LN(2)/inputs!$C$51)*R124))</f>
        <v>9.0662561894002348E-13</v>
      </c>
      <c r="T125" s="7">
        <f>IF(T124&lt;(inputs!$C$20-1),(1+T124),0)</f>
        <v>0</v>
      </c>
      <c r="U125" s="7">
        <f>IF(inputs!$C$19&gt;U124,IF(T124=(inputs!$C$20-1),(U124+1),U124), U124)</f>
        <v>1</v>
      </c>
      <c r="V125" s="7">
        <f t="shared" si="2"/>
        <v>122</v>
      </c>
      <c r="W125" s="8">
        <f>IF((U125&gt;U124), (EXP(-LN(2)/inputs!$C$51)*W124+$W$3), (EXP(-LN(2)/inputs!$C$51)*W124))</f>
        <v>3.0003399789388027E-5</v>
      </c>
      <c r="X125" s="8">
        <f>IF((U125&gt;U124), (EXP(-LN(2)/inputs!$C$51)*X124+$X$3), (EXP(-LN(2)/inputs!$C$51)*X124))</f>
        <v>1.2707322263740809E-5</v>
      </c>
      <c r="Y125" s="8">
        <f>IF((U125&gt;U124), (EXP(-LN(2)/inputs!$C$51)*Y124+$Y$3), (EXP(-LN(2)/inputs!$C$51)*Y124))</f>
        <v>1.5884152829676031E-5</v>
      </c>
      <c r="Z125" s="8">
        <f>IF((U125&gt;U124), (EXP(-LN(2)/inputs!$C$51)*Z124+$Z$3), (EXP(-LN(2)/inputs!$C$51)*Z124))</f>
        <v>2.4708682179496016E-6</v>
      </c>
      <c r="AA125" s="8">
        <f>IF((U125&gt;U124), (EXP(-LN(2)/inputs!$C$51)*AA124+$AA$3), (EXP(-LN(2)/inputs!$C$51)*AA124))</f>
        <v>2.2943776309532029E-5</v>
      </c>
      <c r="AB125" s="7">
        <f>(((0.621*15^0.564)/0.2))*W125/15+AB124*inputs!$C$53</f>
        <v>3.2285597680241853E-5</v>
      </c>
      <c r="AC125" s="7">
        <f>(((0.621*1000^0.564)/0.2))*W125/1000+AC124*inputs!$C$53</f>
        <v>5.173501978957297E-6</v>
      </c>
      <c r="AD125" s="7">
        <f>(((0.648*20^0.651)/0.2))*AA125/20+AD124*inputs!$C$54</f>
        <v>3.4559800839090063E-5</v>
      </c>
      <c r="AE125" s="7">
        <f>(((0.013*2^0.773)/0.2))*AA125/2+AE124*inputs!$C$54</f>
        <v>1.6852534969016344E-6</v>
      </c>
    </row>
    <row r="126" spans="1:31" x14ac:dyDescent="0.3">
      <c r="A126" s="7">
        <f>IF(A125&lt;(inputs!$C$20-1),(1+A125),0)</f>
        <v>0</v>
      </c>
      <c r="B126" s="7">
        <f>IF(inputs!$C$19&gt;B125,IF(A125=(inputs!$C$20-1),(B125+1),B125), B125)</f>
        <v>1</v>
      </c>
      <c r="C126" s="7">
        <f t="shared" si="3"/>
        <v>123</v>
      </c>
      <c r="D126" s="8">
        <f>IF((B126&gt;B125), (EXP(-LN(2)/inputs!$C$51)*D125+$D$3), (EXP(-LN(2)/inputs!$C$51)*D125))</f>
        <v>7.433009237519014E-5</v>
      </c>
      <c r="E126" s="8">
        <f>IF((B126&gt;B125), (EXP(-LN(2)/inputs!$C$51)*E125+$E$3), (EXP(-LN(2)/inputs!$C$51)*E125))</f>
        <v>3.4067959005295441E-5</v>
      </c>
      <c r="F126" s="8">
        <f>IF((B126&gt;B125), (EXP(-LN(2)/inputs!$C$51)*F125+$F$3), (EXP(-LN(2)/inputs!$C$51)*F125))</f>
        <v>4.1810676961044399E-5</v>
      </c>
      <c r="G126" s="8">
        <f>IF((B126&gt;B125), (EXP(-LN(2)/inputs!$C$51)*G125+$G$3), (EXP(-LN(2)/inputs!$C$51)*G125))</f>
        <v>4.6456307734493838E-6</v>
      </c>
      <c r="H126" s="8">
        <f>IF((B126&gt;B125), (EXP(-LN(2)/inputs!$C$51)*H125+$H$3), (EXP(-LN(2)/inputs!$C$51)*H125))</f>
        <v>2.9112619513616068E-5</v>
      </c>
      <c r="I126" s="7">
        <f>O126*(10^inputs!$C$55)*0.01/1</f>
        <v>4.6326333485841289</v>
      </c>
      <c r="J126" s="7">
        <f>(((0.621*15^0.564)/0.2))*D126/15+J125*inputs!$C$53</f>
        <v>7.9983984308651238E-5</v>
      </c>
      <c r="K126" s="7">
        <f>(((0.621*1000^0.564)/0.2))*D126/1000+K125*inputs!$C$53</f>
        <v>1.2816776855239458E-5</v>
      </c>
      <c r="L126" s="7">
        <f>(((0.648*20^0.651)/0.2))*H126/20+L125*inputs!$C$54</f>
        <v>4.3851819278624228E-5</v>
      </c>
      <c r="M126" s="7">
        <f>(((0.013*2^0.773)/0.2))*H126/2+M125*inputs!$C$54</f>
        <v>2.1383639370169979E-6</v>
      </c>
      <c r="N126" s="7">
        <f>O126*0.015*inputs!$C$56</f>
        <v>0.68062463361535408</v>
      </c>
      <c r="O126" s="7">
        <f>IF((B126&gt;B125), (EXP(-LN(2)/inputs!$C$52)*O125+$O$3), (EXP(-LN(2)/inputs!$C$52)*O125))</f>
        <v>7.3422290573393112E-2</v>
      </c>
      <c r="P126" s="3">
        <f>IF((B126&gt;B125), (EXP(-LN(2)/inputs!$C$52)*P125+$P$3), (EXP(-LN(2)/inputs!$C$52)*P125))</f>
        <v>7.0948320720704228E-2</v>
      </c>
      <c r="Q126" s="19">
        <f>IF((F126*0.62*1/(0.012*(10^inputs!$C$55)))&gt;inputs!$C$57, inputs!$C$57, (F126*0.62*1/(0.012*(10^inputs!$C$55))))</f>
        <v>3.4237152932004124E-7</v>
      </c>
      <c r="R126" s="3">
        <f>IF((B126&gt;B125), (EXP(-LN(2)/inputs!$C$51)*R125+$R$3), (EXP(-LN(2)/inputs!$C$51)*R125))</f>
        <v>7.9548111640108181E-13</v>
      </c>
      <c r="T126" s="7">
        <f>IF(T125&lt;(inputs!$C$20-1),(1+T125),0)</f>
        <v>0</v>
      </c>
      <c r="U126" s="7">
        <f>IF(inputs!$C$19&gt;U125,IF(T125=(inputs!$C$20-1),(U125+1),U125), U125)</f>
        <v>1</v>
      </c>
      <c r="V126" s="7">
        <f t="shared" si="2"/>
        <v>123</v>
      </c>
      <c r="W126" s="8">
        <f>IF((U126&gt;U125), (EXP(-LN(2)/inputs!$C$51)*W125+$W$3), (EXP(-LN(2)/inputs!$C$51)*W125))</f>
        <v>2.6325241049546459E-5</v>
      </c>
      <c r="X126" s="8">
        <f>IF((U126&gt;U125), (EXP(-LN(2)/inputs!$C$51)*X125+$X$3), (EXP(-LN(2)/inputs!$C$51)*X125))</f>
        <v>1.1149513856278498E-5</v>
      </c>
      <c r="Y126" s="8">
        <f>IF((U126&gt;U125), (EXP(-LN(2)/inputs!$C$51)*Y125+$Y$3), (EXP(-LN(2)/inputs!$C$51)*Y125))</f>
        <v>1.393689232034814E-5</v>
      </c>
      <c r="Z126" s="8">
        <f>IF((U126&gt;U125), (EXP(-LN(2)/inputs!$C$51)*Z125+$Z$3), (EXP(-LN(2)/inputs!$C$51)*Z125))</f>
        <v>2.1679610276097079E-6</v>
      </c>
      <c r="AA126" s="8">
        <f>IF((U126&gt;U125), (EXP(-LN(2)/inputs!$C$51)*AA125+$AA$3), (EXP(-LN(2)/inputs!$C$51)*AA125))</f>
        <v>2.0131066684947299E-5</v>
      </c>
      <c r="AB126" s="7">
        <f>(((0.621*15^0.564)/0.2))*W126/15+AB125*inputs!$C$53</f>
        <v>2.8327661109313925E-5</v>
      </c>
      <c r="AC126" s="7">
        <f>(((0.621*1000^0.564)/0.2))*W126/1000+AC125*inputs!$C$53</f>
        <v>4.539275136230633E-6</v>
      </c>
      <c r="AD126" s="7">
        <f>(((0.648*20^0.651)/0.2))*AA126/20+AD125*inputs!$C$54</f>
        <v>3.0323066522452949E-5</v>
      </c>
      <c r="AE126" s="7">
        <f>(((0.013*2^0.773)/0.2))*AA126/2+AE125*inputs!$C$54</f>
        <v>1.478655913894734E-6</v>
      </c>
    </row>
    <row r="127" spans="1:31" x14ac:dyDescent="0.3">
      <c r="A127" s="7">
        <f>IF(A126&lt;(inputs!$C$20-1),(1+A126),0)</f>
        <v>0</v>
      </c>
      <c r="B127" s="7">
        <f>IF(inputs!$C$19&gt;B126,IF(A126=(inputs!$C$20-1),(B126+1),B126), B126)</f>
        <v>1</v>
      </c>
      <c r="C127" s="7">
        <f t="shared" si="3"/>
        <v>124</v>
      </c>
      <c r="D127" s="8">
        <f>IF((B127&gt;B126), (EXP(-LN(2)/inputs!$C$51)*D126+$D$3), (EXP(-LN(2)/inputs!$C$51)*D126))</f>
        <v>6.5217862400514549E-5</v>
      </c>
      <c r="E127" s="8">
        <f>IF((B127&gt;B126), (EXP(-LN(2)/inputs!$C$51)*E126+$E$3), (EXP(-LN(2)/inputs!$C$51)*E126))</f>
        <v>2.9891520266902468E-5</v>
      </c>
      <c r="F127" s="8">
        <f>IF((B127&gt;B126), (EXP(-LN(2)/inputs!$C$51)*F126+$F$3), (EXP(-LN(2)/inputs!$C$51)*F126))</f>
        <v>3.6685047600289391E-5</v>
      </c>
      <c r="G127" s="8">
        <f>IF((B127&gt;B126), (EXP(-LN(2)/inputs!$C$51)*G126+$G$3), (EXP(-LN(2)/inputs!$C$51)*G126))</f>
        <v>4.0761164000321593E-6</v>
      </c>
      <c r="H127" s="8">
        <f>IF((B127&gt;B126), (EXP(-LN(2)/inputs!$C$51)*H126+$H$3), (EXP(-LN(2)/inputs!$C$51)*H126))</f>
        <v>2.5543662773534804E-5</v>
      </c>
      <c r="I127" s="7">
        <f>O127*(10^inputs!$C$55)*0.01/1</f>
        <v>4.5391455179282918</v>
      </c>
      <c r="J127" s="7">
        <f>(((0.621*15^0.564)/0.2))*D127/15+J126*inputs!$C$53</f>
        <v>7.0178635814902509E-5</v>
      </c>
      <c r="K127" s="7">
        <f>(((0.621*1000^0.564)/0.2))*D127/1000+K126*inputs!$C$53</f>
        <v>1.1245550256333425E-5</v>
      </c>
      <c r="L127" s="7">
        <f>(((0.648*20^0.651)/0.2))*H127/20+L126*inputs!$C$54</f>
        <v>3.8475963426625973E-5</v>
      </c>
      <c r="M127" s="7">
        <f>(((0.013*2^0.773)/0.2))*H127/2+M126*inputs!$C$54</f>
        <v>1.876218911482826E-6</v>
      </c>
      <c r="N127" s="7">
        <f>O127*0.015*inputs!$C$56</f>
        <v>0.66688943902952091</v>
      </c>
      <c r="O127" s="7">
        <f>IF((B127&gt;B126), (EXP(-LN(2)/inputs!$C$52)*O126+$O$3), (EXP(-LN(2)/inputs!$C$52)*O126))</f>
        <v>7.1940608309549181E-2</v>
      </c>
      <c r="P127" s="3">
        <f>IF((B127&gt;B126), (EXP(-LN(2)/inputs!$C$52)*P126+$P$3), (EXP(-LN(2)/inputs!$C$52)*P126))</f>
        <v>6.9516563857217412E-2</v>
      </c>
      <c r="Q127" s="19">
        <f>IF((F127*0.62*1/(0.012*(10^inputs!$C$55)))&gt;inputs!$C$57, inputs!$C$57, (F127*0.62*1/(0.012*(10^inputs!$C$55))))</f>
        <v>3.0039972473518761E-7</v>
      </c>
      <c r="R127" s="3">
        <f>IF((B127&gt;B126), (EXP(-LN(2)/inputs!$C$51)*R126+$R$3), (EXP(-LN(2)/inputs!$C$51)*R126))</f>
        <v>6.9796197386362723E-13</v>
      </c>
      <c r="T127" s="7">
        <f>IF(T126&lt;(inputs!$C$20-1),(1+T126),0)</f>
        <v>0</v>
      </c>
      <c r="U127" s="7">
        <f>IF(inputs!$C$19&gt;U126,IF(T126=(inputs!$C$20-1),(U126+1),U126), U126)</f>
        <v>1</v>
      </c>
      <c r="V127" s="7">
        <f t="shared" si="2"/>
        <v>124</v>
      </c>
      <c r="W127" s="8">
        <f>IF((U127&gt;U126), (EXP(-LN(2)/inputs!$C$51)*W126+$W$3), (EXP(-LN(2)/inputs!$C$51)*W126))</f>
        <v>2.3097992933515529E-5</v>
      </c>
      <c r="X127" s="8">
        <f>IF((U127&gt;U126), (EXP(-LN(2)/inputs!$C$51)*X126+$X$3), (EXP(-LN(2)/inputs!$C$51)*X126))</f>
        <v>9.782679360077163E-6</v>
      </c>
      <c r="Y127" s="8">
        <f>IF((U127&gt;U126), (EXP(-LN(2)/inputs!$C$51)*Y126+$Y$3), (EXP(-LN(2)/inputs!$C$51)*Y126))</f>
        <v>1.2228349200096469E-5</v>
      </c>
      <c r="Z127" s="8">
        <f>IF((U127&gt;U126), (EXP(-LN(2)/inputs!$C$51)*Z126+$Z$3), (EXP(-LN(2)/inputs!$C$51)*Z126))</f>
        <v>1.9021876533483372E-6</v>
      </c>
      <c r="AA127" s="8">
        <f>IF((U127&gt;U126), (EXP(-LN(2)/inputs!$C$51)*AA126+$AA$3), (EXP(-LN(2)/inputs!$C$51)*AA126))</f>
        <v>1.7663171066805998E-5</v>
      </c>
      <c r="AB127" s="7">
        <f>(((0.621*15^0.564)/0.2))*W127/15+AB126*inputs!$C$53</f>
        <v>2.485493351777793E-5</v>
      </c>
      <c r="AC127" s="7">
        <f>(((0.621*1000^0.564)/0.2))*W127/1000+AC126*inputs!$C$53</f>
        <v>3.9827990491180803E-6</v>
      </c>
      <c r="AD127" s="7">
        <f>(((0.648*20^0.651)/0.2))*AA127/20+AD126*inputs!$C$54</f>
        <v>2.6605719390752027E-5</v>
      </c>
      <c r="AE127" s="7">
        <f>(((0.013*2^0.773)/0.2))*AA127/2+AE126*inputs!$C$54</f>
        <v>1.2973854175147214E-6</v>
      </c>
    </row>
    <row r="128" spans="1:31" x14ac:dyDescent="0.3">
      <c r="A128" s="7">
        <f>IF(A127&lt;(inputs!$C$20-1),(1+A127),0)</f>
        <v>0</v>
      </c>
      <c r="B128" s="7">
        <f>IF(inputs!$C$19&gt;B127,IF(A127=(inputs!$C$20-1),(B127+1),B127), B127)</f>
        <v>1</v>
      </c>
      <c r="C128" s="7">
        <f t="shared" si="3"/>
        <v>125</v>
      </c>
      <c r="D128" s="8">
        <f>IF((B128&gt;B127), (EXP(-LN(2)/inputs!$C$51)*D127+$D$3), (EXP(-LN(2)/inputs!$C$51)*D127))</f>
        <v>5.7222713441859479E-5</v>
      </c>
      <c r="E128" s="8">
        <f>IF((B128&gt;B127), (EXP(-LN(2)/inputs!$C$51)*E127+$E$3), (EXP(-LN(2)/inputs!$C$51)*E127))</f>
        <v>2.6227076994185565E-5</v>
      </c>
      <c r="F128" s="8">
        <f>IF((B128&gt;B127), (EXP(-LN(2)/inputs!$C$51)*F127+$F$3), (EXP(-LN(2)/inputs!$C$51)*F127))</f>
        <v>3.2187776311045919E-5</v>
      </c>
      <c r="G128" s="8">
        <f>IF((B128&gt;B127), (EXP(-LN(2)/inputs!$C$51)*G127+$G$3), (EXP(-LN(2)/inputs!$C$51)*G127))</f>
        <v>3.5764195901162175E-6</v>
      </c>
      <c r="H128" s="8">
        <f>IF((B128&gt;B127), (EXP(-LN(2)/inputs!$C$51)*H127+$H$3), (EXP(-LN(2)/inputs!$C$51)*H127))</f>
        <v>2.2412229431394908E-5</v>
      </c>
      <c r="I128" s="7">
        <f>O128*(10^inputs!$C$55)*0.01/1</f>
        <v>4.4475442977212198</v>
      </c>
      <c r="J128" s="7">
        <f>(((0.621*15^0.564)/0.2))*D128/15+J127*inputs!$C$53</f>
        <v>6.1575338705751562E-5</v>
      </c>
      <c r="K128" s="7">
        <f>(((0.621*1000^0.564)/0.2))*D128/1000+K127*inputs!$C$53</f>
        <v>9.8669425235427522E-6</v>
      </c>
      <c r="L128" s="7">
        <f>(((0.648*20^0.651)/0.2))*H128/20+L127*inputs!$C$54</f>
        <v>3.3759141261641734E-5</v>
      </c>
      <c r="M128" s="7">
        <f>(((0.013*2^0.773)/0.2))*H128/2+M127*inputs!$C$54</f>
        <v>1.6462106112378838E-6</v>
      </c>
      <c r="N128" s="7">
        <f>O128*0.015*inputs!$C$56</f>
        <v>0.65343142449417835</v>
      </c>
      <c r="O128" s="7">
        <f>IF((B128&gt;B127), (EXP(-LN(2)/inputs!$C$52)*O127+$O$3), (EXP(-LN(2)/inputs!$C$52)*O127))</f>
        <v>7.0488826806275981E-2</v>
      </c>
      <c r="P128" s="3">
        <f>IF((B128&gt;B127), (EXP(-LN(2)/inputs!$C$52)*P127+$P$3), (EXP(-LN(2)/inputs!$C$52)*P127))</f>
        <v>6.8113700245823361E-2</v>
      </c>
      <c r="Q128" s="19">
        <f>IF((F128*0.62*1/(0.012*(10^inputs!$C$55)))&gt;inputs!$C$57, inputs!$C$57, (F128*0.62*1/(0.012*(10^inputs!$C$55))))</f>
        <v>2.6357330237182818E-7</v>
      </c>
      <c r="R128" s="3">
        <f>IF((B128&gt;B127), (EXP(-LN(2)/inputs!$C$51)*R127+$R$3), (EXP(-LN(2)/inputs!$C$51)*R127))</f>
        <v>6.1239783939005414E-13</v>
      </c>
      <c r="T128" s="7">
        <f>IF(T127&lt;(inputs!$C$20-1),(1+T127),0)</f>
        <v>0</v>
      </c>
      <c r="U128" s="7">
        <f>IF(inputs!$C$19&gt;U127,IF(T127=(inputs!$C$20-1),(U127+1),U127), U127)</f>
        <v>1</v>
      </c>
      <c r="V128" s="7">
        <f t="shared" si="2"/>
        <v>125</v>
      </c>
      <c r="W128" s="8">
        <f>IF((U128&gt;U127), (EXP(-LN(2)/inputs!$C$51)*W127+$W$3), (EXP(-LN(2)/inputs!$C$51)*W127))</f>
        <v>2.0266377677325197E-5</v>
      </c>
      <c r="X128" s="8">
        <f>IF((U128&gt;U127), (EXP(-LN(2)/inputs!$C$51)*X127+$X$3), (EXP(-LN(2)/inputs!$C$51)*X127))</f>
        <v>8.583407016278905E-6</v>
      </c>
      <c r="Y128" s="8">
        <f>IF((U128&gt;U127), (EXP(-LN(2)/inputs!$C$51)*Y127+$Y$3), (EXP(-LN(2)/inputs!$C$51)*Y127))</f>
        <v>1.0729258770348645E-5</v>
      </c>
      <c r="Z128" s="8">
        <f>IF((U128&gt;U127), (EXP(-LN(2)/inputs!$C$51)*Z127+$Z$3), (EXP(-LN(2)/inputs!$C$51)*Z127))</f>
        <v>1.6689958087208982E-6</v>
      </c>
      <c r="AA128" s="8">
        <f>IF((U128&gt;U127), (EXP(-LN(2)/inputs!$C$51)*AA127+$AA$3), (EXP(-LN(2)/inputs!$C$51)*AA127))</f>
        <v>1.5497818223836918E-5</v>
      </c>
      <c r="AB128" s="7">
        <f>(((0.621*15^0.564)/0.2))*W128/15+AB127*inputs!$C$53</f>
        <v>2.1807932458286972E-5</v>
      </c>
      <c r="AC128" s="7">
        <f>(((0.621*1000^0.564)/0.2))*W128/1000+AC127*inputs!$C$53</f>
        <v>3.4945421437547181E-6</v>
      </c>
      <c r="AD128" s="7">
        <f>(((0.648*20^0.651)/0.2))*AA128/20+AD127*inputs!$C$54</f>
        <v>2.3344087042624626E-5</v>
      </c>
      <c r="AE128" s="7">
        <f>(((0.013*2^0.773)/0.2))*AA128/2+AE127*inputs!$C$54</f>
        <v>1.1383371247921547E-6</v>
      </c>
    </row>
    <row r="129" spans="1:31" x14ac:dyDescent="0.3">
      <c r="A129" s="7">
        <f>IF(A128&lt;(inputs!$C$20-1),(1+A128),0)</f>
        <v>0</v>
      </c>
      <c r="B129" s="7">
        <f>IF(inputs!$C$19&gt;B128,IF(A128=(inputs!$C$20-1),(B128+1),B128), B128)</f>
        <v>1</v>
      </c>
      <c r="C129" s="7">
        <f t="shared" si="3"/>
        <v>126</v>
      </c>
      <c r="D129" s="8">
        <f>IF((B129&gt;B128), (EXP(-LN(2)/inputs!$C$51)*D128+$D$3), (EXP(-LN(2)/inputs!$C$51)*D128))</f>
        <v>5.0207700975236673E-5</v>
      </c>
      <c r="E129" s="8">
        <f>IF((B129&gt;B128), (EXP(-LN(2)/inputs!$C$51)*E128+$E$3), (EXP(-LN(2)/inputs!$C$51)*E128))</f>
        <v>2.301186294698345E-5</v>
      </c>
      <c r="F129" s="8">
        <f>IF((B129&gt;B128), (EXP(-LN(2)/inputs!$C$51)*F128+$F$3), (EXP(-LN(2)/inputs!$C$51)*F128))</f>
        <v>2.8241831798570597E-5</v>
      </c>
      <c r="G129" s="8">
        <f>IF((B129&gt;B128), (EXP(-LN(2)/inputs!$C$51)*G128+$G$3), (EXP(-LN(2)/inputs!$C$51)*G128))</f>
        <v>3.1379813109522921E-6</v>
      </c>
      <c r="H129" s="8">
        <f>IF((B129&gt;B128), (EXP(-LN(2)/inputs!$C$51)*H128+$H$3), (EXP(-LN(2)/inputs!$C$51)*H128))</f>
        <v>1.9664682881967648E-5</v>
      </c>
      <c r="I129" s="7">
        <f>O129*(10^inputs!$C$55)*0.01/1</f>
        <v>4.357791615638841</v>
      </c>
      <c r="J129" s="7">
        <f>(((0.621*15^0.564)/0.2))*D129/15+J128*inputs!$C$53</f>
        <v>5.4026731820895442E-5</v>
      </c>
      <c r="K129" s="7">
        <f>(((0.621*1000^0.564)/0.2))*D129/1000+K128*inputs!$C$53</f>
        <v>8.6573402406934773E-6</v>
      </c>
      <c r="L129" s="7">
        <f>(((0.648*20^0.651)/0.2))*H129/20+L128*inputs!$C$54</f>
        <v>2.9620560922323913E-5</v>
      </c>
      <c r="M129" s="7">
        <f>(((0.013*2^0.773)/0.2))*H129/2+M128*inputs!$C$54</f>
        <v>1.4443993501858556E-6</v>
      </c>
      <c r="N129" s="7">
        <f>O129*0.015*inputs!$C$56</f>
        <v>0.64024499643874311</v>
      </c>
      <c r="O129" s="7">
        <f>IF((B129&gt;B128), (EXP(-LN(2)/inputs!$C$52)*O128+$O$3), (EXP(-LN(2)/inputs!$C$52)*O128))</f>
        <v>6.9066342657901098E-2</v>
      </c>
      <c r="P129" s="3">
        <f>IF((B129&gt;B128), (EXP(-LN(2)/inputs!$C$52)*P128+$P$3), (EXP(-LN(2)/inputs!$C$52)*P128))</f>
        <v>6.6739146812651237E-2</v>
      </c>
      <c r="Q129" s="19">
        <f>IF((F129*0.62*1/(0.012*(10^inputs!$C$55)))&gt;inputs!$C$57, inputs!$C$57, (F129*0.62*1/(0.012*(10^inputs!$C$55))))</f>
        <v>2.3126148262762918E-7</v>
      </c>
      <c r="R129" s="3">
        <f>IF((B129&gt;B128), (EXP(-LN(2)/inputs!$C$51)*R128+$R$3), (EXP(-LN(2)/inputs!$C$51)*R128))</f>
        <v>5.3732313182277003E-13</v>
      </c>
      <c r="T129" s="7">
        <f>IF(T128&lt;(inputs!$C$20-1),(1+T128),0)</f>
        <v>0</v>
      </c>
      <c r="U129" s="7">
        <f>IF(inputs!$C$19&gt;U128,IF(T128=(inputs!$C$20-1),(U128+1),U128), U128)</f>
        <v>1</v>
      </c>
      <c r="V129" s="7">
        <f t="shared" si="2"/>
        <v>126</v>
      </c>
      <c r="W129" s="8">
        <f>IF((U129&gt;U128), (EXP(-LN(2)/inputs!$C$51)*W128+$W$3), (EXP(-LN(2)/inputs!$C$51)*W128))</f>
        <v>1.778189409539629E-5</v>
      </c>
      <c r="X129" s="8">
        <f>IF((U129&gt;U128), (EXP(-LN(2)/inputs!$C$51)*X128+$X$3), (EXP(-LN(2)/inputs!$C$51)*X128))</f>
        <v>7.5311551462854862E-6</v>
      </c>
      <c r="Y129" s="8">
        <f>IF((U129&gt;U128), (EXP(-LN(2)/inputs!$C$51)*Y128+$Y$3), (EXP(-LN(2)/inputs!$C$51)*Y128))</f>
        <v>9.413943932856869E-6</v>
      </c>
      <c r="Z129" s="8">
        <f>IF((U129&gt;U128), (EXP(-LN(2)/inputs!$C$51)*Z128+$Z$3), (EXP(-LN(2)/inputs!$C$51)*Z128))</f>
        <v>1.4643912784444001E-6</v>
      </c>
      <c r="AA129" s="8">
        <f>IF((U129&gt;U128), (EXP(-LN(2)/inputs!$C$51)*AA128+$AA$3), (EXP(-LN(2)/inputs!$C$51)*AA128))</f>
        <v>1.3597919014126578E-5</v>
      </c>
      <c r="AB129" s="7">
        <f>(((0.621*15^0.564)/0.2))*W129/15+AB128*inputs!$C$53</f>
        <v>1.9134467519900435E-5</v>
      </c>
      <c r="AC129" s="7">
        <f>(((0.621*1000^0.564)/0.2))*W129/1000+AC128*inputs!$C$53</f>
        <v>3.0661413352456005E-6</v>
      </c>
      <c r="AD129" s="7">
        <f>(((0.648*20^0.651)/0.2))*AA129/20+AD128*inputs!$C$54</f>
        <v>2.048230276543677E-5</v>
      </c>
      <c r="AE129" s="7">
        <f>(((0.013*2^0.773)/0.2))*AA129/2+AE128*inputs!$C$54</f>
        <v>9.9878678470298609E-7</v>
      </c>
    </row>
    <row r="130" spans="1:31" x14ac:dyDescent="0.3">
      <c r="A130" s="7">
        <f>IF(A129&lt;(inputs!$C$20-1),(1+A129),0)</f>
        <v>0</v>
      </c>
      <c r="B130" s="7">
        <f>IF(inputs!$C$19&gt;B129,IF(A129=(inputs!$C$20-1),(B129+1),B129), B129)</f>
        <v>1</v>
      </c>
      <c r="C130" s="7">
        <f t="shared" si="3"/>
        <v>127</v>
      </c>
      <c r="D130" s="8">
        <f>IF((B130&gt;B129), (EXP(-LN(2)/inputs!$C$51)*D129+$D$3), (EXP(-LN(2)/inputs!$C$51)*D129))</f>
        <v>4.4052668697370091E-5</v>
      </c>
      <c r="E130" s="8">
        <f>IF((B130&gt;B129), (EXP(-LN(2)/inputs!$C$51)*E129+$E$3), (EXP(-LN(2)/inputs!$C$51)*E129))</f>
        <v>2.0190806486294601E-5</v>
      </c>
      <c r="F130" s="8">
        <f>IF((B130&gt;B129), (EXP(-LN(2)/inputs!$C$51)*F129+$F$3), (EXP(-LN(2)/inputs!$C$51)*F129))</f>
        <v>2.4779626142270646E-5</v>
      </c>
      <c r="G130" s="8">
        <f>IF((B130&gt;B129), (EXP(-LN(2)/inputs!$C$51)*G129+$G$3), (EXP(-LN(2)/inputs!$C$51)*G129))</f>
        <v>2.7532917935856307E-6</v>
      </c>
      <c r="H130" s="8">
        <f>IF((B130&gt;B129), (EXP(-LN(2)/inputs!$C$51)*H129+$H$3), (EXP(-LN(2)/inputs!$C$51)*H129))</f>
        <v>1.7253961906469908E-5</v>
      </c>
      <c r="I130" s="7">
        <f>O130*(10^inputs!$C$55)*0.01/1</f>
        <v>4.2698501676671849</v>
      </c>
      <c r="J130" s="7">
        <f>(((0.621*15^0.564)/0.2))*D130/15+J129*inputs!$C$53</f>
        <v>4.7403519210756894E-5</v>
      </c>
      <c r="K130" s="7">
        <f>(((0.621*1000^0.564)/0.2))*D130/1000+K129*inputs!$C$53</f>
        <v>7.5960247933236939E-6</v>
      </c>
      <c r="L130" s="7">
        <f>(((0.648*20^0.651)/0.2))*H130/20+L129*inputs!$C$54</f>
        <v>2.5989334934594689E-5</v>
      </c>
      <c r="M130" s="7">
        <f>(((0.013*2^0.773)/0.2))*H130/2+M129*inputs!$C$54</f>
        <v>1.267328413858611E-6</v>
      </c>
      <c r="N130" s="7">
        <f>O130*0.015*inputs!$C$56</f>
        <v>0.62732467417244386</v>
      </c>
      <c r="O130" s="7">
        <f>IF((B130&gt;B129), (EXP(-LN(2)/inputs!$C$52)*O129+$O$3), (EXP(-LN(2)/inputs!$C$52)*O129))</f>
        <v>6.7672564635646595E-2</v>
      </c>
      <c r="P130" s="3">
        <f>IF((B130&gt;B129), (EXP(-LN(2)/inputs!$C$52)*P129+$P$3), (EXP(-LN(2)/inputs!$C$52)*P129))</f>
        <v>6.5392332250423235E-2</v>
      </c>
      <c r="Q130" s="19">
        <f>IF((F130*0.62*1/(0.012*(10^inputs!$C$55)))&gt;inputs!$C$57, inputs!$C$57, (F130*0.62*1/(0.012*(10^inputs!$C$55))))</f>
        <v>2.0291081405385012E-7</v>
      </c>
      <c r="R130" s="3">
        <f>IF((B130&gt;B129), (EXP(-LN(2)/inputs!$C$51)*R129+$R$3), (EXP(-LN(2)/inputs!$C$51)*R129))</f>
        <v>4.7145193764790224E-13</v>
      </c>
      <c r="T130" s="7">
        <f>IF(T129&lt;(inputs!$C$20-1),(1+T129),0)</f>
        <v>0</v>
      </c>
      <c r="U130" s="7">
        <f>IF(inputs!$C$19&gt;U129,IF(T129=(inputs!$C$20-1),(U129+1),U129), U129)</f>
        <v>1</v>
      </c>
      <c r="V130" s="7">
        <f t="shared" si="2"/>
        <v>127</v>
      </c>
      <c r="W130" s="8">
        <f>IF((U130&gt;U129), (EXP(-LN(2)/inputs!$C$51)*W129+$W$3), (EXP(-LN(2)/inputs!$C$51)*W129))</f>
        <v>1.5601986830318543E-5</v>
      </c>
      <c r="X130" s="8">
        <f>IF((U130&gt;U129), (EXP(-LN(2)/inputs!$C$51)*X129+$X$3), (EXP(-LN(2)/inputs!$C$51)*X129))</f>
        <v>6.6079003046054999E-6</v>
      </c>
      <c r="Y130" s="8">
        <f>IF((U130&gt;U129), (EXP(-LN(2)/inputs!$C$51)*Y129+$Y$3), (EXP(-LN(2)/inputs!$C$51)*Y129))</f>
        <v>8.2598753807568853E-6</v>
      </c>
      <c r="Z130" s="8">
        <f>IF((U130&gt;U129), (EXP(-LN(2)/inputs!$C$51)*Z129+$Z$3), (EXP(-LN(2)/inputs!$C$51)*Z129))</f>
        <v>1.2848695036732917E-6</v>
      </c>
      <c r="AA130" s="8">
        <f>IF((U130&gt;U129), (EXP(-LN(2)/inputs!$C$51)*AA129+$AA$3), (EXP(-LN(2)/inputs!$C$51)*AA129))</f>
        <v>1.1930931105537713E-5</v>
      </c>
      <c r="AB130" s="7">
        <f>(((0.621*15^0.564)/0.2))*W130/15+AB129*inputs!$C$53</f>
        <v>1.6788746387143036E-5</v>
      </c>
      <c r="AC130" s="7">
        <f>(((0.621*1000^0.564)/0.2))*W130/1000+AC129*inputs!$C$53</f>
        <v>2.6902587809688027E-6</v>
      </c>
      <c r="AD130" s="7">
        <f>(((0.648*20^0.651)/0.2))*AA130/20+AD129*inputs!$C$54</f>
        <v>1.7971348624985706E-5</v>
      </c>
      <c r="AE130" s="7">
        <f>(((0.013*2^0.773)/0.2))*AA130/2+AE129*inputs!$C$54</f>
        <v>8.7634411596606164E-7</v>
      </c>
    </row>
    <row r="131" spans="1:31" x14ac:dyDescent="0.3">
      <c r="A131" s="7">
        <f>IF(A130&lt;(inputs!$C$20-1),(1+A130),0)</f>
        <v>0</v>
      </c>
      <c r="B131" s="7">
        <f>IF(inputs!$C$19&gt;B130,IF(A130=(inputs!$C$20-1),(B130+1),B130), B130)</f>
        <v>1</v>
      </c>
      <c r="C131" s="7">
        <f t="shared" si="3"/>
        <v>128</v>
      </c>
      <c r="D131" s="8">
        <f>IF((B131&gt;B130), (EXP(-LN(2)/inputs!$C$51)*D130+$D$3), (EXP(-LN(2)/inputs!$C$51)*D130))</f>
        <v>3.8652190434240502E-5</v>
      </c>
      <c r="E131" s="8">
        <f>IF((B131&gt;B130), (EXP(-LN(2)/inputs!$C$51)*E130+$E$3), (EXP(-LN(2)/inputs!$C$51)*E130))</f>
        <v>1.771558728236021E-5</v>
      </c>
      <c r="F131" s="8">
        <f>IF((B131&gt;B130), (EXP(-LN(2)/inputs!$C$51)*F130+$F$3), (EXP(-LN(2)/inputs!$C$51)*F130))</f>
        <v>2.1741857119260255E-5</v>
      </c>
      <c r="G131" s="8">
        <f>IF((B131&gt;B130), (EXP(-LN(2)/inputs!$C$51)*G130+$G$3), (EXP(-LN(2)/inputs!$C$51)*G130))</f>
        <v>2.4157619021400314E-6</v>
      </c>
      <c r="H131" s="8">
        <f>IF((B131&gt;B130), (EXP(-LN(2)/inputs!$C$51)*H130+$H$3), (EXP(-LN(2)/inputs!$C$51)*H130))</f>
        <v>1.5138774586744158E-5</v>
      </c>
      <c r="I131" s="7">
        <f>O131*(10^inputs!$C$55)*0.01/1</f>
        <v>4.1836834025976666</v>
      </c>
      <c r="J131" s="7">
        <f>(((0.621*15^0.564)/0.2))*D131/15+J130*inputs!$C$53</f>
        <v>4.1592255497037289E-5</v>
      </c>
      <c r="K131" s="7">
        <f>(((0.621*1000^0.564)/0.2))*D131/1000+K130*inputs!$C$53</f>
        <v>6.6648174908932952E-6</v>
      </c>
      <c r="L131" s="7">
        <f>(((0.648*20^0.651)/0.2))*H131/20+L130*inputs!$C$54</f>
        <v>2.2803266018959341E-5</v>
      </c>
      <c r="M131" s="7">
        <f>(((0.013*2^0.773)/0.2))*H131/2+M130*inputs!$C$54</f>
        <v>1.1119648512488724E-6</v>
      </c>
      <c r="N131" s="7">
        <f>O131*0.015*inputs!$C$56</f>
        <v>0.61466508760637439</v>
      </c>
      <c r="O131" s="7">
        <f>IF((B131&gt;B130), (EXP(-LN(2)/inputs!$C$52)*O130+$O$3), (EXP(-LN(2)/inputs!$C$52)*O130))</f>
        <v>6.6306913441895834E-2</v>
      </c>
      <c r="P131" s="3">
        <f>IF((B131&gt;B130), (EXP(-LN(2)/inputs!$C$52)*P130+$P$3), (EXP(-LN(2)/inputs!$C$52)*P130))</f>
        <v>6.4072696781001456E-2</v>
      </c>
      <c r="Q131" s="19">
        <f>IF((F131*0.62*1/(0.012*(10^inputs!$C$55)))&gt;inputs!$C$57, inputs!$C$57, (F131*0.62*1/(0.012*(10^inputs!$C$55))))</f>
        <v>1.7803569358885166E-7</v>
      </c>
      <c r="R131" s="3">
        <f>IF((B131&gt;B130), (EXP(-LN(2)/inputs!$C$51)*R130+$R$3), (EXP(-LN(2)/inputs!$C$51)*R130))</f>
        <v>4.1365598528758997E-13</v>
      </c>
      <c r="T131" s="7">
        <f>IF(T130&lt;(inputs!$C$20-1),(1+T130),0)</f>
        <v>0</v>
      </c>
      <c r="U131" s="7">
        <f>IF(inputs!$C$19&gt;U130,IF(T130=(inputs!$C$20-1),(U130+1),U130), U130)</f>
        <v>1</v>
      </c>
      <c r="V131" s="7">
        <f t="shared" si="2"/>
        <v>128</v>
      </c>
      <c r="W131" s="8">
        <f>IF((U131&gt;U130), (EXP(-LN(2)/inputs!$C$51)*W130+$W$3), (EXP(-LN(2)/inputs!$C$51)*W130))</f>
        <v>1.3689317445460152E-5</v>
      </c>
      <c r="X131" s="8">
        <f>IF((U131&gt;U130), (EXP(-LN(2)/inputs!$C$51)*X130+$X$3), (EXP(-LN(2)/inputs!$C$51)*X130))</f>
        <v>5.7978285651360631E-6</v>
      </c>
      <c r="Y131" s="8">
        <f>IF((U131&gt;U130), (EXP(-LN(2)/inputs!$C$51)*Y130+$Y$3), (EXP(-LN(2)/inputs!$C$51)*Y130))</f>
        <v>7.2472857064200882E-6</v>
      </c>
      <c r="Z131" s="8">
        <f>IF((U131&gt;U130), (EXP(-LN(2)/inputs!$C$51)*Z130+$Z$3), (EXP(-LN(2)/inputs!$C$51)*Z130))</f>
        <v>1.1273555543320123E-6</v>
      </c>
      <c r="AA131" s="8">
        <f>IF((U131&gt;U130), (EXP(-LN(2)/inputs!$C$51)*AA130+$AA$3), (EXP(-LN(2)/inputs!$C$51)*AA130))</f>
        <v>1.0468301575940119E-5</v>
      </c>
      <c r="AB131" s="7">
        <f>(((0.621*15^0.564)/0.2))*W131/15+AB130*inputs!$C$53</f>
        <v>1.4730590488534011E-5</v>
      </c>
      <c r="AC131" s="7">
        <f>(((0.621*1000^0.564)/0.2))*W131/1000+AC130*inputs!$C$53</f>
        <v>2.360456194691371E-6</v>
      </c>
      <c r="AD131" s="7">
        <f>(((0.648*20^0.651)/0.2))*AA131/20+AD130*inputs!$C$54</f>
        <v>1.5768215864174028E-5</v>
      </c>
      <c r="AE131" s="7">
        <f>(((0.013*2^0.773)/0.2))*AA131/2+AE130*inputs!$C$54</f>
        <v>7.6891186522528494E-7</v>
      </c>
    </row>
    <row r="132" spans="1:31" x14ac:dyDescent="0.3">
      <c r="A132" s="7">
        <f>IF(A131&lt;(inputs!$C$20-1),(1+A131),0)</f>
        <v>0</v>
      </c>
      <c r="B132" s="7">
        <f>IF(inputs!$C$19&gt;B131,IF(A131=(inputs!$C$20-1),(B131+1),B131), B131)</f>
        <v>1</v>
      </c>
      <c r="C132" s="7">
        <f t="shared" si="3"/>
        <v>129</v>
      </c>
      <c r="D132" s="8">
        <f>IF((B132&gt;B131), (EXP(-LN(2)/inputs!$C$51)*D131+$D$3), (EXP(-LN(2)/inputs!$C$51)*D131))</f>
        <v>3.3913764353939882E-5</v>
      </c>
      <c r="E132" s="8">
        <f>IF((B132&gt;B131), (EXP(-LN(2)/inputs!$C$51)*E131+$E$3), (EXP(-LN(2)/inputs!$C$51)*E131))</f>
        <v>1.5543808662222427E-5</v>
      </c>
      <c r="F132" s="8">
        <f>IF((B132&gt;B131), (EXP(-LN(2)/inputs!$C$51)*F131+$F$3), (EXP(-LN(2)/inputs!$C$51)*F131))</f>
        <v>1.907649244909116E-5</v>
      </c>
      <c r="G132" s="8">
        <f>IF((B132&gt;B131), (EXP(-LN(2)/inputs!$C$51)*G131+$G$3), (EXP(-LN(2)/inputs!$C$51)*G131))</f>
        <v>2.1196102721212426E-6</v>
      </c>
      <c r="H132" s="8">
        <f>IF((B132&gt;B131), (EXP(-LN(2)/inputs!$C$51)*H131+$H$3), (EXP(-LN(2)/inputs!$C$51)*H131))</f>
        <v>1.328289103862642E-5</v>
      </c>
      <c r="I132" s="7">
        <f>O132*(10^inputs!$C$55)*0.01/1</f>
        <v>4.0992555068352647</v>
      </c>
      <c r="J132" s="7">
        <f>(((0.621*15^0.564)/0.2))*D132/15+J131*inputs!$C$53</f>
        <v>3.6493402729016644E-5</v>
      </c>
      <c r="K132" s="7">
        <f>(((0.621*1000^0.564)/0.2))*D132/1000+K131*inputs!$C$53</f>
        <v>5.8477681939583317E-6</v>
      </c>
      <c r="L132" s="7">
        <f>(((0.648*20^0.651)/0.2))*H132/20+L131*inputs!$C$54</f>
        <v>2.0007781747399121E-5</v>
      </c>
      <c r="M132" s="7">
        <f>(((0.013*2^0.773)/0.2))*H132/2+M131*inputs!$C$54</f>
        <v>9.7564752505491669E-7</v>
      </c>
      <c r="N132" s="7">
        <f>O132*0.015*inputs!$C$56</f>
        <v>0.60226097502151743</v>
      </c>
      <c r="O132" s="7">
        <f>IF((B132&gt;B131), (EXP(-LN(2)/inputs!$C$52)*O131+$O$3), (EXP(-LN(2)/inputs!$C$52)*O131))</f>
        <v>6.4968821469419361E-2</v>
      </c>
      <c r="P132" s="3">
        <f>IF((B132&gt;B131), (EXP(-LN(2)/inputs!$C$52)*P131+$P$3), (EXP(-LN(2)/inputs!$C$52)*P131))</f>
        <v>6.2779691922726671E-2</v>
      </c>
      <c r="Q132" s="19">
        <f>IF((F132*0.62*1/(0.012*(10^inputs!$C$55)))&gt;inputs!$C$57, inputs!$C$57, (F132*0.62*1/(0.012*(10^inputs!$C$55))))</f>
        <v>1.5621004892943531E-7</v>
      </c>
      <c r="R132" s="3">
        <f>IF((B132&gt;B131), (EXP(-LN(2)/inputs!$C$51)*R131+$R$3), (EXP(-LN(2)/inputs!$C$51)*R131))</f>
        <v>3.6294531955458643E-13</v>
      </c>
      <c r="T132" s="7">
        <f>IF(T131&lt;(inputs!$C$20-1),(1+T131),0)</f>
        <v>0</v>
      </c>
      <c r="U132" s="7">
        <f>IF(inputs!$C$19&gt;U131,IF(T131=(inputs!$C$20-1),(U131+1),U131), U131)</f>
        <v>1</v>
      </c>
      <c r="V132" s="7">
        <f t="shared" ref="V132:V195" si="4">V131+1</f>
        <v>129</v>
      </c>
      <c r="W132" s="8">
        <f>IF((U132&gt;U131), (EXP(-LN(2)/inputs!$C$51)*W131+$W$3), (EXP(-LN(2)/inputs!$C$51)*W131))</f>
        <v>1.2011124875353685E-5</v>
      </c>
      <c r="X132" s="8">
        <f>IF((U132&gt;U131), (EXP(-LN(2)/inputs!$C$51)*X131+$X$3), (EXP(-LN(2)/inputs!$C$51)*X131))</f>
        <v>5.0870646530909717E-6</v>
      </c>
      <c r="Y132" s="8">
        <f>IF((U132&gt;U131), (EXP(-LN(2)/inputs!$C$51)*Y131+$Y$3), (EXP(-LN(2)/inputs!$C$51)*Y131))</f>
        <v>6.3588308163637227E-6</v>
      </c>
      <c r="Z132" s="8">
        <f>IF((U132&gt;U131), (EXP(-LN(2)/inputs!$C$51)*Z131+$Z$3), (EXP(-LN(2)/inputs!$C$51)*Z131))</f>
        <v>9.8915146032324438E-7</v>
      </c>
      <c r="AA132" s="8">
        <f>IF((U132&gt;U131), (EXP(-LN(2)/inputs!$C$51)*AA131+$AA$3), (EXP(-LN(2)/inputs!$C$51)*AA131))</f>
        <v>9.1849778458587035E-6</v>
      </c>
      <c r="AB132" s="7">
        <f>(((0.621*15^0.564)/0.2))*W132/15+AB131*inputs!$C$53</f>
        <v>1.2924746799860037E-5</v>
      </c>
      <c r="AC132" s="7">
        <f>(((0.621*1000^0.564)/0.2))*W132/1000+AC131*inputs!$C$53</f>
        <v>2.0710845686935716E-6</v>
      </c>
      <c r="AD132" s="7">
        <f>(((0.648*20^0.651)/0.2))*AA132/20+AD131*inputs!$C$54</f>
        <v>1.3835168229584511E-5</v>
      </c>
      <c r="AE132" s="7">
        <f>(((0.013*2^0.773)/0.2))*AA132/2+AE131*inputs!$C$54</f>
        <v>6.7464988434648579E-7</v>
      </c>
    </row>
    <row r="133" spans="1:31" x14ac:dyDescent="0.3">
      <c r="A133" s="7">
        <f>IF(A132&lt;(inputs!$C$20-1),(1+A132),0)</f>
        <v>0</v>
      </c>
      <c r="B133" s="7">
        <f>IF(inputs!$C$19&gt;B132,IF(A132=(inputs!$C$20-1),(B132+1),B132), B132)</f>
        <v>1</v>
      </c>
      <c r="C133" s="7">
        <f t="shared" ref="C133:C196" si="5">C132+1</f>
        <v>130</v>
      </c>
      <c r="D133" s="8">
        <f>IF((B133&gt;B132), (EXP(-LN(2)/inputs!$C$51)*D132+$D$3), (EXP(-LN(2)/inputs!$C$51)*D132))</f>
        <v>2.9756228553497323E-5</v>
      </c>
      <c r="E133" s="8">
        <f>IF((B133&gt;B132), (EXP(-LN(2)/inputs!$C$51)*E132+$E$3), (EXP(-LN(2)/inputs!$C$51)*E132))</f>
        <v>1.3638271420352924E-5</v>
      </c>
      <c r="F133" s="8">
        <f>IF((B133&gt;B132), (EXP(-LN(2)/inputs!$C$51)*F132+$F$3), (EXP(-LN(2)/inputs!$C$51)*F132))</f>
        <v>1.6737878561342223E-5</v>
      </c>
      <c r="G133" s="8">
        <f>IF((B133&gt;B132), (EXP(-LN(2)/inputs!$C$51)*G132+$G$3), (EXP(-LN(2)/inputs!$C$51)*G132))</f>
        <v>1.8597642845935827E-6</v>
      </c>
      <c r="H133" s="8">
        <f>IF((B133&gt;B132), (EXP(-LN(2)/inputs!$C$51)*H132+$H$3), (EXP(-LN(2)/inputs!$C$51)*H132))</f>
        <v>1.1654522850119756E-5</v>
      </c>
      <c r="I133" s="7">
        <f>O133*(10^inputs!$C$55)*0.01/1</f>
        <v>4.0165313895132781</v>
      </c>
      <c r="J133" s="7">
        <f>(((0.621*15^0.564)/0.2))*D133/15+J132*inputs!$C$53</f>
        <v>3.2019625452557252E-5</v>
      </c>
      <c r="K133" s="7">
        <f>(((0.621*1000^0.564)/0.2))*D133/1000+K132*inputs!$C$53</f>
        <v>5.1308821129755048E-6</v>
      </c>
      <c r="L133" s="7">
        <f>(((0.648*20^0.651)/0.2))*H133/20+L132*inputs!$C$54</f>
        <v>1.7554999802165447E-5</v>
      </c>
      <c r="M133" s="7">
        <f>(((0.013*2^0.773)/0.2))*H133/2+M132*inputs!$C$54</f>
        <v>8.560415305184312E-7</v>
      </c>
      <c r="N133" s="7">
        <f>O133*0.015*inputs!$C$56</f>
        <v>0.59010718088181091</v>
      </c>
      <c r="O133" s="7">
        <f>IF((B133&gt;B132), (EXP(-LN(2)/inputs!$C$52)*O132+$O$3), (EXP(-LN(2)/inputs!$C$52)*O132))</f>
        <v>6.3657732565459646E-2</v>
      </c>
      <c r="P133" s="3">
        <f>IF((B133&gt;B132), (EXP(-LN(2)/inputs!$C$52)*P132+$P$3), (EXP(-LN(2)/inputs!$C$52)*P132))</f>
        <v>6.1512780262452223E-2</v>
      </c>
      <c r="Q133" s="19">
        <f>IF((F133*0.62*1/(0.012*(10^inputs!$C$55)))&gt;inputs!$C$57, inputs!$C$57, (F133*0.62*1/(0.012*(10^inputs!$C$55))))</f>
        <v>1.3706004057191241E-7</v>
      </c>
      <c r="R133" s="3">
        <f>IF((B133&gt;B132), (EXP(-LN(2)/inputs!$C$51)*R132+$R$3), (EXP(-LN(2)/inputs!$C$51)*R132))</f>
        <v>3.184513452524988E-13</v>
      </c>
      <c r="T133" s="7">
        <f>IF(T132&lt;(inputs!$C$20-1),(1+T132),0)</f>
        <v>0</v>
      </c>
      <c r="U133" s="7">
        <f>IF(inputs!$C$19&gt;U132,IF(T132=(inputs!$C$20-1),(U132+1),U132), U132)</f>
        <v>1</v>
      </c>
      <c r="V133" s="7">
        <f t="shared" si="4"/>
        <v>130</v>
      </c>
      <c r="W133" s="8">
        <f>IF((U133&gt;U132), (EXP(-LN(2)/inputs!$C$51)*W132+$W$3), (EXP(-LN(2)/inputs!$C$51)*W132))</f>
        <v>1.0538664279363615E-5</v>
      </c>
      <c r="X133" s="8">
        <f>IF((U133&gt;U132), (EXP(-LN(2)/inputs!$C$51)*X132+$X$3), (EXP(-LN(2)/inputs!$C$51)*X132))</f>
        <v>4.4634342830245896E-6</v>
      </c>
      <c r="Y133" s="8">
        <f>IF((U133&gt;U132), (EXP(-LN(2)/inputs!$C$51)*Y132+$Y$3), (EXP(-LN(2)/inputs!$C$51)*Y132))</f>
        <v>5.5792928537807436E-6</v>
      </c>
      <c r="Z133" s="8">
        <f>IF((U133&gt;U132), (EXP(-LN(2)/inputs!$C$51)*Z132+$Z$3), (EXP(-LN(2)/inputs!$C$51)*Z132))</f>
        <v>8.6788999947700334E-7</v>
      </c>
      <c r="AA133" s="8">
        <f>IF((U133&gt;U132), (EXP(-LN(2)/inputs!$C$51)*AA132+$AA$3), (EXP(-LN(2)/inputs!$C$51)*AA132))</f>
        <v>8.0589785665721799E-6</v>
      </c>
      <c r="AB133" s="7">
        <f>(((0.621*15^0.564)/0.2))*W133/15+AB132*inputs!$C$53</f>
        <v>1.1340284014447336E-5</v>
      </c>
      <c r="AC133" s="7">
        <f>(((0.621*1000^0.564)/0.2))*W133/1000+AC132*inputs!$C$53</f>
        <v>1.8171874150121542E-6</v>
      </c>
      <c r="AD133" s="7">
        <f>(((0.648*20^0.651)/0.2))*AA133/20+AD132*inputs!$C$54</f>
        <v>1.2139095607880376E-5</v>
      </c>
      <c r="AE133" s="7">
        <f>(((0.013*2^0.773)/0.2))*AA133/2+AE132*inputs!$C$54</f>
        <v>5.9194361152870305E-7</v>
      </c>
    </row>
    <row r="134" spans="1:31" x14ac:dyDescent="0.3">
      <c r="A134" s="7">
        <f>IF(A133&lt;(inputs!$C$20-1),(1+A133),0)</f>
        <v>0</v>
      </c>
      <c r="B134" s="7">
        <f>IF(inputs!$C$19&gt;B133,IF(A133=(inputs!$C$20-1),(B133+1),B133), B133)</f>
        <v>1</v>
      </c>
      <c r="C134" s="7">
        <f t="shared" si="5"/>
        <v>131</v>
      </c>
      <c r="D134" s="8">
        <f>IF((B134&gt;B133), (EXP(-LN(2)/inputs!$C$51)*D133+$D$3), (EXP(-LN(2)/inputs!$C$51)*D133))</f>
        <v>2.6108370881131794E-5</v>
      </c>
      <c r="E134" s="8">
        <f>IF((B134&gt;B133), (EXP(-LN(2)/inputs!$C$51)*E133+$E$3), (EXP(-LN(2)/inputs!$C$51)*E133))</f>
        <v>1.1966336653852058E-5</v>
      </c>
      <c r="F134" s="8">
        <f>IF((B134&gt;B133), (EXP(-LN(2)/inputs!$C$51)*F133+$F$3), (EXP(-LN(2)/inputs!$C$51)*F133))</f>
        <v>1.4685958620636615E-5</v>
      </c>
      <c r="G134" s="8">
        <f>IF((B134&gt;B133), (EXP(-LN(2)/inputs!$C$51)*G133+$G$3), (EXP(-LN(2)/inputs!$C$51)*G133))</f>
        <v>1.6317731800707371E-6</v>
      </c>
      <c r="H134" s="8">
        <f>IF((B134&gt;B133), (EXP(-LN(2)/inputs!$C$51)*H133+$H$3), (EXP(-LN(2)/inputs!$C$51)*H133))</f>
        <v>1.0225778595109927E-5</v>
      </c>
      <c r="I134" s="7">
        <f>O134*(10^inputs!$C$55)*0.01/1</f>
        <v>3.9354766679084623</v>
      </c>
      <c r="J134" s="7">
        <f>(((0.621*15^0.564)/0.2))*D134/15+J133*inputs!$C$53</f>
        <v>2.8094294788982496E-5</v>
      </c>
      <c r="K134" s="7">
        <f>(((0.621*1000^0.564)/0.2))*D134/1000+K133*inputs!$C$53</f>
        <v>4.5018800992232965E-6</v>
      </c>
      <c r="L134" s="7">
        <f>(((0.648*20^0.651)/0.2))*H134/20+L133*inputs!$C$54</f>
        <v>1.5402907825805828E-5</v>
      </c>
      <c r="M134" s="7">
        <f>(((0.013*2^0.773)/0.2))*H134/2+M133*inputs!$C$54</f>
        <v>7.5109820212078154E-7</v>
      </c>
      <c r="N134" s="7">
        <f>O134*0.015*inputs!$C$56</f>
        <v>0.57819865369134527</v>
      </c>
      <c r="O134" s="7">
        <f>IF((B134&gt;B133), (EXP(-LN(2)/inputs!$C$52)*O133+$O$3), (EXP(-LN(2)/inputs!$C$52)*O133))</f>
        <v>6.2373101800576619E-2</v>
      </c>
      <c r="P134" s="3">
        <f>IF((B134&gt;B133), (EXP(-LN(2)/inputs!$C$52)*P133+$P$3), (EXP(-LN(2)/inputs!$C$52)*P133))</f>
        <v>6.0271435232178365E-2</v>
      </c>
      <c r="Q134" s="19">
        <f>IF((F134*0.62*1/(0.012*(10^inputs!$C$55)))&gt;inputs!$C$57, inputs!$C$57, (F134*0.62*1/(0.012*(10^inputs!$C$55))))</f>
        <v>1.2025765852016486E-7</v>
      </c>
      <c r="R134" s="3">
        <f>IF((B134&gt;B133), (EXP(-LN(2)/inputs!$C$51)*R133+$R$3), (EXP(-LN(2)/inputs!$C$51)*R133))</f>
        <v>2.7941194948478758E-13</v>
      </c>
      <c r="T134" s="7">
        <f>IF(T133&lt;(inputs!$C$20-1),(1+T133),0)</f>
        <v>0</v>
      </c>
      <c r="U134" s="7">
        <f>IF(inputs!$C$19&gt;U133,IF(T133=(inputs!$C$20-1),(U133+1),U133), U133)</f>
        <v>1</v>
      </c>
      <c r="V134" s="7">
        <f t="shared" si="4"/>
        <v>131</v>
      </c>
      <c r="W134" s="8">
        <f>IF((U134&gt;U133), (EXP(-LN(2)/inputs!$C$51)*W133+$W$3), (EXP(-LN(2)/inputs!$C$51)*W133))</f>
        <v>9.2467146870674928E-6</v>
      </c>
      <c r="X134" s="8">
        <f>IF((U134&gt;U133), (EXP(-LN(2)/inputs!$C$51)*X133+$X$3), (EXP(-LN(2)/inputs!$C$51)*X133))</f>
        <v>3.9162556321697616E-6</v>
      </c>
      <c r="Y134" s="8">
        <f>IF((U134&gt;U133), (EXP(-LN(2)/inputs!$C$51)*Y133+$Y$3), (EXP(-LN(2)/inputs!$C$51)*Y133))</f>
        <v>4.8953195402122077E-6</v>
      </c>
      <c r="Z134" s="8">
        <f>IF((U134&gt;U133), (EXP(-LN(2)/inputs!$C$51)*Z133+$Z$3), (EXP(-LN(2)/inputs!$C$51)*Z133))</f>
        <v>7.6149415069967568E-7</v>
      </c>
      <c r="AA134" s="8">
        <f>IF((U134&gt;U133), (EXP(-LN(2)/inputs!$C$51)*AA133+$AA$3), (EXP(-LN(2)/inputs!$C$51)*AA133))</f>
        <v>7.0710171136398507E-6</v>
      </c>
      <c r="AB134" s="7">
        <f>(((0.621*15^0.564)/0.2))*W134/15+AB133*inputs!$C$53</f>
        <v>9.9500627377646154E-6</v>
      </c>
      <c r="AC134" s="7">
        <f>(((0.621*1000^0.564)/0.2))*W134/1000+AC133*inputs!$C$53</f>
        <v>1.5944158684749145E-6</v>
      </c>
      <c r="AD134" s="7">
        <f>(((0.648*20^0.651)/0.2))*AA134/20+AD133*inputs!$C$54</f>
        <v>1.0650946900823191E-5</v>
      </c>
      <c r="AE134" s="7">
        <f>(((0.013*2^0.773)/0.2))*AA134/2+AE133*inputs!$C$54</f>
        <v>5.1937641636011548E-7</v>
      </c>
    </row>
    <row r="135" spans="1:31" x14ac:dyDescent="0.3">
      <c r="A135" s="7">
        <f>IF(A134&lt;(inputs!$C$20-1),(1+A134),0)</f>
        <v>0</v>
      </c>
      <c r="B135" s="7">
        <f>IF(inputs!$C$19&gt;B134,IF(A134=(inputs!$C$20-1),(B134+1),B134), B134)</f>
        <v>1</v>
      </c>
      <c r="C135" s="7">
        <f t="shared" si="5"/>
        <v>132</v>
      </c>
      <c r="D135" s="8">
        <f>IF((B135&gt;B134), (EXP(-LN(2)/inputs!$C$51)*D134+$D$3), (EXP(-LN(2)/inputs!$C$51)*D134))</f>
        <v>2.2907709182339067E-5</v>
      </c>
      <c r="E135" s="8">
        <f>IF((B135&gt;B134), (EXP(-LN(2)/inputs!$C$51)*E134+$E$3), (EXP(-LN(2)/inputs!$C$51)*E134))</f>
        <v>1.049936670857206E-5</v>
      </c>
      <c r="F135" s="8">
        <f>IF((B135&gt;B134), (EXP(-LN(2)/inputs!$C$51)*F134+$F$3), (EXP(-LN(2)/inputs!$C$51)*F134))</f>
        <v>1.288558641506571E-5</v>
      </c>
      <c r="G135" s="8">
        <f>IF((B135&gt;B134), (EXP(-LN(2)/inputs!$C$51)*G134+$G$3), (EXP(-LN(2)/inputs!$C$51)*G134))</f>
        <v>1.4317318238961917E-6</v>
      </c>
      <c r="H135" s="8">
        <f>IF((B135&gt;B134), (EXP(-LN(2)/inputs!$C$51)*H134+$H$3), (EXP(-LN(2)/inputs!$C$51)*H134))</f>
        <v>8.9721860964161124E-6</v>
      </c>
      <c r="I135" s="7">
        <f>O135*(10^inputs!$C$55)*0.01/1</f>
        <v>3.8560576531505011</v>
      </c>
      <c r="J135" s="7">
        <f>(((0.621*15^0.564)/0.2))*D135/15+J134*inputs!$C$53</f>
        <v>2.4650175901017997E-5</v>
      </c>
      <c r="K135" s="7">
        <f>(((0.621*1000^0.564)/0.2))*D135/1000+K134*inputs!$C$53</f>
        <v>3.9499883219943156E-6</v>
      </c>
      <c r="L135" s="7">
        <f>(((0.648*20^0.651)/0.2))*H135/20+L134*inputs!$C$54</f>
        <v>1.3514643814522014E-5</v>
      </c>
      <c r="M135" s="7">
        <f>(((0.013*2^0.773)/0.2))*H135/2+M134*inputs!$C$54</f>
        <v>6.5902002311431542E-7</v>
      </c>
      <c r="N135" s="7">
        <f>O135*0.015*inputs!$C$56</f>
        <v>0.56653044389480478</v>
      </c>
      <c r="O135" s="7">
        <f>IF((B135&gt;B134), (EXP(-LN(2)/inputs!$C$52)*O134+$O$3), (EXP(-LN(2)/inputs!$C$52)*O134))</f>
        <v>6.1114395242158011E-2</v>
      </c>
      <c r="P135" s="3">
        <f>IF((B135&gt;B134), (EXP(-LN(2)/inputs!$C$52)*P134+$P$3), (EXP(-LN(2)/inputs!$C$52)*P134))</f>
        <v>5.9055140890194174E-2</v>
      </c>
      <c r="Q135" s="19">
        <f>IF((F135*0.62*1/(0.012*(10^inputs!$C$55)))&gt;inputs!$C$57, inputs!$C$57, (F135*0.62*1/(0.012*(10^inputs!$C$55))))</f>
        <v>1.0551510398221964E-7</v>
      </c>
      <c r="R135" s="3">
        <f>IF((B135&gt;B134), (EXP(-LN(2)/inputs!$C$51)*R134+$R$3), (EXP(-LN(2)/inputs!$C$51)*R134))</f>
        <v>2.4515844784071256E-13</v>
      </c>
      <c r="T135" s="7">
        <f>IF(T134&lt;(inputs!$C$20-1),(1+T134),0)</f>
        <v>0</v>
      </c>
      <c r="U135" s="7">
        <f>IF(inputs!$C$19&gt;U134,IF(T134=(inputs!$C$20-1),(U134+1),U134), U134)</f>
        <v>1</v>
      </c>
      <c r="V135" s="7">
        <f t="shared" si="4"/>
        <v>132</v>
      </c>
      <c r="W135" s="8">
        <f>IF((U135&gt;U134), (EXP(-LN(2)/inputs!$C$51)*W134+$W$3), (EXP(-LN(2)/inputs!$C$51)*W134))</f>
        <v>8.1131470020784042E-6</v>
      </c>
      <c r="X135" s="8">
        <f>IF((U135&gt;U134), (EXP(-LN(2)/inputs!$C$51)*X134+$X$3), (EXP(-LN(2)/inputs!$C$51)*X134))</f>
        <v>3.4361563773508536E-6</v>
      </c>
      <c r="Y135" s="8">
        <f>IF((U135&gt;U134), (EXP(-LN(2)/inputs!$C$51)*Y134+$Y$3), (EXP(-LN(2)/inputs!$C$51)*Y134))</f>
        <v>4.2951954716885719E-6</v>
      </c>
      <c r="Z135" s="8">
        <f>IF((U135&gt;U134), (EXP(-LN(2)/inputs!$C$51)*Z134+$Z$3), (EXP(-LN(2)/inputs!$C$51)*Z134))</f>
        <v>6.6814151781822138E-7</v>
      </c>
      <c r="AA135" s="8">
        <f>IF((U135&gt;U134), (EXP(-LN(2)/inputs!$C$51)*AA134+$AA$3), (EXP(-LN(2)/inputs!$C$51)*AA134))</f>
        <v>6.2041712368834885E-6</v>
      </c>
      <c r="AB135" s="7">
        <f>(((0.621*15^0.564)/0.2))*W135/15+AB134*inputs!$C$53</f>
        <v>8.7302706316105252E-6</v>
      </c>
      <c r="AC135" s="7">
        <f>(((0.621*1000^0.564)/0.2))*W135/1000+AC134*inputs!$C$53</f>
        <v>1.3989541973729838E-6</v>
      </c>
      <c r="AD135" s="7">
        <f>(((0.648*20^0.651)/0.2))*AA135/20+AD134*inputs!$C$54</f>
        <v>9.345232424935446E-6</v>
      </c>
      <c r="AE135" s="7">
        <f>(((0.013*2^0.773)/0.2))*AA135/2+AE134*inputs!$C$54</f>
        <v>4.5570533513223986E-7</v>
      </c>
    </row>
    <row r="136" spans="1:31" x14ac:dyDescent="0.3">
      <c r="A136" s="7">
        <f>IF(A135&lt;(inputs!$C$20-1),(1+A135),0)</f>
        <v>0</v>
      </c>
      <c r="B136" s="7">
        <f>IF(inputs!$C$19&gt;B135,IF(A135=(inputs!$C$20-1),(B135+1),B135), B135)</f>
        <v>1</v>
      </c>
      <c r="C136" s="7">
        <f t="shared" si="5"/>
        <v>133</v>
      </c>
      <c r="D136" s="8">
        <f>IF((B136&gt;B135), (EXP(-LN(2)/inputs!$C$51)*D135+$D$3), (EXP(-LN(2)/inputs!$C$51)*D135))</f>
        <v>2.0099421077316686E-5</v>
      </c>
      <c r="E136" s="8">
        <f>IF((B136&gt;B135), (EXP(-LN(2)/inputs!$C$51)*E135+$E$3), (EXP(-LN(2)/inputs!$C$51)*E135))</f>
        <v>9.2122346604368026E-6</v>
      </c>
      <c r="F136" s="8">
        <f>IF((B136&gt;B135), (EXP(-LN(2)/inputs!$C$51)*F135+$F$3), (EXP(-LN(2)/inputs!$C$51)*F135))</f>
        <v>1.1305924355990623E-5</v>
      </c>
      <c r="G136" s="8">
        <f>IF((B136&gt;B135), (EXP(-LN(2)/inputs!$C$51)*G135+$G$3), (EXP(-LN(2)/inputs!$C$51)*G135))</f>
        <v>1.2562138173322929E-6</v>
      </c>
      <c r="H136" s="8">
        <f>IF((B136&gt;B135), (EXP(-LN(2)/inputs!$C$51)*H135+$H$3), (EXP(-LN(2)/inputs!$C$51)*H135))</f>
        <v>7.8722732552823492E-6</v>
      </c>
      <c r="I136" s="7">
        <f>O136*(10^inputs!$C$55)*0.01/1</f>
        <v>3.7782413362198604</v>
      </c>
      <c r="J136" s="7">
        <f>(((0.621*15^0.564)/0.2))*D136/15+J135*inputs!$C$53</f>
        <v>2.1628276364118527E-5</v>
      </c>
      <c r="K136" s="7">
        <f>(((0.621*1000^0.564)/0.2))*D136/1000+K135*inputs!$C$53</f>
        <v>3.4657537295547542E-6</v>
      </c>
      <c r="L136" s="7">
        <f>(((0.648*20^0.651)/0.2))*H136/20+L135*inputs!$C$54</f>
        <v>1.185786472911278E-5</v>
      </c>
      <c r="M136" s="7">
        <f>(((0.013*2^0.773)/0.2))*H136/2+M135*inputs!$C$54</f>
        <v>5.7822983684329631E-7</v>
      </c>
      <c r="N136" s="7">
        <f>O136*0.015*inputs!$C$56</f>
        <v>0.55509770182027796</v>
      </c>
      <c r="O136" s="7">
        <f>IF((B136&gt;B135), (EXP(-LN(2)/inputs!$C$52)*O135+$O$3), (EXP(-LN(2)/inputs!$C$52)*O135))</f>
        <v>5.9881089732500323E-2</v>
      </c>
      <c r="P136" s="3">
        <f>IF((B136&gt;B135), (EXP(-LN(2)/inputs!$C$52)*P135+$P$3), (EXP(-LN(2)/inputs!$C$52)*P135))</f>
        <v>5.7863391706636097E-2</v>
      </c>
      <c r="Q136" s="19">
        <f>IF((F136*0.62*1/(0.012*(10^inputs!$C$55)))&gt;inputs!$C$57, inputs!$C$57, (F136*0.62*1/(0.012*(10^inputs!$C$55))))</f>
        <v>9.2579859822497398E-8</v>
      </c>
      <c r="R136" s="3">
        <f>IF((B136&gt;B135), (EXP(-LN(2)/inputs!$C$51)*R135+$R$3), (EXP(-LN(2)/inputs!$C$51)*R135))</f>
        <v>2.1510413086659931E-13</v>
      </c>
      <c r="T136" s="7">
        <f>IF(T135&lt;(inputs!$C$20-1),(1+T135),0)</f>
        <v>0</v>
      </c>
      <c r="U136" s="7">
        <f>IF(inputs!$C$19&gt;U135,IF(T135=(inputs!$C$20-1),(U135+1),U135), U135)</f>
        <v>1</v>
      </c>
      <c r="V136" s="7">
        <f t="shared" si="4"/>
        <v>133</v>
      </c>
      <c r="W136" s="8">
        <f>IF((U136&gt;U135), (EXP(-LN(2)/inputs!$C$51)*W135+$W$3), (EXP(-LN(2)/inputs!$C$51)*W135))</f>
        <v>7.1185449648829799E-6</v>
      </c>
      <c r="X136" s="8">
        <f>IF((U136&gt;U135), (EXP(-LN(2)/inputs!$C$51)*X135+$X$3), (EXP(-LN(2)/inputs!$C$51)*X135))</f>
        <v>3.0149131615974974E-6</v>
      </c>
      <c r="Y136" s="8">
        <f>IF((U136&gt;U135), (EXP(-LN(2)/inputs!$C$51)*Y135+$Y$3), (EXP(-LN(2)/inputs!$C$51)*Y135))</f>
        <v>3.768641451996876E-6</v>
      </c>
      <c r="Z136" s="8">
        <f>IF((U136&gt;U135), (EXP(-LN(2)/inputs!$C$51)*Z135+$Z$3), (EXP(-LN(2)/inputs!$C$51)*Z135))</f>
        <v>5.8623311475506883E-7</v>
      </c>
      <c r="AA136" s="8">
        <f>IF((U136&gt;U135), (EXP(-LN(2)/inputs!$C$51)*AA135+$AA$3), (EXP(-LN(2)/inputs!$C$51)*AA135))</f>
        <v>5.4435932084399284E-6</v>
      </c>
      <c r="AB136" s="7">
        <f>(((0.621*15^0.564)/0.2))*W136/15+AB135*inputs!$C$53</f>
        <v>7.6600145456252967E-6</v>
      </c>
      <c r="AC136" s="7">
        <f>(((0.621*1000^0.564)/0.2))*W136/1000+AC135*inputs!$C$53</f>
        <v>1.2274544458839732E-6</v>
      </c>
      <c r="AD136" s="7">
        <f>(((0.648*20^0.651)/0.2))*AA136/20+AD135*inputs!$C$54</f>
        <v>8.1995873126843772E-6</v>
      </c>
      <c r="AE136" s="7">
        <f>(((0.013*2^0.773)/0.2))*AA136/2+AE135*inputs!$C$54</f>
        <v>3.9983978079589684E-7</v>
      </c>
    </row>
    <row r="137" spans="1:31" x14ac:dyDescent="0.3">
      <c r="A137" s="7">
        <f>IF(A136&lt;(inputs!$C$20-1),(1+A136),0)</f>
        <v>0</v>
      </c>
      <c r="B137" s="7">
        <f>IF(inputs!$C$19&gt;B136,IF(A136=(inputs!$C$20-1),(B136+1),B136), B136)</f>
        <v>1</v>
      </c>
      <c r="C137" s="7">
        <f t="shared" si="5"/>
        <v>134</v>
      </c>
      <c r="D137" s="8">
        <f>IF((B137&gt;B136), (EXP(-LN(2)/inputs!$C$51)*D136+$D$3), (EXP(-LN(2)/inputs!$C$51)*D136))</f>
        <v>1.7635404938471104E-5</v>
      </c>
      <c r="E137" s="8">
        <f>IF((B137&gt;B136), (EXP(-LN(2)/inputs!$C$51)*E136+$E$3), (EXP(-LN(2)/inputs!$C$51)*E136))</f>
        <v>8.0828939301325792E-6</v>
      </c>
      <c r="F137" s="8">
        <f>IF((B137&gt;B136), (EXP(-LN(2)/inputs!$C$51)*F136+$F$3), (EXP(-LN(2)/inputs!$C$51)*F136))</f>
        <v>9.9199152778899859E-6</v>
      </c>
      <c r="G137" s="8">
        <f>IF((B137&gt;B136), (EXP(-LN(2)/inputs!$C$51)*G136+$G$3), (EXP(-LN(2)/inputs!$C$51)*G136))</f>
        <v>1.102212808654444E-6</v>
      </c>
      <c r="H137" s="8">
        <f>IF((B137&gt;B136), (EXP(-LN(2)/inputs!$C$51)*H136+$H$3), (EXP(-LN(2)/inputs!$C$51)*H136))</f>
        <v>6.9072002675678322E-6</v>
      </c>
      <c r="I137" s="7">
        <f>O137*(10^inputs!$C$55)*0.01/1</f>
        <v>3.7019953742282086</v>
      </c>
      <c r="J137" s="7">
        <f>(((0.621*15^0.564)/0.2))*D137/15+J136*inputs!$C$53</f>
        <v>1.8976835717564585E-5</v>
      </c>
      <c r="K137" s="7">
        <f>(((0.621*1000^0.564)/0.2))*D137/1000+K136*inputs!$C$53</f>
        <v>3.0408821330029175E-6</v>
      </c>
      <c r="L137" s="7">
        <f>(((0.648*20^0.651)/0.2))*H137/20+L136*inputs!$C$54</f>
        <v>1.0404192508784217E-5</v>
      </c>
      <c r="M137" s="7">
        <f>(((0.013*2^0.773)/0.2))*H137/2+M136*inputs!$C$54</f>
        <v>5.0734383249206353E-7</v>
      </c>
      <c r="N137" s="7">
        <f>O137*0.015*inputs!$C$56</f>
        <v>0.54389567566358266</v>
      </c>
      <c r="O137" s="7">
        <f>IF((B137&gt;B136), (EXP(-LN(2)/inputs!$C$52)*O136+$O$3), (EXP(-LN(2)/inputs!$C$52)*O136))</f>
        <v>5.8672672671368144E-2</v>
      </c>
      <c r="P137" s="3">
        <f>IF((B137&gt;B136), (EXP(-LN(2)/inputs!$C$52)*P136+$P$3), (EXP(-LN(2)/inputs!$C$52)*P136))</f>
        <v>5.6695692353373947E-2</v>
      </c>
      <c r="Q137" s="19">
        <f>IF((F137*0.62*1/(0.012*(10^inputs!$C$55)))&gt;inputs!$C$57, inputs!$C$57, (F137*0.62*1/(0.012*(10^inputs!$C$55))))</f>
        <v>8.123036533421389E-8</v>
      </c>
      <c r="R137" s="3">
        <f>IF((B137&gt;B136), (EXP(-LN(2)/inputs!$C$51)*R136+$R$3), (EXP(-LN(2)/inputs!$C$51)*R136))</f>
        <v>1.8873421464121064E-13</v>
      </c>
      <c r="T137" s="7">
        <f>IF(T136&lt;(inputs!$C$20-1),(1+T136),0)</f>
        <v>0</v>
      </c>
      <c r="U137" s="7">
        <f>IF(inputs!$C$19&gt;U136,IF(T136=(inputs!$C$20-1),(U136+1),U136), U136)</f>
        <v>1</v>
      </c>
      <c r="V137" s="7">
        <f t="shared" si="4"/>
        <v>134</v>
      </c>
      <c r="W137" s="8">
        <f>IF((U137&gt;U136), (EXP(-LN(2)/inputs!$C$51)*W136+$W$3), (EXP(-LN(2)/inputs!$C$51)*W136))</f>
        <v>6.2458725823751717E-6</v>
      </c>
      <c r="X137" s="8">
        <f>IF((U137&gt;U136), (EXP(-LN(2)/inputs!$C$51)*X136+$X$3), (EXP(-LN(2)/inputs!$C$51)*X136))</f>
        <v>2.645310740770661E-6</v>
      </c>
      <c r="Y137" s="8">
        <f>IF((U137&gt;U136), (EXP(-LN(2)/inputs!$C$51)*Y136+$Y$3), (EXP(-LN(2)/inputs!$C$51)*Y136))</f>
        <v>3.3066384259633299E-6</v>
      </c>
      <c r="Z137" s="8">
        <f>IF((U137&gt;U136), (EXP(-LN(2)/inputs!$C$51)*Z136+$Z$3), (EXP(-LN(2)/inputs!$C$51)*Z136))</f>
        <v>5.1436597737207281E-7</v>
      </c>
      <c r="AA137" s="8">
        <f>IF((U137&gt;U136), (EXP(-LN(2)/inputs!$C$51)*AA136+$AA$3), (EXP(-LN(2)/inputs!$C$51)*AA136))</f>
        <v>4.7762555041692514E-6</v>
      </c>
      <c r="AB137" s="7">
        <f>(((0.621*15^0.564)/0.2))*W137/15+AB136*inputs!$C$53</f>
        <v>6.7209626499707777E-6</v>
      </c>
      <c r="AC137" s="7">
        <f>(((0.621*1000^0.564)/0.2))*W137/1000+AC136*inputs!$C$53</f>
        <v>1.0769790887718647E-6</v>
      </c>
      <c r="AD137" s="7">
        <f>(((0.648*20^0.651)/0.2))*AA137/20+AD136*inputs!$C$54</f>
        <v>7.1943884369252641E-6</v>
      </c>
      <c r="AE137" s="7">
        <f>(((0.013*2^0.773)/0.2))*AA137/2+AE136*inputs!$C$54</f>
        <v>3.5082286289344868E-7</v>
      </c>
    </row>
    <row r="138" spans="1:31" x14ac:dyDescent="0.3">
      <c r="A138" s="7">
        <f>IF(A137&lt;(inputs!$C$20-1),(1+A137),0)</f>
        <v>0</v>
      </c>
      <c r="B138" s="7">
        <f>IF(inputs!$C$19&gt;B137,IF(A137=(inputs!$C$20-1),(B137+1),B137), B137)</f>
        <v>1</v>
      </c>
      <c r="C138" s="7">
        <f t="shared" si="5"/>
        <v>135</v>
      </c>
      <c r="D138" s="8">
        <f>IF((B138&gt;B137), (EXP(-LN(2)/inputs!$C$51)*D137+$D$3), (EXP(-LN(2)/inputs!$C$51)*D137))</f>
        <v>1.5473455984005443E-5</v>
      </c>
      <c r="E138" s="8">
        <f>IF((B138&gt;B137), (EXP(-LN(2)/inputs!$C$51)*E137+$E$3), (EXP(-LN(2)/inputs!$C$51)*E137))</f>
        <v>7.0920006593358198E-6</v>
      </c>
      <c r="F138" s="8">
        <f>IF((B138&gt;B137), (EXP(-LN(2)/inputs!$C$51)*F137+$F$3), (EXP(-LN(2)/inputs!$C$51)*F137))</f>
        <v>8.7038189910030531E-6</v>
      </c>
      <c r="G138" s="8">
        <f>IF((B138&gt;B137), (EXP(-LN(2)/inputs!$C$51)*G137+$G$3), (EXP(-LN(2)/inputs!$C$51)*G137))</f>
        <v>9.6709099900034017E-7</v>
      </c>
      <c r="H138" s="8">
        <f>IF((B138&gt;B137), (EXP(-LN(2)/inputs!$C$51)*H137+$H$3), (EXP(-LN(2)/inputs!$C$51)*H137))</f>
        <v>6.0604369270687844E-6</v>
      </c>
      <c r="I138" s="7">
        <f>O138*(10^inputs!$C$55)*0.01/1</f>
        <v>3.6272880769757045</v>
      </c>
      <c r="J138" s="7">
        <f>(((0.621*15^0.564)/0.2))*D138/15+J137*inputs!$C$53</f>
        <v>1.6650438887903117E-5</v>
      </c>
      <c r="K138" s="7">
        <f>(((0.621*1000^0.564)/0.2))*D138/1000+K137*inputs!$C$53</f>
        <v>2.6680961396539653E-6</v>
      </c>
      <c r="L138" s="7">
        <f>(((0.648*20^0.651)/0.2))*H138/20+L137*inputs!$C$54</f>
        <v>9.1287279989017721E-6</v>
      </c>
      <c r="M138" s="7">
        <f>(((0.013*2^0.773)/0.2))*H138/2+M137*inputs!$C$54</f>
        <v>4.4514784254810321E-7</v>
      </c>
      <c r="N138" s="7">
        <f>O138*0.015*inputs!$C$56</f>
        <v>0.53291970951326784</v>
      </c>
      <c r="O138" s="7">
        <f>IF((B138&gt;B137), (EXP(-LN(2)/inputs!$C$52)*O137+$O$3), (EXP(-LN(2)/inputs!$C$52)*O137))</f>
        <v>5.7488641802941519E-2</v>
      </c>
      <c r="P138" s="3">
        <f>IF((B138&gt;B137), (EXP(-LN(2)/inputs!$C$52)*P137+$P$3), (EXP(-LN(2)/inputs!$C$52)*P137))</f>
        <v>5.5551557498137109E-2</v>
      </c>
      <c r="Q138" s="19">
        <f>IF((F138*0.62*1/(0.012*(10^inputs!$C$55)))&gt;inputs!$C$57, inputs!$C$57, (F138*0.62*1/(0.012*(10^inputs!$C$55))))</f>
        <v>7.1272221247481493E-8</v>
      </c>
      <c r="R138" s="3">
        <f>IF((B138&gt;B137), (EXP(-LN(2)/inputs!$C$51)*R137+$R$3), (EXP(-LN(2)/inputs!$C$51)*R137))</f>
        <v>1.6559702332413748E-13</v>
      </c>
      <c r="T138" s="7">
        <f>IF(T137&lt;(inputs!$C$20-1),(1+T137),0)</f>
        <v>0</v>
      </c>
      <c r="U138" s="7">
        <f>IF(inputs!$C$19&gt;U137,IF(T137=(inputs!$C$20-1),(U137+1),U137), U137)</f>
        <v>1</v>
      </c>
      <c r="V138" s="7">
        <f t="shared" si="4"/>
        <v>135</v>
      </c>
      <c r="W138" s="8">
        <f>IF((U138&gt;U137), (EXP(-LN(2)/inputs!$C$51)*W137+$W$3), (EXP(-LN(2)/inputs!$C$51)*W137))</f>
        <v>5.4801823276685847E-6</v>
      </c>
      <c r="X138" s="8">
        <f>IF((U138&gt;U137), (EXP(-LN(2)/inputs!$C$51)*X137+$X$3), (EXP(-LN(2)/inputs!$C$51)*X137))</f>
        <v>2.3210183976008124E-6</v>
      </c>
      <c r="Y138" s="8">
        <f>IF((U138&gt;U137), (EXP(-LN(2)/inputs!$C$51)*Y137+$Y$3), (EXP(-LN(2)/inputs!$C$51)*Y137))</f>
        <v>2.9012729970010188E-6</v>
      </c>
      <c r="Z138" s="8">
        <f>IF((U138&gt;U137), (EXP(-LN(2)/inputs!$C$51)*Z137+$Z$3), (EXP(-LN(2)/inputs!$C$51)*Z137))</f>
        <v>4.5130913286682452E-7</v>
      </c>
      <c r="AA138" s="8">
        <f>IF((U138&gt;U137), (EXP(-LN(2)/inputs!$C$51)*AA137+$AA$3), (EXP(-LN(2)/inputs!$C$51)*AA137))</f>
        <v>4.1907276623348026E-6</v>
      </c>
      <c r="AB138" s="7">
        <f>(((0.621*15^0.564)/0.2))*W138/15+AB137*inputs!$C$53</f>
        <v>5.8970304394656771E-6</v>
      </c>
      <c r="AC138" s="7">
        <f>(((0.621*1000^0.564)/0.2))*W138/1000+AC137*inputs!$C$53</f>
        <v>9.4495071612744437E-7</v>
      </c>
      <c r="AD138" s="7">
        <f>(((0.648*20^0.651)/0.2))*AA138/20+AD137*inputs!$C$54</f>
        <v>6.3124182971129346E-6</v>
      </c>
      <c r="AE138" s="7">
        <f>(((0.013*2^0.773)/0.2))*AA138/2+AE137*inputs!$C$54</f>
        <v>3.078149975066675E-7</v>
      </c>
    </row>
    <row r="139" spans="1:31" x14ac:dyDescent="0.3">
      <c r="A139" s="7">
        <f>IF(A138&lt;(inputs!$C$20-1),(1+A138),0)</f>
        <v>0</v>
      </c>
      <c r="B139" s="7">
        <f>IF(inputs!$C$19&gt;B138,IF(A138=(inputs!$C$20-1),(B138+1),B138), B138)</f>
        <v>1</v>
      </c>
      <c r="C139" s="7">
        <f t="shared" si="5"/>
        <v>136</v>
      </c>
      <c r="D139" s="8">
        <f>IF((B139&gt;B138), (EXP(-LN(2)/inputs!$C$51)*D138+$D$3), (EXP(-LN(2)/inputs!$C$51)*D138))</f>
        <v>1.3576543375346559E-5</v>
      </c>
      <c r="E139" s="8">
        <f>IF((B139&gt;B138), (EXP(-LN(2)/inputs!$C$51)*E138+$E$3), (EXP(-LN(2)/inputs!$C$51)*E138))</f>
        <v>6.2225823803671655E-6</v>
      </c>
      <c r="F139" s="8">
        <f>IF((B139&gt;B138), (EXP(-LN(2)/inputs!$C$51)*F138+$F$3), (EXP(-LN(2)/inputs!$C$51)*F138))</f>
        <v>7.6368056486324317E-6</v>
      </c>
      <c r="G139" s="8">
        <f>IF((B139&gt;B138), (EXP(-LN(2)/inputs!$C$51)*G138+$G$3), (EXP(-LN(2)/inputs!$C$51)*G138))</f>
        <v>8.4853396095915995E-7</v>
      </c>
      <c r="H139" s="8">
        <f>IF((B139&gt;B138), (EXP(-LN(2)/inputs!$C$51)*H138+$H$3), (EXP(-LN(2)/inputs!$C$51)*H138))</f>
        <v>5.3174794886773905E-6</v>
      </c>
      <c r="I139" s="7">
        <f>O139*(10^inputs!$C$55)*0.01/1</f>
        <v>3.554088393779562</v>
      </c>
      <c r="J139" s="7">
        <f>(((0.621*15^0.564)/0.2))*D139/15+J138*inputs!$C$53</f>
        <v>1.4609238299048519E-5</v>
      </c>
      <c r="K139" s="7">
        <f>(((0.621*1000^0.564)/0.2))*D139/1000+K138*inputs!$C$53</f>
        <v>2.3410105025697037E-6</v>
      </c>
      <c r="L139" s="7">
        <f>(((0.648*20^0.651)/0.2))*H139/20+L138*inputs!$C$54</f>
        <v>8.0096244670189332E-6</v>
      </c>
      <c r="M139" s="7">
        <f>(((0.013*2^0.773)/0.2))*H139/2+M138*inputs!$C$54</f>
        <v>3.9057654599226978E-7</v>
      </c>
      <c r="N139" s="7">
        <f>O139*0.015*inputs!$C$56</f>
        <v>0.52216524141547171</v>
      </c>
      <c r="O139" s="7">
        <f>IF((B139&gt;B138), (EXP(-LN(2)/inputs!$C$52)*O138+$O$3), (EXP(-LN(2)/inputs!$C$52)*O138))</f>
        <v>5.6328505007062761E-2</v>
      </c>
      <c r="P139" s="3">
        <f>IF((B139&gt;B138), (EXP(-LN(2)/inputs!$C$52)*P138+$P$3), (EXP(-LN(2)/inputs!$C$52)*P138))</f>
        <v>5.4430511602795294E-2</v>
      </c>
      <c r="Q139" s="19">
        <f>IF((F139*0.62*1/(0.012*(10^inputs!$C$55)))&gt;inputs!$C$57, inputs!$C$57, (F139*0.62*1/(0.012*(10^inputs!$C$55))))</f>
        <v>6.2534859970774881E-8</v>
      </c>
      <c r="R139" s="3">
        <f>IF((B139&gt;B138), (EXP(-LN(2)/inputs!$C$51)*R138+$R$3), (EXP(-LN(2)/inputs!$C$51)*R138))</f>
        <v>1.4529625264791379E-13</v>
      </c>
      <c r="T139" s="7">
        <f>IF(T138&lt;(inputs!$C$20-1),(1+T138),0)</f>
        <v>0</v>
      </c>
      <c r="U139" s="7">
        <f>IF(inputs!$C$19&gt;U138,IF(T138=(inputs!$C$20-1),(U138+1),U138), U138)</f>
        <v>1</v>
      </c>
      <c r="V139" s="7">
        <f t="shared" si="4"/>
        <v>136</v>
      </c>
      <c r="W139" s="8">
        <f>IF((U139&gt;U138), (EXP(-LN(2)/inputs!$C$51)*W138+$W$3), (EXP(-LN(2)/inputs!$C$51)*W138))</f>
        <v>4.8083591121018984E-6</v>
      </c>
      <c r="X139" s="8">
        <f>IF((U139&gt;U138), (EXP(-LN(2)/inputs!$C$51)*X138+$X$3), (EXP(-LN(2)/inputs!$C$51)*X138))</f>
        <v>2.0364815063019803E-6</v>
      </c>
      <c r="Y139" s="8">
        <f>IF((U139&gt;U138), (EXP(-LN(2)/inputs!$C$51)*Y138+$Y$3), (EXP(-LN(2)/inputs!$C$51)*Y138))</f>
        <v>2.5456018828774784E-6</v>
      </c>
      <c r="Z139" s="8">
        <f>IF((U139&gt;U138), (EXP(-LN(2)/inputs!$C$51)*Z138+$Z$3), (EXP(-LN(2)/inputs!$C$51)*Z138))</f>
        <v>3.9598251511427384E-7</v>
      </c>
      <c r="AA139" s="8">
        <f>IF((U139&gt;U138), (EXP(-LN(2)/inputs!$C$51)*AA138+$AA$3), (EXP(-LN(2)/inputs!$C$51)*AA138))</f>
        <v>3.6769804974896888E-6</v>
      </c>
      <c r="AB139" s="7">
        <f>(((0.621*15^0.564)/0.2))*W139/15+AB138*inputs!$C$53</f>
        <v>5.1741052309130073E-6</v>
      </c>
      <c r="AC139" s="7">
        <f>(((0.621*1000^0.564)/0.2))*W139/1000+AC138*inputs!$C$53</f>
        <v>8.2910788632676863E-7</v>
      </c>
      <c r="AD139" s="7">
        <f>(((0.648*20^0.651)/0.2))*AA139/20+AD138*inputs!$C$54</f>
        <v>5.5385701101726719E-6</v>
      </c>
      <c r="AE139" s="7">
        <f>(((0.013*2^0.773)/0.2))*AA139/2+AE138*inputs!$C$54</f>
        <v>2.7007952648401667E-7</v>
      </c>
    </row>
    <row r="140" spans="1:31" x14ac:dyDescent="0.3">
      <c r="A140" s="7">
        <f>IF(A139&lt;(inputs!$C$20-1),(1+A139),0)</f>
        <v>0</v>
      </c>
      <c r="B140" s="7">
        <f>IF(inputs!$C$19&gt;B139,IF(A139=(inputs!$C$20-1),(B139+1),B139), B139)</f>
        <v>1</v>
      </c>
      <c r="C140" s="7">
        <f t="shared" si="5"/>
        <v>137</v>
      </c>
      <c r="D140" s="8">
        <f>IF((B140&gt;B139), (EXP(-LN(2)/inputs!$C$51)*D139+$D$3), (EXP(-LN(2)/inputs!$C$51)*D139))</f>
        <v>1.1912175936209502E-5</v>
      </c>
      <c r="E140" s="8">
        <f>IF((B140&gt;B139), (EXP(-LN(2)/inputs!$C$51)*E139+$E$3), (EXP(-LN(2)/inputs!$C$51)*E139))</f>
        <v>5.4597473040960146E-6</v>
      </c>
      <c r="F140" s="8">
        <f>IF((B140&gt;B139), (EXP(-LN(2)/inputs!$C$51)*F139+$F$3), (EXP(-LN(2)/inputs!$C$51)*F139))</f>
        <v>6.7005989641178374E-6</v>
      </c>
      <c r="G140" s="8">
        <f>IF((B140&gt;B139), (EXP(-LN(2)/inputs!$C$51)*G139+$G$3), (EXP(-LN(2)/inputs!$C$51)*G139))</f>
        <v>7.4451099601309386E-7</v>
      </c>
      <c r="H140" s="8">
        <f>IF((B140&gt;B139), (EXP(-LN(2)/inputs!$C$51)*H139+$H$3), (EXP(-LN(2)/inputs!$C$51)*H139))</f>
        <v>4.6656022416820443E-6</v>
      </c>
      <c r="I140" s="7">
        <f>O140*(10^inputs!$C$55)*0.01/1</f>
        <v>3.4823659005684191</v>
      </c>
      <c r="J140" s="7">
        <f>(((0.621*15^0.564)/0.2))*D140/15+J139*inputs!$C$53</f>
        <v>1.2818271344994225E-5</v>
      </c>
      <c r="K140" s="7">
        <f>(((0.621*1000^0.564)/0.2))*D140/1000+K139*inputs!$C$53</f>
        <v>2.0540227511638392E-6</v>
      </c>
      <c r="L140" s="7">
        <f>(((0.648*20^0.651)/0.2))*H140/20+L139*inputs!$C$54</f>
        <v>7.0277134021723896E-6</v>
      </c>
      <c r="M140" s="7">
        <f>(((0.013*2^0.773)/0.2))*H140/2+M139*inputs!$C$54</f>
        <v>3.4269522099900304E-7</v>
      </c>
      <c r="N140" s="7">
        <f>O140*0.015*inputs!$C$56</f>
        <v>0.51162780147783171</v>
      </c>
      <c r="O140" s="7">
        <f>IF((B140&gt;B139), (EXP(-LN(2)/inputs!$C$52)*O139+$O$3), (EXP(-LN(2)/inputs!$C$52)*O139))</f>
        <v>5.5191780094695976E-2</v>
      </c>
      <c r="P140" s="3">
        <f>IF((B140&gt;B139), (EXP(-LN(2)/inputs!$C$52)*P139+$P$3), (EXP(-LN(2)/inputs!$C$52)*P139))</f>
        <v>5.3332088725710075E-2</v>
      </c>
      <c r="Q140" s="19">
        <f>IF((F140*0.62*1/(0.012*(10^inputs!$C$55)))&gt;inputs!$C$57, inputs!$C$57, (F140*0.62*1/(0.012*(10^inputs!$C$55))))</f>
        <v>5.4868624032152086E-8</v>
      </c>
      <c r="R140" s="3">
        <f>IF((B140&gt;B139), (EXP(-LN(2)/inputs!$C$51)*R139+$R$3), (EXP(-LN(2)/inputs!$C$51)*R139))</f>
        <v>1.2748418183945249E-13</v>
      </c>
      <c r="T140" s="7">
        <f>IF(T139&lt;(inputs!$C$20-1),(1+T139),0)</f>
        <v>0</v>
      </c>
      <c r="U140" s="7">
        <f>IF(inputs!$C$19&gt;U139,IF(T139=(inputs!$C$20-1),(U139+1),U139), U139)</f>
        <v>1</v>
      </c>
      <c r="V140" s="7">
        <f t="shared" si="4"/>
        <v>137</v>
      </c>
      <c r="W140" s="8">
        <f>IF((U140&gt;U139), (EXP(-LN(2)/inputs!$C$51)*W139+$W$3), (EXP(-LN(2)/inputs!$C$51)*W139))</f>
        <v>4.218895644074191E-6</v>
      </c>
      <c r="X140" s="8">
        <f>IF((U140&gt;U139), (EXP(-LN(2)/inputs!$C$51)*X139+$X$3), (EXP(-LN(2)/inputs!$C$51)*X139))</f>
        <v>1.786826390431422E-6</v>
      </c>
      <c r="Y140" s="8">
        <f>IF((U140&gt;U139), (EXP(-LN(2)/inputs!$C$51)*Y139+$Y$3), (EXP(-LN(2)/inputs!$C$51)*Y139))</f>
        <v>2.23353298803928E-6</v>
      </c>
      <c r="Z140" s="8">
        <f>IF((U140&gt;U139), (EXP(-LN(2)/inputs!$C$51)*Z139+$Z$3), (EXP(-LN(2)/inputs!$C$51)*Z139))</f>
        <v>3.4743846480610975E-7</v>
      </c>
      <c r="AA140" s="8">
        <f>IF((U140&gt;U139), (EXP(-LN(2)/inputs!$C$51)*AA139+$AA$3), (EXP(-LN(2)/inputs!$C$51)*AA139))</f>
        <v>3.2262143160567359E-6</v>
      </c>
      <c r="AB140" s="7">
        <f>(((0.621*15^0.564)/0.2))*W140/15+AB139*inputs!$C$53</f>
        <v>4.5398044346854461E-6</v>
      </c>
      <c r="AC140" s="7">
        <f>(((0.621*1000^0.564)/0.2))*W140/1000+AC139*inputs!$C$53</f>
        <v>7.2746639103719181E-7</v>
      </c>
      <c r="AD140" s="7">
        <f>(((0.648*20^0.651)/0.2))*AA140/20+AD139*inputs!$C$54</f>
        <v>4.8595890546936788E-6</v>
      </c>
      <c r="AE140" s="7">
        <f>(((0.013*2^0.773)/0.2))*AA140/2+AE139*inputs!$C$54</f>
        <v>2.3697009962697045E-7</v>
      </c>
    </row>
    <row r="141" spans="1:31" x14ac:dyDescent="0.3">
      <c r="A141" s="7">
        <f>IF(A140&lt;(inputs!$C$20-1),(1+A140),0)</f>
        <v>0</v>
      </c>
      <c r="B141" s="7">
        <f>IF(inputs!$C$19&gt;B140,IF(A140=(inputs!$C$20-1),(B140+1),B140), B140)</f>
        <v>1</v>
      </c>
      <c r="C141" s="7">
        <f t="shared" si="5"/>
        <v>138</v>
      </c>
      <c r="D141" s="8">
        <f>IF((B141&gt;B140), (EXP(-LN(2)/inputs!$C$51)*D140+$D$3), (EXP(-LN(2)/inputs!$C$51)*D140))</f>
        <v>1.0451845629048898E-5</v>
      </c>
      <c r="E141" s="8">
        <f>IF((B141&gt;B140), (EXP(-LN(2)/inputs!$C$51)*E140+$E$3), (EXP(-LN(2)/inputs!$C$51)*E140))</f>
        <v>4.7904292466474054E-6</v>
      </c>
      <c r="F141" s="8">
        <f>IF((B141&gt;B140), (EXP(-LN(2)/inputs!$C$51)*F140+$F$3), (EXP(-LN(2)/inputs!$C$51)*F140))</f>
        <v>5.879163166339999E-6</v>
      </c>
      <c r="G141" s="8">
        <f>IF((B141&gt;B140), (EXP(-LN(2)/inputs!$C$51)*G140+$G$3), (EXP(-LN(2)/inputs!$C$51)*G140))</f>
        <v>6.5324035181555614E-7</v>
      </c>
      <c r="H141" s="8">
        <f>IF((B141&gt;B140), (EXP(-LN(2)/inputs!$C$51)*H140+$H$3), (EXP(-LN(2)/inputs!$C$51)*H140))</f>
        <v>4.0936395380441424E-6</v>
      </c>
      <c r="I141" s="7">
        <f>O141*(10^inputs!$C$55)*0.01/1</f>
        <v>3.4120907872371427</v>
      </c>
      <c r="J141" s="7">
        <f>(((0.621*15^0.564)/0.2))*D141/15+J140*inputs!$C$53</f>
        <v>1.1246861534499115E-5</v>
      </c>
      <c r="K141" s="7">
        <f>(((0.621*1000^0.564)/0.2))*D141/1000+K140*inputs!$C$53</f>
        <v>1.8022172295542897E-6</v>
      </c>
      <c r="L141" s="7">
        <f>(((0.648*20^0.651)/0.2))*H141/20+L140*inputs!$C$54</f>
        <v>6.1661761879649277E-6</v>
      </c>
      <c r="M141" s="7">
        <f>(((0.013*2^0.773)/0.2))*H141/2+M140*inputs!$C$54</f>
        <v>3.0068373459854366E-7</v>
      </c>
      <c r="N141" s="7">
        <f>O141*0.015*inputs!$C$56</f>
        <v>0.50130301001165689</v>
      </c>
      <c r="O141" s="7">
        <f>IF((B141&gt;B140), (EXP(-LN(2)/inputs!$C$52)*O140+$O$3), (EXP(-LN(2)/inputs!$C$52)*O140))</f>
        <v>5.4077994607514238E-2</v>
      </c>
      <c r="P141" s="3">
        <f>IF((B141&gt;B140), (EXP(-LN(2)/inputs!$C$52)*P140+$P$3), (EXP(-LN(2)/inputs!$C$52)*P140))</f>
        <v>5.2255832328075E-2</v>
      </c>
      <c r="Q141" s="19">
        <f>IF((F141*0.62*1/(0.012*(10^inputs!$C$55)))&gt;inputs!$C$57, inputs!$C$57, (F141*0.62*1/(0.012*(10^inputs!$C$55))))</f>
        <v>4.8142202678451964E-8</v>
      </c>
      <c r="R141" s="3">
        <f>IF((B141&gt;B140), (EXP(-LN(2)/inputs!$C$51)*R140+$R$3), (EXP(-LN(2)/inputs!$C$51)*R140))</f>
        <v>1.1185571770152559E-13</v>
      </c>
      <c r="T141" s="7">
        <f>IF(T140&lt;(inputs!$C$20-1),(1+T140),0)</f>
        <v>0</v>
      </c>
      <c r="U141" s="7">
        <f>IF(inputs!$C$19&gt;U140,IF(T140=(inputs!$C$20-1),(U140+1),U140), U140)</f>
        <v>1</v>
      </c>
      <c r="V141" s="7">
        <f t="shared" si="4"/>
        <v>138</v>
      </c>
      <c r="W141" s="8">
        <f>IF((U141&gt;U140), (EXP(-LN(2)/inputs!$C$51)*W140+$W$3), (EXP(-LN(2)/inputs!$C$51)*W140))</f>
        <v>3.7016953269548118E-6</v>
      </c>
      <c r="X141" s="8">
        <f>IF((U141&gt;U140), (EXP(-LN(2)/inputs!$C$51)*X140+$X$3), (EXP(-LN(2)/inputs!$C$51)*X140))</f>
        <v>1.567776844357332E-6</v>
      </c>
      <c r="Y141" s="8">
        <f>IF((U141&gt;U140), (EXP(-LN(2)/inputs!$C$51)*Y140+$Y$3), (EXP(-LN(2)/inputs!$C$51)*Y140))</f>
        <v>1.959721055446667E-6</v>
      </c>
      <c r="Z141" s="8">
        <f>IF((U141&gt;U140), (EXP(-LN(2)/inputs!$C$51)*Z140+$Z$3), (EXP(-LN(2)/inputs!$C$51)*Z140))</f>
        <v>3.048454975139256E-7</v>
      </c>
      <c r="AA141" s="8">
        <f>IF((U141&gt;U140), (EXP(-LN(2)/inputs!$C$51)*AA140+$AA$3), (EXP(-LN(2)/inputs!$C$51)*AA140))</f>
        <v>2.8307081912007396E-6</v>
      </c>
      <c r="AB141" s="7">
        <f>(((0.621*15^0.564)/0.2))*W141/15+AB140*inputs!$C$53</f>
        <v>3.9832634601350963E-6</v>
      </c>
      <c r="AC141" s="7">
        <f>(((0.621*1000^0.564)/0.2))*W141/1000+AC140*inputs!$C$53</f>
        <v>6.3828526880047644E-7</v>
      </c>
      <c r="AD141" s="7">
        <f>(((0.648*20^0.651)/0.2))*AA141/20+AD140*inputs!$C$54</f>
        <v>4.2638452363587311E-6</v>
      </c>
      <c r="AE141" s="7">
        <f>(((0.013*2^0.773)/0.2))*AA141/2+AE140*inputs!$C$54</f>
        <v>2.0791960371175913E-7</v>
      </c>
    </row>
    <row r="142" spans="1:31" x14ac:dyDescent="0.3">
      <c r="A142" s="7">
        <f>IF(A141&lt;(inputs!$C$20-1),(1+A141),0)</f>
        <v>0</v>
      </c>
      <c r="B142" s="7">
        <f>IF(inputs!$C$19&gt;B141,IF(A141=(inputs!$C$20-1),(B141+1),B141), B141)</f>
        <v>1</v>
      </c>
      <c r="C142" s="7">
        <f t="shared" si="5"/>
        <v>139</v>
      </c>
      <c r="D142" s="8">
        <f>IF((B142&gt;B141), (EXP(-LN(2)/inputs!$C$51)*D141+$D$3), (EXP(-LN(2)/inputs!$C$51)*D141))</f>
        <v>9.1705392565104667E-6</v>
      </c>
      <c r="E142" s="8">
        <f>IF((B142&gt;B141), (EXP(-LN(2)/inputs!$C$51)*E141+$E$3), (EXP(-LN(2)/inputs!$C$51)*E141))</f>
        <v>4.2031638259006249E-6</v>
      </c>
      <c r="F142" s="8">
        <f>IF((B142&gt;B141), (EXP(-LN(2)/inputs!$C$51)*F141+$F$3), (EXP(-LN(2)/inputs!$C$51)*F141))</f>
        <v>5.1584283317871325E-6</v>
      </c>
      <c r="G142" s="8">
        <f>IF((B142&gt;B141), (EXP(-LN(2)/inputs!$C$51)*G141+$G$3), (EXP(-LN(2)/inputs!$C$51)*G141))</f>
        <v>5.7315870353190417E-7</v>
      </c>
      <c r="H142" s="8">
        <f>IF((B142&gt;B141), (EXP(-LN(2)/inputs!$C$51)*H141+$H$3), (EXP(-LN(2)/inputs!$C$51)*H141))</f>
        <v>3.5917945421332582E-6</v>
      </c>
      <c r="I142" s="7">
        <f>O142*(10^inputs!$C$55)*0.01/1</f>
        <v>3.3432338452568193</v>
      </c>
      <c r="J142" s="7">
        <f>(((0.621*15^0.564)/0.2))*D142/15+J141*inputs!$C$53</f>
        <v>9.8680930502842926E-6</v>
      </c>
      <c r="K142" s="7">
        <f>(((0.621*1000^0.564)/0.2))*D142/1000+K141*inputs!$C$53</f>
        <v>1.581280898988087E-6</v>
      </c>
      <c r="L142" s="7">
        <f>(((0.648*20^0.651)/0.2))*H142/20+L141*inputs!$C$54</f>
        <v>5.4102560257042509E-6</v>
      </c>
      <c r="M142" s="7">
        <f>(((0.013*2^0.773)/0.2))*H142/2+M141*inputs!$C$54</f>
        <v>2.6382249506884852E-7</v>
      </c>
      <c r="N142" s="7">
        <f>O142*0.015*inputs!$C$56</f>
        <v>0.49118657571159419</v>
      </c>
      <c r="O142" s="7">
        <f>IF((B142&gt;B141), (EXP(-LN(2)/inputs!$C$52)*O141+$O$3), (EXP(-LN(2)/inputs!$C$52)*O141))</f>
        <v>5.29866856215312E-2</v>
      </c>
      <c r="P142" s="3">
        <f>IF((B142&gt;B141), (EXP(-LN(2)/inputs!$C$52)*P141+$P$3), (EXP(-LN(2)/inputs!$C$52)*P141))</f>
        <v>5.120129508416383E-2</v>
      </c>
      <c r="Q142" s="19">
        <f>IF((F142*0.62*1/(0.012*(10^inputs!$C$55)))&gt;inputs!$C$57, inputs!$C$57, (F142*0.62*1/(0.012*(10^inputs!$C$55))))</f>
        <v>4.2240382725381105E-8</v>
      </c>
      <c r="R142" s="3">
        <f>IF((B142&gt;B141), (EXP(-LN(2)/inputs!$C$51)*R141+$R$3), (EXP(-LN(2)/inputs!$C$51)*R141))</f>
        <v>9.8143168838625239E-14</v>
      </c>
      <c r="T142" s="7">
        <f>IF(T141&lt;(inputs!$C$20-1),(1+T141),0)</f>
        <v>0</v>
      </c>
      <c r="U142" s="7">
        <f>IF(inputs!$C$19&gt;U141,IF(T141=(inputs!$C$20-1),(U141+1),U141), U141)</f>
        <v>1</v>
      </c>
      <c r="V142" s="7">
        <f t="shared" si="4"/>
        <v>139</v>
      </c>
      <c r="W142" s="8">
        <f>IF((U142&gt;U141), (EXP(-LN(2)/inputs!$C$51)*W141+$W$3), (EXP(-LN(2)/inputs!$C$51)*W141))</f>
        <v>3.2478993200141183E-6</v>
      </c>
      <c r="X142" s="8">
        <f>IF((U142&gt;U141), (EXP(-LN(2)/inputs!$C$51)*X141+$X$3), (EXP(-LN(2)/inputs!$C$51)*X141))</f>
        <v>1.3755808884765676E-6</v>
      </c>
      <c r="Y142" s="8">
        <f>IF((U142&gt;U141), (EXP(-LN(2)/inputs!$C$51)*Y141+$Y$3), (EXP(-LN(2)/inputs!$C$51)*Y141))</f>
        <v>1.7194761105957115E-6</v>
      </c>
      <c r="Z142" s="8">
        <f>IF((U142&gt;U141), (EXP(-LN(2)/inputs!$C$51)*Z141+$Z$3), (EXP(-LN(2)/inputs!$C$51)*Z141))</f>
        <v>2.6747406164822141E-7</v>
      </c>
      <c r="AA142" s="8">
        <f>IF((U142&gt;U141), (EXP(-LN(2)/inputs!$C$51)*AA141+$AA$3), (EXP(-LN(2)/inputs!$C$51)*AA141))</f>
        <v>2.483687715304915E-6</v>
      </c>
      <c r="AB142" s="7">
        <f>(((0.621*15^0.564)/0.2))*W142/15+AB141*inputs!$C$53</f>
        <v>3.4949496219756808E-6</v>
      </c>
      <c r="AC142" s="7">
        <f>(((0.621*1000^0.564)/0.2))*W142/1000+AC141*inputs!$C$53</f>
        <v>5.6003698505827984E-7</v>
      </c>
      <c r="AD142" s="7">
        <f>(((0.648*20^0.651)/0.2))*AA142/20+AD141*inputs!$C$54</f>
        <v>3.741134485859326E-6</v>
      </c>
      <c r="AE142" s="7">
        <f>(((0.013*2^0.773)/0.2))*AA142/2+AE141*inputs!$C$54</f>
        <v>1.8243044871782099E-7</v>
      </c>
    </row>
    <row r="143" spans="1:31" x14ac:dyDescent="0.3">
      <c r="A143" s="7">
        <f>IF(A142&lt;(inputs!$C$20-1),(1+A142),0)</f>
        <v>0</v>
      </c>
      <c r="B143" s="7">
        <f>IF(inputs!$C$19&gt;B142,IF(A142=(inputs!$C$20-1),(B142+1),B142), B142)</f>
        <v>1</v>
      </c>
      <c r="C143" s="7">
        <f t="shared" si="5"/>
        <v>140</v>
      </c>
      <c r="D143" s="8">
        <f>IF((B143&gt;B142), (EXP(-LN(2)/inputs!$C$51)*D142+$D$3), (EXP(-LN(2)/inputs!$C$51)*D142))</f>
        <v>8.0463100240844639E-6</v>
      </c>
      <c r="E143" s="8">
        <f>IF((B143&gt;B142), (EXP(-LN(2)/inputs!$C$51)*E142+$E$3), (EXP(-LN(2)/inputs!$C$51)*E142))</f>
        <v>3.6878920943720412E-6</v>
      </c>
      <c r="F143" s="8">
        <f>IF((B143&gt;B142), (EXP(-LN(2)/inputs!$C$51)*F142+$F$3), (EXP(-LN(2)/inputs!$C$51)*F142))</f>
        <v>4.5260493885475072E-6</v>
      </c>
      <c r="G143" s="8">
        <f>IF((B143&gt;B142), (EXP(-LN(2)/inputs!$C$51)*G142+$G$3), (EXP(-LN(2)/inputs!$C$51)*G142))</f>
        <v>5.0289437650527899E-7</v>
      </c>
      <c r="H143" s="8">
        <f>IF((B143&gt;B142), (EXP(-LN(2)/inputs!$C$51)*H142+$H$3), (EXP(-LN(2)/inputs!$C$51)*H142))</f>
        <v>3.1514714260997417E-6</v>
      </c>
      <c r="I143" s="7">
        <f>O143*(10^inputs!$C$55)*0.01/1</f>
        <v>3.2757664555347823</v>
      </c>
      <c r="J143" s="7">
        <f>(((0.621*15^0.564)/0.2))*D143/15+J142*inputs!$C$53</f>
        <v>8.6583497227527636E-6</v>
      </c>
      <c r="K143" s="7">
        <f>(((0.621*1000^0.564)/0.2))*D143/1000+K142*inputs!$C$53</f>
        <v>1.3874294621647602E-6</v>
      </c>
      <c r="L143" s="7">
        <f>(((0.648*20^0.651)/0.2))*H143/20+L142*inputs!$C$54</f>
        <v>4.7470051732870854E-6</v>
      </c>
      <c r="M143" s="7">
        <f>(((0.013*2^0.773)/0.2))*H143/2+M142*inputs!$C$54</f>
        <v>2.3148012644342663E-7</v>
      </c>
      <c r="N143" s="7">
        <f>O143*0.015*inputs!$C$56</f>
        <v>0.48127429387202653</v>
      </c>
      <c r="O143" s="7">
        <f>IF((B143&gt;B142), (EXP(-LN(2)/inputs!$C$52)*O142+$O$3), (EXP(-LN(2)/inputs!$C$52)*O142))</f>
        <v>5.1917399554695425E-2</v>
      </c>
      <c r="P143" s="3">
        <f>IF((B143&gt;B142), (EXP(-LN(2)/inputs!$C$52)*P142+$P$3), (EXP(-LN(2)/inputs!$C$52)*P142))</f>
        <v>5.0168038695408E-2</v>
      </c>
      <c r="Q143" s="19">
        <f>IF((F143*0.62*1/(0.012*(10^inputs!$C$55)))&gt;inputs!$C$57, inputs!$C$57, (F143*0.62*1/(0.012*(10^inputs!$C$55))))</f>
        <v>3.7062075134033897E-8</v>
      </c>
      <c r="R143" s="3">
        <f>IF((B143&gt;B142), (EXP(-LN(2)/inputs!$C$51)*R142+$R$3), (EXP(-LN(2)/inputs!$C$51)*R142))</f>
        <v>8.6111660517784408E-14</v>
      </c>
      <c r="T143" s="7">
        <f>IF(T142&lt;(inputs!$C$20-1),(1+T142),0)</f>
        <v>0</v>
      </c>
      <c r="U143" s="7">
        <f>IF(inputs!$C$19&gt;U142,IF(T142=(inputs!$C$20-1),(U142+1),U142), U142)</f>
        <v>1</v>
      </c>
      <c r="V143" s="7">
        <f t="shared" si="4"/>
        <v>140</v>
      </c>
      <c r="W143" s="8">
        <f>IF((U143&gt;U142), (EXP(-LN(2)/inputs!$C$51)*W142+$W$3), (EXP(-LN(2)/inputs!$C$51)*W142))</f>
        <v>2.8497348001965765E-6</v>
      </c>
      <c r="X143" s="8">
        <f>IF((U143&gt;U142), (EXP(-LN(2)/inputs!$C$51)*X142+$X$3), (EXP(-LN(2)/inputs!$C$51)*X142))</f>
        <v>1.2069465036126675E-6</v>
      </c>
      <c r="Y143" s="8">
        <f>IF((U143&gt;U142), (EXP(-LN(2)/inputs!$C$51)*Y142+$Y$3), (EXP(-LN(2)/inputs!$C$51)*Y142))</f>
        <v>1.5086831295158362E-6</v>
      </c>
      <c r="Z143" s="8">
        <f>IF((U143&gt;U142), (EXP(-LN(2)/inputs!$C$51)*Z142+$Z$3), (EXP(-LN(2)/inputs!$C$51)*Z142))</f>
        <v>2.3468404236912974E-7</v>
      </c>
      <c r="AA143" s="8">
        <f>IF((U143&gt;U142), (EXP(-LN(2)/inputs!$C$51)*AA142+$AA$3), (EXP(-LN(2)/inputs!$C$51)*AA142))</f>
        <v>2.1792089648562065E-6</v>
      </c>
      <c r="AB143" s="7">
        <f>(((0.621*15^0.564)/0.2))*W143/15+AB142*inputs!$C$53</f>
        <v>3.0664988601415988E-6</v>
      </c>
      <c r="AC143" s="7">
        <f>(((0.621*1000^0.564)/0.2))*W143/1000+AC142*inputs!$C$53</f>
        <v>4.9138126785001841E-7</v>
      </c>
      <c r="AD143" s="7">
        <f>(((0.648*20^0.651)/0.2))*AA143/20+AD142*inputs!$C$54</f>
        <v>3.2825035772729882E-6</v>
      </c>
      <c r="AE143" s="7">
        <f>(((0.013*2^0.773)/0.2))*AA143/2+AE142*inputs!$C$54</f>
        <v>1.6006604488109302E-7</v>
      </c>
    </row>
    <row r="144" spans="1:31" x14ac:dyDescent="0.3">
      <c r="A144" s="7">
        <f>IF(A143&lt;(inputs!$C$20-1),(1+A143),0)</f>
        <v>0</v>
      </c>
      <c r="B144" s="7">
        <f>IF(inputs!$C$19&gt;B143,IF(A143=(inputs!$C$20-1),(B143+1),B143), B143)</f>
        <v>1</v>
      </c>
      <c r="C144" s="7">
        <f t="shared" si="5"/>
        <v>141</v>
      </c>
      <c r="D144" s="8">
        <f>IF((B144&gt;B143), (EXP(-LN(2)/inputs!$C$51)*D143+$D$3), (EXP(-LN(2)/inputs!$C$51)*D143))</f>
        <v>7.0599016254926202E-6</v>
      </c>
      <c r="E144" s="8">
        <f>IF((B144&gt;B143), (EXP(-LN(2)/inputs!$C$51)*E143+$E$3), (EXP(-LN(2)/inputs!$C$51)*E143))</f>
        <v>3.2357882450174468E-6</v>
      </c>
      <c r="F144" s="8">
        <f>IF((B144&gt;B143), (EXP(-LN(2)/inputs!$C$51)*F143+$F$3), (EXP(-LN(2)/inputs!$C$51)*F143))</f>
        <v>3.9711946643395962E-6</v>
      </c>
      <c r="G144" s="8">
        <f>IF((B144&gt;B143), (EXP(-LN(2)/inputs!$C$51)*G143+$G$3), (EXP(-LN(2)/inputs!$C$51)*G143))</f>
        <v>4.4124385159328876E-7</v>
      </c>
      <c r="H144" s="8">
        <f>IF((B144&gt;B143), (EXP(-LN(2)/inputs!$C$51)*H143+$H$3), (EXP(-LN(2)/inputs!$C$51)*H143))</f>
        <v>2.7651281366512705E-6</v>
      </c>
      <c r="I144" s="7">
        <f>O144*(10^inputs!$C$55)*0.01/1</f>
        <v>3.2096605765196204</v>
      </c>
      <c r="J144" s="7">
        <f>(((0.621*15^0.564)/0.2))*D144/15+J143*inputs!$C$53</f>
        <v>7.5969105215655745E-6</v>
      </c>
      <c r="K144" s="7">
        <f>(((0.621*1000^0.564)/0.2))*D144/1000+K143*inputs!$C$53</f>
        <v>1.2173425440822314E-6</v>
      </c>
      <c r="L144" s="7">
        <f>(((0.648*20^0.651)/0.2))*H144/20+L143*inputs!$C$54</f>
        <v>4.1650631704219776E-6</v>
      </c>
      <c r="M144" s="7">
        <f>(((0.013*2^0.773)/0.2))*H144/2+M143*inputs!$C$54</f>
        <v>2.0310265401849624E-7</v>
      </c>
      <c r="N144" s="7">
        <f>O144*0.015*inputs!$C$56</f>
        <v>0.4715620446394671</v>
      </c>
      <c r="O144" s="7">
        <f>IF((B144&gt;B143), (EXP(-LN(2)/inputs!$C$52)*O143+$O$3), (EXP(-LN(2)/inputs!$C$52)*O143))</f>
        <v>5.0869691978367541E-2</v>
      </c>
      <c r="P144" s="3">
        <f>IF((B144&gt;B143), (EXP(-LN(2)/inputs!$C$52)*P143+$P$3), (EXP(-LN(2)/inputs!$C$52)*P143))</f>
        <v>4.9155633708226093E-2</v>
      </c>
      <c r="Q144" s="19">
        <f>IF((F144*0.62*1/(0.012*(10^inputs!$C$55)))&gt;inputs!$C$57, inputs!$C$57, (F144*0.62*1/(0.012*(10^inputs!$C$55))))</f>
        <v>3.2518583512156868E-8</v>
      </c>
      <c r="R144" s="3">
        <f>IF((B144&gt;B143), (EXP(-LN(2)/inputs!$C$51)*R143+$R$3), (EXP(-LN(2)/inputs!$C$51)*R143))</f>
        <v>7.5555111628022099E-14</v>
      </c>
      <c r="T144" s="7">
        <f>IF(T143&lt;(inputs!$C$20-1),(1+T143),0)</f>
        <v>0</v>
      </c>
      <c r="U144" s="7">
        <f>IF(inputs!$C$19&gt;U143,IF(T143=(inputs!$C$20-1),(U143+1),U143), U143)</f>
        <v>1</v>
      </c>
      <c r="V144" s="7">
        <f t="shared" si="4"/>
        <v>141</v>
      </c>
      <c r="W144" s="8">
        <f>IF((U144&gt;U143), (EXP(-LN(2)/inputs!$C$51)*W143+$W$3), (EXP(-LN(2)/inputs!$C$51)*W143))</f>
        <v>2.5003818256952991E-6</v>
      </c>
      <c r="X144" s="8">
        <f>IF((U144&gt;U143), (EXP(-LN(2)/inputs!$C$51)*X143+$X$3), (EXP(-LN(2)/inputs!$C$51)*X143))</f>
        <v>1.0589852438238913E-6</v>
      </c>
      <c r="Y144" s="8">
        <f>IF((U144&gt;U143), (EXP(-LN(2)/inputs!$C$51)*Y143+$Y$3), (EXP(-LN(2)/inputs!$C$51)*Y143))</f>
        <v>1.3237315547798658E-6</v>
      </c>
      <c r="Z144" s="8">
        <f>IF((U144&gt;U143), (EXP(-LN(2)/inputs!$C$51)*Z143+$Z$3), (EXP(-LN(2)/inputs!$C$51)*Z143))</f>
        <v>2.0591379741020104E-7</v>
      </c>
      <c r="AA144" s="8">
        <f>IF((U144&gt;U143), (EXP(-LN(2)/inputs!$C$51)*AA143+$AA$3), (EXP(-LN(2)/inputs!$C$51)*AA143))</f>
        <v>1.9120566902375827E-6</v>
      </c>
      <c r="AB144" s="7">
        <f>(((0.621*15^0.564)/0.2))*W144/15+AB143*inputs!$C$53</f>
        <v>2.6905724763878037E-6</v>
      </c>
      <c r="AC144" s="7">
        <f>(((0.621*1000^0.564)/0.2))*W144/1000+AC143*inputs!$C$53</f>
        <v>4.3114215102912301E-7</v>
      </c>
      <c r="AD144" s="7">
        <f>(((0.648*20^0.651)/0.2))*AA144/20+AD143*inputs!$C$54</f>
        <v>2.8800968731641361E-6</v>
      </c>
      <c r="AE144" s="7">
        <f>(((0.013*2^0.773)/0.2))*AA144/2+AE143*inputs!$C$54</f>
        <v>1.4044332458725818E-7</v>
      </c>
    </row>
    <row r="145" spans="1:31" x14ac:dyDescent="0.3">
      <c r="A145" s="7">
        <f>IF(A144&lt;(inputs!$C$20-1),(1+A144),0)</f>
        <v>0</v>
      </c>
      <c r="B145" s="7">
        <f>IF(inputs!$C$19&gt;B144,IF(A144=(inputs!$C$20-1),(B144+1),B144), B144)</f>
        <v>1</v>
      </c>
      <c r="C145" s="7">
        <f t="shared" si="5"/>
        <v>142</v>
      </c>
      <c r="D145" s="8">
        <f>IF((B145&gt;B144), (EXP(-LN(2)/inputs!$C$51)*D144+$D$3), (EXP(-LN(2)/inputs!$C$51)*D144))</f>
        <v>6.1944184119732022E-6</v>
      </c>
      <c r="E145" s="8">
        <f>IF((B145&gt;B144), (EXP(-LN(2)/inputs!$C$51)*E144+$E$3), (EXP(-LN(2)/inputs!$C$51)*E144))</f>
        <v>2.8391084388210472E-6</v>
      </c>
      <c r="F145" s="8">
        <f>IF((B145&gt;B144), (EXP(-LN(2)/inputs!$C$51)*F144+$F$3), (EXP(-LN(2)/inputs!$C$51)*F144))</f>
        <v>3.4843603567349237E-6</v>
      </c>
      <c r="G145" s="8">
        <f>IF((B145&gt;B144), (EXP(-LN(2)/inputs!$C$51)*G144+$G$3), (EXP(-LN(2)/inputs!$C$51)*G144))</f>
        <v>3.8715115074832514E-7</v>
      </c>
      <c r="H145" s="8">
        <f>IF((B145&gt;B144), (EXP(-LN(2)/inputs!$C$51)*H144+$H$3), (EXP(-LN(2)/inputs!$C$51)*H144))</f>
        <v>2.4261472113561657E-6</v>
      </c>
      <c r="I145" s="7">
        <f>O145*(10^inputs!$C$55)*0.01/1</f>
        <v>3.1448887325462369</v>
      </c>
      <c r="J145" s="7">
        <f>(((0.621*15^0.564)/0.2))*D145/15+J144*inputs!$C$53</f>
        <v>6.665594636471316E-6</v>
      </c>
      <c r="K145" s="7">
        <f>(((0.621*1000^0.564)/0.2))*D145/1000+K144*inputs!$C$53</f>
        <v>1.0681068191534612E-6</v>
      </c>
      <c r="L145" s="7">
        <f>(((0.648*20^0.651)/0.2))*H145/20+L144*inputs!$C$54</f>
        <v>3.6544622515321682E-6</v>
      </c>
      <c r="M145" s="7">
        <f>(((0.013*2^0.773)/0.2))*H145/2+M144*inputs!$C$54</f>
        <v>1.7820401562394422E-7</v>
      </c>
      <c r="N145" s="7">
        <f>O145*0.015*inputs!$C$56</f>
        <v>0.46204579130021922</v>
      </c>
      <c r="O145" s="7">
        <f>IF((B145&gt;B144), (EXP(-LN(2)/inputs!$C$52)*O144+$O$3), (EXP(-LN(2)/inputs!$C$52)*O144))</f>
        <v>4.9843127432601858E-2</v>
      </c>
      <c r="P145" s="3">
        <f>IF((B145&gt;B144), (EXP(-LN(2)/inputs!$C$52)*P144+$P$3), (EXP(-LN(2)/inputs!$C$52)*P144))</f>
        <v>4.8163659335529511E-2</v>
      </c>
      <c r="Q145" s="19">
        <f>IF((F145*0.62*1/(0.012*(10^inputs!$C$55)))&gt;inputs!$C$57, inputs!$C$57, (F145*0.62*1/(0.012*(10^inputs!$C$55))))</f>
        <v>2.8532084882264516E-8</v>
      </c>
      <c r="R145" s="3">
        <f>IF((B145&gt;B144), (EXP(-LN(2)/inputs!$C$51)*R144+$R$3), (EXP(-LN(2)/inputs!$C$51)*R144))</f>
        <v>6.6292704829956261E-14</v>
      </c>
      <c r="T145" s="7">
        <f>IF(T144&lt;(inputs!$C$20-1),(1+T144),0)</f>
        <v>0</v>
      </c>
      <c r="U145" s="7">
        <f>IF(inputs!$C$19&gt;U144,IF(T144=(inputs!$C$20-1),(U144+1),U144), U144)</f>
        <v>1</v>
      </c>
      <c r="V145" s="7">
        <f t="shared" si="4"/>
        <v>142</v>
      </c>
      <c r="W145" s="8">
        <f>IF((U145&gt;U144), (EXP(-LN(2)/inputs!$C$51)*W144+$W$3), (EXP(-LN(2)/inputs!$C$51)*W144))</f>
        <v>2.1938565209071724E-6</v>
      </c>
      <c r="X145" s="8">
        <f>IF((U145&gt;U144), (EXP(-LN(2)/inputs!$C$51)*X144+$X$3), (EXP(-LN(2)/inputs!$C$51)*X144))</f>
        <v>9.2916276179597883E-7</v>
      </c>
      <c r="Y145" s="8">
        <f>IF((U145&gt;U144), (EXP(-LN(2)/inputs!$C$51)*Y144+$Y$3), (EXP(-LN(2)/inputs!$C$51)*Y144))</f>
        <v>1.161453452244975E-6</v>
      </c>
      <c r="Z145" s="8">
        <f>IF((U145&gt;U144), (EXP(-LN(2)/inputs!$C$51)*Z144+$Z$3), (EXP(-LN(2)/inputs!$C$51)*Z144))</f>
        <v>1.8067053701588473E-7</v>
      </c>
      <c r="AA145" s="8">
        <f>IF((U145&gt;U144), (EXP(-LN(2)/inputs!$C$51)*AA144+$AA$3), (EXP(-LN(2)/inputs!$C$51)*AA144))</f>
        <v>1.6776549865760739E-6</v>
      </c>
      <c r="AB145" s="7">
        <f>(((0.621*15^0.564)/0.2))*W145/15+AB144*inputs!$C$53</f>
        <v>2.360731433750254E-6</v>
      </c>
      <c r="AC145" s="7">
        <f>(((0.621*1000^0.564)/0.2))*W145/1000+AC144*inputs!$C$53</f>
        <v>3.7828783178351697E-7</v>
      </c>
      <c r="AD145" s="7">
        <f>(((0.648*20^0.651)/0.2))*AA145/20+AD144*inputs!$C$54</f>
        <v>2.5270217696765017E-6</v>
      </c>
      <c r="AE145" s="7">
        <f>(((0.013*2^0.773)/0.2))*AA145/2+AE144*inputs!$C$54</f>
        <v>1.2322618101655731E-7</v>
      </c>
    </row>
    <row r="146" spans="1:31" x14ac:dyDescent="0.3">
      <c r="A146" s="7">
        <f>IF(A145&lt;(inputs!$C$20-1),(1+A145),0)</f>
        <v>0</v>
      </c>
      <c r="B146" s="7">
        <f>IF(inputs!$C$19&gt;B145,IF(A145=(inputs!$C$20-1),(B145+1),B145), B145)</f>
        <v>1</v>
      </c>
      <c r="C146" s="7">
        <f t="shared" si="5"/>
        <v>143</v>
      </c>
      <c r="D146" s="8">
        <f>IF((B146&gt;B145), (EXP(-LN(2)/inputs!$C$51)*D145+$D$3), (EXP(-LN(2)/inputs!$C$51)*D145))</f>
        <v>5.4350359959746891E-6</v>
      </c>
      <c r="E146" s="8">
        <f>IF((B146&gt;B145), (EXP(-LN(2)/inputs!$C$51)*E145+$E$3), (EXP(-LN(2)/inputs!$C$51)*E145))</f>
        <v>2.4910581648217291E-6</v>
      </c>
      <c r="F146" s="8">
        <f>IF((B146&gt;B145), (EXP(-LN(2)/inputs!$C$51)*F145+$F$3), (EXP(-LN(2)/inputs!$C$51)*F145))</f>
        <v>3.0572077477357603E-6</v>
      </c>
      <c r="G146" s="8">
        <f>IF((B146&gt;B145), (EXP(-LN(2)/inputs!$C$51)*G145+$G$3), (EXP(-LN(2)/inputs!$C$51)*G145))</f>
        <v>3.3968974974841807E-7</v>
      </c>
      <c r="H146" s="8">
        <f>IF((B146&gt;B145), (EXP(-LN(2)/inputs!$C$51)*H145+$H$3), (EXP(-LN(2)/inputs!$C$51)*H145))</f>
        <v>2.1287224317567488E-6</v>
      </c>
      <c r="I146" s="7">
        <f>O146*(10^inputs!$C$55)*0.01/1</f>
        <v>3.081424002416107</v>
      </c>
      <c r="J146" s="7">
        <f>(((0.621*15^0.564)/0.2))*D146/15+J145*inputs!$C$53</f>
        <v>5.8484500681731078E-6</v>
      </c>
      <c r="K146" s="7">
        <f>(((0.621*1000^0.564)/0.2))*D146/1000+K145*inputs!$C$53</f>
        <v>9.3716611044940243E-7</v>
      </c>
      <c r="L146" s="7">
        <f>(((0.648*20^0.651)/0.2))*H146/20+L145*inputs!$C$54</f>
        <v>3.2064566133628445E-6</v>
      </c>
      <c r="M146" s="7">
        <f>(((0.013*2^0.773)/0.2))*H146/2+M145*inputs!$C$54</f>
        <v>1.5635773613084806E-7</v>
      </c>
      <c r="N146" s="7">
        <f>O146*0.015*inputs!$C$56</f>
        <v>0.45272157860259249</v>
      </c>
      <c r="O146" s="7">
        <f>IF((B146&gt;B145), (EXP(-LN(2)/inputs!$C$52)*O145+$O$3), (EXP(-LN(2)/inputs!$C$52)*O145))</f>
        <v>4.8837279245155608E-2</v>
      </c>
      <c r="P146" s="3">
        <f>IF((B146&gt;B145), (EXP(-LN(2)/inputs!$C$52)*P145+$P$3), (EXP(-LN(2)/inputs!$C$52)*P145))</f>
        <v>4.7191703281830255E-2</v>
      </c>
      <c r="Q146" s="19">
        <f>IF((F146*0.62*1/(0.012*(10^inputs!$C$55)))&gt;inputs!$C$57, inputs!$C$57, (F146*0.62*1/(0.012*(10^inputs!$C$55))))</f>
        <v>2.5034296694516502E-8</v>
      </c>
      <c r="R146" s="3">
        <f>IF((B146&gt;B145), (EXP(-LN(2)/inputs!$C$51)*R145+$R$3), (EXP(-LN(2)/inputs!$C$51)*R145))</f>
        <v>5.8165789434712165E-14</v>
      </c>
      <c r="T146" s="7">
        <f>IF(T145&lt;(inputs!$C$20-1),(1+T145),0)</f>
        <v>0</v>
      </c>
      <c r="U146" s="7">
        <f>IF(inputs!$C$19&gt;U145,IF(T145=(inputs!$C$20-1),(U145+1),U145), U145)</f>
        <v>1</v>
      </c>
      <c r="V146" s="7">
        <f t="shared" si="4"/>
        <v>143</v>
      </c>
      <c r="W146" s="8">
        <f>IF((U146&gt;U145), (EXP(-LN(2)/inputs!$C$51)*W145+$W$3), (EXP(-LN(2)/inputs!$C$51)*W145))</f>
        <v>1.9249085819076992E-6</v>
      </c>
      <c r="X146" s="8">
        <f>IF((U146&gt;U145), (EXP(-LN(2)/inputs!$C$51)*X145+$X$3), (EXP(-LN(2)/inputs!$C$51)*X145))</f>
        <v>8.1525539939620204E-7</v>
      </c>
      <c r="Y146" s="8">
        <f>IF((U146&gt;U145), (EXP(-LN(2)/inputs!$C$51)*Y145+$Y$3), (EXP(-LN(2)/inputs!$C$51)*Y145))</f>
        <v>1.0190692492452538E-6</v>
      </c>
      <c r="Z146" s="8">
        <f>IF((U146&gt;U145), (EXP(-LN(2)/inputs!$C$51)*Z145+$Z$3), (EXP(-LN(2)/inputs!$C$51)*Z145))</f>
        <v>1.5852188321592815E-7</v>
      </c>
      <c r="AA146" s="8">
        <f>IF((U146&gt;U145), (EXP(-LN(2)/inputs!$C$51)*AA145+$AA$3), (EXP(-LN(2)/inputs!$C$51)*AA145))</f>
        <v>1.4719889155764768E-6</v>
      </c>
      <c r="AB146" s="7">
        <f>(((0.621*15^0.564)/0.2))*W146/15+AB145*inputs!$C$53</f>
        <v>2.0713260658113055E-6</v>
      </c>
      <c r="AC146" s="7">
        <f>(((0.621*1000^0.564)/0.2))*W146/1000+AC145*inputs!$C$53</f>
        <v>3.3191299745082956E-7</v>
      </c>
      <c r="AD146" s="7">
        <f>(((0.648*20^0.651)/0.2))*AA146/20+AD145*inputs!$C$54</f>
        <v>2.2172306368998415E-6</v>
      </c>
      <c r="AE146" s="7">
        <f>(((0.013*2^0.773)/0.2))*AA146/2+AE145*inputs!$C$54</f>
        <v>1.0811971115430995E-7</v>
      </c>
    </row>
    <row r="147" spans="1:31" x14ac:dyDescent="0.3">
      <c r="A147" s="7">
        <f>IF(A146&lt;(inputs!$C$20-1),(1+A146),0)</f>
        <v>0</v>
      </c>
      <c r="B147" s="7">
        <f>IF(inputs!$C$19&gt;B146,IF(A146=(inputs!$C$20-1),(B146+1),B146), B146)</f>
        <v>1</v>
      </c>
      <c r="C147" s="7">
        <f t="shared" si="5"/>
        <v>144</v>
      </c>
      <c r="D147" s="8">
        <f>IF((B147&gt;B146), (EXP(-LN(2)/inputs!$C$51)*D146+$D$3), (EXP(-LN(2)/inputs!$C$51)*D146))</f>
        <v>4.7687473323473605E-6</v>
      </c>
      <c r="E147" s="8">
        <f>IF((B147&gt;B146), (EXP(-LN(2)/inputs!$C$51)*E146+$E$3), (EXP(-LN(2)/inputs!$C$51)*E146))</f>
        <v>2.185675860659204E-6</v>
      </c>
      <c r="F147" s="8">
        <f>IF((B147&gt;B146), (EXP(-LN(2)/inputs!$C$51)*F146+$F$3), (EXP(-LN(2)/inputs!$C$51)*F146))</f>
        <v>2.6824203744453881E-6</v>
      </c>
      <c r="G147" s="8">
        <f>IF((B147&gt;B146), (EXP(-LN(2)/inputs!$C$51)*G146+$G$3), (EXP(-LN(2)/inputs!$C$51)*G146))</f>
        <v>2.9804670827171003E-7</v>
      </c>
      <c r="H147" s="8">
        <f>IF((B147&gt;B146), (EXP(-LN(2)/inputs!$C$51)*H146+$H$3), (EXP(-LN(2)/inputs!$C$51)*H146))</f>
        <v>1.8677593718360455E-6</v>
      </c>
      <c r="I147" s="7">
        <f>O147*(10^inputs!$C$55)*0.01/1</f>
        <v>3.0192400082079849</v>
      </c>
      <c r="J147" s="7">
        <f>(((0.621*15^0.564)/0.2))*D147/15+J146*inputs!$C$53</f>
        <v>5.1314803952766918E-6</v>
      </c>
      <c r="K147" s="7">
        <f>(((0.621*1000^0.564)/0.2))*D147/1000+K146*inputs!$C$53</f>
        <v>8.2227760634554447E-7</v>
      </c>
      <c r="L147" s="7">
        <f>(((0.648*20^0.651)/0.2))*H147/20+L146*inputs!$C$54</f>
        <v>2.8133726129111777E-6</v>
      </c>
      <c r="M147" s="7">
        <f>(((0.013*2^0.773)/0.2))*H147/2+M146*inputs!$C$54</f>
        <v>1.3718962259276388E-7</v>
      </c>
      <c r="N147" s="7">
        <f>O147*0.015*inputs!$C$56</f>
        <v>0.44358553111297672</v>
      </c>
      <c r="O147" s="7">
        <f>IF((B147&gt;B146), (EXP(-LN(2)/inputs!$C$52)*O146+$O$3), (EXP(-LN(2)/inputs!$C$52)*O146))</f>
        <v>4.785172935415067E-2</v>
      </c>
      <c r="P147" s="3">
        <f>IF((B147&gt;B146), (EXP(-LN(2)/inputs!$C$52)*P146+$P$3), (EXP(-LN(2)/inputs!$C$52)*P146))</f>
        <v>4.6239361571878045E-2</v>
      </c>
      <c r="Q147" s="19">
        <f>IF((F147*0.62*1/(0.012*(10^inputs!$C$55)))&gt;inputs!$C$57, inputs!$C$57, (F147*0.62*1/(0.012*(10^inputs!$C$55))))</f>
        <v>2.1965307252350323E-8</v>
      </c>
      <c r="R147" s="3">
        <f>IF((B147&gt;B146), (EXP(-LN(2)/inputs!$C$51)*R146+$R$3), (EXP(-LN(2)/inputs!$C$51)*R146))</f>
        <v>5.103516396323673E-14</v>
      </c>
      <c r="T147" s="7">
        <f>IF(T146&lt;(inputs!$C$20-1),(1+T146),0)</f>
        <v>0</v>
      </c>
      <c r="U147" s="7">
        <f>IF(inputs!$C$19&gt;U146,IF(T146=(inputs!$C$20-1),(U146+1),U146), U146)</f>
        <v>1</v>
      </c>
      <c r="V147" s="7">
        <f t="shared" si="4"/>
        <v>144</v>
      </c>
      <c r="W147" s="8">
        <f>IF((U147&gt;U146), (EXP(-LN(2)/inputs!$C$51)*W146+$W$3), (EXP(-LN(2)/inputs!$C$51)*W146))</f>
        <v>1.6889313468730206E-6</v>
      </c>
      <c r="X147" s="8">
        <f>IF((U147&gt;U146), (EXP(-LN(2)/inputs!$C$51)*X146+$X$3), (EXP(-LN(2)/inputs!$C$51)*X146))</f>
        <v>7.1531209985210287E-7</v>
      </c>
      <c r="Y147" s="8">
        <f>IF((U147&gt;U146), (EXP(-LN(2)/inputs!$C$51)*Y146+$Y$3), (EXP(-LN(2)/inputs!$C$51)*Y146))</f>
        <v>8.9414012481512967E-7</v>
      </c>
      <c r="Z147" s="8">
        <f>IF((U147&gt;U146), (EXP(-LN(2)/inputs!$C$51)*Z146+$Z$3), (EXP(-LN(2)/inputs!$C$51)*Z146))</f>
        <v>1.3908846386013109E-7</v>
      </c>
      <c r="AA147" s="8">
        <f>IF((U147&gt;U146), (EXP(-LN(2)/inputs!$C$51)*AA146+$AA$3), (EXP(-LN(2)/inputs!$C$51)*AA146))</f>
        <v>1.2915357358440755E-6</v>
      </c>
      <c r="AB147" s="7">
        <f>(((0.621*15^0.564)/0.2))*W147/15+AB146*inputs!$C$53</f>
        <v>1.8173993066604917E-6</v>
      </c>
      <c r="AC147" s="7">
        <f>(((0.621*1000^0.564)/0.2))*W147/1000+AC146*inputs!$C$53</f>
        <v>2.9122331891404649E-7</v>
      </c>
      <c r="AD147" s="7">
        <f>(((0.648*20^0.651)/0.2))*AA147/20+AD146*inputs!$C$54</f>
        <v>1.9454172323321994E-6</v>
      </c>
      <c r="AE147" s="7">
        <f>(((0.013*2^0.773)/0.2))*AA147/2+AE146*inputs!$C$54</f>
        <v>9.4865164558826197E-8</v>
      </c>
    </row>
    <row r="148" spans="1:31" x14ac:dyDescent="0.3">
      <c r="A148" s="7">
        <f>IF(A147&lt;(inputs!$C$20-1),(1+A147),0)</f>
        <v>0</v>
      </c>
      <c r="B148" s="7">
        <f>IF(inputs!$C$19&gt;B147,IF(A147=(inputs!$C$20-1),(B147+1),B147), B147)</f>
        <v>1</v>
      </c>
      <c r="C148" s="7">
        <f t="shared" si="5"/>
        <v>145</v>
      </c>
      <c r="D148" s="8">
        <f>IF((B148&gt;B147), (EXP(-LN(2)/inputs!$C$51)*D147+$D$3), (EXP(-LN(2)/inputs!$C$51)*D147))</f>
        <v>4.1841399277967124E-6</v>
      </c>
      <c r="E148" s="8">
        <f>IF((B148&gt;B147), (EXP(-LN(2)/inputs!$C$51)*E147+$E$3), (EXP(-LN(2)/inputs!$C$51)*E147))</f>
        <v>1.9177308002401573E-6</v>
      </c>
      <c r="F148" s="8">
        <f>IF((B148&gt;B147), (EXP(-LN(2)/inputs!$C$51)*F147+$F$3), (EXP(-LN(2)/inputs!$C$51)*F147))</f>
        <v>2.3535787093856486E-6</v>
      </c>
      <c r="G148" s="8">
        <f>IF((B148&gt;B147), (EXP(-LN(2)/inputs!$C$51)*G147+$G$3), (EXP(-LN(2)/inputs!$C$51)*G147))</f>
        <v>2.6150874548729452E-7</v>
      </c>
      <c r="H148" s="8">
        <f>IF((B148&gt;B147), (EXP(-LN(2)/inputs!$C$51)*H147+$H$3), (EXP(-LN(2)/inputs!$C$51)*H147))</f>
        <v>1.638788138387042E-6</v>
      </c>
      <c r="I148" s="7">
        <f>O148*(10^inputs!$C$55)*0.01/1</f>
        <v>2.9583109043144198</v>
      </c>
      <c r="J148" s="7">
        <f>(((0.621*15^0.564)/0.2))*D148/15+J147*inputs!$C$53</f>
        <v>4.5024050372604853E-6</v>
      </c>
      <c r="K148" s="7">
        <f>(((0.621*1000^0.564)/0.2))*D148/1000+K147*inputs!$C$53</f>
        <v>7.2147344463099107E-7</v>
      </c>
      <c r="L148" s="7">
        <f>(((0.648*20^0.651)/0.2))*H148/20+L147*inputs!$C$54</f>
        <v>2.4684773298016222E-6</v>
      </c>
      <c r="M148" s="7">
        <f>(((0.013*2^0.773)/0.2))*H148/2+M147*inputs!$C$54</f>
        <v>1.2037135489986009E-7</v>
      </c>
      <c r="N148" s="7">
        <f>O148*0.015*inputs!$C$56</f>
        <v>0.43463385160509077</v>
      </c>
      <c r="O148" s="7">
        <f>IF((B148&gt;B147), (EXP(-LN(2)/inputs!$C$52)*O147+$O$3), (EXP(-LN(2)/inputs!$C$52)*O147))</f>
        <v>4.6886068134314E-2</v>
      </c>
      <c r="P148" s="3">
        <f>IF((B148&gt;B147), (EXP(-LN(2)/inputs!$C$52)*P147+$P$3), (EXP(-LN(2)/inputs!$C$52)*P147))</f>
        <v>4.5306238382755611E-2</v>
      </c>
      <c r="Q148" s="19">
        <f>IF((F148*0.62*1/(0.012*(10^inputs!$C$55)))&gt;inputs!$C$57, inputs!$C$57, (F148*0.62*1/(0.012*(10^inputs!$C$55))))</f>
        <v>1.9272549517871406E-8</v>
      </c>
      <c r="R148" s="3">
        <f>IF((B148&gt;B147), (EXP(-LN(2)/inputs!$C$51)*R147+$R$3), (EXP(-LN(2)/inputs!$C$51)*R147))</f>
        <v>4.4778691840466824E-14</v>
      </c>
      <c r="T148" s="7">
        <f>IF(T147&lt;(inputs!$C$20-1),(1+T147),0)</f>
        <v>0</v>
      </c>
      <c r="U148" s="7">
        <f>IF(inputs!$C$19&gt;U147,IF(T147=(inputs!$C$20-1),(U147+1),U147), U147)</f>
        <v>1</v>
      </c>
      <c r="V148" s="7">
        <f t="shared" si="4"/>
        <v>145</v>
      </c>
      <c r="W148" s="8">
        <f>IF((U148&gt;U147), (EXP(-LN(2)/inputs!$C$51)*W147+$W$3), (EXP(-LN(2)/inputs!$C$51)*W147))</f>
        <v>1.4818828910946663E-6</v>
      </c>
      <c r="X148" s="8">
        <f>IF((U148&gt;U147), (EXP(-LN(2)/inputs!$C$51)*X147+$X$3), (EXP(-LN(2)/inputs!$C$51)*X147))</f>
        <v>6.2762098916950574E-7</v>
      </c>
      <c r="Y148" s="8">
        <f>IF((U148&gt;U147), (EXP(-LN(2)/inputs!$C$51)*Y147+$Y$3), (EXP(-LN(2)/inputs!$C$51)*Y147))</f>
        <v>7.845262364618831E-7</v>
      </c>
      <c r="Z148" s="8">
        <f>IF((U148&gt;U147), (EXP(-LN(2)/inputs!$C$51)*Z147+$Z$3), (EXP(-LN(2)/inputs!$C$51)*Z147))</f>
        <v>1.220374145607372E-7</v>
      </c>
      <c r="AA148" s="8">
        <f>IF((U148&gt;U147), (EXP(-LN(2)/inputs!$C$51)*AA147+$AA$3), (EXP(-LN(2)/inputs!$C$51)*AA147))</f>
        <v>1.133204563778275E-6</v>
      </c>
      <c r="AB148" s="7">
        <f>(((0.621*15^0.564)/0.2))*W148/15+AB147*inputs!$C$53</f>
        <v>1.5946017840297525E-6</v>
      </c>
      <c r="AC148" s="7">
        <f>(((0.621*1000^0.564)/0.2))*W148/1000+AC147*inputs!$C$53</f>
        <v>2.5552184497347556E-7</v>
      </c>
      <c r="AD148" s="7">
        <f>(((0.648*20^0.651)/0.2))*AA148/20+AD147*inputs!$C$54</f>
        <v>1.7069258131606981E-6</v>
      </c>
      <c r="AE148" s="7">
        <f>(((0.013*2^0.773)/0.2))*AA148/2+AE147*inputs!$C$54</f>
        <v>8.3235511366924619E-8</v>
      </c>
    </row>
    <row r="149" spans="1:31" x14ac:dyDescent="0.3">
      <c r="A149" s="7">
        <f>IF(A148&lt;(inputs!$C$20-1),(1+A148),0)</f>
        <v>0</v>
      </c>
      <c r="B149" s="7">
        <f>IF(inputs!$C$19&gt;B148,IF(A148=(inputs!$C$20-1),(B148+1),B148), B148)</f>
        <v>1</v>
      </c>
      <c r="C149" s="7">
        <f t="shared" si="5"/>
        <v>146</v>
      </c>
      <c r="D149" s="8">
        <f>IF((B149&gt;B148), (EXP(-LN(2)/inputs!$C$51)*D148+$D$3), (EXP(-LN(2)/inputs!$C$51)*D148))</f>
        <v>3.6712003625415492E-6</v>
      </c>
      <c r="E149" s="8">
        <f>IF((B149&gt;B148), (EXP(-LN(2)/inputs!$C$51)*E148+$E$3), (EXP(-LN(2)/inputs!$C$51)*E148))</f>
        <v>1.6826334994982079E-6</v>
      </c>
      <c r="F149" s="8">
        <f>IF((B149&gt;B148), (EXP(-LN(2)/inputs!$C$51)*F148+$F$3), (EXP(-LN(2)/inputs!$C$51)*F148))</f>
        <v>2.0650502039296197E-6</v>
      </c>
      <c r="G149" s="8">
        <f>IF((B149&gt;B148), (EXP(-LN(2)/inputs!$C$51)*G148+$G$3), (EXP(-LN(2)/inputs!$C$51)*G148))</f>
        <v>2.2945002265884682E-7</v>
      </c>
      <c r="H149" s="8">
        <f>IF((B149&gt;B148), (EXP(-LN(2)/inputs!$C$51)*H148+$H$3), (EXP(-LN(2)/inputs!$C$51)*H148))</f>
        <v>1.4378868086621037E-6</v>
      </c>
      <c r="I149" s="7">
        <f>O149*(10^inputs!$C$55)*0.01/1</f>
        <v>2.8986113666995146</v>
      </c>
      <c r="J149" s="7">
        <f>(((0.621*15^0.564)/0.2))*D149/15+J148*inputs!$C$53</f>
        <v>3.950448907143401E-6</v>
      </c>
      <c r="K149" s="7">
        <f>(((0.621*1000^0.564)/0.2))*D149/1000+K148*inputs!$C$53</f>
        <v>6.3302700607532859E-7</v>
      </c>
      <c r="L149" s="7">
        <f>(((0.648*20^0.651)/0.2))*H149/20+L148*inputs!$C$54</f>
        <v>2.1658632417834388E-6</v>
      </c>
      <c r="M149" s="7">
        <f>(((0.013*2^0.773)/0.2))*H149/2+M148*inputs!$C$54</f>
        <v>1.0561486216372402E-7</v>
      </c>
      <c r="N149" s="7">
        <f>O149*0.015*inputs!$C$56</f>
        <v>0.4258628194817371</v>
      </c>
      <c r="O149" s="7">
        <f>IF((B149&gt;B148), (EXP(-LN(2)/inputs!$C$52)*O148+$O$3), (EXP(-LN(2)/inputs!$C$52)*O148))</f>
        <v>4.5939894226724606E-2</v>
      </c>
      <c r="P149" s="3">
        <f>IF((B149&gt;B148), (EXP(-LN(2)/inputs!$C$52)*P148+$P$3), (EXP(-LN(2)/inputs!$C$52)*P148))</f>
        <v>4.4391945879362363E-2</v>
      </c>
      <c r="Q149" s="19">
        <f>IF((F149*0.62*1/(0.012*(10^inputs!$C$55)))&gt;inputs!$C$57, inputs!$C$57, (F149*0.62*1/(0.012*(10^inputs!$C$55))))</f>
        <v>1.6909900719875506E-8</v>
      </c>
      <c r="R149" s="3">
        <f>IF((B149&gt;B148), (EXP(-LN(2)/inputs!$C$51)*R148+$R$3), (EXP(-LN(2)/inputs!$C$51)*R148))</f>
        <v>3.9289209384883922E-14</v>
      </c>
      <c r="T149" s="7">
        <f>IF(T148&lt;(inputs!$C$20-1),(1+T148),0)</f>
        <v>0</v>
      </c>
      <c r="U149" s="7">
        <f>IF(inputs!$C$19&gt;U148,IF(T148=(inputs!$C$20-1),(U148+1),U148), U148)</f>
        <v>1</v>
      </c>
      <c r="V149" s="7">
        <f t="shared" si="4"/>
        <v>146</v>
      </c>
      <c r="W149" s="8">
        <f>IF((U149&gt;U148), (EXP(-LN(2)/inputs!$C$51)*W148+$W$3), (EXP(-LN(2)/inputs!$C$51)*W148))</f>
        <v>1.3002167950667965E-6</v>
      </c>
      <c r="X149" s="8">
        <f>IF((U149&gt;U148), (EXP(-LN(2)/inputs!$C$51)*X148+$X$3), (EXP(-LN(2)/inputs!$C$51)*X148))</f>
        <v>5.5068005438123136E-7</v>
      </c>
      <c r="Y149" s="8">
        <f>IF((U149&gt;U148), (EXP(-LN(2)/inputs!$C$51)*Y148+$Y$3), (EXP(-LN(2)/inputs!$C$51)*Y148))</f>
        <v>6.8835006797654013E-7</v>
      </c>
      <c r="Z149" s="8">
        <f>IF((U149&gt;U148), (EXP(-LN(2)/inputs!$C$51)*Z148+$Z$3), (EXP(-LN(2)/inputs!$C$51)*Z148))</f>
        <v>1.0707667724079497E-7</v>
      </c>
      <c r="AA149" s="8">
        <f>IF((U149&gt;U148), (EXP(-LN(2)/inputs!$C$51)*AA148+$AA$3), (EXP(-LN(2)/inputs!$C$51)*AA148))</f>
        <v>9.9428343152166841E-7</v>
      </c>
      <c r="AB149" s="7">
        <f>(((0.621*15^0.564)/0.2))*W149/15+AB148*inputs!$C$53</f>
        <v>1.3991173212799524E-6</v>
      </c>
      <c r="AC149" s="7">
        <f>(((0.621*1000^0.564)/0.2))*W149/1000+AC148*inputs!$C$53</f>
        <v>2.2419706465167854E-7</v>
      </c>
      <c r="AD149" s="7">
        <f>(((0.648*20^0.651)/0.2))*AA149/20+AD148*inputs!$C$54</f>
        <v>1.4976713905949327E-6</v>
      </c>
      <c r="AE149" s="7">
        <f>(((0.013*2^0.773)/0.2))*AA149/2+AE148*inputs!$C$54</f>
        <v>7.3031553623851778E-8</v>
      </c>
    </row>
    <row r="150" spans="1:31" x14ac:dyDescent="0.3">
      <c r="A150" s="7">
        <f>IF(A149&lt;(inputs!$C$20-1),(1+A149),0)</f>
        <v>0</v>
      </c>
      <c r="B150" s="7">
        <f>IF(inputs!$C$19&gt;B149,IF(A149=(inputs!$C$20-1),(B149+1),B149), B149)</f>
        <v>1</v>
      </c>
      <c r="C150" s="7">
        <f t="shared" si="5"/>
        <v>147</v>
      </c>
      <c r="D150" s="8">
        <f>IF((B150&gt;B149), (EXP(-LN(2)/inputs!$C$51)*D149+$D$3), (EXP(-LN(2)/inputs!$C$51)*D149))</f>
        <v>3.2211427759353897E-6</v>
      </c>
      <c r="E150" s="8">
        <f>IF((B150&gt;B149), (EXP(-LN(2)/inputs!$C$51)*E149+$E$3), (EXP(-LN(2)/inputs!$C$51)*E149))</f>
        <v>1.4763571056370517E-6</v>
      </c>
      <c r="F150" s="8">
        <f>IF((B150&gt;B149), (EXP(-LN(2)/inputs!$C$51)*F149+$F$3), (EXP(-LN(2)/inputs!$C$51)*F149))</f>
        <v>1.8118928114636551E-6</v>
      </c>
      <c r="G150" s="8">
        <f>IF((B150&gt;B149), (EXP(-LN(2)/inputs!$C$51)*G149+$G$3), (EXP(-LN(2)/inputs!$C$51)*G149))</f>
        <v>2.0132142349596186E-7</v>
      </c>
      <c r="H150" s="8">
        <f>IF((B150&gt;B149), (EXP(-LN(2)/inputs!$C$51)*H149+$H$3), (EXP(-LN(2)/inputs!$C$51)*H149))</f>
        <v>1.2616142539080249E-6</v>
      </c>
      <c r="I150" s="7">
        <f>O150*(10^inputs!$C$55)*0.01/1</f>
        <v>2.840116582373466</v>
      </c>
      <c r="J150" s="7">
        <f>(((0.621*15^0.564)/0.2))*D150/15+J149*inputs!$C$53</f>
        <v>3.4661578509262874E-6</v>
      </c>
      <c r="K150" s="7">
        <f>(((0.621*1000^0.564)/0.2))*D150/1000+K149*inputs!$C$53</f>
        <v>5.5542334011427181E-7</v>
      </c>
      <c r="L150" s="7">
        <f>(((0.648*20^0.651)/0.2))*H150/20+L149*inputs!$C$54</f>
        <v>1.9003470380202574E-6</v>
      </c>
      <c r="M150" s="7">
        <f>(((0.013*2^0.773)/0.2))*H150/2+M149*inputs!$C$54</f>
        <v>9.2667388509019642E-8</v>
      </c>
      <c r="N150" s="7">
        <f>O150*0.015*inputs!$C$56</f>
        <v>0.41726878922840527</v>
      </c>
      <c r="O150" s="7">
        <f>IF((B150&gt;B149), (EXP(-LN(2)/inputs!$C$52)*O149+$O$3), (EXP(-LN(2)/inputs!$C$52)*O149))</f>
        <v>4.5012814371996251E-2</v>
      </c>
      <c r="P150" s="3">
        <f>IF((B150&gt;B149), (EXP(-LN(2)/inputs!$C$52)*P149+$P$3), (EXP(-LN(2)/inputs!$C$52)*P149))</f>
        <v>4.3496104053217993E-2</v>
      </c>
      <c r="Q150" s="19">
        <f>IF((F150*0.62*1/(0.012*(10^inputs!$C$55)))&gt;inputs!$C$57, inputs!$C$57, (F150*0.62*1/(0.012*(10^inputs!$C$55))))</f>
        <v>1.4836892342182854E-8</v>
      </c>
      <c r="R150" s="3">
        <f>IF((B150&gt;B149), (EXP(-LN(2)/inputs!$C$51)*R149+$R$3), (EXP(-LN(2)/inputs!$C$51)*R149))</f>
        <v>3.4472690260554918E-14</v>
      </c>
      <c r="T150" s="7">
        <f>IF(T149&lt;(inputs!$C$20-1),(1+T149),0)</f>
        <v>0</v>
      </c>
      <c r="U150" s="7">
        <f>IF(inputs!$C$19&gt;U149,IF(T149=(inputs!$C$20-1),(U149+1),U149), U149)</f>
        <v>1</v>
      </c>
      <c r="V150" s="7">
        <f t="shared" si="4"/>
        <v>147</v>
      </c>
      <c r="W150" s="8">
        <f>IF((U150&gt;U149), (EXP(-LN(2)/inputs!$C$51)*W149+$W$3), (EXP(-LN(2)/inputs!$C$51)*W149))</f>
        <v>1.1408213998104485E-6</v>
      </c>
      <c r="X150" s="8">
        <f>IF((U150&gt;U149), (EXP(-LN(2)/inputs!$C$51)*X149+$X$3), (EXP(-LN(2)/inputs!$C$51)*X149))</f>
        <v>4.8317141639030755E-7</v>
      </c>
      <c r="Y150" s="8">
        <f>IF((U150&gt;U149), (EXP(-LN(2)/inputs!$C$51)*Y149+$Y$3), (EXP(-LN(2)/inputs!$C$51)*Y149))</f>
        <v>6.039642704878852E-7</v>
      </c>
      <c r="Z150" s="8">
        <f>IF((U150&gt;U149), (EXP(-LN(2)/inputs!$C$51)*Z149+$Z$3), (EXP(-LN(2)/inputs!$C$51)*Z149))</f>
        <v>9.3949997631448669E-8</v>
      </c>
      <c r="AA150" s="8">
        <f>IF((U150&gt;U149), (EXP(-LN(2)/inputs!$C$51)*AA149+$AA$3), (EXP(-LN(2)/inputs!$C$51)*AA149))</f>
        <v>8.7239283514916701E-7</v>
      </c>
      <c r="AB150" s="7">
        <f>(((0.621*15^0.564)/0.2))*W150/15+AB149*inputs!$C$53</f>
        <v>1.2275975722030579E-6</v>
      </c>
      <c r="AC150" s="7">
        <f>(((0.621*1000^0.564)/0.2))*W150/1000+AC149*inputs!$C$53</f>
        <v>1.967124329571376E-7</v>
      </c>
      <c r="AD150" s="7">
        <f>(((0.648*20^0.651)/0.2))*AA150/20+AD149*inputs!$C$54</f>
        <v>1.314069760333158E-6</v>
      </c>
      <c r="AE150" s="7">
        <f>(((0.013*2^0.773)/0.2))*AA150/2+AE149*inputs!$C$54</f>
        <v>6.4078513330705136E-8</v>
      </c>
    </row>
    <row r="151" spans="1:31" x14ac:dyDescent="0.3">
      <c r="A151" s="7">
        <f>IF(A150&lt;(inputs!$C$20-1),(1+A150),0)</f>
        <v>0</v>
      </c>
      <c r="B151" s="7">
        <f>IF(inputs!$C$19&gt;B150,IF(A150=(inputs!$C$20-1),(B150+1),B150), B150)</f>
        <v>1</v>
      </c>
      <c r="C151" s="7">
        <f t="shared" si="5"/>
        <v>148</v>
      </c>
      <c r="D151" s="8">
        <f>IF((B151&gt;B150), (EXP(-LN(2)/inputs!$C$51)*D150+$D$3), (EXP(-LN(2)/inputs!$C$51)*D150))</f>
        <v>2.8262583782754021E-6</v>
      </c>
      <c r="E151" s="8">
        <f>IF((B151&gt;B150), (EXP(-LN(2)/inputs!$C$51)*E150+$E$3), (EXP(-LN(2)/inputs!$C$51)*E150))</f>
        <v>1.2953684233762243E-6</v>
      </c>
      <c r="F151" s="8">
        <f>IF((B151&gt;B150), (EXP(-LN(2)/inputs!$C$51)*F150+$F$3), (EXP(-LN(2)/inputs!$C$51)*F150))</f>
        <v>1.5897703377799124E-6</v>
      </c>
      <c r="G151" s="8">
        <f>IF((B151&gt;B150), (EXP(-LN(2)/inputs!$C$51)*G150+$G$3), (EXP(-LN(2)/inputs!$C$51)*G150))</f>
        <v>1.7664114864221263E-7</v>
      </c>
      <c r="H151" s="8">
        <f>IF((B151&gt;B150), (EXP(-LN(2)/inputs!$C$51)*H150+$H$3), (EXP(-LN(2)/inputs!$C$51)*H150))</f>
        <v>1.1069511981578634E-6</v>
      </c>
      <c r="I151" s="7">
        <f>O151*(10^inputs!$C$55)*0.01/1</f>
        <v>2.7828022390795133</v>
      </c>
      <c r="J151" s="7">
        <f>(((0.621*15^0.564)/0.2))*D151/15+J150*inputs!$C$53</f>
        <v>3.0412367125703517E-6</v>
      </c>
      <c r="K151" s="7">
        <f>(((0.621*1000^0.564)/0.2))*D151/1000+K150*inputs!$C$53</f>
        <v>4.8733321609186441E-7</v>
      </c>
      <c r="L151" s="7">
        <f>(((0.648*20^0.651)/0.2))*H151/20+L150*inputs!$C$54</f>
        <v>1.6673808369999824E-6</v>
      </c>
      <c r="M151" s="7">
        <f>(((0.013*2^0.773)/0.2))*H151/2+M150*inputs!$C$54</f>
        <v>8.1307163756646773E-8</v>
      </c>
      <c r="N151" s="7">
        <f>O151*0.015*inputs!$C$56</f>
        <v>0.40884818889808261</v>
      </c>
      <c r="O151" s="7">
        <f>IF((B151&gt;B150), (EXP(-LN(2)/inputs!$C$52)*O150+$O$3), (EXP(-LN(2)/inputs!$C$52)*O150))</f>
        <v>4.4104443246826601E-2</v>
      </c>
      <c r="P151" s="3">
        <f>IF((B151&gt;B150), (EXP(-LN(2)/inputs!$C$52)*P150+$P$3), (EXP(-LN(2)/inputs!$C$52)*P150))</f>
        <v>4.261834056451913E-2</v>
      </c>
      <c r="Q151" s="19">
        <f>IF((F151*0.62*1/(0.012*(10^inputs!$C$55)))&gt;inputs!$C$57, inputs!$C$57, (F151*0.62*1/(0.012*(10^inputs!$C$55))))</f>
        <v>1.3018016960607259E-8</v>
      </c>
      <c r="R151" s="3">
        <f>IF((B151&gt;B150), (EXP(-LN(2)/inputs!$C$51)*R150+$R$3), (EXP(-LN(2)/inputs!$C$51)*R150))</f>
        <v>3.0246634951564297E-14</v>
      </c>
      <c r="T151" s="7">
        <f>IF(T150&lt;(inputs!$C$20-1),(1+T150),0)</f>
        <v>0</v>
      </c>
      <c r="U151" s="7">
        <f>IF(inputs!$C$19&gt;U150,IF(T150=(inputs!$C$20-1),(U150+1),U150), U150)</f>
        <v>1</v>
      </c>
      <c r="V151" s="7">
        <f t="shared" si="4"/>
        <v>148</v>
      </c>
      <c r="W151" s="8">
        <f>IF((U151&gt;U150), (EXP(-LN(2)/inputs!$C$51)*W150+$W$3), (EXP(-LN(2)/inputs!$C$51)*W150))</f>
        <v>1.0009665089725366E-6</v>
      </c>
      <c r="X151" s="8">
        <f>IF((U151&gt;U150), (EXP(-LN(2)/inputs!$C$51)*X150+$X$3), (EXP(-LN(2)/inputs!$C$51)*X150))</f>
        <v>4.2393875674130953E-7</v>
      </c>
      <c r="Y151" s="8">
        <f>IF((U151&gt;U150), (EXP(-LN(2)/inputs!$C$51)*Y150+$Y$3), (EXP(-LN(2)/inputs!$C$51)*Y150))</f>
        <v>5.2992344592663755E-7</v>
      </c>
      <c r="Z151" s="8">
        <f>IF((U151&gt;U150), (EXP(-LN(2)/inputs!$C$51)*Z150+$Z$3), (EXP(-LN(2)/inputs!$C$51)*Z150))</f>
        <v>8.2432536033032398E-8</v>
      </c>
      <c r="AA151" s="8">
        <f>IF((U151&gt;U150), (EXP(-LN(2)/inputs!$C$51)*AA150+$AA$3), (EXP(-LN(2)/inputs!$C$51)*AA150))</f>
        <v>7.654449774495872E-7</v>
      </c>
      <c r="AB151" s="7">
        <f>(((0.621*15^0.564)/0.2))*W151/15+AB150*inputs!$C$53</f>
        <v>1.0771046690353311E-6</v>
      </c>
      <c r="AC151" s="7">
        <f>(((0.621*1000^0.564)/0.2))*W151/1000+AC150*inputs!$C$53</f>
        <v>1.7259718069920167E-7</v>
      </c>
      <c r="AD151" s="7">
        <f>(((0.648*20^0.651)/0.2))*AA151/20+AD150*inputs!$C$54</f>
        <v>1.1529761106914783E-6</v>
      </c>
      <c r="AE151" s="7">
        <f>(((0.013*2^0.773)/0.2))*AA151/2+AE150*inputs!$C$54</f>
        <v>5.6223038767894102E-8</v>
      </c>
    </row>
    <row r="152" spans="1:31" x14ac:dyDescent="0.3">
      <c r="A152" s="7">
        <f>IF(A151&lt;(inputs!$C$20-1),(1+A151),0)</f>
        <v>0</v>
      </c>
      <c r="B152" s="7">
        <f>IF(inputs!$C$19&gt;B151,IF(A151=(inputs!$C$20-1),(B151+1),B151), B151)</f>
        <v>1</v>
      </c>
      <c r="C152" s="7">
        <f t="shared" si="5"/>
        <v>149</v>
      </c>
      <c r="D152" s="8">
        <f>IF((B152&gt;B151), (EXP(-LN(2)/inputs!$C$51)*D151+$D$3), (EXP(-LN(2)/inputs!$C$51)*D151))</f>
        <v>2.479783411169144E-6</v>
      </c>
      <c r="E152" s="8">
        <f>IF((B152&gt;B151), (EXP(-LN(2)/inputs!$C$51)*E151+$E$3), (EXP(-LN(2)/inputs!$C$51)*E151))</f>
        <v>1.1365673967858561E-6</v>
      </c>
      <c r="F152" s="8">
        <f>IF((B152&gt;B151), (EXP(-LN(2)/inputs!$C$51)*F151+$F$3), (EXP(-LN(2)/inputs!$C$51)*F151))</f>
        <v>1.3948781687826423E-6</v>
      </c>
      <c r="G152" s="8">
        <f>IF((B152&gt;B151), (EXP(-LN(2)/inputs!$C$51)*G151+$G$3), (EXP(-LN(2)/inputs!$C$51)*G151))</f>
        <v>1.549864631980715E-7</v>
      </c>
      <c r="H152" s="8">
        <f>IF((B152&gt;B151), (EXP(-LN(2)/inputs!$C$51)*H151+$H$3), (EXP(-LN(2)/inputs!$C$51)*H151))</f>
        <v>9.7124850270791253E-7</v>
      </c>
      <c r="I152" s="7">
        <f>O152*(10^inputs!$C$55)*0.01/1</f>
        <v>2.7266445151890042</v>
      </c>
      <c r="J152" s="7">
        <f>(((0.621*15^0.564)/0.2))*D152/15+J151*inputs!$C$53</f>
        <v>2.66840725081635E-6</v>
      </c>
      <c r="K152" s="7">
        <f>(((0.621*1000^0.564)/0.2))*D152/1000+K151*inputs!$C$53</f>
        <v>4.2759035559718872E-7</v>
      </c>
      <c r="L152" s="7">
        <f>(((0.648*20^0.651)/0.2))*H152/20+L151*inputs!$C$54</f>
        <v>1.4629742883652841E-6</v>
      </c>
      <c r="M152" s="7">
        <f>(((0.013*2^0.773)/0.2))*H152/2+M151*inputs!$C$54</f>
        <v>7.1339604843905975E-8</v>
      </c>
      <c r="N152" s="7">
        <f>O152*0.015*inputs!$C$56</f>
        <v>0.40059751862664145</v>
      </c>
      <c r="O152" s="7">
        <f>IF((B152&gt;B151), (EXP(-LN(2)/inputs!$C$52)*O151+$O$3), (EXP(-LN(2)/inputs!$C$52)*O151))</f>
        <v>4.3214403303844823E-2</v>
      </c>
      <c r="P152" s="3">
        <f>IF((B152&gt;B151), (EXP(-LN(2)/inputs!$C$52)*P151+$P$3), (EXP(-LN(2)/inputs!$C$52)*P151))</f>
        <v>4.1758290587383284E-2</v>
      </c>
      <c r="Q152" s="19">
        <f>IF((F152*0.62*1/(0.012*(10^inputs!$C$55)))&gt;inputs!$C$57, inputs!$C$57, (F152*0.62*1/(0.012*(10^inputs!$C$55))))</f>
        <v>1.1422120055750531E-8</v>
      </c>
      <c r="R152" s="3">
        <f>IF((B152&gt;B151), (EXP(-LN(2)/inputs!$C$51)*R151+$R$3), (EXP(-LN(2)/inputs!$C$51)*R151))</f>
        <v>2.6538657673027929E-14</v>
      </c>
      <c r="T152" s="7">
        <f>IF(T151&lt;(inputs!$C$20-1),(1+T151),0)</f>
        <v>0</v>
      </c>
      <c r="U152" s="7">
        <f>IF(inputs!$C$19&gt;U151,IF(T151=(inputs!$C$20-1),(U151+1),U151), U151)</f>
        <v>1</v>
      </c>
      <c r="V152" s="7">
        <f t="shared" si="4"/>
        <v>149</v>
      </c>
      <c r="W152" s="8">
        <f>IF((U152&gt;U151), (EXP(-LN(2)/inputs!$C$51)*W151+$W$3), (EXP(-LN(2)/inputs!$C$51)*W151))</f>
        <v>8.7825662478907039E-7</v>
      </c>
      <c r="X152" s="8">
        <f>IF((U152&gt;U151), (EXP(-LN(2)/inputs!$C$51)*X151+$X$3), (EXP(-LN(2)/inputs!$C$51)*X151))</f>
        <v>3.7196751167537091E-7</v>
      </c>
      <c r="Y152" s="8">
        <f>IF((U152&gt;U151), (EXP(-LN(2)/inputs!$C$51)*Y151+$Y$3), (EXP(-LN(2)/inputs!$C$51)*Y151))</f>
        <v>4.6495938959421422E-7</v>
      </c>
      <c r="Z152" s="8">
        <f>IF((U152&gt;U151), (EXP(-LN(2)/inputs!$C$51)*Z151+$Z$3), (EXP(-LN(2)/inputs!$C$51)*Z151))</f>
        <v>7.2327016159099894E-8</v>
      </c>
      <c r="AA152" s="8">
        <f>IF((U152&gt;U151), (EXP(-LN(2)/inputs!$C$51)*AA151+$AA$3), (EXP(-LN(2)/inputs!$C$51)*AA151))</f>
        <v>6.7160800719164236E-7</v>
      </c>
      <c r="AB152" s="7">
        <f>(((0.621*15^0.564)/0.2))*W152/15+AB151*inputs!$C$53</f>
        <v>9.4506090133078892E-7</v>
      </c>
      <c r="AC152" s="7">
        <f>(((0.621*1000^0.564)/0.2))*W152/1000+AC151*inputs!$C$53</f>
        <v>1.5143825094067074E-7</v>
      </c>
      <c r="AD152" s="7">
        <f>(((0.648*20^0.651)/0.2))*AA152/20+AD151*inputs!$C$54</f>
        <v>1.0116311568483358E-6</v>
      </c>
      <c r="AE152" s="7">
        <f>(((0.013*2^0.773)/0.2))*AA152/2+AE151*inputs!$C$54</f>
        <v>4.9330577817594603E-8</v>
      </c>
    </row>
    <row r="153" spans="1:31" x14ac:dyDescent="0.3">
      <c r="A153" s="7">
        <f>IF(A152&lt;(inputs!$C$20-1),(1+A152),0)</f>
        <v>0</v>
      </c>
      <c r="B153" s="7">
        <f>IF(inputs!$C$19&gt;B152,IF(A152=(inputs!$C$20-1),(B152+1),B152), B152)</f>
        <v>1</v>
      </c>
      <c r="C153" s="7">
        <f t="shared" si="5"/>
        <v>150</v>
      </c>
      <c r="D153" s="8">
        <f>IF((B153&gt;B152), (EXP(-LN(2)/inputs!$C$51)*D152+$D$3), (EXP(-LN(2)/inputs!$C$51)*D152))</f>
        <v>2.1757832948245969E-6</v>
      </c>
      <c r="E153" s="8">
        <f>IF((B153&gt;B152), (EXP(-LN(2)/inputs!$C$51)*E152+$E$3), (EXP(-LN(2)/inputs!$C$51)*E152))</f>
        <v>9.972340101279389E-7</v>
      </c>
      <c r="F153" s="8">
        <f>IF((B153&gt;B152), (EXP(-LN(2)/inputs!$C$51)*F152+$F$3), (EXP(-LN(2)/inputs!$C$51)*F152))</f>
        <v>1.2238781033388347E-6</v>
      </c>
      <c r="G153" s="8">
        <f>IF((B153&gt;B152), (EXP(-LN(2)/inputs!$C$51)*G152+$G$3), (EXP(-LN(2)/inputs!$C$51)*G152))</f>
        <v>1.3598645592653731E-7</v>
      </c>
      <c r="H153" s="8">
        <f>IF((B153&gt;B152), (EXP(-LN(2)/inputs!$C$51)*H152+$H$3), (EXP(-LN(2)/inputs!$C$51)*H152))</f>
        <v>8.5218179047296518E-7</v>
      </c>
      <c r="I153" s="7">
        <f>O153*(10^inputs!$C$55)*0.01/1</f>
        <v>2.6716200698003867</v>
      </c>
      <c r="J153" s="7">
        <f>(((0.621*15^0.564)/0.2))*D153/15+J152*inputs!$C$53</f>
        <v>2.3412834741796035E-6</v>
      </c>
      <c r="K153" s="7">
        <f>(((0.621*1000^0.564)/0.2))*D153/1000+K152*inputs!$C$53</f>
        <v>3.7517145592075835E-7</v>
      </c>
      <c r="L153" s="7">
        <f>(((0.648*20^0.651)/0.2))*H153/20+L152*inputs!$C$54</f>
        <v>1.2836262243896311E-6</v>
      </c>
      <c r="M153" s="7">
        <f>(((0.013*2^0.773)/0.2))*H153/2+M152*inputs!$C$54</f>
        <v>6.2593982917877948E-8</v>
      </c>
      <c r="N153" s="7">
        <f>O153*0.015*inputs!$C$56</f>
        <v>0.39251334917818687</v>
      </c>
      <c r="O153" s="7">
        <f>IF((B153&gt;B152), (EXP(-LN(2)/inputs!$C$52)*O152+$O$3), (EXP(-LN(2)/inputs!$C$52)*O152))</f>
        <v>4.2342324614691139E-2</v>
      </c>
      <c r="P153" s="3">
        <f>IF((B153&gt;B152), (EXP(-LN(2)/inputs!$C$52)*P152+$P$3), (EXP(-LN(2)/inputs!$C$52)*P152))</f>
        <v>4.0915596658215835E-2</v>
      </c>
      <c r="Q153" s="19">
        <f>IF((F153*0.62*1/(0.012*(10^inputs!$C$55)))&gt;inputs!$C$57, inputs!$C$57, (F153*0.62*1/(0.012*(10^inputs!$C$55))))</f>
        <v>1.0021866384317004E-8</v>
      </c>
      <c r="R153" s="3">
        <f>IF((B153&gt;B152), (EXP(-LN(2)/inputs!$C$51)*R152+$R$3), (EXP(-LN(2)/inputs!$C$51)*R152))</f>
        <v>2.3285246514661925E-14</v>
      </c>
      <c r="T153" s="7">
        <f>IF(T152&lt;(inputs!$C$20-1),(1+T152),0)</f>
        <v>0</v>
      </c>
      <c r="U153" s="7">
        <f>IF(inputs!$C$19&gt;U152,IF(T152=(inputs!$C$20-1),(U152+1),U152), U152)</f>
        <v>1</v>
      </c>
      <c r="V153" s="7">
        <f t="shared" si="4"/>
        <v>150</v>
      </c>
      <c r="W153" s="8">
        <f>IF((U153&gt;U152), (EXP(-LN(2)/inputs!$C$51)*W152+$W$3), (EXP(-LN(2)/inputs!$C$51)*W152))</f>
        <v>7.7058991691704343E-7</v>
      </c>
      <c r="X153" s="8">
        <f>IF((U153&gt;U152), (EXP(-LN(2)/inputs!$C$51)*X152+$X$3), (EXP(-LN(2)/inputs!$C$51)*X152))</f>
        <v>3.263674942236889E-7</v>
      </c>
      <c r="Y153" s="8">
        <f>IF((U153&gt;U152), (EXP(-LN(2)/inputs!$C$51)*Y152+$Y$3), (EXP(-LN(2)/inputs!$C$51)*Y152))</f>
        <v>4.0795936777961165E-7</v>
      </c>
      <c r="Z153" s="8">
        <f>IF((U153&gt;U152), (EXP(-LN(2)/inputs!$C$51)*Z152+$Z$3), (EXP(-LN(2)/inputs!$C$51)*Z152))</f>
        <v>6.3460346099050615E-8</v>
      </c>
      <c r="AA153" s="8">
        <f>IF((U153&gt;U152), (EXP(-LN(2)/inputs!$C$51)*AA152+$AA$3), (EXP(-LN(2)/inputs!$C$51)*AA152))</f>
        <v>5.8927464234832762E-7</v>
      </c>
      <c r="AB153" s="7">
        <f>(((0.621*15^0.564)/0.2))*W153/15+AB152*inputs!$C$53</f>
        <v>8.2920456377194154E-7</v>
      </c>
      <c r="AC153" s="7">
        <f>(((0.621*1000^0.564)/0.2))*W153/1000+AC152*inputs!$C$53</f>
        <v>1.3287322397193501E-7</v>
      </c>
      <c r="AD153" s="7">
        <f>(((0.648*20^0.651)/0.2))*AA153/20+AD152*inputs!$C$54</f>
        <v>8.8761387856729876E-7</v>
      </c>
      <c r="AE153" s="7">
        <f>(((0.013*2^0.773)/0.2))*AA153/2+AE152*inputs!$C$54</f>
        <v>4.3283073294277349E-8</v>
      </c>
    </row>
    <row r="154" spans="1:31" x14ac:dyDescent="0.3">
      <c r="A154" s="7">
        <f>IF(A153&lt;(inputs!$C$20-1),(1+A153),0)</f>
        <v>0</v>
      </c>
      <c r="B154" s="7">
        <f>IF(inputs!$C$19&gt;B153,IF(A153=(inputs!$C$20-1),(B153+1),B153), B153)</f>
        <v>1</v>
      </c>
      <c r="C154" s="7">
        <f t="shared" si="5"/>
        <v>151</v>
      </c>
      <c r="D154" s="8">
        <f>IF((B154&gt;B153), (EXP(-LN(2)/inputs!$C$51)*D153+$D$3), (EXP(-LN(2)/inputs!$C$51)*D153))</f>
        <v>1.9090509778859368E-6</v>
      </c>
      <c r="E154" s="8">
        <f>IF((B154&gt;B153), (EXP(-LN(2)/inputs!$C$51)*E153+$E$3), (EXP(-LN(2)/inputs!$C$51)*E153))</f>
        <v>8.7498169819771981E-7</v>
      </c>
      <c r="F154" s="8">
        <f>IF((B154&gt;B153), (EXP(-LN(2)/inputs!$C$51)*F153+$F$3), (EXP(-LN(2)/inputs!$C$51)*F153))</f>
        <v>1.0738411750608385E-6</v>
      </c>
      <c r="G154" s="8">
        <f>IF((B154&gt;B153), (EXP(-LN(2)/inputs!$C$51)*G153+$G$3), (EXP(-LN(2)/inputs!$C$51)*G153))</f>
        <v>1.1931568611787105E-7</v>
      </c>
      <c r="H154" s="8">
        <f>IF((B154&gt;B153), (EXP(-LN(2)/inputs!$C$51)*H153+$H$3), (EXP(-LN(2)/inputs!$C$51)*H153))</f>
        <v>7.4771163300532351E-7</v>
      </c>
      <c r="I154" s="7">
        <f>O154*(10^inputs!$C$55)*0.01/1</f>
        <v>2.6177060330379978</v>
      </c>
      <c r="J154" s="7">
        <f>(((0.621*15^0.564)/0.2))*D154/15+J153*inputs!$C$53</f>
        <v>2.0542622588023313E-6</v>
      </c>
      <c r="K154" s="7">
        <f>(((0.621*1000^0.564)/0.2))*D154/1000+K153*inputs!$C$53</f>
        <v>3.291786624633283E-7</v>
      </c>
      <c r="L154" s="7">
        <f>(((0.648*20^0.651)/0.2))*H154/20+L153*inputs!$C$54</f>
        <v>1.1262646903944577E-6</v>
      </c>
      <c r="M154" s="7">
        <f>(((0.013*2^0.773)/0.2))*H154/2+M153*inputs!$C$54</f>
        <v>5.4920499014486515E-8</v>
      </c>
      <c r="N154" s="7">
        <f>O154*0.015*inputs!$C$56</f>
        <v>0.3845923205197585</v>
      </c>
      <c r="O154" s="7">
        <f>IF((B154&gt;B153), (EXP(-LN(2)/inputs!$C$52)*O153+$O$3), (EXP(-LN(2)/inputs!$C$52)*O153))</f>
        <v>4.1487844716263052E-2</v>
      </c>
      <c r="P154" s="3">
        <f>IF((B154&gt;B153), (EXP(-LN(2)/inputs!$C$52)*P153+$P$3), (EXP(-LN(2)/inputs!$C$52)*P153))</f>
        <v>4.0089908527137022E-2</v>
      </c>
      <c r="Q154" s="19">
        <f>IF((F154*0.62*1/(0.012*(10^inputs!$C$55)))&gt;inputs!$C$57, inputs!$C$57, (F154*0.62*1/(0.012*(10^inputs!$C$55))))</f>
        <v>8.7932717687148814E-9</v>
      </c>
      <c r="R154" s="3">
        <f>IF((B154&gt;B153), (EXP(-LN(2)/inputs!$C$51)*R153+$R$3), (EXP(-LN(2)/inputs!$C$51)*R153))</f>
        <v>2.043067558008531E-14</v>
      </c>
      <c r="T154" s="7">
        <f>IF(T153&lt;(inputs!$C$20-1),(1+T153),0)</f>
        <v>0</v>
      </c>
      <c r="U154" s="7">
        <f>IF(inputs!$C$19&gt;U153,IF(T153=(inputs!$C$20-1),(U153+1),U153), U153)</f>
        <v>1</v>
      </c>
      <c r="V154" s="7">
        <f t="shared" si="4"/>
        <v>151</v>
      </c>
      <c r="W154" s="8">
        <f>IF((U154&gt;U153), (EXP(-LN(2)/inputs!$C$51)*W153+$W$3), (EXP(-LN(2)/inputs!$C$51)*W153))</f>
        <v>6.7612222133460142E-7</v>
      </c>
      <c r="X154" s="8">
        <f>IF((U154&gt;U153), (EXP(-LN(2)/inputs!$C$51)*X153+$X$3), (EXP(-LN(2)/inputs!$C$51)*X153))</f>
        <v>2.8635764668288994E-7</v>
      </c>
      <c r="Y154" s="8">
        <f>IF((U154&gt;U153), (EXP(-LN(2)/inputs!$C$51)*Y153+$Y$3), (EXP(-LN(2)/inputs!$C$51)*Y153))</f>
        <v>3.5794705835361293E-7</v>
      </c>
      <c r="Z154" s="8">
        <f>IF((U154&gt;U153), (EXP(-LN(2)/inputs!$C$51)*Z153+$Z$3), (EXP(-LN(2)/inputs!$C$51)*Z153))</f>
        <v>5.5680653521673046E-8</v>
      </c>
      <c r="AA154" s="8">
        <f>IF((U154&gt;U153), (EXP(-LN(2)/inputs!$C$51)*AA153+$AA$3), (EXP(-LN(2)/inputs!$C$51)*AA153))</f>
        <v>5.1703463984410725E-7</v>
      </c>
      <c r="AB154" s="7">
        <f>(((0.621*15^0.564)/0.2))*W154/15+AB153*inputs!$C$53</f>
        <v>7.2755121665915775E-7</v>
      </c>
      <c r="AC154" s="7">
        <f>(((0.621*1000^0.564)/0.2))*W154/1000+AC153*inputs!$C$53</f>
        <v>1.1658410962242857E-7</v>
      </c>
      <c r="AD154" s="7">
        <f>(((0.648*20^0.651)/0.2))*AA154/20+AD153*inputs!$C$54</f>
        <v>7.7880005186850876E-7</v>
      </c>
      <c r="AE154" s="7">
        <f>(((0.013*2^0.773)/0.2))*AA154/2+AE153*inputs!$C$54</f>
        <v>3.7976940807889659E-8</v>
      </c>
    </row>
    <row r="155" spans="1:31" x14ac:dyDescent="0.3">
      <c r="A155" s="7">
        <f>IF(A154&lt;(inputs!$C$20-1),(1+A154),0)</f>
        <v>0</v>
      </c>
      <c r="B155" s="7">
        <f>IF(inputs!$C$19&gt;B154,IF(A154=(inputs!$C$20-1),(B154+1),B154), B154)</f>
        <v>1</v>
      </c>
      <c r="C155" s="7">
        <f t="shared" si="5"/>
        <v>152</v>
      </c>
      <c r="D155" s="8">
        <f>IF((B155&gt;B154), (EXP(-LN(2)/inputs!$C$51)*D154+$D$3), (EXP(-LN(2)/inputs!$C$51)*D154))</f>
        <v>1.6750177487050955E-6</v>
      </c>
      <c r="E155" s="8">
        <f>IF((B155&gt;B154), (EXP(-LN(2)/inputs!$C$51)*E154+$E$3), (EXP(-LN(2)/inputs!$C$51)*E154))</f>
        <v>7.6771646815650108E-7</v>
      </c>
      <c r="F155" s="8">
        <f>IF((B155&gt;B154), (EXP(-LN(2)/inputs!$C$51)*F154+$F$3), (EXP(-LN(2)/inputs!$C$51)*F154))</f>
        <v>9.4219748364661546E-7</v>
      </c>
      <c r="G155" s="8">
        <f>IF((B155&gt;B154), (EXP(-LN(2)/inputs!$C$51)*G154+$G$3), (EXP(-LN(2)/inputs!$C$51)*G154))</f>
        <v>1.0468860929406847E-7</v>
      </c>
      <c r="H155" s="8">
        <f>IF((B155&gt;B154), (EXP(-LN(2)/inputs!$C$51)*H154+$H$3), (EXP(-LN(2)/inputs!$C$51)*H154))</f>
        <v>6.5604861824282753E-7</v>
      </c>
      <c r="I155" s="7">
        <f>O155*(10^inputs!$C$55)*0.01/1</f>
        <v>2.5648799965466327</v>
      </c>
      <c r="J155" s="7">
        <f>(((0.621*15^0.564)/0.2))*D155/15+J154*inputs!$C$53</f>
        <v>1.8024273756164284E-6</v>
      </c>
      <c r="K155" s="7">
        <f>(((0.621*1000^0.564)/0.2))*D155/1000+K154*inputs!$C$53</f>
        <v>2.88824189876622E-7</v>
      </c>
      <c r="L155" s="7">
        <f>(((0.648*20^0.651)/0.2))*H155/20+L154*inputs!$C$54</f>
        <v>9.8819432692136441E-7</v>
      </c>
      <c r="M155" s="7">
        <f>(((0.013*2^0.773)/0.2))*H155/2+M154*inputs!$C$54</f>
        <v>4.8187718234155016E-8</v>
      </c>
      <c r="N155" s="7">
        <f>O155*0.015*inputs!$C$56</f>
        <v>0.37683114042479687</v>
      </c>
      <c r="O155" s="7">
        <f>IF((B155&gt;B154), (EXP(-LN(2)/inputs!$C$52)*O154+$O$3), (EXP(-LN(2)/inputs!$C$52)*O154))</f>
        <v>4.0650608460064387E-2</v>
      </c>
      <c r="P155" s="3">
        <f>IF((B155&gt;B154), (EXP(-LN(2)/inputs!$C$52)*P154+$P$3), (EXP(-LN(2)/inputs!$C$52)*P154))</f>
        <v>3.9280883012407161E-2</v>
      </c>
      <c r="Q155" s="19">
        <f>IF((F155*0.62*1/(0.012*(10^inputs!$C$55)))&gt;inputs!$C$57, inputs!$C$57, (F155*0.62*1/(0.012*(10^inputs!$C$55))))</f>
        <v>7.7152922852251386E-9</v>
      </c>
      <c r="R155" s="3">
        <f>IF((B155&gt;B154), (EXP(-LN(2)/inputs!$C$51)*R154+$R$3), (EXP(-LN(2)/inputs!$C$51)*R154))</f>
        <v>1.7926050488486941E-14</v>
      </c>
      <c r="T155" s="7">
        <f>IF(T154&lt;(inputs!$C$20-1),(1+T154),0)</f>
        <v>0</v>
      </c>
      <c r="U155" s="7">
        <f>IF(inputs!$C$19&gt;U154,IF(T154=(inputs!$C$20-1),(U154+1),U154), U154)</f>
        <v>1</v>
      </c>
      <c r="V155" s="7">
        <f t="shared" si="4"/>
        <v>152</v>
      </c>
      <c r="W155" s="8">
        <f>IF((U155&gt;U154), (EXP(-LN(2)/inputs!$C$51)*W154+$W$3), (EXP(-LN(2)/inputs!$C$51)*W154))</f>
        <v>5.9323545266638692E-7</v>
      </c>
      <c r="X155" s="8">
        <f>IF((U155&gt;U154), (EXP(-LN(2)/inputs!$C$51)*X154+$X$3), (EXP(-LN(2)/inputs!$C$51)*X154))</f>
        <v>2.512526623057638E-7</v>
      </c>
      <c r="Y155" s="8">
        <f>IF((U155&gt;U154), (EXP(-LN(2)/inputs!$C$51)*Y154+$Y$3), (EXP(-LN(2)/inputs!$C$51)*Y154))</f>
        <v>3.1406582788220521E-7</v>
      </c>
      <c r="Z155" s="8">
        <f>IF((U155&gt;U154), (EXP(-LN(2)/inputs!$C$51)*Z154+$Z$3), (EXP(-LN(2)/inputs!$C$51)*Z154))</f>
        <v>4.8854684337231856E-8</v>
      </c>
      <c r="AA155" s="8">
        <f>IF((U155&gt;U154), (EXP(-LN(2)/inputs!$C$51)*AA154+$AA$3), (EXP(-LN(2)/inputs!$C$51)*AA154))</f>
        <v>4.5365064027429614E-7</v>
      </c>
      <c r="AB155" s="7">
        <f>(((0.621*15^0.564)/0.2))*W155/15+AB154*inputs!$C$53</f>
        <v>6.3835969553081724E-7</v>
      </c>
      <c r="AC155" s="7">
        <f>(((0.621*1000^0.564)/0.2))*W155/1000+AC154*inputs!$C$53</f>
        <v>1.0229190058130345E-7</v>
      </c>
      <c r="AD155" s="7">
        <f>(((0.648*20^0.651)/0.2))*AA155/20+AD154*inputs!$C$54</f>
        <v>6.8332586436051861E-7</v>
      </c>
      <c r="AE155" s="7">
        <f>(((0.013*2^0.773)/0.2))*AA155/2+AE154*inputs!$C$54</f>
        <v>3.3321294523617867E-8</v>
      </c>
    </row>
    <row r="156" spans="1:31" x14ac:dyDescent="0.3">
      <c r="A156" s="7">
        <f>IF(A155&lt;(inputs!$C$20-1),(1+A155),0)</f>
        <v>0</v>
      </c>
      <c r="B156" s="7">
        <f>IF(inputs!$C$19&gt;B155,IF(A155=(inputs!$C$20-1),(B155+1),B155), B155)</f>
        <v>1</v>
      </c>
      <c r="C156" s="7">
        <f t="shared" si="5"/>
        <v>153</v>
      </c>
      <c r="D156" s="8">
        <f>IF((B156&gt;B155), (EXP(-LN(2)/inputs!$C$51)*D155+$D$3), (EXP(-LN(2)/inputs!$C$51)*D155))</f>
        <v>1.4696749803842704E-6</v>
      </c>
      <c r="E156" s="8">
        <f>IF((B156&gt;B155), (EXP(-LN(2)/inputs!$C$51)*E155+$E$3), (EXP(-LN(2)/inputs!$C$51)*E155))</f>
        <v>6.7360103267612312E-7</v>
      </c>
      <c r="F156" s="8">
        <f>IF((B156&gt;B155), (EXP(-LN(2)/inputs!$C$51)*F155+$F$3), (EXP(-LN(2)/inputs!$C$51)*F155))</f>
        <v>8.2669217646615151E-7</v>
      </c>
      <c r="G156" s="8">
        <f>IF((B156&gt;B155), (EXP(-LN(2)/inputs!$C$51)*G155+$G$3), (EXP(-LN(2)/inputs!$C$51)*G155))</f>
        <v>9.1854686274016902E-8</v>
      </c>
      <c r="H156" s="8">
        <f>IF((B156&gt;B155), (EXP(-LN(2)/inputs!$C$51)*H155+$H$3), (EXP(-LN(2)/inputs!$C$51)*H155))</f>
        <v>5.7562270065050459E-7</v>
      </c>
      <c r="I156" s="7">
        <f>O156*(10^inputs!$C$55)*0.01/1</f>
        <v>2.5131200041779334</v>
      </c>
      <c r="J156" s="7">
        <f>(((0.621*15^0.564)/0.2))*D156/15+J155*inputs!$C$53</f>
        <v>1.5814652829505794E-6</v>
      </c>
      <c r="K156" s="7">
        <f>(((0.621*1000^0.564)/0.2))*D156/1000+K155*inputs!$C$53</f>
        <v>2.5341682851992331E-7</v>
      </c>
      <c r="L156" s="7">
        <f>(((0.648*20^0.651)/0.2))*H156/20+L155*inputs!$C$54</f>
        <v>8.6705020239740786E-7</v>
      </c>
      <c r="M156" s="7">
        <f>(((0.013*2^0.773)/0.2))*H156/2+M155*inputs!$C$54</f>
        <v>4.2280318465457159E-8</v>
      </c>
      <c r="N156" s="7">
        <f>O156*0.015*inputs!$C$56</f>
        <v>0.36922658310479084</v>
      </c>
      <c r="O156" s="7">
        <f>IF((B156&gt;B155), (EXP(-LN(2)/inputs!$C$52)*O155+$O$3), (EXP(-LN(2)/inputs!$C$52)*O155))</f>
        <v>3.9830267864594482E-2</v>
      </c>
      <c r="P156" s="3">
        <f>IF((B156&gt;B155), (EXP(-LN(2)/inputs!$C$52)*P155+$P$3), (EXP(-LN(2)/inputs!$C$52)*P155))</f>
        <v>3.8488183857789619E-2</v>
      </c>
      <c r="Q156" s="19">
        <f>IF((F156*0.62*1/(0.012*(10^inputs!$C$55)))&gt;inputs!$C$57, inputs!$C$57, (F156*0.62*1/(0.012*(10^inputs!$C$55))))</f>
        <v>6.769463814167329E-9</v>
      </c>
      <c r="R156" s="3">
        <f>IF((B156&gt;B155), (EXP(-LN(2)/inputs!$C$51)*R155+$R$3), (EXP(-LN(2)/inputs!$C$51)*R155))</f>
        <v>1.5728470889577949E-14</v>
      </c>
      <c r="T156" s="7">
        <f>IF(T155&lt;(inputs!$C$20-1),(1+T155),0)</f>
        <v>0</v>
      </c>
      <c r="U156" s="7">
        <f>IF(inputs!$C$19&gt;U155,IF(T155=(inputs!$C$20-1),(U155+1),U155), U155)</f>
        <v>1</v>
      </c>
      <c r="V156" s="7">
        <f t="shared" si="4"/>
        <v>153</v>
      </c>
      <c r="W156" s="8">
        <f>IF((U156&gt;U155), (EXP(-LN(2)/inputs!$C$51)*W155+$W$3), (EXP(-LN(2)/inputs!$C$51)*W155))</f>
        <v>5.2050988888609484E-7</v>
      </c>
      <c r="X156" s="8">
        <f>IF((U156&gt;U155), (EXP(-LN(2)/inputs!$C$51)*X155+$X$3), (EXP(-LN(2)/inputs!$C$51)*X155))</f>
        <v>2.2045124705764013E-7</v>
      </c>
      <c r="Y156" s="8">
        <f>IF((U156&gt;U155), (EXP(-LN(2)/inputs!$C$51)*Y155+$Y$3), (EXP(-LN(2)/inputs!$C$51)*Y155))</f>
        <v>2.7556405882205052E-7</v>
      </c>
      <c r="Z156" s="8">
        <f>IF((U156&gt;U155), (EXP(-LN(2)/inputs!$C$51)*Z155+$Z$3), (EXP(-LN(2)/inputs!$C$51)*Z155))</f>
        <v>4.2865520261207803E-8</v>
      </c>
      <c r="AA156" s="8">
        <f>IF((U156&gt;U155), (EXP(-LN(2)/inputs!$C$51)*AA155+$AA$3), (EXP(-LN(2)/inputs!$C$51)*AA155))</f>
        <v>3.9803697385407276E-7</v>
      </c>
      <c r="AB156" s="7">
        <f>(((0.621*15^0.564)/0.2))*W156/15+AB155*inputs!$C$53</f>
        <v>5.6010228771166255E-7</v>
      </c>
      <c r="AC156" s="7">
        <f>(((0.621*1000^0.564)/0.2))*W156/1000+AC155*inputs!$C$53</f>
        <v>8.9751793434139364E-8</v>
      </c>
      <c r="AD156" s="7">
        <f>(((0.648*20^0.651)/0.2))*AA156/20+AD155*inputs!$C$54</f>
        <v>5.9955599101948479E-7</v>
      </c>
      <c r="AE156" s="7">
        <f>(((0.013*2^0.773)/0.2))*AA156/2+AE155*inputs!$C$54</f>
        <v>2.9236390428241686E-8</v>
      </c>
    </row>
    <row r="157" spans="1:31" x14ac:dyDescent="0.3">
      <c r="A157" s="7">
        <f>IF(A156&lt;(inputs!$C$20-1),(1+A156),0)</f>
        <v>0</v>
      </c>
      <c r="B157" s="7">
        <f>IF(inputs!$C$19&gt;B156,IF(A156=(inputs!$C$20-1),(B156+1),B156), B156)</f>
        <v>1</v>
      </c>
      <c r="C157" s="7">
        <f t="shared" si="5"/>
        <v>154</v>
      </c>
      <c r="D157" s="8">
        <f>IF((B157&gt;B156), (EXP(-LN(2)/inputs!$C$51)*D156+$D$3), (EXP(-LN(2)/inputs!$C$51)*D156))</f>
        <v>1.2895054692031127E-6</v>
      </c>
      <c r="E157" s="8">
        <f>IF((B157&gt;B156), (EXP(-LN(2)/inputs!$C$51)*E156+$E$3), (EXP(-LN(2)/inputs!$C$51)*E156))</f>
        <v>5.9102334005142591E-7</v>
      </c>
      <c r="F157" s="8">
        <f>IF((B157&gt;B156), (EXP(-LN(2)/inputs!$C$51)*F156+$F$3), (EXP(-LN(2)/inputs!$C$51)*F156))</f>
        <v>7.2534682642675044E-7</v>
      </c>
      <c r="G157" s="8">
        <f>IF((B157&gt;B156), (EXP(-LN(2)/inputs!$C$51)*G156+$G$3), (EXP(-LN(2)/inputs!$C$51)*G156))</f>
        <v>8.0594091825194545E-8</v>
      </c>
      <c r="H157" s="8">
        <f>IF((B157&gt;B156), (EXP(-LN(2)/inputs!$C$51)*H156+$H$3), (EXP(-LN(2)/inputs!$C$51)*H156))</f>
        <v>5.0505630877121804E-7</v>
      </c>
      <c r="I157" s="7">
        <f>O157*(10^inputs!$C$55)*0.01/1</f>
        <v>2.4624045428647285</v>
      </c>
      <c r="J157" s="7">
        <f>(((0.621*15^0.564)/0.2))*D157/15+J156*inputs!$C$53</f>
        <v>1.3875912422394304E-6</v>
      </c>
      <c r="K157" s="7">
        <f>(((0.621*1000^0.564)/0.2))*D157/1000+K156*inputs!$C$53</f>
        <v>2.2235010510902618E-7</v>
      </c>
      <c r="L157" s="7">
        <f>(((0.648*20^0.651)/0.2))*H157/20+L156*inputs!$C$54</f>
        <v>7.6075730551852139E-7</v>
      </c>
      <c r="M157" s="7">
        <f>(((0.013*2^0.773)/0.2))*H157/2+M156*inputs!$C$54</f>
        <v>3.7097115095884022E-8</v>
      </c>
      <c r="N157" s="7">
        <f>O157*0.015*inputs!$C$56</f>
        <v>0.36177548786853958</v>
      </c>
      <c r="O157" s="7">
        <f>IF((B157&gt;B156), (EXP(-LN(2)/inputs!$C$52)*O156+$O$3), (EXP(-LN(2)/inputs!$C$52)*O156))</f>
        <v>3.9026481970716245E-2</v>
      </c>
      <c r="P157" s="3">
        <f>IF((B157&gt;B156), (EXP(-LN(2)/inputs!$C$52)*P156+$P$3), (EXP(-LN(2)/inputs!$C$52)*P156))</f>
        <v>3.7711481592792223E-2</v>
      </c>
      <c r="Q157" s="19">
        <f>IF((F157*0.62*1/(0.012*(10^inputs!$C$55)))&gt;inputs!$C$57, inputs!$C$57, (F157*0.62*1/(0.012*(10^inputs!$C$55))))</f>
        <v>5.9395857781146473E-9</v>
      </c>
      <c r="R157" s="3">
        <f>IF((B157&gt;B156), (EXP(-LN(2)/inputs!$C$51)*R156+$R$3), (EXP(-LN(2)/inputs!$C$51)*R156))</f>
        <v>1.3800295647007386E-14</v>
      </c>
      <c r="T157" s="7">
        <f>IF(T156&lt;(inputs!$C$20-1),(1+T156),0)</f>
        <v>0</v>
      </c>
      <c r="U157" s="7">
        <f>IF(inputs!$C$19&gt;U156,IF(T156=(inputs!$C$20-1),(U156+1),U156), U156)</f>
        <v>1</v>
      </c>
      <c r="V157" s="7">
        <f t="shared" si="4"/>
        <v>154</v>
      </c>
      <c r="W157" s="8">
        <f>IF((U157&gt;U156), (EXP(-LN(2)/inputs!$C$51)*W156+$W$3), (EXP(-LN(2)/inputs!$C$51)*W156))</f>
        <v>4.566998536761016E-7</v>
      </c>
      <c r="X157" s="8">
        <f>IF((U157&gt;U156), (EXP(-LN(2)/inputs!$C$51)*X156+$X$3), (EXP(-LN(2)/inputs!$C$51)*X156))</f>
        <v>1.9342582038046654E-7</v>
      </c>
      <c r="Y157" s="8">
        <f>IF((U157&gt;U156), (EXP(-LN(2)/inputs!$C$51)*Y156+$Y$3), (EXP(-LN(2)/inputs!$C$51)*Y156))</f>
        <v>2.4178227547558346E-7</v>
      </c>
      <c r="Z157" s="8">
        <f>IF((U157&gt;U156), (EXP(-LN(2)/inputs!$C$51)*Z156+$Z$3), (EXP(-LN(2)/inputs!$C$51)*Z156))</f>
        <v>3.7610576185090717E-8</v>
      </c>
      <c r="AA157" s="8">
        <f>IF((U157&gt;U156), (EXP(-LN(2)/inputs!$C$51)*AA156+$AA$3), (EXP(-LN(2)/inputs!$C$51)*AA156))</f>
        <v>3.4924106457584261E-7</v>
      </c>
      <c r="AB157" s="7">
        <f>(((0.621*15^0.564)/0.2))*W157/15+AB156*inputs!$C$53</f>
        <v>4.9143856495979738E-7</v>
      </c>
      <c r="AC157" s="7">
        <f>(((0.621*1000^0.564)/0.2))*W157/1000+AC156*inputs!$C$53</f>
        <v>7.8748995559446621E-8</v>
      </c>
      <c r="AD157" s="7">
        <f>(((0.648*20^0.651)/0.2))*AA157/20+AD156*inputs!$C$54</f>
        <v>5.2605558360323342E-7</v>
      </c>
      <c r="AE157" s="7">
        <f>(((0.013*2^0.773)/0.2))*AA157/2+AE156*inputs!$C$54</f>
        <v>2.5652260438643232E-8</v>
      </c>
    </row>
    <row r="158" spans="1:31" x14ac:dyDescent="0.3">
      <c r="A158" s="7">
        <f>IF(A157&lt;(inputs!$C$20-1),(1+A157),0)</f>
        <v>0</v>
      </c>
      <c r="B158" s="7">
        <f>IF(inputs!$C$19&gt;B157,IF(A157=(inputs!$C$20-1),(B157+1),B157), B157)</f>
        <v>1</v>
      </c>
      <c r="C158" s="7">
        <f t="shared" si="5"/>
        <v>155</v>
      </c>
      <c r="D158" s="8">
        <f>IF((B158&gt;B157), (EXP(-LN(2)/inputs!$C$51)*D157+$D$3), (EXP(-LN(2)/inputs!$C$51)*D157))</f>
        <v>1.1314231903641493E-6</v>
      </c>
      <c r="E158" s="8">
        <f>IF((B158&gt;B157), (EXP(-LN(2)/inputs!$C$51)*E157+$E$3), (EXP(-LN(2)/inputs!$C$51)*E157))</f>
        <v>5.1856896225023445E-7</v>
      </c>
      <c r="F158" s="8">
        <f>IF((B158&gt;B157), (EXP(-LN(2)/inputs!$C$51)*F157+$F$3), (EXP(-LN(2)/inputs!$C$51)*F157))</f>
        <v>6.3642554457983362E-7</v>
      </c>
      <c r="G158" s="8">
        <f>IF((B158&gt;B157), (EXP(-LN(2)/inputs!$C$51)*G157+$G$3), (EXP(-LN(2)/inputs!$C$51)*G157))</f>
        <v>7.0713949397759334E-8</v>
      </c>
      <c r="H158" s="8">
        <f>IF((B158&gt;B157), (EXP(-LN(2)/inputs!$C$51)*H157+$H$3), (EXP(-LN(2)/inputs!$C$51)*H157))</f>
        <v>4.4314074955929088E-7</v>
      </c>
      <c r="I158" s="7">
        <f>O158*(10^inputs!$C$55)*0.01/1</f>
        <v>2.4127125336795299</v>
      </c>
      <c r="J158" s="7">
        <f>(((0.621*15^0.564)/0.2))*D158/15+J157*inputs!$C$53</f>
        <v>1.2174844913112992E-6</v>
      </c>
      <c r="K158" s="7">
        <f>(((0.621*1000^0.564)/0.2))*D158/1000+K157*inputs!$C$53</f>
        <v>1.950918947677861E-7</v>
      </c>
      <c r="L158" s="7">
        <f>(((0.648*20^0.651)/0.2))*H158/20+L157*inputs!$C$54</f>
        <v>6.6749500351830057E-7</v>
      </c>
      <c r="M158" s="7">
        <f>(((0.013*2^0.773)/0.2))*H158/2+M157*inputs!$C$54</f>
        <v>3.2549327876080504E-8</v>
      </c>
      <c r="N158" s="7">
        <f>O158*0.015*inputs!$C$56</f>
        <v>0.35447475780847049</v>
      </c>
      <c r="O158" s="7">
        <f>IF((B158&gt;B157), (EXP(-LN(2)/inputs!$C$52)*O157+$O$3), (EXP(-LN(2)/inputs!$C$52)*O157))</f>
        <v>3.8238916699942879E-2</v>
      </c>
      <c r="P158" s="3">
        <f>IF((B158&gt;B157), (EXP(-LN(2)/inputs!$C$52)*P157+$P$3), (EXP(-LN(2)/inputs!$C$52)*P157))</f>
        <v>3.6950453395729055E-2</v>
      </c>
      <c r="Q158" s="19">
        <f>IF((F158*0.62*1/(0.012*(10^inputs!$C$55)))&gt;inputs!$C$57, inputs!$C$57, (F158*0.62*1/(0.012*(10^inputs!$C$55))))</f>
        <v>5.2114436510834927E-9</v>
      </c>
      <c r="R158" s="3">
        <f>IF((B158&gt;B157), (EXP(-LN(2)/inputs!$C$51)*R157+$R$3), (EXP(-LN(2)/inputs!$C$51)*R157))</f>
        <v>1.2108498103970577E-14</v>
      </c>
      <c r="T158" s="7">
        <f>IF(T157&lt;(inputs!$C$20-1),(1+T157),0)</f>
        <v>0</v>
      </c>
      <c r="U158" s="7">
        <f>IF(inputs!$C$19&gt;U157,IF(T157=(inputs!$C$20-1),(U157+1),U157), U157)</f>
        <v>1</v>
      </c>
      <c r="V158" s="7">
        <f t="shared" si="4"/>
        <v>155</v>
      </c>
      <c r="W158" s="8">
        <f>IF((U158&gt;U157), (EXP(-LN(2)/inputs!$C$51)*W157+$W$3), (EXP(-LN(2)/inputs!$C$51)*W157))</f>
        <v>4.007123799206355E-7</v>
      </c>
      <c r="X158" s="8">
        <f>IF((U158&gt;U157), (EXP(-LN(2)/inputs!$C$51)*X157+$X$3), (EXP(-LN(2)/inputs!$C$51)*X157))</f>
        <v>1.6971347855462208E-7</v>
      </c>
      <c r="Y158" s="8">
        <f>IF((U158&gt;U157), (EXP(-LN(2)/inputs!$C$51)*Y157+$Y$3), (EXP(-LN(2)/inputs!$C$51)*Y157))</f>
        <v>2.1214184819327786E-7</v>
      </c>
      <c r="Z158" s="8">
        <f>IF((U158&gt;U157), (EXP(-LN(2)/inputs!$C$51)*Z157+$Z$3), (EXP(-LN(2)/inputs!$C$51)*Z157))</f>
        <v>3.2999843052287626E-8</v>
      </c>
      <c r="AA158" s="8">
        <f>IF((U158&gt;U157), (EXP(-LN(2)/inputs!$C$51)*AA157+$AA$3), (EXP(-LN(2)/inputs!$C$51)*AA157))</f>
        <v>3.0642711405695676E-7</v>
      </c>
      <c r="AB158" s="7">
        <f>(((0.621*15^0.564)/0.2))*W158/15+AB157*inputs!$C$53</f>
        <v>4.3119242400608433E-7</v>
      </c>
      <c r="AC158" s="7">
        <f>(((0.621*1000^0.564)/0.2))*W158/1000+AC157*inputs!$C$53</f>
        <v>6.9095046063590792E-8</v>
      </c>
      <c r="AD158" s="7">
        <f>(((0.648*20^0.651)/0.2))*AA158/20+AD157*inputs!$C$54</f>
        <v>4.6156569392222953E-7</v>
      </c>
      <c r="AE158" s="7">
        <f>(((0.013*2^0.773)/0.2))*AA158/2+AE157*inputs!$C$54</f>
        <v>2.2507513956864201E-8</v>
      </c>
    </row>
    <row r="159" spans="1:31" x14ac:dyDescent="0.3">
      <c r="A159" s="7">
        <f>IF(A158&lt;(inputs!$C$20-1),(1+A158),0)</f>
        <v>0</v>
      </c>
      <c r="B159" s="7">
        <f>IF(inputs!$C$19&gt;B158,IF(A158=(inputs!$C$20-1),(B158+1),B158), B158)</f>
        <v>1</v>
      </c>
      <c r="C159" s="7">
        <f t="shared" si="5"/>
        <v>156</v>
      </c>
      <c r="D159" s="8">
        <f>IF((B159&gt;B158), (EXP(-LN(2)/inputs!$C$51)*D158+$D$3), (EXP(-LN(2)/inputs!$C$51)*D158))</f>
        <v>9.9272043916562561E-7</v>
      </c>
      <c r="E159" s="8">
        <f>IF((B159&gt;B158), (EXP(-LN(2)/inputs!$C$51)*E158+$E$3), (EXP(-LN(2)/inputs!$C$51)*E158))</f>
        <v>4.5499686795091116E-7</v>
      </c>
      <c r="F159" s="8">
        <f>IF((B159&gt;B158), (EXP(-LN(2)/inputs!$C$51)*F158+$F$3), (EXP(-LN(2)/inputs!$C$51)*F158))</f>
        <v>5.5840524703066407E-7</v>
      </c>
      <c r="G159" s="8">
        <f>IF((B159&gt;B158), (EXP(-LN(2)/inputs!$C$51)*G158+$G$3), (EXP(-LN(2)/inputs!$C$51)*G158))</f>
        <v>6.2045027447851601E-8</v>
      </c>
      <c r="H159" s="8">
        <f>IF((B159&gt;B158), (EXP(-LN(2)/inputs!$C$51)*H158+$H$3), (EXP(-LN(2)/inputs!$C$51)*H158))</f>
        <v>3.8881550533986923E-7</v>
      </c>
      <c r="I159" s="7">
        <f>O159*(10^inputs!$C$55)*0.01/1</f>
        <v>2.3640233230734746</v>
      </c>
      <c r="J159" s="7">
        <f>(((0.621*15^0.564)/0.2))*D159/15+J158*inputs!$C$53</f>
        <v>1.0682313648732048E-6</v>
      </c>
      <c r="K159" s="7">
        <f>(((0.621*1000^0.564)/0.2))*D159/1000+K158*inputs!$C$53</f>
        <v>1.7117530655280035E-7</v>
      </c>
      <c r="L159" s="7">
        <f>(((0.648*20^0.651)/0.2))*H159/20+L158*inputs!$C$54</f>
        <v>5.8566585754732345E-7</v>
      </c>
      <c r="M159" s="7">
        <f>(((0.013*2^0.773)/0.2))*H159/2+M158*inputs!$C$54</f>
        <v>2.8559060251618863E-8</v>
      </c>
      <c r="N159" s="7">
        <f>O159*0.015*inputs!$C$56</f>
        <v>0.3473213585134679</v>
      </c>
      <c r="O159" s="7">
        <f>IF((B159&gt;B158), (EXP(-LN(2)/inputs!$C$52)*O158+$O$3), (EXP(-LN(2)/inputs!$C$52)*O158))</f>
        <v>3.7467244715584457E-2</v>
      </c>
      <c r="P159" s="3">
        <f>IF((B159&gt;B158), (EXP(-LN(2)/inputs!$C$52)*P158+$P$3), (EXP(-LN(2)/inputs!$C$52)*P158))</f>
        <v>3.6204782959545691E-2</v>
      </c>
      <c r="Q159" s="19">
        <f>IF((F159*0.62*1/(0.012*(10^inputs!$C$55)))&gt;inputs!$C$57, inputs!$C$57, (F159*0.62*1/(0.012*(10^inputs!$C$55))))</f>
        <v>4.5725654857095693E-9</v>
      </c>
      <c r="R159" s="3">
        <f>IF((B159&gt;B158), (EXP(-LN(2)/inputs!$C$51)*R158+$R$3), (EXP(-LN(2)/inputs!$C$51)*R158))</f>
        <v>1.0624100387708208E-14</v>
      </c>
      <c r="T159" s="7">
        <f>IF(T158&lt;(inputs!$C$20-1),(1+T158),0)</f>
        <v>0</v>
      </c>
      <c r="U159" s="7">
        <f>IF(inputs!$C$19&gt;U158,IF(T158=(inputs!$C$20-1),(U158+1),U158), U158)</f>
        <v>1</v>
      </c>
      <c r="V159" s="7">
        <f t="shared" si="4"/>
        <v>156</v>
      </c>
      <c r="W159" s="8">
        <f>IF((U159&gt;U158), (EXP(-LN(2)/inputs!$C$51)*W158+$W$3), (EXP(-LN(2)/inputs!$C$51)*W158))</f>
        <v>3.5158848887115841E-7</v>
      </c>
      <c r="X159" s="8">
        <f>IF((U159&gt;U158), (EXP(-LN(2)/inputs!$C$51)*X158+$X$3), (EXP(-LN(2)/inputs!$C$51)*X158))</f>
        <v>1.4890806587484355E-7</v>
      </c>
      <c r="Y159" s="8">
        <f>IF((U159&gt;U158), (EXP(-LN(2)/inputs!$C$51)*Y158+$Y$3), (EXP(-LN(2)/inputs!$C$51)*Y158))</f>
        <v>1.8613508234355468E-7</v>
      </c>
      <c r="Z159" s="8">
        <f>IF((U159&gt;U158), (EXP(-LN(2)/inputs!$C$51)*Z158+$Z$3), (EXP(-LN(2)/inputs!$C$51)*Z158))</f>
        <v>2.8954346142330692E-8</v>
      </c>
      <c r="AA159" s="8">
        <f>IF((U159&gt;U158), (EXP(-LN(2)/inputs!$C$51)*AA158+$AA$3), (EXP(-LN(2)/inputs!$C$51)*AA158))</f>
        <v>2.6886178560735661E-7</v>
      </c>
      <c r="AB159" s="7">
        <f>(((0.621*15^0.564)/0.2))*W159/15+AB158*inputs!$C$53</f>
        <v>3.78331941725926E-7</v>
      </c>
      <c r="AC159" s="7">
        <f>(((0.621*1000^0.564)/0.2))*W159/1000+AC158*inputs!$C$53</f>
        <v>6.0624587737450005E-8</v>
      </c>
      <c r="AD159" s="7">
        <f>(((0.648*20^0.651)/0.2))*AA159/20+AD158*inputs!$C$54</f>
        <v>4.0498171000612831E-7</v>
      </c>
      <c r="AE159" s="7">
        <f>(((0.013*2^0.773)/0.2))*AA159/2+AE158*inputs!$C$54</f>
        <v>1.9748286344204551E-8</v>
      </c>
    </row>
    <row r="160" spans="1:31" x14ac:dyDescent="0.3">
      <c r="A160" s="7">
        <f>IF(A159&lt;(inputs!$C$20-1),(1+A159),0)</f>
        <v>0</v>
      </c>
      <c r="B160" s="7">
        <f>IF(inputs!$C$19&gt;B159,IF(A159=(inputs!$C$20-1),(B159+1),B159), B159)</f>
        <v>1</v>
      </c>
      <c r="C160" s="7">
        <f t="shared" si="5"/>
        <v>157</v>
      </c>
      <c r="D160" s="8">
        <f>IF((B160&gt;B159), (EXP(-LN(2)/inputs!$C$51)*D159+$D$3), (EXP(-LN(2)/inputs!$C$51)*D159))</f>
        <v>8.7102145221189133E-7</v>
      </c>
      <c r="E160" s="8">
        <f>IF((B160&gt;B159), (EXP(-LN(2)/inputs!$C$51)*E159+$E$3), (EXP(-LN(2)/inputs!$C$51)*E159))</f>
        <v>3.9921816559711636E-7</v>
      </c>
      <c r="F160" s="8">
        <f>IF((B160&gt;B159), (EXP(-LN(2)/inputs!$C$51)*F159+$F$3), (EXP(-LN(2)/inputs!$C$51)*F159))</f>
        <v>4.8994956686918866E-7</v>
      </c>
      <c r="G160" s="8">
        <f>IF((B160&gt;B159), (EXP(-LN(2)/inputs!$C$51)*G159+$G$3), (EXP(-LN(2)/inputs!$C$51)*G159))</f>
        <v>5.4438840763243208E-8</v>
      </c>
      <c r="H160" s="8">
        <f>IF((B160&gt;B159), (EXP(-LN(2)/inputs!$C$51)*H159+$H$3), (EXP(-LN(2)/inputs!$C$51)*H159))</f>
        <v>3.411500687829901E-7</v>
      </c>
      <c r="I160" s="7">
        <f>O160*(10^inputs!$C$55)*0.01/1</f>
        <v>2.3163166742920662</v>
      </c>
      <c r="J160" s="7">
        <f>(((0.621*15^0.564)/0.2))*D160/15+J159*inputs!$C$53</f>
        <v>9.3727538793518566E-7</v>
      </c>
      <c r="K160" s="7">
        <f>(((0.621*1000^0.564)/0.2))*D160/1000+K159*inputs!$C$53</f>
        <v>1.5019068633436329E-7</v>
      </c>
      <c r="L160" s="7">
        <f>(((0.648*20^0.651)/0.2))*H160/20+L159*inputs!$C$54</f>
        <v>5.1386826101873248E-7</v>
      </c>
      <c r="M160" s="7">
        <f>(((0.013*2^0.773)/0.2))*H160/2+M159*inputs!$C$54</f>
        <v>2.5057965115616732E-8</v>
      </c>
      <c r="N160" s="7">
        <f>O160*0.015*inputs!$C$56</f>
        <v>0.34031231680767732</v>
      </c>
      <c r="O160" s="7">
        <f>IF((B160&gt;B159), (EXP(-LN(2)/inputs!$C$52)*O159+$O$3), (EXP(-LN(2)/inputs!$C$52)*O159))</f>
        <v>3.6711145286696584E-2</v>
      </c>
      <c r="P160" s="3">
        <f>IF((B160&gt;B159), (EXP(-LN(2)/inputs!$C$52)*P159+$P$3), (EXP(-LN(2)/inputs!$C$52)*P159))</f>
        <v>3.5474160360352121E-2</v>
      </c>
      <c r="Q160" s="19">
        <f>IF((F160*0.62*1/(0.012*(10^inputs!$C$55)))&gt;inputs!$C$57, inputs!$C$57, (F160*0.62*1/(0.012*(10^inputs!$C$55))))</f>
        <v>4.0120082880979446E-9</v>
      </c>
      <c r="R160" s="3">
        <f>IF((B160&gt;B159), (EXP(-LN(2)/inputs!$C$51)*R159+$R$3), (EXP(-LN(2)/inputs!$C$51)*R159))</f>
        <v>9.3216770634079921E-15</v>
      </c>
      <c r="T160" s="7">
        <f>IF(T159&lt;(inputs!$C$20-1),(1+T159),0)</f>
        <v>0</v>
      </c>
      <c r="U160" s="7">
        <f>IF(inputs!$C$19&gt;U159,IF(T159=(inputs!$C$20-1),(U159+1),U159), U159)</f>
        <v>1</v>
      </c>
      <c r="V160" s="7">
        <f t="shared" si="4"/>
        <v>157</v>
      </c>
      <c r="W160" s="8">
        <f>IF((U160&gt;U159), (EXP(-LN(2)/inputs!$C$51)*W159+$W$3), (EXP(-LN(2)/inputs!$C$51)*W159))</f>
        <v>3.0848676432504428E-7</v>
      </c>
      <c r="X160" s="8">
        <f>IF((U160&gt;U159), (EXP(-LN(2)/inputs!$C$51)*X159+$X$3), (EXP(-LN(2)/inputs!$C$51)*X159))</f>
        <v>1.3065321783178346E-7</v>
      </c>
      <c r="Y160" s="8">
        <f>IF((U160&gt;U159), (EXP(-LN(2)/inputs!$C$51)*Y159+$Y$3), (EXP(-LN(2)/inputs!$C$51)*Y159))</f>
        <v>1.6331652228972952E-7</v>
      </c>
      <c r="Z160" s="8">
        <f>IF((U160&gt;U159), (EXP(-LN(2)/inputs!$C$51)*Z159+$Z$3), (EXP(-LN(2)/inputs!$C$51)*Z159))</f>
        <v>2.5404792356180115E-8</v>
      </c>
      <c r="AA160" s="8">
        <f>IF((U160&gt;U159), (EXP(-LN(2)/inputs!$C$51)*AA159+$AA$3), (EXP(-LN(2)/inputs!$C$51)*AA159))</f>
        <v>2.3590164330738698E-7</v>
      </c>
      <c r="AB160" s="7">
        <f>(((0.621*15^0.564)/0.2))*W160/15+AB159*inputs!$C$53</f>
        <v>3.3195169989371095E-7</v>
      </c>
      <c r="AC160" s="7">
        <f>(((0.621*1000^0.564)/0.2))*W160/1000+AC159*inputs!$C$53</f>
        <v>5.3192534743420233E-8</v>
      </c>
      <c r="AD160" s="7">
        <f>(((0.648*20^0.651)/0.2))*AA160/20+AD159*inputs!$C$54</f>
        <v>3.5533443581082593E-7</v>
      </c>
      <c r="AE160" s="7">
        <f>(((0.013*2^0.773)/0.2))*AA160/2+AE159*inputs!$C$54</f>
        <v>1.7327316303352011E-8</v>
      </c>
    </row>
    <row r="161" spans="1:31" x14ac:dyDescent="0.3">
      <c r="A161" s="7">
        <f>IF(A160&lt;(inputs!$C$20-1),(1+A160),0)</f>
        <v>0</v>
      </c>
      <c r="B161" s="7">
        <f>IF(inputs!$C$19&gt;B160,IF(A160=(inputs!$C$20-1),(B160+1),B160), B160)</f>
        <v>1</v>
      </c>
      <c r="C161" s="7">
        <f t="shared" si="5"/>
        <v>158</v>
      </c>
      <c r="D161" s="8">
        <f>IF((B161&gt;B160), (EXP(-LN(2)/inputs!$C$51)*D160+$D$3), (EXP(-LN(2)/inputs!$C$51)*D160))</f>
        <v>7.6424171426446692E-7</v>
      </c>
      <c r="E161" s="8">
        <f>IF((B161&gt;B160), (EXP(-LN(2)/inputs!$C$51)*E160+$E$3), (EXP(-LN(2)/inputs!$C$51)*E160))</f>
        <v>3.5027745237121357E-7</v>
      </c>
      <c r="F161" s="8">
        <f>IF((B161&gt;B160), (EXP(-LN(2)/inputs!$C$51)*F160+$F$3), (EXP(-LN(2)/inputs!$C$51)*F160))</f>
        <v>4.2988596427376244E-7</v>
      </c>
      <c r="G161" s="8">
        <f>IF((B161&gt;B160), (EXP(-LN(2)/inputs!$C$51)*G160+$G$3), (EXP(-LN(2)/inputs!$C$51)*G160))</f>
        <v>4.7765107141529182E-8</v>
      </c>
      <c r="H161" s="8">
        <f>IF((B161&gt;B160), (EXP(-LN(2)/inputs!$C$51)*H160+$H$3), (EXP(-LN(2)/inputs!$C$51)*H160))</f>
        <v>2.9932800475358227E-7</v>
      </c>
      <c r="I161" s="7">
        <f>O161*(10^inputs!$C$55)*0.01/1</f>
        <v>2.2695727589641477</v>
      </c>
      <c r="J161" s="7">
        <f>(((0.621*15^0.564)/0.2))*D161/15+J160*inputs!$C$53</f>
        <v>8.2237348735152124E-7</v>
      </c>
      <c r="K161" s="7">
        <f>(((0.621*1000^0.564)/0.2))*D161/1000+K160*inputs!$C$53</f>
        <v>1.3177860005542998E-7</v>
      </c>
      <c r="L161" s="7">
        <f>(((0.648*20^0.651)/0.2))*H161/20+L160*inputs!$C$54</f>
        <v>4.5087243225729488E-7</v>
      </c>
      <c r="M161" s="7">
        <f>(((0.013*2^0.773)/0.2))*H161/2+M160*inputs!$C$54</f>
        <v>2.1986074128607666E-8</v>
      </c>
      <c r="N161" s="7">
        <f>O161*0.015*inputs!$C$56</f>
        <v>0.33344471951476068</v>
      </c>
      <c r="O161" s="7">
        <f>IF((B161&gt;B160), (EXP(-LN(2)/inputs!$C$52)*O160+$O$3), (EXP(-LN(2)/inputs!$C$52)*O160))</f>
        <v>3.5970304154774618E-2</v>
      </c>
      <c r="P161" s="3">
        <f>IF((B161&gt;B160), (EXP(-LN(2)/inputs!$C$52)*P160+$P$3), (EXP(-LN(2)/inputs!$C$52)*P160))</f>
        <v>3.4758281928608713E-2</v>
      </c>
      <c r="Q161" s="19">
        <f>IF((F161*0.62*1/(0.012*(10^inputs!$C$55)))&gt;inputs!$C$57, inputs!$C$57, (F161*0.62*1/(0.012*(10^inputs!$C$55))))</f>
        <v>3.5201705812790114E-9</v>
      </c>
      <c r="R161" s="3">
        <f>IF((B161&gt;B160), (EXP(-LN(2)/inputs!$C$51)*R160+$R$3), (EXP(-LN(2)/inputs!$C$51)*R160))</f>
        <v>8.178919635868674E-15</v>
      </c>
      <c r="T161" s="7">
        <f>IF(T160&lt;(inputs!$C$20-1),(1+T160),0)</f>
        <v>0</v>
      </c>
      <c r="U161" s="7">
        <f>IF(inputs!$C$19&gt;U160,IF(T160=(inputs!$C$20-1),(U160+1),U160), U160)</f>
        <v>1</v>
      </c>
      <c r="V161" s="7">
        <f t="shared" si="4"/>
        <v>158</v>
      </c>
      <c r="W161" s="8">
        <f>IF((U161&gt;U160), (EXP(-LN(2)/inputs!$C$51)*W160+$W$3), (EXP(-LN(2)/inputs!$C$51)*W160))</f>
        <v>2.7066894046866486E-7</v>
      </c>
      <c r="X161" s="8">
        <f>IF((U161&gt;U160), (EXP(-LN(2)/inputs!$C$51)*X160+$X$3), (EXP(-LN(2)/inputs!$C$51)*X160))</f>
        <v>1.1463625713966982E-7</v>
      </c>
      <c r="Y161" s="8">
        <f>IF((U161&gt;U160), (EXP(-LN(2)/inputs!$C$51)*Y160+$Y$3), (EXP(-LN(2)/inputs!$C$51)*Y160))</f>
        <v>1.4329532142458745E-7</v>
      </c>
      <c r="Z161" s="8">
        <f>IF((U161&gt;U160), (EXP(-LN(2)/inputs!$C$51)*Z160+$Z$3), (EXP(-LN(2)/inputs!$C$51)*Z160))</f>
        <v>2.2290383332713575E-8</v>
      </c>
      <c r="AA161" s="8">
        <f>IF((U161&gt;U160), (EXP(-LN(2)/inputs!$C$51)*AA160+$AA$3), (EXP(-LN(2)/inputs!$C$51)*AA160))</f>
        <v>2.0698213094662622E-7</v>
      </c>
      <c r="AB161" s="7">
        <f>(((0.621*15^0.564)/0.2))*W161/15+AB160*inputs!$C$53</f>
        <v>2.9125727677032987E-7</v>
      </c>
      <c r="AC161" s="7">
        <f>(((0.621*1000^0.564)/0.2))*W161/1000+AC160*inputs!$C$53</f>
        <v>4.6671587519631367E-8</v>
      </c>
      <c r="AD161" s="7">
        <f>(((0.648*20^0.651)/0.2))*AA161/20+AD160*inputs!$C$54</f>
        <v>3.1177349039068293E-7</v>
      </c>
      <c r="AE161" s="7">
        <f>(((0.013*2^0.773)/0.2))*AA161/2+AE160*inputs!$C$54</f>
        <v>1.5203136365526591E-8</v>
      </c>
    </row>
    <row r="162" spans="1:31" x14ac:dyDescent="0.3">
      <c r="A162" s="7">
        <f>IF(A161&lt;(inputs!$C$20-1),(1+A161),0)</f>
        <v>0</v>
      </c>
      <c r="B162" s="7">
        <f>IF(inputs!$C$19&gt;B161,IF(A161=(inputs!$C$20-1),(B161+1),B161), B161)</f>
        <v>1</v>
      </c>
      <c r="C162" s="7">
        <f t="shared" si="5"/>
        <v>159</v>
      </c>
      <c r="D162" s="8">
        <f>IF((B162&gt;B161), (EXP(-LN(2)/inputs!$C$51)*D161+$D$3), (EXP(-LN(2)/inputs!$C$51)*D161))</f>
        <v>6.705522537231458E-7</v>
      </c>
      <c r="E162" s="8">
        <f>IF((B162&gt;B161), (EXP(-LN(2)/inputs!$C$51)*E161+$E$3), (EXP(-LN(2)/inputs!$C$51)*E161))</f>
        <v>3.0733644962310812E-7</v>
      </c>
      <c r="F162" s="8">
        <f>IF((B162&gt;B161), (EXP(-LN(2)/inputs!$C$51)*F161+$F$3), (EXP(-LN(2)/inputs!$C$51)*F161))</f>
        <v>3.7718564271926933E-7</v>
      </c>
      <c r="G162" s="8">
        <f>IF((B162&gt;B161), (EXP(-LN(2)/inputs!$C$51)*G161+$G$3), (EXP(-LN(2)/inputs!$C$51)*G161))</f>
        <v>4.1909515857696613E-8</v>
      </c>
      <c r="H162" s="8">
        <f>IF((B162&gt;B161), (EXP(-LN(2)/inputs!$C$51)*H161+$H$3), (EXP(-LN(2)/inputs!$C$51)*H161))</f>
        <v>2.6263296604156489E-7</v>
      </c>
      <c r="I162" s="7">
        <f>O162*(10^inputs!$C$55)*0.01/1</f>
        <v>2.2237721488606117</v>
      </c>
      <c r="J162" s="7">
        <f>(((0.621*15^0.564)/0.2))*D162/15+J161*inputs!$C$53</f>
        <v>7.2155757145035581E-7</v>
      </c>
      <c r="K162" s="7">
        <f>(((0.621*1000^0.564)/0.2))*D162/1000+K161*inputs!$C$53</f>
        <v>1.1562367718267602E-7</v>
      </c>
      <c r="L162" s="7">
        <f>(((0.648*20^0.651)/0.2))*H162/20+L161*inputs!$C$54</f>
        <v>3.9559935024319088E-7</v>
      </c>
      <c r="M162" s="7">
        <f>(((0.013*2^0.773)/0.2))*H162/2+M161*inputs!$C$54</f>
        <v>1.9290770553725948E-8</v>
      </c>
      <c r="N162" s="7">
        <f>O162*0.015*inputs!$C$56</f>
        <v>0.32671571224708945</v>
      </c>
      <c r="O162" s="7">
        <f>IF((B162&gt;B161), (EXP(-LN(2)/inputs!$C$52)*O161+$O$3), (EXP(-LN(2)/inputs!$C$52)*O161))</f>
        <v>3.5244413403138018E-2</v>
      </c>
      <c r="P162" s="3">
        <f>IF((B162&gt;B161), (EXP(-LN(2)/inputs!$C$52)*P161+$P$3), (EXP(-LN(2)/inputs!$C$52)*P161))</f>
        <v>3.4056850122911687E-2</v>
      </c>
      <c r="Q162" s="19">
        <f>IF((F162*0.62*1/(0.012*(10^inputs!$C$55)))&gt;inputs!$C$57, inputs!$C$57, (F162*0.62*1/(0.012*(10^inputs!$C$55))))</f>
        <v>3.0886279467725022E-9</v>
      </c>
      <c r="R162" s="3">
        <f>IF((B162&gt;B161), (EXP(-LN(2)/inputs!$C$51)*R161+$R$3), (EXP(-LN(2)/inputs!$C$51)*R161))</f>
        <v>7.1762544395140788E-15</v>
      </c>
      <c r="T162" s="7">
        <f>IF(T161&lt;(inputs!$C$20-1),(1+T161),0)</f>
        <v>0</v>
      </c>
      <c r="U162" s="7">
        <f>IF(inputs!$C$19&gt;U161,IF(T161=(inputs!$C$20-1),(U161+1),U161), U161)</f>
        <v>1</v>
      </c>
      <c r="V162" s="7">
        <f t="shared" si="4"/>
        <v>159</v>
      </c>
      <c r="W162" s="8">
        <f>IF((U162&gt;U161), (EXP(-LN(2)/inputs!$C$51)*W161+$W$3), (EXP(-LN(2)/inputs!$C$51)*W161))</f>
        <v>2.3748725652694702E-7</v>
      </c>
      <c r="X162" s="8">
        <f>IF((U162&gt;U161), (EXP(-LN(2)/inputs!$C$51)*X161+$X$3), (EXP(-LN(2)/inputs!$C$51)*X161))</f>
        <v>1.0058283805847168E-7</v>
      </c>
      <c r="Y162" s="8">
        <f>IF((U162&gt;U161), (EXP(-LN(2)/inputs!$C$51)*Y161+$Y$3), (EXP(-LN(2)/inputs!$C$51)*Y161))</f>
        <v>1.2572854757308976E-7</v>
      </c>
      <c r="Z162" s="8">
        <f>IF((U162&gt;U161), (EXP(-LN(2)/inputs!$C$51)*Z161+$Z$3), (EXP(-LN(2)/inputs!$C$51)*Z161))</f>
        <v>1.9557774066925049E-8</v>
      </c>
      <c r="AA162" s="8">
        <f>IF((U162&gt;U161), (EXP(-LN(2)/inputs!$C$51)*AA161+$AA$3), (EXP(-LN(2)/inputs!$C$51)*AA161))</f>
        <v>1.8160790205001844E-7</v>
      </c>
      <c r="AB162" s="7">
        <f>(((0.621*15^0.564)/0.2))*W162/15+AB161*inputs!$C$53</f>
        <v>2.5555163988866721E-7</v>
      </c>
      <c r="AC162" s="7">
        <f>(((0.621*1000^0.564)/0.2))*W162/1000+AC161*inputs!$C$53</f>
        <v>4.0950052335531002E-8</v>
      </c>
      <c r="AD162" s="7">
        <f>(((0.648*20^0.651)/0.2))*AA162/20+AD161*inputs!$C$54</f>
        <v>2.7355274218944078E-7</v>
      </c>
      <c r="AE162" s="7">
        <f>(((0.013*2^0.773)/0.2))*AA162/2+AE161*inputs!$C$54</f>
        <v>1.3339362616938167E-8</v>
      </c>
    </row>
    <row r="163" spans="1:31" x14ac:dyDescent="0.3">
      <c r="A163" s="7">
        <f>IF(A162&lt;(inputs!$C$20-1),(1+A162),0)</f>
        <v>0</v>
      </c>
      <c r="B163" s="7">
        <f>IF(inputs!$C$19&gt;B162,IF(A162=(inputs!$C$20-1),(B162+1),B162), B162)</f>
        <v>1</v>
      </c>
      <c r="C163" s="7">
        <f t="shared" si="5"/>
        <v>160</v>
      </c>
      <c r="D163" s="8">
        <f>IF((B163&gt;B162), (EXP(-LN(2)/inputs!$C$51)*D162+$D$3), (EXP(-LN(2)/inputs!$C$51)*D162))</f>
        <v>5.8834831517400193E-7</v>
      </c>
      <c r="E163" s="8">
        <f>IF((B163&gt;B162), (EXP(-LN(2)/inputs!$C$51)*E162+$E$3), (EXP(-LN(2)/inputs!$C$51)*E162))</f>
        <v>2.6965964445475057E-7</v>
      </c>
      <c r="F163" s="8">
        <f>IF((B163&gt;B162), (EXP(-LN(2)/inputs!$C$51)*F162+$F$3), (EXP(-LN(2)/inputs!$C$51)*F162))</f>
        <v>3.3094592728537591E-7</v>
      </c>
      <c r="G163" s="8">
        <f>IF((B163&gt;B162), (EXP(-LN(2)/inputs!$C$51)*G162+$G$3), (EXP(-LN(2)/inputs!$C$51)*G162))</f>
        <v>3.6771769698375121E-8</v>
      </c>
      <c r="H163" s="8">
        <f>IF((B163&gt;B162), (EXP(-LN(2)/inputs!$C$51)*H162+$H$3), (EXP(-LN(2)/inputs!$C$51)*H162))</f>
        <v>2.3043642344315026E-7</v>
      </c>
      <c r="I163" s="7">
        <f>O163*(10^inputs!$C$55)*0.01/1</f>
        <v>2.1788958078194223</v>
      </c>
      <c r="J163" s="7">
        <f>(((0.621*15^0.564)/0.2))*D163/15+J162*inputs!$C$53</f>
        <v>6.3310081967025646E-7</v>
      </c>
      <c r="K163" s="7">
        <f>(((0.621*1000^0.564)/0.2))*D163/1000+K162*inputs!$C$53</f>
        <v>1.0144920889750191E-7</v>
      </c>
      <c r="L163" s="7">
        <f>(((0.648*20^0.651)/0.2))*H163/20+L162*inputs!$C$54</f>
        <v>3.4710227265242767E-7</v>
      </c>
      <c r="M163" s="7">
        <f>(((0.013*2^0.773)/0.2))*H163/2+M162*inputs!$C$54</f>
        <v>1.6925888013462576E-8</v>
      </c>
      <c r="N163" s="7">
        <f>O163*0.015*inputs!$C$56</f>
        <v>0.32012249821937183</v>
      </c>
      <c r="O163" s="7">
        <f>IF((B163&gt;B162), (EXP(-LN(2)/inputs!$C$52)*O162+$O$3), (EXP(-LN(2)/inputs!$C$52)*O162))</f>
        <v>3.4533171328950577E-2</v>
      </c>
      <c r="P163" s="3">
        <f>IF((B163&gt;B162), (EXP(-LN(2)/inputs!$C$52)*P162+$P$3), (EXP(-LN(2)/inputs!$C$52)*P162))</f>
        <v>3.3369573406325626E-2</v>
      </c>
      <c r="Q163" s="19">
        <f>IF((F163*0.62*1/(0.012*(10^inputs!$C$55)))&gt;inputs!$C$57, inputs!$C$57, (F163*0.62*1/(0.012*(10^inputs!$C$55))))</f>
        <v>2.7099887273411656E-9</v>
      </c>
      <c r="R163" s="3">
        <f>IF((B163&gt;B162), (EXP(-LN(2)/inputs!$C$51)*R162+$R$3), (EXP(-LN(2)/inputs!$C$51)*R162))</f>
        <v>6.2965073718047251E-15</v>
      </c>
      <c r="T163" s="7">
        <f>IF(T162&lt;(inputs!$C$20-1),(1+T162),0)</f>
        <v>0</v>
      </c>
      <c r="U163" s="7">
        <f>IF(inputs!$C$19&gt;U162,IF(T162=(inputs!$C$20-1),(U162+1),U162), U162)</f>
        <v>1</v>
      </c>
      <c r="V163" s="7">
        <f t="shared" si="4"/>
        <v>160</v>
      </c>
      <c r="W163" s="8">
        <f>IF((U163&gt;U162), (EXP(-LN(2)/inputs!$C$51)*W162+$W$3), (EXP(-LN(2)/inputs!$C$51)*W162))</f>
        <v>2.0837336162412529E-7</v>
      </c>
      <c r="X163" s="8">
        <f>IF((U163&gt;U162), (EXP(-LN(2)/inputs!$C$51)*X162+$X$3), (EXP(-LN(2)/inputs!$C$51)*X162))</f>
        <v>8.8252247276100128E-8</v>
      </c>
      <c r="Y163" s="8">
        <f>IF((U163&gt;U162), (EXP(-LN(2)/inputs!$C$51)*Y162+$Y$3), (EXP(-LN(2)/inputs!$C$51)*Y162))</f>
        <v>1.103153090951253E-7</v>
      </c>
      <c r="Z163" s="8">
        <f>IF((U163&gt;U162), (EXP(-LN(2)/inputs!$C$51)*Z162+$Z$3), (EXP(-LN(2)/inputs!$C$51)*Z162))</f>
        <v>1.7160159192575022E-8</v>
      </c>
      <c r="AA163" s="8">
        <f>IF((U163&gt;U162), (EXP(-LN(2)/inputs!$C$51)*AA162+$AA$3), (EXP(-LN(2)/inputs!$C$51)*AA162))</f>
        <v>1.5934433535962533E-7</v>
      </c>
      <c r="AB163" s="7">
        <f>(((0.621*15^0.564)/0.2))*W163/15+AB162*inputs!$C$53</f>
        <v>2.2422320696654873E-7</v>
      </c>
      <c r="AC163" s="7">
        <f>(((0.621*1000^0.564)/0.2))*W163/1000+AC162*inputs!$C$53</f>
        <v>3.5929928151198519E-8</v>
      </c>
      <c r="AD163" s="7">
        <f>(((0.648*20^0.651)/0.2))*AA163/20+AD162*inputs!$C$54</f>
        <v>2.4001752896178535E-7</v>
      </c>
      <c r="AE163" s="7">
        <f>(((0.013*2^0.773)/0.2))*AA163/2+AE162*inputs!$C$54</f>
        <v>1.1704071498670941E-8</v>
      </c>
    </row>
    <row r="164" spans="1:31" x14ac:dyDescent="0.3">
      <c r="A164" s="7">
        <f>IF(A163&lt;(inputs!$C$20-1),(1+A163),0)</f>
        <v>0</v>
      </c>
      <c r="B164" s="7">
        <f>IF(inputs!$C$19&gt;B163,IF(A163=(inputs!$C$20-1),(B163+1),B163), B163)</f>
        <v>1</v>
      </c>
      <c r="C164" s="7">
        <f t="shared" si="5"/>
        <v>161</v>
      </c>
      <c r="D164" s="8">
        <f>IF((B164&gt;B163), (EXP(-LN(2)/inputs!$C$51)*D163+$D$3), (EXP(-LN(2)/inputs!$C$51)*D163))</f>
        <v>5.1622187241354781E-7</v>
      </c>
      <c r="E164" s="8">
        <f>IF((B164&gt;B163), (EXP(-LN(2)/inputs!$C$51)*E163+$E$3), (EXP(-LN(2)/inputs!$C$51)*E163))</f>
        <v>2.366016915228758E-7</v>
      </c>
      <c r="F164" s="8">
        <f>IF((B164&gt;B163), (EXP(-LN(2)/inputs!$C$51)*F163+$F$3), (EXP(-LN(2)/inputs!$C$51)*F163))</f>
        <v>2.9037480323262048E-7</v>
      </c>
      <c r="G164" s="8">
        <f>IF((B164&gt;B163), (EXP(-LN(2)/inputs!$C$51)*G163+$G$3), (EXP(-LN(2)/inputs!$C$51)*G163))</f>
        <v>3.2263867025846738E-8</v>
      </c>
      <c r="H164" s="8">
        <f>IF((B164&gt;B163), (EXP(-LN(2)/inputs!$C$51)*H163+$H$3), (EXP(-LN(2)/inputs!$C$51)*H163))</f>
        <v>2.0218690002863913E-7</v>
      </c>
      <c r="I164" s="7">
        <f>O164*(10^inputs!$C$55)*0.01/1</f>
        <v>2.1349250838335938</v>
      </c>
      <c r="J164" s="7">
        <f>(((0.621*15^0.564)/0.2))*D164/15+J163*inputs!$C$53</f>
        <v>5.5548810479736935E-7</v>
      </c>
      <c r="K164" s="7">
        <f>(((0.621*1000^0.564)/0.2))*D164/1000+K163*inputs!$C$53</f>
        <v>8.9012408502356713E-8</v>
      </c>
      <c r="L164" s="7">
        <f>(((0.648*20^0.651)/0.2))*H164/20+L163*inputs!$C$54</f>
        <v>3.0455051962652707E-7</v>
      </c>
      <c r="M164" s="7">
        <f>(((0.013*2^0.773)/0.2))*H164/2+M163*inputs!$C$54</f>
        <v>1.4850919731090904E-8</v>
      </c>
      <c r="N164" s="7">
        <f>O164*0.015*inputs!$C$56</f>
        <v>0.31366233708622215</v>
      </c>
      <c r="O164" s="7">
        <f>IF((B164&gt;B163), (EXP(-LN(2)/inputs!$C$52)*O163+$O$3), (EXP(-LN(2)/inputs!$C$52)*O163))</f>
        <v>3.3836282317823319E-2</v>
      </c>
      <c r="P164" s="3">
        <f>IF((B164&gt;B163), (EXP(-LN(2)/inputs!$C$52)*P163+$P$3), (EXP(-LN(2)/inputs!$C$52)*P163))</f>
        <v>3.2696166125211625E-2</v>
      </c>
      <c r="Q164" s="19">
        <f>IF((F164*0.62*1/(0.012*(10^inputs!$C$55)))&gt;inputs!$C$57, inputs!$C$57, (F164*0.62*1/(0.012*(10^inputs!$C$55))))</f>
        <v>2.3777674193456776E-9</v>
      </c>
      <c r="R164" s="3">
        <f>IF((B164&gt;B163), (EXP(-LN(2)/inputs!$C$51)*R163+$R$3), (EXP(-LN(2)/inputs!$C$51)*R163))</f>
        <v>5.5246097274493757E-15</v>
      </c>
      <c r="T164" s="7">
        <f>IF(T163&lt;(inputs!$C$20-1),(1+T163),0)</f>
        <v>0</v>
      </c>
      <c r="U164" s="7">
        <f>IF(inputs!$C$19&gt;U163,IF(T163=(inputs!$C$20-1),(U163+1),U163), U163)</f>
        <v>1</v>
      </c>
      <c r="V164" s="7">
        <f t="shared" si="4"/>
        <v>161</v>
      </c>
      <c r="W164" s="8">
        <f>IF((U164&gt;U163), (EXP(-LN(2)/inputs!$C$51)*W163+$W$3), (EXP(-LN(2)/inputs!$C$51)*W163))</f>
        <v>1.8282857981313118E-7</v>
      </c>
      <c r="X164" s="8">
        <f>IF((U164&gt;U163), (EXP(-LN(2)/inputs!$C$51)*X163+$X$3), (EXP(-LN(2)/inputs!$C$51)*X163))</f>
        <v>7.7433280862032034E-8</v>
      </c>
      <c r="Y164" s="8">
        <f>IF((U164&gt;U163), (EXP(-LN(2)/inputs!$C$51)*Y163+$Y$3), (EXP(-LN(2)/inputs!$C$51)*Y163))</f>
        <v>9.6791601077540155E-8</v>
      </c>
      <c r="Z164" s="8">
        <f>IF((U164&gt;U163), (EXP(-LN(2)/inputs!$C$51)*Z163+$Z$3), (EXP(-LN(2)/inputs!$C$51)*Z163))</f>
        <v>1.5056471278728447E-8</v>
      </c>
      <c r="AA164" s="8">
        <f>IF((U164&gt;U163), (EXP(-LN(2)/inputs!$C$51)*AA163+$AA$3), (EXP(-LN(2)/inputs!$C$51)*AA163))</f>
        <v>1.3981009044533569E-7</v>
      </c>
      <c r="AB164" s="7">
        <f>(((0.621*15^0.564)/0.2))*W164/15+AB163*inputs!$C$53</f>
        <v>1.9673537044906795E-7</v>
      </c>
      <c r="AC164" s="7">
        <f>(((0.621*1000^0.564)/0.2))*W164/1000+AC163*inputs!$C$53</f>
        <v>3.1525228011251284E-8</v>
      </c>
      <c r="AD164" s="7">
        <f>(((0.648*20^0.651)/0.2))*AA164/20+AD163*inputs!$C$54</f>
        <v>2.1059344442259872E-7</v>
      </c>
      <c r="AE164" s="7">
        <f>(((0.013*2^0.773)/0.2))*AA164/2+AE163*inputs!$C$54</f>
        <v>1.0269253005541593E-8</v>
      </c>
    </row>
    <row r="165" spans="1:31" x14ac:dyDescent="0.3">
      <c r="A165" s="7">
        <f>IF(A164&lt;(inputs!$C$20-1),(1+A164),0)</f>
        <v>0</v>
      </c>
      <c r="B165" s="7">
        <f>IF(inputs!$C$19&gt;B164,IF(A164=(inputs!$C$20-1),(B164+1),B164), B164)</f>
        <v>1</v>
      </c>
      <c r="C165" s="7">
        <f t="shared" si="5"/>
        <v>162</v>
      </c>
      <c r="D165" s="8">
        <f>IF((B165&gt;B164), (EXP(-LN(2)/inputs!$C$51)*D164+$D$3), (EXP(-LN(2)/inputs!$C$51)*D164))</f>
        <v>4.5293751113970173E-7</v>
      </c>
      <c r="E165" s="8">
        <f>IF((B165&gt;B164), (EXP(-LN(2)/inputs!$C$51)*E164+$E$3), (EXP(-LN(2)/inputs!$C$51)*E164))</f>
        <v>2.0759635927236303E-7</v>
      </c>
      <c r="F165" s="8">
        <f>IF((B165&gt;B164), (EXP(-LN(2)/inputs!$C$51)*F164+$F$3), (EXP(-LN(2)/inputs!$C$51)*F164))</f>
        <v>2.5477735001608206E-7</v>
      </c>
      <c r="G165" s="8">
        <f>IF((B165&gt;B164), (EXP(-LN(2)/inputs!$C$51)*G164+$G$3), (EXP(-LN(2)/inputs!$C$51)*G164))</f>
        <v>2.8308594446231358E-8</v>
      </c>
      <c r="H165" s="8">
        <f>IF((B165&gt;B164), (EXP(-LN(2)/inputs!$C$51)*H164+$H$3), (EXP(-LN(2)/inputs!$C$51)*H164))</f>
        <v>1.774005251963828E-7</v>
      </c>
      <c r="I165" s="7">
        <f>O165*(10^inputs!$C$55)*0.01/1</f>
        <v>2.0918417012988346</v>
      </c>
      <c r="J165" s="7">
        <f>(((0.621*15^0.564)/0.2))*D165/15+J164*inputs!$C$53</f>
        <v>4.8739004118188779E-7</v>
      </c>
      <c r="K165" s="7">
        <f>(((0.621*1000^0.564)/0.2))*D165/1000+K164*inputs!$C$53</f>
        <v>7.8100252860478754E-8</v>
      </c>
      <c r="L165" s="7">
        <f>(((0.648*20^0.651)/0.2))*H165/20+L164*inputs!$C$54</f>
        <v>2.6721524551256477E-7</v>
      </c>
      <c r="M165" s="7">
        <f>(((0.013*2^0.773)/0.2))*H165/2+M164*inputs!$C$54</f>
        <v>1.3030324712291812E-8</v>
      </c>
      <c r="N165" s="7">
        <f>O165*0.015*inputs!$C$56</f>
        <v>0.30733254380318736</v>
      </c>
      <c r="O165" s="7">
        <f>IF((B165&gt;B164), (EXP(-LN(2)/inputs!$C$52)*O164+$O$3), (EXP(-LN(2)/inputs!$C$52)*O164))</f>
        <v>3.3153456720947938E-2</v>
      </c>
      <c r="P165" s="3">
        <f>IF((B165&gt;B164), (EXP(-LN(2)/inputs!$C$52)*P164+$P$3), (EXP(-LN(2)/inputs!$C$52)*P164))</f>
        <v>3.2036348390500735E-2</v>
      </c>
      <c r="Q165" s="19">
        <f>IF((F165*0.62*1/(0.012*(10^inputs!$C$55)))&gt;inputs!$C$57, inputs!$C$57, (F165*0.62*1/(0.012*(10^inputs!$C$55))))</f>
        <v>2.0862735861078139E-9</v>
      </c>
      <c r="R165" s="3">
        <f>IF((B165&gt;B164), (EXP(-LN(2)/inputs!$C$51)*R164+$R$3), (EXP(-LN(2)/inputs!$C$51)*R164))</f>
        <v>4.8473400948119825E-15</v>
      </c>
      <c r="T165" s="7">
        <f>IF(T164&lt;(inputs!$C$20-1),(1+T164),0)</f>
        <v>0</v>
      </c>
      <c r="U165" s="7">
        <f>IF(inputs!$C$19&gt;U164,IF(T164=(inputs!$C$20-1),(U164+1),U164), U164)</f>
        <v>1</v>
      </c>
      <c r="V165" s="7">
        <f t="shared" si="4"/>
        <v>162</v>
      </c>
      <c r="W165" s="8">
        <f>IF((U165&gt;U164), (EXP(-LN(2)/inputs!$C$51)*W164+$W$3), (EXP(-LN(2)/inputs!$C$51)*W164))</f>
        <v>1.6041536852864407E-7</v>
      </c>
      <c r="X165" s="8">
        <f>IF((U165&gt;U164), (EXP(-LN(2)/inputs!$C$51)*X164+$X$3), (EXP(-LN(2)/inputs!$C$51)*X164))</f>
        <v>6.7940626670955132E-8</v>
      </c>
      <c r="Y165" s="8">
        <f>IF((U165&gt;U164), (EXP(-LN(2)/inputs!$C$51)*Y164+$Y$3), (EXP(-LN(2)/inputs!$C$51)*Y164))</f>
        <v>8.4925783338694021E-8</v>
      </c>
      <c r="Z165" s="8">
        <f>IF((U165&gt;U164), (EXP(-LN(2)/inputs!$C$51)*Z164+$Z$3), (EXP(-LN(2)/inputs!$C$51)*Z164))</f>
        <v>1.3210677408241273E-8</v>
      </c>
      <c r="AA165" s="8">
        <f>IF((U165&gt;U164), (EXP(-LN(2)/inputs!$C$51)*AA164+$AA$3), (EXP(-LN(2)/inputs!$C$51)*AA164))</f>
        <v>1.2267057593366906E-7</v>
      </c>
      <c r="AB165" s="7">
        <f>(((0.621*15^0.564)/0.2))*W165/15+AB164*inputs!$C$53</f>
        <v>1.7261730625191828E-7</v>
      </c>
      <c r="AC165" s="7">
        <f>(((0.621*1000^0.564)/0.2))*W165/1000+AC164*inputs!$C$53</f>
        <v>2.7660506221419508E-8</v>
      </c>
      <c r="AD165" s="7">
        <f>(((0.648*20^0.651)/0.2))*AA165/20+AD164*inputs!$C$54</f>
        <v>1.8477649955656091E-7</v>
      </c>
      <c r="AE165" s="7">
        <f>(((0.013*2^0.773)/0.2))*AA165/2+AE164*inputs!$C$54</f>
        <v>9.0103309180741335E-9</v>
      </c>
    </row>
    <row r="166" spans="1:31" x14ac:dyDescent="0.3">
      <c r="A166" s="7">
        <f>IF(A165&lt;(inputs!$C$20-1),(1+A165),0)</f>
        <v>0</v>
      </c>
      <c r="B166" s="7">
        <f>IF(inputs!$C$19&gt;B165,IF(A165=(inputs!$C$20-1),(B165+1),B165), B165)</f>
        <v>1</v>
      </c>
      <c r="C166" s="7">
        <f t="shared" si="5"/>
        <v>163</v>
      </c>
      <c r="D166" s="8">
        <f>IF((B166&gt;B165), (EXP(-LN(2)/inputs!$C$51)*D165+$D$3), (EXP(-LN(2)/inputs!$C$51)*D165))</f>
        <v>3.9741126821739715E-7</v>
      </c>
      <c r="E166" s="8">
        <f>IF((B166&gt;B165), (EXP(-LN(2)/inputs!$C$51)*E165+$E$3), (EXP(-LN(2)/inputs!$C$51)*E165))</f>
        <v>1.8214683126630681E-7</v>
      </c>
      <c r="F166" s="8">
        <f>IF((B166&gt;B165), (EXP(-LN(2)/inputs!$C$51)*F165+$F$3), (EXP(-LN(2)/inputs!$C$51)*F165))</f>
        <v>2.2354383837228575E-7</v>
      </c>
      <c r="G166" s="8">
        <f>IF((B166&gt;B165), (EXP(-LN(2)/inputs!$C$51)*G165+$G$3), (EXP(-LN(2)/inputs!$C$51)*G165))</f>
        <v>2.4838204263587322E-8</v>
      </c>
      <c r="H166" s="8">
        <f>IF((B166&gt;B165), (EXP(-LN(2)/inputs!$C$51)*H165+$H$3), (EXP(-LN(2)/inputs!$C$51)*H165))</f>
        <v>1.5565274671848022E-7</v>
      </c>
      <c r="I166" s="7">
        <f>O166*(10^inputs!$C$55)*0.01/1</f>
        <v>2.0496277534176337</v>
      </c>
      <c r="J166" s="7">
        <f>(((0.621*15^0.564)/0.2))*D166/15+J165*inputs!$C$53</f>
        <v>4.2764021441995641E-7</v>
      </c>
      <c r="K166" s="7">
        <f>(((0.621*1000^0.564)/0.2))*D166/1000+K165*inputs!$C$53</f>
        <v>6.8525833639354012E-8</v>
      </c>
      <c r="L166" s="7">
        <f>(((0.648*20^0.651)/0.2))*H166/20+L165*inputs!$C$54</f>
        <v>2.3445695486549682E-7</v>
      </c>
      <c r="M166" s="7">
        <f>(((0.013*2^0.773)/0.2))*H166/2+M165*inputs!$C$54</f>
        <v>1.1432918982943722E-8</v>
      </c>
      <c r="N166" s="7">
        <f>O166*0.015*inputs!$C$56</f>
        <v>0.30113048751075888</v>
      </c>
      <c r="O166" s="7">
        <f>IF((B166&gt;B165), (EXP(-LN(2)/inputs!$C$52)*O165+$O$3), (EXP(-LN(2)/inputs!$C$52)*O165))</f>
        <v>3.2484410734709701E-2</v>
      </c>
      <c r="P166" s="3">
        <f>IF((B166&gt;B165), (EXP(-LN(2)/inputs!$C$52)*P165+$P$3), (EXP(-LN(2)/inputs!$C$52)*P165))</f>
        <v>3.1389845961363343E-2</v>
      </c>
      <c r="Q166" s="19">
        <f>IF((F166*0.62*1/(0.012*(10^inputs!$C$55)))&gt;inputs!$C$57, inputs!$C$57, (F166*0.62*1/(0.012*(10^inputs!$C$55))))</f>
        <v>1.8305143895397909E-9</v>
      </c>
      <c r="R166" s="3">
        <f>IF((B166&gt;B165), (EXP(-LN(2)/inputs!$C$51)*R165+$R$3), (EXP(-LN(2)/inputs!$C$51)*R165))</f>
        <v>4.2530978935990643E-15</v>
      </c>
      <c r="T166" s="7">
        <f>IF(T165&lt;(inputs!$C$20-1),(1+T165),0)</f>
        <v>0</v>
      </c>
      <c r="U166" s="7">
        <f>IF(inputs!$C$19&gt;U165,IF(T165=(inputs!$C$20-1),(U165+1),U165), U165)</f>
        <v>1</v>
      </c>
      <c r="V166" s="7">
        <f t="shared" si="4"/>
        <v>163</v>
      </c>
      <c r="W166" s="8">
        <f>IF((U166&gt;U165), (EXP(-LN(2)/inputs!$C$51)*W165+$W$3), (EXP(-LN(2)/inputs!$C$51)*W165))</f>
        <v>1.4074982416032789E-7</v>
      </c>
      <c r="X166" s="8">
        <f>IF((U166&gt;U165), (EXP(-LN(2)/inputs!$C$51)*X165+$X$3), (EXP(-LN(2)/inputs!$C$51)*X165))</f>
        <v>5.9611690232609467E-8</v>
      </c>
      <c r="Y166" s="8">
        <f>IF((U166&gt;U165), (EXP(-LN(2)/inputs!$C$51)*Y165+$Y$3), (EXP(-LN(2)/inputs!$C$51)*Y165))</f>
        <v>7.4514612790761913E-8</v>
      </c>
      <c r="Z166" s="8">
        <f>IF((U166&gt;U165), (EXP(-LN(2)/inputs!$C$51)*Z165+$Z$3), (EXP(-LN(2)/inputs!$C$51)*Z165))</f>
        <v>1.1591161989674059E-8</v>
      </c>
      <c r="AA166" s="8">
        <f>IF((U166&gt;U165), (EXP(-LN(2)/inputs!$C$51)*AA165+$AA$3), (EXP(-LN(2)/inputs!$C$51)*AA165))</f>
        <v>1.0763221847554492E-7</v>
      </c>
      <c r="AB166" s="7">
        <f>(((0.621*15^0.564)/0.2))*W166/15+AB165*inputs!$C$53</f>
        <v>1.5145590927373428E-7</v>
      </c>
      <c r="AC166" s="7">
        <f>(((0.621*1000^0.564)/0.2))*W166/1000+AC165*inputs!$C$53</f>
        <v>2.4269566080604501E-8</v>
      </c>
      <c r="AD166" s="7">
        <f>(((0.648*20^0.651)/0.2))*AA166/20+AD165*inputs!$C$54</f>
        <v>1.6212449006656708E-7</v>
      </c>
      <c r="AE166" s="7">
        <f>(((0.013*2^0.773)/0.2))*AA166/2+AE165*inputs!$C$54</f>
        <v>7.9057418499078994E-9</v>
      </c>
    </row>
    <row r="167" spans="1:31" x14ac:dyDescent="0.3">
      <c r="A167" s="7">
        <f>IF(A166&lt;(inputs!$C$20-1),(1+A166),0)</f>
        <v>0</v>
      </c>
      <c r="B167" s="7">
        <f>IF(inputs!$C$19&gt;B166,IF(A166=(inputs!$C$20-1),(B166+1),B166), B166)</f>
        <v>1</v>
      </c>
      <c r="C167" s="7">
        <f t="shared" si="5"/>
        <v>164</v>
      </c>
      <c r="D167" s="8">
        <f>IF((B167&gt;B166), (EXP(-LN(2)/inputs!$C$51)*D166+$D$3), (EXP(-LN(2)/inputs!$C$51)*D166))</f>
        <v>3.4869206506821443E-7</v>
      </c>
      <c r="E167" s="8">
        <f>IF((B167&gt;B166), (EXP(-LN(2)/inputs!$C$51)*E166+$E$3), (EXP(-LN(2)/inputs!$C$51)*E166))</f>
        <v>1.598171964895981E-7</v>
      </c>
      <c r="F167" s="8">
        <f>IF((B167&gt;B166), (EXP(-LN(2)/inputs!$C$51)*F166+$F$3), (EXP(-LN(2)/inputs!$C$51)*F166))</f>
        <v>1.9613928660087049E-7</v>
      </c>
      <c r="G167" s="8">
        <f>IF((B167&gt;B166), (EXP(-LN(2)/inputs!$C$51)*G166+$G$3), (EXP(-LN(2)/inputs!$C$51)*G166))</f>
        <v>2.1793254066763402E-8</v>
      </c>
      <c r="H167" s="8">
        <f>IF((B167&gt;B166), (EXP(-LN(2)/inputs!$C$51)*H166+$H$3), (EXP(-LN(2)/inputs!$C$51)*H166))</f>
        <v>1.3657105881838368E-7</v>
      </c>
      <c r="I167" s="7">
        <f>O167*(10^inputs!$C$55)*0.01/1</f>
        <v>2.00826569475664</v>
      </c>
      <c r="J167" s="7">
        <f>(((0.621*15^0.564)/0.2))*D167/15+J166*inputs!$C$53</f>
        <v>3.752152024807155E-7</v>
      </c>
      <c r="K167" s="7">
        <f>(((0.621*1000^0.564)/0.2))*D167/1000+K166*inputs!$C$53</f>
        <v>6.0125155860342214E-8</v>
      </c>
      <c r="L167" s="7">
        <f>(((0.648*20^0.651)/0.2))*H167/20+L166*inputs!$C$54</f>
        <v>2.0571454888121961E-7</v>
      </c>
      <c r="M167" s="7">
        <f>(((0.013*2^0.773)/0.2))*H167/2+M166*inputs!$C$54</f>
        <v>1.0031341455923316E-8</v>
      </c>
      <c r="N167" s="7">
        <f>O167*0.015*inputs!$C$56</f>
        <v>0.29505359044090562</v>
      </c>
      <c r="O167" s="7">
        <f>IF((B167&gt;B166), (EXP(-LN(2)/inputs!$C$52)*O166+$O$3), (EXP(-LN(2)/inputs!$C$52)*O166))</f>
        <v>3.1828866282729844E-2</v>
      </c>
      <c r="P167" s="3">
        <f>IF((B167&gt;B166), (EXP(-LN(2)/inputs!$C$52)*P166+$P$3), (EXP(-LN(2)/inputs!$C$52)*P166))</f>
        <v>3.0756390131226118E-2</v>
      </c>
      <c r="Q167" s="19">
        <f>IF((F167*0.62*1/(0.012*(10^inputs!$C$55)))&gt;inputs!$C$57, inputs!$C$57, (F167*0.62*1/(0.012*(10^inputs!$C$55))))</f>
        <v>1.6061090705574762E-9</v>
      </c>
      <c r="R167" s="3">
        <f>IF((B167&gt;B166), (EXP(-LN(2)/inputs!$C$51)*R166+$R$3), (EXP(-LN(2)/inputs!$C$51)*R166))</f>
        <v>3.7317046748786923E-15</v>
      </c>
      <c r="T167" s="7">
        <f>IF(T166&lt;(inputs!$C$20-1),(1+T166),0)</f>
        <v>0</v>
      </c>
      <c r="U167" s="7">
        <f>IF(inputs!$C$19&gt;U166,IF(T166=(inputs!$C$20-1),(U166+1),U166), U166)</f>
        <v>1</v>
      </c>
      <c r="V167" s="7">
        <f t="shared" si="4"/>
        <v>164</v>
      </c>
      <c r="W167" s="8">
        <f>IF((U167&gt;U166), (EXP(-LN(2)/inputs!$C$51)*W166+$W$3), (EXP(-LN(2)/inputs!$C$51)*W166))</f>
        <v>1.234951063783257E-7</v>
      </c>
      <c r="X167" s="8">
        <f>IF((U167&gt;U166), (EXP(-LN(2)/inputs!$C$51)*X166+$X$3), (EXP(-LN(2)/inputs!$C$51)*X166))</f>
        <v>5.2303809760232073E-8</v>
      </c>
      <c r="Y167" s="8">
        <f>IF((U167&gt;U166), (EXP(-LN(2)/inputs!$C$51)*Y166+$Y$3), (EXP(-LN(2)/inputs!$C$51)*Y166))</f>
        <v>6.5379762200290156E-8</v>
      </c>
      <c r="Z167" s="8">
        <f>IF((U167&gt;U166), (EXP(-LN(2)/inputs!$C$51)*Z166+$Z$3), (EXP(-LN(2)/inputs!$C$51)*Z166))</f>
        <v>1.0170185231156233E-8</v>
      </c>
      <c r="AA167" s="8">
        <f>IF((U167&gt;U166), (EXP(-LN(2)/inputs!$C$51)*AA166+$AA$3), (EXP(-LN(2)/inputs!$C$51)*AA166))</f>
        <v>9.4437434289307954E-8</v>
      </c>
      <c r="AB167" s="7">
        <f>(((0.621*15^0.564)/0.2))*W167/15+AB166*inputs!$C$53</f>
        <v>1.3288871754525313E-7</v>
      </c>
      <c r="AC167" s="7">
        <f>(((0.621*1000^0.564)/0.2))*W167/1000+AC166*inputs!$C$53</f>
        <v>2.129432603387116E-8</v>
      </c>
      <c r="AD167" s="7">
        <f>(((0.648*20^0.651)/0.2))*AA167/20+AD166*inputs!$C$54</f>
        <v>1.4224942209871583E-7</v>
      </c>
      <c r="AE167" s="7">
        <f>(((0.013*2^0.773)/0.2))*AA167/2+AE166*inputs!$C$54</f>
        <v>6.9365659003725118E-9</v>
      </c>
    </row>
    <row r="168" spans="1:31" x14ac:dyDescent="0.3">
      <c r="A168" s="7">
        <f>IF(A167&lt;(inputs!$C$20-1),(1+A167),0)</f>
        <v>0</v>
      </c>
      <c r="B168" s="7">
        <f>IF(inputs!$C$19&gt;B167,IF(A167=(inputs!$C$20-1),(B167+1),B167), B167)</f>
        <v>1</v>
      </c>
      <c r="C168" s="7">
        <f t="shared" si="5"/>
        <v>165</v>
      </c>
      <c r="D168" s="8">
        <f>IF((B168&gt;B167), (EXP(-LN(2)/inputs!$C$51)*D167+$D$3), (EXP(-LN(2)/inputs!$C$51)*D167))</f>
        <v>3.0594541716674278E-7</v>
      </c>
      <c r="E168" s="8">
        <f>IF((B168&gt;B167), (EXP(-LN(2)/inputs!$C$51)*E167+$E$3), (EXP(-LN(2)/inputs!$C$51)*E167))</f>
        <v>1.4022498286809031E-7</v>
      </c>
      <c r="F168" s="8">
        <f>IF((B168&gt;B167), (EXP(-LN(2)/inputs!$C$51)*F167+$F$3), (EXP(-LN(2)/inputs!$C$51)*F167))</f>
        <v>1.7209429715629272E-7</v>
      </c>
      <c r="G168" s="8">
        <f>IF((B168&gt;B167), (EXP(-LN(2)/inputs!$C$51)*G167+$G$3), (EXP(-LN(2)/inputs!$C$51)*G167))</f>
        <v>1.9121588572921424E-8</v>
      </c>
      <c r="H168" s="8">
        <f>IF((B168&gt;B167), (EXP(-LN(2)/inputs!$C$51)*H167+$H$3), (EXP(-LN(2)/inputs!$C$51)*H167))</f>
        <v>1.1982862172364066E-7</v>
      </c>
      <c r="I168" s="7">
        <f>O168*(10^inputs!$C$55)*0.01/1</f>
        <v>1.9677383339542323</v>
      </c>
      <c r="J168" s="7">
        <f>(((0.621*15^0.564)/0.2))*D168/15+J167*inputs!$C$53</f>
        <v>3.2921704607132082E-7</v>
      </c>
      <c r="K168" s="7">
        <f>(((0.621*1000^0.564)/0.2))*D168/1000+K167*inputs!$C$53</f>
        <v>5.2754328918580989E-8</v>
      </c>
      <c r="L168" s="7">
        <f>(((0.648*20^0.651)/0.2))*H168/20+L167*inputs!$C$54</f>
        <v>1.8049571464271957E-7</v>
      </c>
      <c r="M168" s="7">
        <f>(((0.013*2^0.773)/0.2))*H168/2+M167*inputs!$C$54</f>
        <v>8.8015852780421169E-9</v>
      </c>
      <c r="N168" s="7">
        <f>O168*0.015*inputs!$C$56</f>
        <v>0.2890993268456728</v>
      </c>
      <c r="O168" s="7">
        <f>IF((B168&gt;B167), (EXP(-LN(2)/inputs!$C$52)*O167+$O$3), (EXP(-LN(2)/inputs!$C$52)*O167))</f>
        <v>3.118655090028833E-2</v>
      </c>
      <c r="P168" s="3">
        <f>IF((B168&gt;B167), (EXP(-LN(2)/inputs!$C$52)*P167+$P$3), (EXP(-LN(2)/inputs!$C$52)*P167))</f>
        <v>3.0135717616089189E-2</v>
      </c>
      <c r="Q168" s="19">
        <f>IF((F168*0.62*1/(0.012*(10^inputs!$C$55)))&gt;inputs!$C$57, inputs!$C$57, (F168*0.62*1/(0.012*(10^inputs!$C$55))))</f>
        <v>1.409213913459338E-9</v>
      </c>
      <c r="R168" s="3">
        <f>IF((B168&gt;B167), (EXP(-LN(2)/inputs!$C$51)*R167+$R$3), (EXP(-LN(2)/inputs!$C$51)*R167))</f>
        <v>3.2742297800080314E-15</v>
      </c>
      <c r="T168" s="7">
        <f>IF(T167&lt;(inputs!$C$20-1),(1+T167),0)</f>
        <v>0</v>
      </c>
      <c r="U168" s="7">
        <f>IF(inputs!$C$19&gt;U167,IF(T167=(inputs!$C$20-1),(U167+1),U167), U167)</f>
        <v>1</v>
      </c>
      <c r="V168" s="7">
        <f t="shared" si="4"/>
        <v>165</v>
      </c>
      <c r="W168" s="8">
        <f>IF((U168&gt;U167), (EXP(-LN(2)/inputs!$C$51)*W167+$W$3), (EXP(-LN(2)/inputs!$C$51)*W167))</f>
        <v>1.0835566857988787E-7</v>
      </c>
      <c r="X168" s="8">
        <f>IF((U168&gt;U167), (EXP(-LN(2)/inputs!$C$51)*X167+$X$3), (EXP(-LN(2)/inputs!$C$51)*X167))</f>
        <v>4.5891812575011338E-8</v>
      </c>
      <c r="Y168" s="8">
        <f>IF((U168&gt;U167), (EXP(-LN(2)/inputs!$C$51)*Y167+$Y$3), (EXP(-LN(2)/inputs!$C$51)*Y167))</f>
        <v>5.7364765718764232E-8</v>
      </c>
      <c r="Z168" s="8">
        <f>IF((U168&gt;U167), (EXP(-LN(2)/inputs!$C$51)*Z167+$Z$3), (EXP(-LN(2)/inputs!$C$51)*Z167))</f>
        <v>8.9234080006966475E-9</v>
      </c>
      <c r="AA168" s="8">
        <f>IF((U168&gt;U167), (EXP(-LN(2)/inputs!$C$51)*AA167+$AA$3), (EXP(-LN(2)/inputs!$C$51)*AA167))</f>
        <v>8.2860217149326067E-8</v>
      </c>
      <c r="AB168" s="7">
        <f>(((0.621*15^0.564)/0.2))*W168/15+AB167*inputs!$C$53</f>
        <v>1.1659770381692593E-7</v>
      </c>
      <c r="AC168" s="7">
        <f>(((0.621*1000^0.564)/0.2))*W168/1000+AC167*inputs!$C$53</f>
        <v>1.8683824825330733E-8</v>
      </c>
      <c r="AD168" s="7">
        <f>(((0.648*20^0.651)/0.2))*AA168/20+AD167*inputs!$C$54</f>
        <v>1.2481086650826364E-7</v>
      </c>
      <c r="AE168" s="7">
        <f>(((0.013*2^0.773)/0.2))*AA168/2+AE167*inputs!$C$54</f>
        <v>6.0862025858801923E-9</v>
      </c>
    </row>
    <row r="169" spans="1:31" x14ac:dyDescent="0.3">
      <c r="A169" s="7">
        <f>IF(A168&lt;(inputs!$C$20-1),(1+A168),0)</f>
        <v>0</v>
      </c>
      <c r="B169" s="7">
        <f>IF(inputs!$C$19&gt;B168,IF(A168=(inputs!$C$20-1),(B168+1),B168), B168)</f>
        <v>1</v>
      </c>
      <c r="C169" s="7">
        <f t="shared" si="5"/>
        <v>166</v>
      </c>
      <c r="D169" s="8">
        <f>IF((B169&gt;B168), (EXP(-LN(2)/inputs!$C$51)*D168+$D$3), (EXP(-LN(2)/inputs!$C$51)*D168))</f>
        <v>2.6843914061256559E-7</v>
      </c>
      <c r="E169" s="8">
        <f>IF((B169&gt;B168), (EXP(-LN(2)/inputs!$C$51)*E168+$E$3), (EXP(-LN(2)/inputs!$C$51)*E168))</f>
        <v>1.2303460611409244E-7</v>
      </c>
      <c r="F169" s="8">
        <f>IF((B169&gt;B168), (EXP(-LN(2)/inputs!$C$51)*F168+$F$3), (EXP(-LN(2)/inputs!$C$51)*F168))</f>
        <v>1.5099701659456804E-7</v>
      </c>
      <c r="G169" s="8">
        <f>IF((B169&gt;B168), (EXP(-LN(2)/inputs!$C$51)*G168+$G$3), (EXP(-LN(2)/inputs!$C$51)*G168))</f>
        <v>1.6777446288285349E-8</v>
      </c>
      <c r="H169" s="8">
        <f>IF((B169&gt;B168), (EXP(-LN(2)/inputs!$C$51)*H168+$H$3), (EXP(-LN(2)/inputs!$C$51)*H168))</f>
        <v>1.0513866340658796E-7</v>
      </c>
      <c r="I169" s="7">
        <f>O169*(10^inputs!$C$55)*0.01/1</f>
        <v>1.9280288265752521</v>
      </c>
      <c r="J169" s="7">
        <f>(((0.621*15^0.564)/0.2))*D169/15+J168*inputs!$C$53</f>
        <v>2.8885786798443143E-7</v>
      </c>
      <c r="K169" s="7">
        <f>(((0.621*1000^0.564)/0.2))*D169/1000+K168*inputs!$C$53</f>
        <v>4.6287101959688639E-8</v>
      </c>
      <c r="L169" s="7">
        <f>(((0.648*20^0.651)/0.2))*H169/20+L168*inputs!$C$54</f>
        <v>1.5836849256197784E-7</v>
      </c>
      <c r="M169" s="7">
        <f>(((0.013*2^0.773)/0.2))*H169/2+M168*inputs!$C$54</f>
        <v>7.7225866298175314E-9</v>
      </c>
      <c r="N169" s="7">
        <f>O169*0.015*inputs!$C$56</f>
        <v>0.28326522194740256</v>
      </c>
      <c r="O169" s="7">
        <f>IF((B169&gt;B168), (EXP(-LN(2)/inputs!$C$52)*O168+$O$3), (EXP(-LN(2)/inputs!$C$52)*O168))</f>
        <v>3.0557197621079026E-2</v>
      </c>
      <c r="P169" s="3">
        <f>IF((B169&gt;B168), (EXP(-LN(2)/inputs!$C$52)*P168+$P$3), (EXP(-LN(2)/inputs!$C$52)*P168))</f>
        <v>2.9527570445097094E-2</v>
      </c>
      <c r="Q169" s="19">
        <f>IF((F169*0.62*1/(0.012*(10^inputs!$C$55)))&gt;inputs!$C$57, inputs!$C$57, (F169*0.62*1/(0.012*(10^inputs!$C$55))))</f>
        <v>1.2364564090271202E-9</v>
      </c>
      <c r="R169" s="3">
        <f>IF((B169&gt;B168), (EXP(-LN(2)/inputs!$C$51)*R168+$R$3), (EXP(-LN(2)/inputs!$C$51)*R168))</f>
        <v>2.8728373722767701E-15</v>
      </c>
      <c r="T169" s="7">
        <f>IF(T168&lt;(inputs!$C$20-1),(1+T168),0)</f>
        <v>0</v>
      </c>
      <c r="U169" s="7">
        <f>IF(inputs!$C$19&gt;U168,IF(T168=(inputs!$C$20-1),(U168+1),U168), U168)</f>
        <v>1</v>
      </c>
      <c r="V169" s="7">
        <f t="shared" si="4"/>
        <v>166</v>
      </c>
      <c r="W169" s="8">
        <f>IF((U169&gt;U168), (EXP(-LN(2)/inputs!$C$51)*W168+$W$3), (EXP(-LN(2)/inputs!$C$51)*W168))</f>
        <v>9.5072195633616801E-8</v>
      </c>
      <c r="X169" s="8">
        <f>IF((U169&gt;U168), (EXP(-LN(2)/inputs!$C$51)*X168+$X$3), (EXP(-LN(2)/inputs!$C$51)*X168))</f>
        <v>4.0265871091884764E-8</v>
      </c>
      <c r="Y169" s="8">
        <f>IF((U169&gt;U168), (EXP(-LN(2)/inputs!$C$51)*Y168+$Y$3), (EXP(-LN(2)/inputs!$C$51)*Y168))</f>
        <v>5.0332338864856008E-8</v>
      </c>
      <c r="Z169" s="8">
        <f>IF((U169&gt;U168), (EXP(-LN(2)/inputs!$C$51)*Z168+$Z$3), (EXP(-LN(2)/inputs!$C$51)*Z168))</f>
        <v>7.8294749345331471E-9</v>
      </c>
      <c r="AA169" s="8">
        <f>IF((U169&gt;U168), (EXP(-LN(2)/inputs!$C$51)*AA168+$AA$3), (EXP(-LN(2)/inputs!$C$51)*AA168))</f>
        <v>7.2702267249236414E-8</v>
      </c>
      <c r="AB169" s="7">
        <f>(((0.621*15^0.564)/0.2))*W169/15+AB168*inputs!$C$53</f>
        <v>1.0230382824448593E-7</v>
      </c>
      <c r="AC169" s="7">
        <f>(((0.621*1000^0.564)/0.2))*W169/1000+AC168*inputs!$C$53</f>
        <v>1.6393348610723029E-8</v>
      </c>
      <c r="AD169" s="7">
        <f>(((0.648*20^0.651)/0.2))*AA169/20+AD168*inputs!$C$54</f>
        <v>1.0951012783541031E-7</v>
      </c>
      <c r="AE169" s="7">
        <f>(((0.013*2^0.773)/0.2))*AA169/2+AE168*inputs!$C$54</f>
        <v>5.3400864993419146E-9</v>
      </c>
    </row>
    <row r="170" spans="1:31" x14ac:dyDescent="0.3">
      <c r="A170" s="7">
        <f>IF(A169&lt;(inputs!$C$20-1),(1+A169),0)</f>
        <v>0</v>
      </c>
      <c r="B170" s="7">
        <f>IF(inputs!$C$19&gt;B169,IF(A169=(inputs!$C$20-1),(B169+1),B169), B169)</f>
        <v>1</v>
      </c>
      <c r="C170" s="7">
        <f t="shared" si="5"/>
        <v>167</v>
      </c>
      <c r="D170" s="8">
        <f>IF((B170&gt;B169), (EXP(-LN(2)/inputs!$C$51)*D169+$D$3), (EXP(-LN(2)/inputs!$C$51)*D169))</f>
        <v>2.3553081095357507E-7</v>
      </c>
      <c r="E170" s="8">
        <f>IF((B170&gt;B169), (EXP(-LN(2)/inputs!$C$51)*E169+$E$3), (EXP(-LN(2)/inputs!$C$51)*E169))</f>
        <v>1.0795162168705513E-7</v>
      </c>
      <c r="F170" s="8">
        <f>IF((B170&gt;B169), (EXP(-LN(2)/inputs!$C$51)*F169+$F$3), (EXP(-LN(2)/inputs!$C$51)*F169))</f>
        <v>1.3248608116138589E-7</v>
      </c>
      <c r="G170" s="8">
        <f>IF((B170&gt;B169), (EXP(-LN(2)/inputs!$C$51)*G169+$G$3), (EXP(-LN(2)/inputs!$C$51)*G169))</f>
        <v>1.4720675684598442E-8</v>
      </c>
      <c r="H170" s="8">
        <f>IF((B170&gt;B169), (EXP(-LN(2)/inputs!$C$51)*H169+$H$3), (EXP(-LN(2)/inputs!$C$51)*H169))</f>
        <v>9.2249567623483363E-8</v>
      </c>
      <c r="I170" s="7">
        <f>O170*(10^inputs!$C$55)*0.01/1</f>
        <v>1.8891206681099317</v>
      </c>
      <c r="J170" s="7">
        <f>(((0.621*15^0.564)/0.2))*D170/15+J169*inputs!$C$53</f>
        <v>2.534463779813977E-7</v>
      </c>
      <c r="K170" s="7">
        <f>(((0.621*1000^0.564)/0.2))*D170/1000+K169*inputs!$C$53</f>
        <v>4.061270139808351E-8</v>
      </c>
      <c r="L170" s="7">
        <f>(((0.648*20^0.651)/0.2))*H170/20+L169*inputs!$C$54</f>
        <v>1.3895387758096491E-7</v>
      </c>
      <c r="M170" s="7">
        <f>(((0.013*2^0.773)/0.2))*H170/2+M169*inputs!$C$54</f>
        <v>6.7758639348550222E-9</v>
      </c>
      <c r="N170" s="7">
        <f>O170*0.015*inputs!$C$56</f>
        <v>0.2775488509101392</v>
      </c>
      <c r="O170" s="7">
        <f>IF((B170&gt;B169), (EXP(-LN(2)/inputs!$C$52)*O169+$O$3), (EXP(-LN(2)/inputs!$C$52)*O169))</f>
        <v>2.9940544866250182E-2</v>
      </c>
      <c r="P170" s="3">
        <f>IF((B170&gt;B169), (EXP(-LN(2)/inputs!$C$52)*P169+$P$3), (EXP(-LN(2)/inputs!$C$52)*P169))</f>
        <v>2.8931695853318055E-2</v>
      </c>
      <c r="Q170" s="19">
        <f>IF((F170*0.62*1/(0.012*(10^inputs!$C$55)))&gt;inputs!$C$57, inputs!$C$57, (F170*0.62*1/(0.012*(10^inputs!$C$55))))</f>
        <v>1.0848774886640761E-9</v>
      </c>
      <c r="R170" s="3">
        <f>IF((B170&gt;B169), (EXP(-LN(2)/inputs!$C$51)*R169+$R$3), (EXP(-LN(2)/inputs!$C$51)*R169))</f>
        <v>2.5206522211553073E-15</v>
      </c>
      <c r="T170" s="7">
        <f>IF(T169&lt;(inputs!$C$20-1),(1+T169),0)</f>
        <v>0</v>
      </c>
      <c r="U170" s="7">
        <f>IF(inputs!$C$19&gt;U169,IF(T169=(inputs!$C$20-1),(U169+1),U169), U169)</f>
        <v>1</v>
      </c>
      <c r="V170" s="7">
        <f t="shared" si="4"/>
        <v>167</v>
      </c>
      <c r="W170" s="8">
        <f>IF((U170&gt;U169), (EXP(-LN(2)/inputs!$C$51)*W169+$W$3), (EXP(-LN(2)/inputs!$C$51)*W169))</f>
        <v>8.3417162212724348E-8</v>
      </c>
      <c r="X170" s="8">
        <f>IF((U170&gt;U169), (EXP(-LN(2)/inputs!$C$51)*X169+$X$3), (EXP(-LN(2)/inputs!$C$51)*X169))</f>
        <v>3.5329621643036193E-8</v>
      </c>
      <c r="Y170" s="8">
        <f>IF((U170&gt;U169), (EXP(-LN(2)/inputs!$C$51)*Y169+$Y$3), (EXP(-LN(2)/inputs!$C$51)*Y169))</f>
        <v>4.4162027053795288E-8</v>
      </c>
      <c r="Z170" s="8">
        <f>IF((U170&gt;U169), (EXP(-LN(2)/inputs!$C$51)*Z169+$Z$3), (EXP(-LN(2)/inputs!$C$51)*Z169))</f>
        <v>6.8696486528125921E-9</v>
      </c>
      <c r="AA170" s="8">
        <f>IF((U170&gt;U169), (EXP(-LN(2)/inputs!$C$51)*AA169+$AA$3), (EXP(-LN(2)/inputs!$C$51)*AA169))</f>
        <v>6.3789594633259831E-8</v>
      </c>
      <c r="AB170" s="7">
        <f>(((0.621*15^0.564)/0.2))*W170/15+AB169*inputs!$C$53</f>
        <v>8.9762258868411519E-8</v>
      </c>
      <c r="AC170" s="7">
        <f>(((0.621*1000^0.564)/0.2))*W170/1000+AC169*inputs!$C$53</f>
        <v>1.4383665078487882E-8</v>
      </c>
      <c r="AD170" s="7">
        <f>(((0.648*20^0.651)/0.2))*AA170/20+AD169*inputs!$C$54</f>
        <v>9.6085128114497101E-8</v>
      </c>
      <c r="AE170" s="7">
        <f>(((0.013*2^0.773)/0.2))*AA170/2+AE169*inputs!$C$54</f>
        <v>4.6854378272933711E-9</v>
      </c>
    </row>
    <row r="171" spans="1:31" x14ac:dyDescent="0.3">
      <c r="A171" s="7">
        <f>IF(A170&lt;(inputs!$C$20-1),(1+A170),0)</f>
        <v>0</v>
      </c>
      <c r="B171" s="7">
        <f>IF(inputs!$C$19&gt;B170,IF(A170=(inputs!$C$20-1),(B170+1),B170), B170)</f>
        <v>1</v>
      </c>
      <c r="C171" s="7">
        <f t="shared" si="5"/>
        <v>168</v>
      </c>
      <c r="D171" s="8">
        <f>IF((B171&gt;B170), (EXP(-LN(2)/inputs!$C$51)*D170+$D$3), (EXP(-LN(2)/inputs!$C$51)*D170))</f>
        <v>2.06656759449676E-7</v>
      </c>
      <c r="E171" s="8">
        <f>IF((B171&gt;B170), (EXP(-LN(2)/inputs!$C$51)*E170+$E$3), (EXP(-LN(2)/inputs!$C$51)*E170))</f>
        <v>9.4717681414434741E-8</v>
      </c>
      <c r="F171" s="8">
        <f>IF((B171&gt;B170), (EXP(-LN(2)/inputs!$C$51)*F170+$F$3), (EXP(-LN(2)/inputs!$C$51)*F170))</f>
        <v>1.1624442719044267E-7</v>
      </c>
      <c r="G171" s="8">
        <f>IF((B171&gt;B170), (EXP(-LN(2)/inputs!$C$51)*G170+$G$3), (EXP(-LN(2)/inputs!$C$51)*G170))</f>
        <v>1.291604746560475E-8</v>
      </c>
      <c r="H171" s="8">
        <f>IF((B171&gt;B170), (EXP(-LN(2)/inputs!$C$51)*H170+$H$3), (EXP(-LN(2)/inputs!$C$51)*H170))</f>
        <v>8.0940564117789583E-8</v>
      </c>
      <c r="I171" s="7">
        <f>O171*(10^inputs!$C$55)*0.01/1</f>
        <v>1.8509976871141056</v>
      </c>
      <c r="J171" s="7">
        <f>(((0.621*15^0.564)/0.2))*D171/15+J170*inputs!$C$53</f>
        <v>2.2237603206069355E-7</v>
      </c>
      <c r="K171" s="7">
        <f>(((0.621*1000^0.564)/0.2))*D171/1000+K170*inputs!$C$53</f>
        <v>3.5633933536956944E-8</v>
      </c>
      <c r="L171" s="7">
        <f>(((0.648*20^0.651)/0.2))*H171/20+L170*inputs!$C$54</f>
        <v>1.2191932740175248E-7</v>
      </c>
      <c r="M171" s="7">
        <f>(((0.013*2^0.773)/0.2))*H171/2+M170*inputs!$C$54</f>
        <v>5.9452012990566866E-9</v>
      </c>
      <c r="N171" s="7">
        <f>O171*0.015*inputs!$C$56</f>
        <v>0.27194783783179149</v>
      </c>
      <c r="O171" s="7">
        <f>IF((B171&gt;B170), (EXP(-LN(2)/inputs!$C$52)*O170+$O$3), (EXP(-LN(2)/inputs!$C$52)*O170))</f>
        <v>2.9336336335684093E-2</v>
      </c>
      <c r="P171" s="3">
        <f>IF((B171&gt;B170), (EXP(-LN(2)/inputs!$C$52)*P170+$P$3), (EXP(-LN(2)/inputs!$C$52)*P170))</f>
        <v>2.834784617668698E-2</v>
      </c>
      <c r="Q171" s="19">
        <f>IF((F171*0.62*1/(0.012*(10^inputs!$C$55)))&gt;inputs!$C$57, inputs!$C$57, (F171*0.62*1/(0.012*(10^inputs!$C$55))))</f>
        <v>9.5188084013098223E-10</v>
      </c>
      <c r="R171" s="3">
        <f>IF((B171&gt;B170), (EXP(-LN(2)/inputs!$C$51)*R170+$R$3), (EXP(-LN(2)/inputs!$C$51)*R170))</f>
        <v>2.2116419402396538E-15</v>
      </c>
      <c r="T171" s="7">
        <f>IF(T170&lt;(inputs!$C$20-1),(1+T170),0)</f>
        <v>0</v>
      </c>
      <c r="U171" s="7">
        <f>IF(inputs!$C$19&gt;U170,IF(T170=(inputs!$C$20-1),(U170+1),U170), U170)</f>
        <v>1</v>
      </c>
      <c r="V171" s="7">
        <f t="shared" si="4"/>
        <v>168</v>
      </c>
      <c r="W171" s="8">
        <f>IF((U171&gt;U170), (EXP(-LN(2)/inputs!$C$51)*W170+$W$3), (EXP(-LN(2)/inputs!$C$51)*W170))</f>
        <v>7.3190935638426784E-8</v>
      </c>
      <c r="X171" s="8">
        <f>IF((U171&gt;U170), (EXP(-LN(2)/inputs!$C$51)*X170+$X$3), (EXP(-LN(2)/inputs!$C$51)*X170))</f>
        <v>3.0998513917451341E-8</v>
      </c>
      <c r="Y171" s="8">
        <f>IF((U171&gt;U170), (EXP(-LN(2)/inputs!$C$51)*Y170+$Y$3), (EXP(-LN(2)/inputs!$C$51)*Y170))</f>
        <v>3.8748142396814219E-8</v>
      </c>
      <c r="Z171" s="8">
        <f>IF((U171&gt;U170), (EXP(-LN(2)/inputs!$C$51)*Z170+$Z$3), (EXP(-LN(2)/inputs!$C$51)*Z170))</f>
        <v>6.0274888172822046E-9</v>
      </c>
      <c r="AA171" s="8">
        <f>IF((U171&gt;U170), (EXP(-LN(2)/inputs!$C$51)*AA170+$AA$3), (EXP(-LN(2)/inputs!$C$51)*AA170))</f>
        <v>5.5969539017620508E-8</v>
      </c>
      <c r="AB171" s="7">
        <f>(((0.621*15^0.564)/0.2))*W171/15+AB170*inputs!$C$53</f>
        <v>7.8758178021495493E-8</v>
      </c>
      <c r="AC171" s="7">
        <f>(((0.621*1000^0.564)/0.2))*W171/1000+AC170*inputs!$C$53</f>
        <v>1.2620351461005561E-8</v>
      </c>
      <c r="AD171" s="7">
        <f>(((0.648*20^0.651)/0.2))*AA171/20+AD170*inputs!$C$54</f>
        <v>8.4305917884190632E-8</v>
      </c>
      <c r="AE171" s="7">
        <f>(((0.013*2^0.773)/0.2))*AA171/2+AE170*inputs!$C$54</f>
        <v>4.1110434514753719E-9</v>
      </c>
    </row>
    <row r="172" spans="1:31" x14ac:dyDescent="0.3">
      <c r="A172" s="7">
        <f>IF(A171&lt;(inputs!$C$20-1),(1+A171),0)</f>
        <v>0</v>
      </c>
      <c r="B172" s="7">
        <f>IF(inputs!$C$19&gt;B171,IF(A171=(inputs!$C$20-1),(B171+1),B171), B171)</f>
        <v>1</v>
      </c>
      <c r="C172" s="7">
        <f t="shared" si="5"/>
        <v>169</v>
      </c>
      <c r="D172" s="8">
        <f>IF((B172&gt;B171), (EXP(-LN(2)/inputs!$C$51)*D171+$D$3), (EXP(-LN(2)/inputs!$C$51)*D171))</f>
        <v>1.8132241829991038E-7</v>
      </c>
      <c r="E172" s="8">
        <f>IF((B172&gt;B171), (EXP(-LN(2)/inputs!$C$51)*E171+$E$3), (EXP(-LN(2)/inputs!$C$51)*E171))</f>
        <v>8.3106108387458835E-8</v>
      </c>
      <c r="F172" s="8">
        <f>IF((B172&gt;B171), (EXP(-LN(2)/inputs!$C$51)*F171+$F$3), (EXP(-LN(2)/inputs!$C$51)*F171))</f>
        <v>1.0199386029369952E-7</v>
      </c>
      <c r="G172" s="8">
        <f>IF((B172&gt;B171), (EXP(-LN(2)/inputs!$C$51)*G171+$G$3), (EXP(-LN(2)/inputs!$C$51)*G171))</f>
        <v>1.1332651143744399E-8</v>
      </c>
      <c r="H172" s="8">
        <f>IF((B172&gt;B171), (EXP(-LN(2)/inputs!$C$51)*H171+$H$3), (EXP(-LN(2)/inputs!$C$51)*H171))</f>
        <v>7.1017947167464741E-8</v>
      </c>
      <c r="I172" s="7">
        <f>O172*(10^inputs!$C$55)*0.01/1</f>
        <v>1.8136440384878534</v>
      </c>
      <c r="J172" s="7">
        <f>(((0.621*15^0.564)/0.2))*D172/15+J171*inputs!$C$53</f>
        <v>1.9511464329818986E-7</v>
      </c>
      <c r="K172" s="7">
        <f>(((0.621*1000^0.564)/0.2))*D172/1000+K171*inputs!$C$53</f>
        <v>3.126551979071712E-8</v>
      </c>
      <c r="L172" s="7">
        <f>(((0.648*20^0.651)/0.2))*H172/20+L171*inputs!$C$54</f>
        <v>1.0697306655177471E-7</v>
      </c>
      <c r="M172" s="7">
        <f>(((0.013*2^0.773)/0.2))*H172/2+M171*inputs!$C$54</f>
        <v>5.2163707574599599E-9</v>
      </c>
      <c r="N172" s="7">
        <f>O172*0.015*inputs!$C$56</f>
        <v>0.26645985475663408</v>
      </c>
      <c r="O172" s="7">
        <f>IF((B172&gt;B171), (EXP(-LN(2)/inputs!$C$52)*O171+$O$3), (EXP(-LN(2)/inputs!$C$52)*O171))</f>
        <v>2.874432090147078E-2</v>
      </c>
      <c r="P172" s="3">
        <f>IF((B172&gt;B171), (EXP(-LN(2)/inputs!$C$52)*P171+$P$3), (EXP(-LN(2)/inputs!$C$52)*P171))</f>
        <v>2.7775778749068562E-2</v>
      </c>
      <c r="Q172" s="19">
        <f>IF((F172*0.62*1/(0.012*(10^inputs!$C$55)))&gt;inputs!$C$57, inputs!$C$57, (F172*0.62*1/(0.012*(10^inputs!$C$55))))</f>
        <v>8.3518843673695598E-10</v>
      </c>
      <c r="R172" s="3">
        <f>IF((B172&gt;B171), (EXP(-LN(2)/inputs!$C$51)*R171+$R$3), (EXP(-LN(2)/inputs!$C$51)*R171))</f>
        <v>1.9405136618113589E-15</v>
      </c>
      <c r="T172" s="7">
        <f>IF(T171&lt;(inputs!$C$20-1),(1+T171),0)</f>
        <v>0</v>
      </c>
      <c r="U172" s="7">
        <f>IF(inputs!$C$19&gt;U171,IF(T171=(inputs!$C$20-1),(U171+1),U171), U171)</f>
        <v>1</v>
      </c>
      <c r="V172" s="7">
        <f t="shared" si="4"/>
        <v>169</v>
      </c>
      <c r="W172" s="8">
        <f>IF((U172&gt;U171), (EXP(-LN(2)/inputs!$C$51)*W171+$W$3), (EXP(-LN(2)/inputs!$C$51)*W171))</f>
        <v>6.4218356481218139E-8</v>
      </c>
      <c r="X172" s="8">
        <f>IF((U172&gt;U171), (EXP(-LN(2)/inputs!$C$51)*X171+$X$3), (EXP(-LN(2)/inputs!$C$51)*X171))</f>
        <v>2.7198362744986503E-8</v>
      </c>
      <c r="Y172" s="8">
        <f>IF((U172&gt;U171), (EXP(-LN(2)/inputs!$C$51)*Y171+$Y$3), (EXP(-LN(2)/inputs!$C$51)*Y171))</f>
        <v>3.3997953431233168E-8</v>
      </c>
      <c r="Z172" s="8">
        <f>IF((U172&gt;U171), (EXP(-LN(2)/inputs!$C$51)*Z171+$Z$3), (EXP(-LN(2)/inputs!$C$51)*Z171))</f>
        <v>5.2885705337473757E-9</v>
      </c>
      <c r="AA172" s="8">
        <f>IF((U172&gt;U171), (EXP(-LN(2)/inputs!$C$51)*AA171+$AA$3), (EXP(-LN(2)/inputs!$C$51)*AA171))</f>
        <v>4.910815495622566E-8</v>
      </c>
      <c r="AB172" s="7">
        <f>(((0.621*15^0.564)/0.2))*W172/15+AB171*inputs!$C$53</f>
        <v>6.9103102834775447E-8</v>
      </c>
      <c r="AC172" s="7">
        <f>(((0.621*1000^0.564)/0.2))*W172/1000+AC171*inputs!$C$53</f>
        <v>1.1073204925878958E-8</v>
      </c>
      <c r="AD172" s="7">
        <f>(((0.648*20^0.651)/0.2))*AA172/20+AD171*inputs!$C$54</f>
        <v>7.3970737509205986E-8</v>
      </c>
      <c r="AE172" s="7">
        <f>(((0.013*2^0.773)/0.2))*AA172/2+AE171*inputs!$C$54</f>
        <v>3.6070648854776351E-9</v>
      </c>
    </row>
    <row r="173" spans="1:31" x14ac:dyDescent="0.3">
      <c r="A173" s="7">
        <f>IF(A172&lt;(inputs!$C$20-1),(1+A172),0)</f>
        <v>0</v>
      </c>
      <c r="B173" s="7">
        <f>IF(inputs!$C$19&gt;B172,IF(A172=(inputs!$C$20-1),(B172+1),B172), B172)</f>
        <v>1</v>
      </c>
      <c r="C173" s="7">
        <f t="shared" si="5"/>
        <v>170</v>
      </c>
      <c r="D173" s="8">
        <f>IF((B173&gt;B172), (EXP(-LN(2)/inputs!$C$51)*D172+$D$3), (EXP(-LN(2)/inputs!$C$51)*D172))</f>
        <v>1.5909384946169115E-7</v>
      </c>
      <c r="E173" s="8">
        <f>IF((B173&gt;B172), (EXP(-LN(2)/inputs!$C$51)*E172+$E$3), (EXP(-LN(2)/inputs!$C$51)*E172))</f>
        <v>7.2918014336608368E-8</v>
      </c>
      <c r="F173" s="8">
        <f>IF((B173&gt;B172), (EXP(-LN(2)/inputs!$C$51)*F172+$F$3), (EXP(-LN(2)/inputs!$C$51)*F172))</f>
        <v>8.9490290322201204E-8</v>
      </c>
      <c r="G173" s="8">
        <f>IF((B173&gt;B172), (EXP(-LN(2)/inputs!$C$51)*G172+$G$3), (EXP(-LN(2)/inputs!$C$51)*G172))</f>
        <v>9.9433655913556971E-9</v>
      </c>
      <c r="H173" s="8">
        <f>IF((B173&gt;B172), (EXP(-LN(2)/inputs!$C$51)*H172+$H$3), (EXP(-LN(2)/inputs!$C$51)*H172))</f>
        <v>6.231175770582889E-8</v>
      </c>
      <c r="I173" s="7">
        <f>O173*(10^inputs!$C$55)*0.01/1</f>
        <v>1.7770441968897825</v>
      </c>
      <c r="J173" s="7">
        <f>(((0.621*15^0.564)/0.2))*D173/15+J172*inputs!$C$53</f>
        <v>1.7119526630904815E-7</v>
      </c>
      <c r="K173" s="7">
        <f>(((0.621*1000^0.564)/0.2))*D173/1000+K172*inputs!$C$53</f>
        <v>2.7432635994841756E-8</v>
      </c>
      <c r="L173" s="7">
        <f>(((0.648*20^0.651)/0.2))*H173/20+L172*inputs!$C$54</f>
        <v>9.3859088721694619E-8</v>
      </c>
      <c r="M173" s="7">
        <f>(((0.013*2^0.773)/0.2))*H173/2+M172*inputs!$C$54</f>
        <v>4.5768885712248013E-9</v>
      </c>
      <c r="N173" s="7">
        <f>O173*0.015*inputs!$C$56</f>
        <v>0.26108262070773608</v>
      </c>
      <c r="O173" s="7">
        <f>IF((B173&gt;B172), (EXP(-LN(2)/inputs!$C$52)*O172+$O$3), (EXP(-LN(2)/inputs!$C$52)*O172))</f>
        <v>2.8164252503531401E-2</v>
      </c>
      <c r="P173" s="3">
        <f>IF((B173&gt;B172), (EXP(-LN(2)/inputs!$C$52)*P172+$P$3), (EXP(-LN(2)/inputs!$C$52)*P172))</f>
        <v>2.7215255801397654E-2</v>
      </c>
      <c r="Q173" s="19">
        <f>IF((F173*0.62*1/(0.012*(10^inputs!$C$55)))&gt;inputs!$C$57, inputs!$C$57, (F173*0.62*1/(0.012*(10^inputs!$C$55))))</f>
        <v>7.3280151826896352E-10</v>
      </c>
      <c r="R173" s="3">
        <f>IF((B173&gt;B172), (EXP(-LN(2)/inputs!$C$51)*R172+$R$3), (EXP(-LN(2)/inputs!$C$51)*R172))</f>
        <v>1.7026233782076355E-15</v>
      </c>
      <c r="T173" s="7">
        <f>IF(T172&lt;(inputs!$C$20-1),(1+T172),0)</f>
        <v>0</v>
      </c>
      <c r="U173" s="7">
        <f>IF(inputs!$C$19&gt;U172,IF(T172=(inputs!$C$20-1),(U172+1),U172), U172)</f>
        <v>1</v>
      </c>
      <c r="V173" s="7">
        <f t="shared" si="4"/>
        <v>170</v>
      </c>
      <c r="W173" s="8">
        <f>IF((U173&gt;U172), (EXP(-LN(2)/inputs!$C$51)*W172+$W$3), (EXP(-LN(2)/inputs!$C$51)*W172))</f>
        <v>5.6345738351015512E-8</v>
      </c>
      <c r="X173" s="8">
        <f>IF((U173&gt;U172), (EXP(-LN(2)/inputs!$C$51)*X172+$X$3), (EXP(-LN(2)/inputs!$C$51)*X172))</f>
        <v>2.3864077419253624E-8</v>
      </c>
      <c r="Y173" s="8">
        <f>IF((U173&gt;U172), (EXP(-LN(2)/inputs!$C$51)*Y172+$Y$3), (EXP(-LN(2)/inputs!$C$51)*Y172))</f>
        <v>2.9830096774067068E-8</v>
      </c>
      <c r="Z173" s="8">
        <f>IF((U173&gt;U172), (EXP(-LN(2)/inputs!$C$51)*Z172+$Z$3), (EXP(-LN(2)/inputs!$C$51)*Z172))</f>
        <v>4.6402372759659828E-9</v>
      </c>
      <c r="AA173" s="8">
        <f>IF((U173&gt;U172), (EXP(-LN(2)/inputs!$C$51)*AA172+$AA$3), (EXP(-LN(2)/inputs!$C$51)*AA172))</f>
        <v>4.3087917562541293E-8</v>
      </c>
      <c r="AB173" s="7">
        <f>(((0.621*15^0.564)/0.2))*W173/15+AB172*inputs!$C$53</f>
        <v>6.0631656817787778E-8</v>
      </c>
      <c r="AC173" s="7">
        <f>(((0.621*1000^0.564)/0.2))*W173/1000+AC172*inputs!$C$53</f>
        <v>9.7157252481731022E-9</v>
      </c>
      <c r="AD173" s="7">
        <f>(((0.648*20^0.651)/0.2))*AA173/20+AD172*inputs!$C$54</f>
        <v>6.490256135010805E-8</v>
      </c>
      <c r="AE173" s="7">
        <f>(((0.013*2^0.773)/0.2))*AA173/2+AE172*inputs!$C$54</f>
        <v>3.1648697566980044E-9</v>
      </c>
    </row>
    <row r="174" spans="1:31" x14ac:dyDescent="0.3">
      <c r="A174" s="7">
        <f>IF(A173&lt;(inputs!$C$20-1),(1+A173),0)</f>
        <v>0</v>
      </c>
      <c r="B174" s="7">
        <f>IF(inputs!$C$19&gt;B173,IF(A173=(inputs!$C$20-1),(B173+1),B173), B173)</f>
        <v>1</v>
      </c>
      <c r="C174" s="7">
        <f t="shared" si="5"/>
        <v>171</v>
      </c>
      <c r="D174" s="8">
        <f>IF((B174&gt;B173), (EXP(-LN(2)/inputs!$C$51)*D173+$D$3), (EXP(-LN(2)/inputs!$C$51)*D173))</f>
        <v>1.3959031196393301E-7</v>
      </c>
      <c r="E174" s="8">
        <f>IF((B174&gt;B173), (EXP(-LN(2)/inputs!$C$51)*E173+$E$3), (EXP(-LN(2)/inputs!$C$51)*E173))</f>
        <v>6.3978892983469228E-8</v>
      </c>
      <c r="F174" s="8">
        <f>IF((B174&gt;B173), (EXP(-LN(2)/inputs!$C$51)*F173+$F$3), (EXP(-LN(2)/inputs!$C$51)*F173))</f>
        <v>7.8519550479712252E-8</v>
      </c>
      <c r="G174" s="8">
        <f>IF((B174&gt;B173), (EXP(-LN(2)/inputs!$C$51)*G173+$G$3), (EXP(-LN(2)/inputs!$C$51)*G173))</f>
        <v>8.724394497745813E-9</v>
      </c>
      <c r="H174" s="8">
        <f>IF((B174&gt;B173), (EXP(-LN(2)/inputs!$C$51)*H173+$H$3), (EXP(-LN(2)/inputs!$C$51)*H173))</f>
        <v>5.4672872185873633E-8</v>
      </c>
      <c r="I174" s="7">
        <f>O174*(10^inputs!$C$55)*0.01/1</f>
        <v>1.7411829502842111</v>
      </c>
      <c r="J174" s="7">
        <f>(((0.621*15^0.564)/0.2))*D174/15+J173*inputs!$C$53</f>
        <v>1.5020819919617902E-7</v>
      </c>
      <c r="K174" s="7">
        <f>(((0.621*1000^0.564)/0.2))*D174/1000+K173*inputs!$C$53</f>
        <v>2.4069630783778711E-8</v>
      </c>
      <c r="L174" s="7">
        <f>(((0.648*20^0.651)/0.2))*H174/20+L173*inputs!$C$54</f>
        <v>8.2352771773660915E-8</v>
      </c>
      <c r="M174" s="7">
        <f>(((0.013*2^0.773)/0.2))*H174/2+M173*inputs!$C$54</f>
        <v>4.0158014005140429E-9</v>
      </c>
      <c r="N174" s="7">
        <f>O174*0.015*inputs!$C$56</f>
        <v>0.25581390073891602</v>
      </c>
      <c r="O174" s="7">
        <f>IF((B174&gt;B173), (EXP(-LN(2)/inputs!$C$52)*O173+$O$3), (EXP(-LN(2)/inputs!$C$52)*O173))</f>
        <v>2.7595890047348009E-2</v>
      </c>
      <c r="P174" s="3">
        <f>IF((B174&gt;B173), (EXP(-LN(2)/inputs!$C$52)*P173+$P$3), (EXP(-LN(2)/inputs!$C$52)*P173))</f>
        <v>2.6666044362855044E-2</v>
      </c>
      <c r="Q174" s="19">
        <f>IF((F174*0.62*1/(0.012*(10^inputs!$C$55)))&gt;inputs!$C$57, inputs!$C$57, (F174*0.62*1/(0.012*(10^inputs!$C$55))))</f>
        <v>6.429663553237467E-10</v>
      </c>
      <c r="R174" s="3">
        <f>IF((B174&gt;B173), (EXP(-LN(2)/inputs!$C$51)*R173+$R$3), (EXP(-LN(2)/inputs!$C$51)*R173))</f>
        <v>1.4938963971597078E-15</v>
      </c>
      <c r="T174" s="7">
        <f>IF(T173&lt;(inputs!$C$20-1),(1+T173),0)</f>
        <v>0</v>
      </c>
      <c r="U174" s="7">
        <f>IF(inputs!$C$19&gt;U173,IF(T173=(inputs!$C$20-1),(U173+1),U173), U173)</f>
        <v>1</v>
      </c>
      <c r="V174" s="7">
        <f t="shared" si="4"/>
        <v>171</v>
      </c>
      <c r="W174" s="8">
        <f>IF((U174&gt;U173), (EXP(-LN(2)/inputs!$C$51)*W173+$W$3), (EXP(-LN(2)/inputs!$C$51)*W173))</f>
        <v>4.9438235487226184E-8</v>
      </c>
      <c r="X174" s="8">
        <f>IF((U174&gt;U173), (EXP(-LN(2)/inputs!$C$51)*X173+$X$3), (EXP(-LN(2)/inputs!$C$51)*X173))</f>
        <v>2.0938546794589909E-8</v>
      </c>
      <c r="Y174" s="8">
        <f>IF((U174&gt;U173), (EXP(-LN(2)/inputs!$C$51)*Y173+$Y$3), (EXP(-LN(2)/inputs!$C$51)*Y173))</f>
        <v>2.6173183493237421E-8</v>
      </c>
      <c r="Z174" s="8">
        <f>IF((U174&gt;U173), (EXP(-LN(2)/inputs!$C$51)*Z173+$Z$3), (EXP(-LN(2)/inputs!$C$51)*Z173))</f>
        <v>4.0713840989480377E-9</v>
      </c>
      <c r="AA174" s="8">
        <f>IF((U174&gt;U173), (EXP(-LN(2)/inputs!$C$51)*AA173+$AA$3), (EXP(-LN(2)/inputs!$C$51)*AA173))</f>
        <v>3.7805709490231804E-8</v>
      </c>
      <c r="AB174" s="7">
        <f>(((0.621*15^0.564)/0.2))*W174/15+AB173*inputs!$C$53</f>
        <v>5.3198737215313305E-8</v>
      </c>
      <c r="AC174" s="7">
        <f>(((0.621*1000^0.564)/0.2))*W174/1000+AC173*inputs!$C$53</f>
        <v>8.5246609025882792E-9</v>
      </c>
      <c r="AD174" s="7">
        <f>(((0.648*20^0.651)/0.2))*AA174/20+AD173*inputs!$C$54</f>
        <v>5.6946065588169842E-8</v>
      </c>
      <c r="AE174" s="7">
        <f>(((0.013*2^0.773)/0.2))*AA174/2+AE173*inputs!$C$54</f>
        <v>2.7768839471639687E-9</v>
      </c>
    </row>
    <row r="175" spans="1:31" x14ac:dyDescent="0.3">
      <c r="A175" s="7">
        <f>IF(A174&lt;(inputs!$C$20-1),(1+A174),0)</f>
        <v>0</v>
      </c>
      <c r="B175" s="7">
        <f>IF(inputs!$C$19&gt;B174,IF(A174=(inputs!$C$20-1),(B174+1),B174), B174)</f>
        <v>1</v>
      </c>
      <c r="C175" s="7">
        <f t="shared" si="5"/>
        <v>172</v>
      </c>
      <c r="D175" s="8">
        <f>IF((B175&gt;B174), (EXP(-LN(2)/inputs!$C$51)*D174+$D$3), (EXP(-LN(2)/inputs!$C$51)*D174))</f>
        <v>1.2247774040366105E-7</v>
      </c>
      <c r="E175" s="8">
        <f>IF((B175&gt;B174), (EXP(-LN(2)/inputs!$C$51)*E174+$E$3), (EXP(-LN(2)/inputs!$C$51)*E174))</f>
        <v>5.6135631018344588E-8</v>
      </c>
      <c r="F175" s="8">
        <f>IF((B175&gt;B174), (EXP(-LN(2)/inputs!$C$51)*F174+$F$3), (EXP(-LN(2)/inputs!$C$51)*F174))</f>
        <v>6.8893728977059282E-8</v>
      </c>
      <c r="G175" s="8">
        <f>IF((B175&gt;B174), (EXP(-LN(2)/inputs!$C$51)*G174+$G$3), (EXP(-LN(2)/inputs!$C$51)*G174))</f>
        <v>7.6548587752288153E-9</v>
      </c>
      <c r="H175" s="8">
        <f>IF((B175&gt;B174), (EXP(-LN(2)/inputs!$C$51)*H174+$H$3), (EXP(-LN(2)/inputs!$C$51)*H174))</f>
        <v>4.7970448324767132E-8</v>
      </c>
      <c r="I175" s="7">
        <f>O175*(10^inputs!$C$55)*0.01/1</f>
        <v>1.7060453936185727</v>
      </c>
      <c r="J175" s="7">
        <f>(((0.621*15^0.564)/0.2))*D175/15+J174*inputs!$C$53</f>
        <v>1.3179396599102402E-7</v>
      </c>
      <c r="K175" s="7">
        <f>(((0.621*1000^0.564)/0.2))*D175/1000+K174*inputs!$C$53</f>
        <v>2.1118901084692135E-8</v>
      </c>
      <c r="L175" s="7">
        <f>(((0.648*20^0.651)/0.2))*H175/20+L174*inputs!$C$54</f>
        <v>7.2257030311834822E-8</v>
      </c>
      <c r="M175" s="7">
        <f>(((0.013*2^0.773)/0.2))*H175/2+M174*inputs!$C$54</f>
        <v>3.5234986907393649E-9</v>
      </c>
      <c r="N175" s="7">
        <f>O175*0.015*inputs!$C$56</f>
        <v>0.25065150500582867</v>
      </c>
      <c r="O175" s="7">
        <f>IF((B175&gt;B174), (EXP(-LN(2)/inputs!$C$52)*O174+$O$3), (EXP(-LN(2)/inputs!$C$52)*O174))</f>
        <v>2.703899730375714E-2</v>
      </c>
      <c r="P175" s="3">
        <f>IF((B175&gt;B174), (EXP(-LN(2)/inputs!$C$52)*P174+$P$3), (EXP(-LN(2)/inputs!$C$52)*P174))</f>
        <v>2.6127916164037507E-2</v>
      </c>
      <c r="Q175" s="19">
        <f>IF((F175*0.62*1/(0.012*(10^inputs!$C$55)))&gt;inputs!$C$57, inputs!$C$57, (F175*0.62*1/(0.012*(10^inputs!$C$55))))</f>
        <v>5.6414421063817751E-10</v>
      </c>
      <c r="R175" s="3">
        <f>IF((B175&gt;B174), (EXP(-LN(2)/inputs!$C$51)*R174+$R$3), (EXP(-LN(2)/inputs!$C$51)*R174))</f>
        <v>1.3107575486224738E-15</v>
      </c>
      <c r="T175" s="7">
        <f>IF(T174&lt;(inputs!$C$20-1),(1+T174),0)</f>
        <v>0</v>
      </c>
      <c r="U175" s="7">
        <f>IF(inputs!$C$19&gt;U174,IF(T174=(inputs!$C$20-1),(U174+1),U174), U174)</f>
        <v>1</v>
      </c>
      <c r="V175" s="7">
        <f t="shared" si="4"/>
        <v>172</v>
      </c>
      <c r="W175" s="8">
        <f>IF((U175&gt;U174), (EXP(-LN(2)/inputs!$C$51)*W174+$W$3), (EXP(-LN(2)/inputs!$C$51)*W174))</f>
        <v>4.3377533059629875E-8</v>
      </c>
      <c r="X175" s="8">
        <f>IF((U175&gt;U174), (EXP(-LN(2)/inputs!$C$51)*X174+$X$3), (EXP(-LN(2)/inputs!$C$51)*X174))</f>
        <v>1.837166106054912E-8</v>
      </c>
      <c r="Y175" s="8">
        <f>IF((U175&gt;U174), (EXP(-LN(2)/inputs!$C$51)*Y174+$Y$3), (EXP(-LN(2)/inputs!$C$51)*Y174))</f>
        <v>2.2964576325686429E-8</v>
      </c>
      <c r="Z175" s="8">
        <f>IF((U175&gt;U174), (EXP(-LN(2)/inputs!$C$51)*Z174+$Z$3), (EXP(-LN(2)/inputs!$C$51)*Z174))</f>
        <v>3.5722674284401066E-9</v>
      </c>
      <c r="AA175" s="8">
        <f>IF((U175&gt;U174), (EXP(-LN(2)/inputs!$C$51)*AA174+$AA$3), (EXP(-LN(2)/inputs!$C$51)*AA174))</f>
        <v>3.3171054692658152E-8</v>
      </c>
      <c r="AB175" s="7">
        <f>(((0.621*15^0.564)/0.2))*W175/15+AB174*inputs!$C$53</f>
        <v>4.6677029621820923E-8</v>
      </c>
      <c r="AC175" s="7">
        <f>(((0.621*1000^0.564)/0.2))*W175/1000+AC174*inputs!$C$53</f>
        <v>7.479610800828451E-9</v>
      </c>
      <c r="AD175" s="7">
        <f>(((0.648*20^0.651)/0.2))*AA175/20+AD174*inputs!$C$54</f>
        <v>4.9964967768822005E-8</v>
      </c>
      <c r="AE175" s="7">
        <f>(((0.013*2^0.773)/0.2))*AA175/2+AE174*inputs!$C$54</f>
        <v>2.436461860617648E-9</v>
      </c>
    </row>
    <row r="176" spans="1:31" x14ac:dyDescent="0.3">
      <c r="A176" s="7">
        <f>IF(A175&lt;(inputs!$C$20-1),(1+A175),0)</f>
        <v>0</v>
      </c>
      <c r="B176" s="7">
        <f>IF(inputs!$C$19&gt;B175,IF(A175=(inputs!$C$20-1),(B175+1),B175), B175)</f>
        <v>1</v>
      </c>
      <c r="C176" s="7">
        <f t="shared" si="5"/>
        <v>173</v>
      </c>
      <c r="D176" s="8">
        <f>IF((B176&gt;B175), (EXP(-LN(2)/inputs!$C$51)*D175+$D$3), (EXP(-LN(2)/inputs!$C$51)*D175))</f>
        <v>1.0746302292284048E-7</v>
      </c>
      <c r="E176" s="8">
        <f>IF((B176&gt;B175), (EXP(-LN(2)/inputs!$C$51)*E175+$E$3), (EXP(-LN(2)/inputs!$C$51)*E175))</f>
        <v>4.9253885506301833E-8</v>
      </c>
      <c r="F176" s="8">
        <f>IF((B176&gt;B175), (EXP(-LN(2)/inputs!$C$51)*F175+$F$3), (EXP(-LN(2)/inputs!$C$51)*F175))</f>
        <v>6.0447950394097713E-8</v>
      </c>
      <c r="G176" s="8">
        <f>IF((B176&gt;B175), (EXP(-LN(2)/inputs!$C$51)*G175+$G$3), (EXP(-LN(2)/inputs!$C$51)*G175))</f>
        <v>6.7164389326775299E-9</v>
      </c>
      <c r="H176" s="8">
        <f>IF((B176&gt;B175), (EXP(-LN(2)/inputs!$C$51)*H175+$H$3), (EXP(-LN(2)/inputs!$C$51)*H175))</f>
        <v>4.2089683978112424E-8</v>
      </c>
      <c r="I176" s="7">
        <f>O176*(10^inputs!$C$55)*0.01/1</f>
        <v>1.6716169226284112</v>
      </c>
      <c r="J176" s="7">
        <f>(((0.621*15^0.564)/0.2))*D176/15+J175*inputs!$C$53</f>
        <v>1.1563715938673636E-7</v>
      </c>
      <c r="K176" s="7">
        <f>(((0.621*1000^0.564)/0.2))*D176/1000+K175*inputs!$C$53</f>
        <v>1.8529905466002806E-8</v>
      </c>
      <c r="L176" s="7">
        <f>(((0.648*20^0.651)/0.2))*H176/20+L175*inputs!$C$54</f>
        <v>6.3398939914676775E-8</v>
      </c>
      <c r="M176" s="7">
        <f>(((0.013*2^0.773)/0.2))*H176/2+M175*inputs!$C$54</f>
        <v>3.09154805863976E-9</v>
      </c>
      <c r="N176" s="7">
        <f>O176*0.015*inputs!$C$56</f>
        <v>0.24559328785579732</v>
      </c>
      <c r="O176" s="7">
        <f>IF((B176&gt;B175), (EXP(-LN(2)/inputs!$C$52)*O175+$O$3), (EXP(-LN(2)/inputs!$C$52)*O175))</f>
        <v>2.6493342810765621E-2</v>
      </c>
      <c r="P176" s="3">
        <f>IF((B176&gt;B175), (EXP(-LN(2)/inputs!$C$52)*P175+$P$3), (EXP(-LN(2)/inputs!$C$52)*P175))</f>
        <v>2.5600647542081922E-2</v>
      </c>
      <c r="Q176" s="19">
        <f>IF((F176*0.62*1/(0.012*(10^inputs!$C$55)))&gt;inputs!$C$57, inputs!$C$57, (F176*0.62*1/(0.012*(10^inputs!$C$55))))</f>
        <v>4.9498498290213427E-10</v>
      </c>
      <c r="R176" s="3">
        <f>IF((B176&gt;B175), (EXP(-LN(2)/inputs!$C$51)*R175+$R$3), (EXP(-LN(2)/inputs!$C$51)*R175))</f>
        <v>1.1500699476465246E-15</v>
      </c>
      <c r="T176" s="7">
        <f>IF(T175&lt;(inputs!$C$20-1),(1+T175),0)</f>
        <v>0</v>
      </c>
      <c r="U176" s="7">
        <f>IF(inputs!$C$19&gt;U175,IF(T175=(inputs!$C$20-1),(U175+1),U175), U175)</f>
        <v>1</v>
      </c>
      <c r="V176" s="7">
        <f t="shared" si="4"/>
        <v>173</v>
      </c>
      <c r="W176" s="8">
        <f>IF((U176&gt;U175), (EXP(-LN(2)/inputs!$C$51)*W175+$W$3), (EXP(-LN(2)/inputs!$C$51)*W175))</f>
        <v>3.8059820618505933E-8</v>
      </c>
      <c r="X176" s="8">
        <f>IF((U176&gt;U175), (EXP(-LN(2)/inputs!$C$51)*X175+$X$3), (EXP(-LN(2)/inputs!$C$51)*X175))</f>
        <v>1.6119453438426039E-8</v>
      </c>
      <c r="Y176" s="8">
        <f>IF((U176&gt;U175), (EXP(-LN(2)/inputs!$C$51)*Y175+$Y$3), (EXP(-LN(2)/inputs!$C$51)*Y175))</f>
        <v>2.0149316798032573E-8</v>
      </c>
      <c r="Z176" s="8">
        <f>IF((U176&gt;U175), (EXP(-LN(2)/inputs!$C$51)*Z175+$Z$3), (EXP(-LN(2)/inputs!$C$51)*Z175))</f>
        <v>3.1343381685828407E-9</v>
      </c>
      <c r="AA176" s="8">
        <f>IF((U176&gt;U175), (EXP(-LN(2)/inputs!$C$51)*AA175+$AA$3), (EXP(-LN(2)/inputs!$C$51)*AA175))</f>
        <v>2.9104568708269253E-8</v>
      </c>
      <c r="AB176" s="7">
        <f>(((0.621*15^0.564)/0.2))*W176/15+AB175*inputs!$C$53</f>
        <v>4.0954827282802384E-8</v>
      </c>
      <c r="AC176" s="7">
        <f>(((0.621*1000^0.564)/0.2))*W176/1000+AC175*inputs!$C$53</f>
        <v>6.5626748525426477E-9</v>
      </c>
      <c r="AD176" s="7">
        <f>(((0.648*20^0.651)/0.2))*AA176/20+AD175*inputs!$C$54</f>
        <v>4.3839692494191416E-8</v>
      </c>
      <c r="AE176" s="7">
        <f>(((0.013*2^0.773)/0.2))*AA176/2+AE175*inputs!$C$54</f>
        <v>2.1377725937402612E-9</v>
      </c>
    </row>
    <row r="177" spans="1:31" x14ac:dyDescent="0.3">
      <c r="A177" s="7">
        <f>IF(A176&lt;(inputs!$C$20-1),(1+A176),0)</f>
        <v>0</v>
      </c>
      <c r="B177" s="7">
        <f>IF(inputs!$C$19&gt;B176,IF(A176=(inputs!$C$20-1),(B176+1),B176), B176)</f>
        <v>1</v>
      </c>
      <c r="C177" s="7">
        <f t="shared" si="5"/>
        <v>174</v>
      </c>
      <c r="D177" s="8">
        <f>IF((B177&gt;B176), (EXP(-LN(2)/inputs!$C$51)*D176+$D$3), (EXP(-LN(2)/inputs!$C$51)*D176))</f>
        <v>9.4288980656029001E-8</v>
      </c>
      <c r="E177" s="8">
        <f>IF((B177&gt;B176), (EXP(-LN(2)/inputs!$C$51)*E176+$E$3), (EXP(-LN(2)/inputs!$C$51)*E176))</f>
        <v>4.3215782800679914E-8</v>
      </c>
      <c r="F177" s="8">
        <f>IF((B177&gt;B176), (EXP(-LN(2)/inputs!$C$51)*F176+$F$3), (EXP(-LN(2)/inputs!$C$51)*F176))</f>
        <v>5.3037551619016264E-8</v>
      </c>
      <c r="G177" s="8">
        <f>IF((B177&gt;B176), (EXP(-LN(2)/inputs!$C$51)*G176+$G$3), (EXP(-LN(2)/inputs!$C$51)*G176))</f>
        <v>5.8930612910018126E-9</v>
      </c>
      <c r="H177" s="8">
        <f>IF((B177&gt;B176), (EXP(-LN(2)/inputs!$C$51)*H176+$H$3), (EXP(-LN(2)/inputs!$C$51)*H176))</f>
        <v>3.6929850756944606E-8</v>
      </c>
      <c r="I177" s="7">
        <f>O177*(10^inputs!$C$55)*0.01/1</f>
        <v>1.6378832277673925</v>
      </c>
      <c r="J177" s="7">
        <f>(((0.621*15^0.564)/0.2))*D177/15+J176*inputs!$C$53</f>
        <v>1.0146103829931169E-7</v>
      </c>
      <c r="K177" s="7">
        <f>(((0.621*1000^0.564)/0.2))*D177/1000+K176*inputs!$C$53</f>
        <v>1.6258298440910852E-8</v>
      </c>
      <c r="L177" s="7">
        <f>(((0.648*20^0.651)/0.2))*H177/20+L176*inputs!$C$54</f>
        <v>5.5626775207317941E-8</v>
      </c>
      <c r="M177" s="7">
        <f>(((0.013*2^0.773)/0.2))*H177/2+M176*inputs!$C$54</f>
        <v>2.7125508586108492E-9</v>
      </c>
      <c r="N177" s="7">
        <f>O177*0.015*inputs!$C$56</f>
        <v>0.24063714693601349</v>
      </c>
      <c r="O177" s="7">
        <f>IF((B177&gt;B176), (EXP(-LN(2)/inputs!$C$52)*O176+$O$3), (EXP(-LN(2)/inputs!$C$52)*O176))</f>
        <v>2.5958699777347733E-2</v>
      </c>
      <c r="P177" s="3">
        <f>IF((B177&gt;B176), (EXP(-LN(2)/inputs!$C$52)*P176+$P$3), (EXP(-LN(2)/inputs!$C$52)*P176))</f>
        <v>2.5084019347704007E-2</v>
      </c>
      <c r="Q177" s="19">
        <f>IF((F177*0.62*1/(0.012*(10^inputs!$C$55)))&gt;inputs!$C$57, inputs!$C$57, (F177*0.62*1/(0.012*(10^inputs!$C$55))))</f>
        <v>4.3430408161321578E-10</v>
      </c>
      <c r="R177" s="3">
        <f>IF((B177&gt;B176), (EXP(-LN(2)/inputs!$C$51)*R176+$R$3), (EXP(-LN(2)/inputs!$C$51)*R176))</f>
        <v>1.0090812643953229E-15</v>
      </c>
      <c r="T177" s="7">
        <f>IF(T176&lt;(inputs!$C$20-1),(1+T176),0)</f>
        <v>0</v>
      </c>
      <c r="U177" s="7">
        <f>IF(inputs!$C$19&gt;U176,IF(T176=(inputs!$C$20-1),(U176+1),U176), U176)</f>
        <v>1</v>
      </c>
      <c r="V177" s="7">
        <f t="shared" si="4"/>
        <v>174</v>
      </c>
      <c r="W177" s="8">
        <f>IF((U177&gt;U176), (EXP(-LN(2)/inputs!$C$51)*W176+$W$3), (EXP(-LN(2)/inputs!$C$51)*W176))</f>
        <v>3.3394013982343544E-8</v>
      </c>
      <c r="X177" s="8">
        <f>IF((U177&gt;U176), (EXP(-LN(2)/inputs!$C$51)*X176+$X$3), (EXP(-LN(2)/inputs!$C$51)*X176))</f>
        <v>1.4143347098404322E-8</v>
      </c>
      <c r="Y177" s="8">
        <f>IF((U177&gt;U176), (EXP(-LN(2)/inputs!$C$51)*Y176+$Y$3), (EXP(-LN(2)/inputs!$C$51)*Y176))</f>
        <v>1.7679183873005424E-8</v>
      </c>
      <c r="Z177" s="8">
        <f>IF((U177&gt;U176), (EXP(-LN(2)/inputs!$C$51)*Z176+$Z$3), (EXP(-LN(2)/inputs!$C$51)*Z176))</f>
        <v>2.7500952691341736E-9</v>
      </c>
      <c r="AA177" s="8">
        <f>IF((U177&gt;U176), (EXP(-LN(2)/inputs!$C$51)*AA176+$AA$3), (EXP(-LN(2)/inputs!$C$51)*AA176))</f>
        <v>2.5536598927674484E-8</v>
      </c>
      <c r="AB177" s="7">
        <f>(((0.621*15^0.564)/0.2))*W177/15+AB176*inputs!$C$53</f>
        <v>3.5934117731006153E-8</v>
      </c>
      <c r="AC177" s="7">
        <f>(((0.621*1000^0.564)/0.2))*W177/1000+AC176*inputs!$C$53</f>
        <v>5.7581473644892496E-9</v>
      </c>
      <c r="AD177" s="7">
        <f>(((0.648*20^0.651)/0.2))*AA177/20+AD176*inputs!$C$54</f>
        <v>3.8465323281656058E-8</v>
      </c>
      <c r="AE177" s="7">
        <f>(((0.013*2^0.773)/0.2))*AA177/2+AE176*inputs!$C$54</f>
        <v>1.8757000618053762E-9</v>
      </c>
    </row>
    <row r="178" spans="1:31" x14ac:dyDescent="0.3">
      <c r="A178" s="7">
        <f>IF(A177&lt;(inputs!$C$20-1),(1+A177),0)</f>
        <v>0</v>
      </c>
      <c r="B178" s="7">
        <f>IF(inputs!$C$19&gt;B177,IF(A177=(inputs!$C$20-1),(B177+1),B177), B177)</f>
        <v>1</v>
      </c>
      <c r="C178" s="7">
        <f t="shared" si="5"/>
        <v>175</v>
      </c>
      <c r="D178" s="8">
        <f>IF((B178&gt;B177), (EXP(-LN(2)/inputs!$C$51)*D177+$D$3), (EXP(-LN(2)/inputs!$C$51)*D177))</f>
        <v>8.2729962654562731E-8</v>
      </c>
      <c r="E178" s="8">
        <f>IF((B178&gt;B177), (EXP(-LN(2)/inputs!$C$51)*E177+$E$3), (EXP(-LN(2)/inputs!$C$51)*E177))</f>
        <v>3.7917899550007874E-8</v>
      </c>
      <c r="F178" s="8">
        <f>IF((B178&gt;B177), (EXP(-LN(2)/inputs!$C$51)*F177+$F$3), (EXP(-LN(2)/inputs!$C$51)*F177))</f>
        <v>4.653560399319149E-8</v>
      </c>
      <c r="G178" s="8">
        <f>IF((B178&gt;B177), (EXP(-LN(2)/inputs!$C$51)*G177+$G$3), (EXP(-LN(2)/inputs!$C$51)*G177))</f>
        <v>5.1706226659101707E-9</v>
      </c>
      <c r="H178" s="8">
        <f>IF((B178&gt;B177), (EXP(-LN(2)/inputs!$C$51)*H177+$H$3), (EXP(-LN(2)/inputs!$C$51)*H177))</f>
        <v>3.2402568706370325E-8</v>
      </c>
      <c r="I178" s="7">
        <f>O178*(10^inputs!$C$55)*0.01/1</f>
        <v>1.6048302882598113</v>
      </c>
      <c r="J178" s="7">
        <f>(((0.621*15^0.564)/0.2))*D178/15+J177*inputs!$C$53</f>
        <v>8.9022787721255289E-8</v>
      </c>
      <c r="K178" s="7">
        <f>(((0.621*1000^0.564)/0.2))*D178/1000+K177*inputs!$C$53</f>
        <v>1.426517089786022E-8</v>
      </c>
      <c r="L178" s="7">
        <f>(((0.648*20^0.651)/0.2))*H178/20+L177*inputs!$C$54</f>
        <v>4.8807411040782198E-8</v>
      </c>
      <c r="M178" s="7">
        <f>(((0.013*2^0.773)/0.2))*H178/2+M177*inputs!$C$54</f>
        <v>2.3800154553598781E-9</v>
      </c>
      <c r="N178" s="7">
        <f>O178*0.015*inputs!$C$56</f>
        <v>0.23578102231973375</v>
      </c>
      <c r="O178" s="7">
        <f>IF((B178&gt;B177), (EXP(-LN(2)/inputs!$C$52)*O177+$O$3), (EXP(-LN(2)/inputs!$C$52)*O177))</f>
        <v>2.5434845989183791E-2</v>
      </c>
      <c r="P178" s="3">
        <f>IF((B178&gt;B177), (EXP(-LN(2)/inputs!$C$52)*P177+$P$3), (EXP(-LN(2)/inputs!$C$52)*P177))</f>
        <v>2.4577816854113053E-2</v>
      </c>
      <c r="Q178" s="19">
        <f>IF((F178*0.62*1/(0.012*(10^inputs!$C$55)))&gt;inputs!$C$57, inputs!$C$57, (F178*0.62*1/(0.012*(10^inputs!$C$55))))</f>
        <v>3.8106213687535584E-10</v>
      </c>
      <c r="R178" s="3">
        <f>IF((B178&gt;B177), (EXP(-LN(2)/inputs!$C$51)*R177+$R$3), (EXP(-LN(2)/inputs!$C$51)*R177))</f>
        <v>8.8537658099611737E-16</v>
      </c>
      <c r="T178" s="7">
        <f>IF(T177&lt;(inputs!$C$20-1),(1+T177),0)</f>
        <v>0</v>
      </c>
      <c r="U178" s="7">
        <f>IF(inputs!$C$19&gt;U177,IF(T177=(inputs!$C$20-1),(U177+1),U177), U177)</f>
        <v>1</v>
      </c>
      <c r="V178" s="7">
        <f t="shared" si="4"/>
        <v>175</v>
      </c>
      <c r="W178" s="8">
        <f>IF((U178&gt;U177), (EXP(-LN(2)/inputs!$C$51)*W177+$W$3), (EXP(-LN(2)/inputs!$C$51)*W177))</f>
        <v>2.9300195106824245E-8</v>
      </c>
      <c r="X178" s="8">
        <f>IF((U178&gt;U177), (EXP(-LN(2)/inputs!$C$51)*X177+$X$3), (EXP(-LN(2)/inputs!$C$51)*X177))</f>
        <v>1.2409494398184384E-8</v>
      </c>
      <c r="Y178" s="8">
        <f>IF((U178&gt;U177), (EXP(-LN(2)/inputs!$C$51)*Y177+$Y$3), (EXP(-LN(2)/inputs!$C$51)*Y177))</f>
        <v>1.5511867997730499E-8</v>
      </c>
      <c r="Z178" s="8">
        <f>IF((U178&gt;U177), (EXP(-LN(2)/inputs!$C$51)*Z177+$Z$3), (EXP(-LN(2)/inputs!$C$51)*Z177))</f>
        <v>2.4129572440914078E-9</v>
      </c>
      <c r="AA178" s="8">
        <f>IF((U178&gt;U177), (EXP(-LN(2)/inputs!$C$51)*AA177+$AA$3), (EXP(-LN(2)/inputs!$C$51)*AA177))</f>
        <v>2.2406031552277372E-8</v>
      </c>
      <c r="AB178" s="7">
        <f>(((0.621*15^0.564)/0.2))*W178/15+AB177*inputs!$C$53</f>
        <v>3.1528903984611185E-8</v>
      </c>
      <c r="AC178" s="7">
        <f>(((0.621*1000^0.564)/0.2))*W178/1000+AC177*inputs!$C$53</f>
        <v>5.0522480263254854E-9</v>
      </c>
      <c r="AD178" s="7">
        <f>(((0.648*20^0.651)/0.2))*AA178/20+AD177*inputs!$C$54</f>
        <v>3.3749805506923889E-8</v>
      </c>
      <c r="AE178" s="7">
        <f>(((0.013*2^0.773)/0.2))*AA178/2+AE177*inputs!$C$54</f>
        <v>1.6457553680680024E-9</v>
      </c>
    </row>
    <row r="179" spans="1:31" x14ac:dyDescent="0.3">
      <c r="A179" s="7">
        <f>IF(A178&lt;(inputs!$C$20-1),(1+A178),0)</f>
        <v>0</v>
      </c>
      <c r="B179" s="7">
        <f>IF(inputs!$C$19&gt;B178,IF(A178=(inputs!$C$20-1),(B178+1),B178), B178)</f>
        <v>1</v>
      </c>
      <c r="C179" s="7">
        <f t="shared" si="5"/>
        <v>176</v>
      </c>
      <c r="D179" s="8">
        <f>IF((B179&gt;B178), (EXP(-LN(2)/inputs!$C$51)*D178+$D$3), (EXP(-LN(2)/inputs!$C$51)*D178))</f>
        <v>7.2587980835146621E-8</v>
      </c>
      <c r="E179" s="8">
        <f>IF((B179&gt;B178), (EXP(-LN(2)/inputs!$C$51)*E178+$E$3), (EXP(-LN(2)/inputs!$C$51)*E178))</f>
        <v>3.3269491216108829E-8</v>
      </c>
      <c r="F179" s="8">
        <f>IF((B179&gt;B178), (EXP(-LN(2)/inputs!$C$51)*F178+$F$3), (EXP(-LN(2)/inputs!$C$51)*F178))</f>
        <v>4.0830739219769934E-8</v>
      </c>
      <c r="G179" s="8">
        <f>IF((B179&gt;B178), (EXP(-LN(2)/inputs!$C$51)*G178+$G$3), (EXP(-LN(2)/inputs!$C$51)*G178))</f>
        <v>4.5367488021966638E-9</v>
      </c>
      <c r="H179" s="8">
        <f>IF((B179&gt;B178), (EXP(-LN(2)/inputs!$C$51)*H178+$H$3), (EXP(-LN(2)/inputs!$C$51)*H178))</f>
        <v>2.8430292493765691E-8</v>
      </c>
      <c r="I179" s="7">
        <f>O179*(10^inputs!$C$55)*0.01/1</f>
        <v>1.5724443662731198</v>
      </c>
      <c r="J179" s="7">
        <f>(((0.621*15^0.564)/0.2))*D179/15+J178*inputs!$C$53</f>
        <v>7.8109359676417225E-8</v>
      </c>
      <c r="K179" s="7">
        <f>(((0.621*1000^0.564)/0.2))*D179/1000+K178*inputs!$C$53</f>
        <v>1.2516383647694783E-8</v>
      </c>
      <c r="L179" s="7">
        <f>(((0.648*20^0.651)/0.2))*H179/20+L178*inputs!$C$54</f>
        <v>4.2824042264281473E-8</v>
      </c>
      <c r="M179" s="7">
        <f>(((0.013*2^0.773)/0.2))*H179/2+M178*inputs!$C$54</f>
        <v>2.088246032243162E-9</v>
      </c>
      <c r="N179" s="7">
        <f>O179*0.015*inputs!$C$56</f>
        <v>0.23102289565010981</v>
      </c>
      <c r="O179" s="7">
        <f>IF((B179&gt;B178), (EXP(-LN(2)/inputs!$C$52)*O178+$O$3), (EXP(-LN(2)/inputs!$C$52)*O178))</f>
        <v>2.492156371630095E-2</v>
      </c>
      <c r="P179" s="3">
        <f>IF((B179&gt;B178), (EXP(-LN(2)/inputs!$C$52)*P178+$P$3), (EXP(-LN(2)/inputs!$C$52)*P178))</f>
        <v>2.4081829667764763E-2</v>
      </c>
      <c r="Q179" s="19">
        <f>IF((F179*0.62*1/(0.012*(10^inputs!$C$55)))&gt;inputs!$C$57, inputs!$C$57, (F179*0.62*1/(0.012*(10^inputs!$C$55))))</f>
        <v>3.3434719660160287E-10</v>
      </c>
      <c r="R179" s="3">
        <f>IF((B179&gt;B178), (EXP(-LN(2)/inputs!$C$51)*R178+$R$3), (EXP(-LN(2)/inputs!$C$51)*R178))</f>
        <v>7.7683702773543205E-16</v>
      </c>
      <c r="T179" s="7">
        <f>IF(T178&lt;(inputs!$C$20-1),(1+T178),0)</f>
        <v>0</v>
      </c>
      <c r="U179" s="7">
        <f>IF(inputs!$C$19&gt;U178,IF(T178=(inputs!$C$20-1),(U178+1),U178), U178)</f>
        <v>1</v>
      </c>
      <c r="V179" s="7">
        <f t="shared" si="4"/>
        <v>176</v>
      </c>
      <c r="W179" s="8">
        <f>IF((U179&gt;U178), (EXP(-LN(2)/inputs!$C$51)*W178+$W$3), (EXP(-LN(2)/inputs!$C$51)*W178))</f>
        <v>2.5708243212447714E-8</v>
      </c>
      <c r="X179" s="8">
        <f>IF((U179&gt;U178), (EXP(-LN(2)/inputs!$C$51)*X178+$X$3), (EXP(-LN(2)/inputs!$C$51)*X178))</f>
        <v>1.088819712527197E-8</v>
      </c>
      <c r="Y179" s="8">
        <f>IF((U179&gt;U178), (EXP(-LN(2)/inputs!$C$51)*Y178+$Y$3), (EXP(-LN(2)/inputs!$C$51)*Y178))</f>
        <v>1.3610246406589981E-8</v>
      </c>
      <c r="Z179" s="8">
        <f>IF((U179&gt;U178), (EXP(-LN(2)/inputs!$C$51)*Z178+$Z$3), (EXP(-LN(2)/inputs!$C$51)*Z178))</f>
        <v>2.1171494410251054E-9</v>
      </c>
      <c r="AA179" s="8">
        <f>IF((U179&gt;U178), (EXP(-LN(2)/inputs!$C$51)*AA178+$AA$3), (EXP(-LN(2)/inputs!$C$51)*AA178))</f>
        <v>1.9659244809518847E-8</v>
      </c>
      <c r="AB179" s="7">
        <f>(((0.621*15^0.564)/0.2))*W179/15+AB178*inputs!$C$53</f>
        <v>2.766373155206438E-8</v>
      </c>
      <c r="AC179" s="7">
        <f>(((0.621*1000^0.564)/0.2))*W179/1000+AC178*inputs!$C$53</f>
        <v>4.4328858752252275E-9</v>
      </c>
      <c r="AD179" s="7">
        <f>(((0.648*20^0.651)/0.2))*AA179/20+AD178*inputs!$C$54</f>
        <v>2.9612369650832958E-8</v>
      </c>
      <c r="AE179" s="7">
        <f>(((0.013*2^0.773)/0.2))*AA179/2+AE178*inputs!$C$54</f>
        <v>1.4439999159128262E-9</v>
      </c>
    </row>
    <row r="180" spans="1:31" x14ac:dyDescent="0.3">
      <c r="A180" s="7">
        <f>IF(A179&lt;(inputs!$C$20-1),(1+A179),0)</f>
        <v>0</v>
      </c>
      <c r="B180" s="7">
        <f>IF(inputs!$C$19&gt;B179,IF(A179=(inputs!$C$20-1),(B179+1),B179), B179)</f>
        <v>1</v>
      </c>
      <c r="C180" s="7">
        <f t="shared" si="5"/>
        <v>177</v>
      </c>
      <c r="D180" s="8">
        <f>IF((B180&gt;B179), (EXP(-LN(2)/inputs!$C$51)*D179+$D$3), (EXP(-LN(2)/inputs!$C$51)*D179))</f>
        <v>6.3689318750502489E-8</v>
      </c>
      <c r="E180" s="8">
        <f>IF((B180&gt;B179), (EXP(-LN(2)/inputs!$C$51)*E179+$E$3), (EXP(-LN(2)/inputs!$C$51)*E179))</f>
        <v>2.9190937760646942E-8</v>
      </c>
      <c r="F180" s="8">
        <f>IF((B180&gt;B179), (EXP(-LN(2)/inputs!$C$51)*F179+$F$3), (EXP(-LN(2)/inputs!$C$51)*F179))</f>
        <v>3.5825241797157615E-8</v>
      </c>
      <c r="G180" s="8">
        <f>IF((B180&gt;B179), (EXP(-LN(2)/inputs!$C$51)*G179+$G$3), (EXP(-LN(2)/inputs!$C$51)*G179))</f>
        <v>3.9805824219064056E-9</v>
      </c>
      <c r="H180" s="8">
        <f>IF((B180&gt;B179), (EXP(-LN(2)/inputs!$C$51)*H179+$H$3), (EXP(-LN(2)/inputs!$C$51)*H179))</f>
        <v>2.4944983177280082E-8</v>
      </c>
      <c r="I180" s="7">
        <f>O180*(10^inputs!$C$55)*0.01/1</f>
        <v>1.5407120012080548</v>
      </c>
      <c r="J180" s="7">
        <f>(((0.621*15^0.564)/0.2))*D180/15+J179*inputs!$C$53</f>
        <v>6.8533824037990732E-8</v>
      </c>
      <c r="K180" s="7">
        <f>(((0.621*1000^0.564)/0.2))*D180/1000+K179*inputs!$C$53</f>
        <v>1.098198267220061E-8</v>
      </c>
      <c r="L180" s="7">
        <f>(((0.648*20^0.651)/0.2))*H180/20+L179*inputs!$C$54</f>
        <v>3.7574183033814427E-8</v>
      </c>
      <c r="M180" s="7">
        <f>(((0.013*2^0.773)/0.2))*H180/2+M179*inputs!$C$54</f>
        <v>1.8322450307449472E-9</v>
      </c>
      <c r="N180" s="7">
        <f>O180*0.015*inputs!$C$56</f>
        <v>0.22636078930129644</v>
      </c>
      <c r="O180" s="7">
        <f>IF((B180&gt;B179), (EXP(-LN(2)/inputs!$C$52)*O179+$O$3), (EXP(-LN(2)/inputs!$C$52)*O179))</f>
        <v>2.4418639622577825E-2</v>
      </c>
      <c r="P180" s="3">
        <f>IF((B180&gt;B179), (EXP(-LN(2)/inputs!$C$52)*P179+$P$3), (EXP(-LN(2)/inputs!$C$52)*P179))</f>
        <v>2.3595851640915134E-2</v>
      </c>
      <c r="Q180" s="19">
        <f>IF((F180*0.62*1/(0.012*(10^inputs!$C$55)))&gt;inputs!$C$57, inputs!$C$57, (F180*0.62*1/(0.012*(10^inputs!$C$55))))</f>
        <v>2.9335910618670671E-10</v>
      </c>
      <c r="R180" s="3">
        <f>IF((B180&gt;B179), (EXP(-LN(2)/inputs!$C$51)*R179+$R$3), (EXP(-LN(2)/inputs!$C$51)*R179))</f>
        <v>6.8160349010119896E-16</v>
      </c>
      <c r="T180" s="7">
        <f>IF(T179&lt;(inputs!$C$20-1),(1+T179),0)</f>
        <v>0</v>
      </c>
      <c r="U180" s="7">
        <f>IF(inputs!$C$19&gt;U179,IF(T179=(inputs!$C$20-1),(U179+1),U179), U179)</f>
        <v>1</v>
      </c>
      <c r="V180" s="7">
        <f t="shared" si="4"/>
        <v>177</v>
      </c>
      <c r="W180" s="8">
        <f>IF((U180&gt;U179), (EXP(-LN(2)/inputs!$C$51)*W179+$W$3), (EXP(-LN(2)/inputs!$C$51)*W179))</f>
        <v>2.2556633724136259E-8</v>
      </c>
      <c r="X180" s="8">
        <f>IF((U180&gt;U179), (EXP(-LN(2)/inputs!$C$51)*X179+$X$3), (EXP(-LN(2)/inputs!$C$51)*X179))</f>
        <v>9.5533978125753545E-9</v>
      </c>
      <c r="Y180" s="8">
        <f>IF((U180&gt;U179), (EXP(-LN(2)/inputs!$C$51)*Y179+$Y$3), (EXP(-LN(2)/inputs!$C$51)*Y179))</f>
        <v>1.1941747265719208E-8</v>
      </c>
      <c r="Z180" s="8">
        <f>IF((U180&gt;U179), (EXP(-LN(2)/inputs!$C$51)*Z179+$Z$3), (EXP(-LN(2)/inputs!$C$51)*Z179))</f>
        <v>1.8576051302229855E-9</v>
      </c>
      <c r="AA180" s="8">
        <f>IF((U180&gt;U179), (EXP(-LN(2)/inputs!$C$51)*AA179+$AA$3), (EXP(-LN(2)/inputs!$C$51)*AA179))</f>
        <v>1.7249190494927732E-8</v>
      </c>
      <c r="AB180" s="7">
        <f>(((0.621*15^0.564)/0.2))*W180/15+AB179*inputs!$C$53</f>
        <v>2.427239601345501E-8</v>
      </c>
      <c r="AC180" s="7">
        <f>(((0.621*1000^0.564)/0.2))*W180/1000+AC179*inputs!$C$53</f>
        <v>3.8894521964043753E-9</v>
      </c>
      <c r="AD180" s="7">
        <f>(((0.648*20^0.651)/0.2))*AA180/20+AD179*inputs!$C$54</f>
        <v>2.5982147842531276E-8</v>
      </c>
      <c r="AE180" s="7">
        <f>(((0.013*2^0.773)/0.2))*AA180/2+AE179*inputs!$C$54</f>
        <v>1.2669779467917201E-9</v>
      </c>
    </row>
    <row r="181" spans="1:31" x14ac:dyDescent="0.3">
      <c r="A181" s="7">
        <f>IF(A180&lt;(inputs!$C$20-1),(1+A180),0)</f>
        <v>0</v>
      </c>
      <c r="B181" s="7">
        <f>IF(inputs!$C$19&gt;B180,IF(A180=(inputs!$C$20-1),(B180+1),B180), B180)</f>
        <v>1</v>
      </c>
      <c r="C181" s="7">
        <f t="shared" si="5"/>
        <v>178</v>
      </c>
      <c r="D181" s="8">
        <f>IF((B181&gt;B180), (EXP(-LN(2)/inputs!$C$51)*D180+$D$3), (EXP(-LN(2)/inputs!$C$51)*D180))</f>
        <v>5.5881556095565898E-8</v>
      </c>
      <c r="E181" s="8">
        <f>IF((B181&gt;B180), (EXP(-LN(2)/inputs!$C$51)*E180+$E$3), (EXP(-LN(2)/inputs!$C$51)*E180))</f>
        <v>2.5612379877134341E-8</v>
      </c>
      <c r="F181" s="8">
        <f>IF((B181&gt;B180), (EXP(-LN(2)/inputs!$C$51)*F180+$F$3), (EXP(-LN(2)/inputs!$C$51)*F180))</f>
        <v>3.1433375303755787E-8</v>
      </c>
      <c r="G181" s="8">
        <f>IF((B181&gt;B180), (EXP(-LN(2)/inputs!$C$51)*G180+$G$3), (EXP(-LN(2)/inputs!$C$51)*G180))</f>
        <v>3.4925972559728686E-9</v>
      </c>
      <c r="H181" s="8">
        <f>IF((B181&gt;B180), (EXP(-LN(2)/inputs!$C$51)*H180+$H$3), (EXP(-LN(2)/inputs!$C$51)*H180))</f>
        <v>2.188694280409659E-8</v>
      </c>
      <c r="I181" s="7">
        <f>O181*(10^inputs!$C$55)*0.01/1</f>
        <v>1.5096200041039938</v>
      </c>
      <c r="J181" s="7">
        <f>(((0.621*15^0.564)/0.2))*D181/15+J180*inputs!$C$53</f>
        <v>6.013216670483551E-8</v>
      </c>
      <c r="K181" s="7">
        <f>(((0.621*1000^0.564)/0.2))*D181/1000+K180*inputs!$C$53</f>
        <v>9.6356860581472189E-9</v>
      </c>
      <c r="L181" s="7">
        <f>(((0.648*20^0.651)/0.2))*H181/20+L180*inputs!$C$54</f>
        <v>3.2967911388322006E-8</v>
      </c>
      <c r="M181" s="7">
        <f>(((0.013*2^0.773)/0.2))*H181/2+M180*inputs!$C$54</f>
        <v>1.6076275500369959E-9</v>
      </c>
      <c r="N181" s="7">
        <f>O181*0.015*inputs!$C$56</f>
        <v>0.22179276555648852</v>
      </c>
      <c r="O181" s="7">
        <f>IF((B181&gt;B180), (EXP(-LN(2)/inputs!$C$52)*O180+$O$3), (EXP(-LN(2)/inputs!$C$52)*O180))</f>
        <v>2.3925864677075356E-2</v>
      </c>
      <c r="P181" s="3">
        <f>IF((B181&gt;B180), (EXP(-LN(2)/inputs!$C$52)*P180+$P$3), (EXP(-LN(2)/inputs!$C$52)*P180))</f>
        <v>2.3119680785939029E-2</v>
      </c>
      <c r="Q181" s="19">
        <f>IF((F181*0.62*1/(0.012*(10^inputs!$C$55)))&gt;inputs!$C$57, inputs!$C$57, (F181*0.62*1/(0.012*(10^inputs!$C$55))))</f>
        <v>2.5739580309748851E-10</v>
      </c>
      <c r="R181" s="3">
        <f>IF((B181&gt;B180), (EXP(-LN(2)/inputs!$C$51)*R180+$R$3), (EXP(-LN(2)/inputs!$C$51)*R180))</f>
        <v>5.9804476502935014E-16</v>
      </c>
      <c r="T181" s="7">
        <f>IF(T180&lt;(inputs!$C$20-1),(1+T180),0)</f>
        <v>0</v>
      </c>
      <c r="U181" s="7">
        <f>IF(inputs!$C$19&gt;U180,IF(T180=(inputs!$C$20-1),(U180+1),U180), U180)</f>
        <v>1</v>
      </c>
      <c r="V181" s="7">
        <f t="shared" si="4"/>
        <v>178</v>
      </c>
      <c r="W181" s="8">
        <f>IF((U181&gt;U180), (EXP(-LN(2)/inputs!$C$51)*W180+$W$3), (EXP(-LN(2)/inputs!$C$51)*W180))</f>
        <v>1.9791384450512888E-8</v>
      </c>
      <c r="X181" s="8">
        <f>IF((U181&gt;U180), (EXP(-LN(2)/inputs!$C$51)*X180+$X$3), (EXP(-LN(2)/inputs!$C$51)*X180))</f>
        <v>8.3822334143348681E-9</v>
      </c>
      <c r="Y181" s="8">
        <f>IF((U181&gt;U180), (EXP(-LN(2)/inputs!$C$51)*Y180+$Y$3), (EXP(-LN(2)/inputs!$C$51)*Y180))</f>
        <v>1.0477791767918598E-8</v>
      </c>
      <c r="Z181" s="8">
        <f>IF((U181&gt;U180), (EXP(-LN(2)/inputs!$C$51)*Z180+$Z$3), (EXP(-LN(2)/inputs!$C$51)*Z180))</f>
        <v>1.6298787194540021E-9</v>
      </c>
      <c r="AA181" s="8">
        <f>IF((U181&gt;U180), (EXP(-LN(2)/inputs!$C$51)*AA180+$AA$3), (EXP(-LN(2)/inputs!$C$51)*AA180))</f>
        <v>1.5134588109215741E-8</v>
      </c>
      <c r="AB181" s="7">
        <f>(((0.621*15^0.564)/0.2))*W181/15+AB180*inputs!$C$53</f>
        <v>2.1296809041295871E-8</v>
      </c>
      <c r="AC181" s="7">
        <f>(((0.621*1000^0.564)/0.2))*W181/1000+AC180*inputs!$C$53</f>
        <v>3.4126388122604668E-9</v>
      </c>
      <c r="AD181" s="7">
        <f>(((0.648*20^0.651)/0.2))*AA181/20+AD180*inputs!$C$54</f>
        <v>2.2796960002563111E-8</v>
      </c>
      <c r="AE181" s="7">
        <f>(((0.013*2^0.773)/0.2))*AA181/2+AE180*inputs!$C$54</f>
        <v>1.1116573484298386E-9</v>
      </c>
    </row>
    <row r="182" spans="1:31" x14ac:dyDescent="0.3">
      <c r="A182" s="7">
        <f>IF(A181&lt;(inputs!$C$20-1),(1+A181),0)</f>
        <v>0</v>
      </c>
      <c r="B182" s="7">
        <f>IF(inputs!$C$19&gt;B181,IF(A181=(inputs!$C$20-1),(B181+1),B181), B181)</f>
        <v>1</v>
      </c>
      <c r="C182" s="7">
        <f t="shared" si="5"/>
        <v>179</v>
      </c>
      <c r="D182" s="8">
        <f>IF((B182&gt;B181), (EXP(-LN(2)/inputs!$C$51)*D181+$D$3), (EXP(-LN(2)/inputs!$C$51)*D181))</f>
        <v>4.9030957983629564E-8</v>
      </c>
      <c r="E182" s="8">
        <f>IF((B182&gt;B181), (EXP(-LN(2)/inputs!$C$51)*E181+$E$3), (EXP(-LN(2)/inputs!$C$51)*E181))</f>
        <v>2.2472522409163525E-8</v>
      </c>
      <c r="F182" s="8">
        <f>IF((B182&gt;B181), (EXP(-LN(2)/inputs!$C$51)*F181+$F$3), (EXP(-LN(2)/inputs!$C$51)*F181))</f>
        <v>2.7579913865791605E-8</v>
      </c>
      <c r="G182" s="8">
        <f>IF((B182&gt;B181), (EXP(-LN(2)/inputs!$C$51)*G181+$G$3), (EXP(-LN(2)/inputs!$C$51)*G181))</f>
        <v>3.0644348739768477E-9</v>
      </c>
      <c r="H182" s="8">
        <f>IF((B182&gt;B181), (EXP(-LN(2)/inputs!$C$51)*H181+$H$3), (EXP(-LN(2)/inputs!$C$51)*H181))</f>
        <v>1.9203791876921531E-8</v>
      </c>
      <c r="I182" s="7">
        <f>O182*(10^inputs!$C$55)*0.01/1</f>
        <v>1.4791554521572112</v>
      </c>
      <c r="J182" s="7">
        <f>(((0.621*15^0.564)/0.2))*D182/15+J181*inputs!$C$53</f>
        <v>5.2760480293843205E-8</v>
      </c>
      <c r="K182" s="7">
        <f>(((0.621*1000^0.564)/0.2))*D182/1000+K181*inputs!$C$53</f>
        <v>8.4544338288022239E-9</v>
      </c>
      <c r="L182" s="7">
        <f>(((0.648*20^0.651)/0.2))*H182/20+L181*inputs!$C$54</f>
        <v>2.8926329025706946E-8</v>
      </c>
      <c r="M182" s="7">
        <f>(((0.013*2^0.773)/0.2))*H182/2+M181*inputs!$C$54</f>
        <v>1.4105462404158746E-9</v>
      </c>
      <c r="N182" s="7">
        <f>O182*0.015*inputs!$C$56</f>
        <v>0.21731692580254558</v>
      </c>
      <c r="O182" s="7">
        <f>IF((B182&gt;B181), (EXP(-LN(2)/inputs!$C$52)*O181+$O$3), (EXP(-LN(2)/inputs!$C$52)*O181))</f>
        <v>2.3443034067157021E-2</v>
      </c>
      <c r="P182" s="3">
        <f>IF((B182&gt;B181), (EXP(-LN(2)/inputs!$C$52)*P181+$P$3), (EXP(-LN(2)/inputs!$C$52)*P181))</f>
        <v>2.2653119191377812E-2</v>
      </c>
      <c r="Q182" s="19">
        <f>IF((F182*0.62*1/(0.012*(10^inputs!$C$55)))&gt;inputs!$C$57, inputs!$C$57, (F182*0.62*1/(0.012*(10^inputs!$C$55))))</f>
        <v>2.2584129162854422E-10</v>
      </c>
      <c r="R182" s="3">
        <f>IF((B182&gt;B181), (EXP(-LN(2)/inputs!$C$51)*R181+$R$3), (EXP(-LN(2)/inputs!$C$51)*R181))</f>
        <v>5.2472962092067416E-16</v>
      </c>
      <c r="T182" s="7">
        <f>IF(T181&lt;(inputs!$C$20-1),(1+T181),0)</f>
        <v>0</v>
      </c>
      <c r="U182" s="7">
        <f>IF(inputs!$C$19&gt;U181,IF(T181=(inputs!$C$20-1),(U181+1),U181), U181)</f>
        <v>1</v>
      </c>
      <c r="V182" s="7">
        <f t="shared" si="4"/>
        <v>179</v>
      </c>
      <c r="W182" s="8">
        <f>IF((U182&gt;U181), (EXP(-LN(2)/inputs!$C$51)*W181+$W$3), (EXP(-LN(2)/inputs!$C$51)*W181))</f>
        <v>1.7365130952535439E-8</v>
      </c>
      <c r="X182" s="8">
        <f>IF((U182&gt;U181), (EXP(-LN(2)/inputs!$C$51)*X181+$X$3), (EXP(-LN(2)/inputs!$C$51)*X181))</f>
        <v>7.3546436975444201E-9</v>
      </c>
      <c r="Y182" s="8">
        <f>IF((U182&gt;U181), (EXP(-LN(2)/inputs!$C$51)*Y181+$Y$3), (EXP(-LN(2)/inputs!$C$51)*Y181))</f>
        <v>9.1933046219305361E-9</v>
      </c>
      <c r="Z182" s="8">
        <f>IF((U182&gt;U181), (EXP(-LN(2)/inputs!$C$51)*Z181+$Z$3), (EXP(-LN(2)/inputs!$C$51)*Z181))</f>
        <v>1.4300696078558595E-9</v>
      </c>
      <c r="AA182" s="8">
        <f>IF((U182&gt;U181), (EXP(-LN(2)/inputs!$C$51)*AA181+$AA$3), (EXP(-LN(2)/inputs!$C$51)*AA181))</f>
        <v>1.3279217787232986E-8</v>
      </c>
      <c r="AB182" s="7">
        <f>(((0.621*15^0.564)/0.2))*W182/15+AB181*inputs!$C$53</f>
        <v>1.8686003437402768E-8</v>
      </c>
      <c r="AC182" s="7">
        <f>(((0.621*1000^0.564)/0.2))*W182/1000+AC181*inputs!$C$53</f>
        <v>2.9942786477007817E-9</v>
      </c>
      <c r="AD182" s="7">
        <f>(((0.648*20^0.651)/0.2))*AA182/20+AD181*inputs!$C$54</f>
        <v>2.0002248794371846E-8</v>
      </c>
      <c r="AE182" s="7">
        <f>(((0.013*2^0.773)/0.2))*AA182/2+AE181*inputs!$C$54</f>
        <v>9.7537771943650986E-10</v>
      </c>
    </row>
    <row r="183" spans="1:31" x14ac:dyDescent="0.3">
      <c r="A183" s="7">
        <f>IF(A182&lt;(inputs!$C$20-1),(1+A182),0)</f>
        <v>0</v>
      </c>
      <c r="B183" s="7">
        <f>IF(inputs!$C$19&gt;B182,IF(A182=(inputs!$C$20-1),(B182+1),B182), B182)</f>
        <v>1</v>
      </c>
      <c r="C183" s="7">
        <f t="shared" si="5"/>
        <v>180</v>
      </c>
      <c r="D183" s="8">
        <f>IF((B183&gt;B182), (EXP(-LN(2)/inputs!$C$51)*D182+$D$3), (EXP(-LN(2)/inputs!$C$51)*D182))</f>
        <v>4.302018427477548E-8</v>
      </c>
      <c r="E183" s="8">
        <f>IF((B183&gt;B182), (EXP(-LN(2)/inputs!$C$51)*E182+$E$3), (EXP(-LN(2)/inputs!$C$51)*E182))</f>
        <v>1.9717584459272072E-8</v>
      </c>
      <c r="F183" s="8">
        <f>IF((B183&gt;B182), (EXP(-LN(2)/inputs!$C$51)*F182+$F$3), (EXP(-LN(2)/inputs!$C$51)*F182))</f>
        <v>2.4198853654561184E-8</v>
      </c>
      <c r="G183" s="8">
        <f>IF((B183&gt;B182), (EXP(-LN(2)/inputs!$C$51)*G182+$G$3), (EXP(-LN(2)/inputs!$C$51)*G182))</f>
        <v>2.6887615171734675E-9</v>
      </c>
      <c r="H183" s="8">
        <f>IF((B183&gt;B182), (EXP(-LN(2)/inputs!$C$51)*H182+$H$3), (EXP(-LN(2)/inputs!$C$51)*H182))</f>
        <v>1.6849572174287019E-8</v>
      </c>
      <c r="I183" s="7">
        <f>O183*(10^inputs!$C$55)*0.01/1</f>
        <v>1.4493056833497588</v>
      </c>
      <c r="J183" s="7">
        <f>(((0.621*15^0.564)/0.2))*D183/15+J182*inputs!$C$53</f>
        <v>4.629249922925478E-8</v>
      </c>
      <c r="K183" s="7">
        <f>(((0.621*1000^0.564)/0.2))*D183/1000+K182*inputs!$C$53</f>
        <v>7.4179929622301698E-9</v>
      </c>
      <c r="L183" s="7">
        <f>(((0.648*20^0.651)/0.2))*H183/20+L182*inputs!$C$54</f>
        <v>2.5380209897065125E-8</v>
      </c>
      <c r="M183" s="7">
        <f>(((0.013*2^0.773)/0.2))*H183/2+M182*inputs!$C$54</f>
        <v>1.2376254041587998E-9</v>
      </c>
      <c r="N183" s="7">
        <f>O183*0.015*inputs!$C$56</f>
        <v>0.21293140974086874</v>
      </c>
      <c r="O183" s="7">
        <f>IF((B183&gt;B182), (EXP(-LN(2)/inputs!$C$52)*O182+$O$3), (EXP(-LN(2)/inputs!$C$52)*O182))</f>
        <v>2.2969947113362324E-2</v>
      </c>
      <c r="P183" s="3">
        <f>IF((B183&gt;B182), (EXP(-LN(2)/inputs!$C$52)*P182+$P$3), (EXP(-LN(2)/inputs!$C$52)*P182))</f>
        <v>2.2195972939681188E-2</v>
      </c>
      <c r="Q183" s="19">
        <f>IF((F183*0.62*1/(0.012*(10^inputs!$C$55)))&gt;inputs!$C$57, inputs!$C$57, (F183*0.62*1/(0.012*(10^inputs!$C$55))))</f>
        <v>1.9815509184946306E-10</v>
      </c>
      <c r="R183" s="3">
        <f>IF((B183&gt;B182), (EXP(-LN(2)/inputs!$C$51)*R182+$R$3), (EXP(-LN(2)/inputs!$C$51)*R182))</f>
        <v>4.6040228285927983E-16</v>
      </c>
      <c r="T183" s="7">
        <f>IF(T182&lt;(inputs!$C$20-1),(1+T182),0)</f>
        <v>0</v>
      </c>
      <c r="U183" s="7">
        <f>IF(inputs!$C$19&gt;U182,IF(T182=(inputs!$C$20-1),(U182+1),U182), U182)</f>
        <v>1</v>
      </c>
      <c r="V183" s="7">
        <f t="shared" si="4"/>
        <v>180</v>
      </c>
      <c r="W183" s="8">
        <f>IF((U183&gt;U182), (EXP(-LN(2)/inputs!$C$51)*W182+$W$3), (EXP(-LN(2)/inputs!$C$51)*W182))</f>
        <v>1.5236315263982953E-8</v>
      </c>
      <c r="X183" s="8">
        <f>IF((U183&gt;U182), (EXP(-LN(2)/inputs!$C$51)*X182+$X$3), (EXP(-LN(2)/inputs!$C$51)*X182))</f>
        <v>6.4530276412163085E-9</v>
      </c>
      <c r="Y183" s="8">
        <f>IF((U183&gt;U182), (EXP(-LN(2)/inputs!$C$51)*Y182+$Y$3), (EXP(-LN(2)/inputs!$C$51)*Y182))</f>
        <v>8.0662845515203958E-9</v>
      </c>
      <c r="Z183" s="8">
        <f>IF((U183&gt;U182), (EXP(-LN(2)/inputs!$C$51)*Z182+$Z$3), (EXP(-LN(2)/inputs!$C$51)*Z182))</f>
        <v>1.2547553746809489E-9</v>
      </c>
      <c r="AA183" s="8">
        <f>IF((U183&gt;U182), (EXP(-LN(2)/inputs!$C$51)*AA182+$AA$3), (EXP(-LN(2)/inputs!$C$51)*AA182))</f>
        <v>1.1651299907751673E-8</v>
      </c>
      <c r="AB183" s="7">
        <f>(((0.621*15^0.564)/0.2))*W183/15+AB182*inputs!$C$53</f>
        <v>1.6395260143694371E-8</v>
      </c>
      <c r="AC183" s="7">
        <f>(((0.621*1000^0.564)/0.2))*W183/1000+AC182*inputs!$C$53</f>
        <v>2.6272058407898464E-9</v>
      </c>
      <c r="AD183" s="7">
        <f>(((0.648*20^0.651)/0.2))*AA183/20+AD182*inputs!$C$54</f>
        <v>1.7550145141587604E-8</v>
      </c>
      <c r="AE183" s="7">
        <f>(((0.013*2^0.773)/0.2))*AA183/2+AE182*inputs!$C$54</f>
        <v>8.5580480074810707E-10</v>
      </c>
    </row>
    <row r="184" spans="1:31" x14ac:dyDescent="0.3">
      <c r="A184" s="7">
        <f>IF(A183&lt;(inputs!$C$20-1),(1+A183),0)</f>
        <v>0</v>
      </c>
      <c r="B184" s="7">
        <f>IF(inputs!$C$19&gt;B183,IF(A183=(inputs!$C$20-1),(B183+1),B183), B183)</f>
        <v>1</v>
      </c>
      <c r="C184" s="7">
        <f t="shared" si="5"/>
        <v>181</v>
      </c>
      <c r="D184" s="8">
        <f>IF((B184&gt;B183), (EXP(-LN(2)/inputs!$C$51)*D183+$D$3), (EXP(-LN(2)/inputs!$C$51)*D183))</f>
        <v>3.774627972093799E-8</v>
      </c>
      <c r="E184" s="8">
        <f>IF((B184&gt;B183), (EXP(-LN(2)/inputs!$C$51)*E183+$E$3), (EXP(-LN(2)/inputs!$C$51)*E183))</f>
        <v>1.7300378205429892E-8</v>
      </c>
      <c r="F184" s="8">
        <f>IF((B184&gt;B183), (EXP(-LN(2)/inputs!$C$51)*F183+$F$3), (EXP(-LN(2)/inputs!$C$51)*F183))</f>
        <v>2.12322823430276E-8</v>
      </c>
      <c r="G184" s="8">
        <f>IF((B184&gt;B183), (EXP(-LN(2)/inputs!$C$51)*G183+$G$3), (EXP(-LN(2)/inputs!$C$51)*G183))</f>
        <v>2.3591424825586244E-9</v>
      </c>
      <c r="H184" s="8">
        <f>IF((B184&gt;B183), (EXP(-LN(2)/inputs!$C$51)*H183+$H$3), (EXP(-LN(2)/inputs!$C$51)*H183))</f>
        <v>1.4783959557367342E-8</v>
      </c>
      <c r="I184" s="7">
        <f>O184*(10^inputs!$C$55)*0.01/1</f>
        <v>1.4200582911867343</v>
      </c>
      <c r="J184" s="7">
        <f>(((0.621*15^0.564)/0.2))*D184/15+J183*inputs!$C$53</f>
        <v>4.0617437008825477E-8</v>
      </c>
      <c r="K184" s="7">
        <f>(((0.621*1000^0.564)/0.2))*D184/1000+K183*inputs!$C$53</f>
        <v>6.5086108309504836E-9</v>
      </c>
      <c r="L184" s="7">
        <f>(((0.648*20^0.651)/0.2))*H184/20+L183*inputs!$C$54</f>
        <v>2.2268814471639982E-8</v>
      </c>
      <c r="M184" s="7">
        <f>(((0.013*2^0.773)/0.2))*H184/2+M183*inputs!$C$54</f>
        <v>1.085903175047727E-9</v>
      </c>
      <c r="N184" s="7">
        <f>O184*0.015*inputs!$C$56</f>
        <v>0.2086343946142028</v>
      </c>
      <c r="O184" s="7">
        <f>IF((B184&gt;B183), (EXP(-LN(2)/inputs!$C$52)*O183+$O$3), (EXP(-LN(2)/inputs!$C$52)*O183))</f>
        <v>2.2506407185998147E-2</v>
      </c>
      <c r="P184" s="3">
        <f>IF((B184&gt;B183), (EXP(-LN(2)/inputs!$C$52)*P183+$P$3), (EXP(-LN(2)/inputs!$C$52)*P183))</f>
        <v>2.1748052026609004E-2</v>
      </c>
      <c r="Q184" s="19">
        <f>IF((F184*0.62*1/(0.012*(10^inputs!$C$55)))&gt;inputs!$C$57, inputs!$C$57, (F184*0.62*1/(0.012*(10^inputs!$C$55))))</f>
        <v>1.73862982020363E-10</v>
      </c>
      <c r="R184" s="3">
        <f>IF((B184&gt;B183), (EXP(-LN(2)/inputs!$C$51)*R183+$R$3), (EXP(-LN(2)/inputs!$C$51)*R183))</f>
        <v>4.0396092313241233E-16</v>
      </c>
      <c r="T184" s="7">
        <f>IF(T183&lt;(inputs!$C$20-1),(1+T183),0)</f>
        <v>0</v>
      </c>
      <c r="U184" s="7">
        <f>IF(inputs!$C$19&gt;U183,IF(T183=(inputs!$C$20-1),(U183+1),U183), U183)</f>
        <v>1</v>
      </c>
      <c r="V184" s="7">
        <f t="shared" si="4"/>
        <v>181</v>
      </c>
      <c r="W184" s="8">
        <f>IF((U184&gt;U183), (EXP(-LN(2)/inputs!$C$51)*W183+$W$3), (EXP(-LN(2)/inputs!$C$51)*W183))</f>
        <v>1.336847406783218E-8</v>
      </c>
      <c r="X184" s="8">
        <f>IF((U184&gt;U183), (EXP(-LN(2)/inputs!$C$51)*X183+$X$3), (EXP(-LN(2)/inputs!$C$51)*X183))</f>
        <v>5.6619419581406866E-9</v>
      </c>
      <c r="Y184" s="8">
        <f>IF((U184&gt;U183), (EXP(-LN(2)/inputs!$C$51)*Y183+$Y$3), (EXP(-LN(2)/inputs!$C$51)*Y183))</f>
        <v>7.0774274476758674E-9</v>
      </c>
      <c r="Z184" s="8">
        <f>IF((U184&gt;U183), (EXP(-LN(2)/inputs!$C$51)*Z183+$Z$3), (EXP(-LN(2)/inputs!$C$51)*Z183))</f>
        <v>1.1009331585273557E-9</v>
      </c>
      <c r="AA184" s="8">
        <f>IF((U184&gt;U183), (EXP(-LN(2)/inputs!$C$51)*AA183+$AA$3), (EXP(-LN(2)/inputs!$C$51)*AA183))</f>
        <v>1.0222950757754022E-8</v>
      </c>
      <c r="AB184" s="7">
        <f>(((0.621*15^0.564)/0.2))*W184/15+AB183*inputs!$C$53</f>
        <v>1.4385342273958995E-8</v>
      </c>
      <c r="AC184" s="7">
        <f>(((0.621*1000^0.564)/0.2))*W184/1000+AC183*inputs!$C$53</f>
        <v>2.305133002628292E-9</v>
      </c>
      <c r="AD184" s="7">
        <f>(((0.648*20^0.651)/0.2))*AA184/20+AD183*inputs!$C$54</f>
        <v>1.5398648304857449E-8</v>
      </c>
      <c r="AE184" s="7">
        <f>(((0.013*2^0.773)/0.2))*AA184/2+AE183*inputs!$C$54</f>
        <v>7.5089049338406732E-10</v>
      </c>
    </row>
    <row r="185" spans="1:31" x14ac:dyDescent="0.3">
      <c r="A185" s="7">
        <f>IF(A184&lt;(inputs!$C$20-1),(1+A184),0)</f>
        <v>0</v>
      </c>
      <c r="B185" s="7">
        <f>IF(inputs!$C$19&gt;B184,IF(A184=(inputs!$C$20-1),(B184+1),B184), B184)</f>
        <v>1</v>
      </c>
      <c r="C185" s="7">
        <f t="shared" si="5"/>
        <v>182</v>
      </c>
      <c r="D185" s="8">
        <f>IF((B185&gt;B184), (EXP(-LN(2)/inputs!$C$51)*D184+$D$3), (EXP(-LN(2)/inputs!$C$51)*D184))</f>
        <v>3.3118910501894416E-8</v>
      </c>
      <c r="E185" s="8">
        <f>IF((B185&gt;B184), (EXP(-LN(2)/inputs!$C$51)*E184+$E$3), (EXP(-LN(2)/inputs!$C$51)*E184))</f>
        <v>1.5179500646701589E-8</v>
      </c>
      <c r="F185" s="8">
        <f>IF((B185&gt;B184), (EXP(-LN(2)/inputs!$C$51)*F184+$F$3), (EXP(-LN(2)/inputs!$C$51)*F184))</f>
        <v>1.862938715731559E-8</v>
      </c>
      <c r="G185" s="8">
        <f>IF((B185&gt;B184), (EXP(-LN(2)/inputs!$C$51)*G184+$G$3), (EXP(-LN(2)/inputs!$C$51)*G184))</f>
        <v>2.069931906368401E-9</v>
      </c>
      <c r="H185" s="8">
        <f>IF((B185&gt;B184), (EXP(-LN(2)/inputs!$C$51)*H184+$H$3), (EXP(-LN(2)/inputs!$C$51)*H184))</f>
        <v>1.2971573279908613E-8</v>
      </c>
      <c r="I185" s="7">
        <f>O185*(10^inputs!$C$55)*0.01/1</f>
        <v>1.3914011195397578</v>
      </c>
      <c r="J185" s="7">
        <f>(((0.621*15^0.564)/0.2))*D185/15+J184*inputs!$C$53</f>
        <v>3.5638088602555316E-8</v>
      </c>
      <c r="K185" s="7">
        <f>(((0.621*1000^0.564)/0.2))*D185/1000+K184*inputs!$C$53</f>
        <v>5.7107111269124333E-9</v>
      </c>
      <c r="L185" s="7">
        <f>(((0.648*20^0.651)/0.2))*H185/20+L184*inputs!$C$54</f>
        <v>1.9538849362694454E-8</v>
      </c>
      <c r="M185" s="7">
        <f>(((0.013*2^0.773)/0.2))*H185/2+M184*inputs!$C$54</f>
        <v>9.5278078618644208E-10</v>
      </c>
      <c r="N185" s="7">
        <f>O185*0.015*inputs!$C$56</f>
        <v>0.20442409444904147</v>
      </c>
      <c r="O185" s="7">
        <f>IF((B185&gt;B184), (EXP(-LN(2)/inputs!$C$52)*O184+$O$3), (EXP(-LN(2)/inputs!$C$52)*O184))</f>
        <v>2.2052221623413321E-2</v>
      </c>
      <c r="P185" s="3">
        <f>IF((B185&gt;B184), (EXP(-LN(2)/inputs!$C$52)*P184+$P$3), (EXP(-LN(2)/inputs!$C$52)*P184))</f>
        <v>2.1309170282259572E-2</v>
      </c>
      <c r="Q185" s="19">
        <f>IF((F185*0.62*1/(0.012*(10^inputs!$C$55)))&gt;inputs!$C$57, inputs!$C$57, (F185*0.62*1/(0.012*(10^inputs!$C$55))))</f>
        <v>1.525488759076517E-10</v>
      </c>
      <c r="R185" s="3">
        <f>IF((B185&gt;B184), (EXP(-LN(2)/inputs!$C$51)*R184+$R$3), (EXP(-LN(2)/inputs!$C$51)*R184))</f>
        <v>3.5443878862752606E-16</v>
      </c>
      <c r="T185" s="7">
        <f>IF(T184&lt;(inputs!$C$20-1),(1+T184),0)</f>
        <v>0</v>
      </c>
      <c r="U185" s="7">
        <f>IF(inputs!$C$19&gt;U184,IF(T184=(inputs!$C$20-1),(U184+1),U184), U184)</f>
        <v>1</v>
      </c>
      <c r="V185" s="7">
        <f t="shared" si="4"/>
        <v>182</v>
      </c>
      <c r="W185" s="8">
        <f>IF((U185&gt;U184), (EXP(-LN(2)/inputs!$C$51)*W184+$W$3), (EXP(-LN(2)/inputs!$C$51)*W184))</f>
        <v>1.1729614136087583E-8</v>
      </c>
      <c r="X185" s="8">
        <f>IF((U185&gt;U184), (EXP(-LN(2)/inputs!$C$51)*X184+$X$3), (EXP(-LN(2)/inputs!$C$51)*X184))</f>
        <v>4.9678365752841521E-9</v>
      </c>
      <c r="Y185" s="8">
        <f>IF((U185&gt;U184), (EXP(-LN(2)/inputs!$C$51)*Y184+$Y$3), (EXP(-LN(2)/inputs!$C$51)*Y184))</f>
        <v>6.209795719105198E-9</v>
      </c>
      <c r="Z185" s="8">
        <f>IF((U185&gt;U184), (EXP(-LN(2)/inputs!$C$51)*Z184+$Z$3), (EXP(-LN(2)/inputs!$C$51)*Z184))</f>
        <v>9.6596822297191834E-10</v>
      </c>
      <c r="AA185" s="8">
        <f>IF((U185&gt;U184), (EXP(-LN(2)/inputs!$C$51)*AA184+$AA$3), (EXP(-LN(2)/inputs!$C$51)*AA184))</f>
        <v>8.9697049275963901E-9</v>
      </c>
      <c r="AB185" s="7">
        <f>(((0.621*15^0.564)/0.2))*W185/15+AB184*inputs!$C$53</f>
        <v>1.2621823046738317E-8</v>
      </c>
      <c r="AC185" s="7">
        <f>(((0.621*1000^0.564)/0.2))*W185/1000+AC184*inputs!$C$53</f>
        <v>2.022543524114816E-9</v>
      </c>
      <c r="AD185" s="7">
        <f>(((0.648*20^0.651)/0.2))*AA185/20+AD184*inputs!$C$54</f>
        <v>1.3510906474203624E-8</v>
      </c>
      <c r="AE185" s="7">
        <f>(((0.013*2^0.773)/0.2))*AA185/2+AE184*inputs!$C$54</f>
        <v>6.5883777768211503E-10</v>
      </c>
    </row>
    <row r="186" spans="1:31" x14ac:dyDescent="0.3">
      <c r="A186" s="7">
        <f>IF(A185&lt;(inputs!$C$20-1),(1+A185),0)</f>
        <v>0</v>
      </c>
      <c r="B186" s="7">
        <f>IF(inputs!$C$19&gt;B185,IF(A185=(inputs!$C$20-1),(B185+1),B185), B185)</f>
        <v>1</v>
      </c>
      <c r="C186" s="7">
        <f t="shared" si="5"/>
        <v>183</v>
      </c>
      <c r="D186" s="8">
        <f>IF((B186&gt;B185), (EXP(-LN(2)/inputs!$C$51)*D185+$D$3), (EXP(-LN(2)/inputs!$C$51)*D185))</f>
        <v>2.905881694677473E-8</v>
      </c>
      <c r="E186" s="8">
        <f>IF((B186&gt;B185), (EXP(-LN(2)/inputs!$C$51)*E185+$E$3), (EXP(-LN(2)/inputs!$C$51)*E185))</f>
        <v>1.3318624433938403E-8</v>
      </c>
      <c r="F186" s="8">
        <f>IF((B186&gt;B185), (EXP(-LN(2)/inputs!$C$51)*F185+$F$3), (EXP(-LN(2)/inputs!$C$51)*F185))</f>
        <v>1.6345584532560768E-8</v>
      </c>
      <c r="G186" s="8">
        <f>IF((B186&gt;B185), (EXP(-LN(2)/inputs!$C$51)*G185+$G$3), (EXP(-LN(2)/inputs!$C$51)*G185))</f>
        <v>1.8161760591734206E-9</v>
      </c>
      <c r="H186" s="8">
        <f>IF((B186&gt;B185), (EXP(-LN(2)/inputs!$C$51)*H185+$H$3), (EXP(-LN(2)/inputs!$C$51)*H185))</f>
        <v>1.1381369970820074E-8</v>
      </c>
      <c r="I186" s="7">
        <f>O186*(10^inputs!$C$55)*0.01/1</f>
        <v>1.3633222575945037</v>
      </c>
      <c r="J186" s="7">
        <f>(((0.621*15^0.564)/0.2))*D186/15+J185*inputs!$C$53</f>
        <v>3.1269165481012941E-8</v>
      </c>
      <c r="K186" s="7">
        <f>(((0.621*1000^0.564)/0.2))*D186/1000+K185*inputs!$C$53</f>
        <v>5.0106270634526414E-9</v>
      </c>
      <c r="L186" s="7">
        <f>(((0.648*20^0.651)/0.2))*H186/20+L185*inputs!$C$54</f>
        <v>1.7143554494302194E-8</v>
      </c>
      <c r="M186" s="7">
        <f>(((0.013*2^0.773)/0.2))*H186/2+M185*inputs!$C$54</f>
        <v>8.3597805714690547E-10</v>
      </c>
      <c r="N186" s="7">
        <f>O186*0.015*inputs!$C$56</f>
        <v>0.20029875931332095</v>
      </c>
      <c r="O186" s="7">
        <f>IF((B186&gt;B185), (EXP(-LN(2)/inputs!$C$52)*O185+$O$3), (EXP(-LN(2)/inputs!$C$52)*O185))</f>
        <v>2.1607201651922432E-2</v>
      </c>
      <c r="P186" s="3">
        <f>IF((B186&gt;B185), (EXP(-LN(2)/inputs!$C$52)*P185+$P$3), (EXP(-LN(2)/inputs!$C$52)*P185))</f>
        <v>2.0879145293691646E-2</v>
      </c>
      <c r="Q186" s="19">
        <f>IF((F186*0.62*1/(0.012*(10^inputs!$C$55)))&gt;inputs!$C$57, inputs!$C$57, (F186*0.62*1/(0.012*(10^inputs!$C$55))))</f>
        <v>1.3384769587100824E-10</v>
      </c>
      <c r="R186" s="3">
        <f>IF((B186&gt;B185), (EXP(-LN(2)/inputs!$C$51)*R185+$R$3), (EXP(-LN(2)/inputs!$C$51)*R185))</f>
        <v>3.1098764184814356E-16</v>
      </c>
      <c r="T186" s="7">
        <f>IF(T185&lt;(inputs!$C$20-1),(1+T185),0)</f>
        <v>0</v>
      </c>
      <c r="U186" s="7">
        <f>IF(inputs!$C$19&gt;U185,IF(T185=(inputs!$C$20-1),(U185+1),U185), U185)</f>
        <v>1</v>
      </c>
      <c r="V186" s="7">
        <f t="shared" si="4"/>
        <v>183</v>
      </c>
      <c r="W186" s="8">
        <f>IF((U186&gt;U185), (EXP(-LN(2)/inputs!$C$51)*W185+$W$3), (EXP(-LN(2)/inputs!$C$51)*W185))</f>
        <v>1.0291664335316031E-8</v>
      </c>
      <c r="X186" s="8">
        <f>IF((U186&gt;U185), (EXP(-LN(2)/inputs!$C$51)*X185+$X$3), (EXP(-LN(2)/inputs!$C$51)*X185))</f>
        <v>4.3588225420162008E-9</v>
      </c>
      <c r="Y186" s="8">
        <f>IF((U186&gt;U185), (EXP(-LN(2)/inputs!$C$51)*Y185+$Y$3), (EXP(-LN(2)/inputs!$C$51)*Y185))</f>
        <v>5.4485281775202574E-9</v>
      </c>
      <c r="Z186" s="8">
        <f>IF((U186&gt;U185), (EXP(-LN(2)/inputs!$C$51)*Z185+$Z$3), (EXP(-LN(2)/inputs!$C$51)*Z185))</f>
        <v>8.4754882761426108E-10</v>
      </c>
      <c r="AA186" s="8">
        <f>IF((U186&gt;U185), (EXP(-LN(2)/inputs!$C$51)*AA185+$AA$3), (EXP(-LN(2)/inputs!$C$51)*AA185))</f>
        <v>7.8700962564181444E-9</v>
      </c>
      <c r="AB186" s="7">
        <f>(((0.621*15^0.564)/0.2))*W186/15+AB185*inputs!$C$53</f>
        <v>1.1074496107858727E-8</v>
      </c>
      <c r="AC186" s="7">
        <f>(((0.621*1000^0.564)/0.2))*W186/1000+AC185*inputs!$C$53</f>
        <v>1.7745970849728068E-9</v>
      </c>
      <c r="AD186" s="7">
        <f>(((0.648*20^0.651)/0.2))*AA186/20+AD185*inputs!$C$54</f>
        <v>1.1854585554570679E-8</v>
      </c>
      <c r="AE186" s="7">
        <f>(((0.013*2^0.773)/0.2))*AA186/2+AE185*inputs!$C$54</f>
        <v>5.7806993313349907E-10</v>
      </c>
    </row>
    <row r="187" spans="1:31" x14ac:dyDescent="0.3">
      <c r="A187" s="7">
        <f>IF(A186&lt;(inputs!$C$20-1),(1+A186),0)</f>
        <v>0</v>
      </c>
      <c r="B187" s="7">
        <f>IF(inputs!$C$19&gt;B186,IF(A186=(inputs!$C$20-1),(B186+1),B186), B186)</f>
        <v>1</v>
      </c>
      <c r="C187" s="7">
        <f t="shared" si="5"/>
        <v>184</v>
      </c>
      <c r="D187" s="8">
        <f>IF((B187&gt;B186), (EXP(-LN(2)/inputs!$C$51)*D186+$D$3), (EXP(-LN(2)/inputs!$C$51)*D186))</f>
        <v>2.5496455938605267E-8</v>
      </c>
      <c r="E187" s="8">
        <f>IF((B187&gt;B186), (EXP(-LN(2)/inputs!$C$51)*E186+$E$3), (EXP(-LN(2)/inputs!$C$51)*E186))</f>
        <v>1.1685875638527401E-8</v>
      </c>
      <c r="F187" s="8">
        <f>IF((B187&gt;B186), (EXP(-LN(2)/inputs!$C$51)*F186+$F$3), (EXP(-LN(2)/inputs!$C$51)*F186))</f>
        <v>1.4341756465465448E-8</v>
      </c>
      <c r="G187" s="8">
        <f>IF((B187&gt;B186), (EXP(-LN(2)/inputs!$C$51)*G186+$G$3), (EXP(-LN(2)/inputs!$C$51)*G186))</f>
        <v>1.5935284961628292E-9</v>
      </c>
      <c r="H187" s="8">
        <f>IF((B187&gt;B186), (EXP(-LN(2)/inputs!$C$51)*H186+$H$3), (EXP(-LN(2)/inputs!$C$51)*H186))</f>
        <v>9.9861119092870381E-9</v>
      </c>
      <c r="I187" s="7">
        <f>O187*(10^inputs!$C$55)*0.01/1</f>
        <v>1.3358100349001947</v>
      </c>
      <c r="J187" s="7">
        <f>(((0.621*15^0.564)/0.2))*D187/15+J186*inputs!$C$53</f>
        <v>2.7435834754865719E-8</v>
      </c>
      <c r="K187" s="7">
        <f>(((0.621*1000^0.564)/0.2))*D187/1000+K186*inputs!$C$53</f>
        <v>4.3963672843977505E-9</v>
      </c>
      <c r="L187" s="7">
        <f>(((0.648*20^0.651)/0.2))*H187/20+L186*inputs!$C$54</f>
        <v>1.5041902173638504E-8</v>
      </c>
      <c r="M187" s="7">
        <f>(((0.013*2^0.773)/0.2))*H187/2+M186*inputs!$C$54</f>
        <v>7.3349433800857572E-10</v>
      </c>
      <c r="N187" s="7">
        <f>O187*0.015*inputs!$C$56</f>
        <v>0.1962566745890936</v>
      </c>
      <c r="O187" s="7">
        <f>IF((B187&gt;B186), (EXP(-LN(2)/inputs!$C$52)*O186+$O$3), (EXP(-LN(2)/inputs!$C$52)*O186))</f>
        <v>2.117116230734559E-2</v>
      </c>
      <c r="P187" s="3">
        <f>IF((B187&gt;B186), (EXP(-LN(2)/inputs!$C$52)*P186+$P$3), (EXP(-LN(2)/inputs!$C$52)*P186))</f>
        <v>2.0457798329107921E-2</v>
      </c>
      <c r="Q187" s="19">
        <f>IF((F187*0.62*1/(0.012*(10^inputs!$C$55)))&gt;inputs!$C$57, inputs!$C$57, (F187*0.62*1/(0.012*(10^inputs!$C$55))))</f>
        <v>1.174391196485985E-10</v>
      </c>
      <c r="R187" s="3">
        <f>IF((B187&gt;B186), (EXP(-LN(2)/inputs!$C$51)*R186+$R$3), (EXP(-LN(2)/inputs!$C$51)*R186))</f>
        <v>2.7286323191873802E-16</v>
      </c>
      <c r="T187" s="7">
        <f>IF(T186&lt;(inputs!$C$20-1),(1+T186),0)</f>
        <v>0</v>
      </c>
      <c r="U187" s="7">
        <f>IF(inputs!$C$19&gt;U186,IF(T186=(inputs!$C$20-1),(U186+1),U186), U186)</f>
        <v>1</v>
      </c>
      <c r="V187" s="7">
        <f t="shared" si="4"/>
        <v>184</v>
      </c>
      <c r="W187" s="8">
        <f>IF((U187&gt;U186), (EXP(-LN(2)/inputs!$C$51)*W186+$W$3), (EXP(-LN(2)/inputs!$C$51)*W186))</f>
        <v>9.0299948115893484E-9</v>
      </c>
      <c r="X187" s="8">
        <f>IF((U187&gt;U186), (EXP(-LN(2)/inputs!$C$51)*X186+$X$3), (EXP(-LN(2)/inputs!$C$51)*X186))</f>
        <v>3.8244683907907828E-9</v>
      </c>
      <c r="Y187" s="8">
        <f>IF((U187&gt;U186), (EXP(-LN(2)/inputs!$C$51)*Y186+$Y$3), (EXP(-LN(2)/inputs!$C$51)*Y186))</f>
        <v>4.7805854884884841E-9</v>
      </c>
      <c r="Z187" s="8">
        <f>IF((U187&gt;U186), (EXP(-LN(2)/inputs!$C$51)*Z186+$Z$3), (EXP(-LN(2)/inputs!$C$51)*Z186))</f>
        <v>7.4364663154265203E-10</v>
      </c>
      <c r="AA187" s="8">
        <f>IF((U187&gt;U186), (EXP(-LN(2)/inputs!$C$51)*AA186+$AA$3), (EXP(-LN(2)/inputs!$C$51)*AA186))</f>
        <v>6.9052901500389167E-9</v>
      </c>
      <c r="AB187" s="7">
        <f>(((0.621*15^0.564)/0.2))*W187/15+AB186*inputs!$C$53</f>
        <v>9.7168581423482573E-9</v>
      </c>
      <c r="AC187" s="7">
        <f>(((0.621*1000^0.564)/0.2))*W187/1000+AC186*inputs!$C$53</f>
        <v>1.5570467465575337E-9</v>
      </c>
      <c r="AD187" s="7">
        <f>(((0.648*20^0.651)/0.2))*AA187/20+AD186*inputs!$C$54</f>
        <v>1.0401315332835147E-8</v>
      </c>
      <c r="AE187" s="7">
        <f>(((0.013*2^0.773)/0.2))*AA187/2+AE186*inputs!$C$54</f>
        <v>5.0720353160167527E-10</v>
      </c>
    </row>
    <row r="188" spans="1:31" x14ac:dyDescent="0.3">
      <c r="A188" s="7">
        <f>IF(A187&lt;(inputs!$C$20-1),(1+A187),0)</f>
        <v>0</v>
      </c>
      <c r="B188" s="7">
        <f>IF(inputs!$C$19&gt;B187,IF(A187=(inputs!$C$20-1),(B187+1),B187), B187)</f>
        <v>1</v>
      </c>
      <c r="C188" s="7">
        <f t="shared" si="5"/>
        <v>185</v>
      </c>
      <c r="D188" s="8">
        <f>IF((B188&gt;B187), (EXP(-LN(2)/inputs!$C$51)*D187+$D$3), (EXP(-LN(2)/inputs!$C$51)*D187))</f>
        <v>2.2370809748377995E-8</v>
      </c>
      <c r="E188" s="8">
        <f>IF((B188&gt;B187), (EXP(-LN(2)/inputs!$C$51)*E187+$E$3), (EXP(-LN(2)/inputs!$C$51)*E187))</f>
        <v>1.0253287801339902E-8</v>
      </c>
      <c r="F188" s="8">
        <f>IF((B188&gt;B187), (EXP(-LN(2)/inputs!$C$51)*F187+$F$3), (EXP(-LN(2)/inputs!$C$51)*F187))</f>
        <v>1.2583580483462609E-8</v>
      </c>
      <c r="G188" s="8">
        <f>IF((B188&gt;B187), (EXP(-LN(2)/inputs!$C$51)*G187+$G$3), (EXP(-LN(2)/inputs!$C$51)*G187))</f>
        <v>1.3981756092736247E-9</v>
      </c>
      <c r="H188" s="8">
        <f>IF((B188&gt;B187), (EXP(-LN(2)/inputs!$C$51)*H187+$H$3), (EXP(-LN(2)/inputs!$C$51)*H187))</f>
        <v>8.7619004847813597E-9</v>
      </c>
      <c r="I188" s="7">
        <f>O188*(10^inputs!$C$55)*0.01/1</f>
        <v>1.3088530165190002</v>
      </c>
      <c r="J188" s="7">
        <f>(((0.621*15^0.564)/0.2))*D188/15+J187*inputs!$C$53</f>
        <v>2.4072437403337888E-8</v>
      </c>
      <c r="K188" s="7">
        <f>(((0.621*1000^0.564)/0.2))*D188/1000+K187*inputs!$C$53</f>
        <v>3.8574104706975739E-9</v>
      </c>
      <c r="L188" s="7">
        <f>(((0.648*20^0.651)/0.2))*H188/20+L187*inputs!$C$54</f>
        <v>1.3197894350119154E-8</v>
      </c>
      <c r="M188" s="7">
        <f>(((0.013*2^0.773)/0.2))*H188/2+M187*inputs!$C$54</f>
        <v>6.4357424132257365E-10</v>
      </c>
      <c r="N188" s="7">
        <f>O188*0.015*inputs!$C$56</f>
        <v>0.19229616025987942</v>
      </c>
      <c r="O188" s="7">
        <f>IF((B188&gt;B187), (EXP(-LN(2)/inputs!$C$52)*O187+$O$3), (EXP(-LN(2)/inputs!$C$52)*O187))</f>
        <v>2.0743922358131547E-2</v>
      </c>
      <c r="P188" s="3">
        <f>IF((B188&gt;B187), (EXP(-LN(2)/inputs!$C$52)*P187+$P$3), (EXP(-LN(2)/inputs!$C$52)*P187))</f>
        <v>2.0044954263568514E-2</v>
      </c>
      <c r="Q188" s="19">
        <f>IF((F188*0.62*1/(0.012*(10^inputs!$C$55)))&gt;inputs!$C$57, inputs!$C$57, (F188*0.62*1/(0.012*(10^inputs!$C$55))))</f>
        <v>1.0304209373263639E-10</v>
      </c>
      <c r="R188" s="3">
        <f>IF((B188&gt;B187), (EXP(-LN(2)/inputs!$C$51)*R187+$R$3), (EXP(-LN(2)/inputs!$C$51)*R187))</f>
        <v>2.3941254671944601E-16</v>
      </c>
      <c r="T188" s="7">
        <f>IF(T187&lt;(inputs!$C$20-1),(1+T187),0)</f>
        <v>0</v>
      </c>
      <c r="U188" s="7">
        <f>IF(inputs!$C$19&gt;U187,IF(T187=(inputs!$C$20-1),(U187+1),U187), U187)</f>
        <v>1</v>
      </c>
      <c r="V188" s="7">
        <f t="shared" si="4"/>
        <v>185</v>
      </c>
      <c r="W188" s="8">
        <f>IF((U188&gt;U187), (EXP(-LN(2)/inputs!$C$51)*W187+$W$3), (EXP(-LN(2)/inputs!$C$51)*W187))</f>
        <v>7.9229951192171916E-9</v>
      </c>
      <c r="X188" s="8">
        <f>IF((U188&gt;U187), (EXP(-LN(2)/inputs!$C$51)*X187+$X$3), (EXP(-LN(2)/inputs!$C$51)*X187))</f>
        <v>3.355621462256693E-9</v>
      </c>
      <c r="Y188" s="8">
        <f>IF((U188&gt;U187), (EXP(-LN(2)/inputs!$C$51)*Y187+$Y$3), (EXP(-LN(2)/inputs!$C$51)*Y187))</f>
        <v>4.194526827820871E-9</v>
      </c>
      <c r="Z188" s="8">
        <f>IF((U188&gt;U187), (EXP(-LN(2)/inputs!$C$51)*Z187+$Z$3), (EXP(-LN(2)/inputs!$C$51)*Z187))</f>
        <v>6.5248195099435682E-10</v>
      </c>
      <c r="AA188" s="8">
        <f>IF((U188&gt;U187), (EXP(-LN(2)/inputs!$C$51)*AA187+$AA$3), (EXP(-LN(2)/inputs!$C$51)*AA187))</f>
        <v>6.0587609735190317E-9</v>
      </c>
      <c r="AB188" s="7">
        <f>(((0.621*15^0.564)/0.2))*W188/15+AB187*inputs!$C$53</f>
        <v>8.5256549136821535E-9</v>
      </c>
      <c r="AC188" s="7">
        <f>(((0.621*1000^0.564)/0.2))*W188/1000+AC187*inputs!$C$53</f>
        <v>1.3661662083720545E-9</v>
      </c>
      <c r="AD188" s="7">
        <f>(((0.648*20^0.651)/0.2))*AA188/20+AD187*inputs!$C$54</f>
        <v>9.1262035399760215E-9</v>
      </c>
      <c r="AE188" s="7">
        <f>(((0.013*2^0.773)/0.2))*AA188/2+AE187*inputs!$C$54</f>
        <v>4.4502474134007798E-10</v>
      </c>
    </row>
    <row r="189" spans="1:31" x14ac:dyDescent="0.3">
      <c r="A189" s="7">
        <f>IF(A188&lt;(inputs!$C$20-1),(1+A188),0)</f>
        <v>0</v>
      </c>
      <c r="B189" s="7">
        <f>IF(inputs!$C$19&gt;B188,IF(A188=(inputs!$C$20-1),(B188+1),B188), B188)</f>
        <v>1</v>
      </c>
      <c r="C189" s="7">
        <f t="shared" si="5"/>
        <v>186</v>
      </c>
      <c r="D189" s="8">
        <f>IF((B189&gt;B188), (EXP(-LN(2)/inputs!$C$51)*D188+$D$3), (EXP(-LN(2)/inputs!$C$51)*D188))</f>
        <v>1.9628340895817077E-8</v>
      </c>
      <c r="E189" s="8">
        <f>IF((B189&gt;B188), (EXP(-LN(2)/inputs!$C$51)*E188+$E$3), (EXP(-LN(2)/inputs!$C$51)*E188))</f>
        <v>8.9963229105828151E-9</v>
      </c>
      <c r="F189" s="8">
        <f>IF((B189&gt;B188), (EXP(-LN(2)/inputs!$C$51)*F188+$F$3), (EXP(-LN(2)/inputs!$C$51)*F188))</f>
        <v>1.1040941753897094E-8</v>
      </c>
      <c r="G189" s="8">
        <f>IF((B189&gt;B188), (EXP(-LN(2)/inputs!$C$51)*G188+$G$3), (EXP(-LN(2)/inputs!$C$51)*G188))</f>
        <v>1.2267713059885673E-9</v>
      </c>
      <c r="H189" s="8">
        <f>IF((B189&gt;B188), (EXP(-LN(2)/inputs!$C$51)*H188+$H$3), (EXP(-LN(2)/inputs!$C$51)*H188))</f>
        <v>7.6877668508616691E-9</v>
      </c>
      <c r="I189" s="7">
        <f>O189*(10^inputs!$C$55)*0.01/1</f>
        <v>1.2824399982733179</v>
      </c>
      <c r="J189" s="7">
        <f>(((0.621*15^0.564)/0.2))*D189/15+J188*inputs!$C$53</f>
        <v>2.1121363636834499E-8</v>
      </c>
      <c r="K189" s="7">
        <f>(((0.621*1000^0.564)/0.2))*D189/1000+K188*inputs!$C$53</f>
        <v>3.3845251265183146E-9</v>
      </c>
      <c r="L189" s="7">
        <f>(((0.648*20^0.651)/0.2))*H189/20+L188*inputs!$C$54</f>
        <v>1.1579946024524199E-8</v>
      </c>
      <c r="M189" s="7">
        <f>(((0.013*2^0.773)/0.2))*H189/2+M188*inputs!$C$54</f>
        <v>5.6467757504228155E-10</v>
      </c>
      <c r="N189" s="7">
        <f>O189*0.015*inputs!$C$56</f>
        <v>0.1884155702123986</v>
      </c>
      <c r="O189" s="7">
        <f>IF((B189&gt;B188), (EXP(-LN(2)/inputs!$C$52)*O188+$O$3), (EXP(-LN(2)/inputs!$C$52)*O188))</f>
        <v>2.0325304230032214E-2</v>
      </c>
      <c r="P189" s="3">
        <f>IF((B189&gt;B188), (EXP(-LN(2)/inputs!$C$52)*P188+$P$3), (EXP(-LN(2)/inputs!$C$52)*P188))</f>
        <v>1.9640441506203584E-2</v>
      </c>
      <c r="Q189" s="19">
        <f>IF((F189*0.62*1/(0.012*(10^inputs!$C$55)))&gt;inputs!$C$57, inputs!$C$57, (F189*0.62*1/(0.012*(10^inputs!$C$55))))</f>
        <v>9.0410019357907628E-11</v>
      </c>
      <c r="R189" s="3">
        <f>IF((B189&gt;B188), (EXP(-LN(2)/inputs!$C$51)*R188+$R$3), (EXP(-LN(2)/inputs!$C$51)*R188))</f>
        <v>2.1006262779941354E-16</v>
      </c>
      <c r="T189" s="7">
        <f>IF(T188&lt;(inputs!$C$20-1),(1+T188),0)</f>
        <v>0</v>
      </c>
      <c r="U189" s="7">
        <f>IF(inputs!$C$19&gt;U188,IF(T188=(inputs!$C$20-1),(U188+1),U188), U188)</f>
        <v>1</v>
      </c>
      <c r="V189" s="7">
        <f t="shared" si="4"/>
        <v>186</v>
      </c>
      <c r="W189" s="8">
        <f>IF((U189&gt;U188), (EXP(-LN(2)/inputs!$C$51)*W188+$W$3), (EXP(-LN(2)/inputs!$C$51)*W188))</f>
        <v>6.9517040672685351E-9</v>
      </c>
      <c r="X189" s="8">
        <f>IF((U189&gt;U188), (EXP(-LN(2)/inputs!$C$51)*X188+$X$3), (EXP(-LN(2)/inputs!$C$51)*X188))</f>
        <v>2.944251134372556E-9</v>
      </c>
      <c r="Y189" s="8">
        <f>IF((U189&gt;U188), (EXP(-LN(2)/inputs!$C$51)*Y188+$Y$3), (EXP(-LN(2)/inputs!$C$51)*Y188))</f>
        <v>3.6803139179656992E-9</v>
      </c>
      <c r="Z189" s="8">
        <f>IF((U189&gt;U188), (EXP(-LN(2)/inputs!$C$51)*Z188+$Z$3), (EXP(-LN(2)/inputs!$C$51)*Z188))</f>
        <v>5.724932761279969E-10</v>
      </c>
      <c r="AA189" s="8">
        <f>IF((U189&gt;U188), (EXP(-LN(2)/inputs!$C$51)*AA188+$AA$3), (EXP(-LN(2)/inputs!$C$51)*AA188))</f>
        <v>5.3160089926171175E-9</v>
      </c>
      <c r="AB189" s="7">
        <f>(((0.621*15^0.564)/0.2))*W189/15+AB188*inputs!$C$53</f>
        <v>7.4804829547122038E-9</v>
      </c>
      <c r="AC189" s="7">
        <f>(((0.621*1000^0.564)/0.2))*W189/1000+AC188*inputs!$C$53</f>
        <v>1.1986859823085676E-9</v>
      </c>
      <c r="AD189" s="7">
        <f>(((0.648*20^0.651)/0.2))*AA189/20+AD188*inputs!$C$54</f>
        <v>8.0074094850433371E-9</v>
      </c>
      <c r="AE189" s="7">
        <f>(((0.013*2^0.773)/0.2))*AA189/2+AE188*inputs!$C$54</f>
        <v>3.90468535933493E-10</v>
      </c>
    </row>
    <row r="190" spans="1:31" x14ac:dyDescent="0.3">
      <c r="A190" s="7">
        <f>IF(A189&lt;(inputs!$C$20-1),(1+A189),0)</f>
        <v>0</v>
      </c>
      <c r="B190" s="7">
        <f>IF(inputs!$C$19&gt;B189,IF(A189=(inputs!$C$20-1),(B189+1),B189), B189)</f>
        <v>1</v>
      </c>
      <c r="C190" s="7">
        <f t="shared" si="5"/>
        <v>187</v>
      </c>
      <c r="D190" s="8">
        <f>IF((B190&gt;B189), (EXP(-LN(2)/inputs!$C$51)*D189+$D$3), (EXP(-LN(2)/inputs!$C$51)*D189))</f>
        <v>1.7222075135225688E-8</v>
      </c>
      <c r="E190" s="8">
        <f>IF((B190&gt;B189), (EXP(-LN(2)/inputs!$C$51)*E189+$E$3), (EXP(-LN(2)/inputs!$C$51)*E189))</f>
        <v>7.8934511036450969E-9</v>
      </c>
      <c r="F190" s="8">
        <f>IF((B190&gt;B189), (EXP(-LN(2)/inputs!$C$51)*F189+$F$3), (EXP(-LN(2)/inputs!$C$51)*F189))</f>
        <v>9.6874172635644394E-9</v>
      </c>
      <c r="G190" s="8">
        <f>IF((B190&gt;B189), (EXP(-LN(2)/inputs!$C$51)*G189+$G$3), (EXP(-LN(2)/inputs!$C$51)*G189))</f>
        <v>1.0763796959516055E-9</v>
      </c>
      <c r="H190" s="8">
        <f>IF((B190&gt;B189), (EXP(-LN(2)/inputs!$C$51)*H189+$H$3), (EXP(-LN(2)/inputs!$C$51)*H189))</f>
        <v>6.7453127612967111E-9</v>
      </c>
      <c r="I190" s="7">
        <f>O190*(10^inputs!$C$55)*0.01/1</f>
        <v>1.2565600020889682</v>
      </c>
      <c r="J190" s="7">
        <f>(((0.621*15^0.564)/0.2))*D190/15+J189*inputs!$C$53</f>
        <v>1.8532066130434165E-8</v>
      </c>
      <c r="K190" s="7">
        <f>(((0.621*1000^0.564)/0.2))*D190/1000+K189*inputs!$C$53</f>
        <v>2.9696114580106616E-9</v>
      </c>
      <c r="L190" s="7">
        <f>(((0.648*20^0.651)/0.2))*H190/20+L189*inputs!$C$54</f>
        <v>1.0160344246859587E-8</v>
      </c>
      <c r="M190" s="7">
        <f>(((0.013*2^0.773)/0.2))*H190/2+M189*inputs!$C$54</f>
        <v>4.954529614180308E-10</v>
      </c>
      <c r="N190" s="7">
        <f>O190*0.015*inputs!$C$56</f>
        <v>0.18461329155239559</v>
      </c>
      <c r="O190" s="7">
        <f>IF((B190&gt;B189), (EXP(-LN(2)/inputs!$C$52)*O189+$O$3), (EXP(-LN(2)/inputs!$C$52)*O189))</f>
        <v>1.9915133932297262E-2</v>
      </c>
      <c r="P190" s="3">
        <f>IF((B190&gt;B189), (EXP(-LN(2)/inputs!$C$52)*P189+$P$3), (EXP(-LN(2)/inputs!$C$52)*P189))</f>
        <v>1.9244091928894813E-2</v>
      </c>
      <c r="Q190" s="19">
        <f>IF((F190*0.62*1/(0.012*(10^inputs!$C$55)))&gt;inputs!$C$57, inputs!$C$57, (F190*0.62*1/(0.012*(10^inputs!$C$55))))</f>
        <v>7.9326528646693252E-11</v>
      </c>
      <c r="R190" s="3">
        <f>IF((B190&gt;B189), (EXP(-LN(2)/inputs!$C$51)*R189+$R$3), (EXP(-LN(2)/inputs!$C$51)*R189))</f>
        <v>1.8431075648555738E-16</v>
      </c>
      <c r="T190" s="7">
        <f>IF(T189&lt;(inputs!$C$20-1),(1+T189),0)</f>
        <v>0</v>
      </c>
      <c r="U190" s="7">
        <f>IF(inputs!$C$19&gt;U189,IF(T189=(inputs!$C$20-1),(U189+1),U189), U189)</f>
        <v>1</v>
      </c>
      <c r="V190" s="7">
        <f t="shared" si="4"/>
        <v>187</v>
      </c>
      <c r="W190" s="8">
        <f>IF((U190&gt;U189), (EXP(-LN(2)/inputs!$C$51)*W189+$W$3), (EXP(-LN(2)/inputs!$C$51)*W189))</f>
        <v>6.0994849437257536E-9</v>
      </c>
      <c r="X190" s="8">
        <f>IF((U190&gt;U189), (EXP(-LN(2)/inputs!$C$51)*X189+$X$3), (EXP(-LN(2)/inputs!$C$51)*X189))</f>
        <v>2.5833112702838486E-9</v>
      </c>
      <c r="Y190" s="8">
        <f>IF((U190&gt;U189), (EXP(-LN(2)/inputs!$C$51)*Y189+$Y$3), (EXP(-LN(2)/inputs!$C$51)*Y189))</f>
        <v>3.2291390878548144E-9</v>
      </c>
      <c r="Z190" s="8">
        <f>IF((U190&gt;U189), (EXP(-LN(2)/inputs!$C$51)*Z189+$Z$3), (EXP(-LN(2)/inputs!$C$51)*Z189))</f>
        <v>5.0231052477741486E-10</v>
      </c>
      <c r="AA190" s="8">
        <f>IF((U190&gt;U189), (EXP(-LN(2)/inputs!$C$51)*AA189+$AA$3), (EXP(-LN(2)/inputs!$C$51)*AA189))</f>
        <v>4.6643120157902846E-9</v>
      </c>
      <c r="AB190" s="7">
        <f>(((0.621*15^0.564)/0.2))*W190/15+AB189*inputs!$C$53</f>
        <v>6.5634400878620876E-9</v>
      </c>
      <c r="AC190" s="7">
        <f>(((0.621*1000^0.564)/0.2))*W190/1000+AC189*inputs!$C$53</f>
        <v>1.0517373913787741E-9</v>
      </c>
      <c r="AD190" s="7">
        <f>(((0.648*20^0.651)/0.2))*AA190/20+AD189*inputs!$C$54</f>
        <v>7.0257699579348283E-9</v>
      </c>
      <c r="AE190" s="7">
        <f>(((0.013*2^0.773)/0.2))*AA190/2+AE189*inputs!$C$54</f>
        <v>3.4260045204438348E-10</v>
      </c>
    </row>
    <row r="191" spans="1:31" x14ac:dyDescent="0.3">
      <c r="A191" s="7">
        <f>IF(A190&lt;(inputs!$C$20-1),(1+A190),0)</f>
        <v>0</v>
      </c>
      <c r="B191" s="7">
        <f>IF(inputs!$C$19&gt;B190,IF(A190=(inputs!$C$20-1),(B190+1),B190), B190)</f>
        <v>1</v>
      </c>
      <c r="C191" s="7">
        <f t="shared" si="5"/>
        <v>188</v>
      </c>
      <c r="D191" s="8">
        <f>IF((B191&gt;B190), (EXP(-LN(2)/inputs!$C$51)*D190+$D$3), (EXP(-LN(2)/inputs!$C$51)*D190))</f>
        <v>1.5110796859380315E-8</v>
      </c>
      <c r="E191" s="8">
        <f>IF((B191&gt;B190), (EXP(-LN(2)/inputs!$C$51)*E190+$E$3), (EXP(-LN(2)/inputs!$C$51)*E190))</f>
        <v>6.9257818938826365E-9</v>
      </c>
      <c r="F191" s="8">
        <f>IF((B191&gt;B190), (EXP(-LN(2)/inputs!$C$51)*F190+$F$3), (EXP(-LN(2)/inputs!$C$51)*F190))</f>
        <v>8.499823233401419E-9</v>
      </c>
      <c r="G191" s="8">
        <f>IF((B191&gt;B190), (EXP(-LN(2)/inputs!$C$51)*G190+$G$3), (EXP(-LN(2)/inputs!$C$51)*G190))</f>
        <v>9.444248037112697E-10</v>
      </c>
      <c r="H191" s="8">
        <f>IF((B191&gt;B190), (EXP(-LN(2)/inputs!$C$51)*H190+$H$3), (EXP(-LN(2)/inputs!$C$51)*H190))</f>
        <v>5.9183954365906098E-9</v>
      </c>
      <c r="I191" s="7">
        <f>O191*(10^inputs!$C$55)*0.01/1</f>
        <v>1.2312022714323654</v>
      </c>
      <c r="J191" s="7">
        <f>(((0.621*15^0.564)/0.2))*D191/15+J190*inputs!$C$53</f>
        <v>1.6260194226467887E-8</v>
      </c>
      <c r="K191" s="7">
        <f>(((0.621*1000^0.564)/0.2))*D191/1000+K190*inputs!$C$53</f>
        <v>2.6055626363808255E-9</v>
      </c>
      <c r="L191" s="7">
        <f>(((0.648*20^0.651)/0.2))*H191/20+L190*inputs!$C$54</f>
        <v>8.9147734364275118E-9</v>
      </c>
      <c r="M191" s="7">
        <f>(((0.013*2^0.773)/0.2))*H191/2+M190*inputs!$C$54</f>
        <v>4.3471468998838204E-10</v>
      </c>
      <c r="N191" s="7">
        <f>O191*0.015*inputs!$C$56</f>
        <v>0.18088774393426996</v>
      </c>
      <c r="O191" s="7">
        <f>IF((B191&gt;B190), (EXP(-LN(2)/inputs!$C$52)*O190+$O$3), (EXP(-LN(2)/inputs!$C$52)*O190))</f>
        <v>1.951324098535814E-2</v>
      </c>
      <c r="P191" s="3">
        <f>IF((B191&gt;B190), (EXP(-LN(2)/inputs!$C$52)*P190+$P$3), (EXP(-LN(2)/inputs!$C$52)*P190))</f>
        <v>1.8855740796396115E-2</v>
      </c>
      <c r="Q191" s="19">
        <f>IF((F191*0.62*1/(0.012*(10^inputs!$C$55)))&gt;inputs!$C$57, inputs!$C$57, (F191*0.62*1/(0.012*(10^inputs!$C$55))))</f>
        <v>6.9601778561993645E-11</v>
      </c>
      <c r="R191" s="3">
        <f>IF((B191&gt;B190), (EXP(-LN(2)/inputs!$C$51)*R190+$R$3), (EXP(-LN(2)/inputs!$C$51)*R190))</f>
        <v>1.617158430899781E-16</v>
      </c>
      <c r="T191" s="7">
        <f>IF(T190&lt;(inputs!$C$20-1),(1+T190),0)</f>
        <v>0</v>
      </c>
      <c r="U191" s="7">
        <f>IF(inputs!$C$19&gt;U190,IF(T190=(inputs!$C$20-1),(U190+1),U190), U190)</f>
        <v>1</v>
      </c>
      <c r="V191" s="7">
        <f t="shared" si="4"/>
        <v>188</v>
      </c>
      <c r="W191" s="8">
        <f>IF((U191&gt;U190), (EXP(-LN(2)/inputs!$C$51)*W190+$W$3), (EXP(-LN(2)/inputs!$C$51)*W190))</f>
        <v>5.3517405543638523E-9</v>
      </c>
      <c r="X191" s="8">
        <f>IF((U191&gt;U190), (EXP(-LN(2)/inputs!$C$51)*X190+$X$3), (EXP(-LN(2)/inputs!$C$51)*X190))</f>
        <v>2.2666195289070433E-9</v>
      </c>
      <c r="Y191" s="8">
        <f>IF((U191&gt;U190), (EXP(-LN(2)/inputs!$C$51)*Y190+$Y$3), (EXP(-LN(2)/inputs!$C$51)*Y190))</f>
        <v>2.8332744111338074E-9</v>
      </c>
      <c r="Z191" s="8">
        <f>IF((U191&gt;U190), (EXP(-LN(2)/inputs!$C$51)*Z190+$Z$3), (EXP(-LN(2)/inputs!$C$51)*Z190))</f>
        <v>4.4073157506525832E-10</v>
      </c>
      <c r="AA191" s="8">
        <f>IF((U191&gt;U190), (EXP(-LN(2)/inputs!$C$51)*AA190+$AA$3), (EXP(-LN(2)/inputs!$C$51)*AA190))</f>
        <v>4.0925074827488307E-9</v>
      </c>
      <c r="AB191" s="7">
        <f>(((0.621*15^0.564)/0.2))*W191/15+AB190*inputs!$C$53</f>
        <v>5.7588187885407003E-9</v>
      </c>
      <c r="AC191" s="7">
        <f>(((0.621*1000^0.564)/0.2))*W191/1000+AC190*inputs!$C$53</f>
        <v>9.2280343371820739E-10</v>
      </c>
      <c r="AD191" s="7">
        <f>(((0.648*20^0.651)/0.2))*AA191/20+AD190*inputs!$C$54</f>
        <v>6.1644709932743502E-9</v>
      </c>
      <c r="AE191" s="7">
        <f>(((0.013*2^0.773)/0.2))*AA191/2+AE190*inputs!$C$54</f>
        <v>3.0060058350260498E-10</v>
      </c>
    </row>
    <row r="192" spans="1:31" x14ac:dyDescent="0.3">
      <c r="A192" s="7">
        <f>IF(A191&lt;(inputs!$C$20-1),(1+A191),0)</f>
        <v>0</v>
      </c>
      <c r="B192" s="7">
        <f>IF(inputs!$C$19&gt;B191,IF(A191=(inputs!$C$20-1),(B191+1),B191), B191)</f>
        <v>1</v>
      </c>
      <c r="C192" s="7">
        <f t="shared" si="5"/>
        <v>189</v>
      </c>
      <c r="D192" s="8">
        <f>IF((B192&gt;B191), (EXP(-LN(2)/inputs!$C$51)*D191+$D$3), (EXP(-LN(2)/inputs!$C$51)*D191))</f>
        <v>1.3258343139986874E-8</v>
      </c>
      <c r="E192" s="8">
        <f>IF((B192&gt;B191), (EXP(-LN(2)/inputs!$C$51)*E191+$E$3), (EXP(-LN(2)/inputs!$C$51)*E191))</f>
        <v>6.07674060582731E-9</v>
      </c>
      <c r="F192" s="8">
        <f>IF((B192&gt;B191), (EXP(-LN(2)/inputs!$C$51)*F191+$F$3), (EXP(-LN(2)/inputs!$C$51)*F191))</f>
        <v>7.4578180162426091E-9</v>
      </c>
      <c r="G192" s="8">
        <f>IF((B192&gt;B191), (EXP(-LN(2)/inputs!$C$51)*G191+$G$3), (EXP(-LN(2)/inputs!$C$51)*G191))</f>
        <v>8.2864644624917964E-10</v>
      </c>
      <c r="H192" s="8">
        <f>IF((B192&gt;B191), (EXP(-LN(2)/inputs!$C$51)*H191+$H$3), (EXP(-LN(2)/inputs!$C$51)*H191))</f>
        <v>5.1928510631615142E-9</v>
      </c>
      <c r="I192" s="7">
        <f>O192*(10^inputs!$C$55)*0.01/1</f>
        <v>1.206356266839766</v>
      </c>
      <c r="J192" s="7">
        <f>(((0.621*15^0.564)/0.2))*D192/15+J191*inputs!$C$53</f>
        <v>1.4266834276414569E-8</v>
      </c>
      <c r="K192" s="7">
        <f>(((0.621*1000^0.564)/0.2))*D192/1000+K191*inputs!$C$53</f>
        <v>2.2861430689157262E-9</v>
      </c>
      <c r="L192" s="7">
        <f>(((0.648*20^0.651)/0.2))*H192/20+L191*inputs!$C$54</f>
        <v>7.8218988935731769E-9</v>
      </c>
      <c r="M192" s="7">
        <f>(((0.013*2^0.773)/0.2))*H192/2+M191*inputs!$C$54</f>
        <v>3.8142240819557595E-10</v>
      </c>
      <c r="N192" s="7">
        <f>O192*0.015*inputs!$C$56</f>
        <v>0.17723737890423538</v>
      </c>
      <c r="O192" s="7">
        <f>IF((B192&gt;B191), (EXP(-LN(2)/inputs!$C$52)*O191+$O$3), (EXP(-LN(2)/inputs!$C$52)*O191))</f>
        <v>1.9119458349971457E-2</v>
      </c>
      <c r="P192" s="3">
        <f>IF((B192&gt;B191), (EXP(-LN(2)/inputs!$C$52)*P191+$P$3), (EXP(-LN(2)/inputs!$C$52)*P191))</f>
        <v>1.8475226697864531E-2</v>
      </c>
      <c r="Q192" s="19">
        <f>IF((F192*0.62*1/(0.012*(10^inputs!$C$55)))&gt;inputs!$C$57, inputs!$C$57, (F192*0.62*1/(0.012*(10^inputs!$C$55))))</f>
        <v>6.1069199190209844E-11</v>
      </c>
      <c r="R192" s="3">
        <f>IF((B192&gt;B191), (EXP(-LN(2)/inputs!$C$51)*R191+$R$3), (EXP(-LN(2)/inputs!$C$51)*R191))</f>
        <v>1.4189087172647841E-16</v>
      </c>
      <c r="T192" s="7">
        <f>IF(T191&lt;(inputs!$C$20-1),(1+T191),0)</f>
        <v>0</v>
      </c>
      <c r="U192" s="7">
        <f>IF(inputs!$C$19&gt;U191,IF(T191=(inputs!$C$20-1),(U191+1),U191), U191)</f>
        <v>1</v>
      </c>
      <c r="V192" s="7">
        <f t="shared" si="4"/>
        <v>189</v>
      </c>
      <c r="W192" s="8">
        <f>IF((U192&gt;U191), (EXP(-LN(2)/inputs!$C$51)*W191+$W$3), (EXP(-LN(2)/inputs!$C$51)*W191))</f>
        <v>4.6956631954120101E-9</v>
      </c>
      <c r="X192" s="8">
        <f>IF((U192&gt;U191), (EXP(-LN(2)/inputs!$C$51)*X191+$X$3), (EXP(-LN(2)/inputs!$C$51)*X191))</f>
        <v>1.9887514709980277E-9</v>
      </c>
      <c r="Y192" s="8">
        <f>IF((U192&gt;U191), (EXP(-LN(2)/inputs!$C$51)*Y191+$Y$3), (EXP(-LN(2)/inputs!$C$51)*Y191))</f>
        <v>2.4859393387475375E-9</v>
      </c>
      <c r="Z192" s="8">
        <f>IF((U192&gt;U191), (EXP(-LN(2)/inputs!$C$51)*Z191+$Z$3), (EXP(-LN(2)/inputs!$C$51)*Z191))</f>
        <v>3.8670167491628305E-10</v>
      </c>
      <c r="AA192" s="8">
        <f>IF((U192&gt;U191), (EXP(-LN(2)/inputs!$C$51)*AA191+$AA$3), (EXP(-LN(2)/inputs!$C$51)*AA191))</f>
        <v>3.5908012670797742E-9</v>
      </c>
      <c r="AB192" s="7">
        <f>(((0.621*15^0.564)/0.2))*W192/15+AB191*inputs!$C$53</f>
        <v>5.0528371395634837E-9</v>
      </c>
      <c r="AC192" s="7">
        <f>(((0.621*1000^0.564)/0.2))*W192/1000+AC191*inputs!$C$53</f>
        <v>8.0967567024098499E-10</v>
      </c>
      <c r="AD192" s="7">
        <f>(((0.648*20^0.651)/0.2))*AA192/20+AD191*inputs!$C$54</f>
        <v>5.4087598732154999E-9</v>
      </c>
      <c r="AE192" s="7">
        <f>(((0.013*2^0.773)/0.2))*AA192/2+AE191*inputs!$C$54</f>
        <v>2.6374953758204753E-10</v>
      </c>
    </row>
    <row r="193" spans="1:31" x14ac:dyDescent="0.3">
      <c r="A193" s="7">
        <f>IF(A192&lt;(inputs!$C$20-1),(1+A192),0)</f>
        <v>0</v>
      </c>
      <c r="B193" s="7">
        <f>IF(inputs!$C$19&gt;B192,IF(A192=(inputs!$C$20-1),(B192+1),B192), B192)</f>
        <v>1</v>
      </c>
      <c r="C193" s="7">
        <f t="shared" si="5"/>
        <v>190</v>
      </c>
      <c r="D193" s="8">
        <f>IF((B193&gt;B192), (EXP(-LN(2)/inputs!$C$51)*D192+$D$3), (EXP(-LN(2)/inputs!$C$51)*D192))</f>
        <v>1.1632984312704592E-8</v>
      </c>
      <c r="E193" s="8">
        <f>IF((B193&gt;B192), (EXP(-LN(2)/inputs!$C$51)*E192+$E$3), (EXP(-LN(2)/inputs!$C$51)*E192))</f>
        <v>5.3317844766562643E-9</v>
      </c>
      <c r="F193" s="8">
        <f>IF((B193&gt;B192), (EXP(-LN(2)/inputs!$C$51)*F192+$F$3), (EXP(-LN(2)/inputs!$C$51)*F192))</f>
        <v>6.5435536758963256E-9</v>
      </c>
      <c r="G193" s="8">
        <f>IF((B193&gt;B192), (EXP(-LN(2)/inputs!$C$51)*G192+$G$3), (EXP(-LN(2)/inputs!$C$51)*G192))</f>
        <v>7.2706151954403697E-10</v>
      </c>
      <c r="H193" s="8">
        <f>IF((B193&gt;B192), (EXP(-LN(2)/inputs!$C$51)*H192+$H$3), (EXP(-LN(2)/inputs!$C$51)*H192))</f>
        <v>4.5562521891426214E-9</v>
      </c>
      <c r="I193" s="7">
        <f>O193*(10^inputs!$C$55)*0.01/1</f>
        <v>1.1820116615367382</v>
      </c>
      <c r="J193" s="7">
        <f>(((0.621*15^0.564)/0.2))*D193/15+J192*inputs!$C$53</f>
        <v>1.2517843110345923E-8</v>
      </c>
      <c r="K193" s="7">
        <f>(((0.621*1000^0.564)/0.2))*D193/1000+K192*inputs!$C$53</f>
        <v>2.0058815929334368E-9</v>
      </c>
      <c r="L193" s="7">
        <f>(((0.648*20^0.651)/0.2))*H193/20+L192*inputs!$C$54</f>
        <v>6.8630013693089742E-9</v>
      </c>
      <c r="M193" s="7">
        <f>(((0.013*2^0.773)/0.2))*H193/2+M192*inputs!$C$54</f>
        <v>3.346633017568389E-10</v>
      </c>
      <c r="N193" s="7">
        <f>O193*0.015*inputs!$C$56</f>
        <v>0.17366067925673412</v>
      </c>
      <c r="O193" s="7">
        <f>IF((B193&gt;B192), (EXP(-LN(2)/inputs!$C$52)*O192+$O$3), (EXP(-LN(2)/inputs!$C$52)*O192))</f>
        <v>1.8733622357792246E-2</v>
      </c>
      <c r="P193" s="3">
        <f>IF((B193&gt;B192), (EXP(-LN(2)/inputs!$C$52)*P192+$P$3), (EXP(-LN(2)/inputs!$C$52)*P192))</f>
        <v>1.8102391479772849E-2</v>
      </c>
      <c r="Q193" s="19">
        <f>IF((F193*0.62*1/(0.012*(10^inputs!$C$55)))&gt;inputs!$C$57, inputs!$C$57, (F193*0.62*1/(0.012*(10^inputs!$C$55))))</f>
        <v>5.3582640656398521E-11</v>
      </c>
      <c r="R193" s="3">
        <f>IF((B193&gt;B192), (EXP(-LN(2)/inputs!$C$51)*R192+$R$3), (EXP(-LN(2)/inputs!$C$51)*R192))</f>
        <v>1.2449627132759039E-16</v>
      </c>
      <c r="T193" s="7">
        <f>IF(T192&lt;(inputs!$C$20-1),(1+T192),0)</f>
        <v>0</v>
      </c>
      <c r="U193" s="7">
        <f>IF(inputs!$C$19&gt;U192,IF(T192=(inputs!$C$20-1),(U192+1),U192), U192)</f>
        <v>1</v>
      </c>
      <c r="V193" s="7">
        <f t="shared" si="4"/>
        <v>190</v>
      </c>
      <c r="W193" s="8">
        <f>IF((U193&gt;U192), (EXP(-LN(2)/inputs!$C$51)*W192+$W$3), (EXP(-LN(2)/inputs!$C$51)*W192))</f>
        <v>4.1200152774162022E-9</v>
      </c>
      <c r="X193" s="8">
        <f>IF((U193&gt;U192), (EXP(-LN(2)/inputs!$C$51)*X192+$X$3), (EXP(-LN(2)/inputs!$C$51)*X192))</f>
        <v>1.7449476469056856E-9</v>
      </c>
      <c r="Y193" s="8">
        <f>IF((U193&gt;U192), (EXP(-LN(2)/inputs!$C$51)*Y192+$Y$3), (EXP(-LN(2)/inputs!$C$51)*Y192))</f>
        <v>2.1811845586321094E-9</v>
      </c>
      <c r="Z193" s="8">
        <f>IF((U193&gt;U192), (EXP(-LN(2)/inputs!$C$51)*Z192+$Z$3), (EXP(-LN(2)/inputs!$C$51)*Z192))</f>
        <v>3.3929537578721655E-10</v>
      </c>
      <c r="AA193" s="8">
        <f>IF((U193&gt;U192), (EXP(-LN(2)/inputs!$C$51)*AA192+$AA$3), (EXP(-LN(2)/inputs!$C$51)*AA192))</f>
        <v>3.1505999180241562E-9</v>
      </c>
      <c r="AB193" s="7">
        <f>(((0.621*15^0.564)/0.2))*W193/15+AB192*inputs!$C$53</f>
        <v>4.4334027682475059E-9</v>
      </c>
      <c r="AC193" s="7">
        <f>(((0.621*1000^0.564)/0.2))*W193/1000+AC192*inputs!$C$53</f>
        <v>7.1041639749725763E-10</v>
      </c>
      <c r="AD193" s="7">
        <f>(((0.648*20^0.651)/0.2))*AA193/20+AD192*inputs!$C$54</f>
        <v>4.7456924362242957E-9</v>
      </c>
      <c r="AE193" s="7">
        <f>(((0.013*2^0.773)/0.2))*AA193/2+AE192*inputs!$C$54</f>
        <v>2.3141611291696333E-10</v>
      </c>
    </row>
    <row r="194" spans="1:31" x14ac:dyDescent="0.3">
      <c r="A194" s="7">
        <f>IF(A193&lt;(inputs!$C$20-1),(1+A193),0)</f>
        <v>0</v>
      </c>
      <c r="B194" s="7">
        <f>IF(inputs!$C$19&gt;B193,IF(A193=(inputs!$C$20-1),(B193+1),B193), B193)</f>
        <v>1</v>
      </c>
      <c r="C194" s="7">
        <f t="shared" si="5"/>
        <v>191</v>
      </c>
      <c r="D194" s="8">
        <f>IF((B194&gt;B193), (EXP(-LN(2)/inputs!$C$51)*D193+$D$3), (EXP(-LN(2)/inputs!$C$51)*D193))</f>
        <v>1.0206880497118065E-8</v>
      </c>
      <c r="E194" s="8">
        <f>IF((B194&gt;B193), (EXP(-LN(2)/inputs!$C$51)*E193+$E$3), (EXP(-LN(2)/inputs!$C$51)*E193))</f>
        <v>4.6781535611791068E-9</v>
      </c>
      <c r="F194" s="8">
        <f>IF((B194&gt;B193), (EXP(-LN(2)/inputs!$C$51)*F193+$F$3), (EXP(-LN(2)/inputs!$C$51)*F193))</f>
        <v>5.7413702796289053E-9</v>
      </c>
      <c r="G194" s="8">
        <f>IF((B194&gt;B193), (EXP(-LN(2)/inputs!$C$51)*G193+$G$3), (EXP(-LN(2)/inputs!$C$51)*G193))</f>
        <v>6.3793003106987904E-10</v>
      </c>
      <c r="H194" s="8">
        <f>IF((B194&gt;B193), (EXP(-LN(2)/inputs!$C$51)*H193+$H$3), (EXP(-LN(2)/inputs!$C$51)*H193))</f>
        <v>3.9976948613712328E-9</v>
      </c>
      <c r="I194" s="7">
        <f>O194*(10^inputs!$C$55)*0.01/1</f>
        <v>1.1581583371460342</v>
      </c>
      <c r="J194" s="7">
        <f>(((0.621*15^0.564)/0.2))*D194/15+J193*inputs!$C$53</f>
        <v>1.0983263217284292E-8</v>
      </c>
      <c r="K194" s="7">
        <f>(((0.621*1000^0.564)/0.2))*D194/1000+K193*inputs!$C$53</f>
        <v>1.759977763236611E-9</v>
      </c>
      <c r="L194" s="7">
        <f>(((0.648*20^0.651)/0.2))*H194/20+L193*inputs!$C$54</f>
        <v>6.0216564335594997E-9</v>
      </c>
      <c r="M194" s="7">
        <f>(((0.013*2^0.773)/0.2))*H194/2+M193*inputs!$C$54</f>
        <v>2.936364595688903E-10</v>
      </c>
      <c r="N194" s="7">
        <f>O194*0.015*inputs!$C$56</f>
        <v>0.17015615840383883</v>
      </c>
      <c r="O194" s="7">
        <f>IF((B194&gt;B193), (EXP(-LN(2)/inputs!$C$52)*O193+$O$3), (EXP(-LN(2)/inputs!$C$52)*O193))</f>
        <v>1.8355572643348309E-2</v>
      </c>
      <c r="P194" s="3">
        <f>IF((B194&gt;B193), (EXP(-LN(2)/inputs!$C$52)*P193+$P$3), (EXP(-LN(2)/inputs!$C$52)*P193))</f>
        <v>1.7737080180176064E-2</v>
      </c>
      <c r="Q194" s="19">
        <f>IF((F194*0.62*1/(0.012*(10^inputs!$C$55)))&gt;inputs!$C$57, inputs!$C$57, (F194*0.62*1/(0.012*(10^inputs!$C$55))))</f>
        <v>4.7013869803175746E-11</v>
      </c>
      <c r="R194" s="3">
        <f>IF((B194&gt;B193), (EXP(-LN(2)/inputs!$C$51)*R193+$R$3), (EXP(-LN(2)/inputs!$C$51)*R193))</f>
        <v>1.0923409931789616E-16</v>
      </c>
      <c r="T194" s="7">
        <f>IF(T193&lt;(inputs!$C$20-1),(1+T193),0)</f>
        <v>0</v>
      </c>
      <c r="U194" s="7">
        <f>IF(inputs!$C$19&gt;U193,IF(T193=(inputs!$C$20-1),(U193+1),U193), U193)</f>
        <v>1</v>
      </c>
      <c r="V194" s="7">
        <f t="shared" si="4"/>
        <v>191</v>
      </c>
      <c r="W194" s="8">
        <f>IF((U194&gt;U193), (EXP(-LN(2)/inputs!$C$51)*W193+$W$3), (EXP(-LN(2)/inputs!$C$51)*W193))</f>
        <v>3.6149368427293084E-9</v>
      </c>
      <c r="X194" s="8">
        <f>IF((U194&gt;U193), (EXP(-LN(2)/inputs!$C$51)*X193+$X$3), (EXP(-LN(2)/inputs!$C$51)*X193))</f>
        <v>1.531032074567707E-9</v>
      </c>
      <c r="Y194" s="8">
        <f>IF((U194&gt;U193), (EXP(-LN(2)/inputs!$C$51)*Y193+$Y$3), (EXP(-LN(2)/inputs!$C$51)*Y193))</f>
        <v>1.9137900932096358E-9</v>
      </c>
      <c r="Z194" s="8">
        <f>IF((U194&gt;U193), (EXP(-LN(2)/inputs!$C$51)*Z193+$Z$3), (EXP(-LN(2)/inputs!$C$51)*Z193))</f>
        <v>2.9770068116594297E-10</v>
      </c>
      <c r="AA194" s="8">
        <f>IF((U194&gt;U193), (EXP(-LN(2)/inputs!$C$51)*AA193+$AA$3), (EXP(-LN(2)/inputs!$C$51)*AA193))</f>
        <v>2.7643634679694723E-9</v>
      </c>
      <c r="AB194" s="7">
        <f>(((0.621*15^0.564)/0.2))*W194/15+AB193*inputs!$C$53</f>
        <v>3.88990572278818E-9</v>
      </c>
      <c r="AC194" s="7">
        <f>(((0.621*1000^0.564)/0.2))*W194/1000+AC193*inputs!$C$53</f>
        <v>6.2332545781296527E-10</v>
      </c>
      <c r="AD194" s="7">
        <f>(((0.648*20^0.651)/0.2))*AA194/20+AD193*inputs!$C$54</f>
        <v>4.1639113636315733E-9</v>
      </c>
      <c r="AE194" s="7">
        <f>(((0.013*2^0.773)/0.2))*AA194/2+AE193*inputs!$C$54</f>
        <v>2.0304648799976477E-10</v>
      </c>
    </row>
    <row r="195" spans="1:31" x14ac:dyDescent="0.3">
      <c r="A195" s="7">
        <f>IF(A194&lt;(inputs!$C$20-1),(1+A194),0)</f>
        <v>0</v>
      </c>
      <c r="B195" s="7">
        <f>IF(inputs!$C$19&gt;B194,IF(A194=(inputs!$C$20-1),(B194+1),B194), B194)</f>
        <v>1</v>
      </c>
      <c r="C195" s="7">
        <f t="shared" si="5"/>
        <v>192</v>
      </c>
      <c r="D195" s="8">
        <f>IF((B195&gt;B194), (EXP(-LN(2)/inputs!$C$51)*D194+$D$3), (EXP(-LN(2)/inputs!$C$51)*D194))</f>
        <v>8.9556047426860027E-9</v>
      </c>
      <c r="E195" s="8">
        <f>IF((B195&gt;B194), (EXP(-LN(2)/inputs!$C$51)*E194+$E$3), (EXP(-LN(2)/inputs!$C$51)*E194))</f>
        <v>4.104652173731079E-9</v>
      </c>
      <c r="F195" s="8">
        <f>IF((B195&gt;B194), (EXP(-LN(2)/inputs!$C$51)*F194+$F$3), (EXP(-LN(2)/inputs!$C$51)*F194))</f>
        <v>5.0375276677608715E-9</v>
      </c>
      <c r="G195" s="8">
        <f>IF((B195&gt;B194), (EXP(-LN(2)/inputs!$C$51)*G194+$G$3), (EXP(-LN(2)/inputs!$C$51)*G194))</f>
        <v>5.5972529641787517E-10</v>
      </c>
      <c r="H195" s="8">
        <f>IF((B195&gt;B194), (EXP(-LN(2)/inputs!$C$51)*H194+$H$3), (EXP(-LN(2)/inputs!$C$51)*H194))</f>
        <v>3.5076118575520099E-9</v>
      </c>
      <c r="I195" s="7">
        <f>O195*(10^inputs!$C$55)*0.01/1</f>
        <v>1.1347863794820749</v>
      </c>
      <c r="J195" s="7">
        <f>(((0.621*15^0.564)/0.2))*D195/15+J194*inputs!$C$53</f>
        <v>9.6368096194182545E-9</v>
      </c>
      <c r="K195" s="7">
        <f>(((0.621*1000^0.564)/0.2))*D195/1000+K194*inputs!$C$53</f>
        <v>1.5442196279180537E-9</v>
      </c>
      <c r="L195" s="7">
        <f>(((0.648*20^0.651)/0.2))*H195/20+L194*inputs!$C$54</f>
        <v>5.2834531501018075E-9</v>
      </c>
      <c r="M195" s="7">
        <f>(((0.013*2^0.773)/0.2))*H195/2+M194*inputs!$C$54</f>
        <v>2.5763915534067238E-10</v>
      </c>
      <c r="N195" s="7">
        <f>O195*0.015*inputs!$C$56</f>
        <v>0.16672235975738051</v>
      </c>
      <c r="O195" s="7">
        <f>IF((B195&gt;B194), (EXP(-LN(2)/inputs!$C$52)*O194+$O$3), (EXP(-LN(2)/inputs!$C$52)*O194))</f>
        <v>1.7985152077387326E-2</v>
      </c>
      <c r="P195" s="3">
        <f>IF((B195&gt;B194), (EXP(-LN(2)/inputs!$C$52)*P194+$P$3), (EXP(-LN(2)/inputs!$C$52)*P194))</f>
        <v>1.737914096430436E-2</v>
      </c>
      <c r="Q195" s="19">
        <f>IF((F195*0.62*1/(0.012*(10^inputs!$C$55)))&gt;inputs!$C$57, inputs!$C$57, (F195*0.62*1/(0.012*(10^inputs!$C$55))))</f>
        <v>4.1250373755254985E-11</v>
      </c>
      <c r="R195" s="3">
        <f>IF((B195&gt;B194), (EXP(-LN(2)/inputs!$C$51)*R194+$R$3), (EXP(-LN(2)/inputs!$C$51)*R194))</f>
        <v>9.5842938318970022E-17</v>
      </c>
      <c r="T195" s="7">
        <f>IF(T194&lt;(inputs!$C$20-1),(1+T194),0)</f>
        <v>0</v>
      </c>
      <c r="U195" s="7">
        <f>IF(inputs!$C$19&gt;U194,IF(T194=(inputs!$C$20-1),(U194+1),U194), U194)</f>
        <v>1</v>
      </c>
      <c r="V195" s="7">
        <f t="shared" si="4"/>
        <v>192</v>
      </c>
      <c r="W195" s="8">
        <f>IF((U195&gt;U194), (EXP(-LN(2)/inputs!$C$51)*W194+$W$3), (EXP(-LN(2)/inputs!$C$51)*W194))</f>
        <v>3.1717766797012874E-9</v>
      </c>
      <c r="X195" s="8">
        <f>IF((U195&gt;U194), (EXP(-LN(2)/inputs!$C$51)*X194+$X$3), (EXP(-LN(2)/inputs!$C$51)*X194))</f>
        <v>1.343340711402898E-9</v>
      </c>
      <c r="Y195" s="8">
        <f>IF((U195&gt;U194), (EXP(-LN(2)/inputs!$C$51)*Y194+$Y$3), (EXP(-LN(2)/inputs!$C$51)*Y194))</f>
        <v>1.6791758892536245E-9</v>
      </c>
      <c r="Z195" s="8">
        <f>IF((U195&gt;U194), (EXP(-LN(2)/inputs!$C$51)*Z194+$Z$3), (EXP(-LN(2)/inputs!$C$51)*Z194))</f>
        <v>2.6120513832834122E-10</v>
      </c>
      <c r="AA195" s="8">
        <f>IF((U195&gt;U194), (EXP(-LN(2)/inputs!$C$51)*AA194+$AA$3), (EXP(-LN(2)/inputs!$C$51)*AA194))</f>
        <v>2.425476284477456E-9</v>
      </c>
      <c r="AB195" s="7">
        <f>(((0.621*15^0.564)/0.2))*W195/15+AB194*inputs!$C$53</f>
        <v>3.4130367402106258E-9</v>
      </c>
      <c r="AC195" s="7">
        <f>(((0.621*1000^0.564)/0.2))*W195/1000+AC194*inputs!$C$53</f>
        <v>5.469111182209764E-10</v>
      </c>
      <c r="AD195" s="7">
        <f>(((0.648*20^0.651)/0.2))*AA195/20+AD194*inputs!$C$54</f>
        <v>3.6534516463469981E-9</v>
      </c>
      <c r="AE195" s="7">
        <f>(((0.013*2^0.773)/0.2))*AA195/2+AE194*inputs!$C$54</f>
        <v>1.7815473507599706E-10</v>
      </c>
    </row>
    <row r="196" spans="1:31" x14ac:dyDescent="0.3">
      <c r="A196" s="7">
        <f>IF(A195&lt;(inputs!$C$20-1),(1+A195),0)</f>
        <v>0</v>
      </c>
      <c r="B196" s="7">
        <f>IF(inputs!$C$19&gt;B195,IF(A195=(inputs!$C$20-1),(B195+1),B195), B195)</f>
        <v>1</v>
      </c>
      <c r="C196" s="7">
        <f t="shared" si="5"/>
        <v>193</v>
      </c>
      <c r="D196" s="8">
        <f>IF((B196&gt;B195), (EXP(-LN(2)/inputs!$C$51)*D195+$D$3), (EXP(-LN(2)/inputs!$C$51)*D195))</f>
        <v>7.8577246328949843E-9</v>
      </c>
      <c r="E196" s="8">
        <f>IF((B196&gt;B195), (EXP(-LN(2)/inputs!$C$51)*E195+$E$3), (EXP(-LN(2)/inputs!$C$51)*E195))</f>
        <v>3.6014571234101965E-9</v>
      </c>
      <c r="F196" s="8">
        <f>IF((B196&gt;B195), (EXP(-LN(2)/inputs!$C$51)*F195+$F$3), (EXP(-LN(2)/inputs!$C$51)*F195))</f>
        <v>4.419970106003425E-9</v>
      </c>
      <c r="G196" s="8">
        <f>IF((B196&gt;B195), (EXP(-LN(2)/inputs!$C$51)*G195+$G$3), (EXP(-LN(2)/inputs!$C$51)*G195))</f>
        <v>4.9110778955593652E-10</v>
      </c>
      <c r="H196" s="8">
        <f>IF((B196&gt;B195), (EXP(-LN(2)/inputs!$C$51)*H195+$H$3), (EXP(-LN(2)/inputs!$C$51)*H195))</f>
        <v>3.077608814550529E-9</v>
      </c>
      <c r="I196" s="7">
        <f>O196*(10^inputs!$C$55)*0.01/1</f>
        <v>1.111886074430307</v>
      </c>
      <c r="J196" s="7">
        <f>(((0.621*15^0.564)/0.2))*D196/15+J195*inputs!$C$53</f>
        <v>8.4554196511257457E-9</v>
      </c>
      <c r="K196" s="7">
        <f>(((0.621*1000^0.564)/0.2))*D196/1000+K195*inputs!$C$53</f>
        <v>1.3549115841452736E-9</v>
      </c>
      <c r="L196" s="7">
        <f>(((0.648*20^0.651)/0.2))*H196/20+L195*inputs!$C$54</f>
        <v>4.6357472395381693E-9</v>
      </c>
      <c r="M196" s="7">
        <f>(((0.013*2^0.773)/0.2))*H196/2+M195*inputs!$C$54</f>
        <v>2.2605481097990882E-10</v>
      </c>
      <c r="N196" s="7">
        <f>O196*0.015*inputs!$C$56</f>
        <v>0.16335785612354489</v>
      </c>
      <c r="O196" s="7">
        <f>IF((B196&gt;B195), (EXP(-LN(2)/inputs!$C$52)*O195+$O$3), (EXP(-LN(2)/inputs!$C$52)*O195))</f>
        <v>1.7622206701569026E-2</v>
      </c>
      <c r="P196" s="3">
        <f>IF((B196&gt;B195), (EXP(-LN(2)/inputs!$C$52)*P195+$P$3), (EXP(-LN(2)/inputs!$C$52)*P195))</f>
        <v>1.7028425061455847E-2</v>
      </c>
      <c r="Q196" s="19">
        <f>IF((F196*0.62*1/(0.012*(10^inputs!$C$55)))&gt;inputs!$C$57, inputs!$C$57, (F196*0.62*1/(0.012*(10^inputs!$C$55))))</f>
        <v>3.6193432748079977E-11</v>
      </c>
      <c r="R196" s="3">
        <f>IF((B196&gt;B195), (EXP(-LN(2)/inputs!$C$51)*R195+$R$3), (EXP(-LN(2)/inputs!$C$51)*R195))</f>
        <v>8.4093418474398885E-17</v>
      </c>
      <c r="T196" s="7">
        <f>IF(T195&lt;(inputs!$C$20-1),(1+T195),0)</f>
        <v>0</v>
      </c>
      <c r="U196" s="7">
        <f>IF(inputs!$C$19&gt;U195,IF(T195=(inputs!$C$20-1),(U195+1),U195), U195)</f>
        <v>1</v>
      </c>
      <c r="V196" s="7">
        <f t="shared" ref="V196:V259" si="6">V195+1</f>
        <v>193</v>
      </c>
      <c r="W196" s="8">
        <f>IF((U196&gt;U195), (EXP(-LN(2)/inputs!$C$51)*W195+$W$3), (EXP(-LN(2)/inputs!$C$51)*W195))</f>
        <v>2.7829441408169692E-9</v>
      </c>
      <c r="X196" s="8">
        <f>IF((U196&gt;U195), (EXP(-LN(2)/inputs!$C$51)*X195+$X$3), (EXP(-LN(2)/inputs!$C$51)*X195))</f>
        <v>1.1786586949342456E-9</v>
      </c>
      <c r="Y196" s="8">
        <f>IF((U196&gt;U195), (EXP(-LN(2)/inputs!$C$51)*Y195+$Y$3), (EXP(-LN(2)/inputs!$C$51)*Y195))</f>
        <v>1.4733233686678088E-9</v>
      </c>
      <c r="Z196" s="8">
        <f>IF((U196&gt;U195), (EXP(-LN(2)/inputs!$C$51)*Z195+$Z$3), (EXP(-LN(2)/inputs!$C$51)*Z195))</f>
        <v>2.2918363512610326E-10</v>
      </c>
      <c r="AA196" s="8">
        <f>IF((U196&gt;U195), (EXP(-LN(2)/inputs!$C$51)*AA195+$AA$3), (EXP(-LN(2)/inputs!$C$51)*AA195))</f>
        <v>2.1281337547423891E-9</v>
      </c>
      <c r="AB196" s="7">
        <f>(((0.621*15^0.564)/0.2))*W196/15+AB195*inputs!$C$53</f>
        <v>2.9946277931070301E-9</v>
      </c>
      <c r="AC196" s="7">
        <f>(((0.621*1000^0.564)/0.2))*W196/1000+AC195*inputs!$C$53</f>
        <v>4.798645193847836E-10</v>
      </c>
      <c r="AD196" s="7">
        <f>(((0.648*20^0.651)/0.2))*AA196/20+AD195*inputs!$C$54</f>
        <v>3.2055698996806525E-9</v>
      </c>
      <c r="AE196" s="7">
        <f>(((0.013*2^0.773)/0.2))*AA196/2+AE195*inputs!$C$54</f>
        <v>1.563144969541924E-10</v>
      </c>
    </row>
    <row r="197" spans="1:31" x14ac:dyDescent="0.3">
      <c r="A197" s="7">
        <f>IF(A196&lt;(inputs!$C$20-1),(1+A196),0)</f>
        <v>0</v>
      </c>
      <c r="B197" s="7">
        <f>IF(inputs!$C$19&gt;B196,IF(A196=(inputs!$C$20-1),(B196+1),B196), B196)</f>
        <v>1</v>
      </c>
      <c r="C197" s="7">
        <f t="shared" ref="C197:C260" si="7">C196+1</f>
        <v>194</v>
      </c>
      <c r="D197" s="8">
        <f>IF((B197&gt;B196), (EXP(-LN(2)/inputs!$C$51)*D196+$D$3), (EXP(-LN(2)/inputs!$C$51)*D196))</f>
        <v>6.8944351811451369E-9</v>
      </c>
      <c r="E197" s="8">
        <f>IF((B197&gt;B196), (EXP(-LN(2)/inputs!$C$51)*E196+$E$3), (EXP(-LN(2)/inputs!$C$51)*E196))</f>
        <v>3.1599494580248504E-9</v>
      </c>
      <c r="F197" s="8">
        <f>IF((B197&gt;B196), (EXP(-LN(2)/inputs!$C$51)*F196+$F$3), (EXP(-LN(2)/inputs!$C$51)*F196))</f>
        <v>3.8781197893941369E-9</v>
      </c>
      <c r="G197" s="8">
        <f>IF((B197&gt;B196), (EXP(-LN(2)/inputs!$C$51)*G196+$G$3), (EXP(-LN(2)/inputs!$C$51)*G196))</f>
        <v>4.3090219882157106E-10</v>
      </c>
      <c r="H197" s="8">
        <f>IF((B197&gt;B196), (EXP(-LN(2)/inputs!$C$51)*H196+$H$3), (EXP(-LN(2)/inputs!$C$51)*H196))</f>
        <v>2.7003204459485064E-9</v>
      </c>
      <c r="I197" s="7">
        <f>O197*(10^inputs!$C$55)*0.01/1</f>
        <v>1.0894479039097122</v>
      </c>
      <c r="J197" s="7">
        <f>(((0.621*15^0.564)/0.2))*D197/15+J196*inputs!$C$53</f>
        <v>7.4188579312163813E-9</v>
      </c>
      <c r="K197" s="7">
        <f>(((0.621*1000^0.564)/0.2))*D197/1000+K196*inputs!$C$53</f>
        <v>1.1888110782053041E-9</v>
      </c>
      <c r="L197" s="7">
        <f>(((0.648*20^0.651)/0.2))*H197/20+L196*inputs!$C$54</f>
        <v>4.0674445023652125E-9</v>
      </c>
      <c r="M197" s="7">
        <f>(((0.013*2^0.773)/0.2))*H197/2+M196*inputs!$C$54</f>
        <v>1.9834243556493773E-10</v>
      </c>
      <c r="N197" s="7">
        <f>O197*0.015*inputs!$C$56</f>
        <v>0.16006124910968608</v>
      </c>
      <c r="O197" s="7">
        <f>IF((B197&gt;B196), (EXP(-LN(2)/inputs!$C$52)*O196+$O$3), (EXP(-LN(2)/inputs!$C$52)*O196))</f>
        <v>1.7266585664475306E-2</v>
      </c>
      <c r="P197" s="3">
        <f>IF((B197&gt;B196), (EXP(-LN(2)/inputs!$C$52)*P196+$P$3), (EXP(-LN(2)/inputs!$C$52)*P196))</f>
        <v>1.6684786703162816E-2</v>
      </c>
      <c r="Q197" s="19">
        <f>IF((F197*0.62*1/(0.012*(10^inputs!$C$55)))&gt;inputs!$C$57, inputs!$C$57, (F197*0.62*1/(0.012*(10^inputs!$C$55))))</f>
        <v>3.1756429211090691E-11</v>
      </c>
      <c r="R197" s="3">
        <f>IF((B197&gt;B196), (EXP(-LN(2)/inputs!$C$51)*R196+$R$3), (EXP(-LN(2)/inputs!$C$51)*R196))</f>
        <v>7.378428869924038E-17</v>
      </c>
      <c r="T197" s="7">
        <f>IF(T196&lt;(inputs!$C$20-1),(1+T196),0)</f>
        <v>0</v>
      </c>
      <c r="U197" s="7">
        <f>IF(inputs!$C$19&gt;U196,IF(T196=(inputs!$C$20-1),(U196+1),U196), U196)</f>
        <v>1</v>
      </c>
      <c r="V197" s="7">
        <f t="shared" si="6"/>
        <v>194</v>
      </c>
      <c r="W197" s="8">
        <f>IF((U197&gt;U196), (EXP(-LN(2)/inputs!$C$51)*W196+$W$3), (EXP(-LN(2)/inputs!$C$51)*W196))</f>
        <v>2.4417791266555655E-9</v>
      </c>
      <c r="X197" s="8">
        <f>IF((U197&gt;U196), (EXP(-LN(2)/inputs!$C$51)*X196+$X$3), (EXP(-LN(2)/inputs!$C$51)*X196))</f>
        <v>1.0341652771717688E-9</v>
      </c>
      <c r="Y197" s="8">
        <f>IF((U197&gt;U196), (EXP(-LN(2)/inputs!$C$51)*Y196+$Y$3), (EXP(-LN(2)/inputs!$C$51)*Y196))</f>
        <v>1.2927065964647127E-9</v>
      </c>
      <c r="Z197" s="8">
        <f>IF((U197&gt;U196), (EXP(-LN(2)/inputs!$C$51)*Z196+$Z$3), (EXP(-LN(2)/inputs!$C$51)*Z196))</f>
        <v>2.0108769278339945E-10</v>
      </c>
      <c r="AA197" s="8">
        <f>IF((U197&gt;U196), (EXP(-LN(2)/inputs!$C$51)*AA196+$AA$3), (EXP(-LN(2)/inputs!$C$51)*AA196))</f>
        <v>1.8672428615601393E-9</v>
      </c>
      <c r="AB197" s="7">
        <f>(((0.621*15^0.564)/0.2))*W197/15+AB196*inputs!$C$53</f>
        <v>2.6275121839724645E-9</v>
      </c>
      <c r="AC197" s="7">
        <f>(((0.621*1000^0.564)/0.2))*W197/1000+AC196*inputs!$C$53</f>
        <v>4.2103725686437794E-10</v>
      </c>
      <c r="AD197" s="7">
        <f>(((0.648*20^0.651)/0.2))*AA197/20+AD196*inputs!$C$54</f>
        <v>2.8125946026993516E-9</v>
      </c>
      <c r="AE197" s="7">
        <f>(((0.013*2^0.773)/0.2))*AA197/2+AE196*inputs!$C$54</f>
        <v>1.3715168416724432E-10</v>
      </c>
    </row>
    <row r="198" spans="1:31" x14ac:dyDescent="0.3">
      <c r="A198" s="7">
        <f>IF(A197&lt;(inputs!$C$20-1),(1+A197),0)</f>
        <v>0</v>
      </c>
      <c r="B198" s="7">
        <f>IF(inputs!$C$19&gt;B197,IF(A197=(inputs!$C$20-1),(B197+1),B197), B197)</f>
        <v>1</v>
      </c>
      <c r="C198" s="7">
        <f t="shared" si="7"/>
        <v>195</v>
      </c>
      <c r="D198" s="8">
        <f>IF((B198&gt;B197), (EXP(-LN(2)/inputs!$C$51)*D197+$D$3), (EXP(-LN(2)/inputs!$C$51)*D197))</f>
        <v>6.0492367304425803E-9</v>
      </c>
      <c r="E198" s="8">
        <f>IF((B198&gt;B197), (EXP(-LN(2)/inputs!$C$51)*E197+$E$3), (EXP(-LN(2)/inputs!$C$51)*E197))</f>
        <v>2.7725668347861789E-9</v>
      </c>
      <c r="F198" s="8">
        <f>IF((B198&gt;B197), (EXP(-LN(2)/inputs!$C$51)*F197+$F$3), (EXP(-LN(2)/inputs!$C$51)*F197))</f>
        <v>3.4026956608739489E-9</v>
      </c>
      <c r="G198" s="8">
        <f>IF((B198&gt;B197), (EXP(-LN(2)/inputs!$C$51)*G197+$G$3), (EXP(-LN(2)/inputs!$C$51)*G197))</f>
        <v>3.7807729565266127E-10</v>
      </c>
      <c r="H198" s="8">
        <f>IF((B198&gt;B197), (EXP(-LN(2)/inputs!$C$51)*H197+$H$3), (EXP(-LN(2)/inputs!$C$51)*H197))</f>
        <v>2.3692843860900056E-9</v>
      </c>
      <c r="I198" s="7">
        <f>O198*(10^inputs!$C$55)*0.01/1</f>
        <v>1.067462541916798</v>
      </c>
      <c r="J198" s="7">
        <f>(((0.621*15^0.564)/0.2))*D198/15+J197*inputs!$C$53</f>
        <v>6.5093697621790196E-9</v>
      </c>
      <c r="K198" s="7">
        <f>(((0.621*1000^0.564)/0.2))*D198/1000+K197*inputs!$C$53</f>
        <v>1.043073065579552E-9</v>
      </c>
      <c r="L198" s="7">
        <f>(((0.648*20^0.651)/0.2))*H198/20+L197*inputs!$C$54</f>
        <v>3.568810792511883E-9</v>
      </c>
      <c r="M198" s="7">
        <f>(((0.013*2^0.773)/0.2))*H198/2+M197*inputs!$C$54</f>
        <v>1.7402735900775802E-10</v>
      </c>
      <c r="N198" s="7">
        <f>O198*0.015*inputs!$C$56</f>
        <v>0.15683116854311124</v>
      </c>
      <c r="O198" s="7">
        <f>IF((B198&gt;B197), (EXP(-LN(2)/inputs!$C$52)*O197+$O$3), (EXP(-LN(2)/inputs!$C$52)*O197))</f>
        <v>1.6918141158911677E-2</v>
      </c>
      <c r="P198" s="3">
        <f>IF((B198&gt;B197), (EXP(-LN(2)/inputs!$C$52)*P197+$P$3), (EXP(-LN(2)/inputs!$C$52)*P197))</f>
        <v>1.6348083062605816E-2</v>
      </c>
      <c r="Q198" s="19">
        <f>IF((F198*0.62*1/(0.012*(10^inputs!$C$55)))&gt;inputs!$C$57, inputs!$C$57, (F198*0.62*1/(0.012*(10^inputs!$C$55))))</f>
        <v>2.7863364142836441E-11</v>
      </c>
      <c r="R198" s="3">
        <f>IF((B198&gt;B197), (EXP(-LN(2)/inputs!$C$51)*R197+$R$3), (EXP(-LN(2)/inputs!$C$51)*R197))</f>
        <v>6.473896956050421E-17</v>
      </c>
      <c r="T198" s="7">
        <f>IF(T197&lt;(inputs!$C$20-1),(1+T197),0)</f>
        <v>0</v>
      </c>
      <c r="U198" s="7">
        <f>IF(inputs!$C$19&gt;U197,IF(T197=(inputs!$C$20-1),(U197+1),U197), U197)</f>
        <v>1</v>
      </c>
      <c r="V198" s="7">
        <f t="shared" si="6"/>
        <v>195</v>
      </c>
      <c r="W198" s="8">
        <f>IF((U198&gt;U197), (EXP(-LN(2)/inputs!$C$51)*W197+$W$3), (EXP(-LN(2)/inputs!$C$51)*W197))</f>
        <v>2.1424380086984105E-9</v>
      </c>
      <c r="X198" s="8">
        <f>IF((U198&gt;U197), (EXP(-LN(2)/inputs!$C$51)*X197+$X$3), (EXP(-LN(2)/inputs!$C$51)*X197))</f>
        <v>9.0738550956638558E-10</v>
      </c>
      <c r="Y198" s="8">
        <f>IF((U198&gt;U197), (EXP(-LN(2)/inputs!$C$51)*Y197+$Y$3), (EXP(-LN(2)/inputs!$C$51)*Y197))</f>
        <v>1.1342318869579834E-9</v>
      </c>
      <c r="Z198" s="8">
        <f>IF((U198&gt;U197), (EXP(-LN(2)/inputs!$C$51)*Z197+$Z$3), (EXP(-LN(2)/inputs!$C$51)*Z197))</f>
        <v>1.7643607130457493E-10</v>
      </c>
      <c r="AA198" s="8">
        <f>IF((U198&gt;U197), (EXP(-LN(2)/inputs!$C$51)*AA197+$AA$3), (EXP(-LN(2)/inputs!$C$51)*AA197))</f>
        <v>1.6383349478281972E-9</v>
      </c>
      <c r="AB198" s="7">
        <f>(((0.621*15^0.564)/0.2))*W198/15+AB197*inputs!$C$53</f>
        <v>2.3054017907717325E-9</v>
      </c>
      <c r="AC198" s="7">
        <f>(((0.621*1000^0.564)/0.2))*W198/1000+AC197*inputs!$C$53</f>
        <v>3.6942171072609079E-10</v>
      </c>
      <c r="AD198" s="7">
        <f>(((0.648*20^0.651)/0.2))*AA198/20+AD197*inputs!$C$54</f>
        <v>2.4677946969497087E-9</v>
      </c>
      <c r="AE198" s="7">
        <f>(((0.013*2^0.773)/0.2))*AA198/2+AE197*inputs!$C$54</f>
        <v>1.2033806739898175E-10</v>
      </c>
    </row>
    <row r="199" spans="1:31" x14ac:dyDescent="0.3">
      <c r="A199" s="7">
        <f>IF(A198&lt;(inputs!$C$20-1),(1+A198),0)</f>
        <v>0</v>
      </c>
      <c r="B199" s="7">
        <f>IF(inputs!$C$19&gt;B198,IF(A198=(inputs!$C$20-1),(B198+1),B198), B198)</f>
        <v>1</v>
      </c>
      <c r="C199" s="7">
        <f t="shared" si="7"/>
        <v>196</v>
      </c>
      <c r="D199" s="8">
        <f>IF((B199&gt;B198), (EXP(-LN(2)/inputs!$C$51)*D198+$D$3), (EXP(-LN(2)/inputs!$C$51)*D198))</f>
        <v>5.3076523398190324E-9</v>
      </c>
      <c r="E199" s="8">
        <f>IF((B199&gt;B198), (EXP(-LN(2)/inputs!$C$51)*E198+$E$3), (EXP(-LN(2)/inputs!$C$51)*E198))</f>
        <v>2.4326739890837199E-9</v>
      </c>
      <c r="F199" s="8">
        <f>IF((B199&gt;B198), (EXP(-LN(2)/inputs!$C$51)*F198+$F$3), (EXP(-LN(2)/inputs!$C$51)*F198))</f>
        <v>2.9855544411482034E-9</v>
      </c>
      <c r="G199" s="8">
        <f>IF((B199&gt;B198), (EXP(-LN(2)/inputs!$C$51)*G198+$G$3), (EXP(-LN(2)/inputs!$C$51)*G198))</f>
        <v>3.3172827123868952E-10</v>
      </c>
      <c r="H199" s="8">
        <f>IF((B199&gt;B198), (EXP(-LN(2)/inputs!$C$51)*H198+$H$3), (EXP(-LN(2)/inputs!$C$51)*H198))</f>
        <v>2.07883049976245E-9</v>
      </c>
      <c r="I199" s="7">
        <f>O199*(10^inputs!$C$55)*0.01/1</f>
        <v>1.0459208506494184</v>
      </c>
      <c r="J199" s="7">
        <f>(((0.621*15^0.564)/0.2))*D199/15+J198*inputs!$C$53</f>
        <v>5.7113770197003006E-9</v>
      </c>
      <c r="K199" s="7">
        <f>(((0.621*1000^0.564)/0.2))*D199/1000+K198*inputs!$C$53</f>
        <v>9.1520127973574456E-10</v>
      </c>
      <c r="L199" s="7">
        <f>(((0.648*20^0.651)/0.2))*H199/20+L198*inputs!$C$54</f>
        <v>3.1313052864871529E-9</v>
      </c>
      <c r="M199" s="7">
        <f>(((0.013*2^0.773)/0.2))*H199/2+M198*inputs!$C$54</f>
        <v>1.5269310169028131E-10</v>
      </c>
      <c r="N199" s="7">
        <f>O199*0.015*inputs!$C$56</f>
        <v>0.15366627190159385</v>
      </c>
      <c r="O199" s="7">
        <f>IF((B199&gt;B198), (EXP(-LN(2)/inputs!$C$52)*O198+$O$3), (EXP(-LN(2)/inputs!$C$52)*O198))</f>
        <v>1.6576728360473986E-2</v>
      </c>
      <c r="P199" s="3">
        <f>IF((B199&gt;B198), (EXP(-LN(2)/inputs!$C$52)*P198+$P$3), (EXP(-LN(2)/inputs!$C$52)*P198))</f>
        <v>1.6018174195250371E-2</v>
      </c>
      <c r="Q199" s="19">
        <f>IF((F199*0.62*1/(0.012*(10^inputs!$C$55)))&gt;inputs!$C$57, inputs!$C$57, (F199*0.62*1/(0.012*(10^inputs!$C$55))))</f>
        <v>2.4447555365738771E-11</v>
      </c>
      <c r="R199" s="3">
        <f>IF((B199&gt;B198), (EXP(-LN(2)/inputs!$C$51)*R198+$R$3), (EXP(-LN(2)/inputs!$C$51)*R198))</f>
        <v>5.6802528744836148E-17</v>
      </c>
      <c r="T199" s="7">
        <f>IF(T198&lt;(inputs!$C$20-1),(1+T198),0)</f>
        <v>0</v>
      </c>
      <c r="U199" s="7">
        <f>IF(inputs!$C$19&gt;U198,IF(T198=(inputs!$C$20-1),(U198+1),U198), U198)</f>
        <v>1</v>
      </c>
      <c r="V199" s="7">
        <f t="shared" si="6"/>
        <v>196</v>
      </c>
      <c r="W199" s="8">
        <f>IF((U199&gt;U198), (EXP(-LN(2)/inputs!$C$51)*W198+$W$3), (EXP(-LN(2)/inputs!$C$51)*W198))</f>
        <v>1.8797935370192375E-9</v>
      </c>
      <c r="X199" s="8">
        <f>IF((U199&gt;U198), (EXP(-LN(2)/inputs!$C$51)*X198+$X$3), (EXP(-LN(2)/inputs!$C$51)*X198))</f>
        <v>7.9614785097285355E-10</v>
      </c>
      <c r="Y199" s="8">
        <f>IF((U199&gt;U198), (EXP(-LN(2)/inputs!$C$51)*Y198+$Y$3), (EXP(-LN(2)/inputs!$C$51)*Y198))</f>
        <v>9.9518481371606816E-10</v>
      </c>
      <c r="Z199" s="8">
        <f>IF((U199&gt;U198), (EXP(-LN(2)/inputs!$C$51)*Z198+$Z$3), (EXP(-LN(2)/inputs!$C$51)*Z198))</f>
        <v>1.5480652657805483E-10</v>
      </c>
      <c r="AA199" s="8">
        <f>IF((U199&gt;U198), (EXP(-LN(2)/inputs!$C$51)*AA198+$AA$3), (EXP(-LN(2)/inputs!$C$51)*AA198))</f>
        <v>1.4374891753676532E-9</v>
      </c>
      <c r="AB199" s="7">
        <f>(((0.621*15^0.564)/0.2))*W199/15+AB198*inputs!$C$53</f>
        <v>2.022779361143853E-9</v>
      </c>
      <c r="AC199" s="7">
        <f>(((0.621*1000^0.564)/0.2))*W199/1000+AC198*inputs!$C$53</f>
        <v>3.2413378657307574E-10</v>
      </c>
      <c r="AD199" s="7">
        <f>(((0.648*20^0.651)/0.2))*AA199/20+AD198*inputs!$C$54</f>
        <v>2.1652642938475015E-9</v>
      </c>
      <c r="AE199" s="7">
        <f>(((0.013*2^0.773)/0.2))*AA199/2+AE198*inputs!$C$54</f>
        <v>1.0558565542413081E-10</v>
      </c>
    </row>
    <row r="200" spans="1:31" x14ac:dyDescent="0.3">
      <c r="A200" s="7">
        <f>IF(A199&lt;(inputs!$C$20-1),(1+A199),0)</f>
        <v>0</v>
      </c>
      <c r="B200" s="7">
        <f>IF(inputs!$C$19&gt;B199,IF(A199=(inputs!$C$20-1),(B199+1),B199), B199)</f>
        <v>1</v>
      </c>
      <c r="C200" s="7">
        <f t="shared" si="7"/>
        <v>197</v>
      </c>
      <c r="D200" s="8">
        <f>IF((B200&gt;B199), (EXP(-LN(2)/inputs!$C$51)*D199+$D$3), (EXP(-LN(2)/inputs!$C$51)*D199))</f>
        <v>4.6569798167454693E-9</v>
      </c>
      <c r="E200" s="8">
        <f>IF((B200&gt;B199), (EXP(-LN(2)/inputs!$C$51)*E199+$E$3), (EXP(-LN(2)/inputs!$C$51)*E199))</f>
        <v>2.1344490826750039E-9</v>
      </c>
      <c r="F200" s="8">
        <f>IF((B200&gt;B199), (EXP(-LN(2)/inputs!$C$51)*F199+$F$3), (EXP(-LN(2)/inputs!$C$51)*F199))</f>
        <v>2.6195511469193243E-9</v>
      </c>
      <c r="G200" s="8">
        <f>IF((B200&gt;B199), (EXP(-LN(2)/inputs!$C$51)*G199+$G$3), (EXP(-LN(2)/inputs!$C$51)*G199))</f>
        <v>2.9106123854659183E-10</v>
      </c>
      <c r="H200" s="8">
        <f>IF((B200&gt;B199), (EXP(-LN(2)/inputs!$C$51)*H199+$H$3), (EXP(-LN(2)/inputs!$C$51)*H199))</f>
        <v>1.8239837615586382E-9</v>
      </c>
      <c r="I200" s="7">
        <f>O200*(10^inputs!$C$55)*0.01/1</f>
        <v>1.024813876708818</v>
      </c>
      <c r="J200" s="7">
        <f>(((0.621*15^0.564)/0.2))*D200/15+J199*inputs!$C$53</f>
        <v>5.0112113235123944E-9</v>
      </c>
      <c r="K200" s="7">
        <f>(((0.621*1000^0.564)/0.2))*D200/1000+K199*inputs!$C$53</f>
        <v>8.0300547494682077E-10</v>
      </c>
      <c r="L200" s="7">
        <f>(((0.648*20^0.651)/0.2))*H200/20+L199*inputs!$C$54</f>
        <v>2.747434192296072E-9</v>
      </c>
      <c r="M200" s="7">
        <f>(((0.013*2^0.773)/0.2))*H200/2+M199*inputs!$C$54</f>
        <v>1.3397424081324598E-10</v>
      </c>
      <c r="N200" s="7">
        <f>O200*0.015*inputs!$C$56</f>
        <v>0.15056524375537961</v>
      </c>
      <c r="O200" s="7">
        <f>IF((B200&gt;B199), (EXP(-LN(2)/inputs!$C$52)*O199+$O$3), (EXP(-LN(2)/inputs!$C$52)*O199))</f>
        <v>1.6242205367354868E-2</v>
      </c>
      <c r="P200" s="3">
        <f>IF((B200&gt;B199), (EXP(-LN(2)/inputs!$C$52)*P199+$P$3), (EXP(-LN(2)/inputs!$C$52)*P199))</f>
        <v>1.5694922980681675E-2</v>
      </c>
      <c r="Q200" s="19">
        <f>IF((F200*0.62*1/(0.012*(10^inputs!$C$55)))&gt;inputs!$C$57, inputs!$C$57, (F200*0.62*1/(0.012*(10^inputs!$C$55))))</f>
        <v>2.1450495363623362E-11</v>
      </c>
      <c r="R200" s="3">
        <f>IF((B200&gt;B199), (EXP(-LN(2)/inputs!$C$51)*R199+$R$3), (EXP(-LN(2)/inputs!$C$51)*R199))</f>
        <v>4.9839027307848413E-17</v>
      </c>
      <c r="T200" s="7">
        <f>IF(T199&lt;(inputs!$C$20-1),(1+T199),0)</f>
        <v>0</v>
      </c>
      <c r="U200" s="7">
        <f>IF(inputs!$C$19&gt;U199,IF(T199=(inputs!$C$20-1),(U199+1),U199), U199)</f>
        <v>1</v>
      </c>
      <c r="V200" s="7">
        <f t="shared" si="6"/>
        <v>197</v>
      </c>
      <c r="W200" s="8">
        <f>IF((U200&gt;U199), (EXP(-LN(2)/inputs!$C$51)*W199+$W$3), (EXP(-LN(2)/inputs!$C$51)*W199))</f>
        <v>1.6493470184306842E-9</v>
      </c>
      <c r="X200" s="8">
        <f>IF((U200&gt;U199), (EXP(-LN(2)/inputs!$C$51)*X199+$X$3), (EXP(-LN(2)/inputs!$C$51)*X199))</f>
        <v>6.9854697251181921E-10</v>
      </c>
      <c r="Y200" s="8">
        <f>IF((U200&gt;U199), (EXP(-LN(2)/inputs!$C$51)*Y199+$Y$3), (EXP(-LN(2)/inputs!$C$51)*Y199))</f>
        <v>8.7318371563977507E-10</v>
      </c>
      <c r="Z200" s="8">
        <f>IF((U200&gt;U199), (EXP(-LN(2)/inputs!$C$51)*Z199+$Z$3), (EXP(-LN(2)/inputs!$C$51)*Z199))</f>
        <v>1.3582857798840927E-10</v>
      </c>
      <c r="AA200" s="8">
        <f>IF((U200&gt;U199), (EXP(-LN(2)/inputs!$C$51)*AA199+$AA$3), (EXP(-LN(2)/inputs!$C$51)*AA199))</f>
        <v>1.26126536703523E-9</v>
      </c>
      <c r="AB200" s="7">
        <f>(((0.621*15^0.564)/0.2))*W200/15+AB199*inputs!$C$53</f>
        <v>1.7748040104106364E-9</v>
      </c>
      <c r="AC200" s="7">
        <f>(((0.621*1000^0.564)/0.2))*W200/1000+AC199*inputs!$C$53</f>
        <v>2.8439777237699853E-10</v>
      </c>
      <c r="AD200" s="7">
        <f>(((0.648*20^0.651)/0.2))*AA200/20+AD199*inputs!$C$54</f>
        <v>1.8998215159494135E-9</v>
      </c>
      <c r="AE200" s="7">
        <f>(((0.013*2^0.773)/0.2))*AA200/2+AE199*inputs!$C$54</f>
        <v>9.2641762264478708E-11</v>
      </c>
    </row>
    <row r="201" spans="1:31" x14ac:dyDescent="0.3">
      <c r="A201" s="7">
        <f>IF(A200&lt;(inputs!$C$20-1),(1+A200),0)</f>
        <v>0</v>
      </c>
      <c r="B201" s="7">
        <f>IF(inputs!$C$19&gt;B200,IF(A200=(inputs!$C$20-1),(B200+1),B200), B200)</f>
        <v>1</v>
      </c>
      <c r="C201" s="7">
        <f t="shared" si="7"/>
        <v>198</v>
      </c>
      <c r="D201" s="8">
        <f>IF((B201&gt;B200), (EXP(-LN(2)/inputs!$C$51)*D200+$D$3), (EXP(-LN(2)/inputs!$C$51)*D200))</f>
        <v>4.086074148238977E-9</v>
      </c>
      <c r="E201" s="8">
        <f>IF((B201&gt;B200), (EXP(-LN(2)/inputs!$C$51)*E200+$E$3), (EXP(-LN(2)/inputs!$C$51)*E200))</f>
        <v>1.8727839846095287E-9</v>
      </c>
      <c r="F201" s="8">
        <f>IF((B201&gt;B200), (EXP(-LN(2)/inputs!$C$51)*F200+$F$3), (EXP(-LN(2)/inputs!$C$51)*F200))</f>
        <v>2.2984167083844224E-9</v>
      </c>
      <c r="G201" s="8">
        <f>IF((B201&gt;B200), (EXP(-LN(2)/inputs!$C$51)*G200+$G$3), (EXP(-LN(2)/inputs!$C$51)*G200))</f>
        <v>2.5537963426493606E-10</v>
      </c>
      <c r="H201" s="8">
        <f>IF((B201&gt;B200), (EXP(-LN(2)/inputs!$C$51)*H200+$H$3), (EXP(-LN(2)/inputs!$C$51)*H200))</f>
        <v>1.6003790413935957E-9</v>
      </c>
      <c r="I201" s="7">
        <f>O201*(10^inputs!$C$55)*0.01/1</f>
        <v>1.0041328473783211</v>
      </c>
      <c r="J201" s="7">
        <f>(((0.621*15^0.564)/0.2))*D201/15+J200*inputs!$C$53</f>
        <v>4.3968799191996927E-9</v>
      </c>
      <c r="K201" s="7">
        <f>(((0.621*1000^0.564)/0.2))*D201/1000+K200*inputs!$C$53</f>
        <v>7.0456391077245221E-10</v>
      </c>
      <c r="L201" s="7">
        <f>(((0.648*20^0.651)/0.2))*H201/20+L200*inputs!$C$54</f>
        <v>2.4106223923843967E-9</v>
      </c>
      <c r="M201" s="7">
        <f>(((0.013*2^0.773)/0.2))*H201/2+M200*inputs!$C$54</f>
        <v>1.1755015126939462E-10</v>
      </c>
      <c r="N201" s="7">
        <f>O201*0.015*inputs!$C$56</f>
        <v>0.14752679522045298</v>
      </c>
      <c r="O201" s="7">
        <f>IF((B201&gt;B200), (EXP(-LN(2)/inputs!$C$52)*O200+$O$3), (EXP(-LN(2)/inputs!$C$52)*O200))</f>
        <v>1.5914433141364939E-2</v>
      </c>
      <c r="P201" s="3">
        <f>IF((B201&gt;B200), (EXP(-LN(2)/inputs!$C$52)*P200+$P$3), (EXP(-LN(2)/inputs!$C$52)*P200))</f>
        <v>1.5378195065613063E-2</v>
      </c>
      <c r="Q201" s="19">
        <f>IF((F201*0.62*1/(0.012*(10^inputs!$C$55)))&gt;inputs!$C$57, inputs!$C$57, (F201*0.62*1/(0.012*(10^inputs!$C$55))))</f>
        <v>1.8820849138546295E-11</v>
      </c>
      <c r="R201" s="3">
        <f>IF((B201&gt;B200), (EXP(-LN(2)/inputs!$C$51)*R200+$R$3), (EXP(-LN(2)/inputs!$C$51)*R200))</f>
        <v>4.372919125045592E-17</v>
      </c>
      <c r="T201" s="7">
        <f>IF(T200&lt;(inputs!$C$20-1),(1+T200),0)</f>
        <v>0</v>
      </c>
      <c r="U201" s="7">
        <f>IF(inputs!$C$19&gt;U200,IF(T200=(inputs!$C$20-1),(U200+1),U200), U200)</f>
        <v>1</v>
      </c>
      <c r="V201" s="7">
        <f t="shared" si="6"/>
        <v>198</v>
      </c>
      <c r="W201" s="8">
        <f>IF((U201&gt;U200), (EXP(-LN(2)/inputs!$C$51)*W200+$W$3), (EXP(-LN(2)/inputs!$C$51)*W200))</f>
        <v>1.4471512608346351E-9</v>
      </c>
      <c r="X201" s="8">
        <f>IF((U201&gt;U200), (EXP(-LN(2)/inputs!$C$51)*X200+$X$3), (EXP(-LN(2)/inputs!$C$51)*X200))</f>
        <v>6.1291112223584545E-10</v>
      </c>
      <c r="Y201" s="8">
        <f>IF((U201&gt;U200), (EXP(-LN(2)/inputs!$C$51)*Y200+$Y$3), (EXP(-LN(2)/inputs!$C$51)*Y200))</f>
        <v>7.6613890279480771E-10</v>
      </c>
      <c r="Z201" s="8">
        <f>IF((U201&gt;U200), (EXP(-LN(2)/inputs!$C$51)*Z200+$Z$3), (EXP(-LN(2)/inputs!$C$51)*Z200))</f>
        <v>1.1917716265696992E-10</v>
      </c>
      <c r="AA201" s="8">
        <f>IF((U201&gt;U200), (EXP(-LN(2)/inputs!$C$51)*AA200+$AA$3), (EXP(-LN(2)/inputs!$C$51)*AA200))</f>
        <v>1.1066450818147217E-9</v>
      </c>
      <c r="AB201" s="7">
        <f>(((0.621*15^0.564)/0.2))*W201/15+AB200*inputs!$C$53</f>
        <v>1.5572283047165552E-9</v>
      </c>
      <c r="AC201" s="7">
        <f>(((0.621*1000^0.564)/0.2))*W201/1000+AC200*inputs!$C$53</f>
        <v>2.4953305173190972E-10</v>
      </c>
      <c r="AD201" s="7">
        <f>(((0.648*20^0.651)/0.2))*AA201/20+AD200*inputs!$C$54</f>
        <v>1.6669197394147442E-9</v>
      </c>
      <c r="AE201" s="7">
        <f>(((0.013*2^0.773)/0.2))*AA201/2+AE200*inputs!$C$54</f>
        <v>8.1284679069262323E-11</v>
      </c>
    </row>
    <row r="202" spans="1:31" x14ac:dyDescent="0.3">
      <c r="A202" s="7">
        <f>IF(A201&lt;(inputs!$C$20-1),(1+A201),0)</f>
        <v>0</v>
      </c>
      <c r="B202" s="7">
        <f>IF(inputs!$C$19&gt;B201,IF(A201=(inputs!$C$20-1),(B201+1),B201), B201)</f>
        <v>1</v>
      </c>
      <c r="C202" s="7">
        <f t="shared" si="7"/>
        <v>199</v>
      </c>
      <c r="D202" s="8">
        <f>IF((B202&gt;B201), (EXP(-LN(2)/inputs!$C$51)*D201+$D$3), (EXP(-LN(2)/inputs!$C$51)*D201))</f>
        <v>3.5851566040444816E-9</v>
      </c>
      <c r="E202" s="8">
        <f>IF((B202&gt;B201), (EXP(-LN(2)/inputs!$C$51)*E201+$E$3), (EXP(-LN(2)/inputs!$C$51)*E201))</f>
        <v>1.6431967768537187E-9</v>
      </c>
      <c r="F202" s="8">
        <f>IF((B202&gt;B201), (EXP(-LN(2)/inputs!$C$51)*F201+$F$3), (EXP(-LN(2)/inputs!$C$51)*F201))</f>
        <v>2.0166505897750193E-9</v>
      </c>
      <c r="G202" s="8">
        <f>IF((B202&gt;B201), (EXP(-LN(2)/inputs!$C$51)*G201+$G$3), (EXP(-LN(2)/inputs!$C$51)*G201))</f>
        <v>2.240722877527801E-10</v>
      </c>
      <c r="H202" s="8">
        <f>IF((B202&gt;B201), (EXP(-LN(2)/inputs!$C$51)*H201+$H$3), (EXP(-LN(2)/inputs!$C$51)*H201))</f>
        <v>1.4041863365840856E-9</v>
      </c>
      <c r="I202" s="7">
        <f>O202*(10^inputs!$C$55)*0.01/1</f>
        <v>0.98386916697711724</v>
      </c>
      <c r="J202" s="7">
        <f>(((0.621*15^0.564)/0.2))*D202/15+J201*inputs!$C$53</f>
        <v>3.8578602608822275E-9</v>
      </c>
      <c r="K202" s="7">
        <f>(((0.621*1000^0.564)/0.2))*D202/1000+K201*inputs!$C$53</f>
        <v>6.1819043562043807E-10</v>
      </c>
      <c r="L202" s="7">
        <f>(((0.648*20^0.651)/0.2))*H202/20+L201*inputs!$C$54</f>
        <v>2.1151008220541395E-9</v>
      </c>
      <c r="M202" s="7">
        <f>(((0.013*2^0.773)/0.2))*H202/2+M201*inputs!$C$54</f>
        <v>1.0313951383176173E-10</v>
      </c>
      <c r="N202" s="7">
        <f>O202*0.015*inputs!$C$56</f>
        <v>0.14454966342283657</v>
      </c>
      <c r="O202" s="7">
        <f>IF((B202&gt;B201), (EXP(-LN(2)/inputs!$C$52)*O201+$O$3), (EXP(-LN(2)/inputs!$C$52)*O201))</f>
        <v>1.5593275450144183E-2</v>
      </c>
      <c r="P202" s="3">
        <f>IF((B202&gt;B201), (EXP(-LN(2)/inputs!$C$52)*P201+$P$3), (EXP(-LN(2)/inputs!$C$52)*P201))</f>
        <v>1.5067858808044598E-2</v>
      </c>
      <c r="Q202" s="19">
        <f>IF((F202*0.62*1/(0.012*(10^inputs!$C$55)))&gt;inputs!$C$57, inputs!$C$57, (F202*0.62*1/(0.012*(10^inputs!$C$55))))</f>
        <v>1.6513574921753424E-11</v>
      </c>
      <c r="R202" s="3">
        <f>IF((B202&gt;B201), (EXP(-LN(2)/inputs!$C$51)*R201+$R$3), (EXP(-LN(2)/inputs!$C$51)*R201))</f>
        <v>3.8368368539925736E-17</v>
      </c>
      <c r="T202" s="7">
        <f>IF(T201&lt;(inputs!$C$20-1),(1+T201),0)</f>
        <v>0</v>
      </c>
      <c r="U202" s="7">
        <f>IF(inputs!$C$19&gt;U201,IF(T201=(inputs!$C$20-1),(U201+1),U201), U201)</f>
        <v>1</v>
      </c>
      <c r="V202" s="7">
        <f t="shared" si="6"/>
        <v>199</v>
      </c>
      <c r="W202" s="8">
        <f>IF((U202&gt;U201), (EXP(-LN(2)/inputs!$C$51)*W201+$W$3), (EXP(-LN(2)/inputs!$C$51)*W201))</f>
        <v>1.2697429639324184E-9</v>
      </c>
      <c r="X202" s="8">
        <f>IF((U202&gt;U201), (EXP(-LN(2)/inputs!$C$51)*X201+$X$3), (EXP(-LN(2)/inputs!$C$51)*X201))</f>
        <v>5.3777349060667125E-10</v>
      </c>
      <c r="Y202" s="8">
        <f>IF((U202&gt;U201), (EXP(-LN(2)/inputs!$C$51)*Y201+$Y$3), (EXP(-LN(2)/inputs!$C$51)*Y201))</f>
        <v>6.7221686325833997E-10</v>
      </c>
      <c r="Z202" s="8">
        <f>IF((U202&gt;U201), (EXP(-LN(2)/inputs!$C$51)*Z201+$Z$3), (EXP(-LN(2)/inputs!$C$51)*Z201))</f>
        <v>1.0456706761796384E-10</v>
      </c>
      <c r="AA202" s="8">
        <f>IF((U202&gt;U201), (EXP(-LN(2)/inputs!$C$51)*AA201+$AA$3), (EXP(-LN(2)/inputs!$C$51)*AA201))</f>
        <v>9.7097991359537931E-10</v>
      </c>
      <c r="AB202" s="7">
        <f>(((0.621*15^0.564)/0.2))*W202/15+AB201*inputs!$C$53</f>
        <v>1.3663255090624535E-9</v>
      </c>
      <c r="AC202" s="7">
        <f>(((0.621*1000^0.564)/0.2))*W202/1000+AC201*inputs!$C$53</f>
        <v>2.1894244594890482E-10</v>
      </c>
      <c r="AD202" s="7">
        <f>(((0.648*20^0.651)/0.2))*AA202/20+AD201*inputs!$C$54</f>
        <v>1.462569717377864E-9</v>
      </c>
      <c r="AE202" s="7">
        <f>(((0.013*2^0.773)/0.2))*AA202/2+AE201*inputs!$C$54</f>
        <v>7.1319876585792752E-11</v>
      </c>
    </row>
    <row r="203" spans="1:31" x14ac:dyDescent="0.3">
      <c r="A203" s="7">
        <f>IF(A202&lt;(inputs!$C$20-1),(1+A202),0)</f>
        <v>0</v>
      </c>
      <c r="B203" s="7">
        <f>IF(inputs!$C$19&gt;B202,IF(A202=(inputs!$C$20-1),(B202+1),B202), B202)</f>
        <v>1</v>
      </c>
      <c r="C203" s="7">
        <f t="shared" si="7"/>
        <v>200</v>
      </c>
      <c r="D203" s="8">
        <f>IF((B203&gt;B202), (EXP(-LN(2)/inputs!$C$51)*D202+$D$3), (EXP(-LN(2)/inputs!$C$51)*D202))</f>
        <v>3.145647242124404E-9</v>
      </c>
      <c r="E203" s="8">
        <f>IF((B203&gt;B202), (EXP(-LN(2)/inputs!$C$51)*E202+$E$3), (EXP(-LN(2)/inputs!$C$51)*E202))</f>
        <v>1.4417549859736833E-9</v>
      </c>
      <c r="F203" s="8">
        <f>IF((B203&gt;B202), (EXP(-LN(2)/inputs!$C$51)*F202+$F$3), (EXP(-LN(2)/inputs!$C$51)*F202))</f>
        <v>1.7694265736949757E-9</v>
      </c>
      <c r="G203" s="8">
        <f>IF((B203&gt;B202), (EXP(-LN(2)/inputs!$C$51)*G202+$G$3), (EXP(-LN(2)/inputs!$C$51)*G202))</f>
        <v>1.9660295263277525E-10</v>
      </c>
      <c r="H203" s="8">
        <f>IF((B203&gt;B202), (EXP(-LN(2)/inputs!$C$51)*H202+$H$3), (EXP(-LN(2)/inputs!$C$51)*H202))</f>
        <v>1.2320451698320555E-9</v>
      </c>
      <c r="I203" s="7">
        <f>O203*(10^inputs!$C$55)*0.01/1</f>
        <v>0.96401441328762705</v>
      </c>
      <c r="J203" s="7">
        <f>(((0.621*15^0.564)/0.2))*D203/15+J202*inputs!$C$53</f>
        <v>3.3849197762952026E-9</v>
      </c>
      <c r="K203" s="7">
        <f>(((0.621*1000^0.564)/0.2))*D203/1000+K202*inputs!$C$53</f>
        <v>5.4240560558034357E-10</v>
      </c>
      <c r="L203" s="7">
        <f>(((0.648*20^0.651)/0.2))*H203/20+L202*inputs!$C$54</f>
        <v>1.8558076543166576E-9</v>
      </c>
      <c r="M203" s="7">
        <f>(((0.013*2^0.773)/0.2))*H203/2+M202*inputs!$C$54</f>
        <v>9.0495496590839494E-11</v>
      </c>
      <c r="N203" s="7">
        <f>O203*0.015*inputs!$C$56</f>
        <v>0.14163261097370144</v>
      </c>
      <c r="O203" s="7">
        <f>IF((B203&gt;B202), (EXP(-LN(2)/inputs!$C$52)*O202+$O$3), (EXP(-LN(2)/inputs!$C$52)*O202))</f>
        <v>1.527859881053953E-2</v>
      </c>
      <c r="P203" s="3">
        <f>IF((B203&gt;B202), (EXP(-LN(2)/inputs!$C$52)*P202+$P$3), (EXP(-LN(2)/inputs!$C$52)*P202))</f>
        <v>1.4763785222548551E-2</v>
      </c>
      <c r="Q203" s="19">
        <f>IF((F203*0.62*1/(0.012*(10^inputs!$C$55)))&gt;inputs!$C$57, inputs!$C$57, (F203*0.62*1/(0.012*(10^inputs!$C$55))))</f>
        <v>1.4489152677912943E-11</v>
      </c>
      <c r="R203" s="3">
        <f>IF((B203&gt;B202), (EXP(-LN(2)/inputs!$C$51)*R202+$R$3), (EXP(-LN(2)/inputs!$C$51)*R202))</f>
        <v>3.3664736582573193E-17</v>
      </c>
      <c r="T203" s="7">
        <f>IF(T202&lt;(inputs!$C$20-1),(1+T202),0)</f>
        <v>0</v>
      </c>
      <c r="U203" s="7">
        <f>IF(inputs!$C$19&gt;U202,IF(T202=(inputs!$C$20-1),(U202+1),U202), U202)</f>
        <v>1</v>
      </c>
      <c r="V203" s="7">
        <f t="shared" si="6"/>
        <v>200</v>
      </c>
      <c r="W203" s="8">
        <f>IF((U203&gt;U202), (EXP(-LN(2)/inputs!$C$51)*W202+$W$3), (EXP(-LN(2)/inputs!$C$51)*W202))</f>
        <v>1.1140833982523911E-9</v>
      </c>
      <c r="X203" s="8">
        <f>IF((U203&gt;U202), (EXP(-LN(2)/inputs!$C$51)*X202+$X$3), (EXP(-LN(2)/inputs!$C$51)*X202))</f>
        <v>4.7184708631865971E-10</v>
      </c>
      <c r="Y203" s="8">
        <f>IF((U203&gt;U202), (EXP(-LN(2)/inputs!$C$51)*Y202+$Y$3), (EXP(-LN(2)/inputs!$C$51)*Y202))</f>
        <v>5.8980885789832539E-10</v>
      </c>
      <c r="Z203" s="8">
        <f>IF((U203&gt;U202), (EXP(-LN(2)/inputs!$C$51)*Z202+$Z$3), (EXP(-LN(2)/inputs!$C$51)*Z202))</f>
        <v>9.1748044561961591E-11</v>
      </c>
      <c r="AA203" s="8">
        <f>IF((U203&gt;U202), (EXP(-LN(2)/inputs!$C$51)*AA202+$AA$3), (EXP(-LN(2)/inputs!$C$51)*AA202))</f>
        <v>8.5194612807535841E-10</v>
      </c>
      <c r="AB203" s="7">
        <f>(((0.621*15^0.564)/0.2))*W203/15+AB202*inputs!$C$53</f>
        <v>1.1988257541045488E-9</v>
      </c>
      <c r="AC203" s="7">
        <f>(((0.621*1000^0.564)/0.2))*W203/1000+AC202*inputs!$C$53</f>
        <v>1.9210198530970468E-10</v>
      </c>
      <c r="AD203" s="7">
        <f>(((0.648*20^0.651)/0.2))*AA203/20+AD202*inputs!$C$54</f>
        <v>1.2832712503253496E-9</v>
      </c>
      <c r="AE203" s="7">
        <f>(((0.013*2^0.773)/0.2))*AA203/2+AE202*inputs!$C$54</f>
        <v>6.2576673174516734E-11</v>
      </c>
    </row>
    <row r="204" spans="1:31" x14ac:dyDescent="0.3">
      <c r="A204" s="7">
        <f>IF(A203&lt;(inputs!$C$20-1),(1+A203),0)</f>
        <v>0</v>
      </c>
      <c r="B204" s="7">
        <f>IF(inputs!$C$19&gt;B203,IF(A203=(inputs!$C$20-1),(B203+1),B203), B203)</f>
        <v>1</v>
      </c>
      <c r="C204" s="7">
        <f t="shared" si="7"/>
        <v>201</v>
      </c>
      <c r="D204" s="8">
        <f>IF((B204&gt;B203), (EXP(-LN(2)/inputs!$C$51)*D203+$D$3), (EXP(-LN(2)/inputs!$C$51)*D203))</f>
        <v>2.7600179475345724E-9</v>
      </c>
      <c r="E204" s="8">
        <f>IF((B204&gt;B203), (EXP(-LN(2)/inputs!$C$51)*E203+$E$3), (EXP(-LN(2)/inputs!$C$51)*E203))</f>
        <v>1.2650082259533441E-9</v>
      </c>
      <c r="F204" s="8">
        <f>IF((B204&gt;B203), (EXP(-LN(2)/inputs!$C$51)*F203+$F$3), (EXP(-LN(2)/inputs!$C$51)*F203))</f>
        <v>1.5525100954881957E-9</v>
      </c>
      <c r="G204" s="8">
        <f>IF((B204&gt;B203), (EXP(-LN(2)/inputs!$C$51)*G203+$G$3), (EXP(-LN(2)/inputs!$C$51)*G203))</f>
        <v>1.7250112172091077E-10</v>
      </c>
      <c r="H204" s="8">
        <f>IF((B204&gt;B203), (EXP(-LN(2)/inputs!$C$51)*H203+$H$3), (EXP(-LN(2)/inputs!$C$51)*H203))</f>
        <v>1.0810070294510385E-9</v>
      </c>
      <c r="I204" s="7">
        <f>O204*(10^inputs!$C$55)*0.01/1</f>
        <v>0.94456033405496675</v>
      </c>
      <c r="J204" s="7">
        <f>(((0.621*15^0.564)/0.2))*D204/15+J203*inputs!$C$53</f>
        <v>2.9699577271194841E-9</v>
      </c>
      <c r="K204" s="7">
        <f>(((0.621*1000^0.564)/0.2))*D204/1000+K203*inputs!$C$53</f>
        <v>4.7591134383971133E-10</v>
      </c>
      <c r="L204" s="7">
        <f>(((0.648*20^0.651)/0.2))*H204/20+L203*inputs!$C$54</f>
        <v>1.6283015986327953E-9</v>
      </c>
      <c r="M204" s="7">
        <f>(((0.013*2^0.773)/0.2))*H204/2+M203*inputs!$C$54</f>
        <v>7.9401527106100365E-11</v>
      </c>
      <c r="N204" s="7">
        <f>O204*0.015*inputs!$C$56</f>
        <v>0.13877442545506974</v>
      </c>
      <c r="O204" s="7">
        <f>IF((B204&gt;B203), (EXP(-LN(2)/inputs!$C$52)*O203+$O$3), (EXP(-LN(2)/inputs!$C$52)*O203))</f>
        <v>1.4970272433125107E-2</v>
      </c>
      <c r="P204" s="3">
        <f>IF((B204&gt;B203), (EXP(-LN(2)/inputs!$C$52)*P203+$P$3), (EXP(-LN(2)/inputs!$C$52)*P203))</f>
        <v>1.4465847926659031E-2</v>
      </c>
      <c r="Q204" s="19">
        <f>IF((F204*0.62*1/(0.012*(10^inputs!$C$55)))&gt;inputs!$C$57, inputs!$C$57, (F204*0.62*1/(0.012*(10^inputs!$C$55))))</f>
        <v>1.2712907188093026E-11</v>
      </c>
      <c r="R204" s="3">
        <f>IF((B204&gt;B203), (EXP(-LN(2)/inputs!$C$51)*R203+$R$3), (EXP(-LN(2)/inputs!$C$51)*R203))</f>
        <v>2.9537729444887034E-17</v>
      </c>
      <c r="T204" s="7">
        <f>IF(T203&lt;(inputs!$C$20-1),(1+T203),0)</f>
        <v>0</v>
      </c>
      <c r="U204" s="7">
        <f>IF(inputs!$C$19&gt;U203,IF(T203=(inputs!$C$20-1),(U203+1),U203), U203)</f>
        <v>1</v>
      </c>
      <c r="V204" s="7">
        <f t="shared" si="6"/>
        <v>201</v>
      </c>
      <c r="W204" s="8">
        <f>IF((U204&gt;U203), (EXP(-LN(2)/inputs!$C$51)*W203+$W$3), (EXP(-LN(2)/inputs!$C$51)*W203))</f>
        <v>9.7750635641849281E-10</v>
      </c>
      <c r="X204" s="8">
        <f>IF((U204&gt;U203), (EXP(-LN(2)/inputs!$C$51)*X203+$X$3), (EXP(-LN(2)/inputs!$C$51)*X203))</f>
        <v>4.1400269213018509E-10</v>
      </c>
      <c r="Y204" s="8">
        <f>IF((U204&gt;U203), (EXP(-LN(2)/inputs!$C$51)*Y203+$Y$3), (EXP(-LN(2)/inputs!$C$51)*Y203))</f>
        <v>5.1750336516273199E-10</v>
      </c>
      <c r="Z204" s="8">
        <f>IF((U204&gt;U203), (EXP(-LN(2)/inputs!$C$51)*Z203+$Z$3), (EXP(-LN(2)/inputs!$C$51)*Z203))</f>
        <v>8.0500523469758201E-11</v>
      </c>
      <c r="AA204" s="8">
        <f>IF((U204&gt;U203), (EXP(-LN(2)/inputs!$C$51)*AA203+$AA$3), (EXP(-LN(2)/inputs!$C$51)*AA203))</f>
        <v>7.475048607906125E-10</v>
      </c>
      <c r="AB204" s="7">
        <f>(((0.621*15^0.564)/0.2))*W204/15+AB203*inputs!$C$53</f>
        <v>1.0518600283548156E-9</v>
      </c>
      <c r="AC204" s="7">
        <f>(((0.621*1000^0.564)/0.2))*W204/1000+AC203*inputs!$C$53</f>
        <v>1.6855193427656414E-10</v>
      </c>
      <c r="AD204" s="7">
        <f>(((0.648*20^0.651)/0.2))*AA204/20+AD203*inputs!$C$54</f>
        <v>1.1259532330971468E-9</v>
      </c>
      <c r="AE204" s="7">
        <f>(((0.013*2^0.773)/0.2))*AA204/2+AE203*inputs!$C$54</f>
        <v>5.4905311296771584E-11</v>
      </c>
    </row>
    <row r="205" spans="1:31" x14ac:dyDescent="0.3">
      <c r="A205" s="7">
        <f>IF(A204&lt;(inputs!$C$20-1),(1+A204),0)</f>
        <v>0</v>
      </c>
      <c r="B205" s="7">
        <f>IF(inputs!$C$19&gt;B204,IF(A204=(inputs!$C$20-1),(B204+1),B204), B204)</f>
        <v>1</v>
      </c>
      <c r="C205" s="7">
        <f t="shared" si="7"/>
        <v>202</v>
      </c>
      <c r="D205" s="8">
        <f>IF((B205&gt;B204), (EXP(-LN(2)/inputs!$C$51)*D204+$D$3), (EXP(-LN(2)/inputs!$C$51)*D204))</f>
        <v>2.4216634874698672E-9</v>
      </c>
      <c r="E205" s="8">
        <f>IF((B205&gt;B204), (EXP(-LN(2)/inputs!$C$51)*E204+$E$3), (EXP(-LN(2)/inputs!$C$51)*E204))</f>
        <v>1.1099290984236876E-9</v>
      </c>
      <c r="F205" s="8">
        <f>IF((B205&gt;B204), (EXP(-LN(2)/inputs!$C$51)*F204+$F$3), (EXP(-LN(2)/inputs!$C$51)*F204))</f>
        <v>1.3621857117017991E-9</v>
      </c>
      <c r="G205" s="8">
        <f>IF((B205&gt;B204), (EXP(-LN(2)/inputs!$C$51)*G204+$G$3), (EXP(-LN(2)/inputs!$C$51)*G204))</f>
        <v>1.513539679668667E-10</v>
      </c>
      <c r="H205" s="8">
        <f>IF((B205&gt;B204), (EXP(-LN(2)/inputs!$C$51)*H204+$H$3), (EXP(-LN(2)/inputs!$C$51)*H204))</f>
        <v>9.4848486592569583E-10</v>
      </c>
      <c r="I205" s="7">
        <f>O205*(10^inputs!$C$55)*0.01/1</f>
        <v>0.92549884355705359</v>
      </c>
      <c r="J205" s="7">
        <f>(((0.621*15^0.564)/0.2))*D205/15+J204*inputs!$C$53</f>
        <v>2.6058664558753418E-9</v>
      </c>
      <c r="K205" s="7">
        <f>(((0.621*1000^0.564)/0.2))*D205/1000+K204*inputs!$C$53</f>
        <v>4.1756870663787961E-10</v>
      </c>
      <c r="L205" s="7">
        <f>(((0.648*20^0.651)/0.2))*H205/20+L204*inputs!$C$54</f>
        <v>1.4286858284817228E-9</v>
      </c>
      <c r="M205" s="7">
        <f>(((0.013*2^0.773)/0.2))*H205/2+M204*inputs!$C$54</f>
        <v>6.9667582855376928E-11</v>
      </c>
      <c r="N205" s="7">
        <f>O205*0.015*inputs!$C$56</f>
        <v>0.13597391891589589</v>
      </c>
      <c r="O205" s="7">
        <f>IF((B205&gt;B204), (EXP(-LN(2)/inputs!$C$52)*O204+$O$3), (EXP(-LN(2)/inputs!$C$52)*O204))</f>
        <v>1.466816816784206E-2</v>
      </c>
      <c r="P205" s="3">
        <f>IF((B205&gt;B204), (EXP(-LN(2)/inputs!$C$52)*P204+$P$3), (EXP(-LN(2)/inputs!$C$52)*P204))</f>
        <v>1.4173923088343494E-2</v>
      </c>
      <c r="Q205" s="19">
        <f>IF((F205*0.62*1/(0.012*(10^inputs!$C$55)))&gt;inputs!$C$57, inputs!$C$57, (F205*0.62*1/(0.012*(10^inputs!$C$55))))</f>
        <v>1.1154414116943877E-11</v>
      </c>
      <c r="R205" s="3">
        <f>IF((B205&gt;B204), (EXP(-LN(2)/inputs!$C$51)*R204+$R$3), (EXP(-LN(2)/inputs!$C$51)*R204))</f>
        <v>2.5916657883816359E-17</v>
      </c>
      <c r="T205" s="7">
        <f>IF(T204&lt;(inputs!$C$20-1),(1+T204),0)</f>
        <v>0</v>
      </c>
      <c r="U205" s="7">
        <f>IF(inputs!$C$19&gt;U204,IF(T204=(inputs!$C$20-1),(U204+1),U204), U204)</f>
        <v>1</v>
      </c>
      <c r="V205" s="7">
        <f t="shared" si="6"/>
        <v>202</v>
      </c>
      <c r="W205" s="8">
        <f>IF((U205&gt;U204), (EXP(-LN(2)/inputs!$C$51)*W204+$W$3), (EXP(-LN(2)/inputs!$C$51)*W204))</f>
        <v>8.5767248514557655E-10</v>
      </c>
      <c r="X205" s="8">
        <f>IF((U205&gt;U204), (EXP(-LN(2)/inputs!$C$51)*X204+$X$3), (EXP(-LN(2)/inputs!$C$51)*X204))</f>
        <v>3.632495231204794E-10</v>
      </c>
      <c r="Y205" s="8">
        <f>IF((U205&gt;U204), (EXP(-LN(2)/inputs!$C$51)*Y204+$Y$3), (EXP(-LN(2)/inputs!$C$51)*Y204))</f>
        <v>4.5406190390059982E-10</v>
      </c>
      <c r="Z205" s="8">
        <f>IF((U205&gt;U204), (EXP(-LN(2)/inputs!$C$51)*Z204+$Z$3), (EXP(-LN(2)/inputs!$C$51)*Z204))</f>
        <v>7.063185171787099E-11</v>
      </c>
      <c r="AA205" s="8">
        <f>IF((U205&gt;U204), (EXP(-LN(2)/inputs!$C$51)*AA204+$AA$3), (EXP(-LN(2)/inputs!$C$51)*AA204))</f>
        <v>6.5586719452308824E-10</v>
      </c>
      <c r="AB205" s="7">
        <f>(((0.621*15^0.564)/0.2))*W205/15+AB204*inputs!$C$53</f>
        <v>9.2291103645584856E-10</v>
      </c>
      <c r="AC205" s="7">
        <f>(((0.621*1000^0.564)/0.2))*W205/1000+AC204*inputs!$C$53</f>
        <v>1.4788891693424876E-10</v>
      </c>
      <c r="AD205" s="7">
        <f>(((0.648*20^0.651)/0.2))*AA205/20+AD204*inputs!$C$54</f>
        <v>9.8792105160970294E-10</v>
      </c>
      <c r="AE205" s="7">
        <f>(((0.013*2^0.773)/0.2))*AA205/2+AE204*inputs!$C$54</f>
        <v>4.8174392399994729E-11</v>
      </c>
    </row>
    <row r="206" spans="1:31" x14ac:dyDescent="0.3">
      <c r="A206" s="7">
        <f>IF(A205&lt;(inputs!$C$20-1),(1+A205),0)</f>
        <v>0</v>
      </c>
      <c r="B206" s="7">
        <f>IF(inputs!$C$19&gt;B205,IF(A205=(inputs!$C$20-1),(B205+1),B205), B205)</f>
        <v>1</v>
      </c>
      <c r="C206" s="7">
        <f t="shared" si="7"/>
        <v>203</v>
      </c>
      <c r="D206" s="8">
        <f>IF((B206&gt;B205), (EXP(-LN(2)/inputs!$C$51)*D205+$D$3), (EXP(-LN(2)/inputs!$C$51)*D205))</f>
        <v>2.1247883738521454E-9</v>
      </c>
      <c r="E206" s="8">
        <f>IF((B206&gt;B205), (EXP(-LN(2)/inputs!$C$51)*E205+$E$3), (EXP(-LN(2)/inputs!$C$51)*E205))</f>
        <v>9.7386133801556534E-10</v>
      </c>
      <c r="F206" s="8">
        <f>IF((B206&gt;B205), (EXP(-LN(2)/inputs!$C$51)*F205+$F$3), (EXP(-LN(2)/inputs!$C$51)*F205))</f>
        <v>1.1951934602918308E-9</v>
      </c>
      <c r="G206" s="8">
        <f>IF((B206&gt;B205), (EXP(-LN(2)/inputs!$C$51)*G205+$G$3), (EXP(-LN(2)/inputs!$C$51)*G205))</f>
        <v>1.3279927336575909E-10</v>
      </c>
      <c r="H206" s="8">
        <f>IF((B206&gt;B205), (EXP(-LN(2)/inputs!$C$51)*H205+$H$3), (EXP(-LN(2)/inputs!$C$51)*H205))</f>
        <v>8.3220877975875506E-10</v>
      </c>
      <c r="I206" s="7">
        <f>O206*(10^inputs!$C$55)*0.01/1</f>
        <v>0.90682201924392758</v>
      </c>
      <c r="J206" s="7">
        <f>(((0.621*15^0.564)/0.2))*D206/15+J205*inputs!$C$53</f>
        <v>2.286409642753519E-9</v>
      </c>
      <c r="K206" s="7">
        <f>(((0.621*1000^0.564)/0.2))*D206/1000+K205*inputs!$C$53</f>
        <v>3.6637837492261558E-10</v>
      </c>
      <c r="L206" s="7">
        <f>(((0.648*20^0.651)/0.2))*H206/20+L205*inputs!$C$54</f>
        <v>1.2535412347554991E-9</v>
      </c>
      <c r="M206" s="7">
        <f>(((0.013*2^0.773)/0.2))*H206/2+M205*inputs!$C$54</f>
        <v>6.1126936443240184E-11</v>
      </c>
      <c r="N206" s="7">
        <f>O206*0.015*inputs!$C$56</f>
        <v>0.13322992737831718</v>
      </c>
      <c r="O206" s="7">
        <f>IF((B206&gt;B205), (EXP(-LN(2)/inputs!$C$52)*O205+$O$3), (EXP(-LN(2)/inputs!$C$52)*O205))</f>
        <v>1.4372160450735402E-2</v>
      </c>
      <c r="P206" s="3">
        <f>IF((B206&gt;B205), (EXP(-LN(2)/inputs!$C$52)*P205+$P$3), (EXP(-LN(2)/inputs!$C$52)*P205))</f>
        <v>1.3887889374534284E-2</v>
      </c>
      <c r="Q206" s="19">
        <f>IF((F206*0.62*1/(0.012*(10^inputs!$C$55)))&gt;inputs!$C$57, inputs!$C$57, (F206*0.62*1/(0.012*(10^inputs!$C$55))))</f>
        <v>9.786978890934574E-12</v>
      </c>
      <c r="R206" s="3">
        <f>IF((B206&gt;B205), (EXP(-LN(2)/inputs!$C$51)*R205+$R$3), (EXP(-LN(2)/inputs!$C$51)*R205))</f>
        <v>2.2739498549474558E-17</v>
      </c>
      <c r="T206" s="7">
        <f>IF(T205&lt;(inputs!$C$20-1),(1+T205),0)</f>
        <v>0</v>
      </c>
      <c r="U206" s="7">
        <f>IF(inputs!$C$19&gt;U205,IF(T205=(inputs!$C$20-1),(U205+1),U205), U205)</f>
        <v>1</v>
      </c>
      <c r="V206" s="7">
        <f t="shared" si="6"/>
        <v>203</v>
      </c>
      <c r="W206" s="8">
        <f>IF((U206&gt;U205), (EXP(-LN(2)/inputs!$C$51)*W205+$W$3), (EXP(-LN(2)/inputs!$C$51)*W205))</f>
        <v>7.5252921573930022E-10</v>
      </c>
      <c r="X206" s="8">
        <f>IF((U206&gt;U205), (EXP(-LN(2)/inputs!$C$51)*X205+$X$3), (EXP(-LN(2)/inputs!$C$51)*X205))</f>
        <v>3.1871825607782119E-10</v>
      </c>
      <c r="Y206" s="8">
        <f>IF((U206&gt;U205), (EXP(-LN(2)/inputs!$C$51)*Y205+$Y$3), (EXP(-LN(2)/inputs!$C$51)*Y205))</f>
        <v>3.9839782009727701E-10</v>
      </c>
      <c r="Z206" s="8">
        <f>IF((U206&gt;U205), (EXP(-LN(2)/inputs!$C$51)*Z205+$Z$3), (EXP(-LN(2)/inputs!$C$51)*Z205))</f>
        <v>6.1972994237354116E-11</v>
      </c>
      <c r="AA206" s="8">
        <f>IF((U206&gt;U205), (EXP(-LN(2)/inputs!$C$51)*AA205+$AA$3), (EXP(-LN(2)/inputs!$C$51)*AA205))</f>
        <v>5.7546351791828869E-10</v>
      </c>
      <c r="AB206" s="7">
        <f>(((0.621*15^0.564)/0.2))*W206/15+AB205*inputs!$C$53</f>
        <v>8.0977008180853666E-10</v>
      </c>
      <c r="AC206" s="7">
        <f>(((0.621*1000^0.564)/0.2))*W206/1000+AC205*inputs!$C$53</f>
        <v>1.2975900778509279E-10</v>
      </c>
      <c r="AD206" s="7">
        <f>(((0.648*20^0.651)/0.2))*AA206/20+AD205*inputs!$C$54</f>
        <v>8.6681042828837769E-10</v>
      </c>
      <c r="AE206" s="7">
        <f>(((0.013*2^0.773)/0.2))*AA206/2+AE205*inputs!$C$54</f>
        <v>4.2268626263942724E-11</v>
      </c>
    </row>
    <row r="207" spans="1:31" x14ac:dyDescent="0.3">
      <c r="A207" s="7">
        <f>IF(A206&lt;(inputs!$C$20-1),(1+A206),0)</f>
        <v>0</v>
      </c>
      <c r="B207" s="7">
        <f>IF(inputs!$C$19&gt;B206,IF(A206=(inputs!$C$20-1),(B206+1),B206), B206)</f>
        <v>1</v>
      </c>
      <c r="C207" s="7">
        <f t="shared" si="7"/>
        <v>204</v>
      </c>
      <c r="D207" s="8">
        <f>IF((B207&gt;B206), (EXP(-LN(2)/inputs!$C$51)*D206+$D$3), (EXP(-LN(2)/inputs!$C$51)*D206))</f>
        <v>1.8643075955917351E-9</v>
      </c>
      <c r="E207" s="8">
        <f>IF((B207&gt;B206), (EXP(-LN(2)/inputs!$C$51)*E206+$E$3), (EXP(-LN(2)/inputs!$C$51)*E206))</f>
        <v>8.5447431464621075E-10</v>
      </c>
      <c r="F207" s="8">
        <f>IF((B207&gt;B206), (EXP(-LN(2)/inputs!$C$51)*F206+$F$3), (EXP(-LN(2)/inputs!$C$51)*F206))</f>
        <v>1.0486730225203501E-9</v>
      </c>
      <c r="G207" s="8">
        <f>IF((B207&gt;B206), (EXP(-LN(2)/inputs!$C$51)*G206+$G$3), (EXP(-LN(2)/inputs!$C$51)*G206))</f>
        <v>1.1651922472448344E-10</v>
      </c>
      <c r="H207" s="8">
        <f>IF((B207&gt;B206), (EXP(-LN(2)/inputs!$C$51)*H206+$H$3), (EXP(-LN(2)/inputs!$C$51)*H206))</f>
        <v>7.3018714160676124E-10</v>
      </c>
      <c r="I207" s="7">
        <f>O207*(10^inputs!$C$55)*0.01/1</f>
        <v>0.88852209844489194</v>
      </c>
      <c r="J207" s="7">
        <f>(((0.621*15^0.564)/0.2))*D207/15+J206*inputs!$C$53</f>
        <v>2.0061154871116516E-9</v>
      </c>
      <c r="K207" s="7">
        <f>(((0.621*1000^0.564)/0.2))*D207/1000+K206*inputs!$C$53</f>
        <v>3.2146353756184404E-10</v>
      </c>
      <c r="L207" s="7">
        <f>(((0.648*20^0.651)/0.2))*H207/20+L206*inputs!$C$54</f>
        <v>1.0998678617133376E-9</v>
      </c>
      <c r="M207" s="7">
        <f>(((0.013*2^0.773)/0.2))*H207/2+M206*inputs!$C$54</f>
        <v>5.3633299818834487E-11</v>
      </c>
      <c r="N207" s="7">
        <f>O207*0.015*inputs!$C$56</f>
        <v>0.13054131035386815</v>
      </c>
      <c r="O207" s="7">
        <f>IF((B207&gt;B206), (EXP(-LN(2)/inputs!$C$52)*O206+$O$3), (EXP(-LN(2)/inputs!$C$52)*O206))</f>
        <v>1.4082126251765713E-2</v>
      </c>
      <c r="P207" s="3">
        <f>IF((B207&gt;B206), (EXP(-LN(2)/inputs!$C$52)*P206+$P$3), (EXP(-LN(2)/inputs!$C$52)*P206))</f>
        <v>1.360762790069883E-2</v>
      </c>
      <c r="Q207" s="19">
        <f>IF((F207*0.62*1/(0.012*(10^inputs!$C$55)))&gt;inputs!$C$57, inputs!$C$57, (F207*0.62*1/(0.012*(10^inputs!$C$55))))</f>
        <v>8.5871794616356264E-12</v>
      </c>
      <c r="R207" s="3">
        <f>IF((B207&gt;B206), (EXP(-LN(2)/inputs!$C$51)*R206+$R$3), (EXP(-LN(2)/inputs!$C$51)*R206))</f>
        <v>1.9951831621177079E-17</v>
      </c>
      <c r="T207" s="7">
        <f>IF(T206&lt;(inputs!$C$20-1),(1+T206),0)</f>
        <v>0</v>
      </c>
      <c r="U207" s="7">
        <f>IF(inputs!$C$19&gt;U206,IF(T206=(inputs!$C$20-1),(U206+1),U206), U206)</f>
        <v>1</v>
      </c>
      <c r="V207" s="7">
        <f t="shared" si="6"/>
        <v>204</v>
      </c>
      <c r="W207" s="8">
        <f>IF((U207&gt;U206), (EXP(-LN(2)/inputs!$C$51)*W206+$W$3), (EXP(-LN(2)/inputs!$C$51)*W206))</f>
        <v>6.602756067720717E-10</v>
      </c>
      <c r="X207" s="8">
        <f>IF((U207&gt;U206), (EXP(-LN(2)/inputs!$C$51)*X206+$X$3), (EXP(-LN(2)/inputs!$C$51)*X206))</f>
        <v>2.7964613933875971E-10</v>
      </c>
      <c r="Y207" s="8">
        <f>IF((U207&gt;U206), (EXP(-LN(2)/inputs!$C$51)*Y206+$Y$3), (EXP(-LN(2)/inputs!$C$51)*Y206))</f>
        <v>3.4955767417345013E-10</v>
      </c>
      <c r="Z207" s="8">
        <f>IF((U207&gt;U206), (EXP(-LN(2)/inputs!$C$51)*Z206+$Z$3), (EXP(-LN(2)/inputs!$C$51)*Z206))</f>
        <v>5.4375638204758834E-11</v>
      </c>
      <c r="AA207" s="8">
        <f>IF((U207&gt;U206), (EXP(-LN(2)/inputs!$C$51)*AA206+$AA$3), (EXP(-LN(2)/inputs!$C$51)*AA206))</f>
        <v>5.0491664047276099E-10</v>
      </c>
      <c r="AB207" s="7">
        <f>(((0.621*15^0.564)/0.2))*W207/15+AB206*inputs!$C$53</f>
        <v>7.1049923501870874E-10</v>
      </c>
      <c r="AC207" s="7">
        <f>(((0.621*1000^0.564)/0.2))*W207/1000+AC206*inputs!$C$53</f>
        <v>1.138516695531529E-10</v>
      </c>
      <c r="AD207" s="7">
        <f>(((0.648*20^0.651)/0.2))*AA207/20+AD206*inputs!$C$54</f>
        <v>7.6054692565284059E-10</v>
      </c>
      <c r="AE207" s="7">
        <f>(((0.013*2^0.773)/0.2))*AA207/2+AE206*inputs!$C$54</f>
        <v>3.7086856257704746E-11</v>
      </c>
    </row>
    <row r="208" spans="1:31" x14ac:dyDescent="0.3">
      <c r="A208" s="7">
        <f>IF(A207&lt;(inputs!$C$20-1),(1+A207),0)</f>
        <v>0</v>
      </c>
      <c r="B208" s="7">
        <f>IF(inputs!$C$19&gt;B207,IF(A207=(inputs!$C$20-1),(B207+1),B207), B207)</f>
        <v>1</v>
      </c>
      <c r="C208" s="7">
        <f t="shared" si="7"/>
        <v>205</v>
      </c>
      <c r="D208" s="8">
        <f>IF((B208&gt;B207), (EXP(-LN(2)/inputs!$C$51)*D207+$D$3), (EXP(-LN(2)/inputs!$C$51)*D207))</f>
        <v>1.6357595202198198E-9</v>
      </c>
      <c r="E208" s="8">
        <f>IF((B208&gt;B207), (EXP(-LN(2)/inputs!$C$51)*E207+$E$3), (EXP(-LN(2)/inputs!$C$51)*E207))</f>
        <v>7.4972311343408309E-10</v>
      </c>
      <c r="F208" s="8">
        <f>IF((B208&gt;B207), (EXP(-LN(2)/inputs!$C$51)*F207+$F$3), (EXP(-LN(2)/inputs!$C$51)*F207))</f>
        <v>9.2011473012364791E-10</v>
      </c>
      <c r="G208" s="8">
        <f>IF((B208&gt;B207), (EXP(-LN(2)/inputs!$C$51)*G207+$G$3), (EXP(-LN(2)/inputs!$C$51)*G207))</f>
        <v>1.0223497001373874E-10</v>
      </c>
      <c r="H208" s="8">
        <f>IF((B208&gt;B207), (EXP(-LN(2)/inputs!$C$51)*H207+$H$3), (EXP(-LN(2)/inputs!$C$51)*H207))</f>
        <v>6.4067247875276126E-10</v>
      </c>
      <c r="I208" s="7">
        <f>O208*(10^inputs!$C$55)*0.01/1</f>
        <v>0.87059147514210622</v>
      </c>
      <c r="J208" s="7">
        <f>(((0.621*15^0.564)/0.2))*D208/15+J207*inputs!$C$53</f>
        <v>1.7601829840004184E-9</v>
      </c>
      <c r="K208" s="7">
        <f>(((0.621*1000^0.564)/0.2))*D208/1000+K207*inputs!$C$53</f>
        <v>2.8205487292638867E-10</v>
      </c>
      <c r="L208" s="7">
        <f>(((0.648*20^0.651)/0.2))*H208/20+L207*inputs!$C$54</f>
        <v>9.6503352238414493E-10</v>
      </c>
      <c r="M208" s="7">
        <f>(((0.013*2^0.773)/0.2))*H208/2+M207*inputs!$C$54</f>
        <v>4.7058318588042008E-11</v>
      </c>
      <c r="N208" s="7">
        <f>O208*0.015*inputs!$C$56</f>
        <v>0.12790695036945812</v>
      </c>
      <c r="O208" s="7">
        <f>IF((B208&gt;B207), (EXP(-LN(2)/inputs!$C$52)*O207+$O$3), (EXP(-LN(2)/inputs!$C$52)*O207))</f>
        <v>1.3797945023674015E-2</v>
      </c>
      <c r="P208" s="3">
        <f>IF((B208&gt;B207), (EXP(-LN(2)/inputs!$C$52)*P207+$P$3), (EXP(-LN(2)/inputs!$C$52)*P207))</f>
        <v>1.3333022181427526E-2</v>
      </c>
      <c r="Q208" s="19">
        <f>IF((F208*0.62*1/(0.012*(10^inputs!$C$55)))&gt;inputs!$C$57, inputs!$C$57, (F208*0.62*1/(0.012*(10^inputs!$C$55))))</f>
        <v>7.5344651222901744E-12</v>
      </c>
      <c r="R208" s="3">
        <f>IF((B208&gt;B207), (EXP(-LN(2)/inputs!$C$51)*R207+$R$3), (EXP(-LN(2)/inputs!$C$51)*R207))</f>
        <v>1.7505908680163044E-17</v>
      </c>
      <c r="T208" s="7">
        <f>IF(T207&lt;(inputs!$C$20-1),(1+T207),0)</f>
        <v>0</v>
      </c>
      <c r="U208" s="7">
        <f>IF(inputs!$C$19&gt;U207,IF(T207=(inputs!$C$20-1),(U207+1),U207), U207)</f>
        <v>1</v>
      </c>
      <c r="V208" s="7">
        <f t="shared" si="6"/>
        <v>205</v>
      </c>
      <c r="W208" s="8">
        <f>IF((U208&gt;U207), (EXP(-LN(2)/inputs!$C$51)*W207+$W$3), (EXP(-LN(2)/inputs!$C$51)*W207))</f>
        <v>5.7933149674451848E-10</v>
      </c>
      <c r="X208" s="8">
        <f>IF((U208&gt;U207), (EXP(-LN(2)/inputs!$C$51)*X207+$X$3), (EXP(-LN(2)/inputs!$C$51)*X207))</f>
        <v>2.4536392803297247E-10</v>
      </c>
      <c r="Y208" s="8">
        <f>IF((U208&gt;U207), (EXP(-LN(2)/inputs!$C$51)*Y207+$Y$3), (EXP(-LN(2)/inputs!$C$51)*Y207))</f>
        <v>3.0670491004121602E-10</v>
      </c>
      <c r="Z208" s="8">
        <f>IF((U208&gt;U207), (EXP(-LN(2)/inputs!$C$51)*Z207+$Z$3), (EXP(-LN(2)/inputs!$C$51)*Z207))</f>
        <v>4.7709652673077984E-11</v>
      </c>
      <c r="AA208" s="8">
        <f>IF((U208&gt;U207), (EXP(-LN(2)/inputs!$C$51)*AA207+$AA$3), (EXP(-LN(2)/inputs!$C$51)*AA207))</f>
        <v>4.4301820339286733E-10</v>
      </c>
      <c r="AB208" s="7">
        <f>(((0.621*15^0.564)/0.2))*W208/15+AB207*inputs!$C$53</f>
        <v>6.2339814016681371E-10</v>
      </c>
      <c r="AC208" s="7">
        <f>(((0.621*1000^0.564)/0.2))*W208/1000+AC207*inputs!$C$53</f>
        <v>9.9894434161429147E-11</v>
      </c>
      <c r="AD208" s="7">
        <f>(((0.648*20^0.651)/0.2))*AA208/20+AD207*inputs!$C$54</f>
        <v>6.6731041441456895E-10</v>
      </c>
      <c r="AE208" s="7">
        <f>(((0.013*2^0.773)/0.2))*AA208/2+AE207*inputs!$C$54</f>
        <v>3.2540326683220573E-11</v>
      </c>
    </row>
    <row r="209" spans="1:31" x14ac:dyDescent="0.3">
      <c r="A209" s="7">
        <f>IF(A208&lt;(inputs!$C$20-1),(1+A208),0)</f>
        <v>0</v>
      </c>
      <c r="B209" s="7">
        <f>IF(inputs!$C$19&gt;B208,IF(A208=(inputs!$C$20-1),(B208+1),B208), B208)</f>
        <v>1</v>
      </c>
      <c r="C209" s="7">
        <f t="shared" si="7"/>
        <v>206</v>
      </c>
      <c r="D209" s="8">
        <f>IF((B209&gt;B208), (EXP(-LN(2)/inputs!$C$51)*D208+$D$3), (EXP(-LN(2)/inputs!$C$51)*D208))</f>
        <v>1.4352294730315141E-9</v>
      </c>
      <c r="E209" s="8">
        <f>IF((B209&gt;B208), (EXP(-LN(2)/inputs!$C$51)*E208+$E$3), (EXP(-LN(2)/inputs!$C$51)*E208))</f>
        <v>6.5781350847277648E-10</v>
      </c>
      <c r="F209" s="8">
        <f>IF((B209&gt;B208), (EXP(-LN(2)/inputs!$C$51)*F208+$F$3), (EXP(-LN(2)/inputs!$C$51)*F208))</f>
        <v>8.0731657858022609E-10</v>
      </c>
      <c r="G209" s="8">
        <f>IF((B209&gt;B208), (EXP(-LN(2)/inputs!$C$51)*G208+$G$3), (EXP(-LN(2)/inputs!$C$51)*G208))</f>
        <v>8.9701842064469631E-11</v>
      </c>
      <c r="H209" s="8">
        <f>IF((B209&gt;B208), (EXP(-LN(2)/inputs!$C$51)*H208+$H$3), (EXP(-LN(2)/inputs!$C$51)*H208))</f>
        <v>5.6213154360400839E-10</v>
      </c>
      <c r="I209" s="7">
        <f>O209*(10^inputs!$C$55)*0.01/1</f>
        <v>0.853022696809287</v>
      </c>
      <c r="J209" s="7">
        <f>(((0.621*15^0.564)/0.2))*D209/15+J208*inputs!$C$53</f>
        <v>1.5443996903814252E-9</v>
      </c>
      <c r="K209" s="7">
        <f>(((0.621*1000^0.564)/0.2))*D209/1000+K208*inputs!$C$53</f>
        <v>2.4747737160148761E-10</v>
      </c>
      <c r="L209" s="7">
        <f>(((0.648*20^0.651)/0.2))*H209/20+L208*inputs!$C$54</f>
        <v>8.4672871327871862E-10</v>
      </c>
      <c r="M209" s="7">
        <f>(((0.013*2^0.773)/0.2))*H209/2+M208*inputs!$C$54</f>
        <v>4.1289373501423007E-11</v>
      </c>
      <c r="N209" s="7">
        <f>O209*0.015*inputs!$C$56</f>
        <v>0.12532575250291444</v>
      </c>
      <c r="O209" s="7">
        <f>IF((B209&gt;B208), (EXP(-LN(2)/inputs!$C$52)*O208+$O$3), (EXP(-LN(2)/inputs!$C$52)*O208))</f>
        <v>1.351949865187858E-2</v>
      </c>
      <c r="P209" s="3">
        <f>IF((B209&gt;B208), (EXP(-LN(2)/inputs!$C$52)*P208+$P$3), (EXP(-LN(2)/inputs!$C$52)*P208))</f>
        <v>1.3063958082018757E-2</v>
      </c>
      <c r="Q209" s="19">
        <f>IF((F209*0.62*1/(0.012*(10^inputs!$C$55)))&gt;inputs!$C$57, inputs!$C$57, (F209*0.62*1/(0.012*(10^inputs!$C$55))))</f>
        <v>6.6108045060227822E-12</v>
      </c>
      <c r="R209" s="3">
        <f>IF((B209&gt;B208), (EXP(-LN(2)/inputs!$C$51)*R208+$R$3), (EXP(-LN(2)/inputs!$C$51)*R208))</f>
        <v>1.5359834853103481E-17</v>
      </c>
      <c r="T209" s="7">
        <f>IF(T208&lt;(inputs!$C$20-1),(1+T208),0)</f>
        <v>0</v>
      </c>
      <c r="U209" s="7">
        <f>IF(inputs!$C$19&gt;U208,IF(T208=(inputs!$C$20-1),(U208+1),U208), U208)</f>
        <v>1</v>
      </c>
      <c r="V209" s="7">
        <f t="shared" si="6"/>
        <v>206</v>
      </c>
      <c r="W209" s="8">
        <f>IF((U209&gt;U208), (EXP(-LN(2)/inputs!$C$51)*W208+$W$3), (EXP(-LN(2)/inputs!$C$51)*W208))</f>
        <v>5.0831043836532699E-10</v>
      </c>
      <c r="X209" s="8">
        <f>IF((U209&gt;U208), (EXP(-LN(2)/inputs!$C$51)*X208+$X$3), (EXP(-LN(2)/inputs!$C$51)*X208))</f>
        <v>2.1528442095472669E-10</v>
      </c>
      <c r="Y209" s="8">
        <f>IF((U209&gt;U208), (EXP(-LN(2)/inputs!$C$51)*Y208+$Y$3), (EXP(-LN(2)/inputs!$C$51)*Y208))</f>
        <v>2.6910552619340871E-10</v>
      </c>
      <c r="Z209" s="8">
        <f>IF((U209&gt;U208), (EXP(-LN(2)/inputs!$C$51)*Z208+$Z$3), (EXP(-LN(2)/inputs!$C$51)*Z208))</f>
        <v>4.1860859630085745E-11</v>
      </c>
      <c r="AA209" s="8">
        <f>IF((U209&gt;U208), (EXP(-LN(2)/inputs!$C$51)*AA208+$AA$3), (EXP(-LN(2)/inputs!$C$51)*AA208))</f>
        <v>3.8870798227936793E-10</v>
      </c>
      <c r="AB209" s="7">
        <f>(((0.621*15^0.564)/0.2))*W209/15+AB208*inputs!$C$53</f>
        <v>5.4697489034342046E-10</v>
      </c>
      <c r="AC209" s="7">
        <f>(((0.621*1000^0.564)/0.2))*W209/1000+AC208*inputs!$C$53</f>
        <v>8.7648235775526723E-11</v>
      </c>
      <c r="AD209" s="7">
        <f>(((0.648*20^0.651)/0.2))*AA209/20+AD208*inputs!$C$54</f>
        <v>5.8550389747996562E-10</v>
      </c>
      <c r="AE209" s="7">
        <f>(((0.013*2^0.773)/0.2))*AA209/2+AE208*inputs!$C$54</f>
        <v>2.8551162527579772E-11</v>
      </c>
    </row>
    <row r="210" spans="1:31" x14ac:dyDescent="0.3">
      <c r="A210" s="7">
        <f>IF(A209&lt;(inputs!$C$20-1),(1+A209),0)</f>
        <v>0</v>
      </c>
      <c r="B210" s="7">
        <f>IF(inputs!$C$19&gt;B209,IF(A209=(inputs!$C$20-1),(B209+1),B209), B209)</f>
        <v>1</v>
      </c>
      <c r="C210" s="7">
        <f t="shared" si="7"/>
        <v>207</v>
      </c>
      <c r="D210" s="8">
        <f>IF((B210&gt;B209), (EXP(-LN(2)/inputs!$C$51)*D209+$D$3), (EXP(-LN(2)/inputs!$C$51)*D209))</f>
        <v>1.2592826847686648E-9</v>
      </c>
      <c r="E210" s="8">
        <f>IF((B210&gt;B209), (EXP(-LN(2)/inputs!$C$51)*E209+$E$3), (EXP(-LN(2)/inputs!$C$51)*E209))</f>
        <v>5.7717123051897062E-10</v>
      </c>
      <c r="F210" s="8">
        <f>IF((B210&gt;B209), (EXP(-LN(2)/inputs!$C$51)*F209+$F$3), (EXP(-LN(2)/inputs!$C$51)*F209))</f>
        <v>7.0834651018237348E-10</v>
      </c>
      <c r="G210" s="8">
        <f>IF((B210&gt;B209), (EXP(-LN(2)/inputs!$C$51)*G209+$G$3), (EXP(-LN(2)/inputs!$C$51)*G209))</f>
        <v>7.8705167798041548E-11</v>
      </c>
      <c r="H210" s="8">
        <f>IF((B210&gt;B209), (EXP(-LN(2)/inputs!$C$51)*H209+$H$3), (EXP(-LN(2)/inputs!$C$51)*H209))</f>
        <v>4.9321905153439262E-10</v>
      </c>
      <c r="I210" s="7">
        <f>O210*(10^inputs!$C$55)*0.01/1</f>
        <v>0.83580846131420616</v>
      </c>
      <c r="J210" s="7">
        <f>(((0.621*15^0.564)/0.2))*D210/15+J209*inputs!$C$53</f>
        <v>1.3550695724994438E-9</v>
      </c>
      <c r="K210" s="7">
        <f>(((0.621*1000^0.564)/0.2))*D210/1000+K209*inputs!$C$53</f>
        <v>2.1713877452053338E-10</v>
      </c>
      <c r="L210" s="7">
        <f>(((0.648*20^0.651)/0.2))*H210/20+L209*inputs!$C$54</f>
        <v>7.4292705617043105E-10</v>
      </c>
      <c r="M210" s="7">
        <f>(((0.013*2^0.773)/0.2))*H210/2+M209*inputs!$C$54</f>
        <v>3.622765146082424E-11</v>
      </c>
      <c r="N210" s="7">
        <f>O210*0.015*inputs!$C$56</f>
        <v>0.12279664392789874</v>
      </c>
      <c r="O210" s="7">
        <f>IF((B210&gt;B209), (EXP(-LN(2)/inputs!$C$52)*O209+$O$3), (EXP(-LN(2)/inputs!$C$52)*O209))</f>
        <v>1.3246671405382819E-2</v>
      </c>
      <c r="P210" s="3">
        <f>IF((B210&gt;B209), (EXP(-LN(2)/inputs!$C$52)*P209+$P$3), (EXP(-LN(2)/inputs!$C$52)*P209))</f>
        <v>1.2800323771040964E-2</v>
      </c>
      <c r="Q210" s="19">
        <f>IF((F210*0.62*1/(0.012*(10^inputs!$C$55)))&gt;inputs!$C$57, inputs!$C$57, (F210*0.62*1/(0.012*(10^inputs!$C$55))))</f>
        <v>5.8003767364400853E-12</v>
      </c>
      <c r="R210" s="3">
        <f>IF((B210&gt;B209), (EXP(-LN(2)/inputs!$C$51)*R209+$R$3), (EXP(-LN(2)/inputs!$C$51)*R209))</f>
        <v>1.3476851217780664E-17</v>
      </c>
      <c r="T210" s="7">
        <f>IF(T209&lt;(inputs!$C$20-1),(1+T209),0)</f>
        <v>0</v>
      </c>
      <c r="U210" s="7">
        <f>IF(inputs!$C$19&gt;U209,IF(T209=(inputs!$C$20-1),(U209+1),U209), U209)</f>
        <v>1</v>
      </c>
      <c r="V210" s="7">
        <f t="shared" si="6"/>
        <v>207</v>
      </c>
      <c r="W210" s="8">
        <f>IF((U210&gt;U209), (EXP(-LN(2)/inputs!$C$51)*W209+$W$3), (EXP(-LN(2)/inputs!$C$51)*W209))</f>
        <v>4.4599595085556796E-10</v>
      </c>
      <c r="X210" s="8">
        <f>IF((U210&gt;U209), (EXP(-LN(2)/inputs!$C$51)*X209+$X$3), (EXP(-LN(2)/inputs!$C$51)*X209))</f>
        <v>1.8889240271529935E-10</v>
      </c>
      <c r="Y210" s="8">
        <f>IF((U210&gt;U209), (EXP(-LN(2)/inputs!$C$51)*Y209+$Y$3), (EXP(-LN(2)/inputs!$C$51)*Y209))</f>
        <v>2.3611550339412447E-10</v>
      </c>
      <c r="Z210" s="8">
        <f>IF((U210&gt;U209), (EXP(-LN(2)/inputs!$C$51)*Z209+$Z$3), (EXP(-LN(2)/inputs!$C$51)*Z209))</f>
        <v>3.6729078305752653E-11</v>
      </c>
      <c r="AA210" s="8">
        <f>IF((U210&gt;U209), (EXP(-LN(2)/inputs!$C$51)*AA209+$AA$3), (EXP(-LN(2)/inputs!$C$51)*AA209))</f>
        <v>3.410557271248463E-10</v>
      </c>
      <c r="AB210" s="7">
        <f>(((0.621*15^0.564)/0.2))*W210/15+AB209*inputs!$C$53</f>
        <v>4.7992047359355212E-10</v>
      </c>
      <c r="AC210" s="7">
        <f>(((0.621*1000^0.564)/0.2))*W210/1000+AC209*inputs!$C$53</f>
        <v>7.6903315976022091E-11</v>
      </c>
      <c r="AD210" s="7">
        <f>(((0.648*20^0.651)/0.2))*AA210/20+AD209*inputs!$C$54</f>
        <v>5.1372615586253263E-10</v>
      </c>
      <c r="AE210" s="7">
        <f>(((0.013*2^0.773)/0.2))*AA210/2+AE209*inputs!$C$54</f>
        <v>2.5051035584612531E-11</v>
      </c>
    </row>
    <row r="211" spans="1:31" x14ac:dyDescent="0.3">
      <c r="A211" s="7">
        <f>IF(A210&lt;(inputs!$C$20-1),(1+A210),0)</f>
        <v>0</v>
      </c>
      <c r="B211" s="7">
        <f>IF(inputs!$C$19&gt;B210,IF(A210=(inputs!$C$20-1),(B210+1),B210), B210)</f>
        <v>1</v>
      </c>
      <c r="C211" s="7">
        <f t="shared" si="7"/>
        <v>208</v>
      </c>
      <c r="D211" s="8">
        <f>IF((B211&gt;B210), (EXP(-LN(2)/inputs!$C$51)*D210+$D$3), (EXP(-LN(2)/inputs!$C$51)*D210))</f>
        <v>1.1049054593399896E-9</v>
      </c>
      <c r="E211" s="8">
        <f>IF((B211&gt;B210), (EXP(-LN(2)/inputs!$C$51)*E210+$E$3), (EXP(-LN(2)/inputs!$C$51)*E210))</f>
        <v>5.0641500219749458E-10</v>
      </c>
      <c r="F211" s="8">
        <f>IF((B211&gt;B210), (EXP(-LN(2)/inputs!$C$51)*F210+$F$3), (EXP(-LN(2)/inputs!$C$51)*F210))</f>
        <v>6.2150932087874377E-10</v>
      </c>
      <c r="G211" s="8">
        <f>IF((B211&gt;B210), (EXP(-LN(2)/inputs!$C$51)*G210+$G$3), (EXP(-LN(2)/inputs!$C$51)*G210))</f>
        <v>6.905659120874935E-11</v>
      </c>
      <c r="H211" s="8">
        <f>IF((B211&gt;B210), (EXP(-LN(2)/inputs!$C$51)*H210+$H$3), (EXP(-LN(2)/inputs!$C$51)*H210))</f>
        <v>4.32754638241495E-10</v>
      </c>
      <c r="I211" s="7">
        <f>O211*(10^inputs!$C$55)*0.01/1</f>
        <v>0.81894161388369668</v>
      </c>
      <c r="J211" s="7">
        <f>(((0.621*15^0.564)/0.2))*D211/15+J210*inputs!$C$53</f>
        <v>1.1889496985461906E-9</v>
      </c>
      <c r="K211" s="7">
        <f>(((0.621*1000^0.564)/0.2))*D211/1000+K210*inputs!$C$53</f>
        <v>1.9051942848416612E-10</v>
      </c>
      <c r="L211" s="7">
        <f>(((0.648*20^0.651)/0.2))*H211/20+L210*inputs!$C$54</f>
        <v>6.518505893733404E-10</v>
      </c>
      <c r="M211" s="7">
        <f>(((0.013*2^0.773)/0.2))*H211/2+M210*inputs!$C$54</f>
        <v>3.1786453003984867E-11</v>
      </c>
      <c r="N211" s="7">
        <f>O211*0.015*inputs!$C$56</f>
        <v>0.12031857346800681</v>
      </c>
      <c r="O211" s="7">
        <f>IF((B211&gt;B210), (EXP(-LN(2)/inputs!$C$52)*O210+$O$3), (EXP(-LN(2)/inputs!$C$52)*O210))</f>
        <v>1.2979349888673873E-2</v>
      </c>
      <c r="P211" s="3">
        <f>IF((B211&gt;B210), (EXP(-LN(2)/inputs!$C$52)*P210+$P$3), (EXP(-LN(2)/inputs!$C$52)*P210))</f>
        <v>1.2542009673852007E-2</v>
      </c>
      <c r="Q211" s="19">
        <f>IF((F211*0.62*1/(0.012*(10^inputs!$C$55)))&gt;inputs!$C$57, inputs!$C$57, (F211*0.62*1/(0.012*(10^inputs!$C$55))))</f>
        <v>5.0893004405112234E-12</v>
      </c>
      <c r="R211" s="3">
        <f>IF((B211&gt;B210), (EXP(-LN(2)/inputs!$C$51)*R210+$R$3), (EXP(-LN(2)/inputs!$C$51)*R210))</f>
        <v>1.1824705179658779E-17</v>
      </c>
      <c r="T211" s="7">
        <f>IF(T210&lt;(inputs!$C$20-1),(1+T210),0)</f>
        <v>0</v>
      </c>
      <c r="U211" s="7">
        <f>IF(inputs!$C$19&gt;U210,IF(T210=(inputs!$C$20-1),(U210+1),U210), U210)</f>
        <v>1</v>
      </c>
      <c r="V211" s="7">
        <f t="shared" si="6"/>
        <v>208</v>
      </c>
      <c r="W211" s="8">
        <f>IF((U211&gt;U210), (EXP(-LN(2)/inputs!$C$51)*W210+$W$3), (EXP(-LN(2)/inputs!$C$51)*W210))</f>
        <v>3.913206835162456E-10</v>
      </c>
      <c r="X211" s="8">
        <f>IF((U211&gt;U210), (EXP(-LN(2)/inputs!$C$51)*X210+$X$3), (EXP(-LN(2)/inputs!$C$51)*X210))</f>
        <v>1.6573581890099812E-10</v>
      </c>
      <c r="Y211" s="8">
        <f>IF((U211&gt;U210), (EXP(-LN(2)/inputs!$C$51)*Y210+$Y$3), (EXP(-LN(2)/inputs!$C$51)*Y210))</f>
        <v>2.0716977362624791E-10</v>
      </c>
      <c r="Z211" s="8">
        <f>IF((U211&gt;U210), (EXP(-LN(2)/inputs!$C$51)*Z210+$Z$3), (EXP(-LN(2)/inputs!$C$51)*Z210))</f>
        <v>3.2226409230749634E-11</v>
      </c>
      <c r="AA211" s="8">
        <f>IF((U211&gt;U210), (EXP(-LN(2)/inputs!$C$51)*AA210+$AA$3), (EXP(-LN(2)/inputs!$C$51)*AA210))</f>
        <v>2.9924522857124683E-10</v>
      </c>
      <c r="AB211" s="7">
        <f>(((0.621*15^0.564)/0.2))*W211/15+AB210*inputs!$C$53</f>
        <v>4.2108635156844173E-10</v>
      </c>
      <c r="AC211" s="7">
        <f>(((0.621*1000^0.564)/0.2))*W211/1000+AC210*inputs!$C$53</f>
        <v>6.7475630921475383E-11</v>
      </c>
      <c r="AD211" s="7">
        <f>(((0.648*20^0.651)/0.2))*AA211/20+AD210*inputs!$C$54</f>
        <v>4.5074774797092728E-10</v>
      </c>
      <c r="AE211" s="7">
        <f>(((0.013*2^0.773)/0.2))*AA211/2+AE210*inputs!$C$54</f>
        <v>2.1979994098500197E-11</v>
      </c>
    </row>
    <row r="212" spans="1:31" x14ac:dyDescent="0.3">
      <c r="A212" s="7">
        <f>IF(A211&lt;(inputs!$C$20-1),(1+A211),0)</f>
        <v>0</v>
      </c>
      <c r="B212" s="7">
        <f>IF(inputs!$C$19&gt;B211,IF(A211=(inputs!$C$20-1),(B211+1),B211), B211)</f>
        <v>1</v>
      </c>
      <c r="C212" s="7">
        <f t="shared" si="7"/>
        <v>209</v>
      </c>
      <c r="D212" s="8">
        <f>IF((B212&gt;B211), (EXP(-LN(2)/inputs!$C$51)*D211+$D$3), (EXP(-LN(2)/inputs!$C$51)*D211))</f>
        <v>9.6945355387268126E-10</v>
      </c>
      <c r="E212" s="8">
        <f>IF((B212&gt;B211), (EXP(-LN(2)/inputs!$C$51)*E211+$E$3), (EXP(-LN(2)/inputs!$C$51)*E211))</f>
        <v>4.4433287885831168E-10</v>
      </c>
      <c r="F212" s="8">
        <f>IF((B212&gt;B211), (EXP(-LN(2)/inputs!$C$51)*F211+$F$3), (EXP(-LN(2)/inputs!$C$51)*F211))</f>
        <v>5.4531762405338288E-10</v>
      </c>
      <c r="G212" s="8">
        <f>IF((B212&gt;B211), (EXP(-LN(2)/inputs!$C$51)*G211+$G$3), (EXP(-LN(2)/inputs!$C$51)*G211))</f>
        <v>6.0590847117042579E-11</v>
      </c>
      <c r="H212" s="8">
        <f>IF((B212&gt;B211), (EXP(-LN(2)/inputs!$C$51)*H211+$H$3), (EXP(-LN(2)/inputs!$C$51)*H211))</f>
        <v>3.7970264193346604E-10</v>
      </c>
      <c r="I212" s="7">
        <f>O212*(10^inputs!$C$55)*0.01/1</f>
        <v>0.80241514412990611</v>
      </c>
      <c r="J212" s="7">
        <f>(((0.621*15^0.564)/0.2))*D212/15+J211*inputs!$C$53</f>
        <v>1.0431946922589891E-9</v>
      </c>
      <c r="K212" s="7">
        <f>(((0.621*1000^0.564)/0.2))*D212/1000+K211*inputs!$C$53</f>
        <v>1.6716338530546909E-10</v>
      </c>
      <c r="L212" s="7">
        <f>(((0.648*20^0.651)/0.2))*H212/20+L211*inputs!$C$54</f>
        <v>5.7193931401105806E-10</v>
      </c>
      <c r="M212" s="7">
        <f>(((0.013*2^0.773)/0.2))*H212/2+M211*inputs!$C$54</f>
        <v>2.7889707276971546E-11</v>
      </c>
      <c r="N212" s="7">
        <f>O212*0.015*inputs!$C$56</f>
        <v>0.11789051115986694</v>
      </c>
      <c r="O212" s="7">
        <f>IF((B212&gt;B211), (EXP(-LN(2)/inputs!$C$52)*O211+$O$3), (EXP(-LN(2)/inputs!$C$52)*O211))</f>
        <v>1.2717422994591903E-2</v>
      </c>
      <c r="P212" s="3">
        <f>IF((B212&gt;B211), (EXP(-LN(2)/inputs!$C$52)*P211+$P$3), (EXP(-LN(2)/inputs!$C$52)*P211))</f>
        <v>1.228890842705653E-2</v>
      </c>
      <c r="Q212" s="19">
        <f>IF((F212*0.62*1/(0.012*(10^inputs!$C$55)))&gt;inputs!$C$57, inputs!$C$57, (F212*0.62*1/(0.012*(10^inputs!$C$55))))</f>
        <v>4.4653959821382513E-12</v>
      </c>
      <c r="R212" s="3">
        <f>IF((B212&gt;B211), (EXP(-LN(2)/inputs!$C$51)*R211+$R$3), (EXP(-LN(2)/inputs!$C$51)*R211))</f>
        <v>1.0375098034871307E-17</v>
      </c>
      <c r="T212" s="7">
        <f>IF(T211&lt;(inputs!$C$20-1),(1+T211),0)</f>
        <v>0</v>
      </c>
      <c r="U212" s="7">
        <f>IF(inputs!$C$19&gt;U211,IF(T211=(inputs!$C$20-1),(U211+1),U211), U211)</f>
        <v>1</v>
      </c>
      <c r="V212" s="7">
        <f t="shared" si="6"/>
        <v>209</v>
      </c>
      <c r="W212" s="8">
        <f>IF((U212&gt;U211), (EXP(-LN(2)/inputs!$C$51)*W211+$W$3), (EXP(-LN(2)/inputs!$C$51)*W211))</f>
        <v>3.4334813366324064E-10</v>
      </c>
      <c r="X212" s="8">
        <f>IF((U212&gt;U211), (EXP(-LN(2)/inputs!$C$51)*X211+$X$3), (EXP(-LN(2)/inputs!$C$51)*X211))</f>
        <v>1.454180330809019E-10</v>
      </c>
      <c r="Y212" s="8">
        <f>IF((U212&gt;U211), (EXP(-LN(2)/inputs!$C$51)*Y211+$Y$3), (EXP(-LN(2)/inputs!$C$51)*Y211))</f>
        <v>1.8177254135112762E-10</v>
      </c>
      <c r="Z212" s="8">
        <f>IF((U212&gt;U211), (EXP(-LN(2)/inputs!$C$51)*Z211+$Z$3), (EXP(-LN(2)/inputs!$C$51)*Z211))</f>
        <v>2.8275728654619816E-11</v>
      </c>
      <c r="AA212" s="8">
        <f>IF((U212&gt;U211), (EXP(-LN(2)/inputs!$C$51)*AA211+$AA$3), (EXP(-LN(2)/inputs!$C$51)*AA211))</f>
        <v>2.6256033750718419E-10</v>
      </c>
      <c r="AB212" s="7">
        <f>(((0.621*15^0.564)/0.2))*W212/15+AB211*inputs!$C$53</f>
        <v>3.6946478684172461E-10</v>
      </c>
      <c r="AC212" s="7">
        <f>(((0.621*1000^0.564)/0.2))*W212/1000+AC211*inputs!$C$53</f>
        <v>5.920369896235352E-11</v>
      </c>
      <c r="AD212" s="7">
        <f>(((0.648*20^0.651)/0.2))*AA212/20+AD211*inputs!$C$54</f>
        <v>3.9548995117785968E-10</v>
      </c>
      <c r="AE212" s="7">
        <f>(((0.013*2^0.773)/0.2))*AA212/2+AE211*inputs!$C$54</f>
        <v>1.9285435883012257E-11</v>
      </c>
    </row>
    <row r="213" spans="1:31" x14ac:dyDescent="0.3">
      <c r="A213" s="7">
        <f>IF(A212&lt;(inputs!$C$20-1),(1+A212),0)</f>
        <v>0</v>
      </c>
      <c r="B213" s="7">
        <f>IF(inputs!$C$19&gt;B212,IF(A212=(inputs!$C$20-1),(B212+1),B212), B212)</f>
        <v>1</v>
      </c>
      <c r="C213" s="7">
        <f t="shared" si="7"/>
        <v>210</v>
      </c>
      <c r="D213" s="8">
        <f>IF((B213&gt;B212), (EXP(-LN(2)/inputs!$C$51)*D212+$D$3), (EXP(-LN(2)/inputs!$C$51)*D212))</f>
        <v>8.5060688692567512E-10</v>
      </c>
      <c r="E213" s="8">
        <f>IF((B213&gt;B212), (EXP(-LN(2)/inputs!$C$51)*E212+$E$3), (EXP(-LN(2)/inputs!$C$51)*E212))</f>
        <v>3.8986148984093395E-10</v>
      </c>
      <c r="F213" s="8">
        <f>IF((B213&gt;B212), (EXP(-LN(2)/inputs!$C$51)*F212+$F$3), (EXP(-LN(2)/inputs!$C$51)*F212))</f>
        <v>4.7846637389569205E-10</v>
      </c>
      <c r="G213" s="8">
        <f>IF((B213&gt;B212), (EXP(-LN(2)/inputs!$C$51)*G212+$G$3), (EXP(-LN(2)/inputs!$C$51)*G212))</f>
        <v>5.3162930432854695E-11</v>
      </c>
      <c r="H213" s="8">
        <f>IF((B213&gt;B212), (EXP(-LN(2)/inputs!$C$51)*H212+$H$3), (EXP(-LN(2)/inputs!$C$51)*H212))</f>
        <v>3.3315436404588877E-10</v>
      </c>
      <c r="I213" s="7">
        <f>O213*(10^inputs!$C$55)*0.01/1</f>
        <v>0.78622218313656034</v>
      </c>
      <c r="J213" s="7">
        <f>(((0.621*15^0.564)/0.2))*D213/15+J212*inputs!$C$53</f>
        <v>9.1530799603045475E-10</v>
      </c>
      <c r="K213" s="7">
        <f>(((0.621*1000^0.564)/0.2))*D213/1000+K212*inputs!$C$53</f>
        <v>1.4667059212340165E-10</v>
      </c>
      <c r="L213" s="7">
        <f>(((0.648*20^0.651)/0.2))*H213/20+L212*inputs!$C$54</f>
        <v>5.0182447365110594E-10</v>
      </c>
      <c r="M213" s="7">
        <f>(((0.013*2^0.773)/0.2))*H213/2+M212*inputs!$C$54</f>
        <v>2.4470669058219465E-11</v>
      </c>
      <c r="N213" s="7">
        <f>O213*0.015*inputs!$C$56</f>
        <v>0.11551144782505497</v>
      </c>
      <c r="O213" s="7">
        <f>IF((B213&gt;B212), (EXP(-LN(2)/inputs!$C$52)*O212+$O$3), (EXP(-LN(2)/inputs!$C$52)*O212))</f>
        <v>1.2460781858150482E-2</v>
      </c>
      <c r="P213" s="3">
        <f>IF((B213&gt;B212), (EXP(-LN(2)/inputs!$C$52)*P212+$P$3), (EXP(-LN(2)/inputs!$C$52)*P212))</f>
        <v>1.2040914833882385E-2</v>
      </c>
      <c r="Q213" s="19">
        <f>IF((F213*0.62*1/(0.012*(10^inputs!$C$55)))&gt;inputs!$C$57, inputs!$C$57, (F213*0.62*1/(0.012*(10^inputs!$C$55))))</f>
        <v>3.917976843845649E-12</v>
      </c>
      <c r="R213" s="3">
        <f>IF((B213&gt;B212), (EXP(-LN(2)/inputs!$C$51)*R212+$R$3), (EXP(-LN(2)/inputs!$C$51)*R212))</f>
        <v>9.1032002572343765E-18</v>
      </c>
      <c r="T213" s="7">
        <f>IF(T212&lt;(inputs!$C$20-1),(1+T212),0)</f>
        <v>0</v>
      </c>
      <c r="U213" s="7">
        <f>IF(inputs!$C$19&gt;U212,IF(T212=(inputs!$C$20-1),(U212+1),U212), U212)</f>
        <v>1</v>
      </c>
      <c r="V213" s="7">
        <f t="shared" si="6"/>
        <v>210</v>
      </c>
      <c r="W213" s="8">
        <f>IF((U213&gt;U212), (EXP(-LN(2)/inputs!$C$51)*W212+$W$3), (EXP(-LN(2)/inputs!$C$51)*W212))</f>
        <v>3.0125660578617605E-10</v>
      </c>
      <c r="X213" s="8">
        <f>IF((U213&gt;U212), (EXP(-LN(2)/inputs!$C$51)*X212+$X$3), (EXP(-LN(2)/inputs!$C$51)*X212))</f>
        <v>1.2759103303885104E-10</v>
      </c>
      <c r="Y213" s="8">
        <f>IF((U213&gt;U212), (EXP(-LN(2)/inputs!$C$51)*Y212+$Y$3), (EXP(-LN(2)/inputs!$C$51)*Y212))</f>
        <v>1.5948879129856398E-10</v>
      </c>
      <c r="Z213" s="8">
        <f>IF((U213&gt;U212), (EXP(-LN(2)/inputs!$C$51)*Z212+$Z$3), (EXP(-LN(2)/inputs!$C$51)*Z212))</f>
        <v>2.4809367535332144E-11</v>
      </c>
      <c r="AA213" s="8">
        <f>IF((U213&gt;U212), (EXP(-LN(2)/inputs!$C$51)*AA212+$AA$3), (EXP(-LN(2)/inputs!$C$51)*AA212))</f>
        <v>2.303726985423701E-10</v>
      </c>
      <c r="AB213" s="7">
        <f>(((0.621*15^0.564)/0.2))*W213/15+AB212*inputs!$C$53</f>
        <v>3.241715819274521E-10</v>
      </c>
      <c r="AC213" s="7">
        <f>(((0.621*1000^0.564)/0.2))*W213/1000+AC212*inputs!$C$53</f>
        <v>5.1945834710371321E-11</v>
      </c>
      <c r="AD213" s="7">
        <f>(((0.648*20^0.651)/0.2))*AA213/20+AD212*inputs!$C$54</f>
        <v>3.470062849715097E-10</v>
      </c>
      <c r="AE213" s="7">
        <f>(((0.013*2^0.773)/0.2))*AA213/2+AE212*inputs!$C$54</f>
        <v>1.6921207327492198E-11</v>
      </c>
    </row>
    <row r="214" spans="1:31" x14ac:dyDescent="0.3">
      <c r="A214" s="7">
        <f>IF(A213&lt;(inputs!$C$20-1),(1+A213),0)</f>
        <v>0</v>
      </c>
      <c r="B214" s="7">
        <f>IF(inputs!$C$19&gt;B213,IF(A213=(inputs!$C$20-1),(B213+1),B213), B213)</f>
        <v>1</v>
      </c>
      <c r="C214" s="7">
        <f t="shared" si="7"/>
        <v>211</v>
      </c>
      <c r="D214" s="8">
        <f>IF((B214&gt;B213), (EXP(-LN(2)/inputs!$C$51)*D213+$D$3), (EXP(-LN(2)/inputs!$C$51)*D213))</f>
        <v>7.4632979908639347E-10</v>
      </c>
      <c r="E214" s="8">
        <f>IF((B214&gt;B213), (EXP(-LN(2)/inputs!$C$51)*E213+$E$3), (EXP(-LN(2)/inputs!$C$51)*E213))</f>
        <v>3.4206782458126325E-10</v>
      </c>
      <c r="F214" s="8">
        <f>IF((B214&gt;B213), (EXP(-LN(2)/inputs!$C$51)*F213+$F$3), (EXP(-LN(2)/inputs!$C$51)*F213))</f>
        <v>4.1981051198609613E-10</v>
      </c>
      <c r="G214" s="8">
        <f>IF((B214&gt;B213), (EXP(-LN(2)/inputs!$C$51)*G213+$G$3), (EXP(-LN(2)/inputs!$C$51)*G213))</f>
        <v>4.6645612442899592E-11</v>
      </c>
      <c r="H214" s="8">
        <f>IF((B214&gt;B213), (EXP(-LN(2)/inputs!$C$51)*H213+$H$3), (EXP(-LN(2)/inputs!$C$51)*H213))</f>
        <v>2.9231250464217019E-10</v>
      </c>
      <c r="I214" s="7">
        <f>O214*(10^inputs!$C$55)*0.01/1</f>
        <v>0.77035600060402787</v>
      </c>
      <c r="J214" s="7">
        <f>(((0.621*15^0.564)/0.2))*D214/15+J213*inputs!$C$53</f>
        <v>8.0309910874171996E-10</v>
      </c>
      <c r="K214" s="7">
        <f>(((0.621*1000^0.564)/0.2))*D214/1000+K213*inputs!$C$53</f>
        <v>1.2869003911663084E-10</v>
      </c>
      <c r="L214" s="7">
        <f>(((0.648*20^0.651)/0.2))*H214/20+L213*inputs!$C$54</f>
        <v>4.4030510962626453E-10</v>
      </c>
      <c r="M214" s="7">
        <f>(((0.013*2^0.773)/0.2))*H214/2+M213*inputs!$C$54</f>
        <v>2.1470775516218423E-11</v>
      </c>
      <c r="N214" s="7">
        <f>O214*0.015*inputs!$C$56</f>
        <v>0.11318039465064829</v>
      </c>
      <c r="O214" s="7">
        <f>IF((B214&gt;B213), (EXP(-LN(2)/inputs!$C$52)*O213+$O$3), (EXP(-LN(2)/inputs!$C$52)*O213))</f>
        <v>1.2209319811288919E-2</v>
      </c>
      <c r="P214" s="3">
        <f>IF((B214&gt;B213), (EXP(-LN(2)/inputs!$C$52)*P213+$P$3), (EXP(-LN(2)/inputs!$C$52)*P213))</f>
        <v>1.1797925820457571E-2</v>
      </c>
      <c r="Q214" s="19">
        <f>IF((F214*0.62*1/(0.012*(10^inputs!$C$55)))&gt;inputs!$C$57, inputs!$C$57, (F214*0.62*1/(0.012*(10^inputs!$C$55))))</f>
        <v>3.4376665832802846E-12</v>
      </c>
      <c r="R214" s="3">
        <f>IF((B214&gt;B213), (EXP(-LN(2)/inputs!$C$51)*R213+$R$3), (EXP(-LN(2)/inputs!$C$51)*R213))</f>
        <v>7.9872262069030096E-18</v>
      </c>
      <c r="T214" s="7">
        <f>IF(T213&lt;(inputs!$C$20-1),(1+T213),0)</f>
        <v>0</v>
      </c>
      <c r="U214" s="7">
        <f>IF(inputs!$C$19&gt;U213,IF(T213=(inputs!$C$20-1),(U213+1),U213), U213)</f>
        <v>1</v>
      </c>
      <c r="V214" s="7">
        <f t="shared" si="6"/>
        <v>211</v>
      </c>
      <c r="W214" s="8">
        <f>IF((U214&gt;U213), (EXP(-LN(2)/inputs!$C$51)*W213+$W$3), (EXP(-LN(2)/inputs!$C$51)*W213))</f>
        <v>2.6432513717643053E-10</v>
      </c>
      <c r="X214" s="8">
        <f>IF((U214&gt;U213), (EXP(-LN(2)/inputs!$C$51)*X213+$X$3), (EXP(-LN(2)/inputs!$C$51)*X213))</f>
        <v>1.1194946986295881E-10</v>
      </c>
      <c r="Y214" s="8">
        <f>IF((U214&gt;U213), (EXP(-LN(2)/inputs!$C$51)*Y213+$Y$3), (EXP(-LN(2)/inputs!$C$51)*Y213))</f>
        <v>1.3993683732869869E-10</v>
      </c>
      <c r="Z214" s="8">
        <f>IF((U214&gt;U213), (EXP(-LN(2)/inputs!$C$51)*Z213+$Z$3), (EXP(-LN(2)/inputs!$C$51)*Z213))</f>
        <v>2.1767952473353101E-11</v>
      </c>
      <c r="AA214" s="8">
        <f>IF((U214&gt;U213), (EXP(-LN(2)/inputs!$C$51)*AA213+$AA$3), (EXP(-LN(2)/inputs!$C$51)*AA213))</f>
        <v>2.0213098725256467E-10</v>
      </c>
      <c r="AB214" s="7">
        <f>(((0.621*15^0.564)/0.2))*W214/15+AB213*inputs!$C$53</f>
        <v>2.8443093434602527E-10</v>
      </c>
      <c r="AC214" s="7">
        <f>(((0.621*1000^0.564)/0.2))*W214/1000+AC213*inputs!$C$53</f>
        <v>4.5577722187140007E-11</v>
      </c>
      <c r="AD214" s="7">
        <f>(((0.648*20^0.651)/0.2))*AA214/20+AD213*inputs!$C$54</f>
        <v>3.044662992096513E-10</v>
      </c>
      <c r="AE214" s="7">
        <f>(((0.013*2^0.773)/0.2))*AA214/2+AE213*inputs!$C$54</f>
        <v>1.4846812856959561E-11</v>
      </c>
    </row>
    <row r="215" spans="1:31" x14ac:dyDescent="0.3">
      <c r="A215" s="7">
        <f>IF(A214&lt;(inputs!$C$20-1),(1+A214),0)</f>
        <v>0</v>
      </c>
      <c r="B215" s="7">
        <f>IF(inputs!$C$19&gt;B214,IF(A214=(inputs!$C$20-1),(B214+1),B214), B214)</f>
        <v>1</v>
      </c>
      <c r="C215" s="7">
        <f t="shared" si="7"/>
        <v>212</v>
      </c>
      <c r="D215" s="8">
        <f>IF((B215&gt;B214), (EXP(-LN(2)/inputs!$C$51)*D214+$D$3), (EXP(-LN(2)/inputs!$C$51)*D214))</f>
        <v>6.5483618527650957E-10</v>
      </c>
      <c r="E215" s="8">
        <f>IF((B215&gt;B214), (EXP(-LN(2)/inputs!$C$51)*E214+$E$3), (EXP(-LN(2)/inputs!$C$51)*E214))</f>
        <v>3.0013325158506653E-10</v>
      </c>
      <c r="F215" s="8">
        <f>IF((B215&gt;B214), (EXP(-LN(2)/inputs!$C$51)*F214+$F$3), (EXP(-LN(2)/inputs!$C$51)*F214))</f>
        <v>3.6834535421803645E-10</v>
      </c>
      <c r="G215" s="8">
        <f>IF((B215&gt;B214), (EXP(-LN(2)/inputs!$C$51)*G214+$G$3), (EXP(-LN(2)/inputs!$C$51)*G214))</f>
        <v>4.0927261579781848E-11</v>
      </c>
      <c r="H215" s="8">
        <f>IF((B215&gt;B214), (EXP(-LN(2)/inputs!$C$51)*H214+$H$3), (EXP(-LN(2)/inputs!$C$51)*H214))</f>
        <v>2.5647750589996571E-10</v>
      </c>
      <c r="I215" s="7">
        <f>O215*(10^inputs!$C$55)*0.01/1</f>
        <v>0.75481000205199733</v>
      </c>
      <c r="J215" s="7">
        <f>(((0.621*15^0.564)/0.2))*D215/15+J214*inputs!$C$53</f>
        <v>7.046460658694881E-10</v>
      </c>
      <c r="K215" s="7">
        <f>(((0.621*1000^0.564)/0.2))*D215/1000+K214*inputs!$C$53</f>
        <v>1.1291374724870705E-10</v>
      </c>
      <c r="L215" s="7">
        <f>(((0.648*20^0.651)/0.2))*H215/20+L214*inputs!$C$54</f>
        <v>3.863274904718661E-10</v>
      </c>
      <c r="M215" s="7">
        <f>(((0.013*2^0.773)/0.2))*H215/2+M214*inputs!$C$54</f>
        <v>1.8838643118872996E-11</v>
      </c>
      <c r="N215" s="7">
        <f>O215*0.015*inputs!$C$56</f>
        <v>0.11089638277824433</v>
      </c>
      <c r="O215" s="7">
        <f>IF((B215&gt;B214), (EXP(-LN(2)/inputs!$C$52)*O214+$O$3), (EXP(-LN(2)/inputs!$C$52)*O214))</f>
        <v>1.1962932338537685E-2</v>
      </c>
      <c r="P215" s="3">
        <f>IF((B215&gt;B214), (EXP(-LN(2)/inputs!$C$52)*P214+$P$3), (EXP(-LN(2)/inputs!$C$52)*P214))</f>
        <v>1.1559840392969518E-2</v>
      </c>
      <c r="Q215" s="19">
        <f>IF((F215*0.62*1/(0.012*(10^inputs!$C$55)))&gt;inputs!$C$57, inputs!$C$57, (F215*0.62*1/(0.012*(10^inputs!$C$55))))</f>
        <v>3.0162382292700217E-12</v>
      </c>
      <c r="R215" s="3">
        <f>IF((B215&gt;B214), (EXP(-LN(2)/inputs!$C$51)*R214+$R$3), (EXP(-LN(2)/inputs!$C$51)*R214))</f>
        <v>7.0080609760879738E-18</v>
      </c>
      <c r="T215" s="7">
        <f>IF(T214&lt;(inputs!$C$20-1),(1+T214),0)</f>
        <v>0</v>
      </c>
      <c r="U215" s="7">
        <f>IF(inputs!$C$19&gt;U214,IF(T214=(inputs!$C$20-1),(U214+1),U214), U214)</f>
        <v>1</v>
      </c>
      <c r="V215" s="7">
        <f t="shared" si="6"/>
        <v>212</v>
      </c>
      <c r="W215" s="8">
        <f>IF((U215&gt;U214), (EXP(-LN(2)/inputs!$C$51)*W214+$W$3), (EXP(-LN(2)/inputs!$C$51)*W214))</f>
        <v>2.319211489520967E-10</v>
      </c>
      <c r="X215" s="8">
        <f>IF((U215&gt;U214), (EXP(-LN(2)/inputs!$C$51)*X214+$X$3), (EXP(-LN(2)/inputs!$C$51)*X214))</f>
        <v>9.822542779147625E-11</v>
      </c>
      <c r="Y215" s="8">
        <f>IF((U215&gt;U214), (EXP(-LN(2)/inputs!$C$51)*Y214+$Y$3), (EXP(-LN(2)/inputs!$C$51)*Y214))</f>
        <v>1.2278178473934547E-10</v>
      </c>
      <c r="Z215" s="8">
        <f>IF((U215&gt;U214), (EXP(-LN(2)/inputs!$C$51)*Z214+$Z$3), (EXP(-LN(2)/inputs!$C$51)*Z214))</f>
        <v>1.9099388737231493E-11</v>
      </c>
      <c r="AA215" s="8">
        <f>IF((U215&gt;U214), (EXP(-LN(2)/inputs!$C$51)*AA214+$AA$3), (EXP(-LN(2)/inputs!$C$51)*AA214))</f>
        <v>1.7735146684572114E-10</v>
      </c>
      <c r="AB215" s="7">
        <f>(((0.621*15^0.564)/0.2))*W215/15+AB214*inputs!$C$53</f>
        <v>2.4956214832877657E-10</v>
      </c>
      <c r="AC215" s="7">
        <f>(((0.621*1000^0.564)/0.2))*W215/1000+AC214*inputs!$C$53</f>
        <v>3.9990285483916994E-11</v>
      </c>
      <c r="AD215" s="7">
        <f>(((0.648*20^0.651)/0.2))*AA215/20+AD214*inputs!$C$54</f>
        <v>2.6714134979437576E-10</v>
      </c>
      <c r="AE215" s="7">
        <f>(((0.013*2^0.773)/0.2))*AA215/2+AE214*inputs!$C$54</f>
        <v>1.3026721305603679E-11</v>
      </c>
    </row>
    <row r="216" spans="1:31" x14ac:dyDescent="0.3">
      <c r="A216" s="7">
        <f>IF(A215&lt;(inputs!$C$20-1),(1+A215),0)</f>
        <v>0</v>
      </c>
      <c r="B216" s="7">
        <f>IF(inputs!$C$19&gt;B215,IF(A215=(inputs!$C$20-1),(B215+1),B215), B215)</f>
        <v>1</v>
      </c>
      <c r="C216" s="7">
        <f t="shared" si="7"/>
        <v>213</v>
      </c>
      <c r="D216" s="8">
        <f>IF((B216&gt;B215), (EXP(-LN(2)/inputs!$C$51)*D215+$D$3), (EXP(-LN(2)/inputs!$C$51)*D215))</f>
        <v>5.7455890153711126E-10</v>
      </c>
      <c r="E216" s="8">
        <f>IF((B216&gt;B215), (EXP(-LN(2)/inputs!$C$51)*E215+$E$3), (EXP(-LN(2)/inputs!$C$51)*E215))</f>
        <v>2.6333949653784236E-10</v>
      </c>
      <c r="F216" s="8">
        <f>IF((B216&gt;B215), (EXP(-LN(2)/inputs!$C$51)*F215+$F$3), (EXP(-LN(2)/inputs!$C$51)*F215))</f>
        <v>3.2318938211462491E-10</v>
      </c>
      <c r="G216" s="8">
        <f>IF((B216&gt;B215), (EXP(-LN(2)/inputs!$C$51)*G215+$G$3), (EXP(-LN(2)/inputs!$C$51)*G215))</f>
        <v>3.5909931346069454E-11</v>
      </c>
      <c r="H216" s="8">
        <f>IF((B216&gt;B215), (EXP(-LN(2)/inputs!$C$51)*H215+$H$3), (EXP(-LN(2)/inputs!$C$51)*H215))</f>
        <v>2.2503556976870143E-10</v>
      </c>
      <c r="I216" s="7">
        <f>O216*(10^inputs!$C$55)*0.01/1</f>
        <v>0.73957772607860606</v>
      </c>
      <c r="J216" s="7">
        <f>(((0.621*15^0.564)/0.2))*D216/15+J215*inputs!$C$53</f>
        <v>6.1826251920923482E-10</v>
      </c>
      <c r="K216" s="7">
        <f>(((0.621*1000^0.564)/0.2))*D216/1000+K215*inputs!$C$53</f>
        <v>9.9071493063966706E-11</v>
      </c>
      <c r="L216" s="7">
        <f>(((0.648*20^0.651)/0.2))*H216/20+L215*inputs!$C$54</f>
        <v>3.389670631371364E-10</v>
      </c>
      <c r="M216" s="7">
        <f>(((0.013*2^0.773)/0.2))*H216/2+M215*inputs!$C$54</f>
        <v>1.6529187513147047E-11</v>
      </c>
      <c r="N216" s="7">
        <f>O216*0.015*inputs!$C$56</f>
        <v>0.10865846290127285</v>
      </c>
      <c r="O216" s="7">
        <f>IF((B216&gt;B215), (EXP(-LN(2)/inputs!$C$52)*O215+$O$3), (EXP(-LN(2)/inputs!$C$52)*O215))</f>
        <v>1.1721517033578517E-2</v>
      </c>
      <c r="P216" s="3">
        <f>IF((B216&gt;B215), (EXP(-LN(2)/inputs!$C$52)*P215+$P$3), (EXP(-LN(2)/inputs!$C$52)*P215))</f>
        <v>1.132655959568891E-2</v>
      </c>
      <c r="Q216" s="19">
        <f>IF((F216*0.62*1/(0.012*(10^inputs!$C$55)))&gt;inputs!$C$57, inputs!$C$57, (F216*0.62*1/(0.012*(10^inputs!$C$55))))</f>
        <v>2.6464733665441071E-12</v>
      </c>
      <c r="R216" s="3">
        <f>IF((B216&gt;B215), (EXP(-LN(2)/inputs!$C$51)*R215+$R$3), (EXP(-LN(2)/inputs!$C$51)*R215))</f>
        <v>6.1489329802780573E-18</v>
      </c>
      <c r="T216" s="7">
        <f>IF(T215&lt;(inputs!$C$20-1),(1+T215),0)</f>
        <v>0</v>
      </c>
      <c r="U216" s="7">
        <f>IF(inputs!$C$19&gt;U215,IF(T215=(inputs!$C$20-1),(U215+1),U215), U215)</f>
        <v>1</v>
      </c>
      <c r="V216" s="7">
        <f t="shared" si="6"/>
        <v>213</v>
      </c>
      <c r="W216" s="8">
        <f>IF((U216&gt;U215), (EXP(-LN(2)/inputs!$C$51)*W215+$W$3), (EXP(-LN(2)/inputs!$C$51)*W215))</f>
        <v>2.0348961096105985E-10</v>
      </c>
      <c r="X216" s="8">
        <f>IF((U216&gt;U215), (EXP(-LN(2)/inputs!$C$51)*X215+$X$3), (EXP(-LN(2)/inputs!$C$51)*X215))</f>
        <v>8.6183835230566531E-11</v>
      </c>
      <c r="Y216" s="8">
        <f>IF((U216&gt;U215), (EXP(-LN(2)/inputs!$C$51)*Y215+$Y$3), (EXP(-LN(2)/inputs!$C$51)*Y215))</f>
        <v>1.077297940382083E-10</v>
      </c>
      <c r="Z216" s="8">
        <f>IF((U216&gt;U215), (EXP(-LN(2)/inputs!$C$51)*Z215+$Z$3), (EXP(-LN(2)/inputs!$C$51)*Z215))</f>
        <v>1.6757967961499045E-11</v>
      </c>
      <c r="AA216" s="8">
        <f>IF((U216&gt;U215), (EXP(-LN(2)/inputs!$C$51)*AA215+$AA$3), (EXP(-LN(2)/inputs!$C$51)*AA215))</f>
        <v>1.5560970249963411E-10</v>
      </c>
      <c r="AB216" s="7">
        <f>(((0.621*15^0.564)/0.2))*W216/15+AB215*inputs!$C$53</f>
        <v>2.1896797555327024E-10</v>
      </c>
      <c r="AC216" s="7">
        <f>(((0.621*1000^0.564)/0.2))*W216/1000+AC215*inputs!$C$53</f>
        <v>3.5087820460154804E-11</v>
      </c>
      <c r="AD216" s="7">
        <f>(((0.648*20^0.651)/0.2))*AA216/20+AD215*inputs!$C$54</f>
        <v>2.3439211812674351E-10</v>
      </c>
      <c r="AE216" s="7">
        <f>(((0.013*2^0.773)/0.2))*AA216/2+AE215*inputs!$C$54</f>
        <v>1.142975732292084E-11</v>
      </c>
    </row>
    <row r="217" spans="1:31" x14ac:dyDescent="0.3">
      <c r="A217" s="7">
        <f>IF(A216&lt;(inputs!$C$20-1),(1+A216),0)</f>
        <v>0</v>
      </c>
      <c r="B217" s="7">
        <f>IF(inputs!$C$19&gt;B216,IF(A216=(inputs!$C$20-1),(B216+1),B216), B216)</f>
        <v>1</v>
      </c>
      <c r="C217" s="7">
        <f t="shared" si="7"/>
        <v>214</v>
      </c>
      <c r="D217" s="8">
        <f>IF((B217&gt;B216), (EXP(-LN(2)/inputs!$C$51)*D216+$D$3), (EXP(-LN(2)/inputs!$C$51)*D216))</f>
        <v>5.0412292227885528E-10</v>
      </c>
      <c r="E217" s="8">
        <f>IF((B217&gt;B216), (EXP(-LN(2)/inputs!$C$51)*E216+$E$3), (EXP(-LN(2)/inputs!$C$51)*E216))</f>
        <v>2.310563393778084E-10</v>
      </c>
      <c r="F217" s="8">
        <f>IF((B217&gt;B216), (EXP(-LN(2)/inputs!$C$51)*F216+$F$3), (EXP(-LN(2)/inputs!$C$51)*F216))</f>
        <v>2.8356914378185594E-10</v>
      </c>
      <c r="G217" s="8">
        <f>IF((B217&gt;B216), (EXP(-LN(2)/inputs!$C$51)*G216+$G$3), (EXP(-LN(2)/inputs!$C$51)*G216))</f>
        <v>3.1507682642428455E-11</v>
      </c>
      <c r="H217" s="8">
        <f>IF((B217&gt;B216), (EXP(-LN(2)/inputs!$C$51)*H216+$H$3), (EXP(-LN(2)/inputs!$C$51)*H216))</f>
        <v>1.974481445592179E-10</v>
      </c>
      <c r="I217" s="7">
        <f>O217*(10^inputs!$C$55)*0.01/1</f>
        <v>0.72465284167487976</v>
      </c>
      <c r="J217" s="7">
        <f>(((0.621*15^0.564)/0.2))*D217/15+J216*inputs!$C$53</f>
        <v>5.4246885234118101E-10</v>
      </c>
      <c r="K217" s="7">
        <f>(((0.621*1000^0.564)/0.2))*D217/1000+K216*inputs!$C$53</f>
        <v>8.6926180178082728E-11</v>
      </c>
      <c r="L217" s="7">
        <f>(((0.648*20^0.651)/0.2))*H217/20+L216*inputs!$C$54</f>
        <v>2.9741261682278034E-10</v>
      </c>
      <c r="M217" s="7">
        <f>(((0.013*2^0.773)/0.2))*H217/2+M216*inputs!$C$54</f>
        <v>1.4502851299893461E-11</v>
      </c>
      <c r="N217" s="7">
        <f>O217*0.015*inputs!$C$56</f>
        <v>0.10646570487043444</v>
      </c>
      <c r="O217" s="7">
        <f>IF((B217&gt;B216), (EXP(-LN(2)/inputs!$C$52)*O216+$O$3), (EXP(-LN(2)/inputs!$C$52)*O216))</f>
        <v>1.1484973556681169E-2</v>
      </c>
      <c r="P217" s="3">
        <f>IF((B217&gt;B216), (EXP(-LN(2)/inputs!$C$52)*P216+$P$3), (EXP(-LN(2)/inputs!$C$52)*P216))</f>
        <v>1.1097986469840598E-2</v>
      </c>
      <c r="Q217" s="19">
        <f>IF((F217*0.62*1/(0.012*(10^inputs!$C$55)))&gt;inputs!$C$57, inputs!$C$57, (F217*0.62*1/(0.012*(10^inputs!$C$55))))</f>
        <v>2.3220384954547633E-12</v>
      </c>
      <c r="R217" s="3">
        <f>IF((B217&gt;B216), (EXP(-LN(2)/inputs!$C$51)*R216+$R$3), (EXP(-LN(2)/inputs!$C$51)*R216))</f>
        <v>5.3951266869622856E-18</v>
      </c>
      <c r="T217" s="7">
        <f>IF(T216&lt;(inputs!$C$20-1),(1+T216),0)</f>
        <v>0</v>
      </c>
      <c r="U217" s="7">
        <f>IF(inputs!$C$19&gt;U216,IF(T216=(inputs!$C$20-1),(U216+1),U216), U216)</f>
        <v>1</v>
      </c>
      <c r="V217" s="7">
        <f t="shared" si="6"/>
        <v>214</v>
      </c>
      <c r="W217" s="8">
        <f>IF((U217&gt;U216), (EXP(-LN(2)/inputs!$C$51)*W216+$W$3), (EXP(-LN(2)/inputs!$C$51)*W216))</f>
        <v>1.7854353497376092E-10</v>
      </c>
      <c r="X217" s="8">
        <f>IF((U217&gt;U216), (EXP(-LN(2)/inputs!$C$51)*X216+$X$3), (EXP(-LN(2)/inputs!$C$51)*X216))</f>
        <v>7.5618438341828158E-11</v>
      </c>
      <c r="Y217" s="8">
        <f>IF((U217&gt;U216), (EXP(-LN(2)/inputs!$C$51)*Y216+$Y$3), (EXP(-LN(2)/inputs!$C$51)*Y216))</f>
        <v>9.4523047927285307E-11</v>
      </c>
      <c r="Z217" s="8">
        <f>IF((U217&gt;U216), (EXP(-LN(2)/inputs!$C$51)*Z216+$Z$3), (EXP(-LN(2)/inputs!$C$51)*Z216))</f>
        <v>1.4703585233133249E-11</v>
      </c>
      <c r="AA217" s="8">
        <f>IF((U217&gt;U216), (EXP(-LN(2)/inputs!$C$51)*AA216+$AA$3), (EXP(-LN(2)/inputs!$C$51)*AA216))</f>
        <v>1.3653329145052313E-10</v>
      </c>
      <c r="AB217" s="7">
        <f>(((0.621*15^0.564)/0.2))*W217/15+AB216*inputs!$C$53</f>
        <v>1.9212438520416792E-10</v>
      </c>
      <c r="AC217" s="7">
        <f>(((0.621*1000^0.564)/0.2))*W217/1000+AC216*inputs!$C$53</f>
        <v>3.0786355479737582E-11</v>
      </c>
      <c r="AD217" s="7">
        <f>(((0.648*20^0.651)/0.2))*AA217/20+AD216*inputs!$C$54</f>
        <v>2.0565766056894406E-10</v>
      </c>
      <c r="AE217" s="7">
        <f>(((0.013*2^0.773)/0.2))*AA217/2+AE216*inputs!$C$54</f>
        <v>1.0028567388224212E-11</v>
      </c>
    </row>
    <row r="218" spans="1:31" x14ac:dyDescent="0.3">
      <c r="A218" s="7">
        <f>IF(A217&lt;(inputs!$C$20-1),(1+A217),0)</f>
        <v>0</v>
      </c>
      <c r="B218" s="7">
        <f>IF(inputs!$C$19&gt;B217,IF(A217=(inputs!$C$20-1),(B217+1),B217), B217)</f>
        <v>1</v>
      </c>
      <c r="C218" s="7">
        <f t="shared" si="7"/>
        <v>215</v>
      </c>
      <c r="D218" s="8">
        <f>IF((B218&gt;B217), (EXP(-LN(2)/inputs!$C$51)*D217+$D$3), (EXP(-LN(2)/inputs!$C$51)*D217))</f>
        <v>4.4232178822236497E-10</v>
      </c>
      <c r="E218" s="8">
        <f>IF((B218&gt;B217), (EXP(-LN(2)/inputs!$C$51)*E217+$E$3), (EXP(-LN(2)/inputs!$C$51)*E217))</f>
        <v>2.0273081960191702E-10</v>
      </c>
      <c r="F218" s="8">
        <f>IF((B218&gt;B217), (EXP(-LN(2)/inputs!$C$51)*F217+$F$3), (EXP(-LN(2)/inputs!$C$51)*F217))</f>
        <v>2.4880600587508014E-10</v>
      </c>
      <c r="G218" s="8">
        <f>IF((B218&gt;B217), (EXP(-LN(2)/inputs!$C$51)*G217+$G$3), (EXP(-LN(2)/inputs!$C$51)*G217))</f>
        <v>2.7645111763897811E-11</v>
      </c>
      <c r="H218" s="8">
        <f>IF((B218&gt;B217), (EXP(-LN(2)/inputs!$C$51)*H217+$H$3), (EXP(-LN(2)/inputs!$C$51)*H217))</f>
        <v>1.7324270038709258E-10</v>
      </c>
      <c r="I218" s="7">
        <f>O218*(10^inputs!$C$55)*0.01/1</f>
        <v>0.71002914559336761</v>
      </c>
      <c r="J218" s="7">
        <f>(((0.621*15^0.564)/0.2))*D218/15+J217*inputs!$C$53</f>
        <v>4.759668370916873E-10</v>
      </c>
      <c r="K218" s="7">
        <f>(((0.621*1000^0.564)/0.2))*D218/1000+K217*inputs!$C$53</f>
        <v>7.6269778184061283E-11</v>
      </c>
      <c r="L218" s="7">
        <f>(((0.648*20^0.651)/0.2))*H218/20+L217*inputs!$C$54</f>
        <v>2.6095238819586404E-10</v>
      </c>
      <c r="M218" s="7">
        <f>(((0.013*2^0.773)/0.2))*H218/2+M217*inputs!$C$54</f>
        <v>1.2724926476847473E-11</v>
      </c>
      <c r="N218" s="7">
        <f>O218*0.015*inputs!$C$56</f>
        <v>0.10431719730710147</v>
      </c>
      <c r="O218" s="7">
        <f>IF((B218&gt;B217), (EXP(-LN(2)/inputs!$C$52)*O217+$O$3), (EXP(-LN(2)/inputs!$C$52)*O217))</f>
        <v>1.125320359299908E-2</v>
      </c>
      <c r="P218" s="3">
        <f>IF((B218&gt;B217), (EXP(-LN(2)/inputs!$C$52)*P217+$P$3), (EXP(-LN(2)/inputs!$C$52)*P217))</f>
        <v>1.0874026013304505E-2</v>
      </c>
      <c r="Q218" s="19">
        <f>IF((F218*0.62*1/(0.012*(10^inputs!$C$55)))&gt;inputs!$C$57, inputs!$C$57, (F218*0.62*1/(0.012*(10^inputs!$C$55))))</f>
        <v>2.037376548933412E-12</v>
      </c>
      <c r="R218" s="3">
        <f>IF((B218&gt;B217), (EXP(-LN(2)/inputs!$C$51)*R217+$R$3), (EXP(-LN(2)/inputs!$C$51)*R217))</f>
        <v>4.7337305613398305E-18</v>
      </c>
      <c r="T218" s="7">
        <f>IF(T217&lt;(inputs!$C$20-1),(1+T217),0)</f>
        <v>0</v>
      </c>
      <c r="U218" s="7">
        <f>IF(inputs!$C$19&gt;U217,IF(T217=(inputs!$C$20-1),(U217+1),U217), U217)</f>
        <v>1</v>
      </c>
      <c r="V218" s="7">
        <f t="shared" si="6"/>
        <v>215</v>
      </c>
      <c r="W218" s="8">
        <f>IF((U218&gt;U217), (EXP(-LN(2)/inputs!$C$51)*W217+$W$3), (EXP(-LN(2)/inputs!$C$51)*W217))</f>
        <v>1.5665563332875398E-10</v>
      </c>
      <c r="X218" s="8">
        <f>IF((U218&gt;U217), (EXP(-LN(2)/inputs!$C$51)*X217+$X$3), (EXP(-LN(2)/inputs!$C$51)*X217))</f>
        <v>6.6348268233354621E-11</v>
      </c>
      <c r="Y218" s="8">
        <f>IF((U218&gt;U217), (EXP(-LN(2)/inputs!$C$51)*Y217+$Y$3), (EXP(-LN(2)/inputs!$C$51)*Y217))</f>
        <v>8.293533529169338E-11</v>
      </c>
      <c r="Z218" s="8">
        <f>IF((U218&gt;U217), (EXP(-LN(2)/inputs!$C$51)*Z217+$Z$3), (EXP(-LN(2)/inputs!$C$51)*Z217))</f>
        <v>1.2901052156485618E-11</v>
      </c>
      <c r="AA218" s="8">
        <f>IF((U218&gt;U217), (EXP(-LN(2)/inputs!$C$51)*AA217+$AA$3), (EXP(-LN(2)/inputs!$C$51)*AA217))</f>
        <v>1.1979548431022369E-10</v>
      </c>
      <c r="AB218" s="7">
        <f>(((0.621*15^0.564)/0.2))*W218/15+AB217*inputs!$C$53</f>
        <v>1.6857158813663895E-10</v>
      </c>
      <c r="AC218" s="7">
        <f>(((0.621*1000^0.564)/0.2))*W218/1000+AC217*inputs!$C$53</f>
        <v>2.7012213106854988E-11</v>
      </c>
      <c r="AD218" s="7">
        <f>(((0.648*20^0.651)/0.2))*AA218/20+AD217*inputs!$C$54</f>
        <v>1.8044580034820402E-10</v>
      </c>
      <c r="AE218" s="7">
        <f>(((0.013*2^0.773)/0.2))*AA218/2+AE217*inputs!$C$54</f>
        <v>8.799151287181771E-12</v>
      </c>
    </row>
    <row r="219" spans="1:31" x14ac:dyDescent="0.3">
      <c r="A219" s="7">
        <f>IF(A218&lt;(inputs!$C$20-1),(1+A218),0)</f>
        <v>0</v>
      </c>
      <c r="B219" s="7">
        <f>IF(inputs!$C$19&gt;B218,IF(A218=(inputs!$C$20-1),(B218+1),B218), B218)</f>
        <v>1</v>
      </c>
      <c r="C219" s="7">
        <f t="shared" si="7"/>
        <v>216</v>
      </c>
      <c r="D219" s="8">
        <f>IF((B219&gt;B218), (EXP(-LN(2)/inputs!$C$51)*D218+$D$3), (EXP(-LN(2)/inputs!$C$51)*D218))</f>
        <v>3.880969416185519E-10</v>
      </c>
      <c r="E219" s="8">
        <f>IF((B219&gt;B218), (EXP(-LN(2)/inputs!$C$51)*E218+$E$3), (EXP(-LN(2)/inputs!$C$51)*E218))</f>
        <v>1.7787776490850274E-10</v>
      </c>
      <c r="F219" s="8">
        <f>IF((B219&gt;B218), (EXP(-LN(2)/inputs!$C$51)*F218+$F$3), (EXP(-LN(2)/inputs!$C$51)*F218))</f>
        <v>2.183045296604353E-10</v>
      </c>
      <c r="G219" s="8">
        <f>IF((B219&gt;B218), (EXP(-LN(2)/inputs!$C$51)*G218+$G$3), (EXP(-LN(2)/inputs!$C$51)*G218))</f>
        <v>2.4256058851159494E-11</v>
      </c>
      <c r="H219" s="8">
        <f>IF((B219&gt;B218), (EXP(-LN(2)/inputs!$C$51)*H218+$H$3), (EXP(-LN(2)/inputs!$C$51)*H218))</f>
        <v>1.5200463546726584E-10</v>
      </c>
      <c r="I219" s="7">
        <f>O219*(10^inputs!$C$55)*0.01/1</f>
        <v>0.69570055976987932</v>
      </c>
      <c r="J219" s="7">
        <f>(((0.621*15^0.564)/0.2))*D219/15+J218*inputs!$C$53</f>
        <v>4.1761739689448868E-10</v>
      </c>
      <c r="K219" s="7">
        <f>(((0.621*1000^0.564)/0.2))*D219/1000+K218*inputs!$C$53</f>
        <v>6.6919759413431652E-11</v>
      </c>
      <c r="L219" s="7">
        <f>(((0.648*20^0.651)/0.2))*H219/20+L218*inputs!$C$54</f>
        <v>2.2896186998583674E-10</v>
      </c>
      <c r="M219" s="7">
        <f>(((0.013*2^0.773)/0.2))*H219/2+M218*inputs!$C$54</f>
        <v>1.1164959944280979E-11</v>
      </c>
      <c r="N219" s="7">
        <f>O219*0.015*inputs!$C$56</f>
        <v>0.10221204722452081</v>
      </c>
      <c r="O219" s="7">
        <f>IF((B219&gt;B218), (EXP(-LN(2)/inputs!$C$52)*O218+$O$3), (EXP(-LN(2)/inputs!$C$52)*O218))</f>
        <v>1.1026110811706668E-2</v>
      </c>
      <c r="P219" s="3">
        <f>IF((B219&gt;B218), (EXP(-LN(2)/inputs!$C$52)*P218+$P$3), (EXP(-LN(2)/inputs!$C$52)*P218))</f>
        <v>1.065458514112979E-2</v>
      </c>
      <c r="Q219" s="19">
        <f>IF((F219*0.62*1/(0.012*(10^inputs!$C$55)))&gt;inputs!$C$57, inputs!$C$57, (F219*0.62*1/(0.012*(10^inputs!$C$55))))</f>
        <v>1.787611708534952E-12</v>
      </c>
      <c r="R219" s="3">
        <f>IF((B219&gt;B218), (EXP(-LN(2)/inputs!$C$51)*R218+$R$3), (EXP(-LN(2)/inputs!$C$51)*R218))</f>
        <v>4.1534159117178393E-18</v>
      </c>
      <c r="T219" s="7">
        <f>IF(T218&lt;(inputs!$C$20-1),(1+T218),0)</f>
        <v>0</v>
      </c>
      <c r="U219" s="7">
        <f>IF(inputs!$C$19&gt;U218,IF(T218=(inputs!$C$20-1),(U218+1),U218), U218)</f>
        <v>1</v>
      </c>
      <c r="V219" s="7">
        <f t="shared" si="6"/>
        <v>216</v>
      </c>
      <c r="W219" s="8">
        <f>IF((U219&gt;U218), (EXP(-LN(2)/inputs!$C$51)*W218+$W$3), (EXP(-LN(2)/inputs!$C$51)*W218))</f>
        <v>1.374510001565702E-10</v>
      </c>
      <c r="X219" s="8">
        <f>IF((U219&gt;U218), (EXP(-LN(2)/inputs!$C$51)*X218+$X$3), (EXP(-LN(2)/inputs!$C$51)*X218))</f>
        <v>5.8214541242782682E-11</v>
      </c>
      <c r="Y219" s="8">
        <f>IF((U219&gt;U218), (EXP(-LN(2)/inputs!$C$51)*Y218+$Y$3), (EXP(-LN(2)/inputs!$C$51)*Y218))</f>
        <v>7.276817655347843E-11</v>
      </c>
      <c r="Z219" s="8">
        <f>IF((U219&gt;U218), (EXP(-LN(2)/inputs!$C$51)*Z218+$Z$3), (EXP(-LN(2)/inputs!$C$51)*Z218))</f>
        <v>1.1319494130541074E-11</v>
      </c>
      <c r="AA219" s="8">
        <f>IF((U219&gt;U218), (EXP(-LN(2)/inputs!$C$51)*AA218+$AA$3), (EXP(-LN(2)/inputs!$C$51)*AA218))</f>
        <v>1.0510958835502434E-10</v>
      </c>
      <c r="AB219" s="7">
        <f>(((0.621*15^0.564)/0.2))*W219/15+AB218*inputs!$C$53</f>
        <v>1.4790616140013113E-10</v>
      </c>
      <c r="AC219" s="7">
        <f>(((0.621*1000^0.564)/0.2))*W219/1000+AC218*inputs!$C$53</f>
        <v>2.3700748125590333E-11</v>
      </c>
      <c r="AD219" s="7">
        <f>(((0.648*20^0.651)/0.2))*AA219/20+AD218*inputs!$C$54</f>
        <v>1.5832469733063192E-10</v>
      </c>
      <c r="AE219" s="7">
        <f>(((0.013*2^0.773)/0.2))*AA219/2+AE218*inputs!$C$54</f>
        <v>7.7204510253006831E-12</v>
      </c>
    </row>
    <row r="220" spans="1:31" x14ac:dyDescent="0.3">
      <c r="A220" s="7">
        <f>IF(A219&lt;(inputs!$C$20-1),(1+A219),0)</f>
        <v>0</v>
      </c>
      <c r="B220" s="7">
        <f>IF(inputs!$C$19&gt;B219,IF(A219=(inputs!$C$20-1),(B219+1),B219), B219)</f>
        <v>1</v>
      </c>
      <c r="C220" s="7">
        <f t="shared" si="7"/>
        <v>217</v>
      </c>
      <c r="D220" s="8">
        <f>IF((B220&gt;B219), (EXP(-LN(2)/inputs!$C$51)*D219+$D$3), (EXP(-LN(2)/inputs!$C$51)*D219))</f>
        <v>3.4051959479317815E-10</v>
      </c>
      <c r="E220" s="8">
        <f>IF((B220&gt;B219), (EXP(-LN(2)/inputs!$C$51)*E219+$E$3), (EXP(-LN(2)/inputs!$C$51)*E219))</f>
        <v>1.5607148094687314E-10</v>
      </c>
      <c r="F220" s="8">
        <f>IF((B220&gt;B219), (EXP(-LN(2)/inputs!$C$51)*F219+$F$3), (EXP(-LN(2)/inputs!$C$51)*F219))</f>
        <v>1.9154227207116259E-10</v>
      </c>
      <c r="G220" s="8">
        <f>IF((B220&gt;B219), (EXP(-LN(2)/inputs!$C$51)*G219+$G$3), (EXP(-LN(2)/inputs!$C$51)*G219))</f>
        <v>2.1282474674573635E-11</v>
      </c>
      <c r="H220" s="8">
        <f>IF((B220&gt;B219), (EXP(-LN(2)/inputs!$C$51)*H219+$H$3), (EXP(-LN(2)/inputs!$C$51)*H219))</f>
        <v>1.3337017462732782E-10</v>
      </c>
      <c r="I220" s="7">
        <f>O220*(10^inputs!$C$55)*0.01/1</f>
        <v>0.68166112879725216</v>
      </c>
      <c r="J220" s="7">
        <f>(((0.621*15^0.564)/0.2))*D220/15+J219*inputs!$C$53</f>
        <v>3.6642109617257373E-10</v>
      </c>
      <c r="K220" s="7">
        <f>(((0.621*1000^0.564)/0.2))*D220/1000+K219*inputs!$C$53</f>
        <v>5.8715972519865444E-11</v>
      </c>
      <c r="L220" s="7">
        <f>(((0.648*20^0.651)/0.2))*H220/20+L219*inputs!$C$54</f>
        <v>2.0089311414181602E-10</v>
      </c>
      <c r="M220" s="7">
        <f>(((0.013*2^0.773)/0.2))*H220/2+M219*inputs!$C$54</f>
        <v>9.796231890550113E-12</v>
      </c>
      <c r="N220" s="7">
        <f>O220*0.015*inputs!$C$56</f>
        <v>0.10014937965666053</v>
      </c>
      <c r="O220" s="7">
        <f>IF((B220&gt;B219), (EXP(-LN(2)/inputs!$C$52)*O219+$O$3), (EXP(-LN(2)/inputs!$C$52)*O219))</f>
        <v>1.0803600825961223E-2</v>
      </c>
      <c r="P220" s="3">
        <f>IF((B220&gt;B219), (EXP(-LN(2)/inputs!$C$52)*P219+$P$3), (EXP(-LN(2)/inputs!$C$52)*P219))</f>
        <v>1.0439572646845826E-2</v>
      </c>
      <c r="Q220" s="19">
        <f>IF((F220*0.62*1/(0.012*(10^inputs!$C$55)))&gt;inputs!$C$57, inputs!$C$57, (F220*0.62*1/(0.012*(10^inputs!$C$55))))</f>
        <v>1.5684658892162854E-12</v>
      </c>
      <c r="R220" s="3">
        <f>IF((B220&gt;B219), (EXP(-LN(2)/inputs!$C$51)*R219+$R$3), (EXP(-LN(2)/inputs!$C$51)*R219))</f>
        <v>3.6442428465612253E-18</v>
      </c>
      <c r="T220" s="7">
        <f>IF(T219&lt;(inputs!$C$20-1),(1+T219),0)</f>
        <v>0</v>
      </c>
      <c r="U220" s="7">
        <f>IF(inputs!$C$19&gt;U219,IF(T219=(inputs!$C$20-1),(U219+1),U219), U219)</f>
        <v>1</v>
      </c>
      <c r="V220" s="7">
        <f t="shared" si="6"/>
        <v>217</v>
      </c>
      <c r="W220" s="8">
        <f>IF((U220&gt;U219), (EXP(-LN(2)/inputs!$C$51)*W219+$W$3), (EXP(-LN(2)/inputs!$C$51)*W219))</f>
        <v>1.2060068982258369E-10</v>
      </c>
      <c r="X220" s="8">
        <f>IF((U220&gt;U219), (EXP(-LN(2)/inputs!$C$51)*X219+$X$3), (EXP(-LN(2)/inputs!$C$51)*X219))</f>
        <v>5.1077939218976634E-11</v>
      </c>
      <c r="Y220" s="8">
        <f>IF((U220&gt;U219), (EXP(-LN(2)/inputs!$C$51)*Y219+$Y$3), (EXP(-LN(2)/inputs!$C$51)*Y219))</f>
        <v>6.3847424023720855E-11</v>
      </c>
      <c r="Z220" s="8">
        <f>IF((U220&gt;U219), (EXP(-LN(2)/inputs!$C$51)*Z219+$Z$3), (EXP(-LN(2)/inputs!$C$51)*Z219))</f>
        <v>9.9318215148010089E-12</v>
      </c>
      <c r="AA220" s="8">
        <f>IF((U220&gt;U219), (EXP(-LN(2)/inputs!$C$51)*AA219+$AA$3), (EXP(-LN(2)/inputs!$C$51)*AA219))</f>
        <v>9.2224056923152299E-11</v>
      </c>
      <c r="AB220" s="7">
        <f>(((0.621*15^0.564)/0.2))*W220/15+AB219*inputs!$C$53</f>
        <v>1.2977413822778626E-10</v>
      </c>
      <c r="AC220" s="7">
        <f>(((0.621*1000^0.564)/0.2))*W220/1000+AC219*inputs!$C$53</f>
        <v>2.0795240267452305E-11</v>
      </c>
      <c r="AD220" s="7">
        <f>(((0.648*20^0.651)/0.2))*AA220/20+AD219*inputs!$C$54</f>
        <v>1.3891545126827718E-10</v>
      </c>
      <c r="AE220" s="7">
        <f>(((0.013*2^0.773)/0.2))*AA220/2+AE219*inputs!$C$54</f>
        <v>6.773990137082531E-12</v>
      </c>
    </row>
    <row r="221" spans="1:31" x14ac:dyDescent="0.3">
      <c r="A221" s="7">
        <f>IF(A220&lt;(inputs!$C$20-1),(1+A220),0)</f>
        <v>0</v>
      </c>
      <c r="B221" s="7">
        <f>IF(inputs!$C$19&gt;B220,IF(A220=(inputs!$C$20-1),(B220+1),B220), B220)</f>
        <v>1</v>
      </c>
      <c r="C221" s="7">
        <f t="shared" si="7"/>
        <v>218</v>
      </c>
      <c r="D221" s="8">
        <f>IF((B221&gt;B220), (EXP(-LN(2)/inputs!$C$51)*D220+$D$3), (EXP(-LN(2)/inputs!$C$51)*D220))</f>
        <v>2.9877482145189725E-10</v>
      </c>
      <c r="E221" s="8">
        <f>IF((B221&gt;B220), (EXP(-LN(2)/inputs!$C$51)*E220+$E$3), (EXP(-LN(2)/inputs!$C$51)*E220))</f>
        <v>1.3693845983211944E-10</v>
      </c>
      <c r="F221" s="8">
        <f>IF((B221&gt;B220), (EXP(-LN(2)/inputs!$C$51)*F220+$F$3), (EXP(-LN(2)/inputs!$C$51)*F220))</f>
        <v>1.6806083706669211E-10</v>
      </c>
      <c r="G221" s="8">
        <f>IF((B221&gt;B220), (EXP(-LN(2)/inputs!$C$51)*G220+$G$3), (EXP(-LN(2)/inputs!$C$51)*G220))</f>
        <v>1.8673426340743578E-11</v>
      </c>
      <c r="H221" s="8">
        <f>IF((B221&gt;B220), (EXP(-LN(2)/inputs!$C$51)*H220+$H$3), (EXP(-LN(2)/inputs!$C$51)*H220))</f>
        <v>1.1702013840199284E-10</v>
      </c>
      <c r="I221" s="7">
        <f>O221*(10^inputs!$C$55)*0.01/1</f>
        <v>0.66790501745009778</v>
      </c>
      <c r="J221" s="7">
        <f>(((0.621*15^0.564)/0.2))*D221/15+J220*inputs!$C$53</f>
        <v>3.2150102155402424E-10</v>
      </c>
      <c r="K221" s="7">
        <f>(((0.621*1000^0.564)/0.2))*D221/1000+K220*inputs!$C$53</f>
        <v>5.1517899334551747E-11</v>
      </c>
      <c r="L221" s="7">
        <f>(((0.648*20^0.651)/0.2))*H221/20+L220*inputs!$C$54</f>
        <v>1.7626534633078083E-10</v>
      </c>
      <c r="M221" s="7">
        <f>(((0.013*2^0.773)/0.2))*H221/2+M220*inputs!$C$54</f>
        <v>8.5952981230880048E-12</v>
      </c>
      <c r="N221" s="7">
        <f>O221*0.015*inputs!$C$56</f>
        <v>9.8128337294546869E-2</v>
      </c>
      <c r="O221" s="7">
        <f>IF((B221&gt;B220), (EXP(-LN(2)/inputs!$C$52)*O220+$O$3), (EXP(-LN(2)/inputs!$C$52)*O220))</f>
        <v>1.0585581153672802E-2</v>
      </c>
      <c r="P221" s="3">
        <f>IF((B221&gt;B220), (EXP(-LN(2)/inputs!$C$52)*P220+$P$3), (EXP(-LN(2)/inputs!$C$52)*P220))</f>
        <v>1.0228899164553964E-2</v>
      </c>
      <c r="Q221" s="19">
        <f>IF((F221*0.62*1/(0.012*(10^inputs!$C$55)))&gt;inputs!$C$57, inputs!$C$57, (F221*0.62*1/(0.012*(10^inputs!$C$55))))</f>
        <v>1.3761854623626347E-12</v>
      </c>
      <c r="R221" s="3">
        <f>IF((B221&gt;B220), (EXP(-LN(2)/inputs!$C$51)*R220+$R$3), (EXP(-LN(2)/inputs!$C$51)*R220))</f>
        <v>3.1974900195390951E-18</v>
      </c>
      <c r="T221" s="7">
        <f>IF(T220&lt;(inputs!$C$20-1),(1+T220),0)</f>
        <v>0</v>
      </c>
      <c r="U221" s="7">
        <f>IF(inputs!$C$19&gt;U220,IF(T220=(inputs!$C$20-1),(U220+1),U220), U220)</f>
        <v>1</v>
      </c>
      <c r="V221" s="7">
        <f t="shared" si="6"/>
        <v>218</v>
      </c>
      <c r="W221" s="8">
        <f>IF((U221&gt;U220), (EXP(-LN(2)/inputs!$C$51)*W220+$W$3), (EXP(-LN(2)/inputs!$C$51)*W220))</f>
        <v>1.0581608259754675E-10</v>
      </c>
      <c r="X221" s="8">
        <f>IF((U221&gt;U220), (EXP(-LN(2)/inputs!$C$51)*X220+$X$3), (EXP(-LN(2)/inputs!$C$51)*X220))</f>
        <v>4.481622321778451E-11</v>
      </c>
      <c r="Y221" s="8">
        <f>IF((U221&gt;U220), (EXP(-LN(2)/inputs!$C$51)*Y220+$Y$3), (EXP(-LN(2)/inputs!$C$51)*Y220))</f>
        <v>5.6020279022230696E-11</v>
      </c>
      <c r="Z221" s="8">
        <f>IF((U221&gt;U220), (EXP(-LN(2)/inputs!$C$51)*Z220+$Z$3), (EXP(-LN(2)/inputs!$C$51)*Z220))</f>
        <v>8.7142656256803198E-12</v>
      </c>
      <c r="AA221" s="8">
        <f>IF((U221&gt;U220), (EXP(-LN(2)/inputs!$C$51)*AA220+$AA$3), (EXP(-LN(2)/inputs!$C$51)*AA220))</f>
        <v>8.0918180809888738E-11</v>
      </c>
      <c r="AB221" s="7">
        <f>(((0.621*15^0.564)/0.2))*W221/15+AB220*inputs!$C$53</f>
        <v>1.1386494513371673E-10</v>
      </c>
      <c r="AC221" s="7">
        <f>(((0.621*1000^0.564)/0.2))*W221/1000+AC220*inputs!$C$53</f>
        <v>1.8245922680987044E-11</v>
      </c>
      <c r="AD221" s="7">
        <f>(((0.648*20^0.651)/0.2))*AA221/20+AD220*inputs!$C$54</f>
        <v>1.2188561182447621E-10</v>
      </c>
      <c r="AE221" s="7">
        <f>(((0.013*2^0.773)/0.2))*AA221/2+AE220*inputs!$C$54</f>
        <v>5.9435572127736253E-12</v>
      </c>
    </row>
    <row r="222" spans="1:31" x14ac:dyDescent="0.3">
      <c r="A222" s="7">
        <f>IF(A221&lt;(inputs!$C$20-1),(1+A221),0)</f>
        <v>0</v>
      </c>
      <c r="B222" s="7">
        <f>IF(inputs!$C$19&gt;B221,IF(A221=(inputs!$C$20-1),(B221+1),B221), B221)</f>
        <v>1</v>
      </c>
      <c r="C222" s="7">
        <f t="shared" si="7"/>
        <v>219</v>
      </c>
      <c r="D222" s="8">
        <f>IF((B222&gt;B221), (EXP(-LN(2)/inputs!$C$51)*D221+$D$3), (EXP(-LN(2)/inputs!$C$51)*D221))</f>
        <v>2.6214759825445858E-10</v>
      </c>
      <c r="E222" s="8">
        <f>IF((B222&gt;B221), (EXP(-LN(2)/inputs!$C$51)*E221+$E$3), (EXP(-LN(2)/inputs!$C$51)*E221))</f>
        <v>1.201509825332934E-10</v>
      </c>
      <c r="F222" s="8">
        <f>IF((B222&gt;B221), (EXP(-LN(2)/inputs!$C$51)*F221+$F$3), (EXP(-LN(2)/inputs!$C$51)*F221))</f>
        <v>1.4745802401813286E-10</v>
      </c>
      <c r="G222" s="8">
        <f>IF((B222&gt;B221), (EXP(-LN(2)/inputs!$C$51)*G221+$G$3), (EXP(-LN(2)/inputs!$C$51)*G221))</f>
        <v>1.6384224890903661E-11</v>
      </c>
      <c r="H222" s="8">
        <f>IF((B222&gt;B221), (EXP(-LN(2)/inputs!$C$51)*H221+$H$3), (EXP(-LN(2)/inputs!$C$51)*H221))</f>
        <v>1.0267447598299605E-10</v>
      </c>
      <c r="I222" s="7">
        <f>O222*(10^inputs!$C$55)*0.01/1</f>
        <v>0.65442650825950055</v>
      </c>
      <c r="J222" s="7">
        <f>(((0.621*15^0.564)/0.2))*D222/15+J221*inputs!$C$53</f>
        <v>2.8208776170354632E-10</v>
      </c>
      <c r="K222" s="7">
        <f>(((0.621*1000^0.564)/0.2))*D222/1000+K221*inputs!$C$53</f>
        <v>4.5202248007508436E-11</v>
      </c>
      <c r="L222" s="7">
        <f>(((0.648*20^0.651)/0.2))*H222/20+L221*inputs!$C$54</f>
        <v>1.5465673101755649E-10</v>
      </c>
      <c r="M222" s="7">
        <f>(((0.013*2^0.773)/0.2))*H222/2+M221*inputs!$C$54</f>
        <v>7.541588505681183E-12</v>
      </c>
      <c r="N222" s="7">
        <f>O222*0.015*inputs!$C$56</f>
        <v>9.6148080129939778E-2</v>
      </c>
      <c r="O222" s="7">
        <f>IF((B222&gt;B221), (EXP(-LN(2)/inputs!$C$52)*O221+$O$3), (EXP(-LN(2)/inputs!$C$52)*O221))</f>
        <v>1.037196117906578E-2</v>
      </c>
      <c r="P222" s="3">
        <f>IF((B222&gt;B221), (EXP(-LN(2)/inputs!$C$52)*P221+$P$3), (EXP(-LN(2)/inputs!$C$52)*P221))</f>
        <v>1.0022477131784261E-2</v>
      </c>
      <c r="Q222" s="19">
        <f>IF((F222*0.62*1/(0.012*(10^inputs!$C$55)))&gt;inputs!$C$57, inputs!$C$57, (F222*0.62*1/(0.012*(10^inputs!$C$55))))</f>
        <v>1.2074769619405471E-12</v>
      </c>
      <c r="R222" s="3">
        <f>IF((B222&gt;B221), (EXP(-LN(2)/inputs!$C$51)*R221+$R$3), (EXP(-LN(2)/inputs!$C$51)*R221))</f>
        <v>2.8055052463640349E-18</v>
      </c>
      <c r="T222" s="7">
        <f>IF(T221&lt;(inputs!$C$20-1),(1+T221),0)</f>
        <v>0</v>
      </c>
      <c r="U222" s="7">
        <f>IF(inputs!$C$19&gt;U221,IF(T221=(inputs!$C$20-1),(U221+1),U221), U221)</f>
        <v>1</v>
      </c>
      <c r="V222" s="7">
        <f t="shared" si="6"/>
        <v>219</v>
      </c>
      <c r="W222" s="8">
        <f>IF((U222&gt;U221), (EXP(-LN(2)/inputs!$C$51)*W221+$W$3), (EXP(-LN(2)/inputs!$C$51)*W221))</f>
        <v>9.2843941048453907E-11</v>
      </c>
      <c r="X222" s="8">
        <f>IF((U222&gt;U221), (EXP(-LN(2)/inputs!$C$51)*X221+$X$3), (EXP(-LN(2)/inputs!$C$51)*X221))</f>
        <v>3.9322139738168715E-11</v>
      </c>
      <c r="Y222" s="8">
        <f>IF((U222&gt;U221), (EXP(-LN(2)/inputs!$C$51)*Y221+$Y$3), (EXP(-LN(2)/inputs!$C$51)*Y221))</f>
        <v>4.9152674672710946E-11</v>
      </c>
      <c r="Z222" s="8">
        <f>IF((U222&gt;U221), (EXP(-LN(2)/inputs!$C$51)*Z221+$Z$3), (EXP(-LN(2)/inputs!$C$51)*Z221))</f>
        <v>7.6459716157550265E-12</v>
      </c>
      <c r="AA222" s="8">
        <f>IF((U222&gt;U221), (EXP(-LN(2)/inputs!$C$51)*AA221+$AA$3), (EXP(-LN(2)/inputs!$C$51)*AA221))</f>
        <v>7.0998307860582436E-11</v>
      </c>
      <c r="AB222" s="7">
        <f>(((0.621*15^0.564)/0.2))*W222/15+AB221*inputs!$C$53</f>
        <v>9.9906082270005795E-11</v>
      </c>
      <c r="AC222" s="7">
        <f>(((0.621*1000^0.564)/0.2))*W222/1000+AC221*inputs!$C$53</f>
        <v>1.6009129502659208E-11</v>
      </c>
      <c r="AD222" s="7">
        <f>(((0.648*20^0.651)/0.2))*AA222/20+AD221*inputs!$C$54</f>
        <v>1.0694348421426788E-10</v>
      </c>
      <c r="AE222" s="7">
        <f>(((0.013*2^0.773)/0.2))*AA222/2+AE221*inputs!$C$54</f>
        <v>5.2149282220135885E-12</v>
      </c>
    </row>
    <row r="223" spans="1:31" x14ac:dyDescent="0.3">
      <c r="A223" s="7">
        <f>IF(A222&lt;(inputs!$C$20-1),(1+A222),0)</f>
        <v>0</v>
      </c>
      <c r="B223" s="7">
        <f>IF(inputs!$C$19&gt;B222,IF(A222=(inputs!$C$20-1),(B222+1),B222), B222)</f>
        <v>1</v>
      </c>
      <c r="C223" s="7">
        <f t="shared" si="7"/>
        <v>220</v>
      </c>
      <c r="D223" s="8">
        <f>IF((B223&gt;B222), (EXP(-LN(2)/inputs!$C$51)*D222+$D$3), (EXP(-LN(2)/inputs!$C$51)*D222))</f>
        <v>2.3001055757185066E-10</v>
      </c>
      <c r="E223" s="8">
        <f>IF((B223&gt;B222), (EXP(-LN(2)/inputs!$C$51)*E222+$E$3), (EXP(-LN(2)/inputs!$C$51)*E222))</f>
        <v>1.0542150555376478E-10</v>
      </c>
      <c r="F223" s="8">
        <f>IF((B223&gt;B222), (EXP(-LN(2)/inputs!$C$51)*F222+$F$3), (EXP(-LN(2)/inputs!$C$51)*F222))</f>
        <v>1.2938093863416591E-10</v>
      </c>
      <c r="G223" s="8">
        <f>IF((B223&gt;B222), (EXP(-LN(2)/inputs!$C$51)*G222+$G$3), (EXP(-LN(2)/inputs!$C$51)*G222))</f>
        <v>1.4375659848240666E-11</v>
      </c>
      <c r="H223" s="8">
        <f>IF((B223&gt;B222), (EXP(-LN(2)/inputs!$C$51)*H222+$H$3), (EXP(-LN(2)/inputs!$C$51)*H222))</f>
        <v>9.0087468382307972E-11</v>
      </c>
      <c r="I223" s="7">
        <f>O223*(10^inputs!$C$55)*0.01/1</f>
        <v>0.64121999913665928</v>
      </c>
      <c r="J223" s="7">
        <f>(((0.621*15^0.564)/0.2))*D223/15+J222*inputs!$C$53</f>
        <v>2.4750622849745869E-10</v>
      </c>
      <c r="K223" s="7">
        <f>(((0.621*1000^0.564)/0.2))*D223/1000+K222*inputs!$C$53</f>
        <v>3.9660841209065928E-11</v>
      </c>
      <c r="L223" s="7">
        <f>(((0.648*20^0.651)/0.2))*H223/20+L222*inputs!$C$54</f>
        <v>1.3569714607516104E-10</v>
      </c>
      <c r="M223" s="7">
        <f>(((0.013*2^0.773)/0.2))*H223/2+M222*inputs!$C$54</f>
        <v>6.6170546238818576E-12</v>
      </c>
      <c r="N223" s="7">
        <f>O223*0.015*inputs!$C$56</f>
        <v>9.4207785106199371E-2</v>
      </c>
      <c r="O223" s="7">
        <f>IF((B223&gt;B222), (EXP(-LN(2)/inputs!$C$52)*O222+$O$3), (EXP(-LN(2)/inputs!$C$52)*O222))</f>
        <v>1.0162652115016114E-2</v>
      </c>
      <c r="P223" s="3">
        <f>IF((B223&gt;B222), (EXP(-LN(2)/inputs!$C$52)*P222+$P$3), (EXP(-LN(2)/inputs!$C$52)*P222))</f>
        <v>9.8202207531017955E-3</v>
      </c>
      <c r="Q223" s="19">
        <f>IF((F223*0.62*1/(0.012*(10^inputs!$C$55)))&gt;inputs!$C$57, inputs!$C$57, (F223*0.62*1/(0.012*(10^inputs!$C$55))))</f>
        <v>1.0594506725235118E-12</v>
      </c>
      <c r="R223" s="3">
        <f>IF((B223&gt;B222), (EXP(-LN(2)/inputs!$C$51)*R222+$R$3), (EXP(-LN(2)/inputs!$C$51)*R222))</f>
        <v>2.461574434721981E-18</v>
      </c>
      <c r="T223" s="7">
        <f>IF(T222&lt;(inputs!$C$20-1),(1+T222),0)</f>
        <v>0</v>
      </c>
      <c r="U223" s="7">
        <f>IF(inputs!$C$19&gt;U222,IF(T222=(inputs!$C$20-1),(U222+1),U222), U222)</f>
        <v>1</v>
      </c>
      <c r="V223" s="7">
        <f t="shared" si="6"/>
        <v>220</v>
      </c>
      <c r="W223" s="8">
        <f>IF((U223&gt;U222), (EXP(-LN(2)/inputs!$C$51)*W222+$W$3), (EXP(-LN(2)/inputs!$C$51)*W222))</f>
        <v>8.1462072473363621E-11</v>
      </c>
      <c r="X223" s="8">
        <f>IF((U223&gt;U222), (EXP(-LN(2)/inputs!$C$51)*X222+$X$3), (EXP(-LN(2)/inputs!$C$51)*X222))</f>
        <v>3.4501583635777533E-11</v>
      </c>
      <c r="Y223" s="8">
        <f>IF((U223&gt;U222), (EXP(-LN(2)/inputs!$C$51)*Y222+$Y$3), (EXP(-LN(2)/inputs!$C$51)*Y222))</f>
        <v>4.3126979544721961E-11</v>
      </c>
      <c r="Z223" s="8">
        <f>IF((U223&gt;U222), (EXP(-LN(2)/inputs!$C$51)*Z222+$Z$3), (EXP(-LN(2)/inputs!$C$51)*Z222))</f>
        <v>6.7086412625122969E-12</v>
      </c>
      <c r="AA223" s="8">
        <f>IF((U223&gt;U222), (EXP(-LN(2)/inputs!$C$51)*AA222+$AA$3), (EXP(-LN(2)/inputs!$C$51)*AA222))</f>
        <v>6.2294526009042804E-11</v>
      </c>
      <c r="AB223" s="7">
        <f>(((0.621*15^0.564)/0.2))*W223/15+AB222*inputs!$C$53</f>
        <v>8.7658455926183124E-11</v>
      </c>
      <c r="AC223" s="7">
        <f>(((0.621*1000^0.564)/0.2))*W223/1000+AC222*inputs!$C$53</f>
        <v>1.4046547928210822E-11</v>
      </c>
      <c r="AD223" s="7">
        <f>(((0.648*20^0.651)/0.2))*AA223/20+AD222*inputs!$C$54</f>
        <v>9.3833132924313575E-11</v>
      </c>
      <c r="AE223" s="7">
        <f>(((0.013*2^0.773)/0.2))*AA223/2+AE222*inputs!$C$54</f>
        <v>4.5756228782161827E-12</v>
      </c>
    </row>
    <row r="224" spans="1:31" x14ac:dyDescent="0.3">
      <c r="A224" s="7">
        <f>IF(A223&lt;(inputs!$C$20-1),(1+A223),0)</f>
        <v>0</v>
      </c>
      <c r="B224" s="7">
        <f>IF(inputs!$C$19&gt;B223,IF(A223=(inputs!$C$20-1),(B223+1),B223), B223)</f>
        <v>1</v>
      </c>
      <c r="C224" s="7">
        <f t="shared" si="7"/>
        <v>221</v>
      </c>
      <c r="D224" s="8">
        <f>IF((B224&gt;B223), (EXP(-LN(2)/inputs!$C$51)*D223+$D$3), (EXP(-LN(2)/inputs!$C$51)*D223))</f>
        <v>2.0181324165007421E-10</v>
      </c>
      <c r="E224" s="8">
        <f>IF((B224&gt;B223), (EXP(-LN(2)/inputs!$C$51)*E223+$E$3), (EXP(-LN(2)/inputs!$C$51)*E223))</f>
        <v>9.2497735756283927E-11</v>
      </c>
      <c r="F224" s="8">
        <f>IF((B224&gt;B223), (EXP(-LN(2)/inputs!$C$51)*F223+$F$3), (EXP(-LN(2)/inputs!$C$51)*F223))</f>
        <v>1.1351994842816667E-10</v>
      </c>
      <c r="G224" s="8">
        <f>IF((B224&gt;B223), (EXP(-LN(2)/inputs!$C$51)*G223+$G$3), (EXP(-LN(2)/inputs!$C$51)*G223))</f>
        <v>1.2613327603129638E-11</v>
      </c>
      <c r="H224" s="8">
        <f>IF((B224&gt;B223), (EXP(-LN(2)/inputs!$C$51)*H223+$H$3), (EXP(-LN(2)/inputs!$C$51)*H223))</f>
        <v>7.9043519646278889E-11</v>
      </c>
      <c r="I224" s="7">
        <f>O224*(10^inputs!$C$55)*0.01/1</f>
        <v>0.62828000104448456</v>
      </c>
      <c r="J224" s="7">
        <f>(((0.621*15^0.564)/0.2))*D224/15+J223*inputs!$C$53</f>
        <v>2.1716409380927105E-10</v>
      </c>
      <c r="K224" s="7">
        <f>(((0.621*1000^0.564)/0.2))*D224/1000+K223*inputs!$C$53</f>
        <v>3.4798763219684516E-11</v>
      </c>
      <c r="L224" s="7">
        <f>(((0.648*20^0.651)/0.2))*H224/20+L223*inputs!$C$54</f>
        <v>1.1906184316577391E-10</v>
      </c>
      <c r="M224" s="7">
        <f>(((0.013*2^0.773)/0.2))*H224/2+M223*inputs!$C$54</f>
        <v>5.8058606436100456E-12</v>
      </c>
      <c r="N224" s="7">
        <f>O224*0.015*inputs!$C$56</f>
        <v>9.2306645776197863E-2</v>
      </c>
      <c r="O224" s="7">
        <f>IF((B224&gt;B223), (EXP(-LN(2)/inputs!$C$52)*O223+$O$3), (EXP(-LN(2)/inputs!$C$52)*O223))</f>
        <v>9.9575669661486378E-3</v>
      </c>
      <c r="P224" s="3">
        <f>IF((B224&gt;B223), (EXP(-LN(2)/inputs!$C$52)*P223+$P$3), (EXP(-LN(2)/inputs!$C$52)*P223))</f>
        <v>9.62204596444741E-3</v>
      </c>
      <c r="Q224" s="19">
        <f>IF((F224*0.62*1/(0.012*(10^inputs!$C$55)))&gt;inputs!$C$57, inputs!$C$57, (F224*0.62*1/(0.012*(10^inputs!$C$55))))</f>
        <v>9.2957113294041234E-13</v>
      </c>
      <c r="R224" s="3">
        <f>IF((B224&gt;B223), (EXP(-LN(2)/inputs!$C$51)*R223+$R$3), (EXP(-LN(2)/inputs!$C$51)*R223))</f>
        <v>2.1598065822652881E-18</v>
      </c>
      <c r="T224" s="7">
        <f>IF(T223&lt;(inputs!$C$20-1),(1+T223),0)</f>
        <v>0</v>
      </c>
      <c r="U224" s="7">
        <f>IF(inputs!$C$19&gt;U223,IF(T223=(inputs!$C$20-1),(U223+1),U223), U223)</f>
        <v>1</v>
      </c>
      <c r="V224" s="7">
        <f t="shared" si="6"/>
        <v>221</v>
      </c>
      <c r="W224" s="8">
        <f>IF((U224&gt;U223), (EXP(-LN(2)/inputs!$C$51)*W223+$W$3), (EXP(-LN(2)/inputs!$C$51)*W223))</f>
        <v>7.1475523084401156E-11</v>
      </c>
      <c r="X224" s="8">
        <f>IF((U224&gt;U223), (EXP(-LN(2)/inputs!$C$51)*X223+$X$3), (EXP(-LN(2)/inputs!$C$51)*X223))</f>
        <v>3.0271986247511075E-11</v>
      </c>
      <c r="Y224" s="8">
        <f>IF((U224&gt;U223), (EXP(-LN(2)/inputs!$C$51)*Y223+$Y$3), (EXP(-LN(2)/inputs!$C$51)*Y223))</f>
        <v>3.7839982809388886E-11</v>
      </c>
      <c r="Z224" s="8">
        <f>IF((U224&gt;U223), (EXP(-LN(2)/inputs!$C$51)*Z223+$Z$3), (EXP(-LN(2)/inputs!$C$51)*Z223))</f>
        <v>5.8862195481271529E-12</v>
      </c>
      <c r="AA224" s="8">
        <f>IF((U224&gt;U223), (EXP(-LN(2)/inputs!$C$51)*AA223+$AA$3), (EXP(-LN(2)/inputs!$C$51)*AA223))</f>
        <v>5.4657752946895028E-11</v>
      </c>
      <c r="AB224" s="7">
        <f>(((0.621*15^0.564)/0.2))*W224/15+AB223*inputs!$C$53</f>
        <v>7.6912283224116692E-11</v>
      </c>
      <c r="AC224" s="7">
        <f>(((0.621*1000^0.564)/0.2))*W224/1000+AC223*inputs!$C$53</f>
        <v>1.2324561973638243E-11</v>
      </c>
      <c r="AD224" s="7">
        <f>(((0.648*20^0.651)/0.2))*AA224/20+AD223*inputs!$C$54</f>
        <v>8.2329997933779914E-11</v>
      </c>
      <c r="AE224" s="7">
        <f>(((0.013*2^0.773)/0.2))*AA224/2+AE223*inputs!$C$54</f>
        <v>4.0146908705814179E-12</v>
      </c>
    </row>
    <row r="225" spans="1:31" x14ac:dyDescent="0.3">
      <c r="A225" s="7">
        <f>IF(A224&lt;(inputs!$C$20-1),(1+A224),0)</f>
        <v>0</v>
      </c>
      <c r="B225" s="7">
        <f>IF(inputs!$C$19&gt;B224,IF(A224=(inputs!$C$20-1),(B224+1),B224), B224)</f>
        <v>1</v>
      </c>
      <c r="C225" s="7">
        <f t="shared" si="7"/>
        <v>222</v>
      </c>
      <c r="D225" s="8">
        <f>IF((B225&gt;B224), (EXP(-LN(2)/inputs!$C$51)*D224+$D$3), (EXP(-LN(2)/inputs!$C$51)*D224))</f>
        <v>1.7707267412100623E-10</v>
      </c>
      <c r="E225" s="8">
        <f>IF((B225&gt;B224), (EXP(-LN(2)/inputs!$C$51)*E224+$E$3), (EXP(-LN(2)/inputs!$C$51)*E224))</f>
        <v>8.1158308972127768E-11</v>
      </c>
      <c r="F225" s="8">
        <f>IF((B225&gt;B224), (EXP(-LN(2)/inputs!$C$51)*F224+$F$3), (EXP(-LN(2)/inputs!$C$51)*F224))</f>
        <v>9.9603379193065935E-11</v>
      </c>
      <c r="G225" s="8">
        <f>IF((B225&gt;B224), (EXP(-LN(2)/inputs!$C$51)*G224+$G$3), (EXP(-LN(2)/inputs!$C$51)*G224))</f>
        <v>1.1067042132562889E-11</v>
      </c>
      <c r="H225" s="8">
        <f>IF((B225&gt;B224), (EXP(-LN(2)/inputs!$C$51)*H224+$H$3), (EXP(-LN(2)/inputs!$C$51)*H224))</f>
        <v>6.9353464030727286E-11</v>
      </c>
      <c r="I225" s="7">
        <f>O225*(10^inputs!$C$55)*0.01/1</f>
        <v>0.61560113571618313</v>
      </c>
      <c r="J225" s="7">
        <f>(((0.621*15^0.564)/0.2))*D225/15+J224*inputs!$C$53</f>
        <v>1.9054164384588854E-10</v>
      </c>
      <c r="K225" s="7">
        <f>(((0.621*1000^0.564)/0.2))*D225/1000+K224*inputs!$C$53</f>
        <v>3.0532734170622188E-11</v>
      </c>
      <c r="L225" s="7">
        <f>(((0.648*20^0.651)/0.2))*H225/20+L224*inputs!$C$54</f>
        <v>1.0446588530446749E-10</v>
      </c>
      <c r="M225" s="7">
        <f>(((0.013*2^0.773)/0.2))*H225/2+M224*inputs!$C$54</f>
        <v>5.0941120678319921E-12</v>
      </c>
      <c r="N225" s="7">
        <f>O225*0.015*inputs!$C$56</f>
        <v>9.0443871967135048E-2</v>
      </c>
      <c r="O225" s="7">
        <f>IF((B225&gt;B224), (EXP(-LN(2)/inputs!$C$52)*O224+$O$3), (EXP(-LN(2)/inputs!$C$52)*O224))</f>
        <v>9.7566204926790769E-3</v>
      </c>
      <c r="P225" s="3">
        <f>IF((B225&gt;B224), (EXP(-LN(2)/inputs!$C$52)*P224+$P$3), (EXP(-LN(2)/inputs!$C$52)*P224))</f>
        <v>9.427870398198061E-3</v>
      </c>
      <c r="Q225" s="19">
        <f>IF((F225*0.62*1/(0.012*(10^inputs!$C$55)))&gt;inputs!$C$57, inputs!$C$57, (F225*0.62*1/(0.012*(10^inputs!$C$55))))</f>
        <v>8.1561370775093357E-13</v>
      </c>
      <c r="R225" s="3">
        <f>IF((B225&gt;B224), (EXP(-LN(2)/inputs!$C$51)*R224+$R$3), (EXP(-LN(2)/inputs!$C$51)*R224))</f>
        <v>1.895032872862656E-18</v>
      </c>
      <c r="T225" s="7">
        <f>IF(T224&lt;(inputs!$C$20-1),(1+T224),0)</f>
        <v>0</v>
      </c>
      <c r="U225" s="7">
        <f>IF(inputs!$C$19&gt;U224,IF(T224=(inputs!$C$20-1),(U224+1),U224), U224)</f>
        <v>1</v>
      </c>
      <c r="V225" s="7">
        <f t="shared" si="6"/>
        <v>222</v>
      </c>
      <c r="W225" s="8">
        <f>IF((U225&gt;U224), (EXP(-LN(2)/inputs!$C$51)*W224+$W$3), (EXP(-LN(2)/inputs!$C$51)*W224))</f>
        <v>6.2713238751189589E-11</v>
      </c>
      <c r="X225" s="8">
        <f>IF((U225&gt;U224), (EXP(-LN(2)/inputs!$C$51)*X224+$X$3), (EXP(-LN(2)/inputs!$C$51)*X224))</f>
        <v>2.6560901118150882E-11</v>
      </c>
      <c r="Y225" s="8">
        <f>IF((U225&gt;U224), (EXP(-LN(2)/inputs!$C$51)*Y224+$Y$3), (EXP(-LN(2)/inputs!$C$51)*Y224))</f>
        <v>3.3201126397688641E-11</v>
      </c>
      <c r="Z225" s="8">
        <f>IF((U225&gt;U224), (EXP(-LN(2)/inputs!$C$51)*Z224+$Z$3), (EXP(-LN(2)/inputs!$C$51)*Z224))</f>
        <v>5.1646196618626715E-12</v>
      </c>
      <c r="AA225" s="8">
        <f>IF((U225&gt;U224), (EXP(-LN(2)/inputs!$C$51)*AA224+$AA$3), (EXP(-LN(2)/inputs!$C$51)*AA224))</f>
        <v>4.7957182574439121E-11</v>
      </c>
      <c r="AB225" s="7">
        <f>(((0.621*15^0.564)/0.2))*W225/15+AB224*inputs!$C$53</f>
        <v>6.7483498862085397E-11</v>
      </c>
      <c r="AC225" s="7">
        <f>(((0.621*1000^0.564)/0.2))*W225/1000+AC224*inputs!$C$53</f>
        <v>1.081367668542867E-11</v>
      </c>
      <c r="AD225" s="7">
        <f>(((0.648*20^0.651)/0.2))*AA225/20+AD224*inputs!$C$54</f>
        <v>7.2237048348833971E-11</v>
      </c>
      <c r="AE225" s="7">
        <f>(((0.013*2^0.773)/0.2))*AA225/2+AE224*inputs!$C$54</f>
        <v>3.522524302224253E-12</v>
      </c>
    </row>
    <row r="226" spans="1:31" x14ac:dyDescent="0.3">
      <c r="A226" s="7">
        <f>IF(A225&lt;(inputs!$C$20-1),(1+A225),0)</f>
        <v>0</v>
      </c>
      <c r="B226" s="7">
        <f>IF(inputs!$C$19&gt;B225,IF(A225=(inputs!$C$20-1),(B225+1),B225), B225)</f>
        <v>1</v>
      </c>
      <c r="C226" s="7">
        <f t="shared" si="7"/>
        <v>223</v>
      </c>
      <c r="D226" s="8">
        <f>IF((B226&gt;B225), (EXP(-LN(2)/inputs!$C$51)*D225+$D$3), (EXP(-LN(2)/inputs!$C$51)*D225))</f>
        <v>1.5536508736493277E-10</v>
      </c>
      <c r="E226" s="8">
        <f>IF((B226&gt;B225), (EXP(-LN(2)/inputs!$C$51)*E225+$E$3), (EXP(-LN(2)/inputs!$C$51)*E225))</f>
        <v>7.1208998375594109E-11</v>
      </c>
      <c r="F226" s="8">
        <f>IF((B226&gt;B225), (EXP(-LN(2)/inputs!$C$51)*F225+$F$3), (EXP(-LN(2)/inputs!$C$51)*F225))</f>
        <v>8.7392861642774614E-11</v>
      </c>
      <c r="G226" s="8">
        <f>IF((B226&gt;B225), (EXP(-LN(2)/inputs!$C$51)*G225+$G$3), (EXP(-LN(2)/inputs!$C$51)*G225))</f>
        <v>9.7103179603082979E-12</v>
      </c>
      <c r="H226" s="8">
        <f>IF((B226&gt;B225), (EXP(-LN(2)/inputs!$C$51)*H225+$H$3), (EXP(-LN(2)/inputs!$C$51)*H225))</f>
        <v>6.0851325884598525E-11</v>
      </c>
      <c r="I226" s="7">
        <f>O226*(10^inputs!$C$55)*0.01/1</f>
        <v>0.60317813341988324</v>
      </c>
      <c r="J226" s="7">
        <f>(((0.621*15^0.564)/0.2))*D226/15+J225*inputs!$C$53</f>
        <v>1.6718287725492984E-10</v>
      </c>
      <c r="K226" s="7">
        <f>(((0.621*1000^0.564)/0.2))*D226/1000+K225*inputs!$C$53</f>
        <v>2.6789683588712652E-11</v>
      </c>
      <c r="L226" s="7">
        <f>(((0.648*20^0.651)/0.2))*H226/20+L225*inputs!$C$54</f>
        <v>9.1659266329779901E-11</v>
      </c>
      <c r="M226" s="7">
        <f>(((0.013*2^0.773)/0.2))*H226/2+M225*inputs!$C$54</f>
        <v>4.46961774533672E-12</v>
      </c>
      <c r="N226" s="7">
        <f>O226*0.015*inputs!$C$56</f>
        <v>8.8618689452117747E-2</v>
      </c>
      <c r="O226" s="7">
        <f>IF((B226&gt;B225), (EXP(-LN(2)/inputs!$C$52)*O225+$O$3), (EXP(-LN(2)/inputs!$C$52)*O225))</f>
        <v>9.5597291749857337E-3</v>
      </c>
      <c r="P226" s="3">
        <f>IF((B226&gt;B225), (EXP(-LN(2)/inputs!$C$52)*P225+$P$3), (EXP(-LN(2)/inputs!$C$52)*P225))</f>
        <v>9.2376133489322689E-3</v>
      </c>
      <c r="Q226" s="19">
        <f>IF((F226*0.62*1/(0.012*(10^inputs!$C$55)))&gt;inputs!$C$57, inputs!$C$57, (F226*0.62*1/(0.012*(10^inputs!$C$55))))</f>
        <v>7.1562648268453469E-13</v>
      </c>
      <c r="R226" s="3">
        <f>IF((B226&gt;B225), (EXP(-LN(2)/inputs!$C$51)*R225+$R$3), (EXP(-LN(2)/inputs!$C$51)*R225))</f>
        <v>1.6627181427808946E-18</v>
      </c>
      <c r="T226" s="7">
        <f>IF(T225&lt;(inputs!$C$20-1),(1+T225),0)</f>
        <v>0</v>
      </c>
      <c r="U226" s="7">
        <f>IF(inputs!$C$19&gt;U225,IF(T225=(inputs!$C$20-1),(U225+1),U225), U225)</f>
        <v>1</v>
      </c>
      <c r="V226" s="7">
        <f t="shared" si="6"/>
        <v>223</v>
      </c>
      <c r="W226" s="8">
        <f>IF((U226&gt;U225), (EXP(-LN(2)/inputs!$C$51)*W225+$W$3), (EXP(-LN(2)/inputs!$C$51)*W225))</f>
        <v>5.5025135108413586E-11</v>
      </c>
      <c r="X226" s="8">
        <f>IF((U226&gt;U225), (EXP(-LN(2)/inputs!$C$51)*X225+$X$3), (EXP(-LN(2)/inputs!$C$51)*X225))</f>
        <v>2.3304763104739867E-11</v>
      </c>
      <c r="Y226" s="8">
        <f>IF((U226&gt;U225), (EXP(-LN(2)/inputs!$C$51)*Y225+$Y$3), (EXP(-LN(2)/inputs!$C$51)*Y225))</f>
        <v>2.9130953880924871E-11</v>
      </c>
      <c r="Z226" s="8">
        <f>IF((U226&gt;U225), (EXP(-LN(2)/inputs!$C$51)*Z225+$Z$3), (EXP(-LN(2)/inputs!$C$51)*Z225))</f>
        <v>4.5314817148105301E-12</v>
      </c>
      <c r="AA226" s="8">
        <f>IF((U226&gt;U225), (EXP(-LN(2)/inputs!$C$51)*AA225+$AA$3), (EXP(-LN(2)/inputs!$C$51)*AA225))</f>
        <v>4.2078044494669232E-11</v>
      </c>
      <c r="AB226" s="7">
        <f>(((0.621*15^0.564)/0.2))*W226/15+AB225*inputs!$C$53</f>
        <v>5.9210602361120877E-11</v>
      </c>
      <c r="AC226" s="7">
        <f>(((0.621*1000^0.564)/0.2))*W226/1000+AC225*inputs!$C$53</f>
        <v>9.4880129376690451E-12</v>
      </c>
      <c r="AD226" s="7">
        <f>(((0.648*20^0.651)/0.2))*AA226/20+AD225*inputs!$C$54</f>
        <v>6.3381407568464893E-11</v>
      </c>
      <c r="AE226" s="7">
        <f>(((0.013*2^0.773)/0.2))*AA226/2+AE225*inputs!$C$54</f>
        <v>3.0906931217753949E-12</v>
      </c>
    </row>
    <row r="227" spans="1:31" x14ac:dyDescent="0.3">
      <c r="A227" s="7">
        <f>IF(A226&lt;(inputs!$C$20-1),(1+A226),0)</f>
        <v>0</v>
      </c>
      <c r="B227" s="7">
        <f>IF(inputs!$C$19&gt;B226,IF(A226=(inputs!$C$20-1),(B226+1),B226), B226)</f>
        <v>1</v>
      </c>
      <c r="C227" s="7">
        <f t="shared" si="7"/>
        <v>224</v>
      </c>
      <c r="D227" s="8">
        <f>IF((B227&gt;B226), (EXP(-LN(2)/inputs!$C$51)*D226+$D$3), (EXP(-LN(2)/inputs!$C$51)*D226))</f>
        <v>1.3631866402727833E-10</v>
      </c>
      <c r="E227" s="8">
        <f>IF((B227&gt;B226), (EXP(-LN(2)/inputs!$C$51)*E226+$E$3), (EXP(-LN(2)/inputs!$C$51)*E226))</f>
        <v>6.2479387679169168E-11</v>
      </c>
      <c r="F227" s="8">
        <f>IF((B227&gt;B226), (EXP(-LN(2)/inputs!$C$51)*F226+$F$3), (EXP(-LN(2)/inputs!$C$51)*F226))</f>
        <v>7.6679248515343996E-11</v>
      </c>
      <c r="G227" s="8">
        <f>IF((B227&gt;B226), (EXP(-LN(2)/inputs!$C$51)*G226+$G$3), (EXP(-LN(2)/inputs!$C$51)*G226))</f>
        <v>8.5199165017048955E-12</v>
      </c>
      <c r="H227" s="8">
        <f>IF((B227&gt;B226), (EXP(-LN(2)/inputs!$C$51)*H226+$H$3), (EXP(-LN(2)/inputs!$C$51)*H226))</f>
        <v>5.3391476744017219E-11</v>
      </c>
      <c r="I227" s="7">
        <f>O227*(10^inputs!$C$55)*0.01/1</f>
        <v>0.59100583076836954</v>
      </c>
      <c r="J227" s="7">
        <f>(((0.621*15^0.564)/0.2))*D227/15+J226*inputs!$C$53</f>
        <v>1.4668769452751858E-10</v>
      </c>
      <c r="K227" s="7">
        <f>(((0.621*1000^0.564)/0.2))*D227/1000+K226*inputs!$C$53</f>
        <v>2.3505498812283898E-11</v>
      </c>
      <c r="L227" s="7">
        <f>(((0.648*20^0.651)/0.2))*H227/20+L226*inputs!$C$54</f>
        <v>8.0422628685215737E-11</v>
      </c>
      <c r="M227" s="7">
        <f>(((0.013*2^0.773)/0.2))*H227/2+M226*inputs!$C$54</f>
        <v>3.921681055189495E-12</v>
      </c>
      <c r="N227" s="7">
        <f>O227*0.015*inputs!$C$56</f>
        <v>8.6830339628367115E-2</v>
      </c>
      <c r="O227" s="7">
        <f>IF((B227&gt;B226), (EXP(-LN(2)/inputs!$C$52)*O226+$O$3), (EXP(-LN(2)/inputs!$C$52)*O226))</f>
        <v>9.366811178896128E-3</v>
      </c>
      <c r="P227" s="3">
        <f>IF((B227&gt;B226), (EXP(-LN(2)/inputs!$C$52)*P226+$P$3), (EXP(-LN(2)/inputs!$C$52)*P226))</f>
        <v>9.0511957398864279E-3</v>
      </c>
      <c r="Q227" s="19">
        <f>IF((F227*0.62*1/(0.012*(10^inputs!$C$55)))&gt;inputs!$C$57, inputs!$C$57, (F227*0.62*1/(0.012*(10^inputs!$C$55))))</f>
        <v>6.2789683137084639E-13</v>
      </c>
      <c r="R227" s="3">
        <f>IF((B227&gt;B226), (EXP(-LN(2)/inputs!$C$51)*R226+$R$3), (EXP(-LN(2)/inputs!$C$51)*R226))</f>
        <v>1.4588832003512778E-18</v>
      </c>
      <c r="T227" s="7">
        <f>IF(T226&lt;(inputs!$C$20-1),(1+T226),0)</f>
        <v>0</v>
      </c>
      <c r="U227" s="7">
        <f>IF(inputs!$C$19&gt;U226,IF(T226=(inputs!$C$20-1),(U226+1),U226), U226)</f>
        <v>1</v>
      </c>
      <c r="V227" s="7">
        <f t="shared" si="6"/>
        <v>224</v>
      </c>
      <c r="W227" s="8">
        <f>IF((U227&gt;U226), (EXP(-LN(2)/inputs!$C$51)*W226+$W$3), (EXP(-LN(2)/inputs!$C$51)*W226))</f>
        <v>4.827952684299432E-11</v>
      </c>
      <c r="X227" s="8">
        <f>IF((U227&gt;U226), (EXP(-LN(2)/inputs!$C$51)*X226+$X$3), (EXP(-LN(2)/inputs!$C$51)*X226))</f>
        <v>2.0447799604091708E-11</v>
      </c>
      <c r="Y227" s="8">
        <f>IF((U227&gt;U226), (EXP(-LN(2)/inputs!$C$51)*Y226+$Y$3), (EXP(-LN(2)/inputs!$C$51)*Y226))</f>
        <v>2.5559749505114669E-11</v>
      </c>
      <c r="Z227" s="8">
        <f>IF((U227&gt;U226), (EXP(-LN(2)/inputs!$C$51)*Z226+$Z$3), (EXP(-LN(2)/inputs!$C$51)*Z226))</f>
        <v>3.9759610341289431E-12</v>
      </c>
      <c r="AA227" s="8">
        <f>IF((U227&gt;U226), (EXP(-LN(2)/inputs!$C$51)*AA226+$AA$3), (EXP(-LN(2)/inputs!$C$51)*AA226))</f>
        <v>3.6919638174054496E-11</v>
      </c>
      <c r="AB227" s="7">
        <f>(((0.621*15^0.564)/0.2))*W227/15+AB226*inputs!$C$53</f>
        <v>5.1951891811829399E-11</v>
      </c>
      <c r="AC227" s="7">
        <f>(((0.621*1000^0.564)/0.2))*W227/1000+AC226*inputs!$C$53</f>
        <v>8.3248641626838664E-12</v>
      </c>
      <c r="AD227" s="7">
        <f>(((0.648*20^0.651)/0.2))*AA227/20+AD226*inputs!$C$54</f>
        <v>5.5611392175947111E-11</v>
      </c>
      <c r="AE227" s="7">
        <f>(((0.013*2^0.773)/0.2))*AA227/2+AE226*inputs!$C$54</f>
        <v>2.7118007296523132E-12</v>
      </c>
    </row>
    <row r="228" spans="1:31" x14ac:dyDescent="0.3">
      <c r="A228" s="7">
        <f>IF(A227&lt;(inputs!$C$20-1),(1+A227),0)</f>
        <v>0</v>
      </c>
      <c r="B228" s="7">
        <f>IF(inputs!$C$19&gt;B227,IF(A227=(inputs!$C$20-1),(B227+1),B227), B227)</f>
        <v>1</v>
      </c>
      <c r="C228" s="7">
        <f t="shared" si="7"/>
        <v>225</v>
      </c>
      <c r="D228" s="8">
        <f>IF((B228&gt;B227), (EXP(-LN(2)/inputs!$C$51)*D227+$D$3), (EXP(-LN(2)/inputs!$C$51)*D227))</f>
        <v>1.1960716836295024E-10</v>
      </c>
      <c r="E228" s="8">
        <f>IF((B228&gt;B227), (EXP(-LN(2)/inputs!$C$51)*E227+$E$3), (EXP(-LN(2)/inputs!$C$51)*E227))</f>
        <v>5.4819952166352137E-11</v>
      </c>
      <c r="F228" s="8">
        <f>IF((B228&gt;B227), (EXP(-LN(2)/inputs!$C$51)*F227+$F$3), (EXP(-LN(2)/inputs!$C$51)*F227))</f>
        <v>6.7279032204159455E-11</v>
      </c>
      <c r="G228" s="8">
        <f>IF((B228&gt;B227), (EXP(-LN(2)/inputs!$C$51)*G227+$G$3), (EXP(-LN(2)/inputs!$C$51)*G227))</f>
        <v>7.47544802268439E-12</v>
      </c>
      <c r="H228" s="8">
        <f>IF((B228&gt;B227), (EXP(-LN(2)/inputs!$C$51)*H227+$H$3), (EXP(-LN(2)/inputs!$C$51)*H227))</f>
        <v>4.6846140942155402E-11</v>
      </c>
      <c r="I228" s="7">
        <f>O228*(10^inputs!$C$55)*0.01/1</f>
        <v>0.57907916857301744</v>
      </c>
      <c r="J228" s="7">
        <f>(((0.621*15^0.564)/0.2))*D228/15+J227*inputs!$C$53</f>
        <v>1.287050449131094E-10</v>
      </c>
      <c r="K228" s="7">
        <f>(((0.621*1000^0.564)/0.2))*D228/1000+K227*inputs!$C$53</f>
        <v>2.0623926840519663E-11</v>
      </c>
      <c r="L228" s="7">
        <f>(((0.648*20^0.651)/0.2))*H228/20+L227*inputs!$C$54</f>
        <v>7.0563506163901193E-11</v>
      </c>
      <c r="M228" s="7">
        <f>(((0.013*2^0.773)/0.2))*H228/2+M227*inputs!$C$54</f>
        <v>3.440916690175161E-12</v>
      </c>
      <c r="N228" s="7">
        <f>O228*0.015*inputs!$C$56</f>
        <v>8.5078079201919468E-2</v>
      </c>
      <c r="O228" s="7">
        <f>IF((B228&gt;B227), (EXP(-LN(2)/inputs!$C$52)*O227+$O$3), (EXP(-LN(2)/inputs!$C$52)*O227))</f>
        <v>9.1777863216741598E-3</v>
      </c>
      <c r="P228" s="3">
        <f>IF((B228&gt;B227), (EXP(-LN(2)/inputs!$C$52)*P227+$P$3), (EXP(-LN(2)/inputs!$C$52)*P227))</f>
        <v>8.8685400900880354E-3</v>
      </c>
      <c r="Q228" s="19">
        <f>IF((F228*0.62*1/(0.012*(10^inputs!$C$55)))&gt;inputs!$C$57, inputs!$C$57, (F228*0.62*1/(0.012*(10^inputs!$C$55))))</f>
        <v>5.5092208070134522E-13</v>
      </c>
      <c r="R228" s="3">
        <f>IF((B228&gt;B227), (EXP(-LN(2)/inputs!$C$51)*R227+$R$3), (EXP(-LN(2)/inputs!$C$51)*R227))</f>
        <v>1.2800366685766352E-18</v>
      </c>
      <c r="T228" s="7">
        <f>IF(T227&lt;(inputs!$C$20-1),(1+T227),0)</f>
        <v>0</v>
      </c>
      <c r="U228" s="7">
        <f>IF(inputs!$C$19&gt;U227,IF(T227=(inputs!$C$20-1),(U227+1),U227), U227)</f>
        <v>1</v>
      </c>
      <c r="V228" s="7">
        <f t="shared" si="6"/>
        <v>225</v>
      </c>
      <c r="W228" s="8">
        <f>IF((U228&gt;U227), (EXP(-LN(2)/inputs!$C$51)*W227+$W$3), (EXP(-LN(2)/inputs!$C$51)*W227))</f>
        <v>4.23608721285448E-11</v>
      </c>
      <c r="X228" s="8">
        <f>IF((U228&gt;U227), (EXP(-LN(2)/inputs!$C$51)*X227+$X$3), (EXP(-LN(2)/inputs!$C$51)*X227))</f>
        <v>1.79410752544425E-11</v>
      </c>
      <c r="Y228" s="8">
        <f>IF((U228&gt;U227), (EXP(-LN(2)/inputs!$C$51)*Y227+$Y$3), (EXP(-LN(2)/inputs!$C$51)*Y227))</f>
        <v>2.2426344068053154E-11</v>
      </c>
      <c r="Z228" s="8">
        <f>IF((U228&gt;U227), (EXP(-LN(2)/inputs!$C$51)*Z227+$Z$3), (EXP(-LN(2)/inputs!$C$51)*Z227))</f>
        <v>3.4885424105860416E-12</v>
      </c>
      <c r="AA228" s="8">
        <f>IF((U228&gt;U227), (EXP(-LN(2)/inputs!$C$51)*AA227+$AA$3), (EXP(-LN(2)/inputs!$C$51)*AA227))</f>
        <v>3.2393608098298977E-11</v>
      </c>
      <c r="AB228" s="7">
        <f>(((0.621*15^0.564)/0.2))*W228/15+AB227*inputs!$C$53</f>
        <v>4.5583036740059495E-11</v>
      </c>
      <c r="AC228" s="7">
        <f>(((0.621*1000^0.564)/0.2))*W228/1000+AC227*inputs!$C$53</f>
        <v>7.3043074226840342E-12</v>
      </c>
      <c r="AD228" s="7">
        <f>(((0.648*20^0.651)/0.2))*AA228/20+AD227*inputs!$C$54</f>
        <v>4.8793913836740239E-11</v>
      </c>
      <c r="AE228" s="7">
        <f>(((0.013*2^0.773)/0.2))*AA228/2+AE227*inputs!$C$54</f>
        <v>2.3793572857594219E-12</v>
      </c>
    </row>
    <row r="229" spans="1:31" x14ac:dyDescent="0.3">
      <c r="A229" s="7">
        <f>IF(A228&lt;(inputs!$C$20-1),(1+A228),0)</f>
        <v>0</v>
      </c>
      <c r="B229" s="7">
        <f>IF(inputs!$C$19&gt;B228,IF(A228=(inputs!$C$20-1),(B228+1),B228), B228)</f>
        <v>1</v>
      </c>
      <c r="C229" s="7">
        <f t="shared" si="7"/>
        <v>226</v>
      </c>
      <c r="D229" s="8">
        <f>IF((B229&gt;B228), (EXP(-LN(2)/inputs!$C$51)*D228+$D$3), (EXP(-LN(2)/inputs!$C$51)*D228))</f>
        <v>1.049443583230864E-10</v>
      </c>
      <c r="E229" s="8">
        <f>IF((B229&gt;B228), (EXP(-LN(2)/inputs!$C$51)*E228+$E$3), (EXP(-LN(2)/inputs!$C$51)*E228))</f>
        <v>4.8099497564747884E-11</v>
      </c>
      <c r="F229" s="8">
        <f>IF((B229&gt;B228), (EXP(-LN(2)/inputs!$C$51)*F228+$F$3), (EXP(-LN(2)/inputs!$C$51)*F228))</f>
        <v>5.9031201556736048E-11</v>
      </c>
      <c r="G229" s="8">
        <f>IF((B229&gt;B228), (EXP(-LN(2)/inputs!$C$51)*G228+$G$3), (EXP(-LN(2)/inputs!$C$51)*G228))</f>
        <v>6.5590223951929003E-12</v>
      </c>
      <c r="H229" s="8">
        <f>IF((B229&gt;B228), (EXP(-LN(2)/inputs!$C$51)*H228+$H$3), (EXP(-LN(2)/inputs!$C$51)*H228))</f>
        <v>4.1103207009875414E-11</v>
      </c>
      <c r="I229" s="7">
        <f>O229*(10^inputs!$C$55)*0.01/1</f>
        <v>0.56739318974103781</v>
      </c>
      <c r="J229" s="7">
        <f>(((0.621*15^0.564)/0.2))*D229/15+J228*inputs!$C$53</f>
        <v>1.1292691346360972E-10</v>
      </c>
      <c r="K229" s="7">
        <f>(((0.621*1000^0.564)/0.2))*D229/1000+K228*inputs!$C$53</f>
        <v>1.8095610806643366E-11</v>
      </c>
      <c r="L229" s="7">
        <f>(((0.648*20^0.651)/0.2))*H229/20+L228*inputs!$C$54</f>
        <v>6.1913027260426538E-11</v>
      </c>
      <c r="M229" s="7">
        <f>(((0.013*2^0.773)/0.2))*H229/2+M228*inputs!$C$54</f>
        <v>3.0190899010153906E-12</v>
      </c>
      <c r="N229" s="7">
        <f>O229*0.015*inputs!$C$56</f>
        <v>8.3361179878690295E-2</v>
      </c>
      <c r="O229" s="7">
        <f>IF((B229&gt;B228), (EXP(-LN(2)/inputs!$C$52)*O228+$O$3), (EXP(-LN(2)/inputs!$C$52)*O228))</f>
        <v>8.9925760386936684E-3</v>
      </c>
      <c r="P229" s="3">
        <f>IF((B229&gt;B228), (EXP(-LN(2)/inputs!$C$52)*P228+$P$3), (EXP(-LN(2)/inputs!$C$52)*P228))</f>
        <v>8.6895704821521834E-3</v>
      </c>
      <c r="Q229" s="19">
        <f>IF((F229*0.62*1/(0.012*(10^inputs!$C$55)))&gt;inputs!$C$57, inputs!$C$57, (F229*0.62*1/(0.012*(10^inputs!$C$55))))</f>
        <v>4.8338377236536549E-13</v>
      </c>
      <c r="R229" s="3">
        <f>IF((B229&gt;B228), (EXP(-LN(2)/inputs!$C$51)*R228+$R$3), (EXP(-LN(2)/inputs!$C$51)*R228))</f>
        <v>1.1231151832485597E-18</v>
      </c>
      <c r="T229" s="7">
        <f>IF(T228&lt;(inputs!$C$20-1),(1+T228),0)</f>
        <v>0</v>
      </c>
      <c r="U229" s="7">
        <f>IF(inputs!$C$19&gt;U228,IF(T228=(inputs!$C$20-1),(U228+1),U228), U228)</f>
        <v>1</v>
      </c>
      <c r="V229" s="7">
        <f t="shared" si="6"/>
        <v>226</v>
      </c>
      <c r="W229" s="8">
        <f>IF((U229&gt;U228), (EXP(-LN(2)/inputs!$C$51)*W228+$W$3), (EXP(-LN(2)/inputs!$C$51)*W228))</f>
        <v>3.71677935727597E-11</v>
      </c>
      <c r="X229" s="8">
        <f>IF((U229&gt;U228), (EXP(-LN(2)/inputs!$C$51)*X228+$X$3), (EXP(-LN(2)/inputs!$C$51)*X228))</f>
        <v>1.5741653748462929E-11</v>
      </c>
      <c r="Y229" s="8">
        <f>IF((U229&gt;U228), (EXP(-LN(2)/inputs!$C$51)*Y228+$Y$3), (EXP(-LN(2)/inputs!$C$51)*Y228))</f>
        <v>1.9677067185578685E-11</v>
      </c>
      <c r="Z229" s="8">
        <f>IF((U229&gt;U228), (EXP(-LN(2)/inputs!$C$51)*Z228+$Z$3), (EXP(-LN(2)/inputs!$C$51)*Z228))</f>
        <v>3.0608771177566804E-12</v>
      </c>
      <c r="AA229" s="8">
        <f>IF((U229&gt;U228), (EXP(-LN(2)/inputs!$C$51)*AA228+$AA$3), (EXP(-LN(2)/inputs!$C$51)*AA228))</f>
        <v>2.8422430379169193E-11</v>
      </c>
      <c r="AB229" s="7">
        <f>(((0.621*15^0.564)/0.2))*W229/15+AB228*inputs!$C$53</f>
        <v>3.9994948518361703E-11</v>
      </c>
      <c r="AC229" s="7">
        <f>(((0.621*1000^0.564)/0.2))*W229/1000+AC228*inputs!$C$53</f>
        <v>6.4088621606861794E-12</v>
      </c>
      <c r="AD229" s="7">
        <f>(((0.648*20^0.651)/0.2))*AA229/20+AD228*inputs!$C$54</f>
        <v>4.2812199701358804E-11</v>
      </c>
      <c r="AE229" s="7">
        <f>(((0.013*2^0.773)/0.2))*AA229/2+AE228*inputs!$C$54</f>
        <v>2.0876685485744739E-12</v>
      </c>
    </row>
    <row r="230" spans="1:31" x14ac:dyDescent="0.3">
      <c r="A230" s="7">
        <f>IF(A229&lt;(inputs!$C$20-1),(1+A229),0)</f>
        <v>0</v>
      </c>
      <c r="B230" s="7">
        <f>IF(inputs!$C$19&gt;B229,IF(A229=(inputs!$C$20-1),(B229+1),B229), B229)</f>
        <v>1</v>
      </c>
      <c r="C230" s="7">
        <f t="shared" si="7"/>
        <v>227</v>
      </c>
      <c r="D230" s="8">
        <f>IF((B230&gt;B229), (EXP(-LN(2)/inputs!$C$51)*D229+$D$3), (EXP(-LN(2)/inputs!$C$51)*D229))</f>
        <v>9.2079082671903322E-11</v>
      </c>
      <c r="E230" s="8">
        <f>IF((B230&gt;B229), (EXP(-LN(2)/inputs!$C$51)*E229+$E$3), (EXP(-LN(2)/inputs!$C$51)*E229))</f>
        <v>4.2202912891288979E-11</v>
      </c>
      <c r="F230" s="8">
        <f>IF((B230&gt;B229), (EXP(-LN(2)/inputs!$C$51)*F229+$F$3), (EXP(-LN(2)/inputs!$C$51)*F229))</f>
        <v>5.1794484002945571E-11</v>
      </c>
      <c r="G230" s="8">
        <f>IF((B230&gt;B229), (EXP(-LN(2)/inputs!$C$51)*G229+$G$3), (EXP(-LN(2)/inputs!$C$51)*G229))</f>
        <v>5.7549426669939576E-12</v>
      </c>
      <c r="H230" s="8">
        <f>IF((B230&gt;B229), (EXP(-LN(2)/inputs!$C$51)*H229+$H$3), (EXP(-LN(2)/inputs!$C$51)*H229))</f>
        <v>3.6064307379828717E-11</v>
      </c>
      <c r="I230" s="7">
        <f>O230*(10^inputs!$C$55)*0.01/1</f>
        <v>0.5559430372151537</v>
      </c>
      <c r="J230" s="7">
        <f>(((0.621*15^0.564)/0.2))*D230/15+J229*inputs!$C$53</f>
        <v>9.9083045214171577E-11</v>
      </c>
      <c r="K230" s="7">
        <f>(((0.621*1000^0.564)/0.2))*D230/1000+K229*inputs!$C$53</f>
        <v>1.5877244571202004E-11</v>
      </c>
      <c r="L230" s="7">
        <f>(((0.648*20^0.651)/0.2))*H230/20+L229*inputs!$C$54</f>
        <v>5.4323022663396427E-11</v>
      </c>
      <c r="M230" s="7">
        <f>(((0.013*2^0.773)/0.2))*H230/2+M229*inputs!$C$54</f>
        <v>2.6489754478621574E-12</v>
      </c>
      <c r="N230" s="7">
        <f>O230*0.015*inputs!$C$56</f>
        <v>8.1678928061772474E-2</v>
      </c>
      <c r="O230" s="7">
        <f>IF((B230&gt;B229), (EXP(-LN(2)/inputs!$C$52)*O229+$O$3), (EXP(-LN(2)/inputs!$C$52)*O229))</f>
        <v>8.8111033507845184E-3</v>
      </c>
      <c r="P230" s="3">
        <f>IF((B230&gt;B229), (EXP(-LN(2)/inputs!$C$52)*P229+$P$3), (EXP(-LN(2)/inputs!$C$52)*P229))</f>
        <v>8.5142125307279271E-3</v>
      </c>
      <c r="Q230" s="19">
        <f>IF((F230*0.62*1/(0.012*(10^inputs!$C$55)))&gt;inputs!$C$57, inputs!$C$57, (F230*0.62*1/(0.012*(10^inputs!$C$55))))</f>
        <v>4.2412507970040604E-13</v>
      </c>
      <c r="R230" s="3">
        <f>IF((B230&gt;B229), (EXP(-LN(2)/inputs!$C$51)*R229+$R$3), (EXP(-LN(2)/inputs!$C$51)*R229))</f>
        <v>9.8543092226105812E-19</v>
      </c>
      <c r="T230" s="7">
        <f>IF(T229&lt;(inputs!$C$20-1),(1+T229),0)</f>
        <v>0</v>
      </c>
      <c r="U230" s="7">
        <f>IF(inputs!$C$19&gt;U229,IF(T229=(inputs!$C$20-1),(U229+1),U229), U229)</f>
        <v>1</v>
      </c>
      <c r="V230" s="7">
        <f t="shared" si="6"/>
        <v>227</v>
      </c>
      <c r="W230" s="8">
        <f>IF((U230&gt;U229), (EXP(-LN(2)/inputs!$C$51)*W229+$W$3), (EXP(-LN(2)/inputs!$C$51)*W229))</f>
        <v>3.2611341779632367E-11</v>
      </c>
      <c r="X230" s="8">
        <f>IF((U230&gt;U229), (EXP(-LN(2)/inputs!$C$51)*X229+$X$3), (EXP(-LN(2)/inputs!$C$51)*X229))</f>
        <v>1.381186240078547E-11</v>
      </c>
      <c r="Y230" s="8">
        <f>IF((U230&gt;U229), (EXP(-LN(2)/inputs!$C$51)*Y229+$Y$3), (EXP(-LN(2)/inputs!$C$51)*Y229))</f>
        <v>1.7264828000981859E-11</v>
      </c>
      <c r="Z230" s="8">
        <f>IF((U230&gt;U229), (EXP(-LN(2)/inputs!$C$51)*Z229+$Z$3), (EXP(-LN(2)/inputs!$C$51)*Z229))</f>
        <v>2.6856399112638414E-12</v>
      </c>
      <c r="AA230" s="8">
        <f>IF((U230&gt;U229), (EXP(-LN(2)/inputs!$C$51)*AA229+$AA$3), (EXP(-LN(2)/inputs!$C$51)*AA229))</f>
        <v>2.4938084890307113E-11</v>
      </c>
      <c r="AB230" s="7">
        <f>(((0.621*15^0.564)/0.2))*W230/15+AB229*inputs!$C$53</f>
        <v>3.5091911846685696E-11</v>
      </c>
      <c r="AC230" s="7">
        <f>(((0.621*1000^0.564)/0.2))*W230/1000+AC229*inputs!$C$53</f>
        <v>5.6231907856340329E-12</v>
      </c>
      <c r="AD230" s="7">
        <f>(((0.648*20^0.651)/0.2))*AA230/20+AD229*inputs!$C$54</f>
        <v>3.7563792267242245E-11</v>
      </c>
      <c r="AE230" s="7">
        <f>(((0.013*2^0.773)/0.2))*AA230/2+AE229*inputs!$C$54</f>
        <v>1.8317383416068127E-12</v>
      </c>
    </row>
    <row r="231" spans="1:31" x14ac:dyDescent="0.3">
      <c r="A231" s="7">
        <f>IF(A230&lt;(inputs!$C$20-1),(1+A230),0)</f>
        <v>0</v>
      </c>
      <c r="B231" s="7">
        <f>IF(inputs!$C$19&gt;B230,IF(A230=(inputs!$C$20-1),(B230+1),B230), B230)</f>
        <v>1</v>
      </c>
      <c r="C231" s="7">
        <f t="shared" si="7"/>
        <v>228</v>
      </c>
      <c r="D231" s="8">
        <f>IF((B231&gt;B230), (EXP(-LN(2)/inputs!$C$51)*D230+$D$3), (EXP(-LN(2)/inputs!$C$51)*D230))</f>
        <v>8.0790979154846417E-11</v>
      </c>
      <c r="E231" s="8">
        <f>IF((B231&gt;B230), (EXP(-LN(2)/inputs!$C$51)*E230+$E$3), (EXP(-LN(2)/inputs!$C$51)*E230))</f>
        <v>3.7029198779304565E-11</v>
      </c>
      <c r="F231" s="8">
        <f>IF((B231&gt;B230), (EXP(-LN(2)/inputs!$C$51)*F230+$F$3), (EXP(-LN(2)/inputs!$C$51)*F230))</f>
        <v>4.5444925774601064E-11</v>
      </c>
      <c r="G231" s="8">
        <f>IF((B231&gt;B230), (EXP(-LN(2)/inputs!$C$51)*G230+$G$3), (EXP(-LN(2)/inputs!$C$51)*G230))</f>
        <v>5.049436197177901E-12</v>
      </c>
      <c r="H231" s="8">
        <f>IF((B231&gt;B230), (EXP(-LN(2)/inputs!$C$51)*H230+$H$3), (EXP(-LN(2)/inputs!$C$51)*H230))</f>
        <v>3.1643133502314771E-11</v>
      </c>
      <c r="I231" s="7">
        <f>O231*(10^inputs!$C$55)*0.01/1</f>
        <v>0.54472395195485646</v>
      </c>
      <c r="J231" s="7">
        <f>(((0.621*15^0.564)/0.2))*D231/15+J230*inputs!$C$53</f>
        <v>8.6936316134038368E-11</v>
      </c>
      <c r="K231" s="7">
        <f>(((0.621*1000^0.564)/0.2))*D231/1000+K230*inputs!$C$53</f>
        <v>1.3930830954941621E-11</v>
      </c>
      <c r="L231" s="7">
        <f>(((0.648*20^0.651)/0.2))*H231/20+L230*inputs!$C$54</f>
        <v>4.7663487344513865E-11</v>
      </c>
      <c r="M231" s="7">
        <f>(((0.013*2^0.773)/0.2))*H231/2+M230*inputs!$C$54</f>
        <v>2.324233843124881E-12</v>
      </c>
      <c r="N231" s="7">
        <f>O231*0.015*inputs!$C$56</f>
        <v>8.0030624554843083E-2</v>
      </c>
      <c r="O231" s="7">
        <f>IF((B231&gt;B230), (EXP(-LN(2)/inputs!$C$52)*O230+$O$3), (EXP(-LN(2)/inputs!$C$52)*O230))</f>
        <v>8.633292832237658E-3</v>
      </c>
      <c r="P231" s="3">
        <f>IF((B231&gt;B230), (EXP(-LN(2)/inputs!$C$52)*P230+$P$3), (EXP(-LN(2)/inputs!$C$52)*P230))</f>
        <v>8.3423933515814116E-3</v>
      </c>
      <c r="Q231" s="19">
        <f>IF((F231*0.62*1/(0.012*(10^inputs!$C$55)))&gt;inputs!$C$57, inputs!$C$57, (F231*0.62*1/(0.012*(10^inputs!$C$55))))</f>
        <v>3.7213099304233968E-13</v>
      </c>
      <c r="R231" s="3">
        <f>IF((B231&gt;B230), (EXP(-LN(2)/inputs!$C$51)*R230+$R$3), (EXP(-LN(2)/inputs!$C$51)*R230))</f>
        <v>8.6462556737902135E-19</v>
      </c>
      <c r="T231" s="7">
        <f>IF(T230&lt;(inputs!$C$20-1),(1+T230),0)</f>
        <v>0</v>
      </c>
      <c r="U231" s="7">
        <f>IF(inputs!$C$19&gt;U230,IF(T230=(inputs!$C$20-1),(U230+1),U230), U230)</f>
        <v>1</v>
      </c>
      <c r="V231" s="7">
        <f t="shared" si="6"/>
        <v>228</v>
      </c>
      <c r="W231" s="8">
        <f>IF((U231&gt;U230), (EXP(-LN(2)/inputs!$C$51)*W230+$W$3), (EXP(-LN(2)/inputs!$C$51)*W230))</f>
        <v>2.8613471784008052E-11</v>
      </c>
      <c r="X231" s="8">
        <f>IF((U231&gt;U230), (EXP(-LN(2)/inputs!$C$51)*X230+$X$3), (EXP(-LN(2)/inputs!$C$51)*X230))</f>
        <v>1.2118646873226938E-11</v>
      </c>
      <c r="Y231" s="8">
        <f>IF((U231&gt;U230), (EXP(-LN(2)/inputs!$C$51)*Y230+$Y$3), (EXP(-LN(2)/inputs!$C$51)*Y230))</f>
        <v>1.514830859153369E-11</v>
      </c>
      <c r="Z231" s="8">
        <f>IF((U231&gt;U230), (EXP(-LN(2)/inputs!$C$51)*Z230+$Z$3), (EXP(-LN(2)/inputs!$C$51)*Z230))</f>
        <v>2.3564035586830154E-12</v>
      </c>
      <c r="AA231" s="8">
        <f>IF((U231&gt;U230), (EXP(-LN(2)/inputs!$C$51)*AA230+$AA$3), (EXP(-LN(2)/inputs!$C$51)*AA230))</f>
        <v>2.1880890187770871E-11</v>
      </c>
      <c r="AB231" s="7">
        <f>(((0.621*15^0.564)/0.2))*W231/15+AB230*inputs!$C$53</f>
        <v>3.078994529747186E-11</v>
      </c>
      <c r="AC231" s="7">
        <f>(((0.621*1000^0.564)/0.2))*W231/1000+AC230*inputs!$C$53</f>
        <v>4.9338359632084818E-12</v>
      </c>
      <c r="AD231" s="7">
        <f>(((0.648*20^0.651)/0.2))*AA231/20+AD230*inputs!$C$54</f>
        <v>3.2958794440355361E-11</v>
      </c>
      <c r="AE231" s="7">
        <f>(((0.013*2^0.773)/0.2))*AA231/2+AE230*inputs!$C$54</f>
        <v>1.6071829766289086E-12</v>
      </c>
    </row>
    <row r="232" spans="1:31" x14ac:dyDescent="0.3">
      <c r="A232" s="7">
        <f>IF(A231&lt;(inputs!$C$20-1),(1+A231),0)</f>
        <v>0</v>
      </c>
      <c r="B232" s="7">
        <f>IF(inputs!$C$19&gt;B231,IF(A231=(inputs!$C$20-1),(B231+1),B231), B231)</f>
        <v>1</v>
      </c>
      <c r="C232" s="7">
        <f t="shared" si="7"/>
        <v>229</v>
      </c>
      <c r="D232" s="8">
        <f>IF((B232&gt;B231), (EXP(-LN(2)/inputs!$C$51)*D231+$D$3), (EXP(-LN(2)/inputs!$C$51)*D231))</f>
        <v>7.0886700034322872E-11</v>
      </c>
      <c r="E232" s="8">
        <f>IF((B232&gt;B231), (EXP(-LN(2)/inputs!$C$51)*E231+$E$3), (EXP(-LN(2)/inputs!$C$51)*E231))</f>
        <v>3.2489737515731278E-11</v>
      </c>
      <c r="F232" s="8">
        <f>IF((B232&gt;B231), (EXP(-LN(2)/inputs!$C$51)*F231+$F$3), (EXP(-LN(2)/inputs!$C$51)*F231))</f>
        <v>3.9873768769306576E-11</v>
      </c>
      <c r="G232" s="8">
        <f>IF((B232&gt;B231), (EXP(-LN(2)/inputs!$C$51)*G231+$G$3), (EXP(-LN(2)/inputs!$C$51)*G231))</f>
        <v>4.4304187521451795E-12</v>
      </c>
      <c r="H232" s="8">
        <f>IF((B232&gt;B231), (EXP(-LN(2)/inputs!$C$51)*H231+$H$3), (EXP(-LN(2)/inputs!$C$51)*H231))</f>
        <v>2.7763957513443058E-11</v>
      </c>
      <c r="I232" s="7">
        <f>O232*(10^inputs!$C$55)*0.01/1</f>
        <v>0.53373127095839934</v>
      </c>
      <c r="J232" s="7">
        <f>(((0.621*15^0.564)/0.2))*D232/15+J231*inputs!$C$53</f>
        <v>7.6278671559001196E-11</v>
      </c>
      <c r="K232" s="7">
        <f>(((0.621*1000^0.564)/0.2))*D232/1000+K231*inputs!$C$53</f>
        <v>1.2223030905951937E-11</v>
      </c>
      <c r="L232" s="7">
        <f>(((0.648*20^0.651)/0.2))*H232/20+L231*inputs!$C$54</f>
        <v>4.1820353773712376E-11</v>
      </c>
      <c r="M232" s="7">
        <f>(((0.013*2^0.773)/0.2))*H232/2+M231*inputs!$C$54</f>
        <v>2.0393027658624629E-12</v>
      </c>
      <c r="N232" s="7">
        <f>O232*0.015*inputs!$C$56</f>
        <v>7.8415584271555663E-2</v>
      </c>
      <c r="O232" s="7">
        <f>IF((B232&gt;B231), (EXP(-LN(2)/inputs!$C$52)*O231+$O$3), (EXP(-LN(2)/inputs!$C$52)*O231))</f>
        <v>8.4590705794558435E-3</v>
      </c>
      <c r="P232" s="3">
        <f>IF((B232&gt;B231), (EXP(-LN(2)/inputs!$C$52)*P231+$P$3), (EXP(-LN(2)/inputs!$C$52)*P231))</f>
        <v>8.1740415313029113E-3</v>
      </c>
      <c r="Q232" s="19">
        <f>IF((F232*0.62*1/(0.012*(10^inputs!$C$55)))&gt;inputs!$C$57, inputs!$C$57, (F232*0.62*1/(0.012*(10^inputs!$C$55))))</f>
        <v>3.2651093418125281E-13</v>
      </c>
      <c r="R232" s="3">
        <f>IF((B232&gt;B231), (EXP(-LN(2)/inputs!$C$51)*R231+$R$3), (EXP(-LN(2)/inputs!$C$51)*R231))</f>
        <v>7.5862990989788334E-19</v>
      </c>
      <c r="T232" s="7">
        <f>IF(T231&lt;(inputs!$C$20-1),(1+T231),0)</f>
        <v>0</v>
      </c>
      <c r="U232" s="7">
        <f>IF(inputs!$C$19&gt;U231,IF(T231=(inputs!$C$20-1),(U231+1),U231), U231)</f>
        <v>1</v>
      </c>
      <c r="V232" s="7">
        <f t="shared" si="6"/>
        <v>229</v>
      </c>
      <c r="W232" s="8">
        <f>IF((U232&gt;U231), (EXP(-LN(2)/inputs!$C$51)*W231+$W$3), (EXP(-LN(2)/inputs!$C$51)*W231))</f>
        <v>2.5105706262155971E-11</v>
      </c>
      <c r="X232" s="8">
        <f>IF((U232&gt;U231), (EXP(-LN(2)/inputs!$C$51)*X231+$X$3), (EXP(-LN(2)/inputs!$C$51)*X231))</f>
        <v>1.0633005005148409E-11</v>
      </c>
      <c r="Y232" s="8">
        <f>IF((U232&gt;U231), (EXP(-LN(2)/inputs!$C$51)*Y231+$Y$3), (EXP(-LN(2)/inputs!$C$51)*Y231))</f>
        <v>1.3291256256435528E-11</v>
      </c>
      <c r="Z232" s="8">
        <f>IF((U232&gt;U231), (EXP(-LN(2)/inputs!$C$51)*Z231+$Z$3), (EXP(-LN(2)/inputs!$C$51)*Z231))</f>
        <v>2.0675287510010794E-12</v>
      </c>
      <c r="AA232" s="8">
        <f>IF((U232&gt;U231), (EXP(-LN(2)/inputs!$C$51)*AA231+$AA$3), (EXP(-LN(2)/inputs!$C$51)*AA231))</f>
        <v>1.9198481259295749E-11</v>
      </c>
      <c r="AB232" s="7">
        <f>(((0.621*15^0.564)/0.2))*W232/15+AB231*inputs!$C$53</f>
        <v>2.7015362843812871E-11</v>
      </c>
      <c r="AC232" s="7">
        <f>(((0.621*1000^0.564)/0.2))*W232/1000+AC231*inputs!$C$53</f>
        <v>4.3289901125246363E-12</v>
      </c>
      <c r="AD232" s="7">
        <f>(((0.648*20^0.651)/0.2))*AA232/20+AD231*inputs!$C$54</f>
        <v>2.891832973714156E-11</v>
      </c>
      <c r="AE232" s="7">
        <f>(((0.013*2^0.773)/0.2))*AA232/2+AE231*inputs!$C$54</f>
        <v>1.4101561678836193E-12</v>
      </c>
    </row>
    <row r="233" spans="1:31" x14ac:dyDescent="0.3">
      <c r="A233" s="7">
        <f>IF(A232&lt;(inputs!$C$20-1),(1+A232),0)</f>
        <v>0</v>
      </c>
      <c r="B233" s="7">
        <f>IF(inputs!$C$19&gt;B232,IF(A232=(inputs!$C$20-1),(B232+1),B232), B232)</f>
        <v>1</v>
      </c>
      <c r="C233" s="7">
        <f t="shared" si="7"/>
        <v>230</v>
      </c>
      <c r="D233" s="8">
        <f>IF((B233&gt;B232), (EXP(-LN(2)/inputs!$C$51)*D232+$D$3), (EXP(-LN(2)/inputs!$C$51)*D232))</f>
        <v>6.2196600342287587E-11</v>
      </c>
      <c r="E233" s="8">
        <f>IF((B233&gt;B232), (EXP(-LN(2)/inputs!$C$51)*E232+$E$3), (EXP(-LN(2)/inputs!$C$51)*E232))</f>
        <v>2.8506775156881779E-11</v>
      </c>
      <c r="F233" s="8">
        <f>IF((B233&gt;B232), (EXP(-LN(2)/inputs!$C$51)*F232+$F$3), (EXP(-LN(2)/inputs!$C$51)*F232))</f>
        <v>3.4985587692536733E-11</v>
      </c>
      <c r="G233" s="8">
        <f>IF((B233&gt;B232), (EXP(-LN(2)/inputs!$C$51)*G232+$G$3), (EXP(-LN(2)/inputs!$C$51)*G232))</f>
        <v>3.8872875213929742E-12</v>
      </c>
      <c r="H233" s="8">
        <f>IF((B233&gt;B232), (EXP(-LN(2)/inputs!$C$51)*H232+$H$3), (EXP(-LN(2)/inputs!$C$51)*H232))</f>
        <v>2.436033513406258E-11</v>
      </c>
      <c r="I233" s="7">
        <f>O233*(10^inputs!$C$55)*0.01/1</f>
        <v>0.52296042532470954</v>
      </c>
      <c r="J233" s="7">
        <f>(((0.621*15^0.564)/0.2))*D233/15+J232*inputs!$C$53</f>
        <v>6.6927562537100324E-11</v>
      </c>
      <c r="K233" s="7">
        <f>(((0.621*1000^0.564)/0.2))*D233/1000+K232*inputs!$C$53</f>
        <v>1.0724592453320908E-11</v>
      </c>
      <c r="L233" s="7">
        <f>(((0.648*20^0.651)/0.2))*H233/20+L232*inputs!$C$54</f>
        <v>3.6693538118959401E-11</v>
      </c>
      <c r="M233" s="7">
        <f>(((0.013*2^0.773)/0.2))*H233/2+M232*inputs!$C$54</f>
        <v>1.7893017878368625E-12</v>
      </c>
      <c r="N233" s="7">
        <f>O233*0.015*inputs!$C$56</f>
        <v>7.6833135950796966E-2</v>
      </c>
      <c r="O233" s="7">
        <f>IF((B233&gt;B232), (EXP(-LN(2)/inputs!$C$52)*O232+$O$3), (EXP(-LN(2)/inputs!$C$52)*O232))</f>
        <v>8.2883641802369984E-3</v>
      </c>
      <c r="P233" s="3">
        <f>IF((B233&gt;B232), (EXP(-LN(2)/inputs!$C$52)*P232+$P$3), (EXP(-LN(2)/inputs!$C$52)*P232))</f>
        <v>8.009087097625189E-3</v>
      </c>
      <c r="Q233" s="19">
        <f>IF((F233*0.62*1/(0.012*(10^inputs!$C$55)))&gt;inputs!$C$57, inputs!$C$57, (F233*0.62*1/(0.012*(10^inputs!$C$55))))</f>
        <v>2.8648350213545577E-13</v>
      </c>
      <c r="R233" s="3">
        <f>IF((B233&gt;B232), (EXP(-LN(2)/inputs!$C$51)*R232+$R$3), (EXP(-LN(2)/inputs!$C$51)*R232))</f>
        <v>6.6562840830195249E-19</v>
      </c>
      <c r="T233" s="7">
        <f>IF(T232&lt;(inputs!$C$20-1),(1+T232),0)</f>
        <v>0</v>
      </c>
      <c r="U233" s="7">
        <f>IF(inputs!$C$19&gt;U232,IF(T232=(inputs!$C$20-1),(U232+1),U232), U232)</f>
        <v>1</v>
      </c>
      <c r="V233" s="7">
        <f t="shared" si="6"/>
        <v>230</v>
      </c>
      <c r="W233" s="8">
        <f>IF((U233&gt;U232), (EXP(-LN(2)/inputs!$C$51)*W232+$W$3), (EXP(-LN(2)/inputs!$C$51)*W232))</f>
        <v>2.2027962621226815E-11</v>
      </c>
      <c r="X233" s="8">
        <f>IF((U233&gt;U232), (EXP(-LN(2)/inputs!$C$51)*X232+$X$3), (EXP(-LN(2)/inputs!$C$51)*X232))</f>
        <v>9.3294900513431197E-12</v>
      </c>
      <c r="Y233" s="8">
        <f>IF((U233&gt;U232), (EXP(-LN(2)/inputs!$C$51)*Y232+$Y$3), (EXP(-LN(2)/inputs!$C$51)*Y232))</f>
        <v>1.1661862564178914E-11</v>
      </c>
      <c r="Z233" s="8">
        <f>IF((U233&gt;U232), (EXP(-LN(2)/inputs!$C$51)*Z232+$Z$3), (EXP(-LN(2)/inputs!$C$51)*Z232))</f>
        <v>1.8140675099833843E-12</v>
      </c>
      <c r="AA233" s="8">
        <f>IF((U233&gt;U232), (EXP(-LN(2)/inputs!$C$51)*AA232+$AA$3), (EXP(-LN(2)/inputs!$C$51)*AA232))</f>
        <v>1.6844912592702864E-11</v>
      </c>
      <c r="AB233" s="7">
        <f>(((0.621*15^0.564)/0.2))*W233/15+AB232*inputs!$C$53</f>
        <v>2.3703511731889658E-11</v>
      </c>
      <c r="AC233" s="7">
        <f>(((0.621*1000^0.564)/0.2))*W233/1000+AC232*inputs!$C$53</f>
        <v>3.7982931605511477E-12</v>
      </c>
      <c r="AD233" s="7">
        <f>(((0.648*20^0.651)/0.2))*AA233/20+AD232*inputs!$C$54</f>
        <v>2.5373191252471949E-11</v>
      </c>
      <c r="AE233" s="7">
        <f>(((0.013*2^0.773)/0.2))*AA233/2+AE232*inputs!$C$54</f>
        <v>1.2372831511637892E-12</v>
      </c>
    </row>
    <row r="234" spans="1:31" x14ac:dyDescent="0.3">
      <c r="A234" s="7">
        <f>IF(A233&lt;(inputs!$C$20-1),(1+A233),0)</f>
        <v>0</v>
      </c>
      <c r="B234" s="7">
        <f>IF(inputs!$C$19&gt;B233,IF(A233=(inputs!$C$20-1),(B233+1),B233), B233)</f>
        <v>1</v>
      </c>
      <c r="C234" s="7">
        <f t="shared" si="7"/>
        <v>231</v>
      </c>
      <c r="D234" s="8">
        <f>IF((B234&gt;B233), (EXP(-LN(2)/inputs!$C$51)*D233+$D$3), (EXP(-LN(2)/inputs!$C$51)*D233))</f>
        <v>5.4571832124576072E-11</v>
      </c>
      <c r="E234" s="8">
        <f>IF((B234&gt;B233), (EXP(-LN(2)/inputs!$C$51)*E233+$E$3), (EXP(-LN(2)/inputs!$C$51)*E233))</f>
        <v>2.5012089723764005E-11</v>
      </c>
      <c r="F234" s="8">
        <f>IF((B234&gt;B233), (EXP(-LN(2)/inputs!$C$51)*F233+$F$3), (EXP(-LN(2)/inputs!$C$51)*F233))</f>
        <v>3.0696655570074011E-11</v>
      </c>
      <c r="G234" s="8">
        <f>IF((B234&gt;B233), (EXP(-LN(2)/inputs!$C$51)*G233+$G$3), (EXP(-LN(2)/inputs!$C$51)*G233))</f>
        <v>3.4107395077860045E-12</v>
      </c>
      <c r="H234" s="8">
        <f>IF((B234&gt;B233), (EXP(-LN(2)/inputs!$C$51)*H233+$H$3), (EXP(-LN(2)/inputs!$C$51)*H233))</f>
        <v>2.1373967582125576E-11</v>
      </c>
      <c r="I234" s="7">
        <f>O234*(10^inputs!$C$55)*0.01/1</f>
        <v>0.51240693835440931</v>
      </c>
      <c r="J234" s="7">
        <f>(((0.621*15^0.564)/0.2))*D234/15+J233*inputs!$C$53</f>
        <v>5.8722819047690928E-11</v>
      </c>
      <c r="K234" s="7">
        <f>(((0.621*1000^0.564)/0.2))*D234/1000+K233*inputs!$C$53</f>
        <v>9.4098496661593935E-12</v>
      </c>
      <c r="L234" s="7">
        <f>(((0.648*20^0.651)/0.2))*H234/20+L233*inputs!$C$54</f>
        <v>3.2195225965158209E-11</v>
      </c>
      <c r="M234" s="7">
        <f>(((0.013*2^0.773)/0.2))*H234/2+M233*inputs!$C$54</f>
        <v>1.5699487793330038E-12</v>
      </c>
      <c r="N234" s="7">
        <f>O234*0.015*inputs!$C$56</f>
        <v>7.5282621877689859E-2</v>
      </c>
      <c r="O234" s="7">
        <f>IF((B234&gt;B233), (EXP(-LN(2)/inputs!$C$52)*O233+$O$3), (EXP(-LN(2)/inputs!$C$52)*O233))</f>
        <v>8.1211026836774391E-3</v>
      </c>
      <c r="P234" s="3">
        <f>IF((B234&gt;B233), (EXP(-LN(2)/inputs!$C$52)*P233+$P$3), (EXP(-LN(2)/inputs!$C$52)*P233))</f>
        <v>7.8474614903408409E-3</v>
      </c>
      <c r="Q234" s="19">
        <f>IF((F234*0.62*1/(0.012*(10^inputs!$C$55)))&gt;inputs!$C$57, inputs!$C$57, (F234*0.62*1/(0.012*(10^inputs!$C$55))))</f>
        <v>2.5136308896239112E-13</v>
      </c>
      <c r="R234" s="3">
        <f>IF((B234&gt;B233), (EXP(-LN(2)/inputs!$C$51)*R233+$R$3), (EXP(-LN(2)/inputs!$C$51)*R233))</f>
        <v>5.8402809084897504E-19</v>
      </c>
      <c r="T234" s="7">
        <f>IF(T233&lt;(inputs!$C$20-1),(1+T233),0)</f>
        <v>0</v>
      </c>
      <c r="U234" s="7">
        <f>IF(inputs!$C$19&gt;U233,IF(T233=(inputs!$C$20-1),(U233+1),U233), U233)</f>
        <v>1</v>
      </c>
      <c r="V234" s="7">
        <f t="shared" si="6"/>
        <v>231</v>
      </c>
      <c r="W234" s="8">
        <f>IF((U234&gt;U233), (EXP(-LN(2)/inputs!$C$51)*W233+$W$3), (EXP(-LN(2)/inputs!$C$51)*W233))</f>
        <v>1.9327523877453992E-11</v>
      </c>
      <c r="X234" s="8">
        <f>IF((U234&gt;U233), (EXP(-LN(2)/inputs!$C$51)*X233+$X$3), (EXP(-LN(2)/inputs!$C$51)*X233))</f>
        <v>8.1857748186863947E-12</v>
      </c>
      <c r="Y234" s="8">
        <f>IF((U234&gt;U233), (EXP(-LN(2)/inputs!$C$51)*Y233+$Y$3), (EXP(-LN(2)/inputs!$C$51)*Y233))</f>
        <v>1.0232218523358006E-11</v>
      </c>
      <c r="Z234" s="8">
        <f>IF((U234&gt;U233), (EXP(-LN(2)/inputs!$C$51)*Z233+$Z$3), (EXP(-LN(2)/inputs!$C$51)*Z233))</f>
        <v>1.5916784369667989E-12</v>
      </c>
      <c r="AA234" s="8">
        <f>IF((U234&gt;U233), (EXP(-LN(2)/inputs!$C$51)*AA233+$AA$3), (EXP(-LN(2)/inputs!$C$51)*AA233))</f>
        <v>1.4779871200405997E-11</v>
      </c>
      <c r="AB234" s="7">
        <f>(((0.621*15^0.564)/0.2))*W234/15+AB233*inputs!$C$53</f>
        <v>2.0797665079390499E-11</v>
      </c>
      <c r="AC234" s="7">
        <f>(((0.621*1000^0.564)/0.2))*W234/1000+AC233*inputs!$C$53</f>
        <v>3.3326550900981122E-12</v>
      </c>
      <c r="AD234" s="7">
        <f>(((0.648*20^0.651)/0.2))*AA234/20+AD233*inputs!$C$54</f>
        <v>2.2262656252503038E-11</v>
      </c>
      <c r="AE234" s="7">
        <f>(((0.013*2^0.773)/0.2))*AA234/2+AE233*inputs!$C$54</f>
        <v>1.0856028793260142E-12</v>
      </c>
    </row>
    <row r="235" spans="1:31" x14ac:dyDescent="0.3">
      <c r="A235" s="7">
        <f>IF(A234&lt;(inputs!$C$20-1),(1+A234),0)</f>
        <v>0</v>
      </c>
      <c r="B235" s="7">
        <f>IF(inputs!$C$19&gt;B234,IF(A234=(inputs!$C$20-1),(B234+1),B234), B234)</f>
        <v>1</v>
      </c>
      <c r="C235" s="7">
        <f t="shared" si="7"/>
        <v>232</v>
      </c>
      <c r="D235" s="8">
        <f>IF((B235&gt;B234), (EXP(-LN(2)/inputs!$C$51)*D234+$D$3), (EXP(-LN(2)/inputs!$C$51)*D234))</f>
        <v>4.7881794905888246E-11</v>
      </c>
      <c r="E235" s="8">
        <f>IF((B235&gt;B234), (EXP(-LN(2)/inputs!$C$51)*E234+$E$3), (EXP(-LN(2)/inputs!$C$51)*E234))</f>
        <v>2.1945822665198755E-11</v>
      </c>
      <c r="F235" s="8">
        <f>IF((B235&gt;B234), (EXP(-LN(2)/inputs!$C$51)*F234+$F$3), (EXP(-LN(2)/inputs!$C$51)*F234))</f>
        <v>2.6933509634562114E-11</v>
      </c>
      <c r="G235" s="8">
        <f>IF((B235&gt;B234), (EXP(-LN(2)/inputs!$C$51)*G234+$G$3), (EXP(-LN(2)/inputs!$C$51)*G234))</f>
        <v>2.9926121816180154E-12</v>
      </c>
      <c r="H235" s="8">
        <f>IF((B235&gt;B234), (EXP(-LN(2)/inputs!$C$51)*H234+$H$3), (EXP(-LN(2)/inputs!$C$51)*H234))</f>
        <v>1.8753703004806183E-11</v>
      </c>
      <c r="I235" s="7">
        <f>O235*(10^inputs!$C$55)*0.01/1</f>
        <v>0.50206642368916099</v>
      </c>
      <c r="J235" s="7">
        <f>(((0.621*15^0.564)/0.2))*D235/15+J234*inputs!$C$53</f>
        <v>5.1523906536956255E-11</v>
      </c>
      <c r="K235" s="7">
        <f>(((0.621*1000^0.564)/0.2))*D235/1000+K234*inputs!$C$53</f>
        <v>8.2562830359396718E-12</v>
      </c>
      <c r="L235" s="7">
        <f>(((0.648*20^0.651)/0.2))*H235/20+L234*inputs!$C$54</f>
        <v>2.824836818916694E-11</v>
      </c>
      <c r="M235" s="7">
        <f>(((0.013*2^0.773)/0.2))*H235/2+M234*inputs!$C$54</f>
        <v>1.3774865629061276E-12</v>
      </c>
      <c r="N235" s="7">
        <f>O235*0.015*inputs!$C$56</f>
        <v>7.3763397610226544E-2</v>
      </c>
      <c r="O235" s="7">
        <f>IF((B235&gt;B234), (EXP(-LN(2)/inputs!$C$52)*O234+$O$3), (EXP(-LN(2)/inputs!$C$52)*O234))</f>
        <v>7.9572165706824748E-3</v>
      </c>
      <c r="P235" s="3">
        <f>IF((B235&gt;B234), (EXP(-LN(2)/inputs!$C$52)*P234+$P$3), (EXP(-LN(2)/inputs!$C$52)*P234))</f>
        <v>7.6890975328065348E-3</v>
      </c>
      <c r="Q235" s="19">
        <f>IF((F235*0.62*1/(0.012*(10^inputs!$C$55)))&gt;inputs!$C$57, inputs!$C$57, (F235*0.62*1/(0.012*(10^inputs!$C$55))))</f>
        <v>2.2054813635600022E-13</v>
      </c>
      <c r="R235" s="3">
        <f>IF((B235&gt;B234), (EXP(-LN(2)/inputs!$C$51)*R234+$R$3), (EXP(-LN(2)/inputs!$C$51)*R234))</f>
        <v>5.1243127043034615E-19</v>
      </c>
      <c r="T235" s="7">
        <f>IF(T234&lt;(inputs!$C$20-1),(1+T234),0)</f>
        <v>0</v>
      </c>
      <c r="U235" s="7">
        <f>IF(inputs!$C$19&gt;U234,IF(T234=(inputs!$C$20-1),(U234+1),U234), U234)</f>
        <v>1</v>
      </c>
      <c r="V235" s="7">
        <f t="shared" si="6"/>
        <v>232</v>
      </c>
      <c r="W235" s="8">
        <f>IF((U235&gt;U234), (EXP(-LN(2)/inputs!$C$51)*W234+$W$3), (EXP(-LN(2)/inputs!$C$51)*W234))</f>
        <v>1.695813569583539E-11</v>
      </c>
      <c r="X235" s="8">
        <f>IF((U235&gt;U234), (EXP(-LN(2)/inputs!$C$51)*X234+$X$3), (EXP(-LN(2)/inputs!$C$51)*X234))</f>
        <v>7.1822692358832228E-12</v>
      </c>
      <c r="Y235" s="8">
        <f>IF((U235&gt;U234), (EXP(-LN(2)/inputs!$C$51)*Y234+$Y$3), (EXP(-LN(2)/inputs!$C$51)*Y234))</f>
        <v>8.9778365448540392E-12</v>
      </c>
      <c r="Z235" s="8">
        <f>IF((U235&gt;U234), (EXP(-LN(2)/inputs!$C$51)*Z234+$Z$3), (EXP(-LN(2)/inputs!$C$51)*Z234))</f>
        <v>1.3965523514217378E-12</v>
      </c>
      <c r="AA235" s="8">
        <f>IF((U235&gt;U234), (EXP(-LN(2)/inputs!$C$51)*AA234+$AA$3), (EXP(-LN(2)/inputs!$C$51)*AA234))</f>
        <v>1.2967986120344713E-11</v>
      </c>
      <c r="AB235" s="7">
        <f>(((0.621*15^0.564)/0.2))*W235/15+AB234*inputs!$C$53</f>
        <v>1.8248050231838641E-11</v>
      </c>
      <c r="AC235" s="7">
        <f>(((0.621*1000^0.564)/0.2))*W235/1000+AC234*inputs!$C$53</f>
        <v>2.9241002418952946E-12</v>
      </c>
      <c r="AD235" s="7">
        <f>(((0.648*20^0.651)/0.2))*AA235/20+AD234*inputs!$C$54</f>
        <v>1.9533446088253756E-11</v>
      </c>
      <c r="AE235" s="7">
        <f>(((0.013*2^0.773)/0.2))*AA235/2+AE234*inputs!$C$54</f>
        <v>9.5251730413721666E-13</v>
      </c>
    </row>
    <row r="236" spans="1:31" x14ac:dyDescent="0.3">
      <c r="A236" s="7">
        <f>IF(A235&lt;(inputs!$C$20-1),(1+A235),0)</f>
        <v>0</v>
      </c>
      <c r="B236" s="7">
        <f>IF(inputs!$C$19&gt;B235,IF(A235=(inputs!$C$20-1),(B235+1),B235), B235)</f>
        <v>1</v>
      </c>
      <c r="C236" s="7">
        <f t="shared" si="7"/>
        <v>233</v>
      </c>
      <c r="D236" s="8">
        <f>IF((B236&gt;B235), (EXP(-LN(2)/inputs!$C$51)*D235+$D$3), (EXP(-LN(2)/inputs!$C$51)*D235))</f>
        <v>4.2011898705835429E-11</v>
      </c>
      <c r="E236" s="8">
        <f>IF((B236&gt;B235), (EXP(-LN(2)/inputs!$C$51)*E235+$E$3), (EXP(-LN(2)/inputs!$C$51)*E235))</f>
        <v>1.9255453573507882E-11</v>
      </c>
      <c r="F236" s="8">
        <f>IF((B236&gt;B235), (EXP(-LN(2)/inputs!$C$51)*F235+$F$3), (EXP(-LN(2)/inputs!$C$51)*F235))</f>
        <v>2.3631693022032406E-11</v>
      </c>
      <c r="G236" s="8">
        <f>IF((B236&gt;B235), (EXP(-LN(2)/inputs!$C$51)*G235+$G$3), (EXP(-LN(2)/inputs!$C$51)*G235))</f>
        <v>2.6257436691147143E-12</v>
      </c>
      <c r="H236" s="8">
        <f>IF((B236&gt;B235), (EXP(-LN(2)/inputs!$C$51)*H235+$H$3), (EXP(-LN(2)/inputs!$C$51)*H235))</f>
        <v>1.6454660326452167E-11</v>
      </c>
      <c r="I236" s="7">
        <f>O236*(10^inputs!$C$55)*0.01/1</f>
        <v>0.49193458348855895</v>
      </c>
      <c r="J236" s="7">
        <f>(((0.621*15^0.564)/0.2))*D236/15+J235*inputs!$C$53</f>
        <v>4.5207518778569121E-11</v>
      </c>
      <c r="K236" s="7">
        <f>(((0.621*1000^0.564)/0.2))*D236/1000+K235*inputs!$C$53</f>
        <v>7.2441337521779002E-12</v>
      </c>
      <c r="L236" s="7">
        <f>(((0.648*20^0.651)/0.2))*H236/20+L235*inputs!$C$54</f>
        <v>2.4785361227602662E-11</v>
      </c>
      <c r="M236" s="7">
        <f>(((0.013*2^0.773)/0.2))*H236/2+M235*inputs!$C$54</f>
        <v>1.2086185587488279E-12</v>
      </c>
      <c r="N236" s="7">
        <f>O236*0.015*inputs!$C$56</f>
        <v>7.2274831711418325E-2</v>
      </c>
      <c r="O236" s="7">
        <f>IF((B236&gt;B235), (EXP(-LN(2)/inputs!$C$52)*O235+$O$3), (EXP(-LN(2)/inputs!$C$52)*O235))</f>
        <v>7.7966377250720956E-3</v>
      </c>
      <c r="P236" s="3">
        <f>IF((B236&gt;B235), (EXP(-LN(2)/inputs!$C$52)*P235+$P$3), (EXP(-LN(2)/inputs!$C$52)*P235))</f>
        <v>7.5339294040223026E-3</v>
      </c>
      <c r="Q236" s="19">
        <f>IF((F236*0.62*1/(0.012*(10^inputs!$C$55)))&gt;inputs!$C$57, inputs!$C$57, (F236*0.62*1/(0.012*(10^inputs!$C$55))))</f>
        <v>1.9351083188424127E-13</v>
      </c>
      <c r="R236" s="3">
        <f>IF((B236&gt;B235), (EXP(-LN(2)/inputs!$C$51)*R235+$R$3), (EXP(-LN(2)/inputs!$C$51)*R235))</f>
        <v>4.4961160435476574E-19</v>
      </c>
      <c r="T236" s="7">
        <f>IF(T235&lt;(inputs!$C$20-1),(1+T235),0)</f>
        <v>0</v>
      </c>
      <c r="U236" s="7">
        <f>IF(inputs!$C$19&gt;U235,IF(T235=(inputs!$C$20-1),(U235+1),U235), U235)</f>
        <v>1</v>
      </c>
      <c r="V236" s="7">
        <f t="shared" si="6"/>
        <v>233</v>
      </c>
      <c r="W236" s="8">
        <f>IF((U236&gt;U235), (EXP(-LN(2)/inputs!$C$51)*W235+$W$3), (EXP(-LN(2)/inputs!$C$51)*W235))</f>
        <v>1.4879214124983352E-11</v>
      </c>
      <c r="X236" s="8">
        <f>IF((U236&gt;U235), (EXP(-LN(2)/inputs!$C$51)*X235+$X$3), (EXP(-LN(2)/inputs!$C$51)*X235))</f>
        <v>6.3017848058753013E-12</v>
      </c>
      <c r="Y236" s="8">
        <f>IF((U236&gt;U235), (EXP(-LN(2)/inputs!$C$51)*Y235+$Y$3), (EXP(-LN(2)/inputs!$C$51)*Y235))</f>
        <v>7.8772310073441365E-12</v>
      </c>
      <c r="Z236" s="8">
        <f>IF((U236&gt;U235), (EXP(-LN(2)/inputs!$C$51)*Z235+$Z$3), (EXP(-LN(2)/inputs!$C$51)*Z235))</f>
        <v>1.2253470455868641E-12</v>
      </c>
      <c r="AA236" s="8">
        <f>IF((U236&gt;U235), (EXP(-LN(2)/inputs!$C$51)*AA235+$AA$3), (EXP(-LN(2)/inputs!$C$51)*AA235))</f>
        <v>1.1378222566163743E-11</v>
      </c>
      <c r="AB236" s="7">
        <f>(((0.621*15^0.564)/0.2))*W236/15+AB235*inputs!$C$53</f>
        <v>1.6010996234076534E-11</v>
      </c>
      <c r="AC236" s="7">
        <f>(((0.621*1000^0.564)/0.2))*W236/1000+AC235*inputs!$C$53</f>
        <v>2.5656307038963344E-12</v>
      </c>
      <c r="AD236" s="7">
        <f>(((0.648*20^0.651)/0.2))*AA236/20+AD235*inputs!$C$54</f>
        <v>1.7138813614831644E-11</v>
      </c>
      <c r="AE236" s="7">
        <f>(((0.013*2^0.773)/0.2))*AA236/2+AE235*inputs!$C$54</f>
        <v>8.3574687573057331E-13</v>
      </c>
    </row>
    <row r="237" spans="1:31" x14ac:dyDescent="0.3">
      <c r="A237" s="7">
        <f>IF(A236&lt;(inputs!$C$20-1),(1+A236),0)</f>
        <v>0</v>
      </c>
      <c r="B237" s="7">
        <f>IF(inputs!$C$19&gt;B236,IF(A236=(inputs!$C$20-1),(B236+1),B236), B236)</f>
        <v>1</v>
      </c>
      <c r="C237" s="7">
        <f t="shared" si="7"/>
        <v>234</v>
      </c>
      <c r="D237" s="8">
        <f>IF((B237&gt;B236), (EXP(-LN(2)/inputs!$C$51)*D236+$D$3), (EXP(-LN(2)/inputs!$C$51)*D236))</f>
        <v>3.6861601289978506E-11</v>
      </c>
      <c r="E237" s="8">
        <f>IF((B237&gt;B236), (EXP(-LN(2)/inputs!$C$51)*E236+$E$3), (EXP(-LN(2)/inputs!$C$51)*E236))</f>
        <v>1.6894900591240129E-11</v>
      </c>
      <c r="F237" s="8">
        <f>IF((B237&gt;B236), (EXP(-LN(2)/inputs!$C$51)*F236+$F$3), (EXP(-LN(2)/inputs!$C$51)*F236))</f>
        <v>2.073465072561289E-11</v>
      </c>
      <c r="G237" s="8">
        <f>IF((B237&gt;B236), (EXP(-LN(2)/inputs!$C$51)*G236+$G$3), (EXP(-LN(2)/inputs!$C$51)*G236))</f>
        <v>2.3038500806236566E-12</v>
      </c>
      <c r="H237" s="8">
        <f>IF((B237&gt;B236), (EXP(-LN(2)/inputs!$C$51)*H236+$H$3), (EXP(-LN(2)/inputs!$C$51)*H236))</f>
        <v>1.4437460505241545E-11</v>
      </c>
      <c r="I237" s="7">
        <f>O237*(10^inputs!$C$55)*0.01/1</f>
        <v>0.4820072066438138</v>
      </c>
      <c r="J237" s="7">
        <f>(((0.621*15^0.564)/0.2))*D237/15+J236*inputs!$C$53</f>
        <v>3.966546582893113E-11</v>
      </c>
      <c r="K237" s="7">
        <f>(((0.621*1000^0.564)/0.2))*D237/1000+K236*inputs!$C$53</f>
        <v>6.3560652646000816E-12</v>
      </c>
      <c r="L237" s="7">
        <f>(((0.648*20^0.651)/0.2))*H237/20+L236*inputs!$C$54</f>
        <v>2.1746889132460919E-11</v>
      </c>
      <c r="M237" s="7">
        <f>(((0.013*2^0.773)/0.2))*H237/2+M236*inputs!$C$54</f>
        <v>1.0604523193825459E-12</v>
      </c>
      <c r="N237" s="7">
        <f>O237*0.015*inputs!$C$56</f>
        <v>7.0816305486850764E-2</v>
      </c>
      <c r="O237" s="7">
        <f>IF((B237&gt;B236), (EXP(-LN(2)/inputs!$C$52)*O236+$O$3), (EXP(-LN(2)/inputs!$C$52)*O236))</f>
        <v>7.6392994052697696E-3</v>
      </c>
      <c r="P237" s="3">
        <f>IF((B237&gt;B236), (EXP(-LN(2)/inputs!$C$52)*P236+$P$3), (EXP(-LN(2)/inputs!$C$52)*P236))</f>
        <v>7.3818926112742787E-3</v>
      </c>
      <c r="Q237" s="19">
        <f>IF((F237*0.62*1/(0.012*(10^inputs!$C$55)))&gt;inputs!$C$57, inputs!$C$57, (F237*0.62*1/(0.012*(10^inputs!$C$55))))</f>
        <v>1.6978806837926074E-13</v>
      </c>
      <c r="R237" s="3">
        <f>IF((B237&gt;B236), (EXP(-LN(2)/inputs!$C$51)*R236+$R$3), (EXP(-LN(2)/inputs!$C$51)*R236))</f>
        <v>3.9449308899649665E-19</v>
      </c>
      <c r="T237" s="7">
        <f>IF(T236&lt;(inputs!$C$20-1),(1+T236),0)</f>
        <v>0</v>
      </c>
      <c r="U237" s="7">
        <f>IF(inputs!$C$19&gt;U236,IF(T236=(inputs!$C$20-1),(U236+1),U236), U236)</f>
        <v>1</v>
      </c>
      <c r="V237" s="7">
        <f t="shared" si="6"/>
        <v>234</v>
      </c>
      <c r="W237" s="8">
        <f>IF((U237&gt;U236), (EXP(-LN(2)/inputs!$C$51)*W236+$W$3), (EXP(-LN(2)/inputs!$C$51)*W236))</f>
        <v>1.3055150456867363E-11</v>
      </c>
      <c r="X237" s="8">
        <f>IF((U237&gt;U236), (EXP(-LN(2)/inputs!$C$51)*X236+$X$3), (EXP(-LN(2)/inputs!$C$51)*X236))</f>
        <v>5.5292401934967643E-12</v>
      </c>
      <c r="Y237" s="8">
        <f>IF((U237&gt;U236), (EXP(-LN(2)/inputs!$C$51)*Y236+$Y$3), (EXP(-LN(2)/inputs!$C$51)*Y236))</f>
        <v>6.9115502418709642E-12</v>
      </c>
      <c r="Z237" s="8">
        <f>IF((U237&gt;U236), (EXP(-LN(2)/inputs!$C$51)*Z236+$Z$3), (EXP(-LN(2)/inputs!$C$51)*Z236))</f>
        <v>1.0751300376243708E-12</v>
      </c>
      <c r="AA237" s="8">
        <f>IF((U237&gt;U236), (EXP(-LN(2)/inputs!$C$51)*AA236+$AA$3), (EXP(-LN(2)/inputs!$C$51)*AA236))</f>
        <v>9.9833503493691626E-12</v>
      </c>
      <c r="AB237" s="7">
        <f>(((0.621*15^0.564)/0.2))*W237/15+AB236*inputs!$C$53</f>
        <v>1.4048185814413081E-11</v>
      </c>
      <c r="AC237" s="7">
        <f>(((0.621*1000^0.564)/0.2))*W237/1000+AC236*inputs!$C$53</f>
        <v>2.2511064478791914E-12</v>
      </c>
      <c r="AD237" s="7">
        <f>(((0.648*20^0.651)/0.2))*AA237/20+AD236*inputs!$C$54</f>
        <v>1.5037742485212353E-11</v>
      </c>
      <c r="AE237" s="7">
        <f>(((0.013*2^0.773)/0.2))*AA237/2+AE236*inputs!$C$54</f>
        <v>7.3329149744537825E-13</v>
      </c>
    </row>
    <row r="238" spans="1:31" x14ac:dyDescent="0.3">
      <c r="A238" s="7">
        <f>IF(A237&lt;(inputs!$C$20-1),(1+A237),0)</f>
        <v>0</v>
      </c>
      <c r="B238" s="7">
        <f>IF(inputs!$C$19&gt;B237,IF(A237=(inputs!$C$20-1),(B237+1),B237), B237)</f>
        <v>1</v>
      </c>
      <c r="C238" s="7">
        <f t="shared" si="7"/>
        <v>235</v>
      </c>
      <c r="D238" s="8">
        <f>IF((B238&gt;B237), (EXP(-LN(2)/inputs!$C$51)*D237+$D$3), (EXP(-LN(2)/inputs!$C$51)*D237))</f>
        <v>3.2342686037006265E-11</v>
      </c>
      <c r="E238" s="8">
        <f>IF((B238&gt;B237), (EXP(-LN(2)/inputs!$C$51)*E237+$E$3), (EXP(-LN(2)/inputs!$C$51)*E237))</f>
        <v>1.482373110029452E-11</v>
      </c>
      <c r="F238" s="8">
        <f>IF((B238&gt;B237), (EXP(-LN(2)/inputs!$C$51)*F237+$F$3), (EXP(-LN(2)/inputs!$C$51)*F237))</f>
        <v>1.8192760895816006E-11</v>
      </c>
      <c r="G238" s="8">
        <f>IF((B238&gt;B237), (EXP(-LN(2)/inputs!$C$51)*G237+$G$3), (EXP(-LN(2)/inputs!$C$51)*G237))</f>
        <v>2.0214178773128916E-12</v>
      </c>
      <c r="H238" s="8">
        <f>IF((B238&gt;B237), (EXP(-LN(2)/inputs!$C$51)*H237+$H$3), (EXP(-LN(2)/inputs!$C$51)*H237))</f>
        <v>1.2667552031160755E-11</v>
      </c>
      <c r="I238" s="7">
        <f>O238*(10^inputs!$C$55)*0.01/1</f>
        <v>0.47228016702748365</v>
      </c>
      <c r="J238" s="7">
        <f>(((0.621*15^0.564)/0.2))*D238/15+J237*inputs!$C$53</f>
        <v>3.4802820900932926E-11</v>
      </c>
      <c r="K238" s="7">
        <f>(((0.621*1000^0.564)/0.2))*D238/1000+K237*inputs!$C$53</f>
        <v>5.5768663348754231E-12</v>
      </c>
      <c r="L238" s="7">
        <f>(((0.648*20^0.651)/0.2))*H238/20+L237*inputs!$C$54</f>
        <v>1.9080907580756303E-11</v>
      </c>
      <c r="M238" s="7">
        <f>(((0.013*2^0.773)/0.2))*H238/2+M237*inputs!$C$54</f>
        <v>9.3044998651019735E-13</v>
      </c>
      <c r="N238" s="7">
        <f>O238*0.015*inputs!$C$56</f>
        <v>6.9387212727534897E-2</v>
      </c>
      <c r="O238" s="7">
        <f>IF((B238&gt;B237), (EXP(-LN(2)/inputs!$C$52)*O237+$O$3), (EXP(-LN(2)/inputs!$C$52)*O237))</f>
        <v>7.4851362165625577E-3</v>
      </c>
      <c r="P238" s="3">
        <f>IF((B238&gt;B237), (EXP(-LN(2)/inputs!$C$52)*P237+$P$3), (EXP(-LN(2)/inputs!$C$52)*P237))</f>
        <v>7.2329239633295191E-3</v>
      </c>
      <c r="Q238" s="19">
        <f>IF((F238*0.62*1/(0.012*(10^inputs!$C$55)))&gt;inputs!$C$57, inputs!$C$57, (F238*0.62*1/(0.012*(10^inputs!$C$55))))</f>
        <v>1.4897351162856611E-13</v>
      </c>
      <c r="R238" s="3">
        <f>IF((B238&gt;B237), (EXP(-LN(2)/inputs!$C$51)*R237+$R$3), (EXP(-LN(2)/inputs!$C$51)*R237))</f>
        <v>3.4613162951906861E-19</v>
      </c>
      <c r="T238" s="7">
        <f>IF(T237&lt;(inputs!$C$20-1),(1+T237),0)</f>
        <v>0</v>
      </c>
      <c r="U238" s="7">
        <f>IF(inputs!$C$19&gt;U237,IF(T237=(inputs!$C$20-1),(U237+1),U237), U237)</f>
        <v>1</v>
      </c>
      <c r="V238" s="7">
        <f t="shared" si="6"/>
        <v>235</v>
      </c>
      <c r="W238" s="8">
        <f>IF((U238&gt;U237), (EXP(-LN(2)/inputs!$C$51)*W237+$W$3), (EXP(-LN(2)/inputs!$C$51)*W237))</f>
        <v>1.145470130477303E-11</v>
      </c>
      <c r="X238" s="8">
        <f>IF((U238&gt;U237), (EXP(-LN(2)/inputs!$C$51)*X237+$X$3), (EXP(-LN(2)/inputs!$C$51)*X237))</f>
        <v>4.8514029055509298E-12</v>
      </c>
      <c r="Y238" s="8">
        <f>IF((U238&gt;U237), (EXP(-LN(2)/inputs!$C$51)*Y237+$Y$3), (EXP(-LN(2)/inputs!$C$51)*Y237))</f>
        <v>6.0642536319386699E-12</v>
      </c>
      <c r="Z238" s="8">
        <f>IF((U238&gt;U237), (EXP(-LN(2)/inputs!$C$51)*Z237+$Z$3), (EXP(-LN(2)/inputs!$C$51)*Z237))</f>
        <v>9.4332834274601401E-13</v>
      </c>
      <c r="AA238" s="8">
        <f>IF((U238&gt;U237), (EXP(-LN(2)/inputs!$C$51)*AA237+$AA$3), (EXP(-LN(2)/inputs!$C$51)*AA237))</f>
        <v>8.7594774683558498E-12</v>
      </c>
      <c r="AB238" s="7">
        <f>(((0.621*15^0.564)/0.2))*W238/15+AB237*inputs!$C$53</f>
        <v>1.2325999069080388E-11</v>
      </c>
      <c r="AC238" s="7">
        <f>(((0.621*1000^0.564)/0.2))*W238/1000+AC237*inputs!$C$53</f>
        <v>1.975140160268375E-12</v>
      </c>
      <c r="AD238" s="7">
        <f>(((0.648*20^0.651)/0.2))*AA238/20+AD237*inputs!$C$54</f>
        <v>1.3194244603714477E-11</v>
      </c>
      <c r="AE238" s="7">
        <f>(((0.013*2^0.773)/0.2))*AA238/2+AE237*inputs!$C$54</f>
        <v>6.4339626726769046E-13</v>
      </c>
    </row>
    <row r="239" spans="1:31" x14ac:dyDescent="0.3">
      <c r="A239" s="7">
        <f>IF(A238&lt;(inputs!$C$20-1),(1+A238),0)</f>
        <v>0</v>
      </c>
      <c r="B239" s="7">
        <f>IF(inputs!$C$19&gt;B238,IF(A238=(inputs!$C$20-1),(B238+1),B238), B238)</f>
        <v>1</v>
      </c>
      <c r="C239" s="7">
        <f t="shared" si="7"/>
        <v>236</v>
      </c>
      <c r="D239" s="8">
        <f>IF((B239&gt;B238), (EXP(-LN(2)/inputs!$C$51)*D238+$D$3), (EXP(-LN(2)/inputs!$C$51)*D238))</f>
        <v>2.8377750924584697E-11</v>
      </c>
      <c r="E239" s="8">
        <f>IF((B239&gt;B238), (EXP(-LN(2)/inputs!$C$51)*E238+$E$3), (EXP(-LN(2)/inputs!$C$51)*E238))</f>
        <v>1.3006469173767971E-11</v>
      </c>
      <c r="F239" s="8">
        <f>IF((B239&gt;B238), (EXP(-LN(2)/inputs!$C$51)*F238+$F$3), (EXP(-LN(2)/inputs!$C$51)*F238))</f>
        <v>1.5962484895078875E-11</v>
      </c>
      <c r="G239" s="8">
        <f>IF((B239&gt;B238), (EXP(-LN(2)/inputs!$C$51)*G238+$G$3), (EXP(-LN(2)/inputs!$C$51)*G238))</f>
        <v>1.7736094327865436E-12</v>
      </c>
      <c r="H239" s="8">
        <f>IF((B239&gt;B238), (EXP(-LN(2)/inputs!$C$51)*H238+$H$3), (EXP(-LN(2)/inputs!$C$51)*H238))</f>
        <v>1.1114619112128978E-11</v>
      </c>
      <c r="I239" s="7">
        <f>O239*(10^inputs!$C$55)*0.01/1</f>
        <v>0.46274942177852707</v>
      </c>
      <c r="J239" s="7">
        <f>(((0.621*15^0.564)/0.2))*D239/15+J238*inputs!$C$53</f>
        <v>3.05362944150517E-11</v>
      </c>
      <c r="K239" s="7">
        <f>(((0.621*1000^0.564)/0.2))*D239/1000+K238*inputs!$C$53</f>
        <v>4.8931904916529701E-12</v>
      </c>
      <c r="L239" s="7">
        <f>(((0.648*20^0.651)/0.2))*H239/20+L238*inputs!$C$54</f>
        <v>1.6741752435841987E-11</v>
      </c>
      <c r="M239" s="7">
        <f>(((0.013*2^0.773)/0.2))*H239/2+M238*inputs!$C$54</f>
        <v>8.1638482143252487E-13</v>
      </c>
      <c r="N239" s="7">
        <f>O239*0.015*inputs!$C$56</f>
        <v>6.7986959457947985E-2</v>
      </c>
      <c r="O239" s="7">
        <f>IF((B239&gt;B238), (EXP(-LN(2)/inputs!$C$52)*O238+$O$3), (EXP(-LN(2)/inputs!$C$52)*O238))</f>
        <v>7.3340840839210344E-3</v>
      </c>
      <c r="P239" s="3">
        <f>IF((B239&gt;B238), (EXP(-LN(2)/inputs!$C$52)*P238+$P$3), (EXP(-LN(2)/inputs!$C$52)*P238))</f>
        <v>7.0869615441717503E-3</v>
      </c>
      <c r="Q239" s="19">
        <f>IF((F239*0.62*1/(0.012*(10^inputs!$C$55)))&gt;inputs!$C$57, inputs!$C$57, (F239*0.62*1/(0.012*(10^inputs!$C$55))))</f>
        <v>1.3071064049903148E-13</v>
      </c>
      <c r="R239" s="3">
        <f>IF((B239&gt;B238), (EXP(-LN(2)/inputs!$C$51)*R238+$R$3), (EXP(-LN(2)/inputs!$C$51)*R238))</f>
        <v>3.0369886899232784E-19</v>
      </c>
      <c r="T239" s="7">
        <f>IF(T238&lt;(inputs!$C$20-1),(1+T238),0)</f>
        <v>0</v>
      </c>
      <c r="U239" s="7">
        <f>IF(inputs!$C$19&gt;U238,IF(T238=(inputs!$C$20-1),(U238+1),U238), U238)</f>
        <v>1</v>
      </c>
      <c r="V239" s="7">
        <f t="shared" si="6"/>
        <v>236</v>
      </c>
      <c r="W239" s="8">
        <f>IF((U239&gt;U238), (EXP(-LN(2)/inputs!$C$51)*W238+$W$3), (EXP(-LN(2)/inputs!$C$51)*W238))</f>
        <v>1.0050453452457061E-11</v>
      </c>
      <c r="X239" s="8">
        <f>IF((U239&gt;U238), (EXP(-LN(2)/inputs!$C$51)*X238+$X$3), (EXP(-LN(2)/inputs!$C$51)*X238))</f>
        <v>4.2566626386876961E-12</v>
      </c>
      <c r="Y239" s="8">
        <f>IF((U239&gt;U238), (EXP(-LN(2)/inputs!$C$51)*Y238+$Y$3), (EXP(-LN(2)/inputs!$C$51)*Y238))</f>
        <v>5.3208282983596264E-12</v>
      </c>
      <c r="Z239" s="8">
        <f>IF((U239&gt;U238), (EXP(-LN(2)/inputs!$C$51)*Z238+$Z$3), (EXP(-LN(2)/inputs!$C$51)*Z238))</f>
        <v>8.2768440196705183E-13</v>
      </c>
      <c r="AA239" s="8">
        <f>IF((U239&gt;U238), (EXP(-LN(2)/inputs!$C$51)*AA238+$AA$3), (EXP(-LN(2)/inputs!$C$51)*AA238))</f>
        <v>7.6856408754083441E-12</v>
      </c>
      <c r="AB239" s="7">
        <f>(((0.621*15^0.564)/0.2))*W239/15+AB238*inputs!$C$53</f>
        <v>1.0814937605330788E-11</v>
      </c>
      <c r="AC239" s="7">
        <f>(((0.621*1000^0.564)/0.2))*W239/1000+AC238*inputs!$C$53</f>
        <v>1.7330049657937567E-12</v>
      </c>
      <c r="AD239" s="7">
        <f>(((0.648*20^0.651)/0.2))*AA239/20+AD238*inputs!$C$54</f>
        <v>1.1576743705635429E-11</v>
      </c>
      <c r="AE239" s="7">
        <f>(((0.013*2^0.773)/0.2))*AA239/2+AE238*inputs!$C$54</f>
        <v>5.6452141907568269E-13</v>
      </c>
    </row>
    <row r="240" spans="1:31" x14ac:dyDescent="0.3">
      <c r="A240" s="7">
        <f>IF(A239&lt;(inputs!$C$20-1),(1+A239),0)</f>
        <v>0</v>
      </c>
      <c r="B240" s="7">
        <f>IF(inputs!$C$19&gt;B239,IF(A239=(inputs!$C$20-1),(B239+1),B239), B239)</f>
        <v>1</v>
      </c>
      <c r="C240" s="7">
        <f t="shared" si="7"/>
        <v>237</v>
      </c>
      <c r="D240" s="8">
        <f>IF((B240&gt;B239), (EXP(-LN(2)/inputs!$C$51)*D239+$D$3), (EXP(-LN(2)/inputs!$C$51)*D239))</f>
        <v>2.4898882752544206E-11</v>
      </c>
      <c r="E240" s="8">
        <f>IF((B240&gt;B239), (EXP(-LN(2)/inputs!$C$51)*E239+$E$3), (EXP(-LN(2)/inputs!$C$51)*E239))</f>
        <v>1.1411987928249415E-11</v>
      </c>
      <c r="F240" s="8">
        <f>IF((B240&gt;B239), (EXP(-LN(2)/inputs!$C$51)*F239+$F$3), (EXP(-LN(2)/inputs!$C$51)*F239))</f>
        <v>1.4005621548306102E-11</v>
      </c>
      <c r="G240" s="8">
        <f>IF((B240&gt;B239), (EXP(-LN(2)/inputs!$C$51)*G239+$G$3), (EXP(-LN(2)/inputs!$C$51)*G239))</f>
        <v>1.5561801720340129E-12</v>
      </c>
      <c r="H240" s="8">
        <f>IF((B240&gt;B239), (EXP(-LN(2)/inputs!$C$51)*H239+$H$3), (EXP(-LN(2)/inputs!$C$51)*H239))</f>
        <v>9.7520624114131232E-12</v>
      </c>
      <c r="I240" s="7">
        <f>O240*(10^inputs!$C$55)*0.01/1</f>
        <v>0.45341100962196407</v>
      </c>
      <c r="J240" s="7">
        <f>(((0.621*15^0.564)/0.2))*D240/15+J239*inputs!$C$53</f>
        <v>2.6792807377798554E-11</v>
      </c>
      <c r="K240" s="7">
        <f>(((0.621*1000^0.564)/0.2))*D240/1000+K239*inputs!$C$53</f>
        <v>4.2933274261696782E-12</v>
      </c>
      <c r="L240" s="7">
        <f>(((0.648*20^0.651)/0.2))*H240/20+L239*inputs!$C$54</f>
        <v>1.4689357591443851E-11</v>
      </c>
      <c r="M240" s="7">
        <f>(((0.013*2^0.773)/0.2))*H240/2+M239*inputs!$C$54</f>
        <v>7.1630306446149973E-13</v>
      </c>
      <c r="N240" s="7">
        <f>O240*0.015*inputs!$C$56</f>
        <v>6.6614963689158632E-2</v>
      </c>
      <c r="O240" s="7">
        <f>IF((B240&gt;B239), (EXP(-LN(2)/inputs!$C$52)*O239+$O$3), (EXP(-LN(2)/inputs!$C$52)*O239))</f>
        <v>7.1860802253677055E-3</v>
      </c>
      <c r="P240" s="3">
        <f>IF((B240&gt;B239), (EXP(-LN(2)/inputs!$C$52)*P239+$P$3), (EXP(-LN(2)/inputs!$C$52)*P239))</f>
        <v>6.9439446872671456E-3</v>
      </c>
      <c r="Q240" s="19">
        <f>IF((F240*0.62*1/(0.012*(10^inputs!$C$55)))&gt;inputs!$C$57, inputs!$C$57, (F240*0.62*1/(0.012*(10^inputs!$C$55))))</f>
        <v>1.1468664028183447E-13</v>
      </c>
      <c r="R240" s="3">
        <f>IF((B240&gt;B239), (EXP(-LN(2)/inputs!$C$51)*R239+$R$3), (EXP(-LN(2)/inputs!$C$51)*R239))</f>
        <v>2.6646799992064274E-19</v>
      </c>
      <c r="T240" s="7">
        <f>IF(T239&lt;(inputs!$C$20-1),(1+T239),0)</f>
        <v>0</v>
      </c>
      <c r="U240" s="7">
        <f>IF(inputs!$C$19&gt;U239,IF(T239=(inputs!$C$20-1),(U239+1),U239), U239)</f>
        <v>1</v>
      </c>
      <c r="V240" s="7">
        <f t="shared" si="6"/>
        <v>237</v>
      </c>
      <c r="W240" s="8">
        <f>IF((U240&gt;U239), (EXP(-LN(2)/inputs!$C$51)*W239+$W$3), (EXP(-LN(2)/inputs!$C$51)*W239))</f>
        <v>8.8183543081927231E-12</v>
      </c>
      <c r="X240" s="8">
        <f>IF((U240&gt;U239), (EXP(-LN(2)/inputs!$C$51)*X239+$X$3), (EXP(-LN(2)/inputs!$C$51)*X239))</f>
        <v>3.7348324128816238E-12</v>
      </c>
      <c r="Y240" s="8">
        <f>IF((U240&gt;U239), (EXP(-LN(2)/inputs!$C$51)*Y239+$Y$3), (EXP(-LN(2)/inputs!$C$51)*Y239))</f>
        <v>4.6685405161020352E-12</v>
      </c>
      <c r="Z240" s="8">
        <f>IF((U240&gt;U239), (EXP(-LN(2)/inputs!$C$51)*Z239+$Z$3), (EXP(-LN(2)/inputs!$C$51)*Z239))</f>
        <v>7.2621741361587112E-13</v>
      </c>
      <c r="AA240" s="8">
        <f>IF((U240&gt;U239), (EXP(-LN(2)/inputs!$C$51)*AA239+$AA$3), (EXP(-LN(2)/inputs!$C$51)*AA239))</f>
        <v>6.7434474121473796E-12</v>
      </c>
      <c r="AB240" s="7">
        <f>(((0.621*15^0.564)/0.2))*W240/15+AB239*inputs!$C$53</f>
        <v>9.48911927963697E-12</v>
      </c>
      <c r="AC240" s="7">
        <f>(((0.621*1000^0.564)/0.2))*W240/1000+AC239*inputs!$C$53</f>
        <v>1.5205534634350915E-12</v>
      </c>
      <c r="AD240" s="7">
        <f>(((0.648*20^0.651)/0.2))*AA240/20+AD239*inputs!$C$54</f>
        <v>1.0157534504721824E-11</v>
      </c>
      <c r="AE240" s="7">
        <f>(((0.013*2^0.773)/0.2))*AA240/2+AE239*inputs!$C$54</f>
        <v>4.9531594882976101E-13</v>
      </c>
    </row>
    <row r="241" spans="1:31" x14ac:dyDescent="0.3">
      <c r="A241" s="7">
        <f>IF(A240&lt;(inputs!$C$20-1),(1+A240),0)</f>
        <v>0</v>
      </c>
      <c r="B241" s="7">
        <f>IF(inputs!$C$19&gt;B240,IF(A240=(inputs!$C$20-1),(B240+1),B240), B240)</f>
        <v>1</v>
      </c>
      <c r="C241" s="7">
        <f t="shared" si="7"/>
        <v>238</v>
      </c>
      <c r="D241" s="8">
        <f>IF((B241&gt;B240), (EXP(-LN(2)/inputs!$C$51)*D240+$D$3), (EXP(-LN(2)/inputs!$C$51)*D240))</f>
        <v>2.1846493894900386E-11</v>
      </c>
      <c r="E241" s="8">
        <f>IF((B241&gt;B240), (EXP(-LN(2)/inputs!$C$51)*E240+$E$3), (EXP(-LN(2)/inputs!$C$51)*E240))</f>
        <v>1.0012976368495998E-11</v>
      </c>
      <c r="F241" s="8">
        <f>IF((B241&gt;B240), (EXP(-LN(2)/inputs!$C$51)*F240+$F$3), (EXP(-LN(2)/inputs!$C$51)*F240))</f>
        <v>1.2288652815881454E-11</v>
      </c>
      <c r="G241" s="8">
        <f>IF((B241&gt;B240), (EXP(-LN(2)/inputs!$C$51)*G240+$G$3), (EXP(-LN(2)/inputs!$C$51)*G240))</f>
        <v>1.3654058684312741E-12</v>
      </c>
      <c r="H241" s="8">
        <f>IF((B241&gt;B240), (EXP(-LN(2)/inputs!$C$51)*H240+$H$3), (EXP(-LN(2)/inputs!$C$51)*H240))</f>
        <v>8.5565434421692966E-12</v>
      </c>
      <c r="I241" s="7">
        <f>O241*(10^inputs!$C$55)*0.01/1</f>
        <v>0.44426104922244625</v>
      </c>
      <c r="J241" s="7">
        <f>(((0.621*15^0.564)/0.2))*D241/15+J240*inputs!$C$53</f>
        <v>2.3508239651697156E-11</v>
      </c>
      <c r="K241" s="7">
        <f>(((0.621*1000^0.564)/0.2))*D241/1000+K240*inputs!$C$53</f>
        <v>3.7670024127905995E-12</v>
      </c>
      <c r="L241" s="7">
        <f>(((0.648*20^0.651)/0.2))*H241/20+L240*inputs!$C$54</f>
        <v>1.2888568701288236E-11</v>
      </c>
      <c r="M241" s="7">
        <f>(((0.013*2^0.773)/0.2))*H241/2+M240*inputs!$C$54</f>
        <v>6.2849047004157583E-13</v>
      </c>
      <c r="N241" s="7">
        <f>O241*0.015*inputs!$C$56</f>
        <v>6.5270655176934117E-2</v>
      </c>
      <c r="O241" s="7">
        <f>IF((B241&gt;B240), (EXP(-LN(2)/inputs!$C$52)*O240+$O$3), (EXP(-LN(2)/inputs!$C$52)*O240))</f>
        <v>7.0410631258828607E-3</v>
      </c>
      <c r="P241" s="3">
        <f>IF((B241&gt;B240), (EXP(-LN(2)/inputs!$C$52)*P240+$P$3), (EXP(-LN(2)/inputs!$C$52)*P240))</f>
        <v>6.8038139503494187E-3</v>
      </c>
      <c r="Q241" s="19">
        <f>IF((F241*0.62*1/(0.012*(10^inputs!$C$55)))&gt;inputs!$C$57, inputs!$C$57, (F241*0.62*1/(0.012*(10^inputs!$C$55))))</f>
        <v>1.0062704466077772E-13</v>
      </c>
      <c r="R241" s="3">
        <f>IF((B241&gt;B240), (EXP(-LN(2)/inputs!$C$51)*R240+$R$3), (EXP(-LN(2)/inputs!$C$51)*R240))</f>
        <v>2.3380131515570914E-19</v>
      </c>
      <c r="T241" s="7">
        <f>IF(T240&lt;(inputs!$C$20-1),(1+T240),0)</f>
        <v>0</v>
      </c>
      <c r="U241" s="7">
        <f>IF(inputs!$C$19&gt;U240,IF(T240=(inputs!$C$20-1),(U240+1),U240), U240)</f>
        <v>1</v>
      </c>
      <c r="V241" s="7">
        <f t="shared" si="6"/>
        <v>238</v>
      </c>
      <c r="W241" s="8">
        <f>IF((U241&gt;U240), (EXP(-LN(2)/inputs!$C$51)*W240+$W$3), (EXP(-LN(2)/inputs!$C$51)*W240))</f>
        <v>7.7372999211105387E-12</v>
      </c>
      <c r="X241" s="8">
        <f>IF((U241&gt;U240), (EXP(-LN(2)/inputs!$C$51)*X240+$X$3), (EXP(-LN(2)/inputs!$C$51)*X240))</f>
        <v>3.2769740842350517E-12</v>
      </c>
      <c r="Y241" s="8">
        <f>IF((U241&gt;U240), (EXP(-LN(2)/inputs!$C$51)*Y240+$Y$3), (EXP(-LN(2)/inputs!$C$51)*Y240))</f>
        <v>4.0962176052938193E-12</v>
      </c>
      <c r="Z241" s="8">
        <f>IF((U241&gt;U240), (EXP(-LN(2)/inputs!$C$51)*Z240+$Z$3), (EXP(-LN(2)/inputs!$C$51)*Z240))</f>
        <v>6.3718940526792658E-13</v>
      </c>
      <c r="AA241" s="8">
        <f>IF((U241&gt;U240), (EXP(-LN(2)/inputs!$C$51)*AA240+$AA$3), (EXP(-LN(2)/inputs!$C$51)*AA240))</f>
        <v>5.9167587632021794E-12</v>
      </c>
      <c r="AB241" s="7">
        <f>(((0.621*15^0.564)/0.2))*W241/15+AB240*inputs!$C$53</f>
        <v>8.3258348766427281E-12</v>
      </c>
      <c r="AC241" s="7">
        <f>(((0.621*1000^0.564)/0.2))*W241/1000+AC240*inputs!$C$53</f>
        <v>1.3341466878633345E-12</v>
      </c>
      <c r="AD241" s="7">
        <f>(((0.648*20^0.651)/0.2))*AA241/20+AD240*inputs!$C$54</f>
        <v>8.9123081445078335E-12</v>
      </c>
      <c r="AE241" s="7">
        <f>(((0.013*2^0.773)/0.2))*AA241/2+AE240*inputs!$C$54</f>
        <v>4.3459447396491991E-13</v>
      </c>
    </row>
    <row r="242" spans="1:31" x14ac:dyDescent="0.3">
      <c r="A242" s="7">
        <f>IF(A241&lt;(inputs!$C$20-1),(1+A241),0)</f>
        <v>0</v>
      </c>
      <c r="B242" s="7">
        <f>IF(inputs!$C$19&gt;B241,IF(A241=(inputs!$C$20-1),(B241+1),B241), B241)</f>
        <v>1</v>
      </c>
      <c r="C242" s="7">
        <f t="shared" si="7"/>
        <v>239</v>
      </c>
      <c r="D242" s="8">
        <f>IF((B242&gt;B241), (EXP(-LN(2)/inputs!$C$51)*D241+$D$3), (EXP(-LN(2)/inputs!$C$51)*D241))</f>
        <v>1.9168301656071364E-11</v>
      </c>
      <c r="E242" s="8">
        <f>IF((B242&gt;B241), (EXP(-LN(2)/inputs!$C$51)*E241+$E$3), (EXP(-LN(2)/inputs!$C$51)*E241))</f>
        <v>8.7854715923660303E-12</v>
      </c>
      <c r="F242" s="8">
        <f>IF((B242&gt;B241), (EXP(-LN(2)/inputs!$C$51)*F241+$F$3), (EXP(-LN(2)/inputs!$C$51)*F241))</f>
        <v>1.0782169681540131E-11</v>
      </c>
      <c r="G242" s="8">
        <f>IF((B242&gt;B241), (EXP(-LN(2)/inputs!$C$51)*G241+$G$3), (EXP(-LN(2)/inputs!$C$51)*G241))</f>
        <v>1.1980188535044602E-12</v>
      </c>
      <c r="H242" s="8">
        <f>IF((B242&gt;B241), (EXP(-LN(2)/inputs!$C$51)*H241+$H$3), (EXP(-LN(2)/inputs!$C$51)*H241))</f>
        <v>7.5075848152945988E-12</v>
      </c>
      <c r="I242" s="7">
        <f>O242*(10^inputs!$C$55)*0.01/1</f>
        <v>0.43529573757105339</v>
      </c>
      <c r="J242" s="7">
        <f>(((0.621*15^0.564)/0.2))*D242/15+J241*inputs!$C$53</f>
        <v>2.0626331676596191E-11</v>
      </c>
      <c r="K242" s="7">
        <f>(((0.621*1000^0.564)/0.2))*D242/1000+K241*inputs!$C$53</f>
        <v>3.3052003188655416E-12</v>
      </c>
      <c r="L242" s="7">
        <f>(((0.648*20^0.651)/0.2))*H242/20+L241*inputs!$C$54</f>
        <v>1.1308541039574413E-11</v>
      </c>
      <c r="M242" s="7">
        <f>(((0.013*2^0.773)/0.2))*H242/2+M241*inputs!$C$54</f>
        <v>5.5144294437722808E-13</v>
      </c>
      <c r="N242" s="7">
        <f>O242*0.015*inputs!$C$56</f>
        <v>6.3953475184729089E-2</v>
      </c>
      <c r="O242" s="7">
        <f>IF((B242&gt;B241), (EXP(-LN(2)/inputs!$C$52)*O241+$O$3), (EXP(-LN(2)/inputs!$C$52)*O241))</f>
        <v>6.8989725118370118E-3</v>
      </c>
      <c r="P242" s="3">
        <f>IF((B242&gt;B241), (EXP(-LN(2)/inputs!$C$52)*P241+$P$3), (EXP(-LN(2)/inputs!$C$52)*P241))</f>
        <v>6.6665110907137663E-3</v>
      </c>
      <c r="Q242" s="19">
        <f>IF((F242*0.62*1/(0.012*(10^inputs!$C$55)))&gt;inputs!$C$57, inputs!$C$57, (F242*0.62*1/(0.012*(10^inputs!$C$55))))</f>
        <v>8.8291034529206668E-14</v>
      </c>
      <c r="R242" s="3">
        <f>IF((B242&gt;B241), (EXP(-LN(2)/inputs!$C$51)*R241+$R$3), (EXP(-LN(2)/inputs!$C$51)*R241))</f>
        <v>2.051392849603649E-19</v>
      </c>
      <c r="T242" s="7">
        <f>IF(T241&lt;(inputs!$C$20-1),(1+T241),0)</f>
        <v>0</v>
      </c>
      <c r="U242" s="7">
        <f>IF(inputs!$C$19&gt;U241,IF(T241=(inputs!$C$20-1),(U241+1),U241), U241)</f>
        <v>1</v>
      </c>
      <c r="V242" s="7">
        <f t="shared" si="6"/>
        <v>239</v>
      </c>
      <c r="W242" s="8">
        <f>IF((U242&gt;U241), (EXP(-LN(2)/inputs!$C$51)*W241+$W$3), (EXP(-LN(2)/inputs!$C$51)*W241))</f>
        <v>6.7887735031919288E-12</v>
      </c>
      <c r="X242" s="8">
        <f>IF((U242&gt;U241), (EXP(-LN(2)/inputs!$C$51)*X241+$X$3), (EXP(-LN(2)/inputs!$C$51)*X241))</f>
        <v>2.8752452484106993E-12</v>
      </c>
      <c r="Y242" s="8">
        <f>IF((U242&gt;U241), (EXP(-LN(2)/inputs!$C$51)*Y241+$Y$3), (EXP(-LN(2)/inputs!$C$51)*Y241))</f>
        <v>3.5940565605133781E-12</v>
      </c>
      <c r="Z242" s="8">
        <f>IF((U242&gt;U241), (EXP(-LN(2)/inputs!$C$51)*Z241+$Z$3), (EXP(-LN(2)/inputs!$C$51)*Z241))</f>
        <v>5.5907546496874698E-13</v>
      </c>
      <c r="AA242" s="8">
        <f>IF((U242&gt;U241), (EXP(-LN(2)/inputs!$C$51)*AA241+$AA$3), (EXP(-LN(2)/inputs!$C$51)*AA241))</f>
        <v>5.1914150318526539E-12</v>
      </c>
      <c r="AB242" s="7">
        <f>(((0.621*15^0.564)/0.2))*W242/15+AB241*inputs!$C$53</f>
        <v>7.3051591354611366E-12</v>
      </c>
      <c r="AC242" s="7">
        <f>(((0.621*1000^0.564)/0.2))*W242/1000+AC241*inputs!$C$53</f>
        <v>1.1705917795982106E-12</v>
      </c>
      <c r="AD242" s="7">
        <f>(((0.648*20^0.651)/0.2))*AA242/20+AD241*inputs!$C$54</f>
        <v>7.8197358252376339E-12</v>
      </c>
      <c r="AE242" s="7">
        <f>(((0.013*2^0.773)/0.2))*AA242/2+AE241*inputs!$C$54</f>
        <v>3.8131692962255176E-13</v>
      </c>
    </row>
    <row r="243" spans="1:31" x14ac:dyDescent="0.3">
      <c r="A243" s="7">
        <f>IF(A242&lt;(inputs!$C$20-1),(1+A242),0)</f>
        <v>0</v>
      </c>
      <c r="B243" s="7">
        <f>IF(inputs!$C$19&gt;B242,IF(A242=(inputs!$C$20-1),(B242+1),B242), B242)</f>
        <v>1</v>
      </c>
      <c r="C243" s="7">
        <f t="shared" si="7"/>
        <v>240</v>
      </c>
      <c r="D243" s="8">
        <f>IF((B243&gt;B242), (EXP(-LN(2)/inputs!$C$51)*D242+$D$3), (EXP(-LN(2)/inputs!$C$51)*D242))</f>
        <v>1.6818432749243836E-11</v>
      </c>
      <c r="E243" s="8">
        <f>IF((B243&gt;B242), (EXP(-LN(2)/inputs!$C$51)*E242+$E$3), (EXP(-LN(2)/inputs!$C$51)*E242))</f>
        <v>7.7084483434034149E-12</v>
      </c>
      <c r="F243" s="8">
        <f>IF((B243&gt;B242), (EXP(-LN(2)/inputs!$C$51)*F242+$F$3), (EXP(-LN(2)/inputs!$C$51)*F242))</f>
        <v>9.4603684214496478E-12</v>
      </c>
      <c r="G243" s="8">
        <f>IF((B243&gt;B242), (EXP(-LN(2)/inputs!$C$51)*G242+$G$3), (EXP(-LN(2)/inputs!$C$51)*G242))</f>
        <v>1.0511520468277397E-12</v>
      </c>
      <c r="H243" s="8">
        <f>IF((B243&gt;B242), (EXP(-LN(2)/inputs!$C$51)*H242+$H$3), (EXP(-LN(2)/inputs!$C$51)*H242))</f>
        <v>6.5872194934538194E-12</v>
      </c>
      <c r="I243" s="7">
        <f>O243*(10^inputs!$C$55)*0.01/1</f>
        <v>0.42651134840464372</v>
      </c>
      <c r="J243" s="7">
        <f>(((0.621*15^0.564)/0.2))*D243/15+J242*inputs!$C$53</f>
        <v>1.8097720830502114E-11</v>
      </c>
      <c r="K243" s="7">
        <f>(((0.621*1000^0.564)/0.2))*D243/1000+K242*inputs!$C$53</f>
        <v>2.9000111894635367E-12</v>
      </c>
      <c r="L243" s="7">
        <f>(((0.648*20^0.651)/0.2))*H243/20+L242*inputs!$C$54</f>
        <v>9.9222111785738151E-12</v>
      </c>
      <c r="M243" s="7">
        <f>(((0.013*2^0.773)/0.2))*H243/2+M242*inputs!$C$54</f>
        <v>4.838407826347957E-13</v>
      </c>
      <c r="N243" s="7">
        <f>O243*0.015*inputs!$C$56</f>
        <v>6.2662876251457264E-2</v>
      </c>
      <c r="O243" s="7">
        <f>IF((B243&gt;B242), (EXP(-LN(2)/inputs!$C$52)*O242+$O$3), (EXP(-LN(2)/inputs!$C$52)*O242))</f>
        <v>6.7597493259392944E-3</v>
      </c>
      <c r="P243" s="3">
        <f>IF((B243&gt;B242), (EXP(-LN(2)/inputs!$C$52)*P242+$P$3), (EXP(-LN(2)/inputs!$C$52)*P242))</f>
        <v>6.5319790410093819E-3</v>
      </c>
      <c r="Q243" s="19">
        <f>IF((F243*0.62*1/(0.012*(10^inputs!$C$55)))&gt;inputs!$C$57, inputs!$C$57, (F243*0.62*1/(0.012*(10^inputs!$C$55))))</f>
        <v>7.7467313131536379E-14</v>
      </c>
      <c r="R243" s="3">
        <f>IF((B243&gt;B242), (EXP(-LN(2)/inputs!$C$51)*R242+$R$3), (EXP(-LN(2)/inputs!$C$51)*R242))</f>
        <v>1.7999097313042723E-19</v>
      </c>
      <c r="T243" s="7">
        <f>IF(T242&lt;(inputs!$C$20-1),(1+T242),0)</f>
        <v>0</v>
      </c>
      <c r="U243" s="7">
        <f>IF(inputs!$C$19&gt;U242,IF(T242=(inputs!$C$20-1),(U242+1),U242), U242)</f>
        <v>1</v>
      </c>
      <c r="V243" s="7">
        <f t="shared" si="6"/>
        <v>240</v>
      </c>
      <c r="W243" s="8">
        <f>IF((U243&gt;U242), (EXP(-LN(2)/inputs!$C$51)*W242+$W$3), (EXP(-LN(2)/inputs!$C$51)*W242))</f>
        <v>5.9565282653571813E-12</v>
      </c>
      <c r="X243" s="8">
        <f>IF((U243&gt;U242), (EXP(-LN(2)/inputs!$C$51)*X242+$X$3), (EXP(-LN(2)/inputs!$C$51)*X242))</f>
        <v>2.5227649123865709E-12</v>
      </c>
      <c r="Y243" s="8">
        <f>IF((U243&gt;U242), (EXP(-LN(2)/inputs!$C$51)*Y242+$Y$3), (EXP(-LN(2)/inputs!$C$51)*Y242))</f>
        <v>3.1534561404832172E-12</v>
      </c>
      <c r="Z243" s="8">
        <f>IF((U243&gt;U242), (EXP(-LN(2)/inputs!$C$51)*Z242+$Z$3), (EXP(-LN(2)/inputs!$C$51)*Z242))</f>
        <v>4.9053762185294419E-13</v>
      </c>
      <c r="AA243" s="8">
        <f>IF((U243&gt;U242), (EXP(-LN(2)/inputs!$C$51)*AA242+$AA$3), (EXP(-LN(2)/inputs!$C$51)*AA242))</f>
        <v>4.5549922029201998E-12</v>
      </c>
      <c r="AB243" s="7">
        <f>(((0.621*15^0.564)/0.2))*W243/15+AB242*inputs!$C$53</f>
        <v>6.4096094608028199E-12</v>
      </c>
      <c r="AC243" s="7">
        <f>(((0.621*1000^0.564)/0.2))*W243/1000+AC242*inputs!$C$53</f>
        <v>1.0270872962683341E-12</v>
      </c>
      <c r="AD243" s="7">
        <f>(((0.648*20^0.651)/0.2))*AA243/20+AD242*inputs!$C$54</f>
        <v>6.8611034745457307E-12</v>
      </c>
      <c r="AE243" s="7">
        <f>(((0.013*2^0.773)/0.2))*AA243/2+AE242*inputs!$C$54</f>
        <v>3.3457075394959324E-13</v>
      </c>
    </row>
    <row r="244" spans="1:31" x14ac:dyDescent="0.3">
      <c r="A244" s="7">
        <f>IF(A243&lt;(inputs!$C$20-1),(1+A243),0)</f>
        <v>0</v>
      </c>
      <c r="B244" s="7">
        <f>IF(inputs!$C$19&gt;B243,IF(A243=(inputs!$C$20-1),(B243+1),B243), B243)</f>
        <v>1</v>
      </c>
      <c r="C244" s="7">
        <f t="shared" si="7"/>
        <v>241</v>
      </c>
      <c r="D244" s="8">
        <f>IF((B244&gt;B243), (EXP(-LN(2)/inputs!$C$51)*D243+$D$3), (EXP(-LN(2)/inputs!$C$51)*D243))</f>
        <v>1.4756637557988589E-11</v>
      </c>
      <c r="E244" s="8">
        <f>IF((B244&gt;B243), (EXP(-LN(2)/inputs!$C$51)*E243+$E$3), (EXP(-LN(2)/inputs!$C$51)*E243))</f>
        <v>6.7634588807447622E-12</v>
      </c>
      <c r="F244" s="8">
        <f>IF((B244&gt;B243), (EXP(-LN(2)/inputs!$C$51)*F243+$F$3), (EXP(-LN(2)/inputs!$C$51)*F243))</f>
        <v>8.3006086263685733E-12</v>
      </c>
      <c r="G244" s="8">
        <f>IF((B244&gt;B243), (EXP(-LN(2)/inputs!$C$51)*G243+$G$3), (EXP(-LN(2)/inputs!$C$51)*G243))</f>
        <v>9.2228984737428682E-13</v>
      </c>
      <c r="H244" s="8">
        <f>IF((B244&gt;B243), (EXP(-LN(2)/inputs!$C$51)*H243+$H$3), (EXP(-LN(2)/inputs!$C$51)*H243))</f>
        <v>5.7796830435455174E-12</v>
      </c>
      <c r="I244" s="7">
        <f>O244*(10^inputs!$C$55)*0.01/1</f>
        <v>0.4179042306571033</v>
      </c>
      <c r="J244" s="7">
        <f>(((0.621*15^0.564)/0.2))*D244/15+J243*inputs!$C$53</f>
        <v>1.5879095924285046E-11</v>
      </c>
      <c r="K244" s="7">
        <f>(((0.621*1000^0.564)/0.2))*D244/1000+K243*inputs!$C$53</f>
        <v>2.5444947620906499E-12</v>
      </c>
      <c r="L244" s="7">
        <f>(((0.648*20^0.651)/0.2))*H244/20+L243*inputs!$C$54</f>
        <v>8.705833434011242E-12</v>
      </c>
      <c r="M244" s="7">
        <f>(((0.013*2^0.773)/0.2))*H244/2+M243*inputs!$C$54</f>
        <v>4.2452606444177933E-13</v>
      </c>
      <c r="N244" s="7">
        <f>O244*0.015*inputs!$C$56</f>
        <v>6.1398321963949398E-2</v>
      </c>
      <c r="O244" s="7">
        <f>IF((B244&gt;B243), (EXP(-LN(2)/inputs!$C$52)*O243+$O$3), (EXP(-LN(2)/inputs!$C$52)*O243))</f>
        <v>6.6233357026914139E-3</v>
      </c>
      <c r="P244" s="3">
        <f>IF((B244&gt;B243), (EXP(-LN(2)/inputs!$C$52)*P243+$P$3), (EXP(-LN(2)/inputs!$C$52)*P243))</f>
        <v>6.4001618855204856E-3</v>
      </c>
      <c r="Q244" s="19">
        <f>IF((F244*0.62*1/(0.012*(10^inputs!$C$55)))&gt;inputs!$C$57, inputs!$C$57, (F244*0.62*1/(0.012*(10^inputs!$C$55))))</f>
        <v>6.7970486876946919E-14</v>
      </c>
      <c r="R244" s="3">
        <f>IF((B244&gt;B243), (EXP(-LN(2)/inputs!$C$51)*R243+$R$3), (EXP(-LN(2)/inputs!$C$51)*R243))</f>
        <v>1.5792562801755684E-19</v>
      </c>
      <c r="T244" s="7">
        <f>IF(T243&lt;(inputs!$C$20-1),(1+T243),0)</f>
        <v>0</v>
      </c>
      <c r="U244" s="7">
        <f>IF(inputs!$C$19&gt;U243,IF(T243=(inputs!$C$20-1),(U243+1),U243), U243)</f>
        <v>1</v>
      </c>
      <c r="V244" s="7">
        <f t="shared" si="6"/>
        <v>241</v>
      </c>
      <c r="W244" s="8">
        <f>IF((U244&gt;U243), (EXP(-LN(2)/inputs!$C$51)*W243+$W$3), (EXP(-LN(2)/inputs!$C$51)*W243))</f>
        <v>5.2263091351209495E-12</v>
      </c>
      <c r="X244" s="8">
        <f>IF((U244&gt;U243), (EXP(-LN(2)/inputs!$C$51)*X243+$X$3), (EXP(-LN(2)/inputs!$C$51)*X243))</f>
        <v>2.2134956336982845E-12</v>
      </c>
      <c r="Y244" s="8">
        <f>IF((U244&gt;U243), (EXP(-LN(2)/inputs!$C$51)*Y243+$Y$3), (EXP(-LN(2)/inputs!$C$51)*Y243))</f>
        <v>2.7668695421228588E-12</v>
      </c>
      <c r="Z244" s="8">
        <f>IF((U244&gt;U243), (EXP(-LN(2)/inputs!$C$51)*Z243+$Z$3), (EXP(-LN(2)/inputs!$C$51)*Z243))</f>
        <v>4.3040192877466633E-13</v>
      </c>
      <c r="AA244" s="8">
        <f>IF((U244&gt;U243), (EXP(-LN(2)/inputs!$C$51)*AA243+$AA$3), (EXP(-LN(2)/inputs!$C$51)*AA243))</f>
        <v>3.996589338621905E-12</v>
      </c>
      <c r="AB244" s="7">
        <f>(((0.621*15^0.564)/0.2))*W244/15+AB243*inputs!$C$53</f>
        <v>5.6238464731842777E-12</v>
      </c>
      <c r="AC244" s="7">
        <f>(((0.621*1000^0.564)/0.2))*W244/1000+AC243*inputs!$C$53</f>
        <v>9.0117522824043691E-13</v>
      </c>
      <c r="AD244" s="7">
        <f>(((0.648*20^0.651)/0.2))*AA244/20+AD243*inputs!$C$54</f>
        <v>6.0199912043694826E-12</v>
      </c>
      <c r="AE244" s="7">
        <f>(((0.013*2^0.773)/0.2))*AA244/2+AE243*inputs!$C$54</f>
        <v>2.9355525732676267E-13</v>
      </c>
    </row>
    <row r="245" spans="1:31" x14ac:dyDescent="0.3">
      <c r="A245" s="7">
        <f>IF(A244&lt;(inputs!$C$20-1),(1+A244),0)</f>
        <v>0</v>
      </c>
      <c r="B245" s="7">
        <f>IF(inputs!$C$19&gt;B244,IF(A244=(inputs!$C$20-1),(B244+1),B244), B244)</f>
        <v>1</v>
      </c>
      <c r="C245" s="7">
        <f t="shared" si="7"/>
        <v>242</v>
      </c>
      <c r="D245" s="8">
        <f>IF((B245&gt;B244), (EXP(-LN(2)/inputs!$C$51)*D244+$D$3), (EXP(-LN(2)/inputs!$C$51)*D244))</f>
        <v>1.2947600722643432E-11</v>
      </c>
      <c r="E245" s="8">
        <f>IF((B245&gt;B244), (EXP(-LN(2)/inputs!$C$51)*E244+$E$3), (EXP(-LN(2)/inputs!$C$51)*E244))</f>
        <v>5.9343169978782324E-12</v>
      </c>
      <c r="F245" s="8">
        <f>IF((B245&gt;B244), (EXP(-LN(2)/inputs!$C$51)*F244+$F$3), (EXP(-LN(2)/inputs!$C$51)*F244))</f>
        <v>7.2830254064869229E-12</v>
      </c>
      <c r="G245" s="8">
        <f>IF((B245&gt;B244), (EXP(-LN(2)/inputs!$C$51)*G244+$G$3), (EXP(-LN(2)/inputs!$C$51)*G244))</f>
        <v>8.0922504516521449E-13</v>
      </c>
      <c r="H245" s="8">
        <f>IF((B245&gt;B244), (EXP(-LN(2)/inputs!$C$51)*H244+$H$3), (EXP(-LN(2)/inputs!$C$51)*H244))</f>
        <v>5.0711436163686662E-12</v>
      </c>
      <c r="I245" s="7">
        <f>O245*(10^inputs!$C$55)*0.01/1</f>
        <v>0.40947080694184862</v>
      </c>
      <c r="J245" s="7">
        <f>(((0.621*15^0.564)/0.2))*D245/15+J244*inputs!$C$53</f>
        <v>1.3932455348061103E-11</v>
      </c>
      <c r="K245" s="7">
        <f>(((0.621*1000^0.564)/0.2))*D245/1000+K244*inputs!$C$53</f>
        <v>2.2325615907380139E-12</v>
      </c>
      <c r="L245" s="7">
        <f>(((0.648*20^0.651)/0.2))*H245/20+L244*inputs!$C$54</f>
        <v>7.6385731382550556E-12</v>
      </c>
      <c r="M245" s="7">
        <f>(((0.013*2^0.773)/0.2))*H245/2+M244*inputs!$C$54</f>
        <v>3.7248282050349214E-13</v>
      </c>
      <c r="N245" s="7">
        <f>O245*0.015*inputs!$C$56</f>
        <v>6.0159286734003448E-2</v>
      </c>
      <c r="O245" s="7">
        <f>IF((B245&gt;B244), (EXP(-LN(2)/inputs!$C$52)*O244+$O$3), (EXP(-LN(2)/inputs!$C$52)*O244))</f>
        <v>6.4896749443369411E-3</v>
      </c>
      <c r="P245" s="3">
        <f>IF((B245&gt;B244), (EXP(-LN(2)/inputs!$C$52)*P244+$P$3), (EXP(-LN(2)/inputs!$C$52)*P244))</f>
        <v>6.271004836926007E-3</v>
      </c>
      <c r="Q245" s="19">
        <f>IF((F245*0.62*1/(0.012*(10^inputs!$C$55)))&gt;inputs!$C$57, inputs!$C$57, (F245*0.62*1/(0.012*(10^inputs!$C$55))))</f>
        <v>5.9637889834189301E-14</v>
      </c>
      <c r="R245" s="3">
        <f>IF((B245&gt;B244), (EXP(-LN(2)/inputs!$C$51)*R244+$R$3), (EXP(-LN(2)/inputs!$C$51)*R244))</f>
        <v>1.3856530442038915E-19</v>
      </c>
      <c r="T245" s="7">
        <f>IF(T244&lt;(inputs!$C$20-1),(1+T244),0)</f>
        <v>0</v>
      </c>
      <c r="U245" s="7">
        <f>IF(inputs!$C$19&gt;U244,IF(T244=(inputs!$C$20-1),(U244+1),U244), U244)</f>
        <v>1</v>
      </c>
      <c r="V245" s="7">
        <f t="shared" si="6"/>
        <v>242</v>
      </c>
      <c r="W245" s="8">
        <f>IF((U245&gt;U244), (EXP(-LN(2)/inputs!$C$51)*W244+$W$3), (EXP(-LN(2)/inputs!$C$51)*W244))</f>
        <v>4.5856085892695412E-12</v>
      </c>
      <c r="X245" s="8">
        <f>IF((U245&gt;U244), (EXP(-LN(2)/inputs!$C$51)*X244+$X$3), (EXP(-LN(2)/inputs!$C$51)*X244))</f>
        <v>1.9421401083965114E-12</v>
      </c>
      <c r="Y245" s="8">
        <f>IF((U245&gt;U244), (EXP(-LN(2)/inputs!$C$51)*Y244+$Y$3), (EXP(-LN(2)/inputs!$C$51)*Y244))</f>
        <v>2.427675135495642E-12</v>
      </c>
      <c r="Z245" s="8">
        <f>IF((U245&gt;U244), (EXP(-LN(2)/inputs!$C$51)*Z244+$Z$3), (EXP(-LN(2)/inputs!$C$51)*Z244))</f>
        <v>3.7763835441043267E-13</v>
      </c>
      <c r="AA245" s="8">
        <f>IF((U245&gt;U244), (EXP(-LN(2)/inputs!$C$51)*AA244+$AA$3), (EXP(-LN(2)/inputs!$C$51)*AA244))</f>
        <v>3.506641862382592E-12</v>
      </c>
      <c r="AB245" s="7">
        <f>(((0.621*15^0.564)/0.2))*W245/15+AB244*inputs!$C$53</f>
        <v>4.9344112691049646E-12</v>
      </c>
      <c r="AC245" s="7">
        <f>(((0.621*1000^0.564)/0.2))*W245/1000+AC244*inputs!$C$53</f>
        <v>7.9069889671971191E-13</v>
      </c>
      <c r="AD245" s="7">
        <f>(((0.648*20^0.651)/0.2))*AA245/20+AD244*inputs!$C$54</f>
        <v>5.2819920636870116E-12</v>
      </c>
      <c r="AE245" s="7">
        <f>(((0.013*2^0.773)/0.2))*AA245/2+AE244*inputs!$C$54</f>
        <v>2.5756790779496829E-13</v>
      </c>
    </row>
    <row r="246" spans="1:31" x14ac:dyDescent="0.3">
      <c r="A246" s="7">
        <f>IF(A245&lt;(inputs!$C$20-1),(1+A245),0)</f>
        <v>0</v>
      </c>
      <c r="B246" s="7">
        <f>IF(inputs!$C$19&gt;B245,IF(A245=(inputs!$C$20-1),(B245+1),B245), B245)</f>
        <v>1</v>
      </c>
      <c r="C246" s="7">
        <f t="shared" si="7"/>
        <v>243</v>
      </c>
      <c r="D246" s="8">
        <f>IF((B246&gt;B245), (EXP(-LN(2)/inputs!$C$51)*D245+$D$3), (EXP(-LN(2)/inputs!$C$51)*D245))</f>
        <v>1.1360336242875578E-11</v>
      </c>
      <c r="E246" s="8">
        <f>IF((B246&gt;B245), (EXP(-LN(2)/inputs!$C$51)*E245+$E$3), (EXP(-LN(2)/inputs!$C$51)*E245))</f>
        <v>5.2068207779846331E-12</v>
      </c>
      <c r="F246" s="8">
        <f>IF((B246&gt;B245), (EXP(-LN(2)/inputs!$C$51)*F245+$F$3), (EXP(-LN(2)/inputs!$C$51)*F245))</f>
        <v>6.3901891366175055E-12</v>
      </c>
      <c r="G246" s="8">
        <f>IF((B246&gt;B245), (EXP(-LN(2)/inputs!$C$51)*G245+$G$3), (EXP(-LN(2)/inputs!$C$51)*G245))</f>
        <v>7.1002101517972361E-13</v>
      </c>
      <c r="H246" s="8">
        <f>IF((B246&gt;B245), (EXP(-LN(2)/inputs!$C$51)*H245+$H$3), (EXP(-LN(2)/inputs!$C$51)*H245))</f>
        <v>4.4494650284595912E-12</v>
      </c>
      <c r="I246" s="7">
        <f>O246*(10^inputs!$C$55)*0.01/1</f>
        <v>0.40120757206495333</v>
      </c>
      <c r="J246" s="7">
        <f>(((0.621*15^0.564)/0.2))*D246/15+J245*inputs!$C$53</f>
        <v>1.222445616244719E-11</v>
      </c>
      <c r="K246" s="7">
        <f>(((0.621*1000^0.564)/0.2))*D246/1000+K245*inputs!$C$53</f>
        <v>1.9588687430990593E-12</v>
      </c>
      <c r="L246" s="7">
        <f>(((0.648*20^0.651)/0.2))*H246/20+L245*inputs!$C$54</f>
        <v>6.7021497747157951E-12</v>
      </c>
      <c r="M246" s="7">
        <f>(((0.013*2^0.773)/0.2))*H246/2+M245*inputs!$C$54</f>
        <v>3.2681963062191299E-13</v>
      </c>
      <c r="N246" s="7">
        <f>O246*0.015*inputs!$C$56</f>
        <v>5.8945255579933506E-2</v>
      </c>
      <c r="O246" s="7">
        <f>IF((B246&gt;B245), (EXP(-LN(2)/inputs!$C$52)*O245+$O$3), (EXP(-LN(2)/inputs!$C$52)*O245))</f>
        <v>6.3587114972959557E-3</v>
      </c>
      <c r="P246" s="3">
        <f>IF((B246&gt;B245), (EXP(-LN(2)/inputs!$C$52)*P245+$P$3), (EXP(-LN(2)/inputs!$C$52)*P245))</f>
        <v>6.1444542135282686E-3</v>
      </c>
      <c r="Q246" s="19">
        <f>IF((F246*0.62*1/(0.012*(10^inputs!$C$55)))&gt;inputs!$C$57, inputs!$C$57, (F246*0.62*1/(0.012*(10^inputs!$C$55))))</f>
        <v>5.2326797516014181E-14</v>
      </c>
      <c r="R246" s="3">
        <f>IF((B246&gt;B245), (EXP(-LN(2)/inputs!$C$51)*R245+$R$3), (EXP(-LN(2)/inputs!$C$51)*R245))</f>
        <v>1.2157838996835007E-19</v>
      </c>
      <c r="T246" s="7">
        <f>IF(T245&lt;(inputs!$C$20-1),(1+T245),0)</f>
        <v>0</v>
      </c>
      <c r="U246" s="7">
        <f>IF(inputs!$C$19&gt;U245,IF(T245=(inputs!$C$20-1),(U245+1),U245), U245)</f>
        <v>1</v>
      </c>
      <c r="V246" s="7">
        <f t="shared" si="6"/>
        <v>243</v>
      </c>
      <c r="W246" s="8">
        <f>IF((U246&gt;U245), (EXP(-LN(2)/inputs!$C$51)*W245+$W$3), (EXP(-LN(2)/inputs!$C$51)*W245))</f>
        <v>4.0234524193517599E-12</v>
      </c>
      <c r="X246" s="8">
        <f>IF((U246&gt;U245), (EXP(-LN(2)/inputs!$C$51)*X245+$X$3), (EXP(-LN(2)/inputs!$C$51)*X245))</f>
        <v>1.7040504364313336E-12</v>
      </c>
      <c r="Y246" s="8">
        <f>IF((U246&gt;U245), (EXP(-LN(2)/inputs!$C$51)*Y245+$Y$3), (EXP(-LN(2)/inputs!$C$51)*Y245))</f>
        <v>2.1300630455391693E-12</v>
      </c>
      <c r="Z246" s="8">
        <f>IF((U246&gt;U245), (EXP(-LN(2)/inputs!$C$51)*Z245+$Z$3), (EXP(-LN(2)/inputs!$C$51)*Z245))</f>
        <v>3.3134314041720366E-13</v>
      </c>
      <c r="AA246" s="8">
        <f>IF((U246&gt;U245), (EXP(-LN(2)/inputs!$C$51)*AA245+$AA$3), (EXP(-LN(2)/inputs!$C$51)*AA245))</f>
        <v>3.076757732445465E-12</v>
      </c>
      <c r="AB246" s="7">
        <f>(((0.621*15^0.564)/0.2))*W246/15+AB245*inputs!$C$53</f>
        <v>4.329494890866705E-12</v>
      </c>
      <c r="AC246" s="7">
        <f>(((0.621*1000^0.564)/0.2))*W246/1000+AC245*inputs!$C$53</f>
        <v>6.9376601318091565E-13</v>
      </c>
      <c r="AD246" s="7">
        <f>(((0.648*20^0.651)/0.2))*AA246/20+AD245*inputs!$C$54</f>
        <v>4.6344652697502888E-12</v>
      </c>
      <c r="AE246" s="7">
        <f>(((0.013*2^0.773)/0.2))*AA246/2+AE245*inputs!$C$54</f>
        <v>2.25992297770472E-13</v>
      </c>
    </row>
    <row r="247" spans="1:31" x14ac:dyDescent="0.3">
      <c r="A247" s="7">
        <f>IF(A246&lt;(inputs!$C$20-1),(1+A246),0)</f>
        <v>0</v>
      </c>
      <c r="B247" s="7">
        <f>IF(inputs!$C$19&gt;B246,IF(A246=(inputs!$C$20-1),(B246+1),B246), B246)</f>
        <v>1</v>
      </c>
      <c r="C247" s="7">
        <f t="shared" si="7"/>
        <v>244</v>
      </c>
      <c r="D247" s="8">
        <f>IF((B247&gt;B246), (EXP(-LN(2)/inputs!$C$51)*D246+$D$3), (EXP(-LN(2)/inputs!$C$51)*D246))</f>
        <v>9.96765673546686E-12</v>
      </c>
      <c r="E247" s="8">
        <f>IF((B247&gt;B246), (EXP(-LN(2)/inputs!$C$51)*E246+$E$3), (EXP(-LN(2)/inputs!$C$51)*E246))</f>
        <v>4.5685093370889715E-12</v>
      </c>
      <c r="F247" s="8">
        <f>IF((B247&gt;B246), (EXP(-LN(2)/inputs!$C$51)*F246+$F$3), (EXP(-LN(2)/inputs!$C$51)*F246))</f>
        <v>5.6068069137001028E-12</v>
      </c>
      <c r="G247" s="8">
        <f>IF((B247&gt;B246), (EXP(-LN(2)/inputs!$C$51)*G246+$G$3), (EXP(-LN(2)/inputs!$C$51)*G246))</f>
        <v>6.2297854596667875E-13</v>
      </c>
      <c r="H247" s="8">
        <f>IF((B247&gt;B246), (EXP(-LN(2)/inputs!$C$51)*H246+$H$3), (EXP(-LN(2)/inputs!$C$51)*H246))</f>
        <v>3.9039988880578446E-12</v>
      </c>
      <c r="I247" s="7">
        <f>O247*(10^inputs!$C$55)*0.01/1</f>
        <v>0.39311109156828045</v>
      </c>
      <c r="J247" s="7">
        <f>(((0.621*15^0.564)/0.2))*D247/15+J246*inputs!$C$53</f>
        <v>1.0725842985629192E-11</v>
      </c>
      <c r="K247" s="7">
        <f>(((0.621*1000^0.564)/0.2))*D247/1000+K246*inputs!$C$53</f>
        <v>1.718728284410753E-12</v>
      </c>
      <c r="L247" s="7">
        <f>(((0.648*20^0.651)/0.2))*H247/20+L246*inputs!$C$54</f>
        <v>5.8805238608979489E-12</v>
      </c>
      <c r="M247" s="7">
        <f>(((0.013*2^0.773)/0.2))*H247/2+M246*inputs!$C$54</f>
        <v>2.8675435504774443E-13</v>
      </c>
      <c r="N247" s="7">
        <f>O247*0.015*inputs!$C$56</f>
        <v>5.7755723912527521E-2</v>
      </c>
      <c r="O247" s="7">
        <f>IF((B247&gt;B246), (EXP(-LN(2)/inputs!$C$52)*O246+$O$3), (EXP(-LN(2)/inputs!$C$52)*O246))</f>
        <v>6.2303909290752453E-3</v>
      </c>
      <c r="P247" s="3">
        <f>IF((B247&gt;B246), (EXP(-LN(2)/inputs!$C$52)*P246+$P$3), (EXP(-LN(2)/inputs!$C$52)*P246))</f>
        <v>6.0204574169411959E-3</v>
      </c>
      <c r="Q247" s="19">
        <f>IF((F247*0.62*1/(0.012*(10^inputs!$C$55)))&gt;inputs!$C$57, inputs!$C$57, (F247*0.62*1/(0.012*(10^inputs!$C$55))))</f>
        <v>4.5911982229663814E-14</v>
      </c>
      <c r="R247" s="3">
        <f>IF((B247&gt;B246), (EXP(-LN(2)/inputs!$C$51)*R246+$R$3), (EXP(-LN(2)/inputs!$C$51)*R246))</f>
        <v>1.0667392511513303E-19</v>
      </c>
      <c r="T247" s="7">
        <f>IF(T246&lt;(inputs!$C$20-1),(1+T246),0)</f>
        <v>0</v>
      </c>
      <c r="U247" s="7">
        <f>IF(inputs!$C$19&gt;U246,IF(T246=(inputs!$C$20-1),(U246+1),U246), U246)</f>
        <v>1</v>
      </c>
      <c r="V247" s="7">
        <f t="shared" si="6"/>
        <v>244</v>
      </c>
      <c r="W247" s="8">
        <f>IF((U247&gt;U246), (EXP(-LN(2)/inputs!$C$51)*W246+$W$3), (EXP(-LN(2)/inputs!$C$51)*W246))</f>
        <v>3.5302117604778402E-12</v>
      </c>
      <c r="X247" s="8">
        <f>IF((U247&gt;U246), (EXP(-LN(2)/inputs!$C$51)*X246+$X$3), (EXP(-LN(2)/inputs!$C$51)*X246))</f>
        <v>1.4951485103200264E-12</v>
      </c>
      <c r="Y247" s="8">
        <f>IF((U247&gt;U246), (EXP(-LN(2)/inputs!$C$51)*Y246+$Y$3), (EXP(-LN(2)/inputs!$C$51)*Y246))</f>
        <v>1.8689356379000349E-12</v>
      </c>
      <c r="Z247" s="8">
        <f>IF((U247&gt;U246), (EXP(-LN(2)/inputs!$C$51)*Z246+$Z$3), (EXP(-LN(2)/inputs!$C$51)*Z246))</f>
        <v>2.9072332145111618E-13</v>
      </c>
      <c r="AA247" s="8">
        <f>IF((U247&gt;U246), (EXP(-LN(2)/inputs!$C$51)*AA246+$AA$3), (EXP(-LN(2)/inputs!$C$51)*AA246))</f>
        <v>2.6995736991889378E-12</v>
      </c>
      <c r="AB247" s="7">
        <f>(((0.621*15^0.564)/0.2))*W247/15+AB246*inputs!$C$53</f>
        <v>3.798736057410332E-12</v>
      </c>
      <c r="AC247" s="7">
        <f>(((0.621*1000^0.564)/0.2))*W247/1000+AC246*inputs!$C$53</f>
        <v>6.087162673954739E-13</v>
      </c>
      <c r="AD247" s="7">
        <f>(((0.648*20^0.651)/0.2))*AA247/20+AD246*inputs!$C$54</f>
        <v>4.0663196910464583E-12</v>
      </c>
      <c r="AE247" s="7">
        <f>(((0.013*2^0.773)/0.2))*AA247/2+AE246*inputs!$C$54</f>
        <v>1.9828758593727028E-13</v>
      </c>
    </row>
    <row r="248" spans="1:31" x14ac:dyDescent="0.3">
      <c r="A248" s="7">
        <f>IF(A247&lt;(inputs!$C$20-1),(1+A247),0)</f>
        <v>0</v>
      </c>
      <c r="B248" s="7">
        <f>IF(inputs!$C$19&gt;B247,IF(A247=(inputs!$C$20-1),(B247+1),B247), B247)</f>
        <v>1</v>
      </c>
      <c r="C248" s="7">
        <f t="shared" si="7"/>
        <v>245</v>
      </c>
      <c r="D248" s="8">
        <f>IF((B248&gt;B247), (EXP(-LN(2)/inputs!$C$51)*D247+$D$3), (EXP(-LN(2)/inputs!$C$51)*D247))</f>
        <v>8.7457077565292995E-12</v>
      </c>
      <c r="E248" s="8">
        <f>IF((B248&gt;B247), (EXP(-LN(2)/inputs!$C$51)*E247+$E$3), (EXP(-LN(2)/inputs!$C$51)*E247))</f>
        <v>4.0084493884092569E-12</v>
      </c>
      <c r="F248" s="8">
        <f>IF((B248&gt;B247), (EXP(-LN(2)/inputs!$C$51)*F247+$F$3), (EXP(-LN(2)/inputs!$C$51)*F247))</f>
        <v>4.9194606130477261E-12</v>
      </c>
      <c r="G248" s="8">
        <f>IF((B248&gt;B247), (EXP(-LN(2)/inputs!$C$51)*G247+$G$3), (EXP(-LN(2)/inputs!$C$51)*G247))</f>
        <v>5.4660673478308122E-13</v>
      </c>
      <c r="H248" s="8">
        <f>IF((B248&gt;B247), (EXP(-LN(2)/inputs!$C$51)*H247+$H$3), (EXP(-LN(2)/inputs!$C$51)*H247))</f>
        <v>3.4254022046406347E-12</v>
      </c>
      <c r="I248" s="7">
        <f>O248*(10^inputs!$C$55)*0.01/1</f>
        <v>0.38517800030201416</v>
      </c>
      <c r="J248" s="7">
        <f>(((0.621*15^0.564)/0.2))*D248/15+J247*inputs!$C$53</f>
        <v>9.4109468939631392E-12</v>
      </c>
      <c r="K248" s="7">
        <f>(((0.621*1000^0.564)/0.2))*D248/1000+K247*inputs!$C$53</f>
        <v>1.5080269803887243E-12</v>
      </c>
      <c r="L248" s="7">
        <f>(((0.648*20^0.651)/0.2))*H248/20+L247*inputs!$C$54</f>
        <v>5.1596222168962964E-12</v>
      </c>
      <c r="M248" s="7">
        <f>(((0.013*2^0.773)/0.2))*H248/2+M247*inputs!$C$54</f>
        <v>2.5160073763737537E-13</v>
      </c>
      <c r="N248" s="7">
        <f>O248*0.015*inputs!$C$56</f>
        <v>5.6590197325324179E-2</v>
      </c>
      <c r="O248" s="7">
        <f>IF((B248&gt;B247), (EXP(-LN(2)/inputs!$C$52)*O247+$O$3), (EXP(-LN(2)/inputs!$C$52)*O247))</f>
        <v>6.1046599056444641E-3</v>
      </c>
      <c r="P248" s="3">
        <f>IF((B248&gt;B247), (EXP(-LN(2)/inputs!$C$52)*P247+$P$3), (EXP(-LN(2)/inputs!$C$52)*P247))</f>
        <v>5.8989629102287888E-3</v>
      </c>
      <c r="Q248" s="19">
        <f>IF((F248*0.62*1/(0.012*(10^inputs!$C$55)))&gt;inputs!$C$57, inputs!$C$57, (F248*0.62*1/(0.012*(10^inputs!$C$55))))</f>
        <v>4.0283568120366197E-14</v>
      </c>
      <c r="R248" s="3">
        <f>IF((B248&gt;B247), (EXP(-LN(2)/inputs!$C$51)*R247+$R$3), (EXP(-LN(2)/inputs!$C$51)*R247))</f>
        <v>9.3596619452119222E-20</v>
      </c>
      <c r="T248" s="7">
        <f>IF(T247&lt;(inputs!$C$20-1),(1+T247),0)</f>
        <v>0</v>
      </c>
      <c r="U248" s="7">
        <f>IF(inputs!$C$19&gt;U247,IF(T247=(inputs!$C$20-1),(U247+1),U247), U247)</f>
        <v>1</v>
      </c>
      <c r="V248" s="7">
        <f t="shared" si="6"/>
        <v>245</v>
      </c>
      <c r="W248" s="8">
        <f>IF((U248&gt;U247), (EXP(-LN(2)/inputs!$C$51)*W247+$W$3), (EXP(-LN(2)/inputs!$C$51)*W247))</f>
        <v>3.0974381637707885E-12</v>
      </c>
      <c r="X248" s="8">
        <f>IF((U248&gt;U247), (EXP(-LN(2)/inputs!$C$51)*X247+$X$3), (EXP(-LN(2)/inputs!$C$51)*X247))</f>
        <v>1.3118561634793926E-12</v>
      </c>
      <c r="Y248" s="8">
        <f>IF((U248&gt;U247), (EXP(-LN(2)/inputs!$C$51)*Y247+$Y$3), (EXP(-LN(2)/inputs!$C$51)*Y247))</f>
        <v>1.6398202043492426E-12</v>
      </c>
      <c r="Z248" s="8">
        <f>IF((U248&gt;U247), (EXP(-LN(2)/inputs!$C$51)*Z247+$Z$3), (EXP(-LN(2)/inputs!$C$51)*Z247))</f>
        <v>2.5508314289877072E-13</v>
      </c>
      <c r="AA248" s="8">
        <f>IF((U248&gt;U247), (EXP(-LN(2)/inputs!$C$51)*AA247+$AA$3), (EXP(-LN(2)/inputs!$C$51)*AA247))</f>
        <v>2.3686291840600157E-12</v>
      </c>
      <c r="AB248" s="7">
        <f>(((0.621*15^0.564)/0.2))*W248/15+AB247*inputs!$C$53</f>
        <v>3.3330436916119393E-12</v>
      </c>
      <c r="AC248" s="7">
        <f>(((0.621*1000^0.564)/0.2))*W248/1000+AC247*inputs!$C$53</f>
        <v>5.3409288888767227E-13</v>
      </c>
      <c r="AD248" s="7">
        <f>(((0.648*20^0.651)/0.2))*AA248/20+AD247*inputs!$C$54</f>
        <v>3.5678238733857403E-12</v>
      </c>
      <c r="AE248" s="7">
        <f>(((0.013*2^0.773)/0.2))*AA248/2+AE247*inputs!$C$54</f>
        <v>1.7397923347265338E-13</v>
      </c>
    </row>
    <row r="249" spans="1:31" x14ac:dyDescent="0.3">
      <c r="A249" s="7">
        <f>IF(A248&lt;(inputs!$C$20-1),(1+A248),0)</f>
        <v>0</v>
      </c>
      <c r="B249" s="7">
        <f>IF(inputs!$C$19&gt;B248,IF(A248=(inputs!$C$20-1),(B248+1),B248), B248)</f>
        <v>1</v>
      </c>
      <c r="C249" s="7">
        <f t="shared" si="7"/>
        <v>246</v>
      </c>
      <c r="D249" s="8">
        <f>IF((B249&gt;B248), (EXP(-LN(2)/inputs!$C$51)*D248+$D$3), (EXP(-LN(2)/inputs!$C$51)*D248))</f>
        <v>7.6735592118115081E-12</v>
      </c>
      <c r="E249" s="8">
        <f>IF((B249&gt;B248), (EXP(-LN(2)/inputs!$C$51)*E248+$E$3), (EXP(-LN(2)/inputs!$C$51)*E248))</f>
        <v>3.51704797208027E-12</v>
      </c>
      <c r="F249" s="8">
        <f>IF((B249&gt;B248), (EXP(-LN(2)/inputs!$C$51)*F248+$F$3), (EXP(-LN(2)/inputs!$C$51)*F248))</f>
        <v>4.3163770566439698E-12</v>
      </c>
      <c r="G249" s="8">
        <f>IF((B249&gt;B248), (EXP(-LN(2)/inputs!$C$51)*G248+$G$3), (EXP(-LN(2)/inputs!$C$51)*G248))</f>
        <v>4.7959745073821925E-13</v>
      </c>
      <c r="H249" s="8">
        <f>IF((B249&gt;B248), (EXP(-LN(2)/inputs!$C$51)*H248+$H$3), (EXP(-LN(2)/inputs!$C$51)*H248))</f>
        <v>3.0054773579595009E-12</v>
      </c>
      <c r="I249" s="7">
        <f>O249*(10^inputs!$C$55)*0.01/1</f>
        <v>0.37740500102599889</v>
      </c>
      <c r="J249" s="7">
        <f>(((0.621*15^0.564)/0.2))*D249/15+J248*inputs!$C$53</f>
        <v>8.257245753052486E-12</v>
      </c>
      <c r="K249" s="7">
        <f>(((0.621*1000^0.564)/0.2))*D249/1000+K248*inputs!$C$53</f>
        <v>1.3231558438918688E-12</v>
      </c>
      <c r="L249" s="7">
        <f>(((0.648*20^0.651)/0.2))*H249/20+L248*inputs!$C$54</f>
        <v>4.5270969136114935E-12</v>
      </c>
      <c r="M249" s="7">
        <f>(((0.013*2^0.773)/0.2))*H249/2+M248*inputs!$C$54</f>
        <v>2.2075665134756721E-13</v>
      </c>
      <c r="N249" s="7">
        <f>O249*0.015*inputs!$C$56</f>
        <v>5.5448191389122208E-2</v>
      </c>
      <c r="O249" s="7">
        <f>IF((B249&gt;B248), (EXP(-LN(2)/inputs!$C$52)*O248+$O$3), (EXP(-LN(2)/inputs!$C$52)*O248))</f>
        <v>5.9814661692688467E-3</v>
      </c>
      <c r="P249" s="3">
        <f>IF((B249&gt;B248), (EXP(-LN(2)/inputs!$C$52)*P248+$P$3), (EXP(-LN(2)/inputs!$C$52)*P248))</f>
        <v>5.7799201964847625E-3</v>
      </c>
      <c r="Q249" s="19">
        <f>IF((F249*0.62*1/(0.012*(10^inputs!$C$55)))&gt;inputs!$C$57, inputs!$C$57, (F249*0.62*1/(0.012*(10^inputs!$C$55))))</f>
        <v>3.5345149168046853E-14</v>
      </c>
      <c r="R249" s="3">
        <f>IF((B249&gt;B248), (EXP(-LN(2)/inputs!$C$51)*R248+$R$3), (EXP(-LN(2)/inputs!$C$51)*R248))</f>
        <v>8.2122478978905221E-20</v>
      </c>
      <c r="T249" s="7">
        <f>IF(T248&lt;(inputs!$C$20-1),(1+T248),0)</f>
        <v>0</v>
      </c>
      <c r="U249" s="7">
        <f>IF(inputs!$C$19&gt;U248,IF(T248=(inputs!$C$20-1),(U248+1),U248), U248)</f>
        <v>1</v>
      </c>
      <c r="V249" s="7">
        <f t="shared" si="6"/>
        <v>246</v>
      </c>
      <c r="W249" s="8">
        <f>IF((U249&gt;U248), (EXP(-LN(2)/inputs!$C$51)*W248+$W$3), (EXP(-LN(2)/inputs!$C$51)*W248))</f>
        <v>2.7177188875165715E-12</v>
      </c>
      <c r="X249" s="8">
        <f>IF((U249&gt;U248), (EXP(-LN(2)/inputs!$C$51)*X248+$X$3), (EXP(-LN(2)/inputs!$C$51)*X248))</f>
        <v>1.1510338817717242E-12</v>
      </c>
      <c r="Y249" s="8">
        <f>IF((U249&gt;U248), (EXP(-LN(2)/inputs!$C$51)*Y248+$Y$3), (EXP(-LN(2)/inputs!$C$51)*Y248))</f>
        <v>1.4387923522146571E-12</v>
      </c>
      <c r="Z249" s="8">
        <f>IF((U249&gt;U248), (EXP(-LN(2)/inputs!$C$51)*Z248+$Z$3), (EXP(-LN(2)/inputs!$C$51)*Z248))</f>
        <v>2.2381214367783521E-13</v>
      </c>
      <c r="AA249" s="8">
        <f>IF((U249&gt;U248), (EXP(-LN(2)/inputs!$C$51)*AA248+$AA$3), (EXP(-LN(2)/inputs!$C$51)*AA248))</f>
        <v>2.0782556198656144E-12</v>
      </c>
      <c r="AB249" s="7">
        <f>(((0.621*15^0.564)/0.2))*W249/15+AB248*inputs!$C$53</f>
        <v>2.9244412042060841E-12</v>
      </c>
      <c r="AC249" s="7">
        <f>(((0.621*1000^0.564)/0.2))*W249/1000+AC248*inputs!$C$53</f>
        <v>4.6861769471170274E-13</v>
      </c>
      <c r="AD249" s="7">
        <f>(((0.648*20^0.651)/0.2))*AA249/20+AD248*inputs!$C$54</f>
        <v>3.1304393551568873E-12</v>
      </c>
      <c r="AE249" s="7">
        <f>(((0.013*2^0.773)/0.2))*AA249/2+AE248*inputs!$C$54</f>
        <v>1.5265087593182851E-13</v>
      </c>
    </row>
    <row r="250" spans="1:31" x14ac:dyDescent="0.3">
      <c r="A250" s="7">
        <f>IF(A249&lt;(inputs!$C$20-1),(1+A249),0)</f>
        <v>0</v>
      </c>
      <c r="B250" s="7">
        <f>IF(inputs!$C$19&gt;B249,IF(A249=(inputs!$C$20-1),(B249+1),B249), B249)</f>
        <v>1</v>
      </c>
      <c r="C250" s="7">
        <f t="shared" si="7"/>
        <v>247</v>
      </c>
      <c r="D250" s="8">
        <f>IF((B250&gt;B249), (EXP(-LN(2)/inputs!$C$51)*D249+$D$3), (EXP(-LN(2)/inputs!$C$51)*D249))</f>
        <v>6.7328468565870478E-12</v>
      </c>
      <c r="E250" s="8">
        <f>IF((B250&gt;B249), (EXP(-LN(2)/inputs!$C$51)*E249+$E$3), (EXP(-LN(2)/inputs!$C$51)*E249))</f>
        <v>3.085888142602393E-12</v>
      </c>
      <c r="F250" s="8">
        <f>IF((B250&gt;B249), (EXP(-LN(2)/inputs!$C$51)*F249+$F$3), (EXP(-LN(2)/inputs!$C$51)*F249))</f>
        <v>3.7872263568302118E-12</v>
      </c>
      <c r="G250" s="8">
        <f>IF((B250&gt;B249), (EXP(-LN(2)/inputs!$C$51)*G249+$G$3), (EXP(-LN(2)/inputs!$C$51)*G249))</f>
        <v>4.2080292853669049E-13</v>
      </c>
      <c r="H250" s="8">
        <f>IF((B250&gt;B249), (EXP(-LN(2)/inputs!$C$51)*H249+$H$3), (EXP(-LN(2)/inputs!$C$51)*H249))</f>
        <v>2.6370316854965882E-12</v>
      </c>
      <c r="I250" s="7">
        <f>O250*(10^inputs!$C$55)*0.01/1</f>
        <v>0.36978886303930331</v>
      </c>
      <c r="J250" s="7">
        <f>(((0.621*15^0.564)/0.2))*D250/15+J249*inputs!$C$53</f>
        <v>7.2449784484534974E-12</v>
      </c>
      <c r="K250" s="7">
        <f>(((0.621*1000^0.564)/0.2))*D250/1000+K249*inputs!$C$53</f>
        <v>1.1609483185598673E-12</v>
      </c>
      <c r="L250" s="7">
        <f>(((0.648*20^0.651)/0.2))*H250/20+L249*inputs!$C$54</f>
        <v>3.9721137718410278E-12</v>
      </c>
      <c r="M250" s="7">
        <f>(((0.013*2^0.773)/0.2))*H250/2+M249*inputs!$C$54</f>
        <v>1.9369378473138451E-13</v>
      </c>
      <c r="N250" s="7">
        <f>O250*0.015*inputs!$C$56</f>
        <v>5.4329231450636464E-2</v>
      </c>
      <c r="O250" s="7">
        <f>IF((B250&gt;B249), (EXP(-LN(2)/inputs!$C$52)*O249+$O$3), (EXP(-LN(2)/inputs!$C$52)*O249))</f>
        <v>5.8607585167892631E-3</v>
      </c>
      <c r="P250" s="3">
        <f>IF((B250&gt;B249), (EXP(-LN(2)/inputs!$C$52)*P249+$P$3), (EXP(-LN(2)/inputs!$C$52)*P249))</f>
        <v>5.6632797978444583E-3</v>
      </c>
      <c r="Q250" s="19">
        <f>IF((F250*0.62*1/(0.012*(10^inputs!$C$55)))&gt;inputs!$C$57, inputs!$C$57, (F250*0.62*1/(0.012*(10^inputs!$C$55))))</f>
        <v>3.1012137901455753E-14</v>
      </c>
      <c r="R250" s="3">
        <f>IF((B250&gt;B249), (EXP(-LN(2)/inputs!$C$51)*R249+$R$3), (EXP(-LN(2)/inputs!$C$51)*R249))</f>
        <v>7.2054969432851982E-20</v>
      </c>
      <c r="T250" s="7">
        <f>IF(T249&lt;(inputs!$C$20-1),(1+T249),0)</f>
        <v>0</v>
      </c>
      <c r="U250" s="7">
        <f>IF(inputs!$C$19&gt;U249,IF(T249=(inputs!$C$20-1),(U249+1),U249), U249)</f>
        <v>1</v>
      </c>
      <c r="V250" s="7">
        <f t="shared" si="6"/>
        <v>247</v>
      </c>
      <c r="W250" s="8">
        <f>IF((U250&gt;U249), (EXP(-LN(2)/inputs!$C$51)*W249+$W$3), (EXP(-LN(2)/inputs!$C$51)*W249))</f>
        <v>2.3845499283745757E-12</v>
      </c>
      <c r="X250" s="8">
        <f>IF((U250&gt;U249), (EXP(-LN(2)/inputs!$C$51)*X249+$X$3), (EXP(-LN(2)/inputs!$C$51)*X249))</f>
        <v>1.0099270284880555E-12</v>
      </c>
      <c r="Y250" s="8">
        <f>IF((U250&gt;U249), (EXP(-LN(2)/inputs!$C$51)*Y249+$Y$3), (EXP(-LN(2)/inputs!$C$51)*Y249))</f>
        <v>1.262408785610071E-12</v>
      </c>
      <c r="Z250" s="8">
        <f>IF((U250&gt;U249), (EXP(-LN(2)/inputs!$C$51)*Z249+$Z$3), (EXP(-LN(2)/inputs!$C$51)*Z249))</f>
        <v>1.9637469998378853E-13</v>
      </c>
      <c r="AA250" s="8">
        <f>IF((U250&gt;U249), (EXP(-LN(2)/inputs!$C$51)*AA249+$AA$3), (EXP(-LN(2)/inputs!$C$51)*AA249))</f>
        <v>1.8234793569923236E-12</v>
      </c>
      <c r="AB250" s="7">
        <f>(((0.621*15^0.564)/0.2))*W250/15+AB249*inputs!$C$53</f>
        <v>2.5659298671606099E-12</v>
      </c>
      <c r="AC250" s="7">
        <f>(((0.621*1000^0.564)/0.2))*W250/1000+AC249*inputs!$C$53</f>
        <v>4.1116919615661908E-13</v>
      </c>
      <c r="AD250" s="7">
        <f>(((0.648*20^0.651)/0.2))*AA250/20+AD249*inputs!$C$54</f>
        <v>2.7466744166985856E-12</v>
      </c>
      <c r="AE250" s="7">
        <f>(((0.013*2^0.773)/0.2))*AA250/2+AE249*inputs!$C$54</f>
        <v>1.3393719156957453E-13</v>
      </c>
    </row>
    <row r="251" spans="1:31" x14ac:dyDescent="0.3">
      <c r="A251" s="7">
        <f>IF(A250&lt;(inputs!$C$20-1),(1+A250),0)</f>
        <v>0</v>
      </c>
      <c r="B251" s="7">
        <f>IF(inputs!$C$19&gt;B250,IF(A250=(inputs!$C$20-1),(B250+1),B250), B250)</f>
        <v>1</v>
      </c>
      <c r="C251" s="7">
        <f t="shared" si="7"/>
        <v>248</v>
      </c>
      <c r="D251" s="8">
        <f>IF((B251&gt;B250), (EXP(-LN(2)/inputs!$C$51)*D250+$D$3), (EXP(-LN(2)/inputs!$C$51)*D250))</f>
        <v>5.9074577445728323E-12</v>
      </c>
      <c r="E251" s="8">
        <f>IF((B251&gt;B250), (EXP(-LN(2)/inputs!$C$51)*E250+$E$3), (EXP(-LN(2)/inputs!$C$51)*E250))</f>
        <v>2.7075847995958778E-12</v>
      </c>
      <c r="F251" s="8">
        <f>IF((B251&gt;B250), (EXP(-LN(2)/inputs!$C$51)*F250+$F$3), (EXP(-LN(2)/inputs!$C$51)*F250))</f>
        <v>3.3229449813222158E-12</v>
      </c>
      <c r="G251" s="8">
        <f>IF((B251&gt;B250), (EXP(-LN(2)/inputs!$C$51)*G250+$G$3), (EXP(-LN(2)/inputs!$C$51)*G250))</f>
        <v>3.6921610903580202E-13</v>
      </c>
      <c r="H251" s="8">
        <f>IF((B251&gt;B250), (EXP(-LN(2)/inputs!$C$51)*H250+$H$3), (EXP(-LN(2)/inputs!$C$51)*H250))</f>
        <v>2.3137542832910211E-12</v>
      </c>
      <c r="I251" s="7">
        <f>O251*(10^inputs!$C$55)*0.01/1</f>
        <v>0.3623264208374401</v>
      </c>
      <c r="J251" s="7">
        <f>(((0.621*15^0.564)/0.2))*D251/15+J250*inputs!$C$53</f>
        <v>6.3568064083779488E-12</v>
      </c>
      <c r="K251" s="7">
        <f>(((0.621*1000^0.564)/0.2))*D251/1000+K250*inputs!$C$53</f>
        <v>1.0186260406050313E-12</v>
      </c>
      <c r="L251" s="7">
        <f>(((0.648*20^0.651)/0.2))*H251/20+L250*inputs!$C$54</f>
        <v>3.4851667895623858E-12</v>
      </c>
      <c r="M251" s="7">
        <f>(((0.013*2^0.773)/0.2))*H251/2+M250*inputs!$C$54</f>
        <v>1.6994859278101369E-13</v>
      </c>
      <c r="N251" s="7">
        <f>O251*0.015*inputs!$C$56</f>
        <v>5.3232852435217255E-2</v>
      </c>
      <c r="O251" s="7">
        <f>IF((B251&gt;B250), (EXP(-LN(2)/inputs!$C$52)*O250+$O$3), (EXP(-LN(2)/inputs!$C$52)*O250))</f>
        <v>5.7424867783405888E-3</v>
      </c>
      <c r="P251" s="3">
        <f>IF((B251&gt;B250), (EXP(-LN(2)/inputs!$C$52)*P250+$P$3), (EXP(-LN(2)/inputs!$C$52)*P250))</f>
        <v>5.5489932349203014E-3</v>
      </c>
      <c r="Q251" s="19">
        <f>IF((F251*0.62*1/(0.012*(10^inputs!$C$55)))&gt;inputs!$C$57, inputs!$C$57, (F251*0.62*1/(0.012*(10^inputs!$C$55))))</f>
        <v>2.7210316545738712E-14</v>
      </c>
      <c r="R251" s="3">
        <f>IF((B251&gt;B250), (EXP(-LN(2)/inputs!$C$51)*R250+$R$3), (EXP(-LN(2)/inputs!$C$51)*R250))</f>
        <v>6.3221649961429929E-20</v>
      </c>
      <c r="T251" s="7">
        <f>IF(T250&lt;(inputs!$C$20-1),(1+T250),0)</f>
        <v>0</v>
      </c>
      <c r="U251" s="7">
        <f>IF(inputs!$C$19&gt;U250,IF(T250=(inputs!$C$20-1),(U250+1),U250), U250)</f>
        <v>1</v>
      </c>
      <c r="V251" s="7">
        <f t="shared" si="6"/>
        <v>248</v>
      </c>
      <c r="W251" s="8">
        <f>IF((U251&gt;U250), (EXP(-LN(2)/inputs!$C$51)*W250+$W$3), (EXP(-LN(2)/inputs!$C$51)*W250))</f>
        <v>2.0922246178695416E-12</v>
      </c>
      <c r="X251" s="8">
        <f>IF((U251&gt;U250), (EXP(-LN(2)/inputs!$C$51)*X250+$X$3), (EXP(-LN(2)/inputs!$C$51)*X250))</f>
        <v>8.8611866168592341E-13</v>
      </c>
      <c r="Y251" s="8">
        <f>IF((U251&gt;U250), (EXP(-LN(2)/inputs!$C$51)*Y250+$Y$3), (EXP(-LN(2)/inputs!$C$51)*Y250))</f>
        <v>1.1076483271074057E-12</v>
      </c>
      <c r="Z251" s="8">
        <f>IF((U251&gt;U250), (EXP(-LN(2)/inputs!$C$51)*Z250+$Z$3), (EXP(-LN(2)/inputs!$C$51)*Z250))</f>
        <v>1.7230085088337396E-13</v>
      </c>
      <c r="AA251" s="8">
        <f>IF((U251&gt;U250), (EXP(-LN(2)/inputs!$C$51)*AA250+$AA$3), (EXP(-LN(2)/inputs!$C$51)*AA250))</f>
        <v>1.5999364724884738E-12</v>
      </c>
      <c r="AB251" s="7">
        <f>(((0.621*15^0.564)/0.2))*W251/15+AB250*inputs!$C$53</f>
        <v>2.25136893630052E-12</v>
      </c>
      <c r="AC251" s="7">
        <f>(((0.621*1000^0.564)/0.2))*W251/1000+AC250*inputs!$C$53</f>
        <v>3.6076338938094803E-13</v>
      </c>
      <c r="AD251" s="7">
        <f>(((0.648*20^0.651)/0.2))*AA251/20+AD250*inputs!$C$54</f>
        <v>2.4099557587399499E-12</v>
      </c>
      <c r="AE251" s="7">
        <f>(((0.013*2^0.773)/0.2))*AA251/2+AE250*inputs!$C$54</f>
        <v>1.1751764394431812E-13</v>
      </c>
    </row>
    <row r="252" spans="1:31" x14ac:dyDescent="0.3">
      <c r="A252" s="7">
        <f>IF(A251&lt;(inputs!$C$20-1),(1+A251),0)</f>
        <v>0</v>
      </c>
      <c r="B252" s="7">
        <f>IF(inputs!$C$19&gt;B251,IF(A251=(inputs!$C$20-1),(B251+1),B251), B251)</f>
        <v>1</v>
      </c>
      <c r="C252" s="7">
        <f t="shared" si="7"/>
        <v>249</v>
      </c>
      <c r="D252" s="8">
        <f>IF((B252&gt;B251), (EXP(-LN(2)/inputs!$C$51)*D251+$D$3), (EXP(-LN(2)/inputs!$C$51)*D251))</f>
        <v>5.1832542381045238E-12</v>
      </c>
      <c r="E252" s="8">
        <f>IF((B252&gt;B251), (EXP(-LN(2)/inputs!$C$51)*E251+$E$3), (EXP(-LN(2)/inputs!$C$51)*E251))</f>
        <v>2.3756581924645702E-12</v>
      </c>
      <c r="F252" s="8">
        <f>IF((B252&gt;B251), (EXP(-LN(2)/inputs!$C$51)*F251+$F$3), (EXP(-LN(2)/inputs!$C$51)*F251))</f>
        <v>2.9155805089337924E-12</v>
      </c>
      <c r="G252" s="8">
        <f>IF((B252&gt;B251), (EXP(-LN(2)/inputs!$C$51)*G251+$G$3), (EXP(-LN(2)/inputs!$C$51)*G251))</f>
        <v>3.2395338988153274E-13</v>
      </c>
      <c r="H252" s="8">
        <f>IF((B252&gt;B251), (EXP(-LN(2)/inputs!$C$51)*H251+$H$3), (EXP(-LN(2)/inputs!$C$51)*H251))</f>
        <v>2.0301079099242675E-12</v>
      </c>
      <c r="I252" s="7">
        <f>O252*(10^inputs!$C$55)*0.01/1</f>
        <v>0.35501457279668408</v>
      </c>
      <c r="J252" s="7">
        <f>(((0.621*15^0.564)/0.2))*D252/15+J251*inputs!$C$53</f>
        <v>5.5775166208010748E-12</v>
      </c>
      <c r="K252" s="7">
        <f>(((0.621*1000^0.564)/0.2))*D252/1000+K251*inputs!$C$53</f>
        <v>8.9375124974193804E-13</v>
      </c>
      <c r="L252" s="7">
        <f>(((0.648*20^0.651)/0.2))*H252/20+L251*inputs!$C$54</f>
        <v>3.0579153188351102E-12</v>
      </c>
      <c r="M252" s="7">
        <f>(((0.013*2^0.773)/0.2))*H252/2+M251*inputs!$C$54</f>
        <v>1.4911435711941534E-13</v>
      </c>
      <c r="N252" s="7">
        <f>O252*0.015*inputs!$C$56</f>
        <v>5.2158598653550776E-2</v>
      </c>
      <c r="O252" s="7">
        <f>IF((B252&gt;B251), (EXP(-LN(2)/inputs!$C$52)*O251+$O$3), (EXP(-LN(2)/inputs!$C$52)*O251))</f>
        <v>5.6266017964995444E-3</v>
      </c>
      <c r="P252" s="3">
        <f>IF((B252&gt;B251), (EXP(-LN(2)/inputs!$C$52)*P251+$P$3), (EXP(-LN(2)/inputs!$C$52)*P251))</f>
        <v>5.4370130066522552E-3</v>
      </c>
      <c r="Q252" s="19">
        <f>IF((F252*0.62*1/(0.012*(10^inputs!$C$55)))&gt;inputs!$C$57, inputs!$C$57, (F252*0.62*1/(0.012*(10^inputs!$C$55))))</f>
        <v>2.3874565786854269E-14</v>
      </c>
      <c r="R252" s="3">
        <f>IF((B252&gt;B251), (EXP(-LN(2)/inputs!$C$51)*R251+$R$3), (EXP(-LN(2)/inputs!$C$51)*R251))</f>
        <v>5.5471219477379075E-20</v>
      </c>
      <c r="T252" s="7">
        <f>IF(T251&lt;(inputs!$C$20-1),(1+T251),0)</f>
        <v>0</v>
      </c>
      <c r="U252" s="7">
        <f>IF(inputs!$C$19&gt;U251,IF(T251=(inputs!$C$20-1),(U251+1),U251), U251)</f>
        <v>1</v>
      </c>
      <c r="V252" s="7">
        <f t="shared" si="6"/>
        <v>249</v>
      </c>
      <c r="W252" s="8">
        <f>IF((U252&gt;U251), (EXP(-LN(2)/inputs!$C$51)*W251+$W$3), (EXP(-LN(2)/inputs!$C$51)*W251))</f>
        <v>1.8357358759953492E-12</v>
      </c>
      <c r="X252" s="8">
        <f>IF((U252&gt;U251), (EXP(-LN(2)/inputs!$C$51)*X251+$X$3), (EXP(-LN(2)/inputs!$C$51)*X251))</f>
        <v>7.774881357156773E-13</v>
      </c>
      <c r="Y252" s="8">
        <f>IF((U252&gt;U251), (EXP(-LN(2)/inputs!$C$51)*Y251+$Y$3), (EXP(-LN(2)/inputs!$C$51)*Y251))</f>
        <v>9.7186016964459781E-13</v>
      </c>
      <c r="Z252" s="8">
        <f>IF((U252&gt;U251), (EXP(-LN(2)/inputs!$C$51)*Z251+$Z$3), (EXP(-LN(2)/inputs!$C$51)*Z251))</f>
        <v>1.5117824861138167E-13</v>
      </c>
      <c r="AA252" s="8">
        <f>IF((U252&gt;U251), (EXP(-LN(2)/inputs!$C$51)*AA251+$AA$3), (EXP(-LN(2)/inputs!$C$51)*AA251))</f>
        <v>1.4037980228199738E-12</v>
      </c>
      <c r="AB252" s="7">
        <f>(((0.621*15^0.564)/0.2))*W252/15+AB251*inputs!$C$53</f>
        <v>1.975370469867044E-12</v>
      </c>
      <c r="AC252" s="7">
        <f>(((0.621*1000^0.564)/0.2))*W252/1000+AC251*inputs!$C$53</f>
        <v>3.1653690095026928E-13</v>
      </c>
      <c r="AD252" s="7">
        <f>(((0.648*20^0.651)/0.2))*AA252/20+AD251*inputs!$C$54</f>
        <v>2.1145159119604507E-12</v>
      </c>
      <c r="AE252" s="7">
        <f>(((0.013*2^0.773)/0.2))*AA252/2+AE251*inputs!$C$54</f>
        <v>1.0311099162512774E-13</v>
      </c>
    </row>
    <row r="253" spans="1:31" x14ac:dyDescent="0.3">
      <c r="A253" s="7">
        <f>IF(A252&lt;(inputs!$C$20-1),(1+A252),0)</f>
        <v>0</v>
      </c>
      <c r="B253" s="7">
        <f>IF(inputs!$C$19&gt;B252,IF(A252=(inputs!$C$20-1),(B252+1),B252), B252)</f>
        <v>1</v>
      </c>
      <c r="C253" s="7">
        <f t="shared" si="7"/>
        <v>250</v>
      </c>
      <c r="D253" s="8">
        <f>IF((B253&gt;B252), (EXP(-LN(2)/inputs!$C$51)*D252+$D$3), (EXP(-LN(2)/inputs!$C$51)*D252))</f>
        <v>4.5478318522904973E-12</v>
      </c>
      <c r="E253" s="8">
        <f>IF((B253&gt;B252), (EXP(-LN(2)/inputs!$C$51)*E252+$E$3), (EXP(-LN(2)/inputs!$C$51)*E252))</f>
        <v>2.0844229322998085E-12</v>
      </c>
      <c r="F253" s="8">
        <f>IF((B253&gt;B252), (EXP(-LN(2)/inputs!$C$51)*F252+$F$3), (EXP(-LN(2)/inputs!$C$51)*F252))</f>
        <v>2.5581554169134026E-12</v>
      </c>
      <c r="G253" s="8">
        <f>IF((B253&gt;B252), (EXP(-LN(2)/inputs!$C$51)*G252+$G$3), (EXP(-LN(2)/inputs!$C$51)*G252))</f>
        <v>2.8423949076815608E-13</v>
      </c>
      <c r="H253" s="8">
        <f>IF((B253&gt;B252), (EXP(-LN(2)/inputs!$C$51)*H252+$H$3), (EXP(-LN(2)/inputs!$C$51)*H252))</f>
        <v>1.7812341421471076E-12</v>
      </c>
      <c r="I253" s="7">
        <f>O253*(10^inputs!$C$55)*0.01/1</f>
        <v>0.34785027988493994</v>
      </c>
      <c r="J253" s="7">
        <f>(((0.621*15^0.564)/0.2))*D253/15+J252*inputs!$C$53</f>
        <v>4.8937610581175726E-12</v>
      </c>
      <c r="K253" s="7">
        <f>(((0.621*1000^0.564)/0.2))*D253/1000+K252*inputs!$C$53</f>
        <v>7.8418503412775466E-13</v>
      </c>
      <c r="L253" s="7">
        <f>(((0.648*20^0.651)/0.2))*H253/20+L252*inputs!$C$54</f>
        <v>2.6830412034141328E-12</v>
      </c>
      <c r="M253" s="7">
        <f>(((0.013*2^0.773)/0.2))*H253/2+M252*inputs!$C$54</f>
        <v>1.3083421954418552E-13</v>
      </c>
      <c r="N253" s="7">
        <f>O253*0.015*inputs!$C$56</f>
        <v>5.1106023612260444E-2</v>
      </c>
      <c r="O253" s="7">
        <f>IF((B253&gt;B252), (EXP(-LN(2)/inputs!$C$52)*O252+$O$3), (EXP(-LN(2)/inputs!$C$52)*O252))</f>
        <v>5.5130554058533381E-3</v>
      </c>
      <c r="P253" s="3">
        <f>IF((B253&gt;B252), (EXP(-LN(2)/inputs!$C$52)*P252+$P$3), (EXP(-LN(2)/inputs!$C$52)*P252))</f>
        <v>5.3272925705648974E-3</v>
      </c>
      <c r="Q253" s="19">
        <f>IF((F253*0.62*1/(0.012*(10^inputs!$C$55)))&gt;inputs!$C$57, inputs!$C$57, (F253*0.62*1/(0.012*(10^inputs!$C$55))))</f>
        <v>2.0947749378538439E-14</v>
      </c>
      <c r="R253" s="3">
        <f>IF((B253&gt;B252), (EXP(-LN(2)/inputs!$C$51)*R252+$R$3), (EXP(-LN(2)/inputs!$C$51)*R252))</f>
        <v>4.8670925105320739E-20</v>
      </c>
      <c r="T253" s="7">
        <f>IF(T252&lt;(inputs!$C$20-1),(1+T252),0)</f>
        <v>0</v>
      </c>
      <c r="U253" s="7">
        <f>IF(inputs!$C$19&gt;U252,IF(T252=(inputs!$C$20-1),(U252+1),U252), U252)</f>
        <v>1</v>
      </c>
      <c r="V253" s="7">
        <f t="shared" si="6"/>
        <v>250</v>
      </c>
      <c r="W253" s="8">
        <f>IF((U253&gt;U252), (EXP(-LN(2)/inputs!$C$51)*W252+$W$3), (EXP(-LN(2)/inputs!$C$51)*W252))</f>
        <v>1.610690447686215E-12</v>
      </c>
      <c r="X253" s="8">
        <f>IF((U253&gt;U252), (EXP(-LN(2)/inputs!$C$51)*X252+$X$3), (EXP(-LN(2)/inputs!$C$51)*X252))</f>
        <v>6.8217477784357345E-13</v>
      </c>
      <c r="Y253" s="8">
        <f>IF((U253&gt;U252), (EXP(-LN(2)/inputs!$C$51)*Y252+$Y$3), (EXP(-LN(2)/inputs!$C$51)*Y252))</f>
        <v>8.5271847230446784E-13</v>
      </c>
      <c r="Z253" s="8">
        <f>IF((U253&gt;U252), (EXP(-LN(2)/inputs!$C$51)*Z252+$Z$3), (EXP(-LN(2)/inputs!$C$51)*Z252))</f>
        <v>1.3264509569180592E-13</v>
      </c>
      <c r="AA253" s="8">
        <f>IF((U253&gt;U252), (EXP(-LN(2)/inputs!$C$51)*AA252+$AA$3), (EXP(-LN(2)/inputs!$C$51)*AA252))</f>
        <v>1.2317044599953418E-12</v>
      </c>
      <c r="AB253" s="7">
        <f>(((0.621*15^0.564)/0.2))*W253/15+AB252*inputs!$C$53</f>
        <v>1.7332070414166371E-12</v>
      </c>
      <c r="AC253" s="7">
        <f>(((0.621*1000^0.564)/0.2))*W253/1000+AC252*inputs!$C$53</f>
        <v>2.7773219958691262E-13</v>
      </c>
      <c r="AD253" s="7">
        <f>(((0.648*20^0.651)/0.2))*AA253/20+AD252*inputs!$C$54</f>
        <v>1.8552944491693491E-12</v>
      </c>
      <c r="AE253" s="7">
        <f>(((0.013*2^0.773)/0.2))*AA253/2+AE252*inputs!$C$54</f>
        <v>9.0470470961404989E-14</v>
      </c>
    </row>
    <row r="254" spans="1:31" x14ac:dyDescent="0.3">
      <c r="A254" s="7">
        <f>IF(A253&lt;(inputs!$C$20-1),(1+A253),0)</f>
        <v>0</v>
      </c>
      <c r="B254" s="7">
        <f>IF(inputs!$C$19&gt;B253,IF(A253=(inputs!$C$20-1),(B253+1),B253), B253)</f>
        <v>1</v>
      </c>
      <c r="C254" s="7">
        <f t="shared" si="7"/>
        <v>251</v>
      </c>
      <c r="D254" s="8">
        <f>IF((B254&gt;B253), (EXP(-LN(2)/inputs!$C$51)*D253+$D$3), (EXP(-LN(2)/inputs!$C$51)*D253))</f>
        <v>3.9903067853896259E-12</v>
      </c>
      <c r="E254" s="8">
        <f>IF((B254&gt;B253), (EXP(-LN(2)/inputs!$C$51)*E253+$E$3), (EXP(-LN(2)/inputs!$C$51)*E253))</f>
        <v>1.8288906099702428E-12</v>
      </c>
      <c r="F254" s="8">
        <f>IF((B254&gt;B253), (EXP(-LN(2)/inputs!$C$51)*F253+$F$3), (EXP(-LN(2)/inputs!$C$51)*F253))</f>
        <v>2.2445475667816625E-12</v>
      </c>
      <c r="G254" s="8">
        <f>IF((B254&gt;B253), (EXP(-LN(2)/inputs!$C$51)*G253+$G$3), (EXP(-LN(2)/inputs!$C$51)*G253))</f>
        <v>2.4939417408685162E-13</v>
      </c>
      <c r="H254" s="8">
        <f>IF((B254&gt;B253), (EXP(-LN(2)/inputs!$C$51)*H253+$H$3), (EXP(-LN(2)/inputs!$C$51)*H253))</f>
        <v>1.5628701576109333E-12</v>
      </c>
      <c r="I254" s="7">
        <f>O254*(10^inputs!$C$55)*0.01/1</f>
        <v>0.34083056439862641</v>
      </c>
      <c r="J254" s="7">
        <f>(((0.621*15^0.564)/0.2))*D254/15+J253*inputs!$C$53</f>
        <v>4.2938280460934499E-12</v>
      </c>
      <c r="K254" s="7">
        <f>(((0.621*1000^0.564)/0.2))*D254/1000+K253*inputs!$C$53</f>
        <v>6.8805069411372286E-13</v>
      </c>
      <c r="L254" s="7">
        <f>(((0.648*20^0.651)/0.2))*H254/20+L253*inputs!$C$54</f>
        <v>2.3541234300628874E-12</v>
      </c>
      <c r="M254" s="7">
        <f>(((0.013*2^0.773)/0.2))*H254/2+M253*inputs!$C$54</f>
        <v>1.1479506959901818E-13</v>
      </c>
      <c r="N254" s="7">
        <f>O254*0.015*inputs!$C$56</f>
        <v>5.0074689828330306E-2</v>
      </c>
      <c r="O254" s="7">
        <f>IF((B254&gt;B253), (EXP(-LN(2)/inputs!$C$52)*O253+$O$3), (EXP(-LN(2)/inputs!$C$52)*O253))</f>
        <v>5.4018004129806159E-3</v>
      </c>
      <c r="P254" s="3">
        <f>IF((B254&gt;B253), (EXP(-LN(2)/inputs!$C$52)*P253+$P$3), (EXP(-LN(2)/inputs!$C$52)*P253))</f>
        <v>5.2197863234229157E-3</v>
      </c>
      <c r="Q254" s="19">
        <f>IF((F254*0.62*1/(0.012*(10^inputs!$C$55)))&gt;inputs!$C$57, inputs!$C$57, (F254*0.62*1/(0.012*(10^inputs!$C$55))))</f>
        <v>1.8379735486861616E-14</v>
      </c>
      <c r="R254" s="3">
        <f>IF((B254&gt;B253), (EXP(-LN(2)/inputs!$C$51)*R253+$R$3), (EXP(-LN(2)/inputs!$C$51)*R253))</f>
        <v>4.2704288330523383E-20</v>
      </c>
      <c r="T254" s="7">
        <f>IF(T253&lt;(inputs!$C$20-1),(1+T253),0)</f>
        <v>0</v>
      </c>
      <c r="U254" s="7">
        <f>IF(inputs!$C$19&gt;U253,IF(T253=(inputs!$C$20-1),(U253+1),U253), U253)</f>
        <v>1</v>
      </c>
      <c r="V254" s="7">
        <f t="shared" si="6"/>
        <v>251</v>
      </c>
      <c r="W254" s="8">
        <f>IF((U254&gt;U253), (EXP(-LN(2)/inputs!$C$51)*W253+$W$3), (EXP(-LN(2)/inputs!$C$51)*W253))</f>
        <v>1.4132336531588233E-12</v>
      </c>
      <c r="X254" s="8">
        <f>IF((U254&gt;U253), (EXP(-LN(2)/inputs!$C$51)*X253+$X$3), (EXP(-LN(2)/inputs!$C$51)*X253))</f>
        <v>5.9854601780844282E-13</v>
      </c>
      <c r="Y254" s="8">
        <f>IF((U254&gt;U253), (EXP(-LN(2)/inputs!$C$51)*Y253+$Y$3), (EXP(-LN(2)/inputs!$C$51)*Y253))</f>
        <v>7.4818252226055441E-13</v>
      </c>
      <c r="Z254" s="8">
        <f>IF((U254&gt;U253), (EXP(-LN(2)/inputs!$C$51)*Z253+$Z$3), (EXP(-LN(2)/inputs!$C$51)*Z253))</f>
        <v>1.1638394790719719E-13</v>
      </c>
      <c r="AA254" s="8">
        <f>IF((U254&gt;U253), (EXP(-LN(2)/inputs!$C$51)*AA253+$AA$3), (EXP(-LN(2)/inputs!$C$51)*AA253))</f>
        <v>1.0807080877096891E-12</v>
      </c>
      <c r="AB254" s="7">
        <f>(((0.621*15^0.564)/0.2))*W254/15+AB253*inputs!$C$53</f>
        <v>1.5207307663247609E-12</v>
      </c>
      <c r="AC254" s="7">
        <f>(((0.621*1000^0.564)/0.2))*W254/1000+AC253*inputs!$C$53</f>
        <v>2.4368462083194309E-13</v>
      </c>
      <c r="AD254" s="7">
        <f>(((0.648*20^0.651)/0.2))*AA254/20+AD253*inputs!$C$54</f>
        <v>1.6278513080222112E-12</v>
      </c>
      <c r="AE254" s="7">
        <f>(((0.013*2^0.773)/0.2))*AA254/2+AE253*inputs!$C$54</f>
        <v>7.9379569403576487E-14</v>
      </c>
    </row>
    <row r="255" spans="1:31" x14ac:dyDescent="0.3">
      <c r="A255" s="7">
        <f>IF(A254&lt;(inputs!$C$20-1),(1+A254),0)</f>
        <v>0</v>
      </c>
      <c r="B255" s="7">
        <f>IF(inputs!$C$19&gt;B254,IF(A254=(inputs!$C$20-1),(B254+1),B254), B254)</f>
        <v>1</v>
      </c>
      <c r="C255" s="7">
        <f t="shared" si="7"/>
        <v>252</v>
      </c>
      <c r="D255" s="8">
        <f>IF((B255&gt;B254), (EXP(-LN(2)/inputs!$C$51)*D254+$D$3), (EXP(-LN(2)/inputs!$C$51)*D254))</f>
        <v>3.5011294961371891E-12</v>
      </c>
      <c r="E255" s="8">
        <f>IF((B255&gt;B254), (EXP(-LN(2)/inputs!$C$51)*E254+$E$3), (EXP(-LN(2)/inputs!$C$51)*E254))</f>
        <v>1.6046843523962096E-12</v>
      </c>
      <c r="F255" s="8">
        <f>IF((B255&gt;B254), (EXP(-LN(2)/inputs!$C$51)*F254+$F$3), (EXP(-LN(2)/inputs!$C$51)*F254))</f>
        <v>1.9693853415771673E-12</v>
      </c>
      <c r="G255" s="8">
        <f>IF((B255&gt;B254), (EXP(-LN(2)/inputs!$C$51)*G254+$G$3), (EXP(-LN(2)/inputs!$C$51)*G254))</f>
        <v>2.1882059350857432E-13</v>
      </c>
      <c r="H255" s="8">
        <f>IF((B255&gt;B254), (EXP(-LN(2)/inputs!$C$51)*H254+$H$3), (EXP(-LN(2)/inputs!$C$51)*H254))</f>
        <v>1.3712757193203961E-12</v>
      </c>
      <c r="I255" s="7">
        <f>O255*(10^inputs!$C$55)*0.01/1</f>
        <v>0.33395250872504917</v>
      </c>
      <c r="J255" s="7">
        <f>(((0.621*15^0.564)/0.2))*D255/15+J254*inputs!$C$53</f>
        <v>3.7674416610178003E-12</v>
      </c>
      <c r="K255" s="7">
        <f>(((0.621*1000^0.564)/0.2))*D255/1000+K254*inputs!$C$53</f>
        <v>6.0370159728558406E-13</v>
      </c>
      <c r="L255" s="7">
        <f>(((0.648*20^0.651)/0.2))*H255/20+L254*inputs!$C$54</f>
        <v>2.0655281465372456E-12</v>
      </c>
      <c r="M255" s="7">
        <f>(((0.013*2^0.773)/0.2))*H255/2+M254*inputs!$C$54</f>
        <v>1.0072218147632982E-13</v>
      </c>
      <c r="N255" s="7">
        <f>O255*0.015*inputs!$C$56</f>
        <v>4.9064168647273476E-2</v>
      </c>
      <c r="O255" s="7">
        <f>IF((B255&gt;B254), (EXP(-LN(2)/inputs!$C$52)*O254+$O$3), (EXP(-LN(2)/inputs!$C$52)*O254))</f>
        <v>5.2927905768364054E-3</v>
      </c>
      <c r="P255" s="3">
        <f>IF((B255&gt;B254), (EXP(-LN(2)/inputs!$C$52)*P254+$P$3), (EXP(-LN(2)/inputs!$C$52)*P254))</f>
        <v>5.1144495822769845E-3</v>
      </c>
      <c r="Q255" s="19">
        <f>IF((F255*0.62*1/(0.012*(10^inputs!$C$55)))&gt;inputs!$C$57, inputs!$C$57, (F255*0.62*1/(0.012*(10^inputs!$C$55))))</f>
        <v>1.6126538009524828E-14</v>
      </c>
      <c r="R255" s="3">
        <f>IF((B255&gt;B254), (EXP(-LN(2)/inputs!$C$51)*R254+$R$3), (EXP(-LN(2)/inputs!$C$51)*R254))</f>
        <v>3.7469109902271245E-20</v>
      </c>
      <c r="T255" s="7">
        <f>IF(T254&lt;(inputs!$C$20-1),(1+T254),0)</f>
        <v>0</v>
      </c>
      <c r="U255" s="7">
        <f>IF(inputs!$C$19&gt;U254,IF(T254=(inputs!$C$20-1),(U254+1),U254), U254)</f>
        <v>1</v>
      </c>
      <c r="V255" s="7">
        <f t="shared" si="6"/>
        <v>252</v>
      </c>
      <c r="W255" s="8">
        <f>IF((U255&gt;U254), (EXP(-LN(2)/inputs!$C$51)*W254+$W$3), (EXP(-LN(2)/inputs!$C$51)*W254))</f>
        <v>1.2399833632152524E-12</v>
      </c>
      <c r="X255" s="8">
        <f>IF((U255&gt;U254), (EXP(-LN(2)/inputs!$C$51)*X254+$X$3), (EXP(-LN(2)/inputs!$C$51)*X254))</f>
        <v>5.2516942442057739E-13</v>
      </c>
      <c r="Y255" s="8">
        <f>IF((U255&gt;U254), (EXP(-LN(2)/inputs!$C$51)*Y254+$Y$3), (EXP(-LN(2)/inputs!$C$51)*Y254))</f>
        <v>6.5646178052572262E-13</v>
      </c>
      <c r="Z255" s="8">
        <f>IF((U255&gt;U254), (EXP(-LN(2)/inputs!$C$51)*Z254+$Z$3), (EXP(-LN(2)/inputs!$C$51)*Z254))</f>
        <v>1.0211627697066781E-13</v>
      </c>
      <c r="AA255" s="8">
        <f>IF((U255&gt;U254), (EXP(-LN(2)/inputs!$C$51)*AA254+$AA$3), (EXP(-LN(2)/inputs!$C$51)*AA254))</f>
        <v>9.4822257187048761E-13</v>
      </c>
      <c r="AB255" s="7">
        <f>(((0.621*15^0.564)/0.2))*W255/15+AB254*inputs!$C$53</f>
        <v>1.3343022549438022E-12</v>
      </c>
      <c r="AC255" s="7">
        <f>(((0.621*1000^0.564)/0.2))*W255/1000+AC254*inputs!$C$53</f>
        <v>2.1381098237197736E-13</v>
      </c>
      <c r="AD255" s="7">
        <f>(((0.648*20^0.651)/0.2))*AA255/20+AD254*inputs!$C$54</f>
        <v>1.4282907396268203E-12</v>
      </c>
      <c r="AE255" s="7">
        <f>(((0.013*2^0.773)/0.2))*AA255/2+AE254*inputs!$C$54</f>
        <v>6.9648316978313234E-14</v>
      </c>
    </row>
    <row r="256" spans="1:31" x14ac:dyDescent="0.3">
      <c r="A256" s="7">
        <f>IF(A255&lt;(inputs!$C$20-1),(1+A255),0)</f>
        <v>0</v>
      </c>
      <c r="B256" s="7">
        <f>IF(inputs!$C$19&gt;B255,IF(A255=(inputs!$C$20-1),(B255+1),B255), B255)</f>
        <v>1</v>
      </c>
      <c r="C256" s="7">
        <f t="shared" si="7"/>
        <v>253</v>
      </c>
      <c r="D256" s="8">
        <f>IF((B256&gt;B255), (EXP(-LN(2)/inputs!$C$51)*D255+$D$3), (EXP(-LN(2)/inputs!$C$51)*D255))</f>
        <v>3.0719211348871133E-12</v>
      </c>
      <c r="E256" s="8">
        <f>IF((B256&gt;B255), (EXP(-LN(2)/inputs!$C$51)*E255+$E$3), (EXP(-LN(2)/inputs!$C$51)*E255))</f>
        <v>1.4079638534899251E-12</v>
      </c>
      <c r="F256" s="8">
        <f>IF((B256&gt;B255), (EXP(-LN(2)/inputs!$C$51)*F255+$F$3), (EXP(-LN(2)/inputs!$C$51)*F255))</f>
        <v>1.7279556383739997E-12</v>
      </c>
      <c r="G256" s="8">
        <f>IF((B256&gt;B255), (EXP(-LN(2)/inputs!$C$51)*G255+$G$3), (EXP(-LN(2)/inputs!$C$51)*G255))</f>
        <v>1.9199507093044458E-13</v>
      </c>
      <c r="H256" s="8">
        <f>IF((B256&gt;B255), (EXP(-LN(2)/inputs!$C$51)*H255+$H$3), (EXP(-LN(2)/inputs!$C$51)*H255))</f>
        <v>1.2031691111641167E-12</v>
      </c>
      <c r="I256" s="7">
        <f>O256*(10^inputs!$C$55)*0.01/1</f>
        <v>0.32721325412975055</v>
      </c>
      <c r="J256" s="7">
        <f>(((0.621*15^0.564)/0.2))*D256/15+J255*inputs!$C$53</f>
        <v>3.3055857190382838E-12</v>
      </c>
      <c r="K256" s="7">
        <f>(((0.621*1000^0.564)/0.2))*D256/1000+K255*inputs!$C$53</f>
        <v>5.2969297419955426E-13</v>
      </c>
      <c r="L256" s="7">
        <f>(((0.648*20^0.651)/0.2))*H256/20+L255*inputs!$C$54</f>
        <v>1.812312162418611E-12</v>
      </c>
      <c r="M256" s="7">
        <f>(((0.013*2^0.773)/0.2))*H256/2+M255*inputs!$C$54</f>
        <v>8.8374508389491693E-14</v>
      </c>
      <c r="N256" s="7">
        <f>O256*0.015*inputs!$C$56</f>
        <v>4.8074040064969931E-2</v>
      </c>
      <c r="O256" s="7">
        <f>IF((B256&gt;B255), (EXP(-LN(2)/inputs!$C$52)*O255+$O$3), (EXP(-LN(2)/inputs!$C$52)*O255))</f>
        <v>5.1859805895328945E-3</v>
      </c>
      <c r="P256" s="3">
        <f>IF((B256&gt;B255), (EXP(-LN(2)/inputs!$C$52)*P255+$P$3), (EXP(-LN(2)/inputs!$C$52)*P255))</f>
        <v>5.011238565892133E-3</v>
      </c>
      <c r="Q256" s="19">
        <f>IF((F256*0.62*1/(0.012*(10^inputs!$C$55)))&gt;inputs!$C$57, inputs!$C$57, (F256*0.62*1/(0.012*(10^inputs!$C$55))))</f>
        <v>1.4149563162024359E-14</v>
      </c>
      <c r="R256" s="3">
        <f>IF((B256&gt;B255), (EXP(-LN(2)/inputs!$C$51)*R255+$R$3), (EXP(-LN(2)/inputs!$C$51)*R255))</f>
        <v>3.2875719318919146E-20</v>
      </c>
      <c r="T256" s="7">
        <f>IF(T255&lt;(inputs!$C$20-1),(1+T255),0)</f>
        <v>0</v>
      </c>
      <c r="U256" s="7">
        <f>IF(inputs!$C$19&gt;U255,IF(T255=(inputs!$C$20-1),(U255+1),U255), U255)</f>
        <v>1</v>
      </c>
      <c r="V256" s="7">
        <f t="shared" si="6"/>
        <v>253</v>
      </c>
      <c r="W256" s="8">
        <f>IF((U256&gt;U255), (EXP(-LN(2)/inputs!$C$51)*W255+$W$3), (EXP(-LN(2)/inputs!$C$51)*W255))</f>
        <v>1.0879720686058507E-12</v>
      </c>
      <c r="X256" s="8">
        <f>IF((U256&gt;U255), (EXP(-LN(2)/inputs!$C$51)*X255+$X$3), (EXP(-LN(2)/inputs!$C$51)*X255))</f>
        <v>4.6078817023306613E-13</v>
      </c>
      <c r="Y256" s="8">
        <f>IF((U256&gt;U255), (EXP(-LN(2)/inputs!$C$51)*Y255+$Y$3), (EXP(-LN(2)/inputs!$C$51)*Y255))</f>
        <v>5.7598521279133339E-13</v>
      </c>
      <c r="Z256" s="8">
        <f>IF((U256&gt;U255), (EXP(-LN(2)/inputs!$C$51)*Z255+$Z$3), (EXP(-LN(2)/inputs!$C$51)*Z255))</f>
        <v>8.9597699767540616E-14</v>
      </c>
      <c r="AA256" s="8">
        <f>IF((U256&gt;U255), (EXP(-LN(2)/inputs!$C$51)*AA255+$AA$3), (EXP(-LN(2)/inputs!$C$51)*AA255))</f>
        <v>8.3197864069859219E-13</v>
      </c>
      <c r="AB256" s="7">
        <f>(((0.621*15^0.564)/0.2))*W256/15+AB255*inputs!$C$53</f>
        <v>1.1707282754927234E-12</v>
      </c>
      <c r="AC256" s="7">
        <f>(((0.621*1000^0.564)/0.2))*W256/1000+AC255*inputs!$C$53</f>
        <v>1.8759959502900848E-13</v>
      </c>
      <c r="AD256" s="7">
        <f>(((0.648*20^0.651)/0.2))*AA256/20+AD255*inputs!$C$54</f>
        <v>1.2531945803958492E-12</v>
      </c>
      <c r="AE256" s="7">
        <f>(((0.013*2^0.773)/0.2))*AA256/2+AE255*inputs!$C$54</f>
        <v>6.1110032396988998E-14</v>
      </c>
    </row>
    <row r="257" spans="1:31" x14ac:dyDescent="0.3">
      <c r="A257" s="7">
        <f>IF(A256&lt;(inputs!$C$20-1),(1+A256),0)</f>
        <v>0</v>
      </c>
      <c r="B257" s="7">
        <f>IF(inputs!$C$19&gt;B256,IF(A256=(inputs!$C$20-1),(B256+1),B256), B256)</f>
        <v>1</v>
      </c>
      <c r="C257" s="7">
        <f t="shared" si="7"/>
        <v>254</v>
      </c>
      <c r="D257" s="8">
        <f>IF((B257&gt;B256), (EXP(-LN(2)/inputs!$C$51)*D256+$D$3), (EXP(-LN(2)/inputs!$C$51)*D256))</f>
        <v>2.6953300268892308E-12</v>
      </c>
      <c r="E257" s="8">
        <f>IF((B257&gt;B256), (EXP(-LN(2)/inputs!$C$51)*E256+$E$3), (EXP(-LN(2)/inputs!$C$51)*E256))</f>
        <v>1.2353595956575626E-12</v>
      </c>
      <c r="F257" s="8">
        <f>IF((B257&gt;B256), (EXP(-LN(2)/inputs!$C$51)*F256+$F$3), (EXP(-LN(2)/inputs!$C$51)*F256))</f>
        <v>1.5161231401251912E-12</v>
      </c>
      <c r="G257" s="8">
        <f>IF((B257&gt;B256), (EXP(-LN(2)/inputs!$C$51)*G256+$G$3), (EXP(-LN(2)/inputs!$C$51)*G256))</f>
        <v>1.6845812668057693E-13</v>
      </c>
      <c r="H257" s="8">
        <f>IF((B257&gt;B256), (EXP(-LN(2)/inputs!$C$51)*H256+$H$3), (EXP(-LN(2)/inputs!$C$51)*H256))</f>
        <v>1.0556709271982797E-12</v>
      </c>
      <c r="I257" s="7">
        <f>O257*(10^inputs!$C$55)*0.01/1</f>
        <v>0.32060999956832997</v>
      </c>
      <c r="J257" s="7">
        <f>(((0.621*15^0.564)/0.2))*D257/15+J256*inputs!$C$53</f>
        <v>2.9003493428901212E-12</v>
      </c>
      <c r="K257" s="7">
        <f>(((0.621*1000^0.564)/0.2))*D257/1000+K256*inputs!$C$53</f>
        <v>4.647571717184681E-13</v>
      </c>
      <c r="L257" s="7">
        <f>(((0.648*20^0.651)/0.2))*H257/20+L256*inputs!$C$54</f>
        <v>1.5901382799148392E-12</v>
      </c>
      <c r="M257" s="7">
        <f>(((0.013*2^0.773)/0.2))*H257/2+M256*inputs!$C$54</f>
        <v>7.7540553814551137E-14</v>
      </c>
      <c r="N257" s="7">
        <f>O257*0.015*inputs!$C$56</f>
        <v>4.7103892553099727E-2</v>
      </c>
      <c r="O257" s="7">
        <f>IF((B257&gt;B256), (EXP(-LN(2)/inputs!$C$52)*O256+$O$3), (EXP(-LN(2)/inputs!$C$52)*O256))</f>
        <v>5.0813260575080614E-3</v>
      </c>
      <c r="P257" s="3">
        <f>IF((B257&gt;B256), (EXP(-LN(2)/inputs!$C$52)*P256+$P$3), (EXP(-LN(2)/inputs!$C$52)*P256))</f>
        <v>4.9101103765509004E-3</v>
      </c>
      <c r="Q257" s="19">
        <f>IF((F257*0.62*1/(0.012*(10^inputs!$C$55)))&gt;inputs!$C$57, inputs!$C$57, (F257*0.62*1/(0.012*(10^inputs!$C$55))))</f>
        <v>1.2414948425872096E-14</v>
      </c>
      <c r="R257" s="3">
        <f>IF((B257&gt;B256), (EXP(-LN(2)/inputs!$C$51)*R256+$R$3), (EXP(-LN(2)/inputs!$C$51)*R256))</f>
        <v>2.8845438911022506E-20</v>
      </c>
      <c r="T257" s="7">
        <f>IF(T256&lt;(inputs!$C$20-1),(1+T256),0)</f>
        <v>0</v>
      </c>
      <c r="U257" s="7">
        <f>IF(inputs!$C$19&gt;U256,IF(T256=(inputs!$C$20-1),(U256+1),U256), U256)</f>
        <v>1</v>
      </c>
      <c r="V257" s="7">
        <f t="shared" si="6"/>
        <v>254</v>
      </c>
      <c r="W257" s="8">
        <f>IF((U257&gt;U256), (EXP(-LN(2)/inputs!$C$51)*W256+$W$3), (EXP(-LN(2)/inputs!$C$51)*W256))</f>
        <v>9.5459605118993438E-13</v>
      </c>
      <c r="X257" s="8">
        <f>IF((U257&gt;U256), (EXP(-LN(2)/inputs!$C$51)*X256+$X$3), (EXP(-LN(2)/inputs!$C$51)*X256))</f>
        <v>4.0429950403338388E-13</v>
      </c>
      <c r="Y257" s="8">
        <f>IF((U257&gt;U256), (EXP(-LN(2)/inputs!$C$51)*Y256+$Y$3), (EXP(-LN(2)/inputs!$C$51)*Y256))</f>
        <v>5.0537438004173045E-13</v>
      </c>
      <c r="Z257" s="8">
        <f>IF((U257&gt;U256), (EXP(-LN(2)/inputs!$C$51)*Z256+$Z$3), (EXP(-LN(2)/inputs!$C$51)*Z256))</f>
        <v>7.8613792450935743E-14</v>
      </c>
      <c r="AA257" s="8">
        <f>IF((U257&gt;U256), (EXP(-LN(2)/inputs!$C$51)*AA256+$AA$3), (EXP(-LN(2)/inputs!$C$51)*AA256))</f>
        <v>7.2998521561583252E-13</v>
      </c>
      <c r="AB257" s="7">
        <f>(((0.621*15^0.564)/0.2))*W257/15+AB256*inputs!$C$53</f>
        <v>1.0272070589402496E-12</v>
      </c>
      <c r="AC257" s="7">
        <f>(((0.621*1000^0.564)/0.2))*W257/1000+AC256*inputs!$C$53</f>
        <v>1.6460149831695716E-13</v>
      </c>
      <c r="AD257" s="7">
        <f>(((0.648*20^0.651)/0.2))*AA257/20+AD256*inputs!$C$54</f>
        <v>1.0995637041964324E-12</v>
      </c>
      <c r="AE257" s="7">
        <f>(((0.013*2^0.773)/0.2))*AA257/2+AE256*inputs!$C$54</f>
        <v>5.36184680632535E-14</v>
      </c>
    </row>
    <row r="258" spans="1:31" x14ac:dyDescent="0.3">
      <c r="A258" s="7">
        <f>IF(A257&lt;(inputs!$C$20-1),(1+A257),0)</f>
        <v>0</v>
      </c>
      <c r="B258" s="7">
        <f>IF(inputs!$C$19&gt;B257,IF(A257=(inputs!$C$20-1),(B257+1),B257), B257)</f>
        <v>1</v>
      </c>
      <c r="C258" s="7">
        <f t="shared" si="7"/>
        <v>255</v>
      </c>
      <c r="D258" s="8">
        <f>IF((B258&gt;B257), (EXP(-LN(2)/inputs!$C$51)*D257+$D$3), (EXP(-LN(2)/inputs!$C$51)*D257))</f>
        <v>2.3649057494822922E-12</v>
      </c>
      <c r="E258" s="8">
        <f>IF((B258&gt;B257), (EXP(-LN(2)/inputs!$C$51)*E257+$E$3), (EXP(-LN(2)/inputs!$C$51)*E257))</f>
        <v>1.0839151351793825E-12</v>
      </c>
      <c r="F258" s="8">
        <f>IF((B258&gt;B257), (EXP(-LN(2)/inputs!$C$51)*F257+$F$3), (EXP(-LN(2)/inputs!$C$51)*F257))</f>
        <v>1.3302594840837882E-12</v>
      </c>
      <c r="G258" s="8">
        <f>IF((B258&gt;B257), (EXP(-LN(2)/inputs!$C$51)*G257+$G$3), (EXP(-LN(2)/inputs!$C$51)*G257))</f>
        <v>1.4780660934264326E-13</v>
      </c>
      <c r="H258" s="8">
        <f>IF((B258&gt;B257), (EXP(-LN(2)/inputs!$C$51)*H257+$H$3), (EXP(-LN(2)/inputs!$C$51)*H257))</f>
        <v>9.2625475188056234E-13</v>
      </c>
      <c r="I258" s="7">
        <f>O258*(10^inputs!$C$55)*0.01/1</f>
        <v>0.3141400005222425</v>
      </c>
      <c r="J258" s="7">
        <f>(((0.621*15^0.564)/0.2))*D258/15+J257*inputs!$C$53</f>
        <v>2.5447914608157635E-12</v>
      </c>
      <c r="K258" s="7">
        <f>(((0.621*1000^0.564)/0.2))*D258/1000+K257*inputs!$C$53</f>
        <v>4.077819400760543E-13</v>
      </c>
      <c r="L258" s="7">
        <f>(((0.648*20^0.651)/0.2))*H258/20+L257*inputs!$C$54</f>
        <v>1.3952010043766824E-12</v>
      </c>
      <c r="M258" s="7">
        <f>(((0.013*2^0.773)/0.2))*H258/2+M257*inputs!$C$54</f>
        <v>6.8034748882204032E-14</v>
      </c>
      <c r="N258" s="7">
        <f>O258*0.015*inputs!$C$56</f>
        <v>4.6153322888098973E-2</v>
      </c>
      <c r="O258" s="7">
        <f>IF((B258&gt;B257), (EXP(-LN(2)/inputs!$C$52)*O257+$O$3), (EXP(-LN(2)/inputs!$C$52)*O257))</f>
        <v>4.9787834830743232E-3</v>
      </c>
      <c r="P258" s="3">
        <f>IF((B258&gt;B257), (EXP(-LN(2)/inputs!$C$52)*P257+$P$3), (EXP(-LN(2)/inputs!$C$52)*P257))</f>
        <v>4.8110229822237076E-3</v>
      </c>
      <c r="Q258" s="19">
        <f>IF((F258*0.62*1/(0.012*(10^inputs!$C$55)))&gt;inputs!$C$57, inputs!$C$57, (F258*0.62*1/(0.012*(10^inputs!$C$55))))</f>
        <v>1.0892982536078005E-14</v>
      </c>
      <c r="R258" s="3">
        <f>IF((B258&gt;B257), (EXP(-LN(2)/inputs!$C$51)*R257+$R$3), (EXP(-LN(2)/inputs!$C$51)*R257))</f>
        <v>2.5309236214664422E-20</v>
      </c>
      <c r="T258" s="7">
        <f>IF(T257&lt;(inputs!$C$20-1),(1+T257),0)</f>
        <v>0</v>
      </c>
      <c r="U258" s="7">
        <f>IF(inputs!$C$19&gt;U257,IF(T257=(inputs!$C$20-1),(U257+1),U257), U257)</f>
        <v>1</v>
      </c>
      <c r="V258" s="7">
        <f t="shared" si="6"/>
        <v>255</v>
      </c>
      <c r="W258" s="8">
        <f>IF((U258&gt;U257), (EXP(-LN(2)/inputs!$C$51)*W257+$W$3), (EXP(-LN(2)/inputs!$C$51)*W257))</f>
        <v>8.375707862749771E-13</v>
      </c>
      <c r="X258" s="8">
        <f>IF((U258&gt;U257), (EXP(-LN(2)/inputs!$C$51)*X257+$X$3), (EXP(-LN(2)/inputs!$C$51)*X257))</f>
        <v>3.5473586242234316E-13</v>
      </c>
      <c r="Y258" s="8">
        <f>IF((U258&gt;U257), (EXP(-LN(2)/inputs!$C$51)*Y257+$Y$3), (EXP(-LN(2)/inputs!$C$51)*Y257))</f>
        <v>4.4341982802792951E-13</v>
      </c>
      <c r="Z258" s="8">
        <f>IF((U258&gt;U257), (EXP(-LN(2)/inputs!$C$51)*Z257+$Z$3), (EXP(-LN(2)/inputs!$C$51)*Z257))</f>
        <v>6.8976417693233389E-14</v>
      </c>
      <c r="AA258" s="8">
        <f>IF((U258&gt;U257), (EXP(-LN(2)/inputs!$C$51)*AA257+$AA$3), (EXP(-LN(2)/inputs!$C$51)*AA257))</f>
        <v>6.4049530715145336E-13</v>
      </c>
      <c r="AB258" s="7">
        <f>(((0.621*15^0.564)/0.2))*W258/15+AB257*inputs!$C$53</f>
        <v>9.0128030903891461E-13</v>
      </c>
      <c r="AC258" s="7">
        <f>(((0.621*1000^0.564)/0.2))*W258/1000+AC257*inputs!$C$53</f>
        <v>1.4442277044360231E-13</v>
      </c>
      <c r="AD258" s="7">
        <f>(((0.648*20^0.651)/0.2))*AA258/20+AD257*inputs!$C$54</f>
        <v>9.6476665196260053E-13</v>
      </c>
      <c r="AE258" s="7">
        <f>(((0.013*2^0.773)/0.2))*AA258/2+AE257*inputs!$C$54</f>
        <v>4.7045305078119853E-14</v>
      </c>
    </row>
    <row r="259" spans="1:31" x14ac:dyDescent="0.3">
      <c r="A259" s="7">
        <f>IF(A258&lt;(inputs!$C$20-1),(1+A258),0)</f>
        <v>0</v>
      </c>
      <c r="B259" s="7">
        <f>IF(inputs!$C$19&gt;B258,IF(A258=(inputs!$C$20-1),(B258+1),B258), B258)</f>
        <v>1</v>
      </c>
      <c r="C259" s="7">
        <f t="shared" si="7"/>
        <v>256</v>
      </c>
      <c r="D259" s="8">
        <f>IF((B259&gt;B258), (EXP(-LN(2)/inputs!$C$51)*D258+$D$3), (EXP(-LN(2)/inputs!$C$51)*D258))</f>
        <v>2.0749886463399858E-12</v>
      </c>
      <c r="E259" s="8">
        <f>IF((B259&gt;B258), (EXP(-LN(2)/inputs!$C$51)*E258+$E$3), (EXP(-LN(2)/inputs!$C$51)*E258))</f>
        <v>9.5103646290582552E-13</v>
      </c>
      <c r="F259" s="8">
        <f>IF((B259&gt;B258), (EXP(-LN(2)/inputs!$C$51)*F258+$F$3), (EXP(-LN(2)/inputs!$C$51)*F258))</f>
        <v>1.167181113566241E-12</v>
      </c>
      <c r="G259" s="8">
        <f>IF((B259&gt;B258), (EXP(-LN(2)/inputs!$C$51)*G258+$G$3), (EXP(-LN(2)/inputs!$C$51)*G258))</f>
        <v>1.2968679039624911E-13</v>
      </c>
      <c r="H259" s="8">
        <f>IF((B259&gt;B258), (EXP(-LN(2)/inputs!$C$51)*H258+$H$3), (EXP(-LN(2)/inputs!$C$51)*H258))</f>
        <v>8.1270388648315924E-13</v>
      </c>
      <c r="I259" s="7">
        <f>O259*(10^inputs!$C$55)*0.01/1</f>
        <v>0.30780056785809184</v>
      </c>
      <c r="J259" s="7">
        <f>(((0.621*15^0.564)/0.2))*D259/15+J258*inputs!$C$53</f>
        <v>2.2328219167514834E-12</v>
      </c>
      <c r="K259" s="7">
        <f>(((0.621*1000^0.564)/0.2))*D259/1000+K258*inputs!$C$53</f>
        <v>3.5779138176036678E-13</v>
      </c>
      <c r="L259" s="7">
        <f>(((0.648*20^0.651)/0.2))*H259/20+L258*inputs!$C$54</f>
        <v>1.2241613620659171E-12</v>
      </c>
      <c r="M259" s="7">
        <f>(((0.013*2^0.773)/0.2))*H259/2+M258*inputs!$C$54</f>
        <v>5.9694273870351742E-14</v>
      </c>
      <c r="N259" s="7">
        <f>O259*0.015*inputs!$C$56</f>
        <v>4.5221935983567559E-2</v>
      </c>
      <c r="O259" s="7">
        <f>IF((B259&gt;B258), (EXP(-LN(2)/inputs!$C$52)*O258+$O$3), (EXP(-LN(2)/inputs!$C$52)*O258))</f>
        <v>4.8783102463395428E-3</v>
      </c>
      <c r="P259" s="3">
        <f>IF((B259&gt;B258), (EXP(-LN(2)/inputs!$C$52)*P258+$P$3), (EXP(-LN(2)/inputs!$C$52)*P258))</f>
        <v>4.7139351990990331E-3</v>
      </c>
      <c r="Q259" s="19">
        <f>IF((F259*0.62*1/(0.012*(10^inputs!$C$55)))&gt;inputs!$C$57, inputs!$C$57, (F259*0.62*1/(0.012*(10^inputs!$C$55))))</f>
        <v>9.5575965731782949E-15</v>
      </c>
      <c r="R259" s="3">
        <f>IF((B259&gt;B258), (EXP(-LN(2)/inputs!$C$51)*R258+$R$3), (EXP(-LN(2)/inputs!$C$51)*R258))</f>
        <v>2.2206541552221254E-20</v>
      </c>
      <c r="T259" s="7">
        <f>IF(T258&lt;(inputs!$C$20-1),(1+T258),0)</f>
        <v>0</v>
      </c>
      <c r="U259" s="7">
        <f>IF(inputs!$C$19&gt;U258,IF(T258=(inputs!$C$20-1),(U258+1),U258), U258)</f>
        <v>1</v>
      </c>
      <c r="V259" s="7">
        <f t="shared" si="6"/>
        <v>256</v>
      </c>
      <c r="W259" s="8">
        <f>IF((U259&gt;U258), (EXP(-LN(2)/inputs!$C$51)*W258+$W$3), (EXP(-LN(2)/inputs!$C$51)*W258))</f>
        <v>7.3489181224541038E-13</v>
      </c>
      <c r="X259" s="8">
        <f>IF((U259&gt;U258), (EXP(-LN(2)/inputs!$C$51)*X258+$X$3), (EXP(-LN(2)/inputs!$C$51)*X258))</f>
        <v>3.1124829695099726E-13</v>
      </c>
      <c r="Y259" s="8">
        <f>IF((U259&gt;U258), (EXP(-LN(2)/inputs!$C$51)*Y258+$Y$3), (EXP(-LN(2)/inputs!$C$51)*Y258))</f>
        <v>3.8906037118874708E-13</v>
      </c>
      <c r="Z259" s="8">
        <f>IF((U259&gt;U258), (EXP(-LN(2)/inputs!$C$51)*Z258+$Z$3), (EXP(-LN(2)/inputs!$C$51)*Z258))</f>
        <v>6.0520502184916129E-14</v>
      </c>
      <c r="AA259" s="8">
        <f>IF((U259&gt;U258), (EXP(-LN(2)/inputs!$C$51)*AA258+$AA$3), (EXP(-LN(2)/inputs!$C$51)*AA258))</f>
        <v>5.619760917170788E-13</v>
      </c>
      <c r="AB259" s="7">
        <f>(((0.621*15^0.564)/0.2))*W259/15+AB258*inputs!$C$53</f>
        <v>7.9079109551614908E-13</v>
      </c>
      <c r="AC259" s="7">
        <f>(((0.621*1000^0.564)/0.2))*W259/1000+AC258*inputs!$C$53</f>
        <v>1.2671778104012967E-13</v>
      </c>
      <c r="AD259" s="7">
        <f>(((0.648*20^0.651)/0.2))*AA259/20+AD258*inputs!$C$54</f>
        <v>8.4649455887536884E-13</v>
      </c>
      <c r="AE259" s="7">
        <f>(((0.013*2^0.773)/0.2))*AA259/2+AE258*inputs!$C$54</f>
        <v>4.1277955335881566E-14</v>
      </c>
    </row>
    <row r="260" spans="1:31" x14ac:dyDescent="0.3">
      <c r="A260" s="7">
        <f>IF(A259&lt;(inputs!$C$20-1),(1+A259),0)</f>
        <v>0</v>
      </c>
      <c r="B260" s="7">
        <f>IF(inputs!$C$19&gt;B259,IF(A259=(inputs!$C$20-1),(B259+1),B259), B259)</f>
        <v>1</v>
      </c>
      <c r="C260" s="7">
        <f t="shared" si="7"/>
        <v>257</v>
      </c>
      <c r="D260" s="8">
        <f>IF((B260&gt;B259), (EXP(-LN(2)/inputs!$C$51)*D259+$D$3), (EXP(-LN(2)/inputs!$C$51)*D259))</f>
        <v>1.8206128863200538E-12</v>
      </c>
      <c r="E260" s="8">
        <f>IF((B260&gt;B259), (EXP(-LN(2)/inputs!$C$51)*E259+$E$3), (EXP(-LN(2)/inputs!$C$51)*E259))</f>
        <v>8.3444757289669019E-13</v>
      </c>
      <c r="F260" s="8">
        <f>IF((B260&gt;B259), (EXP(-LN(2)/inputs!$C$51)*F259+$F$3), (EXP(-LN(2)/inputs!$C$51)*F259))</f>
        <v>1.0240947485550294E-12</v>
      </c>
      <c r="G260" s="8">
        <f>IF((B260&gt;B259), (EXP(-LN(2)/inputs!$C$51)*G259+$G$3), (EXP(-LN(2)/inputs!$C$51)*G259))</f>
        <v>1.1378830539500336E-13</v>
      </c>
      <c r="H260" s="8">
        <f>IF((B260&gt;B259), (EXP(-LN(2)/inputs!$C$51)*H259+$H$3), (EXP(-LN(2)/inputs!$C$51)*H259))</f>
        <v>7.1307338047535277E-13</v>
      </c>
      <c r="I260" s="7">
        <f>O260*(10^inputs!$C$55)*0.01/1</f>
        <v>0.3015890667099419</v>
      </c>
      <c r="J260" s="7">
        <f>(((0.621*15^0.564)/0.2))*D260/15+J259*inputs!$C$53</f>
        <v>1.9590971553824723E-12</v>
      </c>
      <c r="K260" s="7">
        <f>(((0.621*1000^0.564)/0.2))*D260/1000+K259*inputs!$C$53</f>
        <v>3.1392923590023832E-13</v>
      </c>
      <c r="L260" s="7">
        <f>(((0.648*20^0.651)/0.2))*H260/20+L259*inputs!$C$54</f>
        <v>1.0740897087044312E-12</v>
      </c>
      <c r="M260" s="7">
        <f>(((0.013*2^0.773)/0.2))*H260/2+M259*inputs!$C$54</f>
        <v>5.2376269354330554E-14</v>
      </c>
      <c r="N260" s="7">
        <f>O260*0.015*inputs!$C$56</f>
        <v>4.4309344726058915E-2</v>
      </c>
      <c r="O260" s="7">
        <f>IF((B260&gt;B259), (EXP(-LN(2)/inputs!$C$52)*O259+$O$3), (EXP(-LN(2)/inputs!$C$52)*O259))</f>
        <v>4.7798645874928712E-3</v>
      </c>
      <c r="P260" s="3">
        <f>IF((B260&gt;B259), (EXP(-LN(2)/inputs!$C$52)*P259+$P$3), (EXP(-LN(2)/inputs!$C$52)*P259))</f>
        <v>4.6188066744661371E-3</v>
      </c>
      <c r="Q260" s="19">
        <f>IF((F260*0.62*1/(0.012*(10^inputs!$C$55)))&gt;inputs!$C$57, inputs!$C$57, (F260*0.62*1/(0.012*(10^inputs!$C$55))))</f>
        <v>8.3859174430035414E-15</v>
      </c>
      <c r="R260" s="3">
        <f>IF((B260&gt;B259), (EXP(-LN(2)/inputs!$C$51)*R259+$R$3), (EXP(-LN(2)/inputs!$C$51)*R259))</f>
        <v>1.9484210567555747E-20</v>
      </c>
      <c r="T260" s="7">
        <f>IF(T259&lt;(inputs!$C$20-1),(1+T259),0)</f>
        <v>0</v>
      </c>
      <c r="U260" s="7">
        <f>IF(inputs!$C$19&gt;U259,IF(T259=(inputs!$C$20-1),(U259+1),U259), U259)</f>
        <v>1</v>
      </c>
      <c r="V260" s="7">
        <f t="shared" ref="V260:V323" si="8">V259+1</f>
        <v>257</v>
      </c>
      <c r="W260" s="8">
        <f>IF((U260&gt;U259), (EXP(-LN(2)/inputs!$C$51)*W259+$W$3), (EXP(-LN(2)/inputs!$C$51)*W259))</f>
        <v>6.4480039723835127E-13</v>
      </c>
      <c r="X260" s="8">
        <f>IF((U260&gt;U259), (EXP(-LN(2)/inputs!$C$51)*X259+$X$3), (EXP(-LN(2)/inputs!$C$51)*X259))</f>
        <v>2.7309193294800753E-13</v>
      </c>
      <c r="Y260" s="8">
        <f>IF((U260&gt;U259), (EXP(-LN(2)/inputs!$C$51)*Y259+$Y$3), (EXP(-LN(2)/inputs!$C$51)*Y259))</f>
        <v>3.4136491618500989E-13</v>
      </c>
      <c r="Z260" s="8">
        <f>IF((U260&gt;U259), (EXP(-LN(2)/inputs!$C$51)*Z259+$Z$3), (EXP(-LN(2)/inputs!$C$51)*Z259))</f>
        <v>5.3101209184334799E-14</v>
      </c>
      <c r="AA260" s="8">
        <f>IF((U260&gt;U259), (EXP(-LN(2)/inputs!$C$51)*AA259+$AA$3), (EXP(-LN(2)/inputs!$C$51)*AA259))</f>
        <v>4.9308265671168065E-13</v>
      </c>
      <c r="AB260" s="7">
        <f>(((0.621*15^0.564)/0.2))*W260/15+AB259*inputs!$C$53</f>
        <v>6.9384690919795775E-13</v>
      </c>
      <c r="AC260" s="7">
        <f>(((0.621*1000^0.564)/0.2))*W260/1000+AC259*inputs!$C$53</f>
        <v>1.1118327104800088E-13</v>
      </c>
      <c r="AD260" s="7">
        <f>(((0.648*20^0.651)/0.2))*AA260/20+AD259*inputs!$C$54</f>
        <v>7.4272160708285214E-13</v>
      </c>
      <c r="AE260" s="7">
        <f>(((0.013*2^0.773)/0.2))*AA260/2+AE259*inputs!$C$54</f>
        <v>3.6217633064164791E-14</v>
      </c>
    </row>
    <row r="261" spans="1:31" x14ac:dyDescent="0.3">
      <c r="A261" s="7">
        <f>IF(A260&lt;(inputs!$C$20-1),(1+A260),0)</f>
        <v>0</v>
      </c>
      <c r="B261" s="7">
        <f>IF(inputs!$C$19&gt;B260,IF(A260=(inputs!$C$20-1),(B260+1),B260), B260)</f>
        <v>1</v>
      </c>
      <c r="C261" s="7">
        <f t="shared" ref="C261:C324" si="9">C260+1</f>
        <v>258</v>
      </c>
      <c r="D261" s="8">
        <f>IF((B261&gt;B260), (EXP(-LN(2)/inputs!$C$51)*D260+$D$3), (EXP(-LN(2)/inputs!$C$51)*D260))</f>
        <v>1.5974214064646678E-12</v>
      </c>
      <c r="E261" s="8">
        <f>IF((B261&gt;B260), (EXP(-LN(2)/inputs!$C$51)*E260+$E$3), (EXP(-LN(2)/inputs!$C$51)*E260))</f>
        <v>7.3215147796297177E-13</v>
      </c>
      <c r="F261" s="8">
        <f>IF((B261&gt;B260), (EXP(-LN(2)/inputs!$C$51)*F260+$F$3), (EXP(-LN(2)/inputs!$C$51)*F260))</f>
        <v>8.9854954113637491E-13</v>
      </c>
      <c r="G261" s="8">
        <f>IF((B261&gt;B260), (EXP(-LN(2)/inputs!$C$51)*G260+$G$3), (EXP(-LN(2)/inputs!$C$51)*G260))</f>
        <v>9.9838837904041737E-14</v>
      </c>
      <c r="H261" s="8">
        <f>IF((B261&gt;B260), (EXP(-LN(2)/inputs!$C$51)*H260+$H$3), (EXP(-LN(2)/inputs!$C$51)*H260))</f>
        <v>6.2565671753199342E-13</v>
      </c>
      <c r="I261" s="7">
        <f>O261*(10^inputs!$C$55)*0.01/1</f>
        <v>0.29550291538418505</v>
      </c>
      <c r="J261" s="7">
        <f>(((0.621*15^0.564)/0.2))*D261/15+J260*inputs!$C$53</f>
        <v>1.7189286953129086E-12</v>
      </c>
      <c r="K261" s="7">
        <f>(((0.621*1000^0.564)/0.2))*D261/1000+K260*inputs!$C$53</f>
        <v>2.7544421184217643E-13</v>
      </c>
      <c r="L261" s="7">
        <f>(((0.648*20^0.651)/0.2))*H261/20+L260*inputs!$C$54</f>
        <v>9.4241554920326653E-13</v>
      </c>
      <c r="M261" s="7">
        <f>(((0.013*2^0.773)/0.2))*H261/2+M260*inputs!$C$54</f>
        <v>4.5955389246134773E-14</v>
      </c>
      <c r="N261" s="7">
        <f>O261*0.015*inputs!$C$56</f>
        <v>4.3415169814183585E-2</v>
      </c>
      <c r="O261" s="7">
        <f>IF((B261&gt;B260), (EXP(-LN(2)/inputs!$C$52)*O260+$O$3), (EXP(-LN(2)/inputs!$C$52)*O260))</f>
        <v>4.6834055894480683E-3</v>
      </c>
      <c r="P261" s="3">
        <f>IF((B261&gt;B260), (EXP(-LN(2)/inputs!$C$52)*P260+$P$3), (EXP(-LN(2)/inputs!$C$52)*P260))</f>
        <v>4.5255978699432165E-3</v>
      </c>
      <c r="Q261" s="19">
        <f>IF((F261*0.62*1/(0.012*(10^inputs!$C$55)))&gt;inputs!$C$57, inputs!$C$57, (F261*0.62*1/(0.012*(10^inputs!$C$55))))</f>
        <v>7.3578760959864984E-15</v>
      </c>
      <c r="R261" s="3">
        <f>IF((B261&gt;B260), (EXP(-LN(2)/inputs!$C$51)*R260+$R$3), (EXP(-LN(2)/inputs!$C$51)*R260))</f>
        <v>1.7095613945471729E-20</v>
      </c>
      <c r="T261" s="7">
        <f>IF(T260&lt;(inputs!$C$20-1),(1+T260),0)</f>
        <v>0</v>
      </c>
      <c r="U261" s="7">
        <f>IF(inputs!$C$19&gt;U260,IF(T260=(inputs!$C$20-1),(U260+1),U260), U260)</f>
        <v>1</v>
      </c>
      <c r="V261" s="7">
        <f t="shared" si="8"/>
        <v>258</v>
      </c>
      <c r="W261" s="8">
        <f>IF((U261&gt;U260), (EXP(-LN(2)/inputs!$C$51)*W260+$W$3), (EXP(-LN(2)/inputs!$C$51)*W260))</f>
        <v>5.6575341478956883E-13</v>
      </c>
      <c r="X261" s="8">
        <f>IF((U261&gt;U260), (EXP(-LN(2)/inputs!$C$51)*X260+$X$3), (EXP(-LN(2)/inputs!$C$51)*X260))</f>
        <v>2.3961321096969967E-13</v>
      </c>
      <c r="Y261" s="8">
        <f>IF((U261&gt;U260), (EXP(-LN(2)/inputs!$C$51)*Y260+$Y$3), (EXP(-LN(2)/inputs!$C$51)*Y260))</f>
        <v>2.9951651371212502E-13</v>
      </c>
      <c r="Z261" s="8">
        <f>IF((U261&gt;U260), (EXP(-LN(2)/inputs!$C$51)*Z260+$Z$3), (EXP(-LN(2)/inputs!$C$51)*Z260))</f>
        <v>4.6591457688552719E-14</v>
      </c>
      <c r="AA261" s="8">
        <f>IF((U261&gt;U260), (EXP(-LN(2)/inputs!$C$51)*AA260+$AA$3), (EXP(-LN(2)/inputs!$C$51)*AA260))</f>
        <v>4.32634964250847E-13</v>
      </c>
      <c r="AB261" s="7">
        <f>(((0.621*15^0.564)/0.2))*W261/15+AB260*inputs!$C$53</f>
        <v>6.0878724625665402E-13</v>
      </c>
      <c r="AC261" s="7">
        <f>(((0.621*1000^0.564)/0.2))*W261/1000+AC260*inputs!$C$53</f>
        <v>9.7553158360770652E-14</v>
      </c>
      <c r="AD261" s="7">
        <f>(((0.648*20^0.651)/0.2))*AA261/20+AD260*inputs!$C$54</f>
        <v>6.5167032657672749E-13</v>
      </c>
      <c r="AE261" s="7">
        <f>(((0.013*2^0.773)/0.2))*AA261/2+AE260*inputs!$C$54</f>
        <v>3.1777662776582591E-14</v>
      </c>
    </row>
    <row r="262" spans="1:31" x14ac:dyDescent="0.3">
      <c r="A262" s="7">
        <f>IF(A261&lt;(inputs!$C$20-1),(1+A261),0)</f>
        <v>0</v>
      </c>
      <c r="B262" s="7">
        <f>IF(inputs!$C$19&gt;B261,IF(A261=(inputs!$C$20-1),(B261+1),B261), B261)</f>
        <v>1</v>
      </c>
      <c r="C262" s="7">
        <f t="shared" si="9"/>
        <v>259</v>
      </c>
      <c r="D262" s="8">
        <f>IF((B262&gt;B261), (EXP(-LN(2)/inputs!$C$51)*D261+$D$3), (EXP(-LN(2)/inputs!$C$51)*D261))</f>
        <v>1.401591282257338E-12</v>
      </c>
      <c r="E262" s="8">
        <f>IF((B262&gt;B261), (EXP(-LN(2)/inputs!$C$51)*E261+$E$3), (EXP(-LN(2)/inputs!$C$51)*E261))</f>
        <v>6.4239600436794579E-13</v>
      </c>
      <c r="F262" s="8">
        <f>IF((B262&gt;B261), (EXP(-LN(2)/inputs!$C$51)*F261+$F$3), (EXP(-LN(2)/inputs!$C$51)*F261))</f>
        <v>7.8839509626975204E-13</v>
      </c>
      <c r="G262" s="8">
        <f>IF((B262&gt;B261), (EXP(-LN(2)/inputs!$C$51)*G261+$G$3), (EXP(-LN(2)/inputs!$C$51)*G261))</f>
        <v>8.7599455141083624E-14</v>
      </c>
      <c r="H262" s="8">
        <f>IF((B262&gt;B261), (EXP(-LN(2)/inputs!$C$51)*H261+$H$3), (EXP(-LN(2)/inputs!$C$51)*H261))</f>
        <v>5.4895658555078944E-13</v>
      </c>
      <c r="I262" s="7">
        <f>O262*(10^inputs!$C$55)*0.01/1</f>
        <v>0.28953958428650894</v>
      </c>
      <c r="J262" s="7">
        <f>(((0.621*15^0.564)/0.2))*D262/15+J261*inputs!$C$53</f>
        <v>1.5082028226381106E-12</v>
      </c>
      <c r="K262" s="7">
        <f>(((0.621*1000^0.564)/0.2))*D262/1000+K261*inputs!$C$53</f>
        <v>2.4167712070457774E-13</v>
      </c>
      <c r="L262" s="7">
        <f>(((0.648*20^0.651)/0.2))*H262/20+L261*inputs!$C$54</f>
        <v>8.2688350906124865E-13</v>
      </c>
      <c r="M262" s="7">
        <f>(((0.013*2^0.773)/0.2))*H262/2+M261*inputs!$C$54</f>
        <v>4.0321653809983405E-14</v>
      </c>
      <c r="N262" s="7">
        <f>O262*0.015*inputs!$C$56</f>
        <v>4.2539039600959769E-2</v>
      </c>
      <c r="O262" s="7">
        <f>IF((B262&gt;B261), (EXP(-LN(2)/inputs!$C$52)*O261+$O$3), (EXP(-LN(2)/inputs!$C$52)*O261))</f>
        <v>4.5888931608370842E-3</v>
      </c>
      <c r="P262" s="3">
        <f>IF((B262&gt;B261), (EXP(-LN(2)/inputs!$C$52)*P261+$P$3), (EXP(-LN(2)/inputs!$C$52)*P261))</f>
        <v>4.4342700450440203E-3</v>
      </c>
      <c r="Q262" s="19">
        <f>IF((F262*0.62*1/(0.012*(10^inputs!$C$55)))&gt;inputs!$C$57, inputs!$C$57, (F262*0.62*1/(0.012*(10^inputs!$C$55))))</f>
        <v>6.4558637754128733E-15</v>
      </c>
      <c r="R262" s="3">
        <f>IF((B262&gt;B261), (EXP(-LN(2)/inputs!$C$51)*R261+$R$3), (EXP(-LN(2)/inputs!$C$51)*R261))</f>
        <v>1.4999838723733871E-20</v>
      </c>
      <c r="T262" s="7">
        <f>IF(T261&lt;(inputs!$C$20-1),(1+T261),0)</f>
        <v>0</v>
      </c>
      <c r="U262" s="7">
        <f>IF(inputs!$C$19&gt;U261,IF(T261=(inputs!$C$20-1),(U261+1),U261), U261)</f>
        <v>1</v>
      </c>
      <c r="V262" s="7">
        <f t="shared" si="8"/>
        <v>259</v>
      </c>
      <c r="W262" s="8">
        <f>IF((U262&gt;U261), (EXP(-LN(2)/inputs!$C$51)*W261+$W$3), (EXP(-LN(2)/inputs!$C$51)*W261))</f>
        <v>4.9639691246613964E-13</v>
      </c>
      <c r="X262" s="8">
        <f>IF((U262&gt;U261), (EXP(-LN(2)/inputs!$C$51)*X261+$X$3), (EXP(-LN(2)/inputs!$C$51)*X261))</f>
        <v>2.1023869233860028E-13</v>
      </c>
      <c r="Y262" s="8">
        <f>IF((U262&gt;U261), (EXP(-LN(2)/inputs!$C$51)*Y261+$Y$3), (EXP(-LN(2)/inputs!$C$51)*Y261))</f>
        <v>2.627983654232507E-13</v>
      </c>
      <c r="Z262" s="8">
        <f>IF((U262&gt;U261), (EXP(-LN(2)/inputs!$C$51)*Z261+$Z$3), (EXP(-LN(2)/inputs!$C$51)*Z261))</f>
        <v>4.087974573250561E-14</v>
      </c>
      <c r="AA262" s="8">
        <f>IF((U262&gt;U261), (EXP(-LN(2)/inputs!$C$51)*AA261+$AA$3), (EXP(-LN(2)/inputs!$C$51)*AA261))</f>
        <v>3.7959763894469524E-13</v>
      </c>
      <c r="AB262" s="7">
        <f>(((0.621*15^0.564)/0.2))*W262/15+AB261*inputs!$C$53</f>
        <v>5.3415516635099655E-13</v>
      </c>
      <c r="AC262" s="7">
        <f>(((0.621*1000^0.564)/0.2))*W262/1000+AC261*inputs!$C$53</f>
        <v>8.5593980249537815E-14</v>
      </c>
      <c r="AD262" s="7">
        <f>(((0.648*20^0.651)/0.2))*AA262/20+AD261*inputs!$C$54</f>
        <v>5.7178114988277893E-13</v>
      </c>
      <c r="AE262" s="7">
        <f>(((0.013*2^0.773)/0.2))*AA262/2+AE261*inputs!$C$54</f>
        <v>2.7881994655839621E-14</v>
      </c>
    </row>
    <row r="263" spans="1:31" x14ac:dyDescent="0.3">
      <c r="A263" s="7">
        <f>IF(A262&lt;(inputs!$C$20-1),(1+A262),0)</f>
        <v>0</v>
      </c>
      <c r="B263" s="7">
        <f>IF(inputs!$C$19&gt;B262,IF(A262=(inputs!$C$20-1),(B262+1),B262), B262)</f>
        <v>1</v>
      </c>
      <c r="C263" s="7">
        <f t="shared" si="9"/>
        <v>260</v>
      </c>
      <c r="D263" s="8">
        <f>IF((B263&gt;B262), (EXP(-LN(2)/inputs!$C$51)*D262+$D$3), (EXP(-LN(2)/inputs!$C$51)*D262))</f>
        <v>1.2297682468443992E-12</v>
      </c>
      <c r="E263" s="8">
        <f>IF((B263&gt;B262), (EXP(-LN(2)/inputs!$C$51)*E262+$E$3), (EXP(-LN(2)/inputs!$C$51)*E262))</f>
        <v>5.6364377980368224E-13</v>
      </c>
      <c r="F263" s="8">
        <f>IF((B263&gt;B262), (EXP(-LN(2)/inputs!$C$51)*F262+$F$3), (EXP(-LN(2)/inputs!$C$51)*F262))</f>
        <v>6.917446388499741E-13</v>
      </c>
      <c r="G263" s="8">
        <f>IF((B263&gt;B262), (EXP(-LN(2)/inputs!$C$51)*G262+$G$3), (EXP(-LN(2)/inputs!$C$51)*G262))</f>
        <v>7.6860515427774949E-14</v>
      </c>
      <c r="H263" s="8">
        <f>IF((B263&gt;B262), (EXP(-LN(2)/inputs!$C$51)*H262+$H$3), (EXP(-LN(2)/inputs!$C$51)*H262))</f>
        <v>4.8165923001405529E-13</v>
      </c>
      <c r="I263" s="7">
        <f>O263*(10^inputs!$C$55)*0.01/1</f>
        <v>0.28369659487051918</v>
      </c>
      <c r="J263" s="7">
        <f>(((0.621*15^0.564)/0.2))*D263/15+J262*inputs!$C$53</f>
        <v>1.3233101293939881E-12</v>
      </c>
      <c r="K263" s="7">
        <f>(((0.621*1000^0.564)/0.2))*D263/1000+K262*inputs!$C$53</f>
        <v>2.1204958449270837E-13</v>
      </c>
      <c r="L263" s="7">
        <f>(((0.648*20^0.651)/0.2))*H263/20+L262*inputs!$C$54</f>
        <v>7.2551470329143657E-13</v>
      </c>
      <c r="M263" s="7">
        <f>(((0.013*2^0.773)/0.2))*H263/2+M262*inputs!$C$54</f>
        <v>3.5378565879711172E-14</v>
      </c>
      <c r="N263" s="7">
        <f>O263*0.015*inputs!$C$56</f>
        <v>4.1680589939345196E-2</v>
      </c>
      <c r="O263" s="7">
        <f>IF((B263&gt;B262), (EXP(-LN(2)/inputs!$C$52)*O262+$O$3), (EXP(-LN(2)/inputs!$C$52)*O262))</f>
        <v>4.4962880193468386E-3</v>
      </c>
      <c r="P263" s="3">
        <f>IF((B263&gt;B262), (EXP(-LN(2)/inputs!$C$52)*P262+$P$3), (EXP(-LN(2)/inputs!$C$52)*P262))</f>
        <v>4.3447852410760943E-3</v>
      </c>
      <c r="Q263" s="19">
        <f>IF((F263*0.62*1/(0.012*(10^inputs!$C$55)))&gt;inputs!$C$57, inputs!$C$57, (F263*0.62*1/(0.012*(10^inputs!$C$55))))</f>
        <v>5.6644304066797708E-15</v>
      </c>
      <c r="R263" s="3">
        <f>IF((B263&gt;B262), (EXP(-LN(2)/inputs!$C$51)*R262+$R$3), (EXP(-LN(2)/inputs!$C$51)*R262))</f>
        <v>1.3160987517363933E-20</v>
      </c>
      <c r="T263" s="7">
        <f>IF(T262&lt;(inputs!$C$20-1),(1+T262),0)</f>
        <v>0</v>
      </c>
      <c r="U263" s="7">
        <f>IF(inputs!$C$19&gt;U262,IF(T262=(inputs!$C$20-1),(U262+1),U262), U262)</f>
        <v>1</v>
      </c>
      <c r="V263" s="7">
        <f t="shared" si="8"/>
        <v>260</v>
      </c>
      <c r="W263" s="8">
        <f>IF((U263&gt;U262), (EXP(-LN(2)/inputs!$C$51)*W262+$W$3), (EXP(-LN(2)/inputs!$C$51)*W262))</f>
        <v>4.3554292075739059E-13</v>
      </c>
      <c r="X263" s="8">
        <f>IF((U263&gt;U262), (EXP(-LN(2)/inputs!$C$51)*X262+$X$3), (EXP(-LN(2)/inputs!$C$51)*X262))</f>
        <v>1.8446523702665952E-13</v>
      </c>
      <c r="Y263" s="8">
        <f>IF((U263&gt;U262), (EXP(-LN(2)/inputs!$C$51)*Y262+$Y$3), (EXP(-LN(2)/inputs!$C$51)*Y262))</f>
        <v>2.3058154628332468E-13</v>
      </c>
      <c r="Z263" s="8">
        <f>IF((U263&gt;U262), (EXP(-LN(2)/inputs!$C$51)*Z262+$Z$3), (EXP(-LN(2)/inputs!$C$51)*Z262))</f>
        <v>3.5868240532961575E-14</v>
      </c>
      <c r="AA263" s="8">
        <f>IF((U263&gt;U262), (EXP(-LN(2)/inputs!$C$51)*AA262+$AA$3), (EXP(-LN(2)/inputs!$C$51)*AA262))</f>
        <v>3.3306223352035771E-13</v>
      </c>
      <c r="AB263" s="7">
        <f>(((0.621*15^0.564)/0.2))*W263/15+AB262*inputs!$C$53</f>
        <v>4.6867233749370325E-13</v>
      </c>
      <c r="AC263" s="7">
        <f>(((0.621*1000^0.564)/0.2))*W263/1000+AC262*inputs!$C$53</f>
        <v>7.5100894507834073E-14</v>
      </c>
      <c r="AD263" s="7">
        <f>(((0.648*20^0.651)/0.2))*AA263/20+AD262*inputs!$C$54</f>
        <v>5.0168569908450453E-13</v>
      </c>
      <c r="AE263" s="7">
        <f>(((0.013*2^0.773)/0.2))*AA263/2+AE262*inputs!$C$54</f>
        <v>2.4463901938098175E-14</v>
      </c>
    </row>
    <row r="264" spans="1:31" x14ac:dyDescent="0.3">
      <c r="A264" s="7">
        <f>IF(A263&lt;(inputs!$C$20-1),(1+A263),0)</f>
        <v>0</v>
      </c>
      <c r="B264" s="7">
        <f>IF(inputs!$C$19&gt;B263,IF(A263=(inputs!$C$20-1),(B263+1),B263), B263)</f>
        <v>1</v>
      </c>
      <c r="C264" s="7">
        <f t="shared" si="9"/>
        <v>261</v>
      </c>
      <c r="D264" s="8">
        <f>IF((B264&gt;B263), (EXP(-LN(2)/inputs!$C$51)*D263+$D$3), (EXP(-LN(2)/inputs!$C$51)*D263))</f>
        <v>1.0790092376367086E-12</v>
      </c>
      <c r="E264" s="8">
        <f>IF((B264&gt;B263), (EXP(-LN(2)/inputs!$C$51)*E263+$E$3), (EXP(-LN(2)/inputs!$C$51)*E263))</f>
        <v>4.9454590058349081E-13</v>
      </c>
      <c r="F264" s="8">
        <f>IF((B264&gt;B263), (EXP(-LN(2)/inputs!$C$51)*F263+$F$3), (EXP(-LN(2)/inputs!$C$51)*F263))</f>
        <v>6.0694269617064821E-13</v>
      </c>
      <c r="G264" s="8">
        <f>IF((B264&gt;B263), (EXP(-LN(2)/inputs!$C$51)*G263+$G$3), (EXP(-LN(2)/inputs!$C$51)*G263))</f>
        <v>6.7438077352294287E-14</v>
      </c>
      <c r="H264" s="8">
        <f>IF((B264&gt;B263), (EXP(-LN(2)/inputs!$C$51)*H263+$H$3), (EXP(-LN(2)/inputs!$C$51)*H263))</f>
        <v>4.2261195140770996E-13</v>
      </c>
      <c r="I264" s="7">
        <f>O264*(10^inputs!$C$55)*0.01/1</f>
        <v>0.27797151860757718</v>
      </c>
      <c r="J264" s="7">
        <f>(((0.621*15^0.564)/0.2))*D264/15+J263*inputs!$C$53</f>
        <v>1.1610836899865143E-12</v>
      </c>
      <c r="K264" s="7">
        <f>(((0.621*1000^0.564)/0.2))*D264/1000+K263*inputs!$C$53</f>
        <v>1.8605412937906847E-13</v>
      </c>
      <c r="L264" s="7">
        <f>(((0.648*20^0.651)/0.2))*H264/20+L263*inputs!$C$54</f>
        <v>6.3657284118490273E-13</v>
      </c>
      <c r="M264" s="7">
        <f>(((0.013*2^0.773)/0.2))*H264/2+M263*inputs!$C$54</f>
        <v>3.1041458011703972E-14</v>
      </c>
      <c r="N264" s="7">
        <f>O264*0.015*inputs!$C$56</f>
        <v>4.0839464030886279E-2</v>
      </c>
      <c r="O264" s="7">
        <f>IF((B264&gt;B263), (EXP(-LN(2)/inputs!$C$52)*O263+$O$3), (EXP(-LN(2)/inputs!$C$52)*O263))</f>
        <v>4.4055516753922636E-3</v>
      </c>
      <c r="P264" s="3">
        <f>IF((B264&gt;B263), (EXP(-LN(2)/inputs!$C$52)*P263+$P$3), (EXP(-LN(2)/inputs!$C$52)*P263))</f>
        <v>4.2571062653639661E-3</v>
      </c>
      <c r="Q264" s="19">
        <f>IF((F264*0.62*1/(0.012*(10^inputs!$C$55)))&gt;inputs!$C$57, inputs!$C$57, (F264*0.62*1/(0.012*(10^inputs!$C$55))))</f>
        <v>4.9700199614367416E-15</v>
      </c>
      <c r="R264" s="3">
        <f>IF((B264&gt;B263), (EXP(-LN(2)/inputs!$C$51)*R263+$R$3), (EXP(-LN(2)/inputs!$C$51)*R263))</f>
        <v>1.1547563652010528E-20</v>
      </c>
      <c r="T264" s="7">
        <f>IF(T263&lt;(inputs!$C$20-1),(1+T263),0)</f>
        <v>0</v>
      </c>
      <c r="U264" s="7">
        <f>IF(inputs!$C$19&gt;U263,IF(T263=(inputs!$C$20-1),(U263+1),U263), U263)</f>
        <v>1</v>
      </c>
      <c r="V264" s="7">
        <f t="shared" si="8"/>
        <v>261</v>
      </c>
      <c r="W264" s="8">
        <f>IF((U264&gt;U263), (EXP(-LN(2)/inputs!$C$51)*W263+$W$3), (EXP(-LN(2)/inputs!$C$51)*W263))</f>
        <v>3.821491049963336E-13</v>
      </c>
      <c r="X264" s="8">
        <f>IF((U264&gt;U263), (EXP(-LN(2)/inputs!$C$51)*X263+$X$3), (EXP(-LN(2)/inputs!$C$51)*X263))</f>
        <v>1.6185138564550598E-13</v>
      </c>
      <c r="Y264" s="8">
        <f>IF((U264&gt;U263), (EXP(-LN(2)/inputs!$C$51)*Y263+$Y$3), (EXP(-LN(2)/inputs!$C$51)*Y263))</f>
        <v>2.0231423205688272E-13</v>
      </c>
      <c r="Z264" s="8">
        <f>IF((U264&gt;U263), (EXP(-LN(2)/inputs!$C$51)*Z263+$Z$3), (EXP(-LN(2)/inputs!$C$51)*Z263))</f>
        <v>3.147110276440394E-14</v>
      </c>
      <c r="AA264" s="8">
        <f>IF((U264&gt;U263), (EXP(-LN(2)/inputs!$C$51)*AA263+$AA$3), (EXP(-LN(2)/inputs!$C$51)*AA263))</f>
        <v>2.9223166852660824E-13</v>
      </c>
      <c r="AB264" s="7">
        <f>(((0.621*15^0.564)/0.2))*W264/15+AB263*inputs!$C$53</f>
        <v>4.1121714020355638E-13</v>
      </c>
      <c r="AC264" s="7">
        <f>(((0.621*1000^0.564)/0.2))*W264/1000+AC263*inputs!$C$53</f>
        <v>6.5894170821753304E-14</v>
      </c>
      <c r="AD264" s="7">
        <f>(((0.648*20^0.651)/0.2))*AA264/20+AD263*inputs!$C$54</f>
        <v>4.4018334762785867E-13</v>
      </c>
      <c r="AE264" s="7">
        <f>(((0.013*2^0.773)/0.2))*AA264/2+AE263*inputs!$C$54</f>
        <v>2.1464837986816598E-14</v>
      </c>
    </row>
    <row r="265" spans="1:31" x14ac:dyDescent="0.3">
      <c r="A265" s="7">
        <f>IF(A264&lt;(inputs!$C$20-1),(1+A264),0)</f>
        <v>0</v>
      </c>
      <c r="B265" s="7">
        <f>IF(inputs!$C$19&gt;B264,IF(A264=(inputs!$C$20-1),(B264+1),B264), B264)</f>
        <v>1</v>
      </c>
      <c r="C265" s="7">
        <f t="shared" si="9"/>
        <v>262</v>
      </c>
      <c r="D265" s="8">
        <f>IF((B265&gt;B264), (EXP(-LN(2)/inputs!$C$51)*D264+$D$3), (EXP(-LN(2)/inputs!$C$51)*D264))</f>
        <v>9.4673198620379029E-13</v>
      </c>
      <c r="E265" s="8">
        <f>IF((B265&gt;B264), (EXP(-LN(2)/inputs!$C$51)*E264+$E$3), (EXP(-LN(2)/inputs!$C$51)*E264))</f>
        <v>4.3391882701007E-13</v>
      </c>
      <c r="F265" s="8">
        <f>IF((B265&gt;B264), (EXP(-LN(2)/inputs!$C$51)*F264+$F$3), (EXP(-LN(2)/inputs!$C$51)*F264))</f>
        <v>5.3253674223963172E-13</v>
      </c>
      <c r="G265" s="8">
        <f>IF((B265&gt;B264), (EXP(-LN(2)/inputs!$C$51)*G264+$G$3), (EXP(-LN(2)/inputs!$C$51)*G264))</f>
        <v>5.9170749137736893E-14</v>
      </c>
      <c r="H265" s="8">
        <f>IF((B265&gt;B264), (EXP(-LN(2)/inputs!$C$51)*H264+$H$3), (EXP(-LN(2)/inputs!$C$51)*H264))</f>
        <v>3.7080336126315043E-13</v>
      </c>
      <c r="I265" s="7">
        <f>O265*(10^inputs!$C$55)*0.01/1</f>
        <v>0.27236197597742851</v>
      </c>
      <c r="J265" s="7">
        <f>(((0.621*15^0.564)/0.2))*D265/15+J264*inputs!$C$53</f>
        <v>1.018744816659169E-12</v>
      </c>
      <c r="K265" s="7">
        <f>(((0.621*1000^0.564)/0.2))*D265/1000+K264*inputs!$C$53</f>
        <v>1.6324549346237216E-13</v>
      </c>
      <c r="L265" s="7">
        <f>(((0.648*20^0.651)/0.2))*H265/20+L264*inputs!$C$54</f>
        <v>5.5853448633892388E-13</v>
      </c>
      <c r="M265" s="7">
        <f>(((0.013*2^0.773)/0.2))*H265/2+M264*inputs!$C$54</f>
        <v>2.7236042262667526E-14</v>
      </c>
      <c r="N265" s="7">
        <f>O265*0.015*inputs!$C$56</f>
        <v>4.0015312277421583E-2</v>
      </c>
      <c r="O265" s="7">
        <f>IF((B265&gt;B264), (EXP(-LN(2)/inputs!$C$52)*O264+$O$3), (EXP(-LN(2)/inputs!$C$52)*O264))</f>
        <v>4.3166464161188333E-3</v>
      </c>
      <c r="P265" s="3">
        <f>IF((B265&gt;B264), (EXP(-LN(2)/inputs!$C$52)*P264+$P$3), (EXP(-LN(2)/inputs!$C$52)*P264))</f>
        <v>4.1711966757907084E-3</v>
      </c>
      <c r="Q265" s="19">
        <f>IF((F265*0.62*1/(0.012*(10^inputs!$C$55)))&gt;inputs!$C$57, inputs!$C$57, (F265*0.62*1/(0.012*(10^inputs!$C$55))))</f>
        <v>4.360738263806886E-15</v>
      </c>
      <c r="R265" s="3">
        <f>IF((B265&gt;B264), (EXP(-LN(2)/inputs!$C$51)*R264+$R$3), (EXP(-LN(2)/inputs!$C$51)*R264))</f>
        <v>1.0131931674679012E-20</v>
      </c>
      <c r="T265" s="7">
        <f>IF(T264&lt;(inputs!$C$20-1),(1+T264),0)</f>
        <v>0</v>
      </c>
      <c r="U265" s="7">
        <f>IF(inputs!$C$19&gt;U264,IF(T264=(inputs!$C$20-1),(U264+1),U264), U264)</f>
        <v>1</v>
      </c>
      <c r="V265" s="7">
        <f t="shared" si="8"/>
        <v>262</v>
      </c>
      <c r="W265" s="8">
        <f>IF((U265&gt;U264), (EXP(-LN(2)/inputs!$C$51)*W264+$W$3), (EXP(-LN(2)/inputs!$C$51)*W264))</f>
        <v>3.3530091178050843E-13</v>
      </c>
      <c r="X265" s="8">
        <f>IF((U265&gt;U264), (EXP(-LN(2)/inputs!$C$51)*X264+$X$3), (EXP(-LN(2)/inputs!$C$51)*X264))</f>
        <v>1.4200979793056827E-13</v>
      </c>
      <c r="Y265" s="8">
        <f>IF((U265&gt;U264), (EXP(-LN(2)/inputs!$C$51)*Y264+$Y$3), (EXP(-LN(2)/inputs!$C$51)*Y264))</f>
        <v>1.7751224741321057E-13</v>
      </c>
      <c r="Z265" s="8">
        <f>IF((U265&gt;U264), (EXP(-LN(2)/inputs!$C$51)*Z264+$Z$3), (EXP(-LN(2)/inputs!$C$51)*Z264))</f>
        <v>2.7613016264277164E-14</v>
      </c>
      <c r="AA265" s="8">
        <f>IF((U265&gt;U264), (EXP(-LN(2)/inputs!$C$51)*AA264+$AA$3), (EXP(-LN(2)/inputs!$C$51)*AA264))</f>
        <v>2.5640657959685956E-13</v>
      </c>
      <c r="AB265" s="7">
        <f>(((0.621*15^0.564)/0.2))*W265/15+AB264*inputs!$C$53</f>
        <v>3.6080545590012169E-13</v>
      </c>
      <c r="AC265" s="7">
        <f>(((0.621*1000^0.564)/0.2))*W265/1000+AC264*inputs!$C$53</f>
        <v>5.7816112267923359E-14</v>
      </c>
      <c r="AD265" s="7">
        <f>(((0.648*20^0.651)/0.2))*AA265/20+AD264*inputs!$C$54</f>
        <v>3.8622065544712859E-13</v>
      </c>
      <c r="AE265" s="7">
        <f>(((0.013*2^0.773)/0.2))*AA265/2+AE264*inputs!$C$54</f>
        <v>1.8833433479504157E-14</v>
      </c>
    </row>
    <row r="266" spans="1:31" x14ac:dyDescent="0.3">
      <c r="A266" s="7">
        <f>IF(A265&lt;(inputs!$C$20-1),(1+A265),0)</f>
        <v>0</v>
      </c>
      <c r="B266" s="7">
        <f>IF(inputs!$C$19&gt;B265,IF(A265=(inputs!$C$20-1),(B265+1),B265), B265)</f>
        <v>1</v>
      </c>
      <c r="C266" s="7">
        <f t="shared" si="9"/>
        <v>263</v>
      </c>
      <c r="D266" s="8">
        <f>IF((B266&gt;B265), (EXP(-LN(2)/inputs!$C$51)*D265+$D$3), (EXP(-LN(2)/inputs!$C$51)*D265))</f>
        <v>8.3067078801335461E-13</v>
      </c>
      <c r="E266" s="8">
        <f>IF((B266&gt;B265), (EXP(-LN(2)/inputs!$C$51)*E265+$E$3), (EXP(-LN(2)/inputs!$C$51)*E265))</f>
        <v>3.8072411117278706E-13</v>
      </c>
      <c r="F266" s="8">
        <f>IF((B266&gt;B265), (EXP(-LN(2)/inputs!$C$51)*F265+$F$3), (EXP(-LN(2)/inputs!$C$51)*F265))</f>
        <v>4.6725231825751177E-13</v>
      </c>
      <c r="G266" s="8">
        <f>IF((B266&gt;B265), (EXP(-LN(2)/inputs!$C$51)*G265+$G$3), (EXP(-LN(2)/inputs!$C$51)*G265))</f>
        <v>5.1916924250834663E-14</v>
      </c>
      <c r="H266" s="8">
        <f>IF((B266&gt;B265), (EXP(-LN(2)/inputs!$C$51)*H265+$H$3), (EXP(-LN(2)/inputs!$C$51)*H265))</f>
        <v>3.2534605863856325E-13</v>
      </c>
      <c r="I266" s="7">
        <f>O266*(10^inputs!$C$55)*0.01/1</f>
        <v>0.26686563547919995</v>
      </c>
      <c r="J266" s="7">
        <f>(((0.621*15^0.564)/0.2))*D266/15+J265*inputs!$C$53</f>
        <v>8.9385546487349096E-13</v>
      </c>
      <c r="K266" s="7">
        <f>(((0.621*1000^0.564)/0.2))*D266/1000+K265*inputs!$C$53</f>
        <v>1.4323300012050942E-13</v>
      </c>
      <c r="L266" s="7">
        <f>(((0.648*20^0.651)/0.2))*H266/20+L265*inputs!$C$54</f>
        <v>4.9006296254990814E-13</v>
      </c>
      <c r="M266" s="7">
        <f>(((0.013*2^0.773)/0.2))*H266/2+M265*inputs!$C$54</f>
        <v>2.3897137752167446E-14</v>
      </c>
      <c r="N266" s="7">
        <f>O266*0.015*inputs!$C$56</f>
        <v>3.9207792135777873E-2</v>
      </c>
      <c r="O266" s="7">
        <f>IF((B266&gt;B265), (EXP(-LN(2)/inputs!$C$52)*O265+$O$3), (EXP(-LN(2)/inputs!$C$52)*O265))</f>
        <v>4.2295352897279261E-3</v>
      </c>
      <c r="P266" s="3">
        <f>IF((B266&gt;B265), (EXP(-LN(2)/inputs!$C$52)*P265+$P$3), (EXP(-LN(2)/inputs!$C$52)*P265))</f>
        <v>4.0870207656514583E-3</v>
      </c>
      <c r="Q266" s="19">
        <f>IF((F266*0.62*1/(0.012*(10^inputs!$C$55)))&gt;inputs!$C$57, inputs!$C$57, (F266*0.62*1/(0.012*(10^inputs!$C$55))))</f>
        <v>3.8261492615680166E-15</v>
      </c>
      <c r="R266" s="3">
        <f>IF((B266&gt;B265), (EXP(-LN(2)/inputs!$C$51)*R265+$R$3), (EXP(-LN(2)/inputs!$C$51)*R265))</f>
        <v>8.8898440012054473E-21</v>
      </c>
      <c r="T266" s="7">
        <f>IF(T265&lt;(inputs!$C$20-1),(1+T265),0)</f>
        <v>0</v>
      </c>
      <c r="U266" s="7">
        <f>IF(inputs!$C$19&gt;U265,IF(T265=(inputs!$C$20-1),(U265+1),U265), U265)</f>
        <v>1</v>
      </c>
      <c r="V266" s="7">
        <f t="shared" si="8"/>
        <v>263</v>
      </c>
      <c r="W266" s="8">
        <f>IF((U266&gt;U265), (EXP(-LN(2)/inputs!$C$51)*W265+$W$3), (EXP(-LN(2)/inputs!$C$51)*W265))</f>
        <v>2.9419590408806255E-13</v>
      </c>
      <c r="X266" s="8">
        <f>IF((U266&gt;U265), (EXP(-LN(2)/inputs!$C$51)*X265+$X$3), (EXP(-LN(2)/inputs!$C$51)*X265))</f>
        <v>1.2460061820200296E-13</v>
      </c>
      <c r="Y266" s="8">
        <f>IF((U266&gt;U265), (EXP(-LN(2)/inputs!$C$51)*Y265+$Y$3), (EXP(-LN(2)/inputs!$C$51)*Y265))</f>
        <v>1.5575077275250389E-13</v>
      </c>
      <c r="Z266" s="8">
        <f>IF((U266&gt;U265), (EXP(-LN(2)/inputs!$C$51)*Z265+$Z$3), (EXP(-LN(2)/inputs!$C$51)*Z265))</f>
        <v>2.4227897983722797E-14</v>
      </c>
      <c r="AA266" s="8">
        <f>IF((U266&gt;U265), (EXP(-LN(2)/inputs!$C$51)*AA265+$AA$3), (EXP(-LN(2)/inputs!$C$51)*AA265))</f>
        <v>2.249733384202833E-13</v>
      </c>
      <c r="AB266" s="7">
        <f>(((0.621*15^0.564)/0.2))*W266/15+AB265*inputs!$C$53</f>
        <v>3.1657381047602744E-13</v>
      </c>
      <c r="AC266" s="7">
        <f>(((0.621*1000^0.564)/0.2))*W266/1000+AC265*inputs!$C$53</f>
        <v>5.0728354209346994E-14</v>
      </c>
      <c r="AD266" s="7">
        <f>(((0.648*20^0.651)/0.2))*AA266/20+AD265*inputs!$C$54</f>
        <v>3.3887332516748994E-13</v>
      </c>
      <c r="AE266" s="7">
        <f>(((0.013*2^0.773)/0.2))*AA266/2+AE265*inputs!$C$54</f>
        <v>1.6524616530754099E-14</v>
      </c>
    </row>
    <row r="267" spans="1:31" x14ac:dyDescent="0.3">
      <c r="A267" s="7">
        <f>IF(A266&lt;(inputs!$C$20-1),(1+A266),0)</f>
        <v>0</v>
      </c>
      <c r="B267" s="7">
        <f>IF(inputs!$C$19&gt;B266,IF(A266=(inputs!$C$20-1),(B266+1),B266), B266)</f>
        <v>1</v>
      </c>
      <c r="C267" s="7">
        <f t="shared" si="9"/>
        <v>264</v>
      </c>
      <c r="D267" s="8">
        <f>IF((B267&gt;B266), (EXP(-LN(2)/inputs!$C$51)*D266+$D$3), (EXP(-LN(2)/inputs!$C$51)*D266))</f>
        <v>7.2883769442030613E-13</v>
      </c>
      <c r="E267" s="8">
        <f>IF((B267&gt;B266), (EXP(-LN(2)/inputs!$C$51)*E266+$E$3), (EXP(-LN(2)/inputs!$C$51)*E266))</f>
        <v>3.340506099426399E-13</v>
      </c>
      <c r="F267" s="8">
        <f>IF((B267&gt;B266), (EXP(-LN(2)/inputs!$C$51)*F266+$F$3), (EXP(-LN(2)/inputs!$C$51)*F266))</f>
        <v>4.0997120311142201E-13</v>
      </c>
      <c r="G267" s="8">
        <f>IF((B267&gt;B266), (EXP(-LN(2)/inputs!$C$51)*G266+$G$3), (EXP(-LN(2)/inputs!$C$51)*G266))</f>
        <v>4.5552355901269133E-14</v>
      </c>
      <c r="H267" s="8">
        <f>IF((B267&gt;B266), (EXP(-LN(2)/inputs!$C$51)*H266+$H$3), (EXP(-LN(2)/inputs!$C$51)*H266))</f>
        <v>2.8546143031461932E-13</v>
      </c>
      <c r="I267" s="7">
        <f>O267*(10^inputs!$C$55)*0.01/1</f>
        <v>0.26148021266235499</v>
      </c>
      <c r="J267" s="7">
        <f>(((0.621*15^0.564)/0.2))*D267/15+J266*inputs!$C$53</f>
        <v>7.8427647338058589E-13</v>
      </c>
      <c r="K267" s="7">
        <f>(((0.621*1000^0.564)/0.2))*D267/1000+K266*inputs!$C$53</f>
        <v>1.256738663248348E-13</v>
      </c>
      <c r="L267" s="7">
        <f>(((0.648*20^0.651)/0.2))*H267/20+L266*inputs!$C$54</f>
        <v>4.2998545861939896E-13</v>
      </c>
      <c r="M267" s="7">
        <f>(((0.013*2^0.773)/0.2))*H267/2+M266*inputs!$C$54</f>
        <v>2.0967554215057054E-14</v>
      </c>
      <c r="N267" s="7">
        <f>O267*0.015*inputs!$C$56</f>
        <v>3.8416567975398518E-2</v>
      </c>
      <c r="O267" s="7">
        <f>IF((B267&gt;B266), (EXP(-LN(2)/inputs!$C$52)*O266+$O$3), (EXP(-LN(2)/inputs!$C$52)*O266))</f>
        <v>4.1441820901185027E-3</v>
      </c>
      <c r="P267" s="3">
        <f>IF((B267&gt;B266), (EXP(-LN(2)/inputs!$C$52)*P266+$P$3), (EXP(-LN(2)/inputs!$C$52)*P266))</f>
        <v>4.0045435488125971E-3</v>
      </c>
      <c r="Q267" s="19">
        <f>IF((F267*0.62*1/(0.012*(10^inputs!$C$55)))&gt;inputs!$C$57, inputs!$C$57, (F267*0.62*1/(0.012*(10^inputs!$C$55))))</f>
        <v>3.3570962727346529E-15</v>
      </c>
      <c r="R267" s="3">
        <f>IF((B267&gt;B266), (EXP(-LN(2)/inputs!$C$51)*R266+$R$3), (EXP(-LN(2)/inputs!$C$51)*R266))</f>
        <v>7.8000255926787218E-21</v>
      </c>
      <c r="T267" s="7">
        <f>IF(T266&lt;(inputs!$C$20-1),(1+T266),0)</f>
        <v>0</v>
      </c>
      <c r="U267" s="7">
        <f>IF(inputs!$C$19&gt;U266,IF(T266=(inputs!$C$20-1),(U266+1),U266), U266)</f>
        <v>1</v>
      </c>
      <c r="V267" s="7">
        <f t="shared" si="8"/>
        <v>264</v>
      </c>
      <c r="W267" s="8">
        <f>IF((U267&gt;U266), (EXP(-LN(2)/inputs!$C$51)*W266+$W$3), (EXP(-LN(2)/inputs!$C$51)*W266))</f>
        <v>2.5813001677385794E-13</v>
      </c>
      <c r="X267" s="8">
        <f>IF((U267&gt;U266), (EXP(-LN(2)/inputs!$C$51)*X266+$X$3), (EXP(-LN(2)/inputs!$C$51)*X266))</f>
        <v>1.0932565416304571E-13</v>
      </c>
      <c r="Y267" s="8">
        <f>IF((U267&gt;U266), (EXP(-LN(2)/inputs!$C$51)*Y266+$Y$3), (EXP(-LN(2)/inputs!$C$51)*Y266))</f>
        <v>1.3665706770380731E-13</v>
      </c>
      <c r="Z267" s="8">
        <f>IF((U267&gt;U266), (EXP(-LN(2)/inputs!$C$51)*Z266+$Z$3), (EXP(-LN(2)/inputs!$C$51)*Z266))</f>
        <v>2.1257766087258887E-14</v>
      </c>
      <c r="AA267" s="8">
        <f>IF((U267&gt;U266), (EXP(-LN(2)/inputs!$C$51)*AA266+$AA$3), (EXP(-LN(2)/inputs!$C$51)*AA266))</f>
        <v>1.9739354223883269E-13</v>
      </c>
      <c r="AB267" s="7">
        <f>(((0.621*15^0.564)/0.2))*W267/15+AB266*inputs!$C$53</f>
        <v>2.777645843222903E-13</v>
      </c>
      <c r="AC267" s="7">
        <f>(((0.621*1000^0.564)/0.2))*W267/1000+AC266*inputs!$C$53</f>
        <v>4.4509494323378913E-14</v>
      </c>
      <c r="AD267" s="7">
        <f>(((0.648*20^0.651)/0.2))*AA267/20+AD266*inputs!$C$54</f>
        <v>2.973303703219251E-13</v>
      </c>
      <c r="AE267" s="7">
        <f>(((0.013*2^0.773)/0.2))*AA267/2+AE266*inputs!$C$54</f>
        <v>1.4498840680624571E-14</v>
      </c>
    </row>
    <row r="268" spans="1:31" x14ac:dyDescent="0.3">
      <c r="A268" s="7">
        <f>IF(A267&lt;(inputs!$C$20-1),(1+A267),0)</f>
        <v>0</v>
      </c>
      <c r="B268" s="7">
        <f>IF(inputs!$C$19&gt;B267,IF(A267=(inputs!$C$20-1),(B267+1),B267), B267)</f>
        <v>1</v>
      </c>
      <c r="C268" s="7">
        <f t="shared" si="9"/>
        <v>265</v>
      </c>
      <c r="D268" s="8">
        <f>IF((B268&gt;B267), (EXP(-LN(2)/inputs!$C$51)*D267+$D$3), (EXP(-LN(2)/inputs!$C$51)*D267))</f>
        <v>6.3948846218409138E-13</v>
      </c>
      <c r="E268" s="8">
        <f>IF((B268&gt;B267), (EXP(-LN(2)/inputs!$C$51)*E267+$E$3), (EXP(-LN(2)/inputs!$C$51)*E267))</f>
        <v>2.9309887850104153E-13</v>
      </c>
      <c r="F268" s="8">
        <f>IF((B268&gt;B267), (EXP(-LN(2)/inputs!$C$51)*F267+$F$3), (EXP(-LN(2)/inputs!$C$51)*F267))</f>
        <v>3.5971225997855122E-13</v>
      </c>
      <c r="G268" s="8">
        <f>IF((B268&gt;B267), (EXP(-LN(2)/inputs!$C$51)*G267+$G$3), (EXP(-LN(2)/inputs!$C$51)*G267))</f>
        <v>3.9968028886505711E-14</v>
      </c>
      <c r="H268" s="8">
        <f>IF((B268&gt;B267), (EXP(-LN(2)/inputs!$C$51)*H267+$H$3), (EXP(-LN(2)/inputs!$C$51)*H267))</f>
        <v>2.5046631435543527E-13</v>
      </c>
      <c r="I268" s="7">
        <f>O268*(10^inputs!$C$55)*0.01/1</f>
        <v>0.25620346917720488</v>
      </c>
      <c r="J268" s="7">
        <f>(((0.621*15^0.564)/0.2))*D268/15+J267*inputs!$C$53</f>
        <v>6.8813092370067197E-13</v>
      </c>
      <c r="K268" s="7">
        <f>(((0.621*1000^0.564)/0.2))*D268/1000+K267*inputs!$C$53</f>
        <v>1.1026733129756548E-13</v>
      </c>
      <c r="L268" s="7">
        <f>(((0.648*20^0.651)/0.2))*H268/20+L267*inputs!$C$54</f>
        <v>3.7727293991393173E-13</v>
      </c>
      <c r="M268" s="7">
        <f>(((0.013*2^0.773)/0.2))*H268/2+M267*inputs!$C$54</f>
        <v>1.8397112420774411E-14</v>
      </c>
      <c r="N268" s="7">
        <f>O268*0.015*inputs!$C$56</f>
        <v>3.7641310938844964E-2</v>
      </c>
      <c r="O268" s="7">
        <f>IF((B268&gt;B267), (EXP(-LN(2)/inputs!$C$52)*O267+$O$3), (EXP(-LN(2)/inputs!$C$52)*O267))</f>
        <v>4.060551341838723E-3</v>
      </c>
      <c r="P268" s="3">
        <f>IF((B268&gt;B267), (EXP(-LN(2)/inputs!$C$52)*P267+$P$3), (EXP(-LN(2)/inputs!$C$52)*P267))</f>
        <v>3.923730745170423E-3</v>
      </c>
      <c r="Q268" s="19">
        <f>IF((F268*0.62*1/(0.012*(10^inputs!$C$55)))&gt;inputs!$C$57, inputs!$C$57, (F268*0.62*1/(0.012*(10^inputs!$C$55))))</f>
        <v>2.9455451457715056E-15</v>
      </c>
      <c r="R268" s="3">
        <f>IF((B268&gt;B267), (EXP(-LN(2)/inputs!$C$51)*R267+$R$3), (EXP(-LN(2)/inputs!$C$51)*R267))</f>
        <v>6.8438095469609134E-21</v>
      </c>
      <c r="T268" s="7">
        <f>IF(T267&lt;(inputs!$C$20-1),(1+T267),0)</f>
        <v>0</v>
      </c>
      <c r="U268" s="7">
        <f>IF(inputs!$C$19&gt;U267,IF(T267=(inputs!$C$20-1),(U267+1),U267), U267)</f>
        <v>1</v>
      </c>
      <c r="V268" s="7">
        <f t="shared" si="8"/>
        <v>265</v>
      </c>
      <c r="W268" s="8">
        <f>IF((U268&gt;U267), (EXP(-LN(2)/inputs!$C$51)*W267+$W$3), (EXP(-LN(2)/inputs!$C$51)*W267))</f>
        <v>2.2648549702353193E-13</v>
      </c>
      <c r="X268" s="8">
        <f>IF((U268&gt;U267), (EXP(-LN(2)/inputs!$C$51)*X267+$X$3), (EXP(-LN(2)/inputs!$C$51)*X267))</f>
        <v>9.5923269327613525E-14</v>
      </c>
      <c r="Y268" s="8">
        <f>IF((U268&gt;U267), (EXP(-LN(2)/inputs!$C$51)*Y267+$Y$3), (EXP(-LN(2)/inputs!$C$51)*Y267))</f>
        <v>1.1990408665951706E-13</v>
      </c>
      <c r="Z268" s="8">
        <f>IF((U268&gt;U267), (EXP(-LN(2)/inputs!$C$51)*Z267+$Z$3), (EXP(-LN(2)/inputs!$C$51)*Z267))</f>
        <v>1.865174681370263E-14</v>
      </c>
      <c r="AA268" s="8">
        <f>IF((U268&gt;U267), (EXP(-LN(2)/inputs!$C$51)*AA267+$AA$3), (EXP(-LN(2)/inputs!$C$51)*AA267))</f>
        <v>1.7319479184152455E-13</v>
      </c>
      <c r="AB268" s="7">
        <f>(((0.621*15^0.564)/0.2))*W268/15+AB267*inputs!$C$53</f>
        <v>2.4371303547732087E-13</v>
      </c>
      <c r="AC268" s="7">
        <f>(((0.621*1000^0.564)/0.2))*W268/1000+AC267*inputs!$C$53</f>
        <v>3.9053013167887689E-14</v>
      </c>
      <c r="AD268" s="7">
        <f>(((0.648*20^0.651)/0.2))*AA268/20+AD267*inputs!$C$54</f>
        <v>2.6088022440857008E-13</v>
      </c>
      <c r="AE268" s="7">
        <f>(((0.013*2^0.773)/0.2))*AA268/2+AE267*inputs!$C$54</f>
        <v>1.2721407525003592E-14</v>
      </c>
    </row>
    <row r="269" spans="1:31" x14ac:dyDescent="0.3">
      <c r="A269" s="7">
        <f>IF(A268&lt;(inputs!$C$20-1),(1+A268),0)</f>
        <v>0</v>
      </c>
      <c r="B269" s="7">
        <f>IF(inputs!$C$19&gt;B268,IF(A268=(inputs!$C$20-1),(B268+1),B268), B268)</f>
        <v>1</v>
      </c>
      <c r="C269" s="7">
        <f t="shared" si="9"/>
        <v>266</v>
      </c>
      <c r="D269" s="8">
        <f>IF((B269&gt;B268), (EXP(-LN(2)/inputs!$C$51)*D268+$D$3), (EXP(-LN(2)/inputs!$C$51)*D268))</f>
        <v>5.6109267728233521E-13</v>
      </c>
      <c r="E269" s="8">
        <f>IF((B269&gt;B268), (EXP(-LN(2)/inputs!$C$51)*E268+$E$3), (EXP(-LN(2)/inputs!$C$51)*E268))</f>
        <v>2.5716747708773668E-13</v>
      </c>
      <c r="F269" s="8">
        <f>IF((B269&gt;B268), (EXP(-LN(2)/inputs!$C$51)*F268+$F$3), (EXP(-LN(2)/inputs!$C$51)*F268))</f>
        <v>3.1561463097131339E-13</v>
      </c>
      <c r="G269" s="8">
        <f>IF((B269&gt;B268), (EXP(-LN(2)/inputs!$C$51)*G268+$G$3), (EXP(-LN(2)/inputs!$C$51)*G268))</f>
        <v>3.5068292330145951E-14</v>
      </c>
      <c r="H269" s="8">
        <f>IF((B269&gt;B268), (EXP(-LN(2)/inputs!$C$51)*H268+$H$3), (EXP(-LN(2)/inputs!$C$51)*H268))</f>
        <v>2.1976129860224749E-13</v>
      </c>
      <c r="I269" s="7">
        <f>O269*(10^inputs!$C$55)*0.01/1</f>
        <v>0.25103321184458066</v>
      </c>
      <c r="J269" s="7">
        <f>(((0.621*15^0.564)/0.2))*D269/15+J268*inputs!$C$53</f>
        <v>6.0377199141526838E-13</v>
      </c>
      <c r="K269" s="7">
        <f>(((0.621*1000^0.564)/0.2))*D269/1000+K268*inputs!$C$53</f>
        <v>9.6749504945279987E-14</v>
      </c>
      <c r="L269" s="7">
        <f>(((0.648*20^0.651)/0.2))*H269/20+L268*inputs!$C$54</f>
        <v>3.3102252259485976E-13</v>
      </c>
      <c r="M269" s="7">
        <f>(((0.013*2^0.773)/0.2))*H269/2+M268*inputs!$C$54</f>
        <v>1.6141784680807663E-14</v>
      </c>
      <c r="N269" s="7">
        <f>O269*0.015*inputs!$C$56</f>
        <v>3.68816988051133E-2</v>
      </c>
      <c r="O269" s="7">
        <f>IF((B269&gt;B268), (EXP(-LN(2)/inputs!$C$52)*O268+$O$3), (EXP(-LN(2)/inputs!$C$52)*O268))</f>
        <v>3.9786082853412409E-3</v>
      </c>
      <c r="P269" s="3">
        <f>IF((B269&gt;B268), (EXP(-LN(2)/inputs!$C$52)*P268+$P$3), (EXP(-LN(2)/inputs!$C$52)*P268))</f>
        <v>3.84454876640327E-3</v>
      </c>
      <c r="Q269" s="19">
        <f>IF((F269*0.62*1/(0.012*(10^inputs!$C$55)))&gt;inputs!$C$57, inputs!$C$57, (F269*0.62*1/(0.012*(10^inputs!$C$55))))</f>
        <v>2.5844466470157296E-15</v>
      </c>
      <c r="R269" s="3">
        <f>IF((B269&gt;B268), (EXP(-LN(2)/inputs!$C$51)*R268+$R$3), (EXP(-LN(2)/inputs!$C$51)*R268))</f>
        <v>6.0048173635527911E-21</v>
      </c>
      <c r="T269" s="7">
        <f>IF(T268&lt;(inputs!$C$20-1),(1+T268),0)</f>
        <v>0</v>
      </c>
      <c r="U269" s="7">
        <f>IF(inputs!$C$19&gt;U268,IF(T268=(inputs!$C$20-1),(U268+1),U268), U268)</f>
        <v>1</v>
      </c>
      <c r="V269" s="7">
        <f t="shared" si="8"/>
        <v>266</v>
      </c>
      <c r="W269" s="8">
        <f>IF((U269&gt;U268), (EXP(-LN(2)/inputs!$C$51)*W268+$W$3), (EXP(-LN(2)/inputs!$C$51)*W268))</f>
        <v>1.9872032320416001E-13</v>
      </c>
      <c r="X269" s="8">
        <f>IF((U269&gt;U268), (EXP(-LN(2)/inputs!$C$51)*X268+$X$3), (EXP(-LN(2)/inputs!$C$51)*X268))</f>
        <v>8.4163901592350128E-14</v>
      </c>
      <c r="Y269" s="8">
        <f>IF((U269&gt;U268), (EXP(-LN(2)/inputs!$C$51)*Y268+$Y$3), (EXP(-LN(2)/inputs!$C$51)*Y268))</f>
        <v>1.0520487699043779E-13</v>
      </c>
      <c r="Z269" s="8">
        <f>IF((U269&gt;U268), (EXP(-LN(2)/inputs!$C$51)*Z268+$Z$3), (EXP(-LN(2)/inputs!$C$51)*Z268))</f>
        <v>1.6365203087401411E-14</v>
      </c>
      <c r="AA269" s="8">
        <f>IF((U269&gt;U268), (EXP(-LN(2)/inputs!$C$51)*AA268+$AA$3), (EXP(-LN(2)/inputs!$C$51)*AA268))</f>
        <v>1.5196260009729894E-13</v>
      </c>
      <c r="AB269" s="7">
        <f>(((0.621*15^0.564)/0.2))*W269/15+AB268*inputs!$C$53</f>
        <v>2.1383591362624047E-13</v>
      </c>
      <c r="AC269" s="7">
        <f>(((0.621*1000^0.564)/0.2))*W269/1000+AC268*inputs!$C$53</f>
        <v>3.4265449668119926E-14</v>
      </c>
      <c r="AD269" s="7">
        <f>(((0.648*20^0.651)/0.2))*AA269/20+AD268*inputs!$C$54</f>
        <v>2.2889855285814796E-13</v>
      </c>
      <c r="AE269" s="7">
        <f>(((0.013*2^0.773)/0.2))*AA269/2+AE268*inputs!$C$54</f>
        <v>1.1161872385664883E-14</v>
      </c>
    </row>
    <row r="270" spans="1:31" x14ac:dyDescent="0.3">
      <c r="A270" s="7">
        <f>IF(A269&lt;(inputs!$C$20-1),(1+A269),0)</f>
        <v>0</v>
      </c>
      <c r="B270" s="7">
        <f>IF(inputs!$C$19&gt;B269,IF(A269=(inputs!$C$20-1),(B269+1),B269), B269)</f>
        <v>1</v>
      </c>
      <c r="C270" s="7">
        <f t="shared" si="9"/>
        <v>267</v>
      </c>
      <c r="D270" s="8">
        <f>IF((B270&gt;B269), (EXP(-LN(2)/inputs!$C$51)*D269+$D$3), (EXP(-LN(2)/inputs!$C$51)*D269))</f>
        <v>4.9230754128794461E-13</v>
      </c>
      <c r="E270" s="8">
        <f>IF((B270&gt;B269), (EXP(-LN(2)/inputs!$C$51)*E269+$E$3), (EXP(-LN(2)/inputs!$C$51)*E269))</f>
        <v>2.2564095642364102E-13</v>
      </c>
      <c r="F270" s="8">
        <f>IF((B270&gt;B269), (EXP(-LN(2)/inputs!$C$51)*F269+$F$3), (EXP(-LN(2)/inputs!$C$51)*F269))</f>
        <v>2.7692299197446869E-13</v>
      </c>
      <c r="G270" s="8">
        <f>IF((B270&gt;B269), (EXP(-LN(2)/inputs!$C$51)*G269+$G$3), (EXP(-LN(2)/inputs!$C$51)*G269))</f>
        <v>3.0769221330496538E-14</v>
      </c>
      <c r="H270" s="8">
        <f>IF((B270&gt;B269), (EXP(-LN(2)/inputs!$C$51)*H269+$H$3), (EXP(-LN(2)/inputs!$C$51)*H269))</f>
        <v>1.9282045367111123E-13</v>
      </c>
      <c r="I270" s="7">
        <f>O270*(10^inputs!$C$55)*0.01/1</f>
        <v>0.24596729174427967</v>
      </c>
      <c r="J270" s="7">
        <f>(((0.621*15^0.564)/0.2))*D270/15+J269*inputs!$C$53</f>
        <v>5.2975473861443458E-13</v>
      </c>
      <c r="K270" s="7">
        <f>(((0.621*1000^0.564)/0.2))*D270/1000+K269*inputs!$C$53</f>
        <v>8.4888847830158914E-14</v>
      </c>
      <c r="L270" s="7">
        <f>(((0.648*20^0.651)/0.2))*H270/20+L269*inputs!$C$54</f>
        <v>2.9044200861599643E-13</v>
      </c>
      <c r="M270" s="7">
        <f>(((0.013*2^0.773)/0.2))*H270/2+M269*inputs!$C$54</f>
        <v>1.4162940722552208E-14</v>
      </c>
      <c r="N270" s="7">
        <f>O270*0.015*inputs!$C$56</f>
        <v>3.613741585570919E-2</v>
      </c>
      <c r="O270" s="7">
        <f>IF((B270&gt;B269), (EXP(-LN(2)/inputs!$C$52)*O269+$O$3), (EXP(-LN(2)/inputs!$C$52)*O269))</f>
        <v>3.8983188625360513E-3</v>
      </c>
      <c r="P270" s="3">
        <f>IF((B270&gt;B269), (EXP(-LN(2)/inputs!$C$52)*P269+$P$3), (EXP(-LN(2)/inputs!$C$52)*P269))</f>
        <v>3.7669647020111539E-3</v>
      </c>
      <c r="Q270" s="19">
        <f>IF((F270*0.62*1/(0.012*(10^inputs!$C$55)))&gt;inputs!$C$57, inputs!$C$57, (F270*0.62*1/(0.012*(10^inputs!$C$55))))</f>
        <v>2.2676157182175423E-15</v>
      </c>
      <c r="R270" s="3">
        <f>IF((B270&gt;B269), (EXP(-LN(2)/inputs!$C$51)*R269+$R$3), (EXP(-LN(2)/inputs!$C$51)*R269))</f>
        <v>5.2686784052366078E-21</v>
      </c>
      <c r="T270" s="7">
        <f>IF(T269&lt;(inputs!$C$20-1),(1+T269),0)</f>
        <v>0</v>
      </c>
      <c r="U270" s="7">
        <f>IF(inputs!$C$19&gt;U269,IF(T269=(inputs!$C$20-1),(U269+1),U269), U269)</f>
        <v>1</v>
      </c>
      <c r="V270" s="7">
        <f t="shared" si="8"/>
        <v>267</v>
      </c>
      <c r="W270" s="8">
        <f>IF((U270&gt;U269), (EXP(-LN(2)/inputs!$C$51)*W269+$W$3), (EXP(-LN(2)/inputs!$C$51)*W269))</f>
        <v>1.7435892087281339E-13</v>
      </c>
      <c r="X270" s="8">
        <f>IF((U270&gt;U269), (EXP(-LN(2)/inputs!$C$51)*X269+$X$3), (EXP(-LN(2)/inputs!$C$51)*X269))</f>
        <v>7.3846131193191561E-14</v>
      </c>
      <c r="Y270" s="8">
        <f>IF((U270&gt;U269), (EXP(-LN(2)/inputs!$C$51)*Y269+$Y$3), (EXP(-LN(2)/inputs!$C$51)*Y269))</f>
        <v>9.2307663991489558E-14</v>
      </c>
      <c r="Z270" s="8">
        <f>IF((U270&gt;U269), (EXP(-LN(2)/inputs!$C$51)*Z269+$Z$3), (EXP(-LN(2)/inputs!$C$51)*Z269))</f>
        <v>1.4358969954231689E-14</v>
      </c>
      <c r="AA270" s="8">
        <f>IF((U270&gt;U269), (EXP(-LN(2)/inputs!$C$51)*AA269+$AA$3), (EXP(-LN(2)/inputs!$C$51)*AA269))</f>
        <v>1.333332924321515E-13</v>
      </c>
      <c r="AB270" s="7">
        <f>(((0.621*15^0.564)/0.2))*W270/15+AB269*inputs!$C$53</f>
        <v>1.8762146992594523E-13</v>
      </c>
      <c r="AC270" s="7">
        <f>(((0.621*1000^0.564)/0.2))*W270/1000+AC269*inputs!$C$53</f>
        <v>3.0064800273181232E-14</v>
      </c>
      <c r="AD270" s="7">
        <f>(((0.648*20^0.651)/0.2))*AA270/20+AD269*inputs!$C$54</f>
        <v>2.0083755914935944E-13</v>
      </c>
      <c r="AE270" s="7">
        <f>(((0.013*2^0.773)/0.2))*AA270/2+AE269*inputs!$C$54</f>
        <v>9.7935228400627067E-15</v>
      </c>
    </row>
    <row r="271" spans="1:31" x14ac:dyDescent="0.3">
      <c r="A271" s="7">
        <f>IF(A270&lt;(inputs!$C$20-1),(1+A270),0)</f>
        <v>0</v>
      </c>
      <c r="B271" s="7">
        <f>IF(inputs!$C$19&gt;B270,IF(A270=(inputs!$C$20-1),(B270+1),B270), B270)</f>
        <v>1</v>
      </c>
      <c r="C271" s="7">
        <f t="shared" si="9"/>
        <v>268</v>
      </c>
      <c r="D271" s="8">
        <f>IF((B271&gt;B270), (EXP(-LN(2)/inputs!$C$51)*D270+$D$3), (EXP(-LN(2)/inputs!$C$51)*D270))</f>
        <v>4.3195487131090329E-13</v>
      </c>
      <c r="E271" s="8">
        <f>IF((B271&gt;B270), (EXP(-LN(2)/inputs!$C$51)*E270+$E$3), (EXP(-LN(2)/inputs!$C$51)*E270))</f>
        <v>1.9797931601749709E-13</v>
      </c>
      <c r="F271" s="8">
        <f>IF((B271&gt;B270), (EXP(-LN(2)/inputs!$C$51)*F270+$F$3), (EXP(-LN(2)/inputs!$C$51)*F270))</f>
        <v>2.4297461511238295E-13</v>
      </c>
      <c r="G271" s="8">
        <f>IF((B271&gt;B270), (EXP(-LN(2)/inputs!$C$51)*G270+$G$3), (EXP(-LN(2)/inputs!$C$51)*G270))</f>
        <v>2.6997179456931456E-14</v>
      </c>
      <c r="H271" s="8">
        <f>IF((B271&gt;B270), (EXP(-LN(2)/inputs!$C$51)*H270+$H$3), (EXP(-LN(2)/inputs!$C$51)*H270))</f>
        <v>1.691823245967701E-13</v>
      </c>
      <c r="I271" s="7">
        <f>O271*(10^inputs!$C$55)*0.01/1</f>
        <v>0.24100360332190712</v>
      </c>
      <c r="J271" s="7">
        <f>(((0.621*15^0.564)/0.2))*D271/15+J270*inputs!$C$53</f>
        <v>4.6481136434735088E-13</v>
      </c>
      <c r="K271" s="7">
        <f>(((0.621*1000^0.564)/0.2))*D271/1000+K270*inputs!$C$53</f>
        <v>7.4482205257872347E-14</v>
      </c>
      <c r="L271" s="7">
        <f>(((0.648*20^0.651)/0.2))*H271/20+L270*inputs!$C$54</f>
        <v>2.5483631659752347E-13</v>
      </c>
      <c r="M271" s="7">
        <f>(((0.013*2^0.773)/0.2))*H271/2+M270*inputs!$C$54</f>
        <v>1.242668601254636E-14</v>
      </c>
      <c r="N271" s="7">
        <f>O271*0.015*inputs!$C$56</f>
        <v>3.5408152743425417E-2</v>
      </c>
      <c r="O271" s="7">
        <f>IF((B271&gt;B270), (EXP(-LN(2)/inputs!$C$52)*O270+$O$3), (EXP(-LN(2)/inputs!$C$52)*O270))</f>
        <v>3.8196497026348883E-3</v>
      </c>
      <c r="P271" s="3">
        <f>IF((B271&gt;B270), (EXP(-LN(2)/inputs!$C$52)*P270+$P$3), (EXP(-LN(2)/inputs!$C$52)*P270))</f>
        <v>3.690946305637142E-3</v>
      </c>
      <c r="Q271" s="19">
        <f>IF((F271*0.62*1/(0.012*(10^inputs!$C$55)))&gt;inputs!$C$57, inputs!$C$57, (F271*0.62*1/(0.012*(10^inputs!$C$55))))</f>
        <v>1.9896255360677851E-15</v>
      </c>
      <c r="R271" s="3">
        <f>IF((B271&gt;B270), (EXP(-LN(2)/inputs!$C$51)*R270+$R$3), (EXP(-LN(2)/inputs!$C$51)*R270))</f>
        <v>4.622783751308429E-21</v>
      </c>
      <c r="T271" s="7">
        <f>IF(T270&lt;(inputs!$C$20-1),(1+T270),0)</f>
        <v>0</v>
      </c>
      <c r="U271" s="7">
        <f>IF(inputs!$C$19&gt;U270,IF(T270=(inputs!$C$20-1),(U270+1),U270), U270)</f>
        <v>1</v>
      </c>
      <c r="V271" s="7">
        <f t="shared" si="8"/>
        <v>268</v>
      </c>
      <c r="W271" s="8">
        <f>IF((U271&gt;U270), (EXP(-LN(2)/inputs!$C$51)*W270+$W$3), (EXP(-LN(2)/inputs!$C$51)*W270))</f>
        <v>1.529840169226113E-13</v>
      </c>
      <c r="X271" s="8">
        <f>IF((U271&gt;U270), (EXP(-LN(2)/inputs!$C$51)*X270+$X$3), (EXP(-LN(2)/inputs!$C$51)*X270))</f>
        <v>6.4793230696635372E-14</v>
      </c>
      <c r="Y271" s="8">
        <f>IF((U271&gt;U270), (EXP(-LN(2)/inputs!$C$51)*Y270+$Y$3), (EXP(-LN(2)/inputs!$C$51)*Y270))</f>
        <v>8.0991538370794316E-14</v>
      </c>
      <c r="Z271" s="8">
        <f>IF((U271&gt;U270), (EXP(-LN(2)/inputs!$C$51)*Z270+$Z$3), (EXP(-LN(2)/inputs!$C$51)*Z270))</f>
        <v>1.2598683746567986E-14</v>
      </c>
      <c r="AA271" s="8">
        <f>IF((U271&gt;U270), (EXP(-LN(2)/inputs!$C$51)*AA270+$AA$3), (EXP(-LN(2)/inputs!$C$51)*AA270))</f>
        <v>1.1698777764670282E-13</v>
      </c>
      <c r="AB271" s="7">
        <f>(((0.621*15^0.564)/0.2))*W271/15+AB270*inputs!$C$53</f>
        <v>1.6462069153968647E-13</v>
      </c>
      <c r="AC271" s="7">
        <f>(((0.621*1000^0.564)/0.2))*W271/1000+AC270*inputs!$C$53</f>
        <v>2.6379114362163074E-14</v>
      </c>
      <c r="AD271" s="7">
        <f>(((0.648*20^0.651)/0.2))*AA271/20+AD270*inputs!$C$54</f>
        <v>1.7621660190254299E-13</v>
      </c>
      <c r="AE271" s="7">
        <f>(((0.013*2^0.773)/0.2))*AA271/2+AE270*inputs!$C$54</f>
        <v>8.5929211788884482E-15</v>
      </c>
    </row>
    <row r="272" spans="1:31" x14ac:dyDescent="0.3">
      <c r="A272" s="7">
        <f>IF(A271&lt;(inputs!$C$20-1),(1+A271),0)</f>
        <v>0</v>
      </c>
      <c r="B272" s="7">
        <f>IF(inputs!$C$19&gt;B271,IF(A271=(inputs!$C$20-1),(B271+1),B271), B271)</f>
        <v>1</v>
      </c>
      <c r="C272" s="7">
        <f t="shared" si="9"/>
        <v>269</v>
      </c>
      <c r="D272" s="8">
        <f>IF((B272&gt;B271), (EXP(-LN(2)/inputs!$C$51)*D271+$D$3), (EXP(-LN(2)/inputs!$C$51)*D271))</f>
        <v>3.7900091954936709E-13</v>
      </c>
      <c r="E272" s="8">
        <f>IF((B272&gt;B271), (EXP(-LN(2)/inputs!$C$51)*E271+$E$3), (EXP(-LN(2)/inputs!$C$51)*E271))</f>
        <v>1.7370875479345971E-13</v>
      </c>
      <c r="F272" s="8">
        <f>IF((B272&gt;B271), (EXP(-LN(2)/inputs!$C$51)*F271+$F$3), (EXP(-LN(2)/inputs!$C$51)*F271))</f>
        <v>2.1318801724651885E-13</v>
      </c>
      <c r="G272" s="8">
        <f>IF((B272&gt;B271), (EXP(-LN(2)/inputs!$C$51)*G271+$G$3), (EXP(-LN(2)/inputs!$C$51)*G271))</f>
        <v>2.3687557471835443E-14</v>
      </c>
      <c r="H272" s="8">
        <f>IF((B272&gt;B271), (EXP(-LN(2)/inputs!$C$51)*H271+$H$3), (EXP(-LN(2)/inputs!$C$51)*H271))</f>
        <v>1.4844202682350179E-13</v>
      </c>
      <c r="I272" s="7">
        <f>O272*(10^inputs!$C$55)*0.01/1</f>
        <v>0.23614008351374208</v>
      </c>
      <c r="J272" s="7">
        <f>(((0.621*15^0.564)/0.2))*D272/15+J271*inputs!$C$53</f>
        <v>4.0782948915477411E-13</v>
      </c>
      <c r="K272" s="7">
        <f>(((0.621*1000^0.564)/0.2))*D272/1000+K271*inputs!$C$53</f>
        <v>6.5351327552179348E-14</v>
      </c>
      <c r="L272" s="7">
        <f>(((0.648*20^0.651)/0.2))*H272/20+L271*inputs!$C$54</f>
        <v>2.2359557615804369E-13</v>
      </c>
      <c r="M272" s="7">
        <f>(((0.013*2^0.773)/0.2))*H272/2+M271*inputs!$C$54</f>
        <v>1.0903281195586893E-14</v>
      </c>
      <c r="N272" s="7">
        <f>O272*0.015*inputs!$C$56</f>
        <v>3.4693606363767483E-2</v>
      </c>
      <c r="O272" s="7">
        <f>IF((B272&gt;B271), (EXP(-LN(2)/inputs!$C$52)*O271+$O$3), (EXP(-LN(2)/inputs!$C$52)*O271))</f>
        <v>3.7425681082812823E-3</v>
      </c>
      <c r="P272" s="3">
        <f>IF((B272&gt;B271), (EXP(-LN(2)/inputs!$C$52)*P271+$P$3), (EXP(-LN(2)/inputs!$C$52)*P271))</f>
        <v>3.6164619816647617E-3</v>
      </c>
      <c r="Q272" s="19">
        <f>IF((F272*0.62*1/(0.012*(10^inputs!$C$55)))&gt;inputs!$C$57, inputs!$C$57, (F272*0.62*1/(0.012*(10^inputs!$C$55))))</f>
        <v>1.7457145591161641E-15</v>
      </c>
      <c r="R272" s="3">
        <f>IF((B272&gt;B271), (EXP(-LN(2)/inputs!$C$51)*R271+$R$3), (EXP(-LN(2)/inputs!$C$51)*R271))</f>
        <v>4.0560702262869532E-21</v>
      </c>
      <c r="T272" s="7">
        <f>IF(T271&lt;(inputs!$C$20-1),(1+T271),0)</f>
        <v>0</v>
      </c>
      <c r="U272" s="7">
        <f>IF(inputs!$C$19&gt;U271,IF(T271=(inputs!$C$20-1),(U271+1),U271), U271)</f>
        <v>1</v>
      </c>
      <c r="V272" s="7">
        <f t="shared" si="8"/>
        <v>269</v>
      </c>
      <c r="W272" s="8">
        <f>IF((U272&gt;U271), (EXP(-LN(2)/inputs!$C$51)*W271+$W$3), (EXP(-LN(2)/inputs!$C$51)*W271))</f>
        <v>1.3422949234040059E-13</v>
      </c>
      <c r="X272" s="8">
        <f>IF((U272&gt;U271), (EXP(-LN(2)/inputs!$C$51)*X271+$X$3), (EXP(-LN(2)/inputs!$C$51)*X271))</f>
        <v>5.6850137932404963E-14</v>
      </c>
      <c r="Y272" s="8">
        <f>IF((U272&gt;U271), (EXP(-LN(2)/inputs!$C$51)*Y271+$Y$3), (EXP(-LN(2)/inputs!$C$51)*Y271))</f>
        <v>7.106267241550628E-14</v>
      </c>
      <c r="Z272" s="8">
        <f>IF((U272&gt;U271), (EXP(-LN(2)/inputs!$C$51)*Z271+$Z$3), (EXP(-LN(2)/inputs!$C$51)*Z271))</f>
        <v>1.1054193486856517E-14</v>
      </c>
      <c r="AA272" s="8">
        <f>IF((U272&gt;U271), (EXP(-LN(2)/inputs!$C$51)*AA271+$AA$3), (EXP(-LN(2)/inputs!$C$51)*AA271))</f>
        <v>1.0264608237795345E-13</v>
      </c>
      <c r="AB272" s="7">
        <f>(((0.621*15^0.564)/0.2))*W272/15+AB271*inputs!$C$53</f>
        <v>1.4443961074231556E-13</v>
      </c>
      <c r="AC272" s="7">
        <f>(((0.621*1000^0.564)/0.2))*W272/1000+AC271*inputs!$C$53</f>
        <v>2.314526184139681E-14</v>
      </c>
      <c r="AD272" s="7">
        <f>(((0.648*20^0.651)/0.2))*AA272/20+AD271*inputs!$C$54</f>
        <v>1.5461396223694523E-13</v>
      </c>
      <c r="AE272" s="7">
        <f>(((0.013*2^0.773)/0.2))*AA272/2+AE271*inputs!$C$54</f>
        <v>7.5395029543951983E-15</v>
      </c>
    </row>
    <row r="273" spans="1:31" x14ac:dyDescent="0.3">
      <c r="A273" s="7">
        <f>IF(A272&lt;(inputs!$C$20-1),(1+A272),0)</f>
        <v>0</v>
      </c>
      <c r="B273" s="7">
        <f>IF(inputs!$C$19&gt;B272,IF(A272=(inputs!$C$20-1),(B272+1),B272), B272)</f>
        <v>1</v>
      </c>
      <c r="C273" s="7">
        <f t="shared" si="9"/>
        <v>270</v>
      </c>
      <c r="D273" s="8">
        <f>IF((B273&gt;B272), (EXP(-LN(2)/inputs!$C$51)*D272+$D$3), (EXP(-LN(2)/inputs!$C$51)*D272))</f>
        <v>3.3253866679021304E-13</v>
      </c>
      <c r="E273" s="8">
        <f>IF((B273&gt;B272), (EXP(-LN(2)/inputs!$C$51)*E272+$E$3), (EXP(-LN(2)/inputs!$C$51)*E272))</f>
        <v>1.524135556121808E-13</v>
      </c>
      <c r="F273" s="8">
        <f>IF((B273&gt;B272), (EXP(-LN(2)/inputs!$C$51)*F272+$F$3), (EXP(-LN(2)/inputs!$C$51)*F272))</f>
        <v>1.8705300006949472E-13</v>
      </c>
      <c r="G273" s="8">
        <f>IF((B273&gt;B272), (EXP(-LN(2)/inputs!$C$51)*G272+$G$3), (EXP(-LN(2)/inputs!$C$51)*G272))</f>
        <v>2.0783666674388315E-14</v>
      </c>
      <c r="H273" s="8">
        <f>IF((B273&gt;B272), (EXP(-LN(2)/inputs!$C$51)*H272+$H$3), (EXP(-LN(2)/inputs!$C$51)*H272))</f>
        <v>1.3024431115949982E-13</v>
      </c>
      <c r="I273" s="7">
        <f>O273*(10^inputs!$C$55)*0.01/1</f>
        <v>0.23137471088926376</v>
      </c>
      <c r="J273" s="7">
        <f>(((0.621*15^0.564)/0.2))*D273/15+J272*inputs!$C$53</f>
        <v>3.5783310173102904E-13</v>
      </c>
      <c r="K273" s="7">
        <f>(((0.621*1000^0.564)/0.2))*D273/1000+K272*inputs!$C$53</f>
        <v>5.7339816913931097E-14</v>
      </c>
      <c r="L273" s="7">
        <f>(((0.648*20^0.651)/0.2))*H273/20+L272*inputs!$C$54</f>
        <v>1.9618468177911721E-13</v>
      </c>
      <c r="M273" s="7">
        <f>(((0.013*2^0.773)/0.2))*H273/2+M272*inputs!$C$54</f>
        <v>9.5666327056153448E-15</v>
      </c>
      <c r="N273" s="7">
        <f>O273*0.015*inputs!$C$56</f>
        <v>3.3993479728974027E-2</v>
      </c>
      <c r="O273" s="7">
        <f>IF((B273&gt;B272), (EXP(-LN(2)/inputs!$C$52)*O272+$O$3), (EXP(-LN(2)/inputs!$C$52)*O272))</f>
        <v>3.6670420419605207E-3</v>
      </c>
      <c r="P273" s="3">
        <f>IF((B273&gt;B272), (EXP(-LN(2)/inputs!$C$52)*P272+$P$3), (EXP(-LN(2)/inputs!$C$52)*P272))</f>
        <v>3.5434807720858773E-3</v>
      </c>
      <c r="Q273" s="19">
        <f>IF((F273*0.62*1/(0.012*(10^inputs!$C$55)))&gt;inputs!$C$57, inputs!$C$57, (F273*0.62*1/(0.012*(10^inputs!$C$55))))</f>
        <v>1.5317049699377787E-15</v>
      </c>
      <c r="R273" s="3">
        <f>IF((B273&gt;B272), (EXP(-LN(2)/inputs!$C$51)*R272+$R$3), (EXP(-LN(2)/inputs!$C$51)*R272))</f>
        <v>3.5588309048449473E-21</v>
      </c>
      <c r="T273" s="7">
        <f>IF(T272&lt;(inputs!$C$20-1),(1+T272),0)</f>
        <v>0</v>
      </c>
      <c r="U273" s="7">
        <f>IF(inputs!$C$19&gt;U272,IF(T272=(inputs!$C$20-1),(U272+1),U272), U272)</f>
        <v>1</v>
      </c>
      <c r="V273" s="7">
        <f t="shared" si="8"/>
        <v>270</v>
      </c>
      <c r="W273" s="8">
        <f>IF((U273&gt;U272), (EXP(-LN(2)/inputs!$C$51)*W272+$W$3), (EXP(-LN(2)/inputs!$C$51)*W272))</f>
        <v>1.1777411115486689E-13</v>
      </c>
      <c r="X273" s="8">
        <f>IF((U273&gt;U272), (EXP(-LN(2)/inputs!$C$51)*X272+$X$3), (EXP(-LN(2)/inputs!$C$51)*X272))</f>
        <v>4.9880800018531869E-14</v>
      </c>
      <c r="Y273" s="8">
        <f>IF((U273&gt;U272), (EXP(-LN(2)/inputs!$C$51)*Y272+$Y$3), (EXP(-LN(2)/inputs!$C$51)*Y272))</f>
        <v>6.2351000023164898E-14</v>
      </c>
      <c r="Z273" s="8">
        <f>IF((U273&gt;U272), (EXP(-LN(2)/inputs!$C$51)*Z272+$Z$3), (EXP(-LN(2)/inputs!$C$51)*Z272))</f>
        <v>9.6990444480478603E-15</v>
      </c>
      <c r="AA273" s="8">
        <f>IF((U273&gt;U272), (EXP(-LN(2)/inputs!$C$51)*AA272+$AA$3), (EXP(-LN(2)/inputs!$C$51)*AA272))</f>
        <v>9.0062555589015917E-14</v>
      </c>
      <c r="AB273" s="7">
        <f>(((0.621*15^0.564)/0.2))*W273/15+AB272*inputs!$C$53</f>
        <v>1.2673255686307252E-13</v>
      </c>
      <c r="AC273" s="7">
        <f>(((0.621*1000^0.564)/0.2))*W273/1000+AC272*inputs!$C$53</f>
        <v>2.0307851823683891E-14</v>
      </c>
      <c r="AD273" s="7">
        <f>(((0.648*20^0.651)/0.2))*AA273/20+AD272*inputs!$C$54</f>
        <v>1.3565962037917693E-13</v>
      </c>
      <c r="AE273" s="7">
        <f>(((0.013*2^0.773)/0.2))*AA273/2+AE272*inputs!$C$54</f>
        <v>6.6152247432446592E-15</v>
      </c>
    </row>
    <row r="274" spans="1:31" x14ac:dyDescent="0.3">
      <c r="A274" s="7">
        <f>IF(A273&lt;(inputs!$C$20-1),(1+A273),0)</f>
        <v>0</v>
      </c>
      <c r="B274" s="7">
        <f>IF(inputs!$C$19&gt;B273,IF(A273=(inputs!$C$20-1),(B273+1),B273), B273)</f>
        <v>1</v>
      </c>
      <c r="C274" s="7">
        <f t="shared" si="9"/>
        <v>271</v>
      </c>
      <c r="D274" s="8">
        <f>IF((B274&gt;B273), (EXP(-LN(2)/inputs!$C$51)*D273+$D$3), (EXP(-LN(2)/inputs!$C$51)*D273))</f>
        <v>2.9177228657411841E-13</v>
      </c>
      <c r="E274" s="8">
        <f>IF((B274&gt;B273), (EXP(-LN(2)/inputs!$C$51)*E273+$E$3), (EXP(-LN(2)/inputs!$C$51)*E273))</f>
        <v>1.3372896467980414E-13</v>
      </c>
      <c r="F274" s="8">
        <f>IF((B274&gt;B273), (EXP(-LN(2)/inputs!$C$51)*F273+$F$3), (EXP(-LN(2)/inputs!$C$51)*F273))</f>
        <v>1.6412191119794151E-13</v>
      </c>
      <c r="G274" s="8">
        <f>IF((B274&gt;B273), (EXP(-LN(2)/inputs!$C$51)*G273+$G$3), (EXP(-LN(2)/inputs!$C$51)*G273))</f>
        <v>1.8235767910882401E-14</v>
      </c>
      <c r="H274" s="8">
        <f>IF((B274&gt;B273), (EXP(-LN(2)/inputs!$C$51)*H273+$H$3), (EXP(-LN(2)/inputs!$C$51)*H273))</f>
        <v>1.1427747890819613E-13</v>
      </c>
      <c r="I274" s="7">
        <f>O274*(10^inputs!$C$55)*0.01/1</f>
        <v>0.22670550481098226</v>
      </c>
      <c r="J274" s="7">
        <f>(((0.621*15^0.564)/0.2))*D274/15+J273*inputs!$C$53</f>
        <v>3.139658413613518E-13</v>
      </c>
      <c r="K274" s="7">
        <f>(((0.621*1000^0.564)/0.2))*D274/1000+K273*inputs!$C$53</f>
        <v>5.031044856889819E-14</v>
      </c>
      <c r="L274" s="7">
        <f>(((0.648*20^0.651)/0.2))*H274/20+L273*inputs!$C$54</f>
        <v>1.7213412727615316E-13</v>
      </c>
      <c r="M274" s="7">
        <f>(((0.013*2^0.773)/0.2))*H274/2+M273*inputs!$C$54</f>
        <v>8.3938458233281297E-15</v>
      </c>
      <c r="N274" s="7">
        <f>O274*0.015*inputs!$C$56</f>
        <v>3.3307481844579351E-2</v>
      </c>
      <c r="O274" s="7">
        <f>IF((B274&gt;B273), (EXP(-LN(2)/inputs!$C$52)*O273+$O$3), (EXP(-LN(2)/inputs!$C$52)*O273))</f>
        <v>3.5930401126838562E-3</v>
      </c>
      <c r="P274" s="3">
        <f>IF((B274&gt;B273), (EXP(-LN(2)/inputs!$C$52)*P273+$P$3), (EXP(-LN(2)/inputs!$C$52)*P273))</f>
        <v>3.471972343633575E-3</v>
      </c>
      <c r="Q274" s="19">
        <f>IF((F274*0.62*1/(0.012*(10^inputs!$C$55)))&gt;inputs!$C$57, inputs!$C$57, (F274*0.62*1/(0.012*(10^inputs!$C$55))))</f>
        <v>1.3439311155885105E-15</v>
      </c>
      <c r="R274" s="3">
        <f>IF((B274&gt;B273), (EXP(-LN(2)/inputs!$C$51)*R273+$R$3), (EXP(-LN(2)/inputs!$C$51)*R273))</f>
        <v>3.1225488472061483E-21</v>
      </c>
      <c r="T274" s="7">
        <f>IF(T273&lt;(inputs!$C$20-1),(1+T273),0)</f>
        <v>0</v>
      </c>
      <c r="U274" s="7">
        <f>IF(inputs!$C$19&gt;U273,IF(T273=(inputs!$C$20-1),(U273+1),U273), U273)</f>
        <v>1</v>
      </c>
      <c r="V274" s="7">
        <f t="shared" si="8"/>
        <v>271</v>
      </c>
      <c r="W274" s="8">
        <f>IF((U274&gt;U273), (EXP(-LN(2)/inputs!$C$51)*W273+$W$3), (EXP(-LN(2)/inputs!$C$51)*W273))</f>
        <v>1.0333601816166675E-13</v>
      </c>
      <c r="X274" s="8">
        <f>IF((U274&gt;U273), (EXP(-LN(2)/inputs!$C$51)*X273+$X$3), (EXP(-LN(2)/inputs!$C$51)*X273))</f>
        <v>4.3765842986117686E-14</v>
      </c>
      <c r="Y274" s="8">
        <f>IF((U274&gt;U273), (EXP(-LN(2)/inputs!$C$51)*Y273+$Y$3), (EXP(-LN(2)/inputs!$C$51)*Y273))</f>
        <v>5.4707303732647164E-14</v>
      </c>
      <c r="Z274" s="8">
        <f>IF((U274&gt;U273), (EXP(-LN(2)/inputs!$C$51)*Z273+$Z$3), (EXP(-LN(2)/inputs!$C$51)*Z273))</f>
        <v>8.5100250250784373E-15</v>
      </c>
      <c r="AA274" s="8">
        <f>IF((U274&gt;U273), (EXP(-LN(2)/inputs!$C$51)*AA273+$AA$3), (EXP(-LN(2)/inputs!$C$51)*AA273))</f>
        <v>7.902166094715697E-14</v>
      </c>
      <c r="AB274" s="7">
        <f>(((0.621*15^0.564)/0.2))*W274/15+AB273*inputs!$C$53</f>
        <v>1.1119623548214525E-13</v>
      </c>
      <c r="AC274" s="7">
        <f>(((0.621*1000^0.564)/0.2))*W274/1000+AC273*inputs!$C$53</f>
        <v>1.781828386815141E-14</v>
      </c>
      <c r="AD274" s="7">
        <f>(((0.648*20^0.651)/0.2))*AA274/20+AD273*inputs!$C$54</f>
        <v>1.1902891779734005E-13</v>
      </c>
      <c r="AE274" s="7">
        <f>(((0.013*2^0.773)/0.2))*AA274/2+AE273*inputs!$C$54</f>
        <v>5.8042550905992435E-15</v>
      </c>
    </row>
    <row r="275" spans="1:31" x14ac:dyDescent="0.3">
      <c r="A275" s="7">
        <f>IF(A274&lt;(inputs!$C$20-1),(1+A274),0)</f>
        <v>0</v>
      </c>
      <c r="B275" s="7">
        <f>IF(inputs!$C$19&gt;B274,IF(A274=(inputs!$C$20-1),(B274+1),B274), B274)</f>
        <v>1</v>
      </c>
      <c r="C275" s="7">
        <f t="shared" si="9"/>
        <v>272</v>
      </c>
      <c r="D275" s="8">
        <f>IF((B275&gt;B274), (EXP(-LN(2)/inputs!$C$51)*D274+$D$3), (EXP(-LN(2)/inputs!$C$51)*D274))</f>
        <v>2.5600351392036971E-13</v>
      </c>
      <c r="E275" s="8">
        <f>IF((B275&gt;B274), (EXP(-LN(2)/inputs!$C$51)*E274+$E$3), (EXP(-LN(2)/inputs!$C$51)*E274))</f>
        <v>1.1733494388016934E-13</v>
      </c>
      <c r="F275" s="8">
        <f>IF((B275&gt;B274), (EXP(-LN(2)/inputs!$C$51)*F274+$F$3), (EXP(-LN(2)/inputs!$C$51)*F274))</f>
        <v>1.4400197658020787E-13</v>
      </c>
      <c r="G275" s="8">
        <f>IF((B275&gt;B274), (EXP(-LN(2)/inputs!$C$51)*G274+$G$3), (EXP(-LN(2)/inputs!$C$51)*G274))</f>
        <v>1.6000219620023107E-14</v>
      </c>
      <c r="H275" s="8">
        <f>IF((B275&gt;B274), (EXP(-LN(2)/inputs!$C$51)*H274+$H$3), (EXP(-LN(2)/inputs!$C$51)*H274))</f>
        <v>1.0026804295214458E-13</v>
      </c>
      <c r="I275" s="7">
        <f>O275*(10^inputs!$C$55)*0.01/1</f>
        <v>0.22213052461122335</v>
      </c>
      <c r="J275" s="7">
        <f>(((0.621*15^0.564)/0.2))*D275/15+J274*inputs!$C$53</f>
        <v>2.7547632978861945E-13</v>
      </c>
      <c r="K275" s="7">
        <f>(((0.621*1000^0.564)/0.2))*D275/1000+K274*inputs!$C$53</f>
        <v>4.4142820319832457E-14</v>
      </c>
      <c r="L275" s="7">
        <f>(((0.648*20^0.651)/0.2))*H275/20+L274*inputs!$C$54</f>
        <v>1.5103196388433251E-13</v>
      </c>
      <c r="M275" s="7">
        <f>(((0.013*2^0.773)/0.2))*H275/2+M274*inputs!$C$54</f>
        <v>7.3648325250792803E-15</v>
      </c>
      <c r="N275" s="7">
        <f>O275*0.015*inputs!$C$56</f>
        <v>3.2635327588467093E-2</v>
      </c>
      <c r="O275" s="7">
        <f>IF((B275&gt;B274), (EXP(-LN(2)/inputs!$C$52)*O274+$O$3), (EXP(-LN(2)/inputs!$C$52)*O274))</f>
        <v>3.5205315629414338E-3</v>
      </c>
      <c r="P275" s="3">
        <f>IF((B275&gt;B274), (EXP(-LN(2)/inputs!$C$52)*P274+$P$3), (EXP(-LN(2)/inputs!$C$52)*P274))</f>
        <v>3.4019069751747115E-3</v>
      </c>
      <c r="Q275" s="19">
        <f>IF((F275*0.62*1/(0.012*(10^inputs!$C$55)))&gt;inputs!$C$57, inputs!$C$57, (F275*0.62*1/(0.012*(10^inputs!$C$55))))</f>
        <v>1.1791767206450655E-15</v>
      </c>
      <c r="R275" s="3">
        <f>IF((B275&gt;B274), (EXP(-LN(2)/inputs!$C$51)*R274+$R$3), (EXP(-LN(2)/inputs!$C$51)*R274))</f>
        <v>2.7397512171523786E-21</v>
      </c>
      <c r="T275" s="7">
        <f>IF(T274&lt;(inputs!$C$20-1),(1+T274),0)</f>
        <v>0</v>
      </c>
      <c r="U275" s="7">
        <f>IF(inputs!$C$19&gt;U274,IF(T274=(inputs!$C$20-1),(U274+1),U274), U274)</f>
        <v>1</v>
      </c>
      <c r="V275" s="7">
        <f t="shared" si="8"/>
        <v>272</v>
      </c>
      <c r="W275" s="8">
        <f>IF((U275&gt;U274), (EXP(-LN(2)/inputs!$C$51)*W274+$W$3), (EXP(-LN(2)/inputs!$C$51)*W274))</f>
        <v>9.0667911180130769E-14</v>
      </c>
      <c r="X275" s="8">
        <f>IF((U275&gt;U274), (EXP(-LN(2)/inputs!$C$51)*X274+$X$3), (EXP(-LN(2)/inputs!$C$51)*X274))</f>
        <v>3.8400527088055386E-14</v>
      </c>
      <c r="Y275" s="8">
        <f>IF((U275&gt;U274), (EXP(-LN(2)/inputs!$C$51)*Y274+$Y$3), (EXP(-LN(2)/inputs!$C$51)*Y274))</f>
        <v>4.8000658860069283E-14</v>
      </c>
      <c r="Z275" s="8">
        <f>IF((U275&gt;U274), (EXP(-LN(2)/inputs!$C$51)*Z274+$Z$3), (EXP(-LN(2)/inputs!$C$51)*Z274))</f>
        <v>7.4667691560107681E-15</v>
      </c>
      <c r="AA275" s="8">
        <f>IF((U275&gt;U274), (EXP(-LN(2)/inputs!$C$51)*AA274+$AA$3), (EXP(-LN(2)/inputs!$C$51)*AA274))</f>
        <v>6.9334285020100035E-14</v>
      </c>
      <c r="AB275" s="7">
        <f>(((0.621*15^0.564)/0.2))*W275/15+AB274*inputs!$C$53</f>
        <v>9.7564533466802534E-14</v>
      </c>
      <c r="AC275" s="7">
        <f>(((0.621*1000^0.564)/0.2))*W275/1000+AC274*inputs!$C$53</f>
        <v>1.5633915529940633E-14</v>
      </c>
      <c r="AD275" s="7">
        <f>(((0.648*20^0.651)/0.2))*AA275/20+AD274*inputs!$C$54</f>
        <v>1.0443699630299598E-13</v>
      </c>
      <c r="AE275" s="7">
        <f>(((0.013*2^0.773)/0.2))*AA275/2+AE274*inputs!$C$54</f>
        <v>5.092703341810145E-15</v>
      </c>
    </row>
    <row r="276" spans="1:31" x14ac:dyDescent="0.3">
      <c r="A276" s="7">
        <f>IF(A275&lt;(inputs!$C$20-1),(1+A275),0)</f>
        <v>0</v>
      </c>
      <c r="B276" s="7">
        <f>IF(inputs!$C$19&gt;B275,IF(A275=(inputs!$C$20-1),(B275+1),B275), B275)</f>
        <v>1</v>
      </c>
      <c r="C276" s="7">
        <f t="shared" si="9"/>
        <v>273</v>
      </c>
      <c r="D276" s="8">
        <f>IF((B276&gt;B275), (EXP(-LN(2)/inputs!$C$51)*D275+$D$3), (EXP(-LN(2)/inputs!$C$51)*D275))</f>
        <v>2.2461968512876041E-13</v>
      </c>
      <c r="E276" s="8">
        <f>IF((B276&gt;B275), (EXP(-LN(2)/inputs!$C$51)*E275+$E$3), (EXP(-LN(2)/inputs!$C$51)*E275))</f>
        <v>1.0295068901734842E-13</v>
      </c>
      <c r="F276" s="8">
        <f>IF((B276&gt;B275), (EXP(-LN(2)/inputs!$C$51)*F275+$F$3), (EXP(-LN(2)/inputs!$C$51)*F275))</f>
        <v>1.2634857288492765E-13</v>
      </c>
      <c r="G276" s="8">
        <f>IF((B276&gt;B275), (EXP(-LN(2)/inputs!$C$51)*G275+$G$3), (EXP(-LN(2)/inputs!$C$51)*G275))</f>
        <v>1.4038730320547525E-14</v>
      </c>
      <c r="H276" s="8">
        <f>IF((B276&gt;B275), (EXP(-LN(2)/inputs!$C$51)*H275+$H$3), (EXP(-LN(2)/inputs!$C$51)*H275))</f>
        <v>8.7976043342097629E-14</v>
      </c>
      <c r="I276" s="7">
        <f>O276*(10^inputs!$C$55)*0.01/1</f>
        <v>0.21764786878552692</v>
      </c>
      <c r="J276" s="7">
        <f>(((0.621*15^0.564)/0.2))*D276/15+J275*inputs!$C$53</f>
        <v>2.417053012670495E-13</v>
      </c>
      <c r="K276" s="7">
        <f>(((0.621*1000^0.564)/0.2))*D276/1000+K275*inputs!$C$53</f>
        <v>3.8731290243228445E-14</v>
      </c>
      <c r="L276" s="7">
        <f>(((0.648*20^0.651)/0.2))*H276/20+L275*inputs!$C$54</f>
        <v>1.3251674421402446E-13</v>
      </c>
      <c r="M276" s="7">
        <f>(((0.013*2^0.773)/0.2))*H276/2+M275*inputs!$C$54</f>
        <v>6.4619674061346266E-15</v>
      </c>
      <c r="N276" s="7">
        <f>O276*0.015*inputs!$C$56</f>
        <v>3.1976737592364579E-2</v>
      </c>
      <c r="O276" s="7">
        <f>IF((B276&gt;B275), (EXP(-LN(2)/inputs!$C$52)*O275+$O$3), (EXP(-LN(2)/inputs!$C$52)*O275))</f>
        <v>3.4494862559185093E-3</v>
      </c>
      <c r="P276" s="3">
        <f>IF((B276&gt;B275), (EXP(-LN(2)/inputs!$C$52)*P275+$P$3), (EXP(-LN(2)/inputs!$C$52)*P275))</f>
        <v>3.3332555453568853E-3</v>
      </c>
      <c r="Q276" s="19">
        <f>IF((F276*0.62*1/(0.012*(10^inputs!$C$55)))&gt;inputs!$C$57, inputs!$C$57, (F276*0.62*1/(0.012*(10^inputs!$C$55))))</f>
        <v>1.034619797386242E-15</v>
      </c>
      <c r="R276" s="3">
        <f>IF((B276&gt;B275), (EXP(-LN(2)/inputs!$C$51)*R275+$R$3), (EXP(-LN(2)/inputs!$C$51)*R275))</f>
        <v>2.4038812839081853E-21</v>
      </c>
      <c r="T276" s="7">
        <f>IF(T275&lt;(inputs!$C$20-1),(1+T275),0)</f>
        <v>0</v>
      </c>
      <c r="U276" s="7">
        <f>IF(inputs!$C$19&gt;U275,IF(T275=(inputs!$C$20-1),(U275+1),U275), U275)</f>
        <v>1</v>
      </c>
      <c r="V276" s="7">
        <f t="shared" si="8"/>
        <v>273</v>
      </c>
      <c r="W276" s="8">
        <f>IF((U276&gt;U275), (EXP(-LN(2)/inputs!$C$51)*W275+$W$3), (EXP(-LN(2)/inputs!$C$51)*W275))</f>
        <v>7.9552805149769161E-14</v>
      </c>
      <c r="X276" s="8">
        <f>IF((U276&gt;U275), (EXP(-LN(2)/inputs!$C$51)*X275+$X$3), (EXP(-LN(2)/inputs!$C$51)*X275))</f>
        <v>3.3692952769313997E-14</v>
      </c>
      <c r="Y276" s="8">
        <f>IF((U276&gt;U275), (EXP(-LN(2)/inputs!$C$51)*Y275+$Y$3), (EXP(-LN(2)/inputs!$C$51)*Y275))</f>
        <v>4.211619096164254E-14</v>
      </c>
      <c r="Z276" s="8">
        <f>IF((U276&gt;U275), (EXP(-LN(2)/inputs!$C$51)*Z275+$Z$3), (EXP(-LN(2)/inputs!$C$51)*Z275))</f>
        <v>6.551407482922165E-15</v>
      </c>
      <c r="AA276" s="8">
        <f>IF((U276&gt;U275), (EXP(-LN(2)/inputs!$C$51)*AA275+$AA$3), (EXP(-LN(2)/inputs!$C$51)*AA275))</f>
        <v>6.0834498055705863E-14</v>
      </c>
      <c r="AB276" s="7">
        <f>(((0.621*15^0.564)/0.2))*W276/15+AB275*inputs!$C$53</f>
        <v>8.5603960865413207E-14</v>
      </c>
      <c r="AC276" s="7">
        <f>(((0.621*1000^0.564)/0.2))*W276/1000+AC275*inputs!$C$53</f>
        <v>1.3717331961143381E-14</v>
      </c>
      <c r="AD276" s="7">
        <f>(((0.648*20^0.651)/0.2))*AA276/20+AD275*inputs!$C$54</f>
        <v>9.1633918871399975E-14</v>
      </c>
      <c r="AE276" s="7">
        <f>(((0.013*2^0.773)/0.2))*AA276/2+AE275*inputs!$C$54</f>
        <v>4.4683817170079909E-15</v>
      </c>
    </row>
    <row r="277" spans="1:31" x14ac:dyDescent="0.3">
      <c r="A277" s="7">
        <f>IF(A276&lt;(inputs!$C$20-1),(1+A276),0)</f>
        <v>0</v>
      </c>
      <c r="B277" s="7">
        <f>IF(inputs!$C$19&gt;B276,IF(A276=(inputs!$C$20-1),(B276+1),B276), B276)</f>
        <v>1</v>
      </c>
      <c r="C277" s="7">
        <f t="shared" si="9"/>
        <v>274</v>
      </c>
      <c r="D277" s="8">
        <f>IF((B277&gt;B276), (EXP(-LN(2)/inputs!$C$51)*D276+$D$3), (EXP(-LN(2)/inputs!$C$51)*D276))</f>
        <v>1.970832437989006E-13</v>
      </c>
      <c r="E277" s="8">
        <f>IF((B277&gt;B276), (EXP(-LN(2)/inputs!$C$51)*E276+$E$3), (EXP(-LN(2)/inputs!$C$51)*E276))</f>
        <v>9.0329820074496022E-14</v>
      </c>
      <c r="F277" s="8">
        <f>IF((B277&gt;B276), (EXP(-LN(2)/inputs!$C$51)*F276+$F$3), (EXP(-LN(2)/inputs!$C$51)*F276))</f>
        <v>1.1085932463688152E-13</v>
      </c>
      <c r="G277" s="8">
        <f>IF((B277&gt;B276), (EXP(-LN(2)/inputs!$C$51)*G276+$G$3), (EXP(-LN(2)/inputs!$C$51)*G276))</f>
        <v>1.2317702737431288E-14</v>
      </c>
      <c r="H277" s="8">
        <f>IF((B277&gt;B276), (EXP(-LN(2)/inputs!$C$51)*H276+$H$3), (EXP(-LN(2)/inputs!$C$51)*H276))</f>
        <v>7.7190937154569228E-14</v>
      </c>
      <c r="I277" s="7">
        <f>O277*(10^inputs!$C$55)*0.01/1</f>
        <v>0.21325567420232211</v>
      </c>
      <c r="J277" s="7">
        <f>(((0.621*15^0.564)/0.2))*D277/15+J276*inputs!$C$53</f>
        <v>2.1207431036061626E-13</v>
      </c>
      <c r="K277" s="7">
        <f>(((0.621*1000^0.564)/0.2))*D277/1000+K276*inputs!$C$53</f>
        <v>3.398316720672316E-14</v>
      </c>
      <c r="L277" s="7">
        <f>(((0.648*20^0.651)/0.2))*H277/20+L276*inputs!$C$54</f>
        <v>1.1627133121657608E-13</v>
      </c>
      <c r="M277" s="7">
        <f>(((0.013*2^0.773)/0.2))*H277/2+M276*inputs!$C$54</f>
        <v>5.6697857847754351E-15</v>
      </c>
      <c r="N277" s="7">
        <f>O277*0.015*inputs!$C$56</f>
        <v>3.133143812572866E-2</v>
      </c>
      <c r="O277" s="7">
        <f>IF((B277&gt;B276), (EXP(-LN(2)/inputs!$C$52)*O276+$O$3), (EXP(-LN(2)/inputs!$C$52)*O276))</f>
        <v>3.3798746629696507E-3</v>
      </c>
      <c r="P277" s="3">
        <f>IF((B277&gt;B276), (EXP(-LN(2)/inputs!$C$52)*P276+$P$3), (EXP(-LN(2)/inputs!$C$52)*P276))</f>
        <v>3.2659895205046931E-3</v>
      </c>
      <c r="Q277" s="19">
        <f>IF((F277*0.62*1/(0.012*(10^inputs!$C$55)))&gt;inputs!$C$57, inputs!$C$57, (F277*0.62*1/(0.012*(10^inputs!$C$55))))</f>
        <v>9.0778430951212142E-16</v>
      </c>
      <c r="R277" s="3">
        <f>IF((B277&gt;B276), (EXP(-LN(2)/inputs!$C$51)*R276+$R$3), (EXP(-LN(2)/inputs!$C$51)*R276))</f>
        <v>2.1091861154934458E-21</v>
      </c>
      <c r="T277" s="7">
        <f>IF(T276&lt;(inputs!$C$20-1),(1+T276),0)</f>
        <v>0</v>
      </c>
      <c r="U277" s="7">
        <f>IF(inputs!$C$19&gt;U276,IF(T276=(inputs!$C$20-1),(U276+1),U276), U276)</f>
        <v>1</v>
      </c>
      <c r="V277" s="7">
        <f t="shared" si="8"/>
        <v>274</v>
      </c>
      <c r="W277" s="8">
        <f>IF((U277&gt;U276), (EXP(-LN(2)/inputs!$C$51)*W276+$W$3), (EXP(-LN(2)/inputs!$C$51)*W276))</f>
        <v>6.9800315512110504E-14</v>
      </c>
      <c r="X277" s="8">
        <f>IF((U277&gt;U276), (EXP(-LN(2)/inputs!$C$51)*X276+$X$3), (EXP(-LN(2)/inputs!$C$51)*X276))</f>
        <v>2.9562486569835034E-14</v>
      </c>
      <c r="Y277" s="8">
        <f>IF((U277&gt;U276), (EXP(-LN(2)/inputs!$C$51)*Y276+$Y$3), (EXP(-LN(2)/inputs!$C$51)*Y276))</f>
        <v>3.6953108212293834E-14</v>
      </c>
      <c r="Z277" s="8">
        <f>IF((U277&gt;U276), (EXP(-LN(2)/inputs!$C$51)*Z276+$Z$3), (EXP(-LN(2)/inputs!$C$51)*Z276))</f>
        <v>5.7482612774679228E-15</v>
      </c>
      <c r="AA277" s="8">
        <f>IF((U277&gt;U276), (EXP(-LN(2)/inputs!$C$51)*AA276+$AA$3), (EXP(-LN(2)/inputs!$C$51)*AA276))</f>
        <v>5.3376711862202175E-14</v>
      </c>
      <c r="AB277" s="7">
        <f>(((0.621*15^0.564)/0.2))*W277/15+AB276*inputs!$C$53</f>
        <v>7.5109651586051457E-14</v>
      </c>
      <c r="AC277" s="7">
        <f>(((0.621*1000^0.564)/0.2))*W277/1000+AC276*inputs!$C$53</f>
        <v>1.2035705052381096E-14</v>
      </c>
      <c r="AD277" s="7">
        <f>(((0.648*20^0.651)/0.2))*AA277/20+AD276*inputs!$C$54</f>
        <v>8.0400388607206948E-14</v>
      </c>
      <c r="AE277" s="7">
        <f>(((0.013*2^0.773)/0.2))*AA277/2+AE276*inputs!$C$54</f>
        <v>3.9205965533021659E-15</v>
      </c>
    </row>
    <row r="278" spans="1:31" x14ac:dyDescent="0.3">
      <c r="A278" s="7">
        <f>IF(A277&lt;(inputs!$C$20-1),(1+A277),0)</f>
        <v>0</v>
      </c>
      <c r="B278" s="7">
        <f>IF(inputs!$C$19&gt;B277,IF(A277=(inputs!$C$20-1),(B277+1),B277), B277)</f>
        <v>1</v>
      </c>
      <c r="C278" s="7">
        <f t="shared" si="9"/>
        <v>275</v>
      </c>
      <c r="D278" s="8">
        <f>IF((B278&gt;B277), (EXP(-LN(2)/inputs!$C$51)*D277+$D$3), (EXP(-LN(2)/inputs!$C$51)*D277))</f>
        <v>1.7292253332129515E-13</v>
      </c>
      <c r="E278" s="8">
        <f>IF((B278&gt;B277), (EXP(-LN(2)/inputs!$C$51)*E277+$E$3), (EXP(-LN(2)/inputs!$C$51)*E277))</f>
        <v>7.9256161105593524E-14</v>
      </c>
      <c r="F278" s="8">
        <f>IF((B278&gt;B277), (EXP(-LN(2)/inputs!$C$51)*F277+$F$3), (EXP(-LN(2)/inputs!$C$51)*F277))</f>
        <v>9.7268924993228452E-14</v>
      </c>
      <c r="G278" s="8">
        <f>IF((B278&gt;B277), (EXP(-LN(2)/inputs!$C$51)*G277+$G$3), (EXP(-LN(2)/inputs!$C$51)*G277))</f>
        <v>1.0807658332580947E-14</v>
      </c>
      <c r="H278" s="8">
        <f>IF((B278&gt;B277), (EXP(-LN(2)/inputs!$C$51)*H277+$H$3), (EXP(-LN(2)/inputs!$C$51)*H277))</f>
        <v>6.7727992217507115E-14</v>
      </c>
      <c r="I278" s="7">
        <f>O278*(10^inputs!$C$55)*0.01/1</f>
        <v>0.2089521153285519</v>
      </c>
      <c r="J278" s="7">
        <f>(((0.621*15^0.564)/0.2))*D278/15+J277*inputs!$C$53</f>
        <v>1.8607582406825052E-13</v>
      </c>
      <c r="K278" s="7">
        <f>(((0.621*1000^0.564)/0.2))*D278/1000+K277*inputs!$C$53</f>
        <v>2.981712321349823E-14</v>
      </c>
      <c r="L278" s="7">
        <f>(((0.648*20^0.651)/0.2))*H278/20+L277*inputs!$C$54</f>
        <v>1.0201746611764403E-13</v>
      </c>
      <c r="M278" s="7">
        <f>(((0.013*2^0.773)/0.2))*H278/2+M277*inputs!$C$54</f>
        <v>4.9747188162421797E-15</v>
      </c>
      <c r="N278" s="7">
        <f>O278*0.015*inputs!$C$56</f>
        <v>3.0699160981974734E-2</v>
      </c>
      <c r="O278" s="7">
        <f>IF((B278&gt;B277), (EXP(-LN(2)/inputs!$C$52)*O277+$O$3), (EXP(-LN(2)/inputs!$C$52)*O277))</f>
        <v>3.3116678513457104E-3</v>
      </c>
      <c r="P278" s="3">
        <f>IF((B278&gt;B277), (EXP(-LN(2)/inputs!$C$52)*P277+$P$3), (EXP(-LN(2)/inputs!$C$52)*P277))</f>
        <v>3.200080942760245E-3</v>
      </c>
      <c r="Q278" s="19">
        <f>IF((F278*0.62*1/(0.012*(10^inputs!$C$55)))&gt;inputs!$C$57, inputs!$C$57, (F278*0.62*1/(0.012*(10^inputs!$C$55))))</f>
        <v>7.9649776147552107E-16</v>
      </c>
      <c r="R278" s="3">
        <f>IF((B278&gt;B277), (EXP(-LN(2)/inputs!$C$51)*R277+$R$3), (EXP(-LN(2)/inputs!$C$51)*R277))</f>
        <v>1.8506180399049378E-21</v>
      </c>
      <c r="T278" s="7">
        <f>IF(T277&lt;(inputs!$C$20-1),(1+T277),0)</f>
        <v>0</v>
      </c>
      <c r="U278" s="7">
        <f>IF(inputs!$C$19&gt;U277,IF(T277=(inputs!$C$20-1),(U277+1),U277), U277)</f>
        <v>1</v>
      </c>
      <c r="V278" s="7">
        <f t="shared" si="8"/>
        <v>275</v>
      </c>
      <c r="W278" s="8">
        <f>IF((U278&gt;U277), (EXP(-LN(2)/inputs!$C$51)*W277+$W$3), (EXP(-LN(2)/inputs!$C$51)*W277))</f>
        <v>6.1243397217958583E-14</v>
      </c>
      <c r="X278" s="8">
        <f>IF((U278&gt;U277), (EXP(-LN(2)/inputs!$C$51)*X277+$X$3), (EXP(-LN(2)/inputs!$C$51)*X277))</f>
        <v>2.5938379998194221E-14</v>
      </c>
      <c r="Y278" s="8">
        <f>IF((U278&gt;U277), (EXP(-LN(2)/inputs!$C$51)*Y277+$Y$3), (EXP(-LN(2)/inputs!$C$51)*Y277))</f>
        <v>3.2422974997742813E-14</v>
      </c>
      <c r="Z278" s="8">
        <f>IF((U278&gt;U277), (EXP(-LN(2)/inputs!$C$51)*Z277+$Z$3), (EXP(-LN(2)/inputs!$C$51)*Z277))</f>
        <v>5.0435738885377652E-15</v>
      </c>
      <c r="AA278" s="8">
        <f>IF((U278&gt;U277), (EXP(-LN(2)/inputs!$C$51)*AA277+$AA$3), (EXP(-LN(2)/inputs!$C$51)*AA277))</f>
        <v>4.6833186107850704E-14</v>
      </c>
      <c r="AB278" s="7">
        <f>(((0.621*15^0.564)/0.2))*W278/15+AB277*inputs!$C$53</f>
        <v>6.5901854357505271E-14</v>
      </c>
      <c r="AC278" s="7">
        <f>(((0.621*1000^0.564)/0.2))*W278/1000+AC277*inputs!$C$53</f>
        <v>1.0560231138113935E-14</v>
      </c>
      <c r="AD278" s="7">
        <f>(((0.648*20^0.651)/0.2))*AA278/20+AD277*inputs!$C$54</f>
        <v>7.0543992528158175E-14</v>
      </c>
      <c r="AE278" s="7">
        <f>(((0.013*2^0.773)/0.2))*AA278/2+AE277*inputs!$C$54</f>
        <v>3.4399651388908721E-15</v>
      </c>
    </row>
    <row r="279" spans="1:31" x14ac:dyDescent="0.3">
      <c r="A279" s="7">
        <f>IF(A278&lt;(inputs!$C$20-1),(1+A278),0)</f>
        <v>0</v>
      </c>
      <c r="B279" s="7">
        <f>IF(inputs!$C$19&gt;B278,IF(A278=(inputs!$C$20-1),(B278+1),B278), B278)</f>
        <v>1</v>
      </c>
      <c r="C279" s="7">
        <f t="shared" si="9"/>
        <v>276</v>
      </c>
      <c r="D279" s="8">
        <f>IF((B279&gt;B278), (EXP(-LN(2)/inputs!$C$51)*D278+$D$3), (EXP(-LN(2)/inputs!$C$51)*D278))</f>
        <v>1.5172371812981716E-13</v>
      </c>
      <c r="E279" s="8">
        <f>IF((B279&gt;B278), (EXP(-LN(2)/inputs!$C$51)*E278+$E$3), (EXP(-LN(2)/inputs!$C$51)*E278))</f>
        <v>6.9540037476166122E-14</v>
      </c>
      <c r="F279" s="8">
        <f>IF((B279&gt;B278), (EXP(-LN(2)/inputs!$C$51)*F278+$F$3), (EXP(-LN(2)/inputs!$C$51)*F278))</f>
        <v>8.5344591448022084E-14</v>
      </c>
      <c r="G279" s="8">
        <f>IF((B279&gt;B278), (EXP(-LN(2)/inputs!$C$51)*G278+$G$3), (EXP(-LN(2)/inputs!$C$51)*G278))</f>
        <v>9.4827323831135722E-15</v>
      </c>
      <c r="H279" s="8">
        <f>IF((B279&gt;B278), (EXP(-LN(2)/inputs!$C$51)*H278+$H$3), (EXP(-LN(2)/inputs!$C$51)*H278))</f>
        <v>5.9425122934178247E-14</v>
      </c>
      <c r="I279" s="7">
        <f>O279*(10^inputs!$C$55)*0.01/1</f>
        <v>0.20473540347092453</v>
      </c>
      <c r="J279" s="7">
        <f>(((0.621*15^0.564)/0.2))*D279/15+J278*inputs!$C$53</f>
        <v>1.6326452856926742E-13</v>
      </c>
      <c r="K279" s="7">
        <f>(((0.621*1000^0.564)/0.2))*D279/1000+K278*inputs!$C$53</f>
        <v>2.6161800379602199E-14</v>
      </c>
      <c r="L279" s="7">
        <f>(((0.648*20^0.651)/0.2))*H279/20+L278*inputs!$C$54</f>
        <v>8.9511002275175684E-14</v>
      </c>
      <c r="M279" s="7">
        <f>(((0.013*2^0.773)/0.2))*H279/2+M278*inputs!$C$54</f>
        <v>4.3648610794303907E-15</v>
      </c>
      <c r="N279" s="7">
        <f>O279*0.015*inputs!$C$56</f>
        <v>3.0079643367001752E-2</v>
      </c>
      <c r="O279" s="7">
        <f>IF((B279&gt;B278), (EXP(-LN(2)/inputs!$C$52)*O278+$O$3), (EXP(-LN(2)/inputs!$C$52)*O278))</f>
        <v>3.244837472168474E-3</v>
      </c>
      <c r="P279" s="3">
        <f>IF((B279&gt;B278), (EXP(-LN(2)/inputs!$C$52)*P278+$P$3), (EXP(-LN(2)/inputs!$C$52)*P278))</f>
        <v>3.1355024184630056E-3</v>
      </c>
      <c r="Q279" s="19">
        <f>IF((F279*0.62*1/(0.012*(10^inputs!$C$55)))&gt;inputs!$C$57, inputs!$C$57, (F279*0.62*1/(0.012*(10^inputs!$C$55))))</f>
        <v>6.988539869966159E-16</v>
      </c>
      <c r="R279" s="3">
        <f>IF((B279&gt;B278), (EXP(-LN(2)/inputs!$C$51)*R278+$R$3), (EXP(-LN(2)/inputs!$C$51)*R278))</f>
        <v>1.6237481863094678E-21</v>
      </c>
      <c r="T279" s="7">
        <f>IF(T278&lt;(inputs!$C$20-1),(1+T278),0)</f>
        <v>0</v>
      </c>
      <c r="U279" s="7">
        <f>IF(inputs!$C$19&gt;U278,IF(T278=(inputs!$C$20-1),(U278+1),U278), U278)</f>
        <v>1</v>
      </c>
      <c r="V279" s="7">
        <f t="shared" si="8"/>
        <v>276</v>
      </c>
      <c r="W279" s="8">
        <f>IF((U279&gt;U278), (EXP(-LN(2)/inputs!$C$51)*W278+$W$3), (EXP(-LN(2)/inputs!$C$51)*W278))</f>
        <v>5.3735483504310143E-14</v>
      </c>
      <c r="X279" s="8">
        <f>IF((U279&gt;U278), (EXP(-LN(2)/inputs!$C$51)*X278+$X$3), (EXP(-LN(2)/inputs!$C$51)*X278))</f>
        <v>2.2758557719472527E-14</v>
      </c>
      <c r="Y279" s="8">
        <f>IF((U279&gt;U278), (EXP(-LN(2)/inputs!$C$51)*Y278+$Y$3), (EXP(-LN(2)/inputs!$C$51)*Y278))</f>
        <v>2.8448197149340695E-14</v>
      </c>
      <c r="Z279" s="8">
        <f>IF((U279&gt;U278), (EXP(-LN(2)/inputs!$C$51)*Z278+$Z$3), (EXP(-LN(2)/inputs!$C$51)*Z278))</f>
        <v>4.4252751121196583E-15</v>
      </c>
      <c r="AA279" s="8">
        <f>IF((U279&gt;U278), (EXP(-LN(2)/inputs!$C$51)*AA278+$AA$3), (EXP(-LN(2)/inputs!$C$51)*AA278))</f>
        <v>4.1091840326825422E-14</v>
      </c>
      <c r="AB279" s="7">
        <f>(((0.621*15^0.564)/0.2))*W279/15+AB278*inputs!$C$53</f>
        <v>5.7822853868282106E-14</v>
      </c>
      <c r="AC279" s="7">
        <f>(((0.621*1000^0.564)/0.2))*W279/1000+AC278*inputs!$C$53</f>
        <v>9.2656376344424269E-15</v>
      </c>
      <c r="AD279" s="7">
        <f>(((0.648*20^0.651)/0.2))*AA279/20+AD278*inputs!$C$54</f>
        <v>6.1895905828578997E-14</v>
      </c>
      <c r="AE279" s="7">
        <f>(((0.013*2^0.773)/0.2))*AA279/2+AE278*inputs!$C$54</f>
        <v>3.0182550017337841E-15</v>
      </c>
    </row>
    <row r="280" spans="1:31" x14ac:dyDescent="0.3">
      <c r="A280" s="7">
        <f>IF(A279&lt;(inputs!$C$20-1),(1+A279),0)</f>
        <v>0</v>
      </c>
      <c r="B280" s="7">
        <f>IF(inputs!$C$19&gt;B279,IF(A279=(inputs!$C$20-1),(B279+1),B279), B279)</f>
        <v>1</v>
      </c>
      <c r="C280" s="7">
        <f t="shared" si="9"/>
        <v>277</v>
      </c>
      <c r="D280" s="8">
        <f>IF((B280&gt;B279), (EXP(-LN(2)/inputs!$C$51)*D279+$D$3), (EXP(-LN(2)/inputs!$C$51)*D279))</f>
        <v>1.3312369533913899E-13</v>
      </c>
      <c r="E280" s="8">
        <f>IF((B280&gt;B279), (EXP(-LN(2)/inputs!$C$51)*E279+$E$3), (EXP(-LN(2)/inputs!$C$51)*E279))</f>
        <v>6.1015027030438641E-14</v>
      </c>
      <c r="F280" s="8">
        <f>IF((B280&gt;B279), (EXP(-LN(2)/inputs!$C$51)*F279+$F$3), (EXP(-LN(2)/inputs!$C$51)*F279))</f>
        <v>7.4882078628265621E-14</v>
      </c>
      <c r="G280" s="8">
        <f>IF((B280&gt;B279), (EXP(-LN(2)/inputs!$C$51)*G279+$G$3), (EXP(-LN(2)/inputs!$C$51)*G279))</f>
        <v>8.320230958696187E-15</v>
      </c>
      <c r="H280" s="8">
        <f>IF((B280&gt;B279), (EXP(-LN(2)/inputs!$C$51)*H279+$H$3), (EXP(-LN(2)/inputs!$C$51)*H279))</f>
        <v>5.2140114007829316E-14</v>
      </c>
      <c r="I280" s="7">
        <f>O280*(10^inputs!$C$55)*0.01/1</f>
        <v>0.20060378603247689</v>
      </c>
      <c r="J280" s="7">
        <f>(((0.621*15^0.564)/0.2))*D280/15+J279*inputs!$C$53</f>
        <v>1.4324970168702986E-13</v>
      </c>
      <c r="K280" s="7">
        <f>(((0.621*1000^0.564)/0.2))*D280/1000+K279*inputs!$C$53</f>
        <v>2.2954588683870994E-14</v>
      </c>
      <c r="L280" s="7">
        <f>(((0.648*20^0.651)/0.2))*H280/20+L279*inputs!$C$54</f>
        <v>7.8537723325405993E-14</v>
      </c>
      <c r="M280" s="7">
        <f>(((0.013*2^0.773)/0.2))*H280/2+M279*inputs!$C$54</f>
        <v>3.8297666554584912E-15</v>
      </c>
      <c r="N280" s="7">
        <f>O280*0.015*inputs!$C$56</f>
        <v>2.9472627789966784E-2</v>
      </c>
      <c r="O280" s="7">
        <f>IF((B280&gt;B279), (EXP(-LN(2)/inputs!$C$52)*O279+$O$3), (EXP(-LN(2)/inputs!$C$52)*O279))</f>
        <v>3.1793557486479813E-3</v>
      </c>
      <c r="P280" s="3">
        <f>IF((B280&gt;B279), (EXP(-LN(2)/inputs!$C$52)*P279+$P$3), (EXP(-LN(2)/inputs!$C$52)*P279))</f>
        <v>3.0722271067641365E-3</v>
      </c>
      <c r="Q280" s="19">
        <f>IF((F280*0.62*1/(0.012*(10^inputs!$C$55)))&gt;inputs!$C$57, inputs!$C$57, (F280*0.62*1/(0.012*(10^inputs!$C$55))))</f>
        <v>6.1318049938559218E-16</v>
      </c>
      <c r="R280" s="3">
        <f>IF((B280&gt;B279), (EXP(-LN(2)/inputs!$C$51)*R279+$R$3), (EXP(-LN(2)/inputs!$C$51)*R279))</f>
        <v>1.4246906253430449E-21</v>
      </c>
      <c r="T280" s="7">
        <f>IF(T279&lt;(inputs!$C$20-1),(1+T279),0)</f>
        <v>0</v>
      </c>
      <c r="U280" s="7">
        <f>IF(inputs!$C$19&gt;U279,IF(T279=(inputs!$C$20-1),(U279+1),U279), U279)</f>
        <v>1</v>
      </c>
      <c r="V280" s="7">
        <f t="shared" si="8"/>
        <v>277</v>
      </c>
      <c r="W280" s="8">
        <f>IF((U280&gt;U279), (EXP(-LN(2)/inputs!$C$51)*W279+$W$3), (EXP(-LN(2)/inputs!$C$51)*W279))</f>
        <v>4.7147975432611641E-14</v>
      </c>
      <c r="X280" s="8">
        <f>IF((U280&gt;U279), (EXP(-LN(2)/inputs!$C$51)*X279+$X$3), (EXP(-LN(2)/inputs!$C$51)*X279))</f>
        <v>1.9968554300870808E-14</v>
      </c>
      <c r="Y280" s="8">
        <f>IF((U280&gt;U279), (EXP(-LN(2)/inputs!$C$51)*Y279+$Y$3), (EXP(-LN(2)/inputs!$C$51)*Y279))</f>
        <v>2.4960692876088544E-14</v>
      </c>
      <c r="Z280" s="8">
        <f>IF((U280&gt;U279), (EXP(-LN(2)/inputs!$C$51)*Z279+$Z$3), (EXP(-LN(2)/inputs!$C$51)*Z279))</f>
        <v>3.882774447391546E-15</v>
      </c>
      <c r="AA280" s="8">
        <f>IF((U280&gt;U279), (EXP(-LN(2)/inputs!$C$51)*AA279+$AA$3), (EXP(-LN(2)/inputs!$C$51)*AA279))</f>
        <v>3.6054334154350094E-14</v>
      </c>
      <c r="AB280" s="7">
        <f>(((0.621*15^0.564)/0.2))*W280/15+AB279*inputs!$C$53</f>
        <v>5.0734269347489647E-14</v>
      </c>
      <c r="AC280" s="7">
        <f>(((0.621*1000^0.564)/0.2))*W280/1000+AC279*inputs!$C$53</f>
        <v>8.1297501588709633E-15</v>
      </c>
      <c r="AD280" s="7">
        <f>(((0.648*20^0.651)/0.2))*AA280/20+AD279*inputs!$C$54</f>
        <v>5.4308000171823351E-14</v>
      </c>
      <c r="AE280" s="7">
        <f>(((0.013*2^0.773)/0.2))*AA280/2+AE279*inputs!$C$54</f>
        <v>2.6482429000510871E-15</v>
      </c>
    </row>
    <row r="281" spans="1:31" x14ac:dyDescent="0.3">
      <c r="A281" s="7">
        <f>IF(A280&lt;(inputs!$C$20-1),(1+A280),0)</f>
        <v>0</v>
      </c>
      <c r="B281" s="7">
        <f>IF(inputs!$C$19&gt;B280,IF(A280=(inputs!$C$20-1),(B280+1),B280), B280)</f>
        <v>1</v>
      </c>
      <c r="C281" s="7">
        <f t="shared" si="9"/>
        <v>278</v>
      </c>
      <c r="D281" s="8">
        <f>IF((B281&gt;B280), (EXP(-LN(2)/inputs!$C$51)*D280+$D$3), (EXP(-LN(2)/inputs!$C$51)*D280))</f>
        <v>1.1680387535444359E-13</v>
      </c>
      <c r="E281" s="8">
        <f>IF((B281&gt;B280), (EXP(-LN(2)/inputs!$C$51)*E280+$E$3), (EXP(-LN(2)/inputs!$C$51)*E280))</f>
        <v>5.3535109537453259E-14</v>
      </c>
      <c r="F281" s="8">
        <f>IF((B281&gt;B280), (EXP(-LN(2)/inputs!$C$51)*F280+$F$3), (EXP(-LN(2)/inputs!$C$51)*F280))</f>
        <v>6.5702179886874467E-14</v>
      </c>
      <c r="G281" s="8">
        <f>IF((B281&gt;B280), (EXP(-LN(2)/inputs!$C$51)*G280+$G$3), (EXP(-LN(2)/inputs!$C$51)*G280))</f>
        <v>7.3002422096527246E-15</v>
      </c>
      <c r="H281" s="8">
        <f>IF((B281&gt;B280), (EXP(-LN(2)/inputs!$C$51)*H280+$H$3), (EXP(-LN(2)/inputs!$C$51)*H280))</f>
        <v>4.5748184513823635E-14</v>
      </c>
      <c r="I281" s="7">
        <f>O281*(10^inputs!$C$55)*0.01/1</f>
        <v>0.19655554578414045</v>
      </c>
      <c r="J281" s="7">
        <f>(((0.621*15^0.564)/0.2))*D281/15+J280*inputs!$C$53</f>
        <v>1.256885204229584E-13</v>
      </c>
      <c r="K281" s="7">
        <f>(((0.621*1000^0.564)/0.2))*D281/1000+K280*inputs!$C$53</f>
        <v>2.0140553555194983E-14</v>
      </c>
      <c r="L281" s="7">
        <f>(((0.648*20^0.651)/0.2))*H281/20+L280*inputs!$C$54</f>
        <v>6.8909673988184759E-14</v>
      </c>
      <c r="M281" s="7">
        <f>(((0.013*2^0.773)/0.2))*H281/2+M280*inputs!$C$54</f>
        <v>3.3602702052491807E-15</v>
      </c>
      <c r="N281" s="7">
        <f>O281*0.015*inputs!$C$56</f>
        <v>2.8877861956263792E-2</v>
      </c>
      <c r="O281" s="7">
        <f>IF((B281&gt;B280), (EXP(-LN(2)/inputs!$C$52)*O280+$O$3), (EXP(-LN(2)/inputs!$C$52)*O280))</f>
        <v>3.1151954645376261E-3</v>
      </c>
      <c r="P281" s="3">
        <f>IF((B281&gt;B280), (EXP(-LN(2)/inputs!$C$52)*P280+$P$3), (EXP(-LN(2)/inputs!$C$52)*P280))</f>
        <v>3.0102287084706001E-3</v>
      </c>
      <c r="Q281" s="19">
        <f>IF((F281*0.62*1/(0.012*(10^inputs!$C$55)))&gt;inputs!$C$57, inputs!$C$57, (F281*0.62*1/(0.012*(10^inputs!$C$55))))</f>
        <v>5.3800984443490745E-16</v>
      </c>
      <c r="R281" s="3">
        <f>IF((B281&gt;B280), (EXP(-LN(2)/inputs!$C$51)*R280+$R$3), (EXP(-LN(2)/inputs!$C$51)*R280))</f>
        <v>1.2500358091568705E-21</v>
      </c>
      <c r="T281" s="7">
        <f>IF(T280&lt;(inputs!$C$20-1),(1+T280),0)</f>
        <v>0</v>
      </c>
      <c r="U281" s="7">
        <f>IF(inputs!$C$19&gt;U280,IF(T280=(inputs!$C$20-1),(U280+1),U280), U280)</f>
        <v>1</v>
      </c>
      <c r="V281" s="7">
        <f t="shared" si="8"/>
        <v>278</v>
      </c>
      <c r="W281" s="8">
        <f>IF((U281&gt;U280), (EXP(-LN(2)/inputs!$C$51)*W280+$W$3), (EXP(-LN(2)/inputs!$C$51)*W280))</f>
        <v>4.1368039188032031E-14</v>
      </c>
      <c r="X281" s="8">
        <f>IF((U281&gt;U280), (EXP(-LN(2)/inputs!$C$51)*X280+$X$3), (EXP(-LN(2)/inputs!$C$51)*X280))</f>
        <v>1.7520581303166504E-14</v>
      </c>
      <c r="Y281" s="8">
        <f>IF((U281&gt;U280), (EXP(-LN(2)/inputs!$C$51)*Y280+$Y$3), (EXP(-LN(2)/inputs!$C$51)*Y280))</f>
        <v>2.1900726628958158E-14</v>
      </c>
      <c r="Z281" s="8">
        <f>IF((U281&gt;U280), (EXP(-LN(2)/inputs!$C$51)*Z280+$Z$3), (EXP(-LN(2)/inputs!$C$51)*Z280))</f>
        <v>3.4067796978379312E-15</v>
      </c>
      <c r="AA281" s="8">
        <f>IF((U281&gt;U280), (EXP(-LN(2)/inputs!$C$51)*AA280+$AA$3), (EXP(-LN(2)/inputs!$C$51)*AA280))</f>
        <v>3.1634382908495095E-14</v>
      </c>
      <c r="AB281" s="7">
        <f>(((0.621*15^0.564)/0.2))*W281/15+AB280*inputs!$C$53</f>
        <v>4.4514684316464351E-14</v>
      </c>
      <c r="AC281" s="7">
        <f>(((0.621*1000^0.564)/0.2))*W281/1000+AC280*inputs!$C$53</f>
        <v>7.1331127174648771E-15</v>
      </c>
      <c r="AD281" s="7">
        <f>(((0.648*20^0.651)/0.2))*AA281/20+AD280*inputs!$C$54</f>
        <v>4.765030648119164E-14</v>
      </c>
      <c r="AE281" s="7">
        <f>(((0.013*2^0.773)/0.2))*AA281/2+AE280*inputs!$C$54</f>
        <v>2.3235910993744354E-15</v>
      </c>
    </row>
    <row r="282" spans="1:31" x14ac:dyDescent="0.3">
      <c r="A282" s="7">
        <f>IF(A281&lt;(inputs!$C$20-1),(1+A281),0)</f>
        <v>0</v>
      </c>
      <c r="B282" s="7">
        <f>IF(inputs!$C$19&gt;B281,IF(A281=(inputs!$C$20-1),(B281+1),B281), B281)</f>
        <v>1</v>
      </c>
      <c r="C282" s="7">
        <f t="shared" si="9"/>
        <v>279</v>
      </c>
      <c r="D282" s="8">
        <f>IF((B282&gt;B281), (EXP(-LN(2)/inputs!$C$51)*D281+$D$3), (EXP(-LN(2)/inputs!$C$51)*D281))</f>
        <v>1.0248472492488907E-13</v>
      </c>
      <c r="E282" s="8">
        <f>IF((B282&gt;B281), (EXP(-LN(2)/inputs!$C$51)*E281+$E$3), (EXP(-LN(2)/inputs!$C$51)*E281))</f>
        <v>4.6972165590574105E-14</v>
      </c>
      <c r="F282" s="8">
        <f>IF((B282&gt;B281), (EXP(-LN(2)/inputs!$C$51)*F281+$F$3), (EXP(-LN(2)/inputs!$C$51)*F281))</f>
        <v>5.7647657770250046E-14</v>
      </c>
      <c r="G282" s="8">
        <f>IF((B282&gt;B281), (EXP(-LN(2)/inputs!$C$51)*G281+$G$3), (EXP(-LN(2)/inputs!$C$51)*G281))</f>
        <v>6.4052953078055667E-15</v>
      </c>
      <c r="H282" s="8">
        <f>IF((B282&gt;B281), (EXP(-LN(2)/inputs!$C$51)*H281+$H$3), (EXP(-LN(2)/inputs!$C$51)*H281))</f>
        <v>4.0139850595581459E-14</v>
      </c>
      <c r="I282" s="7">
        <f>O282*(10^inputs!$C$55)*0.01/1</f>
        <v>0.19258900015100733</v>
      </c>
      <c r="J282" s="7">
        <f>(((0.621*15^0.564)/0.2))*D282/15+J281*inputs!$C$53</f>
        <v>1.1028018892930637E-13</v>
      </c>
      <c r="K282" s="7">
        <f>(((0.621*1000^0.564)/0.2))*D282/1000+K281*inputs!$C$53</f>
        <v>1.7671494928362662E-14</v>
      </c>
      <c r="L282" s="7">
        <f>(((0.648*20^0.651)/0.2))*H282/20+L281*inputs!$C$54</f>
        <v>6.0461940684010291E-14</v>
      </c>
      <c r="M282" s="7">
        <f>(((0.013*2^0.773)/0.2))*H282/2+M281*inputs!$C$54</f>
        <v>2.9483299814603424E-15</v>
      </c>
      <c r="N282" s="7">
        <f>O282*0.015*inputs!$C$56</f>
        <v>2.8295098662662121E-2</v>
      </c>
      <c r="O282" s="7">
        <f>IF((B282&gt;B281), (EXP(-LN(2)/inputs!$C$52)*O281+$O$3), (EXP(-LN(2)/inputs!$C$52)*O281))</f>
        <v>3.0523299528222355E-3</v>
      </c>
      <c r="P282" s="3">
        <f>IF((B282&gt;B281), (EXP(-LN(2)/inputs!$C$52)*P281+$P$3), (EXP(-LN(2)/inputs!$C$52)*P281))</f>
        <v>2.9494814551143966E-3</v>
      </c>
      <c r="Q282" s="19">
        <f>IF((F282*0.62*1/(0.012*(10^inputs!$C$55)))&gt;inputs!$C$57, inputs!$C$57, (F282*0.62*1/(0.012*(10^inputs!$C$55))))</f>
        <v>4.7205446520055224E-16</v>
      </c>
      <c r="R282" s="3">
        <f>IF((B282&gt;B281), (EXP(-LN(2)/inputs!$C$51)*R281+$R$3), (EXP(-LN(2)/inputs!$C$51)*R281))</f>
        <v>1.0967921711411718E-21</v>
      </c>
      <c r="T282" s="7">
        <f>IF(T281&lt;(inputs!$C$20-1),(1+T281),0)</f>
        <v>0</v>
      </c>
      <c r="U282" s="7">
        <f>IF(inputs!$C$19&gt;U281,IF(T281=(inputs!$C$20-1),(U281+1),U281), U281)</f>
        <v>1</v>
      </c>
      <c r="V282" s="7">
        <f t="shared" si="8"/>
        <v>279</v>
      </c>
      <c r="W282" s="8">
        <f>IF((U282&gt;U281), (EXP(-LN(2)/inputs!$C$51)*W281+$W$3), (EXP(-LN(2)/inputs!$C$51)*W281))</f>
        <v>3.6296673410898145E-14</v>
      </c>
      <c r="X282" s="8">
        <f>IF((U282&gt;U281), (EXP(-LN(2)/inputs!$C$51)*X281+$X$3), (EXP(-LN(2)/inputs!$C$51)*X281))</f>
        <v>1.5372708738733329E-14</v>
      </c>
      <c r="Y282" s="8">
        <f>IF((U282&gt;U281), (EXP(-LN(2)/inputs!$C$51)*Y281+$Y$3), (EXP(-LN(2)/inputs!$C$51)*Y281))</f>
        <v>1.9215885923416684E-14</v>
      </c>
      <c r="Z282" s="8">
        <f>IF((U282&gt;U281), (EXP(-LN(2)/inputs!$C$51)*Z281+$Z$3), (EXP(-LN(2)/inputs!$C$51)*Z281))</f>
        <v>2.9891378103092582E-15</v>
      </c>
      <c r="AA282" s="8">
        <f>IF((U282&gt;U281), (EXP(-LN(2)/inputs!$C$51)*AA281+$AA$3), (EXP(-LN(2)/inputs!$C$51)*AA281))</f>
        <v>2.7756279667157415E-14</v>
      </c>
      <c r="AB282" s="7">
        <f>(((0.621*15^0.564)/0.2))*W282/15+AB281*inputs!$C$53</f>
        <v>3.90575669124626E-14</v>
      </c>
      <c r="AC282" s="7">
        <f>(((0.621*1000^0.564)/0.2))*W282/1000+AC281*inputs!$C$53</f>
        <v>6.258654453795097E-15</v>
      </c>
      <c r="AD282" s="7">
        <f>(((0.648*20^0.651)/0.2))*AA282/20+AD281*inputs!$C$54</f>
        <v>4.1808788770858207E-14</v>
      </c>
      <c r="AE282" s="7">
        <f>(((0.013*2^0.773)/0.2))*AA282/2+AE281*inputs!$C$54</f>
        <v>2.0387388169672596E-15</v>
      </c>
    </row>
    <row r="283" spans="1:31" x14ac:dyDescent="0.3">
      <c r="A283" s="7">
        <f>IF(A282&lt;(inputs!$C$20-1),(1+A282),0)</f>
        <v>0</v>
      </c>
      <c r="B283" s="7">
        <f>IF(inputs!$C$19&gt;B282,IF(A282=(inputs!$C$20-1),(B282+1),B282), B282)</f>
        <v>1</v>
      </c>
      <c r="C283" s="7">
        <f t="shared" si="9"/>
        <v>280</v>
      </c>
      <c r="D283" s="8">
        <f>IF((B283&gt;B282), (EXP(-LN(2)/inputs!$C$51)*D282+$D$3), (EXP(-LN(2)/inputs!$C$51)*D282))</f>
        <v>8.9920979171780587E-14</v>
      </c>
      <c r="E283" s="8">
        <f>IF((B283&gt;B282), (EXP(-LN(2)/inputs!$C$51)*E282+$E$3), (EXP(-LN(2)/inputs!$C$51)*E282))</f>
        <v>4.1213782120399393E-14</v>
      </c>
      <c r="F283" s="8">
        <f>IF((B283&gt;B282), (EXP(-LN(2)/inputs!$C$51)*F282+$F$3), (EXP(-LN(2)/inputs!$C$51)*F282))</f>
        <v>5.0580550784126534E-14</v>
      </c>
      <c r="G283" s="8">
        <f>IF((B283&gt;B282), (EXP(-LN(2)/inputs!$C$51)*G282+$G$3), (EXP(-LN(2)/inputs!$C$51)*G282))</f>
        <v>5.6200611982362867E-15</v>
      </c>
      <c r="H283" s="8">
        <f>IF((B283&gt;B282), (EXP(-LN(2)/inputs!$C$51)*H282+$H$3), (EXP(-LN(2)/inputs!$C$51)*H282))</f>
        <v>3.5219050175613982E-14</v>
      </c>
      <c r="I283" s="7">
        <f>O283*(10^inputs!$C$55)*0.01/1</f>
        <v>0.18870250051299969</v>
      </c>
      <c r="J283" s="7">
        <f>(((0.621*15^0.564)/0.2))*D283/15+J282*inputs!$C$53</f>
        <v>9.6760786341964431E-14</v>
      </c>
      <c r="K283" s="7">
        <f>(((0.621*1000^0.564)/0.2))*D283/1000+K282*inputs!$C$53</f>
        <v>1.5505121651564457E-14</v>
      </c>
      <c r="L283" s="7">
        <f>(((0.648*20^0.651)/0.2))*H283/20+L282*inputs!$C$54</f>
        <v>5.3049826819723073E-14</v>
      </c>
      <c r="M283" s="7">
        <f>(((0.013*2^0.773)/0.2))*H283/2+M282*inputs!$C$54</f>
        <v>2.5868900858028881E-15</v>
      </c>
      <c r="N283" s="7">
        <f>O283*0.015*inputs!$C$56</f>
        <v>2.7724095694561135E-2</v>
      </c>
      <c r="O283" s="7">
        <f>IF((B283&gt;B282), (EXP(-LN(2)/inputs!$C$52)*O282+$O$3), (EXP(-LN(2)/inputs!$C$52)*O282))</f>
        <v>2.9907330846344268E-3</v>
      </c>
      <c r="P283" s="3">
        <f>IF((B283&gt;B282), (EXP(-LN(2)/inputs!$C$52)*P282+$P$3), (EXP(-LN(2)/inputs!$C$52)*P282))</f>
        <v>2.889960098242383E-3</v>
      </c>
      <c r="Q283" s="19">
        <f>IF((F283*0.62*1/(0.012*(10^inputs!$C$55)))&gt;inputs!$C$57, inputs!$C$57, (F283*0.62*1/(0.012*(10^inputs!$C$55))))</f>
        <v>4.1418464814492777E-16</v>
      </c>
      <c r="R283" s="3">
        <f>IF((B283&gt;B282), (EXP(-LN(2)/inputs!$C$51)*R282+$R$3), (EXP(-LN(2)/inputs!$C$51)*R282))</f>
        <v>9.6233488502056457E-22</v>
      </c>
      <c r="T283" s="7">
        <f>IF(T282&lt;(inputs!$C$20-1),(1+T282),0)</f>
        <v>0</v>
      </c>
      <c r="U283" s="7">
        <f>IF(inputs!$C$19&gt;U282,IF(T282=(inputs!$C$20-1),(U282+1),U282), U282)</f>
        <v>1</v>
      </c>
      <c r="V283" s="7">
        <f t="shared" si="8"/>
        <v>280</v>
      </c>
      <c r="W283" s="8">
        <f>IF((U283&gt;U282), (EXP(-LN(2)/inputs!$C$51)*W282+$W$3), (EXP(-LN(2)/inputs!$C$51)*W282))</f>
        <v>3.1847013456672234E-14</v>
      </c>
      <c r="X283" s="8">
        <f>IF((U283&gt;U282), (EXP(-LN(2)/inputs!$C$51)*X282+$X$3), (EXP(-LN(2)/inputs!$C$51)*X282))</f>
        <v>1.3488146875767061E-14</v>
      </c>
      <c r="Y283" s="8">
        <f>IF((U283&gt;U282), (EXP(-LN(2)/inputs!$C$51)*Y282+$Y$3), (EXP(-LN(2)/inputs!$C$51)*Y282))</f>
        <v>1.6860183594708847E-14</v>
      </c>
      <c r="Z283" s="8">
        <f>IF((U283&gt;U282), (EXP(-LN(2)/inputs!$C$51)*Z282+$Z$3), (EXP(-LN(2)/inputs!$C$51)*Z282))</f>
        <v>2.6226952258435951E-15</v>
      </c>
      <c r="AA283" s="8">
        <f>IF((U283&gt;U282), (EXP(-LN(2)/inputs!$C$51)*AA282+$AA$3), (EXP(-LN(2)/inputs!$C$51)*AA282))</f>
        <v>2.435359852569054E-14</v>
      </c>
      <c r="AB283" s="7">
        <f>(((0.621*15^0.564)/0.2))*W283/15+AB282*inputs!$C$53</f>
        <v>3.4269445162779E-14</v>
      </c>
      <c r="AC283" s="7">
        <f>(((0.621*1000^0.564)/0.2))*W283/1000+AC282*inputs!$C$53</f>
        <v>5.4913972515957352E-15</v>
      </c>
      <c r="AD283" s="7">
        <f>(((0.648*20^0.651)/0.2))*AA283/20+AD282*inputs!$C$54</f>
        <v>3.6683390885978754E-14</v>
      </c>
      <c r="AE283" s="7">
        <f>(((0.013*2^0.773)/0.2))*AA283/2+AE282*inputs!$C$54</f>
        <v>1.788806974225403E-15</v>
      </c>
    </row>
    <row r="284" spans="1:31" x14ac:dyDescent="0.3">
      <c r="A284" s="7">
        <f>IF(A283&lt;(inputs!$C$20-1),(1+A283),0)</f>
        <v>0</v>
      </c>
      <c r="B284" s="7">
        <f>IF(inputs!$C$19&gt;B283,IF(A283=(inputs!$C$20-1),(B283+1),B283), B283)</f>
        <v>1</v>
      </c>
      <c r="C284" s="7">
        <f t="shared" si="9"/>
        <v>281</v>
      </c>
      <c r="D284" s="8">
        <f>IF((B284&gt;B283), (EXP(-LN(2)/inputs!$C$51)*D283+$D$3), (EXP(-LN(2)/inputs!$C$51)*D283))</f>
        <v>7.8897440580904704E-14</v>
      </c>
      <c r="E284" s="8">
        <f>IF((B284&gt;B283), (EXP(-LN(2)/inputs!$C$51)*E283+$E$3), (EXP(-LN(2)/inputs!$C$51)*E283))</f>
        <v>3.6161326932914614E-14</v>
      </c>
      <c r="F284" s="8">
        <f>IF((B284&gt;B283), (EXP(-LN(2)/inputs!$C$51)*F283+$F$3), (EXP(-LN(2)/inputs!$C$51)*F283))</f>
        <v>4.4379810326758852E-14</v>
      </c>
      <c r="G284" s="8">
        <f>IF((B284&gt;B283), (EXP(-LN(2)/inputs!$C$51)*G283+$G$3), (EXP(-LN(2)/inputs!$C$51)*G283))</f>
        <v>4.931090036306544E-15</v>
      </c>
      <c r="H284" s="8">
        <f>IF((B284&gt;B283), (EXP(-LN(2)/inputs!$C$51)*H283+$H$3), (EXP(-LN(2)/inputs!$C$51)*H283))</f>
        <v>3.0901497560854268E-14</v>
      </c>
      <c r="I284" s="7">
        <f>O284*(10^inputs!$C$55)*0.01/1</f>
        <v>0.18489443151965188</v>
      </c>
      <c r="J284" s="7">
        <f>(((0.621*15^0.564)/0.2))*D284/15+J283*inputs!$C$53</f>
        <v>8.4898746224646844E-14</v>
      </c>
      <c r="K284" s="7">
        <f>(((0.621*1000^0.564)/0.2))*D284/1000+K283*inputs!$C$53</f>
        <v>1.3604327104435177E-14</v>
      </c>
      <c r="L284" s="7">
        <f>(((0.648*20^0.651)/0.2))*H284/20+L283*inputs!$C$54</f>
        <v>4.6546374359876822E-14</v>
      </c>
      <c r="M284" s="7">
        <f>(((0.013*2^0.773)/0.2))*H284/2+M283*inputs!$C$54</f>
        <v>2.2697596124266416E-15</v>
      </c>
      <c r="N284" s="7">
        <f>O284*0.015*inputs!$C$56</f>
        <v>2.7164615725318267E-2</v>
      </c>
      <c r="O284" s="7">
        <f>IF((B284&gt;B283), (EXP(-LN(2)/inputs!$C$52)*O283+$O$3), (EXP(-LN(2)/inputs!$C$52)*O283))</f>
        <v>2.930379258394635E-3</v>
      </c>
      <c r="P284" s="3">
        <f>IF((B284&gt;B283), (EXP(-LN(2)/inputs!$C$52)*P283+$P$3), (EXP(-LN(2)/inputs!$C$52)*P283))</f>
        <v>2.8316398989222309E-3</v>
      </c>
      <c r="Q284" s="19">
        <f>IF((F284*0.62*1/(0.012*(10^inputs!$C$55)))&gt;inputs!$C$57, inputs!$C$57, (F284*0.62*1/(0.012*(10^inputs!$C$55))))</f>
        <v>3.6340917289290985E-16</v>
      </c>
      <c r="R284" s="3">
        <f>IF((B284&gt;B283), (EXP(-LN(2)/inputs!$C$51)*R283+$R$3), (EXP(-LN(2)/inputs!$C$51)*R283))</f>
        <v>8.4436090564357554E-22</v>
      </c>
      <c r="T284" s="7">
        <f>IF(T283&lt;(inputs!$C$20-1),(1+T283),0)</f>
        <v>0</v>
      </c>
      <c r="U284" s="7">
        <f>IF(inputs!$C$19&gt;U283,IF(T283=(inputs!$C$20-1),(U283+1),U283), U283)</f>
        <v>1</v>
      </c>
      <c r="V284" s="7">
        <f t="shared" si="8"/>
        <v>281</v>
      </c>
      <c r="W284" s="8">
        <f>IF((U284&gt;U283), (EXP(-LN(2)/inputs!$C$51)*W283+$W$3), (EXP(-LN(2)/inputs!$C$51)*W283))</f>
        <v>2.7942843539070363E-14</v>
      </c>
      <c r="X284" s="8">
        <f>IF((U284&gt;U283), (EXP(-LN(2)/inputs!$C$51)*X283+$X$3), (EXP(-LN(2)/inputs!$C$51)*X283))</f>
        <v>1.1834616087135681E-14</v>
      </c>
      <c r="Y284" s="8">
        <f>IF((U284&gt;U283), (EXP(-LN(2)/inputs!$C$51)*Y283+$Y$3), (EXP(-LN(2)/inputs!$C$51)*Y283))</f>
        <v>1.4793270108919619E-14</v>
      </c>
      <c r="Z284" s="8">
        <f>IF((U284&gt;U283), (EXP(-LN(2)/inputs!$C$51)*Z283+$Z$3), (EXP(-LN(2)/inputs!$C$51)*Z283))</f>
        <v>2.3011753502763823E-15</v>
      </c>
      <c r="AA284" s="8">
        <f>IF((U284&gt;U283), (EXP(-LN(2)/inputs!$C$51)*AA283+$AA$3), (EXP(-LN(2)/inputs!$C$51)*AA283))</f>
        <v>2.1368056823994991E-14</v>
      </c>
      <c r="AB284" s="7">
        <f>(((0.621*15^0.564)/0.2))*W284/15+AB283*inputs!$C$53</f>
        <v>3.0068305954562363E-14</v>
      </c>
      <c r="AC284" s="7">
        <f>(((0.621*1000^0.564)/0.2))*W284/1000+AC283*inputs!$C$53</f>
        <v>4.818199182820783E-15</v>
      </c>
      <c r="AD284" s="7">
        <f>(((0.648*20^0.651)/0.2))*AA284/20+AD283*inputs!$C$54</f>
        <v>3.2186322695659532E-14</v>
      </c>
      <c r="AE284" s="7">
        <f>(((0.013*2^0.773)/0.2))*AA284/2+AE283*inputs!$C$54</f>
        <v>1.5695146256141685E-15</v>
      </c>
    </row>
    <row r="285" spans="1:31" x14ac:dyDescent="0.3">
      <c r="A285" s="7">
        <f>IF(A284&lt;(inputs!$C$20-1),(1+A284),0)</f>
        <v>0</v>
      </c>
      <c r="B285" s="7">
        <f>IF(inputs!$C$19&gt;B284,IF(A284=(inputs!$C$20-1),(B284+1),B284), B284)</f>
        <v>1</v>
      </c>
      <c r="C285" s="7">
        <f t="shared" si="9"/>
        <v>282</v>
      </c>
      <c r="D285" s="8">
        <f>IF((B285&gt;B284), (EXP(-LN(2)/inputs!$C$51)*D284+$D$3), (EXP(-LN(2)/inputs!$C$51)*D284))</f>
        <v>6.922529300226843E-14</v>
      </c>
      <c r="E285" s="8">
        <f>IF((B285&gt;B284), (EXP(-LN(2)/inputs!$C$51)*E284+$E$3), (EXP(-LN(2)/inputs!$C$51)*E284))</f>
        <v>3.1728259292706326E-14</v>
      </c>
      <c r="F285" s="8">
        <f>IF((B285&gt;B284), (EXP(-LN(2)/inputs!$C$51)*F284+$F$3), (EXP(-LN(2)/inputs!$C$51)*F284))</f>
        <v>3.8939227313775953E-14</v>
      </c>
      <c r="G285" s="8">
        <f>IF((B285&gt;B284), (EXP(-LN(2)/inputs!$C$51)*G284+$G$3), (EXP(-LN(2)/inputs!$C$51)*G284))</f>
        <v>4.3265808126417769E-15</v>
      </c>
      <c r="H285" s="8">
        <f>IF((B285&gt;B284), (EXP(-LN(2)/inputs!$C$51)*H284+$H$3), (EXP(-LN(2)/inputs!$C$51)*H284))</f>
        <v>2.7113239759221736E-14</v>
      </c>
      <c r="I285" s="7">
        <f>O285*(10^inputs!$C$55)*0.01/1</f>
        <v>0.1811632104187203</v>
      </c>
      <c r="J285" s="7">
        <f>(((0.621*15^0.564)/0.2))*D285/15+J284*inputs!$C$53</f>
        <v>7.4490890194337106E-14</v>
      </c>
      <c r="K285" s="7">
        <f>(((0.621*1000^0.564)/0.2))*D285/1000+K284*inputs!$C$53</f>
        <v>1.1936553619093688E-14</v>
      </c>
      <c r="L285" s="7">
        <f>(((0.648*20^0.651)/0.2))*H285/20+L284*inputs!$C$54</f>
        <v>4.0840189232140992E-14</v>
      </c>
      <c r="M285" s="7">
        <f>(((0.013*2^0.773)/0.2))*H285/2+M284*inputs!$C$54</f>
        <v>1.9915066072875614E-15</v>
      </c>
      <c r="N285" s="7">
        <f>O285*0.015*inputs!$C$56</f>
        <v>2.6616426217608659E-2</v>
      </c>
      <c r="O285" s="7">
        <f>IF((B285&gt;B284), (EXP(-LN(2)/inputs!$C$52)*O284+$O$3), (EXP(-LN(2)/inputs!$C$52)*O284))</f>
        <v>2.8712433891702979E-3</v>
      </c>
      <c r="P285" s="3">
        <f>IF((B285&gt;B284), (EXP(-LN(2)/inputs!$C$52)*P284+$P$3), (EXP(-LN(2)/inputs!$C$52)*P284))</f>
        <v>2.7744966174601524E-3</v>
      </c>
      <c r="Q285" s="19">
        <f>IF((F285*0.62*1/(0.012*(10^inputs!$C$55)))&gt;inputs!$C$57, inputs!$C$57, (F285*0.62*1/(0.012*(10^inputs!$C$55))))</f>
        <v>3.1885833416137969E-16</v>
      </c>
      <c r="R285" s="3">
        <f>IF((B285&gt;B284), (EXP(-LN(2)/inputs!$C$51)*R284+$R$3), (EXP(-LN(2)/inputs!$C$51)*R284))</f>
        <v>7.408495213846517E-22</v>
      </c>
      <c r="T285" s="7">
        <f>IF(T284&lt;(inputs!$C$20-1),(1+T284),0)</f>
        <v>0</v>
      </c>
      <c r="U285" s="7">
        <f>IF(inputs!$C$19&gt;U284,IF(T284=(inputs!$C$20-1),(U284+1),U284), U284)</f>
        <v>1</v>
      </c>
      <c r="V285" s="7">
        <f t="shared" si="8"/>
        <v>282</v>
      </c>
      <c r="W285" s="8">
        <f>IF((U285&gt;U284), (EXP(-LN(2)/inputs!$C$51)*W284+$W$3), (EXP(-LN(2)/inputs!$C$51)*W284))</f>
        <v>2.451729127163669E-14</v>
      </c>
      <c r="X285" s="8">
        <f>IF((U285&gt;U284), (EXP(-LN(2)/inputs!$C$51)*X284+$X$3), (EXP(-LN(2)/inputs!$C$51)*X284))</f>
        <v>1.0383793950340243E-14</v>
      </c>
      <c r="Y285" s="8">
        <f>IF((U285&gt;U284), (EXP(-LN(2)/inputs!$C$51)*Y284+$Y$3), (EXP(-LN(2)/inputs!$C$51)*Y284))</f>
        <v>1.297974243792532E-14</v>
      </c>
      <c r="Z285" s="8">
        <f>IF((U285&gt;U284), (EXP(-LN(2)/inputs!$C$51)*Z284+$Z$3), (EXP(-LN(2)/inputs!$C$51)*Z284))</f>
        <v>2.0190710458994916E-15</v>
      </c>
      <c r="AA285" s="8">
        <f>IF((U285&gt;U284), (EXP(-LN(2)/inputs!$C$51)*AA284+$AA$3), (EXP(-LN(2)/inputs!$C$51)*AA284))</f>
        <v>1.8748516854781004E-14</v>
      </c>
      <c r="AB285" s="7">
        <f>(((0.621*15^0.564)/0.2))*W285/15+AB284*inputs!$C$53</f>
        <v>2.6382190277161007E-14</v>
      </c>
      <c r="AC285" s="7">
        <f>(((0.621*1000^0.564)/0.2))*W285/1000+AC284*inputs!$C$53</f>
        <v>4.2275294067623401E-15</v>
      </c>
      <c r="AD285" s="7">
        <f>(((0.648*20^0.651)/0.2))*AA285/20+AD284*inputs!$C$54</f>
        <v>2.8240556383927305E-14</v>
      </c>
      <c r="AE285" s="7">
        <f>(((0.013*2^0.773)/0.2))*AA285/2+AE284*inputs!$C$54</f>
        <v>1.377105632698847E-15</v>
      </c>
    </row>
    <row r="286" spans="1:31" x14ac:dyDescent="0.3">
      <c r="A286" s="7">
        <f>IF(A285&lt;(inputs!$C$20-1),(1+A285),0)</f>
        <v>0</v>
      </c>
      <c r="B286" s="7">
        <f>IF(inputs!$C$19&gt;B285,IF(A285=(inputs!$C$20-1),(B285+1),B285), B285)</f>
        <v>1</v>
      </c>
      <c r="C286" s="7">
        <f t="shared" si="9"/>
        <v>283</v>
      </c>
      <c r="D286" s="8">
        <f>IF((B286&gt;B285), (EXP(-LN(2)/inputs!$C$51)*D285+$D$3), (EXP(-LN(2)/inputs!$C$51)*D285))</f>
        <v>6.0738867521765222E-14</v>
      </c>
      <c r="E286" s="8">
        <f>IF((B286&gt;B285), (EXP(-LN(2)/inputs!$C$51)*E285+$E$3), (EXP(-LN(2)/inputs!$C$51)*E285))</f>
        <v>2.7838647614142362E-14</v>
      </c>
      <c r="F286" s="8">
        <f>IF((B286&gt;B285), (EXP(-LN(2)/inputs!$C$51)*F285+$F$3), (EXP(-LN(2)/inputs!$C$51)*F285))</f>
        <v>3.4165612980992903E-14</v>
      </c>
      <c r="G286" s="8">
        <f>IF((B286&gt;B285), (EXP(-LN(2)/inputs!$C$51)*G285+$G$3), (EXP(-LN(2)/inputs!$C$51)*G285))</f>
        <v>3.7961792201103264E-15</v>
      </c>
      <c r="H286" s="8">
        <f>IF((B286&gt;B285), (EXP(-LN(2)/inputs!$C$51)*H285+$H$3), (EXP(-LN(2)/inputs!$C$51)*H285))</f>
        <v>2.3789389779357989E-14</v>
      </c>
      <c r="I286" s="7">
        <f>O286*(10^inputs!$C$55)*0.01/1</f>
        <v>0.17750728639834226</v>
      </c>
      <c r="J286" s="7">
        <f>(((0.621*15^0.564)/0.2))*D286/15+J285*inputs!$C$53</f>
        <v>6.5358947790137035E-14</v>
      </c>
      <c r="K286" s="7">
        <f>(((0.621*1000^0.564)/0.2))*D286/1000+K285*inputs!$C$53</f>
        <v>1.0473234817696199E-14</v>
      </c>
      <c r="L286" s="7">
        <f>(((0.648*20^0.651)/0.2))*H286/20+L285*inputs!$C$54</f>
        <v>3.583353331929629E-14</v>
      </c>
      <c r="M286" s="7">
        <f>(((0.013*2^0.773)/0.2))*H286/2+M285*inputs!$C$54</f>
        <v>1.7473650271844361E-15</v>
      </c>
      <c r="N286" s="7">
        <f>O286*0.015*inputs!$C$56</f>
        <v>2.6079299326775419E-2</v>
      </c>
      <c r="O286" s="7">
        <f>IF((B286&gt;B285), (EXP(-LN(2)/inputs!$C$52)*O285+$O$3), (EXP(-LN(2)/inputs!$C$52)*O285))</f>
        <v>2.8133008982497757E-3</v>
      </c>
      <c r="P286" s="3">
        <f>IF((B286&gt;B285), (EXP(-LN(2)/inputs!$C$52)*P285+$P$3), (EXP(-LN(2)/inputs!$C$52)*P285))</f>
        <v>2.7185065033261293E-3</v>
      </c>
      <c r="Q286" s="19">
        <f>IF((F286*0.62*1/(0.012*(10^inputs!$C$55)))&gt;inputs!$C$57, inputs!$C$57, (F286*0.62*1/(0.012*(10^inputs!$C$55))))</f>
        <v>2.7976904505415602E-16</v>
      </c>
      <c r="R286" s="3">
        <f>IF((B286&gt;B285), (EXP(-LN(2)/inputs!$C$51)*R285+$R$3), (EXP(-LN(2)/inputs!$C$51)*R285))</f>
        <v>6.5002774248237548E-22</v>
      </c>
      <c r="T286" s="7">
        <f>IF(T285&lt;(inputs!$C$20-1),(1+T285),0)</f>
        <v>0</v>
      </c>
      <c r="U286" s="7">
        <f>IF(inputs!$C$19&gt;U285,IF(T285=(inputs!$C$20-1),(U285+1),U285), U285)</f>
        <v>1</v>
      </c>
      <c r="V286" s="7">
        <f t="shared" si="8"/>
        <v>283</v>
      </c>
      <c r="W286" s="8">
        <f>IF((U286&gt;U285), (EXP(-LN(2)/inputs!$C$51)*W285+$W$3), (EXP(-LN(2)/inputs!$C$51)*W285))</f>
        <v>2.1511682247291812E-14</v>
      </c>
      <c r="X286" s="8">
        <f>IF((U286&gt;U285), (EXP(-LN(2)/inputs!$C$51)*X285+$X$3), (EXP(-LN(2)/inputs!$C$51)*X285))</f>
        <v>9.1108301282647653E-15</v>
      </c>
      <c r="Y286" s="8">
        <f>IF((U286&gt;U285), (EXP(-LN(2)/inputs!$C$51)*Y285+$Y$3), (EXP(-LN(2)/inputs!$C$51)*Y285))</f>
        <v>1.138853766033097E-14</v>
      </c>
      <c r="Z286" s="8">
        <f>IF((U286&gt;U285), (EXP(-LN(2)/inputs!$C$51)*Z285+$Z$3), (EXP(-LN(2)/inputs!$C$51)*Z285))</f>
        <v>1.7715503027181487E-15</v>
      </c>
      <c r="AA286" s="8">
        <f>IF((U286&gt;U285), (EXP(-LN(2)/inputs!$C$51)*AA285+$AA$3), (EXP(-LN(2)/inputs!$C$51)*AA285))</f>
        <v>1.645010995381139E-14</v>
      </c>
      <c r="AB286" s="7">
        <f>(((0.621*15^0.564)/0.2))*W286/15+AB285*inputs!$C$53</f>
        <v>2.3147960675673495E-14</v>
      </c>
      <c r="AC286" s="7">
        <f>(((0.621*1000^0.564)/0.2))*W286/1000+AC285*inputs!$C$53</f>
        <v>3.7092706646007302E-15</v>
      </c>
      <c r="AD286" s="7">
        <f>(((0.648*20^0.651)/0.2))*AA286/20+AD285*inputs!$C$54</f>
        <v>2.4778507082492138E-14</v>
      </c>
      <c r="AE286" s="7">
        <f>(((0.013*2^0.773)/0.2))*AA286/2+AE285*inputs!$C$54</f>
        <v>1.2082843273083878E-15</v>
      </c>
    </row>
    <row r="287" spans="1:31" x14ac:dyDescent="0.3">
      <c r="A287" s="7">
        <f>IF(A286&lt;(inputs!$C$20-1),(1+A286),0)</f>
        <v>0</v>
      </c>
      <c r="B287" s="7">
        <f>IF(inputs!$C$19&gt;B286,IF(A286=(inputs!$C$20-1),(B286+1),B286), B286)</f>
        <v>1</v>
      </c>
      <c r="C287" s="7">
        <f t="shared" si="9"/>
        <v>284</v>
      </c>
      <c r="D287" s="8">
        <f>IF((B287&gt;B286), (EXP(-LN(2)/inputs!$C$51)*D286+$D$3), (EXP(-LN(2)/inputs!$C$51)*D286))</f>
        <v>5.329280480915632E-14</v>
      </c>
      <c r="E287" s="8">
        <f>IF((B287&gt;B286), (EXP(-LN(2)/inputs!$C$51)*E286+$E$3), (EXP(-LN(2)/inputs!$C$51)*E286))</f>
        <v>2.4425868870863286E-14</v>
      </c>
      <c r="F287" s="8">
        <f>IF((B287&gt;B286), (EXP(-LN(2)/inputs!$C$51)*F286+$F$3), (EXP(-LN(2)/inputs!$C$51)*F286))</f>
        <v>2.9977202705150401E-14</v>
      </c>
      <c r="G287" s="8">
        <f>IF((B287&gt;B286), (EXP(-LN(2)/inputs!$C$51)*G286+$G$3), (EXP(-LN(2)/inputs!$C$51)*G286))</f>
        <v>3.33080030057227E-15</v>
      </c>
      <c r="H287" s="8">
        <f>IF((B287&gt;B286), (EXP(-LN(2)/inputs!$C$51)*H286+$H$3), (EXP(-LN(2)/inputs!$C$51)*H286))</f>
        <v>2.0873015216919508E-14</v>
      </c>
      <c r="I287" s="7">
        <f>O287*(10^inputs!$C$55)*0.01/1</f>
        <v>0.17392513994247019</v>
      </c>
      <c r="J287" s="7">
        <f>(((0.621*15^0.564)/0.2))*D287/15+J286*inputs!$C$53</f>
        <v>5.7346502976260671E-14</v>
      </c>
      <c r="K287" s="7">
        <f>(((0.621*1000^0.564)/0.2))*D287/1000+K286*inputs!$C$53</f>
        <v>9.1893063146087827E-15</v>
      </c>
      <c r="L287" s="7">
        <f>(((0.648*20^0.651)/0.2))*H287/20+L286*inputs!$C$54</f>
        <v>3.1440650356599813E-14</v>
      </c>
      <c r="M287" s="7">
        <f>(((0.013*2^0.773)/0.2))*H287/2+M286*inputs!$C$54</f>
        <v>1.5331531048173865E-15</v>
      </c>
      <c r="N287" s="7">
        <f>O287*0.015*inputs!$C$56</f>
        <v>2.5553011806130253E-2</v>
      </c>
      <c r="O287" s="7">
        <f>IF((B287&gt;B286), (EXP(-LN(2)/inputs!$C$52)*O286+$O$3), (EXP(-LN(2)/inputs!$C$52)*O286))</f>
        <v>2.7565277029266725E-3</v>
      </c>
      <c r="P287" s="3">
        <f>IF((B287&gt;B286), (EXP(-LN(2)/inputs!$C$52)*P286+$P$3), (EXP(-LN(2)/inputs!$C$52)*P286))</f>
        <v>2.66364628528245E-3</v>
      </c>
      <c r="Q287" s="19">
        <f>IF((F287*0.62*1/(0.012*(10^inputs!$C$55)))&gt;inputs!$C$57, inputs!$C$57, (F287*0.62*1/(0.012*(10^inputs!$C$55))))</f>
        <v>2.4547176656483508E-16</v>
      </c>
      <c r="R287" s="3">
        <f>IF((B287&gt;B286), (EXP(-LN(2)/inputs!$C$51)*R286+$R$3), (EXP(-LN(2)/inputs!$C$51)*R286))</f>
        <v>5.7033993246970219E-22</v>
      </c>
      <c r="T287" s="7">
        <f>IF(T286&lt;(inputs!$C$20-1),(1+T286),0)</f>
        <v>0</v>
      </c>
      <c r="U287" s="7">
        <f>IF(inputs!$C$19&gt;U286,IF(T286=(inputs!$C$20-1),(U286+1),U286), U286)</f>
        <v>1</v>
      </c>
      <c r="V287" s="7">
        <f t="shared" si="8"/>
        <v>284</v>
      </c>
      <c r="W287" s="8">
        <f>IF((U287&gt;U286), (EXP(-LN(2)/inputs!$C$51)*W286+$W$3), (EXP(-LN(2)/inputs!$C$51)*W286))</f>
        <v>1.8874535036576164E-14</v>
      </c>
      <c r="X287" s="8">
        <f>IF((U287&gt;U286), (EXP(-LN(2)/inputs!$C$51)*X286+$X$3), (EXP(-LN(2)/inputs!$C$51)*X286))</f>
        <v>7.9939207213734323E-15</v>
      </c>
      <c r="Y287" s="8">
        <f>IF((U287&gt;U286), (EXP(-LN(2)/inputs!$C$51)*Y286+$Y$3), (EXP(-LN(2)/inputs!$C$51)*Y286))</f>
        <v>9.992400901716803E-15</v>
      </c>
      <c r="Z287" s="8">
        <f>IF((U287&gt;U286), (EXP(-LN(2)/inputs!$C$51)*Z286+$Z$3), (EXP(-LN(2)/inputs!$C$51)*Z286))</f>
        <v>1.5543734736003896E-15</v>
      </c>
      <c r="AA287" s="8">
        <f>IF((U287&gt;U286), (EXP(-LN(2)/inputs!$C$51)*AA286+$AA$3), (EXP(-LN(2)/inputs!$C$51)*AA286))</f>
        <v>1.4433467969146481E-14</v>
      </c>
      <c r="AB287" s="7">
        <f>(((0.621*15^0.564)/0.2))*W287/15+AB286*inputs!$C$53</f>
        <v>2.0310219804092284E-14</v>
      </c>
      <c r="AC287" s="7">
        <f>(((0.621*1000^0.564)/0.2))*W287/1000+AC286*inputs!$C$53</f>
        <v>3.2545459864239377E-15</v>
      </c>
      <c r="AD287" s="7">
        <f>(((0.648*20^0.651)/0.2))*AA287/20+AD286*inputs!$C$54</f>
        <v>2.1740875246584998E-14</v>
      </c>
      <c r="AE287" s="7">
        <f>(((0.013*2^0.773)/0.2))*AA287/2+AE286*inputs!$C$54</f>
        <v>1.0601590618418108E-15</v>
      </c>
    </row>
    <row r="288" spans="1:31" x14ac:dyDescent="0.3">
      <c r="A288" s="7">
        <f>IF(A287&lt;(inputs!$C$20-1),(1+A287),0)</f>
        <v>0</v>
      </c>
      <c r="B288" s="7">
        <f>IF(inputs!$C$19&gt;B287,IF(A287=(inputs!$C$20-1),(B287+1),B287), B287)</f>
        <v>1</v>
      </c>
      <c r="C288" s="7">
        <f t="shared" si="9"/>
        <v>285</v>
      </c>
      <c r="D288" s="8">
        <f>IF((B288&gt;B287), (EXP(-LN(2)/inputs!$C$51)*D287+$D$3), (EXP(-LN(2)/inputs!$C$51)*D287))</f>
        <v>4.675956533778149E-14</v>
      </c>
      <c r="E288" s="8">
        <f>IF((B288&gt;B287), (EXP(-LN(2)/inputs!$C$51)*E287+$E$3), (EXP(-LN(2)/inputs!$C$51)*E287))</f>
        <v>2.1431467446483159E-14</v>
      </c>
      <c r="F288" s="8">
        <f>IF((B288&gt;B287), (EXP(-LN(2)/inputs!$C$51)*F287+$F$3), (EXP(-LN(2)/inputs!$C$51)*F287))</f>
        <v>2.6302255502502065E-14</v>
      </c>
      <c r="G288" s="8">
        <f>IF((B288&gt;B287), (EXP(-LN(2)/inputs!$C$51)*G287+$G$3), (EXP(-LN(2)/inputs!$C$51)*G287))</f>
        <v>2.9224728336113431E-15</v>
      </c>
      <c r="H288" s="8">
        <f>IF((B288&gt;B287), (EXP(-LN(2)/inputs!$C$51)*H287+$H$3), (EXP(-LN(2)/inputs!$C$51)*H287))</f>
        <v>1.8314163090631038E-14</v>
      </c>
      <c r="I288" s="7">
        <f>O288*(10^inputs!$C$55)*0.01/1</f>
        <v>0.1704152821993134</v>
      </c>
      <c r="J288" s="7">
        <f>(((0.621*15^0.564)/0.2))*D288/15+J287*inputs!$C$53</f>
        <v>5.0316314977496343E-14</v>
      </c>
      <c r="K288" s="7">
        <f>(((0.621*1000^0.564)/0.2))*D288/1000+K287*inputs!$C$53</f>
        <v>8.0627764022848357E-15</v>
      </c>
      <c r="L288" s="7">
        <f>(((0.648*20^0.651)/0.2))*H288/20+L287*inputs!$C$54</f>
        <v>2.758629705973334E-14</v>
      </c>
      <c r="M288" s="7">
        <f>(((0.013*2^0.773)/0.2))*H288/2+M287*inputs!$C$54</f>
        <v>1.3452017215880152E-15</v>
      </c>
      <c r="N288" s="7">
        <f>O288*0.015*inputs!$C$56</f>
        <v>2.5037344914165184E-2</v>
      </c>
      <c r="O288" s="7">
        <f>IF((B288&gt;B287), (EXP(-LN(2)/inputs!$C$52)*O287+$O$3), (EXP(-LN(2)/inputs!$C$52)*O287))</f>
        <v>2.7009002064903114E-3</v>
      </c>
      <c r="P288" s="3">
        <f>IF((B288&gt;B287), (EXP(-LN(2)/inputs!$C$52)*P287+$P$3), (EXP(-LN(2)/inputs!$C$52)*P287))</f>
        <v>2.6098931617114592E-3</v>
      </c>
      <c r="Q288" s="19">
        <f>IF((F288*0.62*1/(0.012*(10^inputs!$C$55)))&gt;inputs!$C$57, inputs!$C$57, (F288*0.62*1/(0.012*(10^inputs!$C$55))))</f>
        <v>2.1537903941015646E-16</v>
      </c>
      <c r="R288" s="3">
        <f>IF((B288&gt;B287), (EXP(-LN(2)/inputs!$C$51)*R287+$R$3), (EXP(-LN(2)/inputs!$C$51)*R287))</f>
        <v>5.0042116252963491E-22</v>
      </c>
      <c r="T288" s="7">
        <f>IF(T287&lt;(inputs!$C$20-1),(1+T287),0)</f>
        <v>0</v>
      </c>
      <c r="U288" s="7">
        <f>IF(inputs!$C$19&gt;U287,IF(T287=(inputs!$C$20-1),(U287+1),U287), U287)</f>
        <v>1</v>
      </c>
      <c r="V288" s="7">
        <f t="shared" si="8"/>
        <v>285</v>
      </c>
      <c r="W288" s="8">
        <f>IF((U288&gt;U287), (EXP(-LN(2)/inputs!$C$51)*W287+$W$3), (EXP(-LN(2)/inputs!$C$51)*W287))</f>
        <v>1.6560679390464248E-14</v>
      </c>
      <c r="X288" s="8">
        <f>IF((U288&gt;U287), (EXP(-LN(2)/inputs!$C$51)*X287+$X$3), (EXP(-LN(2)/inputs!$C$51)*X287))</f>
        <v>7.0139348006672098E-15</v>
      </c>
      <c r="Y288" s="8">
        <f>IF((U288&gt;U287), (EXP(-LN(2)/inputs!$C$51)*Y287+$Y$3), (EXP(-LN(2)/inputs!$C$51)*Y287))</f>
        <v>8.7674185008340227E-15</v>
      </c>
      <c r="Z288" s="8">
        <f>IF((U288&gt;U287), (EXP(-LN(2)/inputs!$C$51)*Z287+$Z$3), (EXP(-LN(2)/inputs!$C$51)*Z287))</f>
        <v>1.3638206556852908E-15</v>
      </c>
      <c r="AA288" s="8">
        <f>IF((U288&gt;U287), (EXP(-LN(2)/inputs!$C$51)*AA287+$AA$3), (EXP(-LN(2)/inputs!$C$51)*AA287))</f>
        <v>1.2664048945649134E-14</v>
      </c>
      <c r="AB288" s="7">
        <f>(((0.621*15^0.564)/0.2))*W288/15+AB287*inputs!$C$53</f>
        <v>1.7820361554529923E-14</v>
      </c>
      <c r="AC288" s="7">
        <f>(((0.621*1000^0.564)/0.2))*W288/1000+AC287*inputs!$C$53</f>
        <v>2.8555666424758737E-15</v>
      </c>
      <c r="AD288" s="7">
        <f>(((0.648*20^0.651)/0.2))*AA288/20+AD287*inputs!$C$54</f>
        <v>1.9075630945560308E-14</v>
      </c>
      <c r="AE288" s="7">
        <f>(((0.013*2^0.773)/0.2))*AA288/2+AE287*inputs!$C$54</f>
        <v>9.3019267982150064E-16</v>
      </c>
    </row>
    <row r="289" spans="1:31" x14ac:dyDescent="0.3">
      <c r="A289" s="7">
        <f>IF(A288&lt;(inputs!$C$20-1),(1+A288),0)</f>
        <v>0</v>
      </c>
      <c r="B289" s="7">
        <f>IF(inputs!$C$19&gt;B288,IF(A288=(inputs!$C$20-1),(B288+1),B288), B288)</f>
        <v>1</v>
      </c>
      <c r="C289" s="7">
        <f t="shared" si="9"/>
        <v>286</v>
      </c>
      <c r="D289" s="8">
        <f>IF((B289&gt;B288), (EXP(-LN(2)/inputs!$C$51)*D288+$D$3), (EXP(-LN(2)/inputs!$C$51)*D288))</f>
        <v>4.1027244829917411E-14</v>
      </c>
      <c r="E289" s="8">
        <f>IF((B289&gt;B288), (EXP(-LN(2)/inputs!$C$51)*E288+$E$3), (EXP(-LN(2)/inputs!$C$51)*E288))</f>
        <v>1.8804153880378791E-14</v>
      </c>
      <c r="F289" s="8">
        <f>IF((B289&gt;B288), (EXP(-LN(2)/inputs!$C$51)*F288+$F$3), (EXP(-LN(2)/inputs!$C$51)*F288))</f>
        <v>2.3077825216828522E-14</v>
      </c>
      <c r="G289" s="8">
        <f>IF((B289&gt;B288), (EXP(-LN(2)/inputs!$C$51)*G288+$G$3), (EXP(-LN(2)/inputs!$C$51)*G288))</f>
        <v>2.5642028018698382E-15</v>
      </c>
      <c r="H289" s="8">
        <f>IF((B289&gt;B288), (EXP(-LN(2)/inputs!$C$51)*H288+$H$3), (EXP(-LN(2)/inputs!$C$51)*H288))</f>
        <v>1.6069004225050944E-14</v>
      </c>
      <c r="I289" s="7">
        <f>O289*(10^inputs!$C$55)*0.01/1</f>
        <v>0.16697625436252481</v>
      </c>
      <c r="J289" s="7">
        <f>(((0.621*15^0.564)/0.2))*D289/15+J288*inputs!$C$53</f>
        <v>4.4147967557196407E-14</v>
      </c>
      <c r="K289" s="7">
        <f>(((0.621*1000^0.564)/0.2))*D289/1000+K288*inputs!$C$53</f>
        <v>7.0743493673612307E-15</v>
      </c>
      <c r="L289" s="7">
        <f>(((0.648*20^0.651)/0.2))*H289/20+L288*inputs!$C$54</f>
        <v>2.4204454323830724E-14</v>
      </c>
      <c r="M289" s="7">
        <f>(((0.013*2^0.773)/0.2))*H289/2+M288*inputs!$C$54</f>
        <v>1.1802915612781523E-15</v>
      </c>
      <c r="N289" s="7">
        <f>O289*0.015*inputs!$C$56</f>
        <v>2.4532084323636773E-2</v>
      </c>
      <c r="O289" s="7">
        <f>IF((B289&gt;B288), (EXP(-LN(2)/inputs!$C$52)*O288+$O$3), (EXP(-LN(2)/inputs!$C$52)*O288))</f>
        <v>2.6463952884182062E-3</v>
      </c>
      <c r="P289" s="3">
        <f>IF((B289&gt;B288), (EXP(-LN(2)/inputs!$C$52)*P288+$P$3), (EXP(-LN(2)/inputs!$C$52)*P288))</f>
        <v>2.5572247911384936E-3</v>
      </c>
      <c r="Q289" s="19">
        <f>IF((F289*0.62*1/(0.012*(10^inputs!$C$55)))&gt;inputs!$C$57, inputs!$C$57, (F289*0.62*1/(0.012*(10^inputs!$C$55))))</f>
        <v>1.8897542176195436E-16</v>
      </c>
      <c r="R289" s="3">
        <f>IF((B289&gt;B288), (EXP(-LN(2)/inputs!$C$51)*R288+$R$3), (EXP(-LN(2)/inputs!$C$51)*R288))</f>
        <v>4.3907383237770092E-22</v>
      </c>
      <c r="T289" s="7">
        <f>IF(T288&lt;(inputs!$C$20-1),(1+T288),0)</f>
        <v>0</v>
      </c>
      <c r="U289" s="7">
        <f>IF(inputs!$C$19&gt;U288,IF(T288=(inputs!$C$20-1),(U288+1),U288), U288)</f>
        <v>1</v>
      </c>
      <c r="V289" s="7">
        <f t="shared" si="8"/>
        <v>286</v>
      </c>
      <c r="W289" s="8">
        <f>IF((U289&gt;U288), (EXP(-LN(2)/inputs!$C$51)*W288+$W$3), (EXP(-LN(2)/inputs!$C$51)*W288))</f>
        <v>1.4530482543929055E-14</v>
      </c>
      <c r="X289" s="8">
        <f>IF((U289&gt;U288), (EXP(-LN(2)/inputs!$C$51)*X288+$X$3), (EXP(-LN(2)/inputs!$C$51)*X288))</f>
        <v>6.1540867244875989E-15</v>
      </c>
      <c r="Y289" s="8">
        <f>IF((U289&gt;U288), (EXP(-LN(2)/inputs!$C$51)*Y288+$Y$3), (EXP(-LN(2)/inputs!$C$51)*Y288))</f>
        <v>7.6926084056095083E-15</v>
      </c>
      <c r="Z289" s="8">
        <f>IF((U289&gt;U288), (EXP(-LN(2)/inputs!$C$51)*Z288+$Z$3), (EXP(-LN(2)/inputs!$C$51)*Z288))</f>
        <v>1.196627974205922E-15</v>
      </c>
      <c r="AA289" s="8">
        <f>IF((U289&gt;U288), (EXP(-LN(2)/inputs!$C$51)*AA288+$AA$3), (EXP(-LN(2)/inputs!$C$51)*AA288))</f>
        <v>1.111154547476928E-14</v>
      </c>
      <c r="AB289" s="7">
        <f>(((0.621*15^0.564)/0.2))*W289/15+AB288*inputs!$C$53</f>
        <v>1.5635738509840365E-14</v>
      </c>
      <c r="AC289" s="7">
        <f>(((0.621*1000^0.564)/0.2))*W289/1000+AC288*inputs!$C$53</f>
        <v>2.505498734273764E-15</v>
      </c>
      <c r="AD289" s="7">
        <f>(((0.648*20^0.651)/0.2))*AA289/20+AD288*inputs!$C$54</f>
        <v>1.6737122670734028E-14</v>
      </c>
      <c r="AE289" s="7">
        <f>(((0.013*2^0.773)/0.2))*AA289/2+AE288*inputs!$C$54</f>
        <v>8.16159058330638E-16</v>
      </c>
    </row>
    <row r="290" spans="1:31" x14ac:dyDescent="0.3">
      <c r="A290" s="7">
        <f>IF(A289&lt;(inputs!$C$20-1),(1+A289),0)</f>
        <v>0</v>
      </c>
      <c r="B290" s="7">
        <f>IF(inputs!$C$19&gt;B289,IF(A289=(inputs!$C$20-1),(B289+1),B289), B289)</f>
        <v>1</v>
      </c>
      <c r="C290" s="7">
        <f t="shared" si="9"/>
        <v>287</v>
      </c>
      <c r="D290" s="8">
        <f>IF((B290&gt;B289), (EXP(-LN(2)/inputs!$C$51)*D289+$D$3), (EXP(-LN(2)/inputs!$C$51)*D289))</f>
        <v>3.5997657509744635E-14</v>
      </c>
      <c r="E290" s="8">
        <f>IF((B290&gt;B289), (EXP(-LN(2)/inputs!$C$51)*E289+$E$3), (EXP(-LN(2)/inputs!$C$51)*E289))</f>
        <v>1.6498926358632939E-14</v>
      </c>
      <c r="F290" s="8">
        <f>IF((B290&gt;B289), (EXP(-LN(2)/inputs!$C$51)*F289+$F$3), (EXP(-LN(2)/inputs!$C$51)*F289))</f>
        <v>2.0248682349231338E-14</v>
      </c>
      <c r="G290" s="8">
        <f>IF((B290&gt;B289), (EXP(-LN(2)/inputs!$C$51)*G289+$G$3), (EXP(-LN(2)/inputs!$C$51)*G289))</f>
        <v>2.2498535943590397E-15</v>
      </c>
      <c r="H290" s="8">
        <f>IF((B290&gt;B289), (EXP(-LN(2)/inputs!$C$51)*H289+$H$3), (EXP(-LN(2)/inputs!$C$51)*H289))</f>
        <v>1.4099082524649946E-14</v>
      </c>
      <c r="I290" s="7">
        <f>O290*(10^inputs!$C$55)*0.01/1</f>
        <v>0.1636066270648755</v>
      </c>
      <c r="J290" s="7">
        <f>(((0.621*15^0.564)/0.2))*D290/15+J289*inputs!$C$53</f>
        <v>3.8735806473565557E-14</v>
      </c>
      <c r="K290" s="7">
        <f>(((0.621*1000^0.564)/0.2))*D290/1000+K289*inputs!$C$53</f>
        <v>6.2070949849610172E-15</v>
      </c>
      <c r="L290" s="7">
        <f>(((0.648*20^0.651)/0.2))*H290/20+L289*inputs!$C$54</f>
        <v>2.1237196418418867E-14</v>
      </c>
      <c r="M290" s="7">
        <f>(((0.013*2^0.773)/0.2))*H290/2+M289*inputs!$C$54</f>
        <v>1.0355979681470175E-15</v>
      </c>
      <c r="N290" s="7">
        <f>O290*0.015*inputs!$C$56</f>
        <v>2.4037020032484997E-2</v>
      </c>
      <c r="O290" s="7">
        <f>IF((B290&gt;B289), (EXP(-LN(2)/inputs!$C$52)*O289+$O$3), (EXP(-LN(2)/inputs!$C$52)*O289))</f>
        <v>2.5929902947664507E-3</v>
      </c>
      <c r="P290" s="3">
        <f>IF((B290&gt;B289), (EXP(-LN(2)/inputs!$C$52)*P289+$P$3), (EXP(-LN(2)/inputs!$C$52)*P289))</f>
        <v>2.5056192829460678E-3</v>
      </c>
      <c r="Q290" s="19">
        <f>IF((F290*0.62*1/(0.012*(10^inputs!$C$55)))&gt;inputs!$C$57, inputs!$C$57, (F290*0.62*1/(0.012*(10^inputs!$C$55))))</f>
        <v>1.6580866052662182E-16</v>
      </c>
      <c r="R290" s="3">
        <f>IF((B290&gt;B289), (EXP(-LN(2)/inputs!$C$51)*R289+$R$3), (EXP(-LN(2)/inputs!$C$51)*R289))</f>
        <v>3.8524715722314126E-22</v>
      </c>
      <c r="T290" s="7">
        <f>IF(T289&lt;(inputs!$C$20-1),(1+T289),0)</f>
        <v>0</v>
      </c>
      <c r="U290" s="7">
        <f>IF(inputs!$C$19&gt;U289,IF(T289=(inputs!$C$20-1),(U289+1),U289), U289)</f>
        <v>1</v>
      </c>
      <c r="V290" s="7">
        <f t="shared" si="8"/>
        <v>287</v>
      </c>
      <c r="W290" s="8">
        <f>IF((U290&gt;U289), (EXP(-LN(2)/inputs!$C$51)*W289+$W$3), (EXP(-LN(2)/inputs!$C$51)*W289))</f>
        <v>1.2749170368034534E-14</v>
      </c>
      <c r="X290" s="8">
        <f>IF((U290&gt;U289), (EXP(-LN(2)/inputs!$C$51)*X289+$X$3), (EXP(-LN(2)/inputs!$C$51)*X289))</f>
        <v>5.3996486264616839E-15</v>
      </c>
      <c r="Y290" s="8">
        <f>IF((U290&gt;U289), (EXP(-LN(2)/inputs!$C$51)*Y289+$Y$3), (EXP(-LN(2)/inputs!$C$51)*Y289))</f>
        <v>6.7495607830771135E-15</v>
      </c>
      <c r="Z290" s="8">
        <f>IF((U290&gt;U289), (EXP(-LN(2)/inputs!$C$51)*Z289+$Z$3), (EXP(-LN(2)/inputs!$C$51)*Z289))</f>
        <v>1.0499316773675496E-15</v>
      </c>
      <c r="AA290" s="8">
        <f>IF((U290&gt;U289), (EXP(-LN(2)/inputs!$C$51)*AA289+$AA$3), (EXP(-LN(2)/inputs!$C$51)*AA289))</f>
        <v>9.7493655755558228E-15</v>
      </c>
      <c r="AB290" s="7">
        <f>(((0.621*15^0.564)/0.2))*W290/15+AB289*inputs!$C$53</f>
        <v>1.3718931459387775E-14</v>
      </c>
      <c r="AC290" s="7">
        <f>(((0.621*1000^0.564)/0.2))*W290/1000+AC289*inputs!$C$53</f>
        <v>2.1983461405070228E-15</v>
      </c>
      <c r="AD290" s="7">
        <f>(((0.648*20^0.651)/0.2))*AA290/20+AD289*inputs!$C$54</f>
        <v>1.4685295395715188E-14</v>
      </c>
      <c r="AE290" s="7">
        <f>(((0.013*2^0.773)/0.2))*AA290/2+AE289*inputs!$C$54</f>
        <v>7.1610497797400219E-16</v>
      </c>
    </row>
    <row r="291" spans="1:31" x14ac:dyDescent="0.3">
      <c r="A291" s="7">
        <f>IF(A290&lt;(inputs!$C$20-1),(1+A290),0)</f>
        <v>0</v>
      </c>
      <c r="B291" s="7">
        <f>IF(inputs!$C$19&gt;B290,IF(A290=(inputs!$C$20-1),(B290+1),B290), B290)</f>
        <v>1</v>
      </c>
      <c r="C291" s="7">
        <f t="shared" si="9"/>
        <v>288</v>
      </c>
      <c r="D291" s="8">
        <f>IF((B291&gt;B290), (EXP(-LN(2)/inputs!$C$51)*D290+$D$3), (EXP(-LN(2)/inputs!$C$51)*D290))</f>
        <v>3.1584654333013931E-14</v>
      </c>
      <c r="E291" s="8">
        <f>IF((B291&gt;B290), (EXP(-LN(2)/inputs!$C$51)*E290+$E$3), (EXP(-LN(2)/inputs!$C$51)*E290))</f>
        <v>1.4476299902631368E-14</v>
      </c>
      <c r="F291" s="8">
        <f>IF((B291&gt;B290), (EXP(-LN(2)/inputs!$C$51)*F290+$F$3), (EXP(-LN(2)/inputs!$C$51)*F290))</f>
        <v>1.7766368062320318E-14</v>
      </c>
      <c r="G291" s="8">
        <f>IF((B291&gt;B290), (EXP(-LN(2)/inputs!$C$51)*G290+$G$3), (EXP(-LN(2)/inputs!$C$51)*G290))</f>
        <v>1.9740408958133707E-15</v>
      </c>
      <c r="H291" s="8">
        <f>IF((B291&gt;B290), (EXP(-LN(2)/inputs!$C$51)*H290+$H$3), (EXP(-LN(2)/inputs!$C$51)*H290))</f>
        <v>1.2370656280430425E-14</v>
      </c>
      <c r="I291" s="7">
        <f>O291*(10^inputs!$C$55)*0.01/1</f>
        <v>0.16030499978416515</v>
      </c>
      <c r="J291" s="7">
        <f>(((0.621*15^0.564)/0.2))*D291/15+J290*inputs!$C$53</f>
        <v>3.398712978606731E-14</v>
      </c>
      <c r="K291" s="7">
        <f>(((0.621*1000^0.564)/0.2))*D291/1000+K290*inputs!$C$53</f>
        <v>5.4461585301517804E-15</v>
      </c>
      <c r="L291" s="7">
        <f>(((0.648*20^0.651)/0.2))*H291/20+L290*inputs!$C$54</f>
        <v>1.8633698809332327E-14</v>
      </c>
      <c r="M291" s="7">
        <f>(((0.013*2^0.773)/0.2))*H291/2+M290*inputs!$C$54</f>
        <v>9.086425649513646E-16</v>
      </c>
      <c r="N291" s="7">
        <f>O291*0.015*inputs!$C$56</f>
        <v>2.3551946276549895E-2</v>
      </c>
      <c r="O291" s="7">
        <f>IF((B291&gt;B290), (EXP(-LN(2)/inputs!$C$52)*O290+$O$3), (EXP(-LN(2)/inputs!$C$52)*O290))</f>
        <v>2.5406630287540337E-3</v>
      </c>
      <c r="P291" s="3">
        <f>IF((B291&gt;B290), (EXP(-LN(2)/inputs!$C$52)*P290+$P$3), (EXP(-LN(2)/inputs!$C$52)*P290))</f>
        <v>2.4550551882754515E-3</v>
      </c>
      <c r="Q291" s="19">
        <f>IF((F291*0.62*1/(0.012*(10^inputs!$C$55)))&gt;inputs!$C$57, inputs!$C$57, (F291*0.62*1/(0.012*(10^inputs!$C$55))))</f>
        <v>1.4548194494977159E-16</v>
      </c>
      <c r="R291" s="3">
        <f>IF((B291&gt;B290), (EXP(-LN(2)/inputs!$C$51)*R290+$R$3), (EXP(-LN(2)/inputs!$C$51)*R290))</f>
        <v>3.3801916945221544E-22</v>
      </c>
      <c r="T291" s="7">
        <f>IF(T290&lt;(inputs!$C$20-1),(1+T290),0)</f>
        <v>0</v>
      </c>
      <c r="U291" s="7">
        <f>IF(inputs!$C$19&gt;U290,IF(T290=(inputs!$C$20-1),(U290+1),U290), U290)</f>
        <v>1</v>
      </c>
      <c r="V291" s="7">
        <f t="shared" si="8"/>
        <v>288</v>
      </c>
      <c r="W291" s="8">
        <f>IF((U291&gt;U290), (EXP(-LN(2)/inputs!$C$51)*W290+$W$3), (EXP(-LN(2)/inputs!$C$51)*W290))</f>
        <v>1.1186231742942413E-14</v>
      </c>
      <c r="X291" s="8">
        <f>IF((U291&gt;U290), (EXP(-LN(2)/inputs!$C$51)*X290+$X$3), (EXP(-LN(2)/inputs!$C$51)*X290))</f>
        <v>4.7376981499520798E-15</v>
      </c>
      <c r="Y291" s="8">
        <f>IF((U291&gt;U290), (EXP(-LN(2)/inputs!$C$51)*Y290+$Y$3), (EXP(-LN(2)/inputs!$C$51)*Y290))</f>
        <v>5.9221226874401073E-15</v>
      </c>
      <c r="Z291" s="8">
        <f>IF((U291&gt;U290), (EXP(-LN(2)/inputs!$C$51)*Z290+$Z$3), (EXP(-LN(2)/inputs!$C$51)*Z290))</f>
        <v>9.212190847129043E-16</v>
      </c>
      <c r="AA291" s="8">
        <f>IF((U291&gt;U290), (EXP(-LN(2)/inputs!$C$51)*AA290+$AA$3), (EXP(-LN(2)/inputs!$C$51)*AA290))</f>
        <v>8.5541772151912595E-15</v>
      </c>
      <c r="AB291" s="7">
        <f>(((0.621*15^0.564)/0.2))*W291/15+AB290*inputs!$C$53</f>
        <v>1.2037108465898816E-14</v>
      </c>
      <c r="AC291" s="7">
        <f>(((0.621*1000^0.564)/0.2))*W291/1000+AC290*inputs!$C$53</f>
        <v>1.928847812762085E-15</v>
      </c>
      <c r="AD291" s="7">
        <f>(((0.648*20^0.651)/0.2))*AA291/20+AD290*inputs!$C$54</f>
        <v>1.2885004495814919E-14</v>
      </c>
      <c r="AE291" s="7">
        <f>(((0.013*2^0.773)/0.2))*AA291/2+AE290*inputs!$C$54</f>
        <v>6.2831666725360396E-16</v>
      </c>
    </row>
    <row r="292" spans="1:31" x14ac:dyDescent="0.3">
      <c r="A292" s="7">
        <f>IF(A291&lt;(inputs!$C$20-1),(1+A291),0)</f>
        <v>0</v>
      </c>
      <c r="B292" s="7">
        <f>IF(inputs!$C$19&gt;B291,IF(A291=(inputs!$C$20-1),(B291+1),B291), B291)</f>
        <v>1</v>
      </c>
      <c r="C292" s="7">
        <f t="shared" si="9"/>
        <v>289</v>
      </c>
      <c r="D292" s="8">
        <f>IF((B292&gt;B291), (EXP(-LN(2)/inputs!$C$51)*D291+$D$3), (EXP(-LN(2)/inputs!$C$51)*D291))</f>
        <v>2.7712647387289743E-14</v>
      </c>
      <c r="E292" s="8">
        <f>IF((B292&gt;B291), (EXP(-LN(2)/inputs!$C$51)*E291+$E$3), (EXP(-LN(2)/inputs!$C$51)*E291))</f>
        <v>1.2701630052507785E-14</v>
      </c>
      <c r="F292" s="8">
        <f>IF((B292&gt;B291), (EXP(-LN(2)/inputs!$C$51)*F291+$F$3), (EXP(-LN(2)/inputs!$C$51)*F291))</f>
        <v>1.5588364155350464E-14</v>
      </c>
      <c r="G292" s="8">
        <f>IF((B292&gt;B291), (EXP(-LN(2)/inputs!$C$51)*G291+$G$3), (EXP(-LN(2)/inputs!$C$51)*G291))</f>
        <v>1.7320404617056089E-15</v>
      </c>
      <c r="H292" s="8">
        <f>IF((B292&gt;B291), (EXP(-LN(2)/inputs!$C$51)*H291+$H$3), (EXP(-LN(2)/inputs!$C$51)*H291))</f>
        <v>1.0854120226688456E-14</v>
      </c>
      <c r="I292" s="7">
        <f>O292*(10^inputs!$C$55)*0.01/1</f>
        <v>0.15707000026112145</v>
      </c>
      <c r="J292" s="7">
        <f>(((0.621*15^0.564)/0.2))*D292/15+J291*inputs!$C$53</f>
        <v>2.9820600014698926E-14</v>
      </c>
      <c r="K292" s="7">
        <f>(((0.621*1000^0.564)/0.2))*D292/1000+K291*inputs!$C$53</f>
        <v>4.7785063395048536E-15</v>
      </c>
      <c r="L292" s="7">
        <f>(((0.648*20^0.651)/0.2))*H292/20+L291*inputs!$C$54</f>
        <v>1.634936761312694E-14</v>
      </c>
      <c r="M292" s="7">
        <f>(((0.013*2^0.773)/0.2))*H292/2+M291*inputs!$C$54</f>
        <v>7.9725080218020007E-16</v>
      </c>
      <c r="N292" s="7">
        <f>O292*0.015*inputs!$C$56</f>
        <v>2.3076661444049518E-2</v>
      </c>
      <c r="O292" s="7">
        <f>IF((B292&gt;B291), (EXP(-LN(2)/inputs!$C$52)*O291+$O$3), (EXP(-LN(2)/inputs!$C$52)*O291))</f>
        <v>2.4893917415371647E-3</v>
      </c>
      <c r="P292" s="3">
        <f>IF((B292&gt;B291), (EXP(-LN(2)/inputs!$C$52)*P291+$P$3), (EXP(-LN(2)/inputs!$C$52)*P291))</f>
        <v>2.4055114911118551E-3</v>
      </c>
      <c r="Q292" s="19">
        <f>IF((F292*0.62*1/(0.012*(10^inputs!$C$55)))&gt;inputs!$C$57, inputs!$C$57, (F292*0.62*1/(0.012*(10^inputs!$C$55))))</f>
        <v>1.2764710986233543E-16</v>
      </c>
      <c r="R292" s="3">
        <f>IF((B292&gt;B291), (EXP(-LN(2)/inputs!$C$51)*R291+$R$3), (EXP(-LN(2)/inputs!$C$51)*R291))</f>
        <v>2.9658092675032015E-22</v>
      </c>
      <c r="T292" s="7">
        <f>IF(T291&lt;(inputs!$C$20-1),(1+T291),0)</f>
        <v>0</v>
      </c>
      <c r="U292" s="7">
        <f>IF(inputs!$C$19&gt;U291,IF(T291=(inputs!$C$20-1),(U291+1),U291), U291)</f>
        <v>1</v>
      </c>
      <c r="V292" s="7">
        <f t="shared" si="8"/>
        <v>289</v>
      </c>
      <c r="W292" s="8">
        <f>IF((U292&gt;U291), (EXP(-LN(2)/inputs!$C$51)*W291+$W$3), (EXP(-LN(2)/inputs!$C$51)*W291))</f>
        <v>9.8148959496650987E-15</v>
      </c>
      <c r="X292" s="8">
        <f>IF((U292&gt;U291), (EXP(-LN(2)/inputs!$C$51)*X291+$X$3), (EXP(-LN(2)/inputs!$C$51)*X291))</f>
        <v>4.1568971080934532E-15</v>
      </c>
      <c r="Y292" s="8">
        <f>IF((U292&gt;U291), (EXP(-LN(2)/inputs!$C$51)*Y291+$Y$3), (EXP(-LN(2)/inputs!$C$51)*Y291))</f>
        <v>5.1961213851168227E-15</v>
      </c>
      <c r="Z292" s="8">
        <f>IF((U292&gt;U291), (EXP(-LN(2)/inputs!$C$51)*Z291+$Z$3), (EXP(-LN(2)/inputs!$C$51)*Z291))</f>
        <v>8.0828554879594906E-16</v>
      </c>
      <c r="AA292" s="8">
        <f>IF((U292&gt;U291), (EXP(-LN(2)/inputs!$C$51)*AA291+$AA$3), (EXP(-LN(2)/inputs!$C$51)*AA291))</f>
        <v>7.5055086673909611E-15</v>
      </c>
      <c r="AB292" s="7">
        <f>(((0.621*15^0.564)/0.2))*W292/15+AB291*inputs!$C$53</f>
        <v>1.0561462505205848E-14</v>
      </c>
      <c r="AC292" s="7">
        <f>(((0.621*1000^0.564)/0.2))*W292/1000+AC291*inputs!$C$53</f>
        <v>1.6923876619079655E-15</v>
      </c>
      <c r="AD292" s="7">
        <f>(((0.648*20^0.651)/0.2))*AA292/20+AD291*inputs!$C$54</f>
        <v>1.1305413775034599E-14</v>
      </c>
      <c r="AE292" s="7">
        <f>(((0.013*2^0.773)/0.2))*AA292/2+AE291*inputs!$C$54</f>
        <v>5.5129044831609638E-16</v>
      </c>
    </row>
    <row r="293" spans="1:31" x14ac:dyDescent="0.3">
      <c r="A293" s="7">
        <f>IF(A292&lt;(inputs!$C$20-1),(1+A292),0)</f>
        <v>0</v>
      </c>
      <c r="B293" s="7">
        <f>IF(inputs!$C$19&gt;B292,IF(A292=(inputs!$C$20-1),(B292+1),B292), B292)</f>
        <v>1</v>
      </c>
      <c r="C293" s="7">
        <f t="shared" si="9"/>
        <v>290</v>
      </c>
      <c r="D293" s="8">
        <f>IF((B293&gt;B292), (EXP(-LN(2)/inputs!$C$51)*D292+$D$3), (EXP(-LN(2)/inputs!$C$51)*D292))</f>
        <v>2.4315315188031451E-14</v>
      </c>
      <c r="E293" s="8">
        <f>IF((B293&gt;B292), (EXP(-LN(2)/inputs!$C$51)*E292+$E$3), (EXP(-LN(2)/inputs!$C$51)*E292))</f>
        <v>1.1144519461181069E-14</v>
      </c>
      <c r="F293" s="8">
        <f>IF((B293&gt;B292), (EXP(-LN(2)/inputs!$C$51)*F292+$F$3), (EXP(-LN(2)/inputs!$C$51)*F292))</f>
        <v>1.3677364793267677E-14</v>
      </c>
      <c r="G293" s="8">
        <f>IF((B293&gt;B292), (EXP(-LN(2)/inputs!$C$51)*G292+$G$3), (EXP(-LN(2)/inputs!$C$51)*G292))</f>
        <v>1.5197071992519657E-15</v>
      </c>
      <c r="H293" s="8">
        <f>IF((B293&gt;B292), (EXP(-LN(2)/inputs!$C$51)*H292+$H$3), (EXP(-LN(2)/inputs!$C$51)*H292))</f>
        <v>9.5234984486456281E-15</v>
      </c>
      <c r="I293" s="7">
        <f>O293*(10^inputs!$C$55)*0.01/1</f>
        <v>0.15390028392904609</v>
      </c>
      <c r="J293" s="7">
        <f>(((0.621*15^0.564)/0.2))*D293/15+J292*inputs!$C$53</f>
        <v>2.61648509548814E-14</v>
      </c>
      <c r="K293" s="7">
        <f>(((0.621*1000^0.564)/0.2))*D293/1000+K292*inputs!$C$53</f>
        <v>4.1927025646188264E-15</v>
      </c>
      <c r="L293" s="7">
        <f>(((0.648*20^0.651)/0.2))*H293/20+L292*inputs!$C$54</f>
        <v>1.4345075772894386E-14</v>
      </c>
      <c r="M293" s="7">
        <f>(((0.013*2^0.773)/0.2))*H293/2+M292*inputs!$C$54</f>
        <v>6.9951471138818333E-16</v>
      </c>
      <c r="N293" s="7">
        <f>O293*0.015*inputs!$C$56</f>
        <v>2.2610967991783807E-2</v>
      </c>
      <c r="O293" s="7">
        <f>IF((B293&gt;B292), (EXP(-LN(2)/inputs!$C$52)*O292+$O$3), (EXP(-LN(2)/inputs!$C$52)*O292))</f>
        <v>2.4391551231697744E-3</v>
      </c>
      <c r="P293" s="3">
        <f>IF((B293&gt;B292), (EXP(-LN(2)/inputs!$C$52)*P292+$P$3), (EXP(-LN(2)/inputs!$C$52)*P292))</f>
        <v>2.3569675995495178E-3</v>
      </c>
      <c r="Q293" s="19">
        <f>IF((F293*0.62*1/(0.012*(10^inputs!$C$55)))&gt;inputs!$C$57, inputs!$C$57, (F293*0.62*1/(0.012*(10^inputs!$C$55))))</f>
        <v>1.1199867215022897E-16</v>
      </c>
      <c r="R293" s="3">
        <f>IF((B293&gt;B292), (EXP(-LN(2)/inputs!$C$51)*R292+$R$3), (EXP(-LN(2)/inputs!$C$51)*R292))</f>
        <v>2.6022265617250268E-22</v>
      </c>
      <c r="T293" s="7">
        <f>IF(T292&lt;(inputs!$C$20-1),(1+T292),0)</f>
        <v>0</v>
      </c>
      <c r="U293" s="7">
        <f>IF(inputs!$C$19&gt;U292,IF(T292=(inputs!$C$20-1),(U292+1),U292), U292)</f>
        <v>1</v>
      </c>
      <c r="V293" s="7">
        <f t="shared" si="8"/>
        <v>290</v>
      </c>
      <c r="W293" s="8">
        <f>IF((U293&gt;U292), (EXP(-LN(2)/inputs!$C$51)*W292+$W$3), (EXP(-LN(2)/inputs!$C$51)*W292))</f>
        <v>8.6116741290944561E-15</v>
      </c>
      <c r="X293" s="8">
        <f>IF((U293&gt;U292), (EXP(-LN(2)/inputs!$C$51)*X292+$X$3), (EXP(-LN(2)/inputs!$C$51)*X292))</f>
        <v>3.6472972782047108E-15</v>
      </c>
      <c r="Y293" s="8">
        <f>IF((U293&gt;U292), (EXP(-LN(2)/inputs!$C$51)*Y292+$Y$3), (EXP(-LN(2)/inputs!$C$51)*Y292))</f>
        <v>4.5591215977558938E-15</v>
      </c>
      <c r="Z293" s="8">
        <f>IF((U293&gt;U292), (EXP(-LN(2)/inputs!$C$51)*Z292+$Z$3), (EXP(-LN(2)/inputs!$C$51)*Z292))</f>
        <v>7.0919669298424914E-16</v>
      </c>
      <c r="AA293" s="8">
        <f>IF((U293&gt;U292), (EXP(-LN(2)/inputs!$C$51)*AA292+$AA$3), (EXP(-LN(2)/inputs!$C$51)*AA292))</f>
        <v>6.5853978634251753E-15</v>
      </c>
      <c r="AB293" s="7">
        <f>(((0.621*15^0.564)/0.2))*W293/15+AB292*inputs!$C$53</f>
        <v>9.2667180465204785E-15</v>
      </c>
      <c r="AC293" s="7">
        <f>(((0.621*1000^0.564)/0.2))*W293/1000+AC292*inputs!$C$53</f>
        <v>1.4849154916358316E-15</v>
      </c>
      <c r="AD293" s="7">
        <f>(((0.648*20^0.651)/0.2))*AA293/20+AD292*inputs!$C$54</f>
        <v>9.9194672897674059E-15</v>
      </c>
      <c r="AE293" s="7">
        <f>(((0.013*2^0.773)/0.2))*AA293/2+AE292*inputs!$C$54</f>
        <v>4.8370698127906349E-16</v>
      </c>
    </row>
    <row r="294" spans="1:31" x14ac:dyDescent="0.3">
      <c r="A294" s="7">
        <f>IF(A293&lt;(inputs!$C$20-1),(1+A293),0)</f>
        <v>0</v>
      </c>
      <c r="B294" s="7">
        <f>IF(inputs!$C$19&gt;B293,IF(A293=(inputs!$C$20-1),(B293+1),B293), B293)</f>
        <v>1</v>
      </c>
      <c r="C294" s="7">
        <f t="shared" si="9"/>
        <v>291</v>
      </c>
      <c r="D294" s="8">
        <f>IF((B294&gt;B293), (EXP(-LN(2)/inputs!$C$51)*D293+$D$3), (EXP(-LN(2)/inputs!$C$51)*D293))</f>
        <v>2.1334466694238658E-14</v>
      </c>
      <c r="E294" s="8">
        <f>IF((B294&gt;B293), (EXP(-LN(2)/inputs!$C$51)*E293+$E$3), (EXP(-LN(2)/inputs!$C$51)*E293))</f>
        <v>9.778297234859373E-15</v>
      </c>
      <c r="F294" s="8">
        <f>IF((B294&gt;B293), (EXP(-LN(2)/inputs!$C$51)*F293+$F$3), (EXP(-LN(2)/inputs!$C$51)*F293))</f>
        <v>1.2000637515509232E-14</v>
      </c>
      <c r="G294" s="8">
        <f>IF((B294&gt;B293), (EXP(-LN(2)/inputs!$C$51)*G293+$G$3), (EXP(-LN(2)/inputs!$C$51)*G293))</f>
        <v>1.3334041683899161E-15</v>
      </c>
      <c r="H294" s="8">
        <f>IF((B294&gt;B293), (EXP(-LN(2)/inputs!$C$51)*H293+$H$3), (EXP(-LN(2)/inputs!$C$51)*H293))</f>
        <v>8.3559994552434537E-15</v>
      </c>
      <c r="I294" s="7">
        <f>O294*(10^inputs!$C$55)*0.01/1</f>
        <v>0.15079453335497114</v>
      </c>
      <c r="J294" s="7">
        <f>(((0.621*15^0.564)/0.2))*D294/15+J293*inputs!$C$53</f>
        <v>2.2957265284860504E-14</v>
      </c>
      <c r="K294" s="7">
        <f>(((0.621*1000^0.564)/0.2))*D294/1000+K293*inputs!$C$53</f>
        <v>3.6787132937408198E-15</v>
      </c>
      <c r="L294" s="7">
        <f>(((0.648*20^0.651)/0.2))*H294/20+L293*inputs!$C$54</f>
        <v>1.2586492872351793E-14</v>
      </c>
      <c r="M294" s="7">
        <f>(((0.013*2^0.773)/0.2))*H294/2+M293*inputs!$C$54</f>
        <v>6.137602246499764E-16</v>
      </c>
      <c r="N294" s="7">
        <f>O294*0.015*inputs!$C$56</f>
        <v>2.2154672363029485E-2</v>
      </c>
      <c r="O294" s="7">
        <f>IF((B294&gt;B293), (EXP(-LN(2)/inputs!$C$52)*O293+$O$3), (EXP(-LN(2)/inputs!$C$52)*O293))</f>
        <v>2.3899322937464386E-3</v>
      </c>
      <c r="P294" s="3">
        <f>IF((B294&gt;B293), (EXP(-LN(2)/inputs!$C$52)*P293+$P$3), (EXP(-LN(2)/inputs!$C$52)*P293))</f>
        <v>2.3094033372330698E-3</v>
      </c>
      <c r="Q294" s="19">
        <f>IF((F294*0.62*1/(0.012*(10^inputs!$C$55)))&gt;inputs!$C$57, inputs!$C$57, (F294*0.62*1/(0.012*(10^inputs!$C$55))))</f>
        <v>9.8268598301540746E-17</v>
      </c>
      <c r="R294" s="3">
        <f>IF((B294&gt;B293), (EXP(-LN(2)/inputs!$C$51)*R293+$R$3), (EXP(-LN(2)/inputs!$C$51)*R293))</f>
        <v>2.2832159683174721E-22</v>
      </c>
      <c r="T294" s="7">
        <f>IF(T293&lt;(inputs!$C$20-1),(1+T293),0)</f>
        <v>0</v>
      </c>
      <c r="U294" s="7">
        <f>IF(inputs!$C$19&gt;U293,IF(T293=(inputs!$C$20-1),(U293+1),U293), U293)</f>
        <v>1</v>
      </c>
      <c r="V294" s="7">
        <f t="shared" si="8"/>
        <v>291</v>
      </c>
      <c r="W294" s="8">
        <f>IF((U294&gt;U293), (EXP(-LN(2)/inputs!$C$51)*W293+$W$3), (EXP(-LN(2)/inputs!$C$51)*W293))</f>
        <v>7.5559569542095105E-15</v>
      </c>
      <c r="X294" s="8">
        <f>IF((U294&gt;U293), (EXP(-LN(2)/inputs!$C$51)*X293+$X$3), (EXP(-LN(2)/inputs!$C$51)*X293))</f>
        <v>3.2001700041357927E-15</v>
      </c>
      <c r="Y294" s="8">
        <f>IF((U294&gt;U293), (EXP(-LN(2)/inputs!$C$51)*Y293+$Y$3), (EXP(-LN(2)/inputs!$C$51)*Y293))</f>
        <v>4.0002125051697454E-15</v>
      </c>
      <c r="Z294" s="8">
        <f>IF((U294&gt;U293), (EXP(-LN(2)/inputs!$C$51)*Z293+$Z$3), (EXP(-LN(2)/inputs!$C$51)*Z293))</f>
        <v>6.2225527858195955E-16</v>
      </c>
      <c r="AA294" s="8">
        <f>IF((U294&gt;U293), (EXP(-LN(2)/inputs!$C$51)*AA293+$AA$3), (EXP(-LN(2)/inputs!$C$51)*AA293))</f>
        <v>5.7780847296896283E-15</v>
      </c>
      <c r="AB294" s="7">
        <f>(((0.621*15^0.564)/0.2))*W294/15+AB293*inputs!$C$53</f>
        <v>8.1306981217214141E-15</v>
      </c>
      <c r="AC294" s="7">
        <f>(((0.621*1000^0.564)/0.2))*W294/1000+AC293*inputs!$C$53</f>
        <v>1.3028776248665376E-15</v>
      </c>
      <c r="AD294" s="7">
        <f>(((0.648*20^0.651)/0.2))*AA294/20+AD293*inputs!$C$54</f>
        <v>8.7034259223709312E-15</v>
      </c>
      <c r="AE294" s="7">
        <f>(((0.013*2^0.773)/0.2))*AA294/2+AE293*inputs!$C$54</f>
        <v>4.244086659813671E-16</v>
      </c>
    </row>
    <row r="295" spans="1:31" x14ac:dyDescent="0.3">
      <c r="A295" s="7">
        <f>IF(A294&lt;(inputs!$C$20-1),(1+A294),0)</f>
        <v>0</v>
      </c>
      <c r="B295" s="7">
        <f>IF(inputs!$C$19&gt;B294,IF(A294=(inputs!$C$20-1),(B294+1),B294), B294)</f>
        <v>1</v>
      </c>
      <c r="C295" s="7">
        <f t="shared" si="9"/>
        <v>292</v>
      </c>
      <c r="D295" s="8">
        <f>IF((B295&gt;B294), (EXP(-LN(2)/inputs!$C$51)*D294+$D$3), (EXP(-LN(2)/inputs!$C$51)*D294))</f>
        <v>1.8719044586007191E-14</v>
      </c>
      <c r="E295" s="8">
        <f>IF((B295&gt;B294), (EXP(-LN(2)/inputs!$C$51)*E294+$E$3), (EXP(-LN(2)/inputs!$C$51)*E294))</f>
        <v>8.5795621019199515E-15</v>
      </c>
      <c r="F295" s="8">
        <f>IF((B295&gt;B294), (EXP(-LN(2)/inputs!$C$51)*F294+$F$3), (EXP(-LN(2)/inputs!$C$51)*F294))</f>
        <v>1.0529462579629034E-14</v>
      </c>
      <c r="G295" s="8">
        <f>IF((B295&gt;B294), (EXP(-LN(2)/inputs!$C$51)*G294+$G$3), (EXP(-LN(2)/inputs!$C$51)*G294))</f>
        <v>1.1699402866254495E-15</v>
      </c>
      <c r="H295" s="8">
        <f>IF((B295&gt;B294), (EXP(-LN(2)/inputs!$C$51)*H294+$H$3), (EXP(-LN(2)/inputs!$C$51)*H294))</f>
        <v>7.3316257961861316E-15</v>
      </c>
      <c r="I295" s="7">
        <f>O295*(10^inputs!$C$55)*0.01/1</f>
        <v>0.14775145769209272</v>
      </c>
      <c r="J295" s="7">
        <f>(((0.621*15^0.564)/0.2))*D295/15+J294*inputs!$C$53</f>
        <v>2.0142902027925968E-14</v>
      </c>
      <c r="K295" s="7">
        <f>(((0.621*1000^0.564)/0.2))*D295/1000+K294*inputs!$C$53</f>
        <v>3.2277346863921305E-15</v>
      </c>
      <c r="L295" s="7">
        <f>(((0.648*20^0.651)/0.2))*H295/20+L294*inputs!$C$54</f>
        <v>1.1043497108959388E-14</v>
      </c>
      <c r="M295" s="7">
        <f>(((0.013*2^0.773)/0.2))*H295/2+M294*inputs!$C$54</f>
        <v>5.385185003683868E-16</v>
      </c>
      <c r="N295" s="7">
        <f>O295*0.015*inputs!$C$56</f>
        <v>2.1707584907091824E-2</v>
      </c>
      <c r="O295" s="7">
        <f>IF((B295&gt;B294), (EXP(-LN(2)/inputs!$C$52)*O294+$O$3), (EXP(-LN(2)/inputs!$C$52)*O294))</f>
        <v>2.3417027947240372E-3</v>
      </c>
      <c r="P295" s="3">
        <f>IF((B295&gt;B294), (EXP(-LN(2)/inputs!$C$52)*P294+$P$3), (EXP(-LN(2)/inputs!$C$52)*P294))</f>
        <v>2.2627989349716096E-3</v>
      </c>
      <c r="Q295" s="19">
        <f>IF((F295*0.62*1/(0.012*(10^inputs!$C$55)))&gt;inputs!$C$57, inputs!$C$57, (F295*0.62*1/(0.012*(10^inputs!$C$55))))</f>
        <v>8.6221713407428387E-17</v>
      </c>
      <c r="R295" s="3">
        <f>IF((B295&gt;B294), (EXP(-LN(2)/inputs!$C$51)*R294+$R$3), (EXP(-LN(2)/inputs!$C$51)*R294))</f>
        <v>2.0033133296910635E-22</v>
      </c>
      <c r="T295" s="7">
        <f>IF(T294&lt;(inputs!$C$20-1),(1+T294),0)</f>
        <v>0</v>
      </c>
      <c r="U295" s="7">
        <f>IF(inputs!$C$19&gt;U294,IF(T294=(inputs!$C$20-1),(U294+1),U294), U294)</f>
        <v>1</v>
      </c>
      <c r="V295" s="7">
        <f t="shared" si="8"/>
        <v>292</v>
      </c>
      <c r="W295" s="8">
        <f>IF((U295&gt;U294), (EXP(-LN(2)/inputs!$C$51)*W294+$W$3), (EXP(-LN(2)/inputs!$C$51)*W294))</f>
        <v>6.629661624210868E-15</v>
      </c>
      <c r="X295" s="8">
        <f>IF((U295&gt;U294), (EXP(-LN(2)/inputs!$C$51)*X294+$X$3), (EXP(-LN(2)/inputs!$C$51)*X294))</f>
        <v>2.8078566879010735E-15</v>
      </c>
      <c r="Y295" s="8">
        <f>IF((U295&gt;U294), (EXP(-LN(2)/inputs!$C$51)*Y294+$Y$3), (EXP(-LN(2)/inputs!$C$51)*Y294))</f>
        <v>3.5098208598763458E-15</v>
      </c>
      <c r="Z295" s="8">
        <f>IF((U295&gt;U294), (EXP(-LN(2)/inputs!$C$51)*Z294+$Z$3), (EXP(-LN(2)/inputs!$C$51)*Z294))</f>
        <v>5.4597213375854197E-16</v>
      </c>
      <c r="AA295" s="8">
        <f>IF((U295&gt;U294), (EXP(-LN(2)/inputs!$C$51)*AA294+$AA$3), (EXP(-LN(2)/inputs!$C$51)*AA294))</f>
        <v>5.0697412420436073E-15</v>
      </c>
      <c r="AB295" s="7">
        <f>(((0.621*15^0.564)/0.2))*W295/15+AB294*inputs!$C$53</f>
        <v>7.1339444682237662E-15</v>
      </c>
      <c r="AC295" s="7">
        <f>(((0.621*1000^0.564)/0.2))*W295/1000+AC294*inputs!$C$53</f>
        <v>1.1431560347638775E-15</v>
      </c>
      <c r="AD295" s="7">
        <f>(((0.648*20^0.651)/0.2))*AA295/20+AD294*inputs!$C$54</f>
        <v>7.6364607668336268E-15</v>
      </c>
      <c r="AE295" s="7">
        <f>(((0.013*2^0.773)/0.2))*AA295/2+AE294*inputs!$C$54</f>
        <v>3.723798140845232E-16</v>
      </c>
    </row>
    <row r="296" spans="1:31" x14ac:dyDescent="0.3">
      <c r="A296" s="7">
        <f>IF(A295&lt;(inputs!$C$20-1),(1+A295),0)</f>
        <v>0</v>
      </c>
      <c r="B296" s="7">
        <f>IF(inputs!$C$19&gt;B295,IF(A295=(inputs!$C$20-1),(B295+1),B295), B295)</f>
        <v>1</v>
      </c>
      <c r="C296" s="7">
        <f t="shared" si="9"/>
        <v>293</v>
      </c>
      <c r="D296" s="8">
        <f>IF((B296&gt;B295), (EXP(-LN(2)/inputs!$C$51)*D295+$D$3), (EXP(-LN(2)/inputs!$C$51)*D295))</f>
        <v>1.6424250731683433E-14</v>
      </c>
      <c r="E296" s="8">
        <f>IF((B296&gt;B295), (EXP(-LN(2)/inputs!$C$51)*E295+$E$3), (EXP(-LN(2)/inputs!$C$51)*E295))</f>
        <v>7.5277815853548974E-15</v>
      </c>
      <c r="F296" s="8">
        <f>IF((B296&gt;B295), (EXP(-LN(2)/inputs!$C$51)*F295+$F$3), (EXP(-LN(2)/inputs!$C$51)*F295))</f>
        <v>9.2386410365719217E-15</v>
      </c>
      <c r="G296" s="8">
        <f>IF((B296&gt;B295), (EXP(-LN(2)/inputs!$C$51)*G295+$G$3), (EXP(-LN(2)/inputs!$C$51)*G295))</f>
        <v>1.0265156707302146E-15</v>
      </c>
      <c r="H296" s="8">
        <f>IF((B296&gt;B295), (EXP(-LN(2)/inputs!$C$51)*H295+$H$3), (EXP(-LN(2)/inputs!$C$51)*H295))</f>
        <v>6.4328315365759956E-15</v>
      </c>
      <c r="I296" s="7">
        <f>O296*(10^inputs!$C$55)*0.01/1</f>
        <v>0.14476979214325467</v>
      </c>
      <c r="J296" s="7">
        <f>(((0.621*15^0.564)/0.2))*D296/15+J295*inputs!$C$53</f>
        <v>1.7673555498537221E-14</v>
      </c>
      <c r="K296" s="7">
        <f>(((0.621*1000^0.564)/0.2))*D296/1000+K295*inputs!$C$53</f>
        <v>2.8320421772104851E-15</v>
      </c>
      <c r="L296" s="7">
        <f>(((0.648*20^0.651)/0.2))*H296/20+L295*inputs!$C$54</f>
        <v>9.6896593540759913E-15</v>
      </c>
      <c r="M296" s="7">
        <f>(((0.013*2^0.773)/0.2))*H296/2+M295*inputs!$C$54</f>
        <v>4.7250076429179267E-16</v>
      </c>
      <c r="N296" s="7">
        <f>O296*0.015*inputs!$C$56</f>
        <v>2.1269519800479912E-2</v>
      </c>
      <c r="O296" s="7">
        <f>IF((B296&gt;B295), (EXP(-LN(2)/inputs!$C$52)*O295+$O$3), (EXP(-LN(2)/inputs!$C$52)*O295))</f>
        <v>2.2944465804185452E-3</v>
      </c>
      <c r="P296" s="3">
        <f>IF((B296&gt;B295), (EXP(-LN(2)/inputs!$C$52)*P295+$P$3), (EXP(-LN(2)/inputs!$C$52)*P295))</f>
        <v>2.2171350225220115E-3</v>
      </c>
      <c r="Q296" s="19">
        <f>IF((F296*0.62*1/(0.012*(10^inputs!$C$55)))&gt;inputs!$C$57, inputs!$C$57, (F296*0.62*1/(0.012*(10^inputs!$C$55))))</f>
        <v>7.5651672980015995E-17</v>
      </c>
      <c r="R296" s="3">
        <f>IF((B296&gt;B295), (EXP(-LN(2)/inputs!$C$51)*R295+$R$3), (EXP(-LN(2)/inputs!$C$51)*R295))</f>
        <v>1.7577243469768284E-22</v>
      </c>
      <c r="T296" s="7">
        <f>IF(T295&lt;(inputs!$C$20-1),(1+T295),0)</f>
        <v>0</v>
      </c>
      <c r="U296" s="7">
        <f>IF(inputs!$C$19&gt;U295,IF(T295=(inputs!$C$20-1),(U295+1),U295), U295)</f>
        <v>1</v>
      </c>
      <c r="V296" s="7">
        <f t="shared" si="8"/>
        <v>293</v>
      </c>
      <c r="W296" s="8">
        <f>IF((U296&gt;U295), (EXP(-LN(2)/inputs!$C$51)*W295+$W$3), (EXP(-LN(2)/inputs!$C$51)*W295))</f>
        <v>5.8169221341378723E-15</v>
      </c>
      <c r="X296" s="8">
        <f>IF((U296&gt;U295), (EXP(-LN(2)/inputs!$C$51)*X295+$X$3), (EXP(-LN(2)/inputs!$C$51)*X295))</f>
        <v>2.4636376097525106E-15</v>
      </c>
      <c r="Y296" s="8">
        <f>IF((U296&gt;U295), (EXP(-LN(2)/inputs!$C$51)*Y295+$Y$3), (EXP(-LN(2)/inputs!$C$51)*Y295))</f>
        <v>3.0795470121906417E-15</v>
      </c>
      <c r="Z296" s="8">
        <f>IF((U296&gt;U295), (EXP(-LN(2)/inputs!$C$51)*Z295+$Z$3), (EXP(-LN(2)/inputs!$C$51)*Z295))</f>
        <v>4.7904064634076582E-16</v>
      </c>
      <c r="AA296" s="8">
        <f>IF((U296&gt;U295), (EXP(-LN(2)/inputs!$C$51)*AA295+$AA$3), (EXP(-LN(2)/inputs!$C$51)*AA295))</f>
        <v>4.4482345731642576E-15</v>
      </c>
      <c r="AB296" s="7">
        <f>(((0.621*15^0.564)/0.2))*W296/15+AB295*inputs!$C$53</f>
        <v>6.2593842390652538E-15</v>
      </c>
      <c r="AC296" s="7">
        <f>(((0.621*1000^0.564)/0.2))*W296/1000+AC295*inputs!$C$53</f>
        <v>1.003014937762045E-15</v>
      </c>
      <c r="AD296" s="7">
        <f>(((0.648*20^0.651)/0.2))*AA296/20+AD295*inputs!$C$54</f>
        <v>6.7002963618610652E-15</v>
      </c>
      <c r="AE296" s="7">
        <f>(((0.013*2^0.773)/0.2))*AA296/2+AE295*inputs!$C$54</f>
        <v>3.2672925190389965E-16</v>
      </c>
    </row>
    <row r="297" spans="1:31" x14ac:dyDescent="0.3">
      <c r="A297" s="7">
        <f>IF(A296&lt;(inputs!$C$20-1),(1+A296),0)</f>
        <v>0</v>
      </c>
      <c r="B297" s="7">
        <f>IF(inputs!$C$19&gt;B296,IF(A296=(inputs!$C$20-1),(B296+1),B296), B296)</f>
        <v>1</v>
      </c>
      <c r="C297" s="7">
        <f t="shared" si="9"/>
        <v>294</v>
      </c>
      <c r="D297" s="8">
        <f>IF((B297&gt;B296), (EXP(-LN(2)/inputs!$C$51)*D296+$D$3), (EXP(-LN(2)/inputs!$C$51)*D296))</f>
        <v>1.4410778865223232E-14</v>
      </c>
      <c r="E297" s="8">
        <f>IF((B297&gt;B296), (EXP(-LN(2)/inputs!$C$51)*E296+$E$3), (EXP(-LN(2)/inputs!$C$51)*E296))</f>
        <v>6.6049403132273068E-15</v>
      </c>
      <c r="F297" s="8">
        <f>IF((B297&gt;B296), (EXP(-LN(2)/inputs!$C$51)*F296+$F$3), (EXP(-LN(2)/inputs!$C$51)*F296))</f>
        <v>8.1060631116880598E-15</v>
      </c>
      <c r="G297" s="8">
        <f>IF((B297&gt;B296), (EXP(-LN(2)/inputs!$C$51)*G296+$G$3), (EXP(-LN(2)/inputs!$C$51)*G296))</f>
        <v>9.0067367907645197E-16</v>
      </c>
      <c r="H297" s="8">
        <f>IF((B297&gt;B296), (EXP(-LN(2)/inputs!$C$51)*H296+$H$3), (EXP(-LN(2)/inputs!$C$51)*H296))</f>
        <v>5.6442217222124193E-15</v>
      </c>
      <c r="I297" s="7">
        <f>O297*(10^inputs!$C$55)*0.01/1</f>
        <v>0.14184829743525976</v>
      </c>
      <c r="J297" s="7">
        <f>(((0.621*15^0.564)/0.2))*D297/15+J296*inputs!$C$53</f>
        <v>1.5506929613559616E-14</v>
      </c>
      <c r="K297" s="7">
        <f>(((0.621*1000^0.564)/0.2))*D297/1000+K296*inputs!$C$53</f>
        <v>2.4848581661041503E-15</v>
      </c>
      <c r="L297" s="7">
        <f>(((0.648*20^0.651)/0.2))*H297/20+L296*inputs!$C$54</f>
        <v>8.5017904629016035E-15</v>
      </c>
      <c r="M297" s="7">
        <f>(((0.013*2^0.773)/0.2))*H297/2+M296*inputs!$C$54</f>
        <v>4.1457623480642513E-16</v>
      </c>
      <c r="N297" s="7">
        <f>O297*0.015*inputs!$C$56</f>
        <v>2.0840294969672622E-2</v>
      </c>
      <c r="O297" s="7">
        <f>IF((B297&gt;B296), (EXP(-LN(2)/inputs!$C$52)*O296+$O$3), (EXP(-LN(2)/inputs!$C$52)*O296))</f>
        <v>2.2481440096734219E-3</v>
      </c>
      <c r="P297" s="3">
        <f>IF((B297&gt;B296), (EXP(-LN(2)/inputs!$C$52)*P296+$P$3), (EXP(-LN(2)/inputs!$C$52)*P296))</f>
        <v>2.1723926205380484E-3</v>
      </c>
      <c r="Q297" s="19">
        <f>IF((F297*0.62*1/(0.012*(10^inputs!$C$55)))&gt;inputs!$C$57, inputs!$C$57, (F297*0.62*1/(0.012*(10^inputs!$C$55))))</f>
        <v>6.6377428590768476E-17</v>
      </c>
      <c r="R297" s="3">
        <f>IF((B297&gt;B296), (EXP(-LN(2)/inputs!$C$51)*R296+$R$3), (EXP(-LN(2)/inputs!$C$51)*R296))</f>
        <v>1.5422424611089535E-22</v>
      </c>
      <c r="T297" s="7">
        <f>IF(T296&lt;(inputs!$C$20-1),(1+T296),0)</f>
        <v>0</v>
      </c>
      <c r="U297" s="7">
        <f>IF(inputs!$C$19&gt;U296,IF(T296=(inputs!$C$20-1),(U296+1),U296), U296)</f>
        <v>1</v>
      </c>
      <c r="V297" s="7">
        <f t="shared" si="8"/>
        <v>294</v>
      </c>
      <c r="W297" s="8">
        <f>IF((U297&gt;U296), (EXP(-LN(2)/inputs!$C$51)*W296+$W$3), (EXP(-LN(2)/inputs!$C$51)*W296))</f>
        <v>5.1038175147665522E-15</v>
      </c>
      <c r="X297" s="8">
        <f>IF((U297&gt;U296), (EXP(-LN(2)/inputs!$C$51)*X296+$X$3), (EXP(-LN(2)/inputs!$C$51)*X296))</f>
        <v>2.1616168297834809E-15</v>
      </c>
      <c r="Y297" s="8">
        <f>IF((U297&gt;U296), (EXP(-LN(2)/inputs!$C$51)*Y296+$Y$3), (EXP(-LN(2)/inputs!$C$51)*Y296))</f>
        <v>2.7020210372293543E-15</v>
      </c>
      <c r="Z297" s="8">
        <f>IF((U297&gt;U296), (EXP(-LN(2)/inputs!$C$51)*Z296+$Z$3), (EXP(-LN(2)/inputs!$C$51)*Z296))</f>
        <v>4.2031438356901008E-16</v>
      </c>
      <c r="AA297" s="8">
        <f>IF((U297&gt;U296), (EXP(-LN(2)/inputs!$C$51)*AA296+$AA$3), (EXP(-LN(2)/inputs!$C$51)*AA296))</f>
        <v>3.9029192759979541E-15</v>
      </c>
      <c r="AB297" s="7">
        <f>(((0.621*15^0.564)/0.2))*W297/15+AB296*inputs!$C$53</f>
        <v>5.4920375714690212E-15</v>
      </c>
      <c r="AC297" s="7">
        <f>(((0.621*1000^0.564)/0.2))*W297/1000+AC296*inputs!$C$53</f>
        <v>8.8005393382855167E-16</v>
      </c>
      <c r="AD297" s="7">
        <f>(((0.648*20^0.651)/0.2))*AA297/20+AD296*inputs!$C$54</f>
        <v>5.8788976605170728E-15</v>
      </c>
      <c r="AE297" s="7">
        <f>(((0.013*2^0.773)/0.2))*AA297/2+AE296*inputs!$C$54</f>
        <v>2.8667505598316667E-16</v>
      </c>
    </row>
    <row r="298" spans="1:31" x14ac:dyDescent="0.3">
      <c r="A298" s="7">
        <f>IF(A297&lt;(inputs!$C$20-1),(1+A297),0)</f>
        <v>0</v>
      </c>
      <c r="B298" s="7">
        <f>IF(inputs!$C$19&gt;B297,IF(A297=(inputs!$C$20-1),(B297+1),B297), B297)</f>
        <v>1</v>
      </c>
      <c r="C298" s="7">
        <f t="shared" si="9"/>
        <v>295</v>
      </c>
      <c r="D298" s="8">
        <f>IF((B298&gt;B297), (EXP(-LN(2)/inputs!$C$51)*D297+$D$3), (EXP(-LN(2)/inputs!$C$51)*D297))</f>
        <v>1.2644141330706476E-14</v>
      </c>
      <c r="E298" s="8">
        <f>IF((B298&gt;B297), (EXP(-LN(2)/inputs!$C$51)*E297+$E$3), (EXP(-LN(2)/inputs!$C$51)*E297))</f>
        <v>5.7952314432404614E-15</v>
      </c>
      <c r="F298" s="8">
        <f>IF((B298&gt;B297), (EXP(-LN(2)/inputs!$C$51)*F297+$F$3), (EXP(-LN(2)/inputs!$C$51)*F297))</f>
        <v>7.1123294985223857E-15</v>
      </c>
      <c r="G298" s="8">
        <f>IF((B298&gt;B297), (EXP(-LN(2)/inputs!$C$51)*G297+$G$3), (EXP(-LN(2)/inputs!$C$51)*G297))</f>
        <v>7.9025883316915477E-16</v>
      </c>
      <c r="H298" s="8">
        <f>IF((B298&gt;B297), (EXP(-LN(2)/inputs!$C$51)*H297+$H$3), (EXP(-LN(2)/inputs!$C$51)*H297))</f>
        <v>4.9522886878600256E-15</v>
      </c>
      <c r="I298" s="7">
        <f>O298*(10^inputs!$C$55)*0.01/1</f>
        <v>0.13898575930378873</v>
      </c>
      <c r="J298" s="7">
        <f>(((0.621*15^0.564)/0.2))*D298/15+J297*inputs!$C$53</f>
        <v>1.3605913425840921E-14</v>
      </c>
      <c r="K298" s="7">
        <f>(((0.621*1000^0.564)/0.2))*D298/1000+K297*inputs!$C$53</f>
        <v>2.1802359284550917E-15</v>
      </c>
      <c r="L298" s="7">
        <f>(((0.648*20^0.651)/0.2))*H298/20+L297*inputs!$C$54</f>
        <v>7.4595440803272027E-15</v>
      </c>
      <c r="M298" s="7">
        <f>(((0.013*2^0.773)/0.2))*H298/2+M297*inputs!$C$54</f>
        <v>3.6375275439794155E-16</v>
      </c>
      <c r="N298" s="7">
        <f>O298*0.015*inputs!$C$56</f>
        <v>2.041973201544316E-2</v>
      </c>
      <c r="O298" s="7">
        <f>IF((B298&gt;B297), (EXP(-LN(2)/inputs!$C$52)*O297+$O$3), (EXP(-LN(2)/inputs!$C$52)*O297))</f>
        <v>2.2027758376961339E-3</v>
      </c>
      <c r="P298" s="3">
        <f>IF((B298&gt;B297), (EXP(-LN(2)/inputs!$C$52)*P297+$P$3), (EXP(-LN(2)/inputs!$C$52)*P297))</f>
        <v>2.1285531326819844E-3</v>
      </c>
      <c r="Q298" s="19">
        <f>IF((F298*0.62*1/(0.012*(10^inputs!$C$55)))&gt;inputs!$C$57, inputs!$C$57, (F298*0.62*1/(0.012*(10^inputs!$C$55))))</f>
        <v>5.8240126791200489E-17</v>
      </c>
      <c r="R298" s="3">
        <f>IF((B298&gt;B297), (EXP(-LN(2)/inputs!$C$51)*R297+$R$3), (EXP(-LN(2)/inputs!$C$51)*R297))</f>
        <v>1.3531768009803628E-22</v>
      </c>
      <c r="T298" s="7">
        <f>IF(T297&lt;(inputs!$C$20-1),(1+T297),0)</f>
        <v>0</v>
      </c>
      <c r="U298" s="7">
        <f>IF(inputs!$C$19&gt;U297,IF(T297=(inputs!$C$20-1),(U297+1),U297), U297)</f>
        <v>1</v>
      </c>
      <c r="V298" s="7">
        <f t="shared" si="8"/>
        <v>295</v>
      </c>
      <c r="W298" s="8">
        <f>IF((U298&gt;U297), (EXP(-LN(2)/inputs!$C$51)*W297+$W$3), (EXP(-LN(2)/inputs!$C$51)*W297))</f>
        <v>4.4781333879585363E-15</v>
      </c>
      <c r="X298" s="8">
        <f>IF((U298&gt;U297), (EXP(-LN(2)/inputs!$C$51)*X297+$X$3), (EXP(-LN(2)/inputs!$C$51)*X297))</f>
        <v>1.8966211996059681E-15</v>
      </c>
      <c r="Y298" s="8">
        <f>IF((U298&gt;U297), (EXP(-LN(2)/inputs!$C$51)*Y297+$Y$3), (EXP(-LN(2)/inputs!$C$51)*Y297))</f>
        <v>2.3707764995074629E-15</v>
      </c>
      <c r="Z298" s="8">
        <f>IF((U298&gt;U297), (EXP(-LN(2)/inputs!$C$51)*Z297+$Z$3), (EXP(-LN(2)/inputs!$C$51)*Z297))</f>
        <v>3.6878745547893815E-16</v>
      </c>
      <c r="AA298" s="8">
        <f>IF((U298&gt;U297), (EXP(-LN(2)/inputs!$C$51)*AA297+$AA$3), (EXP(-LN(2)/inputs!$C$51)*AA297))</f>
        <v>3.424454943733E-15</v>
      </c>
      <c r="AB298" s="7">
        <f>(((0.621*15^0.564)/0.2))*W298/15+AB297*inputs!$C$53</f>
        <v>4.818761004985317E-15</v>
      </c>
      <c r="AC298" s="7">
        <f>(((0.621*1000^0.564)/0.2))*W298/1000+AC297*inputs!$C$53</f>
        <v>7.7216689132784366E-16</v>
      </c>
      <c r="AD298" s="7">
        <f>(((0.648*20^0.651)/0.2))*AA298/20+AD297*inputs!$C$54</f>
        <v>5.1581953746943473E-15</v>
      </c>
      <c r="AE298" s="7">
        <f>(((0.013*2^0.773)/0.2))*AA298/2+AE297*inputs!$C$54</f>
        <v>2.5153115995602372E-16</v>
      </c>
    </row>
    <row r="299" spans="1:31" x14ac:dyDescent="0.3">
      <c r="A299" s="7">
        <f>IF(A298&lt;(inputs!$C$20-1),(1+A298),0)</f>
        <v>0</v>
      </c>
      <c r="B299" s="7">
        <f>IF(inputs!$C$19&gt;B298,IF(A298=(inputs!$C$20-1),(B298+1),B298), B298)</f>
        <v>1</v>
      </c>
      <c r="C299" s="7">
        <f t="shared" si="9"/>
        <v>296</v>
      </c>
      <c r="D299" s="8">
        <f>IF((B299&gt;B298), (EXP(-LN(2)/inputs!$C$51)*D298+$D$3), (EXP(-LN(2)/inputs!$C$51)*D298))</f>
        <v>1.1094078362183181E-14</v>
      </c>
      <c r="E299" s="8">
        <f>IF((B299&gt;B298), (EXP(-LN(2)/inputs!$C$51)*E298+$E$3), (EXP(-LN(2)/inputs!$C$51)*E298))</f>
        <v>5.0847859160006183E-15</v>
      </c>
      <c r="F299" s="8">
        <f>IF((B299&gt;B298), (EXP(-LN(2)/inputs!$C$51)*F298+$F$3), (EXP(-LN(2)/inputs!$C$51)*F298))</f>
        <v>6.2404190787280327E-15</v>
      </c>
      <c r="G299" s="8">
        <f>IF((B299&gt;B298), (EXP(-LN(2)/inputs!$C$51)*G298+$G$3), (EXP(-LN(2)/inputs!$C$51)*G298))</f>
        <v>6.9337989763644883E-16</v>
      </c>
      <c r="H299" s="8">
        <f>IF((B299&gt;B298), (EXP(-LN(2)/inputs!$C$51)*H298+$H$3), (EXP(-LN(2)/inputs!$C$51)*H298))</f>
        <v>4.3451806918550695E-15</v>
      </c>
      <c r="I299" s="7">
        <f>O299*(10^inputs!$C$55)*0.01/1</f>
        <v>0.13618098798871439</v>
      </c>
      <c r="J299" s="7">
        <f>(((0.621*15^0.564)/0.2))*D299/15+J298*inputs!$C$53</f>
        <v>1.1937945471139834E-14</v>
      </c>
      <c r="K299" s="7">
        <f>(((0.621*1000^0.564)/0.2))*D299/1000+K298*inputs!$C$53</f>
        <v>1.9129577569326751E-15</v>
      </c>
      <c r="L299" s="7">
        <f>(((0.648*20^0.651)/0.2))*H299/20+L298*inputs!$C$54</f>
        <v>6.5450681393708937E-15</v>
      </c>
      <c r="M299" s="7">
        <f>(((0.013*2^0.773)/0.2))*H299/2+M298*inputs!$C$54</f>
        <v>3.191597955292119E-16</v>
      </c>
      <c r="N299" s="7">
        <f>O299*0.015*inputs!$C$56</f>
        <v>2.0007656138710809E-2</v>
      </c>
      <c r="O299" s="7">
        <f>IF((B299&gt;B298), (EXP(-LN(2)/inputs!$C$52)*O298+$O$3), (EXP(-LN(2)/inputs!$C$52)*O298))</f>
        <v>2.1583232080594188E-3</v>
      </c>
      <c r="P299" s="3">
        <f>IF((B299&gt;B298), (EXP(-LN(2)/inputs!$C$52)*P298+$P$3), (EXP(-LN(2)/inputs!$C$52)*P298))</f>
        <v>2.0855983378953555E-3</v>
      </c>
      <c r="Q299" s="19">
        <f>IF((F299*0.62*1/(0.012*(10^inputs!$C$55)))&gt;inputs!$C$57, inputs!$C$57, (F299*0.62*1/(0.012*(10^inputs!$C$55))))</f>
        <v>5.1100388199232599E-17</v>
      </c>
      <c r="R299" s="3">
        <f>IF((B299&gt;B298), (EXP(-LN(2)/inputs!$C$51)*R298+$R$3), (EXP(-LN(2)/inputs!$C$51)*R298))</f>
        <v>1.1872889645346686E-22</v>
      </c>
      <c r="T299" s="7">
        <f>IF(T298&lt;(inputs!$C$20-1),(1+T298),0)</f>
        <v>0</v>
      </c>
      <c r="U299" s="7">
        <f>IF(inputs!$C$19&gt;U298,IF(T298=(inputs!$C$20-1),(U298+1),U298), U298)</f>
        <v>1</v>
      </c>
      <c r="V299" s="7">
        <f t="shared" si="8"/>
        <v>296</v>
      </c>
      <c r="W299" s="8">
        <f>IF((U299&gt;U298), (EXP(-LN(2)/inputs!$C$51)*W298+$W$3), (EXP(-LN(2)/inputs!$C$51)*W298))</f>
        <v>3.9291527532732031E-15</v>
      </c>
      <c r="X299" s="8">
        <f>IF((U299&gt;U298), (EXP(-LN(2)/inputs!$C$51)*X298+$X$3), (EXP(-LN(2)/inputs!$C$51)*X298))</f>
        <v>1.6641117543274742E-15</v>
      </c>
      <c r="Y299" s="8">
        <f>IF((U299&gt;U298), (EXP(-LN(2)/inputs!$C$51)*Y298+$Y$3), (EXP(-LN(2)/inputs!$C$51)*Y298))</f>
        <v>2.080139692909345E-15</v>
      </c>
      <c r="Z299" s="8">
        <f>IF((U299&gt;U298), (EXP(-LN(2)/inputs!$C$51)*Z298+$Z$3), (EXP(-LN(2)/inputs!$C$51)*Z298))</f>
        <v>3.2357728556367545E-16</v>
      </c>
      <c r="AA299" s="8">
        <f>IF((U299&gt;U298), (EXP(-LN(2)/inputs!$C$51)*AA298+$AA$3), (EXP(-LN(2)/inputs!$C$51)*AA298))</f>
        <v>3.0046462230912744E-15</v>
      </c>
      <c r="AB299" s="7">
        <f>(((0.621*15^0.564)/0.2))*W299/15+AB298*inputs!$C$53</f>
        <v>4.2280223543620166E-15</v>
      </c>
      <c r="AC299" s="7">
        <f>(((0.621*1000^0.564)/0.2))*W299/1000+AC298*inputs!$C$53</f>
        <v>6.7750587224698794E-16</v>
      </c>
      <c r="AD299" s="7">
        <f>(((0.648*20^0.651)/0.2))*AA299/20+AD298*inputs!$C$54</f>
        <v>4.5258449899905164E-15</v>
      </c>
      <c r="AE299" s="7">
        <f>(((0.013*2^0.773)/0.2))*AA299/2+AE298*inputs!$C$54</f>
        <v>2.2069560329147657E-16</v>
      </c>
    </row>
    <row r="300" spans="1:31" x14ac:dyDescent="0.3">
      <c r="A300" s="7">
        <f>IF(A299&lt;(inputs!$C$20-1),(1+A299),0)</f>
        <v>0</v>
      </c>
      <c r="B300" s="7">
        <f>IF(inputs!$C$19&gt;B299,IF(A299=(inputs!$C$20-1),(B299+1),B299), B299)</f>
        <v>1</v>
      </c>
      <c r="C300" s="7">
        <f t="shared" si="9"/>
        <v>297</v>
      </c>
      <c r="D300" s="8">
        <f>IF((B300&gt;B299), (EXP(-LN(2)/inputs!$C$51)*D299+$D$3), (EXP(-LN(2)/inputs!$C$51)*D299))</f>
        <v>9.7340397807293555E-15</v>
      </c>
      <c r="E300" s="8">
        <f>IF((B300&gt;B299), (EXP(-LN(2)/inputs!$C$51)*E299+$E$3), (EXP(-LN(2)/inputs!$C$51)*E299))</f>
        <v>4.4614348995009487E-15</v>
      </c>
      <c r="F300" s="8">
        <f>IF((B300&gt;B299), (EXP(-LN(2)/inputs!$C$51)*F299+$F$3), (EXP(-LN(2)/inputs!$C$51)*F299))</f>
        <v>5.4753973766602566E-15</v>
      </c>
      <c r="G300" s="8">
        <f>IF((B300&gt;B299), (EXP(-LN(2)/inputs!$C$51)*G299+$G$3), (EXP(-LN(2)/inputs!$C$51)*G299))</f>
        <v>6.0837748629558472E-16</v>
      </c>
      <c r="H300" s="8">
        <f>IF((B300&gt;B299), (EXP(-LN(2)/inputs!$C$51)*H299+$H$3), (EXP(-LN(2)/inputs!$C$51)*H299))</f>
        <v>3.8124989141189888E-15</v>
      </c>
      <c r="I300" s="7">
        <f>O300*(10^inputs!$C$55)*0.01/1</f>
        <v>0.13343281773960011</v>
      </c>
      <c r="J300" s="7">
        <f>(((0.621*15^0.564)/0.2))*D300/15+J299*inputs!$C$53</f>
        <v>1.0474456040653507E-14</v>
      </c>
      <c r="K300" s="7">
        <f>(((0.621*1000^0.564)/0.2))*D300/1000+K299*inputs!$C$53</f>
        <v>1.6784455902448759E-15</v>
      </c>
      <c r="L300" s="7">
        <f>(((0.648*20^0.651)/0.2))*H300/20+L299*inputs!$C$54</f>
        <v>5.7426990829081533E-15</v>
      </c>
      <c r="M300" s="7">
        <f>(((0.013*2^0.773)/0.2))*H300/2+M299*inputs!$C$54</f>
        <v>2.8003354985131292E-16</v>
      </c>
      <c r="N300" s="7">
        <f>O300*0.015*inputs!$C$56</f>
        <v>1.9603896067888957E-2</v>
      </c>
      <c r="O300" s="7">
        <f>IF((B300&gt;B299), (EXP(-LN(2)/inputs!$C$52)*O299+$O$3), (EXP(-LN(2)/inputs!$C$52)*O299))</f>
        <v>2.1147676448639652E-3</v>
      </c>
      <c r="P300" s="3">
        <f>IF((B300&gt;B299), (EXP(-LN(2)/inputs!$C$52)*P299+$P$3), (EXP(-LN(2)/inputs!$C$52)*P299))</f>
        <v>2.0435103828257304E-3</v>
      </c>
      <c r="Q300" s="19">
        <f>IF((F300*0.62*1/(0.012*(10^inputs!$C$55)))&gt;inputs!$C$57, inputs!$C$57, (F300*0.62*1/(0.012*(10^inputs!$C$55))))</f>
        <v>4.4835920146156068E-17</v>
      </c>
      <c r="R300" s="3">
        <f>IF((B300&gt;B299), (EXP(-LN(2)/inputs!$C$51)*R299+$R$3), (EXP(-LN(2)/inputs!$C$51)*R299))</f>
        <v>1.041737549952471E-22</v>
      </c>
      <c r="T300" s="7">
        <f>IF(T299&lt;(inputs!$C$20-1),(1+T299),0)</f>
        <v>0</v>
      </c>
      <c r="U300" s="7">
        <f>IF(inputs!$C$19&gt;U299,IF(T299=(inputs!$C$20-1),(U299+1),U299), U299)</f>
        <v>1</v>
      </c>
      <c r="V300" s="7">
        <f t="shared" si="8"/>
        <v>297</v>
      </c>
      <c r="W300" s="8">
        <f>IF((U300&gt;U299), (EXP(-LN(2)/inputs!$C$51)*W299+$W$3), (EXP(-LN(2)/inputs!$C$51)*W299))</f>
        <v>3.4474724223416409E-15</v>
      </c>
      <c r="X300" s="8">
        <f>IF((U300&gt;U299), (EXP(-LN(2)/inputs!$C$51)*X299+$X$3), (EXP(-LN(2)/inputs!$C$51)*X299))</f>
        <v>1.4601059671094008E-15</v>
      </c>
      <c r="Y300" s="8">
        <f>IF((U300&gt;U299), (EXP(-LN(2)/inputs!$C$51)*Y299+$Y$3), (EXP(-LN(2)/inputs!$C$51)*Y299))</f>
        <v>1.8251324588867529E-15</v>
      </c>
      <c r="Z300" s="8">
        <f>IF((U300&gt;U299), (EXP(-LN(2)/inputs!$C$51)*Z299+$Z$3), (EXP(-LN(2)/inputs!$C$51)*Z299))</f>
        <v>2.8390949360460564E-16</v>
      </c>
      <c r="AA300" s="8">
        <f>IF((U300&gt;U299), (EXP(-LN(2)/inputs!$C$51)*AA299+$AA$3), (EXP(-LN(2)/inputs!$C$51)*AA299))</f>
        <v>2.6363024406141971E-15</v>
      </c>
      <c r="AB300" s="7">
        <f>(((0.621*15^0.564)/0.2))*W300/15+AB299*inputs!$C$53</f>
        <v>3.7097031810647774E-15</v>
      </c>
      <c r="AC300" s="7">
        <f>(((0.621*1000^0.564)/0.2))*W300/1000+AC299*inputs!$C$53</f>
        <v>5.9444947987839248E-16</v>
      </c>
      <c r="AD300" s="7">
        <f>(((0.648*20^0.651)/0.2))*AA300/20+AD299*inputs!$C$54</f>
        <v>3.971015323287557E-15</v>
      </c>
      <c r="AE300" s="7">
        <f>(((0.013*2^0.773)/0.2))*AA300/2+AE299*inputs!$C$54</f>
        <v>1.9364022064186551E-16</v>
      </c>
    </row>
    <row r="301" spans="1:31" x14ac:dyDescent="0.3">
      <c r="A301" s="7">
        <f>IF(A300&lt;(inputs!$C$20-1),(1+A300),0)</f>
        <v>0</v>
      </c>
      <c r="B301" s="7">
        <f>IF(inputs!$C$19&gt;B300,IF(A300=(inputs!$C$20-1),(B300+1),B300), B300)</f>
        <v>1</v>
      </c>
      <c r="C301" s="7">
        <f t="shared" si="9"/>
        <v>298</v>
      </c>
      <c r="D301" s="8">
        <f>IF((B301&gt;B300), (EXP(-LN(2)/inputs!$C$51)*D300+$D$3), (EXP(-LN(2)/inputs!$C$51)*D300))</f>
        <v>8.540730230985644E-15</v>
      </c>
      <c r="E301" s="8">
        <f>IF((B301&gt;B300), (EXP(-LN(2)/inputs!$C$51)*E300+$E$3), (EXP(-LN(2)/inputs!$C$51)*E300))</f>
        <v>3.9145013558684149E-15</v>
      </c>
      <c r="F301" s="8">
        <f>IF((B301&gt;B300), (EXP(-LN(2)/inputs!$C$51)*F300+$F$3), (EXP(-LN(2)/inputs!$C$51)*F300))</f>
        <v>4.80416075492942E-15</v>
      </c>
      <c r="G301" s="8">
        <f>IF((B301&gt;B300), (EXP(-LN(2)/inputs!$C$51)*G300+$G$3), (EXP(-LN(2)/inputs!$C$51)*G300))</f>
        <v>5.3379563943660275E-16</v>
      </c>
      <c r="H301" s="8">
        <f>IF((B301&gt;B300), (EXP(-LN(2)/inputs!$C$51)*H300+$H$3), (EXP(-LN(2)/inputs!$C$51)*H300))</f>
        <v>3.3451193404693698E-15</v>
      </c>
      <c r="I301" s="7">
        <f>O301*(10^inputs!$C$55)*0.01/1</f>
        <v>0.13074010633117764</v>
      </c>
      <c r="J301" s="7">
        <f>(((0.621*15^0.564)/0.2))*D301/15+J300*inputs!$C$53</f>
        <v>9.1903778261358781E-15</v>
      </c>
      <c r="K301" s="7">
        <f>(((0.621*1000^0.564)/0.2))*D301/1000+K300*inputs!$C$53</f>
        <v>1.4726825980358636E-15</v>
      </c>
      <c r="L301" s="7">
        <f>(((0.648*20^0.651)/0.2))*H301/20+L300*inputs!$C$54</f>
        <v>5.0386935711877894E-15</v>
      </c>
      <c r="M301" s="7">
        <f>(((0.013*2^0.773)/0.2))*H301/2+M300*inputs!$C$54</f>
        <v>2.4570384534899939E-16</v>
      </c>
      <c r="N301" s="7">
        <f>O301*0.015*inputs!$C$56</f>
        <v>1.920828398769928E-2</v>
      </c>
      <c r="O301" s="7">
        <f>IF((B301&gt;B300), (EXP(-LN(2)/inputs!$C$52)*O300+$O$3), (EXP(-LN(2)/inputs!$C$52)*O300))</f>
        <v>2.0720910450592535E-3</v>
      </c>
      <c r="P301" s="3">
        <f>IF((B301&gt;B300), (EXP(-LN(2)/inputs!$C$52)*P300+$P$3), (EXP(-LN(2)/inputs!$C$52)*P300))</f>
        <v>2.0022717744062998E-3</v>
      </c>
      <c r="Q301" s="19">
        <f>IF((F301*0.62*1/(0.012*(10^inputs!$C$55)))&gt;inputs!$C$57, inputs!$C$57, (F301*0.62*1/(0.012*(10^inputs!$C$55))))</f>
        <v>3.9339421992545114E-17</v>
      </c>
      <c r="R301" s="3">
        <f>IF((B301&gt;B300), (EXP(-LN(2)/inputs!$C$51)*R300+$R$3), (EXP(-LN(2)/inputs!$C$51)*R300))</f>
        <v>9.1402948683710178E-23</v>
      </c>
      <c r="T301" s="7">
        <f>IF(T300&lt;(inputs!$C$20-1),(1+T300),0)</f>
        <v>0</v>
      </c>
      <c r="U301" s="7">
        <f>IF(inputs!$C$19&gt;U300,IF(T300=(inputs!$C$20-1),(U300+1),U300), U300)</f>
        <v>1</v>
      </c>
      <c r="V301" s="7">
        <f t="shared" si="8"/>
        <v>298</v>
      </c>
      <c r="W301" s="8">
        <f>IF((U301&gt;U300), (EXP(-LN(2)/inputs!$C$51)*W300+$W$3), (EXP(-LN(2)/inputs!$C$51)*W300))</f>
        <v>3.0248419568074106E-15</v>
      </c>
      <c r="X301" s="8">
        <f>IF((U301&gt;U300), (EXP(-LN(2)/inputs!$C$51)*X300+$X$3), (EXP(-LN(2)/inputs!$C$51)*X300))</f>
        <v>1.2811095346478443E-15</v>
      </c>
      <c r="Y301" s="8">
        <f>IF((U301&gt;U300), (EXP(-LN(2)/inputs!$C$51)*Y300+$Y$3), (EXP(-LN(2)/inputs!$C$51)*Y300))</f>
        <v>1.6013869183098073E-15</v>
      </c>
      <c r="Z301" s="8">
        <f>IF((U301&gt;U300), (EXP(-LN(2)/inputs!$C$51)*Z300+$Z$3), (EXP(-LN(2)/inputs!$C$51)*Z300))</f>
        <v>2.4910463173708078E-16</v>
      </c>
      <c r="AA301" s="8">
        <f>IF((U301&gt;U300), (EXP(-LN(2)/inputs!$C$51)*AA300+$AA$3), (EXP(-LN(2)/inputs!$C$51)*AA300))</f>
        <v>2.313114437558609E-15</v>
      </c>
      <c r="AB301" s="7">
        <f>(((0.621*15^0.564)/0.2))*W301/15+AB300*inputs!$C$53</f>
        <v>3.2549254800897844E-15</v>
      </c>
      <c r="AC301" s="7">
        <f>(((0.621*1000^0.564)/0.2))*W301/1000+AC300*inputs!$C$53</f>
        <v>5.2157508680436745E-16</v>
      </c>
      <c r="AD301" s="7">
        <f>(((0.648*20^0.651)/0.2))*AA301/20+AD300*inputs!$C$54</f>
        <v>3.484203001353262E-15</v>
      </c>
      <c r="AE301" s="7">
        <f>(((0.013*2^0.773)/0.2))*AA301/2+AE300*inputs!$C$54</f>
        <v>1.6990159518813807E-16</v>
      </c>
    </row>
    <row r="302" spans="1:31" x14ac:dyDescent="0.3">
      <c r="A302" s="7">
        <f>IF(A301&lt;(inputs!$C$20-1),(1+A301),0)</f>
        <v>0</v>
      </c>
      <c r="B302" s="7">
        <f>IF(inputs!$C$19&gt;B301,IF(A301=(inputs!$C$20-1),(B301+1),B301), B301)</f>
        <v>1</v>
      </c>
      <c r="C302" s="7">
        <f t="shared" si="9"/>
        <v>299</v>
      </c>
      <c r="D302" s="8">
        <f>IF((B302&gt;B301), (EXP(-LN(2)/inputs!$C$51)*D301+$D$3), (EXP(-LN(2)/inputs!$C$51)*D301))</f>
        <v>7.4937101677846759E-15</v>
      </c>
      <c r="E302" s="8">
        <f>IF((B302&gt;B301), (EXP(-LN(2)/inputs!$C$51)*E301+$E$3), (EXP(-LN(2)/inputs!$C$51)*E301))</f>
        <v>3.4346171602346387E-15</v>
      </c>
      <c r="F302" s="8">
        <f>IF((B302&gt;B301), (EXP(-LN(2)/inputs!$C$51)*F301+$F$3), (EXP(-LN(2)/inputs!$C$51)*F301))</f>
        <v>4.2152119693788767E-15</v>
      </c>
      <c r="G302" s="8">
        <f>IF((B302&gt;B301), (EXP(-LN(2)/inputs!$C$51)*G301+$G$3), (EXP(-LN(2)/inputs!$C$51)*G301))</f>
        <v>4.6835688548654224E-16</v>
      </c>
      <c r="H302" s="8">
        <f>IF((B302&gt;B301), (EXP(-LN(2)/inputs!$C$51)*H301+$H$3), (EXP(-LN(2)/inputs!$C$51)*H301))</f>
        <v>2.9350364823823251E-15</v>
      </c>
      <c r="I302" s="7">
        <f>O302*(10^inputs!$C$55)*0.01/1</f>
        <v>0.12810173458860258</v>
      </c>
      <c r="J302" s="7">
        <f>(((0.621*15^0.564)/0.2))*D302/15+J301*inputs!$C$53</f>
        <v>8.0637165557153184E-15</v>
      </c>
      <c r="K302" s="7">
        <f>(((0.621*1000^0.564)/0.2))*D302/1000+K301*inputs!$C$53</f>
        <v>1.2921443788006531E-15</v>
      </c>
      <c r="L302" s="7">
        <f>(((0.648*20^0.651)/0.2))*H302/20+L301*inputs!$C$54</f>
        <v>4.4209930796987241E-15</v>
      </c>
      <c r="M302" s="7">
        <f>(((0.013*2^0.773)/0.2))*H302/2+M301*inputs!$C$54</f>
        <v>2.155826673316086E-16</v>
      </c>
      <c r="N302" s="7">
        <f>O302*0.015*inputs!$C$56</f>
        <v>1.88206554694225E-2</v>
      </c>
      <c r="O302" s="7">
        <f>IF((B302&gt;B301), (EXP(-LN(2)/inputs!$C$52)*O301+$O$3), (EXP(-LN(2)/inputs!$C$52)*O301))</f>
        <v>2.0302756709193637E-3</v>
      </c>
      <c r="P302" s="3">
        <f>IF((B302&gt;B301), (EXP(-LN(2)/inputs!$C$52)*P301+$P$3), (EXP(-LN(2)/inputs!$C$52)*P301))</f>
        <v>1.9618653725852128E-3</v>
      </c>
      <c r="Q302" s="19">
        <f>IF((F302*0.62*1/(0.012*(10^inputs!$C$55)))&gt;inputs!$C$57, inputs!$C$57, (F302*0.62*1/(0.012*(10^inputs!$C$55))))</f>
        <v>3.4516747234420755E-17</v>
      </c>
      <c r="R302" s="3">
        <f>IF((B302&gt;B301), (EXP(-LN(2)/inputs!$C$51)*R301+$R$3), (EXP(-LN(2)/inputs!$C$51)*R301))</f>
        <v>8.019773337783713E-23</v>
      </c>
      <c r="T302" s="7">
        <f>IF(T301&lt;(inputs!$C$20-1),(1+T301),0)</f>
        <v>0</v>
      </c>
      <c r="U302" s="7">
        <f>IF(inputs!$C$19&gt;U301,IF(T301=(inputs!$C$20-1),(U301+1),U301), U301)</f>
        <v>1</v>
      </c>
      <c r="V302" s="7">
        <f t="shared" si="8"/>
        <v>299</v>
      </c>
      <c r="W302" s="8">
        <f>IF((U302&gt;U301), (EXP(-LN(2)/inputs!$C$51)*W301+$W$3), (EXP(-LN(2)/inputs!$C$51)*W301))</f>
        <v>2.6540223510904019E-15</v>
      </c>
      <c r="X302" s="8">
        <f>IF((U302&gt;U301), (EXP(-LN(2)/inputs!$C$51)*X301+$X$3), (EXP(-LN(2)/inputs!$C$51)*X301))</f>
        <v>1.1240565251676994E-15</v>
      </c>
      <c r="Y302" s="8">
        <f>IF((U302&gt;U301), (EXP(-LN(2)/inputs!$C$51)*Y301+$Y$3), (EXP(-LN(2)/inputs!$C$51)*Y301))</f>
        <v>1.405070656459626E-15</v>
      </c>
      <c r="Z302" s="8">
        <f>IF((U302&gt;U301), (EXP(-LN(2)/inputs!$C$51)*Z301+$Z$3), (EXP(-LN(2)/inputs!$C$51)*Z301))</f>
        <v>2.1856654656038595E-16</v>
      </c>
      <c r="AA302" s="8">
        <f>IF((U302&gt;U301), (EXP(-LN(2)/inputs!$C$51)*AA301+$AA$3), (EXP(-LN(2)/inputs!$C$51)*AA301))</f>
        <v>2.029546503775014E-15</v>
      </c>
      <c r="AB302" s="7">
        <f>(((0.621*15^0.564)/0.2))*W302/15+AB301*inputs!$C$53</f>
        <v>2.855899613482504E-15</v>
      </c>
      <c r="AC302" s="7">
        <f>(((0.621*1000^0.564)/0.2))*W302/1000+AC301*inputs!$C$53</f>
        <v>4.576344674918972E-16</v>
      </c>
      <c r="AD302" s="7">
        <f>(((0.648*20^0.651)/0.2))*AA302/20+AD301*inputs!$C$54</f>
        <v>3.0570696827703977E-15</v>
      </c>
      <c r="AE302" s="7">
        <f>(((0.013*2^0.773)/0.2))*AA302/2+AE301*inputs!$C$54</f>
        <v>1.4907312102717628E-16</v>
      </c>
    </row>
    <row r="303" spans="1:31" x14ac:dyDescent="0.3">
      <c r="A303" s="7">
        <f>IF(A302&lt;(inputs!$C$20-1),(1+A302),0)</f>
        <v>0</v>
      </c>
      <c r="B303" s="7">
        <f>IF(inputs!$C$19&gt;B302,IF(A302=(inputs!$C$20-1),(B302+1),B302), B302)</f>
        <v>1</v>
      </c>
      <c r="C303" s="7">
        <f t="shared" si="9"/>
        <v>300</v>
      </c>
      <c r="D303" s="8">
        <f>IF((B303&gt;B302), (EXP(-LN(2)/inputs!$C$51)*D302+$D$3), (EXP(-LN(2)/inputs!$C$51)*D302))</f>
        <v>6.5750457583857888E-15</v>
      </c>
      <c r="E303" s="8">
        <f>IF((B303&gt;B302), (EXP(-LN(2)/inputs!$C$51)*E302+$E$3), (EXP(-LN(2)/inputs!$C$51)*E302))</f>
        <v>3.0135626392601494E-15</v>
      </c>
      <c r="F303" s="8">
        <f>IF((B303&gt;B302), (EXP(-LN(2)/inputs!$C$51)*F302+$F$3), (EXP(-LN(2)/inputs!$C$51)*F302))</f>
        <v>3.6984632390920037E-15</v>
      </c>
      <c r="G303" s="8">
        <f>IF((B303&gt;B302), (EXP(-LN(2)/inputs!$C$51)*G302+$G$3), (EXP(-LN(2)/inputs!$C$51)*G302))</f>
        <v>4.109403598991118E-16</v>
      </c>
      <c r="H303" s="8">
        <f>IF((B303&gt;B302), (EXP(-LN(2)/inputs!$C$51)*H302+$H$3), (EXP(-LN(2)/inputs!$C$51)*H302))</f>
        <v>2.5752262553677619E-15</v>
      </c>
      <c r="I303" s="7">
        <f>O303*(10^inputs!$C$55)*0.01/1</f>
        <v>0.12551660592229047</v>
      </c>
      <c r="J303" s="7">
        <f>(((0.621*15^0.564)/0.2))*D303/15+J302*inputs!$C$53</f>
        <v>7.0751742660678686E-15</v>
      </c>
      <c r="K303" s="7">
        <f>(((0.621*1000^0.564)/0.2))*D303/1000+K302*inputs!$C$53</f>
        <v>1.1337385923436204E-15</v>
      </c>
      <c r="L303" s="7">
        <f>(((0.648*20^0.651)/0.2))*H303/20+L302*inputs!$C$54</f>
        <v>3.8790173553135037E-15</v>
      </c>
      <c r="M303" s="7">
        <f>(((0.013*2^0.773)/0.2))*H303/2+M302*inputs!$C$54</f>
        <v>1.8915408665174268E-16</v>
      </c>
      <c r="N303" s="7">
        <f>O303*0.015*inputs!$C$56</f>
        <v>1.8440849402556671E-2</v>
      </c>
      <c r="O303" s="7">
        <f>IF((B303&gt;B302), (EXP(-LN(2)/inputs!$C$52)*O302+$O$3), (EXP(-LN(2)/inputs!$C$52)*O302))</f>
        <v>1.9893041426706226E-3</v>
      </c>
      <c r="P303" s="3">
        <f>IF((B303&gt;B302), (EXP(-LN(2)/inputs!$C$52)*P302+$P$3), (EXP(-LN(2)/inputs!$C$52)*P302))</f>
        <v>1.9222743832016363E-3</v>
      </c>
      <c r="Q303" s="19">
        <f>IF((F303*0.62*1/(0.012*(10^inputs!$C$55)))&gt;inputs!$C$57, inputs!$C$57, (F303*0.62*1/(0.012*(10^inputs!$C$55))))</f>
        <v>3.0285290919390384E-17</v>
      </c>
      <c r="R303" s="3">
        <f>IF((B303&gt;B302), (EXP(-LN(2)/inputs!$C$51)*R302+$R$3), (EXP(-LN(2)/inputs!$C$51)*R302))</f>
        <v>7.0366181086769513E-23</v>
      </c>
      <c r="T303" s="7">
        <f>IF(T302&lt;(inputs!$C$20-1),(1+T302),0)</f>
        <v>0</v>
      </c>
      <c r="U303" s="7">
        <f>IF(inputs!$C$19&gt;U302,IF(T302=(inputs!$C$20-1),(U302+1),U302), U302)</f>
        <v>1</v>
      </c>
      <c r="V303" s="7">
        <f t="shared" si="8"/>
        <v>300</v>
      </c>
      <c r="W303" s="8">
        <f>IF((U303&gt;U302), (EXP(-LN(2)/inputs!$C$51)*W302+$W$3), (EXP(-LN(2)/inputs!$C$51)*W302))</f>
        <v>2.3286620394282966E-15</v>
      </c>
      <c r="X303" s="8">
        <f>IF((U303&gt;U302), (EXP(-LN(2)/inputs!$C$51)*X302+$X$3), (EXP(-LN(2)/inputs!$C$51)*X302))</f>
        <v>9.8625686375786667E-16</v>
      </c>
      <c r="Y303" s="8">
        <f>IF((U303&gt;U302), (EXP(-LN(2)/inputs!$C$51)*Y302+$Y$3), (EXP(-LN(2)/inputs!$C$51)*Y302))</f>
        <v>1.232821079697335E-15</v>
      </c>
      <c r="Z303" s="8">
        <f>IF((U303&gt;U302), (EXP(-LN(2)/inputs!$C$51)*Z302+$Z$3), (EXP(-LN(2)/inputs!$C$51)*Z302))</f>
        <v>1.9177216795291849E-16</v>
      </c>
      <c r="AA303" s="8">
        <f>IF((U303&gt;U302), (EXP(-LN(2)/inputs!$C$51)*AA302+$AA$3), (EXP(-LN(2)/inputs!$C$51)*AA302))</f>
        <v>1.780741559562816E-15</v>
      </c>
      <c r="AB303" s="7">
        <f>(((0.621*15^0.564)/0.2))*W303/15+AB302*inputs!$C$53</f>
        <v>2.5057908858990331E-15</v>
      </c>
      <c r="AC303" s="7">
        <f>(((0.621*1000^0.564)/0.2))*W303/1000+AC302*inputs!$C$53</f>
        <v>4.0153241812169832E-16</v>
      </c>
      <c r="AD303" s="7">
        <f>(((0.648*20^0.651)/0.2))*AA303/20+AD302*inputs!$C$54</f>
        <v>2.6822992350572125E-15</v>
      </c>
      <c r="AE303" s="7">
        <f>(((0.013*2^0.773)/0.2))*AA303/2+AE302*inputs!$C$54</f>
        <v>1.3079803864216262E-16</v>
      </c>
    </row>
    <row r="304" spans="1:31" x14ac:dyDescent="0.3">
      <c r="A304" s="7">
        <f>IF(A303&lt;(inputs!$C$20-1),(1+A303),0)</f>
        <v>0</v>
      </c>
      <c r="B304" s="7">
        <f>IF(inputs!$C$19&gt;B303,IF(A303=(inputs!$C$20-1),(B303+1),B303), B303)</f>
        <v>1</v>
      </c>
      <c r="C304" s="7">
        <f t="shared" si="9"/>
        <v>301</v>
      </c>
      <c r="D304" s="8">
        <f>IF((B304&gt;B303), (EXP(-LN(2)/inputs!$C$51)*D303+$D$3), (EXP(-LN(2)/inputs!$C$51)*D303))</f>
        <v>5.7690017036844066E-15</v>
      </c>
      <c r="E304" s="8">
        <f>IF((B304&gt;B303), (EXP(-LN(2)/inputs!$C$51)*E303+$E$3), (EXP(-LN(2)/inputs!$C$51)*E303))</f>
        <v>2.6441257808553495E-15</v>
      </c>
      <c r="F304" s="8">
        <f>IF((B304&gt;B303), (EXP(-LN(2)/inputs!$C$51)*F303+$F$3), (EXP(-LN(2)/inputs!$C$51)*F303))</f>
        <v>3.2450634583224763E-15</v>
      </c>
      <c r="G304" s="8">
        <f>IF((B304&gt;B303), (EXP(-LN(2)/inputs!$C$51)*G303+$G$3), (EXP(-LN(2)/inputs!$C$51)*G303))</f>
        <v>3.6056260648027541E-16</v>
      </c>
      <c r="H304" s="8">
        <f>IF((B304&gt;B303), (EXP(-LN(2)/inputs!$C$51)*H303+$H$3), (EXP(-LN(2)/inputs!$C$51)*H303))</f>
        <v>2.2595256672763878E-15</v>
      </c>
      <c r="I304" s="7">
        <f>O304*(10^inputs!$C$55)*0.01/1</f>
        <v>0.12298364587213997</v>
      </c>
      <c r="J304" s="7">
        <f>(((0.621*15^0.564)/0.2))*D304/15+J303*inputs!$C$53</f>
        <v>6.2078187581815906E-15</v>
      </c>
      <c r="K304" s="7">
        <f>(((0.621*1000^0.564)/0.2))*D304/1000+K303*inputs!$C$53</f>
        <v>9.9475199277835083E-16</v>
      </c>
      <c r="L304" s="7">
        <f>(((0.648*20^0.651)/0.2))*H304/20+L303*inputs!$C$54</f>
        <v>3.4034831929320174E-15</v>
      </c>
      <c r="M304" s="7">
        <f>(((0.013*2^0.773)/0.2))*H304/2+M303*inputs!$C$54</f>
        <v>1.6596542263770869E-16</v>
      </c>
      <c r="N304" s="7">
        <f>O304*0.015*inputs!$C$56</f>
        <v>1.8068707927854616E-2</v>
      </c>
      <c r="O304" s="7">
        <f>IF((B304&gt;B303), (EXP(-LN(2)/inputs!$C$52)*O303+$O$3), (EXP(-LN(2)/inputs!$C$52)*O303))</f>
        <v>1.9491594312680278E-3</v>
      </c>
      <c r="P304" s="3">
        <f>IF((B304&gt;B303), (EXP(-LN(2)/inputs!$C$52)*P303+$P$3), (EXP(-LN(2)/inputs!$C$52)*P303))</f>
        <v>1.8834823510055782E-3</v>
      </c>
      <c r="Q304" s="19">
        <f>IF((F304*0.62*1/(0.012*(10^inputs!$C$55)))&gt;inputs!$C$57, inputs!$C$57, (F304*0.62*1/(0.012*(10^inputs!$C$55))))</f>
        <v>2.6572574751697961E-17</v>
      </c>
      <c r="R304" s="3">
        <f>IF((B304&gt;B303), (EXP(-LN(2)/inputs!$C$51)*R303+$R$3), (EXP(-LN(2)/inputs!$C$51)*R303))</f>
        <v>6.1739892540458915E-23</v>
      </c>
      <c r="T304" s="7">
        <f>IF(T303&lt;(inputs!$C$20-1),(1+T303),0)</f>
        <v>0</v>
      </c>
      <c r="U304" s="7">
        <f>IF(inputs!$C$19&gt;U303,IF(T303=(inputs!$C$20-1),(U303+1),U303), U303)</f>
        <v>1</v>
      </c>
      <c r="V304" s="7">
        <f t="shared" si="8"/>
        <v>301</v>
      </c>
      <c r="W304" s="8">
        <f>IF((U304&gt;U303), (EXP(-LN(2)/inputs!$C$51)*W303+$W$3), (EXP(-LN(2)/inputs!$C$51)*W303))</f>
        <v>2.0431881033882242E-15</v>
      </c>
      <c r="X304" s="8">
        <f>IF((U304&gt;U303), (EXP(-LN(2)/inputs!$C$51)*X303+$X$3), (EXP(-LN(2)/inputs!$C$51)*X303))</f>
        <v>8.6535025555265958E-16</v>
      </c>
      <c r="Y304" s="8">
        <f>IF((U304&gt;U303), (EXP(-LN(2)/inputs!$C$51)*Y303+$Y$3), (EXP(-LN(2)/inputs!$C$51)*Y303))</f>
        <v>1.0816878194408258E-15</v>
      </c>
      <c r="Z304" s="8">
        <f>IF((U304&gt;U303), (EXP(-LN(2)/inputs!$C$51)*Z303+$Z$3), (EXP(-LN(2)/inputs!$C$51)*Z303))</f>
        <v>1.6826254969079488E-16</v>
      </c>
      <c r="AA304" s="8">
        <f>IF((U304&gt;U303), (EXP(-LN(2)/inputs!$C$51)*AA303+$AA$3), (EXP(-LN(2)/inputs!$C$51)*AA303))</f>
        <v>1.5624379614145252E-15</v>
      </c>
      <c r="AB304" s="7">
        <f>(((0.621*15^0.564)/0.2))*W304/15+AB303*inputs!$C$53</f>
        <v>2.1986024768559765E-15</v>
      </c>
      <c r="AC304" s="7">
        <f>(((0.621*1000^0.564)/0.2))*W304/1000+AC303*inputs!$C$53</f>
        <v>3.5230799744233206E-16</v>
      </c>
      <c r="AD304" s="7">
        <f>(((0.648*20^0.651)/0.2))*AA304/20+AD303*inputs!$C$54</f>
        <v>2.3534724206444823E-15</v>
      </c>
      <c r="AE304" s="7">
        <f>(((0.013*2^0.773)/0.2))*AA304/2+AE303*inputs!$C$54</f>
        <v>1.1476332416437316E-16</v>
      </c>
    </row>
    <row r="305" spans="1:31" x14ac:dyDescent="0.3">
      <c r="A305" s="7">
        <f>IF(A304&lt;(inputs!$C$20-1),(1+A304),0)</f>
        <v>0</v>
      </c>
      <c r="B305" s="7">
        <f>IF(inputs!$C$19&gt;B304,IF(A304=(inputs!$C$20-1),(B304+1),B304), B304)</f>
        <v>1</v>
      </c>
      <c r="C305" s="7">
        <f t="shared" si="9"/>
        <v>302</v>
      </c>
      <c r="D305" s="8">
        <f>IF((B305&gt;B304), (EXP(-LN(2)/inputs!$C$51)*D304+$D$3), (EXP(-LN(2)/inputs!$C$51)*D304))</f>
        <v>5.061771716898949E-15</v>
      </c>
      <c r="E305" s="8">
        <f>IF((B305&gt;B304), (EXP(-LN(2)/inputs!$C$51)*E304+$E$3), (EXP(-LN(2)/inputs!$C$51)*E304))</f>
        <v>2.3199787035786818E-15</v>
      </c>
      <c r="F305" s="8">
        <f>IF((B305&gt;B304), (EXP(-LN(2)/inputs!$C$51)*F304+$F$3), (EXP(-LN(2)/inputs!$C$51)*F304))</f>
        <v>2.8472465907556567E-15</v>
      </c>
      <c r="G305" s="8">
        <f>IF((B305&gt;B304), (EXP(-LN(2)/inputs!$C$51)*G304+$G$3), (EXP(-LN(2)/inputs!$C$51)*G304))</f>
        <v>3.1636073230618431E-16</v>
      </c>
      <c r="H305" s="8">
        <f>IF((B305&gt;B304), (EXP(-LN(2)/inputs!$C$51)*H304+$H$3), (EXP(-LN(2)/inputs!$C$51)*H304))</f>
        <v>1.9825272557854175E-15</v>
      </c>
      <c r="I305" s="7">
        <f>O305*(10^inputs!$C$55)*0.01/1</f>
        <v>0.1205018016609537</v>
      </c>
      <c r="J305" s="7">
        <f>(((0.621*15^0.564)/0.2))*D305/15+J304*inputs!$C$53</f>
        <v>5.4467935750010496E-15</v>
      </c>
      <c r="K305" s="7">
        <f>(((0.621*1000^0.564)/0.2))*D305/1000+K304*inputs!$C$53</f>
        <v>8.7280395482611137E-16</v>
      </c>
      <c r="L305" s="7">
        <f>(((0.648*20^0.651)/0.2))*H305/20+L304*inputs!$C$54</f>
        <v>2.9862454285499123E-15</v>
      </c>
      <c r="M305" s="7">
        <f>(((0.013*2^0.773)/0.2))*H305/2+M304*inputs!$C$54</f>
        <v>1.4561948937442904E-16</v>
      </c>
      <c r="N305" s="7">
        <f>O305*0.015*inputs!$C$56</f>
        <v>1.7704076371712726E-2</v>
      </c>
      <c r="O305" s="7">
        <f>IF((B305&gt;B304), (EXP(-LN(2)/inputs!$C$52)*O304+$O$3), (EXP(-LN(2)/inputs!$C$52)*O304))</f>
        <v>1.9098248513174463E-3</v>
      </c>
      <c r="P305" s="3">
        <f>IF((B305&gt;B304), (EXP(-LN(2)/inputs!$C$52)*P304+$P$3), (EXP(-LN(2)/inputs!$C$52)*P304))</f>
        <v>1.8454731528185723E-3</v>
      </c>
      <c r="Q305" s="19">
        <f>IF((F305*0.62*1/(0.012*(10^inputs!$C$55)))&gt;inputs!$C$57, inputs!$C$57, (F305*0.62*1/(0.012*(10^inputs!$C$55))))</f>
        <v>2.3315005651224872E-17</v>
      </c>
      <c r="R305" s="3">
        <f>IF((B305&gt;B304), (EXP(-LN(2)/inputs!$C$51)*R304+$R$3), (EXP(-LN(2)/inputs!$C$51)*R304))</f>
        <v>5.4171112770878003E-23</v>
      </c>
      <c r="T305" s="7">
        <f>IF(T304&lt;(inputs!$C$20-1),(1+T304),0)</f>
        <v>0</v>
      </c>
      <c r="U305" s="7">
        <f>IF(inputs!$C$19&gt;U304,IF(T304=(inputs!$C$20-1),(U304+1),U304), U304)</f>
        <v>1</v>
      </c>
      <c r="V305" s="7">
        <f t="shared" si="8"/>
        <v>302</v>
      </c>
      <c r="W305" s="8">
        <f>IF((U305&gt;U304), (EXP(-LN(2)/inputs!$C$51)*W304+$W$3), (EXP(-LN(2)/inputs!$C$51)*W304))</f>
        <v>1.7927108164017082E-15</v>
      </c>
      <c r="X305" s="8">
        <f>IF((U305&gt;U304), (EXP(-LN(2)/inputs!$C$51)*X304+$X$3), (EXP(-LN(2)/inputs!$C$51)*X304))</f>
        <v>7.5926575753484111E-16</v>
      </c>
      <c r="Y305" s="8">
        <f>IF((U305&gt;U304), (EXP(-LN(2)/inputs!$C$51)*Y304+$Y$3), (EXP(-LN(2)/inputs!$C$51)*Y304))</f>
        <v>9.4908219691855255E-16</v>
      </c>
      <c r="Z305" s="8">
        <f>IF((U305&gt;U304), (EXP(-LN(2)/inputs!$C$51)*Z304+$Z$3), (EXP(-LN(2)/inputs!$C$51)*Z304))</f>
        <v>1.4763500840955241E-16</v>
      </c>
      <c r="AA305" s="8">
        <f>IF((U305&gt;U304), (EXP(-LN(2)/inputs!$C$51)*AA304+$AA$3), (EXP(-LN(2)/inputs!$C$51)*AA304))</f>
        <v>1.3708965066601306E-15</v>
      </c>
      <c r="AB305" s="7">
        <f>(((0.621*15^0.564)/0.2))*W305/15+AB304*inputs!$C$53</f>
        <v>1.9290727244795351E-15</v>
      </c>
      <c r="AC305" s="7">
        <f>(((0.621*1000^0.564)/0.2))*W305/1000+AC304*inputs!$C$53</f>
        <v>3.0911806733424734E-16</v>
      </c>
      <c r="AD305" s="7">
        <f>(((0.648*20^0.651)/0.2))*AA305/20+AD304*inputs!$C$54</f>
        <v>2.0649569452738776E-15</v>
      </c>
      <c r="AE305" s="7">
        <f>(((0.013*2^0.773)/0.2))*AA305/2+AE304*inputs!$C$54</f>
        <v>1.0069432775891381E-16</v>
      </c>
    </row>
    <row r="306" spans="1:31" x14ac:dyDescent="0.3">
      <c r="A306" s="7">
        <f>IF(A305&lt;(inputs!$C$20-1),(1+A305),0)</f>
        <v>0</v>
      </c>
      <c r="B306" s="7">
        <f>IF(inputs!$C$19&gt;B305,IF(A305=(inputs!$C$20-1),(B305+1),B305), B305)</f>
        <v>1</v>
      </c>
      <c r="C306" s="7">
        <f t="shared" si="9"/>
        <v>303</v>
      </c>
      <c r="D306" s="8">
        <f>IF((B306&gt;B305), (EXP(-LN(2)/inputs!$C$51)*D305+$D$3), (EXP(-LN(2)/inputs!$C$51)*D305))</f>
        <v>4.4412420432524388E-15</v>
      </c>
      <c r="E306" s="8">
        <f>IF((B306&gt;B305), (EXP(-LN(2)/inputs!$C$51)*E305+$E$3), (EXP(-LN(2)/inputs!$C$51)*E305))</f>
        <v>2.0355692698240318E-15</v>
      </c>
      <c r="F306" s="8">
        <f>IF((B306&gt;B305), (EXP(-LN(2)/inputs!$C$51)*F305+$F$3), (EXP(-LN(2)/inputs!$C$51)*F305))</f>
        <v>2.4981986493294947E-15</v>
      </c>
      <c r="G306" s="8">
        <f>IF((B306&gt;B305), (EXP(-LN(2)/inputs!$C$51)*G305+$G$3), (EXP(-LN(2)/inputs!$C$51)*G305))</f>
        <v>2.7757762770327742E-16</v>
      </c>
      <c r="H306" s="8">
        <f>IF((B306&gt;B305), (EXP(-LN(2)/inputs!$C$51)*H305+$H$3), (EXP(-LN(2)/inputs!$C$51)*H305))</f>
        <v>1.7394864669405348E-15</v>
      </c>
      <c r="I306" s="7">
        <f>O306*(10^inputs!$C$55)*0.01/1</f>
        <v>0.11807004175687116</v>
      </c>
      <c r="J306" s="7">
        <f>(((0.621*15^0.564)/0.2))*D306/15+J305*inputs!$C$53</f>
        <v>4.779063533317942E-15</v>
      </c>
      <c r="K306" s="7">
        <f>(((0.621*1000^0.564)/0.2))*D306/1000+K305*inputs!$C$53</f>
        <v>7.6580569739038541E-16</v>
      </c>
      <c r="L306" s="7">
        <f>(((0.648*20^0.651)/0.2))*H306/20+L305*inputs!$C$54</f>
        <v>2.620157425209114E-15</v>
      </c>
      <c r="M306" s="7">
        <f>(((0.013*2^0.773)/0.2))*H306/2+M305*inputs!$C$54</f>
        <v>1.2776779252361867E-16</v>
      </c>
      <c r="N306" s="7">
        <f>O306*0.015*inputs!$C$56</f>
        <v>1.7346803181883762E-2</v>
      </c>
      <c r="O306" s="7">
        <f>IF((B306&gt;B305), (EXP(-LN(2)/inputs!$C$52)*O305+$O$3), (EXP(-LN(2)/inputs!$C$52)*O305))</f>
        <v>1.8712840541406433E-3</v>
      </c>
      <c r="P306" s="3">
        <f>IF((B306&gt;B305), (EXP(-LN(2)/inputs!$C$52)*P305+$P$3), (EXP(-LN(2)/inputs!$C$52)*P305))</f>
        <v>1.8082309908323822E-3</v>
      </c>
      <c r="Q306" s="19">
        <f>IF((F306*0.62*1/(0.012*(10^inputs!$C$55)))&gt;inputs!$C$57, inputs!$C$57, (F306*0.62*1/(0.012*(10^inputs!$C$55))))</f>
        <v>2.0456786502478945E-17</v>
      </c>
      <c r="R306" s="3">
        <f>IF((B306&gt;B305), (EXP(-LN(2)/inputs!$C$51)*R305+$R$3), (EXP(-LN(2)/inputs!$C$51)*R305))</f>
        <v>4.7530200298164785E-23</v>
      </c>
      <c r="T306" s="7">
        <f>IF(T305&lt;(inputs!$C$20-1),(1+T305),0)</f>
        <v>0</v>
      </c>
      <c r="U306" s="7">
        <f>IF(inputs!$C$19&gt;U305,IF(T305=(inputs!$C$20-1),(U305+1),U305), U305)</f>
        <v>1</v>
      </c>
      <c r="V306" s="7">
        <f t="shared" si="8"/>
        <v>303</v>
      </c>
      <c r="W306" s="8">
        <f>IF((U306&gt;U305), (EXP(-LN(2)/inputs!$C$51)*W305+$W$3), (EXP(-LN(2)/inputs!$C$51)*W305))</f>
        <v>1.5729398903185693E-15</v>
      </c>
      <c r="X306" s="8">
        <f>IF((U306&gt;U305), (EXP(-LN(2)/inputs!$C$51)*X305+$X$3), (EXP(-LN(2)/inputs!$C$51)*X305))</f>
        <v>6.6618630648786469E-16</v>
      </c>
      <c r="Y306" s="8">
        <f>IF((U306&gt;U305), (EXP(-LN(2)/inputs!$C$51)*Y305+$Y$3), (EXP(-LN(2)/inputs!$C$51)*Y305))</f>
        <v>8.3273288310983188E-16</v>
      </c>
      <c r="Z306" s="8">
        <f>IF((U306&gt;U305), (EXP(-LN(2)/inputs!$C$51)*Z305+$Z$3), (EXP(-LN(2)/inputs!$C$51)*Z305))</f>
        <v>1.2953622626152922E-16</v>
      </c>
      <c r="AA306" s="8">
        <f>IF((U306&gt;U305), (EXP(-LN(2)/inputs!$C$51)*AA305+$AA$3), (EXP(-LN(2)/inputs!$C$51)*AA305))</f>
        <v>1.202836386714201E-15</v>
      </c>
      <c r="AB306" s="7">
        <f>(((0.621*15^0.564)/0.2))*W306/15+AB305*inputs!$C$53</f>
        <v>1.6925850013834347E-15</v>
      </c>
      <c r="AC306" s="7">
        <f>(((0.621*1000^0.564)/0.2))*W306/1000+AC305*inputs!$C$53</f>
        <v>2.7122285115909436E-16</v>
      </c>
      <c r="AD306" s="7">
        <f>(((0.648*20^0.651)/0.2))*AA306/20+AD305*inputs!$C$54</f>
        <v>1.8118109855169425E-15</v>
      </c>
      <c r="AE306" s="7">
        <f>(((0.013*2^0.773)/0.2))*AA306/2+AE305*inputs!$C$54</f>
        <v>8.8350069298247059E-17</v>
      </c>
    </row>
    <row r="307" spans="1:31" x14ac:dyDescent="0.3">
      <c r="A307" s="7">
        <f>IF(A306&lt;(inputs!$C$20-1),(1+A306),0)</f>
        <v>0</v>
      </c>
      <c r="B307" s="7">
        <f>IF(inputs!$C$19&gt;B306,IF(A306=(inputs!$C$20-1),(B306+1),B306), B306)</f>
        <v>1</v>
      </c>
      <c r="C307" s="7">
        <f t="shared" si="9"/>
        <v>304</v>
      </c>
      <c r="D307" s="8">
        <f>IF((B307&gt;B306), (EXP(-LN(2)/inputs!$C$51)*D306+$D$3), (EXP(-LN(2)/inputs!$C$51)*D306))</f>
        <v>3.8967839701070566E-15</v>
      </c>
      <c r="E307" s="8">
        <f>IF((B307&gt;B306), (EXP(-LN(2)/inputs!$C$51)*E306+$E$3), (EXP(-LN(2)/inputs!$C$51)*E306))</f>
        <v>1.7860259862990653E-15</v>
      </c>
      <c r="F307" s="8">
        <f>IF((B307&gt;B306), (EXP(-LN(2)/inputs!$C$51)*F306+$F$3), (EXP(-LN(2)/inputs!$C$51)*F306))</f>
        <v>2.1919409831852173E-15</v>
      </c>
      <c r="G307" s="8">
        <f>IF((B307&gt;B306), (EXP(-LN(2)/inputs!$C$51)*G306+$G$3), (EXP(-LN(2)/inputs!$C$51)*G306))</f>
        <v>2.4354899813169104E-16</v>
      </c>
      <c r="H307" s="8">
        <f>IF((B307&gt;B306), (EXP(-LN(2)/inputs!$C$51)*H306+$H$3), (EXP(-LN(2)/inputs!$C$51)*H306))</f>
        <v>1.5262403882919271E-15</v>
      </c>
      <c r="I307" s="7">
        <f>O307*(10^inputs!$C$55)*0.01/1</f>
        <v>0.11568735544463202</v>
      </c>
      <c r="J307" s="7">
        <f>(((0.621*15^0.564)/0.2))*D307/15+J306*inputs!$C$53</f>
        <v>4.1931914512631347E-15</v>
      </c>
      <c r="K307" s="7">
        <f>(((0.621*1000^0.564)/0.2))*D307/1000+K306*inputs!$C$53</f>
        <v>6.7192450597043249E-16</v>
      </c>
      <c r="L307" s="7">
        <f>(((0.648*20^0.651)/0.2))*H307/20+L306*inputs!$C$54</f>
        <v>2.2989486621707885E-15</v>
      </c>
      <c r="M307" s="7">
        <f>(((0.013*2^0.773)/0.2))*H307/2+M306*inputs!$C$54</f>
        <v>1.1210456015529119E-16</v>
      </c>
      <c r="N307" s="7">
        <f>O307*0.015*inputs!$C$56</f>
        <v>1.6996739864487031E-2</v>
      </c>
      <c r="O307" s="7">
        <f>IF((B307&gt;B306), (EXP(-LN(2)/inputs!$C$52)*O306+$O$3), (EXP(-LN(2)/inputs!$C$52)*O306))</f>
        <v>1.8335210209802625E-3</v>
      </c>
      <c r="P307" s="3">
        <f>IF((B307&gt;B306), (EXP(-LN(2)/inputs!$C$52)*P306+$P$3), (EXP(-LN(2)/inputs!$C$52)*P306))</f>
        <v>1.77174038604294E-3</v>
      </c>
      <c r="Q307" s="19">
        <f>IF((F307*0.62*1/(0.012*(10^inputs!$C$55)))&gt;inputs!$C$57, inputs!$C$57, (F307*0.62*1/(0.012*(10^inputs!$C$55))))</f>
        <v>1.7948960436388297E-17</v>
      </c>
      <c r="R307" s="3">
        <f>IF((B307&gt;B306), (EXP(-LN(2)/inputs!$C$51)*R306+$R$3), (EXP(-LN(2)/inputs!$C$51)*R306))</f>
        <v>4.1703406572776742E-23</v>
      </c>
      <c r="T307" s="7">
        <f>IF(T306&lt;(inputs!$C$20-1),(1+T306),0)</f>
        <v>0</v>
      </c>
      <c r="U307" s="7">
        <f>IF(inputs!$C$19&gt;U306,IF(T306=(inputs!$C$20-1),(U306+1),U306), U306)</f>
        <v>1</v>
      </c>
      <c r="V307" s="7">
        <f t="shared" si="8"/>
        <v>304</v>
      </c>
      <c r="W307" s="8">
        <f>IF((U307&gt;U306), (EXP(-LN(2)/inputs!$C$51)*W306+$W$3), (EXP(-LN(2)/inputs!$C$51)*W306))</f>
        <v>1.3801109894129134E-15</v>
      </c>
      <c r="X307" s="8">
        <f>IF((U307&gt;U306), (EXP(-LN(2)/inputs!$C$51)*X306+$X$3), (EXP(-LN(2)/inputs!$C$51)*X306))</f>
        <v>5.8451759551605744E-16</v>
      </c>
      <c r="Y307" s="8">
        <f>IF((U307&gt;U306), (EXP(-LN(2)/inputs!$C$51)*Y306+$Y$3), (EXP(-LN(2)/inputs!$C$51)*Y306))</f>
        <v>7.3064699439507266E-16</v>
      </c>
      <c r="Z307" s="8">
        <f>IF((U307&gt;U306), (EXP(-LN(2)/inputs!$C$51)*Z306+$Z$3), (EXP(-LN(2)/inputs!$C$51)*Z306))</f>
        <v>1.1365619912812226E-16</v>
      </c>
      <c r="AA307" s="8">
        <f>IF((U307&gt;U306), (EXP(-LN(2)/inputs!$C$51)*AA306+$AA$3), (EXP(-LN(2)/inputs!$C$51)*AA306))</f>
        <v>1.0553789919039933E-15</v>
      </c>
      <c r="AB307" s="7">
        <f>(((0.621*15^0.564)/0.2))*W307/15+AB306*inputs!$C$53</f>
        <v>1.4850886389890243E-15</v>
      </c>
      <c r="AC307" s="7">
        <f>(((0.621*1000^0.564)/0.2))*W307/1000+AC306*inputs!$C$53</f>
        <v>2.3797326253119442E-16</v>
      </c>
      <c r="AD307" s="7">
        <f>(((0.648*20^0.651)/0.2))*AA307/20+AD306*inputs!$C$54</f>
        <v>1.5896985429904406E-15</v>
      </c>
      <c r="AE307" s="7">
        <f>(((0.013*2^0.773)/0.2))*AA307/2+AE306*inputs!$C$54</f>
        <v>7.7519110745680163E-17</v>
      </c>
    </row>
    <row r="308" spans="1:31" x14ac:dyDescent="0.3">
      <c r="A308" s="7">
        <f>IF(A307&lt;(inputs!$C$20-1),(1+A307),0)</f>
        <v>0</v>
      </c>
      <c r="B308" s="7">
        <f>IF(inputs!$C$19&gt;B307,IF(A307=(inputs!$C$20-1),(B307+1),B307), B307)</f>
        <v>1</v>
      </c>
      <c r="C308" s="7">
        <f t="shared" si="9"/>
        <v>305</v>
      </c>
      <c r="D308" s="8">
        <f>IF((B308&gt;B307), (EXP(-LN(2)/inputs!$C$51)*D307+$D$3), (EXP(-LN(2)/inputs!$C$51)*D307))</f>
        <v>3.4190717735714737E-15</v>
      </c>
      <c r="E308" s="8">
        <f>IF((B308&gt;B307), (EXP(-LN(2)/inputs!$C$51)*E307+$E$3), (EXP(-LN(2)/inputs!$C$51)*E307))</f>
        <v>1.5670745628869235E-15</v>
      </c>
      <c r="F308" s="8">
        <f>IF((B308&gt;B307), (EXP(-LN(2)/inputs!$C$51)*F307+$F$3), (EXP(-LN(2)/inputs!$C$51)*F307))</f>
        <v>1.9232278726339524E-15</v>
      </c>
      <c r="G308" s="8">
        <f>IF((B308&gt;B307), (EXP(-LN(2)/inputs!$C$51)*G307+$G$3), (EXP(-LN(2)/inputs!$C$51)*G307))</f>
        <v>2.1369198584821711E-16</v>
      </c>
      <c r="H308" s="8">
        <f>IF((B308&gt;B307), (EXP(-LN(2)/inputs!$C$51)*H307+$H$3), (EXP(-LN(2)/inputs!$C$51)*H307))</f>
        <v>1.3391364446488243E-15</v>
      </c>
      <c r="I308" s="7">
        <f>O308*(10^inputs!$C$55)*0.01/1</f>
        <v>0.11335275240549125</v>
      </c>
      <c r="J308" s="7">
        <f>(((0.621*15^0.564)/0.2))*D308/15+J307*inputs!$C$53</f>
        <v>3.6791422470876956E-15</v>
      </c>
      <c r="K308" s="7">
        <f>(((0.621*1000^0.564)/0.2))*D308/1000+K307*inputs!$C$53</f>
        <v>5.8955234109920318E-16</v>
      </c>
      <c r="L308" s="7">
        <f>(((0.648*20^0.651)/0.2))*H308/20+L307*inputs!$C$54</f>
        <v>2.0171173306027789E-15</v>
      </c>
      <c r="M308" s="7">
        <f>(((0.013*2^0.773)/0.2))*H308/2+M307*inputs!$C$54</f>
        <v>9.8361505347978339E-17</v>
      </c>
      <c r="N308" s="7">
        <f>O308*0.015*inputs!$C$56</f>
        <v>1.6653740922289693E-2</v>
      </c>
      <c r="O308" s="7">
        <f>IF((B308&gt;B307), (EXP(-LN(2)/inputs!$C$52)*O307+$O$3), (EXP(-LN(2)/inputs!$C$52)*O307))</f>
        <v>1.7965200563419303E-3</v>
      </c>
      <c r="P308" s="3">
        <f>IF((B308&gt;B307), (EXP(-LN(2)/inputs!$C$52)*P307+$P$3), (EXP(-LN(2)/inputs!$C$52)*P307))</f>
        <v>1.7359861718167886E-3</v>
      </c>
      <c r="Q308" s="19">
        <f>IF((F308*0.62*1/(0.012*(10^inputs!$C$55)))&gt;inputs!$C$57, inputs!$C$57, (F308*0.62*1/(0.012*(10^inputs!$C$55))))</f>
        <v>1.574857227492659E-17</v>
      </c>
      <c r="R308" s="3">
        <f>IF((B308&gt;B307), (EXP(-LN(2)/inputs!$C$51)*R307+$R$3), (EXP(-LN(2)/inputs!$C$51)*R307))</f>
        <v>3.6590927638936763E-23</v>
      </c>
      <c r="T308" s="7">
        <f>IF(T307&lt;(inputs!$C$20-1),(1+T307),0)</f>
        <v>0</v>
      </c>
      <c r="U308" s="7">
        <f>IF(inputs!$C$19&gt;U307,IF(T307=(inputs!$C$20-1),(U307+1),U307), U307)</f>
        <v>1</v>
      </c>
      <c r="V308" s="7">
        <f t="shared" si="8"/>
        <v>305</v>
      </c>
      <c r="W308" s="8">
        <f>IF((U308&gt;U307), (EXP(-LN(2)/inputs!$C$51)*W307+$W$3), (EXP(-LN(2)/inputs!$C$51)*W307))</f>
        <v>1.2109212531398949E-15</v>
      </c>
      <c r="X308" s="8">
        <f>IF((U308&gt;U307), (EXP(-LN(2)/inputs!$C$51)*X307+$X$3), (EXP(-LN(2)/inputs!$C$51)*X307))</f>
        <v>5.1286076603572011E-16</v>
      </c>
      <c r="Y308" s="8">
        <f>IF((U308&gt;U307), (EXP(-LN(2)/inputs!$C$51)*Y307+$Y$3), (EXP(-LN(2)/inputs!$C$51)*Y307))</f>
        <v>6.41075957544651E-16</v>
      </c>
      <c r="Z308" s="8">
        <f>IF((U308&gt;U307), (EXP(-LN(2)/inputs!$C$51)*Z307+$Z$3), (EXP(-LN(2)/inputs!$C$51)*Z307))</f>
        <v>9.9722926729167783E-17</v>
      </c>
      <c r="AA308" s="8">
        <f>IF((U308&gt;U307), (EXP(-LN(2)/inputs!$C$51)*AA307+$AA$3), (EXP(-LN(2)/inputs!$C$51)*AA307))</f>
        <v>9.2599860534227305E-16</v>
      </c>
      <c r="AB308" s="7">
        <f>(((0.621*15^0.564)/0.2))*W308/15+AB307*inputs!$C$53</f>
        <v>1.3030295458435568E-15</v>
      </c>
      <c r="AC308" s="7">
        <f>(((0.621*1000^0.564)/0.2))*W308/1000+AC307*inputs!$C$53</f>
        <v>2.0879978747263414E-16</v>
      </c>
      <c r="AD308" s="7">
        <f>(((0.648*20^0.651)/0.2))*AA308/20+AD307*inputs!$C$54</f>
        <v>1.3948151754168167E-15</v>
      </c>
      <c r="AE308" s="7">
        <f>(((0.013*2^0.773)/0.2))*AA308/2+AE307*inputs!$C$54</f>
        <v>6.8015934549134018E-17</v>
      </c>
    </row>
    <row r="309" spans="1:31" x14ac:dyDescent="0.3">
      <c r="A309" s="7">
        <f>IF(A308&lt;(inputs!$C$20-1),(1+A308),0)</f>
        <v>0</v>
      </c>
      <c r="B309" s="7">
        <f>IF(inputs!$C$19&gt;B308,IF(A308=(inputs!$C$20-1),(B308+1),B308), B308)</f>
        <v>1</v>
      </c>
      <c r="C309" s="7">
        <f t="shared" si="9"/>
        <v>306</v>
      </c>
      <c r="D309" s="8">
        <f>IF((B309&gt;B308), (EXP(-LN(2)/inputs!$C$51)*D308+$D$3), (EXP(-LN(2)/inputs!$C$51)*D308))</f>
        <v>2.9999229832881966E-15</v>
      </c>
      <c r="E309" s="8">
        <f>IF((B309&gt;B308), (EXP(-LN(2)/inputs!$C$51)*E308+$E$3), (EXP(-LN(2)/inputs!$C$51)*E308))</f>
        <v>1.374964700673755E-15</v>
      </c>
      <c r="F309" s="8">
        <f>IF((B309&gt;B308), (EXP(-LN(2)/inputs!$C$51)*F308+$F$3), (EXP(-LN(2)/inputs!$C$51)*F308))</f>
        <v>1.6874566780996091E-15</v>
      </c>
      <c r="G309" s="8">
        <f>IF((B309&gt;B308), (EXP(-LN(2)/inputs!$C$51)*G308+$G$3), (EXP(-LN(2)/inputs!$C$51)*G308))</f>
        <v>1.8749518645551229E-16</v>
      </c>
      <c r="H309" s="8">
        <f>IF((B309&gt;B308), (EXP(-LN(2)/inputs!$C$51)*H308+$H$3), (EXP(-LN(2)/inputs!$C$51)*H308))</f>
        <v>1.1749698351212078E-15</v>
      </c>
      <c r="I309" s="7">
        <f>O309*(10^inputs!$C$55)*0.01/1</f>
        <v>0.1110652623056118</v>
      </c>
      <c r="J309" s="7">
        <f>(((0.621*15^0.564)/0.2))*D309/15+J308*inputs!$C$53</f>
        <v>3.228111053748324E-15</v>
      </c>
      <c r="K309" s="7">
        <f>(((0.621*1000^0.564)/0.2))*D309/1000+K308*inputs!$C$53</f>
        <v>5.1727829511675221E-16</v>
      </c>
      <c r="L309" s="7">
        <f>(((0.648*20^0.651)/0.2))*H309/20+L308*inputs!$C$54</f>
        <v>1.7698360961119248E-15</v>
      </c>
      <c r="M309" s="7">
        <f>(((0.013*2^0.773)/0.2))*H309/2+M308*inputs!$C$54</f>
        <v>8.6303230849112982E-17</v>
      </c>
      <c r="N309" s="7">
        <f>O309*0.015*inputs!$C$56</f>
        <v>1.6317663794233564E-2</v>
      </c>
      <c r="O309" s="7">
        <f>IF((B309&gt;B308), (EXP(-LN(2)/inputs!$C$52)*O308+$O$3), (EXP(-LN(2)/inputs!$C$52)*O308))</f>
        <v>1.7602657814707189E-3</v>
      </c>
      <c r="P309" s="3">
        <f>IF((B309&gt;B308), (EXP(-LN(2)/inputs!$C$52)*P308+$P$3), (EXP(-LN(2)/inputs!$C$52)*P308))</f>
        <v>1.7009534875873568E-3</v>
      </c>
      <c r="Q309" s="19">
        <f>IF((F309*0.62*1/(0.012*(10^inputs!$C$55)))&gt;inputs!$C$57, inputs!$C$57, (F309*0.62*1/(0.012*(10^inputs!$C$55))))</f>
        <v>1.3817932775414413E-17</v>
      </c>
      <c r="R309" s="3">
        <f>IF((B309&gt;B308), (EXP(-LN(2)/inputs!$C$51)*R308+$R$3), (EXP(-LN(2)/inputs!$C$51)*R308))</f>
        <v>3.2105194647381979E-23</v>
      </c>
      <c r="T309" s="7">
        <f>IF(T308&lt;(inputs!$C$20-1),(1+T308),0)</f>
        <v>0</v>
      </c>
      <c r="U309" s="7">
        <f>IF(inputs!$C$19&gt;U308,IF(T308=(inputs!$C$20-1),(U308+1),U308), U308)</f>
        <v>1</v>
      </c>
      <c r="V309" s="7">
        <f t="shared" si="8"/>
        <v>306</v>
      </c>
      <c r="W309" s="8">
        <f>IF((U309&gt;U308), (EXP(-LN(2)/inputs!$C$51)*W308+$W$3), (EXP(-LN(2)/inputs!$C$51)*W308))</f>
        <v>1.0624727232479011E-15</v>
      </c>
      <c r="X309" s="8">
        <f>IF((U309&gt;U308), (EXP(-LN(2)/inputs!$C$51)*X308+$X$3), (EXP(-LN(2)/inputs!$C$51)*X308))</f>
        <v>4.4998844749322864E-16</v>
      </c>
      <c r="Y309" s="8">
        <f>IF((U309&gt;U308), (EXP(-LN(2)/inputs!$C$51)*Y308+$Y$3), (EXP(-LN(2)/inputs!$C$51)*Y308))</f>
        <v>5.6248555936653651E-16</v>
      </c>
      <c r="Z309" s="8">
        <f>IF((U309&gt;U308), (EXP(-LN(2)/inputs!$C$51)*Z308+$Z$3), (EXP(-LN(2)/inputs!$C$51)*Z308))</f>
        <v>8.7497753679238883E-17</v>
      </c>
      <c r="AA309" s="8">
        <f>IF((U309&gt;U308), (EXP(-LN(2)/inputs!$C$51)*AA308+$AA$3), (EXP(-LN(2)/inputs!$C$51)*AA308))</f>
        <v>8.1247914130721894E-16</v>
      </c>
      <c r="AB309" s="7">
        <f>(((0.621*15^0.564)/0.2))*W309/15+AB308*inputs!$C$53</f>
        <v>1.1432893315358627E-15</v>
      </c>
      <c r="AC309" s="7">
        <f>(((0.621*1000^0.564)/0.2))*W309/1000+AC308*inputs!$C$53</f>
        <v>1.8320272952051609E-16</v>
      </c>
      <c r="AD309" s="7">
        <f>(((0.648*20^0.651)/0.2))*AA309/20+AD308*inputs!$C$54</f>
        <v>1.2238228324178215E-15</v>
      </c>
      <c r="AE309" s="7">
        <f>(((0.013*2^0.773)/0.2))*AA309/2+AE308*inputs!$C$54</f>
        <v>5.9677766012684569E-17</v>
      </c>
    </row>
    <row r="310" spans="1:31" x14ac:dyDescent="0.3">
      <c r="A310" s="7">
        <f>IF(A309&lt;(inputs!$C$20-1),(1+A309),0)</f>
        <v>0</v>
      </c>
      <c r="B310" s="7">
        <f>IF(inputs!$C$19&gt;B309,IF(A309=(inputs!$C$20-1),(B309+1),B309), B309)</f>
        <v>1</v>
      </c>
      <c r="C310" s="7">
        <f t="shared" si="9"/>
        <v>307</v>
      </c>
      <c r="D310" s="8">
        <f>IF((B310&gt;B309), (EXP(-LN(2)/inputs!$C$51)*D309+$D$3), (EXP(-LN(2)/inputs!$C$51)*D309))</f>
        <v>2.6321582293840145E-15</v>
      </c>
      <c r="E310" s="8">
        <f>IF((B310&gt;B309), (EXP(-LN(2)/inputs!$C$51)*E309+$E$3), (EXP(-LN(2)/inputs!$C$51)*E309))</f>
        <v>1.2064058551343384E-15</v>
      </c>
      <c r="F310" s="8">
        <f>IF((B310&gt;B309), (EXP(-LN(2)/inputs!$C$51)*F309+$F$3), (EXP(-LN(2)/inputs!$C$51)*F309))</f>
        <v>1.480589004028507E-15</v>
      </c>
      <c r="G310" s="8">
        <f>IF((B310&gt;B309), (EXP(-LN(2)/inputs!$C$51)*G309+$G$3), (EXP(-LN(2)/inputs!$C$51)*G309))</f>
        <v>1.6450988933650091E-16</v>
      </c>
      <c r="H310" s="8">
        <f>IF((B310&gt;B309), (EXP(-LN(2)/inputs!$C$51)*H309+$H$3), (EXP(-LN(2)/inputs!$C$51)*H309))</f>
        <v>1.0309286398420701E-15</v>
      </c>
      <c r="I310" s="7">
        <f>O310*(10^inputs!$C$55)*0.01/1</f>
        <v>0.10882393439276358</v>
      </c>
      <c r="J310" s="7">
        <f>(((0.621*15^0.564)/0.2))*D310/15+J309*inputs!$C$53</f>
        <v>2.832372405166134E-15</v>
      </c>
      <c r="K310" s="7">
        <f>(((0.621*1000^0.564)/0.2))*D310/1000+K309*inputs!$C$53</f>
        <v>4.538644255063165E-16</v>
      </c>
      <c r="L310" s="7">
        <f>(((0.648*20^0.651)/0.2))*H310/20+L309*inputs!$C$54</f>
        <v>1.5528694139793351E-15</v>
      </c>
      <c r="M310" s="7">
        <f>(((0.013*2^0.773)/0.2))*H310/2+M309*inputs!$C$54</f>
        <v>7.5723197084522595E-17</v>
      </c>
      <c r="N310" s="7">
        <f>O310*0.015*inputs!$C$56</f>
        <v>1.598836879618231E-2</v>
      </c>
      <c r="O310" s="7">
        <f>IF((B310&gt;B309), (EXP(-LN(2)/inputs!$C$52)*O309+$O$3), (EXP(-LN(2)/inputs!$C$52)*O309))</f>
        <v>1.7247431279592566E-3</v>
      </c>
      <c r="P310" s="3">
        <f>IF((B310&gt;B309), (EXP(-LN(2)/inputs!$C$52)*P309+$P$3), (EXP(-LN(2)/inputs!$C$52)*P309))</f>
        <v>1.6666277726784437E-3</v>
      </c>
      <c r="Q310" s="19">
        <f>IF((F310*0.62*1/(0.012*(10^inputs!$C$55)))&gt;inputs!$C$57, inputs!$C$57, (F310*0.62*1/(0.012*(10^inputs!$C$55))))</f>
        <v>1.2123973072140719E-17</v>
      </c>
      <c r="R310" s="3">
        <f>IF((B310&gt;B309), (EXP(-LN(2)/inputs!$C$51)*R309+$R$3), (EXP(-LN(2)/inputs!$C$51)*R309))</f>
        <v>2.8169373936545416E-23</v>
      </c>
      <c r="T310" s="7">
        <f>IF(T309&lt;(inputs!$C$20-1),(1+T309),0)</f>
        <v>0</v>
      </c>
      <c r="U310" s="7">
        <f>IF(inputs!$C$19&gt;U309,IF(T309=(inputs!$C$20-1),(U309+1),U309), U309)</f>
        <v>1</v>
      </c>
      <c r="V310" s="7">
        <f t="shared" si="8"/>
        <v>307</v>
      </c>
      <c r="W310" s="8">
        <f>IF((U310&gt;U309), (EXP(-LN(2)/inputs!$C$51)*W309+$W$3), (EXP(-LN(2)/inputs!$C$51)*W309))</f>
        <v>9.322227062401703E-16</v>
      </c>
      <c r="X310" s="8">
        <f>IF((U310&gt;U309), (EXP(-LN(2)/inputs!$C$51)*X309+$X$3), (EXP(-LN(2)/inputs!$C$51)*X309))</f>
        <v>3.9482373440760144E-16</v>
      </c>
      <c r="Y310" s="8">
        <f>IF((U310&gt;U309), (EXP(-LN(2)/inputs!$C$51)*Y309+$Y$3), (EXP(-LN(2)/inputs!$C$51)*Y309))</f>
        <v>4.935296680095024E-16</v>
      </c>
      <c r="Z310" s="8">
        <f>IF((U310&gt;U309), (EXP(-LN(2)/inputs!$C$51)*Z309+$Z$3), (EXP(-LN(2)/inputs!$C$51)*Z309))</f>
        <v>7.6771281690366937E-17</v>
      </c>
      <c r="AA310" s="8">
        <f>IF((U310&gt;U309), (EXP(-LN(2)/inputs!$C$51)*AA309+$AA$3), (EXP(-LN(2)/inputs!$C$51)*AA309))</f>
        <v>7.1287618712483645E-16</v>
      </c>
      <c r="AB310" s="7">
        <f>(((0.621*15^0.564)/0.2))*W310/15+AB309*inputs!$C$53</f>
        <v>1.0031318934963375E-15</v>
      </c>
      <c r="AC310" s="7">
        <f>(((0.621*1000^0.564)/0.2))*W310/1000+AC309*inputs!$C$53</f>
        <v>1.6074365070015348E-16</v>
      </c>
      <c r="AD310" s="7">
        <f>(((0.648*20^0.651)/0.2))*AA310/20+AD309*inputs!$C$54</f>
        <v>1.0737926798793285E-15</v>
      </c>
      <c r="AE310" s="7">
        <f>(((0.013*2^0.773)/0.2))*AA310/2+AE309*inputs!$C$54</f>
        <v>5.2361785218020996E-17</v>
      </c>
    </row>
    <row r="311" spans="1:31" x14ac:dyDescent="0.3">
      <c r="A311" s="7">
        <f>IF(A310&lt;(inputs!$C$20-1),(1+A310),0)</f>
        <v>0</v>
      </c>
      <c r="B311" s="7">
        <f>IF(inputs!$C$19&gt;B310,IF(A310=(inputs!$C$20-1),(B310+1),B310), B310)</f>
        <v>1</v>
      </c>
      <c r="C311" s="7">
        <f t="shared" si="9"/>
        <v>308</v>
      </c>
      <c r="D311" s="8">
        <f>IF((B311&gt;B310), (EXP(-LN(2)/inputs!$C$51)*D310+$D$3), (EXP(-LN(2)/inputs!$C$51)*D310))</f>
        <v>2.309478270978801E-15</v>
      </c>
      <c r="E311" s="8">
        <f>IF((B311&gt;B310), (EXP(-LN(2)/inputs!$C$51)*E310+$E$3), (EXP(-LN(2)/inputs!$C$51)*E310))</f>
        <v>1.0585108741986157E-15</v>
      </c>
      <c r="F311" s="8">
        <f>IF((B311&gt;B310), (EXP(-LN(2)/inputs!$C$51)*F310+$F$3), (EXP(-LN(2)/inputs!$C$51)*F310))</f>
        <v>1.2990815274255744E-15</v>
      </c>
      <c r="G311" s="8">
        <f>IF((B311&gt;B310), (EXP(-LN(2)/inputs!$C$51)*G310+$G$3), (EXP(-LN(2)/inputs!$C$51)*G310))</f>
        <v>1.4434239193617506E-16</v>
      </c>
      <c r="H311" s="8">
        <f>IF((B311&gt;B310), (EXP(-LN(2)/inputs!$C$51)*H310+$H$3), (EXP(-LN(2)/inputs!$C$51)*H310))</f>
        <v>9.0454565613336166E-16</v>
      </c>
      <c r="I311" s="7">
        <f>O311*(10^inputs!$C$55)*0.01/1</f>
        <v>0.10662783710116117</v>
      </c>
      <c r="J311" s="7">
        <f>(((0.621*15^0.564)/0.2))*D311/15+J310*inputs!$C$53</f>
        <v>2.485147910952894E-15</v>
      </c>
      <c r="K311" s="7">
        <f>(((0.621*1000^0.564)/0.2))*D311/1000+K310*inputs!$C$53</f>
        <v>3.9822455085552178E-16</v>
      </c>
      <c r="L311" s="7">
        <f>(((0.648*20^0.651)/0.2))*H311/20+L310*inputs!$C$54</f>
        <v>1.3625009808366039E-15</v>
      </c>
      <c r="M311" s="7">
        <f>(((0.013*2^0.773)/0.2))*H311/2+M310*inputs!$C$54</f>
        <v>6.6440184455277375E-17</v>
      </c>
      <c r="N311" s="7">
        <f>O311*0.015*inputs!$C$56</f>
        <v>1.5665719062864347E-2</v>
      </c>
      <c r="O311" s="7">
        <f>IF((B311&gt;B310), (EXP(-LN(2)/inputs!$C$52)*O310+$O$3), (EXP(-LN(2)/inputs!$C$52)*O310))</f>
        <v>1.6899373314848273E-3</v>
      </c>
      <c r="P311" s="3">
        <f>IF((B311&gt;B310), (EXP(-LN(2)/inputs!$C$52)*P310+$P$3), (EXP(-LN(2)/inputs!$C$52)*P310))</f>
        <v>1.6329947602523476E-3</v>
      </c>
      <c r="Q311" s="19">
        <f>IF((F311*0.62*1/(0.012*(10^inputs!$C$55)))&gt;inputs!$C$57, inputs!$C$57, (F311*0.62*1/(0.012*(10^inputs!$C$55))))</f>
        <v>1.0637678257888677E-17</v>
      </c>
      <c r="R311" s="3">
        <f>IF((B311&gt;B310), (EXP(-LN(2)/inputs!$C$51)*R310+$R$3), (EXP(-LN(2)/inputs!$C$51)*R310))</f>
        <v>2.4716050990883224E-23</v>
      </c>
      <c r="T311" s="7">
        <f>IF(T310&lt;(inputs!$C$20-1),(1+T310),0)</f>
        <v>0</v>
      </c>
      <c r="U311" s="7">
        <f>IF(inputs!$C$19&gt;U310,IF(T310=(inputs!$C$20-1),(U310+1),U310), U310)</f>
        <v>1</v>
      </c>
      <c r="V311" s="7">
        <f t="shared" si="8"/>
        <v>308</v>
      </c>
      <c r="W311" s="8">
        <f>IF((U311&gt;U310), (EXP(-LN(2)/inputs!$C$51)*W310+$W$3), (EXP(-LN(2)/inputs!$C$51)*W310))</f>
        <v>8.1794022097165733E-16</v>
      </c>
      <c r="X311" s="8">
        <f>IF((U311&gt;U310), (EXP(-LN(2)/inputs!$C$51)*X310+$X$3), (EXP(-LN(2)/inputs!$C$51)*X310))</f>
        <v>3.464217406468195E-16</v>
      </c>
      <c r="Y311" s="8">
        <f>IF((U311&gt;U310), (EXP(-LN(2)/inputs!$C$51)*Y310+$Y$3), (EXP(-LN(2)/inputs!$C$51)*Y310))</f>
        <v>4.3302717580852491E-16</v>
      </c>
      <c r="Z311" s="8">
        <f>IF((U311&gt;U310), (EXP(-LN(2)/inputs!$C$51)*Z310+$Z$3), (EXP(-LN(2)/inputs!$C$51)*Z310))</f>
        <v>6.7359782903548231E-17</v>
      </c>
      <c r="AA311" s="8">
        <f>IF((U311&gt;U310), (EXP(-LN(2)/inputs!$C$51)*AA310+$AA$3), (EXP(-LN(2)/inputs!$C$51)*AA310))</f>
        <v>6.2548369839009117E-16</v>
      </c>
      <c r="AB311" s="7">
        <f>(((0.621*15^0.564)/0.2))*W311/15+AB310*inputs!$C$53</f>
        <v>8.8015655179581505E-16</v>
      </c>
      <c r="AC311" s="7">
        <f>(((0.621*1000^0.564)/0.2))*W311/1000+AC310*inputs!$C$53</f>
        <v>1.4103786176133038E-16</v>
      </c>
      <c r="AD311" s="7">
        <f>(((0.648*20^0.651)/0.2))*AA311/20+AD310*inputs!$C$54</f>
        <v>9.4215493355722708E-16</v>
      </c>
      <c r="AE311" s="7">
        <f>(((0.013*2^0.773)/0.2))*AA311/2+AE310*inputs!$C$54</f>
        <v>4.5942680740351419E-17</v>
      </c>
    </row>
    <row r="312" spans="1:31" x14ac:dyDescent="0.3">
      <c r="A312" s="7">
        <f>IF(A311&lt;(inputs!$C$20-1),(1+A311),0)</f>
        <v>0</v>
      </c>
      <c r="B312" s="7">
        <f>IF(inputs!$C$19&gt;B311,IF(A311=(inputs!$C$20-1),(B311+1),B311), B311)</f>
        <v>1</v>
      </c>
      <c r="C312" s="7">
        <f t="shared" si="9"/>
        <v>309</v>
      </c>
      <c r="D312" s="8">
        <f>IF((B312&gt;B311), (EXP(-LN(2)/inputs!$C$51)*D311+$D$3), (EXP(-LN(2)/inputs!$C$51)*D311))</f>
        <v>2.0263560999413923E-15</v>
      </c>
      <c r="E312" s="8">
        <f>IF((B312&gt;B311), (EXP(-LN(2)/inputs!$C$51)*E311+$E$3), (EXP(-LN(2)/inputs!$C$51)*E311))</f>
        <v>9.2874654580647024E-16</v>
      </c>
      <c r="F312" s="8">
        <f>IF((B312&gt;B311), (EXP(-LN(2)/inputs!$C$51)*F311+$F$3), (EXP(-LN(2)/inputs!$C$51)*F311))</f>
        <v>1.1398253062170322E-15</v>
      </c>
      <c r="G312" s="8">
        <f>IF((B312&gt;B311), (EXP(-LN(2)/inputs!$C$51)*G311+$G$3), (EXP(-LN(2)/inputs!$C$51)*G311))</f>
        <v>1.2664725624633702E-16</v>
      </c>
      <c r="H312" s="8">
        <f>IF((B312&gt;B311), (EXP(-LN(2)/inputs!$C$51)*H311+$H$3), (EXP(-LN(2)/inputs!$C$51)*H311))</f>
        <v>7.9365613914371019E-16</v>
      </c>
      <c r="I312" s="7">
        <f>O312*(10^inputs!$C$55)*0.01/1</f>
        <v>0.10447605766427608</v>
      </c>
      <c r="J312" s="7">
        <f>(((0.621*15^0.564)/0.2))*D312/15+J311*inputs!$C$53</f>
        <v>2.1804901530776206E-15</v>
      </c>
      <c r="K312" s="7">
        <f>(((0.621*1000^0.564)/0.2))*D312/1000+K311*inputs!$C$53</f>
        <v>3.4940564625035818E-16</v>
      </c>
      <c r="L312" s="7">
        <f>(((0.648*20^0.651)/0.2))*H312/20+L311*inputs!$C$54</f>
        <v>1.1954700801424971E-15</v>
      </c>
      <c r="M312" s="7">
        <f>(((0.013*2^0.773)/0.2))*H312/2+M311*inputs!$C$54</f>
        <v>5.8295189326515373E-17</v>
      </c>
      <c r="N312" s="7">
        <f>O312*0.015*inputs!$C$56</f>
        <v>1.5349580490987386E-2</v>
      </c>
      <c r="O312" s="7">
        <f>IF((B312&gt;B311), (EXP(-LN(2)/inputs!$C$52)*O311+$O$3), (EXP(-LN(2)/inputs!$C$52)*O311))</f>
        <v>1.6558339256728572E-3</v>
      </c>
      <c r="P312" s="3">
        <f>IF((B312&gt;B311), (EXP(-LN(2)/inputs!$C$52)*P311+$P$3), (EXP(-LN(2)/inputs!$C$52)*P311))</f>
        <v>1.6000404713801234E-3</v>
      </c>
      <c r="Q312" s="19">
        <f>IF((F312*0.62*1/(0.012*(10^inputs!$C$55)))&gt;inputs!$C$57, inputs!$C$57, (F312*0.62*1/(0.012*(10^inputs!$C$55))))</f>
        <v>9.3335904034944286E-18</v>
      </c>
      <c r="R312" s="3">
        <f>IF((B312&gt;B311), (EXP(-LN(2)/inputs!$C$51)*R311+$R$3), (EXP(-LN(2)/inputs!$C$51)*R311))</f>
        <v>2.1686075734591068E-23</v>
      </c>
      <c r="T312" s="7">
        <f>IF(T311&lt;(inputs!$C$20-1),(1+T311),0)</f>
        <v>0</v>
      </c>
      <c r="U312" s="7">
        <f>IF(inputs!$C$19&gt;U311,IF(T311=(inputs!$C$20-1),(U311+1),U311), U311)</f>
        <v>1</v>
      </c>
      <c r="V312" s="7">
        <f t="shared" si="8"/>
        <v>309</v>
      </c>
      <c r="W312" s="8">
        <f>IF((U312&gt;U311), (EXP(-LN(2)/inputs!$C$51)*W311+$W$3), (EXP(-LN(2)/inputs!$C$51)*W311))</f>
        <v>7.1766778539590857E-16</v>
      </c>
      <c r="X312" s="8">
        <f>IF((U312&gt;U311), (EXP(-LN(2)/inputs!$C$51)*X311+$X$3), (EXP(-LN(2)/inputs!$C$51)*X311))</f>
        <v>3.0395341499120826E-16</v>
      </c>
      <c r="Y312" s="8">
        <f>IF((U312&gt;U311), (EXP(-LN(2)/inputs!$C$51)*Y311+$Y$3), (EXP(-LN(2)/inputs!$C$51)*Y311))</f>
        <v>3.7994176873901082E-16</v>
      </c>
      <c r="Z312" s="8">
        <f>IF((U312&gt;U311), (EXP(-LN(2)/inputs!$C$51)*Z311+$Z$3), (EXP(-LN(2)/inputs!$C$51)*Z311))</f>
        <v>5.9102052914957157E-17</v>
      </c>
      <c r="AA312" s="8">
        <f>IF((U312&gt;U311), (EXP(-LN(2)/inputs!$C$51)*AA311+$AA$3), (EXP(-LN(2)/inputs!$C$51)*AA311))</f>
        <v>5.4880477706745977E-16</v>
      </c>
      <c r="AB312" s="7">
        <f>(((0.621*15^0.564)/0.2))*W312/15+AB311*inputs!$C$53</f>
        <v>7.7225692921498934E-16</v>
      </c>
      <c r="AC312" s="7">
        <f>(((0.621*1000^0.564)/0.2))*W312/1000+AC311*inputs!$C$53</f>
        <v>1.2374783304700163E-16</v>
      </c>
      <c r="AD312" s="7">
        <f>(((0.648*20^0.651)/0.2))*AA312/20+AD311*inputs!$C$54</f>
        <v>8.2665484265172738E-16</v>
      </c>
      <c r="AE312" s="7">
        <f>(((0.013*2^0.773)/0.2))*AA312/2+AE311*inputs!$C$54</f>
        <v>4.0310503257696842E-17</v>
      </c>
    </row>
    <row r="313" spans="1:31" x14ac:dyDescent="0.3">
      <c r="A313" s="7">
        <f>IF(A312&lt;(inputs!$C$20-1),(1+A312),0)</f>
        <v>0</v>
      </c>
      <c r="B313" s="7">
        <f>IF(inputs!$C$19&gt;B312,IF(A312=(inputs!$C$20-1),(B312+1),B312), B312)</f>
        <v>1</v>
      </c>
      <c r="C313" s="7">
        <f t="shared" si="9"/>
        <v>310</v>
      </c>
      <c r="D313" s="8">
        <f>IF((B313&gt;B312), (EXP(-LN(2)/inputs!$C$51)*D312+$D$3), (EXP(-LN(2)/inputs!$C$51)*D312))</f>
        <v>1.7779422717969276E-15</v>
      </c>
      <c r="E313" s="8">
        <f>IF((B313&gt;B312), (EXP(-LN(2)/inputs!$C$51)*E312+$E$3), (EXP(-LN(2)/inputs!$C$51)*E312))</f>
        <v>8.1489020790692401E-16</v>
      </c>
      <c r="F313" s="8">
        <f>IF((B313&gt;B312), (EXP(-LN(2)/inputs!$C$51)*F312+$F$3), (EXP(-LN(2)/inputs!$C$51)*F312))</f>
        <v>1.0000925278857709E-15</v>
      </c>
      <c r="G313" s="8">
        <f>IF((B313&gt;B312), (EXP(-LN(2)/inputs!$C$51)*G312+$G$3), (EXP(-LN(2)/inputs!$C$51)*G312))</f>
        <v>1.1112139198730797E-16</v>
      </c>
      <c r="H313" s="8">
        <f>IF((B313&gt;B312), (EXP(-LN(2)/inputs!$C$51)*H312+$H$3), (EXP(-LN(2)/inputs!$C$51)*H312))</f>
        <v>6.9636072312046169E-16</v>
      </c>
      <c r="I313" s="7">
        <f>O313*(10^inputs!$C$55)*0.01/1</f>
        <v>0.10236770173546239</v>
      </c>
      <c r="J313" s="7">
        <f>(((0.621*15^0.564)/0.2))*D313/15+J312*inputs!$C$53</f>
        <v>1.9131808158031956E-15</v>
      </c>
      <c r="K313" s="7">
        <f>(((0.621*1000^0.564)/0.2))*D313/1000+K312*inputs!$C$53</f>
        <v>3.0657151943382648E-16</v>
      </c>
      <c r="L313" s="7">
        <f>(((0.648*20^0.651)/0.2))*H313/20+L312*inputs!$C$54</f>
        <v>1.0489157311566711E-15</v>
      </c>
      <c r="M313" s="7">
        <f>(((0.013*2^0.773)/0.2))*H313/2+M312*inputs!$C$54</f>
        <v>5.1148700541338432E-17</v>
      </c>
      <c r="N313" s="7">
        <f>O313*0.015*inputs!$C$56</f>
        <v>1.5039821683500895E-2</v>
      </c>
      <c r="O313" s="7">
        <f>IF((B313&gt;B312), (EXP(-LN(2)/inputs!$C$52)*O312+$O$3), (EXP(-LN(2)/inputs!$C$52)*O312))</f>
        <v>1.622418736084239E-3</v>
      </c>
      <c r="P313" s="3">
        <f>IF((B313&gt;B312), (EXP(-LN(2)/inputs!$C$52)*P312+$P$3), (EXP(-LN(2)/inputs!$C$52)*P312))</f>
        <v>1.5677512092315037E-3</v>
      </c>
      <c r="Q313" s="19">
        <f>IF((F313*0.62*1/(0.012*(10^inputs!$C$55)))&gt;inputs!$C$57, inputs!$C$57, (F313*0.62*1/(0.012*(10^inputs!$C$55))))</f>
        <v>8.1893725029331459E-18</v>
      </c>
      <c r="R313" s="3">
        <f>IF((B313&gt;B312), (EXP(-LN(2)/inputs!$C$51)*R312+$R$3), (EXP(-LN(2)/inputs!$C$51)*R312))</f>
        <v>1.9027549382378659E-23</v>
      </c>
      <c r="T313" s="7">
        <f>IF(T312&lt;(inputs!$C$20-1),(1+T312),0)</f>
        <v>0</v>
      </c>
      <c r="U313" s="7">
        <f>IF(inputs!$C$19&gt;U312,IF(T312=(inputs!$C$20-1),(U312+1),U312), U312)</f>
        <v>1</v>
      </c>
      <c r="V313" s="7">
        <f t="shared" si="8"/>
        <v>310</v>
      </c>
      <c r="W313" s="8">
        <f>IF((U313&gt;U312), (EXP(-LN(2)/inputs!$C$51)*W312+$W$3), (EXP(-LN(2)/inputs!$C$51)*W312))</f>
        <v>6.2968788792807741E-16</v>
      </c>
      <c r="X313" s="8">
        <f>IF((U313&gt;U312), (EXP(-LN(2)/inputs!$C$51)*X312+$X$3), (EXP(-LN(2)/inputs!$C$51)*X312))</f>
        <v>2.666913407695386E-16</v>
      </c>
      <c r="Y313" s="8">
        <f>IF((U313&gt;U312), (EXP(-LN(2)/inputs!$C$51)*Y312+$Y$3), (EXP(-LN(2)/inputs!$C$51)*Y312))</f>
        <v>3.3336417596192372E-16</v>
      </c>
      <c r="Z313" s="8">
        <f>IF((U313&gt;U312), (EXP(-LN(2)/inputs!$C$51)*Z312+$Z$3), (EXP(-LN(2)/inputs!$C$51)*Z312))</f>
        <v>5.1856649594076952E-17</v>
      </c>
      <c r="AA313" s="8">
        <f>IF((U313&gt;U312), (EXP(-LN(2)/inputs!$C$51)*AA312+$AA$3), (EXP(-LN(2)/inputs!$C$51)*AA312))</f>
        <v>4.8152603194500064E-16</v>
      </c>
      <c r="AB313" s="7">
        <f>(((0.621*15^0.564)/0.2))*W313/15+AB312*inputs!$C$53</f>
        <v>6.7758487226363062E-16</v>
      </c>
      <c r="AC313" s="7">
        <f>(((0.621*1000^0.564)/0.2))*W313/1000+AC312*inputs!$C$53</f>
        <v>1.0857741313281336E-16</v>
      </c>
      <c r="AD313" s="7">
        <f>(((0.648*20^0.651)/0.2))*AA313/20+AD312*inputs!$C$54</f>
        <v>7.2531406941684779E-16</v>
      </c>
      <c r="AE313" s="7">
        <f>(((0.013*2^0.773)/0.2))*AA313/2+AE312*inputs!$C$54</f>
        <v>3.5368782289223428E-17</v>
      </c>
    </row>
    <row r="314" spans="1:31" x14ac:dyDescent="0.3">
      <c r="A314" s="7">
        <f>IF(A313&lt;(inputs!$C$20-1),(1+A313),0)</f>
        <v>0</v>
      </c>
      <c r="B314" s="7">
        <f>IF(inputs!$C$19&gt;B313,IF(A313=(inputs!$C$20-1),(B313+1),B313), B313)</f>
        <v>1</v>
      </c>
      <c r="C314" s="7">
        <f t="shared" si="9"/>
        <v>311</v>
      </c>
      <c r="D314" s="8">
        <f>IF((B314&gt;B313), (EXP(-LN(2)/inputs!$C$51)*D313+$D$3), (EXP(-LN(2)/inputs!$C$51)*D313))</f>
        <v>1.5599818422506521E-15</v>
      </c>
      <c r="E314" s="8">
        <f>IF((B314&gt;B313), (EXP(-LN(2)/inputs!$C$51)*E313+$E$3), (EXP(-LN(2)/inputs!$C$51)*E313))</f>
        <v>7.1499167769821462E-16</v>
      </c>
      <c r="F314" s="8">
        <f>IF((B314&gt;B313), (EXP(-LN(2)/inputs!$C$51)*F313+$F$3), (EXP(-LN(2)/inputs!$C$51)*F313))</f>
        <v>8.7748978626599112E-16</v>
      </c>
      <c r="G314" s="8">
        <f>IF((B314&gt;B313), (EXP(-LN(2)/inputs!$C$51)*G313+$G$3), (EXP(-LN(2)/inputs!$C$51)*G313))</f>
        <v>9.7498865140665758E-17</v>
      </c>
      <c r="H314" s="8">
        <f>IF((B314&gt;B313), (EXP(-LN(2)/inputs!$C$51)*H313+$H$3), (EXP(-LN(2)/inputs!$C$51)*H313))</f>
        <v>6.1099288821483732E-16</v>
      </c>
      <c r="I314" s="7">
        <f>O314*(10^inputs!$C$55)*0.01/1</f>
        <v>0.10030189301623857</v>
      </c>
      <c r="J314" s="7">
        <f>(((0.621*15^0.564)/0.2))*D314/15+J313*inputs!$C$53</f>
        <v>1.6786413040165123E-15</v>
      </c>
      <c r="K314" s="7">
        <f>(((0.621*1000^0.564)/0.2))*D314/1000+K313*inputs!$C$53</f>
        <v>2.6898848812712542E-16</v>
      </c>
      <c r="L314" s="7">
        <f>(((0.648*20^0.651)/0.2))*H314/20+L313*inputs!$C$54</f>
        <v>9.2032768476881497E-16</v>
      </c>
      <c r="M314" s="7">
        <f>(((0.013*2^0.773)/0.2))*H314/2+M313*inputs!$C$54</f>
        <v>4.487830981067849E-17</v>
      </c>
      <c r="N314" s="7">
        <f>O314*0.015*inputs!$C$56</f>
        <v>1.4736313894983411E-2</v>
      </c>
      <c r="O314" s="7">
        <f>IF((B314&gt;B313), (EXP(-LN(2)/inputs!$C$52)*O313+$O$3), (EXP(-LN(2)/inputs!$C$52)*O313))</f>
        <v>1.5896778743239926E-3</v>
      </c>
      <c r="P314" s="3">
        <f>IF((B314&gt;B313), (EXP(-LN(2)/inputs!$C$52)*P313+$P$3), (EXP(-LN(2)/inputs!$C$52)*P313))</f>
        <v>1.5361135533820691E-3</v>
      </c>
      <c r="Q314" s="19">
        <f>IF((F314*0.62*1/(0.012*(10^inputs!$C$55)))&gt;inputs!$C$57, inputs!$C$57, (F314*0.62*1/(0.012*(10^inputs!$C$55))))</f>
        <v>7.1854258749868149E-18</v>
      </c>
      <c r="R314" s="3">
        <f>IF((B314&gt;B313), (EXP(-LN(2)/inputs!$C$51)*R313+$R$3), (EXP(-LN(2)/inputs!$C$51)*R313))</f>
        <v>1.6694935493624735E-23</v>
      </c>
      <c r="T314" s="7">
        <f>IF(T313&lt;(inputs!$C$20-1),(1+T313),0)</f>
        <v>0</v>
      </c>
      <c r="U314" s="7">
        <f>IF(inputs!$C$19&gt;U313,IF(T313=(inputs!$C$20-1),(U313+1),U313), U313)</f>
        <v>1</v>
      </c>
      <c r="V314" s="7">
        <f t="shared" si="8"/>
        <v>311</v>
      </c>
      <c r="W314" s="8">
        <f>IF((U314&gt;U313), (EXP(-LN(2)/inputs!$C$51)*W313+$W$3), (EXP(-LN(2)/inputs!$C$51)*W313))</f>
        <v>5.5249356913043831E-16</v>
      </c>
      <c r="X314" s="8">
        <f>IF((U314&gt;U313), (EXP(-LN(2)/inputs!$C$51)*X313+$X$3), (EXP(-LN(2)/inputs!$C$51)*X313))</f>
        <v>2.3399727633759734E-16</v>
      </c>
      <c r="Y314" s="8">
        <f>IF((U314&gt;U313), (EXP(-LN(2)/inputs!$C$51)*Y313+$Y$3), (EXP(-LN(2)/inputs!$C$51)*Y313))</f>
        <v>2.9249659542199709E-16</v>
      </c>
      <c r="Z314" s="8">
        <f>IF((U314&gt;U313), (EXP(-LN(2)/inputs!$C$51)*Z313+$Z$3), (EXP(-LN(2)/inputs!$C$51)*Z313))</f>
        <v>4.5499470398977265E-17</v>
      </c>
      <c r="AA314" s="8">
        <f>IF((U314&gt;U313), (EXP(-LN(2)/inputs!$C$51)*AA313+$AA$3), (EXP(-LN(2)/inputs!$C$51)*AA313))</f>
        <v>4.2249508227621777E-16</v>
      </c>
      <c r="AB314" s="7">
        <f>(((0.621*15^0.564)/0.2))*W314/15+AB313*inputs!$C$53</f>
        <v>5.9451879517251369E-16</v>
      </c>
      <c r="AC314" s="7">
        <f>(((0.621*1000^0.564)/0.2))*W314/1000+AC313*inputs!$C$53</f>
        <v>9.526675621169009E-17</v>
      </c>
      <c r="AD314" s="7">
        <f>(((0.648*20^0.651)/0.2))*AA314/20+AD313*inputs!$C$54</f>
        <v>6.3639680329758544E-16</v>
      </c>
      <c r="AE314" s="7">
        <f>(((0.013*2^0.773)/0.2))*AA314/2+AE313*inputs!$C$54</f>
        <v>3.1032873805256436E-17</v>
      </c>
    </row>
    <row r="315" spans="1:31" x14ac:dyDescent="0.3">
      <c r="A315" s="7">
        <f>IF(A314&lt;(inputs!$C$20-1),(1+A314),0)</f>
        <v>0</v>
      </c>
      <c r="B315" s="7">
        <f>IF(inputs!$C$19&gt;B314,IF(A314=(inputs!$C$20-1),(B314+1),B314), B314)</f>
        <v>1</v>
      </c>
      <c r="C315" s="7">
        <f t="shared" si="9"/>
        <v>312</v>
      </c>
      <c r="D315" s="8">
        <f>IF((B315&gt;B314), (EXP(-LN(2)/inputs!$C$51)*D314+$D$3), (EXP(-LN(2)/inputs!$C$51)*D314))</f>
        <v>1.3687414865794316E-15</v>
      </c>
      <c r="E315" s="8">
        <f>IF((B315&gt;B314), (EXP(-LN(2)/inputs!$C$51)*E314+$E$3), (EXP(-LN(2)/inputs!$C$51)*E314))</f>
        <v>6.2733984801557206E-16</v>
      </c>
      <c r="F315" s="8">
        <f>IF((B315&gt;B314), (EXP(-LN(2)/inputs!$C$51)*F314+$F$3), (EXP(-LN(2)/inputs!$C$51)*F314))</f>
        <v>7.6991708620092972E-16</v>
      </c>
      <c r="G315" s="8">
        <f>IF((B315&gt;B314), (EXP(-LN(2)/inputs!$C$51)*G314+$G$3), (EXP(-LN(2)/inputs!$C$51)*G314))</f>
        <v>8.5546342911214477E-17</v>
      </c>
      <c r="H315" s="8">
        <f>IF((B315&gt;B314), (EXP(-LN(2)/inputs!$C$51)*H314+$H$3), (EXP(-LN(2)/inputs!$C$51)*H314))</f>
        <v>5.3609041557694281E-16</v>
      </c>
      <c r="I315" s="7">
        <f>O315*(10^inputs!$C$55)*0.01/1</f>
        <v>9.8277772892070347E-2</v>
      </c>
      <c r="J315" s="7">
        <f>(((0.621*15^0.564)/0.2))*D315/15+J314*inputs!$C$53</f>
        <v>1.4728543189825298E-15</v>
      </c>
      <c r="K315" s="7">
        <f>(((0.621*1000^0.564)/0.2))*D315/1000+K314*inputs!$C$53</f>
        <v>2.360128131880642E-16</v>
      </c>
      <c r="L315" s="7">
        <f>(((0.648*20^0.651)/0.2))*H315/20+L314*inputs!$C$54</f>
        <v>8.0750342681762563E-16</v>
      </c>
      <c r="M315" s="7">
        <f>(((0.013*2^0.773)/0.2))*H315/2+M314*inputs!$C$54</f>
        <v>3.9376615048811919E-17</v>
      </c>
      <c r="N315" s="7">
        <f>O315*0.015*inputs!$C$56</f>
        <v>1.4438930978131915E-2</v>
      </c>
      <c r="O315" s="7">
        <f>IF((B315&gt;B314), (EXP(-LN(2)/inputs!$C$52)*O314+$O$3), (EXP(-LN(2)/inputs!$C$52)*O314))</f>
        <v>1.557597732268815E-3</v>
      </c>
      <c r="P315" s="3">
        <f>IF((B315&gt;B314), (EXP(-LN(2)/inputs!$C$52)*P314+$P$3), (EXP(-LN(2)/inputs!$C$52)*P314))</f>
        <v>1.5051143542353009E-3</v>
      </c>
      <c r="Q315" s="19">
        <f>IF((F315*0.62*1/(0.012*(10^inputs!$C$55)))&gt;inputs!$C$57, inputs!$C$57, (F315*0.62*1/(0.012*(10^inputs!$C$55))))</f>
        <v>6.3045544681766341E-18</v>
      </c>
      <c r="R315" s="3">
        <f>IF((B315&gt;B314), (EXP(-LN(2)/inputs!$C$51)*R314+$R$3), (EXP(-LN(2)/inputs!$C$51)*R314))</f>
        <v>1.4648280003646359E-23</v>
      </c>
      <c r="T315" s="7">
        <f>IF(T314&lt;(inputs!$C$20-1),(1+T314),0)</f>
        <v>0</v>
      </c>
      <c r="U315" s="7">
        <f>IF(inputs!$C$19&gt;U314,IF(T314=(inputs!$C$20-1),(U314+1),U314), U314)</f>
        <v>1</v>
      </c>
      <c r="V315" s="7">
        <f t="shared" si="8"/>
        <v>312</v>
      </c>
      <c r="W315" s="8">
        <f>IF((U315&gt;U314), (EXP(-LN(2)/inputs!$C$51)*W314+$W$3), (EXP(-LN(2)/inputs!$C$51)*W314))</f>
        <v>4.8476260983021449E-16</v>
      </c>
      <c r="X315" s="8">
        <f>IF((U315&gt;U314), (EXP(-LN(2)/inputs!$C$51)*X314+$X$3), (EXP(-LN(2)/inputs!$C$51)*X314))</f>
        <v>2.0531122298691434E-16</v>
      </c>
      <c r="Y315" s="8">
        <f>IF((U315&gt;U314), (EXP(-LN(2)/inputs!$C$51)*Y314+$Y$3), (EXP(-LN(2)/inputs!$C$51)*Y314))</f>
        <v>2.5663902873364326E-16</v>
      </c>
      <c r="Z315" s="8">
        <f>IF((U315&gt;U314), (EXP(-LN(2)/inputs!$C$51)*Z314+$Z$3), (EXP(-LN(2)/inputs!$C$51)*Z314))</f>
        <v>3.992162669190001E-17</v>
      </c>
      <c r="AA315" s="8">
        <f>IF((U315&gt;U314), (EXP(-LN(2)/inputs!$C$51)*AA314+$AA$3), (EXP(-LN(2)/inputs!$C$51)*AA314))</f>
        <v>3.7070081928192895E-16</v>
      </c>
      <c r="AB315" s="7">
        <f>(((0.621*15^0.564)/0.2))*W315/15+AB314*inputs!$C$53</f>
        <v>5.2163590463964506E-16</v>
      </c>
      <c r="AC315" s="7">
        <f>(((0.621*1000^0.564)/0.2))*W315/1000+AC314*inputs!$C$53</f>
        <v>8.3587871337439273E-17</v>
      </c>
      <c r="AD315" s="7">
        <f>(((0.648*20^0.651)/0.2))*AA315/20+AD314*inputs!$C$54</f>
        <v>5.5838002918240129E-16</v>
      </c>
      <c r="AE315" s="7">
        <f>(((0.013*2^0.773)/0.2))*AA315/2+AE314*inputs!$C$54</f>
        <v>2.722851040609338E-17</v>
      </c>
    </row>
    <row r="316" spans="1:31" x14ac:dyDescent="0.3">
      <c r="A316" s="7">
        <f>IF(A315&lt;(inputs!$C$20-1),(1+A315),0)</f>
        <v>0</v>
      </c>
      <c r="B316" s="7">
        <f>IF(inputs!$C$19&gt;B315,IF(A315=(inputs!$C$20-1),(B315+1),B315), B315)</f>
        <v>1</v>
      </c>
      <c r="C316" s="7">
        <f t="shared" si="9"/>
        <v>313</v>
      </c>
      <c r="D316" s="8">
        <f>IF((B316&gt;B315), (EXP(-LN(2)/inputs!$C$51)*D315+$D$3), (EXP(-LN(2)/inputs!$C$51)*D315))</f>
        <v>1.2009455535589836E-15</v>
      </c>
      <c r="E316" s="8">
        <f>IF((B316&gt;B315), (EXP(-LN(2)/inputs!$C$51)*E315+$E$3), (EXP(-LN(2)/inputs!$C$51)*E315))</f>
        <v>5.5043337871453344E-16</v>
      </c>
      <c r="F316" s="8">
        <f>IF((B316&gt;B315), (EXP(-LN(2)/inputs!$C$51)*F315+$F$3), (EXP(-LN(2)/inputs!$C$51)*F315))</f>
        <v>6.7553187387692783E-16</v>
      </c>
      <c r="G316" s="8">
        <f>IF((B316&gt;B315), (EXP(-LN(2)/inputs!$C$51)*G315+$G$3), (EXP(-LN(2)/inputs!$C$51)*G315))</f>
        <v>7.5059097097436473E-17</v>
      </c>
      <c r="H316" s="8">
        <f>IF((B316&gt;B315), (EXP(-LN(2)/inputs!$C$51)*H315+$H$3), (EXP(-LN(2)/inputs!$C$51)*H315))</f>
        <v>4.7037034181060087E-16</v>
      </c>
      <c r="I316" s="7">
        <f>O316*(10^inputs!$C$55)*0.01/1</f>
        <v>9.6294500075503789E-2</v>
      </c>
      <c r="J316" s="7">
        <f>(((0.621*15^0.564)/0.2))*D316/15+J315*inputs!$C$53</f>
        <v>1.2922950482363165E-15</v>
      </c>
      <c r="K316" s="7">
        <f>(((0.621*1000^0.564)/0.2))*D316/1000+K315*inputs!$C$53</f>
        <v>2.0707967235616052E-16</v>
      </c>
      <c r="L316" s="7">
        <f>(((0.648*20^0.651)/0.2))*H316/20+L315*inputs!$C$54</f>
        <v>7.0851045243304352E-16</v>
      </c>
      <c r="M316" s="7">
        <f>(((0.013*2^0.773)/0.2))*H316/2+M315*inputs!$C$54</f>
        <v>3.4549380741905441E-17</v>
      </c>
      <c r="N316" s="7">
        <f>O316*0.015*inputs!$C$56</f>
        <v>1.4147549331331079E-2</v>
      </c>
      <c r="O316" s="7">
        <f>IF((B316&gt;B315), (EXP(-LN(2)/inputs!$C$52)*O315+$O$3), (EXP(-LN(2)/inputs!$C$52)*O315))</f>
        <v>1.5261649764111197E-3</v>
      </c>
      <c r="P316" s="3">
        <f>IF((B316&gt;B315), (EXP(-LN(2)/inputs!$C$52)*P315+$P$3), (EXP(-LN(2)/inputs!$C$52)*P315))</f>
        <v>1.4747407275571992E-3</v>
      </c>
      <c r="Q316" s="19">
        <f>IF((F316*0.62*1/(0.012*(10^inputs!$C$55)))&gt;inputs!$C$57, inputs!$C$57, (F316*0.62*1/(0.012*(10^inputs!$C$55))))</f>
        <v>5.5316703190232137E-18</v>
      </c>
      <c r="R316" s="3">
        <f>IF((B316&gt;B315), (EXP(-LN(2)/inputs!$C$51)*R315+$R$3), (EXP(-LN(2)/inputs!$C$51)*R315))</f>
        <v>1.2852526872425716E-23</v>
      </c>
      <c r="T316" s="7">
        <f>IF(T315&lt;(inputs!$C$20-1),(1+T315),0)</f>
        <v>0</v>
      </c>
      <c r="U316" s="7">
        <f>IF(inputs!$C$19&gt;U315,IF(T315=(inputs!$C$20-1),(U315+1),U315), U315)</f>
        <v>1</v>
      </c>
      <c r="V316" s="7">
        <f t="shared" si="8"/>
        <v>313</v>
      </c>
      <c r="W316" s="8">
        <f>IF((U316&gt;U315), (EXP(-LN(2)/inputs!$C$51)*W315+$W$3), (EXP(-LN(2)/inputs!$C$51)*W315))</f>
        <v>4.2533488355213925E-16</v>
      </c>
      <c r="X316" s="8">
        <f>IF((U316&gt;U315), (EXP(-LN(2)/inputs!$C$51)*X315+$X$3), (EXP(-LN(2)/inputs!$C$51)*X315))</f>
        <v>1.8014183303384719E-16</v>
      </c>
      <c r="Y316" s="8">
        <f>IF((U316&gt;U315), (EXP(-LN(2)/inputs!$C$51)*Y315+$Y$3), (EXP(-LN(2)/inputs!$C$51)*Y315))</f>
        <v>2.2517729129230926E-16</v>
      </c>
      <c r="Z316" s="8">
        <f>IF((U316&gt;U315), (EXP(-LN(2)/inputs!$C$51)*Z315+$Z$3), (EXP(-LN(2)/inputs!$C$51)*Z315))</f>
        <v>3.5027578645470289E-17</v>
      </c>
      <c r="AA316" s="8">
        <f>IF((U316&gt;U315), (EXP(-LN(2)/inputs!$C$51)*AA315+$AA$3), (EXP(-LN(2)/inputs!$C$51)*AA315))</f>
        <v>3.2525608742222433E-16</v>
      </c>
      <c r="AB316" s="7">
        <f>(((0.621*15^0.564)/0.2))*W316/15+AB315*inputs!$C$53</f>
        <v>4.5768782958369458E-16</v>
      </c>
      <c r="AC316" s="7">
        <f>(((0.621*1000^0.564)/0.2))*W316/1000+AC315*inputs!$C$53</f>
        <v>7.3340717292806712E-17</v>
      </c>
      <c r="AD316" s="7">
        <f>(((0.648*20^0.651)/0.2))*AA316/20+AD315*inputs!$C$54</f>
        <v>4.8992744051221145E-16</v>
      </c>
      <c r="AE316" s="7">
        <f>(((0.013*2^0.773)/0.2))*AA316/2+AE315*inputs!$C$54</f>
        <v>2.3890529236423999E-17</v>
      </c>
    </row>
    <row r="317" spans="1:31" x14ac:dyDescent="0.3">
      <c r="A317" s="7">
        <f>IF(A316&lt;(inputs!$C$20-1),(1+A316),0)</f>
        <v>0</v>
      </c>
      <c r="B317" s="7">
        <f>IF(inputs!$C$19&gt;B316,IF(A316=(inputs!$C$20-1),(B316+1),B316), B316)</f>
        <v>1</v>
      </c>
      <c r="C317" s="7">
        <f t="shared" si="9"/>
        <v>314</v>
      </c>
      <c r="D317" s="8">
        <f>IF((B317&gt;B316), (EXP(-LN(2)/inputs!$C$51)*D316+$D$3), (EXP(-LN(2)/inputs!$C$51)*D316))</f>
        <v>1.0537199586295982E-15</v>
      </c>
      <c r="E317" s="8">
        <f>IF((B317&gt;B316), (EXP(-LN(2)/inputs!$C$51)*E316+$E$3), (EXP(-LN(2)/inputs!$C$51)*E316))</f>
        <v>4.8295498103856524E-16</v>
      </c>
      <c r="F317" s="8">
        <f>IF((B317&gt;B316), (EXP(-LN(2)/inputs!$C$51)*F316+$F$3), (EXP(-LN(2)/inputs!$C$51)*F316))</f>
        <v>5.9271747672914865E-16</v>
      </c>
      <c r="G317" s="8">
        <f>IF((B317&gt;B316), (EXP(-LN(2)/inputs!$C$51)*G316+$G$3), (EXP(-LN(2)/inputs!$C$51)*G316))</f>
        <v>6.5857497414349889E-17</v>
      </c>
      <c r="H317" s="8">
        <f>IF((B317&gt;B316), (EXP(-LN(2)/inputs!$C$51)*H316+$H$3), (EXP(-LN(2)/inputs!$C$51)*H316))</f>
        <v>4.1270698379659176E-16</v>
      </c>
      <c r="I317" s="7">
        <f>O317*(10^inputs!$C$55)*0.01/1</f>
        <v>9.4351250256499958E-2</v>
      </c>
      <c r="J317" s="7">
        <f>(((0.621*15^0.564)/0.2))*D317/15+J316*inputs!$C$53</f>
        <v>1.1338707910024553E-15</v>
      </c>
      <c r="K317" s="7">
        <f>(((0.621*1000^0.564)/0.2))*D317/1000+K316*inputs!$C$53</f>
        <v>1.8169348572174656E-16</v>
      </c>
      <c r="L317" s="7">
        <f>(((0.648*20^0.651)/0.2))*H317/20+L316*inputs!$C$54</f>
        <v>6.2165316521963157E-16</v>
      </c>
      <c r="M317" s="7">
        <f>(((0.013*2^0.773)/0.2))*H317/2+M316*inputs!$C$54</f>
        <v>3.031392383955466E-17</v>
      </c>
      <c r="N317" s="7">
        <f>O317*0.015*inputs!$C$56</f>
        <v>1.3862047847280583E-2</v>
      </c>
      <c r="O317" s="7">
        <f>IF((B317&gt;B316), (EXP(-LN(2)/inputs!$C$52)*O316+$O$3), (EXP(-LN(2)/inputs!$C$52)*O316))</f>
        <v>1.4953665423172151E-3</v>
      </c>
      <c r="P317" s="3">
        <f>IF((B317&gt;B316), (EXP(-LN(2)/inputs!$C$52)*P316+$P$3), (EXP(-LN(2)/inputs!$C$52)*P316))</f>
        <v>1.4449800491211924E-3</v>
      </c>
      <c r="Q317" s="19">
        <f>IF((F317*0.62*1/(0.012*(10^inputs!$C$55)))&gt;inputs!$C$57, inputs!$C$57, (F317*0.62*1/(0.012*(10^inputs!$C$55))))</f>
        <v>4.8535351185905679E-18</v>
      </c>
      <c r="R317" s="3">
        <f>IF((B317&gt;B316), (EXP(-LN(2)/inputs!$C$51)*R316+$R$3), (EXP(-LN(2)/inputs!$C$51)*R316))</f>
        <v>1.1276917628916531E-23</v>
      </c>
      <c r="T317" s="7">
        <f>IF(T316&lt;(inputs!$C$20-1),(1+T316),0)</f>
        <v>0</v>
      </c>
      <c r="U317" s="7">
        <f>IF(inputs!$C$19&gt;U316,IF(T316=(inputs!$C$20-1),(U316+1),U316), U316)</f>
        <v>1</v>
      </c>
      <c r="V317" s="7">
        <f t="shared" si="8"/>
        <v>314</v>
      </c>
      <c r="W317" s="8">
        <f>IF((U317&gt;U316), (EXP(-LN(2)/inputs!$C$51)*W316+$W$3), (EXP(-LN(2)/inputs!$C$51)*W316))</f>
        <v>3.7319248534798203E-16</v>
      </c>
      <c r="X317" s="8">
        <f>IF((U317&gt;U316), (EXP(-LN(2)/inputs!$C$51)*X316+$X$3), (EXP(-LN(2)/inputs!$C$51)*X316))</f>
        <v>1.5805799379443943E-16</v>
      </c>
      <c r="Y317" s="8">
        <f>IF((U317&gt;U316), (EXP(-LN(2)/inputs!$C$51)*Y316+$Y$3), (EXP(-LN(2)/inputs!$C$51)*Y316))</f>
        <v>1.9757249224304953E-16</v>
      </c>
      <c r="Z317" s="8">
        <f>IF((U317&gt;U316), (EXP(-LN(2)/inputs!$C$51)*Z316+$Z$3), (EXP(-LN(2)/inputs!$C$51)*Z316))</f>
        <v>3.0733498793363223E-17</v>
      </c>
      <c r="AA317" s="8">
        <f>IF((U317&gt;U316), (EXP(-LN(2)/inputs!$C$51)*AA316+$AA$3), (EXP(-LN(2)/inputs!$C$51)*AA316))</f>
        <v>2.8538248879551585E-16</v>
      </c>
      <c r="AB317" s="7">
        <f>(((0.621*15^0.564)/0.2))*W317/15+AB316*inputs!$C$53</f>
        <v>4.0157923848003553E-16</v>
      </c>
      <c r="AC317" s="7">
        <f>(((0.621*1000^0.564)/0.2))*W317/1000+AC316*inputs!$C$53</f>
        <v>6.4349776193118461E-17</v>
      </c>
      <c r="AD317" s="7">
        <f>(((0.648*20^0.651)/0.2))*AA317/20+AD316*inputs!$C$54</f>
        <v>4.2986655041783073E-16</v>
      </c>
      <c r="AE317" s="7">
        <f>(((0.013*2^0.773)/0.2))*AA317/2+AE316*inputs!$C$54</f>
        <v>2.0961755846500584E-17</v>
      </c>
    </row>
    <row r="318" spans="1:31" x14ac:dyDescent="0.3">
      <c r="A318" s="7">
        <f>IF(A317&lt;(inputs!$C$20-1),(1+A317),0)</f>
        <v>0</v>
      </c>
      <c r="B318" s="7">
        <f>IF(inputs!$C$19&gt;B317,IF(A317=(inputs!$C$20-1),(B317+1),B317), B317)</f>
        <v>1</v>
      </c>
      <c r="C318" s="7">
        <f t="shared" si="9"/>
        <v>315</v>
      </c>
      <c r="D318" s="8">
        <f>IF((B318&gt;B317), (EXP(-LN(2)/inputs!$C$51)*D317+$D$3), (EXP(-LN(2)/inputs!$C$51)*D317))</f>
        <v>9.2454295527713896E-16</v>
      </c>
      <c r="E318" s="8">
        <f>IF((B318&gt;B317), (EXP(-LN(2)/inputs!$C$51)*E317+$E$3), (EXP(-LN(2)/inputs!$C$51)*E317))</f>
        <v>4.2374885450202149E-16</v>
      </c>
      <c r="F318" s="8">
        <f>IF((B318&gt;B317), (EXP(-LN(2)/inputs!$C$51)*F317+$F$3), (EXP(-LN(2)/inputs!$C$51)*F317))</f>
        <v>5.2005541234339035E-16</v>
      </c>
      <c r="G318" s="8">
        <f>IF((B318&gt;B317), (EXP(-LN(2)/inputs!$C$51)*G317+$G$3), (EXP(-LN(2)/inputs!$C$51)*G317))</f>
        <v>5.7783934704821185E-17</v>
      </c>
      <c r="H318" s="8">
        <f>IF((B318&gt;B317), (EXP(-LN(2)/inputs!$C$51)*H317+$H$3), (EXP(-LN(2)/inputs!$C$51)*H317))</f>
        <v>3.6211265748354534E-16</v>
      </c>
      <c r="I318" s="7">
        <f>O318*(10^inputs!$C$55)*0.01/1</f>
        <v>9.2447215759826021E-2</v>
      </c>
      <c r="J318" s="7">
        <f>(((0.621*15^0.564)/0.2))*D318/15+J317*inputs!$C$53</f>
        <v>9.9486798501871977E-16</v>
      </c>
      <c r="K318" s="7">
        <f>(((0.621*1000^0.564)/0.2))*D318/1000+K317*inputs!$C$53</f>
        <v>1.5941942720934781E-16</v>
      </c>
      <c r="L318" s="7">
        <f>(((0.648*20^0.651)/0.2))*H318/20+L317*inputs!$C$54</f>
        <v>5.4544383431535536E-16</v>
      </c>
      <c r="M318" s="7">
        <f>(((0.013*2^0.773)/0.2))*H318/2+M317*inputs!$C$54</f>
        <v>2.6597697522136255E-17</v>
      </c>
      <c r="N318" s="7">
        <f>O318*0.015*inputs!$C$56</f>
        <v>1.3582307862659146E-2</v>
      </c>
      <c r="O318" s="7">
        <f>IF((B318&gt;B317), (EXP(-LN(2)/inputs!$C$52)*O317+$O$3), (EXP(-LN(2)/inputs!$C$52)*O317))</f>
        <v>1.465189629197319E-3</v>
      </c>
      <c r="P318" s="3">
        <f>IF((B318&gt;B317), (EXP(-LN(2)/inputs!$C$52)*P317+$P$3), (EXP(-LN(2)/inputs!$C$52)*P317))</f>
        <v>1.4158199494611163E-3</v>
      </c>
      <c r="Q318" s="19">
        <f>IF((F318*0.62*1/(0.012*(10^inputs!$C$55)))&gt;inputs!$C$57, inputs!$C$57, (F318*0.62*1/(0.012*(10^inputs!$C$55))))</f>
        <v>4.2585334607489121E-18</v>
      </c>
      <c r="R318" s="3">
        <f>IF((B318&gt;B317), (EXP(-LN(2)/inputs!$C$51)*R317+$R$3), (EXP(-LN(2)/inputs!$C$51)*R317))</f>
        <v>9.8944645260537231E-24</v>
      </c>
      <c r="T318" s="7">
        <f>IF(T317&lt;(inputs!$C$20-1),(1+T317),0)</f>
        <v>0</v>
      </c>
      <c r="U318" s="7">
        <f>IF(inputs!$C$19&gt;U317,IF(T317=(inputs!$C$20-1),(U317+1),U317), U317)</f>
        <v>1</v>
      </c>
      <c r="V318" s="7">
        <f t="shared" si="8"/>
        <v>315</v>
      </c>
      <c r="W318" s="8">
        <f>IF((U318&gt;U317), (EXP(-LN(2)/inputs!$C$51)*W317+$W$3), (EXP(-LN(2)/inputs!$C$51)*W317))</f>
        <v>3.2744229666065277E-16</v>
      </c>
      <c r="X318" s="8">
        <f>IF((U318&gt;U317), (EXP(-LN(2)/inputs!$C$51)*X317+$X$3), (EXP(-LN(2)/inputs!$C$51)*X317))</f>
        <v>1.3868144329157057E-16</v>
      </c>
      <c r="Y318" s="8">
        <f>IF((U318&gt;U317), (EXP(-LN(2)/inputs!$C$51)*Y317+$Y$3), (EXP(-LN(2)/inputs!$C$51)*Y317))</f>
        <v>1.7335180411446344E-16</v>
      </c>
      <c r="Z318" s="8">
        <f>IF((U318&gt;U317), (EXP(-LN(2)/inputs!$C$51)*Z317+$Z$3), (EXP(-LN(2)/inputs!$C$51)*Z317))</f>
        <v>2.6965836195583168E-17</v>
      </c>
      <c r="AA318" s="8">
        <f>IF((U318&gt;U317), (EXP(-LN(2)/inputs!$C$51)*AA317+$AA$3), (EXP(-LN(2)/inputs!$C$51)*AA317))</f>
        <v>2.5039705038755817E-16</v>
      </c>
      <c r="AB318" s="7">
        <f>(((0.621*15^0.564)/0.2))*W318/15+AB317*inputs!$C$53</f>
        <v>3.5234907802746259E-16</v>
      </c>
      <c r="AC318" s="7">
        <f>(((0.621*1000^0.564)/0.2))*W318/1000+AC317*inputs!$C$53</f>
        <v>5.6461047136643906E-17</v>
      </c>
      <c r="AD318" s="7">
        <f>(((0.648*20^0.651)/0.2))*AA318/20+AD317*inputs!$C$54</f>
        <v>3.7716860883508651E-16</v>
      </c>
      <c r="AE318" s="7">
        <f>(((0.013*2^0.773)/0.2))*AA318/2+AE317*inputs!$C$54</f>
        <v>1.8392024882328279E-17</v>
      </c>
    </row>
    <row r="319" spans="1:31" x14ac:dyDescent="0.3">
      <c r="A319" s="7">
        <f>IF(A318&lt;(inputs!$C$20-1),(1+A318),0)</f>
        <v>0</v>
      </c>
      <c r="B319" s="7">
        <f>IF(inputs!$C$19&gt;B318,IF(A318=(inputs!$C$20-1),(B318+1),B318), B318)</f>
        <v>1</v>
      </c>
      <c r="C319" s="7">
        <f t="shared" si="9"/>
        <v>316</v>
      </c>
      <c r="D319" s="8">
        <f>IF((B319&gt;B318), (EXP(-LN(2)/inputs!$C$51)*D318+$D$3), (EXP(-LN(2)/inputs!$C$51)*D318))</f>
        <v>8.1120194141929161E-16</v>
      </c>
      <c r="E319" s="8">
        <f>IF((B319&gt;B318), (EXP(-LN(2)/inputs!$C$51)*E318+$E$3), (EXP(-LN(2)/inputs!$C$51)*E318))</f>
        <v>3.7180088981717486E-16</v>
      </c>
      <c r="F319" s="8">
        <f>IF((B319&gt;B318), (EXP(-LN(2)/inputs!$C$51)*F318+$F$3), (EXP(-LN(2)/inputs!$C$51)*F318))</f>
        <v>4.5630109204835134E-16</v>
      </c>
      <c r="G319" s="8">
        <f>IF((B319&gt;B318), (EXP(-LN(2)/inputs!$C$51)*G318+$G$3), (EXP(-LN(2)/inputs!$C$51)*G318))</f>
        <v>5.0700121338705726E-17</v>
      </c>
      <c r="H319" s="8">
        <f>IF((B319&gt;B318), (EXP(-LN(2)/inputs!$C$51)*H318+$H$3), (EXP(-LN(2)/inputs!$C$51)*H318))</f>
        <v>3.1772076038922192E-16</v>
      </c>
      <c r="I319" s="7">
        <f>O319*(10^inputs!$C$55)*0.01/1</f>
        <v>9.0581605209360219E-2</v>
      </c>
      <c r="J319" s="7">
        <f>(((0.621*15^0.564)/0.2))*D319/15+J318*inputs!$C$53</f>
        <v>8.7290572741551852E-16</v>
      </c>
      <c r="K319" s="7">
        <f>(((0.621*1000^0.564)/0.2))*D319/1000+K318*inputs!$C$53</f>
        <v>1.3987597668018498E-16</v>
      </c>
      <c r="L319" s="7">
        <f>(((0.648*20^0.651)/0.2))*H319/20+L318*inputs!$C$54</f>
        <v>4.7857711186514467E-16</v>
      </c>
      <c r="M319" s="7">
        <f>(((0.013*2^0.773)/0.2))*H319/2+M318*inputs!$C$54</f>
        <v>2.3337048586101022E-17</v>
      </c>
      <c r="N319" s="7">
        <f>O319*0.015*inputs!$C$56</f>
        <v>1.3308213108804342E-2</v>
      </c>
      <c r="O319" s="7">
        <f>IF((B319&gt;B318), (EXP(-LN(2)/inputs!$C$52)*O318+$O$3), (EXP(-LN(2)/inputs!$C$52)*O318))</f>
        <v>1.4356216945851502E-3</v>
      </c>
      <c r="P319" s="3">
        <f>IF((B319&gt;B318), (EXP(-LN(2)/inputs!$C$52)*P318+$P$3), (EXP(-LN(2)/inputs!$C$52)*P318))</f>
        <v>1.3872483087300771E-3</v>
      </c>
      <c r="Q319" s="19">
        <f>IF((F319*0.62*1/(0.012*(10^inputs!$C$55)))&gt;inputs!$C$57, inputs!$C$57, (F319*0.62*1/(0.012*(10^inputs!$C$55))))</f>
        <v>3.7364738882500163E-18</v>
      </c>
      <c r="R319" s="3">
        <f>IF((B319&gt;B318), (EXP(-LN(2)/inputs!$C$51)*R318+$R$3), (EXP(-LN(2)/inputs!$C$51)*R318))</f>
        <v>8.6814882824271947E-24</v>
      </c>
      <c r="T319" s="7">
        <f>IF(T318&lt;(inputs!$C$20-1),(1+T318),0)</f>
        <v>0</v>
      </c>
      <c r="U319" s="7">
        <f>IF(inputs!$C$19&gt;U318,IF(T318=(inputs!$C$20-1),(U318+1),U318), U318)</f>
        <v>1</v>
      </c>
      <c r="V319" s="7">
        <f t="shared" si="8"/>
        <v>316</v>
      </c>
      <c r="W319" s="8">
        <f>IF((U319&gt;U318), (EXP(-LN(2)/inputs!$C$51)*W318+$W$3), (EXP(-LN(2)/inputs!$C$51)*W318))</f>
        <v>2.8730068758599859E-16</v>
      </c>
      <c r="X319" s="8">
        <f>IF((U319&gt;U318), (EXP(-LN(2)/inputs!$C$51)*X318+$X$3), (EXP(-LN(2)/inputs!$C$51)*X318))</f>
        <v>1.2168029121289352E-16</v>
      </c>
      <c r="Y319" s="8">
        <f>IF((U319&gt;U318), (EXP(-LN(2)/inputs!$C$51)*Y318+$Y$3), (EXP(-LN(2)/inputs!$C$51)*Y318))</f>
        <v>1.5210036401611708E-16</v>
      </c>
      <c r="Z319" s="8">
        <f>IF((U319&gt;U318), (EXP(-LN(2)/inputs!$C$51)*Z318+$Z$3), (EXP(-LN(2)/inputs!$C$51)*Z318))</f>
        <v>2.3660056624729294E-17</v>
      </c>
      <c r="AA319" s="8">
        <f>IF((U319&gt;U318), (EXP(-LN(2)/inputs!$C$51)*AA318+$AA$3), (EXP(-LN(2)/inputs!$C$51)*AA318))</f>
        <v>2.1970052580105791E-16</v>
      </c>
      <c r="AB319" s="7">
        <f>(((0.621*15^0.564)/0.2))*W319/15+AB318*inputs!$C$53</f>
        <v>3.0915411179299555E-16</v>
      </c>
      <c r="AC319" s="7">
        <f>(((0.621*1000^0.564)/0.2))*W319/1000+AC318*inputs!$C$53</f>
        <v>4.9539408407565423E-17</v>
      </c>
      <c r="AD319" s="7">
        <f>(((0.648*20^0.651)/0.2))*AA319/20+AD318*inputs!$C$54</f>
        <v>3.3093098160887689E-16</v>
      </c>
      <c r="AE319" s="7">
        <f>(((0.013*2^0.773)/0.2))*AA319/2+AE318*inputs!$C$54</f>
        <v>1.613732083081455E-17</v>
      </c>
    </row>
    <row r="320" spans="1:31" x14ac:dyDescent="0.3">
      <c r="A320" s="7">
        <f>IF(A319&lt;(inputs!$C$20-1),(1+A319),0)</f>
        <v>0</v>
      </c>
      <c r="B320" s="7">
        <f>IF(inputs!$C$19&gt;B319,IF(A319=(inputs!$C$20-1),(B319+1),B319), B319)</f>
        <v>1</v>
      </c>
      <c r="C320" s="7">
        <f t="shared" si="9"/>
        <v>317</v>
      </c>
      <c r="D320" s="8">
        <f>IF((B320&gt;B319), (EXP(-LN(2)/inputs!$C$51)*D319+$D$3), (EXP(-LN(2)/inputs!$C$51)*D319))</f>
        <v>7.117555609573302E-16</v>
      </c>
      <c r="E320" s="8">
        <f>IF((B320&gt;B319), (EXP(-LN(2)/inputs!$C$51)*E319+$E$3), (EXP(-LN(2)/inputs!$C$51)*E319))</f>
        <v>3.2622129877210927E-16</v>
      </c>
      <c r="F320" s="8">
        <f>IF((B320&gt;B319), (EXP(-LN(2)/inputs!$C$51)*F319+$F$3), (EXP(-LN(2)/inputs!$C$51)*F319))</f>
        <v>4.0036250303849805E-16</v>
      </c>
      <c r="G320" s="8">
        <f>IF((B320&gt;B319), (EXP(-LN(2)/inputs!$C$51)*G319+$G$3), (EXP(-LN(2)/inputs!$C$51)*G319))</f>
        <v>4.4484722559833138E-17</v>
      </c>
      <c r="H320" s="8">
        <f>IF((B320&gt;B319), (EXP(-LN(2)/inputs!$C$51)*H319+$H$3), (EXP(-LN(2)/inputs!$C$51)*H319))</f>
        <v>2.7877092804162043E-16</v>
      </c>
      <c r="I320" s="7">
        <f>O320*(10^inputs!$C$55)*0.01/1</f>
        <v>8.8753643199171214E-2</v>
      </c>
      <c r="J320" s="7">
        <f>(((0.621*15^0.564)/0.2))*D320/15+J319*inputs!$C$53</f>
        <v>7.6589499353572841E-16</v>
      </c>
      <c r="K320" s="7">
        <f>(((0.621*1000^0.564)/0.2))*D320/1000+K319*inputs!$C$53</f>
        <v>1.2272838508284649E-16</v>
      </c>
      <c r="L320" s="7">
        <f>(((0.648*20^0.651)/0.2))*H320/20+L319*inputs!$C$54</f>
        <v>4.1990767443300679E-16</v>
      </c>
      <c r="M320" s="7">
        <f>(((0.013*2^0.773)/0.2))*H320/2+M319*inputs!$C$54</f>
        <v>2.0476127163141654E-17</v>
      </c>
      <c r="N320" s="7">
        <f>O320*0.015*inputs!$C$56</f>
        <v>1.303964966338772E-2</v>
      </c>
      <c r="O320" s="7">
        <f>IF((B320&gt;B319), (EXP(-LN(2)/inputs!$C$52)*O319+$O$3), (EXP(-LN(2)/inputs!$C$52)*O319))</f>
        <v>1.4066504491248891E-3</v>
      </c>
      <c r="P320" s="3">
        <f>IF((B320&gt;B319), (EXP(-LN(2)/inputs!$C$52)*P319+$P$3), (EXP(-LN(2)/inputs!$C$52)*P319))</f>
        <v>1.3592532516630655E-3</v>
      </c>
      <c r="Q320" s="19">
        <f>IF((F320*0.62*1/(0.012*(10^inputs!$C$55)))&gt;inputs!$C$57, inputs!$C$57, (F320*0.62*1/(0.012*(10^inputs!$C$55))))</f>
        <v>3.2784143288424345E-18</v>
      </c>
      <c r="R320" s="3">
        <f>IF((B320&gt;B319), (EXP(-LN(2)/inputs!$C$51)*R319+$R$3), (EXP(-LN(2)/inputs!$C$51)*R319))</f>
        <v>7.6172124928503143E-24</v>
      </c>
      <c r="T320" s="7">
        <f>IF(T319&lt;(inputs!$C$20-1),(1+T319),0)</f>
        <v>0</v>
      </c>
      <c r="U320" s="7">
        <f>IF(inputs!$C$19&gt;U319,IF(T319=(inputs!$C$20-1),(U319+1),U319), U319)</f>
        <v>1</v>
      </c>
      <c r="V320" s="7">
        <f t="shared" si="8"/>
        <v>317</v>
      </c>
      <c r="W320" s="8">
        <f>IF((U320&gt;U319), (EXP(-LN(2)/inputs!$C$51)*W319+$W$3), (EXP(-LN(2)/inputs!$C$51)*W319))</f>
        <v>2.5208009450572064E-16</v>
      </c>
      <c r="X320" s="8">
        <f>IF((U320&gt;U319), (EXP(-LN(2)/inputs!$C$51)*X319+$X$3), (EXP(-LN(2)/inputs!$C$51)*X319))</f>
        <v>1.0676333414359933E-16</v>
      </c>
      <c r="Y320" s="8">
        <f>IF((U320&gt;U319), (EXP(-LN(2)/inputs!$C$51)*Y319+$Y$3), (EXP(-LN(2)/inputs!$C$51)*Y319))</f>
        <v>1.3345416767949933E-16</v>
      </c>
      <c r="Z320" s="8">
        <f>IF((U320&gt;U319), (EXP(-LN(2)/inputs!$C$51)*Z319+$Z$3), (EXP(-LN(2)/inputs!$C$51)*Z319))</f>
        <v>2.0759537194588757E-17</v>
      </c>
      <c r="AA320" s="8">
        <f>IF((U320&gt;U319), (EXP(-LN(2)/inputs!$C$51)*AA319+$AA$3), (EXP(-LN(2)/inputs!$C$51)*AA319))</f>
        <v>1.9276713109261005E-16</v>
      </c>
      <c r="AB320" s="7">
        <f>(((0.621*15^0.564)/0.2))*W320/15+AB319*inputs!$C$53</f>
        <v>2.7125447687723662E-16</v>
      </c>
      <c r="AC320" s="7">
        <f>(((0.621*1000^0.564)/0.2))*W320/1000+AC319*inputs!$C$53</f>
        <v>4.3466303050174719E-17</v>
      </c>
      <c r="AD320" s="7">
        <f>(((0.648*20^0.651)/0.2))*AA320/20+AD319*inputs!$C$54</f>
        <v>2.9036168976750498E-16</v>
      </c>
      <c r="AE320" s="7">
        <f>(((0.013*2^0.773)/0.2))*AA320/2+AE319*inputs!$C$54</f>
        <v>1.4159024102172433E-17</v>
      </c>
    </row>
    <row r="321" spans="1:31" x14ac:dyDescent="0.3">
      <c r="A321" s="7">
        <f>IF(A320&lt;(inputs!$C$20-1),(1+A320),0)</f>
        <v>0</v>
      </c>
      <c r="B321" s="7">
        <f>IF(inputs!$C$19&gt;B320,IF(A320=(inputs!$C$20-1),(B320+1),B320), B320)</f>
        <v>1</v>
      </c>
      <c r="C321" s="7">
        <f t="shared" si="9"/>
        <v>318</v>
      </c>
      <c r="D321" s="8">
        <f>IF((B321&gt;B320), (EXP(-LN(2)/inputs!$C$51)*D320+$D$3), (EXP(-LN(2)/inputs!$C$51)*D320))</f>
        <v>6.2450045135165174E-16</v>
      </c>
      <c r="E321" s="8">
        <f>IF((B321&gt;B320), (EXP(-LN(2)/inputs!$C$51)*E320+$E$3), (EXP(-LN(2)/inputs!$C$51)*E320))</f>
        <v>2.8622937353617337E-16</v>
      </c>
      <c r="F321" s="8">
        <f>IF((B321&gt;B320), (EXP(-LN(2)/inputs!$C$51)*F320+$F$3), (EXP(-LN(2)/inputs!$C$51)*F320))</f>
        <v>3.5128150388530393E-16</v>
      </c>
      <c r="G321" s="8">
        <f>IF((B321&gt;B320), (EXP(-LN(2)/inputs!$C$51)*G320+$G$3), (EXP(-LN(2)/inputs!$C$51)*G320))</f>
        <v>3.9031278209478234E-17</v>
      </c>
      <c r="H321" s="8">
        <f>IF((B321&gt;B320), (EXP(-LN(2)/inputs!$C$51)*H320+$H$3), (EXP(-LN(2)/inputs!$C$51)*H320))</f>
        <v>2.4459601011272975E-16</v>
      </c>
      <c r="I321" s="7">
        <f>O321*(10^inputs!$C$55)*0.01/1</f>
        <v>8.6962569971235165E-2</v>
      </c>
      <c r="J321" s="7">
        <f>(((0.621*15^0.564)/0.2))*D321/15+J320*inputs!$C$53</f>
        <v>6.7200285517643747E-16</v>
      </c>
      <c r="K321" s="7">
        <f>(((0.621*1000^0.564)/0.2))*D321/1000+K320*inputs!$C$53</f>
        <v>1.0768294072027879E-16</v>
      </c>
      <c r="L321" s="7">
        <f>(((0.648*20^0.651)/0.2))*H321/20+L320*inputs!$C$54</f>
        <v>3.6843060538469896E-16</v>
      </c>
      <c r="M321" s="7">
        <f>(((0.013*2^0.773)/0.2))*H321/2+M320*inputs!$C$54</f>
        <v>1.796593009841251E-17</v>
      </c>
      <c r="N321" s="7">
        <f>O321*0.015*inputs!$C$56</f>
        <v>1.2776505903065137E-2</v>
      </c>
      <c r="O321" s="7">
        <f>IF((B321&gt;B320), (EXP(-LN(2)/inputs!$C$52)*O320+$O$3), (EXP(-LN(2)/inputs!$C$52)*O320))</f>
        <v>1.3782638514633374E-3</v>
      </c>
      <c r="P321" s="3">
        <f>IF((B321&gt;B320), (EXP(-LN(2)/inputs!$C$52)*P320+$P$3), (EXP(-LN(2)/inputs!$C$52)*P320))</f>
        <v>1.3318231426412259E-3</v>
      </c>
      <c r="Q321" s="19">
        <f>IF((F321*0.62*1/(0.012*(10^inputs!$C$55)))&gt;inputs!$C$57, inputs!$C$57, (F321*0.62*1/(0.012*(10^inputs!$C$55))))</f>
        <v>2.8765089314174859E-18</v>
      </c>
      <c r="R321" s="3">
        <f>IF((B321&gt;B320), (EXP(-LN(2)/inputs!$C$51)*R320+$R$3), (EXP(-LN(2)/inputs!$C$51)*R320))</f>
        <v>6.683407760704017E-24</v>
      </c>
      <c r="T321" s="7">
        <f>IF(T320&lt;(inputs!$C$20-1),(1+T320),0)</f>
        <v>0</v>
      </c>
      <c r="U321" s="7">
        <f>IF(inputs!$C$19&gt;U320,IF(T320=(inputs!$C$20-1),(U320+1),U320), U320)</f>
        <v>1</v>
      </c>
      <c r="V321" s="7">
        <f t="shared" si="8"/>
        <v>318</v>
      </c>
      <c r="W321" s="8">
        <f>IF((U321&gt;U320), (EXP(-LN(2)/inputs!$C$51)*W320+$W$3), (EXP(-LN(2)/inputs!$C$51)*W320))</f>
        <v>2.211772431870429E-16</v>
      </c>
      <c r="X321" s="8">
        <f>IF((U321&gt;U320), (EXP(-LN(2)/inputs!$C$51)*X320+$X$3), (EXP(-LN(2)/inputs!$C$51)*X320))</f>
        <v>9.3675067702747583E-17</v>
      </c>
      <c r="Y321" s="8">
        <f>IF((U321&gt;U320), (EXP(-LN(2)/inputs!$C$51)*Y320+$Y$3), (EXP(-LN(2)/inputs!$C$51)*Y320))</f>
        <v>1.1709383462843463E-16</v>
      </c>
      <c r="Z321" s="8">
        <f>IF((U321&gt;U320), (EXP(-LN(2)/inputs!$C$51)*Z320+$Z$3), (EXP(-LN(2)/inputs!$C$51)*Z320))</f>
        <v>1.8214596497756474E-17</v>
      </c>
      <c r="AA321" s="8">
        <f>IF((U321&gt;U320), (EXP(-LN(2)/inputs!$C$51)*AA320+$AA$3), (EXP(-LN(2)/inputs!$C$51)*AA320))</f>
        <v>1.6913553890773881E-16</v>
      </c>
      <c r="AB321" s="7">
        <f>(((0.621*15^0.564)/0.2))*W321/15+AB320*inputs!$C$53</f>
        <v>2.3800101120832116E-16</v>
      </c>
      <c r="AC321" s="7">
        <f>(((0.621*1000^0.564)/0.2))*W321/1000+AC320*inputs!$C$53</f>
        <v>3.8137708171765322E-17</v>
      </c>
      <c r="AD321" s="7">
        <f>(((0.648*20^0.651)/0.2))*AA321/20+AD320*inputs!$C$54</f>
        <v>2.5476584414899422E-16</v>
      </c>
      <c r="AE321" s="7">
        <f>(((0.013*2^0.773)/0.2))*AA321/2+AE320*inputs!$C$54</f>
        <v>1.2423249536136321E-17</v>
      </c>
    </row>
    <row r="322" spans="1:31" x14ac:dyDescent="0.3">
      <c r="A322" s="7">
        <f>IF(A321&lt;(inputs!$C$20-1),(1+A321),0)</f>
        <v>0</v>
      </c>
      <c r="B322" s="7">
        <f>IF(inputs!$C$19&gt;B321,IF(A321=(inputs!$C$20-1),(B321+1),B321), B321)</f>
        <v>1</v>
      </c>
      <c r="C322" s="7">
        <f t="shared" si="9"/>
        <v>319</v>
      </c>
      <c r="D322" s="8">
        <f>IF((B322&gt;B321), (EXP(-LN(2)/inputs!$C$51)*D321+$D$3), (EXP(-LN(2)/inputs!$C$51)*D321))</f>
        <v>5.4794206765853048E-16</v>
      </c>
      <c r="E322" s="8">
        <f>IF((B322&gt;B321), (EXP(-LN(2)/inputs!$C$51)*E321+$E$3), (EXP(-LN(2)/inputs!$C$51)*E321))</f>
        <v>2.5114011434349285E-16</v>
      </c>
      <c r="F322" s="8">
        <f>IF((B322&gt;B321), (EXP(-LN(2)/inputs!$C$51)*F321+$F$3), (EXP(-LN(2)/inputs!$C$51)*F321))</f>
        <v>3.0821741305792324E-16</v>
      </c>
      <c r="G322" s="8">
        <f>IF((B322&gt;B321), (EXP(-LN(2)/inputs!$C$51)*G321+$G$3), (EXP(-LN(2)/inputs!$C$51)*G321))</f>
        <v>3.4246379228658155E-17</v>
      </c>
      <c r="H322" s="8">
        <f>IF((B322&gt;B321), (EXP(-LN(2)/inputs!$C$51)*H321+$H$3), (EXP(-LN(2)/inputs!$C$51)*H321))</f>
        <v>2.1461064316625731E-16</v>
      </c>
      <c r="I322" s="7">
        <f>O322*(10^inputs!$C$55)*0.01/1</f>
        <v>8.520764109965677E-2</v>
      </c>
      <c r="J322" s="7">
        <f>(((0.621*15^0.564)/0.2))*D322/15+J321*inputs!$C$53</f>
        <v>5.8962108536647303E-16</v>
      </c>
      <c r="K322" s="7">
        <f>(((0.621*1000^0.564)/0.2))*D322/1000+K321*inputs!$C$53</f>
        <v>9.4481938423124987E-17</v>
      </c>
      <c r="L322" s="7">
        <f>(((0.648*20^0.651)/0.2))*H322/20+L321*inputs!$C$54</f>
        <v>3.2326418222154274E-16</v>
      </c>
      <c r="M322" s="7">
        <f>(((0.013*2^0.773)/0.2))*H322/2+M321*inputs!$C$54</f>
        <v>1.5763461602351233E-17</v>
      </c>
      <c r="N322" s="7">
        <f>O322*0.015*inputs!$C$56</f>
        <v>1.2518672457082602E-2</v>
      </c>
      <c r="O322" s="7">
        <f>IF((B322&gt;B321), (EXP(-LN(2)/inputs!$C$52)*O321+$O$3), (EXP(-LN(2)/inputs!$C$52)*O321))</f>
        <v>1.3504501032451568E-3</v>
      </c>
      <c r="P322" s="3">
        <f>IF((B322&gt;B321), (EXP(-LN(2)/inputs!$C$52)*P321+$P$3), (EXP(-LN(2)/inputs!$C$52)*P321))</f>
        <v>1.3049465808557305E-3</v>
      </c>
      <c r="Q322" s="19">
        <f>IF((F322*0.62*1/(0.012*(10^inputs!$C$55)))&gt;inputs!$C$57, inputs!$C$57, (F322*0.62*1/(0.012*(10^inputs!$C$55))))</f>
        <v>2.5238736787262984E-18</v>
      </c>
      <c r="R322" s="3">
        <f>IF((B322&gt;B321), (EXP(-LN(2)/inputs!$C$51)*R321+$R$3), (EXP(-LN(2)/inputs!$C$51)*R321))</f>
        <v>5.8640794565945225E-24</v>
      </c>
      <c r="T322" s="7">
        <f>IF(T321&lt;(inputs!$C$20-1),(1+T321),0)</f>
        <v>0</v>
      </c>
      <c r="U322" s="7">
        <f>IF(inputs!$C$19&gt;U321,IF(T321=(inputs!$C$20-1),(U321+1),U321), U321)</f>
        <v>1</v>
      </c>
      <c r="V322" s="7">
        <f t="shared" si="8"/>
        <v>319</v>
      </c>
      <c r="W322" s="8">
        <f>IF((U322&gt;U321), (EXP(-LN(2)/inputs!$C$51)*W321+$W$3), (EXP(-LN(2)/inputs!$C$51)*W321))</f>
        <v>1.9406281562906251E-16</v>
      </c>
      <c r="X322" s="8">
        <f>IF((U322&gt;U321), (EXP(-LN(2)/inputs!$C$51)*X321+$X$3), (EXP(-LN(2)/inputs!$C$51)*X321))</f>
        <v>8.2191310148779422E-17</v>
      </c>
      <c r="Y322" s="8">
        <f>IF((U322&gt;U321), (EXP(-LN(2)/inputs!$C$51)*Y321+$Y$3), (EXP(-LN(2)/inputs!$C$51)*Y321))</f>
        <v>1.027391376859744E-16</v>
      </c>
      <c r="Z322" s="8">
        <f>IF((U322&gt;U321), (EXP(-LN(2)/inputs!$C$51)*Z321+$Z$3), (EXP(-LN(2)/inputs!$C$51)*Z321))</f>
        <v>1.5981643640040441E-17</v>
      </c>
      <c r="AA322" s="8">
        <f>IF((U322&gt;U321), (EXP(-LN(2)/inputs!$C$51)*AA321+$AA$3), (EXP(-LN(2)/inputs!$C$51)*AA321))</f>
        <v>1.484009766575185E-16</v>
      </c>
      <c r="AB322" s="7">
        <f>(((0.621*15^0.564)/0.2))*W322/15+AB321*inputs!$C$53</f>
        <v>2.0882413440062546E-16</v>
      </c>
      <c r="AC322" s="7">
        <f>(((0.621*1000^0.564)/0.2))*W322/1000+AC321*inputs!$C$53</f>
        <v>3.3462353191523365E-17</v>
      </c>
      <c r="AD322" s="7">
        <f>(((0.648*20^0.651)/0.2))*AA322/20+AD321*inputs!$C$54</f>
        <v>2.2353374302553511E-16</v>
      </c>
      <c r="AE322" s="7">
        <f>(((0.013*2^0.773)/0.2))*AA322/2+AE321*inputs!$C$54</f>
        <v>1.0900266001625862E-17</v>
      </c>
    </row>
    <row r="323" spans="1:31" x14ac:dyDescent="0.3">
      <c r="A323" s="7">
        <f>IF(A322&lt;(inputs!$C$20-1),(1+A322),0)</f>
        <v>0</v>
      </c>
      <c r="B323" s="7">
        <f>IF(inputs!$C$19&gt;B322,IF(A322=(inputs!$C$20-1),(B322+1),B322), B322)</f>
        <v>1</v>
      </c>
      <c r="C323" s="7">
        <f t="shared" si="9"/>
        <v>320</v>
      </c>
      <c r="D323" s="8">
        <f>IF((B323&gt;B322), (EXP(-LN(2)/inputs!$C$51)*D322+$D$3), (EXP(-LN(2)/inputs!$C$51)*D322))</f>
        <v>4.8076908328900841E-16</v>
      </c>
      <c r="E323" s="8">
        <f>IF((B323&gt;B322), (EXP(-LN(2)/inputs!$C$51)*E322+$E$3), (EXP(-LN(2)/inputs!$C$51)*E322))</f>
        <v>2.2035249650746193E-16</v>
      </c>
      <c r="F323" s="8">
        <f>IF((B323&gt;B322), (EXP(-LN(2)/inputs!$C$51)*F322+$F$3), (EXP(-LN(2)/inputs!$C$51)*F322))</f>
        <v>2.7043260935006708E-16</v>
      </c>
      <c r="G323" s="8">
        <f>IF((B323&gt;B322), (EXP(-LN(2)/inputs!$C$51)*G322+$G$3), (EXP(-LN(2)/inputs!$C$51)*G322))</f>
        <v>3.0048067705563026E-17</v>
      </c>
      <c r="H323" s="8">
        <f>IF((B323&gt;B322), (EXP(-LN(2)/inputs!$C$51)*H322+$H$3), (EXP(-LN(2)/inputs!$C$51)*H322))</f>
        <v>1.8830122428819456E-16</v>
      </c>
      <c r="I323" s="7">
        <f>O323*(10^inputs!$C$55)*0.01/1</f>
        <v>8.3488127181262459E-2</v>
      </c>
      <c r="J323" s="7">
        <f>(((0.621*15^0.564)/0.2))*D323/15+J322*inputs!$C$53</f>
        <v>5.1733861192815877E-16</v>
      </c>
      <c r="K323" s="7">
        <f>(((0.621*1000^0.564)/0.2))*D323/1000+K322*inputs!$C$53</f>
        <v>8.2899265459139564E-17</v>
      </c>
      <c r="L323" s="7">
        <f>(((0.648*20^0.651)/0.2))*H323/20+L322*inputs!$C$54</f>
        <v>2.8363477403905901E-16</v>
      </c>
      <c r="M323" s="7">
        <f>(((0.013*2^0.773)/0.2))*H323/2+M322*inputs!$C$54</f>
        <v>1.3830996799367391E-17</v>
      </c>
      <c r="N323" s="7">
        <f>O323*0.015*inputs!$C$56</f>
        <v>1.2266042161818393E-2</v>
      </c>
      <c r="O323" s="7">
        <f>IF((B323&gt;B322), (EXP(-LN(2)/inputs!$C$52)*O322+$O$3), (EXP(-LN(2)/inputs!$C$52)*O322))</f>
        <v>1.3231976442091039E-3</v>
      </c>
      <c r="P323" s="3">
        <f>IF((B323&gt;B322), (EXP(-LN(2)/inputs!$C$52)*P322+$P$3), (EXP(-LN(2)/inputs!$C$52)*P322))</f>
        <v>1.2786123955692476E-3</v>
      </c>
      <c r="Q323" s="19">
        <f>IF((F323*0.62*1/(0.012*(10^inputs!$C$55)))&gt;inputs!$C$57, inputs!$C$57, (F323*0.62*1/(0.012*(10^inputs!$C$55))))</f>
        <v>2.2144684748218186E-18</v>
      </c>
      <c r="R323" s="3">
        <f>IF((B323&gt;B322), (EXP(-LN(2)/inputs!$C$51)*R322+$R$3), (EXP(-LN(2)/inputs!$C$51)*R322))</f>
        <v>5.1451937551138748E-24</v>
      </c>
      <c r="T323" s="7">
        <f>IF(T322&lt;(inputs!$C$20-1),(1+T322),0)</f>
        <v>0</v>
      </c>
      <c r="U323" s="7">
        <f>IF(inputs!$C$19&gt;U322,IF(T322=(inputs!$C$20-1),(U322+1),U322), U322)</f>
        <v>1</v>
      </c>
      <c r="V323" s="7">
        <f t="shared" si="8"/>
        <v>320</v>
      </c>
      <c r="W323" s="8">
        <f>IF((U323&gt;U322), (EXP(-LN(2)/inputs!$C$51)*W322+$W$3), (EXP(-LN(2)/inputs!$C$51)*W322))</f>
        <v>1.7027238366485683E-16</v>
      </c>
      <c r="X323" s="8">
        <f>IF((U323&gt;U322), (EXP(-LN(2)/inputs!$C$51)*X322+$X$3), (EXP(-LN(2)/inputs!$C$51)*X322))</f>
        <v>7.2115362493351133E-17</v>
      </c>
      <c r="Y323" s="8">
        <f>IF((U323&gt;U322), (EXP(-LN(2)/inputs!$C$51)*Y322+$Y$3), (EXP(-LN(2)/inputs!$C$51)*Y322))</f>
        <v>9.0144203116689021E-17</v>
      </c>
      <c r="Z323" s="8">
        <f>IF((U323&gt;U322), (EXP(-LN(2)/inputs!$C$51)*Z322+$Z$3), (EXP(-LN(2)/inputs!$C$51)*Z322))</f>
        <v>1.4022431595929384E-17</v>
      </c>
      <c r="AA323" s="8">
        <f>IF((U323&gt;U322), (EXP(-LN(2)/inputs!$C$51)*AA322+$AA$3), (EXP(-LN(2)/inputs!$C$51)*AA322))</f>
        <v>1.3020829339077294E-16</v>
      </c>
      <c r="AB323" s="7">
        <f>(((0.621*15^0.564)/0.2))*W323/15+AB322*inputs!$C$53</f>
        <v>1.8322409172455589E-16</v>
      </c>
      <c r="AC323" s="7">
        <f>(((0.621*1000^0.564)/0.2))*W323/1000+AC322*inputs!$C$53</f>
        <v>2.9360156516778547E-17</v>
      </c>
      <c r="AD323" s="7">
        <f>(((0.648*20^0.651)/0.2))*AA323/20+AD322*inputs!$C$54</f>
        <v>1.9613042885679633E-16</v>
      </c>
      <c r="AE323" s="7">
        <f>(((0.013*2^0.773)/0.2))*AA323/2+AE322*inputs!$C$54</f>
        <v>9.563987148498737E-18</v>
      </c>
    </row>
    <row r="324" spans="1:31" x14ac:dyDescent="0.3">
      <c r="A324" s="7">
        <f>IF(A323&lt;(inputs!$C$20-1),(1+A323),0)</f>
        <v>0</v>
      </c>
      <c r="B324" s="7">
        <f>IF(inputs!$C$19&gt;B323,IF(A323=(inputs!$C$20-1),(B323+1),B323), B323)</f>
        <v>1</v>
      </c>
      <c r="C324" s="7">
        <f t="shared" si="9"/>
        <v>321</v>
      </c>
      <c r="D324" s="8">
        <f>IF((B324&gt;B323), (EXP(-LN(2)/inputs!$C$51)*D323+$D$3), (EXP(-LN(2)/inputs!$C$51)*D323))</f>
        <v>4.2183092901455399E-16</v>
      </c>
      <c r="E324" s="8">
        <f>IF((B324&gt;B323), (EXP(-LN(2)/inputs!$C$51)*E323+$E$3), (EXP(-LN(2)/inputs!$C$51)*E323))</f>
        <v>1.93339175798337E-16</v>
      </c>
      <c r="F324" s="8">
        <f>IF((B324&gt;B323), (EXP(-LN(2)/inputs!$C$51)*F323+$F$3), (EXP(-LN(2)/inputs!$C$51)*F323))</f>
        <v>2.3727989757068647E-16</v>
      </c>
      <c r="G324" s="8">
        <f>IF((B324&gt;B323), (EXP(-LN(2)/inputs!$C$51)*G323+$G$3), (EXP(-LN(2)/inputs!$C$51)*G323))</f>
        <v>2.6364433063409625E-17</v>
      </c>
      <c r="H324" s="8">
        <f>IF((B324&gt;B323), (EXP(-LN(2)/inputs!$C$51)*H323+$H$3), (EXP(-LN(2)/inputs!$C$51)*H323))</f>
        <v>1.652171138640333E-16</v>
      </c>
      <c r="I324" s="7">
        <f>O324*(10^inputs!$C$55)*0.01/1</f>
        <v>8.1803313532437805E-2</v>
      </c>
      <c r="J324" s="7">
        <f>(((0.621*15^0.564)/0.2))*D324/15+J323*inputs!$C$53</f>
        <v>4.5391734799545984E-16</v>
      </c>
      <c r="K324" s="7">
        <f>(((0.621*1000^0.564)/0.2))*D324/1000+K323*inputs!$C$53</f>
        <v>7.2736528572140963E-17</v>
      </c>
      <c r="L324" s="7">
        <f>(((0.648*20^0.651)/0.2))*H324/20+L323*inputs!$C$54</f>
        <v>2.4886359042726902E-16</v>
      </c>
      <c r="M324" s="7">
        <f>(((0.013*2^0.773)/0.2))*H324/2+M323*inputs!$C$54</f>
        <v>1.2135435559127305E-17</v>
      </c>
      <c r="N324" s="7">
        <f>O324*0.015*inputs!$C$56</f>
        <v>1.2018510016242507E-2</v>
      </c>
      <c r="O324" s="7">
        <f>IF((B324&gt;B323), (EXP(-LN(2)/inputs!$C$52)*O323+$O$3), (EXP(-LN(2)/inputs!$C$52)*O323))</f>
        <v>1.2964951473832262E-3</v>
      </c>
      <c r="P324" s="3">
        <f>IF((B324&gt;B323), (EXP(-LN(2)/inputs!$C$52)*P323+$P$3), (EXP(-LN(2)/inputs!$C$52)*P323))</f>
        <v>1.2528096414730348E-3</v>
      </c>
      <c r="Q324" s="19">
        <f>IF((F324*0.62*1/(0.012*(10^inputs!$C$55)))&gt;inputs!$C$57, inputs!$C$57, (F324*0.62*1/(0.012*(10^inputs!$C$55))))</f>
        <v>1.9429936875661964E-18</v>
      </c>
      <c r="R324" s="3">
        <f>IF((B324&gt;B323), (EXP(-LN(2)/inputs!$C$51)*R323+$R$3), (EXP(-LN(2)/inputs!$C$51)*R323))</f>
        <v>4.5144372571371377E-24</v>
      </c>
      <c r="T324" s="7">
        <f>IF(T323&lt;(inputs!$C$20-1),(1+T323),0)</f>
        <v>0</v>
      </c>
      <c r="U324" s="7">
        <f>IF(inputs!$C$19&gt;U323,IF(T323=(inputs!$C$20-1),(U323+1),U323), U323)</f>
        <v>1</v>
      </c>
      <c r="V324" s="7">
        <f t="shared" ref="V324:V368" si="10">V323+1</f>
        <v>321</v>
      </c>
      <c r="W324" s="8">
        <f>IF((U324&gt;U323), (EXP(-LN(2)/inputs!$C$51)*W323+$W$3), (EXP(-LN(2)/inputs!$C$51)*W323))</f>
        <v>1.493984540259876E-16</v>
      </c>
      <c r="X324" s="8">
        <f>IF((U324&gt;U323), (EXP(-LN(2)/inputs!$C$51)*X323+$X$3), (EXP(-LN(2)/inputs!$C$51)*X323))</f>
        <v>6.3274639352182981E-17</v>
      </c>
      <c r="Y324" s="8">
        <f>IF((U324&gt;U323), (EXP(-LN(2)/inputs!$C$51)*Y323+$Y$3), (EXP(-LN(2)/inputs!$C$51)*Y323))</f>
        <v>7.9093299190228825E-17</v>
      </c>
      <c r="Z324" s="8">
        <f>IF((U324&gt;U323), (EXP(-LN(2)/inputs!$C$51)*Z323+$Z$3), (EXP(-LN(2)/inputs!$C$51)*Z323))</f>
        <v>1.2303402096257799E-17</v>
      </c>
      <c r="AA324" s="8">
        <f>IF((U324&gt;U323), (EXP(-LN(2)/inputs!$C$51)*AA323+$AA$3), (EXP(-LN(2)/inputs!$C$51)*AA323))</f>
        <v>1.1424587660810823E-16</v>
      </c>
      <c r="AB324" s="7">
        <f>(((0.621*15^0.564)/0.2))*W324/15+AB323*inputs!$C$53</f>
        <v>1.6076239408172507E-16</v>
      </c>
      <c r="AC324" s="7">
        <f>(((0.621*1000^0.564)/0.2))*W324/1000+AC323*inputs!$C$53</f>
        <v>2.5760853869299877E-17</v>
      </c>
      <c r="AD324" s="7">
        <f>(((0.648*20^0.651)/0.2))*AA324/20+AD323*inputs!$C$54</f>
        <v>1.7208652529545214E-16</v>
      </c>
      <c r="AE324" s="7">
        <f>(((0.013*2^0.773)/0.2))*AA324/2+AE323*inputs!$C$54</f>
        <v>8.3915245887582502E-18</v>
      </c>
    </row>
    <row r="325" spans="1:31" x14ac:dyDescent="0.3">
      <c r="A325" s="7">
        <f>IF(A324&lt;(inputs!$C$20-1),(1+A324),0)</f>
        <v>0</v>
      </c>
      <c r="B325" s="7">
        <f>IF(inputs!$C$19&gt;B324,IF(A324=(inputs!$C$20-1),(B324+1),B324), B324)</f>
        <v>1</v>
      </c>
      <c r="C325" s="7">
        <f t="shared" ref="C325:C368" si="11">C324+1</f>
        <v>322</v>
      </c>
      <c r="D325" s="8">
        <f>IF((B325&gt;B324), (EXP(-LN(2)/inputs!$C$51)*D324+$D$3), (EXP(-LN(2)/inputs!$C$51)*D324))</f>
        <v>3.701180854974288E-16</v>
      </c>
      <c r="E325" s="8">
        <f>IF((B325&gt;B324), (EXP(-LN(2)/inputs!$C$51)*E324+$E$3), (EXP(-LN(2)/inputs!$C$51)*E324))</f>
        <v>1.69637455852988E-16</v>
      </c>
      <c r="F325" s="8">
        <f>IF((B325&gt;B324), (EXP(-LN(2)/inputs!$C$51)*F324+$F$3), (EXP(-LN(2)/inputs!$C$51)*F324))</f>
        <v>2.0819142309230357E-16</v>
      </c>
      <c r="G325" s="8">
        <f>IF((B325&gt;B324), (EXP(-LN(2)/inputs!$C$51)*G324+$G$3), (EXP(-LN(2)/inputs!$C$51)*G324))</f>
        <v>2.31323803435893E-17</v>
      </c>
      <c r="H325" s="8">
        <f>IF((B325&gt;B324), (EXP(-LN(2)/inputs!$C$51)*H324+$H$3), (EXP(-LN(2)/inputs!$C$51)*H324))</f>
        <v>1.4496291681982597E-16</v>
      </c>
      <c r="I325" s="7">
        <f>O325*(10^inputs!$C$55)*0.01/1</f>
        <v>8.0152499892082632E-2</v>
      </c>
      <c r="J325" s="7">
        <f>(((0.621*15^0.564)/0.2))*D325/15+J324*inputs!$C$53</f>
        <v>3.9827098550270909E-16</v>
      </c>
      <c r="K325" s="7">
        <f>(((0.621*1000^0.564)/0.2))*D325/1000+K324*inputs!$C$53</f>
        <v>6.3819655812675144E-17</v>
      </c>
      <c r="L325" s="7">
        <f>(((0.648*20^0.651)/0.2))*H325/20+L324*inputs!$C$54</f>
        <v>2.1835505484183954E-16</v>
      </c>
      <c r="M325" s="7">
        <f>(((0.013*2^0.773)/0.2))*H325/2+M324*inputs!$C$54</f>
        <v>1.0647735542565325E-17</v>
      </c>
      <c r="N325" s="7">
        <f>O325*0.015*inputs!$C$56</f>
        <v>1.1775973138274953E-2</v>
      </c>
      <c r="O325" s="7">
        <f>IF((B325&gt;B324), (EXP(-LN(2)/inputs!$C$52)*O324+$O$3), (EXP(-LN(2)/inputs!$C$52)*O324))</f>
        <v>1.2703315143770177E-3</v>
      </c>
      <c r="P325" s="3">
        <f>IF((B325&gt;B324), (EXP(-LN(2)/inputs!$C$52)*P324+$P$3), (EXP(-LN(2)/inputs!$C$52)*P324))</f>
        <v>1.2275275941377266E-3</v>
      </c>
      <c r="Q325" s="19">
        <f>IF((F325*0.62*1/(0.012*(10^inputs!$C$55)))&gt;inputs!$C$57, inputs!$C$57, (F325*0.62*1/(0.012*(10^inputs!$C$55))))</f>
        <v>1.704799374136879E-18</v>
      </c>
      <c r="R325" s="3">
        <f>IF((B325&gt;B324), (EXP(-LN(2)/inputs!$C$51)*R324+$R$3), (EXP(-LN(2)/inputs!$C$51)*R324))</f>
        <v>3.9610060803583527E-24</v>
      </c>
      <c r="T325" s="7">
        <f>IF(T324&lt;(inputs!$C$20-1),(1+T324),0)</f>
        <v>0</v>
      </c>
      <c r="U325" s="7">
        <f>IF(inputs!$C$19&gt;U324,IF(T324=(inputs!$C$20-1),(U324+1),U324), U324)</f>
        <v>1</v>
      </c>
      <c r="V325" s="7">
        <f t="shared" si="10"/>
        <v>322</v>
      </c>
      <c r="W325" s="8">
        <f>IF((U325&gt;U324), (EXP(-LN(2)/inputs!$C$51)*W324+$W$3), (EXP(-LN(2)/inputs!$C$51)*W324))</f>
        <v>1.3108348861367245E-16</v>
      </c>
      <c r="X325" s="8">
        <f>IF((U325&gt;U324), (EXP(-LN(2)/inputs!$C$51)*X324+$X$3), (EXP(-LN(2)/inputs!$C$51)*X324))</f>
        <v>5.5517712824614222E-17</v>
      </c>
      <c r="Y325" s="8">
        <f>IF((U325&gt;U324), (EXP(-LN(2)/inputs!$C$51)*Y324+$Y$3), (EXP(-LN(2)/inputs!$C$51)*Y324))</f>
        <v>6.9397141030767851E-17</v>
      </c>
      <c r="Z325" s="8">
        <f>IF((U325&gt;U324), (EXP(-LN(2)/inputs!$C$51)*Z324+$Z$3), (EXP(-LN(2)/inputs!$C$51)*Z324))</f>
        <v>1.0795110827008317E-17</v>
      </c>
      <c r="AA325" s="8">
        <f>IF((U325&gt;U324), (EXP(-LN(2)/inputs!$C$51)*AA324+$AA$3), (EXP(-LN(2)/inputs!$C$51)*AA324))</f>
        <v>1.0024031482222017E-16</v>
      </c>
      <c r="AB325" s="7">
        <f>(((0.621*15^0.564)/0.2))*W325/15+AB324*inputs!$C$53</f>
        <v>1.4105430736554254E-16</v>
      </c>
      <c r="AC325" s="7">
        <f>(((0.621*1000^0.564)/0.2))*W325/1000+AC324*inputs!$C$53</f>
        <v>2.2602794766989072E-17</v>
      </c>
      <c r="AD325" s="7">
        <f>(((0.648*20^0.651)/0.2))*AA325/20+AD324*inputs!$C$54</f>
        <v>1.5099019749701683E-16</v>
      </c>
      <c r="AE325" s="7">
        <f>(((0.013*2^0.773)/0.2))*AA325/2+AE324*inputs!$C$54</f>
        <v>7.3627958539015608E-18</v>
      </c>
    </row>
    <row r="326" spans="1:31" x14ac:dyDescent="0.3">
      <c r="A326" s="7">
        <f>IF(A325&lt;(inputs!$C$20-1),(1+A325),0)</f>
        <v>0</v>
      </c>
      <c r="B326" s="7">
        <f>IF(inputs!$C$19&gt;B325,IF(A325=(inputs!$C$20-1),(B325+1),B325), B325)</f>
        <v>1</v>
      </c>
      <c r="C326" s="7">
        <f t="shared" si="11"/>
        <v>323</v>
      </c>
      <c r="D326" s="8">
        <f>IF((B326&gt;B325), (EXP(-LN(2)/inputs!$C$51)*D325+$D$3), (EXP(-LN(2)/inputs!$C$51)*D325))</f>
        <v>3.2474479178731742E-16</v>
      </c>
      <c r="E326" s="8">
        <f>IF((B326&gt;B325), (EXP(-LN(2)/inputs!$C$51)*E325+$E$3), (EXP(-LN(2)/inputs!$C$51)*E325))</f>
        <v>1.4884136290252031E-16</v>
      </c>
      <c r="F326" s="8">
        <f>IF((B326&gt;B325), (EXP(-LN(2)/inputs!$C$51)*F325+$F$3), (EXP(-LN(2)/inputs!$C$51)*F325))</f>
        <v>1.8266894538036594E-16</v>
      </c>
      <c r="G326" s="8">
        <f>IF((B326&gt;B325), (EXP(-LN(2)/inputs!$C$51)*G325+$G$3), (EXP(-LN(2)/inputs!$C$51)*G325))</f>
        <v>2.0296549486707339E-17</v>
      </c>
      <c r="H326" s="8">
        <f>IF((B326&gt;B325), (EXP(-LN(2)/inputs!$C$51)*H325+$H$3), (EXP(-LN(2)/inputs!$C$51)*H325))</f>
        <v>1.2719171011669904E-16</v>
      </c>
      <c r="I326" s="7">
        <f>O326*(10^inputs!$C$55)*0.01/1</f>
        <v>7.8535000130560778E-2</v>
      </c>
      <c r="J326" s="7">
        <f>(((0.621*15^0.564)/0.2))*D326/15+J325*inputs!$C$53</f>
        <v>3.4944638840920804E-16</v>
      </c>
      <c r="K326" s="7">
        <f>(((0.621*1000^0.564)/0.2))*D326/1000+K325*inputs!$C$53</f>
        <v>5.5995914955010837E-17</v>
      </c>
      <c r="L326" s="7">
        <f>(((0.648*20^0.651)/0.2))*H326/20+L325*inputs!$C$54</f>
        <v>1.9158660329991915E-16</v>
      </c>
      <c r="M326" s="7">
        <f>(((0.013*2^0.773)/0.2))*H326/2+M325*inputs!$C$54</f>
        <v>9.3424147515774851E-18</v>
      </c>
      <c r="N326" s="7">
        <f>O326*0.015*inputs!$C$56</f>
        <v>1.1538330722024766E-2</v>
      </c>
      <c r="O326" s="7">
        <f>IF((B326&gt;B325), (EXP(-LN(2)/inputs!$C$52)*O325+$O$3), (EXP(-LN(2)/inputs!$C$52)*O325))</f>
        <v>1.2446958707685832E-3</v>
      </c>
      <c r="P326" s="3">
        <f>IF((B326&gt;B325), (EXP(-LN(2)/inputs!$C$52)*P325+$P$3), (EXP(-LN(2)/inputs!$C$52)*P325))</f>
        <v>1.2027557455559284E-3</v>
      </c>
      <c r="Q326" s="19">
        <f>IF((F326*0.62*1/(0.012*(10^inputs!$C$55)))&gt;inputs!$C$57, inputs!$C$57, (F326*0.62*1/(0.012*(10^inputs!$C$55))))</f>
        <v>1.495805634704862E-18</v>
      </c>
      <c r="R326" s="3">
        <f>IF((B326&gt;B325), (EXP(-LN(2)/inputs!$C$51)*R325+$R$3), (EXP(-LN(2)/inputs!$C$51)*R325))</f>
        <v>3.4754208055126439E-24</v>
      </c>
      <c r="T326" s="7">
        <f>IF(T325&lt;(inputs!$C$20-1),(1+T325),0)</f>
        <v>0</v>
      </c>
      <c r="U326" s="7">
        <f>IF(inputs!$C$19&gt;U325,IF(T325=(inputs!$C$20-1),(U325+1),U325), U325)</f>
        <v>1</v>
      </c>
      <c r="V326" s="7">
        <f t="shared" si="10"/>
        <v>323</v>
      </c>
      <c r="W326" s="8">
        <f>IF((U326&gt;U325), (EXP(-LN(2)/inputs!$C$51)*W325+$W$3), (EXP(-LN(2)/inputs!$C$51)*W325))</f>
        <v>1.1501378042467469E-16</v>
      </c>
      <c r="X326" s="8">
        <f>IF((U326&gt;U325), (EXP(-LN(2)/inputs!$C$51)*X325+$X$3), (EXP(-LN(2)/inputs!$C$51)*X325))</f>
        <v>4.8711718768097528E-17</v>
      </c>
      <c r="Y326" s="8">
        <f>IF((U326&gt;U325), (EXP(-LN(2)/inputs!$C$51)*Y325+$Y$3), (EXP(-LN(2)/inputs!$C$51)*Y325))</f>
        <v>6.088964846012197E-17</v>
      </c>
      <c r="Z326" s="8">
        <f>IF((U326&gt;U325), (EXP(-LN(2)/inputs!$C$51)*Z325+$Z$3), (EXP(-LN(2)/inputs!$C$51)*Z325))</f>
        <v>9.4717230937967385E-18</v>
      </c>
      <c r="AA326" s="8">
        <f>IF((U326&gt;U325), (EXP(-LN(2)/inputs!$C$51)*AA325+$AA$3), (EXP(-LN(2)/inputs!$C$51)*AA325))</f>
        <v>8.7951714442398357E-17</v>
      </c>
      <c r="AB326" s="7">
        <f>(((0.621*15^0.564)/0.2))*W326/15+AB325*inputs!$C$53</f>
        <v>1.2376226256159426E-16</v>
      </c>
      <c r="AC326" s="7">
        <f>(((0.621*1000^0.564)/0.2))*W326/1000+AC325*inputs!$C$53</f>
        <v>1.98318865465663E-17</v>
      </c>
      <c r="AD326" s="7">
        <f>(((0.648*20^0.651)/0.2))*AA326/20+AD325*inputs!$C$54</f>
        <v>1.3248009802653997E-16</v>
      </c>
      <c r="AE326" s="7">
        <f>(((0.013*2^0.773)/0.2))*AA326/2+AE325*inputs!$C$54</f>
        <v>6.4601804133248625E-18</v>
      </c>
    </row>
    <row r="327" spans="1:31" x14ac:dyDescent="0.3">
      <c r="A327" s="7">
        <f>IF(A326&lt;(inputs!$C$20-1),(1+A326),0)</f>
        <v>0</v>
      </c>
      <c r="B327" s="7">
        <f>IF(inputs!$C$19&gt;B326,IF(A326=(inputs!$C$20-1),(B326+1),B326), B326)</f>
        <v>1</v>
      </c>
      <c r="C327" s="7">
        <f t="shared" si="11"/>
        <v>324</v>
      </c>
      <c r="D327" s="8">
        <f>IF((B327&gt;B326), (EXP(-LN(2)/inputs!$C$51)*D326+$D$3), (EXP(-LN(2)/inputs!$C$51)*D326))</f>
        <v>2.8493387360753751E-16</v>
      </c>
      <c r="E327" s="8">
        <f>IF((B327&gt;B326), (EXP(-LN(2)/inputs!$C$51)*E326+$E$3), (EXP(-LN(2)/inputs!$C$51)*E326))</f>
        <v>1.3059469207012123E-16</v>
      </c>
      <c r="F327" s="8">
        <f>IF((B327&gt;B326), (EXP(-LN(2)/inputs!$C$51)*F326+$F$3), (EXP(-LN(2)/inputs!$C$51)*F326))</f>
        <v>1.6027530390423976E-16</v>
      </c>
      <c r="G327" s="8">
        <f>IF((B327&gt;B326), (EXP(-LN(2)/inputs!$C$51)*G326+$G$3), (EXP(-LN(2)/inputs!$C$51)*G326))</f>
        <v>1.7808367100471094E-17</v>
      </c>
      <c r="H327" s="8">
        <f>IF((B327&gt;B326), (EXP(-LN(2)/inputs!$C$51)*H326+$H$3), (EXP(-LN(2)/inputs!$C$51)*H326))</f>
        <v>1.1159910049628528E-16</v>
      </c>
      <c r="I327" s="7">
        <f>O327*(10^inputs!$C$55)*0.01/1</f>
        <v>7.6950141964523114E-2</v>
      </c>
      <c r="J327" s="7">
        <f>(((0.621*15^0.564)/0.2))*D327/15+J326*inputs!$C$53</f>
        <v>3.0660726695444511E-16</v>
      </c>
      <c r="K327" s="7">
        <f>(((0.621*1000^0.564)/0.2))*D327/1000+K326*inputs!$C$53</f>
        <v>4.9131297430564639E-17</v>
      </c>
      <c r="L327" s="7">
        <f>(((0.648*20^0.651)/0.2))*H327/20+L326*inputs!$C$54</f>
        <v>1.6809973366811832E-16</v>
      </c>
      <c r="M327" s="7">
        <f>(((0.013*2^0.773)/0.2))*H327/2+M326*inputs!$C$54</f>
        <v>8.1971150618438766E-18</v>
      </c>
      <c r="N327" s="7">
        <f>O327*0.015*inputs!$C$56</f>
        <v>1.1305483995891912E-2</v>
      </c>
      <c r="O327" s="7">
        <f>IF((B327&gt;B326), (EXP(-LN(2)/inputs!$C$52)*O326+$O$3), (EXP(-LN(2)/inputs!$C$52)*O326))</f>
        <v>1.2195775615848881E-3</v>
      </c>
      <c r="P327" s="3">
        <f>IF((B327&gt;B326), (EXP(-LN(2)/inputs!$C$52)*P326+$P$3), (EXP(-LN(2)/inputs!$C$52)*P326))</f>
        <v>1.1784837997747598E-3</v>
      </c>
      <c r="Q327" s="19">
        <f>IF((F327*0.62*1/(0.012*(10^inputs!$C$55)))&gt;inputs!$C$57, inputs!$C$57, (F327*0.62*1/(0.012*(10^inputs!$C$55))))</f>
        <v>1.3124327300669048E-18</v>
      </c>
      <c r="R327" s="3">
        <f>IF((B327&gt;B326), (EXP(-LN(2)/inputs!$C$51)*R326+$R$3), (EXP(-LN(2)/inputs!$C$51)*R326))</f>
        <v>3.0493641085997542E-24</v>
      </c>
      <c r="T327" s="7">
        <f>IF(T326&lt;(inputs!$C$20-1),(1+T326),0)</f>
        <v>0</v>
      </c>
      <c r="U327" s="7">
        <f>IF(inputs!$C$19&gt;U326,IF(T326=(inputs!$C$20-1),(U326+1),U326), U326)</f>
        <v>1</v>
      </c>
      <c r="V327" s="7">
        <f t="shared" si="10"/>
        <v>324</v>
      </c>
      <c r="W327" s="8">
        <f>IF((U327&gt;U326), (EXP(-LN(2)/inputs!$C$51)*W326+$W$3), (EXP(-LN(2)/inputs!$C$51)*W326))</f>
        <v>1.0091408023600268E-16</v>
      </c>
      <c r="X327" s="8">
        <f>IF((U327&gt;U326), (EXP(-LN(2)/inputs!$C$51)*X326+$X$3), (EXP(-LN(2)/inputs!$C$51)*X326))</f>
        <v>4.2740081041130552E-17</v>
      </c>
      <c r="Y327" s="8">
        <f>IF((U327&gt;U326), (EXP(-LN(2)/inputs!$C$51)*Y326+$Y$3), (EXP(-LN(2)/inputs!$C$51)*Y326))</f>
        <v>5.3425101301413246E-17</v>
      </c>
      <c r="Z327" s="8">
        <f>IF((U327&gt;U326), (EXP(-LN(2)/inputs!$C$51)*Z326+$Z$3), (EXP(-LN(2)/inputs!$C$51)*Z326))</f>
        <v>8.3105713135531614E-18</v>
      </c>
      <c r="AA327" s="8">
        <f>IF((U327&gt;U326), (EXP(-LN(2)/inputs!$C$51)*AA326+$AA$3), (EXP(-LN(2)/inputs!$C$51)*AA326))</f>
        <v>7.7169590768707979E-17</v>
      </c>
      <c r="AB327" s="7">
        <f>(((0.621*15^0.564)/0.2))*W327/15+AB326*inputs!$C$53</f>
        <v>1.0859007371303247E-16</v>
      </c>
      <c r="AC327" s="7">
        <f>(((0.621*1000^0.564)/0.2))*W327/1000+AC326*inputs!$C$53</f>
        <v>1.7400667839991611E-17</v>
      </c>
      <c r="AD327" s="7">
        <f>(((0.648*20^0.651)/0.2))*AA327/20+AD326*inputs!$C$54</f>
        <v>1.1623917753646489E-16</v>
      </c>
      <c r="AE327" s="7">
        <f>(((0.013*2^0.773)/0.2))*AA327/2+AE326*inputs!$C$54</f>
        <v>5.6682178619133237E-18</v>
      </c>
    </row>
    <row r="328" spans="1:31" x14ac:dyDescent="0.3">
      <c r="A328" s="7">
        <f>IF(A327&lt;(inputs!$C$20-1),(1+A327),0)</f>
        <v>0</v>
      </c>
      <c r="B328" s="7">
        <f>IF(inputs!$C$19&gt;B327,IF(A327=(inputs!$C$20-1),(B327+1),B327), B327)</f>
        <v>1</v>
      </c>
      <c r="C328" s="7">
        <f t="shared" si="11"/>
        <v>325</v>
      </c>
      <c r="D328" s="8">
        <f>IF((B328&gt;B327), (EXP(-LN(2)/inputs!$C$51)*D327+$D$3), (EXP(-LN(2)/inputs!$C$51)*D327))</f>
        <v>2.5000343156286105E-16</v>
      </c>
      <c r="E328" s="8">
        <f>IF((B328&gt;B327), (EXP(-LN(2)/inputs!$C$51)*E327+$E$3), (EXP(-LN(2)/inputs!$C$51)*E327))</f>
        <v>1.1458490613297787E-16</v>
      </c>
      <c r="F328" s="8">
        <f>IF((B328&gt;B327), (EXP(-LN(2)/inputs!$C$51)*F327+$F$3), (EXP(-LN(2)/inputs!$C$51)*F327))</f>
        <v>1.4062693025410925E-16</v>
      </c>
      <c r="G328" s="8">
        <f>IF((B328&gt;B327), (EXP(-LN(2)/inputs!$C$51)*G327+$G$3), (EXP(-LN(2)/inputs!$C$51)*G327))</f>
        <v>1.5625214472678815E-17</v>
      </c>
      <c r="H328" s="8">
        <f>IF((B328&gt;B327), (EXP(-LN(2)/inputs!$C$51)*H327+$H$3), (EXP(-LN(2)/inputs!$C$51)*H327))</f>
        <v>9.7918010695453695E-17</v>
      </c>
      <c r="I328" s="7">
        <f>O328*(10^inputs!$C$55)*0.01/1</f>
        <v>7.5397266677485628E-2</v>
      </c>
      <c r="J328" s="7">
        <f>(((0.621*15^0.564)/0.2))*D328/15+J327*inputs!$C$53</f>
        <v>2.6901985330919868E-16</v>
      </c>
      <c r="K328" s="7">
        <f>(((0.621*1000^0.564)/0.2))*D328/1000+K327*inputs!$C$53</f>
        <v>4.3108222968586384E-17</v>
      </c>
      <c r="L328" s="7">
        <f>(((0.648*20^0.651)/0.2))*H328/20+L327*inputs!$C$54</f>
        <v>1.4749215223079346E-16</v>
      </c>
      <c r="M328" s="7">
        <f>(((0.013*2^0.773)/0.2))*H328/2+M327*inputs!$C$54</f>
        <v>7.1922192627727346E-18</v>
      </c>
      <c r="N328" s="7">
        <f>O328*0.015*inputs!$C$56</f>
        <v>1.1077336181514751E-2</v>
      </c>
      <c r="O328" s="7">
        <f>IF((B328&gt;B327), (EXP(-LN(2)/inputs!$C$52)*O327+$O$3), (EXP(-LN(2)/inputs!$C$52)*O327))</f>
        <v>1.1949661468732202E-3</v>
      </c>
      <c r="P328" s="3">
        <f>IF((B328&gt;B327), (EXP(-LN(2)/inputs!$C$52)*P327+$P$3), (EXP(-LN(2)/inputs!$C$52)*P327))</f>
        <v>1.1547016686165358E-3</v>
      </c>
      <c r="Q328" s="19">
        <f>IF((F328*0.62*1/(0.012*(10^inputs!$C$55)))&gt;inputs!$C$57, inputs!$C$57, (F328*0.62*1/(0.012*(10^inputs!$C$55))))</f>
        <v>1.1515397662549468E-18</v>
      </c>
      <c r="R328" s="3">
        <f>IF((B328&gt;B327), (EXP(-LN(2)/inputs!$C$51)*R327+$R$3), (EXP(-LN(2)/inputs!$C$51)*R327))</f>
        <v>2.6755382980003697E-24</v>
      </c>
      <c r="T328" s="7">
        <f>IF(T327&lt;(inputs!$C$20-1),(1+T327),0)</f>
        <v>0</v>
      </c>
      <c r="U328" s="7">
        <f>IF(inputs!$C$19&gt;U327,IF(T327=(inputs!$C$20-1),(U327+1),U327), U327)</f>
        <v>1</v>
      </c>
      <c r="V328" s="7">
        <f t="shared" si="10"/>
        <v>325</v>
      </c>
      <c r="W328" s="8">
        <f>IF((U328&gt;U327), (EXP(-LN(2)/inputs!$C$51)*W327+$W$3), (EXP(-LN(2)/inputs!$C$51)*W327))</f>
        <v>8.8542882011846454E-17</v>
      </c>
      <c r="X328" s="8">
        <f>IF((U328&gt;U327), (EXP(-LN(2)/inputs!$C$51)*X327+$X$3), (EXP(-LN(2)/inputs!$C$51)*X327))</f>
        <v>3.7500514734429088E-17</v>
      </c>
      <c r="Y328" s="8">
        <f>IF((U328&gt;U327), (EXP(-LN(2)/inputs!$C$51)*Y327+$Y$3), (EXP(-LN(2)/inputs!$C$51)*Y327))</f>
        <v>4.6875643418036409E-17</v>
      </c>
      <c r="Z328" s="8">
        <f>IF((U328&gt;U327), (EXP(-LN(2)/inputs!$C$51)*Z327+$Z$3), (EXP(-LN(2)/inputs!$C$51)*Z327))</f>
        <v>7.2917667539167657E-18</v>
      </c>
      <c r="AA328" s="8">
        <f>IF((U328&gt;U327), (EXP(-LN(2)/inputs!$C$51)*AA327+$AA$3), (EXP(-LN(2)/inputs!$C$51)*AA327))</f>
        <v>6.7709262714941441E-17</v>
      </c>
      <c r="AB328" s="7">
        <f>(((0.621*15^0.564)/0.2))*W328/15+AB327*inputs!$C$53</f>
        <v>9.527786471367435E-17</v>
      </c>
      <c r="AC328" s="7">
        <f>(((0.621*1000^0.564)/0.2))*W328/1000+AC327*inputs!$C$53</f>
        <v>1.5267495634707649E-17</v>
      </c>
      <c r="AD328" s="7">
        <f>(((0.648*20^0.651)/0.2))*AA328/20+AD327*inputs!$C$54</f>
        <v>1.0198925420214451E-16</v>
      </c>
      <c r="AE328" s="7">
        <f>(((0.013*2^0.773)/0.2))*AA328/2+AE327*inputs!$C$54</f>
        <v>4.9733431072364697E-18</v>
      </c>
    </row>
    <row r="329" spans="1:31" x14ac:dyDescent="0.3">
      <c r="A329" s="7">
        <f>IF(A328&lt;(inputs!$C$20-1),(1+A328),0)</f>
        <v>0</v>
      </c>
      <c r="B329" s="7">
        <f>IF(inputs!$C$19&gt;B328,IF(A328=(inputs!$C$20-1),(B328+1),B328), B328)</f>
        <v>1</v>
      </c>
      <c r="C329" s="7">
        <f t="shared" si="11"/>
        <v>326</v>
      </c>
      <c r="D329" s="8">
        <f>IF((B329&gt;B328), (EXP(-LN(2)/inputs!$C$51)*D328+$D$3), (EXP(-LN(2)/inputs!$C$51)*D328))</f>
        <v>2.1935516125855509E-16</v>
      </c>
      <c r="E329" s="8">
        <f>IF((B329&gt;B328), (EXP(-LN(2)/inputs!$C$51)*E328+$E$3), (EXP(-LN(2)/inputs!$C$51)*E328))</f>
        <v>1.0053778224350431E-16</v>
      </c>
      <c r="F329" s="8">
        <f>IF((B329&gt;B328), (EXP(-LN(2)/inputs!$C$51)*F328+$F$3), (EXP(-LN(2)/inputs!$C$51)*F328))</f>
        <v>1.2338727820793715E-16</v>
      </c>
      <c r="G329" s="8">
        <f>IF((B329&gt;B328), (EXP(-LN(2)/inputs!$C$51)*G328+$G$3), (EXP(-LN(2)/inputs!$C$51)*G328))</f>
        <v>1.3709697578659693E-17</v>
      </c>
      <c r="H329" s="8">
        <f>IF((B329&gt;B328), (EXP(-LN(2)/inputs!$C$51)*H328+$H$3), (EXP(-LN(2)/inputs!$C$51)*H328))</f>
        <v>8.5914104826267216E-17</v>
      </c>
      <c r="I329" s="7">
        <f>O329*(10^inputs!$C$55)*0.01/1</f>
        <v>7.3875728846046415E-2</v>
      </c>
      <c r="J329" s="7">
        <f>(((0.621*15^0.564)/0.2))*D329/15+J328*inputs!$C$53</f>
        <v>2.3604033326860303E-16</v>
      </c>
      <c r="K329" s="7">
        <f>(((0.621*1000^0.564)/0.2))*D329/1000+K328*inputs!$C$53</f>
        <v>3.7823525628152779E-17</v>
      </c>
      <c r="L329" s="7">
        <f>(((0.648*20^0.651)/0.2))*H329/20+L328*inputs!$C$54</f>
        <v>1.2941088302150826E-16</v>
      </c>
      <c r="M329" s="7">
        <f>(((0.013*2^0.773)/0.2))*H329/2+M328*inputs!$C$54</f>
        <v>6.3105150450533463E-18</v>
      </c>
      <c r="N329" s="7">
        <f>O329*0.015*inputs!$C$56</f>
        <v>1.0853792453545921E-2</v>
      </c>
      <c r="O329" s="7">
        <f>IF((B329&gt;B328), (EXP(-LN(2)/inputs!$C$52)*O328+$O$3), (EXP(-LN(2)/inputs!$C$52)*O328))</f>
        <v>1.1708513973620195E-3</v>
      </c>
      <c r="P329" s="3">
        <f>IF((B329&gt;B328), (EXP(-LN(2)/inputs!$C$52)*P328+$P$3), (EXP(-LN(2)/inputs!$C$52)*P328))</f>
        <v>1.1313994674858057E-3</v>
      </c>
      <c r="Q329" s="19">
        <f>IF((F329*0.62*1/(0.012*(10^inputs!$C$55)))&gt;inputs!$C$57, inputs!$C$57, (F329*0.62*1/(0.012*(10^inputs!$C$55))))</f>
        <v>1.0103708958850019E-18</v>
      </c>
      <c r="R329" s="3">
        <f>IF((B329&gt;B328), (EXP(-LN(2)/inputs!$C$51)*R328+$R$3), (EXP(-LN(2)/inputs!$C$51)*R328))</f>
        <v>2.3475403163165872E-24</v>
      </c>
      <c r="T329" s="7">
        <f>IF(T328&lt;(inputs!$C$20-1),(1+T328),0)</f>
        <v>0</v>
      </c>
      <c r="U329" s="7">
        <f>IF(inputs!$C$19&gt;U328,IF(T328=(inputs!$C$20-1),(U328+1),U328), U328)</f>
        <v>1</v>
      </c>
      <c r="V329" s="7">
        <f t="shared" si="10"/>
        <v>326</v>
      </c>
      <c r="W329" s="8">
        <f>IF((U329&gt;U328), (EXP(-LN(2)/inputs!$C$51)*W328+$W$3), (EXP(-LN(2)/inputs!$C$51)*W328))</f>
        <v>7.7688286279071446E-17</v>
      </c>
      <c r="X329" s="8">
        <f>IF((U329&gt;U328), (EXP(-LN(2)/inputs!$C$51)*X328+$X$3), (EXP(-LN(2)/inputs!$C$51)*X328))</f>
        <v>3.29032741887832E-17</v>
      </c>
      <c r="Y329" s="8">
        <f>IF((U329&gt;U328), (EXP(-LN(2)/inputs!$C$51)*Y328+$Y$3), (EXP(-LN(2)/inputs!$C$51)*Y328))</f>
        <v>4.1129092735979043E-17</v>
      </c>
      <c r="Z329" s="8">
        <f>IF((U329&gt;U328), (EXP(-LN(2)/inputs!$C$51)*Z328+$Z$3), (EXP(-LN(2)/inputs!$C$51)*Z328))</f>
        <v>6.3978588700411767E-18</v>
      </c>
      <c r="AA329" s="8">
        <f>IF((U329&gt;U328), (EXP(-LN(2)/inputs!$C$51)*AA328+$AA$3), (EXP(-LN(2)/inputs!$C$51)*AA328))</f>
        <v>5.9408689507525257E-17</v>
      </c>
      <c r="AB329" s="7">
        <f>(((0.621*15^0.564)/0.2))*W329/15+AB328*inputs!$C$53</f>
        <v>8.3597618032630085E-17</v>
      </c>
      <c r="AC329" s="7">
        <f>(((0.621*1000^0.564)/0.2))*W329/1000+AC328*inputs!$C$53</f>
        <v>1.3395831993304083E-17</v>
      </c>
      <c r="AD329" s="7">
        <f>(((0.648*20^0.651)/0.2))*AA329/20+AD328*inputs!$C$54</f>
        <v>8.9486248897851538E-17</v>
      </c>
      <c r="AE329" s="7">
        <f>(((0.013*2^0.773)/0.2))*AA329/2+AE328*inputs!$C$54</f>
        <v>4.3636540205156161E-18</v>
      </c>
    </row>
    <row r="330" spans="1:31" x14ac:dyDescent="0.3">
      <c r="A330" s="7">
        <f>IF(A329&lt;(inputs!$C$20-1),(1+A329),0)</f>
        <v>0</v>
      </c>
      <c r="B330" s="7">
        <f>IF(inputs!$C$19&gt;B329,IF(A329=(inputs!$C$20-1),(B329+1),B329), B329)</f>
        <v>1</v>
      </c>
      <c r="C330" s="7">
        <f t="shared" si="11"/>
        <v>327</v>
      </c>
      <c r="D330" s="8">
        <f>IF((B330&gt;B329), (EXP(-LN(2)/inputs!$C$51)*D329+$D$3), (EXP(-LN(2)/inputs!$C$51)*D329))</f>
        <v>1.9246410527236387E-16</v>
      </c>
      <c r="E330" s="8">
        <f>IF((B330&gt;B329), (EXP(-LN(2)/inputs!$C$51)*E329+$E$3), (EXP(-LN(2)/inputs!$C$51)*E329))</f>
        <v>8.8212714916500022E-17</v>
      </c>
      <c r="F330" s="8">
        <f>IF((B330&gt;B329), (EXP(-LN(2)/inputs!$C$51)*F329+$F$3), (EXP(-LN(2)/inputs!$C$51)*F329))</f>
        <v>1.082610592157046E-16</v>
      </c>
      <c r="G330" s="8">
        <f>IF((B330&gt;B329), (EXP(-LN(2)/inputs!$C$51)*G329+$G$3), (EXP(-LN(2)/inputs!$C$51)*G329))</f>
        <v>1.2029006579522742E-17</v>
      </c>
      <c r="H330" s="8">
        <f>IF((B330&gt;B329), (EXP(-LN(2)/inputs!$C$51)*H329+$H$3), (EXP(-LN(2)/inputs!$C$51)*H329))</f>
        <v>7.5381774565009012E-17</v>
      </c>
      <c r="I330" s="7">
        <f>O330*(10^inputs!$C$55)*0.01/1</f>
        <v>7.2384896071627389E-2</v>
      </c>
      <c r="J330" s="7">
        <f>(((0.621*15^0.564)/0.2))*D330/15+J329*inputs!$C$53</f>
        <v>2.0710381871153931E-16</v>
      </c>
      <c r="K330" s="7">
        <f>(((0.621*1000^0.564)/0.2))*D330/1000+K329*inputs!$C$53</f>
        <v>3.3186686725315586E-17</v>
      </c>
      <c r="L330" s="7">
        <f>(((0.648*20^0.651)/0.2))*H330/20+L329*inputs!$C$54</f>
        <v>1.1354622189118758E-16</v>
      </c>
      <c r="M330" s="7">
        <f>(((0.013*2^0.773)/0.2))*H330/2+M329*inputs!$C$54</f>
        <v>5.5369001804447609E-18</v>
      </c>
      <c r="N330" s="7">
        <f>O330*0.015*inputs!$C$56</f>
        <v>1.0634759900239965E-2</v>
      </c>
      <c r="O330" s="7">
        <f>IF((B330&gt;B329), (EXP(-LN(2)/inputs!$C$52)*O329+$O$3), (EXP(-LN(2)/inputs!$C$52)*O329))</f>
        <v>1.1472232902092734E-3</v>
      </c>
      <c r="P330" s="3">
        <f>IF((B330&gt;B329), (EXP(-LN(2)/inputs!$C$52)*P329+$P$3), (EXP(-LN(2)/inputs!$C$52)*P329))</f>
        <v>1.1085675112610066E-3</v>
      </c>
      <c r="Q330" s="19">
        <f>IF((F330*0.62*1/(0.012*(10^inputs!$C$55)))&gt;inputs!$C$57, inputs!$C$57, (F330*0.62*1/(0.012*(10^inputs!$C$55))))</f>
        <v>8.8650811475793108E-19</v>
      </c>
      <c r="R330" s="3">
        <f>IF((B330&gt;B329), (EXP(-LN(2)/inputs!$C$51)*R329+$R$3), (EXP(-LN(2)/inputs!$C$51)*R329))</f>
        <v>2.0597520659115681E-24</v>
      </c>
      <c r="T330" s="7">
        <f>IF(T329&lt;(inputs!$C$20-1),(1+T329),0)</f>
        <v>0</v>
      </c>
      <c r="U330" s="7">
        <f>IF(inputs!$C$19&gt;U329,IF(T329=(inputs!$C$20-1),(U329+1),U329), U329)</f>
        <v>1</v>
      </c>
      <c r="V330" s="7">
        <f t="shared" si="10"/>
        <v>327</v>
      </c>
      <c r="W330" s="8">
        <f>IF((U330&gt;U329), (EXP(-LN(2)/inputs!$C$51)*W329+$W$3), (EXP(-LN(2)/inputs!$C$51)*W329))</f>
        <v>6.8164370617295414E-17</v>
      </c>
      <c r="X330" s="8">
        <f>IF((U330&gt;U329), (EXP(-LN(2)/inputs!$C$51)*X329+$X$3), (EXP(-LN(2)/inputs!$C$51)*X329))</f>
        <v>2.8869615790854526E-17</v>
      </c>
      <c r="Y330" s="8">
        <f>IF((U330&gt;U329), (EXP(-LN(2)/inputs!$C$51)*Y329+$Y$3), (EXP(-LN(2)/inputs!$C$51)*Y329))</f>
        <v>3.6087019738568197E-17</v>
      </c>
      <c r="Z330" s="8">
        <f>IF((U330&gt;U329), (EXP(-LN(2)/inputs!$C$51)*Z329+$Z$3), (EXP(-LN(2)/inputs!$C$51)*Z329))</f>
        <v>5.6135364037772683E-18</v>
      </c>
      <c r="AA330" s="8">
        <f>IF((U330&gt;U329), (EXP(-LN(2)/inputs!$C$51)*AA329+$AA$3), (EXP(-LN(2)/inputs!$C$51)*AA329))</f>
        <v>5.2125695177931812E-17</v>
      </c>
      <c r="AB330" s="7">
        <f>(((0.621*15^0.564)/0.2))*W330/15+AB329*inputs!$C$53</f>
        <v>7.3349269127003376E-17</v>
      </c>
      <c r="AC330" s="7">
        <f>(((0.621*1000^0.564)/0.2))*W330/1000+AC329*inputs!$C$53</f>
        <v>1.1753618215215914E-17</v>
      </c>
      <c r="AD330" s="7">
        <f>(((0.648*20^0.651)/0.2))*AA330/20+AD329*inputs!$C$54</f>
        <v>7.8516004499225535E-17</v>
      </c>
      <c r="AE330" s="7">
        <f>(((0.013*2^0.773)/0.2))*AA330/2+AE329*inputs!$C$54</f>
        <v>3.8287075715841464E-18</v>
      </c>
    </row>
    <row r="331" spans="1:31" x14ac:dyDescent="0.3">
      <c r="A331" s="7">
        <f>IF(A330&lt;(inputs!$C$20-1),(1+A330),0)</f>
        <v>0</v>
      </c>
      <c r="B331" s="7">
        <f>IF(inputs!$C$19&gt;B330,IF(A330=(inputs!$C$20-1),(B330+1),B330), B330)</f>
        <v>1</v>
      </c>
      <c r="C331" s="7">
        <f t="shared" si="11"/>
        <v>328</v>
      </c>
      <c r="D331" s="8">
        <f>IF((B331&gt;B330), (EXP(-LN(2)/inputs!$C$51)*D330+$D$3), (EXP(-LN(2)/inputs!$C$51)*D330))</f>
        <v>1.6886966144657729E-16</v>
      </c>
      <c r="E331" s="8">
        <f>IF((B331&gt;B330), (EXP(-LN(2)/inputs!$C$51)*E330+$E$3), (EXP(-LN(2)/inputs!$C$51)*E330))</f>
        <v>7.7398594829681176E-17</v>
      </c>
      <c r="F331" s="8">
        <f>IF((B331&gt;B330), (EXP(-LN(2)/inputs!$C$51)*F330+$F$3), (EXP(-LN(2)/inputs!$C$51)*F330))</f>
        <v>9.498918456369966E-17</v>
      </c>
      <c r="G331" s="8">
        <f>IF((B331&gt;B330), (EXP(-LN(2)/inputs!$C$51)*G330+$G$3), (EXP(-LN(2)/inputs!$C$51)*G330))</f>
        <v>1.0554353840411081E-17</v>
      </c>
      <c r="H331" s="8">
        <f>IF((B331&gt;B330), (EXP(-LN(2)/inputs!$C$51)*H330+$H$3), (EXP(-LN(2)/inputs!$C$51)*H330))</f>
        <v>6.6140617399909292E-17</v>
      </c>
      <c r="I331" s="7">
        <f>O331*(10^inputs!$C$55)*0.01/1</f>
        <v>7.0924148717629934E-2</v>
      </c>
      <c r="J331" s="7">
        <f>(((0.621*15^0.564)/0.2))*D331/15+J330*inputs!$C$53</f>
        <v>1.817146719416509E-16</v>
      </c>
      <c r="K331" s="7">
        <f>(((0.621*1000^0.564)/0.2))*D331/1000+K330*inputs!$C$53</f>
        <v>2.9118284388181866E-17</v>
      </c>
      <c r="L331" s="7">
        <f>(((0.648*20^0.651)/0.2))*H331/20+L330*inputs!$C$54</f>
        <v>9.9626431755511749E-17</v>
      </c>
      <c r="M331" s="7">
        <f>(((0.013*2^0.773)/0.2))*H331/2+M330*inputs!$C$54</f>
        <v>4.8581238439865037E-18</v>
      </c>
      <c r="N331" s="7">
        <f>O331*0.015*inputs!$C$56</f>
        <v>1.042014748483632E-2</v>
      </c>
      <c r="O331" s="7">
        <f>IF((B331&gt;B330), (EXP(-LN(2)/inputs!$C$52)*O330+$O$3), (EXP(-LN(2)/inputs!$C$52)*O330))</f>
        <v>1.1240720048367118E-3</v>
      </c>
      <c r="P331" s="3">
        <f>IF((B331&gt;B330), (EXP(-LN(2)/inputs!$C$52)*P330+$P$3), (EXP(-LN(2)/inputs!$C$52)*P330))</f>
        <v>1.0861963102690251E-3</v>
      </c>
      <c r="Q331" s="19">
        <f>IF((F331*0.62*1/(0.012*(10^inputs!$C$55)))&gt;inputs!$C$57, inputs!$C$57, (F331*0.62*1/(0.012*(10^inputs!$C$55))))</f>
        <v>7.7782984519093854E-19</v>
      </c>
      <c r="R331" s="3">
        <f>IF((B331&gt;B330), (EXP(-LN(2)/inputs!$C$51)*R330+$R$3), (EXP(-LN(2)/inputs!$C$51)*R330))</f>
        <v>1.8072441795946659E-24</v>
      </c>
      <c r="T331" s="7">
        <f>IF(T330&lt;(inputs!$C$20-1),(1+T330),0)</f>
        <v>0</v>
      </c>
      <c r="U331" s="7">
        <f>IF(inputs!$C$19&gt;U330,IF(T330=(inputs!$C$20-1),(U330+1),U330), U330)</f>
        <v>1</v>
      </c>
      <c r="V331" s="7">
        <f t="shared" si="10"/>
        <v>328</v>
      </c>
      <c r="W331" s="8">
        <f>IF((U331&gt;U330), (EXP(-LN(2)/inputs!$C$51)*W330+$W$3), (EXP(-LN(2)/inputs!$C$51)*W330))</f>
        <v>5.9808005095662678E-17</v>
      </c>
      <c r="X331" s="8">
        <f>IF((U331&gt;U330), (EXP(-LN(2)/inputs!$C$51)*X330+$X$3), (EXP(-LN(2)/inputs!$C$51)*X330))</f>
        <v>2.5330449216986544E-17</v>
      </c>
      <c r="Y331" s="8">
        <f>IF((U331&gt;U330), (EXP(-LN(2)/inputs!$C$51)*Y330+$Y$3), (EXP(-LN(2)/inputs!$C$51)*Y330))</f>
        <v>3.1663061521233216E-17</v>
      </c>
      <c r="Z331" s="8">
        <f>IF((U331&gt;U330), (EXP(-LN(2)/inputs!$C$51)*Z330+$Z$3), (EXP(-LN(2)/inputs!$C$51)*Z330))</f>
        <v>4.9253651255251613E-18</v>
      </c>
      <c r="AA331" s="8">
        <f>IF((U331&gt;U330), (EXP(-LN(2)/inputs!$C$51)*AA330+$AA$3), (EXP(-LN(2)/inputs!$C$51)*AA330))</f>
        <v>4.5735533308447953E-17</v>
      </c>
      <c r="AB331" s="7">
        <f>(((0.621*15^0.564)/0.2))*W331/15+AB330*inputs!$C$53</f>
        <v>6.4357279646001241E-17</v>
      </c>
      <c r="AC331" s="7">
        <f>(((0.621*1000^0.564)/0.2))*W331/1000+AC330*inputs!$C$53</f>
        <v>1.031272572081439E-17</v>
      </c>
      <c r="AD331" s="7">
        <f>(((0.648*20^0.651)/0.2))*AA331/20+AD330*inputs!$C$54</f>
        <v>6.8890617703279467E-17</v>
      </c>
      <c r="AE331" s="7">
        <f>(((0.013*2^0.773)/0.2))*AA331/2+AE330*inputs!$C$54</f>
        <v>3.3593409559481173E-18</v>
      </c>
    </row>
    <row r="332" spans="1:31" x14ac:dyDescent="0.3">
      <c r="A332" s="7">
        <f>IF(A331&lt;(inputs!$C$20-1),(1+A331),0)</f>
        <v>0</v>
      </c>
      <c r="B332" s="7">
        <f>IF(inputs!$C$19&gt;B331,IF(A331=(inputs!$C$20-1),(B331+1),B331), B331)</f>
        <v>1</v>
      </c>
      <c r="C332" s="7">
        <f t="shared" si="11"/>
        <v>329</v>
      </c>
      <c r="D332" s="8">
        <f>IF((B332&gt;B331), (EXP(-LN(2)/inputs!$C$51)*D331+$D$3), (EXP(-LN(2)/inputs!$C$51)*D331))</f>
        <v>1.4816769348614957E-16</v>
      </c>
      <c r="E332" s="8">
        <f>IF((B332&gt;B331), (EXP(-LN(2)/inputs!$C$51)*E331+$E$3), (EXP(-LN(2)/inputs!$C$51)*E331))</f>
        <v>6.7910192847818479E-17</v>
      </c>
      <c r="F332" s="8">
        <f>IF((B332&gt;B331), (EXP(-LN(2)/inputs!$C$51)*F331+$F$3), (EXP(-LN(2)/inputs!$C$51)*F331))</f>
        <v>8.3344327585959066E-17</v>
      </c>
      <c r="G332" s="8">
        <f>IF((B332&gt;B331), (EXP(-LN(2)/inputs!$C$51)*G331+$G$3), (EXP(-LN(2)/inputs!$C$51)*G331))</f>
        <v>9.2604808428843478E-18</v>
      </c>
      <c r="H332" s="8">
        <f>IF((B332&gt;B331), (EXP(-LN(2)/inputs!$C$51)*H331+$H$3), (EXP(-LN(2)/inputs!$C$51)*H331))</f>
        <v>5.8032346615408445E-17</v>
      </c>
      <c r="I332" s="7">
        <f>O332*(10^inputs!$C$55)*0.01/1</f>
        <v>6.9492879651894421E-2</v>
      </c>
      <c r="J332" s="7">
        <f>(((0.621*15^0.564)/0.2))*D332/15+J331*inputs!$C$53</f>
        <v>1.5943801618092521E-16</v>
      </c>
      <c r="K332" s="7">
        <f>(((0.621*1000^0.564)/0.2))*D332/1000+K331*inputs!$C$53</f>
        <v>2.5548633183205273E-17</v>
      </c>
      <c r="L332" s="7">
        <f>(((0.648*20^0.651)/0.2))*H332/20+L331*inputs!$C$54</f>
        <v>8.7413088159351254E-17</v>
      </c>
      <c r="M332" s="7">
        <f>(((0.013*2^0.773)/0.2))*H332/2+M331*inputs!$C$54</f>
        <v>4.2625596478812409E-18</v>
      </c>
      <c r="N332" s="7">
        <f>O332*0.015*inputs!$C$56</f>
        <v>1.0209866007721589E-2</v>
      </c>
      <c r="O332" s="7">
        <f>IF((B332&gt;B331), (EXP(-LN(2)/inputs!$C$52)*O331+$O$3), (EXP(-LN(2)/inputs!$C$52)*O331))</f>
        <v>1.1013879188480678E-3</v>
      </c>
      <c r="P332" s="3">
        <f>IF((B332&gt;B331), (EXP(-LN(2)/inputs!$C$52)*P331+$P$3), (EXP(-LN(2)/inputs!$C$52)*P331))</f>
        <v>1.0642765663409931E-3</v>
      </c>
      <c r="Q332" s="19">
        <f>IF((F332*0.62*1/(0.012*(10^inputs!$C$55)))&gt;inputs!$C$57, inputs!$C$57, (F332*0.62*1/(0.012*(10^inputs!$C$55))))</f>
        <v>6.8247459667638272E-19</v>
      </c>
      <c r="R332" s="3">
        <f>IF((B332&gt;B331), (EXP(-LN(2)/inputs!$C$51)*R331+$R$3), (EXP(-LN(2)/inputs!$C$51)*R331))</f>
        <v>1.5856915881928396E-24</v>
      </c>
      <c r="T332" s="7">
        <f>IF(T331&lt;(inputs!$C$20-1),(1+T331),0)</f>
        <v>0</v>
      </c>
      <c r="U332" s="7">
        <f>IF(inputs!$C$19&gt;U331,IF(T331=(inputs!$C$20-1),(U331+1),U331), U331)</f>
        <v>1</v>
      </c>
      <c r="V332" s="7">
        <f t="shared" si="10"/>
        <v>329</v>
      </c>
      <c r="W332" s="8">
        <f>IF((U332&gt;U331), (EXP(-LN(2)/inputs!$C$51)*W331+$W$3), (EXP(-LN(2)/inputs!$C$51)*W331))</f>
        <v>5.2476058109677874E-17</v>
      </c>
      <c r="X332" s="8">
        <f>IF((U332&gt;U331), (EXP(-LN(2)/inputs!$C$51)*X331+$X$3), (EXP(-LN(2)/inputs!$C$51)*X331))</f>
        <v>2.2225154022922389E-17</v>
      </c>
      <c r="Y332" s="8">
        <f>IF((U332&gt;U331), (EXP(-LN(2)/inputs!$C$51)*Y331+$Y$3), (EXP(-LN(2)/inputs!$C$51)*Y331))</f>
        <v>2.7781442528653022E-17</v>
      </c>
      <c r="Z332" s="8">
        <f>IF((U332&gt;U331), (EXP(-LN(2)/inputs!$C$51)*Z331+$Z$3), (EXP(-LN(2)/inputs!$C$51)*Z331))</f>
        <v>4.3215577266793538E-18</v>
      </c>
      <c r="AA332" s="8">
        <f>IF((U332&gt;U331), (EXP(-LN(2)/inputs!$C$51)*AA331+$AA$3), (EXP(-LN(2)/inputs!$C$51)*AA331))</f>
        <v>4.0128750319165451E-17</v>
      </c>
      <c r="AB332" s="7">
        <f>(((0.621*15^0.564)/0.2))*W332/15+AB331*inputs!$C$53</f>
        <v>5.6467630730744244E-17</v>
      </c>
      <c r="AC332" s="7">
        <f>(((0.621*1000^0.564)/0.2))*W332/1000+AC331*inputs!$C$53</f>
        <v>9.0484742523851825E-18</v>
      </c>
      <c r="AD332" s="7">
        <f>(((0.648*20^0.651)/0.2))*AA332/20+AD331*inputs!$C$54</f>
        <v>6.0445220535721677E-17</v>
      </c>
      <c r="AE332" s="7">
        <f>(((0.013*2^0.773)/0.2))*AA332/2+AE331*inputs!$C$54</f>
        <v>2.9475146501306485E-18</v>
      </c>
    </row>
    <row r="333" spans="1:31" x14ac:dyDescent="0.3">
      <c r="A333" s="7">
        <f>IF(A332&lt;(inputs!$C$20-1),(1+A332),0)</f>
        <v>0</v>
      </c>
      <c r="B333" s="7">
        <f>IF(inputs!$C$19&gt;B332,IF(A332=(inputs!$C$20-1),(B332+1),B332), B332)</f>
        <v>1</v>
      </c>
      <c r="C333" s="7">
        <f t="shared" si="11"/>
        <v>330</v>
      </c>
      <c r="D333" s="8">
        <f>IF((B333&gt;B332), (EXP(-LN(2)/inputs!$C$51)*D332+$D$3), (EXP(-LN(2)/inputs!$C$51)*D332))</f>
        <v>1.3000360872962792E-16</v>
      </c>
      <c r="E333" s="8">
        <f>IF((B333&gt;B332), (EXP(-LN(2)/inputs!$C$51)*E332+$E$3), (EXP(-LN(2)/inputs!$C$51)*E332))</f>
        <v>5.9584987334412735E-17</v>
      </c>
      <c r="F333" s="8">
        <f>IF((B333&gt;B332), (EXP(-LN(2)/inputs!$C$51)*F332+$F$3), (EXP(-LN(2)/inputs!$C$51)*F332))</f>
        <v>7.3127029910415646E-17</v>
      </c>
      <c r="G333" s="8">
        <f>IF((B333&gt;B332), (EXP(-LN(2)/inputs!$C$51)*G332+$G$3), (EXP(-LN(2)/inputs!$C$51)*G332))</f>
        <v>8.1252255456017451E-18</v>
      </c>
      <c r="H333" s="8">
        <f>IF((B333&gt;B332), (EXP(-LN(2)/inputs!$C$51)*H332+$H$3), (EXP(-LN(2)/inputs!$C$51)*H332))</f>
        <v>5.0918080085770816E-17</v>
      </c>
      <c r="I333" s="7">
        <f>O333*(10^inputs!$C$55)*0.01/1</f>
        <v>6.8090493994357251E-2</v>
      </c>
      <c r="J333" s="7">
        <f>(((0.621*15^0.564)/0.2))*D333/15+J332*inputs!$C$53</f>
        <v>1.398922868037401E-16</v>
      </c>
      <c r="K333" s="7">
        <f>(((0.621*1000^0.564)/0.2))*D333/1000+K332*inputs!$C$53</f>
        <v>2.2416590511592768E-17</v>
      </c>
      <c r="L333" s="7">
        <f>(((0.648*20^0.651)/0.2))*H333/20+L332*inputs!$C$54</f>
        <v>7.669699543496679E-17</v>
      </c>
      <c r="M333" s="7">
        <f>(((0.013*2^0.773)/0.2))*H333/2+M332*inputs!$C$54</f>
        <v>3.7400064994711828E-18</v>
      </c>
      <c r="N333" s="7">
        <f>O333*0.015*inputs!$C$56</f>
        <v>1.0003828069355413E-2</v>
      </c>
      <c r="O333" s="7">
        <f>IF((B333&gt;B332), (EXP(-LN(2)/inputs!$C$52)*O332+$O$3), (EXP(-LN(2)/inputs!$C$52)*O332))</f>
        <v>1.0791616040297103E-3</v>
      </c>
      <c r="P333" s="3">
        <f>IF((B333&gt;B332), (EXP(-LN(2)/inputs!$C$52)*P332+$P$3), (EXP(-LN(2)/inputs!$C$52)*P332))</f>
        <v>1.0427991689476786E-3</v>
      </c>
      <c r="Q333" s="19">
        <f>IF((F333*0.62*1/(0.012*(10^inputs!$C$55)))&gt;inputs!$C$57, inputs!$C$57, (F333*0.62*1/(0.012*(10^inputs!$C$55))))</f>
        <v>5.9880908143124236E-19</v>
      </c>
      <c r="R333" s="3">
        <f>IF((B333&gt;B332), (EXP(-LN(2)/inputs!$C$51)*R332+$R$3), (EXP(-LN(2)/inputs!$C$51)*R332))</f>
        <v>1.3912994388115673E-24</v>
      </c>
      <c r="T333" s="7">
        <f>IF(T332&lt;(inputs!$C$20-1),(1+T332),0)</f>
        <v>0</v>
      </c>
      <c r="U333" s="7">
        <f>IF(inputs!$C$19&gt;U332,IF(T332=(inputs!$C$20-1),(U332+1),U332), U332)</f>
        <v>1</v>
      </c>
      <c r="V333" s="7">
        <f t="shared" si="10"/>
        <v>330</v>
      </c>
      <c r="W333" s="8">
        <f>IF((U333&gt;U332), (EXP(-LN(2)/inputs!$C$51)*W332+$W$3), (EXP(-LN(2)/inputs!$C$51)*W332))</f>
        <v>4.6042944758409805E-17</v>
      </c>
      <c r="X333" s="8">
        <f>IF((U333&gt;U332), (EXP(-LN(2)/inputs!$C$51)*X332+$X$3), (EXP(-LN(2)/inputs!$C$51)*X332))</f>
        <v>1.9500541309444149E-17</v>
      </c>
      <c r="Y333" s="8">
        <f>IF((U333&gt;U332), (EXP(-LN(2)/inputs!$C$51)*Y332+$Y$3), (EXP(-LN(2)/inputs!$C$51)*Y332))</f>
        <v>2.4375676636805218E-17</v>
      </c>
      <c r="Z333" s="8">
        <f>IF((U333&gt;U332), (EXP(-LN(2)/inputs!$C$51)*Z332+$Z$3), (EXP(-LN(2)/inputs!$C$51)*Z332))</f>
        <v>3.7917719212808066E-18</v>
      </c>
      <c r="AA333" s="8">
        <f>IF((U333&gt;U332), (EXP(-LN(2)/inputs!$C$51)*AA332+$AA$3), (EXP(-LN(2)/inputs!$C$51)*AA332))</f>
        <v>3.5209310697607513E-17</v>
      </c>
      <c r="AB333" s="7">
        <f>(((0.621*15^0.564)/0.2))*W333/15+AB332*inputs!$C$53</f>
        <v>4.9545184909657859E-17</v>
      </c>
      <c r="AC333" s="7">
        <f>(((0.621*1000^0.564)/0.2))*W333/1000+AC332*inputs!$C$53</f>
        <v>7.9392091395224251E-18</v>
      </c>
      <c r="AD333" s="7">
        <f>(((0.648*20^0.651)/0.2))*AA333/20+AD332*inputs!$C$54</f>
        <v>5.3035156417796241E-17</v>
      </c>
      <c r="AE333" s="7">
        <f>(((0.013*2^0.773)/0.2))*AA333/2+AE332*inputs!$C$54</f>
        <v>2.5861747070811398E-18</v>
      </c>
    </row>
    <row r="334" spans="1:31" x14ac:dyDescent="0.3">
      <c r="A334" s="7">
        <f>IF(A333&lt;(inputs!$C$20-1),(1+A333),0)</f>
        <v>0</v>
      </c>
      <c r="B334" s="7">
        <f>IF(inputs!$C$19&gt;B333,IF(A333=(inputs!$C$20-1),(B333+1),B333), B333)</f>
        <v>1</v>
      </c>
      <c r="C334" s="7">
        <f t="shared" si="11"/>
        <v>331</v>
      </c>
      <c r="D334" s="8">
        <f>IF((B334&gt;B333), (EXP(-LN(2)/inputs!$C$51)*D333+$D$3), (EXP(-LN(2)/inputs!$C$51)*D333))</f>
        <v>1.1406628452582382E-16</v>
      </c>
      <c r="E334" s="8">
        <f>IF((B334&gt;B333), (EXP(-LN(2)/inputs!$C$51)*E333+$E$3), (EXP(-LN(2)/inputs!$C$51)*E333))</f>
        <v>5.2280380407669198E-17</v>
      </c>
      <c r="F334" s="8">
        <f>IF((B334&gt;B333), (EXP(-LN(2)/inputs!$C$51)*F333+$F$3), (EXP(-LN(2)/inputs!$C$51)*F333))</f>
        <v>6.4162285045775847E-17</v>
      </c>
      <c r="G334" s="8">
        <f>IF((B334&gt;B333), (EXP(-LN(2)/inputs!$C$51)*G333+$G$3), (EXP(-LN(2)/inputs!$C$51)*G333))</f>
        <v>7.1291427828639888E-18</v>
      </c>
      <c r="H334" s="8">
        <f>IF((B334&gt;B333), (EXP(-LN(2)/inputs!$C$51)*H333+$H$3), (EXP(-LN(2)/inputs!$C$51)*H333))</f>
        <v>4.4675961439280894E-17</v>
      </c>
      <c r="I334" s="7">
        <f>O334*(10^inputs!$C$55)*0.01/1</f>
        <v>6.6716408869800112E-2</v>
      </c>
      <c r="J334" s="7">
        <f>(((0.621*15^0.564)/0.2))*D334/15+J333*inputs!$C$53</f>
        <v>1.2274269572554531E-16</v>
      </c>
      <c r="K334" s="7">
        <f>(((0.621*1000^0.564)/0.2))*D334/1000+K333*inputs!$C$53</f>
        <v>1.9668509331245101E-17</v>
      </c>
      <c r="L334" s="7">
        <f>(((0.648*20^0.651)/0.2))*H334/20+L333*inputs!$C$54</f>
        <v>6.7294603504086678E-17</v>
      </c>
      <c r="M334" s="7">
        <f>(((0.013*2^0.773)/0.2))*H334/2+M333*inputs!$C$54</f>
        <v>3.281513872313653E-18</v>
      </c>
      <c r="N334" s="7">
        <f>O334*0.015*inputs!$C$56</f>
        <v>9.8019480339444857E-3</v>
      </c>
      <c r="O334" s="7">
        <f>IF((B334&gt;B333), (EXP(-LN(2)/inputs!$C$52)*O333+$O$3), (EXP(-LN(2)/inputs!$C$52)*O333))</f>
        <v>1.0573838224319835E-3</v>
      </c>
      <c r="P334" s="3">
        <f>IF((B334&gt;B333), (EXP(-LN(2)/inputs!$C$52)*P333+$P$3), (EXP(-LN(2)/inputs!$C$52)*P333))</f>
        <v>1.0217551914128661E-3</v>
      </c>
      <c r="Q334" s="19">
        <f>IF((F334*0.62*1/(0.012*(10^inputs!$C$55)))&gt;inputs!$C$57, inputs!$C$57, (F334*0.62*1/(0.012*(10^inputs!$C$55))))</f>
        <v>5.254002387059643E-19</v>
      </c>
      <c r="R334" s="3">
        <f>IF((B334&gt;B333), (EXP(-LN(2)/inputs!$C$51)*R333+$R$3), (EXP(-LN(2)/inputs!$C$51)*R333))</f>
        <v>1.2207380948797563E-24</v>
      </c>
      <c r="T334" s="7">
        <f>IF(T333&lt;(inputs!$C$20-1),(1+T333),0)</f>
        <v>0</v>
      </c>
      <c r="U334" s="7">
        <f>IF(inputs!$C$19&gt;U333,IF(T333=(inputs!$C$20-1),(U333+1),U333), U333)</f>
        <v>1</v>
      </c>
      <c r="V334" s="7">
        <f t="shared" si="10"/>
        <v>331</v>
      </c>
      <c r="W334" s="8">
        <f>IF((U334&gt;U333), (EXP(-LN(2)/inputs!$C$51)*W333+$W$3), (EXP(-LN(2)/inputs!$C$51)*W333))</f>
        <v>4.039847576956253E-17</v>
      </c>
      <c r="X334" s="8">
        <f>IF((U334&gt;U333), (EXP(-LN(2)/inputs!$C$51)*X333+$X$3), (EXP(-LN(2)/inputs!$C$51)*X333))</f>
        <v>1.7109942678873539E-17</v>
      </c>
      <c r="Y334" s="8">
        <f>IF((U334&gt;U333), (EXP(-LN(2)/inputs!$C$51)*Y333+$Y$3), (EXP(-LN(2)/inputs!$C$51)*Y333))</f>
        <v>2.1387428348591951E-17</v>
      </c>
      <c r="Z334" s="8">
        <f>IF((U334&gt;U333), (EXP(-LN(2)/inputs!$C$51)*Z333+$Z$3), (EXP(-LN(2)/inputs!$C$51)*Z333))</f>
        <v>3.3269332986698547E-18</v>
      </c>
      <c r="AA334" s="8">
        <f>IF((U334&gt;U333), (EXP(-LN(2)/inputs!$C$51)*AA333+$AA$3), (EXP(-LN(2)/inputs!$C$51)*AA333))</f>
        <v>3.0892952059077241E-17</v>
      </c>
      <c r="AB334" s="7">
        <f>(((0.621*15^0.564)/0.2))*W334/15+AB333*inputs!$C$53</f>
        <v>4.3471371402797218E-17</v>
      </c>
      <c r="AC334" s="7">
        <f>(((0.621*1000^0.564)/0.2))*W334/1000+AC333*inputs!$C$53</f>
        <v>6.9659303881492941E-18</v>
      </c>
      <c r="AD334" s="7">
        <f>(((0.648*20^0.651)/0.2))*AA334/20+AD333*inputs!$C$54</f>
        <v>4.6533502423038711E-17</v>
      </c>
      <c r="AE334" s="7">
        <f>(((0.013*2^0.773)/0.2))*AA334/2+AE333*inputs!$C$54</f>
        <v>2.2691319329828471E-18</v>
      </c>
    </row>
    <row r="335" spans="1:31" x14ac:dyDescent="0.3">
      <c r="A335" s="7">
        <f>IF(A334&lt;(inputs!$C$20-1),(1+A334),0)</f>
        <v>0</v>
      </c>
      <c r="B335" s="7">
        <f>IF(inputs!$C$19&gt;B334,IF(A334=(inputs!$C$20-1),(B334+1),B334), B334)</f>
        <v>1</v>
      </c>
      <c r="C335" s="7">
        <f t="shared" si="11"/>
        <v>332</v>
      </c>
      <c r="D335" s="8">
        <f>IF((B335&gt;B334), (EXP(-LN(2)/inputs!$C$51)*D334+$D$3), (EXP(-LN(2)/inputs!$C$51)*D334))</f>
        <v>1.0008273918446198E-16</v>
      </c>
      <c r="E335" s="8">
        <f>IF((B335&gt;B334), (EXP(-LN(2)/inputs!$C$51)*E334+$E$3), (EXP(-LN(2)/inputs!$C$51)*E334))</f>
        <v>4.5871255459545025E-17</v>
      </c>
      <c r="F335" s="8">
        <f>IF((B335&gt;B334), (EXP(-LN(2)/inputs!$C$51)*F334+$F$3), (EXP(-LN(2)/inputs!$C$51)*F334))</f>
        <v>5.6296540791259811E-17</v>
      </c>
      <c r="G335" s="8">
        <f>IF((B335&gt;B334), (EXP(-LN(2)/inputs!$C$51)*G334+$G$3), (EXP(-LN(2)/inputs!$C$51)*G334))</f>
        <v>6.2551711990288737E-18</v>
      </c>
      <c r="H335" s="8">
        <f>IF((B335&gt;B334), (EXP(-LN(2)/inputs!$C$51)*H334+$H$3), (EXP(-LN(2)/inputs!$C$51)*H334))</f>
        <v>3.9199072847247519E-17</v>
      </c>
      <c r="I335" s="7">
        <f>O335*(10^inputs!$C$55)*0.01/1</f>
        <v>6.5370053165588859E-2</v>
      </c>
      <c r="J335" s="7">
        <f>(((0.621*15^0.564)/0.2))*D335/15+J334*inputs!$C$53</f>
        <v>1.0769549700127575E-16</v>
      </c>
      <c r="K335" s="7">
        <f>(((0.621*1000^0.564)/0.2))*D335/1000+K334*inputs!$C$53</f>
        <v>1.7257319265979162E-17</v>
      </c>
      <c r="L335" s="7">
        <f>(((0.648*20^0.651)/0.2))*H335/20+L334*inputs!$C$54</f>
        <v>5.90448639492288E-17</v>
      </c>
      <c r="M335" s="7">
        <f>(((0.013*2^0.773)/0.2))*H335/2+M334*inputs!$C$54</f>
        <v>2.8792284975198656E-18</v>
      </c>
      <c r="N335" s="7">
        <f>O335*0.015*inputs!$C$56</f>
        <v>9.6041419938496485E-3</v>
      </c>
      <c r="O335" s="7">
        <f>IF((B335&gt;B334), (EXP(-LN(2)/inputs!$C$52)*O334+$O$3), (EXP(-LN(2)/inputs!$C$52)*O334))</f>
        <v>1.0360455225296276E-3</v>
      </c>
      <c r="P335" s="3">
        <f>IF((B335&gt;B334), (EXP(-LN(2)/inputs!$C$52)*P334+$P$3), (EXP(-LN(2)/inputs!$C$52)*P334))</f>
        <v>1.0011358872031508E-3</v>
      </c>
      <c r="Q335" s="19">
        <f>IF((F335*0.62*1/(0.012*(10^inputs!$C$55)))&gt;inputs!$C$57, inputs!$C$57, (F335*0.62*1/(0.012*(10^inputs!$C$55))))</f>
        <v>4.609906886724143E-19</v>
      </c>
      <c r="R335" s="3">
        <f>IF((B335&gt;B334), (EXP(-LN(2)/inputs!$C$51)*R334+$R$3), (EXP(-LN(2)/inputs!$C$51)*R334))</f>
        <v>1.0710861046300506E-24</v>
      </c>
      <c r="T335" s="7">
        <f>IF(T334&lt;(inputs!$C$20-1),(1+T334),0)</f>
        <v>0</v>
      </c>
      <c r="U335" s="7">
        <f>IF(inputs!$C$19&gt;U334,IF(T334=(inputs!$C$20-1),(U334+1),U334), U334)</f>
        <v>1</v>
      </c>
      <c r="V335" s="7">
        <f t="shared" si="10"/>
        <v>332</v>
      </c>
      <c r="W335" s="8">
        <f>IF((U335&gt;U334), (EXP(-LN(2)/inputs!$C$51)*W334+$W$3), (EXP(-LN(2)/inputs!$C$51)*W334))</f>
        <v>3.544597012783022E-17</v>
      </c>
      <c r="X335" s="8">
        <f>IF((U335&gt;U334), (EXP(-LN(2)/inputs!$C$51)*X334+$X$3), (EXP(-LN(2)/inputs!$C$51)*X334))</f>
        <v>1.5012410877669267E-17</v>
      </c>
      <c r="Y335" s="8">
        <f>IF((U335&gt;U334), (EXP(-LN(2)/inputs!$C$51)*Y334+$Y$3), (EXP(-LN(2)/inputs!$C$51)*Y334))</f>
        <v>1.8765513597086606E-17</v>
      </c>
      <c r="Z335" s="8">
        <f>IF((U335&gt;U334), (EXP(-LN(2)/inputs!$C$51)*Z334+$Z$3), (EXP(-LN(2)/inputs!$C$51)*Z334))</f>
        <v>2.919079892880135E-18</v>
      </c>
      <c r="AA335" s="8">
        <f>IF((U335&gt;U334), (EXP(-LN(2)/inputs!$C$51)*AA334+$AA$3), (EXP(-LN(2)/inputs!$C$51)*AA334))</f>
        <v>2.7105741862458413E-17</v>
      </c>
      <c r="AB335" s="7">
        <f>(((0.621*15^0.564)/0.2))*W335/15+AB334*inputs!$C$53</f>
        <v>3.8142155187951758E-17</v>
      </c>
      <c r="AC335" s="7">
        <f>(((0.621*1000^0.564)/0.2))*W335/1000+AC334*inputs!$C$53</f>
        <v>6.1119672400342745E-18</v>
      </c>
      <c r="AD335" s="7">
        <f>(((0.648*20^0.651)/0.2))*AA335/20+AD334*inputs!$C$54</f>
        <v>4.0828895284041218E-17</v>
      </c>
      <c r="AE335" s="7">
        <f>(((0.013*2^0.773)/0.2))*AA335/2+AE334*inputs!$C$54</f>
        <v>1.9909558759445895E-18</v>
      </c>
    </row>
    <row r="336" spans="1:31" x14ac:dyDescent="0.3">
      <c r="A336" s="7">
        <f>IF(A335&lt;(inputs!$C$20-1),(1+A335),0)</f>
        <v>0</v>
      </c>
      <c r="B336" s="7">
        <f>IF(inputs!$C$19&gt;B335,IF(A335=(inputs!$C$20-1),(B335+1),B335), B335)</f>
        <v>1</v>
      </c>
      <c r="C336" s="7">
        <f t="shared" si="11"/>
        <v>333</v>
      </c>
      <c r="D336" s="8">
        <f>IF((B336&gt;B335), (EXP(-LN(2)/inputs!$C$51)*D335+$D$3), (EXP(-LN(2)/inputs!$C$51)*D335))</f>
        <v>8.781345622244198E-17</v>
      </c>
      <c r="E336" s="8">
        <f>IF((B336&gt;B335), (EXP(-LN(2)/inputs!$C$51)*E335+$E$3), (EXP(-LN(2)/inputs!$C$51)*E335))</f>
        <v>4.0247834101952533E-17</v>
      </c>
      <c r="F336" s="8">
        <f>IF((B336&gt;B335), (EXP(-LN(2)/inputs!$C$51)*F335+$F$3), (EXP(-LN(2)/inputs!$C$51)*F335))</f>
        <v>4.9395069125123568E-17</v>
      </c>
      <c r="G336" s="8">
        <f>IF((B336&gt;B335), (EXP(-LN(2)/inputs!$C$51)*G335+$G$3), (EXP(-LN(2)/inputs!$C$51)*G335))</f>
        <v>5.4883410139026237E-18</v>
      </c>
      <c r="H336" s="8">
        <f>IF((B336&gt;B335), (EXP(-LN(2)/inputs!$C$51)*H335+$H$3), (EXP(-LN(2)/inputs!$C$51)*H335))</f>
        <v>3.4393603687123029E-17</v>
      </c>
      <c r="I336" s="7">
        <f>O336*(10^inputs!$C$55)*0.01/1</f>
        <v>6.4050867294301345E-2</v>
      </c>
      <c r="J336" s="7">
        <f>(((0.621*15^0.564)/0.2))*D336/15+J335*inputs!$C$53</f>
        <v>9.4492955412074639E-17</v>
      </c>
      <c r="K336" s="7">
        <f>(((0.621*1000^0.564)/0.2))*D336/1000+K335*inputs!$C$53</f>
        <v>1.5141720362855915E-17</v>
      </c>
      <c r="L336" s="7">
        <f>(((0.648*20^0.651)/0.2))*H336/20+L335*inputs!$C$54</f>
        <v>5.1806471503635814E-17</v>
      </c>
      <c r="M336" s="7">
        <f>(((0.013*2^0.773)/0.2))*H336/2+M335*inputs!$C$54</f>
        <v>2.5262598494168829E-18</v>
      </c>
      <c r="N336" s="7">
        <f>O336*0.015*inputs!$C$56</f>
        <v>9.4103277347112584E-3</v>
      </c>
      <c r="O336" s="7">
        <f>IF((B336&gt;B335), (EXP(-LN(2)/inputs!$C$52)*O335+$O$3), (EXP(-LN(2)/inputs!$C$52)*O335))</f>
        <v>1.0151378354596827E-3</v>
      </c>
      <c r="P336" s="3">
        <f>IF((B336&gt;B335), (EXP(-LN(2)/inputs!$C$52)*P335+$P$3), (EXP(-LN(2)/inputs!$C$52)*P335))</f>
        <v>9.8093268629260728E-4</v>
      </c>
      <c r="Q336" s="19">
        <f>IF((F336*0.62*1/(0.012*(10^inputs!$C$55)))&gt;inputs!$C$57, inputs!$C$57, (F336*0.62*1/(0.012*(10^inputs!$C$55))))</f>
        <v>4.0447719545403102E-19</v>
      </c>
      <c r="R336" s="3">
        <f>IF((B336&gt;B335), (EXP(-LN(2)/inputs!$C$51)*R335+$R$3), (EXP(-LN(2)/inputs!$C$51)*R335))</f>
        <v>9.3978016115289509E-25</v>
      </c>
      <c r="T336" s="7">
        <f>IF(T335&lt;(inputs!$C$20-1),(1+T335),0)</f>
        <v>0</v>
      </c>
      <c r="U336" s="7">
        <f>IF(inputs!$C$19&gt;U335,IF(T335=(inputs!$C$20-1),(U335+1),U335), U335)</f>
        <v>1</v>
      </c>
      <c r="V336" s="7">
        <f t="shared" si="10"/>
        <v>333</v>
      </c>
      <c r="W336" s="8">
        <f>IF((U336&gt;U335), (EXP(-LN(2)/inputs!$C$51)*W335+$W$3), (EXP(-LN(2)/inputs!$C$51)*W335))</f>
        <v>3.1100599078781478E-17</v>
      </c>
      <c r="X336" s="8">
        <f>IF((U336&gt;U335), (EXP(-LN(2)/inputs!$C$51)*X335+$X$3), (EXP(-LN(2)/inputs!$C$51)*X335))</f>
        <v>1.317201843336627E-17</v>
      </c>
      <c r="Y336" s="8">
        <f>IF((U336&gt;U335), (EXP(-LN(2)/inputs!$C$51)*Y335+$Y$3), (EXP(-LN(2)/inputs!$C$51)*Y335))</f>
        <v>1.6465023041707858E-17</v>
      </c>
      <c r="Z336" s="8">
        <f>IF((U336&gt;U335), (EXP(-LN(2)/inputs!$C$51)*Z335+$Z$3), (EXP(-LN(2)/inputs!$C$51)*Z335))</f>
        <v>2.5612258064878858E-18</v>
      </c>
      <c r="AA336" s="8">
        <f>IF((U336&gt;U335), (EXP(-LN(2)/inputs!$C$51)*AA335+$AA$3), (EXP(-LN(2)/inputs!$C$51)*AA335))</f>
        <v>2.3782811060244668E-17</v>
      </c>
      <c r="AB336" s="7">
        <f>(((0.621*15^0.564)/0.2))*W336/15+AB335*inputs!$C$53</f>
        <v>3.3466255041776367E-17</v>
      </c>
      <c r="AC336" s="7">
        <f>(((0.621*1000^0.564)/0.2))*W336/1000+AC335*inputs!$C$53</f>
        <v>5.3626926285114602E-18</v>
      </c>
      <c r="AD336" s="7">
        <f>(((0.648*20^0.651)/0.2))*AA336/20+AD335*inputs!$C$54</f>
        <v>3.5823623912088627E-17</v>
      </c>
      <c r="AE336" s="7">
        <f>(((0.013*2^0.773)/0.2))*AA336/2+AE335*inputs!$C$54</f>
        <v>1.7468818107669951E-18</v>
      </c>
    </row>
    <row r="337" spans="1:31" x14ac:dyDescent="0.3">
      <c r="A337" s="7">
        <f>IF(A336&lt;(inputs!$C$20-1),(1+A336),0)</f>
        <v>0</v>
      </c>
      <c r="B337" s="7">
        <f>IF(inputs!$C$19&gt;B336,IF(A336=(inputs!$C$20-1),(B336+1),B336), B336)</f>
        <v>1</v>
      </c>
      <c r="C337" s="7">
        <f t="shared" si="11"/>
        <v>334</v>
      </c>
      <c r="D337" s="8">
        <f>IF((B337&gt;B336), (EXP(-LN(2)/inputs!$C$51)*D336+$D$3), (EXP(-LN(2)/inputs!$C$51)*D336))</f>
        <v>7.704828181728975E-17</v>
      </c>
      <c r="E337" s="8">
        <f>IF((B337&gt;B336), (EXP(-LN(2)/inputs!$C$51)*E336+$E$3), (EXP(-LN(2)/inputs!$C$51)*E336))</f>
        <v>3.5313795832924428E-17</v>
      </c>
      <c r="F337" s="8">
        <f>IF((B337&gt;B336), (EXP(-LN(2)/inputs!$C$51)*F336+$F$3), (EXP(-LN(2)/inputs!$C$51)*F336))</f>
        <v>4.3339658522225441E-17</v>
      </c>
      <c r="G337" s="8">
        <f>IF((B337&gt;B336), (EXP(-LN(2)/inputs!$C$51)*G336+$G$3), (EXP(-LN(2)/inputs!$C$51)*G336))</f>
        <v>4.8155176135806094E-18</v>
      </c>
      <c r="H337" s="8">
        <f>IF((B337&gt;B336), (EXP(-LN(2)/inputs!$C$51)*H336+$H$3), (EXP(-LN(2)/inputs!$C$51)*H336))</f>
        <v>3.0177243711771746E-17</v>
      </c>
      <c r="I337" s="7">
        <f>O337*(10^inputs!$C$55)*0.01/1</f>
        <v>6.275830296114529E-2</v>
      </c>
      <c r="J337" s="7">
        <f>(((0.621*15^0.564)/0.2))*D337/15+J336*inputs!$C$53</f>
        <v>8.2908931860006683E-17</v>
      </c>
      <c r="K337" s="7">
        <f>(((0.621*1000^0.564)/0.2))*D337/1000+K336*inputs!$C$53</f>
        <v>1.3285475687924977E-17</v>
      </c>
      <c r="L337" s="7">
        <f>(((0.648*20^0.651)/0.2))*H337/20+L336*inputs!$C$54</f>
        <v>4.5455443710817209E-17</v>
      </c>
      <c r="M337" s="7">
        <f>(((0.013*2^0.773)/0.2))*H337/2+M336*inputs!$C$54</f>
        <v>2.2165621215103921E-18</v>
      </c>
      <c r="N337" s="7">
        <f>O337*0.015*inputs!$C$56</f>
        <v>9.2204247012783441E-3</v>
      </c>
      <c r="O337" s="7">
        <f>IF((B337&gt;B336), (EXP(-LN(2)/inputs!$C$52)*O336+$O$3), (EXP(-LN(2)/inputs!$C$52)*O336))</f>
        <v>9.9465207133531217E-4</v>
      </c>
      <c r="P337" s="3">
        <f>IF((B337&gt;B336), (EXP(-LN(2)/inputs!$C$52)*P336+$P$3), (EXP(-LN(2)/inputs!$C$52)*P336))</f>
        <v>9.6113719160081902E-4</v>
      </c>
      <c r="Q337" s="19">
        <f>IF((F337*0.62*1/(0.012*(10^inputs!$C$55)))&gt;inputs!$C$57, inputs!$C$57, (F337*0.62*1/(0.012*(10^inputs!$C$55))))</f>
        <v>3.5489177040323227E-19</v>
      </c>
      <c r="R337" s="3">
        <f>IF((B337&gt;B336), (EXP(-LN(2)/inputs!$C$51)*R336+$R$3), (EXP(-LN(2)/inputs!$C$51)*R336))</f>
        <v>8.2457119691755424E-25</v>
      </c>
      <c r="T337" s="7">
        <f>IF(T336&lt;(inputs!$C$20-1),(1+T336),0)</f>
        <v>0</v>
      </c>
      <c r="U337" s="7">
        <f>IF(inputs!$C$19&gt;U336,IF(T336=(inputs!$C$20-1),(U336+1),U336), U336)</f>
        <v>1</v>
      </c>
      <c r="V337" s="7">
        <f t="shared" si="10"/>
        <v>334</v>
      </c>
      <c r="W337" s="8">
        <f>IF((U337&gt;U336), (EXP(-LN(2)/inputs!$C$51)*W336+$W$3), (EXP(-LN(2)/inputs!$C$51)*W336))</f>
        <v>2.7287933143623402E-17</v>
      </c>
      <c r="X337" s="8">
        <f>IF((U337&gt;U336), (EXP(-LN(2)/inputs!$C$51)*X336+$X$3), (EXP(-LN(2)/inputs!$C$51)*X336))</f>
        <v>1.1557242272593439E-17</v>
      </c>
      <c r="Y337" s="8">
        <f>IF((U337&gt;U336), (EXP(-LN(2)/inputs!$C$51)*Y336+$Y$3), (EXP(-LN(2)/inputs!$C$51)*Y336))</f>
        <v>1.4446552840741816E-17</v>
      </c>
      <c r="Z337" s="8">
        <f>IF((U337&gt;U336), (EXP(-LN(2)/inputs!$C$51)*Z336+$Z$3), (EXP(-LN(2)/inputs!$C$51)*Z336))</f>
        <v>2.2472415530042795E-18</v>
      </c>
      <c r="AA337" s="8">
        <f>IF((U337&gt;U336), (EXP(-LN(2)/inputs!$C$51)*AA336+$AA$3), (EXP(-LN(2)/inputs!$C$51)*AA336))</f>
        <v>2.0867242992182609E-17</v>
      </c>
      <c r="AB337" s="7">
        <f>(((0.621*15^0.564)/0.2))*W337/15+AB336*inputs!$C$53</f>
        <v>2.9363580033752308E-17</v>
      </c>
      <c r="AC337" s="7">
        <f>(((0.621*1000^0.564)/0.2))*W337/1000+AC336*inputs!$C$53</f>
        <v>4.7052726394734209E-18</v>
      </c>
      <c r="AD337" s="7">
        <f>(((0.648*20^0.651)/0.2))*AA337/20+AD336*inputs!$C$54</f>
        <v>3.1431955757480011E-17</v>
      </c>
      <c r="AE337" s="7">
        <f>(((0.013*2^0.773)/0.2))*AA337/2+AE336*inputs!$C$54</f>
        <v>1.5327291265763365E-18</v>
      </c>
    </row>
    <row r="338" spans="1:31" x14ac:dyDescent="0.3">
      <c r="A338" s="7">
        <f>IF(A337&lt;(inputs!$C$20-1),(1+A337),0)</f>
        <v>0</v>
      </c>
      <c r="B338" s="7">
        <f>IF(inputs!$C$19&gt;B337,IF(A337=(inputs!$C$20-1),(B337+1),B337), B337)</f>
        <v>1</v>
      </c>
      <c r="C338" s="7">
        <f t="shared" si="11"/>
        <v>335</v>
      </c>
      <c r="D338" s="8">
        <f>IF((B338&gt;B337), (EXP(-LN(2)/inputs!$C$51)*D337+$D$3), (EXP(-LN(2)/inputs!$C$51)*D337))</f>
        <v>6.7602825197527764E-17</v>
      </c>
      <c r="E338" s="8">
        <f>IF((B338&gt;B337), (EXP(-LN(2)/inputs!$C$51)*E337+$E$3), (EXP(-LN(2)/inputs!$C$51)*E337))</f>
        <v>3.0984628215533522E-17</v>
      </c>
      <c r="F338" s="8">
        <f>IF((B338&gt;B337), (EXP(-LN(2)/inputs!$C$51)*F337+$F$3), (EXP(-LN(2)/inputs!$C$51)*F337))</f>
        <v>3.8026589173609329E-17</v>
      </c>
      <c r="G338" s="8">
        <f>IF((B338&gt;B337), (EXP(-LN(2)/inputs!$C$51)*G337+$G$3), (EXP(-LN(2)/inputs!$C$51)*G337))</f>
        <v>4.2251765748454852E-18</v>
      </c>
      <c r="H338" s="8">
        <f>IF((B338&gt;B337), (EXP(-LN(2)/inputs!$C$51)*H337+$H$3), (EXP(-LN(2)/inputs!$C$51)*H337))</f>
        <v>2.6477773202364977E-17</v>
      </c>
      <c r="I338" s="7">
        <f>O338*(10^inputs!$C$55)*0.01/1</f>
        <v>6.1491822936070042E-2</v>
      </c>
      <c r="J338" s="7">
        <f>(((0.621*15^0.564)/0.2))*D338/15+J337*inputs!$C$53</f>
        <v>7.274500995540733E-17</v>
      </c>
      <c r="K338" s="7">
        <f>(((0.621*1000^0.564)/0.2))*D338/1000+K337*inputs!$C$53</f>
        <v>1.165679064364618E-17</v>
      </c>
      <c r="L338" s="7">
        <f>(((0.648*20^0.651)/0.2))*H338/20+L337*inputs!$C$54</f>
        <v>3.9882997297012688E-17</v>
      </c>
      <c r="M338" s="7">
        <f>(((0.013*2^0.773)/0.2))*H338/2+M337*inputs!$C$54</f>
        <v>1.9448306711792592E-18</v>
      </c>
      <c r="N338" s="7">
        <f>O338*0.015*inputs!$C$56</f>
        <v>9.0343539639273166E-3</v>
      </c>
      <c r="O338" s="7">
        <f>IF((B338&gt;B337), (EXP(-LN(2)/inputs!$C$52)*O337+$O$3), (EXP(-LN(2)/inputs!$C$52)*O337))</f>
        <v>9.7457971563401477E-4</v>
      </c>
      <c r="P338" s="3">
        <f>IF((B338&gt;B337), (EXP(-LN(2)/inputs!$C$52)*P337+$P$3), (EXP(-LN(2)/inputs!$C$52)*P337))</f>
        <v>9.4174117550278999E-4</v>
      </c>
      <c r="Q338" s="19">
        <f>IF((F338*0.62*1/(0.012*(10^inputs!$C$55)))&gt;inputs!$C$57, inputs!$C$57, (F338*0.62*1/(0.012*(10^inputs!$C$55))))</f>
        <v>3.1138509195447236E-19</v>
      </c>
      <c r="R338" s="3">
        <f>IF((B338&gt;B337), (EXP(-LN(2)/inputs!$C$51)*R337+$R$3), (EXP(-LN(2)/inputs!$C$51)*R337))</f>
        <v>7.2348586072719892E-25</v>
      </c>
      <c r="T338" s="7">
        <f>IF(T337&lt;(inputs!$C$20-1),(1+T337),0)</f>
        <v>0</v>
      </c>
      <c r="U338" s="7">
        <f>IF(inputs!$C$19&gt;U337,IF(T337=(inputs!$C$20-1),(U337+1),U337), U337)</f>
        <v>1</v>
      </c>
      <c r="V338" s="7">
        <f t="shared" si="10"/>
        <v>335</v>
      </c>
      <c r="W338" s="8">
        <f>IF((U338&gt;U337), (EXP(-LN(2)/inputs!$C$51)*W337+$W$3), (EXP(-LN(2)/inputs!$C$51)*W337))</f>
        <v>2.3942667257457705E-17</v>
      </c>
      <c r="X338" s="8">
        <f>IF((U338&gt;U337), (EXP(-LN(2)/inputs!$C$51)*X337+$X$3), (EXP(-LN(2)/inputs!$C$51)*X337))</f>
        <v>1.0140423779629143E-17</v>
      </c>
      <c r="Y338" s="8">
        <f>IF((U338&gt;U337), (EXP(-LN(2)/inputs!$C$51)*Y337+$Y$3), (EXP(-LN(2)/inputs!$C$51)*Y337))</f>
        <v>1.2675529724536446E-17</v>
      </c>
      <c r="Z338" s="8">
        <f>IF((U338&gt;U337), (EXP(-LN(2)/inputs!$C$51)*Z337+$Z$3), (EXP(-LN(2)/inputs!$C$51)*Z337))</f>
        <v>1.9717490682612223E-18</v>
      </c>
      <c r="AA338" s="8">
        <f>IF((U338&gt;U337), (EXP(-LN(2)/inputs!$C$51)*AA337+$AA$3), (EXP(-LN(2)/inputs!$C$51)*AA337))</f>
        <v>1.8309098490997075E-17</v>
      </c>
      <c r="AB338" s="7">
        <f>(((0.621*15^0.564)/0.2))*W338/15+AB337*inputs!$C$53</f>
        <v>2.5763857692540046E-17</v>
      </c>
      <c r="AC338" s="7">
        <f>(((0.621*1000^0.564)/0.2))*W338/1000+AC337*inputs!$C$53</f>
        <v>4.1284466862913478E-18</v>
      </c>
      <c r="AD338" s="7">
        <f>(((0.648*20^0.651)/0.2))*AA338/20+AD337*inputs!$C$54</f>
        <v>2.7578668343679009E-17</v>
      </c>
      <c r="AE338" s="7">
        <f>(((0.013*2^0.773)/0.2))*AA338/2+AE337*inputs!$C$54</f>
        <v>1.3448297194324678E-18</v>
      </c>
    </row>
    <row r="339" spans="1:31" x14ac:dyDescent="0.3">
      <c r="A339" s="7">
        <f>IF(A338&lt;(inputs!$C$20-1),(1+A338),0)</f>
        <v>0</v>
      </c>
      <c r="B339" s="7">
        <f>IF(inputs!$C$19&gt;B338,IF(A338=(inputs!$C$20-1),(B338+1),B338), B338)</f>
        <v>1</v>
      </c>
      <c r="C339" s="7">
        <f t="shared" si="11"/>
        <v>336</v>
      </c>
      <c r="D339" s="8">
        <f>IF((B339&gt;B338), (EXP(-LN(2)/inputs!$C$51)*D338+$D$3), (EXP(-LN(2)/inputs!$C$51)*D338))</f>
        <v>5.931530031422385E-17</v>
      </c>
      <c r="E339" s="8">
        <f>IF((B339&gt;B338), (EXP(-LN(2)/inputs!$C$51)*E338+$E$3), (EXP(-LN(2)/inputs!$C$51)*E338))</f>
        <v>2.7186179310685901E-17</v>
      </c>
      <c r="F339" s="8">
        <f>IF((B339&gt;B338), (EXP(-LN(2)/inputs!$C$51)*F338+$F$3), (EXP(-LN(2)/inputs!$C$51)*F338))</f>
        <v>3.3364856426750882E-17</v>
      </c>
      <c r="G339" s="8">
        <f>IF((B339&gt;B338), (EXP(-LN(2)/inputs!$C$51)*G338+$G$3), (EXP(-LN(2)/inputs!$C$51)*G338))</f>
        <v>3.7072062696389906E-18</v>
      </c>
      <c r="H339" s="8">
        <f>IF((B339&gt;B338), (EXP(-LN(2)/inputs!$C$51)*H338+$H$3), (EXP(-LN(2)/inputs!$C$51)*H338))</f>
        <v>2.3231825956404286E-17</v>
      </c>
      <c r="I339" s="7">
        <f>O339*(10^inputs!$C$55)*0.01/1</f>
        <v>6.0250900830476892E-2</v>
      </c>
      <c r="J339" s="7">
        <f>(((0.621*15^0.564)/0.2))*D339/15+J338*inputs!$C$53</f>
        <v>6.3827097451305698E-17</v>
      </c>
      <c r="K339" s="7">
        <f>(((0.621*1000^0.564)/0.2))*D339/1000+K338*inputs!$C$53</f>
        <v>1.0227768376656445E-17</v>
      </c>
      <c r="L339" s="7">
        <f>(((0.648*20^0.651)/0.2))*H339/20+L338*inputs!$C$54</f>
        <v>3.4993684882125284E-17</v>
      </c>
      <c r="M339" s="7">
        <f>(((0.013*2^0.773)/0.2))*H339/2+M338*inputs!$C$54</f>
        <v>1.7064111593598008E-18</v>
      </c>
      <c r="N339" s="7">
        <f>O339*0.015*inputs!$C$56</f>
        <v>8.8520381858563698E-3</v>
      </c>
      <c r="O339" s="7">
        <f>IF((B339&gt;B338), (EXP(-LN(2)/inputs!$C$52)*O338+$O$3), (EXP(-LN(2)/inputs!$C$52)*O338))</f>
        <v>9.5491242565872391E-4</v>
      </c>
      <c r="P339" s="3">
        <f>IF((B339&gt;B338), (EXP(-LN(2)/inputs!$C$52)*P338+$P$3), (EXP(-LN(2)/inputs!$C$52)*P338))</f>
        <v>9.2273657640928701E-4</v>
      </c>
      <c r="Q339" s="19">
        <f>IF((F339*0.62*1/(0.012*(10^inputs!$C$55)))&gt;inputs!$C$57, inputs!$C$57, (F339*0.62*1/(0.012*(10^inputs!$C$55))))</f>
        <v>2.7321195806069924E-19</v>
      </c>
      <c r="R339" s="3">
        <f>IF((B339&gt;B338), (EXP(-LN(2)/inputs!$C$51)*R338+$R$3), (EXP(-LN(2)/inputs!$C$51)*R338))</f>
        <v>6.347927172679448E-25</v>
      </c>
      <c r="T339" s="7">
        <f>IF(T338&lt;(inputs!$C$20-1),(1+T338),0)</f>
        <v>0</v>
      </c>
      <c r="U339" s="7">
        <f>IF(inputs!$C$19&gt;U338,IF(T338=(inputs!$C$20-1),(U338+1),U338), U338)</f>
        <v>1</v>
      </c>
      <c r="V339" s="7">
        <f t="shared" si="10"/>
        <v>336</v>
      </c>
      <c r="W339" s="8">
        <f>IF((U339&gt;U338), (EXP(-LN(2)/inputs!$C$51)*W338+$W$3), (EXP(-LN(2)/inputs!$C$51)*W338))</f>
        <v>2.100750219462091E-17</v>
      </c>
      <c r="X339" s="8">
        <f>IF((U339&gt;U338), (EXP(-LN(2)/inputs!$C$51)*X338+$X$3), (EXP(-LN(2)/inputs!$C$51)*X338))</f>
        <v>8.8972950471335599E-18</v>
      </c>
      <c r="Y339" s="8">
        <f>IF((U339&gt;U338), (EXP(-LN(2)/inputs!$C$51)*Y338+$Y$3), (EXP(-LN(2)/inputs!$C$51)*Y338))</f>
        <v>1.1121618808916963E-17</v>
      </c>
      <c r="Z339" s="8">
        <f>IF((U339&gt;U338), (EXP(-LN(2)/inputs!$C$51)*Z338+$Z$3), (EXP(-LN(2)/inputs!$C$51)*Z338))</f>
        <v>1.7300295924981921E-18</v>
      </c>
      <c r="AA339" s="8">
        <f>IF((U339&gt;U338), (EXP(-LN(2)/inputs!$C$51)*AA338+$AA$3), (EXP(-LN(2)/inputs!$C$51)*AA338))</f>
        <v>1.6064560501768936E-17</v>
      </c>
      <c r="AB339" s="7">
        <f>(((0.621*15^0.564)/0.2))*W339/15+AB338*inputs!$C$53</f>
        <v>2.2605430347337397E-17</v>
      </c>
      <c r="AC339" s="7">
        <f>(((0.621*1000^0.564)/0.2))*W339/1000+AC338*inputs!$C$53</f>
        <v>3.6223346333991506E-18</v>
      </c>
      <c r="AD339" s="7">
        <f>(((0.648*20^0.651)/0.2))*AA339/20+AD338*inputs!$C$54</f>
        <v>2.4197760822746228E-17</v>
      </c>
      <c r="AE339" s="7">
        <f>(((0.013*2^0.773)/0.2))*AA339/2+AE338*inputs!$C$54</f>
        <v>1.1799651633870975E-18</v>
      </c>
    </row>
    <row r="340" spans="1:31" x14ac:dyDescent="0.3">
      <c r="A340" s="7">
        <f>IF(A339&lt;(inputs!$C$20-1),(1+A339),0)</f>
        <v>0</v>
      </c>
      <c r="B340" s="7">
        <f>IF(inputs!$C$19&gt;B339,IF(A339=(inputs!$C$20-1),(B339+1),B339), B339)</f>
        <v>1</v>
      </c>
      <c r="C340" s="7">
        <f t="shared" si="11"/>
        <v>337</v>
      </c>
      <c r="D340" s="8">
        <f>IF((B340&gt;B339), (EXP(-LN(2)/inputs!$C$51)*D339+$D$3), (EXP(-LN(2)/inputs!$C$51)*D339))</f>
        <v>5.2043754696441719E-17</v>
      </c>
      <c r="E340" s="8">
        <f>IF((B340&gt;B339), (EXP(-LN(2)/inputs!$C$51)*E339+$E$3), (EXP(-LN(2)/inputs!$C$51)*E339))</f>
        <v>2.3853387569202427E-17</v>
      </c>
      <c r="F340" s="8">
        <f>IF((B340&gt;B339), (EXP(-LN(2)/inputs!$C$51)*F339+$F$3), (EXP(-LN(2)/inputs!$C$51)*F339))</f>
        <v>2.9274612016748439E-17</v>
      </c>
      <c r="G340" s="8">
        <f>IF((B340&gt;B339), (EXP(-LN(2)/inputs!$C$51)*G339+$G$3), (EXP(-LN(2)/inputs!$C$51)*G339))</f>
        <v>3.2527346685276074E-18</v>
      </c>
      <c r="H340" s="8">
        <f>IF((B340&gt;B339), (EXP(-LN(2)/inputs!$C$51)*H339+$H$3), (EXP(-LN(2)/inputs!$C$51)*H339))</f>
        <v>2.0383803922772957E-17</v>
      </c>
      <c r="I340" s="7">
        <f>O340*(10^inputs!$C$55)*0.01/1</f>
        <v>5.903502087843563E-2</v>
      </c>
      <c r="J340" s="7">
        <f>(((0.621*15^0.564)/0.2))*D340/15+J339*inputs!$C$53</f>
        <v>5.6002444312754562E-17</v>
      </c>
      <c r="K340" s="7">
        <f>(((0.621*1000^0.564)/0.2))*D340/1000+K339*inputs!$C$53</f>
        <v>8.9739319478601393E-18</v>
      </c>
      <c r="L340" s="7">
        <f>(((0.648*20^0.651)/0.2))*H340/20+L339*inputs!$C$54</f>
        <v>3.0703760113867005E-17</v>
      </c>
      <c r="M340" s="7">
        <f>(((0.013*2^0.773)/0.2))*H340/2+M339*inputs!$C$54</f>
        <v>1.497219828923229E-18</v>
      </c>
      <c r="N340" s="7">
        <f>O340*0.015*inputs!$C$56</f>
        <v>8.6734015909418882E-3</v>
      </c>
      <c r="O340" s="7">
        <f>IF((B340&gt;B339), (EXP(-LN(2)/inputs!$C$52)*O339+$O$3), (EXP(-LN(2)/inputs!$C$52)*O339))</f>
        <v>9.3564202707032242E-4</v>
      </c>
      <c r="P340" s="3">
        <f>IF((B340&gt;B339), (EXP(-LN(2)/inputs!$C$52)*P339+$P$3), (EXP(-LN(2)/inputs!$C$52)*P339))</f>
        <v>9.0411549541619194E-4</v>
      </c>
      <c r="Q340" s="19">
        <f>IF((F340*0.62*1/(0.012*(10^inputs!$C$55)))&gt;inputs!$C$57, inputs!$C$57, (F340*0.62*1/(0.012*(10^inputs!$C$55))))</f>
        <v>2.3971852203597176E-19</v>
      </c>
      <c r="R340" s="3">
        <f>IF((B340&gt;B339), (EXP(-LN(2)/inputs!$C$51)*R339+$R$3), (EXP(-LN(2)/inputs!$C$51)*R339))</f>
        <v>5.5697259030244354E-25</v>
      </c>
      <c r="T340" s="7">
        <f>IF(T339&lt;(inputs!$C$20-1),(1+T339),0)</f>
        <v>0</v>
      </c>
      <c r="U340" s="7">
        <f>IF(inputs!$C$19&gt;U339,IF(T339=(inputs!$C$20-1),(U339+1),U339), U339)</f>
        <v>1</v>
      </c>
      <c r="V340" s="7">
        <f t="shared" si="10"/>
        <v>337</v>
      </c>
      <c r="W340" s="8">
        <f>IF((U340&gt;U339), (EXP(-LN(2)/inputs!$C$51)*W339+$W$3), (EXP(-LN(2)/inputs!$C$51)*W339))</f>
        <v>1.843216312165641E-17</v>
      </c>
      <c r="X340" s="8">
        <f>IF((U340&gt;U339), (EXP(-LN(2)/inputs!$C$51)*X339+$X$3), (EXP(-LN(2)/inputs!$C$51)*X339))</f>
        <v>7.8065632044662425E-18</v>
      </c>
      <c r="Y340" s="8">
        <f>IF((U340&gt;U339), (EXP(-LN(2)/inputs!$C$51)*Y339+$Y$3), (EXP(-LN(2)/inputs!$C$51)*Y339))</f>
        <v>9.7582040055828154E-18</v>
      </c>
      <c r="Z340" s="8">
        <f>IF((U340&gt;U339), (EXP(-LN(2)/inputs!$C$51)*Z339+$Z$3), (EXP(-LN(2)/inputs!$C$51)*Z339))</f>
        <v>1.5179428453128805E-18</v>
      </c>
      <c r="AA340" s="8">
        <f>IF((U340&gt;U339), (EXP(-LN(2)/inputs!$C$51)*AA339+$AA$3), (EXP(-LN(2)/inputs!$C$51)*AA339))</f>
        <v>1.409518356361961E-17</v>
      </c>
      <c r="AB340" s="7">
        <f>(((0.621*15^0.564)/0.2))*W340/15+AB339*inputs!$C$53</f>
        <v>1.9834199027433871E-17</v>
      </c>
      <c r="AC340" s="7">
        <f>(((0.621*1000^0.564)/0.2))*W340/1000+AC339*inputs!$C$53</f>
        <v>3.1782675648671266E-18</v>
      </c>
      <c r="AD340" s="7">
        <f>(((0.648*20^0.651)/0.2))*AA340/20+AD339*inputs!$C$54</f>
        <v>2.1231323482993162E-17</v>
      </c>
      <c r="AE340" s="7">
        <f>(((0.013*2^0.773)/0.2))*AA340/2+AE339*inputs!$C$54</f>
        <v>1.0353115838298933E-18</v>
      </c>
    </row>
    <row r="341" spans="1:31" x14ac:dyDescent="0.3">
      <c r="A341" s="7">
        <f>IF(A340&lt;(inputs!$C$20-1),(1+A340),0)</f>
        <v>0</v>
      </c>
      <c r="B341" s="7">
        <f>IF(inputs!$C$19&gt;B340,IF(A340=(inputs!$C$20-1),(B340+1),B340), B340)</f>
        <v>1</v>
      </c>
      <c r="C341" s="7">
        <f t="shared" si="11"/>
        <v>338</v>
      </c>
      <c r="D341" s="8">
        <f>IF((B341&gt;B340), (EXP(-LN(2)/inputs!$C$51)*D340+$D$3), (EXP(-LN(2)/inputs!$C$51)*D340))</f>
        <v>4.5663638025177236E-17</v>
      </c>
      <c r="E341" s="8">
        <f>IF((B341&gt;B340), (EXP(-LN(2)/inputs!$C$51)*E340+$E$3), (EXP(-LN(2)/inputs!$C$51)*E340))</f>
        <v>2.092916742820621E-17</v>
      </c>
      <c r="F341" s="8">
        <f>IF((B341&gt;B340), (EXP(-LN(2)/inputs!$C$51)*F340+$F$3), (EXP(-LN(2)/inputs!$C$51)*F340))</f>
        <v>2.5685796389162173E-17</v>
      </c>
      <c r="G341" s="8">
        <f>IF((B341&gt;B340), (EXP(-LN(2)/inputs!$C$51)*G340+$G$3), (EXP(-LN(2)/inputs!$C$51)*G340))</f>
        <v>2.8539773765735773E-18</v>
      </c>
      <c r="H341" s="8">
        <f>IF((B341&gt;B340), (EXP(-LN(2)/inputs!$C$51)*H340+$H$3), (EXP(-LN(2)/inputs!$C$51)*H340))</f>
        <v>1.7884924893194373E-17</v>
      </c>
      <c r="I341" s="7">
        <f>O341*(10^inputs!$C$55)*0.01/1</f>
        <v>5.7843677722316064E-2</v>
      </c>
      <c r="J341" s="7">
        <f>(((0.621*15^0.564)/0.2))*D341/15+J340*inputs!$C$53</f>
        <v>4.9137026345211272E-17</v>
      </c>
      <c r="K341" s="7">
        <f>(((0.621*1000^0.564)/0.2))*D341/1000+K340*inputs!$C$53</f>
        <v>7.8738050803562849E-18</v>
      </c>
      <c r="L341" s="7">
        <f>(((0.648*20^0.651)/0.2))*H341/20+L340*inputs!$C$54</f>
        <v>2.693974322239584E-17</v>
      </c>
      <c r="M341" s="7">
        <f>(((0.013*2^0.773)/0.2))*H341/2+M340*inputs!$C$54</f>
        <v>1.3136735562382961E-18</v>
      </c>
      <c r="N341" s="7">
        <f>O341*0.015*inputs!$C$56</f>
        <v>8.4983699322435241E-3</v>
      </c>
      <c r="O341" s="7">
        <f>IF((B341&gt;B340), (EXP(-LN(2)/inputs!$C$52)*O340+$O$3), (EXP(-LN(2)/inputs!$C$52)*O340))</f>
        <v>9.1676051049013202E-4</v>
      </c>
      <c r="P341" s="3">
        <f>IF((B341&gt;B340), (EXP(-LN(2)/inputs!$C$52)*P340+$P$3), (EXP(-LN(2)/inputs!$C$52)*P340))</f>
        <v>8.8587019302147074E-4</v>
      </c>
      <c r="Q341" s="19">
        <f>IF((F341*0.62*1/(0.012*(10^inputs!$C$55)))&gt;inputs!$C$57, inputs!$C$57, (F341*0.62*1/(0.012*(10^inputs!$C$55))))</f>
        <v>2.1033109317398092E-19</v>
      </c>
      <c r="R341" s="3">
        <f>IF((B341&gt;B340), (EXP(-LN(2)/inputs!$C$51)*R340+$R$3), (EXP(-LN(2)/inputs!$C$51)*R340))</f>
        <v>4.8869254153284659E-25</v>
      </c>
      <c r="T341" s="7">
        <f>IF(T340&lt;(inputs!$C$20-1),(1+T340),0)</f>
        <v>0</v>
      </c>
      <c r="U341" s="7">
        <f>IF(inputs!$C$19&gt;U340,IF(T340=(inputs!$C$20-1),(U340+1),U340), U340)</f>
        <v>1</v>
      </c>
      <c r="V341" s="7">
        <f t="shared" si="10"/>
        <v>338</v>
      </c>
      <c r="W341" s="8">
        <f>IF((U341&gt;U340), (EXP(-LN(2)/inputs!$C$51)*W340+$W$3), (EXP(-LN(2)/inputs!$C$51)*W340))</f>
        <v>1.6172538467250242E-17</v>
      </c>
      <c r="X341" s="8">
        <f>IF((U341&gt;U340), (EXP(-LN(2)/inputs!$C$51)*X340+$X$3), (EXP(-LN(2)/inputs!$C$51)*X340))</f>
        <v>6.849545703776572E-18</v>
      </c>
      <c r="Y341" s="8">
        <f>IF((U341&gt;U340), (EXP(-LN(2)/inputs!$C$51)*Y340+$Y$3), (EXP(-LN(2)/inputs!$C$51)*Y340))</f>
        <v>8.5619321297207253E-18</v>
      </c>
      <c r="Z341" s="8">
        <f>IF((U341&gt;U340), (EXP(-LN(2)/inputs!$C$51)*Z340+$Z$3), (EXP(-LN(2)/inputs!$C$51)*Z340))</f>
        <v>1.3318561090676668E-18</v>
      </c>
      <c r="AA341" s="8">
        <f>IF((U341&gt;U340), (EXP(-LN(2)/inputs!$C$51)*AA340+$AA$3), (EXP(-LN(2)/inputs!$C$51)*AA340))</f>
        <v>1.2367235298485482E-17</v>
      </c>
      <c r="AB341" s="7">
        <f>(((0.621*15^0.564)/0.2))*W341/15+AB340*inputs!$C$53</f>
        <v>1.7402696830595628E-17</v>
      </c>
      <c r="AC341" s="7">
        <f>(((0.621*1000^0.564)/0.2))*W341/1000+AC340*inputs!$C$53</f>
        <v>2.7886392992928454E-18</v>
      </c>
      <c r="AD341" s="7">
        <f>(((0.648*20^0.651)/0.2))*AA341/20+AD340*inputs!$C$54</f>
        <v>1.8628545845273739E-17</v>
      </c>
      <c r="AE341" s="7">
        <f>(((0.013*2^0.773)/0.2))*AA341/2+AE340*inputs!$C$54</f>
        <v>9.0839128888818422E-19</v>
      </c>
    </row>
    <row r="342" spans="1:31" x14ac:dyDescent="0.3">
      <c r="A342" s="7">
        <f>IF(A341&lt;(inputs!$C$20-1),(1+A341),0)</f>
        <v>0</v>
      </c>
      <c r="B342" s="7">
        <f>IF(inputs!$C$19&gt;B341,IF(A341=(inputs!$C$20-1),(B341+1),B341), B341)</f>
        <v>1</v>
      </c>
      <c r="C342" s="7">
        <f t="shared" si="11"/>
        <v>339</v>
      </c>
      <c r="D342" s="8">
        <f>IF((B342&gt;B341), (EXP(-LN(2)/inputs!$C$51)*D341+$D$3), (EXP(-LN(2)/inputs!$C$51)*D341))</f>
        <v>4.0065668779216222E-17</v>
      </c>
      <c r="E342" s="8">
        <f>IF((B342&gt;B341), (EXP(-LN(2)/inputs!$C$51)*E341+$E$3), (EXP(-LN(2)/inputs!$C$51)*E341))</f>
        <v>1.8363431523807414E-17</v>
      </c>
      <c r="F342" s="8">
        <f>IF((B342&gt;B341), (EXP(-LN(2)/inputs!$C$51)*F341+$F$3), (EXP(-LN(2)/inputs!$C$51)*F341))</f>
        <v>2.2536938688309103E-17</v>
      </c>
      <c r="G342" s="8">
        <f>IF((B342&gt;B341), (EXP(-LN(2)/inputs!$C$51)*G341+$G$3), (EXP(-LN(2)/inputs!$C$51)*G341))</f>
        <v>2.5041042987010139E-18</v>
      </c>
      <c r="H342" s="8">
        <f>IF((B342&gt;B341), (EXP(-LN(2)/inputs!$C$51)*H341+$H$3), (EXP(-LN(2)/inputs!$C$51)*H341))</f>
        <v>1.5692386938526313E-17</v>
      </c>
      <c r="I342" s="7">
        <f>O342*(10^inputs!$C$55)*0.01/1</f>
        <v>5.6676376202745682E-2</v>
      </c>
      <c r="J342" s="7">
        <f>(((0.621*15^0.564)/0.2))*D342/15+J341*inputs!$C$53</f>
        <v>4.3113249567574616E-17</v>
      </c>
      <c r="K342" s="7">
        <f>(((0.621*1000^0.564)/0.2))*D342/1000+K341*inputs!$C$53</f>
        <v>6.9085443040637018E-18</v>
      </c>
      <c r="L342" s="7">
        <f>(((0.648*20^0.651)/0.2))*H342/20+L341*inputs!$C$54</f>
        <v>2.3637162425615942E-17</v>
      </c>
      <c r="M342" s="7">
        <f>(((0.013*2^0.773)/0.2))*H342/2+M341*inputs!$C$54</f>
        <v>1.1526284778106956E-18</v>
      </c>
      <c r="N342" s="7">
        <f>O342*0.015*inputs!$C$56</f>
        <v>8.3268704611448533E-3</v>
      </c>
      <c r="O342" s="7">
        <f>IF((B342&gt;B341), (EXP(-LN(2)/inputs!$C$52)*O341+$O$3), (EXP(-LN(2)/inputs!$C$52)*O341))</f>
        <v>8.9826002817096589E-4</v>
      </c>
      <c r="P342" s="3">
        <f>IF((B342&gt;B341), (EXP(-LN(2)/inputs!$C$52)*P341+$P$3), (EXP(-LN(2)/inputs!$C$52)*P341))</f>
        <v>8.6799308590839504E-4</v>
      </c>
      <c r="Q342" s="19">
        <f>IF((F342*0.62*1/(0.012*(10^inputs!$C$55)))&gt;inputs!$C$57, inputs!$C$57, (F342*0.62*1/(0.012*(10^inputs!$C$55))))</f>
        <v>1.8454631031440856E-19</v>
      </c>
      <c r="R342" s="3">
        <f>IF((B342&gt;B341), (EXP(-LN(2)/inputs!$C$51)*R341+$R$3), (EXP(-LN(2)/inputs!$C$51)*R341))</f>
        <v>4.2878303943134856E-25</v>
      </c>
      <c r="T342" s="7">
        <f>IF(T341&lt;(inputs!$C$20-1),(1+T341),0)</f>
        <v>0</v>
      </c>
      <c r="U342" s="7">
        <f>IF(inputs!$C$19&gt;U341,IF(T341=(inputs!$C$20-1),(U341+1),U341), U341)</f>
        <v>1</v>
      </c>
      <c r="V342" s="7">
        <f t="shared" si="10"/>
        <v>339</v>
      </c>
      <c r="W342" s="8">
        <f>IF((U342&gt;U341), (EXP(-LN(2)/inputs!$C$51)*W341+$W$3), (EXP(-LN(2)/inputs!$C$51)*W341))</f>
        <v>1.4189924359305718E-17</v>
      </c>
      <c r="X342" s="8">
        <f>IF((U342&gt;U341), (EXP(-LN(2)/inputs!$C$51)*X341+$X$3), (EXP(-LN(2)/inputs!$C$51)*X341))</f>
        <v>6.0098503168824208E-18</v>
      </c>
      <c r="Y342" s="8">
        <f>IF((U342&gt;U341), (EXP(-LN(2)/inputs!$C$51)*Y341+$Y$3), (EXP(-LN(2)/inputs!$C$51)*Y341))</f>
        <v>7.5123128961030355E-18</v>
      </c>
      <c r="Z342" s="8">
        <f>IF((U342&gt;U341), (EXP(-LN(2)/inputs!$C$51)*Z341+$Z$3), (EXP(-LN(2)/inputs!$C$51)*Z341))</f>
        <v>1.1685820060604707E-18</v>
      </c>
      <c r="AA342" s="8">
        <f>IF((U342&gt;U341), (EXP(-LN(2)/inputs!$C$51)*AA341+$AA$3), (EXP(-LN(2)/inputs!$C$51)*AA341))</f>
        <v>1.0851118627704375E-17</v>
      </c>
      <c r="AB342" s="7">
        <f>(((0.621*15^0.564)/0.2))*W342/15+AB341*inputs!$C$53</f>
        <v>1.5269275888515982E-17</v>
      </c>
      <c r="AC342" s="7">
        <f>(((0.621*1000^0.564)/0.2))*W342/1000+AC341*inputs!$C$53</f>
        <v>2.4467761076892227E-18</v>
      </c>
      <c r="AD342" s="7">
        <f>(((0.648*20^0.651)/0.2))*AA342/20+AD341*inputs!$C$54</f>
        <v>1.6344846358138699E-17</v>
      </c>
      <c r="AE342" s="7">
        <f>(((0.013*2^0.773)/0.2))*AA342/2+AE341*inputs!$C$54</f>
        <v>7.9703033040101367E-19</v>
      </c>
    </row>
    <row r="343" spans="1:31" x14ac:dyDescent="0.3">
      <c r="A343" s="7">
        <f>IF(A342&lt;(inputs!$C$20-1),(1+A342),0)</f>
        <v>0</v>
      </c>
      <c r="B343" s="7">
        <f>IF(inputs!$C$19&gt;B342,IF(A342=(inputs!$C$20-1),(B342+1),B342), B342)</f>
        <v>1</v>
      </c>
      <c r="C343" s="7">
        <f t="shared" si="11"/>
        <v>340</v>
      </c>
      <c r="D343" s="8">
        <f>IF((B343&gt;B342), (EXP(-LN(2)/inputs!$C$51)*D342+$D$3), (EXP(-LN(2)/inputs!$C$51)*D342))</f>
        <v>3.5153962411859995E-17</v>
      </c>
      <c r="E343" s="8">
        <f>IF((B343&gt;B342), (EXP(-LN(2)/inputs!$C$51)*E342+$E$3), (EXP(-LN(2)/inputs!$C$51)*E342))</f>
        <v>1.6112232772102479E-17</v>
      </c>
      <c r="F343" s="8">
        <f>IF((B343&gt;B342), (EXP(-LN(2)/inputs!$C$51)*F342+$F$3), (EXP(-LN(2)/inputs!$C$51)*F342))</f>
        <v>1.9774103856671229E-17</v>
      </c>
      <c r="G343" s="8">
        <f>IF((B343&gt;B342), (EXP(-LN(2)/inputs!$C$51)*G342+$G$3), (EXP(-LN(2)/inputs!$C$51)*G342))</f>
        <v>2.1971226507412497E-18</v>
      </c>
      <c r="H343" s="8">
        <f>IF((B343&gt;B342), (EXP(-LN(2)/inputs!$C$51)*H342+$H$3), (EXP(-LN(2)/inputs!$C$51)*H342))</f>
        <v>1.3768635277978463E-17</v>
      </c>
      <c r="I343" s="7">
        <f>O343*(10^inputs!$C$55)*0.01/1</f>
        <v>5.5532631152805954E-2</v>
      </c>
      <c r="J343" s="7">
        <f>(((0.621*15^0.564)/0.2))*D343/15+J342*inputs!$C$53</f>
        <v>3.7827936009341364E-17</v>
      </c>
      <c r="K343" s="7">
        <f>(((0.621*1000^0.564)/0.2))*D343/1000+K342*inputs!$C$53</f>
        <v>6.0616161962509934E-18</v>
      </c>
      <c r="L343" s="7">
        <f>(((0.648*20^0.651)/0.2))*H343/20+L342*inputs!$C$54</f>
        <v>2.0739449627362174E-17</v>
      </c>
      <c r="M343" s="7">
        <f>(((0.013*2^0.773)/0.2))*H343/2+M342*inputs!$C$54</f>
        <v>1.0113261407685718E-18</v>
      </c>
      <c r="N343" s="7">
        <f>O343*0.015*inputs!$C$56</f>
        <v>8.1588318971167889E-3</v>
      </c>
      <c r="O343" s="7">
        <f>IF((B343&gt;B342), (EXP(-LN(2)/inputs!$C$52)*O342+$O$3), (EXP(-LN(2)/inputs!$C$52)*O342))</f>
        <v>8.8013289073536019E-4</v>
      </c>
      <c r="P343" s="3">
        <f>IF((B343&gt;B342), (EXP(-LN(2)/inputs!$C$52)*P342+$P$3), (EXP(-LN(2)/inputs!$C$52)*P342))</f>
        <v>8.5047674379367917E-4</v>
      </c>
      <c r="Q343" s="19">
        <f>IF((F343*0.62*1/(0.012*(10^inputs!$C$55)))&gt;inputs!$C$57, inputs!$C$57, (F343*0.62*1/(0.012*(10^inputs!$C$55))))</f>
        <v>1.6192252004552912E-19</v>
      </c>
      <c r="R343" s="3">
        <f>IF((B343&gt;B342), (EXP(-LN(2)/inputs!$C$51)*R342+$R$3), (EXP(-LN(2)/inputs!$C$51)*R342))</f>
        <v>3.7621792697572389E-25</v>
      </c>
      <c r="T343" s="7">
        <f>IF(T342&lt;(inputs!$C$20-1),(1+T342),0)</f>
        <v>0</v>
      </c>
      <c r="U343" s="7">
        <f>IF(inputs!$C$19&gt;U342,IF(T342=(inputs!$C$20-1),(U342+1),U342), U342)</f>
        <v>1</v>
      </c>
      <c r="V343" s="7">
        <f t="shared" si="10"/>
        <v>340</v>
      </c>
      <c r="W343" s="8">
        <f>IF((U343&gt;U342), (EXP(-LN(2)/inputs!$C$51)*W342+$W$3), (EXP(-LN(2)/inputs!$C$51)*W342))</f>
        <v>1.2450361687533725E-17</v>
      </c>
      <c r="X343" s="8">
        <f>IF((U343&gt;U342), (EXP(-LN(2)/inputs!$C$51)*X342+$X$3), (EXP(-LN(2)/inputs!$C$51)*X342))</f>
        <v>5.2730943617789881E-18</v>
      </c>
      <c r="Y343" s="8">
        <f>IF((U343&gt;U342), (EXP(-LN(2)/inputs!$C$51)*Y342+$Y$3), (EXP(-LN(2)/inputs!$C$51)*Y342))</f>
        <v>6.5913679522237437E-18</v>
      </c>
      <c r="Z343" s="8">
        <f>IF((U343&gt;U342), (EXP(-LN(2)/inputs!$C$51)*Z342+$Z$3), (EXP(-LN(2)/inputs!$C$51)*Z342))</f>
        <v>1.0253239036792477E-18</v>
      </c>
      <c r="AA343" s="8">
        <f>IF((U343&gt;U342), (EXP(-LN(2)/inputs!$C$51)*AA342+$AA$3), (EXP(-LN(2)/inputs!$C$51)*AA342))</f>
        <v>9.5208648198787332E-18</v>
      </c>
      <c r="AB343" s="7">
        <f>(((0.621*15^0.564)/0.2))*W343/15+AB342*inputs!$C$53</f>
        <v>1.3397394003308374E-17</v>
      </c>
      <c r="AC343" s="7">
        <f>(((0.621*1000^0.564)/0.2))*W343/1000+AC342*inputs!$C$53</f>
        <v>2.1468224028388895E-18</v>
      </c>
      <c r="AD343" s="7">
        <f>(((0.648*20^0.651)/0.2))*AA343/20+AD342*inputs!$C$54</f>
        <v>1.4341108784878114E-17</v>
      </c>
      <c r="AE343" s="7">
        <f>(((0.013*2^0.773)/0.2))*AA343/2+AE342*inputs!$C$54</f>
        <v>6.9932126755273652E-19</v>
      </c>
    </row>
    <row r="344" spans="1:31" x14ac:dyDescent="0.3">
      <c r="A344" s="7">
        <f>IF(A343&lt;(inputs!$C$20-1),(1+A343),0)</f>
        <v>0</v>
      </c>
      <c r="B344" s="7">
        <f>IF(inputs!$C$19&gt;B343,IF(A343=(inputs!$C$20-1),(B343+1),B343), B343)</f>
        <v>1</v>
      </c>
      <c r="C344" s="7">
        <f t="shared" si="11"/>
        <v>341</v>
      </c>
      <c r="D344" s="8">
        <f>IF((B344&gt;B343), (EXP(-LN(2)/inputs!$C$51)*D343+$D$3), (EXP(-LN(2)/inputs!$C$51)*D343))</f>
        <v>3.0844388997083917E-17</v>
      </c>
      <c r="E344" s="8">
        <f>IF((B344&gt;B343), (EXP(-LN(2)/inputs!$C$51)*E343+$E$3), (EXP(-LN(2)/inputs!$C$51)*E343))</f>
        <v>1.4137011623663445E-17</v>
      </c>
      <c r="F344" s="8">
        <f>IF((B344&gt;B343), (EXP(-LN(2)/inputs!$C$51)*F343+$F$3), (EXP(-LN(2)/inputs!$C$51)*F343))</f>
        <v>1.7349968810859686E-17</v>
      </c>
      <c r="G344" s="8">
        <f>IF((B344&gt;B343), (EXP(-LN(2)/inputs!$C$51)*G343+$G$3), (EXP(-LN(2)/inputs!$C$51)*G343))</f>
        <v>1.9277743123177448E-18</v>
      </c>
      <c r="H344" s="8">
        <f>IF((B344&gt;B343), (EXP(-LN(2)/inputs!$C$51)*H343+$H$3), (EXP(-LN(2)/inputs!$C$51)*H343))</f>
        <v>1.2080719023857837E-17</v>
      </c>
      <c r="I344" s="7">
        <f>O344*(10^inputs!$C$55)*0.01/1</f>
        <v>5.4411967196381833E-2</v>
      </c>
      <c r="J344" s="7">
        <f>(((0.621*15^0.564)/0.2))*D344/15+J343*inputs!$C$53</f>
        <v>3.3190556431706358E-17</v>
      </c>
      <c r="K344" s="7">
        <f>(((0.621*1000^0.564)/0.2))*D344/1000+K343*inputs!$C$53</f>
        <v>5.318514189601348E-18</v>
      </c>
      <c r="L344" s="7">
        <f>(((0.648*20^0.651)/0.2))*H344/20+L343*inputs!$C$54</f>
        <v>1.8196971493488601E-17</v>
      </c>
      <c r="M344" s="7">
        <f>(((0.013*2^0.773)/0.2))*H344/2+M343*inputs!$C$54</f>
        <v>8.8734625483531699E-19</v>
      </c>
      <c r="N344" s="7">
        <f>O344*0.015*inputs!$C$56</f>
        <v>7.9941843980911621E-3</v>
      </c>
      <c r="O344" s="7">
        <f>IF((B344&gt;B343), (EXP(-LN(2)/inputs!$C$52)*O343+$O$3), (EXP(-LN(2)/inputs!$C$52)*O343))</f>
        <v>8.6237156397962907E-4</v>
      </c>
      <c r="P344" s="3">
        <f>IF((B344&gt;B343), (EXP(-LN(2)/inputs!$C$52)*P343+$P$3), (EXP(-LN(2)/inputs!$C$52)*P343))</f>
        <v>8.3331388633922263E-4</v>
      </c>
      <c r="Q344" s="19">
        <f>IF((F344*0.62*1/(0.012*(10^inputs!$C$55)))&gt;inputs!$C$57, inputs!$C$57, (F344*0.62*1/(0.012*(10^inputs!$C$55))))</f>
        <v>1.4207221186501132E-19</v>
      </c>
      <c r="R344" s="3">
        <f>IF((B344&gt;B343), (EXP(-LN(2)/inputs!$C$51)*R343+$R$3), (EXP(-LN(2)/inputs!$C$51)*R343))</f>
        <v>3.3009684516817914E-25</v>
      </c>
      <c r="T344" s="7">
        <f>IF(T343&lt;(inputs!$C$20-1),(1+T343),0)</f>
        <v>0</v>
      </c>
      <c r="U344" s="7">
        <f>IF(inputs!$C$19&gt;U343,IF(T343=(inputs!$C$20-1),(U343+1),U343), U343)</f>
        <v>1</v>
      </c>
      <c r="V344" s="7">
        <f t="shared" si="10"/>
        <v>341</v>
      </c>
      <c r="W344" s="8">
        <f>IF((U344&gt;U343), (EXP(-LN(2)/inputs!$C$51)*W343+$W$3), (EXP(-LN(2)/inputs!$C$51)*W343))</f>
        <v>1.09240544364672E-17</v>
      </c>
      <c r="X344" s="8">
        <f>IF((U344&gt;U343), (EXP(-LN(2)/inputs!$C$51)*X343+$X$3), (EXP(-LN(2)/inputs!$C$51)*X343))</f>
        <v>4.626658349562578E-18</v>
      </c>
      <c r="Y344" s="8">
        <f>IF((U344&gt;U343), (EXP(-LN(2)/inputs!$C$51)*Y343+$Y$3), (EXP(-LN(2)/inputs!$C$51)*Y343))</f>
        <v>5.7833229369532298E-18</v>
      </c>
      <c r="Z344" s="8">
        <f>IF((U344&gt;U343), (EXP(-LN(2)/inputs!$C$51)*Z343+$Z$3), (EXP(-LN(2)/inputs!$C$51)*Z343))</f>
        <v>8.9962801241494561E-19</v>
      </c>
      <c r="AA344" s="8">
        <f>IF((U344&gt;U343), (EXP(-LN(2)/inputs!$C$51)*AA343+$AA$3), (EXP(-LN(2)/inputs!$C$51)*AA343))</f>
        <v>8.3536886867102144E-18</v>
      </c>
      <c r="AB344" s="7">
        <f>(((0.621*15^0.564)/0.2))*W344/15+AB343*inputs!$C$53</f>
        <v>1.1754988736229313E-17</v>
      </c>
      <c r="AC344" s="7">
        <f>(((0.621*1000^0.564)/0.2))*W344/1000+AC343*inputs!$C$53</f>
        <v>1.8836404421504736E-18</v>
      </c>
      <c r="AD344" s="7">
        <f>(((0.648*20^0.651)/0.2))*AA344/20+AD343*inputs!$C$54</f>
        <v>1.2583012202944257E-17</v>
      </c>
      <c r="AE344" s="7">
        <f>(((0.013*2^0.773)/0.2))*AA344/2+AE343*inputs!$C$54</f>
        <v>6.1359049536484762E-19</v>
      </c>
    </row>
    <row r="345" spans="1:31" x14ac:dyDescent="0.3">
      <c r="A345" s="7">
        <f>IF(A344&lt;(inputs!$C$20-1),(1+A344),0)</f>
        <v>0</v>
      </c>
      <c r="B345" s="7">
        <f>IF(inputs!$C$19&gt;B344,IF(A344=(inputs!$C$20-1),(B344+1),B344), B344)</f>
        <v>1</v>
      </c>
      <c r="C345" s="7">
        <f t="shared" si="11"/>
        <v>342</v>
      </c>
      <c r="D345" s="8">
        <f>IF((B345&gt;B344), (EXP(-LN(2)/inputs!$C$51)*D344+$D$3), (EXP(-LN(2)/inputs!$C$51)*D344))</f>
        <v>2.706313221415014E-17</v>
      </c>
      <c r="E345" s="8">
        <f>IF((B345&gt;B344), (EXP(-LN(2)/inputs!$C$51)*E344+$E$3), (EXP(-LN(2)/inputs!$C$51)*E344))</f>
        <v>1.2403935598152133E-17</v>
      </c>
      <c r="F345" s="8">
        <f>IF((B345&gt;B344), (EXP(-LN(2)/inputs!$C$51)*F344+$F$3), (EXP(-LN(2)/inputs!$C$51)*F344))</f>
        <v>1.5223011870459438E-17</v>
      </c>
      <c r="G345" s="8">
        <f>IF((B345&gt;B344), (EXP(-LN(2)/inputs!$C$51)*G344+$G$3), (EXP(-LN(2)/inputs!$C$51)*G344))</f>
        <v>1.6914457633843837E-18</v>
      </c>
      <c r="H345" s="8">
        <f>IF((B345&gt;B344), (EXP(-LN(2)/inputs!$C$51)*H344+$H$3), (EXP(-LN(2)/inputs!$C$51)*H344))</f>
        <v>1.0599726783875445E-17</v>
      </c>
      <c r="I345" s="7">
        <f>O345*(10^inputs!$C$55)*0.01/1</f>
        <v>5.3313918550580625E-2</v>
      </c>
      <c r="J345" s="7">
        <f>(((0.621*15^0.564)/0.2))*D345/15+J344*inputs!$C$53</f>
        <v>2.912167970185442E-17</v>
      </c>
      <c r="K345" s="7">
        <f>(((0.621*1000^0.564)/0.2))*D345/1000+K344*inputs!$C$53</f>
        <v>4.6665100971727086E-18</v>
      </c>
      <c r="L345" s="7">
        <f>(((0.648*20^0.651)/0.2))*H345/20+L344*inputs!$C$54</f>
        <v>1.5966179309694278E-17</v>
      </c>
      <c r="M345" s="7">
        <f>(((0.013*2^0.773)/0.2))*H345/2+M344*inputs!$C$54</f>
        <v>7.7856523650410163E-19</v>
      </c>
      <c r="N345" s="7">
        <f>O345*0.015*inputs!$C$56</f>
        <v>7.8328595314321806E-3</v>
      </c>
      <c r="O345" s="7">
        <f>IF((B345&gt;B344), (EXP(-LN(2)/inputs!$C$52)*O344+$O$3), (EXP(-LN(2)/inputs!$C$52)*O344))</f>
        <v>8.449686657424143E-4</v>
      </c>
      <c r="P345" s="3">
        <f>IF((B345&gt;B344), (EXP(-LN(2)/inputs!$C$52)*P344+$P$3), (EXP(-LN(2)/inputs!$C$52)*P344))</f>
        <v>8.1649738012617458E-4</v>
      </c>
      <c r="Q345" s="19">
        <f>IF((F345*0.62*1/(0.012*(10^inputs!$C$55)))&gt;inputs!$C$57, inputs!$C$57, (F345*0.62*1/(0.012*(10^inputs!$C$55))))</f>
        <v>1.2465538072493694E-19</v>
      </c>
      <c r="R345" s="3">
        <f>IF((B345&gt;B344), (EXP(-LN(2)/inputs!$C$51)*R344+$R$3), (EXP(-LN(2)/inputs!$C$51)*R344))</f>
        <v>2.8962981127960952E-25</v>
      </c>
      <c r="T345" s="7">
        <f>IF(T344&lt;(inputs!$C$20-1),(1+T344),0)</f>
        <v>0</v>
      </c>
      <c r="U345" s="7">
        <f>IF(inputs!$C$19&gt;U344,IF(T344=(inputs!$C$20-1),(U344+1),U344), U344)</f>
        <v>1</v>
      </c>
      <c r="V345" s="7">
        <f t="shared" si="10"/>
        <v>342</v>
      </c>
      <c r="W345" s="8">
        <f>IF((U345&gt;U344), (EXP(-LN(2)/inputs!$C$51)*W344+$W$3), (EXP(-LN(2)/inputs!$C$51)*W344))</f>
        <v>9.584859325844823E-18</v>
      </c>
      <c r="X345" s="8">
        <f>IF((U345&gt;U344), (EXP(-LN(2)/inputs!$C$51)*X344+$X$3), (EXP(-LN(2)/inputs!$C$51)*X344))</f>
        <v>4.0594698321225129E-18</v>
      </c>
      <c r="Y345" s="8">
        <f>IF((U345&gt;U344), (EXP(-LN(2)/inputs!$C$51)*Y344+$Y$3), (EXP(-LN(2)/inputs!$C$51)*Y344))</f>
        <v>5.0743372901531471E-18</v>
      </c>
      <c r="Z345" s="8">
        <f>IF((U345&gt;U344), (EXP(-LN(2)/inputs!$C$51)*Z344+$Z$3), (EXP(-LN(2)/inputs!$C$51)*Z344))</f>
        <v>7.89341356246044E-19</v>
      </c>
      <c r="AA345" s="8">
        <f>IF((U345&gt;U344), (EXP(-LN(2)/inputs!$C$51)*AA344+$AA$3), (EXP(-LN(2)/inputs!$C$51)*AA344))</f>
        <v>7.3295983079989854E-18</v>
      </c>
      <c r="AB345" s="7">
        <f>(((0.621*15^0.564)/0.2))*W345/15+AB344*inputs!$C$53</f>
        <v>1.0313928227740085E-17</v>
      </c>
      <c r="AC345" s="7">
        <f>(((0.621*1000^0.564)/0.2))*W345/1000+AC344*inputs!$C$53</f>
        <v>1.6527223260819976E-18</v>
      </c>
      <c r="AD345" s="7">
        <f>(((0.648*20^0.651)/0.2))*AA345/20+AD344*inputs!$C$54</f>
        <v>1.1040443139682225E-17</v>
      </c>
      <c r="AE345" s="7">
        <f>(((0.013*2^0.773)/0.2))*AA345/2+AE344*inputs!$C$54</f>
        <v>5.3836957843368787E-19</v>
      </c>
    </row>
    <row r="346" spans="1:31" x14ac:dyDescent="0.3">
      <c r="A346" s="7">
        <f>IF(A345&lt;(inputs!$C$20-1),(1+A345),0)</f>
        <v>0</v>
      </c>
      <c r="B346" s="7">
        <f>IF(inputs!$C$19&gt;B345,IF(A345=(inputs!$C$20-1),(B345+1),B345), B345)</f>
        <v>1</v>
      </c>
      <c r="C346" s="7">
        <f t="shared" si="11"/>
        <v>343</v>
      </c>
      <c r="D346" s="8">
        <f>IF((B346&gt;B345), (EXP(-LN(2)/inputs!$C$51)*D345+$D$3), (EXP(-LN(2)/inputs!$C$51)*D345))</f>
        <v>2.3745424988311964E-17</v>
      </c>
      <c r="E346" s="8">
        <f>IF((B346&gt;B345), (EXP(-LN(2)/inputs!$C$51)*E345+$E$3), (EXP(-LN(2)/inputs!$C$51)*E345))</f>
        <v>1.0883319786309638E-17</v>
      </c>
      <c r="F346" s="8">
        <f>IF((B346&gt;B345), (EXP(-LN(2)/inputs!$C$51)*F345+$F$3), (EXP(-LN(2)/inputs!$C$51)*F345))</f>
        <v>1.3356801555925466E-17</v>
      </c>
      <c r="G346" s="8">
        <f>IF((B346&gt;B345), (EXP(-LN(2)/inputs!$C$51)*G345+$G$3), (EXP(-LN(2)/inputs!$C$51)*G345))</f>
        <v>1.4840890617694978E-18</v>
      </c>
      <c r="H346" s="8">
        <f>IF((B346&gt;B345), (EXP(-LN(2)/inputs!$C$51)*H345+$H$3), (EXP(-LN(2)/inputs!$C$51)*H345))</f>
        <v>9.3002914537554962E-18</v>
      </c>
      <c r="I346" s="7">
        <f>O346*(10^inputs!$C$55)*0.01/1</f>
        <v>5.2238028832138073E-2</v>
      </c>
      <c r="J346" s="7">
        <f>(((0.621*15^0.564)/0.2))*D346/15+J345*inputs!$C$53</f>
        <v>2.5551612260626367E-17</v>
      </c>
      <c r="K346" s="7">
        <f>(((0.621*1000^0.564)/0.2))*D346/1000+K345*inputs!$C$53</f>
        <v>4.0944360982605726E-18</v>
      </c>
      <c r="L346" s="7">
        <f>(((0.648*20^0.651)/0.2))*H346/20+L345*inputs!$C$54</f>
        <v>1.4008863059467174E-17</v>
      </c>
      <c r="M346" s="7">
        <f>(((0.013*2^0.773)/0.2))*H346/2+M345*inputs!$C$54</f>
        <v>6.8311983534002278E-19</v>
      </c>
      <c r="N346" s="7">
        <f>O346*0.015*inputs!$C$56</f>
        <v>7.6747902454936982E-3</v>
      </c>
      <c r="O346" s="7">
        <f>IF((B346&gt;B345), (EXP(-LN(2)/inputs!$C$52)*O345+$O$3), (EXP(-LN(2)/inputs!$C$52)*O345))</f>
        <v>8.2791696283642923E-4</v>
      </c>
      <c r="P346" s="3">
        <f>IF((B346&gt;B345), (EXP(-LN(2)/inputs!$C$52)*P345+$P$3), (EXP(-LN(2)/inputs!$C$52)*P345))</f>
        <v>8.0002023569006244E-4</v>
      </c>
      <c r="Q346" s="19">
        <f>IF((F346*0.62*1/(0.012*(10^inputs!$C$55)))&gt;inputs!$C$57, inputs!$C$57, (F346*0.62*1/(0.012*(10^inputs!$C$55))))</f>
        <v>1.0937370327170798E-19</v>
      </c>
      <c r="R346" s="3">
        <f>IF((B346&gt;B345), (EXP(-LN(2)/inputs!$C$51)*R345+$R$3), (EXP(-LN(2)/inputs!$C$51)*R345))</f>
        <v>2.5412368766845964E-25</v>
      </c>
      <c r="T346" s="7">
        <f>IF(T345&lt;(inputs!$C$20-1),(1+T345),0)</f>
        <v>0</v>
      </c>
      <c r="U346" s="7">
        <f>IF(inputs!$C$19&gt;U345,IF(T345=(inputs!$C$20-1),(U345+1),U345), U345)</f>
        <v>1</v>
      </c>
      <c r="V346" s="7">
        <f t="shared" si="10"/>
        <v>343</v>
      </c>
      <c r="W346" s="8">
        <f>IF((U346&gt;U345), (EXP(-LN(2)/inputs!$C$51)*W345+$W$3), (EXP(-LN(2)/inputs!$C$51)*W345))</f>
        <v>8.4098380166938048E-18</v>
      </c>
      <c r="X346" s="8">
        <f>IF((U346&gt;U345), (EXP(-LN(2)/inputs!$C$51)*X345+$X$3), (EXP(-LN(2)/inputs!$C$51)*X345))</f>
        <v>3.5618137482467879E-18</v>
      </c>
      <c r="Y346" s="8">
        <f>IF((U346&gt;U345), (EXP(-LN(2)/inputs!$C$51)*Y345+$Y$3), (EXP(-LN(2)/inputs!$C$51)*Y345))</f>
        <v>4.45226718530849E-18</v>
      </c>
      <c r="Z346" s="8">
        <f>IF((U346&gt;U345), (EXP(-LN(2)/inputs!$C$51)*Z345+$Z$3), (EXP(-LN(2)/inputs!$C$51)*Z345))</f>
        <v>6.925748954924308E-19</v>
      </c>
      <c r="AA346" s="8">
        <f>IF((U346&gt;U345), (EXP(-LN(2)/inputs!$C$51)*AA345+$AA$3), (EXP(-LN(2)/inputs!$C$51)*AA345))</f>
        <v>6.4310526010011478E-18</v>
      </c>
      <c r="AB346" s="7">
        <f>(((0.621*15^0.564)/0.2))*W346/15+AB345*inputs!$C$53</f>
        <v>9.0495293423051548E-18</v>
      </c>
      <c r="AC346" s="7">
        <f>(((0.621*1000^0.564)/0.2))*W346/1000+AC345*inputs!$C$53</f>
        <v>1.4501127848006168E-18</v>
      </c>
      <c r="AD346" s="7">
        <f>(((0.648*20^0.651)/0.2))*AA346/20+AD345*inputs!$C$54</f>
        <v>9.6869797751634823E-18</v>
      </c>
      <c r="AE346" s="7">
        <f>(((0.013*2^0.773)/0.2))*AA346/2+AE345*inputs!$C$54</f>
        <v>4.7237009890533544E-19</v>
      </c>
    </row>
    <row r="347" spans="1:31" x14ac:dyDescent="0.3">
      <c r="A347" s="7">
        <f>IF(A346&lt;(inputs!$C$20-1),(1+A346),0)</f>
        <v>0</v>
      </c>
      <c r="B347" s="7">
        <f>IF(inputs!$C$19&gt;B346,IF(A346=(inputs!$C$20-1),(B346+1),B346), B346)</f>
        <v>1</v>
      </c>
      <c r="C347" s="7">
        <f t="shared" si="11"/>
        <v>344</v>
      </c>
      <c r="D347" s="8">
        <f>IF((B347&gt;B346), (EXP(-LN(2)/inputs!$C$51)*D346+$D$3), (EXP(-LN(2)/inputs!$C$51)*D346))</f>
        <v>2.083444013109244E-17</v>
      </c>
      <c r="E347" s="8">
        <f>IF((B347&gt;B346), (EXP(-LN(2)/inputs!$C$51)*E346+$E$3), (EXP(-LN(2)/inputs!$C$51)*E346))</f>
        <v>9.5491183934173564E-18</v>
      </c>
      <c r="F347" s="8">
        <f>IF((B347&gt;B346), (EXP(-LN(2)/inputs!$C$51)*F346+$F$3), (EXP(-LN(2)/inputs!$C$51)*F346))</f>
        <v>1.1719372573739485E-17</v>
      </c>
      <c r="G347" s="8">
        <f>IF((B347&gt;B346), (EXP(-LN(2)/inputs!$C$51)*G346+$G$3), (EXP(-LN(2)/inputs!$C$51)*G346))</f>
        <v>1.3021525081932775E-18</v>
      </c>
      <c r="H347" s="8">
        <f>IF((B347&gt;B346), (EXP(-LN(2)/inputs!$C$51)*H346+$H$3), (EXP(-LN(2)/inputs!$C$51)*H346))</f>
        <v>8.1601557180111853E-18</v>
      </c>
      <c r="I347" s="7">
        <f>O347*(10^inputs!$C$55)*0.01/1</f>
        <v>5.1183850867731237E-2</v>
      </c>
      <c r="J347" s="7">
        <f>(((0.621*15^0.564)/0.2))*D347/15+J346*inputs!$C$53</f>
        <v>2.2419204379746586E-17</v>
      </c>
      <c r="K347" s="7">
        <f>(((0.621*1000^0.564)/0.2))*D347/1000+K346*inputs!$C$53</f>
        <v>3.5924934509187693E-18</v>
      </c>
      <c r="L347" s="7">
        <f>(((0.648*20^0.651)/0.2))*H347/20+L346*inputs!$C$54</f>
        <v>1.2291496945656048E-17</v>
      </c>
      <c r="M347" s="7">
        <f>(((0.013*2^0.773)/0.2))*H347/2+M346*inputs!$C$54</f>
        <v>5.9937521938474258E-19</v>
      </c>
      <c r="N347" s="7">
        <f>O347*0.015*inputs!$C$56</f>
        <v>7.5199108417504535E-3</v>
      </c>
      <c r="O347" s="7">
        <f>IF((B347&gt;B346), (EXP(-LN(2)/inputs!$C$52)*O346+$O$3), (EXP(-LN(2)/inputs!$C$52)*O346))</f>
        <v>8.1120936804212013E-4</v>
      </c>
      <c r="P347" s="3">
        <f>IF((B347&gt;B346), (EXP(-LN(2)/inputs!$C$52)*P346+$P$3), (EXP(-LN(2)/inputs!$C$52)*P346))</f>
        <v>7.838756046157526E-4</v>
      </c>
      <c r="Q347" s="19">
        <f>IF((F347*0.62*1/(0.012*(10^inputs!$C$55)))&gt;inputs!$C$57, inputs!$C$57, (F347*0.62*1/(0.012*(10^inputs!$C$55))))</f>
        <v>9.5965428028848385E-20</v>
      </c>
      <c r="R347" s="3">
        <f>IF((B347&gt;B346), (EXP(-LN(2)/inputs!$C$51)*R346+$R$3), (EXP(-LN(2)/inputs!$C$51)*R346))</f>
        <v>2.2297030940600313E-25</v>
      </c>
      <c r="T347" s="7">
        <f>IF(T346&lt;(inputs!$C$20-1),(1+T346),0)</f>
        <v>0</v>
      </c>
      <c r="U347" s="7">
        <f>IF(inputs!$C$19&gt;U346,IF(T346=(inputs!$C$20-1),(U346+1),U346), U346)</f>
        <v>1</v>
      </c>
      <c r="V347" s="7">
        <f t="shared" si="10"/>
        <v>344</v>
      </c>
      <c r="W347" s="8">
        <f>IF((U347&gt;U346), (EXP(-LN(2)/inputs!$C$51)*W346+$W$3), (EXP(-LN(2)/inputs!$C$51)*W346))</f>
        <v>7.3788642130952251E-18</v>
      </c>
      <c r="X347" s="8">
        <f>IF((U347&gt;U346), (EXP(-LN(2)/inputs!$C$51)*X346+$X$3), (EXP(-LN(2)/inputs!$C$51)*X346))</f>
        <v>3.1251660196638601E-18</v>
      </c>
      <c r="Y347" s="8">
        <f>IF((U347&gt;U346), (EXP(-LN(2)/inputs!$C$51)*Y346+$Y$3), (EXP(-LN(2)/inputs!$C$51)*Y346))</f>
        <v>3.9064575245798295E-18</v>
      </c>
      <c r="Z347" s="8">
        <f>IF((U347&gt;U346), (EXP(-LN(2)/inputs!$C$51)*Z346+$Z$3), (EXP(-LN(2)/inputs!$C$51)*Z346))</f>
        <v>6.0767117049019487E-19</v>
      </c>
      <c r="AA347" s="8">
        <f>IF((U347&gt;U346), (EXP(-LN(2)/inputs!$C$51)*AA346+$AA$3), (EXP(-LN(2)/inputs!$C$51)*AA346))</f>
        <v>5.6426608688375277E-18</v>
      </c>
      <c r="AB347" s="7">
        <f>(((0.621*15^0.564)/0.2))*W347/15+AB346*inputs!$C$53</f>
        <v>7.9401348844935685E-18</v>
      </c>
      <c r="AC347" s="7">
        <f>(((0.621*1000^0.564)/0.2))*W347/1000+AC346*inputs!$C$53</f>
        <v>1.2723414305337281E-18</v>
      </c>
      <c r="AD347" s="7">
        <f>(((0.648*20^0.651)/0.2))*AA347/20+AD346*inputs!$C$54</f>
        <v>8.4994393773153625E-18</v>
      </c>
      <c r="AE347" s="7">
        <f>(((0.013*2^0.773)/0.2))*AA347/2+AE346*inputs!$C$54</f>
        <v>4.1446158787242881E-19</v>
      </c>
    </row>
    <row r="348" spans="1:31" x14ac:dyDescent="0.3">
      <c r="A348" s="7">
        <f>IF(A347&lt;(inputs!$C$20-1),(1+A347),0)</f>
        <v>0</v>
      </c>
      <c r="B348" s="7">
        <f>IF(inputs!$C$19&gt;B347,IF(A347=(inputs!$C$20-1),(B347+1),B347), B347)</f>
        <v>1</v>
      </c>
      <c r="C348" s="7">
        <f t="shared" si="11"/>
        <v>345</v>
      </c>
      <c r="D348" s="8">
        <f>IF((B348&gt;B347), (EXP(-LN(2)/inputs!$C$51)*D347+$D$3), (EXP(-LN(2)/inputs!$C$51)*D347))</f>
        <v>1.8280316978522648E-17</v>
      </c>
      <c r="E348" s="8">
        <f>IF((B348&gt;B347), (EXP(-LN(2)/inputs!$C$51)*E347+$E$3), (EXP(-LN(2)/inputs!$C$51)*E347))</f>
        <v>8.3784786151562026E-18</v>
      </c>
      <c r="F348" s="8">
        <f>IF((B348&gt;B347), (EXP(-LN(2)/inputs!$C$51)*F347+$F$3), (EXP(-LN(2)/inputs!$C$51)*F347))</f>
        <v>1.0282678300418979E-17</v>
      </c>
      <c r="G348" s="8">
        <f>IF((B348&gt;B347), (EXP(-LN(2)/inputs!$C$51)*G347+$G$3), (EXP(-LN(2)/inputs!$C$51)*G347))</f>
        <v>1.1425198111576655E-18</v>
      </c>
      <c r="H348" s="8">
        <f>IF((B348&gt;B347), (EXP(-LN(2)/inputs!$C$51)*H347+$H$3), (EXP(-LN(2)/inputs!$C$51)*H347))</f>
        <v>7.1597908165880191E-18</v>
      </c>
      <c r="I348" s="7">
        <f>O348*(10^inputs!$C$55)*0.01/1</f>
        <v>5.0150946508119326E-2</v>
      </c>
      <c r="J348" s="7">
        <f>(((0.621*15^0.564)/0.2))*D348/15+J347*inputs!$C$53</f>
        <v>1.9670802761646453E-17</v>
      </c>
      <c r="K348" s="7">
        <f>(((0.621*1000^0.564)/0.2))*D348/1000+K347*inputs!$C$53</f>
        <v>3.1520846546798149E-18</v>
      </c>
      <c r="L348" s="7">
        <f>(((0.648*20^0.651)/0.2))*H348/20+L347*inputs!$C$54</f>
        <v>1.0784665145468152E-17</v>
      </c>
      <c r="M348" s="7">
        <f>(((0.013*2^0.773)/0.2))*H348/2+M347*inputs!$C$54</f>
        <v>5.2589697301600273E-19</v>
      </c>
      <c r="N348" s="7">
        <f>O348*0.015*inputs!$C$56</f>
        <v>7.3681569474917108E-3</v>
      </c>
      <c r="O348" s="7">
        <f>IF((B348&gt;B347), (EXP(-LN(2)/inputs!$C$52)*O347+$O$3), (EXP(-LN(2)/inputs!$C$52)*O347))</f>
        <v>7.9483893716199695E-4</v>
      </c>
      <c r="P348" s="3">
        <f>IF((B348&gt;B347), (EXP(-LN(2)/inputs!$C$52)*P347+$P$3), (EXP(-LN(2)/inputs!$C$52)*P347))</f>
        <v>7.6805677669103531E-4</v>
      </c>
      <c r="Q348" s="19">
        <f>IF((F348*0.62*1/(0.012*(10^inputs!$C$55)))&gt;inputs!$C$57, inputs!$C$57, (F348*0.62*1/(0.012*(10^inputs!$C$55))))</f>
        <v>8.4200891999441784E-20</v>
      </c>
      <c r="R348" s="3">
        <f>IF((B348&gt;B347), (EXP(-LN(2)/inputs!$C$51)*R347+$R$3), (EXP(-LN(2)/inputs!$C$51)*R347))</f>
        <v>1.9563606735264292E-25</v>
      </c>
      <c r="T348" s="7">
        <f>IF(T347&lt;(inputs!$C$20-1),(1+T347),0)</f>
        <v>0</v>
      </c>
      <c r="U348" s="7">
        <f>IF(inputs!$C$19&gt;U347,IF(T347=(inputs!$C$20-1),(U347+1),U347), U347)</f>
        <v>1</v>
      </c>
      <c r="V348" s="7">
        <f t="shared" si="10"/>
        <v>345</v>
      </c>
      <c r="W348" s="8">
        <f>IF((U348&gt;U347), (EXP(-LN(2)/inputs!$C$51)*W347+$W$3), (EXP(-LN(2)/inputs!$C$51)*W347))</f>
        <v>6.4742789298934257E-18</v>
      </c>
      <c r="X348" s="8">
        <f>IF((U348&gt;U347), (EXP(-LN(2)/inputs!$C$51)*X347+$X$3), (EXP(-LN(2)/inputs!$C$51)*X347))</f>
        <v>2.7420475467783921E-18</v>
      </c>
      <c r="Y348" s="8">
        <f>IF((U348&gt;U347), (EXP(-LN(2)/inputs!$C$51)*Y347+$Y$3), (EXP(-LN(2)/inputs!$C$51)*Y347))</f>
        <v>3.427559433472994E-18</v>
      </c>
      <c r="Z348" s="8">
        <f>IF((U348&gt;U347), (EXP(-LN(2)/inputs!$C$51)*Z347+$Z$3), (EXP(-LN(2)/inputs!$C$51)*Z347))</f>
        <v>5.3317591187357614E-19</v>
      </c>
      <c r="AA348" s="8">
        <f>IF((U348&gt;U347), (EXP(-LN(2)/inputs!$C$51)*AA347+$AA$3), (EXP(-LN(2)/inputs!$C$51)*AA347))</f>
        <v>4.9509191816832102E-18</v>
      </c>
      <c r="AB348" s="7">
        <f>(((0.621*15^0.564)/0.2))*W348/15+AB347*inputs!$C$53</f>
        <v>6.9667426447497717E-18</v>
      </c>
      <c r="AC348" s="7">
        <f>(((0.621*1000^0.564)/0.2))*W348/1000+AC347*inputs!$C$53</f>
        <v>1.1163633151990991E-18</v>
      </c>
      <c r="AD348" s="7">
        <f>(((0.648*20^0.651)/0.2))*AA348/20+AD347*inputs!$C$54</f>
        <v>7.4574812176109637E-18</v>
      </c>
      <c r="AE348" s="7">
        <f>(((0.013*2^0.773)/0.2))*AA348/2+AE347*inputs!$C$54</f>
        <v>3.6365216219191719E-19</v>
      </c>
    </row>
    <row r="349" spans="1:31" x14ac:dyDescent="0.3">
      <c r="A349" s="7">
        <f>IF(A348&lt;(inputs!$C$20-1),(1+A348),0)</f>
        <v>0</v>
      </c>
      <c r="B349" s="7">
        <f>IF(inputs!$C$19&gt;B348,IF(A348=(inputs!$C$20-1),(B348+1),B348), B348)</f>
        <v>1</v>
      </c>
      <c r="C349" s="7">
        <f t="shared" si="11"/>
        <v>346</v>
      </c>
      <c r="D349" s="8">
        <f>IF((B349&gt;B348), (EXP(-LN(2)/inputs!$C$51)*D348+$D$3), (EXP(-LN(2)/inputs!$C$51)*D348))</f>
        <v>1.6039307355159603E-17</v>
      </c>
      <c r="E349" s="8">
        <f>IF((B349&gt;B348), (EXP(-LN(2)/inputs!$C$51)*E348+$E$3), (EXP(-LN(2)/inputs!$C$51)*E348))</f>
        <v>7.351349204448142E-18</v>
      </c>
      <c r="F349" s="8">
        <f>IF((B349&gt;B348), (EXP(-LN(2)/inputs!$C$51)*F348+$F$3), (EXP(-LN(2)/inputs!$C$51)*F348))</f>
        <v>9.0221103872772673E-18</v>
      </c>
      <c r="G349" s="8">
        <f>IF((B349&gt;B348), (EXP(-LN(2)/inputs!$C$51)*G348+$G$3), (EXP(-LN(2)/inputs!$C$51)*G348))</f>
        <v>1.0024567096974752E-18</v>
      </c>
      <c r="H349" s="8">
        <f>IF((B349&gt;B348), (EXP(-LN(2)/inputs!$C$51)*H348+$H$3), (EXP(-LN(2)/inputs!$C$51)*H348))</f>
        <v>6.2820620474374957E-18</v>
      </c>
      <c r="I349" s="7">
        <f>O349*(10^inputs!$C$55)*0.01/1</f>
        <v>4.9138886446035208E-2</v>
      </c>
      <c r="J349" s="7">
        <f>(((0.621*15^0.564)/0.2))*D349/15+J348*inputs!$C$53</f>
        <v>1.7259331541540255E-17</v>
      </c>
      <c r="K349" s="7">
        <f>(((0.621*1000^0.564)/0.2))*D349/1000+K348*inputs!$C$53</f>
        <v>2.7656661886821143E-18</v>
      </c>
      <c r="L349" s="7">
        <f>(((0.648*20^0.651)/0.2))*H349/20+L348*inputs!$C$54</f>
        <v>9.4625579629648353E-18</v>
      </c>
      <c r="M349" s="7">
        <f>(((0.013*2^0.773)/0.2))*H349/2+M348*inputs!$C$54</f>
        <v>4.6142652762870378E-19</v>
      </c>
      <c r="N349" s="7">
        <f>O349*0.015*inputs!$C$56</f>
        <v>7.2194654890659626E-3</v>
      </c>
      <c r="O349" s="7">
        <f>IF((B349&gt;B348), (EXP(-LN(2)/inputs!$C$52)*O348+$O$3), (EXP(-LN(2)/inputs!$C$52)*O348))</f>
        <v>7.7879886613440804E-4</v>
      </c>
      <c r="P349" s="3">
        <f>IF((B349&gt;B348), (EXP(-LN(2)/inputs!$C$52)*P348+$P$3), (EXP(-LN(2)/inputs!$C$52)*P348))</f>
        <v>7.5255717711765122E-4</v>
      </c>
      <c r="Q349" s="19">
        <f>IF((F349*0.62*1/(0.012*(10^inputs!$C$55)))&gt;inputs!$C$57, inputs!$C$57, (F349*0.62*1/(0.012*(10^inputs!$C$55))))</f>
        <v>7.387858689454687E-20</v>
      </c>
      <c r="R349" s="3">
        <f>IF((B349&gt;B348), (EXP(-LN(2)/inputs!$C$51)*R348+$R$3), (EXP(-LN(2)/inputs!$C$51)*R348))</f>
        <v>1.716527682594559E-25</v>
      </c>
      <c r="T349" s="7">
        <f>IF(T348&lt;(inputs!$C$20-1),(1+T348),0)</f>
        <v>0</v>
      </c>
      <c r="U349" s="7">
        <f>IF(inputs!$C$19&gt;U348,IF(T348=(inputs!$C$20-1),(U348+1),U348), U348)</f>
        <v>1</v>
      </c>
      <c r="V349" s="7">
        <f t="shared" si="10"/>
        <v>346</v>
      </c>
      <c r="W349" s="8">
        <f>IF((U349&gt;U348), (EXP(-LN(2)/inputs!$C$51)*W348+$W$3), (EXP(-LN(2)/inputs!$C$51)*W348))</f>
        <v>5.6805880216190159E-18</v>
      </c>
      <c r="X349" s="8">
        <f>IF((U349&gt;U348), (EXP(-LN(2)/inputs!$C$51)*X348+$X$3), (EXP(-LN(2)/inputs!$C$51)*X348))</f>
        <v>2.4058961032739362E-18</v>
      </c>
      <c r="Y349" s="8">
        <f>IF((U349&gt;U348), (EXP(-LN(2)/inputs!$C$51)*Y348+$Y$3), (EXP(-LN(2)/inputs!$C$51)*Y348))</f>
        <v>3.0073701290924236E-18</v>
      </c>
      <c r="Z349" s="8">
        <f>IF((U349&gt;U348), (EXP(-LN(2)/inputs!$C$51)*Z348+$Z$3), (EXP(-LN(2)/inputs!$C$51)*Z348))</f>
        <v>4.6781313119215412E-19</v>
      </c>
      <c r="AA349" s="8">
        <f>IF((U349&gt;U348), (EXP(-LN(2)/inputs!$C$51)*AA348+$AA$3), (EXP(-LN(2)/inputs!$C$51)*AA348))</f>
        <v>4.3439790753557203E-18</v>
      </c>
      <c r="AB349" s="7">
        <f>(((0.621*15^0.564)/0.2))*W349/15+AB348*inputs!$C$53</f>
        <v>6.112679920962162E-18</v>
      </c>
      <c r="AC349" s="7">
        <f>(((0.621*1000^0.564)/0.2))*W349/1000+AC348*inputs!$C$53</f>
        <v>9.7950677515824707E-19</v>
      </c>
      <c r="AD349" s="7">
        <f>(((0.648*20^0.651)/0.2))*AA349/20+AD348*inputs!$C$54</f>
        <v>6.5432581658799464E-18</v>
      </c>
      <c r="AE349" s="7">
        <f>(((0.013*2^0.773)/0.2))*AA349/2+AE348*inputs!$C$54</f>
        <v>3.19071535062402E-19</v>
      </c>
    </row>
    <row r="350" spans="1:31" x14ac:dyDescent="0.3">
      <c r="A350" s="7">
        <f>IF(A349&lt;(inputs!$C$20-1),(1+A349),0)</f>
        <v>0</v>
      </c>
      <c r="B350" s="7">
        <f>IF(inputs!$C$19&gt;B349,IF(A349=(inputs!$C$20-1),(B349+1),B349), B349)</f>
        <v>1</v>
      </c>
      <c r="C350" s="7">
        <f t="shared" si="11"/>
        <v>347</v>
      </c>
      <c r="D350" s="8">
        <f>IF((B350&gt;B349), (EXP(-LN(2)/inputs!$C$51)*D349+$D$3), (EXP(-LN(2)/inputs!$C$51)*D349))</f>
        <v>1.4073026235569562E-17</v>
      </c>
      <c r="E350" s="8">
        <f>IF((B350&gt;B349), (EXP(-LN(2)/inputs!$C$51)*E349+$E$3), (EXP(-LN(2)/inputs!$C$51)*E349))</f>
        <v>6.4501370246360418E-18</v>
      </c>
      <c r="F350" s="8">
        <f>IF((B350&gt;B349), (EXP(-LN(2)/inputs!$C$51)*F349+$F$3), (EXP(-LN(2)/inputs!$C$51)*F349))</f>
        <v>7.9160772575078709E-18</v>
      </c>
      <c r="G350" s="8">
        <f>IF((B350&gt;B349), (EXP(-LN(2)/inputs!$C$51)*G349+$G$3), (EXP(-LN(2)/inputs!$C$51)*G349))</f>
        <v>8.7956413972309763E-19</v>
      </c>
      <c r="H350" s="8">
        <f>IF((B350&gt;B349), (EXP(-LN(2)/inputs!$C$51)*H349+$H$3), (EXP(-LN(2)/inputs!$C$51)*H349))</f>
        <v>5.5119352755980657E-18</v>
      </c>
      <c r="I350" s="7">
        <f>O350*(10^inputs!$C$55)*0.01/1</f>
        <v>4.8147250037751922E-2</v>
      </c>
      <c r="J350" s="7">
        <f>(((0.621*15^0.564)/0.2))*D350/15+J349*inputs!$C$53</f>
        <v>1.5143485950741812E-17</v>
      </c>
      <c r="K350" s="7">
        <f>(((0.621*1000^0.564)/0.2))*D350/1000+K349*inputs!$C$53</f>
        <v>2.4266193028360843E-18</v>
      </c>
      <c r="L350" s="7">
        <f>(((0.648*20^0.651)/0.2))*H350/20+L349*inputs!$C$54</f>
        <v>8.3025297489273472E-18</v>
      </c>
      <c r="M350" s="7">
        <f>(((0.013*2^0.773)/0.2))*H350/2+M349*inputs!$C$54</f>
        <v>4.0485960430314954E-19</v>
      </c>
      <c r="N350" s="7">
        <f>O350*0.015*inputs!$C$56</f>
        <v>7.0737746656655449E-3</v>
      </c>
      <c r="O350" s="7">
        <f>IF((B350&gt;B349), (EXP(-LN(2)/inputs!$C$52)*O349+$O$3), (EXP(-LN(2)/inputs!$C$52)*O349))</f>
        <v>7.6308248820556039E-4</v>
      </c>
      <c r="P350" s="3">
        <f>IF((B350&gt;B349), (EXP(-LN(2)/inputs!$C$52)*P349+$P$3), (EXP(-LN(2)/inputs!$C$52)*P349))</f>
        <v>7.3737036377860023E-4</v>
      </c>
      <c r="Q350" s="19">
        <f>IF((F350*0.62*1/(0.012*(10^inputs!$C$55)))&gt;inputs!$C$57, inputs!$C$57, (F350*0.62*1/(0.012*(10^inputs!$C$55))))</f>
        <v>6.482170760817234E-20</v>
      </c>
      <c r="R350" s="3">
        <f>IF((B350&gt;B349), (EXP(-LN(2)/inputs!$C$51)*R349+$R$3), (EXP(-LN(2)/inputs!$C$51)*R349))</f>
        <v>1.5060961534267124E-25</v>
      </c>
      <c r="T350" s="7">
        <f>IF(T349&lt;(inputs!$C$20-1),(1+T349),0)</f>
        <v>0</v>
      </c>
      <c r="U350" s="7">
        <f>IF(inputs!$C$19&gt;U349,IF(T349=(inputs!$C$20-1),(U349+1),U349), U349)</f>
        <v>1</v>
      </c>
      <c r="V350" s="7">
        <f t="shared" si="10"/>
        <v>347</v>
      </c>
      <c r="W350" s="8">
        <f>IF((U350&gt;U349), (EXP(-LN(2)/inputs!$C$51)*W349+$W$3), (EXP(-LN(2)/inputs!$C$51)*W349))</f>
        <v>4.9841967917642112E-18</v>
      </c>
      <c r="X350" s="8">
        <f>IF((U350&gt;U349), (EXP(-LN(2)/inputs!$C$51)*X349+$X$3), (EXP(-LN(2)/inputs!$C$51)*X349))</f>
        <v>2.1109539353354306E-18</v>
      </c>
      <c r="Y350" s="8">
        <f>IF((U350&gt;U349), (EXP(-LN(2)/inputs!$C$51)*Y349+$Y$3), (EXP(-LN(2)/inputs!$C$51)*Y349))</f>
        <v>2.6386924191692913E-18</v>
      </c>
      <c r="Z350" s="8">
        <f>IF((U350&gt;U349), (EXP(-LN(2)/inputs!$C$51)*Z349+$Z$3), (EXP(-LN(2)/inputs!$C$51)*Z349))</f>
        <v>4.1046326520411141E-19</v>
      </c>
      <c r="AA350" s="8">
        <f>IF((U350&gt;U349), (EXP(-LN(2)/inputs!$C$51)*AA349+$AA$3), (EXP(-LN(2)/inputs!$C$51)*AA349))</f>
        <v>3.811444605466752E-18</v>
      </c>
      <c r="AB350" s="7">
        <f>(((0.621*15^0.564)/0.2))*W350/15+AB349*inputs!$C$53</f>
        <v>5.363317940887716E-18</v>
      </c>
      <c r="AC350" s="7">
        <f>(((0.621*1000^0.564)/0.2))*W350/1000+AC349*inputs!$C$53</f>
        <v>8.5942766975444499E-19</v>
      </c>
      <c r="AD350" s="7">
        <f>(((0.648*20^0.651)/0.2))*AA350/20+AD349*inputs!$C$54</f>
        <v>5.741110996598704E-18</v>
      </c>
      <c r="AE350" s="7">
        <f>(((0.013*2^0.773)/0.2))*AA350/2+AE349*inputs!$C$54</f>
        <v>2.799561093585612E-19</v>
      </c>
    </row>
    <row r="351" spans="1:31" x14ac:dyDescent="0.3">
      <c r="A351" s="7">
        <f>IF(A350&lt;(inputs!$C$20-1),(1+A350),0)</f>
        <v>0</v>
      </c>
      <c r="B351" s="7">
        <f>IF(inputs!$C$19&gt;B350,IF(A350=(inputs!$C$20-1),(B350+1),B350), B350)</f>
        <v>1</v>
      </c>
      <c r="C351" s="7">
        <f t="shared" si="11"/>
        <v>348</v>
      </c>
      <c r="D351" s="8">
        <f>IF((B351&gt;B350), (EXP(-LN(2)/inputs!$C$51)*D350+$D$3), (EXP(-LN(2)/inputs!$C$51)*D350))</f>
        <v>1.2347794268268043E-17</v>
      </c>
      <c r="E351" s="8">
        <f>IF((B351&gt;B350), (EXP(-LN(2)/inputs!$C$51)*E350+$E$3), (EXP(-LN(2)/inputs!$C$51)*E350))</f>
        <v>5.6594057062895131E-18</v>
      </c>
      <c r="F351" s="8">
        <f>IF((B351&gt;B350), (EXP(-LN(2)/inputs!$C$51)*F350+$F$3), (EXP(-LN(2)/inputs!$C$51)*F350))</f>
        <v>6.9456342759007672E-18</v>
      </c>
      <c r="G351" s="8">
        <f>IF((B351&gt;B350), (EXP(-LN(2)/inputs!$C$51)*G350+$G$3), (EXP(-LN(2)/inputs!$C$51)*G350))</f>
        <v>7.7173714176675271E-19</v>
      </c>
      <c r="H351" s="8">
        <f>IF((B351&gt;B350), (EXP(-LN(2)/inputs!$C$51)*H350+$H$3), (EXP(-LN(2)/inputs!$C$51)*H350))</f>
        <v>4.8362194217383062E-18</v>
      </c>
      <c r="I351" s="7">
        <f>O351*(10^inputs!$C$55)*0.01/1</f>
        <v>4.7175625128250014E-2</v>
      </c>
      <c r="J351" s="7">
        <f>(((0.621*15^0.564)/0.2))*D351/15+J350*inputs!$C$53</f>
        <v>1.3287024829922774E-17</v>
      </c>
      <c r="K351" s="7">
        <f>(((0.621*1000^0.564)/0.2))*D351/1000+K350*inputs!$C$53</f>
        <v>2.1291366488819255E-18</v>
      </c>
      <c r="L351" s="7">
        <f>(((0.648*20^0.651)/0.2))*H351/20+L350*inputs!$C$54</f>
        <v>7.2847110159445339E-18</v>
      </c>
      <c r="M351" s="7">
        <f>(((0.013*2^0.773)/0.2))*H351/2+M350*inputs!$C$54</f>
        <v>3.5522729921673979E-19</v>
      </c>
      <c r="N351" s="7">
        <f>O351*0.015*inputs!$C$56</f>
        <v>6.9310239236402968E-3</v>
      </c>
      <c r="O351" s="7">
        <f>IF((B351&gt;B350), (EXP(-LN(2)/inputs!$C$52)*O350+$O$3), (EXP(-LN(2)/inputs!$C$52)*O350))</f>
        <v>7.4768327115860812E-4</v>
      </c>
      <c r="P351" s="3">
        <f>IF((B351&gt;B350), (EXP(-LN(2)/inputs!$C$52)*P350+$P$3), (EXP(-LN(2)/inputs!$C$52)*P350))</f>
        <v>7.2249002456059683E-4</v>
      </c>
      <c r="Q351" s="19">
        <f>IF((F351*0.62*1/(0.012*(10^inputs!$C$55)))&gt;inputs!$C$57, inputs!$C$57, (F351*0.62*1/(0.012*(10^inputs!$C$55))))</f>
        <v>5.6875123819531728E-20</v>
      </c>
      <c r="R351" s="3">
        <f>IF((B351&gt;B350), (EXP(-LN(2)/inputs!$C$51)*R350+$R$3), (EXP(-LN(2)/inputs!$C$51)*R350))</f>
        <v>1.3214617197073855E-25</v>
      </c>
      <c r="T351" s="7">
        <f>IF(T350&lt;(inputs!$C$20-1),(1+T350),0)</f>
        <v>0</v>
      </c>
      <c r="U351" s="7">
        <f>IF(inputs!$C$19&gt;U350,IF(T350=(inputs!$C$20-1),(U350+1),U350), U350)</f>
        <v>1</v>
      </c>
      <c r="V351" s="7">
        <f t="shared" si="10"/>
        <v>348</v>
      </c>
      <c r="W351" s="8">
        <f>IF((U351&gt;U350), (EXP(-LN(2)/inputs!$C$51)*W350+$W$3), (EXP(-LN(2)/inputs!$C$51)*W350))</f>
        <v>4.3731771366782581E-18</v>
      </c>
      <c r="X351" s="8">
        <f>IF((U351&gt;U350), (EXP(-LN(2)/inputs!$C$51)*X350+$X$3), (EXP(-LN(2)/inputs!$C$51)*X350))</f>
        <v>1.8521691402402033E-18</v>
      </c>
      <c r="Y351" s="8">
        <f>IF((U351&gt;U350), (EXP(-LN(2)/inputs!$C$51)*Y350+$Y$3), (EXP(-LN(2)/inputs!$C$51)*Y350))</f>
        <v>2.3152114253002568E-18</v>
      </c>
      <c r="Z351" s="8">
        <f>IF((U351&gt;U350), (EXP(-LN(2)/inputs!$C$51)*Z350+$Z$3), (EXP(-LN(2)/inputs!$C$51)*Z350))</f>
        <v>3.6014399949115054E-19</v>
      </c>
      <c r="AA351" s="8">
        <f>IF((U351&gt;U350), (EXP(-LN(2)/inputs!$C$51)*AA350+$AA$3), (EXP(-LN(2)/inputs!$C$51)*AA350))</f>
        <v>3.3441942809892578E-18</v>
      </c>
      <c r="AB351" s="7">
        <f>(((0.621*15^0.564)/0.2))*W351/15+AB350*inputs!$C$53</f>
        <v>4.7058212939309736E-18</v>
      </c>
      <c r="AC351" s="7">
        <f>(((0.621*1000^0.564)/0.2))*W351/1000+AC350*inputs!$C$53</f>
        <v>7.5406922981234732E-19</v>
      </c>
      <c r="AD351" s="7">
        <f>(((0.648*20^0.651)/0.2))*AA351/20+AD350*inputs!$C$54</f>
        <v>5.0373001705999485E-18</v>
      </c>
      <c r="AE351" s="7">
        <f>(((0.013*2^0.773)/0.2))*AA351/2+AE350*inputs!$C$54</f>
        <v>2.4563589839455442E-19</v>
      </c>
    </row>
    <row r="352" spans="1:31" x14ac:dyDescent="0.3">
      <c r="A352" s="7">
        <f>IF(A351&lt;(inputs!$C$20-1),(1+A351),0)</f>
        <v>0</v>
      </c>
      <c r="B352" s="7">
        <f>IF(inputs!$C$19&gt;B351,IF(A351=(inputs!$C$20-1),(B351+1),B351), B351)</f>
        <v>1</v>
      </c>
      <c r="C352" s="7">
        <f t="shared" si="11"/>
        <v>349</v>
      </c>
      <c r="D352" s="8">
        <f>IF((B352&gt;B351), (EXP(-LN(2)/inputs!$C$51)*D351+$D$3), (EXP(-LN(2)/inputs!$C$51)*D351))</f>
        <v>1.0834060900569513E-17</v>
      </c>
      <c r="E352" s="8">
        <f>IF((B352&gt;B351), (EXP(-LN(2)/inputs!$C$51)*E351+$E$3), (EXP(-LN(2)/inputs!$C$51)*E351))</f>
        <v>4.9656112460943538E-18</v>
      </c>
      <c r="F352" s="8">
        <f>IF((B352&gt;B351), (EXP(-LN(2)/inputs!$C$51)*F351+$F$3), (EXP(-LN(2)/inputs!$C$51)*F351))</f>
        <v>6.0941592565703444E-18</v>
      </c>
      <c r="G352" s="8">
        <f>IF((B352&gt;B351), (EXP(-LN(2)/inputs!$C$51)*G351+$G$3), (EXP(-LN(2)/inputs!$C$51)*G351))</f>
        <v>6.7712880628559456E-19</v>
      </c>
      <c r="H352" s="8">
        <f>IF((B352&gt;B351), (EXP(-LN(2)/inputs!$C$51)*H351+$H$3), (EXP(-LN(2)/inputs!$C$51)*H351))</f>
        <v>4.2433405193897163E-18</v>
      </c>
      <c r="I352" s="7">
        <f>O352*(10^inputs!$C$55)*0.01/1</f>
        <v>4.6223607879913045E-2</v>
      </c>
      <c r="J352" s="7">
        <f>(((0.621*15^0.564)/0.2))*D352/15+J351*inputs!$C$53</f>
        <v>1.1658149874159995E-17</v>
      </c>
      <c r="K352" s="7">
        <f>(((0.621*1000^0.564)/0.2))*D352/1000+K351*inputs!$C$53</f>
        <v>1.8681228095045656E-18</v>
      </c>
      <c r="L352" s="7">
        <f>(((0.648*20^0.651)/0.2))*H352/20+L351*inputs!$C$54</f>
        <v>6.3916681048543884E-18</v>
      </c>
      <c r="M352" s="7">
        <f>(((0.013*2^0.773)/0.2))*H352/2+M351*inputs!$C$54</f>
        <v>3.11679487821496E-19</v>
      </c>
      <c r="N352" s="7">
        <f>O352*0.015*inputs!$C$56</f>
        <v>6.791153931329578E-3</v>
      </c>
      <c r="O352" s="7">
        <f>IF((B352&gt;B351), (EXP(-LN(2)/inputs!$C$52)*O351+$O$3), (EXP(-LN(2)/inputs!$C$52)*O351))</f>
        <v>7.3259481459866005E-4</v>
      </c>
      <c r="P352" s="3">
        <f>IF((B352&gt;B351), (EXP(-LN(2)/inputs!$C$52)*P351+$P$3), (EXP(-LN(2)/inputs!$C$52)*P351))</f>
        <v>7.079099747305588E-4</v>
      </c>
      <c r="Q352" s="19">
        <f>IF((F352*0.62*1/(0.012*(10^inputs!$C$55)))&gt;inputs!$C$57, inputs!$C$57, (F352*0.62*1/(0.012*(10^inputs!$C$55))))</f>
        <v>4.9902722850813085E-20</v>
      </c>
      <c r="R352" s="3">
        <f>IF((B352&gt;B351), (EXP(-LN(2)/inputs!$C$51)*R351+$R$3), (EXP(-LN(2)/inputs!$C$51)*R351))</f>
        <v>1.1594618794283873E-25</v>
      </c>
      <c r="T352" s="7">
        <f>IF(T351&lt;(inputs!$C$20-1),(1+T351),0)</f>
        <v>0</v>
      </c>
      <c r="U352" s="7">
        <f>IF(inputs!$C$19&gt;U351,IF(T351=(inputs!$C$20-1),(U351+1),U351), U351)</f>
        <v>1</v>
      </c>
      <c r="V352" s="7">
        <f t="shared" si="10"/>
        <v>349</v>
      </c>
      <c r="W352" s="8">
        <f>IF((U352&gt;U351), (EXP(-LN(2)/inputs!$C$51)*W351+$W$3), (EXP(-LN(2)/inputs!$C$51)*W351))</f>
        <v>3.8370632356183624E-18</v>
      </c>
      <c r="X352" s="8">
        <f>IF((U352&gt;U351), (EXP(-LN(2)/inputs!$C$51)*X351+$X$3), (EXP(-LN(2)/inputs!$C$51)*X351))</f>
        <v>1.625109135085424E-18</v>
      </c>
      <c r="Y352" s="8">
        <f>IF((U352&gt;U351), (EXP(-LN(2)/inputs!$C$51)*Y351+$Y$3), (EXP(-LN(2)/inputs!$C$51)*Y351))</f>
        <v>2.0313864188567822E-18</v>
      </c>
      <c r="Z352" s="8">
        <f>IF((U352&gt;U351), (EXP(-LN(2)/inputs!$C$51)*Z351+$Z$3), (EXP(-LN(2)/inputs!$C$51)*Z351))</f>
        <v>3.1599344293327681E-19</v>
      </c>
      <c r="AA352" s="8">
        <f>IF((U352&gt;U351), (EXP(-LN(2)/inputs!$C$51)*AA351+$AA$3), (EXP(-LN(2)/inputs!$C$51)*AA351))</f>
        <v>2.9342248272375727E-18</v>
      </c>
      <c r="AB352" s="7">
        <f>(((0.621*15^0.564)/0.2))*W352/15+AB351*inputs!$C$53</f>
        <v>4.1289280804316569E-18</v>
      </c>
      <c r="AC352" s="7">
        <f>(((0.621*1000^0.564)/0.2))*W352/1000+AC351*inputs!$C$53</f>
        <v>6.6162682836619916E-19</v>
      </c>
      <c r="AD352" s="7">
        <f>(((0.648*20^0.651)/0.2))*AA352/20+AD351*inputs!$C$54</f>
        <v>4.4197704980376137E-18</v>
      </c>
      <c r="AE352" s="7">
        <f>(((0.013*2^0.773)/0.2))*AA352/2+AE351*inputs!$C$54</f>
        <v>2.1552305008933258E-19</v>
      </c>
    </row>
    <row r="353" spans="1:31" x14ac:dyDescent="0.3">
      <c r="A353" s="7">
        <f>IF(A352&lt;(inputs!$C$20-1),(1+A352),0)</f>
        <v>0</v>
      </c>
      <c r="B353" s="7">
        <f>IF(inputs!$C$19&gt;B352,IF(A352=(inputs!$C$20-1),(B352+1),B352), B352)</f>
        <v>1</v>
      </c>
      <c r="C353" s="7">
        <f t="shared" si="11"/>
        <v>350</v>
      </c>
      <c r="D353" s="8">
        <f>IF((B353&gt;B352), (EXP(-LN(2)/inputs!$C$51)*D352+$D$3), (EXP(-LN(2)/inputs!$C$51)*D352))</f>
        <v>9.5058982233685112E-18</v>
      </c>
      <c r="E353" s="8">
        <f>IF((B353&gt;B352), (EXP(-LN(2)/inputs!$C$51)*E352+$E$3), (EXP(-LN(2)/inputs!$C$51)*E352))</f>
        <v>4.3568700190438953E-18</v>
      </c>
      <c r="F353" s="8">
        <f>IF((B353&gt;B352), (EXP(-LN(2)/inputs!$C$51)*F352+$F$3), (EXP(-LN(2)/inputs!$C$51)*F352))</f>
        <v>5.3470677506447819E-18</v>
      </c>
      <c r="G353" s="8">
        <f>IF((B353&gt;B352), (EXP(-LN(2)/inputs!$C$51)*G352+$G$3), (EXP(-LN(2)/inputs!$C$51)*G352))</f>
        <v>5.9411863896053195E-19</v>
      </c>
      <c r="H353" s="8">
        <f>IF((B353&gt;B352), (EXP(-LN(2)/inputs!$C$51)*H352+$H$3), (EXP(-LN(2)/inputs!$C$51)*H352))</f>
        <v>3.723143470819325E-18</v>
      </c>
      <c r="I353" s="7">
        <f>O353*(10^inputs!$C$55)*0.01/1</f>
        <v>4.5290802604680151E-2</v>
      </c>
      <c r="J353" s="7">
        <f>(((0.621*15^0.564)/0.2))*D353/15+J352*inputs!$C$53</f>
        <v>1.0228960977200691E-17</v>
      </c>
      <c r="K353" s="7">
        <f>(((0.621*1000^0.564)/0.2))*D353/1000+K352*inputs!$C$53</f>
        <v>1.6391070217235116E-18</v>
      </c>
      <c r="L353" s="7">
        <f>(((0.648*20^0.651)/0.2))*H353/20+L352*inputs!$C$54</f>
        <v>5.6081045731524934E-18</v>
      </c>
      <c r="M353" s="7">
        <f>(((0.013*2^0.773)/0.2))*H353/2+M352*inputs!$C$54</f>
        <v>2.7347026352667277E-19</v>
      </c>
      <c r="N353" s="7">
        <f>O353*0.015*inputs!$C$56</f>
        <v>6.654106554402176E-3</v>
      </c>
      <c r="O353" s="7">
        <f>IF((B353&gt;B352), (EXP(-LN(2)/inputs!$C$52)*O352+$O$3), (EXP(-LN(2)/inputs!$C$52)*O352))</f>
        <v>7.1781084729257566E-4</v>
      </c>
      <c r="P353" s="3">
        <f>IF((B353&gt;B352), (EXP(-LN(2)/inputs!$C$52)*P352+$P$3), (EXP(-LN(2)/inputs!$C$52)*P352))</f>
        <v>6.936241543650392E-4</v>
      </c>
      <c r="Q353" s="19">
        <f>IF((F353*0.62*1/(0.012*(10^inputs!$C$55)))&gt;inputs!$C$57, inputs!$C$57, (F353*0.62*1/(0.012*(10^inputs!$C$55))))</f>
        <v>4.3785078267730536E-20</v>
      </c>
      <c r="R353" s="3">
        <f>IF((B353&gt;B352), (EXP(-LN(2)/inputs!$C$51)*R352+$R$3), (EXP(-LN(2)/inputs!$C$51)*R352))</f>
        <v>1.01732182612546E-25</v>
      </c>
      <c r="T353" s="7">
        <f>IF(T352&lt;(inputs!$C$20-1),(1+T352),0)</f>
        <v>0</v>
      </c>
      <c r="U353" s="7">
        <f>IF(inputs!$C$19&gt;U352,IF(T352=(inputs!$C$20-1),(U352+1),U352), U352)</f>
        <v>1</v>
      </c>
      <c r="V353" s="7">
        <f t="shared" si="10"/>
        <v>350</v>
      </c>
      <c r="W353" s="8">
        <f>IF((U353&gt;U352), (EXP(-LN(2)/inputs!$C$51)*W352+$W$3), (EXP(-LN(2)/inputs!$C$51)*W352))</f>
        <v>3.3666722874430086E-18</v>
      </c>
      <c r="X353" s="8">
        <f>IF((U353&gt;U352), (EXP(-LN(2)/inputs!$C$51)*X352+$X$3), (EXP(-LN(2)/inputs!$C$51)*X352))</f>
        <v>1.4258847335052742E-18</v>
      </c>
      <c r="Y353" s="8">
        <f>IF((U353&gt;U352), (EXP(-LN(2)/inputs!$C$51)*Y352+$Y$3), (EXP(-LN(2)/inputs!$C$51)*Y352))</f>
        <v>1.7823559168815946E-18</v>
      </c>
      <c r="Z353" s="8">
        <f>IF((U353&gt;U352), (EXP(-LN(2)/inputs!$C$51)*Z352+$Z$3), (EXP(-LN(2)/inputs!$C$51)*Z352))</f>
        <v>2.772553648482477E-19</v>
      </c>
      <c r="AA353" s="8">
        <f>IF((U353&gt;U352), (EXP(-LN(2)/inputs!$C$51)*AA352+$AA$3), (EXP(-LN(2)/inputs!$C$51)*AA352))</f>
        <v>2.5745141021623018E-18</v>
      </c>
      <c r="AB353" s="7">
        <f>(((0.621*15^0.564)/0.2))*W353/15+AB352*inputs!$C$53</f>
        <v>3.6227570127585716E-18</v>
      </c>
      <c r="AC353" s="7">
        <f>(((0.621*1000^0.564)/0.2))*W353/1000+AC352*inputs!$C$53</f>
        <v>5.8051707019374265E-19</v>
      </c>
      <c r="AD353" s="7">
        <f>(((0.648*20^0.651)/0.2))*AA353/20+AD352*inputs!$C$54</f>
        <v>3.8779446516480048E-18</v>
      </c>
      <c r="AE353" s="7">
        <f>(((0.013*2^0.773)/0.2))*AA353/2+AE352*inputs!$C$54</f>
        <v>1.8910177797057179E-19</v>
      </c>
    </row>
    <row r="354" spans="1:31" x14ac:dyDescent="0.3">
      <c r="A354" s="7">
        <f>IF(A353&lt;(inputs!$C$20-1),(1+A353),0)</f>
        <v>0</v>
      </c>
      <c r="B354" s="7">
        <f>IF(inputs!$C$19&gt;B353,IF(A353=(inputs!$C$20-1),(B353+1),B353), B353)</f>
        <v>1</v>
      </c>
      <c r="C354" s="7">
        <f t="shared" si="11"/>
        <v>351</v>
      </c>
      <c r="D354" s="8">
        <f>IF((B354&gt;B353), (EXP(-LN(2)/inputs!$C$51)*D353+$D$3), (EXP(-LN(2)/inputs!$C$51)*D353))</f>
        <v>8.340556866196918E-18</v>
      </c>
      <c r="E354" s="8">
        <f>IF((B354&gt;B353), (EXP(-LN(2)/inputs!$C$51)*E353+$E$3), (EXP(-LN(2)/inputs!$C$51)*E353))</f>
        <v>3.8227552303402489E-18</v>
      </c>
      <c r="F354" s="8">
        <f>IF((B354&gt;B353), (EXP(-LN(2)/inputs!$C$51)*F353+$F$3), (EXP(-LN(2)/inputs!$C$51)*F353))</f>
        <v>4.6915632372357618E-18</v>
      </c>
      <c r="G354" s="8">
        <f>IF((B354&gt;B353), (EXP(-LN(2)/inputs!$C$51)*G353+$G$3), (EXP(-LN(2)/inputs!$C$51)*G353))</f>
        <v>5.2128480413730738E-19</v>
      </c>
      <c r="H354" s="8">
        <f>IF((B354&gt;B353), (EXP(-LN(2)/inputs!$C$51)*H353+$H$3), (EXP(-LN(2)/inputs!$C$51)*H353))</f>
        <v>3.266718105927119E-18</v>
      </c>
      <c r="I354" s="7">
        <f>O354*(10^inputs!$C$55)*0.01/1</f>
        <v>4.4376821599585635E-2</v>
      </c>
      <c r="J354" s="7">
        <f>(((0.621*15^0.564)/0.2))*D354/15+J353*inputs!$C$53</f>
        <v>8.9749783458358185E-18</v>
      </c>
      <c r="K354" s="7">
        <f>(((0.621*1000^0.564)/0.2))*D354/1000+K353*inputs!$C$53</f>
        <v>1.438166599644398E-18</v>
      </c>
      <c r="L354" s="7">
        <f>(((0.648*20^0.651)/0.2))*H354/20+L353*inputs!$C$54</f>
        <v>4.9205991906130756E-18</v>
      </c>
      <c r="M354" s="7">
        <f>(((0.013*2^0.773)/0.2))*H354/2+M353*inputs!$C$54</f>
        <v>2.3994516147363221E-19</v>
      </c>
      <c r="N354" s="7">
        <f>O354*0.015*inputs!$C$56</f>
        <v>6.5198248316938653E-3</v>
      </c>
      <c r="O354" s="7">
        <f>IF((B354&gt;B353), (EXP(-LN(2)/inputs!$C$52)*O353+$O$3), (EXP(-LN(2)/inputs!$C$52)*O353))</f>
        <v>7.0332522456244512E-4</v>
      </c>
      <c r="P354" s="3">
        <f>IF((B354&gt;B353), (EXP(-LN(2)/inputs!$C$52)*P353+$P$3), (EXP(-LN(2)/inputs!$C$52)*P353))</f>
        <v>6.7962662583153342E-4</v>
      </c>
      <c r="Q354" s="19">
        <f>IF((F354*0.62*1/(0.012*(10^inputs!$C$55)))&gt;inputs!$C$57, inputs!$C$57, (F354*0.62*1/(0.012*(10^inputs!$C$55))))</f>
        <v>3.8417404289594838E-20</v>
      </c>
      <c r="R354" s="3">
        <f>IF((B354&gt;B353), (EXP(-LN(2)/inputs!$C$51)*R353+$R$3), (EXP(-LN(2)/inputs!$C$51)*R353))</f>
        <v>8.926069207393572E-26</v>
      </c>
      <c r="T354" s="7">
        <f>IF(T353&lt;(inputs!$C$20-1),(1+T353),0)</f>
        <v>0</v>
      </c>
      <c r="U354" s="7">
        <f>IF(inputs!$C$19&gt;U353,IF(T353=(inputs!$C$20-1),(U353+1),U353), U353)</f>
        <v>1</v>
      </c>
      <c r="V354" s="7">
        <f t="shared" si="10"/>
        <v>351</v>
      </c>
      <c r="W354" s="8">
        <f>IF((U354&gt;U353), (EXP(-LN(2)/inputs!$C$51)*W353+$W$3), (EXP(-LN(2)/inputs!$C$51)*W353))</f>
        <v>2.9539472234447369E-18</v>
      </c>
      <c r="X354" s="8">
        <f>IF((U354&gt;U353), (EXP(-LN(2)/inputs!$C$51)*X353+$X$3), (EXP(-LN(2)/inputs!$C$51)*X353))</f>
        <v>1.2510835299295355E-18</v>
      </c>
      <c r="Y354" s="8">
        <f>IF((U354&gt;U353), (EXP(-LN(2)/inputs!$C$51)*Y353+$Y$3), (EXP(-LN(2)/inputs!$C$51)*Y353))</f>
        <v>1.5638544124119212E-18</v>
      </c>
      <c r="Z354" s="8">
        <f>IF((U354&gt;U353), (EXP(-LN(2)/inputs!$C$51)*Z353+$Z$3), (EXP(-LN(2)/inputs!$C$51)*Z353))</f>
        <v>2.4326624193074295E-19</v>
      </c>
      <c r="AA354" s="8">
        <f>IF((U354&gt;U353), (EXP(-LN(2)/inputs!$C$51)*AA353+$AA$3), (EXP(-LN(2)/inputs!$C$51)*AA353))</f>
        <v>2.2589008179283291E-18</v>
      </c>
      <c r="AB354" s="7">
        <f>(((0.621*15^0.564)/0.2))*W354/15+AB353*inputs!$C$53</f>
        <v>3.1786381641501801E-18</v>
      </c>
      <c r="AC354" s="7">
        <f>(((0.621*1000^0.564)/0.2))*W354/1000+AC353*inputs!$C$53</f>
        <v>5.0935067070739009E-19</v>
      </c>
      <c r="AD354" s="7">
        <f>(((0.648*20^0.651)/0.2))*AA354/20+AD353*inputs!$C$54</f>
        <v>3.402541993509045E-18</v>
      </c>
      <c r="AE354" s="7">
        <f>(((0.013*2^0.773)/0.2))*AA354/2+AE353*inputs!$C$54</f>
        <v>1.6591952655091608E-19</v>
      </c>
    </row>
    <row r="355" spans="1:31" x14ac:dyDescent="0.3">
      <c r="A355" s="7">
        <f>IF(A354&lt;(inputs!$C$20-1),(1+A354),0)</f>
        <v>0</v>
      </c>
      <c r="B355" s="7">
        <f>IF(inputs!$C$19&gt;B354,IF(A354=(inputs!$C$20-1),(B354+1),B354), B354)</f>
        <v>1</v>
      </c>
      <c r="C355" s="7">
        <f t="shared" si="11"/>
        <v>352</v>
      </c>
      <c r="D355" s="8">
        <f>IF((B355&gt;B354), (EXP(-LN(2)/inputs!$C$51)*D354+$D$3), (EXP(-LN(2)/inputs!$C$51)*D354))</f>
        <v>7.3180763357272225E-18</v>
      </c>
      <c r="E355" s="8">
        <f>IF((B355&gt;B354), (EXP(-LN(2)/inputs!$C$51)*E354+$E$3), (EXP(-LN(2)/inputs!$C$51)*E354))</f>
        <v>3.3541183205416393E-18</v>
      </c>
      <c r="F355" s="8">
        <f>IF((B355&gt;B354), (EXP(-LN(2)/inputs!$C$51)*F354+$F$3), (EXP(-LN(2)/inputs!$C$51)*F354))</f>
        <v>4.1164179388465593E-18</v>
      </c>
      <c r="G355" s="8">
        <f>IF((B355&gt;B354), (EXP(-LN(2)/inputs!$C$51)*G354+$G$3), (EXP(-LN(2)/inputs!$C$51)*G354))</f>
        <v>4.5737977098295141E-19</v>
      </c>
      <c r="H355" s="8">
        <f>IF((B355&gt;B354), (EXP(-LN(2)/inputs!$C$51)*H354+$H$3), (EXP(-LN(2)/inputs!$C$51)*H354))</f>
        <v>2.8662465648264894E-18</v>
      </c>
      <c r="I355" s="7">
        <f>O355*(10^inputs!$C$55)*0.01/1</f>
        <v>4.3481284985617617E-2</v>
      </c>
      <c r="J355" s="7">
        <f>(((0.621*15^0.564)/0.2))*D355/15+J354*inputs!$C$53</f>
        <v>7.8747231989407406E-18</v>
      </c>
      <c r="K355" s="7">
        <f>(((0.621*1000^0.564)/0.2))*D355/1000+K354*inputs!$C$53</f>
        <v>1.2618597449225128E-18</v>
      </c>
      <c r="L355" s="7">
        <f>(((0.648*20^0.651)/0.2))*H355/20+L354*inputs!$C$54</f>
        <v>4.3173760543932852E-18</v>
      </c>
      <c r="M355" s="7">
        <f>(((0.013*2^0.773)/0.2))*H355/2+M354*inputs!$C$54</f>
        <v>2.1052994856602402E-19</v>
      </c>
      <c r="N355" s="7">
        <f>O355*0.015*inputs!$C$56</f>
        <v>6.3882529515325729E-3</v>
      </c>
      <c r="O355" s="7">
        <f>IF((B355&gt;B354), (EXP(-LN(2)/inputs!$C$52)*O354+$O$3), (EXP(-LN(2)/inputs!$C$52)*O354))</f>
        <v>6.8913192573166922E-4</v>
      </c>
      <c r="P355" s="3">
        <f>IF((B355&gt;B354), (EXP(-LN(2)/inputs!$C$52)*P354+$P$3), (EXP(-LN(2)/inputs!$C$52)*P354))</f>
        <v>6.6591157132061358E-4</v>
      </c>
      <c r="Q355" s="19">
        <f>IF((F355*0.62*1/(0.012*(10^inputs!$C$55)))&gt;inputs!$C$57, inputs!$C$57, (F355*0.62*1/(0.012*(10^inputs!$C$55))))</f>
        <v>3.3707760971114018E-20</v>
      </c>
      <c r="R355" s="3">
        <f>IF((B355&gt;B354), (EXP(-LN(2)/inputs!$C$51)*R354+$R$3), (EXP(-LN(2)/inputs!$C$51)*R354))</f>
        <v>7.8318099001794073E-26</v>
      </c>
      <c r="T355" s="7">
        <f>IF(T354&lt;(inputs!$C$20-1),(1+T354),0)</f>
        <v>0</v>
      </c>
      <c r="U355" s="7">
        <f>IF(inputs!$C$19&gt;U354,IF(T354=(inputs!$C$20-1),(U354+1),U354), U354)</f>
        <v>1</v>
      </c>
      <c r="V355" s="7">
        <f t="shared" si="10"/>
        <v>352</v>
      </c>
      <c r="W355" s="8">
        <f>IF((U355&gt;U354), (EXP(-LN(2)/inputs!$C$51)*W354+$W$3), (EXP(-LN(2)/inputs!$C$51)*W354))</f>
        <v>2.5918187022367206E-18</v>
      </c>
      <c r="X355" s="8">
        <f>IF((U355&gt;U354), (EXP(-LN(2)/inputs!$C$51)*X354+$X$3), (EXP(-LN(2)/inputs!$C$51)*X354))</f>
        <v>1.0977114503590815E-18</v>
      </c>
      <c r="Y355" s="8">
        <f>IF((U355&gt;U354), (EXP(-LN(2)/inputs!$C$51)*Y354+$Y$3), (EXP(-LN(2)/inputs!$C$51)*Y354))</f>
        <v>1.3721393129488535E-18</v>
      </c>
      <c r="Z355" s="8">
        <f>IF((U355&gt;U354), (EXP(-LN(2)/inputs!$C$51)*Z354+$Z$3), (EXP(-LN(2)/inputs!$C$51)*Z354))</f>
        <v>2.1344389312537691E-19</v>
      </c>
      <c r="AA355" s="8">
        <f>IF((U355&gt;U354), (EXP(-LN(2)/inputs!$C$51)*AA354+$AA$3), (EXP(-LN(2)/inputs!$C$51)*AA354))</f>
        <v>1.9819790075927872E-18</v>
      </c>
      <c r="AB355" s="7">
        <f>(((0.621*15^0.564)/0.2))*W355/15+AB354*inputs!$C$53</f>
        <v>2.7889644662915078E-18</v>
      </c>
      <c r="AC355" s="7">
        <f>(((0.621*1000^0.564)/0.2))*W355/1000+AC354*inputs!$C$53</f>
        <v>4.4690865966005586E-19</v>
      </c>
      <c r="AD355" s="7">
        <f>(((0.648*20^0.651)/0.2))*AA355/20+AD354*inputs!$C$54</f>
        <v>2.9854196120804665E-18</v>
      </c>
      <c r="AE355" s="7">
        <f>(((0.013*2^0.773)/0.2))*AA355/2+AE354*inputs!$C$54</f>
        <v>1.4557921975310184E-19</v>
      </c>
    </row>
    <row r="356" spans="1:31" x14ac:dyDescent="0.3">
      <c r="A356" s="7">
        <f>IF(A355&lt;(inputs!$C$20-1),(1+A355),0)</f>
        <v>0</v>
      </c>
      <c r="B356" s="7">
        <f>IF(inputs!$C$19&gt;B355,IF(A355=(inputs!$C$20-1),(B355+1),B355), B355)</f>
        <v>1</v>
      </c>
      <c r="C356" s="7">
        <f t="shared" si="11"/>
        <v>353</v>
      </c>
      <c r="D356" s="8">
        <f>IF((B356&gt;B355), (EXP(-LN(2)/inputs!$C$51)*D355+$D$3), (EXP(-LN(2)/inputs!$C$51)*D355))</f>
        <v>6.4209431234236219E-18</v>
      </c>
      <c r="E356" s="8">
        <f>IF((B356&gt;B355), (EXP(-LN(2)/inputs!$C$51)*E355+$E$3), (EXP(-LN(2)/inputs!$C$51)*E355))</f>
        <v>2.9429322649024896E-18</v>
      </c>
      <c r="F356" s="8">
        <f>IF((B356&gt;B355), (EXP(-LN(2)/inputs!$C$51)*F355+$F$3), (EXP(-LN(2)/inputs!$C$51)*F355))</f>
        <v>3.6117805069257849E-18</v>
      </c>
      <c r="G356" s="8">
        <f>IF((B356&gt;B355), (EXP(-LN(2)/inputs!$C$51)*G355+$G$3), (EXP(-LN(2)/inputs!$C$51)*G355))</f>
        <v>4.0130894521397637E-19</v>
      </c>
      <c r="H356" s="8">
        <f>IF((B356&gt;B355), (EXP(-LN(2)/inputs!$C$51)*H355+$H$3), (EXP(-LN(2)/inputs!$C$51)*H355))</f>
        <v>2.51486939000758E-18</v>
      </c>
      <c r="I356" s="7">
        <f>O356*(10^inputs!$C$55)*0.01/1</f>
        <v>4.2603820549828413E-2</v>
      </c>
      <c r="J356" s="7">
        <f>(((0.621*15^0.564)/0.2))*D356/15+J355*inputs!$C$53</f>
        <v>6.9093498692069029E-18</v>
      </c>
      <c r="K356" s="7">
        <f>(((0.621*1000^0.564)/0.2))*D356/1000+K355*inputs!$C$53</f>
        <v>1.1071665940855668E-18</v>
      </c>
      <c r="L356" s="7">
        <f>(((0.648*20^0.651)/0.2))*H356/20+L355*inputs!$C$54</f>
        <v>3.7881028860483435E-18</v>
      </c>
      <c r="M356" s="7">
        <f>(((0.013*2^0.773)/0.2))*H356/2+M355*inputs!$C$54</f>
        <v>1.8472078774584246E-19</v>
      </c>
      <c r="N356" s="7">
        <f>O356*0.015*inputs!$C$56</f>
        <v>6.2593362285413056E-3</v>
      </c>
      <c r="O356" s="7">
        <f>IF((B356&gt;B355), (EXP(-LN(2)/inputs!$C$52)*O355+$O$3), (EXP(-LN(2)/inputs!$C$52)*O355))</f>
        <v>6.7522505162257883E-4</v>
      </c>
      <c r="P356" s="3">
        <f>IF((B356&gt;B355), (EXP(-LN(2)/inputs!$C$52)*P355+$P$3), (EXP(-LN(2)/inputs!$C$52)*P355))</f>
        <v>6.5247329042786588E-4</v>
      </c>
      <c r="Q356" s="19">
        <f>IF((F356*0.62*1/(0.012*(10^inputs!$C$55)))&gt;inputs!$C$57, inputs!$C$57, (F356*0.62*1/(0.012*(10^inputs!$C$55))))</f>
        <v>2.9575479413467172E-20</v>
      </c>
      <c r="R356" s="3">
        <f>IF((B356&gt;B355), (EXP(-LN(2)/inputs!$C$51)*R355+$R$3), (EXP(-LN(2)/inputs!$C$51)*R355))</f>
        <v>6.8716973717548353E-26</v>
      </c>
      <c r="T356" s="7">
        <f>IF(T355&lt;(inputs!$C$20-1),(1+T355),0)</f>
        <v>0</v>
      </c>
      <c r="U356" s="7">
        <f>IF(inputs!$C$19&gt;U355,IF(T355=(inputs!$C$20-1),(U355+1),U355), U355)</f>
        <v>1</v>
      </c>
      <c r="V356" s="7">
        <f t="shared" si="10"/>
        <v>353</v>
      </c>
      <c r="W356" s="8">
        <f>IF((U356&gt;U355), (EXP(-LN(2)/inputs!$C$51)*W355+$W$3), (EXP(-LN(2)/inputs!$C$51)*W355))</f>
        <v>2.2740840228791959E-18</v>
      </c>
      <c r="X356" s="8">
        <f>IF((U356&gt;U355), (EXP(-LN(2)/inputs!$C$51)*X355+$X$3), (EXP(-LN(2)/inputs!$C$51)*X355))</f>
        <v>9.6314146851354167E-19</v>
      </c>
      <c r="Y356" s="8">
        <f>IF((U356&gt;U355), (EXP(-LN(2)/inputs!$C$51)*Y355+$Y$3), (EXP(-LN(2)/inputs!$C$51)*Y355))</f>
        <v>1.2039268356419287E-18</v>
      </c>
      <c r="Z356" s="8">
        <f>IF((U356&gt;U355), (EXP(-LN(2)/inputs!$C$51)*Z355+$Z$3), (EXP(-LN(2)/inputs!$C$51)*Z355))</f>
        <v>1.8727750776652196E-19</v>
      </c>
      <c r="AA356" s="8">
        <f>IF((U356&gt;U355), (EXP(-LN(2)/inputs!$C$51)*AA355+$AA$3), (EXP(-LN(2)/inputs!$C$51)*AA355))</f>
        <v>1.7390054292605625E-18</v>
      </c>
      <c r="AB356" s="7">
        <f>(((0.621*15^0.564)/0.2))*W356/15+AB355*inputs!$C$53</f>
        <v>2.4470614120107745E-18</v>
      </c>
      <c r="AC356" s="7">
        <f>(((0.621*1000^0.564)/0.2))*W356/1000+AC355*inputs!$C$53</f>
        <v>3.9212150207197101E-19</v>
      </c>
      <c r="AD356" s="7">
        <f>(((0.648*20^0.651)/0.2))*AA356/20+AD355*inputs!$C$54</f>
        <v>2.6194328467355591E-18</v>
      </c>
      <c r="AE356" s="7">
        <f>(((0.013*2^0.773)/0.2))*AA356/2+AE355*inputs!$C$54</f>
        <v>1.2773245961148694E-19</v>
      </c>
    </row>
    <row r="357" spans="1:31" x14ac:dyDescent="0.3">
      <c r="A357" s="7">
        <f>IF(A356&lt;(inputs!$C$20-1),(1+A356),0)</f>
        <v>0</v>
      </c>
      <c r="B357" s="7">
        <f>IF(inputs!$C$19&gt;B356,IF(A356=(inputs!$C$20-1),(B356+1),B356), B356)</f>
        <v>1</v>
      </c>
      <c r="C357" s="7">
        <f t="shared" si="11"/>
        <v>354</v>
      </c>
      <c r="D357" s="8">
        <f>IF((B357&gt;B356), (EXP(-LN(2)/inputs!$C$51)*D356+$D$3), (EXP(-LN(2)/inputs!$C$51)*D356))</f>
        <v>5.6337907262543033E-18</v>
      </c>
      <c r="E357" s="8">
        <f>IF((B357&gt;B356), (EXP(-LN(2)/inputs!$C$51)*E356+$E$3), (EXP(-LN(2)/inputs!$C$51)*E356))</f>
        <v>2.5821540828665522E-18</v>
      </c>
      <c r="F357" s="8">
        <f>IF((B357&gt;B356), (EXP(-LN(2)/inputs!$C$51)*F356+$F$3), (EXP(-LN(2)/inputs!$C$51)*F356))</f>
        <v>3.1690072835180433E-18</v>
      </c>
      <c r="G357" s="8">
        <f>IF((B357&gt;B356), (EXP(-LN(2)/inputs!$C$51)*G356+$G$3), (EXP(-LN(2)/inputs!$C$51)*G356))</f>
        <v>3.5211192039089396E-19</v>
      </c>
      <c r="H357" s="8">
        <f>IF((B357&gt;B356), (EXP(-LN(2)/inputs!$C$51)*H356+$H$3), (EXP(-LN(2)/inputs!$C$51)*H356))</f>
        <v>2.2065680344495974E-18</v>
      </c>
      <c r="I357" s="7">
        <f>O357*(10^inputs!$C$55)*0.01/1</f>
        <v>4.1744063590631257E-2</v>
      </c>
      <c r="J357" s="7">
        <f>(((0.621*15^0.564)/0.2))*D357/15+J356*inputs!$C$53</f>
        <v>6.0623230060367096E-18</v>
      </c>
      <c r="K357" s="7">
        <f>(((0.621*1000^0.564)/0.2))*D357/1000+K356*inputs!$C$53</f>
        <v>9.7143749294760823E-19</v>
      </c>
      <c r="L357" s="7">
        <f>(((0.648*20^0.651)/0.2))*H357/20+L356*inputs!$C$54</f>
        <v>3.3237140555976732E-18</v>
      </c>
      <c r="M357" s="7">
        <f>(((0.013*2^0.773)/0.2))*H357/2+M356*inputs!$C$54</f>
        <v>1.6207560804463739E-19</v>
      </c>
      <c r="N357" s="7">
        <f>O357*0.015*inputs!$C$56</f>
        <v>6.1330210809092001E-3</v>
      </c>
      <c r="O357" s="7">
        <f>IF((B357&gt;B356), (EXP(-LN(2)/inputs!$C$52)*O356+$O$3), (EXP(-LN(2)/inputs!$C$52)*O356))</f>
        <v>6.6159882210455241E-4</v>
      </c>
      <c r="P357" s="3">
        <f>IF((B357&gt;B356), (EXP(-LN(2)/inputs!$C$52)*P356+$P$3), (EXP(-LN(2)/inputs!$C$52)*P356))</f>
        <v>6.3930619778462447E-4</v>
      </c>
      <c r="Q357" s="19">
        <f>IF((F357*0.62*1/(0.012*(10^inputs!$C$55)))&gt;inputs!$C$57, inputs!$C$57, (F357*0.62*1/(0.012*(10^inputs!$C$55))))</f>
        <v>2.594978003095504E-20</v>
      </c>
      <c r="R357" s="3">
        <f>IF((B357&gt;B356), (EXP(-LN(2)/inputs!$C$51)*R356+$R$3), (EXP(-LN(2)/inputs!$C$51)*R356))</f>
        <v>6.0292863809041909E-26</v>
      </c>
      <c r="T357" s="7">
        <f>IF(T356&lt;(inputs!$C$20-1),(1+T356),0)</f>
        <v>0</v>
      </c>
      <c r="U357" s="7">
        <f>IF(inputs!$C$19&gt;U356,IF(T356=(inputs!$C$20-1),(U356+1),U356), U356)</f>
        <v>1</v>
      </c>
      <c r="V357" s="7">
        <f t="shared" si="10"/>
        <v>354</v>
      </c>
      <c r="W357" s="8">
        <f>IF((U357&gt;U356), (EXP(-LN(2)/inputs!$C$51)*W356+$W$3), (EXP(-LN(2)/inputs!$C$51)*W356))</f>
        <v>1.9953008822150627E-18</v>
      </c>
      <c r="X357" s="8">
        <f>IF((U357&gt;U356), (EXP(-LN(2)/inputs!$C$51)*X356+$X$3), (EXP(-LN(2)/inputs!$C$51)*X356))</f>
        <v>8.4506860893814413E-19</v>
      </c>
      <c r="Y357" s="8">
        <f>IF((U357&gt;U356), (EXP(-LN(2)/inputs!$C$51)*Y356+$Y$3), (EXP(-LN(2)/inputs!$C$51)*Y356))</f>
        <v>1.0563357611726815E-18</v>
      </c>
      <c r="Z357" s="8">
        <f>IF((U357&gt;U356), (EXP(-LN(2)/inputs!$C$51)*Z356+$Z$3), (EXP(-LN(2)/inputs!$C$51)*Z356))</f>
        <v>1.6431889618241688E-19</v>
      </c>
      <c r="AA357" s="8">
        <f>IF((U357&gt;U356), (EXP(-LN(2)/inputs!$C$51)*AA356+$AA$3), (EXP(-LN(2)/inputs!$C$51)*AA356))</f>
        <v>1.5258183216938723E-18</v>
      </c>
      <c r="AB357" s="7">
        <f>(((0.621*15^0.564)/0.2))*W357/15+AB356*inputs!$C$53</f>
        <v>2.1470727313046646E-18</v>
      </c>
      <c r="AC357" s="7">
        <f>(((0.621*1000^0.564)/0.2))*W357/1000+AC356*inputs!$C$53</f>
        <v>3.4405077875227741E-19</v>
      </c>
      <c r="AD357" s="7">
        <f>(((0.648*20^0.651)/0.2))*AA357/20+AD356*inputs!$C$54</f>
        <v>2.2983129107856273E-18</v>
      </c>
      <c r="AE357" s="7">
        <f>(((0.013*2^0.773)/0.2))*AA357/2+AE356*inputs!$C$54</f>
        <v>1.1207355875427066E-19</v>
      </c>
    </row>
    <row r="358" spans="1:31" x14ac:dyDescent="0.3">
      <c r="A358" s="7">
        <f>IF(A357&lt;(inputs!$C$20-1),(1+A357),0)</f>
        <v>0</v>
      </c>
      <c r="B358" s="7">
        <f>IF(inputs!$C$19&gt;B357,IF(A357=(inputs!$C$20-1),(B357+1),B357), B357)</f>
        <v>1</v>
      </c>
      <c r="C358" s="7">
        <f t="shared" si="11"/>
        <v>355</v>
      </c>
      <c r="D358" s="8">
        <f>IF((B358&gt;B357), (EXP(-LN(2)/inputs!$C$51)*D357+$D$3), (EXP(-LN(2)/inputs!$C$51)*D357))</f>
        <v>4.9431364422841299E-18</v>
      </c>
      <c r="E358" s="8">
        <f>IF((B358&gt;B357), (EXP(-LN(2)/inputs!$C$51)*E357+$E$3), (EXP(-LN(2)/inputs!$C$51)*E357))</f>
        <v>2.2656042027135565E-18</v>
      </c>
      <c r="F358" s="8">
        <f>IF((B358&gt;B357), (EXP(-LN(2)/inputs!$C$51)*F357+$F$3), (EXP(-LN(2)/inputs!$C$51)*F357))</f>
        <v>2.780514248784821E-18</v>
      </c>
      <c r="G358" s="8">
        <f>IF((B358&gt;B357), (EXP(-LN(2)/inputs!$C$51)*G357+$G$3), (EXP(-LN(2)/inputs!$C$51)*G357))</f>
        <v>3.0894602764275812E-19</v>
      </c>
      <c r="H358" s="8">
        <f>IF((B358&gt;B357), (EXP(-LN(2)/inputs!$C$51)*H357+$H$3), (EXP(-LN(2)/inputs!$C$51)*H357))</f>
        <v>1.9360617732279468E-18</v>
      </c>
      <c r="I358" s="7">
        <f>O358*(10^inputs!$C$55)*0.01/1</f>
        <v>4.0901656766218923E-2</v>
      </c>
      <c r="J358" s="7">
        <f>(((0.621*15^0.564)/0.2))*D358/15+J357*inputs!$C$53</f>
        <v>5.3191343505869625E-18</v>
      </c>
      <c r="K358" s="7">
        <f>(((0.621*1000^0.564)/0.2))*D358/1000+K357*inputs!$C$53</f>
        <v>8.5234761213487439E-19</v>
      </c>
      <c r="L358" s="7">
        <f>(((0.648*20^0.651)/0.2))*H358/20+L357*inputs!$C$54</f>
        <v>2.9162553013182738E-18</v>
      </c>
      <c r="M358" s="7">
        <f>(((0.013*2^0.773)/0.2))*H358/2+M357*inputs!$C$54</f>
        <v>1.4220653259221586E-19</v>
      </c>
      <c r="N358" s="7">
        <f>O358*0.015*inputs!$C$56</f>
        <v>6.0092550081212569E-3</v>
      </c>
      <c r="O358" s="7">
        <f>IF((B358&gt;B357), (EXP(-LN(2)/inputs!$C$52)*O357+$O$3), (EXP(-LN(2)/inputs!$C$52)*O357))</f>
        <v>6.4824757369161354E-4</v>
      </c>
      <c r="P358" s="3">
        <f>IF((B358&gt;B357), (EXP(-LN(2)/inputs!$C$52)*P357+$P$3), (EXP(-LN(2)/inputs!$C$52)*P357))</f>
        <v>6.2640482073651803E-4</v>
      </c>
      <c r="Q358" s="19">
        <f>IF((F358*0.62*1/(0.012*(10^inputs!$C$55)))&gt;inputs!$C$57, inputs!$C$57, (F358*0.62*1/(0.012*(10^inputs!$C$55))))</f>
        <v>2.2768560206274289E-20</v>
      </c>
      <c r="R358" s="3">
        <f>IF((B358&gt;B357), (EXP(-LN(2)/inputs!$C$51)*R357+$R$3), (EXP(-LN(2)/inputs!$C$51)*R357))</f>
        <v>5.2901477315310549E-26</v>
      </c>
      <c r="T358" s="7">
        <f>IF(T357&lt;(inputs!$C$20-1),(1+T357),0)</f>
        <v>0</v>
      </c>
      <c r="U358" s="7">
        <f>IF(inputs!$C$19&gt;U357,IF(T357=(inputs!$C$20-1),(U357+1),U357), U357)</f>
        <v>1</v>
      </c>
      <c r="V358" s="7">
        <f t="shared" si="10"/>
        <v>355</v>
      </c>
      <c r="W358" s="8">
        <f>IF((U358&gt;U357), (EXP(-LN(2)/inputs!$C$51)*W357+$W$3), (EXP(-LN(2)/inputs!$C$51)*W357))</f>
        <v>1.7506941566422931E-18</v>
      </c>
      <c r="X358" s="8">
        <f>IF((U358&gt;U357), (EXP(-LN(2)/inputs!$C$51)*X357+$X$3), (EXP(-LN(2)/inputs!$C$51)*X357))</f>
        <v>7.4147046634261827E-19</v>
      </c>
      <c r="Y358" s="8">
        <f>IF((U358&gt;U357), (EXP(-LN(2)/inputs!$C$51)*Y357+$Y$3), (EXP(-LN(2)/inputs!$C$51)*Y357))</f>
        <v>9.2683808292827397E-19</v>
      </c>
      <c r="Z358" s="8">
        <f>IF((U358&gt;U357), (EXP(-LN(2)/inputs!$C$51)*Z357+$Z$3), (EXP(-LN(2)/inputs!$C$51)*Z357))</f>
        <v>1.4417481289995353E-19</v>
      </c>
      <c r="AA358" s="8">
        <f>IF((U358&gt;U357), (EXP(-LN(2)/inputs!$C$51)*AA357+$AA$3), (EXP(-LN(2)/inputs!$C$51)*AA357))</f>
        <v>1.3387661197852838E-18</v>
      </c>
      <c r="AB358" s="7">
        <f>(((0.621*15^0.564)/0.2))*W358/15+AB357*inputs!$C$53</f>
        <v>1.883860082499546E-18</v>
      </c>
      <c r="AC358" s="7">
        <f>(((0.621*1000^0.564)/0.2))*W358/1000+AC357*inputs!$C$53</f>
        <v>3.0187311263110092E-19</v>
      </c>
      <c r="AD358" s="7">
        <f>(((0.648*20^0.651)/0.2))*AA358/20+AD357*inputs!$C$54</f>
        <v>2.0165595168690211E-18</v>
      </c>
      <c r="AE358" s="7">
        <f>(((0.013*2^0.773)/0.2))*AA358/2+AE357*inputs!$C$54</f>
        <v>9.833430445206427E-20</v>
      </c>
    </row>
    <row r="359" spans="1:31" x14ac:dyDescent="0.3">
      <c r="A359" s="7">
        <f>IF(A358&lt;(inputs!$C$20-1),(1+A358),0)</f>
        <v>0</v>
      </c>
      <c r="B359" s="7">
        <f>IF(inputs!$C$19&gt;B358,IF(A358=(inputs!$C$20-1),(B358+1),B358), B358)</f>
        <v>1</v>
      </c>
      <c r="C359" s="7">
        <f t="shared" si="11"/>
        <v>356</v>
      </c>
      <c r="D359" s="8">
        <f>IF((B359&gt;B358), (EXP(-LN(2)/inputs!$C$51)*D358+$D$3), (EXP(-LN(2)/inputs!$C$51)*D358))</f>
        <v>4.3371504328637098E-18</v>
      </c>
      <c r="E359" s="8">
        <f>IF((B359&gt;B358), (EXP(-LN(2)/inputs!$C$51)*E358+$E$3), (EXP(-LN(2)/inputs!$C$51)*E358))</f>
        <v>1.987860615062531E-18</v>
      </c>
      <c r="F359" s="8">
        <f>IF((B359&gt;B358), (EXP(-LN(2)/inputs!$C$51)*F358+$F$3), (EXP(-LN(2)/inputs!$C$51)*F358))</f>
        <v>2.4396471184858347E-18</v>
      </c>
      <c r="G359" s="8">
        <f>IF((B359&gt;B358), (EXP(-LN(2)/inputs!$C$51)*G358+$G$3), (EXP(-LN(2)/inputs!$C$51)*G358))</f>
        <v>2.7107190205398186E-19</v>
      </c>
      <c r="H359" s="8">
        <f>IF((B359&gt;B358), (EXP(-LN(2)/inputs!$C$51)*H358+$H$3), (EXP(-LN(2)/inputs!$C$51)*H358))</f>
        <v>1.698717252871616E-18</v>
      </c>
      <c r="I359" s="7">
        <f>O359*(10^inputs!$C$55)*0.01/1</f>
        <v>4.0076249946041344E-2</v>
      </c>
      <c r="J359" s="7">
        <f>(((0.621*15^0.564)/0.2))*D359/15+J358*inputs!$C$53</f>
        <v>4.6670542317558028E-18</v>
      </c>
      <c r="K359" s="7">
        <f>(((0.621*1000^0.564)/0.2))*D359/1000+K358*inputs!$C$53</f>
        <v>7.4785712635779825E-19</v>
      </c>
      <c r="L359" s="7">
        <f>(((0.648*20^0.651)/0.2))*H359/20+L358*inputs!$C$54</f>
        <v>2.5587474855557754E-18</v>
      </c>
      <c r="M359" s="7">
        <f>(((0.013*2^0.773)/0.2))*H359/2+M358*inputs!$C$54</f>
        <v>1.2477323488634636E-19</v>
      </c>
      <c r="N359" s="7">
        <f>O359*0.015*inputs!$C$56</f>
        <v>5.8879865691374806E-3</v>
      </c>
      <c r="O359" s="7">
        <f>IF((B359&gt;B358), (EXP(-LN(2)/inputs!$C$52)*O358+$O$3), (EXP(-LN(2)/inputs!$C$52)*O358))</f>
        <v>6.351657571885093E-4</v>
      </c>
      <c r="P359" s="3">
        <f>IF((B359&gt;B358), (EXP(-LN(2)/inputs!$C$52)*P358+$P$3), (EXP(-LN(2)/inputs!$C$52)*P358))</f>
        <v>6.1376379706886395E-4</v>
      </c>
      <c r="Q359" s="19">
        <f>IF((F359*0.62*1/(0.012*(10^inputs!$C$55)))&gt;inputs!$C$57, inputs!$C$57, (F359*0.62*1/(0.012*(10^inputs!$C$55))))</f>
        <v>1.9977330568827094E-20</v>
      </c>
      <c r="R359" s="3">
        <f>IF((B359&gt;B358), (EXP(-LN(2)/inputs!$C$51)*R358+$R$3), (EXP(-LN(2)/inputs!$C$51)*R358))</f>
        <v>4.6416211228676547E-26</v>
      </c>
      <c r="T359" s="7">
        <f>IF(T358&lt;(inputs!$C$20-1),(1+T358),0)</f>
        <v>0</v>
      </c>
      <c r="U359" s="7">
        <f>IF(inputs!$C$19&gt;U358,IF(T358=(inputs!$C$20-1),(U358+1),U358), U358)</f>
        <v>1</v>
      </c>
      <c r="V359" s="7">
        <f t="shared" si="10"/>
        <v>356</v>
      </c>
      <c r="W359" s="8">
        <f>IF((U359&gt;U358), (EXP(-LN(2)/inputs!$C$51)*W358+$W$3), (EXP(-LN(2)/inputs!$C$51)*W358))</f>
        <v>1.5360741116392279E-18</v>
      </c>
      <c r="X359" s="8">
        <f>IF((U359&gt;U358), (EXP(-LN(2)/inputs!$C$51)*X358+$X$3), (EXP(-LN(2)/inputs!$C$51)*X358))</f>
        <v>6.5057256492955537E-19</v>
      </c>
      <c r="Y359" s="8">
        <f>IF((U359&gt;U358), (EXP(-LN(2)/inputs!$C$51)*Y358+$Y$3), (EXP(-LN(2)/inputs!$C$51)*Y358))</f>
        <v>8.1321570616194519E-19</v>
      </c>
      <c r="Z359" s="8">
        <f>IF((U359&gt;U358), (EXP(-LN(2)/inputs!$C$51)*Z358+$Z$3), (EXP(-LN(2)/inputs!$C$51)*Z358))</f>
        <v>1.2650022095852463E-19</v>
      </c>
      <c r="AA359" s="8">
        <f>IF((U359&gt;U358), (EXP(-LN(2)/inputs!$C$51)*AA358+$AA$3), (EXP(-LN(2)/inputs!$C$51)*AA358))</f>
        <v>1.1746449089005869E-18</v>
      </c>
      <c r="AB359" s="7">
        <f>(((0.621*15^0.564)/0.2))*W359/15+AB358*inputs!$C$53</f>
        <v>1.6529150404135105E-18</v>
      </c>
      <c r="AC359" s="7">
        <f>(((0.621*1000^0.564)/0.2))*W359/1000+AC358*inputs!$C$53</f>
        <v>2.6486606558505308E-19</v>
      </c>
      <c r="AD359" s="7">
        <f>(((0.648*20^0.651)/0.2))*AA359/20+AD358*inputs!$C$54</f>
        <v>1.7693466655438892E-18</v>
      </c>
      <c r="AE359" s="7">
        <f>(((0.013*2^0.773)/0.2))*AA359/2+AE358*inputs!$C$54</f>
        <v>8.6279364549069394E-20</v>
      </c>
    </row>
    <row r="360" spans="1:31" x14ac:dyDescent="0.3">
      <c r="A360" s="7">
        <f>IF(A359&lt;(inputs!$C$20-1),(1+A359),0)</f>
        <v>0</v>
      </c>
      <c r="B360" s="7">
        <f>IF(inputs!$C$19&gt;B359,IF(A359=(inputs!$C$20-1),(B359+1),B359), B359)</f>
        <v>1</v>
      </c>
      <c r="C360" s="7">
        <f t="shared" si="11"/>
        <v>357</v>
      </c>
      <c r="D360" s="8">
        <f>IF((B360&gt;B359), (EXP(-LN(2)/inputs!$C$51)*D359+$D$3), (EXP(-LN(2)/inputs!$C$51)*D359))</f>
        <v>3.8054530958076724E-18</v>
      </c>
      <c r="E360" s="8">
        <f>IF((B360&gt;B359), (EXP(-LN(2)/inputs!$C$51)*E359+$E$3), (EXP(-LN(2)/inputs!$C$51)*E359))</f>
        <v>1.7441660022451809E-18</v>
      </c>
      <c r="F360" s="8">
        <f>IF((B360&gt;B359), (EXP(-LN(2)/inputs!$C$51)*F359+$F$3), (EXP(-LN(2)/inputs!$C$51)*F359))</f>
        <v>2.1405673663918138E-18</v>
      </c>
      <c r="G360" s="8">
        <f>IF((B360&gt;B359), (EXP(-LN(2)/inputs!$C$51)*G359+$G$3), (EXP(-LN(2)/inputs!$C$51)*G359))</f>
        <v>2.3784081848797953E-19</v>
      </c>
      <c r="H360" s="8">
        <f>IF((B360&gt;B359), (EXP(-LN(2)/inputs!$C$51)*H359+$H$3), (EXP(-LN(2)/inputs!$C$51)*H359))</f>
        <v>1.490469129191335E-18</v>
      </c>
      <c r="I360" s="7">
        <f>O360*(10^inputs!$C$55)*0.01/1</f>
        <v>3.9267500065280417E-2</v>
      </c>
      <c r="J360" s="7">
        <f>(((0.621*15^0.564)/0.2))*D360/15+J359*inputs!$C$53</f>
        <v>4.094913526624155E-18</v>
      </c>
      <c r="K360" s="7">
        <f>(((0.621*1000^0.564)/0.2))*D360/1000+K359*inputs!$C$53</f>
        <v>6.5617627536175047E-19</v>
      </c>
      <c r="L360" s="7">
        <f>(((0.648*20^0.651)/0.2))*H360/20+L359*inputs!$C$54</f>
        <v>2.2450670529011606E-18</v>
      </c>
      <c r="M360" s="7">
        <f>(((0.013*2^0.773)/0.2))*H360/2+M359*inputs!$C$54</f>
        <v>1.0947710952665156E-19</v>
      </c>
      <c r="N360" s="7">
        <f>O360*0.015*inputs!$C$56</f>
        <v>5.7691653610123872E-3</v>
      </c>
      <c r="O360" s="7">
        <f>IF((B360&gt;B359), (EXP(-LN(2)/inputs!$C$52)*O359+$O$3), (EXP(-LN(2)/inputs!$C$52)*O359))</f>
        <v>6.2234793538429203E-4</v>
      </c>
      <c r="P360" s="3">
        <f>IF((B360&gt;B359), (EXP(-LN(2)/inputs!$C$52)*P359+$P$3), (EXP(-LN(2)/inputs!$C$52)*P359))</f>
        <v>6.0137787277796486E-4</v>
      </c>
      <c r="Q360" s="19">
        <f>IF((F360*0.62*1/(0.012*(10^inputs!$C$55)))&gt;inputs!$C$57, inputs!$C$57, (F360*0.62*1/(0.012*(10^inputs!$C$55))))</f>
        <v>1.7528281676160446E-20</v>
      </c>
      <c r="R360" s="3">
        <f>IF((B360&gt;B359), (EXP(-LN(2)/inputs!$C$51)*R359+$R$3), (EXP(-LN(2)/inputs!$C$51)*R359))</f>
        <v>4.0725982981227287E-26</v>
      </c>
      <c r="T360" s="7">
        <f>IF(T359&lt;(inputs!$C$20-1),(1+T359),0)</f>
        <v>0</v>
      </c>
      <c r="U360" s="7">
        <f>IF(inputs!$C$19&gt;U359,IF(T359=(inputs!$C$20-1),(U359+1),U359), U359)</f>
        <v>1</v>
      </c>
      <c r="V360" s="7">
        <f t="shared" si="10"/>
        <v>357</v>
      </c>
      <c r="W360" s="8">
        <f>IF((U360&gt;U359), (EXP(-LN(2)/inputs!$C$51)*W359+$W$3), (EXP(-LN(2)/inputs!$C$51)*W359))</f>
        <v>1.3477646380985483E-18</v>
      </c>
      <c r="X360" s="8">
        <f>IF((U360&gt;U359), (EXP(-LN(2)/inputs!$C$51)*X359+$X$3), (EXP(-LN(2)/inputs!$C$51)*X359))</f>
        <v>5.7081796437114984E-19</v>
      </c>
      <c r="Y360" s="8">
        <f>IF((U360&gt;U359), (EXP(-LN(2)/inputs!$C$51)*Y359+$Y$3), (EXP(-LN(2)/inputs!$C$51)*Y359))</f>
        <v>7.1352245546393815E-19</v>
      </c>
      <c r="Z360" s="8">
        <f>IF((U360&gt;U359), (EXP(-LN(2)/inputs!$C$51)*Z359+$Z$3), (EXP(-LN(2)/inputs!$C$51)*Z359))</f>
        <v>1.1099238196105689E-19</v>
      </c>
      <c r="AA360" s="8">
        <f>IF((U360&gt;U359), (EXP(-LN(2)/inputs!$C$51)*AA359+$AA$3), (EXP(-LN(2)/inputs!$C$51)*AA359))</f>
        <v>1.0306435467812434E-18</v>
      </c>
      <c r="AB360" s="7">
        <f>(((0.621*15^0.564)/0.2))*W360/15+AB359*inputs!$C$53</f>
        <v>1.4502818740127191E-18</v>
      </c>
      <c r="AC360" s="7">
        <f>(((0.621*1000^0.564)/0.2))*W360/1000+AC359*inputs!$C$53</f>
        <v>2.3239576419061955E-19</v>
      </c>
      <c r="AD360" s="7">
        <f>(((0.648*20^0.651)/0.2))*AA360/20+AD359*inputs!$C$54</f>
        <v>1.5524399833891021E-18</v>
      </c>
      <c r="AE360" s="7">
        <f>(((0.013*2^0.773)/0.2))*AA360/2+AE359*inputs!$C$54</f>
        <v>7.5702256587578285E-20</v>
      </c>
    </row>
    <row r="361" spans="1:31" x14ac:dyDescent="0.3">
      <c r="A361" s="7">
        <f>IF(A360&lt;(inputs!$C$20-1),(1+A360),0)</f>
        <v>0</v>
      </c>
      <c r="B361" s="7">
        <f>IF(inputs!$C$19&gt;B360,IF(A360=(inputs!$C$20-1),(B360+1),B360), B360)</f>
        <v>1</v>
      </c>
      <c r="C361" s="7">
        <f t="shared" si="11"/>
        <v>358</v>
      </c>
      <c r="D361" s="8">
        <f>IF((B361&gt;B360), (EXP(-LN(2)/inputs!$C$51)*D360+$D$3), (EXP(-LN(2)/inputs!$C$51)*D360))</f>
        <v>3.3389372788783923E-18</v>
      </c>
      <c r="E361" s="8">
        <f>IF((B361&gt;B360), (EXP(-LN(2)/inputs!$C$51)*E360+$E$3), (EXP(-LN(2)/inputs!$C$51)*E360))</f>
        <v>1.5303462528192612E-18</v>
      </c>
      <c r="F361" s="8">
        <f>IF((B361&gt;B360), (EXP(-LN(2)/inputs!$C$51)*F360+$F$3), (EXP(-LN(2)/inputs!$C$51)*F360))</f>
        <v>1.8781522193690942E-18</v>
      </c>
      <c r="G361" s="8">
        <f>IF((B361&gt;B360), (EXP(-LN(2)/inputs!$C$51)*G360+$G$3), (EXP(-LN(2)/inputs!$C$51)*G360))</f>
        <v>2.0868357992989952E-19</v>
      </c>
      <c r="H361" s="8">
        <f>IF((B361&gt;B360), (EXP(-LN(2)/inputs!$C$51)*H360+$H$3), (EXP(-LN(2)/inputs!$C$51)*H360))</f>
        <v>1.3077504342273675E-18</v>
      </c>
      <c r="I361" s="7">
        <f>O361*(10^inputs!$C$55)*0.01/1</f>
        <v>3.8475070982261585E-2</v>
      </c>
      <c r="J361" s="7">
        <f>(((0.621*15^0.564)/0.2))*D361/15+J360*inputs!$C$53</f>
        <v>3.5929123506715777E-18</v>
      </c>
      <c r="K361" s="7">
        <f>(((0.621*1000^0.564)/0.2))*D361/1000+K360*inputs!$C$53</f>
        <v>5.7573470810469061E-19</v>
      </c>
      <c r="L361" s="7">
        <f>(((0.648*20^0.651)/0.2))*H361/20+L360*inputs!$C$54</f>
        <v>1.9698411431667763E-18</v>
      </c>
      <c r="M361" s="7">
        <f>(((0.013*2^0.773)/0.2))*H361/2+M360*inputs!$C$54</f>
        <v>9.6056157566385097E-20</v>
      </c>
      <c r="N361" s="7">
        <f>O361*0.015*inputs!$C$56</f>
        <v>5.6527419979459604E-3</v>
      </c>
      <c r="O361" s="7">
        <f>IF((B361&gt;B360), (EXP(-LN(2)/inputs!$C$52)*O360+$O$3), (EXP(-LN(2)/inputs!$C$52)*O360))</f>
        <v>6.0978878079244448E-4</v>
      </c>
      <c r="P361" s="3">
        <f>IF((B361&gt;B360), (EXP(-LN(2)/inputs!$C$52)*P360+$P$3), (EXP(-LN(2)/inputs!$C$52)*P360))</f>
        <v>5.8924189988738055E-4</v>
      </c>
      <c r="Q361" s="19">
        <f>IF((F361*0.62*1/(0.012*(10^inputs!$C$55)))&gt;inputs!$C$57, inputs!$C$57, (F361*0.62*1/(0.012*(10^inputs!$C$55))))</f>
        <v>1.5379465112232998E-20</v>
      </c>
      <c r="R361" s="3">
        <f>IF((B361&gt;B360), (EXP(-LN(2)/inputs!$C$51)*R360+$R$3), (EXP(-LN(2)/inputs!$C$51)*R360))</f>
        <v>3.5733327772399182E-26</v>
      </c>
      <c r="T361" s="7">
        <f>IF(T360&lt;(inputs!$C$20-1),(1+T360),0)</f>
        <v>0</v>
      </c>
      <c r="U361" s="7">
        <f>IF(inputs!$C$19&gt;U360,IF(T360=(inputs!$C$20-1),(U360+1),U360), U360)</f>
        <v>1</v>
      </c>
      <c r="V361" s="7">
        <f t="shared" si="10"/>
        <v>358</v>
      </c>
      <c r="W361" s="8">
        <f>IF((U361&gt;U360), (EXP(-LN(2)/inputs!$C$51)*W360+$W$3), (EXP(-LN(2)/inputs!$C$51)*W360))</f>
        <v>1.1825402862694286E-18</v>
      </c>
      <c r="X361" s="8">
        <f>IF((U361&gt;U360), (EXP(-LN(2)/inputs!$C$51)*X360+$X$3), (EXP(-LN(2)/inputs!$C$51)*X360))</f>
        <v>5.0084059183175792E-19</v>
      </c>
      <c r="Y361" s="8">
        <f>IF((U361&gt;U360), (EXP(-LN(2)/inputs!$C$51)*Y360+$Y$3), (EXP(-LN(2)/inputs!$C$51)*Y360))</f>
        <v>6.2605073978969824E-19</v>
      </c>
      <c r="Z361" s="8">
        <f>IF((U361&gt;U360), (EXP(-LN(2)/inputs!$C$51)*Z360+$Z$3), (EXP(-LN(2)/inputs!$C$51)*Z360))</f>
        <v>9.7385670633952913E-20</v>
      </c>
      <c r="AA361" s="8">
        <f>IF((U361&gt;U360), (EXP(-LN(2)/inputs!$C$51)*AA360+$AA$3), (EXP(-LN(2)/inputs!$C$51)*AA360))</f>
        <v>9.0429551302956353E-19</v>
      </c>
      <c r="AB361" s="7">
        <f>(((0.621*15^0.564)/0.2))*W361/15+AB360*inputs!$C$53</f>
        <v>1.2724897908628485E-18</v>
      </c>
      <c r="AC361" s="7">
        <f>(((0.621*1000^0.564)/0.2))*W361/1000+AC360*inputs!$C$53</f>
        <v>2.0390604245374428E-19</v>
      </c>
      <c r="AD361" s="7">
        <f>(((0.648*20^0.651)/0.2))*AA361/20+AD360*inputs!$C$54</f>
        <v>1.362124194742985E-18</v>
      </c>
      <c r="AE361" s="7">
        <f>(((0.013*2^0.773)/0.2))*AA361/2+AE360*inputs!$C$54</f>
        <v>6.6421811083138689E-20</v>
      </c>
    </row>
    <row r="362" spans="1:31" x14ac:dyDescent="0.3">
      <c r="A362" s="7">
        <f>IF(A361&lt;(inputs!$C$20-1),(1+A361),0)</f>
        <v>0</v>
      </c>
      <c r="B362" s="7">
        <f>IF(inputs!$C$19&gt;B361,IF(A361=(inputs!$C$20-1),(B361+1),B361), B361)</f>
        <v>1</v>
      </c>
      <c r="C362" s="7">
        <f t="shared" si="11"/>
        <v>359</v>
      </c>
      <c r="D362" s="8">
        <f>IF((B362&gt;B361), (EXP(-LN(2)/inputs!$C$51)*D361+$D$3), (EXP(-LN(2)/inputs!$C$51)*D361))</f>
        <v>2.9296122883673795E-18</v>
      </c>
      <c r="E362" s="8">
        <f>IF((B362&gt;B361), (EXP(-LN(2)/inputs!$C$51)*E361+$E$3), (EXP(-LN(2)/inputs!$C$51)*E361))</f>
        <v>1.3427389655017138E-18</v>
      </c>
      <c r="F362" s="8">
        <f>IF((B362&gt;B361), (EXP(-LN(2)/inputs!$C$51)*F361+$F$3), (EXP(-LN(2)/inputs!$C$51)*F361))</f>
        <v>1.6479069122066495E-18</v>
      </c>
      <c r="G362" s="8">
        <f>IF((B362&gt;B361), (EXP(-LN(2)/inputs!$C$51)*G361+$G$3), (EXP(-LN(2)/inputs!$C$51)*G361))</f>
        <v>1.8310076802296122E-19</v>
      </c>
      <c r="H362" s="8">
        <f>IF((B362&gt;B361), (EXP(-LN(2)/inputs!$C$51)*H361+$H$3), (EXP(-LN(2)/inputs!$C$51)*H361))</f>
        <v>1.1474314796105545E-18</v>
      </c>
      <c r="I362" s="7">
        <f>O362*(10^inputs!$C$55)*0.01/1</f>
        <v>3.7698633338742842E-2</v>
      </c>
      <c r="J362" s="7">
        <f>(((0.621*15^0.564)/0.2))*D362/15+J361*inputs!$C$53</f>
        <v>3.1524522009260976E-18</v>
      </c>
      <c r="K362" s="7">
        <f>(((0.621*1000^0.564)/0.2))*D362/1000+K361*inputs!$C$53</f>
        <v>5.0515458507495333E-19</v>
      </c>
      <c r="L362" s="7">
        <f>(((0.648*20^0.651)/0.2))*H362/20+L361*inputs!$C$54</f>
        <v>1.7283555626093015E-18</v>
      </c>
      <c r="M362" s="7">
        <f>(((0.013*2^0.773)/0.2))*H362/2+M361*inputs!$C$54</f>
        <v>8.4280498876086896E-20</v>
      </c>
      <c r="N362" s="7">
        <f>O362*0.015*inputs!$C$56</f>
        <v>5.53866809075738E-3</v>
      </c>
      <c r="O362" s="7">
        <f>IF((B362&gt;B361), (EXP(-LN(2)/inputs!$C$52)*O361+$O$3), (EXP(-LN(2)/inputs!$C$52)*O361))</f>
        <v>5.9748307343661052E-4</v>
      </c>
      <c r="P362" s="3">
        <f>IF((B362&gt;B361), (EXP(-LN(2)/inputs!$C$52)*P361+$P$3), (EXP(-LN(2)/inputs!$C$52)*P361))</f>
        <v>5.7735083430826854E-4</v>
      </c>
      <c r="Q362" s="19">
        <f>IF((F362*0.62*1/(0.012*(10^inputs!$C$55)))&gt;inputs!$C$57, inputs!$C$57, (F362*0.62*1/(0.012*(10^inputs!$C$55))))</f>
        <v>1.3494074975990638E-20</v>
      </c>
      <c r="R362" s="3">
        <f>IF((B362&gt;B361), (EXP(-LN(2)/inputs!$C$51)*R361+$R$3), (EXP(-LN(2)/inputs!$C$51)*R361))</f>
        <v>3.1352729147833963E-26</v>
      </c>
      <c r="T362" s="7">
        <f>IF(T361&lt;(inputs!$C$20-1),(1+T361),0)</f>
        <v>0</v>
      </c>
      <c r="U362" s="7">
        <f>IF(inputs!$C$19&gt;U361,IF(T361=(inputs!$C$20-1),(U361+1),U361), U361)</f>
        <v>1</v>
      </c>
      <c r="V362" s="7">
        <f t="shared" si="10"/>
        <v>359</v>
      </c>
      <c r="W362" s="8">
        <f>IF((U362&gt;U361), (EXP(-LN(2)/inputs!$C$51)*W361+$W$3), (EXP(-LN(2)/inputs!$C$51)*W361))</f>
        <v>1.0375710187967784E-18</v>
      </c>
      <c r="X362" s="8">
        <f>IF((U362&gt;U361), (EXP(-LN(2)/inputs!$C$51)*X361+$X$3), (EXP(-LN(2)/inputs!$C$51)*X361))</f>
        <v>4.3944184325510609E-19</v>
      </c>
      <c r="Y362" s="8">
        <f>IF((U362&gt;U361), (EXP(-LN(2)/inputs!$C$51)*Y361+$Y$3), (EXP(-LN(2)/inputs!$C$51)*Y361))</f>
        <v>5.4930230406888331E-19</v>
      </c>
      <c r="Z362" s="8">
        <f>IF((U362&gt;U361), (EXP(-LN(2)/inputs!$C$51)*Z361+$Z$3), (EXP(-LN(2)/inputs!$C$51)*Z361))</f>
        <v>8.5447025077381722E-20</v>
      </c>
      <c r="AA362" s="8">
        <f>IF((U362&gt;U361), (EXP(-LN(2)/inputs!$C$51)*AA361+$AA$3), (EXP(-LN(2)/inputs!$C$51)*AA361))</f>
        <v>7.9343666143283099E-19</v>
      </c>
      <c r="AB362" s="7">
        <f>(((0.621*15^0.564)/0.2))*W362/15+AB361*inputs!$C$53</f>
        <v>1.1164934878279909E-18</v>
      </c>
      <c r="AC362" s="7">
        <f>(((0.621*1000^0.564)/0.2))*W362/1000+AC361*inputs!$C$53</f>
        <v>1.78908915547379E-19</v>
      </c>
      <c r="AD362" s="7">
        <f>(((0.648*20^0.651)/0.2))*AA362/20+AD361*inputs!$C$54</f>
        <v>1.1951394847830288E-18</v>
      </c>
      <c r="AE362" s="7">
        <f>(((0.013*2^0.773)/0.2))*AA362/2+AE361*inputs!$C$54</f>
        <v>5.8279068371762274E-20</v>
      </c>
    </row>
    <row r="363" spans="1:31" x14ac:dyDescent="0.3">
      <c r="A363" s="7">
        <f>IF(A362&lt;(inputs!$C$20-1),(1+A362),0)</f>
        <v>0</v>
      </c>
      <c r="B363" s="7">
        <f>IF(inputs!$C$19&gt;B362,IF(A362=(inputs!$C$20-1),(B362+1),B362), B362)</f>
        <v>1</v>
      </c>
      <c r="C363" s="7">
        <f t="shared" si="11"/>
        <v>360</v>
      </c>
      <c r="D363" s="8">
        <f>IF((B363&gt;B362), (EXP(-LN(2)/inputs!$C$51)*D362+$D$3), (EXP(-LN(2)/inputs!$C$51)*D362))</f>
        <v>2.5704670208828267E-18</v>
      </c>
      <c r="E363" s="8">
        <f>IF((B363&gt;B362), (EXP(-LN(2)/inputs!$C$51)*E362+$E$3), (EXP(-LN(2)/inputs!$C$51)*E362))</f>
        <v>1.1781307179046274E-18</v>
      </c>
      <c r="F363" s="8">
        <f>IF((B363&gt;B362), (EXP(-LN(2)/inputs!$C$51)*F362+$F$3), (EXP(-LN(2)/inputs!$C$51)*F362))</f>
        <v>1.4458876992465889E-18</v>
      </c>
      <c r="G363" s="8">
        <f>IF((B363&gt;B362), (EXP(-LN(2)/inputs!$C$51)*G362+$G$3), (EXP(-LN(2)/inputs!$C$51)*G362))</f>
        <v>1.6065418880517667E-19</v>
      </c>
      <c r="H363" s="8">
        <f>IF((B363&gt;B362), (EXP(-LN(2)/inputs!$C$51)*H362+$H$3), (EXP(-LN(2)/inputs!$C$51)*H362))</f>
        <v>1.0067662498457715E-18</v>
      </c>
      <c r="I363" s="7">
        <f>O363*(10^inputs!$C$55)*0.01/1</f>
        <v>3.6937864423023228E-2</v>
      </c>
      <c r="J363" s="7">
        <f>(((0.621*15^0.564)/0.2))*D363/15+J362*inputs!$C$53</f>
        <v>2.7659886769200527E-18</v>
      </c>
      <c r="K363" s="7">
        <f>(((0.621*1000^0.564)/0.2))*D363/1000+K362*inputs!$C$53</f>
        <v>4.4322697803351221E-19</v>
      </c>
      <c r="L363" s="7">
        <f>(((0.648*20^0.651)/0.2))*H363/20+L362*inputs!$C$54</f>
        <v>1.5164740370891944E-18</v>
      </c>
      <c r="M363" s="7">
        <f>(((0.013*2^0.773)/0.2))*H363/2+M362*inputs!$C$54</f>
        <v>7.3948434652854097E-20</v>
      </c>
      <c r="N363" s="7">
        <f>O363*0.015*inputs!$C$56</f>
        <v>5.4268962267729646E-3</v>
      </c>
      <c r="O363" s="7">
        <f>IF((B363&gt;B362), (EXP(-LN(2)/inputs!$C$52)*O362+$O$3), (EXP(-LN(2)/inputs!$C$52)*O362))</f>
        <v>5.8542569868101017E-4</v>
      </c>
      <c r="P363" s="3">
        <f>IF((B363&gt;B362), (EXP(-LN(2)/inputs!$C$52)*P362+$P$3), (EXP(-LN(2)/inputs!$C$52)*P362))</f>
        <v>5.6569973374290348E-4</v>
      </c>
      <c r="Q363" s="19">
        <f>IF((F363*0.62*1/(0.012*(10^inputs!$C$55)))&gt;inputs!$C$57, inputs!$C$57, (F363*0.62*1/(0.012*(10^inputs!$C$55))))</f>
        <v>1.183981745326242E-20</v>
      </c>
      <c r="R363" s="3">
        <f>IF((B363&gt;B362), (EXP(-LN(2)/inputs!$C$51)*R362+$R$3), (EXP(-LN(2)/inputs!$C$51)*R362))</f>
        <v>2.7509154234907633E-26</v>
      </c>
      <c r="T363" s="7">
        <f>IF(T362&lt;(inputs!$C$20-1),(1+T362),0)</f>
        <v>0</v>
      </c>
      <c r="U363" s="7">
        <f>IF(inputs!$C$19&gt;U362,IF(T362=(inputs!$C$20-1),(U362+1),U362), U362)</f>
        <v>1</v>
      </c>
      <c r="V363" s="7">
        <f t="shared" si="10"/>
        <v>360</v>
      </c>
      <c r="W363" s="8">
        <f>IF((U363&gt;U362), (EXP(-LN(2)/inputs!$C$51)*W362+$W$3), (EXP(-LN(2)/inputs!$C$51)*W362))</f>
        <v>9.103737365626663E-19</v>
      </c>
      <c r="X363" s="8">
        <f>IF((U363&gt;U362), (EXP(-LN(2)/inputs!$C$51)*X362+$X$3), (EXP(-LN(2)/inputs!$C$51)*X362))</f>
        <v>3.8557005313242329E-19</v>
      </c>
      <c r="Y363" s="8">
        <f>IF((U363&gt;U362), (EXP(-LN(2)/inputs!$C$51)*Y362+$Y$3), (EXP(-LN(2)/inputs!$C$51)*Y362))</f>
        <v>4.8196256641552968E-19</v>
      </c>
      <c r="Z363" s="8">
        <f>IF((U363&gt;U362), (EXP(-LN(2)/inputs!$C$51)*Z362+$Z$3), (EXP(-LN(2)/inputs!$C$51)*Z362))</f>
        <v>7.4971954775748961E-20</v>
      </c>
      <c r="AA363" s="8">
        <f>IF((U363&gt;U362), (EXP(-LN(2)/inputs!$C$51)*AA362+$AA$3), (EXP(-LN(2)/inputs!$C$51)*AA362))</f>
        <v>6.9616815148909809E-19</v>
      </c>
      <c r="AB363" s="7">
        <f>(((0.621*15^0.564)/0.2))*W363/15+AB362*inputs!$C$53</f>
        <v>9.7962098974251707E-19</v>
      </c>
      <c r="AC363" s="7">
        <f>(((0.621*1000^0.564)/0.2))*W363/1000+AC362*inputs!$C$53</f>
        <v>1.5697622138686863E-19</v>
      </c>
      <c r="AD363" s="7">
        <f>(((0.648*20^0.651)/0.2))*AA363/20+AD362*inputs!$C$54</f>
        <v>1.0486256639446567E-18</v>
      </c>
      <c r="AE363" s="7">
        <f>(((0.013*2^0.773)/0.2))*AA363/2+AE362*inputs!$C$54</f>
        <v>5.1134555876973629E-20</v>
      </c>
    </row>
    <row r="364" spans="1:31" x14ac:dyDescent="0.3">
      <c r="A364" s="7">
        <f>IF(A363&lt;(inputs!$C$20-1),(1+A363),0)</f>
        <v>0</v>
      </c>
      <c r="B364" s="7">
        <f>IF(inputs!$C$19&gt;B363,IF(A363=(inputs!$C$20-1),(B363+1),B363), B363)</f>
        <v>1</v>
      </c>
      <c r="C364" s="7">
        <f t="shared" si="11"/>
        <v>361</v>
      </c>
      <c r="D364" s="8">
        <f>IF((B364&gt;B363), (EXP(-LN(2)/inputs!$C$51)*D363+$D$3), (EXP(-LN(2)/inputs!$C$51)*D363))</f>
        <v>2.2553498740027353E-18</v>
      </c>
      <c r="E364" s="8">
        <f>IF((B364&gt;B363), (EXP(-LN(2)/inputs!$C$51)*E363+$E$3), (EXP(-LN(2)/inputs!$C$51)*E363))</f>
        <v>1.0337020255845856E-18</v>
      </c>
      <c r="F364" s="8">
        <f>IF((B364&gt;B363), (EXP(-LN(2)/inputs!$C$51)*F363+$F$3), (EXP(-LN(2)/inputs!$C$51)*F363))</f>
        <v>1.2686343041265375E-18</v>
      </c>
      <c r="G364" s="8">
        <f>IF((B364&gt;B363), (EXP(-LN(2)/inputs!$C$51)*G363+$G$3), (EXP(-LN(2)/inputs!$C$51)*G363))</f>
        <v>1.4095936712517096E-19</v>
      </c>
      <c r="H364" s="8">
        <f>IF((B364&gt;B363), (EXP(-LN(2)/inputs!$C$51)*H363+$H$3), (EXP(-LN(2)/inputs!$C$51)*H363))</f>
        <v>8.8334536731773599E-19</v>
      </c>
      <c r="I364" s="7">
        <f>O364*(10^inputs!$C$55)*0.01/1</f>
        <v>3.6192448035813722E-2</v>
      </c>
      <c r="J364" s="7">
        <f>(((0.621*15^0.564)/0.2))*D364/15+J363*inputs!$C$53</f>
        <v>2.4269022567899356E-18</v>
      </c>
      <c r="K364" s="7">
        <f>(((0.621*1000^0.564)/0.2))*D364/1000+K363*inputs!$C$53</f>
        <v>3.8889116294484549E-19</v>
      </c>
      <c r="L364" s="7">
        <f>(((0.648*20^0.651)/0.2))*H364/20+L363*inputs!$C$54</f>
        <v>1.330567364098246E-18</v>
      </c>
      <c r="M364" s="7">
        <f>(((0.013*2^0.773)/0.2))*H364/2+M363*inputs!$C$54</f>
        <v>6.4882992632106811E-20</v>
      </c>
      <c r="N364" s="7">
        <f>O364*0.015*inputs!$C$56</f>
        <v>5.3173799501199867E-3</v>
      </c>
      <c r="O364" s="7">
        <f>IF((B364&gt;B363), (EXP(-LN(2)/inputs!$C$52)*O363+$O$3), (EXP(-LN(2)/inputs!$C$52)*O363))</f>
        <v>5.7361164510463716E-4</v>
      </c>
      <c r="P364" s="3">
        <f>IF((B364&gt;B363), (EXP(-LN(2)/inputs!$C$52)*P363+$P$3), (EXP(-LN(2)/inputs!$C$52)*P363))</f>
        <v>5.5428375563050395E-4</v>
      </c>
      <c r="Q364" s="19">
        <f>IF((F364*0.62*1/(0.012*(10^inputs!$C$55)))&gt;inputs!$C$57, inputs!$C$57, (F364*0.62*1/(0.012*(10^inputs!$C$55))))</f>
        <v>1.0388357673719411E-20</v>
      </c>
      <c r="R364" s="3">
        <f>IF((B364&gt;B363), (EXP(-LN(2)/inputs!$C$51)*R363+$R$3), (EXP(-LN(2)/inputs!$C$51)*R363))</f>
        <v>2.4136768545784399E-26</v>
      </c>
      <c r="T364" s="7">
        <f>IF(T363&lt;(inputs!$C$20-1),(1+T363),0)</f>
        <v>0</v>
      </c>
      <c r="U364" s="7">
        <f>IF(inputs!$C$19&gt;U363,IF(T363=(inputs!$C$20-1),(U363+1),U363), U363)</f>
        <v>1</v>
      </c>
      <c r="V364" s="7">
        <f t="shared" si="10"/>
        <v>361</v>
      </c>
      <c r="W364" s="8">
        <f>IF((U364&gt;U363), (EXP(-LN(2)/inputs!$C$51)*W363+$W$3), (EXP(-LN(2)/inputs!$C$51)*W363))</f>
        <v>7.9876974704263411E-19</v>
      </c>
      <c r="X364" s="8">
        <f>IF((U364&gt;U363), (EXP(-LN(2)/inputs!$C$51)*X363+$X$3), (EXP(-LN(2)/inputs!$C$51)*X363))</f>
        <v>3.3830248110040967E-19</v>
      </c>
      <c r="Y364" s="8">
        <f>IF((U364&gt;U363), (EXP(-LN(2)/inputs!$C$51)*Y363+$Y$3), (EXP(-LN(2)/inputs!$C$51)*Y363))</f>
        <v>4.2287810137551261E-19</v>
      </c>
      <c r="Z364" s="8">
        <f>IF((U364&gt;U363), (EXP(-LN(2)/inputs!$C$51)*Z363+$Z$3), (EXP(-LN(2)/inputs!$C$51)*Z363))</f>
        <v>6.578103799174632E-20</v>
      </c>
      <c r="AA364" s="8">
        <f>IF((U364&gt;U363), (EXP(-LN(2)/inputs!$C$51)*AA363+$AA$3), (EXP(-LN(2)/inputs!$C$51)*AA363))</f>
        <v>6.1082392420907341E-19</v>
      </c>
      <c r="AB364" s="7">
        <f>(((0.621*15^0.564)/0.2))*W364/15+AB363*inputs!$C$53</f>
        <v>8.5952788261310063E-19</v>
      </c>
      <c r="AC364" s="7">
        <f>(((0.621*1000^0.564)/0.2))*W364/1000+AC363*inputs!$C$53</f>
        <v>1.377322868762992E-19</v>
      </c>
      <c r="AD364" s="7">
        <f>(((0.648*20^0.651)/0.2))*AA364/20+AD363*inputs!$C$54</f>
        <v>9.2007317730197957E-19</v>
      </c>
      <c r="AE364" s="7">
        <f>(((0.013*2^0.773)/0.2))*AA364/2+AE363*inputs!$C$54</f>
        <v>4.4865899160499432E-20</v>
      </c>
    </row>
    <row r="365" spans="1:31" x14ac:dyDescent="0.3">
      <c r="A365" s="7">
        <f>IF(A364&lt;(inputs!$C$20-1),(1+A364),0)</f>
        <v>0</v>
      </c>
      <c r="B365" s="7">
        <f>IF(inputs!$C$19&gt;B364,IF(A364=(inputs!$C$20-1),(B364+1),B364), B364)</f>
        <v>1</v>
      </c>
      <c r="C365" s="7">
        <f t="shared" si="11"/>
        <v>362</v>
      </c>
      <c r="D365" s="8">
        <f>IF((B365&gt;B364), (EXP(-LN(2)/inputs!$C$51)*D364+$D$3), (EXP(-LN(2)/inputs!$C$51)*D364))</f>
        <v>1.978863378849016E-18</v>
      </c>
      <c r="E365" s="8">
        <f>IF((B365&gt;B364), (EXP(-LN(2)/inputs!$C$51)*E364+$E$3), (EXP(-LN(2)/inputs!$C$51)*E364))</f>
        <v>9.0697904863913109E-19</v>
      </c>
      <c r="F365" s="8">
        <f>IF((B365&gt;B364), (EXP(-LN(2)/inputs!$C$51)*F364+$F$3), (EXP(-LN(2)/inputs!$C$51)*F364))</f>
        <v>1.1131106506025705E-18</v>
      </c>
      <c r="G365" s="8">
        <f>IF((B365&gt;B364), (EXP(-LN(2)/inputs!$C$51)*G364+$G$3), (EXP(-LN(2)/inputs!$C$51)*G364))</f>
        <v>1.236789611780635E-19</v>
      </c>
      <c r="H365" s="8">
        <f>IF((B365&gt;B364), (EXP(-LN(2)/inputs!$C$51)*H364+$H$3), (EXP(-LN(2)/inputs!$C$51)*H364))</f>
        <v>7.7505482338252948E-19</v>
      </c>
      <c r="I365" s="7">
        <f>O365*(10^inputs!$C$55)*0.01/1</f>
        <v>3.5462074358814995E-2</v>
      </c>
      <c r="J365" s="7">
        <f>(((0.621*15^0.564)/0.2))*D365/15+J364*inputs!$C$53</f>
        <v>2.1293849151148638E-18</v>
      </c>
      <c r="K365" s="7">
        <f>(((0.621*1000^0.564)/0.2))*D365/1000+K364*inputs!$C$53</f>
        <v>3.4121645141636541E-19</v>
      </c>
      <c r="L365" s="7">
        <f>(((0.648*20^0.651)/0.2))*H365/20+L364*inputs!$C$54</f>
        <v>1.1674512501391574E-18</v>
      </c>
      <c r="M365" s="7">
        <f>(((0.013*2^0.773)/0.2))*H365/2+M364*inputs!$C$54</f>
        <v>5.6928895826675169E-20</v>
      </c>
      <c r="N365" s="7">
        <f>O365*0.015*inputs!$C$56</f>
        <v>5.2100737424181625E-3</v>
      </c>
      <c r="O365" s="7">
        <f>IF((B365&gt;B364), (EXP(-LN(2)/inputs!$C$52)*O364+$O$3), (EXP(-LN(2)/inputs!$C$52)*O364))</f>
        <v>5.6203600241835634E-4</v>
      </c>
      <c r="P365" s="3">
        <f>IF((B365&gt;B364), (EXP(-LN(2)/inputs!$C$52)*P364+$P$3), (EXP(-LN(2)/inputs!$C$52)*P364))</f>
        <v>5.430981551345132E-4</v>
      </c>
      <c r="Q365" s="19">
        <f>IF((F365*0.62*1/(0.012*(10^inputs!$C$55)))&gt;inputs!$C$57, inputs!$C$57, (F365*0.62*1/(0.012*(10^inputs!$C$55))))</f>
        <v>9.114834378412528E-21</v>
      </c>
      <c r="R365" s="3">
        <f>IF((B365&gt;B364), (EXP(-LN(2)/inputs!$C$51)*R364+$R$3), (EXP(-LN(2)/inputs!$C$51)*R364))</f>
        <v>2.117780833456159E-26</v>
      </c>
      <c r="T365" s="7">
        <f>IF(T364&lt;(inputs!$C$20-1),(1+T364),0)</f>
        <v>0</v>
      </c>
      <c r="U365" s="7">
        <f>IF(inputs!$C$19&gt;U364,IF(T364=(inputs!$C$20-1),(U364+1),U364), U364)</f>
        <v>1</v>
      </c>
      <c r="V365" s="7">
        <f t="shared" si="10"/>
        <v>362</v>
      </c>
      <c r="W365" s="8">
        <f>IF((U365&gt;U364), (EXP(-LN(2)/inputs!$C$51)*W364+$W$3), (EXP(-LN(2)/inputs!$C$51)*W364))</f>
        <v>7.0084744667569196E-19</v>
      </c>
      <c r="X365" s="8">
        <f>IF((U365&gt;U364), (EXP(-LN(2)/inputs!$C$51)*X364+$X$3), (EXP(-LN(2)/inputs!$C$51)*X364))</f>
        <v>2.9682950682735182E-19</v>
      </c>
      <c r="Y365" s="8">
        <f>IF((U365&gt;U364), (EXP(-LN(2)/inputs!$C$51)*Y364+$Y$3), (EXP(-LN(2)/inputs!$C$51)*Y364))</f>
        <v>3.7103688353419025E-19</v>
      </c>
      <c r="Z365" s="8">
        <f>IF((U365&gt;U364), (EXP(-LN(2)/inputs!$C$51)*Z364+$Z$3), (EXP(-LN(2)/inputs!$C$51)*Z364))</f>
        <v>5.7716848549762849E-20</v>
      </c>
      <c r="AA365" s="8">
        <f>IF((U365&gt;U364), (EXP(-LN(2)/inputs!$C$51)*AA364+$AA$3), (EXP(-LN(2)/inputs!$C$51)*AA364))</f>
        <v>5.3594216510494118E-19</v>
      </c>
      <c r="AB365" s="7">
        <f>(((0.621*15^0.564)/0.2))*W365/15+AB364*inputs!$C$53</f>
        <v>7.5415715743651303E-19</v>
      </c>
      <c r="AC365" s="7">
        <f>(((0.621*1000^0.564)/0.2))*W365/1000+AC364*inputs!$C$53</f>
        <v>1.2084749320996253E-19</v>
      </c>
      <c r="AD365" s="7">
        <f>(((0.648*20^0.651)/0.2))*AA365/20+AD364*inputs!$C$54</f>
        <v>8.0728011977707752E-19</v>
      </c>
      <c r="AE365" s="7">
        <f>(((0.013*2^0.773)/0.2))*AA365/2+AE364*inputs!$C$54</f>
        <v>3.9365725837594572E-20</v>
      </c>
    </row>
    <row r="366" spans="1:31" x14ac:dyDescent="0.3">
      <c r="A366" s="7">
        <f>IF(A365&lt;(inputs!$C$20-1),(1+A365),0)</f>
        <v>0</v>
      </c>
      <c r="B366" s="7">
        <f>IF(inputs!$C$19&gt;B365,IF(A365=(inputs!$C$20-1),(B365+1),B365), B365)</f>
        <v>1</v>
      </c>
      <c r="C366" s="7">
        <f t="shared" si="11"/>
        <v>363</v>
      </c>
      <c r="D366" s="8">
        <f>IF((B366&gt;B365), (EXP(-LN(2)/inputs!$C$51)*D365+$D$3), (EXP(-LN(2)/inputs!$C$51)*D365))</f>
        <v>1.7362717498016871E-18</v>
      </c>
      <c r="E366" s="8">
        <f>IF((B366&gt;B365), (EXP(-LN(2)/inputs!$C$51)*E365+$E$3), (EXP(-LN(2)/inputs!$C$51)*E365))</f>
        <v>7.9579121865910548E-19</v>
      </c>
      <c r="F366" s="8">
        <f>IF((B366&gt;B365), (EXP(-LN(2)/inputs!$C$51)*F365+$F$3), (EXP(-LN(2)/inputs!$C$51)*F365))</f>
        <v>9.7665285926344816E-19</v>
      </c>
      <c r="G366" s="8">
        <f>IF((B366&gt;B365), (EXP(-LN(2)/inputs!$C$51)*G365+$G$3), (EXP(-LN(2)/inputs!$C$51)*G365))</f>
        <v>1.0851698436260544E-19</v>
      </c>
      <c r="H366" s="8">
        <f>IF((B366&gt;B365), (EXP(-LN(2)/inputs!$C$51)*H365+$H$3), (EXP(-LN(2)/inputs!$C$51)*H365))</f>
        <v>6.8003976867232587E-19</v>
      </c>
      <c r="I366" s="7">
        <f>O366*(10^inputs!$C$55)*0.01/1</f>
        <v>3.4746439825947231E-2</v>
      </c>
      <c r="J366" s="7">
        <f>(((0.621*15^0.564)/0.2))*D366/15+J365*inputs!$C$53</f>
        <v>1.8683406404328082E-18</v>
      </c>
      <c r="K366" s="7">
        <f>(((0.621*1000^0.564)/0.2))*D366/1000+K365*inputs!$C$53</f>
        <v>2.9938624944709618E-19</v>
      </c>
      <c r="L366" s="7">
        <f>(((0.648*20^0.651)/0.2))*H366/20+L365*inputs!$C$54</f>
        <v>1.0243317687076866E-18</v>
      </c>
      <c r="M366" s="7">
        <f>(((0.013*2^0.773)/0.2))*H366/2+M365*inputs!$C$54</f>
        <v>4.9949902872400812E-20</v>
      </c>
      <c r="N366" s="7">
        <f>O366*0.015*inputs!$C$56</f>
        <v>5.1049330038607987E-3</v>
      </c>
      <c r="O366" s="7">
        <f>IF((B366&gt;B365), (EXP(-LN(2)/inputs!$C$52)*O365+$O$3), (EXP(-LN(2)/inputs!$C$52)*O365))</f>
        <v>5.5069395942403435E-4</v>
      </c>
      <c r="P366" s="3">
        <f>IF((B366&gt;B365), (EXP(-LN(2)/inputs!$C$52)*P365+$P$3), (EXP(-LN(2)/inputs!$C$52)*P365))</f>
        <v>5.3213828317049718E-4</v>
      </c>
      <c r="Q366" s="19">
        <f>IF((F366*0.62*1/(0.012*(10^inputs!$C$55)))&gt;inputs!$C$57, inputs!$C$57, (F366*0.62*1/(0.012*(10^inputs!$C$55))))</f>
        <v>7.9974340848956503E-21</v>
      </c>
      <c r="R366" s="3">
        <f>IF((B366&gt;B365), (EXP(-LN(2)/inputs!$C$51)*R365+$R$3), (EXP(-LN(2)/inputs!$C$51)*R365))</f>
        <v>1.858159119372916E-26</v>
      </c>
      <c r="T366" s="7">
        <f>IF(T365&lt;(inputs!$C$20-1),(1+T365),0)</f>
        <v>0</v>
      </c>
      <c r="U366" s="7">
        <f>IF(inputs!$C$19&gt;U365,IF(T365=(inputs!$C$20-1),(U365+1),U365), U365)</f>
        <v>1</v>
      </c>
      <c r="V366" s="7">
        <f t="shared" si="10"/>
        <v>363</v>
      </c>
      <c r="W366" s="8">
        <f>IF((U366&gt;U365), (EXP(-LN(2)/inputs!$C$51)*W365+$W$3), (EXP(-LN(2)/inputs!$C$51)*W365))</f>
        <v>6.149295780547631E-19</v>
      </c>
      <c r="X366" s="8">
        <f>IF((U366&gt;U365), (EXP(-LN(2)/inputs!$C$51)*X365+$X$3), (EXP(-LN(2)/inputs!$C$51)*X365))</f>
        <v>2.6044076247025254E-19</v>
      </c>
      <c r="Y366" s="8">
        <f>IF((U366&gt;U365), (EXP(-LN(2)/inputs!$C$51)*Y365+$Y$3), (EXP(-LN(2)/inputs!$C$51)*Y365))</f>
        <v>3.2555095308781613E-19</v>
      </c>
      <c r="Z366" s="8">
        <f>IF((U366&gt;U365), (EXP(-LN(2)/inputs!$C$51)*Z365+$Z$3), (EXP(-LN(2)/inputs!$C$51)*Z365))</f>
        <v>5.0641259369215774E-20</v>
      </c>
      <c r="AA366" s="8">
        <f>IF((U366&gt;U365), (EXP(-LN(2)/inputs!$C$51)*AA365+$AA$3), (EXP(-LN(2)/inputs!$C$51)*AA365))</f>
        <v>4.7024026557128969E-19</v>
      </c>
      <c r="AB366" s="7">
        <f>(((0.621*15^0.564)/0.2))*W366/15+AB365*inputs!$C$53</f>
        <v>6.6170397681995177E-19</v>
      </c>
      <c r="AC366" s="7">
        <f>(((0.621*1000^0.564)/0.2))*W366/1000+AC365*inputs!$C$53</f>
        <v>1.0603263001251305E-19</v>
      </c>
      <c r="AD366" s="7">
        <f>(((0.648*20^0.651)/0.2))*AA366/20+AD365*inputs!$C$54</f>
        <v>7.0831452091489042E-19</v>
      </c>
      <c r="AE366" s="7">
        <f>(((0.013*2^0.773)/0.2))*AA366/2+AE365*inputs!$C$54</f>
        <v>3.4539826454319754E-20</v>
      </c>
    </row>
    <row r="367" spans="1:31" x14ac:dyDescent="0.3">
      <c r="A367" s="7">
        <f>IF(A366&lt;(inputs!$C$20-1),(1+A366),0)</f>
        <v>0</v>
      </c>
      <c r="B367" s="7">
        <f>IF(inputs!$C$19&gt;B366,IF(A366=(inputs!$C$20-1),(B366+1),B366), B366)</f>
        <v>1</v>
      </c>
      <c r="C367" s="7">
        <f t="shared" si="11"/>
        <v>364</v>
      </c>
      <c r="D367" s="8">
        <f>IF((B367&gt;B366), (EXP(-LN(2)/inputs!$C$51)*D366+$D$3), (EXP(-LN(2)/inputs!$C$51)*D366))</f>
        <v>1.5234197678229025E-18</v>
      </c>
      <c r="E367" s="8">
        <f>IF((B367&gt;B366), (EXP(-LN(2)/inputs!$C$51)*E366+$E$3), (EXP(-LN(2)/inputs!$C$51)*E366))</f>
        <v>6.9823406025216271E-19</v>
      </c>
      <c r="F367" s="8">
        <f>IF((B367&gt;B366), (EXP(-LN(2)/inputs!$C$51)*F366+$F$3), (EXP(-LN(2)/inputs!$C$51)*F366))</f>
        <v>8.5692361940038196E-19</v>
      </c>
      <c r="G367" s="8">
        <f>IF((B367&gt;B366), (EXP(-LN(2)/inputs!$C$51)*G366+$G$3), (EXP(-LN(2)/inputs!$C$51)*G366))</f>
        <v>9.5213735488931405E-20</v>
      </c>
      <c r="H367" s="8">
        <f>IF((B367&gt;B366), (EXP(-LN(2)/inputs!$C$51)*H366+$H$3), (EXP(-LN(2)/inputs!$C$51)*H366))</f>
        <v>5.9667274239730207E-19</v>
      </c>
      <c r="I367" s="7">
        <f>O367*(10^inputs!$C$55)*0.01/1</f>
        <v>3.4045246997178646E-2</v>
      </c>
      <c r="J367" s="7">
        <f>(((0.621*15^0.564)/0.2))*D367/15+J366*inputs!$C$53</f>
        <v>1.6392981484536253E-18</v>
      </c>
      <c r="K367" s="7">
        <f>(((0.621*1000^0.564)/0.2))*D367/1000+K366*inputs!$C$53</f>
        <v>2.6268407043664592E-19</v>
      </c>
      <c r="L367" s="7">
        <f>(((0.648*20^0.651)/0.2))*H367/20+L366*inputs!$C$54</f>
        <v>8.9875750465704587E-19</v>
      </c>
      <c r="M367" s="7">
        <f>(((0.013*2^0.773)/0.2))*H367/2+M366*inputs!$C$54</f>
        <v>4.3826474424490712E-20</v>
      </c>
      <c r="N367" s="7">
        <f>O367*0.015*inputs!$C$56</f>
        <v>5.0019140346777109E-3</v>
      </c>
      <c r="O367" s="7">
        <f>IF((B367&gt;B366), (EXP(-LN(2)/inputs!$C$52)*O366+$O$3), (EXP(-LN(2)/inputs!$C$52)*O366))</f>
        <v>5.3958080201485558E-4</v>
      </c>
      <c r="P367" s="3">
        <f>IF((B367&gt;B366), (EXP(-LN(2)/inputs!$C$52)*P366+$P$3), (EXP(-LN(2)/inputs!$C$52)*P366))</f>
        <v>5.2139958447383996E-4</v>
      </c>
      <c r="Q367" s="19">
        <f>IF((F367*0.62*1/(0.012*(10^inputs!$C$55)))&gt;inputs!$C$57, inputs!$C$57, (F367*0.62*1/(0.012*(10^inputs!$C$55))))</f>
        <v>7.0170174560418114E-21</v>
      </c>
      <c r="R367" s="3">
        <f>IF((B367&gt;B366), (EXP(-LN(2)/inputs!$C$51)*R366+$R$3), (EXP(-LN(2)/inputs!$C$51)*R366))</f>
        <v>1.6303647942992905E-26</v>
      </c>
      <c r="T367" s="7">
        <f>IF(T366&lt;(inputs!$C$20-1),(1+T366),0)</f>
        <v>0</v>
      </c>
      <c r="U367" s="7">
        <f>IF(inputs!$C$19&gt;U366,IF(T366=(inputs!$C$20-1),(U366+1),U366), U366)</f>
        <v>1</v>
      </c>
      <c r="V367" s="7">
        <f t="shared" si="10"/>
        <v>364</v>
      </c>
      <c r="W367" s="8">
        <f>IF((U367&gt;U366), (EXP(-LN(2)/inputs!$C$51)*W366+$W$3), (EXP(-LN(2)/inputs!$C$51)*W366))</f>
        <v>5.3954450110394366E-19</v>
      </c>
      <c r="X367" s="8">
        <f>IF((U367&gt;U366), (EXP(-LN(2)/inputs!$C$51)*X366+$X$3), (EXP(-LN(2)/inputs!$C$51)*X366))</f>
        <v>2.285129651734349E-19</v>
      </c>
      <c r="Y367" s="8">
        <f>IF((U367&gt;U366), (EXP(-LN(2)/inputs!$C$51)*Y366+$Y$3), (EXP(-LN(2)/inputs!$C$51)*Y366))</f>
        <v>2.8564120646679403E-19</v>
      </c>
      <c r="Z367" s="8">
        <f>IF((U367&gt;U366), (EXP(-LN(2)/inputs!$C$51)*Z366+$Z$3), (EXP(-LN(2)/inputs!$C$51)*Z366))</f>
        <v>4.4433076561501235E-20</v>
      </c>
      <c r="AA367" s="8">
        <f>IF((U367&gt;U366), (EXP(-LN(2)/inputs!$C$51)*AA366+$AA$3), (EXP(-LN(2)/inputs!$C$51)*AA366))</f>
        <v>4.1259285378536892E-19</v>
      </c>
      <c r="AB367" s="7">
        <f>(((0.621*15^0.564)/0.2))*W367/15+AB366*inputs!$C$53</f>
        <v>5.805847609106579E-19</v>
      </c>
      <c r="AC367" s="7">
        <f>(((0.621*1000^0.564)/0.2))*W367/1000+AC366*inputs!$C$53</f>
        <v>9.3033941612978603E-20</v>
      </c>
      <c r="AD367" s="7">
        <f>(((0.648*20^0.651)/0.2))*AA367/20+AD366*inputs!$C$54</f>
        <v>6.2148125322029828E-19</v>
      </c>
      <c r="AE367" s="7">
        <f>(((0.013*2^0.773)/0.2))*AA367/2+AE366*inputs!$C$54</f>
        <v>3.0305540825445739E-20</v>
      </c>
    </row>
    <row r="368" spans="1:31" x14ac:dyDescent="0.3">
      <c r="A368" s="7">
        <f>IF(A367&lt;(inputs!$C$20-1),(1+A367),0)</f>
        <v>0</v>
      </c>
      <c r="B368" s="7">
        <f>IF(inputs!$C$19&gt;B367,IF(A367=(inputs!$C$20-1),(B367+1),B367), B367)</f>
        <v>1</v>
      </c>
      <c r="C368" s="7">
        <f t="shared" si="11"/>
        <v>365</v>
      </c>
      <c r="D368" s="8">
        <f>IF((B368&gt;B367), (EXP(-LN(2)/inputs!$C$51)*D367+$D$3), (EXP(-LN(2)/inputs!$C$51)*D367))</f>
        <v>1.3366616079877262E-18</v>
      </c>
      <c r="E368" s="8">
        <f>IF((B368&gt;B367), (EXP(-LN(2)/inputs!$C$51)*E367+$E$3), (EXP(-LN(2)/inputs!$C$51)*E367))</f>
        <v>6.1263657032770709E-19</v>
      </c>
      <c r="F368" s="8">
        <f>IF((B368&gt;B367), (EXP(-LN(2)/inputs!$C$51)*F367+$F$3), (EXP(-LN(2)/inputs!$C$51)*F367))</f>
        <v>7.5187215449309543E-19</v>
      </c>
      <c r="G368" s="8">
        <f>IF((B368&gt;B367), (EXP(-LN(2)/inputs!$C$51)*G367+$G$3), (EXP(-LN(2)/inputs!$C$51)*G367))</f>
        <v>8.3541350499232887E-20</v>
      </c>
      <c r="H368" s="8">
        <f>IF((B368&gt;B367), (EXP(-LN(2)/inputs!$C$51)*H367+$H$3), (EXP(-LN(2)/inputs!$C$51)*H367))</f>
        <v>5.2352579646185822E-19</v>
      </c>
      <c r="I368" s="7">
        <f>O368*(10^inputs!$C$55)*0.01/1</f>
        <v>3.3358204434900084E-2</v>
      </c>
      <c r="J368" s="7">
        <f>(((0.621*15^0.564)/0.2))*D368/15+J367*inputs!$C$53</f>
        <v>1.4383342958813768E-18</v>
      </c>
      <c r="K368" s="7">
        <f>(((0.621*1000^0.564)/0.2))*D368/1000+K367*inputs!$C$53</f>
        <v>2.3048126287896895E-19</v>
      </c>
      <c r="L368" s="7">
        <f>(((0.648*20^0.651)/0.2))*H368/20+L367*inputs!$C$54</f>
        <v>7.8857756525158753E-19</v>
      </c>
      <c r="M368" s="7">
        <f>(((0.013*2^0.773)/0.2))*H368/2+M367*inputs!$C$54</f>
        <v>3.8453725633605389E-20</v>
      </c>
      <c r="N368" s="7">
        <f>O368*0.015*inputs!$C$56</f>
        <v>4.9009740169722472E-3</v>
      </c>
      <c r="O368" s="7">
        <f>IF((B368&gt;B367), (EXP(-LN(2)/inputs!$C$52)*O367+$O$3), (EXP(-LN(2)/inputs!$C$52)*O367))</f>
        <v>5.2869191121599217E-4</v>
      </c>
      <c r="P368" s="3">
        <f>IF((B368&gt;B367), (EXP(-LN(2)/inputs!$C$52)*P367+$P$3), (EXP(-LN(2)/inputs!$C$52)*P367))</f>
        <v>5.1087759570643369E-4</v>
      </c>
      <c r="Q368" s="19">
        <f>IF((F368*0.62*1/(0.012*(10^inputs!$C$55)))&gt;inputs!$C$57, inputs!$C$57, (F368*0.62*1/(0.012*(10^inputs!$C$55))))</f>
        <v>6.1567914728287442E-21</v>
      </c>
      <c r="R368" s="3">
        <f>IF((B368&gt;B367), (EXP(-LN(2)/inputs!$C$51)*R367+$R$3), (EXP(-LN(2)/inputs!$C$51)*R367))</f>
        <v>1.4304960941060897E-26</v>
      </c>
      <c r="T368" s="7">
        <f>IF(T367&lt;(inputs!$C$20-1),(1+T367),0)</f>
        <v>0</v>
      </c>
      <c r="U368" s="7">
        <f>IF(inputs!$C$19&gt;U367,IF(T367=(inputs!$C$20-1),(U367+1),U367), U367)</f>
        <v>1</v>
      </c>
      <c r="V368" s="7">
        <f t="shared" si="10"/>
        <v>365</v>
      </c>
      <c r="W368" s="8">
        <f>IF((U368&gt;U367), (EXP(-LN(2)/inputs!$C$51)*W367+$W$3), (EXP(-LN(2)/inputs!$C$51)*W367))</f>
        <v>4.7340098616231884E-19</v>
      </c>
      <c r="X368" s="8">
        <f>IF((U368&gt;U367), (EXP(-LN(2)/inputs!$C$51)*X367+$X$3), (EXP(-LN(2)/inputs!$C$51)*X367))</f>
        <v>2.0049924119815853E-19</v>
      </c>
      <c r="Y368" s="8">
        <f>IF((U368&gt;U367), (EXP(-LN(2)/inputs!$C$51)*Y367+$Y$3), (EXP(-LN(2)/inputs!$C$51)*Y367))</f>
        <v>2.5062405149769849E-19</v>
      </c>
      <c r="Z368" s="8">
        <f>IF((U368&gt;U367), (EXP(-LN(2)/inputs!$C$51)*Z367+$Z$3), (EXP(-LN(2)/inputs!$C$51)*Z367))</f>
        <v>3.8985963566308603E-20</v>
      </c>
      <c r="AA368" s="8">
        <f>IF((U368&gt;U367), (EXP(-LN(2)/inputs!$C$51)*AA367+$AA$3), (EXP(-LN(2)/inputs!$C$51)*AA367))</f>
        <v>3.6201251883000874E-19</v>
      </c>
      <c r="AB368" s="7">
        <f>(((0.621*15^0.564)/0.2))*W368/15+AB367*inputs!$C$53</f>
        <v>5.0941006312465338E-19</v>
      </c>
      <c r="AC368" s="7">
        <f>(((0.621*1000^0.564)/0.2))*W368/1000+AC367*inputs!$C$53</f>
        <v>8.162878060296804E-20</v>
      </c>
      <c r="AD368" s="7">
        <f>(((0.648*20^0.651)/0.2))*AA368/20+AD367*inputs!$C$54</f>
        <v>5.4529299724843876E-19</v>
      </c>
      <c r="AE368" s="7">
        <f>(((0.013*2^0.773)/0.2))*AA368/2+AE367*inputs!$C$54</f>
        <v>2.6590342193450566E-20</v>
      </c>
    </row>
  </sheetData>
  <sheetProtection algorithmName="SHA-512" hashValue="WH+OeygGRIgicu3736BgfI4gENAhKt0GKrir7K6OOvOePKMXuL77Yam/WQ0TqQ5V/PpOhR6fIHN2SjY9Qh8JWw==" saltValue="mxp3GOVLt+rHdqHegJsFKA==" spinCount="100000"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A1:O166"/>
  <sheetViews>
    <sheetView workbookViewId="0">
      <pane xSplit="1" ySplit="2" topLeftCell="B105" activePane="bottomRight" state="frozen"/>
      <selection pane="topRight" activeCell="B1" sqref="B1"/>
      <selection pane="bottomLeft" activeCell="A3" sqref="A3"/>
      <selection pane="bottomRight" activeCell="P109" sqref="P109"/>
    </sheetView>
  </sheetViews>
  <sheetFormatPr defaultColWidth="8.88671875" defaultRowHeight="14.4" x14ac:dyDescent="0.3"/>
  <cols>
    <col min="1" max="1" width="12.6640625" style="4" customWidth="1"/>
    <col min="2" max="2" width="16.6640625" style="4" customWidth="1"/>
    <col min="3" max="3" width="33.44140625" style="4" customWidth="1"/>
    <col min="4" max="4" width="8.88671875" style="4"/>
    <col min="5" max="5" width="11.44140625" style="4" customWidth="1"/>
    <col min="6" max="6" width="10.5546875" style="4" customWidth="1"/>
    <col min="7" max="7" width="9.5546875" style="4" bestFit="1" customWidth="1"/>
    <col min="8" max="8" width="11.33203125" style="4" customWidth="1"/>
    <col min="9" max="9" width="9.5546875" style="4" bestFit="1" customWidth="1"/>
    <col min="10" max="10" width="10" style="4" customWidth="1"/>
    <col min="11" max="11" width="10.44140625" style="4" customWidth="1"/>
    <col min="12" max="12" width="9.5546875" style="4" bestFit="1" customWidth="1"/>
    <col min="13" max="13" width="13.88671875" style="4" customWidth="1"/>
    <col min="14" max="16384" width="8.88671875" style="4"/>
  </cols>
  <sheetData>
    <row r="1" spans="1:15" x14ac:dyDescent="0.3">
      <c r="A1" s="1" t="s">
        <v>790</v>
      </c>
      <c r="B1" s="1"/>
    </row>
    <row r="2" spans="1:15" ht="56.25" customHeight="1" x14ac:dyDescent="0.3">
      <c r="A2" s="2" t="s">
        <v>57</v>
      </c>
      <c r="B2" s="2" t="s">
        <v>58</v>
      </c>
      <c r="C2" s="2" t="s">
        <v>59</v>
      </c>
      <c r="D2" s="9" t="s">
        <v>98</v>
      </c>
      <c r="E2" s="9" t="s">
        <v>99</v>
      </c>
      <c r="F2" s="9" t="s">
        <v>100</v>
      </c>
      <c r="G2" s="9" t="s">
        <v>101</v>
      </c>
      <c r="H2" s="9" t="s">
        <v>102</v>
      </c>
      <c r="I2" s="9" t="s">
        <v>112</v>
      </c>
      <c r="J2" s="9" t="s">
        <v>113</v>
      </c>
      <c r="K2" s="9" t="s">
        <v>770</v>
      </c>
      <c r="L2" s="9" t="s">
        <v>115</v>
      </c>
      <c r="M2" s="9" t="s">
        <v>116</v>
      </c>
      <c r="N2" s="9" t="s">
        <v>769</v>
      </c>
    </row>
    <row r="3" spans="1:15" x14ac:dyDescent="0.3">
      <c r="A3" s="40" t="s">
        <v>61</v>
      </c>
      <c r="B3" s="22" t="s">
        <v>62</v>
      </c>
      <c r="C3" s="22" t="s">
        <v>63</v>
      </c>
      <c r="D3" s="101">
        <f>COUNTIF('Min rate concentrations'!D$3:D$368, "&gt;"&amp;inputs!E95)</f>
        <v>16</v>
      </c>
      <c r="E3" s="101">
        <f>COUNTIF('Min rate concentrations'!E$3:E$368, "&gt;"&amp;inputs!E95)</f>
        <v>10</v>
      </c>
      <c r="F3" s="101">
        <f>COUNTIF('Min rate concentrations'!F$3:F$368, "&gt;"&amp;inputs!E95)</f>
        <v>12</v>
      </c>
      <c r="G3" s="101">
        <f>COUNTIF('Min rate concentrations'!G$3:G$368, "&gt;"&amp;inputs!E95)</f>
        <v>0</v>
      </c>
      <c r="H3" s="101">
        <f>COUNTIF('Min rate concentrations'!H$3:H$368, "&gt;"&amp;inputs!E95)</f>
        <v>9</v>
      </c>
      <c r="I3" s="101">
        <f>COUNTIF('Min rate concentrations'!I$3:I$368, "&gt;"&amp;inputs!E95)</f>
        <v>0</v>
      </c>
      <c r="J3" s="101">
        <f>COUNTIF('Min rate concentrations'!J$3:J$368, "&gt;"&amp;inputs!E95)</f>
        <v>17</v>
      </c>
      <c r="K3" s="101">
        <f>COUNTIF('Min rate concentrations'!K$3:K$368, "&gt;"&amp;inputs!E95)</f>
        <v>3</v>
      </c>
      <c r="L3" s="101">
        <f>COUNTIF('Min rate concentrations'!L$3:L$368, "&gt;"&amp;inputs!E95)</f>
        <v>12</v>
      </c>
      <c r="M3" s="101">
        <f>COUNTIF('Min rate concentrations'!M$3:M$368, "&gt;"&amp;inputs!E95)</f>
        <v>0</v>
      </c>
      <c r="N3" s="101" t="s">
        <v>13</v>
      </c>
    </row>
    <row r="4" spans="1:15" x14ac:dyDescent="0.3">
      <c r="A4" s="41"/>
      <c r="B4" s="22" t="s">
        <v>64</v>
      </c>
      <c r="C4" s="22" t="s">
        <v>65</v>
      </c>
      <c r="D4" s="101">
        <f>COUNTIF('Min rate concentrations'!D$3:D$368, "&gt;"&amp;inputs!E96)</f>
        <v>0</v>
      </c>
      <c r="E4" s="101">
        <f>COUNTIF('Min rate concentrations'!E$3:E$368, "&gt;"&amp;inputs!E96)</f>
        <v>0</v>
      </c>
      <c r="F4" s="101">
        <f>COUNTIF('Min rate concentrations'!F$3:F$368, "&gt;"&amp;inputs!E96)</f>
        <v>0</v>
      </c>
      <c r="G4" s="101">
        <f>COUNTIF('Min rate concentrations'!G$3:G$368, "&gt;"&amp;inputs!E96)</f>
        <v>0</v>
      </c>
      <c r="H4" s="101">
        <f>COUNTIF('Min rate concentrations'!H$3:H$368, "&gt;"&amp;inputs!E96)</f>
        <v>0</v>
      </c>
      <c r="I4" s="101">
        <f>COUNTIF('Min rate concentrations'!I$3:I$368, "&gt;"&amp;inputs!E96)</f>
        <v>0</v>
      </c>
      <c r="J4" s="101">
        <f>COUNTIF('Min rate concentrations'!J$3:J$368, "&gt;"&amp;inputs!E96)</f>
        <v>0</v>
      </c>
      <c r="K4" s="101">
        <f>COUNTIF('Min rate concentrations'!K$3:K$368, "&gt;"&amp;inputs!E96)</f>
        <v>0</v>
      </c>
      <c r="L4" s="101">
        <f>COUNTIF('Min rate concentrations'!L$3:L$368, "&gt;"&amp;inputs!E96)</f>
        <v>0</v>
      </c>
      <c r="M4" s="101">
        <f>COUNTIF('Min rate concentrations'!M$3:M$368, "&gt;"&amp;inputs!E96)</f>
        <v>0</v>
      </c>
      <c r="N4" s="101" t="s">
        <v>13</v>
      </c>
    </row>
    <row r="5" spans="1:15" x14ac:dyDescent="0.3">
      <c r="A5" s="41"/>
      <c r="B5" s="22" t="s">
        <v>66</v>
      </c>
      <c r="C5" s="22" t="s">
        <v>80</v>
      </c>
      <c r="D5" s="101">
        <f>COUNTIF('Min rate concentrations'!D$3:D$368, "&gt;"&amp;inputs!E97)</f>
        <v>0</v>
      </c>
      <c r="E5" s="101">
        <f>COUNTIF('Min rate concentrations'!E$3:E$368, "&gt;"&amp;inputs!E97)</f>
        <v>0</v>
      </c>
      <c r="F5" s="101">
        <f>COUNTIF('Min rate concentrations'!F$3:F$368, "&gt;"&amp;inputs!E97)</f>
        <v>0</v>
      </c>
      <c r="G5" s="101">
        <f>COUNTIF('Min rate concentrations'!G$3:G$368, "&gt;"&amp;inputs!E97)</f>
        <v>0</v>
      </c>
      <c r="H5" s="101">
        <f>COUNTIF('Min rate concentrations'!H$3:H$368, "&gt;"&amp;inputs!E97)</f>
        <v>0</v>
      </c>
      <c r="I5" s="101">
        <f>COUNTIF('Min rate concentrations'!I$3:I$368, "&gt;"&amp;inputs!E97)</f>
        <v>0</v>
      </c>
      <c r="J5" s="101">
        <f>COUNTIF('Min rate concentrations'!J$3:J$368, "&gt;"&amp;inputs!E97)</f>
        <v>0</v>
      </c>
      <c r="K5" s="101">
        <f>COUNTIF('Min rate concentrations'!K$3:K$368, "&gt;"&amp;inputs!E97)</f>
        <v>0</v>
      </c>
      <c r="L5" s="101">
        <f>COUNTIF('Min rate concentrations'!L$3:L$368, "&gt;"&amp;inputs!E97)</f>
        <v>0</v>
      </c>
      <c r="M5" s="101">
        <f>COUNTIF('Min rate concentrations'!M$3:M$368, "&gt;"&amp;inputs!E97)</f>
        <v>0</v>
      </c>
      <c r="N5" s="101" t="s">
        <v>13</v>
      </c>
      <c r="O5" s="102"/>
    </row>
    <row r="6" spans="1:15" x14ac:dyDescent="0.3">
      <c r="A6" s="41"/>
      <c r="B6" s="22" t="s">
        <v>62</v>
      </c>
      <c r="C6" s="22" t="s">
        <v>71</v>
      </c>
      <c r="D6" s="101">
        <f>COUNTIF('Min rate concentrations'!D$3:D$368, "&gt;"&amp;inputs!E98)</f>
        <v>31</v>
      </c>
      <c r="E6" s="101">
        <f>COUNTIF('Min rate concentrations'!E$3:E$368, "&gt;"&amp;inputs!E98)</f>
        <v>25</v>
      </c>
      <c r="F6" s="101">
        <f>COUNTIF('Min rate concentrations'!F$3:F$368, "&gt;"&amp;inputs!E98)</f>
        <v>26</v>
      </c>
      <c r="G6" s="101">
        <f>COUNTIF('Min rate concentrations'!G$3:G$368, "&gt;"&amp;inputs!E98)</f>
        <v>10</v>
      </c>
      <c r="H6" s="101">
        <f>COUNTIF('Min rate concentrations'!H$3:H$368, "&gt;"&amp;inputs!E98)</f>
        <v>24</v>
      </c>
      <c r="I6" s="101">
        <f>COUNTIF('Min rate concentrations'!I$3:I$368, "&gt;"&amp;inputs!E98)</f>
        <v>70</v>
      </c>
      <c r="J6" s="101">
        <f>COUNTIF('Min rate concentrations'!J$3:J$368, "&gt;"&amp;inputs!E98)</f>
        <v>31</v>
      </c>
      <c r="K6" s="101">
        <f>COUNTIF('Min rate concentrations'!K$3:K$368, "&gt;"&amp;inputs!E98)</f>
        <v>17</v>
      </c>
      <c r="L6" s="101">
        <f>COUNTIF('Min rate concentrations'!L$3:L$368, "&gt;"&amp;inputs!E98)</f>
        <v>27</v>
      </c>
      <c r="M6" s="101">
        <f>COUNTIF('Min rate concentrations'!M$3:M$368, "&gt;"&amp;inputs!E98)</f>
        <v>4</v>
      </c>
      <c r="N6" s="101" t="s">
        <v>13</v>
      </c>
      <c r="O6" s="102"/>
    </row>
    <row r="7" spans="1:15" x14ac:dyDescent="0.3">
      <c r="A7" s="41"/>
      <c r="B7" s="61" t="s">
        <v>62</v>
      </c>
      <c r="C7" s="61" t="s">
        <v>81</v>
      </c>
      <c r="D7" s="175">
        <f>COUNTIF('Min rate concentrations'!D$3:D$368, "&gt;"&amp;inputs!E99)</f>
        <v>0</v>
      </c>
      <c r="E7" s="175">
        <f>COUNTIF('Min rate concentrations'!E$3:E$368, "&gt;"&amp;inputs!E99)</f>
        <v>0</v>
      </c>
      <c r="F7" s="175">
        <f>COUNTIF('Min rate concentrations'!F$3:F$368, "&gt;"&amp;inputs!E99)</f>
        <v>0</v>
      </c>
      <c r="G7" s="175">
        <f>COUNTIF('Min rate concentrations'!G$3:G$368, "&gt;"&amp;inputs!E99)</f>
        <v>0</v>
      </c>
      <c r="H7" s="175">
        <f>COUNTIF('Min rate concentrations'!H$3:H$368, "&gt;"&amp;inputs!E99)</f>
        <v>0</v>
      </c>
      <c r="I7" s="175">
        <f>COUNTIF('Min rate concentrations'!I$3:I$368, "&gt;"&amp;inputs!E99)</f>
        <v>0</v>
      </c>
      <c r="J7" s="175">
        <f>COUNTIF('Min rate concentrations'!J$3:J$368, "&gt;"&amp;inputs!E99)</f>
        <v>0</v>
      </c>
      <c r="K7" s="175">
        <f>COUNTIF('Min rate concentrations'!K$3:K$368, "&gt;"&amp;inputs!E99)</f>
        <v>0</v>
      </c>
      <c r="L7" s="175">
        <f>COUNTIF('Min rate concentrations'!L$3:L$368, "&gt;"&amp;inputs!E99)</f>
        <v>0</v>
      </c>
      <c r="M7" s="175">
        <f>COUNTIF('Min rate concentrations'!M$3:M$368, "&gt;"&amp;inputs!E99)</f>
        <v>0</v>
      </c>
      <c r="N7" s="101" t="s">
        <v>13</v>
      </c>
      <c r="O7" s="102"/>
    </row>
    <row r="8" spans="1:15" x14ac:dyDescent="0.3">
      <c r="A8" s="41"/>
      <c r="B8" s="61" t="s">
        <v>62</v>
      </c>
      <c r="C8" s="61" t="s">
        <v>82</v>
      </c>
      <c r="D8" s="175">
        <f>COUNTIF('Min rate concentrations'!D$3:D$368, "&gt;"&amp;inputs!E100)</f>
        <v>27</v>
      </c>
      <c r="E8" s="175">
        <f>COUNTIF('Min rate concentrations'!E$3:E$368, "&gt;"&amp;inputs!E100)</f>
        <v>21</v>
      </c>
      <c r="F8" s="175">
        <f>COUNTIF('Min rate concentrations'!F$3:F$368, "&gt;"&amp;inputs!E100)</f>
        <v>22</v>
      </c>
      <c r="G8" s="175">
        <f>COUNTIF('Min rate concentrations'!G$3:G$368, "&gt;"&amp;inputs!E100)</f>
        <v>6</v>
      </c>
      <c r="H8" s="175">
        <f>COUNTIF('Min rate concentrations'!H$3:H$368, "&gt;"&amp;inputs!E100)</f>
        <v>20</v>
      </c>
      <c r="I8" s="175">
        <f>COUNTIF('Min rate concentrations'!I$3:I$368, "&gt;"&amp;inputs!E100)</f>
        <v>45</v>
      </c>
      <c r="J8" s="175">
        <f>COUNTIF('Min rate concentrations'!J$3:J$368, "&gt;"&amp;inputs!E100)</f>
        <v>27</v>
      </c>
      <c r="K8" s="175">
        <f>COUNTIF('Min rate concentrations'!K$3:K$368, "&gt;"&amp;inputs!E100)</f>
        <v>13</v>
      </c>
      <c r="L8" s="175">
        <f>COUNTIF('Min rate concentrations'!L$3:L$368, "&gt;"&amp;inputs!E100)</f>
        <v>23</v>
      </c>
      <c r="M8" s="175">
        <f>COUNTIF('Min rate concentrations'!M$3:M$368, "&gt;"&amp;inputs!E100)</f>
        <v>0</v>
      </c>
      <c r="N8" s="101" t="s">
        <v>13</v>
      </c>
      <c r="O8" s="102"/>
    </row>
    <row r="9" spans="1:15" x14ac:dyDescent="0.3">
      <c r="A9" s="41"/>
      <c r="B9" s="61" t="s">
        <v>62</v>
      </c>
      <c r="C9" s="61" t="s">
        <v>83</v>
      </c>
      <c r="D9" s="175">
        <f>COUNTIF('Min rate concentrations'!D$3:D$368, "&gt;"&amp;inputs!E101)</f>
        <v>0</v>
      </c>
      <c r="E9" s="175">
        <f>COUNTIF('Min rate concentrations'!E$3:E$368, "&gt;"&amp;inputs!E101)</f>
        <v>0</v>
      </c>
      <c r="F9" s="175">
        <f>COUNTIF('Min rate concentrations'!F$3:F$368, "&gt;"&amp;inputs!E101)</f>
        <v>0</v>
      </c>
      <c r="G9" s="175">
        <f>COUNTIF('Min rate concentrations'!G$3:G$368, "&gt;"&amp;inputs!E101)</f>
        <v>0</v>
      </c>
      <c r="H9" s="175">
        <f>COUNTIF('Min rate concentrations'!H$3:H$368, "&gt;"&amp;inputs!E101)</f>
        <v>0</v>
      </c>
      <c r="I9" s="175">
        <f>COUNTIF('Min rate concentrations'!I$3:I$368, "&gt;"&amp;inputs!E101)</f>
        <v>0</v>
      </c>
      <c r="J9" s="175">
        <f>COUNTIF('Min rate concentrations'!J$3:J$368, "&gt;"&amp;inputs!E101)</f>
        <v>0</v>
      </c>
      <c r="K9" s="175">
        <f>COUNTIF('Min rate concentrations'!K$3:K$368, "&gt;"&amp;inputs!E101)</f>
        <v>0</v>
      </c>
      <c r="L9" s="175">
        <f>COUNTIF('Min rate concentrations'!L$3:L$368, "&gt;"&amp;inputs!E101)</f>
        <v>0</v>
      </c>
      <c r="M9" s="175">
        <f>COUNTIF('Min rate concentrations'!M$3:M$368, "&gt;"&amp;inputs!E101)</f>
        <v>0</v>
      </c>
      <c r="N9" s="101" t="s">
        <v>13</v>
      </c>
      <c r="O9" s="102"/>
    </row>
    <row r="10" spans="1:15" x14ac:dyDescent="0.3">
      <c r="A10" s="41"/>
      <c r="B10" s="61" t="s">
        <v>62</v>
      </c>
      <c r="C10" s="61" t="s">
        <v>84</v>
      </c>
      <c r="D10" s="175">
        <f>COUNTIF('Min rate concentrations'!D$3:D$368, "&gt;"&amp;inputs!E102)</f>
        <v>17</v>
      </c>
      <c r="E10" s="175">
        <f>COUNTIF('Min rate concentrations'!E$3:E$368, "&gt;"&amp;inputs!E102)</f>
        <v>11</v>
      </c>
      <c r="F10" s="175">
        <f>COUNTIF('Min rate concentrations'!F$3:F$368, "&gt;"&amp;inputs!E102)</f>
        <v>13</v>
      </c>
      <c r="G10" s="175">
        <f>COUNTIF('Min rate concentrations'!G$3:G$368, "&gt;"&amp;inputs!E102)</f>
        <v>0</v>
      </c>
      <c r="H10" s="175">
        <f>COUNTIF('Min rate concentrations'!H$3:H$368, "&gt;"&amp;inputs!E102)</f>
        <v>10</v>
      </c>
      <c r="I10" s="175">
        <f>COUNTIF('Min rate concentrations'!I$3:I$368, "&gt;"&amp;inputs!E102)</f>
        <v>0</v>
      </c>
      <c r="J10" s="175">
        <f>COUNTIF('Min rate concentrations'!J$3:J$368, "&gt;"&amp;inputs!E102)</f>
        <v>18</v>
      </c>
      <c r="K10" s="175">
        <f>COUNTIF('Min rate concentrations'!K$3:K$368, "&gt;"&amp;inputs!E102)</f>
        <v>4</v>
      </c>
      <c r="L10" s="175">
        <f>COUNTIF('Min rate concentrations'!L$3:L$368, "&gt;"&amp;inputs!E102)</f>
        <v>13</v>
      </c>
      <c r="M10" s="175">
        <f>COUNTIF('Min rate concentrations'!M$3:M$368, "&gt;"&amp;inputs!E102)</f>
        <v>0</v>
      </c>
      <c r="N10" s="101" t="s">
        <v>13</v>
      </c>
      <c r="O10" s="102"/>
    </row>
    <row r="11" spans="1:15" x14ac:dyDescent="0.3">
      <c r="A11" s="41"/>
      <c r="B11" s="61" t="s">
        <v>62</v>
      </c>
      <c r="C11" s="61" t="s">
        <v>85</v>
      </c>
      <c r="D11" s="175">
        <f>COUNTIF('Min rate concentrations'!D$3:D$368, "&gt;"&amp;inputs!E103)</f>
        <v>55</v>
      </c>
      <c r="E11" s="175">
        <f>COUNTIF('Min rate concentrations'!E$3:E$368, "&gt;"&amp;inputs!E103)</f>
        <v>49</v>
      </c>
      <c r="F11" s="175">
        <f>COUNTIF('Min rate concentrations'!F$3:F$368, "&gt;"&amp;inputs!E103)</f>
        <v>50</v>
      </c>
      <c r="G11" s="175">
        <f>COUNTIF('Min rate concentrations'!G$3:G$368, "&gt;"&amp;inputs!E103)</f>
        <v>34</v>
      </c>
      <c r="H11" s="175">
        <f>COUNTIF('Min rate concentrations'!H$3:H$368, "&gt;"&amp;inputs!E103)</f>
        <v>48</v>
      </c>
      <c r="I11" s="175">
        <f>COUNTIF('Min rate concentrations'!I$3:I$368, "&gt;"&amp;inputs!E103)</f>
        <v>224</v>
      </c>
      <c r="J11" s="175">
        <f>COUNTIF('Min rate concentrations'!J$3:J$368, "&gt;"&amp;inputs!E103)</f>
        <v>55</v>
      </c>
      <c r="K11" s="175">
        <f>COUNTIF('Min rate concentrations'!K$3:K$368, "&gt;"&amp;inputs!E103)</f>
        <v>41</v>
      </c>
      <c r="L11" s="175">
        <f>COUNTIF('Min rate concentrations'!L$3:L$368, "&gt;"&amp;inputs!E103)</f>
        <v>51</v>
      </c>
      <c r="M11" s="175">
        <f>COUNTIF('Min rate concentrations'!M$3:M$368, "&gt;"&amp;inputs!E103)</f>
        <v>28</v>
      </c>
      <c r="N11" s="101" t="s">
        <v>13</v>
      </c>
      <c r="O11" s="102"/>
    </row>
    <row r="12" spans="1:15" x14ac:dyDescent="0.3">
      <c r="A12" s="41"/>
      <c r="B12" s="61" t="s">
        <v>62</v>
      </c>
      <c r="C12" s="61" t="s">
        <v>86</v>
      </c>
      <c r="D12" s="175">
        <f>COUNTIF('Min rate concentrations'!D$3:D$368, "&gt;"&amp;inputs!E104)</f>
        <v>37</v>
      </c>
      <c r="E12" s="175">
        <f>COUNTIF('Min rate concentrations'!E$3:E$368, "&gt;"&amp;inputs!E104)</f>
        <v>31</v>
      </c>
      <c r="F12" s="175">
        <f>COUNTIF('Min rate concentrations'!F$3:F$368, "&gt;"&amp;inputs!E104)</f>
        <v>33</v>
      </c>
      <c r="G12" s="175">
        <f>COUNTIF('Min rate concentrations'!G$3:G$368, "&gt;"&amp;inputs!E104)</f>
        <v>16</v>
      </c>
      <c r="H12" s="175">
        <f>COUNTIF('Min rate concentrations'!H$3:H$368, "&gt;"&amp;inputs!E104)</f>
        <v>30</v>
      </c>
      <c r="I12" s="175">
        <f>COUNTIF('Min rate concentrations'!I$3:I$368, "&gt;"&amp;inputs!E104)</f>
        <v>111</v>
      </c>
      <c r="J12" s="175">
        <f>COUNTIF('Min rate concentrations'!J$3:J$368, "&gt;"&amp;inputs!E104)</f>
        <v>38</v>
      </c>
      <c r="K12" s="175">
        <f>COUNTIF('Min rate concentrations'!K$3:K$368, "&gt;"&amp;inputs!E104)</f>
        <v>24</v>
      </c>
      <c r="L12" s="175">
        <f>COUNTIF('Min rate concentrations'!L$3:L$368, "&gt;"&amp;inputs!E104)</f>
        <v>33</v>
      </c>
      <c r="M12" s="175">
        <f>COUNTIF('Min rate concentrations'!M$3:M$368, "&gt;"&amp;inputs!E104)</f>
        <v>10</v>
      </c>
      <c r="N12" s="101" t="s">
        <v>13</v>
      </c>
      <c r="O12" s="102"/>
    </row>
    <row r="13" spans="1:15" x14ac:dyDescent="0.3">
      <c r="A13" s="41"/>
      <c r="B13" s="61" t="s">
        <v>62</v>
      </c>
      <c r="C13" s="61" t="s">
        <v>87</v>
      </c>
      <c r="D13" s="175">
        <f>COUNTIF('Min rate concentrations'!D$3:D$368, "&gt;"&amp;inputs!E105)</f>
        <v>0</v>
      </c>
      <c r="E13" s="175">
        <f>COUNTIF('Min rate concentrations'!E$3:E$368, "&gt;"&amp;inputs!E105)</f>
        <v>0</v>
      </c>
      <c r="F13" s="175">
        <f>COUNTIF('Min rate concentrations'!F$3:F$368, "&gt;"&amp;inputs!E105)</f>
        <v>0</v>
      </c>
      <c r="G13" s="175">
        <f>COUNTIF('Min rate concentrations'!G$3:G$368, "&gt;"&amp;inputs!E105)</f>
        <v>0</v>
      </c>
      <c r="H13" s="175">
        <f>COUNTIF('Min rate concentrations'!H$3:H$368, "&gt;"&amp;inputs!E105)</f>
        <v>0</v>
      </c>
      <c r="I13" s="175">
        <f>COUNTIF('Min rate concentrations'!I$3:I$368, "&gt;"&amp;inputs!E105)</f>
        <v>0</v>
      </c>
      <c r="J13" s="175">
        <f>COUNTIF('Min rate concentrations'!J$3:J$368, "&gt;"&amp;inputs!E105)</f>
        <v>0</v>
      </c>
      <c r="K13" s="175">
        <f>COUNTIF('Min rate concentrations'!K$3:K$368, "&gt;"&amp;inputs!E105)</f>
        <v>0</v>
      </c>
      <c r="L13" s="175">
        <f>COUNTIF('Min rate concentrations'!L$3:L$368, "&gt;"&amp;inputs!E105)</f>
        <v>0</v>
      </c>
      <c r="M13" s="175">
        <f>COUNTIF('Min rate concentrations'!M$3:M$368, "&gt;"&amp;inputs!E105)</f>
        <v>0</v>
      </c>
      <c r="N13" s="101" t="s">
        <v>13</v>
      </c>
      <c r="O13" s="102"/>
    </row>
    <row r="14" spans="1:15" x14ac:dyDescent="0.3">
      <c r="A14" s="41"/>
      <c r="B14" s="61" t="s">
        <v>62</v>
      </c>
      <c r="C14" s="61" t="s">
        <v>88</v>
      </c>
      <c r="D14" s="175">
        <f>COUNTIF('Min rate concentrations'!D$3:D$368, "&gt;"&amp;inputs!E106)</f>
        <v>0</v>
      </c>
      <c r="E14" s="175">
        <f>COUNTIF('Min rate concentrations'!E$3:E$368, "&gt;"&amp;inputs!E106)</f>
        <v>0</v>
      </c>
      <c r="F14" s="175">
        <f>COUNTIF('Min rate concentrations'!F$3:F$368, "&gt;"&amp;inputs!E106)</f>
        <v>0</v>
      </c>
      <c r="G14" s="175">
        <f>COUNTIF('Min rate concentrations'!G$3:G$368, "&gt;"&amp;inputs!E106)</f>
        <v>0</v>
      </c>
      <c r="H14" s="175">
        <f>COUNTIF('Min rate concentrations'!H$3:H$368, "&gt;"&amp;inputs!E106)</f>
        <v>0</v>
      </c>
      <c r="I14" s="175">
        <f>COUNTIF('Min rate concentrations'!I$3:I$368, "&gt;"&amp;inputs!E106)</f>
        <v>0</v>
      </c>
      <c r="J14" s="175">
        <f>COUNTIF('Min rate concentrations'!J$3:J$368, "&gt;"&amp;inputs!E106)</f>
        <v>0</v>
      </c>
      <c r="K14" s="175">
        <f>COUNTIF('Min rate concentrations'!K$3:K$368, "&gt;"&amp;inputs!E106)</f>
        <v>0</v>
      </c>
      <c r="L14" s="175">
        <f>COUNTIF('Min rate concentrations'!L$3:L$368, "&gt;"&amp;inputs!E106)</f>
        <v>0</v>
      </c>
      <c r="M14" s="175">
        <f>COUNTIF('Min rate concentrations'!M$3:M$368, "&gt;"&amp;inputs!E106)</f>
        <v>0</v>
      </c>
      <c r="N14" s="101" t="s">
        <v>13</v>
      </c>
      <c r="O14" s="102"/>
    </row>
    <row r="15" spans="1:15" x14ac:dyDescent="0.3">
      <c r="A15" s="39"/>
      <c r="B15" s="22" t="s">
        <v>64</v>
      </c>
      <c r="C15" s="22" t="s">
        <v>71</v>
      </c>
      <c r="D15" s="101">
        <f>COUNTIF('Min rate concentrations'!D$3:D$368, "&gt;"&amp;inputs!E107)</f>
        <v>19</v>
      </c>
      <c r="E15" s="101">
        <f>COUNTIF('Min rate concentrations'!E$3:E$368, "&gt;"&amp;inputs!E107)</f>
        <v>13</v>
      </c>
      <c r="F15" s="101">
        <f>COUNTIF('Min rate concentrations'!F$3:F$368, "&gt;"&amp;inputs!E107)</f>
        <v>15</v>
      </c>
      <c r="G15" s="101">
        <f>COUNTIF('Min rate concentrations'!G$3:G$368, "&gt;"&amp;inputs!E107)</f>
        <v>0</v>
      </c>
      <c r="H15" s="101">
        <f>COUNTIF('Min rate concentrations'!H$3:H$368, "&gt;"&amp;inputs!E107)</f>
        <v>12</v>
      </c>
      <c r="I15" s="101">
        <f>COUNTIF('Min rate concentrations'!I$3:I$368, "&gt;"&amp;inputs!E107)</f>
        <v>0</v>
      </c>
      <c r="J15" s="101">
        <f>COUNTIF('Min rate concentrations'!J$3:J$368, "&gt;"&amp;inputs!E107)</f>
        <v>20</v>
      </c>
      <c r="K15" s="101">
        <f>COUNTIF('Min rate concentrations'!K$3:K$368, "&gt;"&amp;inputs!E107)</f>
        <v>6</v>
      </c>
      <c r="L15" s="101">
        <f>COUNTIF('Min rate concentrations'!L$3:L$368, "&gt;"&amp;inputs!E107)</f>
        <v>15</v>
      </c>
      <c r="M15" s="101">
        <f>COUNTIF('Min rate concentrations'!M$3:M$368, "&gt;"&amp;inputs!E107)</f>
        <v>0</v>
      </c>
      <c r="N15" s="101" t="s">
        <v>13</v>
      </c>
    </row>
    <row r="16" spans="1:15" x14ac:dyDescent="0.3">
      <c r="A16" s="40" t="s">
        <v>73</v>
      </c>
      <c r="B16" s="22" t="s">
        <v>62</v>
      </c>
      <c r="C16" s="22" t="s">
        <v>63</v>
      </c>
      <c r="D16" s="101">
        <f>COUNTIF('Min rate concentrations'!D$3:D$368, "&gt;"&amp;inputs!E108)</f>
        <v>30</v>
      </c>
      <c r="E16" s="101">
        <f>COUNTIF('Min rate concentrations'!E$3:E$368, "&gt;"&amp;inputs!E108)</f>
        <v>24</v>
      </c>
      <c r="F16" s="101">
        <f>COUNTIF('Min rate concentrations'!F$3:F$368, "&gt;"&amp;inputs!E108)</f>
        <v>26</v>
      </c>
      <c r="G16" s="101">
        <f>COUNTIF('Min rate concentrations'!G$3:G$368, "&gt;"&amp;inputs!E108)</f>
        <v>9</v>
      </c>
      <c r="H16" s="101">
        <f>COUNTIF('Min rate concentrations'!H$3:H$368, "&gt;"&amp;inputs!E108)</f>
        <v>23</v>
      </c>
      <c r="I16" s="101">
        <f>COUNTIF('Min rate concentrations'!I$3:I$368, "&gt;"&amp;inputs!E108)</f>
        <v>66</v>
      </c>
      <c r="J16" s="101">
        <f>COUNTIF('Min rate concentrations'!J$3:J$368, "&gt;"&amp;inputs!E108)</f>
        <v>31</v>
      </c>
      <c r="K16" s="101">
        <f>COUNTIF('Min rate concentrations'!K$3:K$368, "&gt;"&amp;inputs!E108)</f>
        <v>17</v>
      </c>
      <c r="L16" s="101">
        <f>COUNTIF('Min rate concentrations'!L$3:L$368, "&gt;"&amp;inputs!E108)</f>
        <v>26</v>
      </c>
      <c r="M16" s="101">
        <f>COUNTIF('Min rate concentrations'!M$3:M$368, "&gt;"&amp;inputs!E108)</f>
        <v>3</v>
      </c>
      <c r="N16" s="101" t="s">
        <v>13</v>
      </c>
    </row>
    <row r="17" spans="1:14" x14ac:dyDescent="0.3">
      <c r="A17" s="41"/>
      <c r="B17" s="22" t="s">
        <v>64</v>
      </c>
      <c r="C17" s="22" t="s">
        <v>65</v>
      </c>
      <c r="D17" s="101">
        <f>COUNTIF('Min rate concentrations'!D$3:D$368, "&gt;"&amp;inputs!E109)</f>
        <v>15</v>
      </c>
      <c r="E17" s="101">
        <f>COUNTIF('Min rate concentrations'!E$3:E$368, "&gt;"&amp;inputs!E109)</f>
        <v>9</v>
      </c>
      <c r="F17" s="101">
        <f>COUNTIF('Min rate concentrations'!F$3:F$368, "&gt;"&amp;inputs!E109)</f>
        <v>11</v>
      </c>
      <c r="G17" s="101">
        <f>COUNTIF('Min rate concentrations'!G$3:G$368, "&gt;"&amp;inputs!E109)</f>
        <v>0</v>
      </c>
      <c r="H17" s="101">
        <f>COUNTIF('Min rate concentrations'!H$3:H$368, "&gt;"&amp;inputs!E109)</f>
        <v>8</v>
      </c>
      <c r="I17" s="101">
        <f>COUNTIF('Min rate concentrations'!I$3:I$368, "&gt;"&amp;inputs!E109)</f>
        <v>0</v>
      </c>
      <c r="J17" s="101">
        <f>COUNTIF('Min rate concentrations'!J$3:J$368, "&gt;"&amp;inputs!E109)</f>
        <v>16</v>
      </c>
      <c r="K17" s="101">
        <f>COUNTIF('Min rate concentrations'!K$3:K$368, "&gt;"&amp;inputs!E109)</f>
        <v>1</v>
      </c>
      <c r="L17" s="101">
        <f>COUNTIF('Min rate concentrations'!L$3:L$368, "&gt;"&amp;inputs!E109)</f>
        <v>11</v>
      </c>
      <c r="M17" s="101">
        <f>COUNTIF('Min rate concentrations'!M$3:M$368, "&gt;"&amp;inputs!E109)</f>
        <v>0</v>
      </c>
      <c r="N17" s="101" t="s">
        <v>13</v>
      </c>
    </row>
    <row r="18" spans="1:14" x14ac:dyDescent="0.3">
      <c r="A18" s="41"/>
      <c r="B18" s="22" t="s">
        <v>66</v>
      </c>
      <c r="C18" s="22" t="s">
        <v>80</v>
      </c>
      <c r="D18" s="101">
        <f>COUNTIF('Min rate concentrations'!D$3:D$368, "&gt;"&amp;inputs!E110)</f>
        <v>9</v>
      </c>
      <c r="E18" s="101">
        <f>COUNTIF('Min rate concentrations'!E$3:E$368, "&gt;"&amp;inputs!E110)</f>
        <v>3</v>
      </c>
      <c r="F18" s="101">
        <f>COUNTIF('Min rate concentrations'!F$3:F$368, "&gt;"&amp;inputs!E110)</f>
        <v>5</v>
      </c>
      <c r="G18" s="101">
        <f>COUNTIF('Min rate concentrations'!G$3:G$368, "&gt;"&amp;inputs!E110)</f>
        <v>0</v>
      </c>
      <c r="H18" s="101">
        <f>COUNTIF('Min rate concentrations'!H$3:H$368, "&gt;"&amp;inputs!E110)</f>
        <v>2</v>
      </c>
      <c r="I18" s="101">
        <f>COUNTIF('Min rate concentrations'!I$3:I$368, "&gt;"&amp;inputs!E110)</f>
        <v>0</v>
      </c>
      <c r="J18" s="101">
        <f>COUNTIF('Min rate concentrations'!J$3:J$368, "&gt;"&amp;inputs!E110)</f>
        <v>10</v>
      </c>
      <c r="K18" s="101">
        <f>COUNTIF('Min rate concentrations'!K$3:K$368, "&gt;"&amp;inputs!E110)</f>
        <v>0</v>
      </c>
      <c r="L18" s="101">
        <f>COUNTIF('Min rate concentrations'!L$3:L$368, "&gt;"&amp;inputs!E110)</f>
        <v>5</v>
      </c>
      <c r="M18" s="101">
        <f>COUNTIF('Min rate concentrations'!M$3:M$368, "&gt;"&amp;inputs!E110)</f>
        <v>0</v>
      </c>
      <c r="N18" s="101" t="s">
        <v>13</v>
      </c>
    </row>
    <row r="19" spans="1:14" x14ac:dyDescent="0.3">
      <c r="A19" s="41"/>
      <c r="B19" s="22" t="s">
        <v>62</v>
      </c>
      <c r="C19" s="22" t="s">
        <v>71</v>
      </c>
      <c r="D19" s="101">
        <f>COUNTIF('Min rate concentrations'!D$3:D$368, "&gt;"&amp;inputs!E111)</f>
        <v>27</v>
      </c>
      <c r="E19" s="101">
        <f>COUNTIF('Min rate concentrations'!E$3:E$368, "&gt;"&amp;inputs!E111)</f>
        <v>21</v>
      </c>
      <c r="F19" s="101">
        <f>COUNTIF('Min rate concentrations'!F$3:F$368, "&gt;"&amp;inputs!E111)</f>
        <v>22</v>
      </c>
      <c r="G19" s="101">
        <f>COUNTIF('Min rate concentrations'!G$3:G$368, "&gt;"&amp;inputs!E111)</f>
        <v>5</v>
      </c>
      <c r="H19" s="101">
        <f>COUNTIF('Min rate concentrations'!H$3:H$368, "&gt;"&amp;inputs!E111)</f>
        <v>19</v>
      </c>
      <c r="I19" s="101">
        <f>COUNTIF('Min rate concentrations'!I$3:I$368, "&gt;"&amp;inputs!E111)</f>
        <v>43</v>
      </c>
      <c r="J19" s="101">
        <f>COUNTIF('Min rate concentrations'!J$3:J$368, "&gt;"&amp;inputs!E111)</f>
        <v>27</v>
      </c>
      <c r="K19" s="101">
        <f>COUNTIF('Min rate concentrations'!K$3:K$368, "&gt;"&amp;inputs!E111)</f>
        <v>13</v>
      </c>
      <c r="L19" s="101">
        <f>COUNTIF('Min rate concentrations'!L$3:L$368, "&gt;"&amp;inputs!E111)</f>
        <v>22</v>
      </c>
      <c r="M19" s="101">
        <f>COUNTIF('Min rate concentrations'!M$3:M$368, "&gt;"&amp;inputs!E111)</f>
        <v>0</v>
      </c>
      <c r="N19" s="101" t="s">
        <v>13</v>
      </c>
    </row>
    <row r="20" spans="1:14" x14ac:dyDescent="0.3">
      <c r="A20" s="41"/>
      <c r="B20" s="61" t="s">
        <v>62</v>
      </c>
      <c r="C20" s="61" t="s">
        <v>81</v>
      </c>
      <c r="D20" s="101">
        <f>COUNTIF('Min rate concentrations'!D$3:D$368, "&gt;"&amp;inputs!E112)</f>
        <v>21</v>
      </c>
      <c r="E20" s="101">
        <f>COUNTIF('Min rate concentrations'!E$3:E$368, "&gt;"&amp;inputs!E112)</f>
        <v>15</v>
      </c>
      <c r="F20" s="101">
        <f>COUNTIF('Min rate concentrations'!F$3:F$368, "&gt;"&amp;inputs!E112)</f>
        <v>17</v>
      </c>
      <c r="G20" s="101">
        <f>COUNTIF('Min rate concentrations'!G$3:G$368, "&gt;"&amp;inputs!E112)</f>
        <v>0</v>
      </c>
      <c r="H20" s="101">
        <f>COUNTIF('Min rate concentrations'!H$3:H$368, "&gt;"&amp;inputs!E112)</f>
        <v>14</v>
      </c>
      <c r="I20" s="101">
        <f>COUNTIF('Min rate concentrations'!I$3:I$368, "&gt;"&amp;inputs!E112)</f>
        <v>7</v>
      </c>
      <c r="J20" s="101">
        <f>COUNTIF('Min rate concentrations'!J$3:J$368, "&gt;"&amp;inputs!E112)</f>
        <v>21</v>
      </c>
      <c r="K20" s="101">
        <f>COUNTIF('Min rate concentrations'!K$3:K$368, "&gt;"&amp;inputs!E112)</f>
        <v>7</v>
      </c>
      <c r="L20" s="101">
        <f>COUNTIF('Min rate concentrations'!L$3:L$368, "&gt;"&amp;inputs!E112)</f>
        <v>17</v>
      </c>
      <c r="M20" s="101">
        <f>COUNTIF('Min rate concentrations'!M$3:M$368, "&gt;"&amp;inputs!E112)</f>
        <v>0</v>
      </c>
      <c r="N20" s="101" t="s">
        <v>13</v>
      </c>
    </row>
    <row r="21" spans="1:14" x14ac:dyDescent="0.3">
      <c r="A21" s="41"/>
      <c r="B21" s="61" t="s">
        <v>62</v>
      </c>
      <c r="C21" s="61" t="s">
        <v>82</v>
      </c>
      <c r="D21" s="101">
        <f>COUNTIF('Min rate concentrations'!D$3:D$368, "&gt;"&amp;inputs!E113)</f>
        <v>16</v>
      </c>
      <c r="E21" s="101">
        <f>COUNTIF('Min rate concentrations'!E$3:E$368, "&gt;"&amp;inputs!E113)</f>
        <v>10</v>
      </c>
      <c r="F21" s="101">
        <f>COUNTIF('Min rate concentrations'!F$3:F$368, "&gt;"&amp;inputs!E113)</f>
        <v>11</v>
      </c>
      <c r="G21" s="101">
        <f>COUNTIF('Min rate concentrations'!G$3:G$368, "&gt;"&amp;inputs!E113)</f>
        <v>0</v>
      </c>
      <c r="H21" s="101">
        <f>COUNTIF('Min rate concentrations'!H$3:H$368, "&gt;"&amp;inputs!E113)</f>
        <v>9</v>
      </c>
      <c r="I21" s="101">
        <f>COUNTIF('Min rate concentrations'!I$3:I$368, "&gt;"&amp;inputs!E113)</f>
        <v>0</v>
      </c>
      <c r="J21" s="101">
        <f>COUNTIF('Min rate concentrations'!J$3:J$368, "&gt;"&amp;inputs!E113)</f>
        <v>16</v>
      </c>
      <c r="K21" s="101">
        <f>COUNTIF('Min rate concentrations'!K$3:K$368, "&gt;"&amp;inputs!E113)</f>
        <v>2</v>
      </c>
      <c r="L21" s="101">
        <f>COUNTIF('Min rate concentrations'!L$3:L$368, "&gt;"&amp;inputs!E113)</f>
        <v>12</v>
      </c>
      <c r="M21" s="101">
        <f>COUNTIF('Min rate concentrations'!M$3:M$368, "&gt;"&amp;inputs!E113)</f>
        <v>0</v>
      </c>
      <c r="N21" s="101" t="s">
        <v>13</v>
      </c>
    </row>
    <row r="22" spans="1:14" x14ac:dyDescent="0.3">
      <c r="A22" s="41"/>
      <c r="B22" s="61" t="s">
        <v>62</v>
      </c>
      <c r="C22" s="61" t="s">
        <v>83</v>
      </c>
      <c r="D22" s="101">
        <f>COUNTIF('Min rate concentrations'!D$3:D$368, "&gt;"&amp;inputs!E114)</f>
        <v>21</v>
      </c>
      <c r="E22" s="101">
        <f>COUNTIF('Min rate concentrations'!E$3:E$368, "&gt;"&amp;inputs!E114)</f>
        <v>15</v>
      </c>
      <c r="F22" s="101">
        <f>COUNTIF('Min rate concentrations'!F$3:F$368, "&gt;"&amp;inputs!E114)</f>
        <v>17</v>
      </c>
      <c r="G22" s="101">
        <f>COUNTIF('Min rate concentrations'!G$3:G$368, "&gt;"&amp;inputs!E114)</f>
        <v>0</v>
      </c>
      <c r="H22" s="101">
        <f>COUNTIF('Min rate concentrations'!H$3:H$368, "&gt;"&amp;inputs!E114)</f>
        <v>14</v>
      </c>
      <c r="I22" s="101">
        <f>COUNTIF('Min rate concentrations'!I$3:I$368, "&gt;"&amp;inputs!E114)</f>
        <v>7</v>
      </c>
      <c r="J22" s="101">
        <f>COUNTIF('Min rate concentrations'!J$3:J$368, "&gt;"&amp;inputs!E114)</f>
        <v>21</v>
      </c>
      <c r="K22" s="101">
        <f>COUNTIF('Min rate concentrations'!K$3:K$368, "&gt;"&amp;inputs!E114)</f>
        <v>7</v>
      </c>
      <c r="L22" s="101">
        <f>COUNTIF('Min rate concentrations'!L$3:L$368, "&gt;"&amp;inputs!E114)</f>
        <v>17</v>
      </c>
      <c r="M22" s="101">
        <f>COUNTIF('Min rate concentrations'!M$3:M$368, "&gt;"&amp;inputs!E114)</f>
        <v>0</v>
      </c>
      <c r="N22" s="101" t="s">
        <v>13</v>
      </c>
    </row>
    <row r="23" spans="1:14" x14ac:dyDescent="0.3">
      <c r="A23" s="41"/>
      <c r="B23" s="61" t="s">
        <v>62</v>
      </c>
      <c r="C23" s="61" t="s">
        <v>84</v>
      </c>
      <c r="D23" s="101">
        <f>COUNTIF('Min rate concentrations'!D$3:D$368, "&gt;"&amp;inputs!E115)</f>
        <v>16</v>
      </c>
      <c r="E23" s="101">
        <f>COUNTIF('Min rate concentrations'!E$3:E$368, "&gt;"&amp;inputs!E115)</f>
        <v>10</v>
      </c>
      <c r="F23" s="101">
        <f>COUNTIF('Min rate concentrations'!F$3:F$368, "&gt;"&amp;inputs!E115)</f>
        <v>11</v>
      </c>
      <c r="G23" s="101">
        <f>COUNTIF('Min rate concentrations'!G$3:G$368, "&gt;"&amp;inputs!E115)</f>
        <v>0</v>
      </c>
      <c r="H23" s="101">
        <f>COUNTIF('Min rate concentrations'!H$3:H$368, "&gt;"&amp;inputs!E115)</f>
        <v>9</v>
      </c>
      <c r="I23" s="101">
        <f>COUNTIF('Min rate concentrations'!I$3:I$368, "&gt;"&amp;inputs!E115)</f>
        <v>0</v>
      </c>
      <c r="J23" s="101">
        <f>COUNTIF('Min rate concentrations'!J$3:J$368, "&gt;"&amp;inputs!E115)</f>
        <v>16</v>
      </c>
      <c r="K23" s="101">
        <f>COUNTIF('Min rate concentrations'!K$3:K$368, "&gt;"&amp;inputs!E115)</f>
        <v>2</v>
      </c>
      <c r="L23" s="101">
        <f>COUNTIF('Min rate concentrations'!L$3:L$368, "&gt;"&amp;inputs!E115)</f>
        <v>12</v>
      </c>
      <c r="M23" s="101">
        <f>COUNTIF('Min rate concentrations'!M$3:M$368, "&gt;"&amp;inputs!E115)</f>
        <v>0</v>
      </c>
      <c r="N23" s="101" t="s">
        <v>13</v>
      </c>
    </row>
    <row r="24" spans="1:14" x14ac:dyDescent="0.3">
      <c r="A24" s="41"/>
      <c r="B24" s="61" t="s">
        <v>62</v>
      </c>
      <c r="C24" s="61" t="s">
        <v>85</v>
      </c>
      <c r="D24" s="101">
        <f>COUNTIF('Min rate concentrations'!D$3:D$368, "&gt;"&amp;inputs!E116)</f>
        <v>10</v>
      </c>
      <c r="E24" s="101">
        <f>COUNTIF('Min rate concentrations'!E$3:E$368, "&gt;"&amp;inputs!E116)</f>
        <v>4</v>
      </c>
      <c r="F24" s="101">
        <f>COUNTIF('Min rate concentrations'!F$3:F$368, "&gt;"&amp;inputs!E116)</f>
        <v>6</v>
      </c>
      <c r="G24" s="101">
        <f>COUNTIF('Min rate concentrations'!G$3:G$368, "&gt;"&amp;inputs!E116)</f>
        <v>0</v>
      </c>
      <c r="H24" s="101">
        <f>COUNTIF('Min rate concentrations'!H$3:H$368, "&gt;"&amp;inputs!E116)</f>
        <v>3</v>
      </c>
      <c r="I24" s="101">
        <f>COUNTIF('Min rate concentrations'!I$3:I$368, "&gt;"&amp;inputs!E116)</f>
        <v>0</v>
      </c>
      <c r="J24" s="101">
        <f>COUNTIF('Min rate concentrations'!J$3:J$368, "&gt;"&amp;inputs!E116)</f>
        <v>10</v>
      </c>
      <c r="K24" s="101">
        <f>COUNTIF('Min rate concentrations'!K$3:K$368, "&gt;"&amp;inputs!E116)</f>
        <v>0</v>
      </c>
      <c r="L24" s="101">
        <f>COUNTIF('Min rate concentrations'!L$3:L$368, "&gt;"&amp;inputs!E116)</f>
        <v>6</v>
      </c>
      <c r="M24" s="101">
        <f>COUNTIF('Min rate concentrations'!M$3:M$368, "&gt;"&amp;inputs!E116)</f>
        <v>0</v>
      </c>
      <c r="N24" s="101" t="s">
        <v>13</v>
      </c>
    </row>
    <row r="25" spans="1:14" x14ac:dyDescent="0.3">
      <c r="A25" s="41"/>
      <c r="B25" s="61" t="s">
        <v>62</v>
      </c>
      <c r="C25" s="61" t="s">
        <v>86</v>
      </c>
      <c r="D25" s="101">
        <f>COUNTIF('Min rate concentrations'!D$3:D$368, "&gt;"&amp;inputs!E117)</f>
        <v>7</v>
      </c>
      <c r="E25" s="101">
        <f>COUNTIF('Min rate concentrations'!E$3:E$368, "&gt;"&amp;inputs!E117)</f>
        <v>1</v>
      </c>
      <c r="F25" s="101">
        <f>COUNTIF('Min rate concentrations'!F$3:F$368, "&gt;"&amp;inputs!E117)</f>
        <v>3</v>
      </c>
      <c r="G25" s="101">
        <f>COUNTIF('Min rate concentrations'!G$3:G$368, "&gt;"&amp;inputs!E117)</f>
        <v>0</v>
      </c>
      <c r="H25" s="101">
        <f>COUNTIF('Min rate concentrations'!H$3:H$368, "&gt;"&amp;inputs!E117)</f>
        <v>0</v>
      </c>
      <c r="I25" s="101">
        <f>COUNTIF('Min rate concentrations'!I$3:I$368, "&gt;"&amp;inputs!E117)</f>
        <v>0</v>
      </c>
      <c r="J25" s="101">
        <f>COUNTIF('Min rate concentrations'!J$3:J$368, "&gt;"&amp;inputs!E117)</f>
        <v>8</v>
      </c>
      <c r="K25" s="101">
        <f>COUNTIF('Min rate concentrations'!K$3:K$368, "&gt;"&amp;inputs!E117)</f>
        <v>0</v>
      </c>
      <c r="L25" s="101">
        <f>COUNTIF('Min rate concentrations'!L$3:L$368, "&gt;"&amp;inputs!E117)</f>
        <v>3</v>
      </c>
      <c r="M25" s="101">
        <f>COUNTIF('Min rate concentrations'!M$3:M$368, "&gt;"&amp;inputs!E117)</f>
        <v>0</v>
      </c>
      <c r="N25" s="101" t="s">
        <v>13</v>
      </c>
    </row>
    <row r="26" spans="1:14" x14ac:dyDescent="0.3">
      <c r="A26" s="41"/>
      <c r="B26" s="61" t="s">
        <v>62</v>
      </c>
      <c r="C26" s="61" t="s">
        <v>87</v>
      </c>
      <c r="D26" s="101">
        <f>COUNTIF('Min rate concentrations'!D$3:D$368, "&gt;"&amp;inputs!E118)</f>
        <v>0</v>
      </c>
      <c r="E26" s="101">
        <f>COUNTIF('Min rate concentrations'!E$3:E$368, "&gt;"&amp;inputs!E118)</f>
        <v>0</v>
      </c>
      <c r="F26" s="101">
        <f>COUNTIF('Min rate concentrations'!F$3:F$368, "&gt;"&amp;inputs!E118)</f>
        <v>0</v>
      </c>
      <c r="G26" s="101">
        <f>COUNTIF('Min rate concentrations'!G$3:G$368, "&gt;"&amp;inputs!E118)</f>
        <v>0</v>
      </c>
      <c r="H26" s="101">
        <f>COUNTIF('Min rate concentrations'!H$3:H$368, "&gt;"&amp;inputs!E118)</f>
        <v>0</v>
      </c>
      <c r="I26" s="101">
        <f>COUNTIF('Min rate concentrations'!I$3:I$368, "&gt;"&amp;inputs!E118)</f>
        <v>0</v>
      </c>
      <c r="J26" s="101">
        <f>COUNTIF('Min rate concentrations'!J$3:J$368, "&gt;"&amp;inputs!E118)</f>
        <v>0</v>
      </c>
      <c r="K26" s="101">
        <f>COUNTIF('Min rate concentrations'!K$3:K$368, "&gt;"&amp;inputs!E118)</f>
        <v>0</v>
      </c>
      <c r="L26" s="101">
        <f>COUNTIF('Min rate concentrations'!L$3:L$368, "&gt;"&amp;inputs!E118)</f>
        <v>0</v>
      </c>
      <c r="M26" s="101">
        <f>COUNTIF('Min rate concentrations'!M$3:M$368, "&gt;"&amp;inputs!E118)</f>
        <v>0</v>
      </c>
      <c r="N26" s="101" t="s">
        <v>13</v>
      </c>
    </row>
    <row r="27" spans="1:14" x14ac:dyDescent="0.3">
      <c r="A27" s="41"/>
      <c r="B27" s="61" t="s">
        <v>62</v>
      </c>
      <c r="C27" s="61" t="s">
        <v>88</v>
      </c>
      <c r="D27" s="101">
        <f>COUNTIF('Min rate concentrations'!D$3:D$368, "&gt;"&amp;inputs!E119)</f>
        <v>0</v>
      </c>
      <c r="E27" s="101">
        <f>COUNTIF('Min rate concentrations'!E$3:E$368, "&gt;"&amp;inputs!E119)</f>
        <v>0</v>
      </c>
      <c r="F27" s="101">
        <f>COUNTIF('Min rate concentrations'!F$3:F$368, "&gt;"&amp;inputs!E119)</f>
        <v>0</v>
      </c>
      <c r="G27" s="101">
        <f>COUNTIF('Min rate concentrations'!G$3:G$368, "&gt;"&amp;inputs!E119)</f>
        <v>0</v>
      </c>
      <c r="H27" s="101">
        <f>COUNTIF('Min rate concentrations'!H$3:H$368, "&gt;"&amp;inputs!E119)</f>
        <v>0</v>
      </c>
      <c r="I27" s="101">
        <f>COUNTIF('Min rate concentrations'!I$3:I$368, "&gt;"&amp;inputs!E119)</f>
        <v>0</v>
      </c>
      <c r="J27" s="101">
        <f>COUNTIF('Min rate concentrations'!J$3:J$368, "&gt;"&amp;inputs!E119)</f>
        <v>0</v>
      </c>
      <c r="K27" s="101">
        <f>COUNTIF('Min rate concentrations'!K$3:K$368, "&gt;"&amp;inputs!E119)</f>
        <v>0</v>
      </c>
      <c r="L27" s="101">
        <f>COUNTIF('Min rate concentrations'!L$3:L$368, "&gt;"&amp;inputs!E119)</f>
        <v>0</v>
      </c>
      <c r="M27" s="101">
        <f>COUNTIF('Min rate concentrations'!M$3:M$368, "&gt;"&amp;inputs!E119)</f>
        <v>0</v>
      </c>
      <c r="N27" s="101" t="s">
        <v>13</v>
      </c>
    </row>
    <row r="28" spans="1:14" x14ac:dyDescent="0.3">
      <c r="A28" s="39"/>
      <c r="B28" s="22" t="s">
        <v>64</v>
      </c>
      <c r="C28" s="22" t="s">
        <v>71</v>
      </c>
      <c r="D28" s="101">
        <f>COUNTIF('Min rate concentrations'!D$3:D$368, "&gt;"&amp;inputs!E120)</f>
        <v>27</v>
      </c>
      <c r="E28" s="101">
        <f>COUNTIF('Min rate concentrations'!E$3:E$368, "&gt;"&amp;inputs!E120)</f>
        <v>21</v>
      </c>
      <c r="F28" s="101">
        <f>COUNTIF('Min rate concentrations'!F$3:F$368, "&gt;"&amp;inputs!E120)</f>
        <v>22</v>
      </c>
      <c r="G28" s="101">
        <f>COUNTIF('Min rate concentrations'!G$3:G$368, "&gt;"&amp;inputs!E120)</f>
        <v>5</v>
      </c>
      <c r="H28" s="101">
        <f>COUNTIF('Min rate concentrations'!H$3:H$368, "&gt;"&amp;inputs!E120)</f>
        <v>19</v>
      </c>
      <c r="I28" s="101">
        <f>COUNTIF('Min rate concentrations'!I$3:I$368, "&gt;"&amp;inputs!E120)</f>
        <v>43</v>
      </c>
      <c r="J28" s="101">
        <f>COUNTIF('Min rate concentrations'!J$3:J$368, "&gt;"&amp;inputs!E120)</f>
        <v>27</v>
      </c>
      <c r="K28" s="101">
        <f>COUNTIF('Min rate concentrations'!K$3:K$368, "&gt;"&amp;inputs!E120)</f>
        <v>13</v>
      </c>
      <c r="L28" s="101">
        <f>COUNTIF('Min rate concentrations'!L$3:L$368, "&gt;"&amp;inputs!E120)</f>
        <v>22</v>
      </c>
      <c r="M28" s="101">
        <f>COUNTIF('Min rate concentrations'!M$3:M$368, "&gt;"&amp;inputs!E120)</f>
        <v>0</v>
      </c>
      <c r="N28" s="101" t="s">
        <v>13</v>
      </c>
    </row>
    <row r="29" spans="1:14" x14ac:dyDescent="0.3">
      <c r="A29" s="40" t="s">
        <v>706</v>
      </c>
      <c r="B29" s="22" t="s">
        <v>62</v>
      </c>
      <c r="C29" s="22" t="s">
        <v>63</v>
      </c>
      <c r="D29" s="101">
        <f>COUNTIF('Min rate concentrations'!D$3:D$368, "&gt;"&amp;inputs!E121)</f>
        <v>30</v>
      </c>
      <c r="E29" s="101">
        <f>COUNTIF('Min rate concentrations'!E$3:E$368, "&gt;"&amp;inputs!E121)</f>
        <v>24</v>
      </c>
      <c r="F29" s="101">
        <f>COUNTIF('Min rate concentrations'!F$3:F$368, "&gt;"&amp;inputs!E121)</f>
        <v>26</v>
      </c>
      <c r="G29" s="101">
        <f>COUNTIF('Min rate concentrations'!G$3:G$368, "&gt;"&amp;inputs!E121)</f>
        <v>9</v>
      </c>
      <c r="H29" s="101">
        <f>COUNTIF('Min rate concentrations'!H$3:H$368, "&gt;"&amp;inputs!E121)</f>
        <v>23</v>
      </c>
      <c r="I29" s="101">
        <f>COUNTIF('Min rate concentrations'!I$3:I$368, "&gt;"&amp;inputs!E121)</f>
        <v>66</v>
      </c>
      <c r="J29" s="101">
        <f>COUNTIF('Min rate concentrations'!J$3:J$368, "&gt;"&amp;inputs!E121)</f>
        <v>31</v>
      </c>
      <c r="K29" s="101">
        <f>COUNTIF('Min rate concentrations'!K$3:K$368, "&gt;"&amp;inputs!E121)</f>
        <v>17</v>
      </c>
      <c r="L29" s="101">
        <f>COUNTIF('Min rate concentrations'!L$3:L$368, "&gt;"&amp;inputs!E121)</f>
        <v>26</v>
      </c>
      <c r="M29" s="101">
        <f>COUNTIF('Min rate concentrations'!M$3:M$368, "&gt;"&amp;inputs!E121)</f>
        <v>3</v>
      </c>
      <c r="N29" s="101" t="s">
        <v>13</v>
      </c>
    </row>
    <row r="30" spans="1:14" x14ac:dyDescent="0.3">
      <c r="A30" s="41" t="s">
        <v>78</v>
      </c>
      <c r="B30" s="22" t="s">
        <v>64</v>
      </c>
      <c r="C30" s="22" t="s">
        <v>65</v>
      </c>
      <c r="D30" s="101">
        <f>COUNTIF('Min rate concentrations'!D$3:D$368, "&gt;"&amp;inputs!E122)</f>
        <v>15</v>
      </c>
      <c r="E30" s="101">
        <f>COUNTIF('Min rate concentrations'!E$3:E$368, "&gt;"&amp;inputs!E122)</f>
        <v>9</v>
      </c>
      <c r="F30" s="101">
        <f>COUNTIF('Min rate concentrations'!F$3:F$368, "&gt;"&amp;inputs!E122)</f>
        <v>11</v>
      </c>
      <c r="G30" s="101">
        <f>COUNTIF('Min rate concentrations'!G$3:G$368, "&gt;"&amp;inputs!E122)</f>
        <v>0</v>
      </c>
      <c r="H30" s="101">
        <f>COUNTIF('Min rate concentrations'!H$3:H$368, "&gt;"&amp;inputs!E122)</f>
        <v>8</v>
      </c>
      <c r="I30" s="101">
        <f>COUNTIF('Min rate concentrations'!I$3:I$368, "&gt;"&amp;inputs!E122)</f>
        <v>0</v>
      </c>
      <c r="J30" s="101">
        <f>COUNTIF('Min rate concentrations'!J$3:J$368, "&gt;"&amp;inputs!E122)</f>
        <v>16</v>
      </c>
      <c r="K30" s="101">
        <f>COUNTIF('Min rate concentrations'!K$3:K$368, "&gt;"&amp;inputs!E122)</f>
        <v>1</v>
      </c>
      <c r="L30" s="101">
        <f>COUNTIF('Min rate concentrations'!L$3:L$368, "&gt;"&amp;inputs!E122)</f>
        <v>11</v>
      </c>
      <c r="M30" s="101">
        <f>COUNTIF('Min rate concentrations'!M$3:M$368, "&gt;"&amp;inputs!E122)</f>
        <v>0</v>
      </c>
      <c r="N30" s="101" t="s">
        <v>13</v>
      </c>
    </row>
    <row r="31" spans="1:14" x14ac:dyDescent="0.3">
      <c r="A31" s="41"/>
      <c r="B31" s="22" t="s">
        <v>66</v>
      </c>
      <c r="C31" s="22" t="s">
        <v>80</v>
      </c>
      <c r="D31" s="101">
        <f>COUNTIF('Min rate concentrations'!D$3:D$368, "&gt;"&amp;inputs!E123)</f>
        <v>9</v>
      </c>
      <c r="E31" s="101">
        <f>COUNTIF('Min rate concentrations'!E$3:E$368, "&gt;"&amp;inputs!E123)</f>
        <v>3</v>
      </c>
      <c r="F31" s="101">
        <f>COUNTIF('Min rate concentrations'!F$3:F$368, "&gt;"&amp;inputs!E123)</f>
        <v>5</v>
      </c>
      <c r="G31" s="101">
        <f>COUNTIF('Min rate concentrations'!G$3:G$368, "&gt;"&amp;inputs!E123)</f>
        <v>0</v>
      </c>
      <c r="H31" s="101">
        <f>COUNTIF('Min rate concentrations'!H$3:H$368, "&gt;"&amp;inputs!E123)</f>
        <v>2</v>
      </c>
      <c r="I31" s="101">
        <f>COUNTIF('Min rate concentrations'!I$3:I$368, "&gt;"&amp;inputs!E123)</f>
        <v>0</v>
      </c>
      <c r="J31" s="101">
        <f>COUNTIF('Min rate concentrations'!J$3:J$368, "&gt;"&amp;inputs!E123)</f>
        <v>10</v>
      </c>
      <c r="K31" s="101">
        <f>COUNTIF('Min rate concentrations'!K$3:K$368, "&gt;"&amp;inputs!E123)</f>
        <v>0</v>
      </c>
      <c r="L31" s="101">
        <f>COUNTIF('Min rate concentrations'!L$3:L$368, "&gt;"&amp;inputs!E123)</f>
        <v>5</v>
      </c>
      <c r="M31" s="101">
        <f>COUNTIF('Min rate concentrations'!M$3:M$368, "&gt;"&amp;inputs!E123)</f>
        <v>0</v>
      </c>
      <c r="N31" s="101" t="s">
        <v>13</v>
      </c>
    </row>
    <row r="32" spans="1:14" x14ac:dyDescent="0.3">
      <c r="A32" s="41"/>
      <c r="B32" s="22" t="s">
        <v>62</v>
      </c>
      <c r="C32" s="22" t="s">
        <v>71</v>
      </c>
      <c r="D32" s="101">
        <f>COUNTIF('Min rate concentrations'!D$3:D$368, "&gt;"&amp;inputs!E124)</f>
        <v>27</v>
      </c>
      <c r="E32" s="101">
        <f>COUNTIF('Min rate concentrations'!E$3:E$368, "&gt;"&amp;inputs!E124)</f>
        <v>21</v>
      </c>
      <c r="F32" s="101">
        <f>COUNTIF('Min rate concentrations'!F$3:F$368, "&gt;"&amp;inputs!E124)</f>
        <v>22</v>
      </c>
      <c r="G32" s="101">
        <f>COUNTIF('Min rate concentrations'!G$3:G$368, "&gt;"&amp;inputs!E124)</f>
        <v>5</v>
      </c>
      <c r="H32" s="101">
        <f>COUNTIF('Min rate concentrations'!H$3:H$368, "&gt;"&amp;inputs!E124)</f>
        <v>19</v>
      </c>
      <c r="I32" s="101">
        <f>COUNTIF('Min rate concentrations'!I$3:I$368, "&gt;"&amp;inputs!E124)</f>
        <v>43</v>
      </c>
      <c r="J32" s="101">
        <f>COUNTIF('Min rate concentrations'!J$3:J$368, "&gt;"&amp;inputs!E124)</f>
        <v>27</v>
      </c>
      <c r="K32" s="101">
        <f>COUNTIF('Min rate concentrations'!K$3:K$368, "&gt;"&amp;inputs!E124)</f>
        <v>13</v>
      </c>
      <c r="L32" s="101">
        <f>COUNTIF('Min rate concentrations'!L$3:L$368, "&gt;"&amp;inputs!E124)</f>
        <v>22</v>
      </c>
      <c r="M32" s="101">
        <f>COUNTIF('Min rate concentrations'!M$3:M$368, "&gt;"&amp;inputs!E124)</f>
        <v>0</v>
      </c>
      <c r="N32" s="101" t="s">
        <v>13</v>
      </c>
    </row>
    <row r="33" spans="1:14" x14ac:dyDescent="0.3">
      <c r="A33" s="41"/>
      <c r="B33" s="61" t="s">
        <v>62</v>
      </c>
      <c r="C33" s="61" t="s">
        <v>81</v>
      </c>
      <c r="D33" s="101">
        <f>COUNTIF('Min rate concentrations'!D$3:D$368, "&gt;"&amp;inputs!E125)</f>
        <v>21</v>
      </c>
      <c r="E33" s="101">
        <f>COUNTIF('Min rate concentrations'!E$3:E$368, "&gt;"&amp;inputs!E125)</f>
        <v>15</v>
      </c>
      <c r="F33" s="101">
        <f>COUNTIF('Min rate concentrations'!F$3:F$368, "&gt;"&amp;inputs!E125)</f>
        <v>17</v>
      </c>
      <c r="G33" s="101">
        <f>COUNTIF('Min rate concentrations'!G$3:G$368, "&gt;"&amp;inputs!E125)</f>
        <v>0</v>
      </c>
      <c r="H33" s="101">
        <f>COUNTIF('Min rate concentrations'!H$3:H$368, "&gt;"&amp;inputs!E125)</f>
        <v>14</v>
      </c>
      <c r="I33" s="101">
        <f>COUNTIF('Min rate concentrations'!I$3:I$368, "&gt;"&amp;inputs!E125)</f>
        <v>7</v>
      </c>
      <c r="J33" s="101">
        <f>COUNTIF('Min rate concentrations'!J$3:J$368, "&gt;"&amp;inputs!E125)</f>
        <v>21</v>
      </c>
      <c r="K33" s="101">
        <f>COUNTIF('Min rate concentrations'!K$3:K$368, "&gt;"&amp;inputs!E125)</f>
        <v>7</v>
      </c>
      <c r="L33" s="101">
        <f>COUNTIF('Min rate concentrations'!L$3:L$368, "&gt;"&amp;inputs!E125)</f>
        <v>17</v>
      </c>
      <c r="M33" s="101">
        <f>COUNTIF('Min rate concentrations'!M$3:M$368, "&gt;"&amp;inputs!E125)</f>
        <v>0</v>
      </c>
      <c r="N33" s="101" t="s">
        <v>13</v>
      </c>
    </row>
    <row r="34" spans="1:14" x14ac:dyDescent="0.3">
      <c r="A34" s="41"/>
      <c r="B34" s="61" t="s">
        <v>62</v>
      </c>
      <c r="C34" s="61" t="s">
        <v>82</v>
      </c>
      <c r="D34" s="101">
        <f>COUNTIF('Min rate concentrations'!D$3:D$368, "&gt;"&amp;inputs!E126)</f>
        <v>16</v>
      </c>
      <c r="E34" s="101">
        <f>COUNTIF('Min rate concentrations'!E$3:E$368, "&gt;"&amp;inputs!E126)</f>
        <v>10</v>
      </c>
      <c r="F34" s="101">
        <f>COUNTIF('Min rate concentrations'!F$3:F$368, "&gt;"&amp;inputs!E126)</f>
        <v>11</v>
      </c>
      <c r="G34" s="101">
        <f>COUNTIF('Min rate concentrations'!G$3:G$368, "&gt;"&amp;inputs!E126)</f>
        <v>0</v>
      </c>
      <c r="H34" s="101">
        <f>COUNTIF('Min rate concentrations'!H$3:H$368, "&gt;"&amp;inputs!E126)</f>
        <v>9</v>
      </c>
      <c r="I34" s="101">
        <f>COUNTIF('Min rate concentrations'!I$3:I$368, "&gt;"&amp;inputs!E126)</f>
        <v>0</v>
      </c>
      <c r="J34" s="101">
        <f>COUNTIF('Min rate concentrations'!J$3:J$368, "&gt;"&amp;inputs!E126)</f>
        <v>16</v>
      </c>
      <c r="K34" s="101">
        <f>COUNTIF('Min rate concentrations'!K$3:K$368, "&gt;"&amp;inputs!E126)</f>
        <v>2</v>
      </c>
      <c r="L34" s="101">
        <f>COUNTIF('Min rate concentrations'!L$3:L$368, "&gt;"&amp;inputs!E126)</f>
        <v>12</v>
      </c>
      <c r="M34" s="101">
        <f>COUNTIF('Min rate concentrations'!M$3:M$368, "&gt;"&amp;inputs!E126)</f>
        <v>0</v>
      </c>
      <c r="N34" s="101" t="s">
        <v>13</v>
      </c>
    </row>
    <row r="35" spans="1:14" x14ac:dyDescent="0.3">
      <c r="A35" s="41"/>
      <c r="B35" s="61" t="s">
        <v>62</v>
      </c>
      <c r="C35" s="61" t="s">
        <v>83</v>
      </c>
      <c r="D35" s="101">
        <f>COUNTIF('Min rate concentrations'!D$3:D$368, "&gt;"&amp;inputs!E127)</f>
        <v>21</v>
      </c>
      <c r="E35" s="101">
        <f>COUNTIF('Min rate concentrations'!E$3:E$368, "&gt;"&amp;inputs!E127)</f>
        <v>15</v>
      </c>
      <c r="F35" s="101">
        <f>COUNTIF('Min rate concentrations'!F$3:F$368, "&gt;"&amp;inputs!E127)</f>
        <v>17</v>
      </c>
      <c r="G35" s="101">
        <f>COUNTIF('Min rate concentrations'!G$3:G$368, "&gt;"&amp;inputs!E127)</f>
        <v>0</v>
      </c>
      <c r="H35" s="101">
        <f>COUNTIF('Min rate concentrations'!H$3:H$368, "&gt;"&amp;inputs!E127)</f>
        <v>14</v>
      </c>
      <c r="I35" s="101">
        <f>COUNTIF('Min rate concentrations'!I$3:I$368, "&gt;"&amp;inputs!E127)</f>
        <v>7</v>
      </c>
      <c r="J35" s="101">
        <f>COUNTIF('Min rate concentrations'!J$3:J$368, "&gt;"&amp;inputs!E127)</f>
        <v>21</v>
      </c>
      <c r="K35" s="101">
        <f>COUNTIF('Min rate concentrations'!K$3:K$368, "&gt;"&amp;inputs!E127)</f>
        <v>7</v>
      </c>
      <c r="L35" s="101">
        <f>COUNTIF('Min rate concentrations'!L$3:L$368, "&gt;"&amp;inputs!E127)</f>
        <v>17</v>
      </c>
      <c r="M35" s="101">
        <f>COUNTIF('Min rate concentrations'!M$3:M$368, "&gt;"&amp;inputs!E127)</f>
        <v>0</v>
      </c>
      <c r="N35" s="101" t="s">
        <v>13</v>
      </c>
    </row>
    <row r="36" spans="1:14" x14ac:dyDescent="0.3">
      <c r="A36" s="41"/>
      <c r="B36" s="61" t="s">
        <v>62</v>
      </c>
      <c r="C36" s="61" t="s">
        <v>84</v>
      </c>
      <c r="D36" s="101">
        <f>COUNTIF('Min rate concentrations'!D$3:D$368, "&gt;"&amp;inputs!E128)</f>
        <v>16</v>
      </c>
      <c r="E36" s="101">
        <f>COUNTIF('Min rate concentrations'!E$3:E$368, "&gt;"&amp;inputs!E128)</f>
        <v>10</v>
      </c>
      <c r="F36" s="101">
        <f>COUNTIF('Min rate concentrations'!F$3:F$368, "&gt;"&amp;inputs!E128)</f>
        <v>11</v>
      </c>
      <c r="G36" s="101">
        <f>COUNTIF('Min rate concentrations'!G$3:G$368, "&gt;"&amp;inputs!E128)</f>
        <v>0</v>
      </c>
      <c r="H36" s="101">
        <f>COUNTIF('Min rate concentrations'!H$3:H$368, "&gt;"&amp;inputs!E128)</f>
        <v>9</v>
      </c>
      <c r="I36" s="101">
        <f>COUNTIF('Min rate concentrations'!I$3:I$368, "&gt;"&amp;inputs!E128)</f>
        <v>0</v>
      </c>
      <c r="J36" s="101">
        <f>COUNTIF('Min rate concentrations'!J$3:J$368, "&gt;"&amp;inputs!E128)</f>
        <v>16</v>
      </c>
      <c r="K36" s="101">
        <f>COUNTIF('Min rate concentrations'!K$3:K$368, "&gt;"&amp;inputs!E128)</f>
        <v>2</v>
      </c>
      <c r="L36" s="101">
        <f>COUNTIF('Min rate concentrations'!L$3:L$368, "&gt;"&amp;inputs!E128)</f>
        <v>12</v>
      </c>
      <c r="M36" s="101">
        <f>COUNTIF('Min rate concentrations'!M$3:M$368, "&gt;"&amp;inputs!E128)</f>
        <v>0</v>
      </c>
      <c r="N36" s="101" t="s">
        <v>13</v>
      </c>
    </row>
    <row r="37" spans="1:14" x14ac:dyDescent="0.3">
      <c r="A37" s="41"/>
      <c r="B37" s="61" t="s">
        <v>62</v>
      </c>
      <c r="C37" s="61" t="s">
        <v>85</v>
      </c>
      <c r="D37" s="101">
        <f>COUNTIF('Min rate concentrations'!D$3:D$368, "&gt;"&amp;inputs!E129)</f>
        <v>27</v>
      </c>
      <c r="E37" s="101">
        <f>COUNTIF('Min rate concentrations'!E$3:E$368, "&gt;"&amp;inputs!E129)</f>
        <v>21</v>
      </c>
      <c r="F37" s="101">
        <f>COUNTIF('Min rate concentrations'!F$3:F$368, "&gt;"&amp;inputs!E129)</f>
        <v>22</v>
      </c>
      <c r="G37" s="101">
        <f>COUNTIF('Min rate concentrations'!G$3:G$368, "&gt;"&amp;inputs!E129)</f>
        <v>5</v>
      </c>
      <c r="H37" s="101">
        <f>COUNTIF('Min rate concentrations'!H$3:H$368, "&gt;"&amp;inputs!E129)</f>
        <v>19</v>
      </c>
      <c r="I37" s="101">
        <f>COUNTIF('Min rate concentrations'!I$3:I$368, "&gt;"&amp;inputs!E129)</f>
        <v>43</v>
      </c>
      <c r="J37" s="101">
        <f>COUNTIF('Min rate concentrations'!J$3:J$368, "&gt;"&amp;inputs!E129)</f>
        <v>27</v>
      </c>
      <c r="K37" s="101">
        <f>COUNTIF('Min rate concentrations'!K$3:K$368, "&gt;"&amp;inputs!E129)</f>
        <v>13</v>
      </c>
      <c r="L37" s="101">
        <f>COUNTIF('Min rate concentrations'!L$3:L$368, "&gt;"&amp;inputs!E129)</f>
        <v>22</v>
      </c>
      <c r="M37" s="101">
        <f>COUNTIF('Min rate concentrations'!M$3:M$368, "&gt;"&amp;inputs!E129)</f>
        <v>0</v>
      </c>
      <c r="N37" s="101" t="s">
        <v>13</v>
      </c>
    </row>
    <row r="38" spans="1:14" x14ac:dyDescent="0.3">
      <c r="A38" s="41"/>
      <c r="B38" s="61" t="s">
        <v>62</v>
      </c>
      <c r="C38" s="61" t="s">
        <v>86</v>
      </c>
      <c r="D38" s="101">
        <f>COUNTIF('Min rate concentrations'!D$3:D$368, "&gt;"&amp;inputs!E130)</f>
        <v>27</v>
      </c>
      <c r="E38" s="101">
        <f>COUNTIF('Min rate concentrations'!E$3:E$368, "&gt;"&amp;inputs!E130)</f>
        <v>21</v>
      </c>
      <c r="F38" s="101">
        <f>COUNTIF('Min rate concentrations'!F$3:F$368, "&gt;"&amp;inputs!E130)</f>
        <v>22</v>
      </c>
      <c r="G38" s="101">
        <f>COUNTIF('Min rate concentrations'!G$3:G$368, "&gt;"&amp;inputs!E130)</f>
        <v>5</v>
      </c>
      <c r="H38" s="101">
        <f>COUNTIF('Min rate concentrations'!H$3:H$368, "&gt;"&amp;inputs!E130)</f>
        <v>19</v>
      </c>
      <c r="I38" s="101">
        <f>COUNTIF('Min rate concentrations'!I$3:I$368, "&gt;"&amp;inputs!E130)</f>
        <v>43</v>
      </c>
      <c r="J38" s="101">
        <f>COUNTIF('Min rate concentrations'!J$3:J$368, "&gt;"&amp;inputs!E130)</f>
        <v>27</v>
      </c>
      <c r="K38" s="101">
        <f>COUNTIF('Min rate concentrations'!K$3:K$368, "&gt;"&amp;inputs!E130)</f>
        <v>13</v>
      </c>
      <c r="L38" s="101">
        <f>COUNTIF('Min rate concentrations'!L$3:L$368, "&gt;"&amp;inputs!E130)</f>
        <v>22</v>
      </c>
      <c r="M38" s="101">
        <f>COUNTIF('Min rate concentrations'!M$3:M$368, "&gt;"&amp;inputs!E130)</f>
        <v>0</v>
      </c>
      <c r="N38" s="101" t="s">
        <v>13</v>
      </c>
    </row>
    <row r="39" spans="1:14" x14ac:dyDescent="0.3">
      <c r="A39" s="41"/>
      <c r="B39" s="61" t="s">
        <v>62</v>
      </c>
      <c r="C39" s="61" t="s">
        <v>87</v>
      </c>
      <c r="D39" s="101">
        <f>COUNTIF('Min rate concentrations'!D$3:D$368, "&gt;"&amp;inputs!E131)</f>
        <v>0</v>
      </c>
      <c r="E39" s="101">
        <f>COUNTIF('Min rate concentrations'!E$3:E$368, "&gt;"&amp;inputs!E131)</f>
        <v>0</v>
      </c>
      <c r="F39" s="101">
        <f>COUNTIF('Min rate concentrations'!F$3:F$368, "&gt;"&amp;inputs!E131)</f>
        <v>0</v>
      </c>
      <c r="G39" s="101">
        <f>COUNTIF('Min rate concentrations'!G$3:G$368, "&gt;"&amp;inputs!E131)</f>
        <v>0</v>
      </c>
      <c r="H39" s="101">
        <f>COUNTIF('Min rate concentrations'!H$3:H$368, "&gt;"&amp;inputs!E131)</f>
        <v>0</v>
      </c>
      <c r="I39" s="101">
        <f>COUNTIF('Min rate concentrations'!I$3:I$368, "&gt;"&amp;inputs!E131)</f>
        <v>0</v>
      </c>
      <c r="J39" s="101">
        <f>COUNTIF('Min rate concentrations'!J$3:J$368, "&gt;"&amp;inputs!E131)</f>
        <v>0</v>
      </c>
      <c r="K39" s="101">
        <f>COUNTIF('Min rate concentrations'!K$3:K$368, "&gt;"&amp;inputs!E131)</f>
        <v>0</v>
      </c>
      <c r="L39" s="101">
        <f>COUNTIF('Min rate concentrations'!L$3:L$368, "&gt;"&amp;inputs!E131)</f>
        <v>0</v>
      </c>
      <c r="M39" s="101">
        <f>COUNTIF('Min rate concentrations'!M$3:M$368, "&gt;"&amp;inputs!E131)</f>
        <v>0</v>
      </c>
      <c r="N39" s="101" t="s">
        <v>13</v>
      </c>
    </row>
    <row r="40" spans="1:14" x14ac:dyDescent="0.3">
      <c r="A40" s="41"/>
      <c r="B40" s="61" t="s">
        <v>62</v>
      </c>
      <c r="C40" s="61" t="s">
        <v>88</v>
      </c>
      <c r="D40" s="101">
        <f>COUNTIF('Min rate concentrations'!D$3:D$368, "&gt;"&amp;inputs!E132)</f>
        <v>0</v>
      </c>
      <c r="E40" s="101">
        <f>COUNTIF('Min rate concentrations'!E$3:E$368, "&gt;"&amp;inputs!E132)</f>
        <v>0</v>
      </c>
      <c r="F40" s="101">
        <f>COUNTIF('Min rate concentrations'!F$3:F$368, "&gt;"&amp;inputs!E132)</f>
        <v>0</v>
      </c>
      <c r="G40" s="101">
        <f>COUNTIF('Min rate concentrations'!G$3:G$368, "&gt;"&amp;inputs!E132)</f>
        <v>0</v>
      </c>
      <c r="H40" s="101">
        <f>COUNTIF('Min rate concentrations'!H$3:H$368, "&gt;"&amp;inputs!E132)</f>
        <v>0</v>
      </c>
      <c r="I40" s="101">
        <f>COUNTIF('Min rate concentrations'!I$3:I$368, "&gt;"&amp;inputs!E132)</f>
        <v>0</v>
      </c>
      <c r="J40" s="101">
        <f>COUNTIF('Min rate concentrations'!J$3:J$368, "&gt;"&amp;inputs!E132)</f>
        <v>0</v>
      </c>
      <c r="K40" s="101">
        <f>COUNTIF('Min rate concentrations'!K$3:K$368, "&gt;"&amp;inputs!E132)</f>
        <v>0</v>
      </c>
      <c r="L40" s="101">
        <f>COUNTIF('Min rate concentrations'!L$3:L$368, "&gt;"&amp;inputs!E132)</f>
        <v>0</v>
      </c>
      <c r="M40" s="101">
        <f>COUNTIF('Min rate concentrations'!M$3:M$368, "&gt;"&amp;inputs!E132)</f>
        <v>0</v>
      </c>
      <c r="N40" s="101" t="s">
        <v>13</v>
      </c>
    </row>
    <row r="41" spans="1:14" x14ac:dyDescent="0.3">
      <c r="A41" s="39"/>
      <c r="B41" s="22" t="s">
        <v>64</v>
      </c>
      <c r="C41" s="22" t="s">
        <v>71</v>
      </c>
      <c r="D41" s="101">
        <f>COUNTIF('Min rate concentrations'!D$3:D$368, "&gt;"&amp;inputs!E133)</f>
        <v>27</v>
      </c>
      <c r="E41" s="101">
        <f>COUNTIF('Min rate concentrations'!E$3:E$368, "&gt;"&amp;inputs!E133)</f>
        <v>21</v>
      </c>
      <c r="F41" s="101">
        <f>COUNTIF('Min rate concentrations'!F$3:F$368, "&gt;"&amp;inputs!E133)</f>
        <v>22</v>
      </c>
      <c r="G41" s="101">
        <f>COUNTIF('Min rate concentrations'!G$3:G$368, "&gt;"&amp;inputs!E133)</f>
        <v>5</v>
      </c>
      <c r="H41" s="101">
        <f>COUNTIF('Min rate concentrations'!H$3:H$368, "&gt;"&amp;inputs!E133)</f>
        <v>19</v>
      </c>
      <c r="I41" s="101">
        <f>COUNTIF('Min rate concentrations'!I$3:I$368, "&gt;"&amp;inputs!E133)</f>
        <v>43</v>
      </c>
      <c r="J41" s="101">
        <f>COUNTIF('Min rate concentrations'!J$3:J$368, "&gt;"&amp;inputs!E133)</f>
        <v>27</v>
      </c>
      <c r="K41" s="101">
        <f>COUNTIF('Min rate concentrations'!K$3:K$368, "&gt;"&amp;inputs!E133)</f>
        <v>13</v>
      </c>
      <c r="L41" s="101">
        <f>COUNTIF('Min rate concentrations'!L$3:L$368, "&gt;"&amp;inputs!E133)</f>
        <v>22</v>
      </c>
      <c r="M41" s="101">
        <f>COUNTIF('Min rate concentrations'!M$3:M$368, "&gt;"&amp;inputs!E133)</f>
        <v>0</v>
      </c>
      <c r="N41" s="101" t="s">
        <v>13</v>
      </c>
    </row>
    <row r="42" spans="1:14" x14ac:dyDescent="0.3">
      <c r="A42" s="40" t="s">
        <v>763</v>
      </c>
      <c r="B42" s="22" t="s">
        <v>62</v>
      </c>
      <c r="C42" s="25" t="s">
        <v>63</v>
      </c>
      <c r="D42" s="101">
        <f>COUNTIF('Min rate concentrations'!D$3:D$368, "&gt;"&amp;inputs!E150)</f>
        <v>0</v>
      </c>
      <c r="E42" s="101">
        <f>COUNTIF('Min rate concentrations'!E$3:E$368, "&gt;"&amp;inputs!E150)</f>
        <v>0</v>
      </c>
      <c r="F42" s="101">
        <f>COUNTIF('Min rate concentrations'!F$3:F$368, "&gt;"&amp;inputs!E150)</f>
        <v>0</v>
      </c>
      <c r="G42" s="101">
        <f>COUNTIF('Min rate concentrations'!G$3:G$368, "&gt;"&amp;inputs!E150)</f>
        <v>0</v>
      </c>
      <c r="H42" s="101">
        <f>COUNTIF('Min rate concentrations'!H$3:H$368, "&gt;"&amp;inputs!E137)</f>
        <v>60</v>
      </c>
      <c r="I42" s="101">
        <f>COUNTIF('Min rate concentrations'!I$3:I$368, "&gt;"&amp;inputs!E137)</f>
        <v>303</v>
      </c>
      <c r="J42" s="101" t="s">
        <v>13</v>
      </c>
      <c r="K42" s="101">
        <f>COUNTIF('Min rate concentrations'!K$3:K$368, "&gt;"&amp;inputs!E150)</f>
        <v>0</v>
      </c>
      <c r="L42" s="101" t="s">
        <v>13</v>
      </c>
      <c r="M42" s="101" t="s">
        <v>13</v>
      </c>
      <c r="N42" s="101">
        <f>COUNTIF('Min rate concentrations'!N$3:N$368, "&gt;"&amp;inputs!E163)</f>
        <v>0</v>
      </c>
    </row>
    <row r="43" spans="1:14" x14ac:dyDescent="0.3">
      <c r="A43" s="41"/>
      <c r="B43" s="22" t="s">
        <v>64</v>
      </c>
      <c r="C43" s="25" t="s">
        <v>65</v>
      </c>
      <c r="D43" s="101">
        <f>COUNTIF('Min rate concentrations'!D$3:D$368, "&gt;"&amp;inputs!E151)</f>
        <v>0</v>
      </c>
      <c r="E43" s="101">
        <f>COUNTIF('Min rate concentrations'!E$3:E$368, "&gt;"&amp;inputs!E151)</f>
        <v>0</v>
      </c>
      <c r="F43" s="101">
        <f>COUNTIF('Min rate concentrations'!F$3:F$368, "&gt;"&amp;inputs!E151)</f>
        <v>0</v>
      </c>
      <c r="G43" s="101">
        <f>COUNTIF('Min rate concentrations'!G$3:G$368, "&gt;"&amp;inputs!E151)</f>
        <v>0</v>
      </c>
      <c r="H43" s="101">
        <f>COUNTIF('Min rate concentrations'!H$3:H$368, "&gt;"&amp;inputs!E138)</f>
        <v>49</v>
      </c>
      <c r="I43" s="101">
        <f>COUNTIF('Min rate concentrations'!I$3:I$368, "&gt;"&amp;inputs!E138)</f>
        <v>235</v>
      </c>
      <c r="J43" s="101" t="s">
        <v>13</v>
      </c>
      <c r="K43" s="101">
        <f>COUNTIF('Min rate concentrations'!K$3:K$368, "&gt;"&amp;inputs!E151)</f>
        <v>0</v>
      </c>
      <c r="L43" s="101" t="s">
        <v>13</v>
      </c>
      <c r="M43" s="101" t="s">
        <v>13</v>
      </c>
      <c r="N43" s="101">
        <f>COUNTIF('Min rate concentrations'!N$3:N$368, "&gt;"&amp;inputs!E164)</f>
        <v>0</v>
      </c>
    </row>
    <row r="44" spans="1:14" x14ac:dyDescent="0.3">
      <c r="A44" s="41"/>
      <c r="B44" s="22" t="s">
        <v>66</v>
      </c>
      <c r="C44" s="22" t="s">
        <v>80</v>
      </c>
      <c r="D44" s="101">
        <f>COUNTIF('Min rate concentrations'!D$3:D$368, "&gt;"&amp;inputs!E152)</f>
        <v>0</v>
      </c>
      <c r="E44" s="101">
        <f>COUNTIF('Min rate concentrations'!E$3:E$368, "&gt;"&amp;inputs!E152)</f>
        <v>0</v>
      </c>
      <c r="F44" s="101">
        <f>COUNTIF('Min rate concentrations'!F$3:F$368, "&gt;"&amp;inputs!E152)</f>
        <v>0</v>
      </c>
      <c r="G44" s="101">
        <f>COUNTIF('Min rate concentrations'!G$3:G$368, "&gt;"&amp;inputs!E152)</f>
        <v>0</v>
      </c>
      <c r="H44" s="101">
        <f>COUNTIF('Min rate concentrations'!H$3:H$368, "&gt;"&amp;inputs!E139)</f>
        <v>44</v>
      </c>
      <c r="I44" s="101">
        <f>COUNTIF('Min rate concentrations'!I$3:I$368, "&gt;"&amp;inputs!E139)</f>
        <v>204</v>
      </c>
      <c r="J44" s="101" t="s">
        <v>13</v>
      </c>
      <c r="K44" s="101">
        <f>COUNTIF('Min rate concentrations'!K$3:K$368, "&gt;"&amp;inputs!E152)</f>
        <v>0</v>
      </c>
      <c r="L44" s="101" t="s">
        <v>13</v>
      </c>
      <c r="M44" s="101" t="s">
        <v>13</v>
      </c>
      <c r="N44" s="101">
        <f>COUNTIF('Min rate concentrations'!N$3:N$368, "&gt;"&amp;inputs!E165)</f>
        <v>0</v>
      </c>
    </row>
    <row r="45" spans="1:14" x14ac:dyDescent="0.3">
      <c r="A45" s="41"/>
      <c r="B45" s="22" t="s">
        <v>62</v>
      </c>
      <c r="C45" s="25" t="s">
        <v>72</v>
      </c>
      <c r="D45" s="101">
        <f>COUNTIF('Min rate concentrations'!D$3:D$368, "&gt;"&amp;inputs!E153)</f>
        <v>25</v>
      </c>
      <c r="E45" s="101">
        <f>COUNTIF('Min rate concentrations'!E$3:E$368, "&gt;"&amp;inputs!E153)</f>
        <v>19</v>
      </c>
      <c r="F45" s="101">
        <f>COUNTIF('Min rate concentrations'!F$3:F$368, "&gt;"&amp;inputs!E153)</f>
        <v>20</v>
      </c>
      <c r="G45" s="101">
        <f>COUNTIF('Min rate concentrations'!G$3:G$368, "&gt;"&amp;inputs!E153)</f>
        <v>4</v>
      </c>
      <c r="H45" s="101">
        <f>COUNTIF('Min rate concentrations'!H$3:H$368, "&gt;"&amp;inputs!E140)</f>
        <v>44</v>
      </c>
      <c r="I45" s="101">
        <f>COUNTIF('Min rate concentrations'!I$3:I$368, "&gt;"&amp;inputs!E140)</f>
        <v>204</v>
      </c>
      <c r="J45" s="101" t="s">
        <v>13</v>
      </c>
      <c r="K45" s="101">
        <f>COUNTIF('Min rate concentrations'!K$3:K$368, "&gt;"&amp;inputs!E153)</f>
        <v>11</v>
      </c>
      <c r="L45" s="101" t="s">
        <v>13</v>
      </c>
      <c r="M45" s="101" t="s">
        <v>13</v>
      </c>
      <c r="N45" s="101">
        <f>COUNTIF('Min rate concentrations'!N$3:N$368, "&gt;"&amp;inputs!E166)</f>
        <v>0</v>
      </c>
    </row>
    <row r="46" spans="1:14" x14ac:dyDescent="0.3">
      <c r="A46" s="41"/>
      <c r="B46" s="22" t="s">
        <v>62</v>
      </c>
      <c r="C46" s="25" t="s">
        <v>81</v>
      </c>
      <c r="D46" s="101">
        <f>COUNTIF('Min rate concentrations'!D$3:D$368, "&gt;"&amp;inputs!E154)</f>
        <v>0</v>
      </c>
      <c r="E46" s="101">
        <f>COUNTIF('Min rate concentrations'!E$3:E$368, "&gt;"&amp;inputs!E154)</f>
        <v>0</v>
      </c>
      <c r="F46" s="101">
        <f>COUNTIF('Min rate concentrations'!F$3:F$368, "&gt;"&amp;inputs!E154)</f>
        <v>0</v>
      </c>
      <c r="G46" s="101">
        <f>COUNTIF('Min rate concentrations'!G$3:G$368, "&gt;"&amp;inputs!E154)</f>
        <v>0</v>
      </c>
      <c r="H46" s="101">
        <f>COUNTIF('Min rate concentrations'!H$3:H$368, "&gt;"&amp;inputs!E141)</f>
        <v>0</v>
      </c>
      <c r="I46" s="101">
        <f>COUNTIF('Min rate concentrations'!I$3:I$368, "&gt;"&amp;inputs!E141)</f>
        <v>0</v>
      </c>
      <c r="J46" s="101" t="s">
        <v>13</v>
      </c>
      <c r="K46" s="101">
        <f>COUNTIF('Min rate concentrations'!K$3:K$368, "&gt;"&amp;inputs!E154)</f>
        <v>0</v>
      </c>
      <c r="L46" s="101" t="s">
        <v>13</v>
      </c>
      <c r="M46" s="101" t="s">
        <v>13</v>
      </c>
      <c r="N46" s="101">
        <f>COUNTIF('Min rate concentrations'!N$3:N$368, "&gt;"&amp;inputs!E167)</f>
        <v>0</v>
      </c>
    </row>
    <row r="47" spans="1:14" x14ac:dyDescent="0.3">
      <c r="A47" s="41"/>
      <c r="B47" s="22" t="s">
        <v>66</v>
      </c>
      <c r="C47" s="25" t="s">
        <v>82</v>
      </c>
      <c r="D47" s="101">
        <f>COUNTIF('Min rate concentrations'!D$3:D$368, "&gt;"&amp;inputs!E155)</f>
        <v>2</v>
      </c>
      <c r="E47" s="101">
        <f>COUNTIF('Min rate concentrations'!E$3:E$368, "&gt;"&amp;inputs!E155)</f>
        <v>0</v>
      </c>
      <c r="F47" s="101">
        <f>COUNTIF('Min rate concentrations'!F$3:F$368, "&gt;"&amp;inputs!E155)</f>
        <v>0</v>
      </c>
      <c r="G47" s="101">
        <f>COUNTIF('Min rate concentrations'!G$3:G$368, "&gt;"&amp;inputs!E155)</f>
        <v>0</v>
      </c>
      <c r="H47" s="101">
        <f>COUNTIF('Min rate concentrations'!H$3:H$368, "&gt;"&amp;inputs!E142)</f>
        <v>0</v>
      </c>
      <c r="I47" s="101">
        <f>COUNTIF('Min rate concentrations'!I$3:I$368, "&gt;"&amp;inputs!E142)</f>
        <v>0</v>
      </c>
      <c r="J47" s="101" t="s">
        <v>13</v>
      </c>
      <c r="K47" s="101">
        <f>COUNTIF('Min rate concentrations'!K$3:K$368, "&gt;"&amp;inputs!E155)</f>
        <v>0</v>
      </c>
      <c r="L47" s="101" t="s">
        <v>13</v>
      </c>
      <c r="M47" s="101" t="s">
        <v>13</v>
      </c>
      <c r="N47" s="101">
        <f>COUNTIF('Min rate concentrations'!N$3:N$368, "&gt;"&amp;inputs!E168)</f>
        <v>0</v>
      </c>
    </row>
    <row r="48" spans="1:14" x14ac:dyDescent="0.3">
      <c r="A48" s="41"/>
      <c r="B48" s="22" t="s">
        <v>62</v>
      </c>
      <c r="C48" s="25" t="s">
        <v>83</v>
      </c>
      <c r="D48" s="101">
        <f>COUNTIF('Min rate concentrations'!D$3:D$368, "&gt;"&amp;inputs!E156)</f>
        <v>0</v>
      </c>
      <c r="E48" s="101">
        <f>COUNTIF('Min rate concentrations'!E$3:E$368, "&gt;"&amp;inputs!E156)</f>
        <v>0</v>
      </c>
      <c r="F48" s="101">
        <f>COUNTIF('Min rate concentrations'!F$3:F$368, "&gt;"&amp;inputs!E156)</f>
        <v>0</v>
      </c>
      <c r="G48" s="101">
        <f>COUNTIF('Min rate concentrations'!G$3:G$368, "&gt;"&amp;inputs!E156)</f>
        <v>0</v>
      </c>
      <c r="H48" s="101">
        <f>COUNTIF('Min rate concentrations'!H$3:H$368, "&gt;"&amp;inputs!E143)</f>
        <v>0</v>
      </c>
      <c r="I48" s="101">
        <f>COUNTIF('Min rate concentrations'!I$3:I$368, "&gt;"&amp;inputs!E143)</f>
        <v>0</v>
      </c>
      <c r="J48" s="101" t="s">
        <v>13</v>
      </c>
      <c r="K48" s="101">
        <f>COUNTIF('Min rate concentrations'!K$3:K$368, "&gt;"&amp;inputs!E156)</f>
        <v>0</v>
      </c>
      <c r="L48" s="101" t="s">
        <v>13</v>
      </c>
      <c r="M48" s="101" t="s">
        <v>13</v>
      </c>
      <c r="N48" s="101">
        <f>COUNTIF('Min rate concentrations'!N$3:N$368, "&gt;"&amp;inputs!E169)</f>
        <v>0</v>
      </c>
    </row>
    <row r="49" spans="1:14" x14ac:dyDescent="0.3">
      <c r="A49" s="41"/>
      <c r="B49" s="22" t="s">
        <v>66</v>
      </c>
      <c r="C49" s="25" t="s">
        <v>84</v>
      </c>
      <c r="D49" s="101">
        <f>COUNTIF('Min rate concentrations'!D$3:D$368, "&gt;"&amp;inputs!E157)</f>
        <v>0</v>
      </c>
      <c r="E49" s="101">
        <f>COUNTIF('Min rate concentrations'!E$3:E$368, "&gt;"&amp;inputs!E157)</f>
        <v>0</v>
      </c>
      <c r="F49" s="101">
        <f>COUNTIF('Min rate concentrations'!F$3:F$368, "&gt;"&amp;inputs!E157)</f>
        <v>0</v>
      </c>
      <c r="G49" s="101">
        <f>COUNTIF('Min rate concentrations'!G$3:G$368, "&gt;"&amp;inputs!E157)</f>
        <v>0</v>
      </c>
      <c r="H49" s="101">
        <f>COUNTIF('Min rate concentrations'!H$3:H$368, "&gt;"&amp;inputs!E144)</f>
        <v>0</v>
      </c>
      <c r="I49" s="101">
        <f>COUNTIF('Min rate concentrations'!I$3:I$368, "&gt;"&amp;inputs!E144)</f>
        <v>0</v>
      </c>
      <c r="J49" s="101" t="s">
        <v>13</v>
      </c>
      <c r="K49" s="101">
        <f>COUNTIF('Min rate concentrations'!K$3:K$368, "&gt;"&amp;inputs!E157)</f>
        <v>0</v>
      </c>
      <c r="L49" s="101" t="s">
        <v>13</v>
      </c>
      <c r="M49" s="101" t="s">
        <v>13</v>
      </c>
      <c r="N49" s="101">
        <f>COUNTIF('Min rate concentrations'!N$3:N$368, "&gt;"&amp;inputs!E170)</f>
        <v>131</v>
      </c>
    </row>
    <row r="50" spans="1:14" x14ac:dyDescent="0.3">
      <c r="A50" s="41"/>
      <c r="B50" s="22" t="s">
        <v>62</v>
      </c>
      <c r="C50" s="25" t="s">
        <v>85</v>
      </c>
      <c r="D50" s="101">
        <f>COUNTIF('Min rate concentrations'!D$3:D$368, "&gt;"&amp;inputs!E158)</f>
        <v>0</v>
      </c>
      <c r="E50" s="101">
        <f>COUNTIF('Min rate concentrations'!E$3:E$368, "&gt;"&amp;inputs!E158)</f>
        <v>0</v>
      </c>
      <c r="F50" s="101">
        <f>COUNTIF('Min rate concentrations'!F$3:F$368, "&gt;"&amp;inputs!E158)</f>
        <v>0</v>
      </c>
      <c r="G50" s="101">
        <f>COUNTIF('Min rate concentrations'!G$3:G$368, "&gt;"&amp;inputs!E158)</f>
        <v>0</v>
      </c>
      <c r="H50" s="101">
        <f>COUNTIF('Min rate concentrations'!H$3:H$368, "&gt;"&amp;inputs!E145)</f>
        <v>0</v>
      </c>
      <c r="I50" s="101">
        <f>COUNTIF('Min rate concentrations'!I$3:I$368, "&gt;"&amp;inputs!E145)</f>
        <v>0</v>
      </c>
      <c r="J50" s="101" t="s">
        <v>13</v>
      </c>
      <c r="K50" s="101">
        <f>COUNTIF('Min rate concentrations'!K$3:K$368, "&gt;"&amp;inputs!E158)</f>
        <v>0</v>
      </c>
      <c r="L50" s="101" t="s">
        <v>13</v>
      </c>
      <c r="M50" s="101" t="s">
        <v>13</v>
      </c>
      <c r="N50" s="101">
        <f>COUNTIF('Min rate concentrations'!N$3:N$368, "&gt;"&amp;inputs!E171)</f>
        <v>0</v>
      </c>
    </row>
    <row r="51" spans="1:14" x14ac:dyDescent="0.3">
      <c r="A51" s="41"/>
      <c r="B51" s="22" t="s">
        <v>66</v>
      </c>
      <c r="C51" s="25" t="s">
        <v>86</v>
      </c>
      <c r="D51" s="101">
        <f>COUNTIF('Min rate concentrations'!D$3:D$368, "&gt;"&amp;inputs!E159)</f>
        <v>25</v>
      </c>
      <c r="E51" s="101">
        <f>COUNTIF('Min rate concentrations'!E$3:E$368, "&gt;"&amp;inputs!E159)</f>
        <v>19</v>
      </c>
      <c r="F51" s="101">
        <f>COUNTIF('Min rate concentrations'!F$3:F$368, "&gt;"&amp;inputs!E159)</f>
        <v>20</v>
      </c>
      <c r="G51" s="101">
        <f>COUNTIF('Min rate concentrations'!G$3:G$368, "&gt;"&amp;inputs!E159)</f>
        <v>4</v>
      </c>
      <c r="H51" s="101">
        <f>COUNTIF('Min rate concentrations'!H$3:H$368, "&gt;"&amp;inputs!E146)</f>
        <v>0</v>
      </c>
      <c r="I51" s="101">
        <f>COUNTIF('Min rate concentrations'!I$3:I$368, "&gt;"&amp;inputs!E146)</f>
        <v>0</v>
      </c>
      <c r="J51" s="101" t="s">
        <v>13</v>
      </c>
      <c r="K51" s="101">
        <f>COUNTIF('Min rate concentrations'!K$3:K$368, "&gt;"&amp;inputs!E159)</f>
        <v>11</v>
      </c>
      <c r="L51" s="101" t="s">
        <v>13</v>
      </c>
      <c r="M51" s="101" t="s">
        <v>13</v>
      </c>
      <c r="N51" s="101">
        <f>COUNTIF('Min rate concentrations'!N$3:N$368, "&gt;"&amp;inputs!E172)</f>
        <v>0</v>
      </c>
    </row>
    <row r="52" spans="1:14" x14ac:dyDescent="0.3">
      <c r="A52" s="41"/>
      <c r="B52" s="22" t="s">
        <v>62</v>
      </c>
      <c r="C52" s="25" t="s">
        <v>87</v>
      </c>
      <c r="D52" s="101">
        <f>COUNTIF('Min rate concentrations'!D$3:D$368, "&gt;"&amp;inputs!E160)</f>
        <v>0</v>
      </c>
      <c r="E52" s="101">
        <f>COUNTIF('Min rate concentrations'!E$3:E$368, "&gt;"&amp;inputs!E160)</f>
        <v>0</v>
      </c>
      <c r="F52" s="101">
        <f>COUNTIF('Min rate concentrations'!F$3:F$368, "&gt;"&amp;inputs!E160)</f>
        <v>0</v>
      </c>
      <c r="G52" s="101">
        <f>COUNTIF('Min rate concentrations'!G$3:G$368, "&gt;"&amp;inputs!E160)</f>
        <v>0</v>
      </c>
      <c r="H52" s="101">
        <f>COUNTIF('Min rate concentrations'!H$3:H$368, "&gt;"&amp;inputs!E147)</f>
        <v>0</v>
      </c>
      <c r="I52" s="101">
        <f>COUNTIF('Min rate concentrations'!I$3:I$368, "&gt;"&amp;inputs!E147)</f>
        <v>0</v>
      </c>
      <c r="J52" s="101" t="s">
        <v>13</v>
      </c>
      <c r="K52" s="101">
        <f>COUNTIF('Min rate concentrations'!K$3:K$368, "&gt;"&amp;inputs!E160)</f>
        <v>0</v>
      </c>
      <c r="L52" s="101" t="s">
        <v>13</v>
      </c>
      <c r="M52" s="101" t="s">
        <v>13</v>
      </c>
      <c r="N52" s="101">
        <f>COUNTIF('Min rate concentrations'!N$3:N$368, "&gt;"&amp;inputs!E173)</f>
        <v>0</v>
      </c>
    </row>
    <row r="53" spans="1:14" x14ac:dyDescent="0.3">
      <c r="A53" s="41"/>
      <c r="B53" s="22" t="s">
        <v>66</v>
      </c>
      <c r="C53" s="25" t="s">
        <v>88</v>
      </c>
      <c r="D53" s="101">
        <f>COUNTIF('Min rate concentrations'!D$3:D$368, "&gt;"&amp;inputs!E161)</f>
        <v>0</v>
      </c>
      <c r="E53" s="101">
        <f>COUNTIF('Min rate concentrations'!E$3:E$368, "&gt;"&amp;inputs!E161)</f>
        <v>0</v>
      </c>
      <c r="F53" s="101">
        <f>COUNTIF('Min rate concentrations'!F$3:F$368, "&gt;"&amp;inputs!E161)</f>
        <v>0</v>
      </c>
      <c r="G53" s="101">
        <f>COUNTIF('Min rate concentrations'!G$3:G$368, "&gt;"&amp;inputs!E161)</f>
        <v>0</v>
      </c>
      <c r="H53" s="101">
        <f>COUNTIF('Min rate concentrations'!H$3:H$368, "&gt;"&amp;inputs!E148)</f>
        <v>0</v>
      </c>
      <c r="I53" s="101">
        <f>COUNTIF('Min rate concentrations'!I$3:I$368, "&gt;"&amp;inputs!E148)</f>
        <v>0</v>
      </c>
      <c r="J53" s="101" t="s">
        <v>13</v>
      </c>
      <c r="K53" s="101">
        <f>COUNTIF('Min rate concentrations'!K$3:K$368, "&gt;"&amp;inputs!E161)</f>
        <v>0</v>
      </c>
      <c r="L53" s="101" t="s">
        <v>13</v>
      </c>
      <c r="M53" s="101" t="s">
        <v>13</v>
      </c>
      <c r="N53" s="101">
        <f>COUNTIF('Min rate concentrations'!N$3:N$368, "&gt;"&amp;inputs!E174)</f>
        <v>0</v>
      </c>
    </row>
    <row r="54" spans="1:14" x14ac:dyDescent="0.3">
      <c r="A54" s="39"/>
      <c r="B54" s="22" t="s">
        <v>64</v>
      </c>
      <c r="C54" s="25" t="s">
        <v>72</v>
      </c>
      <c r="D54" s="101">
        <f>COUNTIF('Min rate concentrations'!D$3:D$368, "&gt;"&amp;inputs!E162)</f>
        <v>20</v>
      </c>
      <c r="E54" s="101">
        <f>COUNTIF('Min rate concentrations'!E$3:E$368, "&gt;"&amp;inputs!E162)</f>
        <v>14</v>
      </c>
      <c r="F54" s="101">
        <f>COUNTIF('Min rate concentrations'!F$3:F$368, "&gt;"&amp;inputs!E162)</f>
        <v>15</v>
      </c>
      <c r="G54" s="101">
        <f>COUNTIF('Min rate concentrations'!G$3:G$368, "&gt;"&amp;inputs!E162)</f>
        <v>0</v>
      </c>
      <c r="H54" s="101">
        <f>COUNTIF('Min rate concentrations'!H$3:H$368, "&gt;"&amp;inputs!E149)</f>
        <v>44</v>
      </c>
      <c r="I54" s="101">
        <f>COUNTIF('Min rate concentrations'!I$3:I$368, "&gt;"&amp;inputs!E149)</f>
        <v>204</v>
      </c>
      <c r="J54" s="101" t="s">
        <v>13</v>
      </c>
      <c r="K54" s="101">
        <f>COUNTIF('Min rate concentrations'!K$3:K$368, "&gt;"&amp;inputs!E162)</f>
        <v>6</v>
      </c>
      <c r="L54" s="101" t="s">
        <v>13</v>
      </c>
      <c r="M54" s="101" t="s">
        <v>13</v>
      </c>
      <c r="N54" s="101">
        <f>COUNTIF('Min rate concentrations'!N$3:N$368, "&gt;"&amp;inputs!E175)</f>
        <v>0</v>
      </c>
    </row>
    <row r="56" spans="1:14" x14ac:dyDescent="0.3">
      <c r="A56" s="1" t="s">
        <v>791</v>
      </c>
      <c r="B56" s="1"/>
    </row>
    <row r="57" spans="1:14" ht="60" customHeight="1" x14ac:dyDescent="0.3">
      <c r="A57" s="43" t="s">
        <v>57</v>
      </c>
      <c r="B57" s="2" t="s">
        <v>58</v>
      </c>
      <c r="C57" s="2" t="s">
        <v>59</v>
      </c>
      <c r="D57" s="9" t="s">
        <v>98</v>
      </c>
      <c r="E57" s="9" t="s">
        <v>99</v>
      </c>
      <c r="F57" s="9" t="s">
        <v>100</v>
      </c>
      <c r="G57" s="9" t="s">
        <v>101</v>
      </c>
      <c r="H57" s="9" t="s">
        <v>102</v>
      </c>
      <c r="I57" s="9" t="s">
        <v>112</v>
      </c>
      <c r="J57" s="9" t="s">
        <v>113</v>
      </c>
      <c r="K57" s="9" t="s">
        <v>114</v>
      </c>
      <c r="L57" s="9" t="s">
        <v>115</v>
      </c>
      <c r="M57" s="9" t="s">
        <v>116</v>
      </c>
      <c r="N57" s="9" t="s">
        <v>769</v>
      </c>
    </row>
    <row r="58" spans="1:14" x14ac:dyDescent="0.3">
      <c r="A58" s="44" t="s">
        <v>61</v>
      </c>
      <c r="B58" s="22" t="s">
        <v>62</v>
      </c>
      <c r="C58" s="22" t="s">
        <v>63</v>
      </c>
      <c r="D58" s="101">
        <f>COUNTIF('Min rate concentrations'!W$3:W$368, "&gt;"&amp;inputs!E95)</f>
        <v>8</v>
      </c>
      <c r="E58" s="101">
        <f>COUNTIF('Min rate concentrations'!X$3:X$368, "&gt;"&amp;inputs!E95)</f>
        <v>1</v>
      </c>
      <c r="F58" s="101">
        <f>COUNTIF('Min rate concentrations'!Y$3:Y$368, "&gt;"&amp;inputs!E95)</f>
        <v>3</v>
      </c>
      <c r="G58" s="101">
        <f>COUNTIF('Min rate concentrations'!Z$3:Z$368, "&gt;"&amp;inputs!E95)</f>
        <v>0</v>
      </c>
      <c r="H58" s="101">
        <f>COUNTIF('Min rate concentrations'!AA$3:AA$368, "&gt;"&amp;inputs!E95)</f>
        <v>6</v>
      </c>
      <c r="I58" s="101" t="s">
        <v>13</v>
      </c>
      <c r="J58" s="101">
        <f>COUNTIF('Min rate concentrations'!AB$3:AB$368, "&gt;"&amp;inputs!E95)</f>
        <v>9</v>
      </c>
      <c r="K58" s="101">
        <f>COUNTIF('Min rate concentrations'!AC$3:AC$368, "&gt;"&amp;inputs!E95)</f>
        <v>0</v>
      </c>
      <c r="L58" s="101">
        <f>COUNTIF('Min rate concentrations'!AD$3:AD$368, "&gt;"&amp;inputs!E95)</f>
        <v>9</v>
      </c>
      <c r="M58" s="101">
        <f>COUNTIF('Min rate concentrations'!AE$3:AE$368, "&gt;"&amp;inputs!E95)</f>
        <v>0</v>
      </c>
      <c r="N58" s="101" t="s">
        <v>13</v>
      </c>
    </row>
    <row r="59" spans="1:14" x14ac:dyDescent="0.3">
      <c r="A59" s="45"/>
      <c r="B59" s="22" t="s">
        <v>64</v>
      </c>
      <c r="C59" s="22" t="s">
        <v>65</v>
      </c>
      <c r="D59" s="101">
        <f>COUNTIF('Min rate concentrations'!W$3:W$368, "&gt;"&amp;inputs!E96)</f>
        <v>0</v>
      </c>
      <c r="E59" s="101">
        <f>COUNTIF('Min rate concentrations'!X$3:X$368, "&gt;"&amp;inputs!E96)</f>
        <v>0</v>
      </c>
      <c r="F59" s="101">
        <f>COUNTIF('Min rate concentrations'!Y$3:Y$368, "&gt;"&amp;inputs!E96)</f>
        <v>0</v>
      </c>
      <c r="G59" s="101">
        <f>COUNTIF('Min rate concentrations'!Z$3:Z$368, "&gt;"&amp;inputs!E96)</f>
        <v>0</v>
      </c>
      <c r="H59" s="101">
        <f>COUNTIF('Min rate concentrations'!AA$3:AA$368, "&gt;"&amp;inputs!E96)</f>
        <v>0</v>
      </c>
      <c r="I59" s="101" t="s">
        <v>13</v>
      </c>
      <c r="J59" s="101">
        <f>COUNTIF('Min rate concentrations'!AB$3:AB$368, "&gt;"&amp;inputs!E96)</f>
        <v>0</v>
      </c>
      <c r="K59" s="101">
        <f>COUNTIF('Min rate concentrations'!AC$3:AC$368, "&gt;"&amp;inputs!E96)</f>
        <v>0</v>
      </c>
      <c r="L59" s="101">
        <f>COUNTIF('Min rate concentrations'!AD$3:AD$368, "&gt;"&amp;inputs!E96)</f>
        <v>0</v>
      </c>
      <c r="M59" s="101">
        <f>COUNTIF('Min rate concentrations'!AE$3:AE$368, "&gt;"&amp;inputs!E96)</f>
        <v>0</v>
      </c>
      <c r="N59" s="101" t="s">
        <v>13</v>
      </c>
    </row>
    <row r="60" spans="1:14" x14ac:dyDescent="0.3">
      <c r="A60" s="45"/>
      <c r="B60" s="22" t="s">
        <v>66</v>
      </c>
      <c r="C60" s="22" t="s">
        <v>80</v>
      </c>
      <c r="D60" s="101">
        <f>COUNTIF('Min rate concentrations'!W$3:W$368, "&gt;"&amp;inputs!E97)</f>
        <v>0</v>
      </c>
      <c r="E60" s="101">
        <f>COUNTIF('Min rate concentrations'!X$3:X$368, "&gt;"&amp;inputs!E97)</f>
        <v>0</v>
      </c>
      <c r="F60" s="101">
        <f>COUNTIF('Min rate concentrations'!Y$3:Y$368, "&gt;"&amp;inputs!E97)</f>
        <v>0</v>
      </c>
      <c r="G60" s="101">
        <f>COUNTIF('Min rate concentrations'!Z$3:Z$368, "&gt;"&amp;inputs!E97)</f>
        <v>0</v>
      </c>
      <c r="H60" s="101">
        <f>COUNTIF('Min rate concentrations'!AA$3:AA$368, "&gt;"&amp;inputs!E97)</f>
        <v>0</v>
      </c>
      <c r="I60" s="101" t="s">
        <v>13</v>
      </c>
      <c r="J60" s="101">
        <f>COUNTIF('Min rate concentrations'!AB$3:AB$368, "&gt;"&amp;inputs!E97)</f>
        <v>0</v>
      </c>
      <c r="K60" s="101">
        <f>COUNTIF('Min rate concentrations'!AC$3:AC$368, "&gt;"&amp;inputs!E97)</f>
        <v>0</v>
      </c>
      <c r="L60" s="101">
        <f>COUNTIF('Min rate concentrations'!AD$3:AD$368, "&gt;"&amp;inputs!E97)</f>
        <v>0</v>
      </c>
      <c r="M60" s="101">
        <f>COUNTIF('Min rate concentrations'!AE$3:AE$368, "&gt;"&amp;inputs!E97)</f>
        <v>0</v>
      </c>
      <c r="N60" s="101" t="s">
        <v>13</v>
      </c>
    </row>
    <row r="61" spans="1:14" x14ac:dyDescent="0.3">
      <c r="A61" s="45"/>
      <c r="B61" s="22" t="s">
        <v>62</v>
      </c>
      <c r="C61" s="22" t="s">
        <v>71</v>
      </c>
      <c r="D61" s="101">
        <f>COUNTIF('Min rate concentrations'!W$3:W$368, "&gt;"&amp;inputs!E98)</f>
        <v>23</v>
      </c>
      <c r="E61" s="101">
        <f>COUNTIF('Min rate concentrations'!X$3:X$368, "&gt;"&amp;inputs!E98)</f>
        <v>16</v>
      </c>
      <c r="F61" s="101">
        <f>COUNTIF('Min rate concentrations'!Y$3:Y$368, "&gt;"&amp;inputs!E98)</f>
        <v>18</v>
      </c>
      <c r="G61" s="101">
        <f>COUNTIF('Min rate concentrations'!Z$3:Z$368, "&gt;"&amp;inputs!E98)</f>
        <v>4</v>
      </c>
      <c r="H61" s="101">
        <f>COUNTIF('Min rate concentrations'!AA$3:AA$368, "&gt;"&amp;inputs!E98)</f>
        <v>21</v>
      </c>
      <c r="I61" s="101" t="s">
        <v>13</v>
      </c>
      <c r="J61" s="101">
        <f>COUNTIF('Min rate concentrations'!AB$3:AB$368, "&gt;"&amp;inputs!E98)</f>
        <v>23</v>
      </c>
      <c r="K61" s="101">
        <f>COUNTIF('Min rate concentrations'!AC$3:AC$368, "&gt;"&amp;inputs!E98)</f>
        <v>9</v>
      </c>
      <c r="L61" s="101">
        <f>COUNTIF('Min rate concentrations'!AD$3:AD$368, "&gt;"&amp;inputs!E98)</f>
        <v>24</v>
      </c>
      <c r="M61" s="101">
        <f>COUNTIF('Min rate concentrations'!AE$3:AE$368, "&gt;"&amp;inputs!E98)</f>
        <v>0</v>
      </c>
      <c r="N61" s="101" t="s">
        <v>13</v>
      </c>
    </row>
    <row r="62" spans="1:14" x14ac:dyDescent="0.3">
      <c r="A62" s="45"/>
      <c r="B62" s="61" t="s">
        <v>62</v>
      </c>
      <c r="C62" s="61" t="s">
        <v>81</v>
      </c>
      <c r="D62" s="101">
        <f>COUNTIF('Min rate concentrations'!W$3:W$368, "&gt;"&amp;inputs!E99)</f>
        <v>0</v>
      </c>
      <c r="E62" s="101">
        <f>COUNTIF('Min rate concentrations'!X$3:X$368, "&gt;"&amp;inputs!E99)</f>
        <v>0</v>
      </c>
      <c r="F62" s="101">
        <f>COUNTIF('Min rate concentrations'!Y$3:Y$368, "&gt;"&amp;inputs!E99)</f>
        <v>0</v>
      </c>
      <c r="G62" s="101">
        <f>COUNTIF('Min rate concentrations'!Z$3:Z$368, "&gt;"&amp;inputs!E99)</f>
        <v>0</v>
      </c>
      <c r="H62" s="101">
        <f>COUNTIF('Min rate concentrations'!AA$3:AA$368, "&gt;"&amp;inputs!E99)</f>
        <v>0</v>
      </c>
      <c r="I62" s="101" t="s">
        <v>13</v>
      </c>
      <c r="J62" s="101">
        <f>COUNTIF('Min rate concentrations'!AB$3:AB$368, "&gt;"&amp;inputs!E99)</f>
        <v>0</v>
      </c>
      <c r="K62" s="101">
        <f>COUNTIF('Min rate concentrations'!AC$3:AC$368, "&gt;"&amp;inputs!E99)</f>
        <v>0</v>
      </c>
      <c r="L62" s="101">
        <f>COUNTIF('Min rate concentrations'!AD$3:AD$368, "&gt;"&amp;inputs!E99)</f>
        <v>0</v>
      </c>
      <c r="M62" s="101">
        <f>COUNTIF('Min rate concentrations'!AE$3:AE$368, "&gt;"&amp;inputs!E99)</f>
        <v>0</v>
      </c>
      <c r="N62" s="101" t="s">
        <v>13</v>
      </c>
    </row>
    <row r="63" spans="1:14" x14ac:dyDescent="0.3">
      <c r="A63" s="45"/>
      <c r="B63" s="61" t="s">
        <v>62</v>
      </c>
      <c r="C63" s="61" t="s">
        <v>82</v>
      </c>
      <c r="D63" s="101">
        <f>COUNTIF('Min rate concentrations'!W$3:W$368, "&gt;"&amp;inputs!E100)</f>
        <v>19</v>
      </c>
      <c r="E63" s="101">
        <f>COUNTIF('Min rate concentrations'!X$3:X$368, "&gt;"&amp;inputs!E100)</f>
        <v>12</v>
      </c>
      <c r="F63" s="101">
        <f>COUNTIF('Min rate concentrations'!Y$3:Y$368, "&gt;"&amp;inputs!E100)</f>
        <v>14</v>
      </c>
      <c r="G63" s="101">
        <f>COUNTIF('Min rate concentrations'!Z$3:Z$368, "&gt;"&amp;inputs!E100)</f>
        <v>0</v>
      </c>
      <c r="H63" s="101">
        <f>COUNTIF('Min rate concentrations'!AA$3:AA$368, "&gt;"&amp;inputs!E100)</f>
        <v>17</v>
      </c>
      <c r="I63" s="101" t="s">
        <v>13</v>
      </c>
      <c r="J63" s="101">
        <f>COUNTIF('Min rate concentrations'!AB$3:AB$368, "&gt;"&amp;inputs!E100)</f>
        <v>20</v>
      </c>
      <c r="K63" s="101">
        <f>COUNTIF('Min rate concentrations'!AC$3:AC$368, "&gt;"&amp;inputs!E100)</f>
        <v>6</v>
      </c>
      <c r="L63" s="101">
        <f>COUNTIF('Min rate concentrations'!AD$3:AD$368, "&gt;"&amp;inputs!E100)</f>
        <v>20</v>
      </c>
      <c r="M63" s="101">
        <f>COUNTIF('Min rate concentrations'!AE$3:AE$368, "&gt;"&amp;inputs!E100)</f>
        <v>0</v>
      </c>
      <c r="N63" s="101" t="s">
        <v>13</v>
      </c>
    </row>
    <row r="64" spans="1:14" x14ac:dyDescent="0.3">
      <c r="A64" s="45"/>
      <c r="B64" s="61" t="s">
        <v>62</v>
      </c>
      <c r="C64" s="61" t="s">
        <v>83</v>
      </c>
      <c r="D64" s="101">
        <f>COUNTIF('Min rate concentrations'!W$3:W$368, "&gt;"&amp;inputs!E101)</f>
        <v>0</v>
      </c>
      <c r="E64" s="101">
        <f>COUNTIF('Min rate concentrations'!X$3:X$368, "&gt;"&amp;inputs!E101)</f>
        <v>0</v>
      </c>
      <c r="F64" s="101">
        <f>COUNTIF('Min rate concentrations'!Y$3:Y$368, "&gt;"&amp;inputs!E101)</f>
        <v>0</v>
      </c>
      <c r="G64" s="101">
        <f>COUNTIF('Min rate concentrations'!Z$3:Z$368, "&gt;"&amp;inputs!E101)</f>
        <v>0</v>
      </c>
      <c r="H64" s="101">
        <f>COUNTIF('Min rate concentrations'!AA$3:AA$368, "&gt;"&amp;inputs!E101)</f>
        <v>0</v>
      </c>
      <c r="I64" s="101" t="s">
        <v>13</v>
      </c>
      <c r="J64" s="101">
        <f>COUNTIF('Min rate concentrations'!AB$3:AB$368, "&gt;"&amp;inputs!E101)</f>
        <v>0</v>
      </c>
      <c r="K64" s="101">
        <f>COUNTIF('Min rate concentrations'!AC$3:AC$368, "&gt;"&amp;inputs!E101)</f>
        <v>0</v>
      </c>
      <c r="L64" s="101">
        <f>COUNTIF('Min rate concentrations'!AD$3:AD$368, "&gt;"&amp;inputs!E101)</f>
        <v>0</v>
      </c>
      <c r="M64" s="101">
        <f>COUNTIF('Min rate concentrations'!AE$3:AE$368, "&gt;"&amp;inputs!E101)</f>
        <v>0</v>
      </c>
      <c r="N64" s="101" t="s">
        <v>13</v>
      </c>
    </row>
    <row r="65" spans="1:14" x14ac:dyDescent="0.3">
      <c r="A65" s="45"/>
      <c r="B65" s="61" t="s">
        <v>62</v>
      </c>
      <c r="C65" s="61" t="s">
        <v>84</v>
      </c>
      <c r="D65" s="101">
        <f>COUNTIF('Min rate concentrations'!W$3:W$368, "&gt;"&amp;inputs!E102)</f>
        <v>9</v>
      </c>
      <c r="E65" s="101">
        <f>COUNTIF('Min rate concentrations'!X$3:X$368, "&gt;"&amp;inputs!E102)</f>
        <v>3</v>
      </c>
      <c r="F65" s="101">
        <f>COUNTIF('Min rate concentrations'!Y$3:Y$368, "&gt;"&amp;inputs!E102)</f>
        <v>4</v>
      </c>
      <c r="G65" s="101">
        <f>COUNTIF('Min rate concentrations'!Z$3:Z$368, "&gt;"&amp;inputs!E102)</f>
        <v>0</v>
      </c>
      <c r="H65" s="101">
        <f>COUNTIF('Min rate concentrations'!AA$3:AA$368, "&gt;"&amp;inputs!E102)</f>
        <v>7</v>
      </c>
      <c r="I65" s="101" t="s">
        <v>13</v>
      </c>
      <c r="J65" s="101">
        <f>COUNTIF('Min rate concentrations'!AB$3:AB$368, "&gt;"&amp;inputs!E102)</f>
        <v>10</v>
      </c>
      <c r="K65" s="101">
        <f>COUNTIF('Min rate concentrations'!AC$3:AC$368, "&gt;"&amp;inputs!E102)</f>
        <v>0</v>
      </c>
      <c r="L65" s="101">
        <f>COUNTIF('Min rate concentrations'!AD$3:AD$368, "&gt;"&amp;inputs!E102)</f>
        <v>10</v>
      </c>
      <c r="M65" s="101">
        <f>COUNTIF('Min rate concentrations'!AE$3:AE$368, "&gt;"&amp;inputs!E102)</f>
        <v>0</v>
      </c>
      <c r="N65" s="101" t="s">
        <v>13</v>
      </c>
    </row>
    <row r="66" spans="1:14" x14ac:dyDescent="0.3">
      <c r="A66" s="45"/>
      <c r="B66" s="61" t="s">
        <v>62</v>
      </c>
      <c r="C66" s="61" t="s">
        <v>85</v>
      </c>
      <c r="D66" s="101">
        <f>COUNTIF('Min rate concentrations'!W$3:W$368, "&gt;"&amp;inputs!E103)</f>
        <v>47</v>
      </c>
      <c r="E66" s="101">
        <f>COUNTIF('Min rate concentrations'!X$3:X$368, "&gt;"&amp;inputs!E103)</f>
        <v>40</v>
      </c>
      <c r="F66" s="101">
        <f>COUNTIF('Min rate concentrations'!Y$3:Y$368, "&gt;"&amp;inputs!E103)</f>
        <v>42</v>
      </c>
      <c r="G66" s="101">
        <f>COUNTIF('Min rate concentrations'!Z$3:Z$368, "&gt;"&amp;inputs!E103)</f>
        <v>28</v>
      </c>
      <c r="H66" s="101">
        <f>COUNTIF('Min rate concentrations'!AA$3:AA$368, "&gt;"&amp;inputs!E103)</f>
        <v>45</v>
      </c>
      <c r="I66" s="101" t="s">
        <v>13</v>
      </c>
      <c r="J66" s="101">
        <f>COUNTIF('Min rate concentrations'!AB$3:AB$368, "&gt;"&amp;inputs!E103)</f>
        <v>47</v>
      </c>
      <c r="K66" s="101">
        <f>COUNTIF('Min rate concentrations'!AC$3:AC$368, "&gt;"&amp;inputs!E103)</f>
        <v>33</v>
      </c>
      <c r="L66" s="101">
        <f>COUNTIF('Min rate concentrations'!AD$3:AD$368, "&gt;"&amp;inputs!E103)</f>
        <v>48</v>
      </c>
      <c r="M66" s="101">
        <f>COUNTIF('Min rate concentrations'!AE$3:AE$368, "&gt;"&amp;inputs!E103)</f>
        <v>25</v>
      </c>
      <c r="N66" s="101" t="s">
        <v>13</v>
      </c>
    </row>
    <row r="67" spans="1:14" x14ac:dyDescent="0.3">
      <c r="A67" s="45"/>
      <c r="B67" s="61" t="s">
        <v>62</v>
      </c>
      <c r="C67" s="61" t="s">
        <v>86</v>
      </c>
      <c r="D67" s="101">
        <f>COUNTIF('Min rate concentrations'!W$3:W$368, "&gt;"&amp;inputs!E104)</f>
        <v>29</v>
      </c>
      <c r="E67" s="101">
        <f>COUNTIF('Min rate concentrations'!X$3:X$368, "&gt;"&amp;inputs!E104)</f>
        <v>23</v>
      </c>
      <c r="F67" s="101">
        <f>COUNTIF('Min rate concentrations'!Y$3:Y$368, "&gt;"&amp;inputs!E104)</f>
        <v>24</v>
      </c>
      <c r="G67" s="101">
        <f>COUNTIF('Min rate concentrations'!Z$3:Z$368, "&gt;"&amp;inputs!E104)</f>
        <v>10</v>
      </c>
      <c r="H67" s="101">
        <f>COUNTIF('Min rate concentrations'!AA$3:AA$368, "&gt;"&amp;inputs!E104)</f>
        <v>27</v>
      </c>
      <c r="I67" s="101" t="s">
        <v>13</v>
      </c>
      <c r="J67" s="101">
        <f>COUNTIF('Min rate concentrations'!AB$3:AB$368, "&gt;"&amp;inputs!E104)</f>
        <v>30</v>
      </c>
      <c r="K67" s="101">
        <f>COUNTIF('Min rate concentrations'!AC$3:AC$368, "&gt;"&amp;inputs!E104)</f>
        <v>16</v>
      </c>
      <c r="L67" s="101">
        <f>COUNTIF('Min rate concentrations'!AD$3:AD$368, "&gt;"&amp;inputs!E104)</f>
        <v>30</v>
      </c>
      <c r="M67" s="101">
        <f>COUNTIF('Min rate concentrations'!AE$3:AE$368, "&gt;"&amp;inputs!E104)</f>
        <v>7</v>
      </c>
      <c r="N67" s="101" t="s">
        <v>13</v>
      </c>
    </row>
    <row r="68" spans="1:14" x14ac:dyDescent="0.3">
      <c r="A68" s="45"/>
      <c r="B68" s="61" t="s">
        <v>62</v>
      </c>
      <c r="C68" s="61" t="s">
        <v>87</v>
      </c>
      <c r="D68" s="101">
        <f>COUNTIF('Min rate concentrations'!W$3:W$368, "&gt;"&amp;inputs!E105)</f>
        <v>0</v>
      </c>
      <c r="E68" s="101">
        <f>COUNTIF('Min rate concentrations'!X$3:X$368, "&gt;"&amp;inputs!E105)</f>
        <v>0</v>
      </c>
      <c r="F68" s="101">
        <f>COUNTIF('Min rate concentrations'!Y$3:Y$368, "&gt;"&amp;inputs!E105)</f>
        <v>0</v>
      </c>
      <c r="G68" s="101">
        <f>COUNTIF('Min rate concentrations'!Z$3:Z$368, "&gt;"&amp;inputs!E105)</f>
        <v>0</v>
      </c>
      <c r="H68" s="101">
        <f>COUNTIF('Min rate concentrations'!AA$3:AA$368, "&gt;"&amp;inputs!E105)</f>
        <v>0</v>
      </c>
      <c r="I68" s="101" t="s">
        <v>13</v>
      </c>
      <c r="J68" s="101">
        <f>COUNTIF('Min rate concentrations'!AB$3:AB$368, "&gt;"&amp;inputs!E105)</f>
        <v>0</v>
      </c>
      <c r="K68" s="101">
        <f>COUNTIF('Min rate concentrations'!AC$3:AC$368, "&gt;"&amp;inputs!E105)</f>
        <v>0</v>
      </c>
      <c r="L68" s="101">
        <f>COUNTIF('Min rate concentrations'!AD$3:AD$368, "&gt;"&amp;inputs!E105)</f>
        <v>0</v>
      </c>
      <c r="M68" s="101">
        <f>COUNTIF('Min rate concentrations'!AE$3:AE$368, "&gt;"&amp;inputs!E105)</f>
        <v>0</v>
      </c>
      <c r="N68" s="101" t="s">
        <v>13</v>
      </c>
    </row>
    <row r="69" spans="1:14" x14ac:dyDescent="0.3">
      <c r="A69" s="45"/>
      <c r="B69" s="61" t="s">
        <v>62</v>
      </c>
      <c r="C69" s="61" t="s">
        <v>88</v>
      </c>
      <c r="D69" s="101">
        <f>COUNTIF('Min rate concentrations'!W$3:W$368, "&gt;"&amp;inputs!E105)</f>
        <v>0</v>
      </c>
      <c r="E69" s="101">
        <f>COUNTIF('Min rate concentrations'!X$3:X$368, "&gt;"&amp;inputs!E105)</f>
        <v>0</v>
      </c>
      <c r="F69" s="101">
        <f>COUNTIF('Min rate concentrations'!Y$3:Y$368, "&gt;"&amp;inputs!E105)</f>
        <v>0</v>
      </c>
      <c r="G69" s="101">
        <f>COUNTIF('Min rate concentrations'!Z$3:Z$368, "&gt;"&amp;inputs!E105)</f>
        <v>0</v>
      </c>
      <c r="H69" s="101">
        <f>COUNTIF('Min rate concentrations'!AA$3:AA$368, "&gt;"&amp;inputs!E105)</f>
        <v>0</v>
      </c>
      <c r="I69" s="101" t="s">
        <v>13</v>
      </c>
      <c r="J69" s="101">
        <f>COUNTIF('Min rate concentrations'!AB$3:AB$368, "&gt;"&amp;inputs!E105)</f>
        <v>0</v>
      </c>
      <c r="K69" s="101">
        <f>COUNTIF('Min rate concentrations'!AC$3:AC$368, "&gt;"&amp;inputs!E105)</f>
        <v>0</v>
      </c>
      <c r="L69" s="101">
        <f>COUNTIF('Min rate concentrations'!AD$3:AD$368, "&gt;"&amp;inputs!E105)</f>
        <v>0</v>
      </c>
      <c r="M69" s="101">
        <f>COUNTIF('Min rate concentrations'!AE$3:AE$368, "&gt;"&amp;inputs!E105)</f>
        <v>0</v>
      </c>
      <c r="N69" s="101" t="s">
        <v>13</v>
      </c>
    </row>
    <row r="70" spans="1:14" x14ac:dyDescent="0.3">
      <c r="A70" s="46"/>
      <c r="B70" s="22" t="s">
        <v>64</v>
      </c>
      <c r="C70" s="22" t="s">
        <v>71</v>
      </c>
      <c r="D70" s="101">
        <f>COUNTIF('Min rate concentrations'!W$3:W$368, "&gt;"&amp;inputs!E107)</f>
        <v>11</v>
      </c>
      <c r="E70" s="101">
        <f>COUNTIF('Min rate concentrations'!X$3:X$368, "&gt;"&amp;inputs!E107)</f>
        <v>5</v>
      </c>
      <c r="F70" s="101">
        <f>COUNTIF('Min rate concentrations'!Y$3:Y$368, "&gt;"&amp;inputs!E107)</f>
        <v>6</v>
      </c>
      <c r="G70" s="101">
        <f>COUNTIF('Min rate concentrations'!Z$3:Z$368, "&gt;"&amp;inputs!E107)</f>
        <v>0</v>
      </c>
      <c r="H70" s="101">
        <f>COUNTIF('Min rate concentrations'!AA$3:AA$368, "&gt;"&amp;inputs!E107)</f>
        <v>9</v>
      </c>
      <c r="I70" s="101" t="s">
        <v>13</v>
      </c>
      <c r="J70" s="101">
        <f>COUNTIF('Min rate concentrations'!AB$3:AB$368, "&gt;"&amp;inputs!E107)</f>
        <v>12</v>
      </c>
      <c r="K70" s="101">
        <f>COUNTIF('Min rate concentrations'!AC$3:AC$368, "&gt;"&amp;inputs!E107)</f>
        <v>0</v>
      </c>
      <c r="L70" s="101">
        <f>COUNTIF('Min rate concentrations'!AD$3:AD$368, "&gt;"&amp;inputs!E107)</f>
        <v>12</v>
      </c>
      <c r="M70" s="101">
        <f>COUNTIF('Min rate concentrations'!AE$3:AE$368, "&gt;"&amp;inputs!E107)</f>
        <v>0</v>
      </c>
      <c r="N70" s="101" t="s">
        <v>13</v>
      </c>
    </row>
    <row r="71" spans="1:14" x14ac:dyDescent="0.3">
      <c r="A71" s="45" t="s">
        <v>73</v>
      </c>
      <c r="B71" s="22" t="s">
        <v>62</v>
      </c>
      <c r="C71" s="22" t="s">
        <v>63</v>
      </c>
      <c r="D71" s="101">
        <f>COUNTIF('Min rate concentrations'!W$3:W$368, "&gt;"&amp;inputs!E108)</f>
        <v>22</v>
      </c>
      <c r="E71" s="101">
        <f>COUNTIF('Min rate concentrations'!X$3:X$368, "&gt;"&amp;inputs!E108)</f>
        <v>16</v>
      </c>
      <c r="F71" s="101">
        <f>COUNTIF('Min rate concentrations'!Y$3:Y$368, "&gt;"&amp;inputs!E108)</f>
        <v>17</v>
      </c>
      <c r="G71" s="101">
        <f>COUNTIF('Min rate concentrations'!Z$3:Z$368, "&gt;"&amp;inputs!E108)</f>
        <v>3</v>
      </c>
      <c r="H71" s="101">
        <f>COUNTIF('Min rate concentrations'!AA$3:AA$368, "&gt;"&amp;inputs!E108)</f>
        <v>20</v>
      </c>
      <c r="I71" s="101" t="s">
        <v>13</v>
      </c>
      <c r="J71" s="101">
        <f>COUNTIF('Min rate concentrations'!AB$3:AB$368, "&gt;"&amp;inputs!E108)</f>
        <v>23</v>
      </c>
      <c r="K71" s="101">
        <f>COUNTIF('Min rate concentrations'!AC$3:AC$368, "&gt;"&amp;inputs!E108)</f>
        <v>9</v>
      </c>
      <c r="L71" s="101">
        <f>COUNTIF('Min rate concentrations'!AD$3:AD$368, "&gt;"&amp;inputs!E108)</f>
        <v>23</v>
      </c>
      <c r="M71" s="101">
        <f>COUNTIF('Min rate concentrations'!AE$3:AE$368, "&gt;"&amp;inputs!E108)</f>
        <v>0</v>
      </c>
      <c r="N71" s="101" t="s">
        <v>13</v>
      </c>
    </row>
    <row r="72" spans="1:14" x14ac:dyDescent="0.3">
      <c r="A72" s="45"/>
      <c r="B72" s="22" t="s">
        <v>64</v>
      </c>
      <c r="C72" s="22" t="s">
        <v>65</v>
      </c>
      <c r="D72" s="101">
        <f>COUNTIF('Min rate concentrations'!W$3:W$368, "&gt;"&amp;inputs!E109)</f>
        <v>7</v>
      </c>
      <c r="E72" s="101">
        <f>COUNTIF('Min rate concentrations'!X$3:X$368, "&gt;"&amp;inputs!E109)</f>
        <v>0</v>
      </c>
      <c r="F72" s="101">
        <f>COUNTIF('Min rate concentrations'!Y$3:Y$368, "&gt;"&amp;inputs!E109)</f>
        <v>2</v>
      </c>
      <c r="G72" s="101">
        <f>COUNTIF('Min rate concentrations'!Z$3:Z$368, "&gt;"&amp;inputs!E109)</f>
        <v>0</v>
      </c>
      <c r="H72" s="101">
        <f>COUNTIF('Min rate concentrations'!AA$3:AA$368, "&gt;"&amp;inputs!E109)</f>
        <v>5</v>
      </c>
      <c r="I72" s="101" t="s">
        <v>13</v>
      </c>
      <c r="J72" s="101">
        <f>COUNTIF('Min rate concentrations'!AB$3:AB$368, "&gt;"&amp;inputs!E109)</f>
        <v>8</v>
      </c>
      <c r="K72" s="101">
        <f>COUNTIF('Min rate concentrations'!AC$3:AC$368, "&gt;"&amp;inputs!E109)</f>
        <v>0</v>
      </c>
      <c r="L72" s="101">
        <f>COUNTIF('Min rate concentrations'!AD$3:AD$368, "&gt;"&amp;inputs!E109)</f>
        <v>8</v>
      </c>
      <c r="M72" s="101">
        <f>COUNTIF('Min rate concentrations'!AE$3:AE$368, "&gt;"&amp;inputs!E109)</f>
        <v>0</v>
      </c>
      <c r="N72" s="101" t="s">
        <v>13</v>
      </c>
    </row>
    <row r="73" spans="1:14" x14ac:dyDescent="0.3">
      <c r="A73" s="45"/>
      <c r="B73" s="22" t="s">
        <v>66</v>
      </c>
      <c r="C73" s="22" t="s">
        <v>80</v>
      </c>
      <c r="D73" s="101">
        <f>COUNTIF('Min rate concentrations'!W$3:W$368, "&gt;"&amp;inputs!E110)</f>
        <v>1</v>
      </c>
      <c r="E73" s="101">
        <f>COUNTIF('Min rate concentrations'!X$3:X$368, "&gt;"&amp;inputs!E110)</f>
        <v>0</v>
      </c>
      <c r="F73" s="101">
        <f>COUNTIF('Min rate concentrations'!Y$3:Y$368, "&gt;"&amp;inputs!E110)</f>
        <v>0</v>
      </c>
      <c r="G73" s="101">
        <f>COUNTIF('Min rate concentrations'!Z$3:Z$368, "&gt;"&amp;inputs!E110)</f>
        <v>0</v>
      </c>
      <c r="H73" s="101">
        <f>COUNTIF('Min rate concentrations'!AA$3:AA$368, "&gt;"&amp;inputs!E110)</f>
        <v>0</v>
      </c>
      <c r="I73" s="101" t="s">
        <v>13</v>
      </c>
      <c r="J73" s="101">
        <f>COUNTIF('Min rate concentrations'!AB$3:AB$368, "&gt;"&amp;inputs!E110)</f>
        <v>2</v>
      </c>
      <c r="K73" s="101">
        <f>COUNTIF('Min rate concentrations'!AC$3:AC$368, "&gt;"&amp;inputs!E110)</f>
        <v>0</v>
      </c>
      <c r="L73" s="101">
        <f>COUNTIF('Min rate concentrations'!AD$3:AD$368, "&gt;"&amp;inputs!E110)</f>
        <v>1</v>
      </c>
      <c r="M73" s="101">
        <f>COUNTIF('Min rate concentrations'!AE$3:AE$368, "&gt;"&amp;inputs!E110)</f>
        <v>0</v>
      </c>
      <c r="N73" s="101" t="s">
        <v>13</v>
      </c>
    </row>
    <row r="74" spans="1:14" x14ac:dyDescent="0.3">
      <c r="A74" s="45"/>
      <c r="B74" s="22" t="s">
        <v>62</v>
      </c>
      <c r="C74" s="22" t="s">
        <v>71</v>
      </c>
      <c r="D74" s="101">
        <f>COUNTIF('Min rate concentrations'!W$3:W$368, "&gt;"&amp;inputs!E111)</f>
        <v>19</v>
      </c>
      <c r="E74" s="101">
        <f>COUNTIF('Min rate concentrations'!X$3:X$368, "&gt;"&amp;inputs!E111)</f>
        <v>12</v>
      </c>
      <c r="F74" s="101">
        <f>COUNTIF('Min rate concentrations'!Y$3:Y$368, "&gt;"&amp;inputs!E111)</f>
        <v>14</v>
      </c>
      <c r="G74" s="101">
        <f>COUNTIF('Min rate concentrations'!Z$3:Z$368, "&gt;"&amp;inputs!E111)</f>
        <v>0</v>
      </c>
      <c r="H74" s="101">
        <f>COUNTIF('Min rate concentrations'!AA$3:AA$368, "&gt;"&amp;inputs!E111)</f>
        <v>17</v>
      </c>
      <c r="I74" s="101" t="s">
        <v>13</v>
      </c>
      <c r="J74" s="101">
        <f>COUNTIF('Min rate concentrations'!AB$3:AB$368, "&gt;"&amp;inputs!E111)</f>
        <v>19</v>
      </c>
      <c r="K74" s="101">
        <f>COUNTIF('Min rate concentrations'!AC$3:AC$368, "&gt;"&amp;inputs!E111)</f>
        <v>5</v>
      </c>
      <c r="L74" s="101">
        <f>COUNTIF('Min rate concentrations'!AD$3:AD$368, "&gt;"&amp;inputs!E111)</f>
        <v>20</v>
      </c>
      <c r="M74" s="101">
        <f>COUNTIF('Min rate concentrations'!AE$3:AE$368, "&gt;"&amp;inputs!E111)</f>
        <v>0</v>
      </c>
      <c r="N74" s="101" t="s">
        <v>13</v>
      </c>
    </row>
    <row r="75" spans="1:14" x14ac:dyDescent="0.3">
      <c r="A75" s="45"/>
      <c r="B75" s="61" t="s">
        <v>62</v>
      </c>
      <c r="C75" s="61" t="s">
        <v>81</v>
      </c>
      <c r="D75" s="101">
        <f>COUNTIF('Min rate concentrations'!W$3:W$368, "&gt;"&amp;inputs!E112)</f>
        <v>13</v>
      </c>
      <c r="E75" s="101">
        <f>COUNTIF('Min rate concentrations'!X$3:X$368, "&gt;"&amp;inputs!E112)</f>
        <v>6</v>
      </c>
      <c r="F75" s="101">
        <f>COUNTIF('Min rate concentrations'!Y$3:Y$368, "&gt;"&amp;inputs!E112)</f>
        <v>8</v>
      </c>
      <c r="G75" s="101">
        <f>COUNTIF('Min rate concentrations'!Z$3:Z$368, "&gt;"&amp;inputs!E112)</f>
        <v>0</v>
      </c>
      <c r="H75" s="101">
        <f>COUNTIF('Min rate concentrations'!AA$3:AA$368, "&gt;"&amp;inputs!E112)</f>
        <v>11</v>
      </c>
      <c r="I75" s="101" t="s">
        <v>13</v>
      </c>
      <c r="J75" s="101">
        <f>COUNTIF('Min rate concentrations'!AB$3:AB$368, "&gt;"&amp;inputs!E112)</f>
        <v>14</v>
      </c>
      <c r="K75" s="101">
        <f>COUNTIF('Min rate concentrations'!AC$3:AC$368, "&gt;"&amp;inputs!E112)</f>
        <v>0</v>
      </c>
      <c r="L75" s="101">
        <f>COUNTIF('Min rate concentrations'!AD$3:AD$368, "&gt;"&amp;inputs!E112)</f>
        <v>14</v>
      </c>
      <c r="M75" s="101">
        <f>COUNTIF('Min rate concentrations'!AE$3:AE$368, "&gt;"&amp;inputs!E112)</f>
        <v>0</v>
      </c>
      <c r="N75" s="101" t="s">
        <v>13</v>
      </c>
    </row>
    <row r="76" spans="1:14" x14ac:dyDescent="0.3">
      <c r="A76" s="45"/>
      <c r="B76" s="61" t="s">
        <v>62</v>
      </c>
      <c r="C76" s="61" t="s">
        <v>82</v>
      </c>
      <c r="D76" s="101">
        <f>COUNTIF('Min rate concentrations'!W$3:W$368, "&gt;"&amp;inputs!E113)</f>
        <v>8</v>
      </c>
      <c r="E76" s="101">
        <f>COUNTIF('Min rate concentrations'!X$3:X$368, "&gt;"&amp;inputs!E113)</f>
        <v>1</v>
      </c>
      <c r="F76" s="101">
        <f>COUNTIF('Min rate concentrations'!Y$3:Y$368, "&gt;"&amp;inputs!E113)</f>
        <v>3</v>
      </c>
      <c r="G76" s="101">
        <f>COUNTIF('Min rate concentrations'!Z$3:Z$368, "&gt;"&amp;inputs!E113)</f>
        <v>0</v>
      </c>
      <c r="H76" s="101">
        <f>COUNTIF('Min rate concentrations'!AA$3:AA$368, "&gt;"&amp;inputs!E113)</f>
        <v>6</v>
      </c>
      <c r="I76" s="101" t="s">
        <v>13</v>
      </c>
      <c r="J76" s="101">
        <f>COUNTIF('Min rate concentrations'!AB$3:AB$368, "&gt;"&amp;inputs!E113)</f>
        <v>8</v>
      </c>
      <c r="K76" s="101">
        <f>COUNTIF('Min rate concentrations'!AC$3:AC$368, "&gt;"&amp;inputs!E113)</f>
        <v>0</v>
      </c>
      <c r="L76" s="101">
        <f>COUNTIF('Min rate concentrations'!AD$3:AD$368, "&gt;"&amp;inputs!E113)</f>
        <v>9</v>
      </c>
      <c r="M76" s="101">
        <f>COUNTIF('Min rate concentrations'!AE$3:AE$368, "&gt;"&amp;inputs!E113)</f>
        <v>0</v>
      </c>
      <c r="N76" s="101" t="s">
        <v>13</v>
      </c>
    </row>
    <row r="77" spans="1:14" x14ac:dyDescent="0.3">
      <c r="A77" s="45"/>
      <c r="B77" s="61" t="s">
        <v>62</v>
      </c>
      <c r="C77" s="61" t="s">
        <v>83</v>
      </c>
      <c r="D77" s="101">
        <f>COUNTIF('Min rate concentrations'!W$3:W$368, "&gt;"&amp;inputs!E114)</f>
        <v>13</v>
      </c>
      <c r="E77" s="101">
        <f>COUNTIF('Min rate concentrations'!X$3:X$368, "&gt;"&amp;inputs!E114)</f>
        <v>6</v>
      </c>
      <c r="F77" s="101">
        <f>COUNTIF('Min rate concentrations'!Y$3:Y$368, "&gt;"&amp;inputs!E114)</f>
        <v>8</v>
      </c>
      <c r="G77" s="101">
        <f>COUNTIF('Min rate concentrations'!Z$3:Z$368, "&gt;"&amp;inputs!E114)</f>
        <v>0</v>
      </c>
      <c r="H77" s="101">
        <f>COUNTIF('Min rate concentrations'!AA$3:AA$368, "&gt;"&amp;inputs!E114)</f>
        <v>11</v>
      </c>
      <c r="I77" s="101" t="s">
        <v>13</v>
      </c>
      <c r="J77" s="101">
        <f>COUNTIF('Min rate concentrations'!AB$3:AB$368, "&gt;"&amp;inputs!E114)</f>
        <v>14</v>
      </c>
      <c r="K77" s="101">
        <f>COUNTIF('Min rate concentrations'!AC$3:AC$368, "&gt;"&amp;inputs!E114)</f>
        <v>0</v>
      </c>
      <c r="L77" s="101">
        <f>COUNTIF('Min rate concentrations'!AD$3:AD$368, "&gt;"&amp;inputs!E114)</f>
        <v>14</v>
      </c>
      <c r="M77" s="101">
        <f>COUNTIF('Min rate concentrations'!AE$3:AE$368, "&gt;"&amp;inputs!E114)</f>
        <v>0</v>
      </c>
      <c r="N77" s="101" t="s">
        <v>13</v>
      </c>
    </row>
    <row r="78" spans="1:14" x14ac:dyDescent="0.3">
      <c r="A78" s="45"/>
      <c r="B78" s="61" t="s">
        <v>62</v>
      </c>
      <c r="C78" s="61" t="s">
        <v>84</v>
      </c>
      <c r="D78" s="101">
        <f>COUNTIF('Min rate concentrations'!W$3:W$368, "&gt;"&amp;inputs!E115)</f>
        <v>8</v>
      </c>
      <c r="E78" s="101">
        <f>COUNTIF('Min rate concentrations'!X$3:X$368, "&gt;"&amp;inputs!E115)</f>
        <v>1</v>
      </c>
      <c r="F78" s="101">
        <f>COUNTIF('Min rate concentrations'!Y$3:Y$368, "&gt;"&amp;inputs!E115)</f>
        <v>3</v>
      </c>
      <c r="G78" s="101">
        <f>COUNTIF('Min rate concentrations'!Z$3:Z$368, "&gt;"&amp;inputs!E115)</f>
        <v>0</v>
      </c>
      <c r="H78" s="101">
        <f>COUNTIF('Min rate concentrations'!AA$3:AA$368, "&gt;"&amp;inputs!E115)</f>
        <v>6</v>
      </c>
      <c r="I78" s="101" t="s">
        <v>13</v>
      </c>
      <c r="J78" s="101">
        <f>COUNTIF('Min rate concentrations'!AB$3:AB$368, "&gt;"&amp;inputs!E115)</f>
        <v>8</v>
      </c>
      <c r="K78" s="101">
        <f>COUNTIF('Min rate concentrations'!AC$3:AC$368, "&gt;"&amp;inputs!E115)</f>
        <v>0</v>
      </c>
      <c r="L78" s="101">
        <f>COUNTIF('Min rate concentrations'!AD$3:AD$368, "&gt;"&amp;inputs!E115)</f>
        <v>9</v>
      </c>
      <c r="M78" s="101">
        <f>COUNTIF('Min rate concentrations'!AE$3:AE$368, "&gt;"&amp;inputs!E115)</f>
        <v>0</v>
      </c>
      <c r="N78" s="101" t="s">
        <v>13</v>
      </c>
    </row>
    <row r="79" spans="1:14" x14ac:dyDescent="0.3">
      <c r="A79" s="45"/>
      <c r="B79" s="61" t="s">
        <v>62</v>
      </c>
      <c r="C79" s="61" t="s">
        <v>85</v>
      </c>
      <c r="D79" s="101">
        <f>COUNTIF('Min rate concentrations'!W$3:W$368, "&gt;"&amp;inputs!E116)</f>
        <v>2</v>
      </c>
      <c r="E79" s="101">
        <f>COUNTIF('Min rate concentrations'!X$3:X$368, "&gt;"&amp;inputs!E116)</f>
        <v>0</v>
      </c>
      <c r="F79" s="101">
        <f>COUNTIF('Min rate concentrations'!Y$3:Y$368, "&gt;"&amp;inputs!E116)</f>
        <v>0</v>
      </c>
      <c r="G79" s="101">
        <f>COUNTIF('Min rate concentrations'!Z$3:Z$368, "&gt;"&amp;inputs!E116)</f>
        <v>0</v>
      </c>
      <c r="H79" s="101">
        <f>COUNTIF('Min rate concentrations'!AA$3:AA$368, "&gt;"&amp;inputs!E116)</f>
        <v>0</v>
      </c>
      <c r="I79" s="101" t="s">
        <v>13</v>
      </c>
      <c r="J79" s="101">
        <f>COUNTIF('Min rate concentrations'!AB$3:AB$368, "&gt;"&amp;inputs!E116)</f>
        <v>3</v>
      </c>
      <c r="K79" s="101">
        <f>COUNTIF('Min rate concentrations'!AC$3:AC$368, "&gt;"&amp;inputs!E116)</f>
        <v>0</v>
      </c>
      <c r="L79" s="101">
        <f>COUNTIF('Min rate concentrations'!AD$3:AD$368, "&gt;"&amp;inputs!E116)</f>
        <v>3</v>
      </c>
      <c r="M79" s="101">
        <f>COUNTIF('Min rate concentrations'!AE$3:AE$368, "&gt;"&amp;inputs!E116)</f>
        <v>0</v>
      </c>
      <c r="N79" s="101" t="s">
        <v>13</v>
      </c>
    </row>
    <row r="80" spans="1:14" x14ac:dyDescent="0.3">
      <c r="A80" s="45"/>
      <c r="B80" s="61" t="s">
        <v>62</v>
      </c>
      <c r="C80" s="61" t="s">
        <v>86</v>
      </c>
      <c r="D80" s="101">
        <f>COUNTIF('Min rate concentrations'!W$3:W$368, "&gt;"&amp;inputs!E117)</f>
        <v>0</v>
      </c>
      <c r="E80" s="101">
        <f>COUNTIF('Min rate concentrations'!X$3:X$368, "&gt;"&amp;inputs!E117)</f>
        <v>0</v>
      </c>
      <c r="F80" s="101">
        <f>COUNTIF('Min rate concentrations'!Y$3:Y$368, "&gt;"&amp;inputs!E117)</f>
        <v>0</v>
      </c>
      <c r="G80" s="101">
        <f>COUNTIF('Min rate concentrations'!Z$3:Z$368, "&gt;"&amp;inputs!E117)</f>
        <v>0</v>
      </c>
      <c r="H80" s="101">
        <f>COUNTIF('Min rate concentrations'!AA$3:AA$368, "&gt;"&amp;inputs!E117)</f>
        <v>0</v>
      </c>
      <c r="I80" s="101" t="s">
        <v>13</v>
      </c>
      <c r="J80" s="101">
        <f>COUNTIF('Min rate concentrations'!AB$3:AB$368, "&gt;"&amp;inputs!E117)</f>
        <v>0</v>
      </c>
      <c r="K80" s="101">
        <f>COUNTIF('Min rate concentrations'!AC$3:AC$368, "&gt;"&amp;inputs!E117)</f>
        <v>0</v>
      </c>
      <c r="L80" s="101">
        <f>COUNTIF('Min rate concentrations'!AD$3:AD$368, "&gt;"&amp;inputs!E117)</f>
        <v>0</v>
      </c>
      <c r="M80" s="101">
        <f>COUNTIF('Min rate concentrations'!AE$3:AE$368, "&gt;"&amp;inputs!E117)</f>
        <v>0</v>
      </c>
      <c r="N80" s="101" t="s">
        <v>13</v>
      </c>
    </row>
    <row r="81" spans="1:14" x14ac:dyDescent="0.3">
      <c r="A81" s="45"/>
      <c r="B81" s="61" t="s">
        <v>62</v>
      </c>
      <c r="C81" s="61" t="s">
        <v>87</v>
      </c>
      <c r="D81" s="101">
        <f>COUNTIF('Min rate concentrations'!W$3:W$368, "&gt;"&amp;inputs!E118)</f>
        <v>0</v>
      </c>
      <c r="E81" s="101">
        <f>COUNTIF('Min rate concentrations'!X$3:X$368, "&gt;"&amp;inputs!E118)</f>
        <v>0</v>
      </c>
      <c r="F81" s="101">
        <f>COUNTIF('Min rate concentrations'!Y$3:Y$368, "&gt;"&amp;inputs!E118)</f>
        <v>0</v>
      </c>
      <c r="G81" s="101">
        <f>COUNTIF('Min rate concentrations'!Z$3:Z$368, "&gt;"&amp;inputs!E118)</f>
        <v>0</v>
      </c>
      <c r="H81" s="101">
        <f>COUNTIF('Min rate concentrations'!AA$3:AA$368, "&gt;"&amp;inputs!E118)</f>
        <v>0</v>
      </c>
      <c r="I81" s="101" t="s">
        <v>13</v>
      </c>
      <c r="J81" s="101">
        <f>COUNTIF('Min rate concentrations'!AB$3:AB$368, "&gt;"&amp;inputs!E118)</f>
        <v>0</v>
      </c>
      <c r="K81" s="101">
        <f>COUNTIF('Min rate concentrations'!AC$3:AC$368, "&gt;"&amp;inputs!E118)</f>
        <v>0</v>
      </c>
      <c r="L81" s="101">
        <f>COUNTIF('Min rate concentrations'!AD$3:AD$368, "&gt;"&amp;inputs!E118)</f>
        <v>0</v>
      </c>
      <c r="M81" s="101">
        <f>COUNTIF('Min rate concentrations'!AE$3:AE$368, "&gt;"&amp;inputs!E118)</f>
        <v>0</v>
      </c>
      <c r="N81" s="101" t="s">
        <v>13</v>
      </c>
    </row>
    <row r="82" spans="1:14" x14ac:dyDescent="0.3">
      <c r="A82" s="45"/>
      <c r="B82" s="61" t="s">
        <v>62</v>
      </c>
      <c r="C82" s="61" t="s">
        <v>88</v>
      </c>
      <c r="D82" s="101">
        <f>COUNTIF('Min rate concentrations'!W$3:W$368, "&gt;"&amp;inputs!E119)</f>
        <v>0</v>
      </c>
      <c r="E82" s="101">
        <f>COUNTIF('Min rate concentrations'!X$3:X$368, "&gt;"&amp;inputs!E119)</f>
        <v>0</v>
      </c>
      <c r="F82" s="101">
        <f>COUNTIF('Min rate concentrations'!Y$3:Y$368, "&gt;"&amp;inputs!E119)</f>
        <v>0</v>
      </c>
      <c r="G82" s="101">
        <f>COUNTIF('Min rate concentrations'!Z$3:Z$368, "&gt;"&amp;inputs!E119)</f>
        <v>0</v>
      </c>
      <c r="H82" s="101">
        <f>COUNTIF('Min rate concentrations'!AA$3:AA$368, "&gt;"&amp;inputs!E119)</f>
        <v>0</v>
      </c>
      <c r="I82" s="101" t="s">
        <v>13</v>
      </c>
      <c r="J82" s="101">
        <f>COUNTIF('Min rate concentrations'!AB$3:AB$368, "&gt;"&amp;inputs!E119)</f>
        <v>0</v>
      </c>
      <c r="K82" s="101">
        <f>COUNTIF('Min rate concentrations'!AC$3:AC$368, "&gt;"&amp;inputs!E119)</f>
        <v>0</v>
      </c>
      <c r="L82" s="101">
        <f>COUNTIF('Min rate concentrations'!AD$3:AD$368, "&gt;"&amp;inputs!E119)</f>
        <v>0</v>
      </c>
      <c r="M82" s="101">
        <f>COUNTIF('Min rate concentrations'!AE$3:AE$368, "&gt;"&amp;inputs!E119)</f>
        <v>0</v>
      </c>
      <c r="N82" s="101" t="s">
        <v>13</v>
      </c>
    </row>
    <row r="83" spans="1:14" x14ac:dyDescent="0.3">
      <c r="A83" s="45"/>
      <c r="B83" s="22" t="s">
        <v>64</v>
      </c>
      <c r="C83" s="22" t="s">
        <v>71</v>
      </c>
      <c r="D83" s="101">
        <f>COUNTIF('Min rate concentrations'!W$3:W$368, "&gt;"&amp;inputs!E120)</f>
        <v>19</v>
      </c>
      <c r="E83" s="101">
        <f>COUNTIF('Min rate concentrations'!X$3:X$368, "&gt;"&amp;inputs!E120)</f>
        <v>12</v>
      </c>
      <c r="F83" s="101">
        <f>COUNTIF('Min rate concentrations'!Y$3:Y$368, "&gt;"&amp;inputs!E120)</f>
        <v>14</v>
      </c>
      <c r="G83" s="101">
        <f>COUNTIF('Min rate concentrations'!Z$3:Z$368, "&gt;"&amp;inputs!E120)</f>
        <v>0</v>
      </c>
      <c r="H83" s="101">
        <f>COUNTIF('Min rate concentrations'!AA$3:AA$368, "&gt;"&amp;inputs!E120)</f>
        <v>17</v>
      </c>
      <c r="I83" s="101" t="s">
        <v>13</v>
      </c>
      <c r="J83" s="101">
        <f>COUNTIF('Min rate concentrations'!AB$3:AB$368, "&gt;"&amp;inputs!E120)</f>
        <v>19</v>
      </c>
      <c r="K83" s="101">
        <f>COUNTIF('Min rate concentrations'!AC$3:AC$368, "&gt;"&amp;inputs!E120)</f>
        <v>5</v>
      </c>
      <c r="L83" s="101">
        <f>COUNTIF('Min rate concentrations'!AD$3:AD$368, "&gt;"&amp;inputs!E120)</f>
        <v>20</v>
      </c>
      <c r="M83" s="101">
        <f>COUNTIF('Min rate concentrations'!AE$3:AE$368, "&gt;"&amp;inputs!E120)</f>
        <v>0</v>
      </c>
      <c r="N83" s="101" t="s">
        <v>13</v>
      </c>
    </row>
    <row r="84" spans="1:14" x14ac:dyDescent="0.3">
      <c r="A84" s="40" t="s">
        <v>706</v>
      </c>
      <c r="B84" s="22" t="s">
        <v>62</v>
      </c>
      <c r="C84" s="22" t="s">
        <v>63</v>
      </c>
      <c r="D84" s="101">
        <f>COUNTIF('Min rate concentrations'!W$3:W$368, "&gt;"&amp;inputs!E121)</f>
        <v>22</v>
      </c>
      <c r="E84" s="101">
        <f>COUNTIF('Min rate concentrations'!X$3:X$368, "&gt;"&amp;inputs!E121)</f>
        <v>16</v>
      </c>
      <c r="F84" s="101">
        <f>COUNTIF('Min rate concentrations'!Y$3:Y$368, "&gt;"&amp;inputs!E121)</f>
        <v>17</v>
      </c>
      <c r="G84" s="101">
        <f>COUNTIF('Min rate concentrations'!Z$3:Z$368, "&gt;"&amp;inputs!E121)</f>
        <v>3</v>
      </c>
      <c r="H84" s="101">
        <f>COUNTIF('Min rate concentrations'!AA$3:AA$368, "&gt;"&amp;inputs!E121)</f>
        <v>20</v>
      </c>
      <c r="I84" s="101" t="s">
        <v>13</v>
      </c>
      <c r="J84" s="101">
        <f>COUNTIF('Min rate concentrations'!AB$3:AB$368, "&gt;"&amp;inputs!E121)</f>
        <v>23</v>
      </c>
      <c r="K84" s="101">
        <f>COUNTIF('Min rate concentrations'!AC$3:AC$368, "&gt;"&amp;inputs!E121)</f>
        <v>9</v>
      </c>
      <c r="L84" s="101">
        <f>COUNTIF('Min rate concentrations'!AD$3:AD$368, "&gt;"&amp;inputs!E121)</f>
        <v>23</v>
      </c>
      <c r="M84" s="101">
        <f>COUNTIF('Min rate concentrations'!AE$3:AE$368, "&gt;"&amp;inputs!E121)</f>
        <v>0</v>
      </c>
      <c r="N84" s="101" t="s">
        <v>13</v>
      </c>
    </row>
    <row r="85" spans="1:14" x14ac:dyDescent="0.3">
      <c r="A85" s="45" t="s">
        <v>78</v>
      </c>
      <c r="B85" s="22" t="s">
        <v>64</v>
      </c>
      <c r="C85" s="22" t="s">
        <v>65</v>
      </c>
      <c r="D85" s="101">
        <f>COUNTIF('Min rate concentrations'!W$3:W$368, "&gt;"&amp;inputs!E122)</f>
        <v>7</v>
      </c>
      <c r="E85" s="101">
        <f>COUNTIF('Min rate concentrations'!X$3:X$368, "&gt;"&amp;inputs!E122)</f>
        <v>0</v>
      </c>
      <c r="F85" s="101">
        <f>COUNTIF('Min rate concentrations'!Y$3:Y$368, "&gt;"&amp;inputs!E122)</f>
        <v>2</v>
      </c>
      <c r="G85" s="101">
        <f>COUNTIF('Min rate concentrations'!Z$3:Z$368, "&gt;"&amp;inputs!E122)</f>
        <v>0</v>
      </c>
      <c r="H85" s="101">
        <f>COUNTIF('Min rate concentrations'!AA$3:AA$368, "&gt;"&amp;inputs!E122)</f>
        <v>5</v>
      </c>
      <c r="I85" s="101" t="s">
        <v>13</v>
      </c>
      <c r="J85" s="101">
        <f>COUNTIF('Min rate concentrations'!AB$3:AB$368, "&gt;"&amp;inputs!E122)</f>
        <v>8</v>
      </c>
      <c r="K85" s="101">
        <f>COUNTIF('Min rate concentrations'!AC$3:AC$368, "&gt;"&amp;inputs!E122)</f>
        <v>0</v>
      </c>
      <c r="L85" s="101">
        <f>COUNTIF('Min rate concentrations'!AD$3:AD$368, "&gt;"&amp;inputs!E122)</f>
        <v>8</v>
      </c>
      <c r="M85" s="101">
        <f>COUNTIF('Min rate concentrations'!AE$3:AE$368, "&gt;"&amp;inputs!E122)</f>
        <v>0</v>
      </c>
      <c r="N85" s="101" t="s">
        <v>13</v>
      </c>
    </row>
    <row r="86" spans="1:14" x14ac:dyDescent="0.3">
      <c r="A86" s="45"/>
      <c r="B86" s="22" t="s">
        <v>66</v>
      </c>
      <c r="C86" s="22" t="s">
        <v>80</v>
      </c>
      <c r="D86" s="101">
        <f>COUNTIF('Min rate concentrations'!W$3:W$368, "&gt;"&amp;inputs!E123)</f>
        <v>1</v>
      </c>
      <c r="E86" s="101">
        <f>COUNTIF('Min rate concentrations'!X$3:X$368, "&gt;"&amp;inputs!E123)</f>
        <v>0</v>
      </c>
      <c r="F86" s="101">
        <f>COUNTIF('Min rate concentrations'!Y$3:Y$368, "&gt;"&amp;inputs!E123)</f>
        <v>0</v>
      </c>
      <c r="G86" s="101">
        <f>COUNTIF('Min rate concentrations'!Z$3:Z$368, "&gt;"&amp;inputs!E123)</f>
        <v>0</v>
      </c>
      <c r="H86" s="101">
        <f>COUNTIF('Min rate concentrations'!AA$3:AA$368, "&gt;"&amp;inputs!E123)</f>
        <v>0</v>
      </c>
      <c r="I86" s="101" t="s">
        <v>13</v>
      </c>
      <c r="J86" s="101">
        <f>COUNTIF('Min rate concentrations'!AB$3:AB$368, "&gt;"&amp;inputs!E123)</f>
        <v>2</v>
      </c>
      <c r="K86" s="101">
        <f>COUNTIF('Min rate concentrations'!AC$3:AC$368, "&gt;"&amp;inputs!E123)</f>
        <v>0</v>
      </c>
      <c r="L86" s="101">
        <f>COUNTIF('Min rate concentrations'!AD$3:AD$368, "&gt;"&amp;inputs!E123)</f>
        <v>1</v>
      </c>
      <c r="M86" s="101">
        <f>COUNTIF('Min rate concentrations'!AE$3:AE$368, "&gt;"&amp;inputs!E123)</f>
        <v>0</v>
      </c>
      <c r="N86" s="101" t="s">
        <v>13</v>
      </c>
    </row>
    <row r="87" spans="1:14" x14ac:dyDescent="0.3">
      <c r="A87" s="45"/>
      <c r="B87" s="22" t="s">
        <v>62</v>
      </c>
      <c r="C87" s="22" t="s">
        <v>71</v>
      </c>
      <c r="D87" s="101">
        <f>COUNTIF('Min rate concentrations'!W$3:W$368, "&gt;"&amp;inputs!E124)</f>
        <v>19</v>
      </c>
      <c r="E87" s="101">
        <f>COUNTIF('Min rate concentrations'!X$3:X$368, "&gt;"&amp;inputs!E124)</f>
        <v>12</v>
      </c>
      <c r="F87" s="101">
        <f>COUNTIF('Min rate concentrations'!Y$3:Y$368, "&gt;"&amp;inputs!E124)</f>
        <v>14</v>
      </c>
      <c r="G87" s="101">
        <f>COUNTIF('Min rate concentrations'!Z$3:Z$368, "&gt;"&amp;inputs!E124)</f>
        <v>0</v>
      </c>
      <c r="H87" s="101">
        <f>COUNTIF('Min rate concentrations'!AA$3:AA$368, "&gt;"&amp;inputs!E124)</f>
        <v>17</v>
      </c>
      <c r="I87" s="101" t="s">
        <v>13</v>
      </c>
      <c r="J87" s="101">
        <f>COUNTIF('Min rate concentrations'!AB$3:AB$368, "&gt;"&amp;inputs!E124)</f>
        <v>19</v>
      </c>
      <c r="K87" s="101">
        <f>COUNTIF('Min rate concentrations'!AC$3:AC$368, "&gt;"&amp;inputs!E124)</f>
        <v>5</v>
      </c>
      <c r="L87" s="101">
        <f>COUNTIF('Min rate concentrations'!AD$3:AD$368, "&gt;"&amp;inputs!E124)</f>
        <v>20</v>
      </c>
      <c r="M87" s="101">
        <f>COUNTIF('Min rate concentrations'!AE$3:AE$368, "&gt;"&amp;inputs!E124)</f>
        <v>0</v>
      </c>
      <c r="N87" s="101" t="s">
        <v>13</v>
      </c>
    </row>
    <row r="88" spans="1:14" x14ac:dyDescent="0.3">
      <c r="A88" s="45"/>
      <c r="B88" s="61" t="s">
        <v>62</v>
      </c>
      <c r="C88" s="61" t="s">
        <v>81</v>
      </c>
      <c r="D88" s="101">
        <f>COUNTIF('Min rate concentrations'!W$3:W$368, "&gt;"&amp;inputs!E125)</f>
        <v>13</v>
      </c>
      <c r="E88" s="101">
        <f>COUNTIF('Min rate concentrations'!X$3:X$368, "&gt;"&amp;inputs!E125)</f>
        <v>6</v>
      </c>
      <c r="F88" s="101">
        <f>COUNTIF('Min rate concentrations'!Y$3:Y$368, "&gt;"&amp;inputs!E125)</f>
        <v>8</v>
      </c>
      <c r="G88" s="101">
        <f>COUNTIF('Min rate concentrations'!Z$3:Z$368, "&gt;"&amp;inputs!E125)</f>
        <v>0</v>
      </c>
      <c r="H88" s="101">
        <f>COUNTIF('Min rate concentrations'!AA$3:AA$368, "&gt;"&amp;inputs!E125)</f>
        <v>11</v>
      </c>
      <c r="I88" s="101" t="s">
        <v>13</v>
      </c>
      <c r="J88" s="101">
        <f>COUNTIF('Min rate concentrations'!AB$3:AB$368, "&gt;"&amp;inputs!E125)</f>
        <v>14</v>
      </c>
      <c r="K88" s="101">
        <f>COUNTIF('Min rate concentrations'!AC$3:AC$368, "&gt;"&amp;inputs!E125)</f>
        <v>0</v>
      </c>
      <c r="L88" s="101">
        <f>COUNTIF('Min rate concentrations'!AD$3:AD$368, "&gt;"&amp;inputs!E125)</f>
        <v>14</v>
      </c>
      <c r="M88" s="101">
        <f>COUNTIF('Min rate concentrations'!AE$3:AE$368, "&gt;"&amp;inputs!E125)</f>
        <v>0</v>
      </c>
      <c r="N88" s="101" t="s">
        <v>13</v>
      </c>
    </row>
    <row r="89" spans="1:14" x14ac:dyDescent="0.3">
      <c r="A89" s="45"/>
      <c r="B89" s="61" t="s">
        <v>62</v>
      </c>
      <c r="C89" s="61" t="s">
        <v>82</v>
      </c>
      <c r="D89" s="101">
        <f>COUNTIF('Min rate concentrations'!W$3:W$368, "&gt;"&amp;inputs!E126)</f>
        <v>8</v>
      </c>
      <c r="E89" s="101">
        <f>COUNTIF('Min rate concentrations'!X$3:X$368, "&gt;"&amp;inputs!E126)</f>
        <v>1</v>
      </c>
      <c r="F89" s="101">
        <f>COUNTIF('Min rate concentrations'!Y$3:Y$368, "&gt;"&amp;inputs!E126)</f>
        <v>3</v>
      </c>
      <c r="G89" s="101">
        <f>COUNTIF('Min rate concentrations'!Z$3:Z$368, "&gt;"&amp;inputs!E126)</f>
        <v>0</v>
      </c>
      <c r="H89" s="101">
        <f>COUNTIF('Min rate concentrations'!AA$3:AA$368, "&gt;"&amp;inputs!E126)</f>
        <v>6</v>
      </c>
      <c r="I89" s="101" t="s">
        <v>13</v>
      </c>
      <c r="J89" s="101">
        <f>COUNTIF('Min rate concentrations'!AB$3:AB$368, "&gt;"&amp;inputs!E126)</f>
        <v>8</v>
      </c>
      <c r="K89" s="101">
        <f>COUNTIF('Min rate concentrations'!AC$3:AC$368, "&gt;"&amp;inputs!E126)</f>
        <v>0</v>
      </c>
      <c r="L89" s="101">
        <f>COUNTIF('Min rate concentrations'!AD$3:AD$368, "&gt;"&amp;inputs!E126)</f>
        <v>9</v>
      </c>
      <c r="M89" s="101">
        <f>COUNTIF('Min rate concentrations'!AE$3:AE$368, "&gt;"&amp;inputs!E126)</f>
        <v>0</v>
      </c>
      <c r="N89" s="101" t="s">
        <v>13</v>
      </c>
    </row>
    <row r="90" spans="1:14" x14ac:dyDescent="0.3">
      <c r="A90" s="45"/>
      <c r="B90" s="61" t="s">
        <v>62</v>
      </c>
      <c r="C90" s="61" t="s">
        <v>83</v>
      </c>
      <c r="D90" s="101">
        <f>COUNTIF('Min rate concentrations'!W$3:W$368, "&gt;"&amp;inputs!E127)</f>
        <v>13</v>
      </c>
      <c r="E90" s="101">
        <f>COUNTIF('Min rate concentrations'!X$3:X$368, "&gt;"&amp;inputs!E127)</f>
        <v>6</v>
      </c>
      <c r="F90" s="101">
        <f>COUNTIF('Min rate concentrations'!Y$3:Y$368, "&gt;"&amp;inputs!E127)</f>
        <v>8</v>
      </c>
      <c r="G90" s="101">
        <f>COUNTIF('Min rate concentrations'!Z$3:Z$368, "&gt;"&amp;inputs!E127)</f>
        <v>0</v>
      </c>
      <c r="H90" s="101">
        <f>COUNTIF('Min rate concentrations'!AA$3:AA$368, "&gt;"&amp;inputs!E127)</f>
        <v>11</v>
      </c>
      <c r="I90" s="101" t="s">
        <v>13</v>
      </c>
      <c r="J90" s="101">
        <f>COUNTIF('Min rate concentrations'!AB$3:AB$368, "&gt;"&amp;inputs!E127)</f>
        <v>14</v>
      </c>
      <c r="K90" s="101">
        <f>COUNTIF('Min rate concentrations'!AC$3:AC$368, "&gt;"&amp;inputs!E127)</f>
        <v>0</v>
      </c>
      <c r="L90" s="101">
        <f>COUNTIF('Min rate concentrations'!AD$3:AD$368, "&gt;"&amp;inputs!E127)</f>
        <v>14</v>
      </c>
      <c r="M90" s="101">
        <f>COUNTIF('Min rate concentrations'!AE$3:AE$368, "&gt;"&amp;inputs!E127)</f>
        <v>0</v>
      </c>
      <c r="N90" s="101" t="s">
        <v>13</v>
      </c>
    </row>
    <row r="91" spans="1:14" x14ac:dyDescent="0.3">
      <c r="A91" s="45"/>
      <c r="B91" s="61" t="s">
        <v>62</v>
      </c>
      <c r="C91" s="61" t="s">
        <v>84</v>
      </c>
      <c r="D91" s="101">
        <f>COUNTIF('Min rate concentrations'!W$3:W$368, "&gt;"&amp;inputs!E128)</f>
        <v>8</v>
      </c>
      <c r="E91" s="101">
        <f>COUNTIF('Min rate concentrations'!X$3:X$368, "&gt;"&amp;inputs!E128)</f>
        <v>1</v>
      </c>
      <c r="F91" s="101">
        <f>COUNTIF('Min rate concentrations'!Y$3:Y$368, "&gt;"&amp;inputs!E128)</f>
        <v>3</v>
      </c>
      <c r="G91" s="101">
        <f>COUNTIF('Min rate concentrations'!Z$3:Z$368, "&gt;"&amp;inputs!E128)</f>
        <v>0</v>
      </c>
      <c r="H91" s="101">
        <f>COUNTIF('Min rate concentrations'!AA$3:AA$368, "&gt;"&amp;inputs!E128)</f>
        <v>6</v>
      </c>
      <c r="I91" s="101" t="s">
        <v>13</v>
      </c>
      <c r="J91" s="101">
        <f>COUNTIF('Min rate concentrations'!AB$3:AB$368, "&gt;"&amp;inputs!E128)</f>
        <v>8</v>
      </c>
      <c r="K91" s="101">
        <f>COUNTIF('Min rate concentrations'!AC$3:AC$368, "&gt;"&amp;inputs!E128)</f>
        <v>0</v>
      </c>
      <c r="L91" s="101">
        <f>COUNTIF('Min rate concentrations'!AD$3:AD$368, "&gt;"&amp;inputs!E128)</f>
        <v>9</v>
      </c>
      <c r="M91" s="101">
        <f>COUNTIF('Min rate concentrations'!AE$3:AE$368, "&gt;"&amp;inputs!E128)</f>
        <v>0</v>
      </c>
      <c r="N91" s="101" t="s">
        <v>13</v>
      </c>
    </row>
    <row r="92" spans="1:14" x14ac:dyDescent="0.3">
      <c r="A92" s="45"/>
      <c r="B92" s="61" t="s">
        <v>62</v>
      </c>
      <c r="C92" s="61" t="s">
        <v>85</v>
      </c>
      <c r="D92" s="101">
        <f>COUNTIF('Min rate concentrations'!W$3:W$368, "&gt;"&amp;inputs!E129)</f>
        <v>19</v>
      </c>
      <c r="E92" s="101">
        <f>COUNTIF('Min rate concentrations'!X$3:X$368, "&gt;"&amp;inputs!E129)</f>
        <v>12</v>
      </c>
      <c r="F92" s="101">
        <f>COUNTIF('Min rate concentrations'!Y$3:Y$368, "&gt;"&amp;inputs!E129)</f>
        <v>14</v>
      </c>
      <c r="G92" s="101">
        <f>COUNTIF('Min rate concentrations'!Z$3:Z$368, "&gt;"&amp;inputs!E129)</f>
        <v>0</v>
      </c>
      <c r="H92" s="101">
        <f>COUNTIF('Min rate concentrations'!AA$3:AA$368, "&gt;"&amp;inputs!E129)</f>
        <v>17</v>
      </c>
      <c r="I92" s="101" t="s">
        <v>13</v>
      </c>
      <c r="J92" s="101">
        <f>COUNTIF('Min rate concentrations'!AB$3:AB$368, "&gt;"&amp;inputs!E129)</f>
        <v>19</v>
      </c>
      <c r="K92" s="101">
        <f>COUNTIF('Min rate concentrations'!AC$3:AC$368, "&gt;"&amp;inputs!E129)</f>
        <v>5</v>
      </c>
      <c r="L92" s="101">
        <f>COUNTIF('Min rate concentrations'!AD$3:AD$368, "&gt;"&amp;inputs!E129)</f>
        <v>20</v>
      </c>
      <c r="M92" s="101">
        <f>COUNTIF('Min rate concentrations'!AE$3:AE$368, "&gt;"&amp;inputs!E129)</f>
        <v>0</v>
      </c>
      <c r="N92" s="101" t="s">
        <v>13</v>
      </c>
    </row>
    <row r="93" spans="1:14" x14ac:dyDescent="0.3">
      <c r="A93" s="45"/>
      <c r="B93" s="61" t="s">
        <v>62</v>
      </c>
      <c r="C93" s="61" t="s">
        <v>86</v>
      </c>
      <c r="D93" s="101">
        <f>COUNTIF('Min rate concentrations'!W$3:W$368, "&gt;"&amp;inputs!E130)</f>
        <v>19</v>
      </c>
      <c r="E93" s="101">
        <f>COUNTIF('Min rate concentrations'!X$3:X$368, "&gt;"&amp;inputs!E130)</f>
        <v>12</v>
      </c>
      <c r="F93" s="101">
        <f>COUNTIF('Min rate concentrations'!Y$3:Y$368, "&gt;"&amp;inputs!E130)</f>
        <v>14</v>
      </c>
      <c r="G93" s="101">
        <f>COUNTIF('Min rate concentrations'!Z$3:Z$368, "&gt;"&amp;inputs!E130)</f>
        <v>0</v>
      </c>
      <c r="H93" s="101">
        <f>COUNTIF('Min rate concentrations'!AA$3:AA$368, "&gt;"&amp;inputs!E130)</f>
        <v>17</v>
      </c>
      <c r="I93" s="101" t="s">
        <v>13</v>
      </c>
      <c r="J93" s="101">
        <f>COUNTIF('Min rate concentrations'!AB$3:AB$368, "&gt;"&amp;inputs!E130)</f>
        <v>19</v>
      </c>
      <c r="K93" s="101">
        <f>COUNTIF('Min rate concentrations'!AC$3:AC$368, "&gt;"&amp;inputs!E130)</f>
        <v>5</v>
      </c>
      <c r="L93" s="101">
        <f>COUNTIF('Min rate concentrations'!AD$3:AD$368, "&gt;"&amp;inputs!E130)</f>
        <v>20</v>
      </c>
      <c r="M93" s="101">
        <f>COUNTIF('Min rate concentrations'!AE$3:AE$368, "&gt;"&amp;inputs!E130)</f>
        <v>0</v>
      </c>
      <c r="N93" s="101" t="s">
        <v>13</v>
      </c>
    </row>
    <row r="94" spans="1:14" x14ac:dyDescent="0.3">
      <c r="A94" s="45"/>
      <c r="B94" s="61" t="s">
        <v>62</v>
      </c>
      <c r="C94" s="61" t="s">
        <v>87</v>
      </c>
      <c r="D94" s="101">
        <f>COUNTIF('Min rate concentrations'!W$3:W$368, "&gt;"&amp;inputs!E131)</f>
        <v>0</v>
      </c>
      <c r="E94" s="101">
        <f>COUNTIF('Min rate concentrations'!X$3:X$368, "&gt;"&amp;inputs!E131)</f>
        <v>0</v>
      </c>
      <c r="F94" s="101">
        <f>COUNTIF('Min rate concentrations'!Y$3:Y$368, "&gt;"&amp;inputs!E131)</f>
        <v>0</v>
      </c>
      <c r="G94" s="101">
        <f>COUNTIF('Min rate concentrations'!Z$3:Z$368, "&gt;"&amp;inputs!E131)</f>
        <v>0</v>
      </c>
      <c r="H94" s="101">
        <f>COUNTIF('Min rate concentrations'!AA$3:AA$368, "&gt;"&amp;inputs!E131)</f>
        <v>0</v>
      </c>
      <c r="I94" s="101" t="s">
        <v>13</v>
      </c>
      <c r="J94" s="101">
        <f>COUNTIF('Min rate concentrations'!AB$3:AB$368, "&gt;"&amp;inputs!E131)</f>
        <v>0</v>
      </c>
      <c r="K94" s="101">
        <f>COUNTIF('Min rate concentrations'!AC$3:AC$368, "&gt;"&amp;inputs!E131)</f>
        <v>0</v>
      </c>
      <c r="L94" s="101">
        <f>COUNTIF('Min rate concentrations'!AD$3:AD$368, "&gt;"&amp;inputs!E131)</f>
        <v>0</v>
      </c>
      <c r="M94" s="101">
        <f>COUNTIF('Min rate concentrations'!AE$3:AE$368, "&gt;"&amp;inputs!E131)</f>
        <v>0</v>
      </c>
      <c r="N94" s="101" t="s">
        <v>13</v>
      </c>
    </row>
    <row r="95" spans="1:14" x14ac:dyDescent="0.3">
      <c r="A95" s="45"/>
      <c r="B95" s="61" t="s">
        <v>62</v>
      </c>
      <c r="C95" s="61" t="s">
        <v>88</v>
      </c>
      <c r="D95" s="101">
        <f>COUNTIF('Min rate concentrations'!W$3:W$368, "&gt;"&amp;inputs!E132)</f>
        <v>0</v>
      </c>
      <c r="E95" s="101">
        <f>COUNTIF('Min rate concentrations'!X$3:X$368, "&gt;"&amp;inputs!E132)</f>
        <v>0</v>
      </c>
      <c r="F95" s="101">
        <f>COUNTIF('Min rate concentrations'!Y$3:Y$368, "&gt;"&amp;inputs!E132)</f>
        <v>0</v>
      </c>
      <c r="G95" s="101">
        <f>COUNTIF('Min rate concentrations'!Z$3:Z$368, "&gt;"&amp;inputs!E132)</f>
        <v>0</v>
      </c>
      <c r="H95" s="101">
        <f>COUNTIF('Min rate concentrations'!AA$3:AA$368, "&gt;"&amp;inputs!E132)</f>
        <v>0</v>
      </c>
      <c r="I95" s="101" t="s">
        <v>13</v>
      </c>
      <c r="J95" s="101">
        <f>COUNTIF('Min rate concentrations'!AB$3:AB$368, "&gt;"&amp;inputs!E132)</f>
        <v>0</v>
      </c>
      <c r="K95" s="101">
        <f>COUNTIF('Min rate concentrations'!AC$3:AC$368, "&gt;"&amp;inputs!E132)</f>
        <v>0</v>
      </c>
      <c r="L95" s="101">
        <f>COUNTIF('Min rate concentrations'!AD$3:AD$368, "&gt;"&amp;inputs!E132)</f>
        <v>0</v>
      </c>
      <c r="M95" s="101">
        <f>COUNTIF('Min rate concentrations'!AE$3:AE$368, "&gt;"&amp;inputs!E132)</f>
        <v>0</v>
      </c>
      <c r="N95" s="101" t="s">
        <v>13</v>
      </c>
    </row>
    <row r="96" spans="1:14" x14ac:dyDescent="0.3">
      <c r="A96" s="46"/>
      <c r="B96" s="22" t="s">
        <v>64</v>
      </c>
      <c r="C96" s="22" t="s">
        <v>71</v>
      </c>
      <c r="D96" s="101">
        <f>COUNTIF('Min rate concentrations'!W$3:W$368, "&gt;"&amp;inputs!E133)</f>
        <v>19</v>
      </c>
      <c r="E96" s="101">
        <f>COUNTIF('Min rate concentrations'!X$3:X$368, "&gt;"&amp;inputs!E133)</f>
        <v>12</v>
      </c>
      <c r="F96" s="101">
        <f>COUNTIF('Min rate concentrations'!Y$3:Y$368, "&gt;"&amp;inputs!E133)</f>
        <v>14</v>
      </c>
      <c r="G96" s="101">
        <f>COUNTIF('Min rate concentrations'!Z$3:Z$368, "&gt;"&amp;inputs!E133)</f>
        <v>0</v>
      </c>
      <c r="H96" s="101">
        <f>COUNTIF('Min rate concentrations'!AA$3:AA$368, "&gt;"&amp;inputs!E133)</f>
        <v>17</v>
      </c>
      <c r="I96" s="101" t="s">
        <v>13</v>
      </c>
      <c r="J96" s="101">
        <f>COUNTIF('Min rate concentrations'!AB$3:AB$368, "&gt;"&amp;inputs!E133)</f>
        <v>19</v>
      </c>
      <c r="K96" s="101">
        <f>COUNTIF('Min rate concentrations'!AC$3:AC$368, "&gt;"&amp;inputs!E133)</f>
        <v>5</v>
      </c>
      <c r="L96" s="101">
        <f>COUNTIF('Min rate concentrations'!AD$3:AD$368, "&gt;"&amp;inputs!E133)</f>
        <v>20</v>
      </c>
      <c r="M96" s="101">
        <f>COUNTIF('Min rate concentrations'!AE$3:AE$368, "&gt;"&amp;inputs!E133)</f>
        <v>0</v>
      </c>
      <c r="N96" s="101" t="s">
        <v>13</v>
      </c>
    </row>
    <row r="97" spans="1:14" x14ac:dyDescent="0.3">
      <c r="A97" s="40" t="s">
        <v>763</v>
      </c>
      <c r="B97" s="22" t="s">
        <v>62</v>
      </c>
      <c r="C97" s="22" t="s">
        <v>63</v>
      </c>
      <c r="D97" s="101">
        <f>COUNTIF('Min rate concentrations'!W$3:W$368, "&gt;"&amp;inputs!E150)</f>
        <v>0</v>
      </c>
      <c r="E97" s="101">
        <f>COUNTIF('Min rate concentrations'!X$3:X$368, "&gt;"&amp;inputs!E150)</f>
        <v>0</v>
      </c>
      <c r="F97" s="101">
        <f>COUNTIF('Min rate concentrations'!Y$3:Y$368, "&gt;"&amp;inputs!E150)</f>
        <v>0</v>
      </c>
      <c r="G97" s="101">
        <f>COUNTIF('Min rate concentrations'!Z$3:Z$368, "&gt;"&amp;inputs!E150)</f>
        <v>0</v>
      </c>
      <c r="H97" s="101">
        <f>COUNTIF('Min rate concentrations'!AA$3:AA$368, "&gt;"&amp;inputs!E137)</f>
        <v>57</v>
      </c>
      <c r="I97" s="101" t="s">
        <v>13</v>
      </c>
      <c r="J97" s="101" t="s">
        <v>13</v>
      </c>
      <c r="K97" s="101">
        <f>COUNTIF('Min rate concentrations'!AC$3:AC$368, "&gt;"&amp;inputs!E150)</f>
        <v>0</v>
      </c>
      <c r="L97" s="101" t="s">
        <v>13</v>
      </c>
      <c r="M97" s="101" t="s">
        <v>13</v>
      </c>
      <c r="N97" s="101" t="s">
        <v>13</v>
      </c>
    </row>
    <row r="98" spans="1:14" x14ac:dyDescent="0.3">
      <c r="A98" s="41"/>
      <c r="B98" s="22" t="s">
        <v>64</v>
      </c>
      <c r="C98" s="22" t="s">
        <v>65</v>
      </c>
      <c r="D98" s="101">
        <f>COUNTIF('Min rate concentrations'!W$3:W$368, "&gt;"&amp;inputs!E151)</f>
        <v>0</v>
      </c>
      <c r="E98" s="101">
        <f>COUNTIF('Min rate concentrations'!X$3:X$368, "&gt;"&amp;inputs!E151)</f>
        <v>0</v>
      </c>
      <c r="F98" s="101">
        <f>COUNTIF('Min rate concentrations'!Y$3:Y$368, "&gt;"&amp;inputs!E151)</f>
        <v>0</v>
      </c>
      <c r="G98" s="101">
        <f>COUNTIF('Min rate concentrations'!Z$3:Z$368, "&gt;"&amp;inputs!E151)</f>
        <v>0</v>
      </c>
      <c r="H98" s="101">
        <f>COUNTIF('Min rate concentrations'!AA$3:AA$368, "&gt;"&amp;inputs!E138)</f>
        <v>46</v>
      </c>
      <c r="I98" s="101" t="s">
        <v>13</v>
      </c>
      <c r="J98" s="101" t="s">
        <v>13</v>
      </c>
      <c r="K98" s="101">
        <f>COUNTIF('Min rate concentrations'!AC$3:AC$368, "&gt;"&amp;inputs!E151)</f>
        <v>0</v>
      </c>
      <c r="L98" s="101" t="s">
        <v>13</v>
      </c>
      <c r="M98" s="101" t="s">
        <v>13</v>
      </c>
      <c r="N98" s="101" t="s">
        <v>13</v>
      </c>
    </row>
    <row r="99" spans="1:14" x14ac:dyDescent="0.3">
      <c r="A99" s="41"/>
      <c r="B99" s="22" t="s">
        <v>66</v>
      </c>
      <c r="C99" s="22" t="s">
        <v>80</v>
      </c>
      <c r="D99" s="101">
        <f>COUNTIF('Min rate concentrations'!W$3:W$368, "&gt;"&amp;inputs!E152)</f>
        <v>0</v>
      </c>
      <c r="E99" s="101">
        <f>COUNTIF('Min rate concentrations'!X$3:X$368, "&gt;"&amp;inputs!E152)</f>
        <v>0</v>
      </c>
      <c r="F99" s="101">
        <f>COUNTIF('Min rate concentrations'!Y$3:Y$368, "&gt;"&amp;inputs!E152)</f>
        <v>0</v>
      </c>
      <c r="G99" s="101">
        <f>COUNTIF('Min rate concentrations'!Z$3:Z$368, "&gt;"&amp;inputs!E152)</f>
        <v>0</v>
      </c>
      <c r="H99" s="101">
        <f>COUNTIF('Min rate concentrations'!AA$3:AA$368, "&gt;"&amp;inputs!E139)</f>
        <v>42</v>
      </c>
      <c r="I99" s="101" t="s">
        <v>13</v>
      </c>
      <c r="J99" s="101" t="s">
        <v>13</v>
      </c>
      <c r="K99" s="101">
        <f>COUNTIF('Min rate concentrations'!AC$3:AC$368, "&gt;"&amp;inputs!E152)</f>
        <v>0</v>
      </c>
      <c r="L99" s="101" t="s">
        <v>13</v>
      </c>
      <c r="M99" s="101" t="s">
        <v>13</v>
      </c>
      <c r="N99" s="101" t="s">
        <v>13</v>
      </c>
    </row>
    <row r="100" spans="1:14" x14ac:dyDescent="0.3">
      <c r="A100" s="41"/>
      <c r="B100" s="22" t="s">
        <v>62</v>
      </c>
      <c r="C100" s="22" t="s">
        <v>72</v>
      </c>
      <c r="D100" s="101">
        <f>COUNTIF('Min rate concentrations'!W$3:W$368, "&gt;"&amp;inputs!E153)</f>
        <v>17</v>
      </c>
      <c r="E100" s="101">
        <f>COUNTIF('Min rate concentrations'!X$3:X$368, "&gt;"&amp;inputs!E153)</f>
        <v>10</v>
      </c>
      <c r="F100" s="101">
        <f>COUNTIF('Min rate concentrations'!Y$3:Y$368, "&gt;"&amp;inputs!E153)</f>
        <v>12</v>
      </c>
      <c r="G100" s="101">
        <f>COUNTIF('Min rate concentrations'!Z$3:Z$368, "&gt;"&amp;inputs!E153)</f>
        <v>0</v>
      </c>
      <c r="H100" s="101">
        <f>COUNTIF('Min rate concentrations'!AA$3:AA$368, "&gt;"&amp;inputs!E140)</f>
        <v>42</v>
      </c>
      <c r="I100" s="101" t="s">
        <v>13</v>
      </c>
      <c r="J100" s="101" t="s">
        <v>13</v>
      </c>
      <c r="K100" s="101">
        <f>COUNTIF('Min rate concentrations'!AC$3:AC$368, "&gt;"&amp;inputs!E153)</f>
        <v>3</v>
      </c>
      <c r="L100" s="101" t="s">
        <v>13</v>
      </c>
      <c r="M100" s="101" t="s">
        <v>13</v>
      </c>
      <c r="N100" s="101" t="s">
        <v>13</v>
      </c>
    </row>
    <row r="101" spans="1:14" x14ac:dyDescent="0.3">
      <c r="A101" s="41"/>
      <c r="B101" s="22" t="s">
        <v>62</v>
      </c>
      <c r="C101" s="22" t="s">
        <v>81</v>
      </c>
      <c r="D101" s="101">
        <f>COUNTIF('Min rate concentrations'!W$3:W$368, "&gt;"&amp;inputs!E154)</f>
        <v>0</v>
      </c>
      <c r="E101" s="101">
        <f>COUNTIF('Min rate concentrations'!X$3:X$368, "&gt;"&amp;inputs!E154)</f>
        <v>0</v>
      </c>
      <c r="F101" s="101">
        <f>COUNTIF('Min rate concentrations'!Y$3:Y$368, "&gt;"&amp;inputs!E154)</f>
        <v>0</v>
      </c>
      <c r="G101" s="101">
        <f>COUNTIF('Min rate concentrations'!Z$3:Z$368, "&gt;"&amp;inputs!E154)</f>
        <v>0</v>
      </c>
      <c r="H101" s="101">
        <f>COUNTIF('Min rate concentrations'!AA$3:AA$368, "&gt;"&amp;inputs!E141)</f>
        <v>0</v>
      </c>
      <c r="I101" s="101" t="s">
        <v>13</v>
      </c>
      <c r="J101" s="101" t="s">
        <v>13</v>
      </c>
      <c r="K101" s="101">
        <f>COUNTIF('Min rate concentrations'!AC$3:AC$368, "&gt;"&amp;inputs!E154)</f>
        <v>0</v>
      </c>
      <c r="L101" s="101" t="s">
        <v>13</v>
      </c>
      <c r="M101" s="101" t="s">
        <v>13</v>
      </c>
      <c r="N101" s="101" t="s">
        <v>13</v>
      </c>
    </row>
    <row r="102" spans="1:14" x14ac:dyDescent="0.3">
      <c r="A102" s="41"/>
      <c r="B102" s="22" t="s">
        <v>66</v>
      </c>
      <c r="C102" s="22" t="s">
        <v>82</v>
      </c>
      <c r="D102" s="101">
        <f>COUNTIF('Min rate concentrations'!W$3:W$368, "&gt;"&amp;inputs!E155)</f>
        <v>0</v>
      </c>
      <c r="E102" s="101">
        <f>COUNTIF('Min rate concentrations'!X$3:X$368, "&gt;"&amp;inputs!E155)</f>
        <v>0</v>
      </c>
      <c r="F102" s="101">
        <f>COUNTIF('Min rate concentrations'!Y$3:Y$368, "&gt;"&amp;inputs!E155)</f>
        <v>0</v>
      </c>
      <c r="G102" s="101">
        <f>COUNTIF('Min rate concentrations'!Z$3:Z$368, "&gt;"&amp;inputs!E155)</f>
        <v>0</v>
      </c>
      <c r="H102" s="101">
        <f>COUNTIF('Min rate concentrations'!AA$3:AA$368, "&gt;"&amp;inputs!E142)</f>
        <v>0</v>
      </c>
      <c r="I102" s="101" t="s">
        <v>13</v>
      </c>
      <c r="J102" s="101" t="s">
        <v>13</v>
      </c>
      <c r="K102" s="101">
        <f>COUNTIF('Min rate concentrations'!AC$3:AC$368, "&gt;"&amp;inputs!E155)</f>
        <v>0</v>
      </c>
      <c r="L102" s="101" t="s">
        <v>13</v>
      </c>
      <c r="M102" s="101" t="s">
        <v>13</v>
      </c>
      <c r="N102" s="101" t="s">
        <v>13</v>
      </c>
    </row>
    <row r="103" spans="1:14" x14ac:dyDescent="0.3">
      <c r="A103" s="41"/>
      <c r="B103" s="22" t="s">
        <v>62</v>
      </c>
      <c r="C103" s="22" t="s">
        <v>83</v>
      </c>
      <c r="D103" s="101">
        <f>COUNTIF('Min rate concentrations'!W$3:W$368, "&gt;"&amp;inputs!E156)</f>
        <v>0</v>
      </c>
      <c r="E103" s="101">
        <f>COUNTIF('Min rate concentrations'!X$3:X$368, "&gt;"&amp;inputs!E156)</f>
        <v>0</v>
      </c>
      <c r="F103" s="101">
        <f>COUNTIF('Min rate concentrations'!Y$3:Y$368, "&gt;"&amp;inputs!E156)</f>
        <v>0</v>
      </c>
      <c r="G103" s="101">
        <f>COUNTIF('Min rate concentrations'!Z$3:Z$368, "&gt;"&amp;inputs!E156)</f>
        <v>0</v>
      </c>
      <c r="H103" s="101">
        <f>COUNTIF('Min rate concentrations'!AA$3:AA$368, "&gt;"&amp;inputs!E143)</f>
        <v>0</v>
      </c>
      <c r="I103" s="101" t="s">
        <v>13</v>
      </c>
      <c r="J103" s="101" t="s">
        <v>13</v>
      </c>
      <c r="K103" s="101">
        <f>COUNTIF('Min rate concentrations'!AC$3:AC$368, "&gt;"&amp;inputs!E156)</f>
        <v>0</v>
      </c>
      <c r="L103" s="101" t="s">
        <v>13</v>
      </c>
      <c r="M103" s="101" t="s">
        <v>13</v>
      </c>
      <c r="N103" s="101" t="s">
        <v>13</v>
      </c>
    </row>
    <row r="104" spans="1:14" x14ac:dyDescent="0.3">
      <c r="A104" s="41"/>
      <c r="B104" s="22" t="s">
        <v>66</v>
      </c>
      <c r="C104" s="22" t="s">
        <v>84</v>
      </c>
      <c r="D104" s="101">
        <f>COUNTIF('Min rate concentrations'!W$3:W$368, "&gt;"&amp;inputs!E157)</f>
        <v>0</v>
      </c>
      <c r="E104" s="101">
        <f>COUNTIF('Min rate concentrations'!X$3:X$368, "&gt;"&amp;inputs!E157)</f>
        <v>0</v>
      </c>
      <c r="F104" s="101">
        <f>COUNTIF('Min rate concentrations'!Y$3:Y$368, "&gt;"&amp;inputs!E157)</f>
        <v>0</v>
      </c>
      <c r="G104" s="101">
        <f>COUNTIF('Min rate concentrations'!Z$3:Z$368, "&gt;"&amp;inputs!E157)</f>
        <v>0</v>
      </c>
      <c r="H104" s="101">
        <f>COUNTIF('Min rate concentrations'!AA$3:AA$368, "&gt;"&amp;inputs!E144)</f>
        <v>0</v>
      </c>
      <c r="I104" s="101" t="s">
        <v>13</v>
      </c>
      <c r="J104" s="101" t="s">
        <v>13</v>
      </c>
      <c r="K104" s="101">
        <f>COUNTIF('Min rate concentrations'!AC$3:AC$368, "&gt;"&amp;inputs!E157)</f>
        <v>0</v>
      </c>
      <c r="L104" s="101" t="s">
        <v>13</v>
      </c>
      <c r="M104" s="101" t="s">
        <v>13</v>
      </c>
      <c r="N104" s="101" t="s">
        <v>13</v>
      </c>
    </row>
    <row r="105" spans="1:14" x14ac:dyDescent="0.3">
      <c r="A105" s="41"/>
      <c r="B105" s="22" t="s">
        <v>62</v>
      </c>
      <c r="C105" s="22" t="s">
        <v>85</v>
      </c>
      <c r="D105" s="101">
        <f>COUNTIF('Min rate concentrations'!W$3:W$368, "&gt;"&amp;inputs!E158)</f>
        <v>0</v>
      </c>
      <c r="E105" s="101">
        <f>COUNTIF('Min rate concentrations'!X$3:X$368, "&gt;"&amp;inputs!E158)</f>
        <v>0</v>
      </c>
      <c r="F105" s="101">
        <f>COUNTIF('Min rate concentrations'!Y$3:Y$368, "&gt;"&amp;inputs!E158)</f>
        <v>0</v>
      </c>
      <c r="G105" s="101">
        <f>COUNTIF('Min rate concentrations'!Z$3:Z$368, "&gt;"&amp;inputs!E158)</f>
        <v>0</v>
      </c>
      <c r="H105" s="101">
        <f>COUNTIF('Min rate concentrations'!AA$3:AA$368, "&gt;"&amp;inputs!E145)</f>
        <v>0</v>
      </c>
      <c r="I105" s="101" t="s">
        <v>13</v>
      </c>
      <c r="J105" s="101" t="s">
        <v>13</v>
      </c>
      <c r="K105" s="101">
        <f>COUNTIF('Min rate concentrations'!AC$3:AC$368, "&gt;"&amp;inputs!E158)</f>
        <v>0</v>
      </c>
      <c r="L105" s="101" t="s">
        <v>13</v>
      </c>
      <c r="M105" s="101" t="s">
        <v>13</v>
      </c>
      <c r="N105" s="101" t="s">
        <v>13</v>
      </c>
    </row>
    <row r="106" spans="1:14" x14ac:dyDescent="0.3">
      <c r="A106" s="41"/>
      <c r="B106" s="22" t="s">
        <v>66</v>
      </c>
      <c r="C106" s="22" t="s">
        <v>86</v>
      </c>
      <c r="D106" s="101">
        <f>COUNTIF('Min rate concentrations'!W$3:W$368, "&gt;"&amp;inputs!E159)</f>
        <v>17</v>
      </c>
      <c r="E106" s="101">
        <f>COUNTIF('Min rate concentrations'!X$3:X$368, "&gt;"&amp;inputs!E159)</f>
        <v>10</v>
      </c>
      <c r="F106" s="101">
        <f>COUNTIF('Min rate concentrations'!Y$3:Y$368, "&gt;"&amp;inputs!E159)</f>
        <v>12</v>
      </c>
      <c r="G106" s="101">
        <f>COUNTIF('Min rate concentrations'!Z$3:Z$368, "&gt;"&amp;inputs!E159)</f>
        <v>0</v>
      </c>
      <c r="H106" s="101">
        <f>COUNTIF('Min rate concentrations'!AA$3:AA$368, "&gt;"&amp;inputs!E146)</f>
        <v>0</v>
      </c>
      <c r="I106" s="101" t="s">
        <v>13</v>
      </c>
      <c r="J106" s="101" t="s">
        <v>13</v>
      </c>
      <c r="K106" s="101">
        <f>COUNTIF('Min rate concentrations'!AC$3:AC$368, "&gt;"&amp;inputs!E159)</f>
        <v>3</v>
      </c>
      <c r="L106" s="101" t="s">
        <v>13</v>
      </c>
      <c r="M106" s="101" t="s">
        <v>13</v>
      </c>
      <c r="N106" s="101" t="s">
        <v>13</v>
      </c>
    </row>
    <row r="107" spans="1:14" x14ac:dyDescent="0.3">
      <c r="A107" s="41"/>
      <c r="B107" s="22" t="s">
        <v>62</v>
      </c>
      <c r="C107" s="22" t="s">
        <v>87</v>
      </c>
      <c r="D107" s="101">
        <f>COUNTIF('Min rate concentrations'!W$3:W$368, "&gt;"&amp;inputs!E160)</f>
        <v>0</v>
      </c>
      <c r="E107" s="101">
        <f>COUNTIF('Min rate concentrations'!X$3:X$368, "&gt;"&amp;inputs!E160)</f>
        <v>0</v>
      </c>
      <c r="F107" s="101">
        <f>COUNTIF('Min rate concentrations'!Y$3:Y$368, "&gt;"&amp;inputs!E160)</f>
        <v>0</v>
      </c>
      <c r="G107" s="101">
        <f>COUNTIF('Min rate concentrations'!Z$3:Z$368, "&gt;"&amp;inputs!E160)</f>
        <v>0</v>
      </c>
      <c r="H107" s="101">
        <f>COUNTIF('Min rate concentrations'!AA$3:AA$368, "&gt;"&amp;inputs!E147)</f>
        <v>0</v>
      </c>
      <c r="I107" s="101" t="s">
        <v>13</v>
      </c>
      <c r="J107" s="101" t="s">
        <v>13</v>
      </c>
      <c r="K107" s="101">
        <f>COUNTIF('Min rate concentrations'!AC$3:AC$368, "&gt;"&amp;inputs!E160)</f>
        <v>0</v>
      </c>
      <c r="L107" s="101" t="s">
        <v>13</v>
      </c>
      <c r="M107" s="101" t="s">
        <v>13</v>
      </c>
      <c r="N107" s="101" t="s">
        <v>13</v>
      </c>
    </row>
    <row r="108" spans="1:14" x14ac:dyDescent="0.3">
      <c r="A108" s="41"/>
      <c r="B108" s="22" t="s">
        <v>66</v>
      </c>
      <c r="C108" s="22" t="s">
        <v>88</v>
      </c>
      <c r="D108" s="101">
        <f>COUNTIF('Min rate concentrations'!W$3:W$368, "&gt;"&amp;inputs!E161)</f>
        <v>0</v>
      </c>
      <c r="E108" s="101">
        <f>COUNTIF('Min rate concentrations'!X$3:X$368, "&gt;"&amp;inputs!E161)</f>
        <v>0</v>
      </c>
      <c r="F108" s="101">
        <f>COUNTIF('Min rate concentrations'!Y$3:Y$368, "&gt;"&amp;inputs!E161)</f>
        <v>0</v>
      </c>
      <c r="G108" s="101">
        <f>COUNTIF('Min rate concentrations'!Z$3:Z$368, "&gt;"&amp;inputs!E161)</f>
        <v>0</v>
      </c>
      <c r="H108" s="101">
        <f>COUNTIF('Min rate concentrations'!AA$3:AA$368, "&gt;"&amp;inputs!E148)</f>
        <v>0</v>
      </c>
      <c r="I108" s="101" t="s">
        <v>13</v>
      </c>
      <c r="J108" s="101" t="s">
        <v>13</v>
      </c>
      <c r="K108" s="101">
        <f>COUNTIF('Min rate concentrations'!AC$3:AC$368, "&gt;"&amp;inputs!E161)</f>
        <v>0</v>
      </c>
      <c r="L108" s="101" t="s">
        <v>13</v>
      </c>
      <c r="M108" s="101" t="s">
        <v>13</v>
      </c>
      <c r="N108" s="101" t="s">
        <v>13</v>
      </c>
    </row>
    <row r="109" spans="1:14" x14ac:dyDescent="0.3">
      <c r="A109" s="39"/>
      <c r="B109" s="22" t="s">
        <v>64</v>
      </c>
      <c r="C109" s="22" t="s">
        <v>72</v>
      </c>
      <c r="D109" s="101">
        <f>COUNTIF('Min rate concentrations'!W$3:W$368, "&gt;"&amp;inputs!E162)</f>
        <v>12</v>
      </c>
      <c r="E109" s="101">
        <f>COUNTIF('Min rate concentrations'!X$3:X$368, "&gt;"&amp;inputs!E162)</f>
        <v>5</v>
      </c>
      <c r="F109" s="101">
        <f>COUNTIF('Min rate concentrations'!Y$3:Y$368, "&gt;"&amp;inputs!E162)</f>
        <v>7</v>
      </c>
      <c r="G109" s="101">
        <f>COUNTIF('Min rate concentrations'!Z$3:Z$368, "&gt;"&amp;inputs!E162)</f>
        <v>0</v>
      </c>
      <c r="H109" s="101">
        <f>COUNTIF('Min rate concentrations'!AA$3:AA$368, "&gt;"&amp;inputs!E149)</f>
        <v>42</v>
      </c>
      <c r="I109" s="101" t="s">
        <v>13</v>
      </c>
      <c r="J109" s="101" t="s">
        <v>13</v>
      </c>
      <c r="K109" s="101">
        <f>COUNTIF('Min rate concentrations'!AC$3:AC$368, "&gt;"&amp;inputs!E162)</f>
        <v>0</v>
      </c>
      <c r="L109" s="101" t="s">
        <v>13</v>
      </c>
      <c r="M109" s="101" t="s">
        <v>13</v>
      </c>
      <c r="N109" s="101" t="s">
        <v>13</v>
      </c>
    </row>
    <row r="110" spans="1:14" x14ac:dyDescent="0.3">
      <c r="A110" s="62"/>
      <c r="B110" s="23"/>
      <c r="C110" s="23"/>
      <c r="D110" s="77"/>
      <c r="E110" s="77"/>
      <c r="F110" s="77"/>
      <c r="G110" s="77"/>
      <c r="H110" s="77"/>
      <c r="I110" s="77"/>
      <c r="J110" s="77"/>
      <c r="K110" s="77"/>
      <c r="L110" s="77"/>
      <c r="M110" s="77"/>
    </row>
    <row r="111" spans="1:14" x14ac:dyDescent="0.3">
      <c r="A111" s="1" t="s">
        <v>792</v>
      </c>
      <c r="B111" s="1"/>
    </row>
    <row r="112" spans="1:14" ht="58.5" customHeight="1" x14ac:dyDescent="0.3">
      <c r="A112" s="47" t="s">
        <v>57</v>
      </c>
      <c r="B112" s="2" t="s">
        <v>58</v>
      </c>
      <c r="C112" s="2" t="s">
        <v>59</v>
      </c>
      <c r="D112" s="9" t="s">
        <v>98</v>
      </c>
      <c r="E112" s="9" t="s">
        <v>99</v>
      </c>
      <c r="F112" s="9" t="s">
        <v>100</v>
      </c>
      <c r="G112" s="9" t="s">
        <v>101</v>
      </c>
      <c r="H112" s="9" t="s">
        <v>102</v>
      </c>
      <c r="I112" s="9" t="s">
        <v>112</v>
      </c>
      <c r="J112" s="9" t="s">
        <v>113</v>
      </c>
      <c r="K112" s="9" t="s">
        <v>114</v>
      </c>
      <c r="L112" s="9" t="s">
        <v>115</v>
      </c>
      <c r="M112" s="9" t="s">
        <v>116</v>
      </c>
      <c r="N112" s="9" t="s">
        <v>769</v>
      </c>
    </row>
    <row r="113" spans="1:14" x14ac:dyDescent="0.3">
      <c r="A113" s="44" t="s">
        <v>61</v>
      </c>
      <c r="B113" s="22" t="s">
        <v>62</v>
      </c>
      <c r="C113" s="22" t="s">
        <v>63</v>
      </c>
      <c r="D113" s="176">
        <f>IF((((inputs!$P$12/(inputs!E95/MAX('Min rate concentrations'!D$3:D$368)))^(1/inputs!$O$12))-1)/inputs!$N$12&lt;0, 0, IF((((inputs!$P$12/(inputs!E95/MAX('Min rate concentrations'!D$3:D$368)))^(1/inputs!$O$12))-1)/inputs!$N$12&gt;inputs!$H$17, inputs!$H$17, (((inputs!$P$12/(inputs!E95/MAX('Min rate concentrations'!D$3:D$368)))^(1/inputs!$O$12))-1)/inputs!$N$12))</f>
        <v>19.450350938132239</v>
      </c>
      <c r="E113" s="176">
        <f>IF((((inputs!$P$12/(inputs!E95/MAX('Min rate concentrations'!E$3:E$368)))^(1/inputs!$O$12))-1)/inputs!$N$12&lt;0, 0, IF((((inputs!$P$12/(inputs!E95/MAX('Min rate concentrations'!E$3:E$368)))^(1/inputs!$O$12))-1)/inputs!$N$12&gt;inputs!$H$17, inputs!$H$17, (((inputs!$P$12/(inputs!E95/MAX('Min rate concentrations'!E$3:E$368)))^(1/inputs!$O$12))-1)/inputs!$N$12))</f>
        <v>6.4153151715765881</v>
      </c>
      <c r="F113" s="176">
        <f>IF((((inputs!$P$12/(inputs!E95/MAX('Min rate concentrations'!F$3:F$368)))^(1/inputs!$O$12))-1)/inputs!$N$12&lt;0, 0, IF((((inputs!$P$12/(inputs!E95/MAX('Min rate concentrations'!F$3:F$368)))^(1/inputs!$O$12))-1)/inputs!$N$12&gt;inputs!$H$17, inputs!$H$17, (((inputs!$P$12/(inputs!E95/MAX('Min rate concentrations'!F$3:F$368)))^(1/inputs!$O$12))-1)/inputs!$N$12))</f>
        <v>9.4473587716699949</v>
      </c>
      <c r="G113" s="176">
        <f>IF((((inputs!$P$12/(inputs!E95/MAX('Min rate concentrations'!G$3:G$368)))^(1/inputs!$O$12))-1)/inputs!$N$12&lt;0, 0, IF((((inputs!$P$12/(inputs!E95/MAX('Min rate concentrations'!G$3:G$368)))^(1/inputs!$O$12))-1)/inputs!$N$12&gt;inputs!$H$17, inputs!$H$17, (((inputs!$P$12/(inputs!E95/MAX('Min rate concentrations'!G$3:G$368)))^(1/inputs!$O$12))-1)/inputs!$N$12))</f>
        <v>0</v>
      </c>
      <c r="H113" s="176">
        <f>IF((((inputs!$P$12/(inputs!E95/MAX('Min rate concentrations'!H$3:H$368)))^(1/inputs!$O$12))-1)/inputs!$N$12&lt;0, 0, IF((((inputs!$P$12/(inputs!E95/MAX('Min rate concentrations'!H$3:H$368)))^(1/inputs!$O$12))-1)/inputs!$N$12&gt;inputs!$H$17, inputs!$H$17, (((inputs!$P$12/(inputs!E95/MAX('Min rate concentrations'!H$3:H$368)))^(1/inputs!$O$12))-1)/inputs!$N$12))</f>
        <v>4.253553323619915</v>
      </c>
      <c r="I113" s="176">
        <f>IF((((inputs!$P$12/(inputs!E95/MAX('Min rate concentrations'!I$3:I$368)))^(1/inputs!$O$12))-1)/inputs!$N$12&lt;0, 0, IF((((inputs!$P$12/(inputs!E95/MAX('Min rate concentrations'!I$3:I$368)))^(1/inputs!$O$12))-1)/inputs!$N$12&gt;inputs!$H$17, inputs!$H$17, (((inputs!$P$12/(inputs!E95/MAX('Min rate concentrations'!I$3:I$368)))^(1/inputs!$O$12))-1)/inputs!$N$12))</f>
        <v>0</v>
      </c>
      <c r="J113" s="176">
        <f>IF((((inputs!$P$12/(inputs!E95/MAX('Min rate concentrations'!J$3:J$368)))^(1/inputs!$O$12))-1)/inputs!$N$12&lt;0, 0, IF((((inputs!$P$12/(inputs!E95/MAX('Min rate concentrations'!J$3:J$368)))^(1/inputs!$O$12))-1)/inputs!$N$12&gt;inputs!$H$17, inputs!$H$17, (((inputs!$P$12/(inputs!E95/MAX('Min rate concentrations'!J$3:J$368)))^(1/inputs!$O$12))-1)/inputs!$N$12))</f>
        <v>18.52928371062475</v>
      </c>
      <c r="K113" s="176">
        <f>IF((((inputs!$P$12/(inputs!E95/MAX('Min rate concentrations'!K$3:K$368)))^(1/inputs!$O$12))-1)/inputs!$N$12&lt;0, 0, IF((((inputs!$P$12/(inputs!E95/MAX('Min rate concentrations'!K$3:K$368)))^(1/inputs!$O$12))-1)/inputs!$N$12&gt;inputs!$H$17, inputs!$H$17, (((inputs!$P$12/(inputs!E95/MAX('Min rate concentrations'!K$3:K$368)))^(1/inputs!$O$12))-1)/inputs!$N$12))</f>
        <v>0</v>
      </c>
      <c r="L113" s="176">
        <f>IF((((inputs!$P$12/(inputs!E95/MAX('Min rate concentrations'!L$3:L$368)))^(1/inputs!$O$12))-1)/inputs!$N$12&lt;0, 0, IF((((inputs!$P$12/(inputs!E95/MAX('Min rate concentrations'!L$3:L$368)))^(1/inputs!$O$12))-1)/inputs!$N$12&gt;inputs!$H$17, inputs!$H$17, (((inputs!$P$12/(inputs!E95/MAX('Min rate concentrations'!L$3:L$368)))^(1/inputs!$O$12))-1)/inputs!$N$12))</f>
        <v>7.2826679124935145</v>
      </c>
      <c r="M113" s="176">
        <f>IF((((inputs!$P$12/(inputs!E95/MAX('Min rate concentrations'!M$3:M$368)))^(1/inputs!$O$12))-1)/inputs!$N$12&lt;0, 0, IF((((inputs!$P$12/(inputs!E95/MAX('Min rate concentrations'!M$3:M$368)))^(1/inputs!$O$12))-1)/inputs!$N$12&gt;inputs!$H$17, inputs!$H$17, (((inputs!$P$12/(inputs!E95/MAX('Min rate concentrations'!M$3:M$368)))^(1/inputs!$O$12))-1)/inputs!$N$12))</f>
        <v>0</v>
      </c>
      <c r="N113" s="101" t="s">
        <v>13</v>
      </c>
    </row>
    <row r="114" spans="1:14" x14ac:dyDescent="0.3">
      <c r="A114" s="45"/>
      <c r="B114" s="22" t="s">
        <v>64</v>
      </c>
      <c r="C114" s="22" t="s">
        <v>65</v>
      </c>
      <c r="D114" s="176">
        <f>IF((((inputs!$P$12/(inputs!E96/MAX('Min rate concentrations'!D$3:D$368)))^(1/inputs!$O$12))-1)/inputs!$N$12&lt;0, 0, IF((((inputs!$P$12/(inputs!E96/MAX('Min rate concentrations'!D$3:D$368)))^(1/inputs!$O$12))-1)/inputs!$N$12&gt;inputs!$H$17, inputs!$H$17, (((inputs!$P$12/(inputs!E96/MAX('Min rate concentrations'!D$3:D$368)))^(1/inputs!$O$12))-1)/inputs!$N$12))</f>
        <v>0</v>
      </c>
      <c r="E114" s="176">
        <f>IF((((inputs!$P$12/(inputs!E96/MAX('Min rate concentrations'!E$3:E$368)))^(1/inputs!$O$12))-1)/inputs!$N$12&lt;0, 0, IF((((inputs!$P$12/(inputs!E96/MAX('Min rate concentrations'!E$3:E$368)))^(1/inputs!$O$12))-1)/inputs!$N$12&gt;inputs!$H$17, inputs!$H$17, (((inputs!$P$12/(inputs!E96/MAX('Min rate concentrations'!E$3:E$368)))^(1/inputs!$O$12))-1)/inputs!$N$12))</f>
        <v>0</v>
      </c>
      <c r="F114" s="176">
        <f>IF((((inputs!$P$12/(inputs!E96/MAX('Min rate concentrations'!F$3:F$368)))^(1/inputs!$O$12))-1)/inputs!$N$12&lt;0, 0, IF((((inputs!$P$12/(inputs!E96/MAX('Min rate concentrations'!F$3:F$368)))^(1/inputs!$O$12))-1)/inputs!$N$12&gt;inputs!$H$17, inputs!$H$17, (((inputs!$P$12/(inputs!E96/MAX('Min rate concentrations'!F$3:F$368)))^(1/inputs!$O$12))-1)/inputs!$N$12))</f>
        <v>0</v>
      </c>
      <c r="G114" s="176">
        <f>IF((((inputs!$P$12/(inputs!E96/MAX('Min rate concentrations'!G$3:G$368)))^(1/inputs!$O$12))-1)/inputs!$N$12&lt;0, 0, IF((((inputs!$P$12/(inputs!E96/MAX('Min rate concentrations'!G$3:G$368)))^(1/inputs!$O$12))-1)/inputs!$N$12&gt;inputs!$H$17, inputs!$H$17, (((inputs!$P$12/(inputs!E96/MAX('Min rate concentrations'!G$3:G$368)))^(1/inputs!$O$12))-1)/inputs!$N$12))</f>
        <v>0</v>
      </c>
      <c r="H114" s="176">
        <f>IF((((inputs!$P$12/(inputs!E96/MAX('Min rate concentrations'!H$3:H$368)))^(1/inputs!$O$12))-1)/inputs!$N$12&lt;0, 0, IF((((inputs!$P$12/(inputs!E96/MAX('Min rate concentrations'!H$3:H$368)))^(1/inputs!$O$12))-1)/inputs!$N$12&gt;inputs!$H$17, inputs!$H$17, (((inputs!$P$12/(inputs!E96/MAX('Min rate concentrations'!H$3:H$368)))^(1/inputs!$O$12))-1)/inputs!$N$12))</f>
        <v>0</v>
      </c>
      <c r="I114" s="176">
        <f>IF((((inputs!$P$12/(inputs!E96/MAX('Min rate concentrations'!I$3:I$368)))^(1/inputs!$O$12))-1)/inputs!$N$12&lt;0, 0, IF((((inputs!$P$12/(inputs!E96/MAX('Min rate concentrations'!I$3:I$368)))^(1/inputs!$O$12))-1)/inputs!$N$12&gt;inputs!$H$17, inputs!$H$17, (((inputs!$P$12/(inputs!E96/MAX('Min rate concentrations'!I$3:I$368)))^(1/inputs!$O$12))-1)/inputs!$N$12))</f>
        <v>0</v>
      </c>
      <c r="J114" s="176">
        <f>IF((((inputs!$P$12/(inputs!E96/MAX('Min rate concentrations'!J$3:J$368)))^(1/inputs!$O$12))-1)/inputs!$N$12&lt;0, 0, IF((((inputs!$P$12/(inputs!E96/MAX('Min rate concentrations'!J$3:J$368)))^(1/inputs!$O$12))-1)/inputs!$N$12&gt;inputs!$H$17, inputs!$H$17, (((inputs!$P$12/(inputs!E96/MAX('Min rate concentrations'!J$3:J$368)))^(1/inputs!$O$12))-1)/inputs!$N$12))</f>
        <v>0</v>
      </c>
      <c r="K114" s="176">
        <f>IF((((inputs!$P$12/(inputs!E96/MAX('Min rate concentrations'!K$3:K$368)))^(1/inputs!$O$12))-1)/inputs!$N$12&lt;0, 0, IF((((inputs!$P$12/(inputs!E96/MAX('Min rate concentrations'!K$3:K$368)))^(1/inputs!$O$12))-1)/inputs!$N$12&gt;inputs!$H$17, inputs!$H$17, (((inputs!$P$12/(inputs!E96/MAX('Min rate concentrations'!K$3:K$368)))^(1/inputs!$O$12))-1)/inputs!$N$12))</f>
        <v>0</v>
      </c>
      <c r="L114" s="176">
        <f>IF((((inputs!$P$12/(inputs!E96/MAX('Min rate concentrations'!L$3:L$368)))^(1/inputs!$O$12))-1)/inputs!$N$12&lt;0, 0, IF((((inputs!$P$12/(inputs!E96/MAX('Min rate concentrations'!L$3:L$368)))^(1/inputs!$O$12))-1)/inputs!$N$12&gt;inputs!$H$17, inputs!$H$17, (((inputs!$P$12/(inputs!E96/MAX('Min rate concentrations'!L$3:L$368)))^(1/inputs!$O$12))-1)/inputs!$N$12))</f>
        <v>0</v>
      </c>
      <c r="M114" s="176">
        <f>IF((((inputs!$P$12/(inputs!E96/MAX('Min rate concentrations'!M$3:M$368)))^(1/inputs!$O$12))-1)/inputs!$N$12&lt;0, 0, IF((((inputs!$P$12/(inputs!E96/MAX('Min rate concentrations'!M$3:M$368)))^(1/inputs!$O$12))-1)/inputs!$N$12&gt;inputs!$H$17, inputs!$H$17, (((inputs!$P$12/(inputs!E96/MAX('Min rate concentrations'!M$3:M$368)))^(1/inputs!$O$12))-1)/inputs!$N$12))</f>
        <v>0</v>
      </c>
      <c r="N114" s="101" t="s">
        <v>13</v>
      </c>
    </row>
    <row r="115" spans="1:14" x14ac:dyDescent="0.3">
      <c r="A115" s="45"/>
      <c r="B115" s="22" t="s">
        <v>66</v>
      </c>
      <c r="C115" s="22" t="s">
        <v>80</v>
      </c>
      <c r="D115" s="176">
        <f>IF((((inputs!$P$12/(inputs!E97/MAX('Min rate concentrations'!D$3:D$368)))^(1/inputs!$O$12))-1)/inputs!$N$12&lt;0, 0, IF((((inputs!$P$12/(inputs!E97/MAX('Min rate concentrations'!D$3:D$368)))^(1/inputs!$O$12))-1)/inputs!$N$12&gt;inputs!$H$17, inputs!$H$17, (((inputs!$P$12/(inputs!E97/MAX('Min rate concentrations'!D$3:D$368)))^(1/inputs!$O$12))-1)/inputs!$N$12))</f>
        <v>0</v>
      </c>
      <c r="E115" s="176">
        <f>IF((((inputs!$P$12/(inputs!E97/MAX('Min rate concentrations'!E$3:E$368)))^(1/inputs!$O$12))-1)/inputs!$N$12&lt;0, 0, IF((((inputs!$P$12/(inputs!E97/MAX('Min rate concentrations'!E$3:E$368)))^(1/inputs!$O$12))-1)/inputs!$N$12&gt;inputs!$H$17, inputs!$H$17, (((inputs!$P$12/(inputs!E97/MAX('Min rate concentrations'!E$3:E$368)))^(1/inputs!$O$12))-1)/inputs!$N$12))</f>
        <v>0</v>
      </c>
      <c r="F115" s="176">
        <f>IF((((inputs!$P$12/(inputs!E97/MAX('Min rate concentrations'!F$3:F$368)))^(1/inputs!$O$12))-1)/inputs!$N$12&lt;0, 0, IF((((inputs!$P$12/(inputs!E97/MAX('Min rate concentrations'!F$3:F$368)))^(1/inputs!$O$12))-1)/inputs!$N$12&gt;inputs!$H$17, inputs!$H$17, (((inputs!$P$12/(inputs!E97/MAX('Min rate concentrations'!F$3:F$368)))^(1/inputs!$O$12))-1)/inputs!$N$12))</f>
        <v>0</v>
      </c>
      <c r="G115" s="176">
        <f>IF((((inputs!$P$12/(inputs!E97/MAX('Min rate concentrations'!G$3:G$368)))^(1/inputs!$O$12))-1)/inputs!$N$12&lt;0, 0, IF((((inputs!$P$12/(inputs!E97/MAX('Min rate concentrations'!G$3:G$368)))^(1/inputs!$O$12))-1)/inputs!$N$12&gt;inputs!$H$17, inputs!$H$17, (((inputs!$P$12/(inputs!E97/MAX('Min rate concentrations'!G$3:G$368)))^(1/inputs!$O$12))-1)/inputs!$N$12))</f>
        <v>0</v>
      </c>
      <c r="H115" s="176">
        <f>IF((((inputs!$P$12/(inputs!E97/MAX('Min rate concentrations'!H$3:H$368)))^(1/inputs!$O$12))-1)/inputs!$N$12&lt;0, 0, IF((((inputs!$P$12/(inputs!E97/MAX('Min rate concentrations'!H$3:H$368)))^(1/inputs!$O$12))-1)/inputs!$N$12&gt;inputs!$H$17, inputs!$H$17, (((inputs!$P$12/(inputs!E97/MAX('Min rate concentrations'!H$3:H$368)))^(1/inputs!$O$12))-1)/inputs!$N$12))</f>
        <v>0</v>
      </c>
      <c r="I115" s="176">
        <f>IF((((inputs!$P$12/(inputs!E97/MAX('Min rate concentrations'!I$3:I$368)))^(1/inputs!$O$12))-1)/inputs!$N$12&lt;0, 0, IF((((inputs!$P$12/(inputs!E97/MAX('Min rate concentrations'!I$3:I$368)))^(1/inputs!$O$12))-1)/inputs!$N$12&gt;inputs!$H$17, inputs!$H$17, (((inputs!$P$12/(inputs!E97/MAX('Min rate concentrations'!I$3:I$368)))^(1/inputs!$O$12))-1)/inputs!$N$12))</f>
        <v>0</v>
      </c>
      <c r="J115" s="176">
        <f>IF((((inputs!$P$12/(inputs!E97/MAX('Min rate concentrations'!J$3:J$368)))^(1/inputs!$O$12))-1)/inputs!$N$12&lt;0, 0, IF((((inputs!$P$12/(inputs!E97/MAX('Min rate concentrations'!J$3:J$368)))^(1/inputs!$O$12))-1)/inputs!$N$12&gt;inputs!$H$17, inputs!$H$17, (((inputs!$P$12/(inputs!E97/MAX('Min rate concentrations'!J$3:J$368)))^(1/inputs!$O$12))-1)/inputs!$N$12))</f>
        <v>0</v>
      </c>
      <c r="K115" s="176">
        <f>IF((((inputs!$P$12/(inputs!E97/MAX('Min rate concentrations'!K$3:K$368)))^(1/inputs!$O$12))-1)/inputs!$N$12&lt;0, 0, IF((((inputs!$P$12/(inputs!E97/MAX('Min rate concentrations'!K$3:K$368)))^(1/inputs!$O$12))-1)/inputs!$N$12&gt;inputs!$H$17, inputs!$H$17, (((inputs!$P$12/(inputs!E97/MAX('Min rate concentrations'!K$3:K$368)))^(1/inputs!$O$12))-1)/inputs!$N$12))</f>
        <v>0</v>
      </c>
      <c r="L115" s="176">
        <f>IF((((inputs!$P$12/(inputs!E97/MAX('Min rate concentrations'!L$3:L$368)))^(1/inputs!$O$12))-1)/inputs!$N$12&lt;0, 0, IF((((inputs!$P$12/(inputs!E97/MAX('Min rate concentrations'!L$3:L$368)))^(1/inputs!$O$12))-1)/inputs!$N$12&gt;inputs!$H$17, inputs!$H$17, (((inputs!$P$12/(inputs!E97/MAX('Min rate concentrations'!L$3:L$368)))^(1/inputs!$O$12))-1)/inputs!$N$12))</f>
        <v>0</v>
      </c>
      <c r="M115" s="176">
        <f>IF((((inputs!$P$12/(inputs!E97/MAX('Min rate concentrations'!M$3:M$368)))^(1/inputs!$O$12))-1)/inputs!$N$12&lt;0, 0, IF((((inputs!$P$12/(inputs!E97/MAX('Min rate concentrations'!M$3:M$368)))^(1/inputs!$O$12))-1)/inputs!$N$12&gt;inputs!$H$17, inputs!$H$17, (((inputs!$P$12/(inputs!E97/MAX('Min rate concentrations'!M$3:M$368)))^(1/inputs!$O$12))-1)/inputs!$N$12))</f>
        <v>0</v>
      </c>
      <c r="N115" s="101" t="s">
        <v>13</v>
      </c>
    </row>
    <row r="116" spans="1:14" x14ac:dyDescent="0.3">
      <c r="A116" s="45"/>
      <c r="B116" s="22" t="s">
        <v>62</v>
      </c>
      <c r="C116" s="22" t="s">
        <v>71</v>
      </c>
      <c r="D116" s="176">
        <f>IF((((inputs!$P$12/(inputs!E98/MAX('Min rate concentrations'!D$3:D$368)))^(1/inputs!$O$12))-1)/inputs!$N$12&lt;0, 0, IF((((inputs!$P$12/(inputs!E98/MAX('Min rate concentrations'!D$3:D$368)))^(1/inputs!$O$12))-1)/inputs!$N$12&gt;inputs!$H$17, inputs!$H$17, (((inputs!$P$12/(inputs!E98/MAX('Min rate concentrations'!D$3:D$368)))^(1/inputs!$O$12))-1)/inputs!$N$12))</f>
        <v>76.76062689754383</v>
      </c>
      <c r="E116" s="176">
        <f>IF((((inputs!$P$12/(inputs!E98/MAX('Min rate concentrations'!E$3:E$368)))^(1/inputs!$O$12))-1)/inputs!$N$12&lt;0, 0, IF((((inputs!$P$12/(inputs!E98/MAX('Min rate concentrations'!E$3:E$368)))^(1/inputs!$O$12))-1)/inputs!$N$12&gt;inputs!$H$17, inputs!$H$17, (((inputs!$P$12/(inputs!E98/MAX('Min rate concentrations'!E$3:E$368)))^(1/inputs!$O$12))-1)/inputs!$N$12))</f>
        <v>48.14287138965706</v>
      </c>
      <c r="F116" s="176">
        <f>IF((((inputs!$P$12/(inputs!E98/MAX('Min rate concentrations'!F$3:F$368)))^(1/inputs!$O$12))-1)/inputs!$N$12&lt;0, 0, IF((((inputs!$P$12/(inputs!E98/MAX('Min rate concentrations'!F$3:F$368)))^(1/inputs!$O$12))-1)/inputs!$N$12&gt;inputs!$H$17, inputs!$H$17, (((inputs!$P$12/(inputs!E98/MAX('Min rate concentrations'!F$3:F$368)))^(1/inputs!$O$12))-1)/inputs!$N$12))</f>
        <v>54.79956830945801</v>
      </c>
      <c r="G116" s="176">
        <f>IF((((inputs!$P$12/(inputs!E98/MAX('Min rate concentrations'!G$3:G$368)))^(1/inputs!$O$12))-1)/inputs!$N$12&lt;0, 0, IF((((inputs!$P$12/(inputs!E98/MAX('Min rate concentrations'!G$3:G$368)))^(1/inputs!$O$12))-1)/inputs!$N$12&gt;inputs!$H$17, inputs!$H$17, (((inputs!$P$12/(inputs!E98/MAX('Min rate concentrations'!G$3:G$368)))^(1/inputs!$O$12))-1)/inputs!$N$12))</f>
        <v>5.5873687451064562</v>
      </c>
      <c r="H116" s="176">
        <f>IF((((inputs!$P$12/(inputs!E98/MAX('Min rate concentrations'!H$3:H$368)))^(1/inputs!$O$12))-1)/inputs!$N$12&lt;0, 0, IF((((inputs!$P$12/(inputs!E98/MAX('Min rate concentrations'!H$3:H$368)))^(1/inputs!$O$12))-1)/inputs!$N$12&gt;inputs!$H$17, inputs!$H$17, (((inputs!$P$12/(inputs!E98/MAX('Min rate concentrations'!H$3:H$368)))^(1/inputs!$O$12))-1)/inputs!$N$12))</f>
        <v>43.396833623513764</v>
      </c>
      <c r="I116" s="176">
        <f>IF((((inputs!$P$12/(inputs!E98/MAX('Min rate concentrations'!I$3:I$368)))^(1/inputs!$O$12))-1)/inputs!$N$12&lt;0, 0, IF((((inputs!$P$12/(inputs!E98/MAX('Min rate concentrations'!I$3:I$368)))^(1/inputs!$O$12))-1)/inputs!$N$12&gt;inputs!$H$17, inputs!$H$17, (((inputs!$P$12/(inputs!E98/MAX('Min rate concentrations'!I$3:I$368)))^(1/inputs!$O$12))-1)/inputs!$N$12))</f>
        <v>8.9904620001468665</v>
      </c>
      <c r="J116" s="176">
        <f>IF((((inputs!$P$12/(inputs!E98/MAX('Min rate concentrations'!J$3:J$368)))^(1/inputs!$O$12))-1)/inputs!$N$12&lt;0, 0, IF((((inputs!$P$12/(inputs!E98/MAX('Min rate concentrations'!J$3:J$368)))^(1/inputs!$O$12))-1)/inputs!$N$12&gt;inputs!$H$17, inputs!$H$17, (((inputs!$P$12/(inputs!E98/MAX('Min rate concentrations'!J$3:J$368)))^(1/inputs!$O$12))-1)/inputs!$N$12))</f>
        <v>74.738470825616048</v>
      </c>
      <c r="K116" s="176">
        <f>IF((((inputs!$P$12/(inputs!E98/MAX('Min rate concentrations'!K$3:K$368)))^(1/inputs!$O$12))-1)/inputs!$N$12&lt;0, 0, IF((((inputs!$P$12/(inputs!E98/MAX('Min rate concentrations'!K$3:K$368)))^(1/inputs!$O$12))-1)/inputs!$N$12&gt;inputs!$H$17, inputs!$H$17, (((inputs!$P$12/(inputs!E98/MAX('Min rate concentrations'!K$3:K$368)))^(1/inputs!$O$12))-1)/inputs!$N$12))</f>
        <v>20.527754465854134</v>
      </c>
      <c r="L116" s="176">
        <f>IF((((inputs!$P$12/(inputs!E98/MAX('Min rate concentrations'!L$3:L$368)))^(1/inputs!$O$12))-1)/inputs!$N$12&lt;0, 0, IF((((inputs!$P$12/(inputs!E98/MAX('Min rate concentrations'!L$3:L$368)))^(1/inputs!$O$12))-1)/inputs!$N$12&gt;inputs!$H$17, inputs!$H$17, (((inputs!$P$12/(inputs!E98/MAX('Min rate concentrations'!L$3:L$368)))^(1/inputs!$O$12))-1)/inputs!$N$12))</f>
        <v>50.047100048725397</v>
      </c>
      <c r="M116" s="176">
        <f>IF((((inputs!$P$12/(inputs!E98/MAX('Min rate concentrations'!M$3:M$368)))^(1/inputs!$O$12))-1)/inputs!$N$12&lt;0, 0, IF((((inputs!$P$12/(inputs!E98/MAX('Min rate concentrations'!M$3:M$368)))^(1/inputs!$O$12))-1)/inputs!$N$12&gt;inputs!$H$17, inputs!$H$17, (((inputs!$P$12/(inputs!E98/MAX('Min rate concentrations'!M$3:M$368)))^(1/inputs!$O$12))-1)/inputs!$N$12))</f>
        <v>0</v>
      </c>
      <c r="N116" s="101" t="s">
        <v>13</v>
      </c>
    </row>
    <row r="117" spans="1:14" x14ac:dyDescent="0.3">
      <c r="A117" s="45"/>
      <c r="B117" s="61" t="s">
        <v>62</v>
      </c>
      <c r="C117" s="61" t="s">
        <v>81</v>
      </c>
      <c r="D117" s="176" t="e">
        <f>IF((((inputs!$P$12/(inputs!E99/MAX('Min rate concentrations'!D$3:D$368)))^(1/inputs!$O$12))-1)/inputs!$N$12&lt;0, 0, IF((((inputs!$P$12/(inputs!E99/MAX('Min rate concentrations'!D$3:D$368)))^(1/inputs!$O$12))-1)/inputs!$N$12&gt;inputs!$H$17, inputs!$H$17, (((inputs!$P$12/(inputs!E99/MAX('Min rate concentrations'!D$3:D$368)))^(1/inputs!$O$12))-1)/inputs!$N$12))</f>
        <v>#VALUE!</v>
      </c>
      <c r="E117" s="176" t="e">
        <f>IF((((inputs!$P$12/(inputs!E99/MAX('Min rate concentrations'!E$3:E$368)))^(1/inputs!$O$12))-1)/inputs!$N$12&lt;0, 0, IF((((inputs!$P$12/(inputs!E99/MAX('Min rate concentrations'!E$3:E$368)))^(1/inputs!$O$12))-1)/inputs!$N$12&gt;inputs!$H$17, inputs!$H$17, (((inputs!$P$12/(inputs!E99/MAX('Min rate concentrations'!E$3:E$368)))^(1/inputs!$O$12))-1)/inputs!$N$12))</f>
        <v>#VALUE!</v>
      </c>
      <c r="F117" s="176" t="e">
        <f>IF((((inputs!$P$12/(inputs!E99/MAX('Min rate concentrations'!F$3:F$368)))^(1/inputs!$O$12))-1)/inputs!$N$12&lt;0, 0, IF((((inputs!$P$12/(inputs!E99/MAX('Min rate concentrations'!F$3:F$368)))^(1/inputs!$O$12))-1)/inputs!$N$12&gt;inputs!$H$17, inputs!$H$17, (((inputs!$P$12/(inputs!E99/MAX('Min rate concentrations'!F$3:F$368)))^(1/inputs!$O$12))-1)/inputs!$N$12))</f>
        <v>#VALUE!</v>
      </c>
      <c r="G117" s="176" t="e">
        <f>IF((((inputs!$P$12/(inputs!E99/MAX('Min rate concentrations'!G$3:G$368)))^(1/inputs!$O$12))-1)/inputs!$N$12&lt;0, 0, IF((((inputs!$P$12/(inputs!E99/MAX('Min rate concentrations'!G$3:G$368)))^(1/inputs!$O$12))-1)/inputs!$N$12&gt;inputs!$H$17, inputs!$H$17, (((inputs!$P$12/(inputs!E99/MAX('Min rate concentrations'!G$3:G$368)))^(1/inputs!$O$12))-1)/inputs!$N$12))</f>
        <v>#VALUE!</v>
      </c>
      <c r="H117" s="176" t="e">
        <f>IF((((inputs!$P$12/(inputs!E99/MAX('Min rate concentrations'!H$3:H$368)))^(1/inputs!$O$12))-1)/inputs!$N$12&lt;0, 0, IF((((inputs!$P$12/(inputs!E99/MAX('Min rate concentrations'!H$3:H$368)))^(1/inputs!$O$12))-1)/inputs!$N$12&gt;inputs!$H$17, inputs!$H$17, (((inputs!$P$12/(inputs!E99/MAX('Min rate concentrations'!H$3:H$368)))^(1/inputs!$O$12))-1)/inputs!$N$12))</f>
        <v>#VALUE!</v>
      </c>
      <c r="I117" s="176" t="e">
        <f>IF((((inputs!$P$12/(inputs!E99/MAX('Min rate concentrations'!I$3:I$368)))^(1/inputs!$O$12))-1)/inputs!$N$12&lt;0, 0, IF((((inputs!$P$12/(inputs!E99/MAX('Min rate concentrations'!I$3:I$368)))^(1/inputs!$O$12))-1)/inputs!$N$12&gt;inputs!$H$17, inputs!$H$17, (((inputs!$P$12/(inputs!E99/MAX('Min rate concentrations'!I$3:I$368)))^(1/inputs!$O$12))-1)/inputs!$N$12))</f>
        <v>#VALUE!</v>
      </c>
      <c r="J117" s="176" t="e">
        <f>IF((((inputs!$P$12/(inputs!E99/MAX('Min rate concentrations'!J$3:J$368)))^(1/inputs!$O$12))-1)/inputs!$N$12&lt;0, 0, IF((((inputs!$P$12/(inputs!E99/MAX('Min rate concentrations'!J$3:J$368)))^(1/inputs!$O$12))-1)/inputs!$N$12&gt;inputs!$H$17, inputs!$H$17, (((inputs!$P$12/(inputs!E99/MAX('Min rate concentrations'!J$3:J$368)))^(1/inputs!$O$12))-1)/inputs!$N$12))</f>
        <v>#VALUE!</v>
      </c>
      <c r="K117" s="176" t="e">
        <f>IF((((inputs!$P$12/(inputs!E99/MAX('Min rate concentrations'!K$3:K$368)))^(1/inputs!$O$12))-1)/inputs!$N$12&lt;0, 0, IF((((inputs!$P$12/(inputs!E99/MAX('Min rate concentrations'!K$3:K$368)))^(1/inputs!$O$12))-1)/inputs!$N$12&gt;inputs!$H$17, inputs!$H$17, (((inputs!$P$12/(inputs!E99/MAX('Min rate concentrations'!K$3:K$368)))^(1/inputs!$O$12))-1)/inputs!$N$12))</f>
        <v>#VALUE!</v>
      </c>
      <c r="L117" s="176" t="e">
        <f>IF((((inputs!$P$12/(inputs!E99/MAX('Min rate concentrations'!L$3:L$368)))^(1/inputs!$O$12))-1)/inputs!$N$12&lt;0, 0, IF((((inputs!$P$12/(inputs!E99/MAX('Min rate concentrations'!L$3:L$368)))^(1/inputs!$O$12))-1)/inputs!$N$12&gt;inputs!$H$17, inputs!$H$17, (((inputs!$P$12/(inputs!E99/MAX('Min rate concentrations'!L$3:L$368)))^(1/inputs!$O$12))-1)/inputs!$N$12))</f>
        <v>#VALUE!</v>
      </c>
      <c r="M117" s="176" t="e">
        <f>IF((((inputs!$P$12/(inputs!E99/MAX('Min rate concentrations'!M$3:M$368)))^(1/inputs!$O$12))-1)/inputs!$N$12&lt;0, 0, IF((((inputs!$P$12/(inputs!E99/MAX('Min rate concentrations'!M$3:M$368)))^(1/inputs!$O$12))-1)/inputs!$N$12&gt;inputs!$H$17, inputs!$H$17, (((inputs!$P$12/(inputs!E99/MAX('Min rate concentrations'!M$3:M$368)))^(1/inputs!$O$12))-1)/inputs!$N$12))</f>
        <v>#VALUE!</v>
      </c>
      <c r="N117" s="101" t="s">
        <v>13</v>
      </c>
    </row>
    <row r="118" spans="1:14" x14ac:dyDescent="0.3">
      <c r="A118" s="45"/>
      <c r="B118" s="61" t="s">
        <v>62</v>
      </c>
      <c r="C118" s="61" t="s">
        <v>82</v>
      </c>
      <c r="D118" s="176">
        <f>IF((((inputs!$P$12/(inputs!E100/MAX('Min rate concentrations'!D$3:D$368)))^(1/inputs!$O$12))-1)/inputs!$N$12&lt;0, 0, IF((((inputs!$P$12/(inputs!E100/MAX('Min rate concentrations'!D$3:D$368)))^(1/inputs!$O$12))-1)/inputs!$N$12&gt;inputs!$H$17, inputs!$H$17, (((inputs!$P$12/(inputs!E100/MAX('Min rate concentrations'!D$3:D$368)))^(1/inputs!$O$12))-1)/inputs!$N$12))</f>
        <v>57.319157307145986</v>
      </c>
      <c r="E118" s="176">
        <f>IF((((inputs!$P$12/(inputs!E100/MAX('Min rate concentrations'!E$3:E$368)))^(1/inputs!$O$12))-1)/inputs!$N$12&lt;0, 0, IF((((inputs!$P$12/(inputs!E100/MAX('Min rate concentrations'!E$3:E$368)))^(1/inputs!$O$12))-1)/inputs!$N$12&gt;inputs!$H$17, inputs!$H$17, (((inputs!$P$12/(inputs!E100/MAX('Min rate concentrations'!E$3:E$368)))^(1/inputs!$O$12))-1)/inputs!$N$12))</f>
        <v>33.987556278803822</v>
      </c>
      <c r="F118" s="176">
        <f>IF((((inputs!$P$12/(inputs!E100/MAX('Min rate concentrations'!F$3:F$368)))^(1/inputs!$O$12))-1)/inputs!$N$12&lt;0, 0, IF((((inputs!$P$12/(inputs!E100/MAX('Min rate concentrations'!F$3:F$368)))^(1/inputs!$O$12))-1)/inputs!$N$12&gt;inputs!$H$17, inputs!$H$17, (((inputs!$P$12/(inputs!E100/MAX('Min rate concentrations'!F$3:F$368)))^(1/inputs!$O$12))-1)/inputs!$N$12))</f>
        <v>39.41465543256475</v>
      </c>
      <c r="G118" s="176">
        <f>IF((((inputs!$P$12/(inputs!E100/MAX('Min rate concentrations'!G$3:G$368)))^(1/inputs!$O$12))-1)/inputs!$N$12&lt;0, 0, IF((((inputs!$P$12/(inputs!E100/MAX('Min rate concentrations'!G$3:G$368)))^(1/inputs!$O$12))-1)/inputs!$N$12&gt;inputs!$H$17, inputs!$H$17, (((inputs!$P$12/(inputs!E100/MAX('Min rate concentrations'!G$3:G$368)))^(1/inputs!$O$12))-1)/inputs!$N$12))</f>
        <v>0</v>
      </c>
      <c r="H118" s="176">
        <f>IF((((inputs!$P$12/(inputs!E100/MAX('Min rate concentrations'!H$3:H$368)))^(1/inputs!$O$12))-1)/inputs!$N$12&lt;0, 0, IF((((inputs!$P$12/(inputs!E100/MAX('Min rate concentrations'!H$3:H$368)))^(1/inputs!$O$12))-1)/inputs!$N$12&gt;inputs!$H$17, inputs!$H$17, (((inputs!$P$12/(inputs!E100/MAX('Min rate concentrations'!H$3:H$368)))^(1/inputs!$O$12))-1)/inputs!$N$12))</f>
        <v>30.118187152542937</v>
      </c>
      <c r="I118" s="176">
        <f>IF((((inputs!$P$12/(inputs!E100/MAX('Min rate concentrations'!I$3:I$368)))^(1/inputs!$O$12))-1)/inputs!$N$12&lt;0, 0, IF((((inputs!$P$12/(inputs!E100/MAX('Min rate concentrations'!I$3:I$368)))^(1/inputs!$O$12))-1)/inputs!$N$12&gt;inputs!$H$17, inputs!$H$17, (((inputs!$P$12/(inputs!E100/MAX('Min rate concentrations'!I$3:I$368)))^(1/inputs!$O$12))-1)/inputs!$N$12))</f>
        <v>2.0672194472650571</v>
      </c>
      <c r="J118" s="176">
        <f>IF((((inputs!$P$12/(inputs!E100/MAX('Min rate concentrations'!J$3:J$368)))^(1/inputs!$O$12))-1)/inputs!$N$12&lt;0, 0, IF((((inputs!$P$12/(inputs!E100/MAX('Min rate concentrations'!J$3:J$368)))^(1/inputs!$O$12))-1)/inputs!$N$12&gt;inputs!$H$17, inputs!$H$17, (((inputs!$P$12/(inputs!E100/MAX('Min rate concentrations'!J$3:J$368)))^(1/inputs!$O$12))-1)/inputs!$N$12))</f>
        <v>55.670525615039459</v>
      </c>
      <c r="K118" s="176">
        <f>IF((((inputs!$P$12/(inputs!E100/MAX('Min rate concentrations'!K$3:K$368)))^(1/inputs!$O$12))-1)/inputs!$N$12&lt;0, 0, IF((((inputs!$P$12/(inputs!E100/MAX('Min rate concentrations'!K$3:K$368)))^(1/inputs!$O$12))-1)/inputs!$N$12&gt;inputs!$H$17, inputs!$H$17, (((inputs!$P$12/(inputs!E100/MAX('Min rate concentrations'!K$3:K$368)))^(1/inputs!$O$12))-1)/inputs!$N$12))</f>
        <v>11.473390545588805</v>
      </c>
      <c r="L118" s="176">
        <f>IF((((inputs!$P$12/(inputs!E100/MAX('Min rate concentrations'!L$3:L$368)))^(1/inputs!$O$12))-1)/inputs!$N$12&lt;0, 0, IF((((inputs!$P$12/(inputs!E100/MAX('Min rate concentrations'!L$3:L$368)))^(1/inputs!$O$12))-1)/inputs!$N$12&gt;inputs!$H$17, inputs!$H$17, (((inputs!$P$12/(inputs!E100/MAX('Min rate concentrations'!L$3:L$368)))^(1/inputs!$O$12))-1)/inputs!$N$12))</f>
        <v>35.540043626313413</v>
      </c>
      <c r="M118" s="176">
        <f>IF((((inputs!$P$12/(inputs!E100/MAX('Min rate concentrations'!M$3:M$368)))^(1/inputs!$O$12))-1)/inputs!$N$12&lt;0, 0, IF((((inputs!$P$12/(inputs!E100/MAX('Min rate concentrations'!M$3:M$368)))^(1/inputs!$O$12))-1)/inputs!$N$12&gt;inputs!$H$17, inputs!$H$17, (((inputs!$P$12/(inputs!E100/MAX('Min rate concentrations'!M$3:M$368)))^(1/inputs!$O$12))-1)/inputs!$N$12))</f>
        <v>0</v>
      </c>
      <c r="N118" s="101" t="s">
        <v>13</v>
      </c>
    </row>
    <row r="119" spans="1:14" x14ac:dyDescent="0.3">
      <c r="A119" s="45"/>
      <c r="B119" s="61" t="s">
        <v>62</v>
      </c>
      <c r="C119" s="61" t="s">
        <v>83</v>
      </c>
      <c r="D119" s="176" t="e">
        <f>IF((((inputs!$P$12/(inputs!E101/MAX('Min rate concentrations'!D$3:D$368)))^(1/inputs!$O$12))-1)/inputs!$N$12&lt;0, 0, IF((((inputs!$P$12/(inputs!E101/MAX('Min rate concentrations'!D$3:D$368)))^(1/inputs!$O$12))-1)/inputs!$N$12&gt;inputs!$H$17, inputs!$H$17, (((inputs!$P$12/(inputs!E101/MAX('Min rate concentrations'!D$3:D$368)))^(1/inputs!$O$12))-1)/inputs!$N$12))</f>
        <v>#VALUE!</v>
      </c>
      <c r="E119" s="176" t="e">
        <f>IF((((inputs!$P$12/(inputs!E101/MAX('Min rate concentrations'!E$3:E$368)))^(1/inputs!$O$12))-1)/inputs!$N$12&lt;0, 0, IF((((inputs!$P$12/(inputs!E101/MAX('Min rate concentrations'!E$3:E$368)))^(1/inputs!$O$12))-1)/inputs!$N$12&gt;inputs!$H$17, inputs!$H$17, (((inputs!$P$12/(inputs!E101/MAX('Min rate concentrations'!E$3:E$368)))^(1/inputs!$O$12))-1)/inputs!$N$12))</f>
        <v>#VALUE!</v>
      </c>
      <c r="F119" s="176" t="e">
        <f>IF((((inputs!$P$12/(inputs!E101/MAX('Min rate concentrations'!F$3:F$368)))^(1/inputs!$O$12))-1)/inputs!$N$12&lt;0, 0, IF((((inputs!$P$12/(inputs!E101/MAX('Min rate concentrations'!F$3:F$368)))^(1/inputs!$O$12))-1)/inputs!$N$12&gt;inputs!$H$17, inputs!$H$17, (((inputs!$P$12/(inputs!E101/MAX('Min rate concentrations'!F$3:F$368)))^(1/inputs!$O$12))-1)/inputs!$N$12))</f>
        <v>#VALUE!</v>
      </c>
      <c r="G119" s="176" t="e">
        <f>IF((((inputs!$P$12/(inputs!E101/MAX('Min rate concentrations'!G$3:G$368)))^(1/inputs!$O$12))-1)/inputs!$N$12&lt;0, 0, IF((((inputs!$P$12/(inputs!E101/MAX('Min rate concentrations'!G$3:G$368)))^(1/inputs!$O$12))-1)/inputs!$N$12&gt;inputs!$H$17, inputs!$H$17, (((inputs!$P$12/(inputs!E101/MAX('Min rate concentrations'!G$3:G$368)))^(1/inputs!$O$12))-1)/inputs!$N$12))</f>
        <v>#VALUE!</v>
      </c>
      <c r="H119" s="176" t="e">
        <f>IF((((inputs!$P$12/(inputs!E101/MAX('Min rate concentrations'!H$3:H$368)))^(1/inputs!$O$12))-1)/inputs!$N$12&lt;0, 0, IF((((inputs!$P$12/(inputs!E101/MAX('Min rate concentrations'!H$3:H$368)))^(1/inputs!$O$12))-1)/inputs!$N$12&gt;inputs!$H$17, inputs!$H$17, (((inputs!$P$12/(inputs!E101/MAX('Min rate concentrations'!H$3:H$368)))^(1/inputs!$O$12))-1)/inputs!$N$12))</f>
        <v>#VALUE!</v>
      </c>
      <c r="I119" s="176" t="e">
        <f>IF((((inputs!$P$12/(inputs!E101/MAX('Min rate concentrations'!I$3:I$368)))^(1/inputs!$O$12))-1)/inputs!$N$12&lt;0, 0, IF((((inputs!$P$12/(inputs!E101/MAX('Min rate concentrations'!I$3:I$368)))^(1/inputs!$O$12))-1)/inputs!$N$12&gt;inputs!$H$17, inputs!$H$17, (((inputs!$P$12/(inputs!E101/MAX('Min rate concentrations'!I$3:I$368)))^(1/inputs!$O$12))-1)/inputs!$N$12))</f>
        <v>#VALUE!</v>
      </c>
      <c r="J119" s="176" t="e">
        <f>IF((((inputs!$P$12/(inputs!E101/MAX('Min rate concentrations'!J$3:J$368)))^(1/inputs!$O$12))-1)/inputs!$N$12&lt;0, 0, IF((((inputs!$P$12/(inputs!E101/MAX('Min rate concentrations'!J$3:J$368)))^(1/inputs!$O$12))-1)/inputs!$N$12&gt;inputs!$H$17, inputs!$H$17, (((inputs!$P$12/(inputs!E101/MAX('Min rate concentrations'!J$3:J$368)))^(1/inputs!$O$12))-1)/inputs!$N$12))</f>
        <v>#VALUE!</v>
      </c>
      <c r="K119" s="176" t="e">
        <f>IF((((inputs!$P$12/(inputs!E101/MAX('Min rate concentrations'!K$3:K$368)))^(1/inputs!$O$12))-1)/inputs!$N$12&lt;0, 0, IF((((inputs!$P$12/(inputs!E101/MAX('Min rate concentrations'!K$3:K$368)))^(1/inputs!$O$12))-1)/inputs!$N$12&gt;inputs!$H$17, inputs!$H$17, (((inputs!$P$12/(inputs!E101/MAX('Min rate concentrations'!K$3:K$368)))^(1/inputs!$O$12))-1)/inputs!$N$12))</f>
        <v>#VALUE!</v>
      </c>
      <c r="L119" s="176" t="e">
        <f>IF((((inputs!$P$12/(inputs!E101/MAX('Min rate concentrations'!L$3:L$368)))^(1/inputs!$O$12))-1)/inputs!$N$12&lt;0, 0, IF((((inputs!$P$12/(inputs!E101/MAX('Min rate concentrations'!L$3:L$368)))^(1/inputs!$O$12))-1)/inputs!$N$12&gt;inputs!$H$17, inputs!$H$17, (((inputs!$P$12/(inputs!E101/MAX('Min rate concentrations'!L$3:L$368)))^(1/inputs!$O$12))-1)/inputs!$N$12))</f>
        <v>#VALUE!</v>
      </c>
      <c r="M119" s="176" t="e">
        <f>IF((((inputs!$P$12/(inputs!E101/MAX('Min rate concentrations'!M$3:M$368)))^(1/inputs!$O$12))-1)/inputs!$N$12&lt;0, 0, IF((((inputs!$P$12/(inputs!E101/MAX('Min rate concentrations'!M$3:M$368)))^(1/inputs!$O$12))-1)/inputs!$N$12&gt;inputs!$H$17, inputs!$H$17, (((inputs!$P$12/(inputs!E101/MAX('Min rate concentrations'!M$3:M$368)))^(1/inputs!$O$12))-1)/inputs!$N$12))</f>
        <v>#VALUE!</v>
      </c>
      <c r="N119" s="101" t="s">
        <v>13</v>
      </c>
    </row>
    <row r="120" spans="1:14" x14ac:dyDescent="0.3">
      <c r="A120" s="45"/>
      <c r="B120" s="61" t="s">
        <v>62</v>
      </c>
      <c r="C120" s="61" t="s">
        <v>84</v>
      </c>
      <c r="D120" s="176">
        <f>IF((((inputs!$P$12/(inputs!E102/MAX('Min rate concentrations'!D$3:D$368)))^(1/inputs!$O$12))-1)/inputs!$N$12&lt;0, 0, IF((((inputs!$P$12/(inputs!E102/MAX('Min rate concentrations'!D$3:D$368)))^(1/inputs!$O$12))-1)/inputs!$N$12&gt;inputs!$H$17, inputs!$H$17, (((inputs!$P$12/(inputs!E102/MAX('Min rate concentrations'!D$3:D$368)))^(1/inputs!$O$12))-1)/inputs!$N$12))</f>
        <v>22.904726062573452</v>
      </c>
      <c r="E120" s="176">
        <f>IF((((inputs!$P$12/(inputs!E102/MAX('Min rate concentrations'!E$3:E$368)))^(1/inputs!$O$12))-1)/inputs!$N$12&lt;0, 0, IF((((inputs!$P$12/(inputs!E102/MAX('Min rate concentrations'!E$3:E$368)))^(1/inputs!$O$12))-1)/inputs!$N$12&gt;inputs!$H$17, inputs!$H$17, (((inputs!$P$12/(inputs!E102/MAX('Min rate concentrations'!E$3:E$368)))^(1/inputs!$O$12))-1)/inputs!$N$12))</f>
        <v>8.9304423418862253</v>
      </c>
      <c r="F120" s="176">
        <f>IF((((inputs!$P$12/(inputs!E102/MAX('Min rate concentrations'!F$3:F$368)))^(1/inputs!$O$12))-1)/inputs!$N$12&lt;0, 0, IF((((inputs!$P$12/(inputs!E102/MAX('Min rate concentrations'!F$3:F$368)))^(1/inputs!$O$12))-1)/inputs!$N$12&gt;inputs!$H$17, inputs!$H$17, (((inputs!$P$12/(inputs!E102/MAX('Min rate concentrations'!F$3:F$368)))^(1/inputs!$O$12))-1)/inputs!$N$12))</f>
        <v>12.18096180957428</v>
      </c>
      <c r="G120" s="176">
        <f>IF((((inputs!$P$12/(inputs!E102/MAX('Min rate concentrations'!G$3:G$368)))^(1/inputs!$O$12))-1)/inputs!$N$12&lt;0, 0, IF((((inputs!$P$12/(inputs!E102/MAX('Min rate concentrations'!G$3:G$368)))^(1/inputs!$O$12))-1)/inputs!$N$12&gt;inputs!$H$17, inputs!$H$17, (((inputs!$P$12/(inputs!E102/MAX('Min rate concentrations'!G$3:G$368)))^(1/inputs!$O$12))-1)/inputs!$N$12))</f>
        <v>0</v>
      </c>
      <c r="H120" s="176">
        <f>IF((((inputs!$P$12/(inputs!E102/MAX('Min rate concentrations'!H$3:H$368)))^(1/inputs!$O$12))-1)/inputs!$N$12&lt;0, 0, IF((((inputs!$P$12/(inputs!E102/MAX('Min rate concentrations'!H$3:H$368)))^(1/inputs!$O$12))-1)/inputs!$N$12&gt;inputs!$H$17, inputs!$H$17, (((inputs!$P$12/(inputs!E102/MAX('Min rate concentrations'!H$3:H$368)))^(1/inputs!$O$12))-1)/inputs!$N$12))</f>
        <v>6.6129133422794926</v>
      </c>
      <c r="I120" s="176">
        <f>IF((((inputs!$P$12/(inputs!E102/MAX('Min rate concentrations'!I$3:I$368)))^(1/inputs!$O$12))-1)/inputs!$N$12&lt;0, 0, IF((((inputs!$P$12/(inputs!E102/MAX('Min rate concentrations'!I$3:I$368)))^(1/inputs!$O$12))-1)/inputs!$N$12&gt;inputs!$H$17, inputs!$H$17, (((inputs!$P$12/(inputs!E102/MAX('Min rate concentrations'!I$3:I$368)))^(1/inputs!$O$12))-1)/inputs!$N$12))</f>
        <v>0</v>
      </c>
      <c r="J120" s="176">
        <f>IF((((inputs!$P$12/(inputs!E102/MAX('Min rate concentrations'!J$3:J$368)))^(1/inputs!$O$12))-1)/inputs!$N$12&lt;0, 0, IF((((inputs!$P$12/(inputs!E102/MAX('Min rate concentrations'!J$3:J$368)))^(1/inputs!$O$12))-1)/inputs!$N$12&gt;inputs!$H$17, inputs!$H$17, (((inputs!$P$12/(inputs!E102/MAX('Min rate concentrations'!J$3:J$368)))^(1/inputs!$O$12))-1)/inputs!$N$12))</f>
        <v>21.917290738764013</v>
      </c>
      <c r="K120" s="176">
        <f>IF((((inputs!$P$12/(inputs!E102/MAX('Min rate concentrations'!K$3:K$368)))^(1/inputs!$O$12))-1)/inputs!$N$12&lt;0, 0, IF((((inputs!$P$12/(inputs!E102/MAX('Min rate concentrations'!K$3:K$368)))^(1/inputs!$O$12))-1)/inputs!$N$12&gt;inputs!$H$17, inputs!$H$17, (((inputs!$P$12/(inputs!E102/MAX('Min rate concentrations'!K$3:K$368)))^(1/inputs!$O$12))-1)/inputs!$N$12))</f>
        <v>0</v>
      </c>
      <c r="L120" s="176">
        <f>IF((((inputs!$P$12/(inputs!E102/MAX('Min rate concentrations'!L$3:L$368)))^(1/inputs!$O$12))-1)/inputs!$N$12&lt;0, 0, IF((((inputs!$P$12/(inputs!E102/MAX('Min rate concentrations'!L$3:L$368)))^(1/inputs!$O$12))-1)/inputs!$N$12&gt;inputs!$H$17, inputs!$H$17, (((inputs!$P$12/(inputs!E102/MAX('Min rate concentrations'!L$3:L$368)))^(1/inputs!$O$12))-1)/inputs!$N$12))</f>
        <v>9.8602927469451132</v>
      </c>
      <c r="M120" s="176">
        <f>IF((((inputs!$P$12/(inputs!E102/MAX('Min rate concentrations'!M$3:M$368)))^(1/inputs!$O$12))-1)/inputs!$N$12&lt;0, 0, IF((((inputs!$P$12/(inputs!E102/MAX('Min rate concentrations'!M$3:M$368)))^(1/inputs!$O$12))-1)/inputs!$N$12&gt;inputs!$H$17, inputs!$H$17, (((inputs!$P$12/(inputs!E102/MAX('Min rate concentrations'!M$3:M$368)))^(1/inputs!$O$12))-1)/inputs!$N$12))</f>
        <v>0</v>
      </c>
      <c r="N120" s="101" t="s">
        <v>13</v>
      </c>
    </row>
    <row r="121" spans="1:14" x14ac:dyDescent="0.3">
      <c r="A121" s="45"/>
      <c r="B121" s="61" t="s">
        <v>62</v>
      </c>
      <c r="C121" s="61" t="s">
        <v>85</v>
      </c>
      <c r="D121" s="176">
        <f>IF((((inputs!$P$12/(inputs!E103/MAX('Min rate concentrations'!D$3:D$368)))^(1/inputs!$O$12))-1)/inputs!$N$12&lt;0, 0, IF((((inputs!$P$12/(inputs!E103/MAX('Min rate concentrations'!D$3:D$368)))^(1/inputs!$O$12))-1)/inputs!$N$12&gt;inputs!$H$17, inputs!$H$17, (((inputs!$P$12/(inputs!E103/MAX('Min rate concentrations'!D$3:D$368)))^(1/inputs!$O$12))-1)/inputs!$N$12))</f>
        <v>348.29003615726066</v>
      </c>
      <c r="E121" s="176">
        <f>IF((((inputs!$P$12/(inputs!E103/MAX('Min rate concentrations'!E$3:E$368)))^(1/inputs!$O$12))-1)/inputs!$N$12&lt;0, 0, IF((((inputs!$P$12/(inputs!E103/MAX('Min rate concentrations'!E$3:E$368)))^(1/inputs!$O$12))-1)/inputs!$N$12&gt;inputs!$H$17, inputs!$H$17, (((inputs!$P$12/(inputs!E103/MAX('Min rate concentrations'!E$3:E$368)))^(1/inputs!$O$12))-1)/inputs!$N$12))</f>
        <v>245.84317033380023</v>
      </c>
      <c r="F121" s="176">
        <f>IF((((inputs!$P$12/(inputs!E103/MAX('Min rate concentrations'!F$3:F$368)))^(1/inputs!$O$12))-1)/inputs!$N$12&lt;0, 0, IF((((inputs!$P$12/(inputs!E103/MAX('Min rate concentrations'!F$3:F$368)))^(1/inputs!$O$12))-1)/inputs!$N$12&gt;inputs!$H$17, inputs!$H$17, (((inputs!$P$12/(inputs!E103/MAX('Min rate concentrations'!F$3:F$368)))^(1/inputs!$O$12))-1)/inputs!$N$12))</f>
        <v>269.67305230977661</v>
      </c>
      <c r="G121" s="176">
        <f>IF((((inputs!$P$12/(inputs!E103/MAX('Min rate concentrations'!G$3:G$368)))^(1/inputs!$O$12))-1)/inputs!$N$12&lt;0, 0, IF((((inputs!$P$12/(inputs!E103/MAX('Min rate concentrations'!G$3:G$368)))^(1/inputs!$O$12))-1)/inputs!$N$12&gt;inputs!$H$17, inputs!$H$17, (((inputs!$P$12/(inputs!E103/MAX('Min rate concentrations'!G$3:G$368)))^(1/inputs!$O$12))-1)/inputs!$N$12))</f>
        <v>93.501458270647476</v>
      </c>
      <c r="H121" s="176">
        <f>IF((((inputs!$P$12/(inputs!E103/MAX('Min rate concentrations'!H$3:H$368)))^(1/inputs!$O$12))-1)/inputs!$N$12&lt;0, 0, IF((((inputs!$P$12/(inputs!E103/MAX('Min rate concentrations'!H$3:H$368)))^(1/inputs!$O$12))-1)/inputs!$N$12&gt;inputs!$H$17, inputs!$H$17, (((inputs!$P$12/(inputs!E103/MAX('Min rate concentrations'!H$3:H$368)))^(1/inputs!$O$12))-1)/inputs!$N$12))</f>
        <v>228.8531344070777</v>
      </c>
      <c r="I121" s="176">
        <f>IF((((inputs!$P$12/(inputs!E103/MAX('Min rate concentrations'!I$3:I$368)))^(1/inputs!$O$12))-1)/inputs!$N$12&lt;0, 0, IF((((inputs!$P$12/(inputs!E103/MAX('Min rate concentrations'!I$3:I$368)))^(1/inputs!$O$12))-1)/inputs!$N$12&gt;inputs!$H$17, inputs!$H$17, (((inputs!$P$12/(inputs!E103/MAX('Min rate concentrations'!I$3:I$368)))^(1/inputs!$O$12))-1)/inputs!$N$12))</f>
        <v>105.68397335250869</v>
      </c>
      <c r="J121" s="176">
        <f>IF((((inputs!$P$12/(inputs!E103/MAX('Min rate concentrations'!J$3:J$368)))^(1/inputs!$O$12))-1)/inputs!$N$12&lt;0, 0, IF((((inputs!$P$12/(inputs!E103/MAX('Min rate concentrations'!J$3:J$368)))^(1/inputs!$O$12))-1)/inputs!$N$12&gt;inputs!$H$17, inputs!$H$17, (((inputs!$P$12/(inputs!E103/MAX('Min rate concentrations'!J$3:J$368)))^(1/inputs!$O$12))-1)/inputs!$N$12))</f>
        <v>341.05104944784563</v>
      </c>
      <c r="K121" s="176">
        <f>IF((((inputs!$P$12/(inputs!E103/MAX('Min rate concentrations'!K$3:K$368)))^(1/inputs!$O$12))-1)/inputs!$N$12&lt;0, 0, IF((((inputs!$P$12/(inputs!E103/MAX('Min rate concentrations'!K$3:K$368)))^(1/inputs!$O$12))-1)/inputs!$N$12&gt;inputs!$H$17, inputs!$H$17, (((inputs!$P$12/(inputs!E103/MAX('Min rate concentrations'!K$3:K$368)))^(1/inputs!$O$12))-1)/inputs!$N$12))</f>
        <v>146.98558601303324</v>
      </c>
      <c r="L121" s="176">
        <f>IF((((inputs!$P$12/(inputs!E103/MAX('Min rate concentrations'!L$3:L$368)))^(1/inputs!$O$12))-1)/inputs!$N$12&lt;0, 0, IF((((inputs!$P$12/(inputs!E103/MAX('Min rate concentrations'!L$3:L$368)))^(1/inputs!$O$12))-1)/inputs!$N$12&gt;inputs!$H$17, inputs!$H$17, (((inputs!$P$12/(inputs!E103/MAX('Min rate concentrations'!L$3:L$368)))^(1/inputs!$O$12))-1)/inputs!$N$12))</f>
        <v>252.65999626827985</v>
      </c>
      <c r="M121" s="176">
        <f>IF((((inputs!$P$12/(inputs!E103/MAX('Min rate concentrations'!M$3:M$368)))^(1/inputs!$O$12))-1)/inputs!$N$12&lt;0, 0, IF((((inputs!$P$12/(inputs!E103/MAX('Min rate concentrations'!M$3:M$368)))^(1/inputs!$O$12))-1)/inputs!$N$12&gt;inputs!$H$17, inputs!$H$17, (((inputs!$P$12/(inputs!E103/MAX('Min rate concentrations'!M$3:M$368)))^(1/inputs!$O$12))-1)/inputs!$N$12))</f>
        <v>53.798506864696101</v>
      </c>
      <c r="N121" s="101" t="s">
        <v>13</v>
      </c>
    </row>
    <row r="122" spans="1:14" x14ac:dyDescent="0.3">
      <c r="A122" s="45"/>
      <c r="B122" s="61" t="s">
        <v>62</v>
      </c>
      <c r="C122" s="61" t="s">
        <v>86</v>
      </c>
      <c r="D122" s="176">
        <f>IF((((inputs!$P$12/(inputs!E104/MAX('Min rate concentrations'!D$3:D$368)))^(1/inputs!$O$12))-1)/inputs!$N$12&lt;0, 0, IF((((inputs!$P$12/(inputs!E104/MAX('Min rate concentrations'!D$3:D$368)))^(1/inputs!$O$12))-1)/inputs!$N$12&gt;inputs!$H$17, inputs!$H$17, (((inputs!$P$12/(inputs!E104/MAX('Min rate concentrations'!D$3:D$368)))^(1/inputs!$O$12))-1)/inputs!$N$12))</f>
        <v>119.20040858625104</v>
      </c>
      <c r="E122" s="176">
        <f>IF((((inputs!$P$12/(inputs!E104/MAX('Min rate concentrations'!E$3:E$368)))^(1/inputs!$O$12))-1)/inputs!$N$12&lt;0, 0, IF((((inputs!$P$12/(inputs!E104/MAX('Min rate concentrations'!E$3:E$368)))^(1/inputs!$O$12))-1)/inputs!$N$12&gt;inputs!$H$17, inputs!$H$17, (((inputs!$P$12/(inputs!E104/MAX('Min rate concentrations'!E$3:E$368)))^(1/inputs!$O$12))-1)/inputs!$N$12))</f>
        <v>79.043235183975384</v>
      </c>
      <c r="F122" s="176">
        <f>IF((((inputs!$P$12/(inputs!E104/MAX('Min rate concentrations'!F$3:F$368)))^(1/inputs!$O$12))-1)/inputs!$N$12&lt;0, 0, IF((((inputs!$P$12/(inputs!E104/MAX('Min rate concentrations'!F$3:F$368)))^(1/inputs!$O$12))-1)/inputs!$N$12&gt;inputs!$H$17, inputs!$H$17, (((inputs!$P$12/(inputs!E104/MAX('Min rate concentrations'!F$3:F$368)))^(1/inputs!$O$12))-1)/inputs!$N$12))</f>
        <v>88.38408416918567</v>
      </c>
      <c r="G122" s="176">
        <f>IF((((inputs!$P$12/(inputs!E104/MAX('Min rate concentrations'!G$3:G$368)))^(1/inputs!$O$12))-1)/inputs!$N$12&lt;0, 0, IF((((inputs!$P$12/(inputs!E104/MAX('Min rate concentrations'!G$3:G$368)))^(1/inputs!$O$12))-1)/inputs!$N$12&gt;inputs!$H$17, inputs!$H$17, (((inputs!$P$12/(inputs!E104/MAX('Min rate concentrations'!G$3:G$368)))^(1/inputs!$O$12))-1)/inputs!$N$12))</f>
        <v>19.328255144843304</v>
      </c>
      <c r="H122" s="176">
        <f>IF((((inputs!$P$12/(inputs!E104/MAX('Min rate concentrations'!H$3:H$368)))^(1/inputs!$O$12))-1)/inputs!$N$12&lt;0, 0, IF((((inputs!$P$12/(inputs!E104/MAX('Min rate concentrations'!H$3:H$368)))^(1/inputs!$O$12))-1)/inputs!$N$12&gt;inputs!$H$17, inputs!$H$17, (((inputs!$P$12/(inputs!E104/MAX('Min rate concentrations'!H$3:H$368)))^(1/inputs!$O$12))-1)/inputs!$N$12))</f>
        <v>72.383472453937316</v>
      </c>
      <c r="I122" s="176">
        <f>IF((((inputs!$P$12/(inputs!E104/MAX('Min rate concentrations'!I$3:I$368)))^(1/inputs!$O$12))-1)/inputs!$N$12&lt;0, 0, IF((((inputs!$P$12/(inputs!E104/MAX('Min rate concentrations'!I$3:I$368)))^(1/inputs!$O$12))-1)/inputs!$N$12&gt;inputs!$H$17, inputs!$H$17, (((inputs!$P$12/(inputs!E104/MAX('Min rate concentrations'!I$3:I$368)))^(1/inputs!$O$12))-1)/inputs!$N$12))</f>
        <v>24.103563463803219</v>
      </c>
      <c r="J122" s="176">
        <f>IF((((inputs!$P$12/(inputs!E104/MAX('Min rate concentrations'!J$3:J$368)))^(1/inputs!$O$12))-1)/inputs!$N$12&lt;0, 0, IF((((inputs!$P$12/(inputs!E104/MAX('Min rate concentrations'!J$3:J$368)))^(1/inputs!$O$12))-1)/inputs!$N$12&gt;inputs!$H$17, inputs!$H$17, (((inputs!$P$12/(inputs!E104/MAX('Min rate concentrations'!J$3:J$368)))^(1/inputs!$O$12))-1)/inputs!$N$12))</f>
        <v>116.36286697665524</v>
      </c>
      <c r="K122" s="176">
        <f>IF((((inputs!$P$12/(inputs!E104/MAX('Min rate concentrations'!K$3:K$368)))^(1/inputs!$O$12))-1)/inputs!$N$12&lt;0, 0, IF((((inputs!$P$12/(inputs!E104/MAX('Min rate concentrations'!K$3:K$368)))^(1/inputs!$O$12))-1)/inputs!$N$12&gt;inputs!$H$17, inputs!$H$17, (((inputs!$P$12/(inputs!E104/MAX('Min rate concentrations'!K$3:K$368)))^(1/inputs!$O$12))-1)/inputs!$N$12))</f>
        <v>40.292990129723727</v>
      </c>
      <c r="L122" s="176">
        <f>IF((((inputs!$P$12/(inputs!E104/MAX('Min rate concentrations'!L$3:L$368)))^(1/inputs!$O$12))-1)/inputs!$N$12&lt;0, 0, IF((((inputs!$P$12/(inputs!E104/MAX('Min rate concentrations'!L$3:L$368)))^(1/inputs!$O$12))-1)/inputs!$N$12&gt;inputs!$H$17, inputs!$H$17, (((inputs!$P$12/(inputs!E104/MAX('Min rate concentrations'!L$3:L$368)))^(1/inputs!$O$12))-1)/inputs!$N$12))</f>
        <v>81.715298003112807</v>
      </c>
      <c r="M122" s="176">
        <f>IF((((inputs!$P$12/(inputs!E104/MAX('Min rate concentrations'!M$3:M$368)))^(1/inputs!$O$12))-1)/inputs!$N$12&lt;0, 0, IF((((inputs!$P$12/(inputs!E104/MAX('Min rate concentrations'!M$3:M$368)))^(1/inputs!$O$12))-1)/inputs!$N$12&gt;inputs!$H$17, inputs!$H$17, (((inputs!$P$12/(inputs!E104/MAX('Min rate concentrations'!M$3:M$368)))^(1/inputs!$O$12))-1)/inputs!$N$12))</f>
        <v>3.7654725123481212</v>
      </c>
      <c r="N122" s="101" t="s">
        <v>13</v>
      </c>
    </row>
    <row r="123" spans="1:14" x14ac:dyDescent="0.3">
      <c r="A123" s="45"/>
      <c r="B123" s="61" t="s">
        <v>62</v>
      </c>
      <c r="C123" s="61" t="s">
        <v>87</v>
      </c>
      <c r="D123" s="176" t="e">
        <f>IF((((inputs!$P$12/(inputs!E105/MAX('Min rate concentrations'!D$3:D$368)))^(1/inputs!$O$12))-1)/inputs!$N$12&lt;0, 0, IF((((inputs!$P$12/(inputs!E105/MAX('Min rate concentrations'!D$3:D$368)))^(1/inputs!$O$12))-1)/inputs!$N$12&gt;inputs!$H$17, inputs!$H$17, (((inputs!$P$12/(inputs!E105/MAX('Min rate concentrations'!D$3:D$368)))^(1/inputs!$O$12))-1)/inputs!$N$12))</f>
        <v>#VALUE!</v>
      </c>
      <c r="E123" s="176" t="e">
        <f>IF((((inputs!$P$12/(inputs!E105/MAX('Min rate concentrations'!E$3:E$368)))^(1/inputs!$O$12))-1)/inputs!$N$12&lt;0, 0, IF((((inputs!$P$12/(inputs!E105/MAX('Min rate concentrations'!E$3:E$368)))^(1/inputs!$O$12))-1)/inputs!$N$12&gt;inputs!$H$17, inputs!$H$17, (((inputs!$P$12/(inputs!E105/MAX('Min rate concentrations'!E$3:E$368)))^(1/inputs!$O$12))-1)/inputs!$N$12))</f>
        <v>#VALUE!</v>
      </c>
      <c r="F123" s="176" t="e">
        <f>IF((((inputs!$P$12/(inputs!E105/MAX('Min rate concentrations'!F$3:F$368)))^(1/inputs!$O$12))-1)/inputs!$N$12&lt;0, 0, IF((((inputs!$P$12/(inputs!E105/MAX('Min rate concentrations'!F$3:F$368)))^(1/inputs!$O$12))-1)/inputs!$N$12&gt;inputs!$H$17, inputs!$H$17, (((inputs!$P$12/(inputs!E105/MAX('Min rate concentrations'!F$3:F$368)))^(1/inputs!$O$12))-1)/inputs!$N$12))</f>
        <v>#VALUE!</v>
      </c>
      <c r="G123" s="176" t="e">
        <f>IF((((inputs!$P$12/(inputs!E105/MAX('Min rate concentrations'!G$3:G$368)))^(1/inputs!$O$12))-1)/inputs!$N$12&lt;0, 0, IF((((inputs!$P$12/(inputs!E105/MAX('Min rate concentrations'!G$3:G$368)))^(1/inputs!$O$12))-1)/inputs!$N$12&gt;inputs!$H$17, inputs!$H$17, (((inputs!$P$12/(inputs!E105/MAX('Min rate concentrations'!G$3:G$368)))^(1/inputs!$O$12))-1)/inputs!$N$12))</f>
        <v>#VALUE!</v>
      </c>
      <c r="H123" s="176" t="e">
        <f>IF((((inputs!$P$12/(inputs!E105/MAX('Min rate concentrations'!H$3:H$368)))^(1/inputs!$O$12))-1)/inputs!$N$12&lt;0, 0, IF((((inputs!$P$12/(inputs!E105/MAX('Min rate concentrations'!H$3:H$368)))^(1/inputs!$O$12))-1)/inputs!$N$12&gt;inputs!$H$17, inputs!$H$17, (((inputs!$P$12/(inputs!E105/MAX('Min rate concentrations'!H$3:H$368)))^(1/inputs!$O$12))-1)/inputs!$N$12))</f>
        <v>#VALUE!</v>
      </c>
      <c r="I123" s="176" t="e">
        <f>IF((((inputs!$P$12/(inputs!E105/MAX('Min rate concentrations'!I$3:I$368)))^(1/inputs!$O$12))-1)/inputs!$N$12&lt;0, 0, IF((((inputs!$P$12/(inputs!E105/MAX('Min rate concentrations'!I$3:I$368)))^(1/inputs!$O$12))-1)/inputs!$N$12&gt;inputs!$H$17, inputs!$H$17, (((inputs!$P$12/(inputs!E105/MAX('Min rate concentrations'!I$3:I$368)))^(1/inputs!$O$12))-1)/inputs!$N$12))</f>
        <v>#VALUE!</v>
      </c>
      <c r="J123" s="176" t="e">
        <f>IF((((inputs!$P$12/(inputs!E105/MAX('Min rate concentrations'!J$3:J$368)))^(1/inputs!$O$12))-1)/inputs!$N$12&lt;0, 0, IF((((inputs!$P$12/(inputs!E105/MAX('Min rate concentrations'!J$3:J$368)))^(1/inputs!$O$12))-1)/inputs!$N$12&gt;inputs!$H$17, inputs!$H$17, (((inputs!$P$12/(inputs!E105/MAX('Min rate concentrations'!J$3:J$368)))^(1/inputs!$O$12))-1)/inputs!$N$12))</f>
        <v>#VALUE!</v>
      </c>
      <c r="K123" s="176" t="e">
        <f>IF((((inputs!$P$12/(inputs!E105/MAX('Min rate concentrations'!K$3:K$368)))^(1/inputs!$O$12))-1)/inputs!$N$12&lt;0, 0, IF((((inputs!$P$12/(inputs!E105/MAX('Min rate concentrations'!K$3:K$368)))^(1/inputs!$O$12))-1)/inputs!$N$12&gt;inputs!$H$17, inputs!$H$17, (((inputs!$P$12/(inputs!E105/MAX('Min rate concentrations'!K$3:K$368)))^(1/inputs!$O$12))-1)/inputs!$N$12))</f>
        <v>#VALUE!</v>
      </c>
      <c r="L123" s="176" t="e">
        <f>IF((((inputs!$P$12/(inputs!E105/MAX('Min rate concentrations'!L$3:L$368)))^(1/inputs!$O$12))-1)/inputs!$N$12&lt;0, 0, IF((((inputs!$P$12/(inputs!E105/MAX('Min rate concentrations'!L$3:L$368)))^(1/inputs!$O$12))-1)/inputs!$N$12&gt;inputs!$H$17, inputs!$H$17, (((inputs!$P$12/(inputs!E105/MAX('Min rate concentrations'!L$3:L$368)))^(1/inputs!$O$12))-1)/inputs!$N$12))</f>
        <v>#VALUE!</v>
      </c>
      <c r="M123" s="176" t="e">
        <f>IF((((inputs!$P$12/(inputs!E105/MAX('Min rate concentrations'!M$3:M$368)))^(1/inputs!$O$12))-1)/inputs!$N$12&lt;0, 0, IF((((inputs!$P$12/(inputs!E105/MAX('Min rate concentrations'!M$3:M$368)))^(1/inputs!$O$12))-1)/inputs!$N$12&gt;inputs!$H$17, inputs!$H$17, (((inputs!$P$12/(inputs!E105/MAX('Min rate concentrations'!M$3:M$368)))^(1/inputs!$O$12))-1)/inputs!$N$12))</f>
        <v>#VALUE!</v>
      </c>
      <c r="N123" s="101" t="s">
        <v>13</v>
      </c>
    </row>
    <row r="124" spans="1:14" x14ac:dyDescent="0.3">
      <c r="A124" s="45"/>
      <c r="B124" s="61" t="s">
        <v>62</v>
      </c>
      <c r="C124" s="61" t="s">
        <v>88</v>
      </c>
      <c r="D124" s="176" t="e">
        <f>IF((((inputs!$P$12/(inputs!E106/MAX('Min rate concentrations'!D$3:D$368)))^(1/inputs!$O$12))-1)/inputs!$N$12&lt;0, 0, IF((((inputs!$P$12/(inputs!E106/MAX('Min rate concentrations'!D$3:D$368)))^(1/inputs!$O$12))-1)/inputs!$N$12&gt;inputs!$H$17, inputs!$H$17, (((inputs!$P$12/(inputs!E106/MAX('Min rate concentrations'!D$3:D$368)))^(1/inputs!$O$12))-1)/inputs!$N$12))</f>
        <v>#VALUE!</v>
      </c>
      <c r="E124" s="176" t="e">
        <f>IF((((inputs!$P$12/(inputs!E106/MAX('Min rate concentrations'!E$3:E$368)))^(1/inputs!$O$12))-1)/inputs!$N$12&lt;0, 0, IF((((inputs!$P$12/(inputs!E106/MAX('Min rate concentrations'!E$3:E$368)))^(1/inputs!$O$12))-1)/inputs!$N$12&gt;inputs!$H$17, inputs!$H$17, (((inputs!$P$12/(inputs!E106/MAX('Min rate concentrations'!E$3:E$368)))^(1/inputs!$O$12))-1)/inputs!$N$12))</f>
        <v>#VALUE!</v>
      </c>
      <c r="F124" s="176" t="e">
        <f>IF((((inputs!$P$12/(inputs!E106/MAX('Min rate concentrations'!F$3:F$368)))^(1/inputs!$O$12))-1)/inputs!$N$12&lt;0, 0, IF((((inputs!$P$12/(inputs!E106/MAX('Min rate concentrations'!F$3:F$368)))^(1/inputs!$O$12))-1)/inputs!$N$12&gt;inputs!$H$17, inputs!$H$17, (((inputs!$P$12/(inputs!E106/MAX('Min rate concentrations'!F$3:F$368)))^(1/inputs!$O$12))-1)/inputs!$N$12))</f>
        <v>#VALUE!</v>
      </c>
      <c r="G124" s="176" t="e">
        <f>IF((((inputs!$P$12/(inputs!E106/MAX('Min rate concentrations'!G$3:G$368)))^(1/inputs!$O$12))-1)/inputs!$N$12&lt;0, 0, IF((((inputs!$P$12/(inputs!E106/MAX('Min rate concentrations'!G$3:G$368)))^(1/inputs!$O$12))-1)/inputs!$N$12&gt;inputs!$H$17, inputs!$H$17, (((inputs!$P$12/(inputs!E106/MAX('Min rate concentrations'!G$3:G$368)))^(1/inputs!$O$12))-1)/inputs!$N$12))</f>
        <v>#VALUE!</v>
      </c>
      <c r="H124" s="176" t="e">
        <f>IF((((inputs!$P$12/(inputs!E106/MAX('Min rate concentrations'!H$3:H$368)))^(1/inputs!$O$12))-1)/inputs!$N$12&lt;0, 0, IF((((inputs!$P$12/(inputs!E106/MAX('Min rate concentrations'!H$3:H$368)))^(1/inputs!$O$12))-1)/inputs!$N$12&gt;inputs!$H$17, inputs!$H$17, (((inputs!$P$12/(inputs!E106/MAX('Min rate concentrations'!H$3:H$368)))^(1/inputs!$O$12))-1)/inputs!$N$12))</f>
        <v>#VALUE!</v>
      </c>
      <c r="I124" s="176" t="e">
        <f>IF((((inputs!$P$12/(inputs!E106/MAX('Min rate concentrations'!I$3:I$368)))^(1/inputs!$O$12))-1)/inputs!$N$12&lt;0, 0, IF((((inputs!$P$12/(inputs!E106/MAX('Min rate concentrations'!I$3:I$368)))^(1/inputs!$O$12))-1)/inputs!$N$12&gt;inputs!$H$17, inputs!$H$17, (((inputs!$P$12/(inputs!E106/MAX('Min rate concentrations'!I$3:I$368)))^(1/inputs!$O$12))-1)/inputs!$N$12))</f>
        <v>#VALUE!</v>
      </c>
      <c r="J124" s="176" t="e">
        <f>IF((((inputs!$P$12/(inputs!E106/MAX('Min rate concentrations'!J$3:J$368)))^(1/inputs!$O$12))-1)/inputs!$N$12&lt;0, 0, IF((((inputs!$P$12/(inputs!E106/MAX('Min rate concentrations'!J$3:J$368)))^(1/inputs!$O$12))-1)/inputs!$N$12&gt;inputs!$H$17, inputs!$H$17, (((inputs!$P$12/(inputs!E106/MAX('Min rate concentrations'!J$3:J$368)))^(1/inputs!$O$12))-1)/inputs!$N$12))</f>
        <v>#VALUE!</v>
      </c>
      <c r="K124" s="176" t="e">
        <f>IF((((inputs!$P$12/(inputs!E106/MAX('Min rate concentrations'!K$3:K$368)))^(1/inputs!$O$12))-1)/inputs!$N$12&lt;0, 0, IF((((inputs!$P$12/(inputs!E106/MAX('Min rate concentrations'!K$3:K$368)))^(1/inputs!$O$12))-1)/inputs!$N$12&gt;inputs!$H$17, inputs!$H$17, (((inputs!$P$12/(inputs!E106/MAX('Min rate concentrations'!K$3:K$368)))^(1/inputs!$O$12))-1)/inputs!$N$12))</f>
        <v>#VALUE!</v>
      </c>
      <c r="L124" s="176" t="e">
        <f>IF((((inputs!$P$12/(inputs!E106/MAX('Min rate concentrations'!L$3:L$368)))^(1/inputs!$O$12))-1)/inputs!$N$12&lt;0, 0, IF((((inputs!$P$12/(inputs!E106/MAX('Min rate concentrations'!L$3:L$368)))^(1/inputs!$O$12))-1)/inputs!$N$12&gt;inputs!$H$17, inputs!$H$17, (((inputs!$P$12/(inputs!E106/MAX('Min rate concentrations'!L$3:L$368)))^(1/inputs!$O$12))-1)/inputs!$N$12))</f>
        <v>#VALUE!</v>
      </c>
      <c r="M124" s="176" t="e">
        <f>IF((((inputs!$P$12/(inputs!E106/MAX('Min rate concentrations'!M$3:M$368)))^(1/inputs!$O$12))-1)/inputs!$N$12&lt;0, 0, IF((((inputs!$P$12/(inputs!E106/MAX('Min rate concentrations'!M$3:M$368)))^(1/inputs!$O$12))-1)/inputs!$N$12&gt;inputs!$H$17, inputs!$H$17, (((inputs!$P$12/(inputs!E106/MAX('Min rate concentrations'!M$3:M$368)))^(1/inputs!$O$12))-1)/inputs!$N$12))</f>
        <v>#VALUE!</v>
      </c>
      <c r="N124" s="101" t="s">
        <v>13</v>
      </c>
    </row>
    <row r="125" spans="1:14" x14ac:dyDescent="0.3">
      <c r="A125" s="45"/>
      <c r="B125" s="22" t="s">
        <v>64</v>
      </c>
      <c r="C125" s="22" t="s">
        <v>71</v>
      </c>
      <c r="D125" s="176">
        <f>IF((((inputs!$P$12/(inputs!E107/MAX('Min rate concentrations'!D$3:D$368)))^(1/inputs!$O$12))-1)/inputs!$N$12&lt;0, 0, IF((((inputs!$P$12/(inputs!E107/MAX('Min rate concentrations'!D$3:D$368)))^(1/inputs!$O$12))-1)/inputs!$N$12&gt;inputs!$H$17, inputs!$H$17, (((inputs!$P$12/(inputs!E107/MAX('Min rate concentrations'!D$3:D$368)))^(1/inputs!$O$12))-1)/inputs!$N$12))</f>
        <v>28.485553586006223</v>
      </c>
      <c r="E125" s="176">
        <f>IF((((inputs!$P$12/(inputs!E107/MAX('Min rate concentrations'!E$3:E$368)))^(1/inputs!$O$12))-1)/inputs!$N$12&lt;0, 0, IF((((inputs!$P$12/(inputs!E107/MAX('Min rate concentrations'!E$3:E$368)))^(1/inputs!$O$12))-1)/inputs!$N$12&gt;inputs!$H$17, inputs!$H$17, (((inputs!$P$12/(inputs!E107/MAX('Min rate concentrations'!E$3:E$368)))^(1/inputs!$O$12))-1)/inputs!$N$12))</f>
        <v>12.993837436901632</v>
      </c>
      <c r="F125" s="176">
        <f>IF((((inputs!$P$12/(inputs!E107/MAX('Min rate concentrations'!F$3:F$368)))^(1/inputs!$O$12))-1)/inputs!$N$12&lt;0, 0, IF((((inputs!$P$12/(inputs!E107/MAX('Min rate concentrations'!F$3:F$368)))^(1/inputs!$O$12))-1)/inputs!$N$12&gt;inputs!$H$17, inputs!$H$17, (((inputs!$P$12/(inputs!E107/MAX('Min rate concentrations'!F$3:F$368)))^(1/inputs!$O$12))-1)/inputs!$N$12))</f>
        <v>16.597322662839595</v>
      </c>
      <c r="G125" s="176">
        <f>IF((((inputs!$P$12/(inputs!E107/MAX('Min rate concentrations'!G$3:G$368)))^(1/inputs!$O$12))-1)/inputs!$N$12&lt;0, 0, IF((((inputs!$P$12/(inputs!E107/MAX('Min rate concentrations'!G$3:G$368)))^(1/inputs!$O$12))-1)/inputs!$N$12&gt;inputs!$H$17, inputs!$H$17, (((inputs!$P$12/(inputs!E107/MAX('Min rate concentrations'!G$3:G$368)))^(1/inputs!$O$12))-1)/inputs!$N$12))</f>
        <v>0</v>
      </c>
      <c r="H125" s="176">
        <f>IF((((inputs!$P$12/(inputs!E107/MAX('Min rate concentrations'!H$3:H$368)))^(1/inputs!$O$12))-1)/inputs!$N$12&lt;0, 0, IF((((inputs!$P$12/(inputs!E107/MAX('Min rate concentrations'!H$3:H$368)))^(1/inputs!$O$12))-1)/inputs!$N$12&gt;inputs!$H$17, inputs!$H$17, (((inputs!$P$12/(inputs!E107/MAX('Min rate concentrations'!H$3:H$368)))^(1/inputs!$O$12))-1)/inputs!$N$12))</f>
        <v>10.424653774480587</v>
      </c>
      <c r="I125" s="176">
        <f>IF((((inputs!$P$12/(inputs!E107/MAX('Min rate concentrations'!I$3:I$368)))^(1/inputs!$O$12))-1)/inputs!$N$12&lt;0, 0, IF((((inputs!$P$12/(inputs!E107/MAX('Min rate concentrations'!I$3:I$368)))^(1/inputs!$O$12))-1)/inputs!$N$12&gt;inputs!$H$17, inputs!$H$17, (((inputs!$P$12/(inputs!E107/MAX('Min rate concentrations'!I$3:I$368)))^(1/inputs!$O$12))-1)/inputs!$N$12))</f>
        <v>0</v>
      </c>
      <c r="J125" s="176">
        <f>IF((((inputs!$P$12/(inputs!E107/MAX('Min rate concentrations'!J$3:J$368)))^(1/inputs!$O$12))-1)/inputs!$N$12&lt;0, 0, IF((((inputs!$P$12/(inputs!E107/MAX('Min rate concentrations'!J$3:J$368)))^(1/inputs!$O$12))-1)/inputs!$N$12&gt;inputs!$H$17, inputs!$H$17, (((inputs!$P$12/(inputs!E107/MAX('Min rate concentrations'!J$3:J$368)))^(1/inputs!$O$12))-1)/inputs!$N$12))</f>
        <v>27.390895136399287</v>
      </c>
      <c r="K125" s="176">
        <f>IF((((inputs!$P$12/(inputs!E107/MAX('Min rate concentrations'!K$3:K$368)))^(1/inputs!$O$12))-1)/inputs!$N$12&lt;0, 0, IF((((inputs!$P$12/(inputs!E107/MAX('Min rate concentrations'!K$3:K$368)))^(1/inputs!$O$12))-1)/inputs!$N$12&gt;inputs!$H$17, inputs!$H$17, (((inputs!$P$12/(inputs!E107/MAX('Min rate concentrations'!K$3:K$368)))^(1/inputs!$O$12))-1)/inputs!$N$12))</f>
        <v>0</v>
      </c>
      <c r="L125" s="176">
        <f>IF((((inputs!$P$12/(inputs!E107/MAX('Min rate concentrations'!L$3:L$368)))^(1/inputs!$O$12))-1)/inputs!$N$12&lt;0, 0, IF((((inputs!$P$12/(inputs!E107/MAX('Min rate concentrations'!L$3:L$368)))^(1/inputs!$O$12))-1)/inputs!$N$12&gt;inputs!$H$17, inputs!$H$17, (((inputs!$P$12/(inputs!E107/MAX('Min rate concentrations'!L$3:L$368)))^(1/inputs!$O$12))-1)/inputs!$N$12))</f>
        <v>14.024657965826295</v>
      </c>
      <c r="M125" s="176">
        <f>IF((((inputs!$P$12/(inputs!E107/MAX('Min rate concentrations'!M$3:M$368)))^(1/inputs!$O$12))-1)/inputs!$N$12&lt;0, 0, IF((((inputs!$P$12/(inputs!E107/MAX('Min rate concentrations'!M$3:M$368)))^(1/inputs!$O$12))-1)/inputs!$N$12&gt;inputs!$H$17, inputs!$H$17, (((inputs!$P$12/(inputs!E107/MAX('Min rate concentrations'!M$3:M$368)))^(1/inputs!$O$12))-1)/inputs!$N$12))</f>
        <v>0</v>
      </c>
      <c r="N125" s="101" t="s">
        <v>13</v>
      </c>
    </row>
    <row r="126" spans="1:14" x14ac:dyDescent="0.3">
      <c r="A126" s="44" t="s">
        <v>73</v>
      </c>
      <c r="B126" s="22" t="s">
        <v>62</v>
      </c>
      <c r="C126" s="22" t="s">
        <v>63</v>
      </c>
      <c r="D126" s="176">
        <f>IF((((inputs!$P$12/(inputs!E108/MAX('Min rate concentrations'!D$3:D$368)))^(1/inputs!$O$12))-1)/inputs!$N$12&lt;0, 0, IF((((inputs!$P$12/(inputs!E108/MAX('Min rate concentrations'!D$3:D$368)))^(1/inputs!$O$12))-1)/inputs!$N$12&gt;inputs!$H$17, inputs!$H$17, (((inputs!$P$12/(inputs!E108/MAX('Min rate concentrations'!D$3:D$368)))^(1/inputs!$O$12))-1)/inputs!$N$12))</f>
        <v>73.250978367049939</v>
      </c>
      <c r="E126" s="176">
        <f>IF((((inputs!$P$12/(inputs!E108/MAX('Min rate concentrations'!E$3:E$368)))^(1/inputs!$O$12))-1)/inputs!$N$12&lt;0, 0, IF((((inputs!$P$12/(inputs!E108/MAX('Min rate concentrations'!E$3:E$368)))^(1/inputs!$O$12))-1)/inputs!$N$12&gt;inputs!$H$17, inputs!$H$17, (((inputs!$P$12/(inputs!E108/MAX('Min rate concentrations'!E$3:E$368)))^(1/inputs!$O$12))-1)/inputs!$N$12))</f>
        <v>45.587499706128519</v>
      </c>
      <c r="F126" s="176">
        <f>IF((((inputs!$P$12/(inputs!E108/MAX('Min rate concentrations'!F$3:F$368)))^(1/inputs!$O$12))-1)/inputs!$N$12&lt;0, 0, IF((((inputs!$P$12/(inputs!E108/MAX('Min rate concentrations'!F$3:F$368)))^(1/inputs!$O$12))-1)/inputs!$N$12&gt;inputs!$H$17, inputs!$H$17, (((inputs!$P$12/(inputs!E108/MAX('Min rate concentrations'!F$3:F$368)))^(1/inputs!$O$12))-1)/inputs!$N$12))</f>
        <v>52.022224929159549</v>
      </c>
      <c r="G126" s="176">
        <f>IF((((inputs!$P$12/(inputs!E108/MAX('Min rate concentrations'!G$3:G$368)))^(1/inputs!$O$12))-1)/inputs!$N$12&lt;0, 0, IF((((inputs!$P$12/(inputs!E108/MAX('Min rate concentrations'!G$3:G$368)))^(1/inputs!$O$12))-1)/inputs!$N$12&gt;inputs!$H$17, inputs!$H$17, (((inputs!$P$12/(inputs!E108/MAX('Min rate concentrations'!G$3:G$368)))^(1/inputs!$O$12))-1)/inputs!$N$12))</f>
        <v>4.451036750888111</v>
      </c>
      <c r="H126" s="176">
        <f>IF((((inputs!$P$12/(inputs!E108/MAX('Min rate concentrations'!H$3:H$368)))^(1/inputs!$O$12))-1)/inputs!$N$12&lt;0, 0, IF((((inputs!$P$12/(inputs!E108/MAX('Min rate concentrations'!H$3:H$368)))^(1/inputs!$O$12))-1)/inputs!$N$12&gt;inputs!$H$17, inputs!$H$17, (((inputs!$P$12/(inputs!E108/MAX('Min rate concentrations'!H$3:H$368)))^(1/inputs!$O$12))-1)/inputs!$N$12))</f>
        <v>40.999721519560062</v>
      </c>
      <c r="I126" s="176">
        <f>IF((((inputs!$P$12/(inputs!E108/MAX('Min rate concentrations'!I$3:I$368)))^(1/inputs!$O$12))-1)/inputs!$N$12&lt;0, 0, IF((((inputs!$P$12/(inputs!E108/MAX('Min rate concentrations'!I$3:I$368)))^(1/inputs!$O$12))-1)/inputs!$N$12&gt;inputs!$H$17, inputs!$H$17, (((inputs!$P$12/(inputs!E108/MAX('Min rate concentrations'!I$3:I$368)))^(1/inputs!$O$12))-1)/inputs!$N$12))</f>
        <v>7.7406517458862876</v>
      </c>
      <c r="J126" s="176">
        <f>IF((((inputs!$P$12/(inputs!E108/MAX('Min rate concentrations'!J$3:J$368)))^(1/inputs!$O$12))-1)/inputs!$N$12&lt;0, 0, IF((((inputs!$P$12/(inputs!E108/MAX('Min rate concentrations'!J$3:J$368)))^(1/inputs!$O$12))-1)/inputs!$N$12&gt;inputs!$H$17, inputs!$H$17, (((inputs!$P$12/(inputs!E108/MAX('Min rate concentrations'!J$3:J$368)))^(1/inputs!$O$12))-1)/inputs!$N$12))</f>
        <v>71.296252346366359</v>
      </c>
      <c r="K126" s="176">
        <f>IF((((inputs!$P$12/(inputs!E108/MAX('Min rate concentrations'!K$3:K$368)))^(1/inputs!$O$12))-1)/inputs!$N$12&lt;0, 0, IF((((inputs!$P$12/(inputs!E108/MAX('Min rate concentrations'!K$3:K$368)))^(1/inputs!$O$12))-1)/inputs!$N$12&gt;inputs!$H$17, inputs!$H$17, (((inputs!$P$12/(inputs!E108/MAX('Min rate concentrations'!K$3:K$368)))^(1/inputs!$O$12))-1)/inputs!$N$12))</f>
        <v>18.89322602243794</v>
      </c>
      <c r="L126" s="176">
        <f>IF((((inputs!$P$12/(inputs!E108/MAX('Min rate concentrations'!L$3:L$368)))^(1/inputs!$O$12))-1)/inputs!$N$12&lt;0, 0, IF((((inputs!$P$12/(inputs!E108/MAX('Min rate concentrations'!L$3:L$368)))^(1/inputs!$O$12))-1)/inputs!$N$12&gt;inputs!$H$17, inputs!$H$17, (((inputs!$P$12/(inputs!E108/MAX('Min rate concentrations'!L$3:L$368)))^(1/inputs!$O$12))-1)/inputs!$N$12))</f>
        <v>47.428230676841231</v>
      </c>
      <c r="M126" s="176">
        <f>IF((((inputs!$P$12/(inputs!E108/MAX('Min rate concentrations'!M$3:M$368)))^(1/inputs!$O$12))-1)/inputs!$N$12&lt;0, 0, IF((((inputs!$P$12/(inputs!E108/MAX('Min rate concentrations'!M$3:M$368)))^(1/inputs!$O$12))-1)/inputs!$N$12&gt;inputs!$H$17, inputs!$H$17, (((inputs!$P$12/(inputs!E108/MAX('Min rate concentrations'!M$3:M$368)))^(1/inputs!$O$12))-1)/inputs!$N$12))</f>
        <v>0</v>
      </c>
      <c r="N126" s="101" t="s">
        <v>13</v>
      </c>
    </row>
    <row r="127" spans="1:14" x14ac:dyDescent="0.3">
      <c r="A127" s="45"/>
      <c r="B127" s="22" t="s">
        <v>64</v>
      </c>
      <c r="C127" s="22" t="s">
        <v>65</v>
      </c>
      <c r="D127" s="176">
        <f>IF((((inputs!$P$12/(inputs!E109/MAX('Min rate concentrations'!D$3:D$368)))^(1/inputs!$O$12))-1)/inputs!$N$12&lt;0, 0, IF((((inputs!$P$12/(inputs!E109/MAX('Min rate concentrations'!D$3:D$368)))^(1/inputs!$O$12))-1)/inputs!$N$12&gt;inputs!$H$17, inputs!$H$17, (((inputs!$P$12/(inputs!E109/MAX('Min rate concentrations'!D$3:D$368)))^(1/inputs!$O$12))-1)/inputs!$N$12))</f>
        <v>17.091452824350338</v>
      </c>
      <c r="E127" s="176">
        <f>IF((((inputs!$P$12/(inputs!E109/MAX('Min rate concentrations'!E$3:E$368)))^(1/inputs!$O$12))-1)/inputs!$N$12&lt;0, 0, IF((((inputs!$P$12/(inputs!E109/MAX('Min rate concentrations'!E$3:E$368)))^(1/inputs!$O$12))-1)/inputs!$N$12&gt;inputs!$H$17, inputs!$H$17, (((inputs!$P$12/(inputs!E109/MAX('Min rate concentrations'!E$3:E$368)))^(1/inputs!$O$12))-1)/inputs!$N$12))</f>
        <v>4.6978037478788659</v>
      </c>
      <c r="F127" s="176">
        <f>IF((((inputs!$P$12/(inputs!E109/MAX('Min rate concentrations'!F$3:F$368)))^(1/inputs!$O$12))-1)/inputs!$N$12&lt;0, 0, IF((((inputs!$P$12/(inputs!E109/MAX('Min rate concentrations'!F$3:F$368)))^(1/inputs!$O$12))-1)/inputs!$N$12&gt;inputs!$H$17, inputs!$H$17, (((inputs!$P$12/(inputs!E109/MAX('Min rate concentrations'!F$3:F$368)))^(1/inputs!$O$12))-1)/inputs!$N$12))</f>
        <v>7.5806561647885351</v>
      </c>
      <c r="G127" s="176">
        <f>IF((((inputs!$P$12/(inputs!E109/MAX('Min rate concentrations'!G$3:G$368)))^(1/inputs!$O$12))-1)/inputs!$N$12&lt;0, 0, IF((((inputs!$P$12/(inputs!E109/MAX('Min rate concentrations'!G$3:G$368)))^(1/inputs!$O$12))-1)/inputs!$N$12&gt;inputs!$H$17, inputs!$H$17, (((inputs!$P$12/(inputs!E109/MAX('Min rate concentrations'!G$3:G$368)))^(1/inputs!$O$12))-1)/inputs!$N$12))</f>
        <v>0</v>
      </c>
      <c r="H127" s="176">
        <f>IF((((inputs!$P$12/(inputs!E109/MAX('Min rate concentrations'!H$3:H$368)))^(1/inputs!$O$12))-1)/inputs!$N$12&lt;0, 0, IF((((inputs!$P$12/(inputs!E109/MAX('Min rate concentrations'!H$3:H$368)))^(1/inputs!$O$12))-1)/inputs!$N$12&gt;inputs!$H$17, inputs!$H$17, (((inputs!$P$12/(inputs!E109/MAX('Min rate concentrations'!H$3:H$368)))^(1/inputs!$O$12))-1)/inputs!$N$12))</f>
        <v>2.6424110193663166</v>
      </c>
      <c r="I127" s="176">
        <f>IF((((inputs!$P$12/(inputs!E109/MAX('Min rate concentrations'!I$3:I$368)))^(1/inputs!$O$12))-1)/inputs!$N$12&lt;0, 0, IF((((inputs!$P$12/(inputs!E109/MAX('Min rate concentrations'!I$3:I$368)))^(1/inputs!$O$12))-1)/inputs!$N$12&gt;inputs!$H$17, inputs!$H$17, (((inputs!$P$12/(inputs!E109/MAX('Min rate concentrations'!I$3:I$368)))^(1/inputs!$O$12))-1)/inputs!$N$12))</f>
        <v>0</v>
      </c>
      <c r="J127" s="176">
        <f>IF((((inputs!$P$12/(inputs!E109/MAX('Min rate concentrations'!J$3:J$368)))^(1/inputs!$O$12))-1)/inputs!$N$12&lt;0, 0, IF((((inputs!$P$12/(inputs!E109/MAX('Min rate concentrations'!J$3:J$368)))^(1/inputs!$O$12))-1)/inputs!$N$12&gt;inputs!$H$17, inputs!$H$17, (((inputs!$P$12/(inputs!E109/MAX('Min rate concentrations'!J$3:J$368)))^(1/inputs!$O$12))-1)/inputs!$N$12))</f>
        <v>16.215706551152142</v>
      </c>
      <c r="K127" s="176">
        <f>IF((((inputs!$P$12/(inputs!E109/MAX('Min rate concentrations'!K$3:K$368)))^(1/inputs!$O$12))-1)/inputs!$N$12&lt;0, 0, IF((((inputs!$P$12/(inputs!E109/MAX('Min rate concentrations'!K$3:K$368)))^(1/inputs!$O$12))-1)/inputs!$N$12&gt;inputs!$H$17, inputs!$H$17, (((inputs!$P$12/(inputs!E109/MAX('Min rate concentrations'!K$3:K$368)))^(1/inputs!$O$12))-1)/inputs!$N$12))</f>
        <v>0</v>
      </c>
      <c r="L127" s="176">
        <f>IF((((inputs!$P$12/(inputs!E109/MAX('Min rate concentrations'!L$3:L$368)))^(1/inputs!$O$12))-1)/inputs!$N$12&lt;0, 0, IF((((inputs!$P$12/(inputs!E109/MAX('Min rate concentrations'!L$3:L$368)))^(1/inputs!$O$12))-1)/inputs!$N$12&gt;inputs!$H$17, inputs!$H$17, (((inputs!$P$12/(inputs!E109/MAX('Min rate concentrations'!L$3:L$368)))^(1/inputs!$O$12))-1)/inputs!$N$12))</f>
        <v>5.522478546548828</v>
      </c>
      <c r="M127" s="176">
        <f>IF((((inputs!$P$12/(inputs!E109/MAX('Min rate concentrations'!M$3:M$368)))^(1/inputs!$O$12))-1)/inputs!$N$12&lt;0, 0, IF((((inputs!$P$12/(inputs!E109/MAX('Min rate concentrations'!M$3:M$368)))^(1/inputs!$O$12))-1)/inputs!$N$12&gt;inputs!$H$17, inputs!$H$17, (((inputs!$P$12/(inputs!E109/MAX('Min rate concentrations'!M$3:M$368)))^(1/inputs!$O$12))-1)/inputs!$N$12))</f>
        <v>0</v>
      </c>
      <c r="N127" s="101" t="s">
        <v>13</v>
      </c>
    </row>
    <row r="128" spans="1:14" x14ac:dyDescent="0.3">
      <c r="A128" s="45"/>
      <c r="B128" s="22" t="s">
        <v>66</v>
      </c>
      <c r="C128" s="22" t="s">
        <v>80</v>
      </c>
      <c r="D128" s="176">
        <f>IF((((inputs!$P$12/(inputs!E110/MAX('Min rate concentrations'!D$3:D$368)))^(1/inputs!$O$12))-1)/inputs!$N$12&lt;0, 0, IF((((inputs!$P$12/(inputs!E110/MAX('Min rate concentrations'!D$3:D$368)))^(1/inputs!$O$12))-1)/inputs!$N$12&gt;inputs!$H$17, inputs!$H$17, (((inputs!$P$12/(inputs!E110/MAX('Min rate concentrations'!D$3:D$368)))^(1/inputs!$O$12))-1)/inputs!$N$12))</f>
        <v>5.1454988232543695</v>
      </c>
      <c r="E128" s="176">
        <f>IF((((inputs!$P$12/(inputs!E110/MAX('Min rate concentrations'!E$3:E$368)))^(1/inputs!$O$12))-1)/inputs!$N$12&lt;0, 0, IF((((inputs!$P$12/(inputs!E110/MAX('Min rate concentrations'!E$3:E$368)))^(1/inputs!$O$12))-1)/inputs!$N$12&gt;inputs!$H$17, inputs!$H$17, (((inputs!$P$12/(inputs!E110/MAX('Min rate concentrations'!E$3:E$368)))^(1/inputs!$O$12))-1)/inputs!$N$12))</f>
        <v>0</v>
      </c>
      <c r="F128" s="176">
        <f>IF((((inputs!$P$12/(inputs!E110/MAX('Min rate concentrations'!F$3:F$368)))^(1/inputs!$O$12))-1)/inputs!$N$12&lt;0, 0, IF((((inputs!$P$12/(inputs!E110/MAX('Min rate concentrations'!F$3:F$368)))^(1/inputs!$O$12))-1)/inputs!$N$12&gt;inputs!$H$17, inputs!$H$17, (((inputs!$P$12/(inputs!E110/MAX('Min rate concentrations'!F$3:F$368)))^(1/inputs!$O$12))-1)/inputs!$N$12))</f>
        <v>0</v>
      </c>
      <c r="G128" s="176">
        <f>IF((((inputs!$P$12/(inputs!E110/MAX('Min rate concentrations'!G$3:G$368)))^(1/inputs!$O$12))-1)/inputs!$N$12&lt;0, 0, IF((((inputs!$P$12/(inputs!E110/MAX('Min rate concentrations'!G$3:G$368)))^(1/inputs!$O$12))-1)/inputs!$N$12&gt;inputs!$H$17, inputs!$H$17, (((inputs!$P$12/(inputs!E110/MAX('Min rate concentrations'!G$3:G$368)))^(1/inputs!$O$12))-1)/inputs!$N$12))</f>
        <v>0</v>
      </c>
      <c r="H128" s="176">
        <f>IF((((inputs!$P$12/(inputs!E110/MAX('Min rate concentrations'!H$3:H$368)))^(1/inputs!$O$12))-1)/inputs!$N$12&lt;0, 0, IF((((inputs!$P$12/(inputs!E110/MAX('Min rate concentrations'!H$3:H$368)))^(1/inputs!$O$12))-1)/inputs!$N$12&gt;inputs!$H$17, inputs!$H$17, (((inputs!$P$12/(inputs!E110/MAX('Min rate concentrations'!H$3:H$368)))^(1/inputs!$O$12))-1)/inputs!$N$12))</f>
        <v>0</v>
      </c>
      <c r="I128" s="176">
        <f>IF((((inputs!$P$12/(inputs!E110/MAX('Min rate concentrations'!I$3:I$368)))^(1/inputs!$O$12))-1)/inputs!$N$12&lt;0, 0, IF((((inputs!$P$12/(inputs!E110/MAX('Min rate concentrations'!I$3:I$368)))^(1/inputs!$O$12))-1)/inputs!$N$12&gt;inputs!$H$17, inputs!$H$17, (((inputs!$P$12/(inputs!E110/MAX('Min rate concentrations'!I$3:I$368)))^(1/inputs!$O$12))-1)/inputs!$N$12))</f>
        <v>0</v>
      </c>
      <c r="J128" s="176">
        <f>IF((((inputs!$P$12/(inputs!E110/MAX('Min rate concentrations'!J$3:J$368)))^(1/inputs!$O$12))-1)/inputs!$N$12&lt;0, 0, IF((((inputs!$P$12/(inputs!E110/MAX('Min rate concentrations'!J$3:J$368)))^(1/inputs!$O$12))-1)/inputs!$N$12&gt;inputs!$H$17, inputs!$H$17, (((inputs!$P$12/(inputs!E110/MAX('Min rate concentrations'!J$3:J$368)))^(1/inputs!$O$12))-1)/inputs!$N$12))</f>
        <v>4.4992673528793281</v>
      </c>
      <c r="K128" s="176">
        <f>IF((((inputs!$P$12/(inputs!E110/MAX('Min rate concentrations'!K$3:K$368)))^(1/inputs!$O$12))-1)/inputs!$N$12&lt;0, 0, IF((((inputs!$P$12/(inputs!E110/MAX('Min rate concentrations'!K$3:K$368)))^(1/inputs!$O$12))-1)/inputs!$N$12&gt;inputs!$H$17, inputs!$H$17, (((inputs!$P$12/(inputs!E110/MAX('Min rate concentrations'!K$3:K$368)))^(1/inputs!$O$12))-1)/inputs!$N$12))</f>
        <v>0</v>
      </c>
      <c r="L128" s="176">
        <f>IF((((inputs!$P$12/(inputs!E110/MAX('Min rate concentrations'!L$3:L$368)))^(1/inputs!$O$12))-1)/inputs!$N$12&lt;0, 0, IF((((inputs!$P$12/(inputs!E110/MAX('Min rate concentrations'!L$3:L$368)))^(1/inputs!$O$12))-1)/inputs!$N$12&gt;inputs!$H$17, inputs!$H$17, (((inputs!$P$12/(inputs!E110/MAX('Min rate concentrations'!L$3:L$368)))^(1/inputs!$O$12))-1)/inputs!$N$12))</f>
        <v>0</v>
      </c>
      <c r="M128" s="176">
        <f>IF((((inputs!$P$12/(inputs!E110/MAX('Min rate concentrations'!M$3:M$368)))^(1/inputs!$O$12))-1)/inputs!$N$12&lt;0, 0, IF((((inputs!$P$12/(inputs!E110/MAX('Min rate concentrations'!M$3:M$368)))^(1/inputs!$O$12))-1)/inputs!$N$12&gt;inputs!$H$17, inputs!$H$17, (((inputs!$P$12/(inputs!E110/MAX('Min rate concentrations'!M$3:M$368)))^(1/inputs!$O$12))-1)/inputs!$N$12))</f>
        <v>0</v>
      </c>
      <c r="N128" s="101" t="s">
        <v>13</v>
      </c>
    </row>
    <row r="129" spans="1:14" x14ac:dyDescent="0.3">
      <c r="A129" s="45"/>
      <c r="B129" s="22" t="s">
        <v>62</v>
      </c>
      <c r="C129" s="22" t="s">
        <v>71</v>
      </c>
      <c r="D129" s="176">
        <f>IF((((inputs!$P$12/(inputs!E111/MAX('Min rate concentrations'!D$3:D$368)))^(1/inputs!$O$12))-1)/inputs!$N$12&lt;0, 0, IF((((inputs!$P$12/(inputs!E111/MAX('Min rate concentrations'!D$3:D$368)))^(1/inputs!$O$12))-1)/inputs!$N$12&gt;inputs!$H$17, inputs!$H$17, (((inputs!$P$12/(inputs!E111/MAX('Min rate concentrations'!D$3:D$368)))^(1/inputs!$O$12))-1)/inputs!$N$12))</f>
        <v>55.547482243403643</v>
      </c>
      <c r="E129" s="176">
        <f>IF((((inputs!$P$12/(inputs!E111/MAX('Min rate concentrations'!E$3:E$368)))^(1/inputs!$O$12))-1)/inputs!$N$12&lt;0, 0, IF((((inputs!$P$12/(inputs!E111/MAX('Min rate concentrations'!E$3:E$368)))^(1/inputs!$O$12))-1)/inputs!$N$12&gt;inputs!$H$17, inputs!$H$17, (((inputs!$P$12/(inputs!E111/MAX('Min rate concentrations'!E$3:E$368)))^(1/inputs!$O$12))-1)/inputs!$N$12))</f>
        <v>32.69760138703473</v>
      </c>
      <c r="F129" s="176">
        <f>IF((((inputs!$P$12/(inputs!E111/MAX('Min rate concentrations'!F$3:F$368)))^(1/inputs!$O$12))-1)/inputs!$N$12&lt;0, 0, IF((((inputs!$P$12/(inputs!E111/MAX('Min rate concentrations'!F$3:F$368)))^(1/inputs!$O$12))-1)/inputs!$N$12&gt;inputs!$H$17, inputs!$H$17, (((inputs!$P$12/(inputs!E111/MAX('Min rate concentrations'!F$3:F$368)))^(1/inputs!$O$12))-1)/inputs!$N$12))</f>
        <v>38.012648944572582</v>
      </c>
      <c r="G129" s="176">
        <f>IF((((inputs!$P$12/(inputs!E111/MAX('Min rate concentrations'!G$3:G$368)))^(1/inputs!$O$12))-1)/inputs!$N$12&lt;0, 0, IF((((inputs!$P$12/(inputs!E111/MAX('Min rate concentrations'!G$3:G$368)))^(1/inputs!$O$12))-1)/inputs!$N$12&gt;inputs!$H$17, inputs!$H$17, (((inputs!$P$12/(inputs!E111/MAX('Min rate concentrations'!G$3:G$368)))^(1/inputs!$O$12))-1)/inputs!$N$12))</f>
        <v>0</v>
      </c>
      <c r="H129" s="176">
        <f>IF((((inputs!$P$12/(inputs!E111/MAX('Min rate concentrations'!H$3:H$368)))^(1/inputs!$O$12))-1)/inputs!$N$12&lt;0, 0, IF((((inputs!$P$12/(inputs!E111/MAX('Min rate concentrations'!H$3:H$368)))^(1/inputs!$O$12))-1)/inputs!$N$12&gt;inputs!$H$17, inputs!$H$17, (((inputs!$P$12/(inputs!E111/MAX('Min rate concentrations'!H$3:H$368)))^(1/inputs!$O$12))-1)/inputs!$N$12))</f>
        <v>28.908121898808801</v>
      </c>
      <c r="I129" s="176">
        <f>IF((((inputs!$P$12/(inputs!E111/MAX('Min rate concentrations'!I$3:I$368)))^(1/inputs!$O$12))-1)/inputs!$N$12&lt;0, 0, IF((((inputs!$P$12/(inputs!E111/MAX('Min rate concentrations'!I$3:I$368)))^(1/inputs!$O$12))-1)/inputs!$N$12&gt;inputs!$H$17, inputs!$H$17, (((inputs!$P$12/(inputs!E111/MAX('Min rate concentrations'!I$3:I$368)))^(1/inputs!$O$12))-1)/inputs!$N$12))</f>
        <v>1.4363136335791107</v>
      </c>
      <c r="J129" s="176">
        <f>IF((((inputs!$P$12/(inputs!E111/MAX('Min rate concentrations'!J$3:J$368)))^(1/inputs!$O$12))-1)/inputs!$N$12&lt;0, 0, IF((((inputs!$P$12/(inputs!E111/MAX('Min rate concentrations'!J$3:J$368)))^(1/inputs!$O$12))-1)/inputs!$N$12&gt;inputs!$H$17, inputs!$H$17, (((inputs!$P$12/(inputs!E111/MAX('Min rate concentrations'!J$3:J$368)))^(1/inputs!$O$12))-1)/inputs!$N$12))</f>
        <v>53.932889327344988</v>
      </c>
      <c r="K129" s="176">
        <f>IF((((inputs!$P$12/(inputs!E111/MAX('Min rate concentrations'!K$3:K$368)))^(1/inputs!$O$12))-1)/inputs!$N$12&lt;0, 0, IF((((inputs!$P$12/(inputs!E111/MAX('Min rate concentrations'!K$3:K$368)))^(1/inputs!$O$12))-1)/inputs!$N$12&gt;inputs!$H$17, inputs!$H$17, (((inputs!$P$12/(inputs!E111/MAX('Min rate concentrations'!K$3:K$368)))^(1/inputs!$O$12))-1)/inputs!$N$12))</f>
        <v>10.648278498323343</v>
      </c>
      <c r="L129" s="176">
        <f>IF((((inputs!$P$12/(inputs!E111/MAX('Min rate concentrations'!L$3:L$368)))^(1/inputs!$O$12))-1)/inputs!$N$12&lt;0, 0, IF((((inputs!$P$12/(inputs!E111/MAX('Min rate concentrations'!L$3:L$368)))^(1/inputs!$O$12))-1)/inputs!$N$12&gt;inputs!$H$17, inputs!$H$17, (((inputs!$P$12/(inputs!E111/MAX('Min rate concentrations'!L$3:L$368)))^(1/inputs!$O$12))-1)/inputs!$N$12))</f>
        <v>34.21803502030842</v>
      </c>
      <c r="M129" s="176">
        <f>IF((((inputs!$P$12/(inputs!E111/MAX('Min rate concentrations'!M$3:M$368)))^(1/inputs!$O$12))-1)/inputs!$N$12&lt;0, 0, IF((((inputs!$P$12/(inputs!E111/MAX('Min rate concentrations'!M$3:M$368)))^(1/inputs!$O$12))-1)/inputs!$N$12&gt;inputs!$H$17, inputs!$H$17, (((inputs!$P$12/(inputs!E111/MAX('Min rate concentrations'!M$3:M$368)))^(1/inputs!$O$12))-1)/inputs!$N$12))</f>
        <v>0</v>
      </c>
      <c r="N129" s="101" t="s">
        <v>13</v>
      </c>
    </row>
    <row r="130" spans="1:14" x14ac:dyDescent="0.3">
      <c r="A130" s="45"/>
      <c r="B130" s="61" t="s">
        <v>62</v>
      </c>
      <c r="C130" s="61" t="s">
        <v>81</v>
      </c>
      <c r="D130" s="176">
        <f>IF((((inputs!$P$12/(inputs!E112/MAX('Min rate concentrations'!D$3:D$368)))^(1/inputs!$O$12))-1)/inputs!$N$12&lt;0, 0, IF((((inputs!$P$12/(inputs!E112/MAX('Min rate concentrations'!D$3:D$368)))^(1/inputs!$O$12))-1)/inputs!$N$12&gt;inputs!$H$17, inputs!$H$17, (((inputs!$P$12/(inputs!E112/MAX('Min rate concentrations'!D$3:D$368)))^(1/inputs!$O$12))-1)/inputs!$N$12))</f>
        <v>33.95971387432423</v>
      </c>
      <c r="E130" s="176">
        <f>IF((((inputs!$P$12/(inputs!E112/MAX('Min rate concentrations'!E$3:E$368)))^(1/inputs!$O$12))-1)/inputs!$N$12&lt;0, 0, IF((((inputs!$P$12/(inputs!E112/MAX('Min rate concentrations'!E$3:E$368)))^(1/inputs!$O$12))-1)/inputs!$N$12&gt;inputs!$H$17, inputs!$H$17, (((inputs!$P$12/(inputs!E112/MAX('Min rate concentrations'!E$3:E$368)))^(1/inputs!$O$12))-1)/inputs!$N$12))</f>
        <v>16.979568221714942</v>
      </c>
      <c r="F130" s="176">
        <f>IF((((inputs!$P$12/(inputs!E112/MAX('Min rate concentrations'!F$3:F$368)))^(1/inputs!$O$12))-1)/inputs!$N$12&lt;0, 0, IF((((inputs!$P$12/(inputs!E112/MAX('Min rate concentrations'!F$3:F$368)))^(1/inputs!$O$12))-1)/inputs!$N$12&gt;inputs!$H$17, inputs!$H$17, (((inputs!$P$12/(inputs!E112/MAX('Min rate concentrations'!F$3:F$368)))^(1/inputs!$O$12))-1)/inputs!$N$12))</f>
        <v>20.929272915793582</v>
      </c>
      <c r="G130" s="176">
        <f>IF((((inputs!$P$12/(inputs!E112/MAX('Min rate concentrations'!G$3:G$368)))^(1/inputs!$O$12))-1)/inputs!$N$12&lt;0, 0, IF((((inputs!$P$12/(inputs!E112/MAX('Min rate concentrations'!G$3:G$368)))^(1/inputs!$O$12))-1)/inputs!$N$12&gt;inputs!$H$17, inputs!$H$17, (((inputs!$P$12/(inputs!E112/MAX('Min rate concentrations'!G$3:G$368)))^(1/inputs!$O$12))-1)/inputs!$N$12))</f>
        <v>0</v>
      </c>
      <c r="H130" s="176">
        <f>IF((((inputs!$P$12/(inputs!E112/MAX('Min rate concentrations'!H$3:H$368)))^(1/inputs!$O$12))-1)/inputs!$N$12&lt;0, 0, IF((((inputs!$P$12/(inputs!E112/MAX('Min rate concentrations'!H$3:H$368)))^(1/inputs!$O$12))-1)/inputs!$N$12&gt;inputs!$H$17, inputs!$H$17, (((inputs!$P$12/(inputs!E112/MAX('Min rate concentrations'!H$3:H$368)))^(1/inputs!$O$12))-1)/inputs!$N$12))</f>
        <v>14.163539811671111</v>
      </c>
      <c r="I130" s="176">
        <f>IF((((inputs!$P$12/(inputs!E112/MAX('Min rate concentrations'!I$3:I$368)))^(1/inputs!$O$12))-1)/inputs!$N$12&lt;0, 0, IF((((inputs!$P$12/(inputs!E112/MAX('Min rate concentrations'!I$3:I$368)))^(1/inputs!$O$12))-1)/inputs!$N$12&gt;inputs!$H$17, inputs!$H$17, (((inputs!$P$12/(inputs!E112/MAX('Min rate concentrations'!I$3:I$368)))^(1/inputs!$O$12))-1)/inputs!$N$12))</f>
        <v>0</v>
      </c>
      <c r="J130" s="176">
        <f>IF((((inputs!$P$12/(inputs!E112/MAX('Min rate concentrations'!J$3:J$368)))^(1/inputs!$O$12))-1)/inputs!$N$12&lt;0, 0, IF((((inputs!$P$12/(inputs!E112/MAX('Min rate concentrations'!J$3:J$368)))^(1/inputs!$O$12))-1)/inputs!$N$12&gt;inputs!$H$17, inputs!$H$17, (((inputs!$P$12/(inputs!E112/MAX('Min rate concentrations'!J$3:J$368)))^(1/inputs!$O$12))-1)/inputs!$N$12))</f>
        <v>32.759881671404642</v>
      </c>
      <c r="K130" s="176">
        <f>IF((((inputs!$P$12/(inputs!E112/MAX('Min rate concentrations'!K$3:K$368)))^(1/inputs!$O$12))-1)/inputs!$N$12&lt;0, 0, IF((((inputs!$P$12/(inputs!E112/MAX('Min rate concentrations'!K$3:K$368)))^(1/inputs!$O$12))-1)/inputs!$N$12&gt;inputs!$H$17, inputs!$H$17, (((inputs!$P$12/(inputs!E112/MAX('Min rate concentrations'!K$3:K$368)))^(1/inputs!$O$12))-1)/inputs!$N$12))</f>
        <v>0.59433118064849288</v>
      </c>
      <c r="L130" s="176">
        <f>IF((((inputs!$P$12/(inputs!E112/MAX('Min rate concentrations'!L$3:L$368)))^(1/inputs!$O$12))-1)/inputs!$N$12&lt;0, 0, IF((((inputs!$P$12/(inputs!E112/MAX('Min rate concentrations'!L$3:L$368)))^(1/inputs!$O$12))-1)/inputs!$N$12&gt;inputs!$H$17, inputs!$H$17, (((inputs!$P$12/(inputs!E112/MAX('Min rate concentrations'!L$3:L$368)))^(1/inputs!$O$12))-1)/inputs!$N$12))</f>
        <v>18.109429016630951</v>
      </c>
      <c r="M130" s="176">
        <f>IF((((inputs!$P$12/(inputs!E112/MAX('Min rate concentrations'!M$3:M$368)))^(1/inputs!$O$12))-1)/inputs!$N$12&lt;0, 0, IF((((inputs!$P$12/(inputs!E112/MAX('Min rate concentrations'!M$3:M$368)))^(1/inputs!$O$12))-1)/inputs!$N$12&gt;inputs!$H$17, inputs!$H$17, (((inputs!$P$12/(inputs!E112/MAX('Min rate concentrations'!M$3:M$368)))^(1/inputs!$O$12))-1)/inputs!$N$12))</f>
        <v>0</v>
      </c>
      <c r="N130" s="101" t="s">
        <v>13</v>
      </c>
    </row>
    <row r="131" spans="1:14" x14ac:dyDescent="0.3">
      <c r="A131" s="45"/>
      <c r="B131" s="61" t="s">
        <v>62</v>
      </c>
      <c r="C131" s="61" t="s">
        <v>82</v>
      </c>
      <c r="D131" s="176">
        <f>IF((((inputs!$P$12/(inputs!E113/MAX('Min rate concentrations'!D$3:D$368)))^(1/inputs!$O$12))-1)/inputs!$N$12&lt;0, 0, IF((((inputs!$P$12/(inputs!E113/MAX('Min rate concentrations'!D$3:D$368)))^(1/inputs!$O$12))-1)/inputs!$N$12&gt;inputs!$H$17, inputs!$H$17, (((inputs!$P$12/(inputs!E113/MAX('Min rate concentrations'!D$3:D$368)))^(1/inputs!$O$12))-1)/inputs!$N$12))</f>
        <v>18.96831717567246</v>
      </c>
      <c r="E131" s="176">
        <f>IF((((inputs!$P$12/(inputs!E113/MAX('Min rate concentrations'!E$3:E$368)))^(1/inputs!$O$12))-1)/inputs!$N$12&lt;0, 0, IF((((inputs!$P$12/(inputs!E113/MAX('Min rate concentrations'!E$3:E$368)))^(1/inputs!$O$12))-1)/inputs!$N$12&gt;inputs!$H$17, inputs!$H$17, (((inputs!$P$12/(inputs!E113/MAX('Min rate concentrations'!E$3:E$368)))^(1/inputs!$O$12))-1)/inputs!$N$12))</f>
        <v>6.0643468576864503</v>
      </c>
      <c r="F131" s="176">
        <f>IF((((inputs!$P$12/(inputs!E113/MAX('Min rate concentrations'!F$3:F$368)))^(1/inputs!$O$12))-1)/inputs!$N$12&lt;0, 0, IF((((inputs!$P$12/(inputs!E113/MAX('Min rate concentrations'!F$3:F$368)))^(1/inputs!$O$12))-1)/inputs!$N$12&gt;inputs!$H$17, inputs!$H$17, (((inputs!$P$12/(inputs!E113/MAX('Min rate concentrations'!F$3:F$368)))^(1/inputs!$O$12))-1)/inputs!$N$12))</f>
        <v>9.0659036864624731</v>
      </c>
      <c r="G131" s="176">
        <f>IF((((inputs!$P$12/(inputs!E113/MAX('Min rate concentrations'!G$3:G$368)))^(1/inputs!$O$12))-1)/inputs!$N$12&lt;0, 0, IF((((inputs!$P$12/(inputs!E113/MAX('Min rate concentrations'!G$3:G$368)))^(1/inputs!$O$12))-1)/inputs!$N$12&gt;inputs!$H$17, inputs!$H$17, (((inputs!$P$12/(inputs!E113/MAX('Min rate concentrations'!G$3:G$368)))^(1/inputs!$O$12))-1)/inputs!$N$12))</f>
        <v>0</v>
      </c>
      <c r="H131" s="176">
        <f>IF((((inputs!$P$12/(inputs!E113/MAX('Min rate concentrations'!H$3:H$368)))^(1/inputs!$O$12))-1)/inputs!$N$12&lt;0, 0, IF((((inputs!$P$12/(inputs!E113/MAX('Min rate concentrations'!H$3:H$368)))^(1/inputs!$O$12))-1)/inputs!$N$12&gt;inputs!$H$17, inputs!$H$17, (((inputs!$P$12/(inputs!E113/MAX('Min rate concentrations'!H$3:H$368)))^(1/inputs!$O$12))-1)/inputs!$N$12))</f>
        <v>3.9243212206138427</v>
      </c>
      <c r="I131" s="176">
        <f>IF((((inputs!$P$12/(inputs!E113/MAX('Min rate concentrations'!I$3:I$368)))^(1/inputs!$O$12))-1)/inputs!$N$12&lt;0, 0, IF((((inputs!$P$12/(inputs!E113/MAX('Min rate concentrations'!I$3:I$368)))^(1/inputs!$O$12))-1)/inputs!$N$12&gt;inputs!$H$17, inputs!$H$17, (((inputs!$P$12/(inputs!E113/MAX('Min rate concentrations'!I$3:I$368)))^(1/inputs!$O$12))-1)/inputs!$N$12))</f>
        <v>0</v>
      </c>
      <c r="J131" s="176">
        <f>IF((((inputs!$P$12/(inputs!E113/MAX('Min rate concentrations'!J$3:J$368)))^(1/inputs!$O$12))-1)/inputs!$N$12&lt;0, 0, IF((((inputs!$P$12/(inputs!E113/MAX('Min rate concentrations'!J$3:J$368)))^(1/inputs!$O$12))-1)/inputs!$N$12&gt;inputs!$H$17, inputs!$H$17, (((inputs!$P$12/(inputs!E113/MAX('Min rate concentrations'!J$3:J$368)))^(1/inputs!$O$12))-1)/inputs!$N$12))</f>
        <v>18.056511149399711</v>
      </c>
      <c r="K131" s="176">
        <f>IF((((inputs!$P$12/(inputs!E113/MAX('Min rate concentrations'!K$3:K$368)))^(1/inputs!$O$12))-1)/inputs!$N$12&lt;0, 0, IF((((inputs!$P$12/(inputs!E113/MAX('Min rate concentrations'!K$3:K$368)))^(1/inputs!$O$12))-1)/inputs!$N$12&gt;inputs!$H$17, inputs!$H$17, (((inputs!$P$12/(inputs!E113/MAX('Min rate concentrations'!K$3:K$368)))^(1/inputs!$O$12))-1)/inputs!$N$12))</f>
        <v>0</v>
      </c>
      <c r="L131" s="176">
        <f>IF((((inputs!$P$12/(inputs!E113/MAX('Min rate concentrations'!L$3:L$368)))^(1/inputs!$O$12))-1)/inputs!$N$12&lt;0, 0, IF((((inputs!$P$12/(inputs!E113/MAX('Min rate concentrations'!L$3:L$368)))^(1/inputs!$O$12))-1)/inputs!$N$12&gt;inputs!$H$17, inputs!$H$17, (((inputs!$P$12/(inputs!E113/MAX('Min rate concentrations'!L$3:L$368)))^(1/inputs!$O$12))-1)/inputs!$N$12))</f>
        <v>6.9229784889653017</v>
      </c>
      <c r="M131" s="176">
        <f>IF((((inputs!$P$12/(inputs!E113/MAX('Min rate concentrations'!M$3:M$368)))^(1/inputs!$O$12))-1)/inputs!$N$12&lt;0, 0, IF((((inputs!$P$12/(inputs!E113/MAX('Min rate concentrations'!M$3:M$368)))^(1/inputs!$O$12))-1)/inputs!$N$12&gt;inputs!$H$17, inputs!$H$17, (((inputs!$P$12/(inputs!E113/MAX('Min rate concentrations'!M$3:M$368)))^(1/inputs!$O$12))-1)/inputs!$N$12))</f>
        <v>0</v>
      </c>
      <c r="N131" s="101" t="s">
        <v>13</v>
      </c>
    </row>
    <row r="132" spans="1:14" x14ac:dyDescent="0.3">
      <c r="A132" s="45"/>
      <c r="B132" s="61" t="s">
        <v>62</v>
      </c>
      <c r="C132" s="61" t="s">
        <v>83</v>
      </c>
      <c r="D132" s="176">
        <f>IF((((inputs!$P$12/(inputs!E114/MAX('Min rate concentrations'!D$3:D$368)))^(1/inputs!$O$12))-1)/inputs!$N$12&lt;0, 0, IF((((inputs!$P$12/(inputs!E114/MAX('Min rate concentrations'!D$3:D$368)))^(1/inputs!$O$12))-1)/inputs!$N$12&gt;inputs!$H$17, inputs!$H$17, (((inputs!$P$12/(inputs!E114/MAX('Min rate concentrations'!D$3:D$368)))^(1/inputs!$O$12))-1)/inputs!$N$12))</f>
        <v>33.95971387432423</v>
      </c>
      <c r="E132" s="176">
        <f>IF((((inputs!$P$12/(inputs!E114/MAX('Min rate concentrations'!E$3:E$368)))^(1/inputs!$O$12))-1)/inputs!$N$12&lt;0, 0, IF((((inputs!$P$12/(inputs!E114/MAX('Min rate concentrations'!E$3:E$368)))^(1/inputs!$O$12))-1)/inputs!$N$12&gt;inputs!$H$17, inputs!$H$17, (((inputs!$P$12/(inputs!E114/MAX('Min rate concentrations'!E$3:E$368)))^(1/inputs!$O$12))-1)/inputs!$N$12))</f>
        <v>16.979568221714942</v>
      </c>
      <c r="F132" s="176">
        <f>IF((((inputs!$P$12/(inputs!E114/MAX('Min rate concentrations'!F$3:F$368)))^(1/inputs!$O$12))-1)/inputs!$N$12&lt;0, 0, IF((((inputs!$P$12/(inputs!E114/MAX('Min rate concentrations'!F$3:F$368)))^(1/inputs!$O$12))-1)/inputs!$N$12&gt;inputs!$H$17, inputs!$H$17, (((inputs!$P$12/(inputs!E114/MAX('Min rate concentrations'!F$3:F$368)))^(1/inputs!$O$12))-1)/inputs!$N$12))</f>
        <v>20.929272915793582</v>
      </c>
      <c r="G132" s="176">
        <f>IF((((inputs!$P$12/(inputs!E114/MAX('Min rate concentrations'!G$3:G$368)))^(1/inputs!$O$12))-1)/inputs!$N$12&lt;0, 0, IF((((inputs!$P$12/(inputs!E114/MAX('Min rate concentrations'!G$3:G$368)))^(1/inputs!$O$12))-1)/inputs!$N$12&gt;inputs!$H$17, inputs!$H$17, (((inputs!$P$12/(inputs!E114/MAX('Min rate concentrations'!G$3:G$368)))^(1/inputs!$O$12))-1)/inputs!$N$12))</f>
        <v>0</v>
      </c>
      <c r="H132" s="176">
        <f>IF((((inputs!$P$12/(inputs!E114/MAX('Min rate concentrations'!H$3:H$368)))^(1/inputs!$O$12))-1)/inputs!$N$12&lt;0, 0, IF((((inputs!$P$12/(inputs!E114/MAX('Min rate concentrations'!H$3:H$368)))^(1/inputs!$O$12))-1)/inputs!$N$12&gt;inputs!$H$17, inputs!$H$17, (((inputs!$P$12/(inputs!E114/MAX('Min rate concentrations'!H$3:H$368)))^(1/inputs!$O$12))-1)/inputs!$N$12))</f>
        <v>14.163539811671111</v>
      </c>
      <c r="I132" s="176">
        <f>IF((((inputs!$P$12/(inputs!E114/MAX('Min rate concentrations'!I$3:I$368)))^(1/inputs!$O$12))-1)/inputs!$N$12&lt;0, 0, IF((((inputs!$P$12/(inputs!E114/MAX('Min rate concentrations'!I$3:I$368)))^(1/inputs!$O$12))-1)/inputs!$N$12&gt;inputs!$H$17, inputs!$H$17, (((inputs!$P$12/(inputs!E114/MAX('Min rate concentrations'!I$3:I$368)))^(1/inputs!$O$12))-1)/inputs!$N$12))</f>
        <v>0</v>
      </c>
      <c r="J132" s="176">
        <f>IF((((inputs!$P$12/(inputs!E114/MAX('Min rate concentrations'!J$3:J$368)))^(1/inputs!$O$12))-1)/inputs!$N$12&lt;0, 0, IF((((inputs!$P$12/(inputs!E114/MAX('Min rate concentrations'!J$3:J$368)))^(1/inputs!$O$12))-1)/inputs!$N$12&gt;inputs!$H$17, inputs!$H$17, (((inputs!$P$12/(inputs!E114/MAX('Min rate concentrations'!J$3:J$368)))^(1/inputs!$O$12))-1)/inputs!$N$12))</f>
        <v>32.759881671404642</v>
      </c>
      <c r="K132" s="176">
        <f>IF((((inputs!$P$12/(inputs!E114/MAX('Min rate concentrations'!K$3:K$368)))^(1/inputs!$O$12))-1)/inputs!$N$12&lt;0, 0, IF((((inputs!$P$12/(inputs!E114/MAX('Min rate concentrations'!K$3:K$368)))^(1/inputs!$O$12))-1)/inputs!$N$12&gt;inputs!$H$17, inputs!$H$17, (((inputs!$P$12/(inputs!E114/MAX('Min rate concentrations'!K$3:K$368)))^(1/inputs!$O$12))-1)/inputs!$N$12))</f>
        <v>0.59433118064849288</v>
      </c>
      <c r="L132" s="176">
        <f>IF((((inputs!$P$12/(inputs!E114/MAX('Min rate concentrations'!L$3:L$368)))^(1/inputs!$O$12))-1)/inputs!$N$12&lt;0, 0, IF((((inputs!$P$12/(inputs!E114/MAX('Min rate concentrations'!L$3:L$368)))^(1/inputs!$O$12))-1)/inputs!$N$12&gt;inputs!$H$17, inputs!$H$17, (((inputs!$P$12/(inputs!E114/MAX('Min rate concentrations'!L$3:L$368)))^(1/inputs!$O$12))-1)/inputs!$N$12))</f>
        <v>18.109429016630951</v>
      </c>
      <c r="M132" s="176">
        <f>IF((((inputs!$P$12/(inputs!E114/MAX('Min rate concentrations'!M$3:M$368)))^(1/inputs!$O$12))-1)/inputs!$N$12&lt;0, 0, IF((((inputs!$P$12/(inputs!E114/MAX('Min rate concentrations'!M$3:M$368)))^(1/inputs!$O$12))-1)/inputs!$N$12&gt;inputs!$H$17, inputs!$H$17, (((inputs!$P$12/(inputs!E114/MAX('Min rate concentrations'!M$3:M$368)))^(1/inputs!$O$12))-1)/inputs!$N$12))</f>
        <v>0</v>
      </c>
      <c r="N132" s="101" t="s">
        <v>13</v>
      </c>
    </row>
    <row r="133" spans="1:14" x14ac:dyDescent="0.3">
      <c r="A133" s="45"/>
      <c r="B133" s="61" t="s">
        <v>62</v>
      </c>
      <c r="C133" s="61" t="s">
        <v>84</v>
      </c>
      <c r="D133" s="176">
        <f>IF((((inputs!$P$12/(inputs!E115/MAX('Min rate concentrations'!D$3:D$368)))^(1/inputs!$O$12))-1)/inputs!$N$12&lt;0, 0, IF((((inputs!$P$12/(inputs!E115/MAX('Min rate concentrations'!D$3:D$368)))^(1/inputs!$O$12))-1)/inputs!$N$12&gt;inputs!$H$17, inputs!$H$17, (((inputs!$P$12/(inputs!E115/MAX('Min rate concentrations'!D$3:D$368)))^(1/inputs!$O$12))-1)/inputs!$N$12))</f>
        <v>18.96831717567246</v>
      </c>
      <c r="E133" s="176">
        <f>IF((((inputs!$P$12/(inputs!E115/MAX('Min rate concentrations'!E$3:E$368)))^(1/inputs!$O$12))-1)/inputs!$N$12&lt;0, 0, IF((((inputs!$P$12/(inputs!E115/MAX('Min rate concentrations'!E$3:E$368)))^(1/inputs!$O$12))-1)/inputs!$N$12&gt;inputs!$H$17, inputs!$H$17, (((inputs!$P$12/(inputs!E115/MAX('Min rate concentrations'!E$3:E$368)))^(1/inputs!$O$12))-1)/inputs!$N$12))</f>
        <v>6.0643468576864503</v>
      </c>
      <c r="F133" s="176">
        <f>IF((((inputs!$P$12/(inputs!E115/MAX('Min rate concentrations'!F$3:F$368)))^(1/inputs!$O$12))-1)/inputs!$N$12&lt;0, 0, IF((((inputs!$P$12/(inputs!E115/MAX('Min rate concentrations'!F$3:F$368)))^(1/inputs!$O$12))-1)/inputs!$N$12&gt;inputs!$H$17, inputs!$H$17, (((inputs!$P$12/(inputs!E115/MAX('Min rate concentrations'!F$3:F$368)))^(1/inputs!$O$12))-1)/inputs!$N$12))</f>
        <v>9.0659036864624731</v>
      </c>
      <c r="G133" s="176">
        <f>IF((((inputs!$P$12/(inputs!E115/MAX('Min rate concentrations'!G$3:G$368)))^(1/inputs!$O$12))-1)/inputs!$N$12&lt;0, 0, IF((((inputs!$P$12/(inputs!E115/MAX('Min rate concentrations'!G$3:G$368)))^(1/inputs!$O$12))-1)/inputs!$N$12&gt;inputs!$H$17, inputs!$H$17, (((inputs!$P$12/(inputs!E115/MAX('Min rate concentrations'!G$3:G$368)))^(1/inputs!$O$12))-1)/inputs!$N$12))</f>
        <v>0</v>
      </c>
      <c r="H133" s="176">
        <f>IF((((inputs!$P$12/(inputs!E115/MAX('Min rate concentrations'!H$3:H$368)))^(1/inputs!$O$12))-1)/inputs!$N$12&lt;0, 0, IF((((inputs!$P$12/(inputs!E115/MAX('Min rate concentrations'!H$3:H$368)))^(1/inputs!$O$12))-1)/inputs!$N$12&gt;inputs!$H$17, inputs!$H$17, (((inputs!$P$12/(inputs!E115/MAX('Min rate concentrations'!H$3:H$368)))^(1/inputs!$O$12))-1)/inputs!$N$12))</f>
        <v>3.9243212206138427</v>
      </c>
      <c r="I133" s="176">
        <f>IF((((inputs!$P$12/(inputs!E115/MAX('Min rate concentrations'!I$3:I$368)))^(1/inputs!$O$12))-1)/inputs!$N$12&lt;0, 0, IF((((inputs!$P$12/(inputs!E115/MAX('Min rate concentrations'!I$3:I$368)))^(1/inputs!$O$12))-1)/inputs!$N$12&gt;inputs!$H$17, inputs!$H$17, (((inputs!$P$12/(inputs!E115/MAX('Min rate concentrations'!I$3:I$368)))^(1/inputs!$O$12))-1)/inputs!$N$12))</f>
        <v>0</v>
      </c>
      <c r="J133" s="176">
        <f>IF((((inputs!$P$12/(inputs!E115/MAX('Min rate concentrations'!J$3:J$368)))^(1/inputs!$O$12))-1)/inputs!$N$12&lt;0, 0, IF((((inputs!$P$12/(inputs!E115/MAX('Min rate concentrations'!J$3:J$368)))^(1/inputs!$O$12))-1)/inputs!$N$12&gt;inputs!$H$17, inputs!$H$17, (((inputs!$P$12/(inputs!E115/MAX('Min rate concentrations'!J$3:J$368)))^(1/inputs!$O$12))-1)/inputs!$N$12))</f>
        <v>18.056511149399711</v>
      </c>
      <c r="K133" s="176">
        <f>IF((((inputs!$P$12/(inputs!E115/MAX('Min rate concentrations'!K$3:K$368)))^(1/inputs!$O$12))-1)/inputs!$N$12&lt;0, 0, IF((((inputs!$P$12/(inputs!E115/MAX('Min rate concentrations'!K$3:K$368)))^(1/inputs!$O$12))-1)/inputs!$N$12&gt;inputs!$H$17, inputs!$H$17, (((inputs!$P$12/(inputs!E115/MAX('Min rate concentrations'!K$3:K$368)))^(1/inputs!$O$12))-1)/inputs!$N$12))</f>
        <v>0</v>
      </c>
      <c r="L133" s="176">
        <f>IF((((inputs!$P$12/(inputs!E115/MAX('Min rate concentrations'!L$3:L$368)))^(1/inputs!$O$12))-1)/inputs!$N$12&lt;0, 0, IF((((inputs!$P$12/(inputs!E115/MAX('Min rate concentrations'!L$3:L$368)))^(1/inputs!$O$12))-1)/inputs!$N$12&gt;inputs!$H$17, inputs!$H$17, (((inputs!$P$12/(inputs!E115/MAX('Min rate concentrations'!L$3:L$368)))^(1/inputs!$O$12))-1)/inputs!$N$12))</f>
        <v>6.9229784889653017</v>
      </c>
      <c r="M133" s="176">
        <f>IF((((inputs!$P$12/(inputs!E115/MAX('Min rate concentrations'!M$3:M$368)))^(1/inputs!$O$12))-1)/inputs!$N$12&lt;0, 0, IF((((inputs!$P$12/(inputs!E115/MAX('Min rate concentrations'!M$3:M$368)))^(1/inputs!$O$12))-1)/inputs!$N$12&gt;inputs!$H$17, inputs!$H$17, (((inputs!$P$12/(inputs!E115/MAX('Min rate concentrations'!M$3:M$368)))^(1/inputs!$O$12))-1)/inputs!$N$12))</f>
        <v>0</v>
      </c>
      <c r="N133" s="101" t="s">
        <v>13</v>
      </c>
    </row>
    <row r="134" spans="1:14" x14ac:dyDescent="0.3">
      <c r="A134" s="45"/>
      <c r="B134" s="61" t="s">
        <v>62</v>
      </c>
      <c r="C134" s="61" t="s">
        <v>85</v>
      </c>
      <c r="D134" s="176">
        <f>IF((((inputs!$P$12/(inputs!E116/MAX('Min rate concentrations'!D$3:D$368)))^(1/inputs!$O$12))-1)/inputs!$N$12&lt;0, 0, IF((((inputs!$P$12/(inputs!E116/MAX('Min rate concentrations'!D$3:D$368)))^(1/inputs!$O$12))-1)/inputs!$N$12&gt;inputs!$H$17, inputs!$H$17, (((inputs!$P$12/(inputs!E116/MAX('Min rate concentrations'!D$3:D$368)))^(1/inputs!$O$12))-1)/inputs!$N$12))</f>
        <v>6.2896069230840785</v>
      </c>
      <c r="E134" s="176">
        <f>IF((((inputs!$P$12/(inputs!E116/MAX('Min rate concentrations'!E$3:E$368)))^(1/inputs!$O$12))-1)/inputs!$N$12&lt;0, 0, IF((((inputs!$P$12/(inputs!E116/MAX('Min rate concentrations'!E$3:E$368)))^(1/inputs!$O$12))-1)/inputs!$N$12&gt;inputs!$H$17, inputs!$H$17, (((inputs!$P$12/(inputs!E116/MAX('Min rate concentrations'!E$3:E$368)))^(1/inputs!$O$12))-1)/inputs!$N$12))</f>
        <v>0</v>
      </c>
      <c r="F134" s="176">
        <f>IF((((inputs!$P$12/(inputs!E116/MAX('Min rate concentrations'!F$3:F$368)))^(1/inputs!$O$12))-1)/inputs!$N$12&lt;0, 0, IF((((inputs!$P$12/(inputs!E116/MAX('Min rate concentrations'!F$3:F$368)))^(1/inputs!$O$12))-1)/inputs!$N$12&gt;inputs!$H$17, inputs!$H$17, (((inputs!$P$12/(inputs!E116/MAX('Min rate concentrations'!F$3:F$368)))^(1/inputs!$O$12))-1)/inputs!$N$12))</f>
        <v>0</v>
      </c>
      <c r="G134" s="176">
        <f>IF((((inputs!$P$12/(inputs!E116/MAX('Min rate concentrations'!G$3:G$368)))^(1/inputs!$O$12))-1)/inputs!$N$12&lt;0, 0, IF((((inputs!$P$12/(inputs!E116/MAX('Min rate concentrations'!G$3:G$368)))^(1/inputs!$O$12))-1)/inputs!$N$12&gt;inputs!$H$17, inputs!$H$17, (((inputs!$P$12/(inputs!E116/MAX('Min rate concentrations'!G$3:G$368)))^(1/inputs!$O$12))-1)/inputs!$N$12))</f>
        <v>0</v>
      </c>
      <c r="H134" s="176">
        <f>IF((((inputs!$P$12/(inputs!E116/MAX('Min rate concentrations'!H$3:H$368)))^(1/inputs!$O$12))-1)/inputs!$N$12&lt;0, 0, IF((((inputs!$P$12/(inputs!E116/MAX('Min rate concentrations'!H$3:H$368)))^(1/inputs!$O$12))-1)/inputs!$N$12&gt;inputs!$H$17, inputs!$H$17, (((inputs!$P$12/(inputs!E116/MAX('Min rate concentrations'!H$3:H$368)))^(1/inputs!$O$12))-1)/inputs!$N$12))</f>
        <v>0</v>
      </c>
      <c r="I134" s="176">
        <f>IF((((inputs!$P$12/(inputs!E116/MAX('Min rate concentrations'!I$3:I$368)))^(1/inputs!$O$12))-1)/inputs!$N$12&lt;0, 0, IF((((inputs!$P$12/(inputs!E116/MAX('Min rate concentrations'!I$3:I$368)))^(1/inputs!$O$12))-1)/inputs!$N$12&gt;inputs!$H$17, inputs!$H$17, (((inputs!$P$12/(inputs!E116/MAX('Min rate concentrations'!I$3:I$368)))^(1/inputs!$O$12))-1)/inputs!$N$12))</f>
        <v>0</v>
      </c>
      <c r="J134" s="176">
        <f>IF((((inputs!$P$12/(inputs!E116/MAX('Min rate concentrations'!J$3:J$368)))^(1/inputs!$O$12))-1)/inputs!$N$12&lt;0, 0, IF((((inputs!$P$12/(inputs!E116/MAX('Min rate concentrations'!J$3:J$368)))^(1/inputs!$O$12))-1)/inputs!$N$12&gt;inputs!$H$17, inputs!$H$17, (((inputs!$P$12/(inputs!E116/MAX('Min rate concentrations'!J$3:J$368)))^(1/inputs!$O$12))-1)/inputs!$N$12))</f>
        <v>5.6213939730451497</v>
      </c>
      <c r="K134" s="176">
        <f>IF((((inputs!$P$12/(inputs!E116/MAX('Min rate concentrations'!K$3:K$368)))^(1/inputs!$O$12))-1)/inputs!$N$12&lt;0, 0, IF((((inputs!$P$12/(inputs!E116/MAX('Min rate concentrations'!K$3:K$368)))^(1/inputs!$O$12))-1)/inputs!$N$12&gt;inputs!$H$17, inputs!$H$17, (((inputs!$P$12/(inputs!E116/MAX('Min rate concentrations'!K$3:K$368)))^(1/inputs!$O$12))-1)/inputs!$N$12))</f>
        <v>0</v>
      </c>
      <c r="L134" s="176">
        <f>IF((((inputs!$P$12/(inputs!E116/MAX('Min rate concentrations'!L$3:L$368)))^(1/inputs!$O$12))-1)/inputs!$N$12&lt;0, 0, IF((((inputs!$P$12/(inputs!E116/MAX('Min rate concentrations'!L$3:L$368)))^(1/inputs!$O$12))-1)/inputs!$N$12&gt;inputs!$H$17, inputs!$H$17, (((inputs!$P$12/(inputs!E116/MAX('Min rate concentrations'!L$3:L$368)))^(1/inputs!$O$12))-1)/inputs!$N$12))</f>
        <v>0</v>
      </c>
      <c r="M134" s="176">
        <f>IF((((inputs!$P$12/(inputs!E116/MAX('Min rate concentrations'!M$3:M$368)))^(1/inputs!$O$12))-1)/inputs!$N$12&lt;0, 0, IF((((inputs!$P$12/(inputs!E116/MAX('Min rate concentrations'!M$3:M$368)))^(1/inputs!$O$12))-1)/inputs!$N$12&gt;inputs!$H$17, inputs!$H$17, (((inputs!$P$12/(inputs!E116/MAX('Min rate concentrations'!M$3:M$368)))^(1/inputs!$O$12))-1)/inputs!$N$12))</f>
        <v>0</v>
      </c>
      <c r="N134" s="101" t="s">
        <v>13</v>
      </c>
    </row>
    <row r="135" spans="1:14" x14ac:dyDescent="0.3">
      <c r="A135" s="45"/>
      <c r="B135" s="61" t="s">
        <v>62</v>
      </c>
      <c r="C135" s="61" t="s">
        <v>86</v>
      </c>
      <c r="D135" s="176">
        <f>IF((((inputs!$P$12/(inputs!E117/MAX('Min rate concentrations'!D$3:D$368)))^(1/inputs!$O$12))-1)/inputs!$N$12&lt;0, 0, IF((((inputs!$P$12/(inputs!E117/MAX('Min rate concentrations'!D$3:D$368)))^(1/inputs!$O$12))-1)/inputs!$N$12&gt;inputs!$H$17, inputs!$H$17, (((inputs!$P$12/(inputs!E117/MAX('Min rate concentrations'!D$3:D$368)))^(1/inputs!$O$12))-1)/inputs!$N$12))</f>
        <v>1.5929541201009549</v>
      </c>
      <c r="E135" s="176">
        <f>IF((((inputs!$P$12/(inputs!E117/MAX('Min rate concentrations'!E$3:E$368)))^(1/inputs!$O$12))-1)/inputs!$N$12&lt;0, 0, IF((((inputs!$P$12/(inputs!E117/MAX('Min rate concentrations'!E$3:E$368)))^(1/inputs!$O$12))-1)/inputs!$N$12&gt;inputs!$H$17, inputs!$H$17, (((inputs!$P$12/(inputs!E117/MAX('Min rate concentrations'!E$3:E$368)))^(1/inputs!$O$12))-1)/inputs!$N$12))</f>
        <v>0</v>
      </c>
      <c r="F135" s="176">
        <f>IF((((inputs!$P$12/(inputs!E117/MAX('Min rate concentrations'!F$3:F$368)))^(1/inputs!$O$12))-1)/inputs!$N$12&lt;0, 0, IF((((inputs!$P$12/(inputs!E117/MAX('Min rate concentrations'!F$3:F$368)))^(1/inputs!$O$12))-1)/inputs!$N$12&gt;inputs!$H$17, inputs!$H$17, (((inputs!$P$12/(inputs!E117/MAX('Min rate concentrations'!F$3:F$368)))^(1/inputs!$O$12))-1)/inputs!$N$12))</f>
        <v>0</v>
      </c>
      <c r="G135" s="176">
        <f>IF((((inputs!$P$12/(inputs!E117/MAX('Min rate concentrations'!G$3:G$368)))^(1/inputs!$O$12))-1)/inputs!$N$12&lt;0, 0, IF((((inputs!$P$12/(inputs!E117/MAX('Min rate concentrations'!G$3:G$368)))^(1/inputs!$O$12))-1)/inputs!$N$12&gt;inputs!$H$17, inputs!$H$17, (((inputs!$P$12/(inputs!E117/MAX('Min rate concentrations'!G$3:G$368)))^(1/inputs!$O$12))-1)/inputs!$N$12))</f>
        <v>0</v>
      </c>
      <c r="H135" s="176">
        <f>IF((((inputs!$P$12/(inputs!E117/MAX('Min rate concentrations'!H$3:H$368)))^(1/inputs!$O$12))-1)/inputs!$N$12&lt;0, 0, IF((((inputs!$P$12/(inputs!E117/MAX('Min rate concentrations'!H$3:H$368)))^(1/inputs!$O$12))-1)/inputs!$N$12&gt;inputs!$H$17, inputs!$H$17, (((inputs!$P$12/(inputs!E117/MAX('Min rate concentrations'!H$3:H$368)))^(1/inputs!$O$12))-1)/inputs!$N$12))</f>
        <v>0</v>
      </c>
      <c r="I135" s="176">
        <f>IF((((inputs!$P$12/(inputs!E117/MAX('Min rate concentrations'!I$3:I$368)))^(1/inputs!$O$12))-1)/inputs!$N$12&lt;0, 0, IF((((inputs!$P$12/(inputs!E117/MAX('Min rate concentrations'!I$3:I$368)))^(1/inputs!$O$12))-1)/inputs!$N$12&gt;inputs!$H$17, inputs!$H$17, (((inputs!$P$12/(inputs!E117/MAX('Min rate concentrations'!I$3:I$368)))^(1/inputs!$O$12))-1)/inputs!$N$12))</f>
        <v>0</v>
      </c>
      <c r="J135" s="176">
        <f>IF((((inputs!$P$12/(inputs!E117/MAX('Min rate concentrations'!J$3:J$368)))^(1/inputs!$O$12))-1)/inputs!$N$12&lt;0, 0, IF((((inputs!$P$12/(inputs!E117/MAX('Min rate concentrations'!J$3:J$368)))^(1/inputs!$O$12))-1)/inputs!$N$12&gt;inputs!$H$17, inputs!$H$17, (((inputs!$P$12/(inputs!E117/MAX('Min rate concentrations'!J$3:J$368)))^(1/inputs!$O$12))-1)/inputs!$N$12))</f>
        <v>1.0149768550401042</v>
      </c>
      <c r="K135" s="176">
        <f>IF((((inputs!$P$12/(inputs!E117/MAX('Min rate concentrations'!K$3:K$368)))^(1/inputs!$O$12))-1)/inputs!$N$12&lt;0, 0, IF((((inputs!$P$12/(inputs!E117/MAX('Min rate concentrations'!K$3:K$368)))^(1/inputs!$O$12))-1)/inputs!$N$12&gt;inputs!$H$17, inputs!$H$17, (((inputs!$P$12/(inputs!E117/MAX('Min rate concentrations'!K$3:K$368)))^(1/inputs!$O$12))-1)/inputs!$N$12))</f>
        <v>0</v>
      </c>
      <c r="L135" s="176">
        <f>IF((((inputs!$P$12/(inputs!E117/MAX('Min rate concentrations'!L$3:L$368)))^(1/inputs!$O$12))-1)/inputs!$N$12&lt;0, 0, IF((((inputs!$P$12/(inputs!E117/MAX('Min rate concentrations'!L$3:L$368)))^(1/inputs!$O$12))-1)/inputs!$N$12&gt;inputs!$H$17, inputs!$H$17, (((inputs!$P$12/(inputs!E117/MAX('Min rate concentrations'!L$3:L$368)))^(1/inputs!$O$12))-1)/inputs!$N$12))</f>
        <v>0</v>
      </c>
      <c r="M135" s="176">
        <f>IF((((inputs!$P$12/(inputs!E117/MAX('Min rate concentrations'!M$3:M$368)))^(1/inputs!$O$12))-1)/inputs!$N$12&lt;0, 0, IF((((inputs!$P$12/(inputs!E117/MAX('Min rate concentrations'!M$3:M$368)))^(1/inputs!$O$12))-1)/inputs!$N$12&gt;inputs!$H$17, inputs!$H$17, (((inputs!$P$12/(inputs!E117/MAX('Min rate concentrations'!M$3:M$368)))^(1/inputs!$O$12))-1)/inputs!$N$12))</f>
        <v>0</v>
      </c>
      <c r="N135" s="101" t="s">
        <v>13</v>
      </c>
    </row>
    <row r="136" spans="1:14" x14ac:dyDescent="0.3">
      <c r="A136" s="45"/>
      <c r="B136" s="61" t="s">
        <v>62</v>
      </c>
      <c r="C136" s="61" t="s">
        <v>87</v>
      </c>
      <c r="D136" s="176" t="e">
        <f>IF((((inputs!$P$12/(inputs!E118/MAX('Min rate concentrations'!D$3:D$368)))^(1/inputs!$O$12))-1)/inputs!$N$12&lt;0, 0, IF((((inputs!$P$12/(inputs!E118/MAX('Min rate concentrations'!D$3:D$368)))^(1/inputs!$O$12))-1)/inputs!$N$12&gt;inputs!$H$17, inputs!$H$17, (((inputs!$P$12/(inputs!E118/MAX('Min rate concentrations'!D$3:D$368)))^(1/inputs!$O$12))-1)/inputs!$N$12))</f>
        <v>#VALUE!</v>
      </c>
      <c r="E136" s="176" t="e">
        <f>IF((((inputs!$P$12/(inputs!E118/MAX('Min rate concentrations'!E$3:E$368)))^(1/inputs!$O$12))-1)/inputs!$N$12&lt;0, 0, IF((((inputs!$P$12/(inputs!E118/MAX('Min rate concentrations'!E$3:E$368)))^(1/inputs!$O$12))-1)/inputs!$N$12&gt;inputs!$H$17, inputs!$H$17, (((inputs!$P$12/(inputs!E118/MAX('Min rate concentrations'!E$3:E$368)))^(1/inputs!$O$12))-1)/inputs!$N$12))</f>
        <v>#VALUE!</v>
      </c>
      <c r="F136" s="176" t="e">
        <f>IF((((inputs!$P$12/(inputs!E118/MAX('Min rate concentrations'!F$3:F$368)))^(1/inputs!$O$12))-1)/inputs!$N$12&lt;0, 0, IF((((inputs!$P$12/(inputs!E118/MAX('Min rate concentrations'!F$3:F$368)))^(1/inputs!$O$12))-1)/inputs!$N$12&gt;inputs!$H$17, inputs!$H$17, (((inputs!$P$12/(inputs!E118/MAX('Min rate concentrations'!F$3:F$368)))^(1/inputs!$O$12))-1)/inputs!$N$12))</f>
        <v>#VALUE!</v>
      </c>
      <c r="G136" s="176" t="e">
        <f>IF((((inputs!$P$12/(inputs!E118/MAX('Min rate concentrations'!G$3:G$368)))^(1/inputs!$O$12))-1)/inputs!$N$12&lt;0, 0, IF((((inputs!$P$12/(inputs!E118/MAX('Min rate concentrations'!G$3:G$368)))^(1/inputs!$O$12))-1)/inputs!$N$12&gt;inputs!$H$17, inputs!$H$17, (((inputs!$P$12/(inputs!E118/MAX('Min rate concentrations'!G$3:G$368)))^(1/inputs!$O$12))-1)/inputs!$N$12))</f>
        <v>#VALUE!</v>
      </c>
      <c r="H136" s="176" t="e">
        <f>IF((((inputs!$P$12/(inputs!E118/MAX('Min rate concentrations'!H$3:H$368)))^(1/inputs!$O$12))-1)/inputs!$N$12&lt;0, 0, IF((((inputs!$P$12/(inputs!E118/MAX('Min rate concentrations'!H$3:H$368)))^(1/inputs!$O$12))-1)/inputs!$N$12&gt;inputs!$H$17, inputs!$H$17, (((inputs!$P$12/(inputs!E118/MAX('Min rate concentrations'!H$3:H$368)))^(1/inputs!$O$12))-1)/inputs!$N$12))</f>
        <v>#VALUE!</v>
      </c>
      <c r="I136" s="176" t="e">
        <f>IF((((inputs!$P$12/(inputs!E118/MAX('Min rate concentrations'!I$3:I$368)))^(1/inputs!$O$12))-1)/inputs!$N$12&lt;0, 0, IF((((inputs!$P$12/(inputs!E118/MAX('Min rate concentrations'!I$3:I$368)))^(1/inputs!$O$12))-1)/inputs!$N$12&gt;inputs!$H$17, inputs!$H$17, (((inputs!$P$12/(inputs!E118/MAX('Min rate concentrations'!I$3:I$368)))^(1/inputs!$O$12))-1)/inputs!$N$12))</f>
        <v>#VALUE!</v>
      </c>
      <c r="J136" s="176" t="e">
        <f>IF((((inputs!$P$12/(inputs!E118/MAX('Min rate concentrations'!J$3:J$368)))^(1/inputs!$O$12))-1)/inputs!$N$12&lt;0, 0, IF((((inputs!$P$12/(inputs!E118/MAX('Min rate concentrations'!J$3:J$368)))^(1/inputs!$O$12))-1)/inputs!$N$12&gt;inputs!$H$17, inputs!$H$17, (((inputs!$P$12/(inputs!E118/MAX('Min rate concentrations'!J$3:J$368)))^(1/inputs!$O$12))-1)/inputs!$N$12))</f>
        <v>#VALUE!</v>
      </c>
      <c r="K136" s="176" t="e">
        <f>IF((((inputs!$P$12/(inputs!E118/MAX('Min rate concentrations'!K$3:K$368)))^(1/inputs!$O$12))-1)/inputs!$N$12&lt;0, 0, IF((((inputs!$P$12/(inputs!E118/MAX('Min rate concentrations'!K$3:K$368)))^(1/inputs!$O$12))-1)/inputs!$N$12&gt;inputs!$H$17, inputs!$H$17, (((inputs!$P$12/(inputs!E118/MAX('Min rate concentrations'!K$3:K$368)))^(1/inputs!$O$12))-1)/inputs!$N$12))</f>
        <v>#VALUE!</v>
      </c>
      <c r="L136" s="176" t="e">
        <f>IF((((inputs!$P$12/(inputs!E118/MAX('Min rate concentrations'!L$3:L$368)))^(1/inputs!$O$12))-1)/inputs!$N$12&lt;0, 0, IF((((inputs!$P$12/(inputs!E118/MAX('Min rate concentrations'!L$3:L$368)))^(1/inputs!$O$12))-1)/inputs!$N$12&gt;inputs!$H$17, inputs!$H$17, (((inputs!$P$12/(inputs!E118/MAX('Min rate concentrations'!L$3:L$368)))^(1/inputs!$O$12))-1)/inputs!$N$12))</f>
        <v>#VALUE!</v>
      </c>
      <c r="M136" s="176" t="e">
        <f>IF((((inputs!$P$12/(inputs!E118/MAX('Min rate concentrations'!M$3:M$368)))^(1/inputs!$O$12))-1)/inputs!$N$12&lt;0, 0, IF((((inputs!$P$12/(inputs!E118/MAX('Min rate concentrations'!M$3:M$368)))^(1/inputs!$O$12))-1)/inputs!$N$12&gt;inputs!$H$17, inputs!$H$17, (((inputs!$P$12/(inputs!E118/MAX('Min rate concentrations'!M$3:M$368)))^(1/inputs!$O$12))-1)/inputs!$N$12))</f>
        <v>#VALUE!</v>
      </c>
      <c r="N136" s="101" t="s">
        <v>13</v>
      </c>
    </row>
    <row r="137" spans="1:14" x14ac:dyDescent="0.3">
      <c r="A137" s="45"/>
      <c r="B137" s="61" t="s">
        <v>62</v>
      </c>
      <c r="C137" s="61" t="s">
        <v>88</v>
      </c>
      <c r="D137" s="176" t="e">
        <f>IF((((inputs!$P$12/(inputs!E119/MAX('Min rate concentrations'!D$3:D$368)))^(1/inputs!$O$12))-1)/inputs!$N$12&lt;0, 0, IF((((inputs!$P$12/(inputs!E119/MAX('Min rate concentrations'!D$3:D$368)))^(1/inputs!$O$12))-1)/inputs!$N$12&gt;inputs!$H$17, inputs!$H$17, (((inputs!$P$12/(inputs!E119/MAX('Min rate concentrations'!D$3:D$368)))^(1/inputs!$O$12))-1)/inputs!$N$12))</f>
        <v>#VALUE!</v>
      </c>
      <c r="E137" s="176" t="e">
        <f>IF((((inputs!$P$12/(inputs!E119/MAX('Min rate concentrations'!E$3:E$368)))^(1/inputs!$O$12))-1)/inputs!$N$12&lt;0, 0, IF((((inputs!$P$12/(inputs!E119/MAX('Min rate concentrations'!E$3:E$368)))^(1/inputs!$O$12))-1)/inputs!$N$12&gt;inputs!$H$17, inputs!$H$17, (((inputs!$P$12/(inputs!E119/MAX('Min rate concentrations'!E$3:E$368)))^(1/inputs!$O$12))-1)/inputs!$N$12))</f>
        <v>#VALUE!</v>
      </c>
      <c r="F137" s="176" t="e">
        <f>IF((((inputs!$P$12/(inputs!E119/MAX('Min rate concentrations'!F$3:F$368)))^(1/inputs!$O$12))-1)/inputs!$N$12&lt;0, 0, IF((((inputs!$P$12/(inputs!E119/MAX('Min rate concentrations'!F$3:F$368)))^(1/inputs!$O$12))-1)/inputs!$N$12&gt;inputs!$H$17, inputs!$H$17, (((inputs!$P$12/(inputs!E119/MAX('Min rate concentrations'!F$3:F$368)))^(1/inputs!$O$12))-1)/inputs!$N$12))</f>
        <v>#VALUE!</v>
      </c>
      <c r="G137" s="176" t="e">
        <f>IF((((inputs!$P$12/(inputs!E119/MAX('Min rate concentrations'!G$3:G$368)))^(1/inputs!$O$12))-1)/inputs!$N$12&lt;0, 0, IF((((inputs!$P$12/(inputs!E119/MAX('Min rate concentrations'!G$3:G$368)))^(1/inputs!$O$12))-1)/inputs!$N$12&gt;inputs!$H$17, inputs!$H$17, (((inputs!$P$12/(inputs!E119/MAX('Min rate concentrations'!G$3:G$368)))^(1/inputs!$O$12))-1)/inputs!$N$12))</f>
        <v>#VALUE!</v>
      </c>
      <c r="H137" s="176" t="e">
        <f>IF((((inputs!$P$12/(inputs!E119/MAX('Min rate concentrations'!H$3:H$368)))^(1/inputs!$O$12))-1)/inputs!$N$12&lt;0, 0, IF((((inputs!$P$12/(inputs!E119/MAX('Min rate concentrations'!H$3:H$368)))^(1/inputs!$O$12))-1)/inputs!$N$12&gt;inputs!$H$17, inputs!$H$17, (((inputs!$P$12/(inputs!E119/MAX('Min rate concentrations'!H$3:H$368)))^(1/inputs!$O$12))-1)/inputs!$N$12))</f>
        <v>#VALUE!</v>
      </c>
      <c r="I137" s="176" t="e">
        <f>IF((((inputs!$P$12/(inputs!E119/MAX('Min rate concentrations'!I$3:I$368)))^(1/inputs!$O$12))-1)/inputs!$N$12&lt;0, 0, IF((((inputs!$P$12/(inputs!E119/MAX('Min rate concentrations'!I$3:I$368)))^(1/inputs!$O$12))-1)/inputs!$N$12&gt;inputs!$H$17, inputs!$H$17, (((inputs!$P$12/(inputs!E119/MAX('Min rate concentrations'!I$3:I$368)))^(1/inputs!$O$12))-1)/inputs!$N$12))</f>
        <v>#VALUE!</v>
      </c>
      <c r="J137" s="176" t="e">
        <f>IF((((inputs!$P$12/(inputs!E119/MAX('Min rate concentrations'!J$3:J$368)))^(1/inputs!$O$12))-1)/inputs!$N$12&lt;0, 0, IF((((inputs!$P$12/(inputs!E119/MAX('Min rate concentrations'!J$3:J$368)))^(1/inputs!$O$12))-1)/inputs!$N$12&gt;inputs!$H$17, inputs!$H$17, (((inputs!$P$12/(inputs!E119/MAX('Min rate concentrations'!J$3:J$368)))^(1/inputs!$O$12))-1)/inputs!$N$12))</f>
        <v>#VALUE!</v>
      </c>
      <c r="K137" s="176" t="e">
        <f>IF((((inputs!$P$12/(inputs!E119/MAX('Min rate concentrations'!K$3:K$368)))^(1/inputs!$O$12))-1)/inputs!$N$12&lt;0, 0, IF((((inputs!$P$12/(inputs!E119/MAX('Min rate concentrations'!K$3:K$368)))^(1/inputs!$O$12))-1)/inputs!$N$12&gt;inputs!$H$17, inputs!$H$17, (((inputs!$P$12/(inputs!E119/MAX('Min rate concentrations'!K$3:K$368)))^(1/inputs!$O$12))-1)/inputs!$N$12))</f>
        <v>#VALUE!</v>
      </c>
      <c r="L137" s="176" t="e">
        <f>IF((((inputs!$P$12/(inputs!E119/MAX('Min rate concentrations'!L$3:L$368)))^(1/inputs!$O$12))-1)/inputs!$N$12&lt;0, 0, IF((((inputs!$P$12/(inputs!E119/MAX('Min rate concentrations'!L$3:L$368)))^(1/inputs!$O$12))-1)/inputs!$N$12&gt;inputs!$H$17, inputs!$H$17, (((inputs!$P$12/(inputs!E119/MAX('Min rate concentrations'!L$3:L$368)))^(1/inputs!$O$12))-1)/inputs!$N$12))</f>
        <v>#VALUE!</v>
      </c>
      <c r="M137" s="176" t="e">
        <f>IF((((inputs!$P$12/(inputs!E119/MAX('Min rate concentrations'!M$3:M$368)))^(1/inputs!$O$12))-1)/inputs!$N$12&lt;0, 0, IF((((inputs!$P$12/(inputs!E119/MAX('Min rate concentrations'!M$3:M$368)))^(1/inputs!$O$12))-1)/inputs!$N$12&gt;inputs!$H$17, inputs!$H$17, (((inputs!$P$12/(inputs!E119/MAX('Min rate concentrations'!M$3:M$368)))^(1/inputs!$O$12))-1)/inputs!$N$12))</f>
        <v>#VALUE!</v>
      </c>
      <c r="N137" s="101" t="s">
        <v>13</v>
      </c>
    </row>
    <row r="138" spans="1:14" x14ac:dyDescent="0.3">
      <c r="A138" s="46"/>
      <c r="B138" s="22" t="s">
        <v>64</v>
      </c>
      <c r="C138" s="22" t="s">
        <v>71</v>
      </c>
      <c r="D138" s="176">
        <f>IF((((inputs!$P$12/(inputs!E120/MAX('Min rate concentrations'!D$3:D$368)))^(1/inputs!$O$12))-1)/inputs!$N$12&lt;0, 0, IF((((inputs!$P$12/(inputs!E120/MAX('Min rate concentrations'!D$3:D$368)))^(1/inputs!$O$12))-1)/inputs!$N$12&gt;inputs!$H$17, inputs!$H$17, (((inputs!$P$12/(inputs!E120/MAX('Min rate concentrations'!D$3:D$368)))^(1/inputs!$O$12))-1)/inputs!$N$12))</f>
        <v>55.547482243403643</v>
      </c>
      <c r="E138" s="176">
        <f>IF((((inputs!$P$12/(inputs!E120/MAX('Min rate concentrations'!E$3:E$368)))^(1/inputs!$O$12))-1)/inputs!$N$12&lt;0, 0, IF((((inputs!$P$12/(inputs!E120/MAX('Min rate concentrations'!E$3:E$368)))^(1/inputs!$O$12))-1)/inputs!$N$12&gt;inputs!$H$17, inputs!$H$17, (((inputs!$P$12/(inputs!E120/MAX('Min rate concentrations'!E$3:E$368)))^(1/inputs!$O$12))-1)/inputs!$N$12))</f>
        <v>32.69760138703473</v>
      </c>
      <c r="F138" s="176">
        <f>IF((((inputs!$P$12/(inputs!E120/MAX('Min rate concentrations'!F$3:F$368)))^(1/inputs!$O$12))-1)/inputs!$N$12&lt;0, 0, IF((((inputs!$P$12/(inputs!E120/MAX('Min rate concentrations'!F$3:F$368)))^(1/inputs!$O$12))-1)/inputs!$N$12&gt;inputs!$H$17, inputs!$H$17, (((inputs!$P$12/(inputs!E120/MAX('Min rate concentrations'!F$3:F$368)))^(1/inputs!$O$12))-1)/inputs!$N$12))</f>
        <v>38.012648944572582</v>
      </c>
      <c r="G138" s="176">
        <f>IF((((inputs!$P$12/(inputs!E120/MAX('Min rate concentrations'!G$3:G$368)))^(1/inputs!$O$12))-1)/inputs!$N$12&lt;0, 0, IF((((inputs!$P$12/(inputs!E120/MAX('Min rate concentrations'!G$3:G$368)))^(1/inputs!$O$12))-1)/inputs!$N$12&gt;inputs!$H$17, inputs!$H$17, (((inputs!$P$12/(inputs!E120/MAX('Min rate concentrations'!G$3:G$368)))^(1/inputs!$O$12))-1)/inputs!$N$12))</f>
        <v>0</v>
      </c>
      <c r="H138" s="176">
        <f>IF((((inputs!$P$12/(inputs!E120/MAX('Min rate concentrations'!H$3:H$368)))^(1/inputs!$O$12))-1)/inputs!$N$12&lt;0, 0, IF((((inputs!$P$12/(inputs!E120/MAX('Min rate concentrations'!H$3:H$368)))^(1/inputs!$O$12))-1)/inputs!$N$12&gt;inputs!$H$17, inputs!$H$17, (((inputs!$P$12/(inputs!E120/MAX('Min rate concentrations'!H$3:H$368)))^(1/inputs!$O$12))-1)/inputs!$N$12))</f>
        <v>28.908121898808801</v>
      </c>
      <c r="I138" s="176">
        <f>IF((((inputs!$P$12/(inputs!E120/MAX('Min rate concentrations'!I$3:I$368)))^(1/inputs!$O$12))-1)/inputs!$N$12&lt;0, 0, IF((((inputs!$P$12/(inputs!E120/MAX('Min rate concentrations'!I$3:I$368)))^(1/inputs!$O$12))-1)/inputs!$N$12&gt;inputs!$H$17, inputs!$H$17, (((inputs!$P$12/(inputs!E120/MAX('Min rate concentrations'!I$3:I$368)))^(1/inputs!$O$12))-1)/inputs!$N$12))</f>
        <v>1.4363136335791107</v>
      </c>
      <c r="J138" s="176">
        <f>IF((((inputs!$P$12/(inputs!E120/MAX('Min rate concentrations'!J$3:J$368)))^(1/inputs!$O$12))-1)/inputs!$N$12&lt;0, 0, IF((((inputs!$P$12/(inputs!E120/MAX('Min rate concentrations'!J$3:J$368)))^(1/inputs!$O$12))-1)/inputs!$N$12&gt;inputs!$H$17, inputs!$H$17, (((inputs!$P$12/(inputs!E120/MAX('Min rate concentrations'!J$3:J$368)))^(1/inputs!$O$12))-1)/inputs!$N$12))</f>
        <v>53.932889327344988</v>
      </c>
      <c r="K138" s="176">
        <f>IF((((inputs!$P$12/(inputs!E120/MAX('Min rate concentrations'!K$3:K$368)))^(1/inputs!$O$12))-1)/inputs!$N$12&lt;0, 0, IF((((inputs!$P$12/(inputs!E120/MAX('Min rate concentrations'!K$3:K$368)))^(1/inputs!$O$12))-1)/inputs!$N$12&gt;inputs!$H$17, inputs!$H$17, (((inputs!$P$12/(inputs!E120/MAX('Min rate concentrations'!K$3:K$368)))^(1/inputs!$O$12))-1)/inputs!$N$12))</f>
        <v>10.648278498323343</v>
      </c>
      <c r="L138" s="176">
        <f>IF((((inputs!$P$12/(inputs!E120/MAX('Min rate concentrations'!L$3:L$368)))^(1/inputs!$O$12))-1)/inputs!$N$12&lt;0, 0, IF((((inputs!$P$12/(inputs!E120/MAX('Min rate concentrations'!L$3:L$368)))^(1/inputs!$O$12))-1)/inputs!$N$12&gt;inputs!$H$17, inputs!$H$17, (((inputs!$P$12/(inputs!E120/MAX('Min rate concentrations'!L$3:L$368)))^(1/inputs!$O$12))-1)/inputs!$N$12))</f>
        <v>34.21803502030842</v>
      </c>
      <c r="M138" s="176">
        <f>IF((((inputs!$P$12/(inputs!E120/MAX('Min rate concentrations'!M$3:M$368)))^(1/inputs!$O$12))-1)/inputs!$N$12&lt;0, 0, IF((((inputs!$P$12/(inputs!E120/MAX('Min rate concentrations'!M$3:M$368)))^(1/inputs!$O$12))-1)/inputs!$N$12&gt;inputs!$H$17, inputs!$H$17, (((inputs!$P$12/(inputs!E120/MAX('Min rate concentrations'!M$3:M$368)))^(1/inputs!$O$12))-1)/inputs!$N$12))</f>
        <v>0</v>
      </c>
      <c r="N138" s="101" t="s">
        <v>13</v>
      </c>
    </row>
    <row r="139" spans="1:14" x14ac:dyDescent="0.3">
      <c r="A139" s="44" t="s">
        <v>706</v>
      </c>
      <c r="B139" s="22" t="s">
        <v>62</v>
      </c>
      <c r="C139" s="22" t="s">
        <v>63</v>
      </c>
      <c r="D139" s="176">
        <f>IF((((inputs!$P$12/(inputs!E121/MAX('Min rate concentrations'!D$3:D$368)))^(1/inputs!$O$12))-1)/inputs!$N$12&lt;0, 0, IF((((inputs!$P$12/(inputs!E121/MAX('Min rate concentrations'!D$3:D$368)))^(1/inputs!$O$12))-1)/inputs!$N$12&gt;inputs!$H$17, inputs!$H$17, (((inputs!$P$12/(inputs!E121/MAX('Min rate concentrations'!D$3:D$368)))^(1/inputs!$O$12))-1)/inputs!$N$12))</f>
        <v>73.250978367049939</v>
      </c>
      <c r="E139" s="176">
        <f>IF((((inputs!$P$12/(inputs!E121/MAX('Min rate concentrations'!E$3:E$368)))^(1/inputs!$O$12))-1)/inputs!$N$12&lt;0, 0, IF((((inputs!$P$12/(inputs!E121/MAX('Min rate concentrations'!E$3:E$368)))^(1/inputs!$O$12))-1)/inputs!$N$12&gt;inputs!$H$17, inputs!$H$17, (((inputs!$P$12/(inputs!E121/MAX('Min rate concentrations'!E$3:E$368)))^(1/inputs!$O$12))-1)/inputs!$N$12))</f>
        <v>45.587499706128519</v>
      </c>
      <c r="F139" s="176">
        <f>IF((((inputs!$P$12/(inputs!E121/MAX('Min rate concentrations'!F$3:F$368)))^(1/inputs!$O$12))-1)/inputs!$N$12&lt;0, 0, IF((((inputs!$P$12/(inputs!E121/MAX('Min rate concentrations'!F$3:F$368)))^(1/inputs!$O$12))-1)/inputs!$N$12&gt;inputs!$H$17, inputs!$H$17, (((inputs!$P$12/(inputs!E121/MAX('Min rate concentrations'!F$3:F$368)))^(1/inputs!$O$12))-1)/inputs!$N$12))</f>
        <v>52.022224929159549</v>
      </c>
      <c r="G139" s="176">
        <f>IF((((inputs!$P$12/(inputs!E121/MAX('Min rate concentrations'!G$3:G$368)))^(1/inputs!$O$12))-1)/inputs!$N$12&lt;0, 0, IF((((inputs!$P$12/(inputs!E121/MAX('Min rate concentrations'!G$3:G$368)))^(1/inputs!$O$12))-1)/inputs!$N$12&gt;inputs!$H$17, inputs!$H$17, (((inputs!$P$12/(inputs!E121/MAX('Min rate concentrations'!G$3:G$368)))^(1/inputs!$O$12))-1)/inputs!$N$12))</f>
        <v>4.451036750888111</v>
      </c>
      <c r="H139" s="176">
        <f>IF((((inputs!$P$12/(inputs!E121/MAX('Min rate concentrations'!H$3:H$368)))^(1/inputs!$O$12))-1)/inputs!$N$12&lt;0, 0, IF((((inputs!$P$12/(inputs!E121/MAX('Min rate concentrations'!H$3:H$368)))^(1/inputs!$O$12))-1)/inputs!$N$12&gt;inputs!$H$17, inputs!$H$17, (((inputs!$P$12/(inputs!E121/MAX('Min rate concentrations'!H$3:H$368)))^(1/inputs!$O$12))-1)/inputs!$N$12))</f>
        <v>40.999721519560062</v>
      </c>
      <c r="I139" s="176">
        <f>IF((((inputs!$P$12/(inputs!E121/MAX('Min rate concentrations'!I$3:I$368)))^(1/inputs!$O$12))-1)/inputs!$N$12&lt;0, 0, IF((((inputs!$P$12/(inputs!E121/MAX('Min rate concentrations'!I$3:I$368)))^(1/inputs!$O$12))-1)/inputs!$N$12&gt;inputs!$H$17, inputs!$H$17, (((inputs!$P$12/(inputs!E121/MAX('Min rate concentrations'!I$3:I$368)))^(1/inputs!$O$12))-1)/inputs!$N$12))</f>
        <v>7.7406517458862876</v>
      </c>
      <c r="J139" s="176">
        <f>IF((((inputs!$P$12/(inputs!E121/MAX('Min rate concentrations'!J$3:J$368)))^(1/inputs!$O$12))-1)/inputs!$N$12&lt;0, 0, IF((((inputs!$P$12/(inputs!E121/MAX('Min rate concentrations'!J$3:J$368)))^(1/inputs!$O$12))-1)/inputs!$N$12&gt;inputs!$H$17, inputs!$H$17, (((inputs!$P$12/(inputs!E121/MAX('Min rate concentrations'!J$3:J$368)))^(1/inputs!$O$12))-1)/inputs!$N$12))</f>
        <v>71.296252346366359</v>
      </c>
      <c r="K139" s="176">
        <f>IF((((inputs!$P$12/(inputs!E121/MAX('Min rate concentrations'!K$3:K$368)))^(1/inputs!$O$12))-1)/inputs!$N$12&lt;0, 0, IF((((inputs!$P$12/(inputs!E121/MAX('Min rate concentrations'!K$3:K$368)))^(1/inputs!$O$12))-1)/inputs!$N$12&gt;inputs!$H$17, inputs!$H$17, (((inputs!$P$12/(inputs!E121/MAX('Min rate concentrations'!K$3:K$368)))^(1/inputs!$O$12))-1)/inputs!$N$12))</f>
        <v>18.89322602243794</v>
      </c>
      <c r="L139" s="176">
        <f>IF((((inputs!$P$12/(inputs!E121/MAX('Min rate concentrations'!L$3:L$368)))^(1/inputs!$O$12))-1)/inputs!$N$12&lt;0, 0, IF((((inputs!$P$12/(inputs!E121/MAX('Min rate concentrations'!L$3:L$368)))^(1/inputs!$O$12))-1)/inputs!$N$12&gt;inputs!$H$17, inputs!$H$17, (((inputs!$P$12/(inputs!E121/MAX('Min rate concentrations'!L$3:L$368)))^(1/inputs!$O$12))-1)/inputs!$N$12))</f>
        <v>47.428230676841231</v>
      </c>
      <c r="M139" s="176">
        <f>IF((((inputs!$P$12/(inputs!E121/MAX('Min rate concentrations'!M$3:M$368)))^(1/inputs!$O$12))-1)/inputs!$N$12&lt;0, 0, IF((((inputs!$P$12/(inputs!E121/MAX('Min rate concentrations'!M$3:M$368)))^(1/inputs!$O$12))-1)/inputs!$N$12&gt;inputs!$H$17, inputs!$H$17, (((inputs!$P$12/(inputs!E121/MAX('Min rate concentrations'!M$3:M$368)))^(1/inputs!$O$12))-1)/inputs!$N$12))</f>
        <v>0</v>
      </c>
      <c r="N139" s="101" t="s">
        <v>13</v>
      </c>
    </row>
    <row r="140" spans="1:14" x14ac:dyDescent="0.3">
      <c r="A140" s="45" t="s">
        <v>78</v>
      </c>
      <c r="B140" s="22" t="s">
        <v>64</v>
      </c>
      <c r="C140" s="22" t="s">
        <v>65</v>
      </c>
      <c r="D140" s="176">
        <f>IF((((inputs!$P$12/(inputs!E122/MAX('Min rate concentrations'!D$3:D$368)))^(1/inputs!$O$12))-1)/inputs!$N$12&lt;0, 0, IF((((inputs!$P$12/(inputs!E122/MAX('Min rate concentrations'!D$3:D$368)))^(1/inputs!$O$12))-1)/inputs!$N$12&gt;inputs!$H$17, inputs!$H$17, (((inputs!$P$12/(inputs!E122/MAX('Min rate concentrations'!D$3:D$368)))^(1/inputs!$O$12))-1)/inputs!$N$12))</f>
        <v>17.091452824350338</v>
      </c>
      <c r="E140" s="176">
        <f>IF((((inputs!$P$12/(inputs!E122/MAX('Min rate concentrations'!E$3:E$368)))^(1/inputs!$O$12))-1)/inputs!$N$12&lt;0, 0, IF((((inputs!$P$12/(inputs!E122/MAX('Min rate concentrations'!E$3:E$368)))^(1/inputs!$O$12))-1)/inputs!$N$12&gt;inputs!$H$17, inputs!$H$17, (((inputs!$P$12/(inputs!E122/MAX('Min rate concentrations'!E$3:E$368)))^(1/inputs!$O$12))-1)/inputs!$N$12))</f>
        <v>4.6978037478788659</v>
      </c>
      <c r="F140" s="176">
        <f>IF((((inputs!$P$12/(inputs!E122/MAX('Min rate concentrations'!F$3:F$368)))^(1/inputs!$O$12))-1)/inputs!$N$12&lt;0, 0, IF((((inputs!$P$12/(inputs!E122/MAX('Min rate concentrations'!F$3:F$368)))^(1/inputs!$O$12))-1)/inputs!$N$12&gt;inputs!$H$17, inputs!$H$17, (((inputs!$P$12/(inputs!E122/MAX('Min rate concentrations'!F$3:F$368)))^(1/inputs!$O$12))-1)/inputs!$N$12))</f>
        <v>7.5806561647885351</v>
      </c>
      <c r="G140" s="176">
        <f>IF((((inputs!$P$12/(inputs!E122/MAX('Min rate concentrations'!G$3:G$368)))^(1/inputs!$O$12))-1)/inputs!$N$12&lt;0, 0, IF((((inputs!$P$12/(inputs!E122/MAX('Min rate concentrations'!G$3:G$368)))^(1/inputs!$O$12))-1)/inputs!$N$12&gt;inputs!$H$17, inputs!$H$17, (((inputs!$P$12/(inputs!E122/MAX('Min rate concentrations'!G$3:G$368)))^(1/inputs!$O$12))-1)/inputs!$N$12))</f>
        <v>0</v>
      </c>
      <c r="H140" s="176">
        <f>IF((((inputs!$P$12/(inputs!E122/MAX('Min rate concentrations'!H$3:H$368)))^(1/inputs!$O$12))-1)/inputs!$N$12&lt;0, 0, IF((((inputs!$P$12/(inputs!E122/MAX('Min rate concentrations'!H$3:H$368)))^(1/inputs!$O$12))-1)/inputs!$N$12&gt;inputs!$H$17, inputs!$H$17, (((inputs!$P$12/(inputs!E122/MAX('Min rate concentrations'!H$3:H$368)))^(1/inputs!$O$12))-1)/inputs!$N$12))</f>
        <v>2.6424110193663166</v>
      </c>
      <c r="I140" s="176">
        <f>IF((((inputs!$P$12/(inputs!E122/MAX('Min rate concentrations'!I$3:I$368)))^(1/inputs!$O$12))-1)/inputs!$N$12&lt;0, 0, IF((((inputs!$P$12/(inputs!E122/MAX('Min rate concentrations'!I$3:I$368)))^(1/inputs!$O$12))-1)/inputs!$N$12&gt;inputs!$H$17, inputs!$H$17, (((inputs!$P$12/(inputs!E122/MAX('Min rate concentrations'!I$3:I$368)))^(1/inputs!$O$12))-1)/inputs!$N$12))</f>
        <v>0</v>
      </c>
      <c r="J140" s="176">
        <f>IF((((inputs!$P$12/(inputs!E122/MAX('Min rate concentrations'!J$3:J$368)))^(1/inputs!$O$12))-1)/inputs!$N$12&lt;0, 0, IF((((inputs!$P$12/(inputs!E122/MAX('Min rate concentrations'!J$3:J$368)))^(1/inputs!$O$12))-1)/inputs!$N$12&gt;inputs!$H$17, inputs!$H$17, (((inputs!$P$12/(inputs!E122/MAX('Min rate concentrations'!J$3:J$368)))^(1/inputs!$O$12))-1)/inputs!$N$12))</f>
        <v>16.215706551152142</v>
      </c>
      <c r="K140" s="176">
        <f>IF((((inputs!$P$12/(inputs!E122/MAX('Min rate concentrations'!K$3:K$368)))^(1/inputs!$O$12))-1)/inputs!$N$12&lt;0, 0, IF((((inputs!$P$12/(inputs!E122/MAX('Min rate concentrations'!K$3:K$368)))^(1/inputs!$O$12))-1)/inputs!$N$12&gt;inputs!$H$17, inputs!$H$17, (((inputs!$P$12/(inputs!E122/MAX('Min rate concentrations'!K$3:K$368)))^(1/inputs!$O$12))-1)/inputs!$N$12))</f>
        <v>0</v>
      </c>
      <c r="L140" s="176">
        <f>IF((((inputs!$P$12/(inputs!E122/MAX('Min rate concentrations'!L$3:L$368)))^(1/inputs!$O$12))-1)/inputs!$N$12&lt;0, 0, IF((((inputs!$P$12/(inputs!E122/MAX('Min rate concentrations'!L$3:L$368)))^(1/inputs!$O$12))-1)/inputs!$N$12&gt;inputs!$H$17, inputs!$H$17, (((inputs!$P$12/(inputs!E122/MAX('Min rate concentrations'!L$3:L$368)))^(1/inputs!$O$12))-1)/inputs!$N$12))</f>
        <v>5.522478546548828</v>
      </c>
      <c r="M140" s="176">
        <f>IF((((inputs!$P$12/(inputs!E122/MAX('Min rate concentrations'!M$3:M$368)))^(1/inputs!$O$12))-1)/inputs!$N$12&lt;0, 0, IF((((inputs!$P$12/(inputs!E122/MAX('Min rate concentrations'!M$3:M$368)))^(1/inputs!$O$12))-1)/inputs!$N$12&gt;inputs!$H$17, inputs!$H$17, (((inputs!$P$12/(inputs!E122/MAX('Min rate concentrations'!M$3:M$368)))^(1/inputs!$O$12))-1)/inputs!$N$12))</f>
        <v>0</v>
      </c>
      <c r="N140" s="101" t="s">
        <v>13</v>
      </c>
    </row>
    <row r="141" spans="1:14" x14ac:dyDescent="0.3">
      <c r="A141" s="45"/>
      <c r="B141" s="22" t="s">
        <v>66</v>
      </c>
      <c r="C141" s="22" t="s">
        <v>80</v>
      </c>
      <c r="D141" s="176">
        <f>IF((((inputs!$P$12/(inputs!E123/MAX('Min rate concentrations'!D$3:D$368)))^(1/inputs!$O$12))-1)/inputs!$N$12&lt;0, 0, IF((((inputs!$P$12/(inputs!E123/MAX('Min rate concentrations'!D$3:D$368)))^(1/inputs!$O$12))-1)/inputs!$N$12&gt;inputs!$H$17, inputs!$H$17, (((inputs!$P$12/(inputs!E123/MAX('Min rate concentrations'!D$3:D$368)))^(1/inputs!$O$12))-1)/inputs!$N$12))</f>
        <v>5.1454988232543695</v>
      </c>
      <c r="E141" s="176">
        <f>IF((((inputs!$P$12/(inputs!E123/MAX('Min rate concentrations'!E$3:E$368)))^(1/inputs!$O$12))-1)/inputs!$N$12&lt;0, 0, IF((((inputs!$P$12/(inputs!E123/MAX('Min rate concentrations'!E$3:E$368)))^(1/inputs!$O$12))-1)/inputs!$N$12&gt;inputs!$H$17, inputs!$H$17, (((inputs!$P$12/(inputs!E123/MAX('Min rate concentrations'!E$3:E$368)))^(1/inputs!$O$12))-1)/inputs!$N$12))</f>
        <v>0</v>
      </c>
      <c r="F141" s="176">
        <f>IF((((inputs!$P$12/(inputs!E123/MAX('Min rate concentrations'!F$3:F$368)))^(1/inputs!$O$12))-1)/inputs!$N$12&lt;0, 0, IF((((inputs!$P$12/(inputs!E123/MAX('Min rate concentrations'!F$3:F$368)))^(1/inputs!$O$12))-1)/inputs!$N$12&gt;inputs!$H$17, inputs!$H$17, (((inputs!$P$12/(inputs!E123/MAX('Min rate concentrations'!F$3:F$368)))^(1/inputs!$O$12))-1)/inputs!$N$12))</f>
        <v>0</v>
      </c>
      <c r="G141" s="176">
        <f>IF((((inputs!$P$12/(inputs!E123/MAX('Min rate concentrations'!G$3:G$368)))^(1/inputs!$O$12))-1)/inputs!$N$12&lt;0, 0, IF((((inputs!$P$12/(inputs!E123/MAX('Min rate concentrations'!G$3:G$368)))^(1/inputs!$O$12))-1)/inputs!$N$12&gt;inputs!$H$17, inputs!$H$17, (((inputs!$P$12/(inputs!E123/MAX('Min rate concentrations'!G$3:G$368)))^(1/inputs!$O$12))-1)/inputs!$N$12))</f>
        <v>0</v>
      </c>
      <c r="H141" s="176">
        <f>IF((((inputs!$P$12/(inputs!E123/MAX('Min rate concentrations'!H$3:H$368)))^(1/inputs!$O$12))-1)/inputs!$N$12&lt;0, 0, IF((((inputs!$P$12/(inputs!E123/MAX('Min rate concentrations'!H$3:H$368)))^(1/inputs!$O$12))-1)/inputs!$N$12&gt;inputs!$H$17, inputs!$H$17, (((inputs!$P$12/(inputs!E123/MAX('Min rate concentrations'!H$3:H$368)))^(1/inputs!$O$12))-1)/inputs!$N$12))</f>
        <v>0</v>
      </c>
      <c r="I141" s="176">
        <f>IF((((inputs!$P$12/(inputs!E123/MAX('Min rate concentrations'!I$3:I$368)))^(1/inputs!$O$12))-1)/inputs!$N$12&lt;0, 0, IF((((inputs!$P$12/(inputs!E123/MAX('Min rate concentrations'!I$3:I$368)))^(1/inputs!$O$12))-1)/inputs!$N$12&gt;inputs!$H$17, inputs!$H$17, (((inputs!$P$12/(inputs!E123/MAX('Min rate concentrations'!I$3:I$368)))^(1/inputs!$O$12))-1)/inputs!$N$12))</f>
        <v>0</v>
      </c>
      <c r="J141" s="176">
        <f>IF((((inputs!$P$12/(inputs!E123/MAX('Min rate concentrations'!J$3:J$368)))^(1/inputs!$O$12))-1)/inputs!$N$12&lt;0, 0, IF((((inputs!$P$12/(inputs!E123/MAX('Min rate concentrations'!J$3:J$368)))^(1/inputs!$O$12))-1)/inputs!$N$12&gt;inputs!$H$17, inputs!$H$17, (((inputs!$P$12/(inputs!E123/MAX('Min rate concentrations'!J$3:J$368)))^(1/inputs!$O$12))-1)/inputs!$N$12))</f>
        <v>4.4992673528793281</v>
      </c>
      <c r="K141" s="176">
        <f>IF((((inputs!$P$12/(inputs!E123/MAX('Min rate concentrations'!K$3:K$368)))^(1/inputs!$O$12))-1)/inputs!$N$12&lt;0, 0, IF((((inputs!$P$12/(inputs!E123/MAX('Min rate concentrations'!K$3:K$368)))^(1/inputs!$O$12))-1)/inputs!$N$12&gt;inputs!$H$17, inputs!$H$17, (((inputs!$P$12/(inputs!E123/MAX('Min rate concentrations'!K$3:K$368)))^(1/inputs!$O$12))-1)/inputs!$N$12))</f>
        <v>0</v>
      </c>
      <c r="L141" s="176">
        <f>IF((((inputs!$P$12/(inputs!E123/MAX('Min rate concentrations'!L$3:L$368)))^(1/inputs!$O$12))-1)/inputs!$N$12&lt;0, 0, IF((((inputs!$P$12/(inputs!E123/MAX('Min rate concentrations'!L$3:L$368)))^(1/inputs!$O$12))-1)/inputs!$N$12&gt;inputs!$H$17, inputs!$H$17, (((inputs!$P$12/(inputs!E123/MAX('Min rate concentrations'!L$3:L$368)))^(1/inputs!$O$12))-1)/inputs!$N$12))</f>
        <v>0</v>
      </c>
      <c r="M141" s="176">
        <f>IF((((inputs!$P$12/(inputs!E123/MAX('Min rate concentrations'!M$3:M$368)))^(1/inputs!$O$12))-1)/inputs!$N$12&lt;0, 0, IF((((inputs!$P$12/(inputs!E123/MAX('Min rate concentrations'!M$3:M$368)))^(1/inputs!$O$12))-1)/inputs!$N$12&gt;inputs!$H$17, inputs!$H$17, (((inputs!$P$12/(inputs!E123/MAX('Min rate concentrations'!M$3:M$368)))^(1/inputs!$O$12))-1)/inputs!$N$12))</f>
        <v>0</v>
      </c>
      <c r="N141" s="101" t="s">
        <v>13</v>
      </c>
    </row>
    <row r="142" spans="1:14" x14ac:dyDescent="0.3">
      <c r="A142" s="45"/>
      <c r="B142" s="22" t="s">
        <v>62</v>
      </c>
      <c r="C142" s="22" t="s">
        <v>71</v>
      </c>
      <c r="D142" s="176">
        <f>IF((((inputs!$P$12/(inputs!E124/MAX('Min rate concentrations'!D$3:D$368)))^(1/inputs!$O$12))-1)/inputs!$N$12&lt;0, 0, IF((((inputs!$P$12/(inputs!E124/MAX('Min rate concentrations'!D$3:D$368)))^(1/inputs!$O$12))-1)/inputs!$N$12&gt;inputs!$H$17, inputs!$H$17, (((inputs!$P$12/(inputs!E124/MAX('Min rate concentrations'!D$3:D$368)))^(1/inputs!$O$12))-1)/inputs!$N$12))</f>
        <v>55.547482243403643</v>
      </c>
      <c r="E142" s="176">
        <f>IF((((inputs!$P$12/(inputs!E124/MAX('Min rate concentrations'!E$3:E$368)))^(1/inputs!$O$12))-1)/inputs!$N$12&lt;0, 0, IF((((inputs!$P$12/(inputs!E124/MAX('Min rate concentrations'!E$3:E$368)))^(1/inputs!$O$12))-1)/inputs!$N$12&gt;inputs!$H$17, inputs!$H$17, (((inputs!$P$12/(inputs!E124/MAX('Min rate concentrations'!E$3:E$368)))^(1/inputs!$O$12))-1)/inputs!$N$12))</f>
        <v>32.69760138703473</v>
      </c>
      <c r="F142" s="176">
        <f>IF((((inputs!$P$12/(inputs!E124/MAX('Min rate concentrations'!F$3:F$368)))^(1/inputs!$O$12))-1)/inputs!$N$12&lt;0, 0, IF((((inputs!$P$12/(inputs!E124/MAX('Min rate concentrations'!F$3:F$368)))^(1/inputs!$O$12))-1)/inputs!$N$12&gt;inputs!$H$17, inputs!$H$17, (((inputs!$P$12/(inputs!E124/MAX('Min rate concentrations'!F$3:F$368)))^(1/inputs!$O$12))-1)/inputs!$N$12))</f>
        <v>38.012648944572582</v>
      </c>
      <c r="G142" s="176">
        <f>IF((((inputs!$P$12/(inputs!E124/MAX('Min rate concentrations'!G$3:G$368)))^(1/inputs!$O$12))-1)/inputs!$N$12&lt;0, 0, IF((((inputs!$P$12/(inputs!E124/MAX('Min rate concentrations'!G$3:G$368)))^(1/inputs!$O$12))-1)/inputs!$N$12&gt;inputs!$H$17, inputs!$H$17, (((inputs!$P$12/(inputs!E124/MAX('Min rate concentrations'!G$3:G$368)))^(1/inputs!$O$12))-1)/inputs!$N$12))</f>
        <v>0</v>
      </c>
      <c r="H142" s="176">
        <f>IF((((inputs!$P$12/(inputs!E124/MAX('Min rate concentrations'!H$3:H$368)))^(1/inputs!$O$12))-1)/inputs!$N$12&lt;0, 0, IF((((inputs!$P$12/(inputs!E124/MAX('Min rate concentrations'!H$3:H$368)))^(1/inputs!$O$12))-1)/inputs!$N$12&gt;inputs!$H$17, inputs!$H$17, (((inputs!$P$12/(inputs!E124/MAX('Min rate concentrations'!H$3:H$368)))^(1/inputs!$O$12))-1)/inputs!$N$12))</f>
        <v>28.908121898808801</v>
      </c>
      <c r="I142" s="176">
        <f>IF((((inputs!$P$12/(inputs!E124/MAX('Min rate concentrations'!I$3:I$368)))^(1/inputs!$O$12))-1)/inputs!$N$12&lt;0, 0, IF((((inputs!$P$12/(inputs!E124/MAX('Min rate concentrations'!I$3:I$368)))^(1/inputs!$O$12))-1)/inputs!$N$12&gt;inputs!$H$17, inputs!$H$17, (((inputs!$P$12/(inputs!E124/MAX('Min rate concentrations'!I$3:I$368)))^(1/inputs!$O$12))-1)/inputs!$N$12))</f>
        <v>1.4363136335791107</v>
      </c>
      <c r="J142" s="176">
        <f>IF((((inputs!$P$12/(inputs!E124/MAX('Min rate concentrations'!J$3:J$368)))^(1/inputs!$O$12))-1)/inputs!$N$12&lt;0, 0, IF((((inputs!$P$12/(inputs!E124/MAX('Min rate concentrations'!J$3:J$368)))^(1/inputs!$O$12))-1)/inputs!$N$12&gt;inputs!$H$17, inputs!$H$17, (((inputs!$P$12/(inputs!E124/MAX('Min rate concentrations'!J$3:J$368)))^(1/inputs!$O$12))-1)/inputs!$N$12))</f>
        <v>53.932889327344988</v>
      </c>
      <c r="K142" s="176">
        <f>IF((((inputs!$P$12/(inputs!E124/MAX('Min rate concentrations'!K$3:K$368)))^(1/inputs!$O$12))-1)/inputs!$N$12&lt;0, 0, IF((((inputs!$P$12/(inputs!E124/MAX('Min rate concentrations'!K$3:K$368)))^(1/inputs!$O$12))-1)/inputs!$N$12&gt;inputs!$H$17, inputs!$H$17, (((inputs!$P$12/(inputs!E124/MAX('Min rate concentrations'!K$3:K$368)))^(1/inputs!$O$12))-1)/inputs!$N$12))</f>
        <v>10.648278498323343</v>
      </c>
      <c r="L142" s="176">
        <f>IF((((inputs!$P$12/(inputs!E124/MAX('Min rate concentrations'!L$3:L$368)))^(1/inputs!$O$12))-1)/inputs!$N$12&lt;0, 0, IF((((inputs!$P$12/(inputs!E124/MAX('Min rate concentrations'!L$3:L$368)))^(1/inputs!$O$12))-1)/inputs!$N$12&gt;inputs!$H$17, inputs!$H$17, (((inputs!$P$12/(inputs!E124/MAX('Min rate concentrations'!L$3:L$368)))^(1/inputs!$O$12))-1)/inputs!$N$12))</f>
        <v>34.21803502030842</v>
      </c>
      <c r="M142" s="176">
        <f>IF((((inputs!$P$12/(inputs!E124/MAX('Min rate concentrations'!M$3:M$368)))^(1/inputs!$O$12))-1)/inputs!$N$12&lt;0, 0, IF((((inputs!$P$12/(inputs!E124/MAX('Min rate concentrations'!M$3:M$368)))^(1/inputs!$O$12))-1)/inputs!$N$12&gt;inputs!$H$17, inputs!$H$17, (((inputs!$P$12/(inputs!E124/MAX('Min rate concentrations'!M$3:M$368)))^(1/inputs!$O$12))-1)/inputs!$N$12))</f>
        <v>0</v>
      </c>
      <c r="N142" s="101" t="s">
        <v>13</v>
      </c>
    </row>
    <row r="143" spans="1:14" x14ac:dyDescent="0.3">
      <c r="A143" s="45"/>
      <c r="B143" s="61" t="s">
        <v>62</v>
      </c>
      <c r="C143" s="61" t="s">
        <v>81</v>
      </c>
      <c r="D143" s="176">
        <f>IF((((inputs!$P$12/(inputs!E125/MAX('Min rate concentrations'!D$3:D$368)))^(1/inputs!$O$12))-1)/inputs!$N$12&lt;0, 0, IF((((inputs!$P$12/(inputs!E125/MAX('Min rate concentrations'!D$3:D$368)))^(1/inputs!$O$12))-1)/inputs!$N$12&gt;inputs!$H$17, inputs!$H$17, (((inputs!$P$12/(inputs!E125/MAX('Min rate concentrations'!D$3:D$368)))^(1/inputs!$O$12))-1)/inputs!$N$12))</f>
        <v>33.95971387432423</v>
      </c>
      <c r="E143" s="176">
        <f>IF((((inputs!$P$12/(inputs!E125/MAX('Min rate concentrations'!E$3:E$368)))^(1/inputs!$O$12))-1)/inputs!$N$12&lt;0, 0, IF((((inputs!$P$12/(inputs!E125/MAX('Min rate concentrations'!E$3:E$368)))^(1/inputs!$O$12))-1)/inputs!$N$12&gt;inputs!$H$17, inputs!$H$17, (((inputs!$P$12/(inputs!E125/MAX('Min rate concentrations'!E$3:E$368)))^(1/inputs!$O$12))-1)/inputs!$N$12))</f>
        <v>16.979568221714942</v>
      </c>
      <c r="F143" s="176">
        <f>IF((((inputs!$P$12/(inputs!E125/MAX('Min rate concentrations'!F$3:F$368)))^(1/inputs!$O$12))-1)/inputs!$N$12&lt;0, 0, IF((((inputs!$P$12/(inputs!E125/MAX('Min rate concentrations'!F$3:F$368)))^(1/inputs!$O$12))-1)/inputs!$N$12&gt;inputs!$H$17, inputs!$H$17, (((inputs!$P$12/(inputs!E125/MAX('Min rate concentrations'!F$3:F$368)))^(1/inputs!$O$12))-1)/inputs!$N$12))</f>
        <v>20.929272915793582</v>
      </c>
      <c r="G143" s="176">
        <f>IF((((inputs!$P$12/(inputs!E125/MAX('Min rate concentrations'!G$3:G$368)))^(1/inputs!$O$12))-1)/inputs!$N$12&lt;0, 0, IF((((inputs!$P$12/(inputs!E125/MAX('Min rate concentrations'!G$3:G$368)))^(1/inputs!$O$12))-1)/inputs!$N$12&gt;inputs!$H$17, inputs!$H$17, (((inputs!$P$12/(inputs!E125/MAX('Min rate concentrations'!G$3:G$368)))^(1/inputs!$O$12))-1)/inputs!$N$12))</f>
        <v>0</v>
      </c>
      <c r="H143" s="176">
        <f>IF((((inputs!$P$12/(inputs!E125/MAX('Min rate concentrations'!H$3:H$368)))^(1/inputs!$O$12))-1)/inputs!$N$12&lt;0, 0, IF((((inputs!$P$12/(inputs!E125/MAX('Min rate concentrations'!H$3:H$368)))^(1/inputs!$O$12))-1)/inputs!$N$12&gt;inputs!$H$17, inputs!$H$17, (((inputs!$P$12/(inputs!E125/MAX('Min rate concentrations'!H$3:H$368)))^(1/inputs!$O$12))-1)/inputs!$N$12))</f>
        <v>14.163539811671111</v>
      </c>
      <c r="I143" s="176">
        <f>IF((((inputs!$P$12/(inputs!E125/MAX('Min rate concentrations'!I$3:I$368)))^(1/inputs!$O$12))-1)/inputs!$N$12&lt;0, 0, IF((((inputs!$P$12/(inputs!E125/MAX('Min rate concentrations'!I$3:I$368)))^(1/inputs!$O$12))-1)/inputs!$N$12&gt;inputs!$H$17, inputs!$H$17, (((inputs!$P$12/(inputs!E125/MAX('Min rate concentrations'!I$3:I$368)))^(1/inputs!$O$12))-1)/inputs!$N$12))</f>
        <v>0</v>
      </c>
      <c r="J143" s="176">
        <f>IF((((inputs!$P$12/(inputs!E125/MAX('Min rate concentrations'!J$3:J$368)))^(1/inputs!$O$12))-1)/inputs!$N$12&lt;0, 0, IF((((inputs!$P$12/(inputs!E125/MAX('Min rate concentrations'!J$3:J$368)))^(1/inputs!$O$12))-1)/inputs!$N$12&gt;inputs!$H$17, inputs!$H$17, (((inputs!$P$12/(inputs!E125/MAX('Min rate concentrations'!J$3:J$368)))^(1/inputs!$O$12))-1)/inputs!$N$12))</f>
        <v>32.759881671404642</v>
      </c>
      <c r="K143" s="176">
        <f>IF((((inputs!$P$12/(inputs!E125/MAX('Min rate concentrations'!K$3:K$368)))^(1/inputs!$O$12))-1)/inputs!$N$12&lt;0, 0, IF((((inputs!$P$12/(inputs!E125/MAX('Min rate concentrations'!K$3:K$368)))^(1/inputs!$O$12))-1)/inputs!$N$12&gt;inputs!$H$17, inputs!$H$17, (((inputs!$P$12/(inputs!E125/MAX('Min rate concentrations'!K$3:K$368)))^(1/inputs!$O$12))-1)/inputs!$N$12))</f>
        <v>0.59433118064849288</v>
      </c>
      <c r="L143" s="176">
        <f>IF((((inputs!$P$12/(inputs!E125/MAX('Min rate concentrations'!L$3:L$368)))^(1/inputs!$O$12))-1)/inputs!$N$12&lt;0, 0, IF((((inputs!$P$12/(inputs!E125/MAX('Min rate concentrations'!L$3:L$368)))^(1/inputs!$O$12))-1)/inputs!$N$12&gt;inputs!$H$17, inputs!$H$17, (((inputs!$P$12/(inputs!E125/MAX('Min rate concentrations'!L$3:L$368)))^(1/inputs!$O$12))-1)/inputs!$N$12))</f>
        <v>18.109429016630951</v>
      </c>
      <c r="M143" s="176">
        <f>IF((((inputs!$P$12/(inputs!E125/MAX('Min rate concentrations'!M$3:M$368)))^(1/inputs!$O$12))-1)/inputs!$N$12&lt;0, 0, IF((((inputs!$P$12/(inputs!E125/MAX('Min rate concentrations'!M$3:M$368)))^(1/inputs!$O$12))-1)/inputs!$N$12&gt;inputs!$H$17, inputs!$H$17, (((inputs!$P$12/(inputs!E125/MAX('Min rate concentrations'!M$3:M$368)))^(1/inputs!$O$12))-1)/inputs!$N$12))</f>
        <v>0</v>
      </c>
      <c r="N143" s="101" t="s">
        <v>13</v>
      </c>
    </row>
    <row r="144" spans="1:14" x14ac:dyDescent="0.3">
      <c r="A144" s="45"/>
      <c r="B144" s="61" t="s">
        <v>62</v>
      </c>
      <c r="C144" s="61" t="s">
        <v>82</v>
      </c>
      <c r="D144" s="176">
        <f>IF((((inputs!$P$12/(inputs!E126/MAX('Min rate concentrations'!D$3:D$368)))^(1/inputs!$O$12))-1)/inputs!$N$12&lt;0, 0, IF((((inputs!$P$12/(inputs!E126/MAX('Min rate concentrations'!D$3:D$368)))^(1/inputs!$O$12))-1)/inputs!$N$12&gt;inputs!$H$17, inputs!$H$17, (((inputs!$P$12/(inputs!E126/MAX('Min rate concentrations'!D$3:D$368)))^(1/inputs!$O$12))-1)/inputs!$N$12))</f>
        <v>18.96831717567246</v>
      </c>
      <c r="E144" s="176">
        <f>IF((((inputs!$P$12/(inputs!E126/MAX('Min rate concentrations'!E$3:E$368)))^(1/inputs!$O$12))-1)/inputs!$N$12&lt;0, 0, IF((((inputs!$P$12/(inputs!E126/MAX('Min rate concentrations'!E$3:E$368)))^(1/inputs!$O$12))-1)/inputs!$N$12&gt;inputs!$H$17, inputs!$H$17, (((inputs!$P$12/(inputs!E126/MAX('Min rate concentrations'!E$3:E$368)))^(1/inputs!$O$12))-1)/inputs!$N$12))</f>
        <v>6.0643468576864503</v>
      </c>
      <c r="F144" s="176">
        <f>IF((((inputs!$P$12/(inputs!E126/MAX('Min rate concentrations'!F$3:F$368)))^(1/inputs!$O$12))-1)/inputs!$N$12&lt;0, 0, IF((((inputs!$P$12/(inputs!E126/MAX('Min rate concentrations'!F$3:F$368)))^(1/inputs!$O$12))-1)/inputs!$N$12&gt;inputs!$H$17, inputs!$H$17, (((inputs!$P$12/(inputs!E126/MAX('Min rate concentrations'!F$3:F$368)))^(1/inputs!$O$12))-1)/inputs!$N$12))</f>
        <v>9.0659036864624731</v>
      </c>
      <c r="G144" s="176">
        <f>IF((((inputs!$P$12/(inputs!E126/MAX('Min rate concentrations'!G$3:G$368)))^(1/inputs!$O$12))-1)/inputs!$N$12&lt;0, 0, IF((((inputs!$P$12/(inputs!E126/MAX('Min rate concentrations'!G$3:G$368)))^(1/inputs!$O$12))-1)/inputs!$N$12&gt;inputs!$H$17, inputs!$H$17, (((inputs!$P$12/(inputs!E126/MAX('Min rate concentrations'!G$3:G$368)))^(1/inputs!$O$12))-1)/inputs!$N$12))</f>
        <v>0</v>
      </c>
      <c r="H144" s="176">
        <f>IF((((inputs!$P$12/(inputs!E126/MAX('Min rate concentrations'!H$3:H$368)))^(1/inputs!$O$12))-1)/inputs!$N$12&lt;0, 0, IF((((inputs!$P$12/(inputs!E126/MAX('Min rate concentrations'!H$3:H$368)))^(1/inputs!$O$12))-1)/inputs!$N$12&gt;inputs!$H$17, inputs!$H$17, (((inputs!$P$12/(inputs!E126/MAX('Min rate concentrations'!H$3:H$368)))^(1/inputs!$O$12))-1)/inputs!$N$12))</f>
        <v>3.9243212206138427</v>
      </c>
      <c r="I144" s="176">
        <f>IF((((inputs!$P$12/(inputs!E126/MAX('Min rate concentrations'!I$3:I$368)))^(1/inputs!$O$12))-1)/inputs!$N$12&lt;0, 0, IF((((inputs!$P$12/(inputs!E126/MAX('Min rate concentrations'!I$3:I$368)))^(1/inputs!$O$12))-1)/inputs!$N$12&gt;inputs!$H$17, inputs!$H$17, (((inputs!$P$12/(inputs!E126/MAX('Min rate concentrations'!I$3:I$368)))^(1/inputs!$O$12))-1)/inputs!$N$12))</f>
        <v>0</v>
      </c>
      <c r="J144" s="176">
        <f>IF((((inputs!$P$12/(inputs!E126/MAX('Min rate concentrations'!J$3:J$368)))^(1/inputs!$O$12))-1)/inputs!$N$12&lt;0, 0, IF((((inputs!$P$12/(inputs!E126/MAX('Min rate concentrations'!J$3:J$368)))^(1/inputs!$O$12))-1)/inputs!$N$12&gt;inputs!$H$17, inputs!$H$17, (((inputs!$P$12/(inputs!E126/MAX('Min rate concentrations'!J$3:J$368)))^(1/inputs!$O$12))-1)/inputs!$N$12))</f>
        <v>18.056511149399711</v>
      </c>
      <c r="K144" s="176">
        <f>IF((((inputs!$P$12/(inputs!E126/MAX('Min rate concentrations'!K$3:K$368)))^(1/inputs!$O$12))-1)/inputs!$N$12&lt;0, 0, IF((((inputs!$P$12/(inputs!E126/MAX('Min rate concentrations'!K$3:K$368)))^(1/inputs!$O$12))-1)/inputs!$N$12&gt;inputs!$H$17, inputs!$H$17, (((inputs!$P$12/(inputs!E126/MAX('Min rate concentrations'!K$3:K$368)))^(1/inputs!$O$12))-1)/inputs!$N$12))</f>
        <v>0</v>
      </c>
      <c r="L144" s="176">
        <f>IF((((inputs!$P$12/(inputs!E126/MAX('Min rate concentrations'!L$3:L$368)))^(1/inputs!$O$12))-1)/inputs!$N$12&lt;0, 0, IF((((inputs!$P$12/(inputs!E126/MAX('Min rate concentrations'!L$3:L$368)))^(1/inputs!$O$12))-1)/inputs!$N$12&gt;inputs!$H$17, inputs!$H$17, (((inputs!$P$12/(inputs!E126/MAX('Min rate concentrations'!L$3:L$368)))^(1/inputs!$O$12))-1)/inputs!$N$12))</f>
        <v>6.9229784889653017</v>
      </c>
      <c r="M144" s="176">
        <f>IF((((inputs!$P$12/(inputs!E126/MAX('Min rate concentrations'!M$3:M$368)))^(1/inputs!$O$12))-1)/inputs!$N$12&lt;0, 0, IF((((inputs!$P$12/(inputs!E126/MAX('Min rate concentrations'!M$3:M$368)))^(1/inputs!$O$12))-1)/inputs!$N$12&gt;inputs!$H$17, inputs!$H$17, (((inputs!$P$12/(inputs!E126/MAX('Min rate concentrations'!M$3:M$368)))^(1/inputs!$O$12))-1)/inputs!$N$12))</f>
        <v>0</v>
      </c>
      <c r="N144" s="101" t="s">
        <v>13</v>
      </c>
    </row>
    <row r="145" spans="1:14" x14ac:dyDescent="0.3">
      <c r="A145" s="45"/>
      <c r="B145" s="61" t="s">
        <v>62</v>
      </c>
      <c r="C145" s="61" t="s">
        <v>83</v>
      </c>
      <c r="D145" s="176">
        <f>IF((((inputs!$P$12/(inputs!E127/MAX('Min rate concentrations'!D$3:D$368)))^(1/inputs!$O$12))-1)/inputs!$N$12&lt;0, 0, IF((((inputs!$P$12/(inputs!E127/MAX('Min rate concentrations'!D$3:D$368)))^(1/inputs!$O$12))-1)/inputs!$N$12&gt;inputs!$H$17, inputs!$H$17, (((inputs!$P$12/(inputs!E127/MAX('Min rate concentrations'!D$3:D$368)))^(1/inputs!$O$12))-1)/inputs!$N$12))</f>
        <v>33.95971387432423</v>
      </c>
      <c r="E145" s="176">
        <f>IF((((inputs!$P$12/(inputs!E127/MAX('Min rate concentrations'!E$3:E$368)))^(1/inputs!$O$12))-1)/inputs!$N$12&lt;0, 0, IF((((inputs!$P$12/(inputs!E127/MAX('Min rate concentrations'!E$3:E$368)))^(1/inputs!$O$12))-1)/inputs!$N$12&gt;inputs!$H$17, inputs!$H$17, (((inputs!$P$12/(inputs!E127/MAX('Min rate concentrations'!E$3:E$368)))^(1/inputs!$O$12))-1)/inputs!$N$12))</f>
        <v>16.979568221714942</v>
      </c>
      <c r="F145" s="176">
        <f>IF((((inputs!$P$12/(inputs!E127/MAX('Min rate concentrations'!F$3:F$368)))^(1/inputs!$O$12))-1)/inputs!$N$12&lt;0, 0, IF((((inputs!$P$12/(inputs!E127/MAX('Min rate concentrations'!F$3:F$368)))^(1/inputs!$O$12))-1)/inputs!$N$12&gt;inputs!$H$17, inputs!$H$17, (((inputs!$P$12/(inputs!E127/MAX('Min rate concentrations'!F$3:F$368)))^(1/inputs!$O$12))-1)/inputs!$N$12))</f>
        <v>20.929272915793582</v>
      </c>
      <c r="G145" s="176">
        <f>IF((((inputs!$P$12/(inputs!E127/MAX('Min rate concentrations'!G$3:G$368)))^(1/inputs!$O$12))-1)/inputs!$N$12&lt;0, 0, IF((((inputs!$P$12/(inputs!E127/MAX('Min rate concentrations'!G$3:G$368)))^(1/inputs!$O$12))-1)/inputs!$N$12&gt;inputs!$H$17, inputs!$H$17, (((inputs!$P$12/(inputs!E127/MAX('Min rate concentrations'!G$3:G$368)))^(1/inputs!$O$12))-1)/inputs!$N$12))</f>
        <v>0</v>
      </c>
      <c r="H145" s="176">
        <f>IF((((inputs!$P$12/(inputs!E127/MAX('Min rate concentrations'!H$3:H$368)))^(1/inputs!$O$12))-1)/inputs!$N$12&lt;0, 0, IF((((inputs!$P$12/(inputs!E127/MAX('Min rate concentrations'!H$3:H$368)))^(1/inputs!$O$12))-1)/inputs!$N$12&gt;inputs!$H$17, inputs!$H$17, (((inputs!$P$12/(inputs!E127/MAX('Min rate concentrations'!H$3:H$368)))^(1/inputs!$O$12))-1)/inputs!$N$12))</f>
        <v>14.163539811671111</v>
      </c>
      <c r="I145" s="176">
        <f>IF((((inputs!$P$12/(inputs!E127/MAX('Min rate concentrations'!I$3:I$368)))^(1/inputs!$O$12))-1)/inputs!$N$12&lt;0, 0, IF((((inputs!$P$12/(inputs!E127/MAX('Min rate concentrations'!I$3:I$368)))^(1/inputs!$O$12))-1)/inputs!$N$12&gt;inputs!$H$17, inputs!$H$17, (((inputs!$P$12/(inputs!E127/MAX('Min rate concentrations'!I$3:I$368)))^(1/inputs!$O$12))-1)/inputs!$N$12))</f>
        <v>0</v>
      </c>
      <c r="J145" s="176">
        <f>IF((((inputs!$P$12/(inputs!E127/MAX('Min rate concentrations'!J$3:J$368)))^(1/inputs!$O$12))-1)/inputs!$N$12&lt;0, 0, IF((((inputs!$P$12/(inputs!E127/MAX('Min rate concentrations'!J$3:J$368)))^(1/inputs!$O$12))-1)/inputs!$N$12&gt;inputs!$H$17, inputs!$H$17, (((inputs!$P$12/(inputs!E127/MAX('Min rate concentrations'!J$3:J$368)))^(1/inputs!$O$12))-1)/inputs!$N$12))</f>
        <v>32.759881671404642</v>
      </c>
      <c r="K145" s="176">
        <f>IF((((inputs!$P$12/(inputs!E127/MAX('Min rate concentrations'!K$3:K$368)))^(1/inputs!$O$12))-1)/inputs!$N$12&lt;0, 0, IF((((inputs!$P$12/(inputs!E127/MAX('Min rate concentrations'!K$3:K$368)))^(1/inputs!$O$12))-1)/inputs!$N$12&gt;inputs!$H$17, inputs!$H$17, (((inputs!$P$12/(inputs!E127/MAX('Min rate concentrations'!K$3:K$368)))^(1/inputs!$O$12))-1)/inputs!$N$12))</f>
        <v>0.59433118064849288</v>
      </c>
      <c r="L145" s="176">
        <f>IF((((inputs!$P$12/(inputs!E127/MAX('Min rate concentrations'!L$3:L$368)))^(1/inputs!$O$12))-1)/inputs!$N$12&lt;0, 0, IF((((inputs!$P$12/(inputs!E127/MAX('Min rate concentrations'!L$3:L$368)))^(1/inputs!$O$12))-1)/inputs!$N$12&gt;inputs!$H$17, inputs!$H$17, (((inputs!$P$12/(inputs!E127/MAX('Min rate concentrations'!L$3:L$368)))^(1/inputs!$O$12))-1)/inputs!$N$12))</f>
        <v>18.109429016630951</v>
      </c>
      <c r="M145" s="176">
        <f>IF((((inputs!$P$12/(inputs!E127/MAX('Min rate concentrations'!M$3:M$368)))^(1/inputs!$O$12))-1)/inputs!$N$12&lt;0, 0, IF((((inputs!$P$12/(inputs!E127/MAX('Min rate concentrations'!M$3:M$368)))^(1/inputs!$O$12))-1)/inputs!$N$12&gt;inputs!$H$17, inputs!$H$17, (((inputs!$P$12/(inputs!E127/MAX('Min rate concentrations'!M$3:M$368)))^(1/inputs!$O$12))-1)/inputs!$N$12))</f>
        <v>0</v>
      </c>
      <c r="N145" s="101" t="s">
        <v>13</v>
      </c>
    </row>
    <row r="146" spans="1:14" x14ac:dyDescent="0.3">
      <c r="A146" s="45"/>
      <c r="B146" s="61" t="s">
        <v>62</v>
      </c>
      <c r="C146" s="61" t="s">
        <v>84</v>
      </c>
      <c r="D146" s="176">
        <f>IF((((inputs!$P$12/(inputs!E128/MAX('Min rate concentrations'!D$3:D$368)))^(1/inputs!$O$12))-1)/inputs!$N$12&lt;0, 0, IF((((inputs!$P$12/(inputs!E128/MAX('Min rate concentrations'!D$3:D$368)))^(1/inputs!$O$12))-1)/inputs!$N$12&gt;inputs!$H$17, inputs!$H$17, (((inputs!$P$12/(inputs!E128/MAX('Min rate concentrations'!D$3:D$368)))^(1/inputs!$O$12))-1)/inputs!$N$12))</f>
        <v>18.96831717567246</v>
      </c>
      <c r="E146" s="176">
        <f>IF((((inputs!$P$12/(inputs!E128/MAX('Min rate concentrations'!E$3:E$368)))^(1/inputs!$O$12))-1)/inputs!$N$12&lt;0, 0, IF((((inputs!$P$12/(inputs!E128/MAX('Min rate concentrations'!E$3:E$368)))^(1/inputs!$O$12))-1)/inputs!$N$12&gt;inputs!$H$17, inputs!$H$17, (((inputs!$P$12/(inputs!E128/MAX('Min rate concentrations'!E$3:E$368)))^(1/inputs!$O$12))-1)/inputs!$N$12))</f>
        <v>6.0643468576864503</v>
      </c>
      <c r="F146" s="176">
        <f>IF((((inputs!$P$12/(inputs!E128/MAX('Min rate concentrations'!F$3:F$368)))^(1/inputs!$O$12))-1)/inputs!$N$12&lt;0, 0, IF((((inputs!$P$12/(inputs!E128/MAX('Min rate concentrations'!F$3:F$368)))^(1/inputs!$O$12))-1)/inputs!$N$12&gt;inputs!$H$17, inputs!$H$17, (((inputs!$P$12/(inputs!E128/MAX('Min rate concentrations'!F$3:F$368)))^(1/inputs!$O$12))-1)/inputs!$N$12))</f>
        <v>9.0659036864624731</v>
      </c>
      <c r="G146" s="176">
        <f>IF((((inputs!$P$12/(inputs!E128/MAX('Min rate concentrations'!G$3:G$368)))^(1/inputs!$O$12))-1)/inputs!$N$12&lt;0, 0, IF((((inputs!$P$12/(inputs!E128/MAX('Min rate concentrations'!G$3:G$368)))^(1/inputs!$O$12))-1)/inputs!$N$12&gt;inputs!$H$17, inputs!$H$17, (((inputs!$P$12/(inputs!E128/MAX('Min rate concentrations'!G$3:G$368)))^(1/inputs!$O$12))-1)/inputs!$N$12))</f>
        <v>0</v>
      </c>
      <c r="H146" s="176">
        <f>IF((((inputs!$P$12/(inputs!E128/MAX('Min rate concentrations'!H$3:H$368)))^(1/inputs!$O$12))-1)/inputs!$N$12&lt;0, 0, IF((((inputs!$P$12/(inputs!E128/MAX('Min rate concentrations'!H$3:H$368)))^(1/inputs!$O$12))-1)/inputs!$N$12&gt;inputs!$H$17, inputs!$H$17, (((inputs!$P$12/(inputs!E128/MAX('Min rate concentrations'!H$3:H$368)))^(1/inputs!$O$12))-1)/inputs!$N$12))</f>
        <v>3.9243212206138427</v>
      </c>
      <c r="I146" s="176">
        <f>IF((((inputs!$P$12/(inputs!E128/MAX('Min rate concentrations'!I$3:I$368)))^(1/inputs!$O$12))-1)/inputs!$N$12&lt;0, 0, IF((((inputs!$P$12/(inputs!E128/MAX('Min rate concentrations'!I$3:I$368)))^(1/inputs!$O$12))-1)/inputs!$N$12&gt;inputs!$H$17, inputs!$H$17, (((inputs!$P$12/(inputs!E128/MAX('Min rate concentrations'!I$3:I$368)))^(1/inputs!$O$12))-1)/inputs!$N$12))</f>
        <v>0</v>
      </c>
      <c r="J146" s="176">
        <f>IF((((inputs!$P$12/(inputs!E128/MAX('Min rate concentrations'!J$3:J$368)))^(1/inputs!$O$12))-1)/inputs!$N$12&lt;0, 0, IF((((inputs!$P$12/(inputs!E128/MAX('Min rate concentrations'!J$3:J$368)))^(1/inputs!$O$12))-1)/inputs!$N$12&gt;inputs!$H$17, inputs!$H$17, (((inputs!$P$12/(inputs!E128/MAX('Min rate concentrations'!J$3:J$368)))^(1/inputs!$O$12))-1)/inputs!$N$12))</f>
        <v>18.056511149399711</v>
      </c>
      <c r="K146" s="176">
        <f>IF((((inputs!$P$12/(inputs!E128/MAX('Min rate concentrations'!K$3:K$368)))^(1/inputs!$O$12))-1)/inputs!$N$12&lt;0, 0, IF((((inputs!$P$12/(inputs!E128/MAX('Min rate concentrations'!K$3:K$368)))^(1/inputs!$O$12))-1)/inputs!$N$12&gt;inputs!$H$17, inputs!$H$17, (((inputs!$P$12/(inputs!E128/MAX('Min rate concentrations'!K$3:K$368)))^(1/inputs!$O$12))-1)/inputs!$N$12))</f>
        <v>0</v>
      </c>
      <c r="L146" s="176">
        <f>IF((((inputs!$P$12/(inputs!E128/MAX('Min rate concentrations'!L$3:L$368)))^(1/inputs!$O$12))-1)/inputs!$N$12&lt;0, 0, IF((((inputs!$P$12/(inputs!E128/MAX('Min rate concentrations'!L$3:L$368)))^(1/inputs!$O$12))-1)/inputs!$N$12&gt;inputs!$H$17, inputs!$H$17, (((inputs!$P$12/(inputs!E128/MAX('Min rate concentrations'!L$3:L$368)))^(1/inputs!$O$12))-1)/inputs!$N$12))</f>
        <v>6.9229784889653017</v>
      </c>
      <c r="M146" s="176">
        <f>IF((((inputs!$P$12/(inputs!E128/MAX('Min rate concentrations'!M$3:M$368)))^(1/inputs!$O$12))-1)/inputs!$N$12&lt;0, 0, IF((((inputs!$P$12/(inputs!E128/MAX('Min rate concentrations'!M$3:M$368)))^(1/inputs!$O$12))-1)/inputs!$N$12&gt;inputs!$H$17, inputs!$H$17, (((inputs!$P$12/(inputs!E128/MAX('Min rate concentrations'!M$3:M$368)))^(1/inputs!$O$12))-1)/inputs!$N$12))</f>
        <v>0</v>
      </c>
      <c r="N146" s="101" t="s">
        <v>13</v>
      </c>
    </row>
    <row r="147" spans="1:14" x14ac:dyDescent="0.3">
      <c r="A147" s="45"/>
      <c r="B147" s="61" t="s">
        <v>62</v>
      </c>
      <c r="C147" s="61" t="s">
        <v>85</v>
      </c>
      <c r="D147" s="176">
        <f>IF((((inputs!$P$12/(inputs!E129/MAX('Min rate concentrations'!D$3:D$368)))^(1/inputs!$O$12))-1)/inputs!$N$12&lt;0, 0, IF((((inputs!$P$12/(inputs!E129/MAX('Min rate concentrations'!D$3:D$368)))^(1/inputs!$O$12))-1)/inputs!$N$12&gt;inputs!$H$17, inputs!$H$17, (((inputs!$P$12/(inputs!E129/MAX('Min rate concentrations'!D$3:D$368)))^(1/inputs!$O$12))-1)/inputs!$N$12))</f>
        <v>55.547482243403643</v>
      </c>
      <c r="E147" s="176">
        <f>IF((((inputs!$P$12/(inputs!E129/MAX('Min rate concentrations'!E$3:E$368)))^(1/inputs!$O$12))-1)/inputs!$N$12&lt;0, 0, IF((((inputs!$P$12/(inputs!E129/MAX('Min rate concentrations'!E$3:E$368)))^(1/inputs!$O$12))-1)/inputs!$N$12&gt;inputs!$H$17, inputs!$H$17, (((inputs!$P$12/(inputs!E129/MAX('Min rate concentrations'!E$3:E$368)))^(1/inputs!$O$12))-1)/inputs!$N$12))</f>
        <v>32.69760138703473</v>
      </c>
      <c r="F147" s="176">
        <f>IF((((inputs!$P$12/(inputs!E129/MAX('Min rate concentrations'!F$3:F$368)))^(1/inputs!$O$12))-1)/inputs!$N$12&lt;0, 0, IF((((inputs!$P$12/(inputs!E129/MAX('Min rate concentrations'!F$3:F$368)))^(1/inputs!$O$12))-1)/inputs!$N$12&gt;inputs!$H$17, inputs!$H$17, (((inputs!$P$12/(inputs!E129/MAX('Min rate concentrations'!F$3:F$368)))^(1/inputs!$O$12))-1)/inputs!$N$12))</f>
        <v>38.012648944572582</v>
      </c>
      <c r="G147" s="176">
        <f>IF((((inputs!$P$12/(inputs!E129/MAX('Min rate concentrations'!G$3:G$368)))^(1/inputs!$O$12))-1)/inputs!$N$12&lt;0, 0, IF((((inputs!$P$12/(inputs!E129/MAX('Min rate concentrations'!G$3:G$368)))^(1/inputs!$O$12))-1)/inputs!$N$12&gt;inputs!$H$17, inputs!$H$17, (((inputs!$P$12/(inputs!E129/MAX('Min rate concentrations'!G$3:G$368)))^(1/inputs!$O$12))-1)/inputs!$N$12))</f>
        <v>0</v>
      </c>
      <c r="H147" s="176">
        <f>IF((((inputs!$P$12/(inputs!E129/MAX('Min rate concentrations'!H$3:H$368)))^(1/inputs!$O$12))-1)/inputs!$N$12&lt;0, 0, IF((((inputs!$P$12/(inputs!E129/MAX('Min rate concentrations'!H$3:H$368)))^(1/inputs!$O$12))-1)/inputs!$N$12&gt;inputs!$H$17, inputs!$H$17, (((inputs!$P$12/(inputs!E129/MAX('Min rate concentrations'!H$3:H$368)))^(1/inputs!$O$12))-1)/inputs!$N$12))</f>
        <v>28.908121898808801</v>
      </c>
      <c r="I147" s="176">
        <f>IF((((inputs!$P$12/(inputs!E129/MAX('Min rate concentrations'!I$3:I$368)))^(1/inputs!$O$12))-1)/inputs!$N$12&lt;0, 0, IF((((inputs!$P$12/(inputs!E129/MAX('Min rate concentrations'!I$3:I$368)))^(1/inputs!$O$12))-1)/inputs!$N$12&gt;inputs!$H$17, inputs!$H$17, (((inputs!$P$12/(inputs!E129/MAX('Min rate concentrations'!I$3:I$368)))^(1/inputs!$O$12))-1)/inputs!$N$12))</f>
        <v>1.4363136335791107</v>
      </c>
      <c r="J147" s="176">
        <f>IF((((inputs!$P$12/(inputs!E129/MAX('Min rate concentrations'!J$3:J$368)))^(1/inputs!$O$12))-1)/inputs!$N$12&lt;0, 0, IF((((inputs!$P$12/(inputs!E129/MAX('Min rate concentrations'!J$3:J$368)))^(1/inputs!$O$12))-1)/inputs!$N$12&gt;inputs!$H$17, inputs!$H$17, (((inputs!$P$12/(inputs!E129/MAX('Min rate concentrations'!J$3:J$368)))^(1/inputs!$O$12))-1)/inputs!$N$12))</f>
        <v>53.932889327344988</v>
      </c>
      <c r="K147" s="176">
        <f>IF((((inputs!$P$12/(inputs!E129/MAX('Min rate concentrations'!K$3:K$368)))^(1/inputs!$O$12))-1)/inputs!$N$12&lt;0, 0, IF((((inputs!$P$12/(inputs!E129/MAX('Min rate concentrations'!K$3:K$368)))^(1/inputs!$O$12))-1)/inputs!$N$12&gt;inputs!$H$17, inputs!$H$17, (((inputs!$P$12/(inputs!E129/MAX('Min rate concentrations'!K$3:K$368)))^(1/inputs!$O$12))-1)/inputs!$N$12))</f>
        <v>10.648278498323343</v>
      </c>
      <c r="L147" s="176">
        <f>IF((((inputs!$P$12/(inputs!E129/MAX('Min rate concentrations'!L$3:L$368)))^(1/inputs!$O$12))-1)/inputs!$N$12&lt;0, 0, IF((((inputs!$P$12/(inputs!E129/MAX('Min rate concentrations'!L$3:L$368)))^(1/inputs!$O$12))-1)/inputs!$N$12&gt;inputs!$H$17, inputs!$H$17, (((inputs!$P$12/(inputs!E129/MAX('Min rate concentrations'!L$3:L$368)))^(1/inputs!$O$12))-1)/inputs!$N$12))</f>
        <v>34.21803502030842</v>
      </c>
      <c r="M147" s="176">
        <f>IF((((inputs!$P$12/(inputs!E129/MAX('Min rate concentrations'!M$3:M$368)))^(1/inputs!$O$12))-1)/inputs!$N$12&lt;0, 0, IF((((inputs!$P$12/(inputs!E129/MAX('Min rate concentrations'!M$3:M$368)))^(1/inputs!$O$12))-1)/inputs!$N$12&gt;inputs!$H$17, inputs!$H$17, (((inputs!$P$12/(inputs!E129/MAX('Min rate concentrations'!M$3:M$368)))^(1/inputs!$O$12))-1)/inputs!$N$12))</f>
        <v>0</v>
      </c>
      <c r="N147" s="101" t="s">
        <v>13</v>
      </c>
    </row>
    <row r="148" spans="1:14" x14ac:dyDescent="0.3">
      <c r="A148" s="45"/>
      <c r="B148" s="61" t="s">
        <v>62</v>
      </c>
      <c r="C148" s="61" t="s">
        <v>86</v>
      </c>
      <c r="D148" s="176">
        <f>IF((((inputs!$P$12/(inputs!E130/MAX('Min rate concentrations'!D$3:D$368)))^(1/inputs!$O$12))-1)/inputs!$N$12&lt;0, 0, IF((((inputs!$P$12/(inputs!E130/MAX('Min rate concentrations'!D$3:D$368)))^(1/inputs!$O$12))-1)/inputs!$N$12&gt;inputs!$H$17, inputs!$H$17, (((inputs!$P$12/(inputs!E130/MAX('Min rate concentrations'!D$3:D$368)))^(1/inputs!$O$12))-1)/inputs!$N$12))</f>
        <v>55.547482243403643</v>
      </c>
      <c r="E148" s="176">
        <f>IF((((inputs!$P$12/(inputs!E130/MAX('Min rate concentrations'!E$3:E$368)))^(1/inputs!$O$12))-1)/inputs!$N$12&lt;0, 0, IF((((inputs!$P$12/(inputs!E130/MAX('Min rate concentrations'!E$3:E$368)))^(1/inputs!$O$12))-1)/inputs!$N$12&gt;inputs!$H$17, inputs!$H$17, (((inputs!$P$12/(inputs!E130/MAX('Min rate concentrations'!E$3:E$368)))^(1/inputs!$O$12))-1)/inputs!$N$12))</f>
        <v>32.69760138703473</v>
      </c>
      <c r="F148" s="176">
        <f>IF((((inputs!$P$12/(inputs!E130/MAX('Min rate concentrations'!F$3:F$368)))^(1/inputs!$O$12))-1)/inputs!$N$12&lt;0, 0, IF((((inputs!$P$12/(inputs!E130/MAX('Min rate concentrations'!F$3:F$368)))^(1/inputs!$O$12))-1)/inputs!$N$12&gt;inputs!$H$17, inputs!$H$17, (((inputs!$P$12/(inputs!E130/MAX('Min rate concentrations'!F$3:F$368)))^(1/inputs!$O$12))-1)/inputs!$N$12))</f>
        <v>38.012648944572582</v>
      </c>
      <c r="G148" s="176">
        <f>IF((((inputs!$P$12/(inputs!E130/MAX('Min rate concentrations'!G$3:G$368)))^(1/inputs!$O$12))-1)/inputs!$N$12&lt;0, 0, IF((((inputs!$P$12/(inputs!E130/MAX('Min rate concentrations'!G$3:G$368)))^(1/inputs!$O$12))-1)/inputs!$N$12&gt;inputs!$H$17, inputs!$H$17, (((inputs!$P$12/(inputs!E130/MAX('Min rate concentrations'!G$3:G$368)))^(1/inputs!$O$12))-1)/inputs!$N$12))</f>
        <v>0</v>
      </c>
      <c r="H148" s="176">
        <f>IF((((inputs!$P$12/(inputs!E130/MAX('Min rate concentrations'!H$3:H$368)))^(1/inputs!$O$12))-1)/inputs!$N$12&lt;0, 0, IF((((inputs!$P$12/(inputs!E130/MAX('Min rate concentrations'!H$3:H$368)))^(1/inputs!$O$12))-1)/inputs!$N$12&gt;inputs!$H$17, inputs!$H$17, (((inputs!$P$12/(inputs!E130/MAX('Min rate concentrations'!H$3:H$368)))^(1/inputs!$O$12))-1)/inputs!$N$12))</f>
        <v>28.908121898808801</v>
      </c>
      <c r="I148" s="176">
        <f>IF((((inputs!$P$12/(inputs!E130/MAX('Min rate concentrations'!I$3:I$368)))^(1/inputs!$O$12))-1)/inputs!$N$12&lt;0, 0, IF((((inputs!$P$12/(inputs!E130/MAX('Min rate concentrations'!I$3:I$368)))^(1/inputs!$O$12))-1)/inputs!$N$12&gt;inputs!$H$17, inputs!$H$17, (((inputs!$P$12/(inputs!E130/MAX('Min rate concentrations'!I$3:I$368)))^(1/inputs!$O$12))-1)/inputs!$N$12))</f>
        <v>1.4363136335791107</v>
      </c>
      <c r="J148" s="176">
        <f>IF((((inputs!$P$12/(inputs!E130/MAX('Min rate concentrations'!J$3:J$368)))^(1/inputs!$O$12))-1)/inputs!$N$12&lt;0, 0, IF((((inputs!$P$12/(inputs!E130/MAX('Min rate concentrations'!J$3:J$368)))^(1/inputs!$O$12))-1)/inputs!$N$12&gt;inputs!$H$17, inputs!$H$17, (((inputs!$P$12/(inputs!E130/MAX('Min rate concentrations'!J$3:J$368)))^(1/inputs!$O$12))-1)/inputs!$N$12))</f>
        <v>53.932889327344988</v>
      </c>
      <c r="K148" s="176">
        <f>IF((((inputs!$P$12/(inputs!E130/MAX('Min rate concentrations'!K$3:K$368)))^(1/inputs!$O$12))-1)/inputs!$N$12&lt;0, 0, IF((((inputs!$P$12/(inputs!E130/MAX('Min rate concentrations'!K$3:K$368)))^(1/inputs!$O$12))-1)/inputs!$N$12&gt;inputs!$H$17, inputs!$H$17, (((inputs!$P$12/(inputs!E130/MAX('Min rate concentrations'!K$3:K$368)))^(1/inputs!$O$12))-1)/inputs!$N$12))</f>
        <v>10.648278498323343</v>
      </c>
      <c r="L148" s="176">
        <f>IF((((inputs!$P$12/(inputs!E130/MAX('Min rate concentrations'!L$3:L$368)))^(1/inputs!$O$12))-1)/inputs!$N$12&lt;0, 0, IF((((inputs!$P$12/(inputs!E130/MAX('Min rate concentrations'!L$3:L$368)))^(1/inputs!$O$12))-1)/inputs!$N$12&gt;inputs!$H$17, inputs!$H$17, (((inputs!$P$12/(inputs!E130/MAX('Min rate concentrations'!L$3:L$368)))^(1/inputs!$O$12))-1)/inputs!$N$12))</f>
        <v>34.21803502030842</v>
      </c>
      <c r="M148" s="176">
        <f>IF((((inputs!$P$12/(inputs!E130/MAX('Min rate concentrations'!M$3:M$368)))^(1/inputs!$O$12))-1)/inputs!$N$12&lt;0, 0, IF((((inputs!$P$12/(inputs!E130/MAX('Min rate concentrations'!M$3:M$368)))^(1/inputs!$O$12))-1)/inputs!$N$12&gt;inputs!$H$17, inputs!$H$17, (((inputs!$P$12/(inputs!E130/MAX('Min rate concentrations'!M$3:M$368)))^(1/inputs!$O$12))-1)/inputs!$N$12))</f>
        <v>0</v>
      </c>
      <c r="N148" s="101" t="s">
        <v>13</v>
      </c>
    </row>
    <row r="149" spans="1:14" x14ac:dyDescent="0.3">
      <c r="A149" s="45"/>
      <c r="B149" s="61" t="s">
        <v>62</v>
      </c>
      <c r="C149" s="61" t="s">
        <v>87</v>
      </c>
      <c r="D149" s="176" t="e">
        <f>IF((((inputs!$P$12/(inputs!E131/MAX('Min rate concentrations'!D$3:D$368)))^(1/inputs!$O$12))-1)/inputs!$N$12&lt;0, 0, IF((((inputs!$P$12/(inputs!E131/MAX('Min rate concentrations'!D$3:D$368)))^(1/inputs!$O$12))-1)/inputs!$N$12&gt;inputs!$H$17, inputs!$H$17, (((inputs!$P$12/(inputs!E131/MAX('Min rate concentrations'!D$3:D$368)))^(1/inputs!$O$12))-1)/inputs!$N$12))</f>
        <v>#VALUE!</v>
      </c>
      <c r="E149" s="176" t="e">
        <f>IF((((inputs!$P$12/(inputs!E131/MAX('Min rate concentrations'!E$3:E$368)))^(1/inputs!$O$12))-1)/inputs!$N$12&lt;0, 0, IF((((inputs!$P$12/(inputs!E131/MAX('Min rate concentrations'!E$3:E$368)))^(1/inputs!$O$12))-1)/inputs!$N$12&gt;inputs!$H$17, inputs!$H$17, (((inputs!$P$12/(inputs!E131/MAX('Min rate concentrations'!E$3:E$368)))^(1/inputs!$O$12))-1)/inputs!$N$12))</f>
        <v>#VALUE!</v>
      </c>
      <c r="F149" s="176" t="e">
        <f>IF((((inputs!$P$12/(inputs!E131/MAX('Min rate concentrations'!F$3:F$368)))^(1/inputs!$O$12))-1)/inputs!$N$12&lt;0, 0, IF((((inputs!$P$12/(inputs!E131/MAX('Min rate concentrations'!F$3:F$368)))^(1/inputs!$O$12))-1)/inputs!$N$12&gt;inputs!$H$17, inputs!$H$17, (((inputs!$P$12/(inputs!E131/MAX('Min rate concentrations'!F$3:F$368)))^(1/inputs!$O$12))-1)/inputs!$N$12))</f>
        <v>#VALUE!</v>
      </c>
      <c r="G149" s="176" t="e">
        <f>IF((((inputs!$P$12/(inputs!E131/MAX('Min rate concentrations'!G$3:G$368)))^(1/inputs!$O$12))-1)/inputs!$N$12&lt;0, 0, IF((((inputs!$P$12/(inputs!E131/MAX('Min rate concentrations'!G$3:G$368)))^(1/inputs!$O$12))-1)/inputs!$N$12&gt;inputs!$H$17, inputs!$H$17, (((inputs!$P$12/(inputs!E131/MAX('Min rate concentrations'!G$3:G$368)))^(1/inputs!$O$12))-1)/inputs!$N$12))</f>
        <v>#VALUE!</v>
      </c>
      <c r="H149" s="176" t="e">
        <f>IF((((inputs!$P$12/(inputs!E131/MAX('Min rate concentrations'!H$3:H$368)))^(1/inputs!$O$12))-1)/inputs!$N$12&lt;0, 0, IF((((inputs!$P$12/(inputs!E131/MAX('Min rate concentrations'!H$3:H$368)))^(1/inputs!$O$12))-1)/inputs!$N$12&gt;inputs!$H$17, inputs!$H$17, (((inputs!$P$12/(inputs!E131/MAX('Min rate concentrations'!H$3:H$368)))^(1/inputs!$O$12))-1)/inputs!$N$12))</f>
        <v>#VALUE!</v>
      </c>
      <c r="I149" s="176" t="e">
        <f>IF((((inputs!$P$12/(inputs!E131/MAX('Min rate concentrations'!I$3:I$368)))^(1/inputs!$O$12))-1)/inputs!$N$12&lt;0, 0, IF((((inputs!$P$12/(inputs!E131/MAX('Min rate concentrations'!I$3:I$368)))^(1/inputs!$O$12))-1)/inputs!$N$12&gt;inputs!$H$17, inputs!$H$17, (((inputs!$P$12/(inputs!E131/MAX('Min rate concentrations'!I$3:I$368)))^(1/inputs!$O$12))-1)/inputs!$N$12))</f>
        <v>#VALUE!</v>
      </c>
      <c r="J149" s="176" t="e">
        <f>IF((((inputs!$P$12/(inputs!E131/MAX('Min rate concentrations'!J$3:J$368)))^(1/inputs!$O$12))-1)/inputs!$N$12&lt;0, 0, IF((((inputs!$P$12/(inputs!E131/MAX('Min rate concentrations'!J$3:J$368)))^(1/inputs!$O$12))-1)/inputs!$N$12&gt;inputs!$H$17, inputs!$H$17, (((inputs!$P$12/(inputs!E131/MAX('Min rate concentrations'!J$3:J$368)))^(1/inputs!$O$12))-1)/inputs!$N$12))</f>
        <v>#VALUE!</v>
      </c>
      <c r="K149" s="176" t="e">
        <f>IF((((inputs!$P$12/(inputs!E131/MAX('Min rate concentrations'!K$3:K$368)))^(1/inputs!$O$12))-1)/inputs!$N$12&lt;0, 0, IF((((inputs!$P$12/(inputs!E131/MAX('Min rate concentrations'!K$3:K$368)))^(1/inputs!$O$12))-1)/inputs!$N$12&gt;inputs!$H$17, inputs!$H$17, (((inputs!$P$12/(inputs!E131/MAX('Min rate concentrations'!K$3:K$368)))^(1/inputs!$O$12))-1)/inputs!$N$12))</f>
        <v>#VALUE!</v>
      </c>
      <c r="L149" s="176" t="e">
        <f>IF((((inputs!$P$12/(inputs!E131/MAX('Min rate concentrations'!L$3:L$368)))^(1/inputs!$O$12))-1)/inputs!$N$12&lt;0, 0, IF((((inputs!$P$12/(inputs!E131/MAX('Min rate concentrations'!L$3:L$368)))^(1/inputs!$O$12))-1)/inputs!$N$12&gt;inputs!$H$17, inputs!$H$17, (((inputs!$P$12/(inputs!E131/MAX('Min rate concentrations'!L$3:L$368)))^(1/inputs!$O$12))-1)/inputs!$N$12))</f>
        <v>#VALUE!</v>
      </c>
      <c r="M149" s="176" t="e">
        <f>IF((((inputs!$P$12/(inputs!E131/MAX('Min rate concentrations'!M$3:M$368)))^(1/inputs!$O$12))-1)/inputs!$N$12&lt;0, 0, IF((((inputs!$P$12/(inputs!E131/MAX('Min rate concentrations'!M$3:M$368)))^(1/inputs!$O$12))-1)/inputs!$N$12&gt;inputs!$H$17, inputs!$H$17, (((inputs!$P$12/(inputs!E131/MAX('Min rate concentrations'!M$3:M$368)))^(1/inputs!$O$12))-1)/inputs!$N$12))</f>
        <v>#VALUE!</v>
      </c>
      <c r="N149" s="101" t="s">
        <v>13</v>
      </c>
    </row>
    <row r="150" spans="1:14" x14ac:dyDescent="0.3">
      <c r="A150" s="45"/>
      <c r="B150" s="61" t="s">
        <v>62</v>
      </c>
      <c r="C150" s="61" t="s">
        <v>88</v>
      </c>
      <c r="D150" s="176" t="e">
        <f>IF((((inputs!$P$12/(inputs!E132/MAX('Min rate concentrations'!D$3:D$368)))^(1/inputs!$O$12))-1)/inputs!$N$12&lt;0, 0, IF((((inputs!$P$12/(inputs!E132/MAX('Min rate concentrations'!D$3:D$368)))^(1/inputs!$O$12))-1)/inputs!$N$12&gt;inputs!$H$17, inputs!$H$17, (((inputs!$P$12/(inputs!E132/MAX('Min rate concentrations'!D$3:D$368)))^(1/inputs!$O$12))-1)/inputs!$N$12))</f>
        <v>#VALUE!</v>
      </c>
      <c r="E150" s="176" t="e">
        <f>IF((((inputs!$P$12/(inputs!E132/MAX('Min rate concentrations'!E$3:E$368)))^(1/inputs!$O$12))-1)/inputs!$N$12&lt;0, 0, IF((((inputs!$P$12/(inputs!E132/MAX('Min rate concentrations'!E$3:E$368)))^(1/inputs!$O$12))-1)/inputs!$N$12&gt;inputs!$H$17, inputs!$H$17, (((inputs!$P$12/(inputs!E132/MAX('Min rate concentrations'!E$3:E$368)))^(1/inputs!$O$12))-1)/inputs!$N$12))</f>
        <v>#VALUE!</v>
      </c>
      <c r="F150" s="176" t="e">
        <f>IF((((inputs!$P$12/(inputs!E132/MAX('Min rate concentrations'!F$3:F$368)))^(1/inputs!$O$12))-1)/inputs!$N$12&lt;0, 0, IF((((inputs!$P$12/(inputs!E132/MAX('Min rate concentrations'!F$3:F$368)))^(1/inputs!$O$12))-1)/inputs!$N$12&gt;inputs!$H$17, inputs!$H$17, (((inputs!$P$12/(inputs!E132/MAX('Min rate concentrations'!F$3:F$368)))^(1/inputs!$O$12))-1)/inputs!$N$12))</f>
        <v>#VALUE!</v>
      </c>
      <c r="G150" s="176" t="e">
        <f>IF((((inputs!$P$12/(inputs!E132/MAX('Min rate concentrations'!G$3:G$368)))^(1/inputs!$O$12))-1)/inputs!$N$12&lt;0, 0, IF((((inputs!$P$12/(inputs!E132/MAX('Min rate concentrations'!G$3:G$368)))^(1/inputs!$O$12))-1)/inputs!$N$12&gt;inputs!$H$17, inputs!$H$17, (((inputs!$P$12/(inputs!E132/MAX('Min rate concentrations'!G$3:G$368)))^(1/inputs!$O$12))-1)/inputs!$N$12))</f>
        <v>#VALUE!</v>
      </c>
      <c r="H150" s="176" t="e">
        <f>IF((((inputs!$P$12/(inputs!E132/MAX('Min rate concentrations'!H$3:H$368)))^(1/inputs!$O$12))-1)/inputs!$N$12&lt;0, 0, IF((((inputs!$P$12/(inputs!E132/MAX('Min rate concentrations'!H$3:H$368)))^(1/inputs!$O$12))-1)/inputs!$N$12&gt;inputs!$H$17, inputs!$H$17, (((inputs!$P$12/(inputs!E132/MAX('Min rate concentrations'!H$3:H$368)))^(1/inputs!$O$12))-1)/inputs!$N$12))</f>
        <v>#VALUE!</v>
      </c>
      <c r="I150" s="176" t="e">
        <f>IF((((inputs!$P$12/(inputs!E132/MAX('Min rate concentrations'!I$3:I$368)))^(1/inputs!$O$12))-1)/inputs!$N$12&lt;0, 0, IF((((inputs!$P$12/(inputs!E132/MAX('Min rate concentrations'!I$3:I$368)))^(1/inputs!$O$12))-1)/inputs!$N$12&gt;inputs!$H$17, inputs!$H$17, (((inputs!$P$12/(inputs!E132/MAX('Min rate concentrations'!I$3:I$368)))^(1/inputs!$O$12))-1)/inputs!$N$12))</f>
        <v>#VALUE!</v>
      </c>
      <c r="J150" s="176" t="e">
        <f>IF((((inputs!$P$12/(inputs!E132/MAX('Min rate concentrations'!J$3:J$368)))^(1/inputs!$O$12))-1)/inputs!$N$12&lt;0, 0, IF((((inputs!$P$12/(inputs!E132/MAX('Min rate concentrations'!J$3:J$368)))^(1/inputs!$O$12))-1)/inputs!$N$12&gt;inputs!$H$17, inputs!$H$17, (((inputs!$P$12/(inputs!E132/MAX('Min rate concentrations'!J$3:J$368)))^(1/inputs!$O$12))-1)/inputs!$N$12))</f>
        <v>#VALUE!</v>
      </c>
      <c r="K150" s="176" t="e">
        <f>IF((((inputs!$P$12/(inputs!E132/MAX('Min rate concentrations'!K$3:K$368)))^(1/inputs!$O$12))-1)/inputs!$N$12&lt;0, 0, IF((((inputs!$P$12/(inputs!E132/MAX('Min rate concentrations'!K$3:K$368)))^(1/inputs!$O$12))-1)/inputs!$N$12&gt;inputs!$H$17, inputs!$H$17, (((inputs!$P$12/(inputs!E132/MAX('Min rate concentrations'!K$3:K$368)))^(1/inputs!$O$12))-1)/inputs!$N$12))</f>
        <v>#VALUE!</v>
      </c>
      <c r="L150" s="176" t="e">
        <f>IF((((inputs!$P$12/(inputs!E132/MAX('Min rate concentrations'!L$3:L$368)))^(1/inputs!$O$12))-1)/inputs!$N$12&lt;0, 0, IF((((inputs!$P$12/(inputs!E132/MAX('Min rate concentrations'!L$3:L$368)))^(1/inputs!$O$12))-1)/inputs!$N$12&gt;inputs!$H$17, inputs!$H$17, (((inputs!$P$12/(inputs!E132/MAX('Min rate concentrations'!L$3:L$368)))^(1/inputs!$O$12))-1)/inputs!$N$12))</f>
        <v>#VALUE!</v>
      </c>
      <c r="M150" s="176" t="e">
        <f>IF((((inputs!$P$12/(inputs!E132/MAX('Min rate concentrations'!M$3:M$368)))^(1/inputs!$O$12))-1)/inputs!$N$12&lt;0, 0, IF((((inputs!$P$12/(inputs!E132/MAX('Min rate concentrations'!M$3:M$368)))^(1/inputs!$O$12))-1)/inputs!$N$12&gt;inputs!$H$17, inputs!$H$17, (((inputs!$P$12/(inputs!E132/MAX('Min rate concentrations'!M$3:M$368)))^(1/inputs!$O$12))-1)/inputs!$N$12))</f>
        <v>#VALUE!</v>
      </c>
      <c r="N150" s="101" t="s">
        <v>13</v>
      </c>
    </row>
    <row r="151" spans="1:14" x14ac:dyDescent="0.3">
      <c r="A151" s="46"/>
      <c r="B151" s="22" t="s">
        <v>64</v>
      </c>
      <c r="C151" s="22" t="s">
        <v>71</v>
      </c>
      <c r="D151" s="176">
        <f>IF((((inputs!$P$12/(inputs!E133/MAX('Min rate concentrations'!D$3:D$368)))^(1/inputs!$O$12))-1)/inputs!$N$12&lt;0, 0, IF((((inputs!$P$12/(inputs!E133/MAX('Min rate concentrations'!D$3:D$368)))^(1/inputs!$O$12))-1)/inputs!$N$12&gt;inputs!$H$17, inputs!$H$17, (((inputs!$P$12/(inputs!E133/MAX('Min rate concentrations'!D$3:D$368)))^(1/inputs!$O$12))-1)/inputs!$N$12))</f>
        <v>55.547482243403643</v>
      </c>
      <c r="E151" s="176">
        <f>IF((((inputs!$P$12/(inputs!E133/MAX('Min rate concentrations'!E$3:E$368)))^(1/inputs!$O$12))-1)/inputs!$N$12&lt;0, 0, IF((((inputs!$P$12/(inputs!E133/MAX('Min rate concentrations'!E$3:E$368)))^(1/inputs!$O$12))-1)/inputs!$N$12&gt;inputs!$H$17, inputs!$H$17, (((inputs!$P$12/(inputs!E133/MAX('Min rate concentrations'!E$3:E$368)))^(1/inputs!$O$12))-1)/inputs!$N$12))</f>
        <v>32.69760138703473</v>
      </c>
      <c r="F151" s="176">
        <f>IF((((inputs!$P$12/(inputs!E133/MAX('Min rate concentrations'!F$3:F$368)))^(1/inputs!$O$12))-1)/inputs!$N$12&lt;0, 0, IF((((inputs!$P$12/(inputs!E133/MAX('Min rate concentrations'!F$3:F$368)))^(1/inputs!$O$12))-1)/inputs!$N$12&gt;inputs!$H$17, inputs!$H$17, (((inputs!$P$12/(inputs!E133/MAX('Min rate concentrations'!F$3:F$368)))^(1/inputs!$O$12))-1)/inputs!$N$12))</f>
        <v>38.012648944572582</v>
      </c>
      <c r="G151" s="176">
        <f>IF((((inputs!$P$12/(inputs!E133/MAX('Min rate concentrations'!G$3:G$368)))^(1/inputs!$O$12))-1)/inputs!$N$12&lt;0, 0, IF((((inputs!$P$12/(inputs!E133/MAX('Min rate concentrations'!G$3:G$368)))^(1/inputs!$O$12))-1)/inputs!$N$12&gt;inputs!$H$17, inputs!$H$17, (((inputs!$P$12/(inputs!E133/MAX('Min rate concentrations'!G$3:G$368)))^(1/inputs!$O$12))-1)/inputs!$N$12))</f>
        <v>0</v>
      </c>
      <c r="H151" s="176">
        <f>IF((((inputs!$P$12/(inputs!E133/MAX('Min rate concentrations'!H$3:H$368)))^(1/inputs!$O$12))-1)/inputs!$N$12&lt;0, 0, IF((((inputs!$P$12/(inputs!E133/MAX('Min rate concentrations'!H$3:H$368)))^(1/inputs!$O$12))-1)/inputs!$N$12&gt;inputs!$H$17, inputs!$H$17, (((inputs!$P$12/(inputs!E133/MAX('Min rate concentrations'!H$3:H$368)))^(1/inputs!$O$12))-1)/inputs!$N$12))</f>
        <v>28.908121898808801</v>
      </c>
      <c r="I151" s="176">
        <f>IF((((inputs!$P$12/(inputs!E133/MAX('Min rate concentrations'!I$3:I$368)))^(1/inputs!$O$12))-1)/inputs!$N$12&lt;0, 0, IF((((inputs!$P$12/(inputs!E133/MAX('Min rate concentrations'!I$3:I$368)))^(1/inputs!$O$12))-1)/inputs!$N$12&gt;inputs!$H$17, inputs!$H$17, (((inputs!$P$12/(inputs!E133/MAX('Min rate concentrations'!I$3:I$368)))^(1/inputs!$O$12))-1)/inputs!$N$12))</f>
        <v>1.4363136335791107</v>
      </c>
      <c r="J151" s="176">
        <f>IF((((inputs!$P$12/(inputs!E133/MAX('Min rate concentrations'!J$3:J$368)))^(1/inputs!$O$12))-1)/inputs!$N$12&lt;0, 0, IF((((inputs!$P$12/(inputs!E133/MAX('Min rate concentrations'!J$3:J$368)))^(1/inputs!$O$12))-1)/inputs!$N$12&gt;inputs!$H$17, inputs!$H$17, (((inputs!$P$12/(inputs!E133/MAX('Min rate concentrations'!J$3:J$368)))^(1/inputs!$O$12))-1)/inputs!$N$12))</f>
        <v>53.932889327344988</v>
      </c>
      <c r="K151" s="176">
        <f>IF((((inputs!$P$12/(inputs!E133/MAX('Min rate concentrations'!K$3:K$368)))^(1/inputs!$O$12))-1)/inputs!$N$12&lt;0, 0, IF((((inputs!$P$12/(inputs!E133/MAX('Min rate concentrations'!K$3:K$368)))^(1/inputs!$O$12))-1)/inputs!$N$12&gt;inputs!$H$17, inputs!$H$17, (((inputs!$P$12/(inputs!E133/MAX('Min rate concentrations'!K$3:K$368)))^(1/inputs!$O$12))-1)/inputs!$N$12))</f>
        <v>10.648278498323343</v>
      </c>
      <c r="L151" s="176">
        <f>IF((((inputs!$P$12/(inputs!E133/MAX('Min rate concentrations'!L$3:L$368)))^(1/inputs!$O$12))-1)/inputs!$N$12&lt;0, 0, IF((((inputs!$P$12/(inputs!E133/MAX('Min rate concentrations'!L$3:L$368)))^(1/inputs!$O$12))-1)/inputs!$N$12&gt;inputs!$H$17, inputs!$H$17, (((inputs!$P$12/(inputs!E133/MAX('Min rate concentrations'!L$3:L$368)))^(1/inputs!$O$12))-1)/inputs!$N$12))</f>
        <v>34.21803502030842</v>
      </c>
      <c r="M151" s="176">
        <f>IF((((inputs!$P$12/(inputs!E133/MAX('Min rate concentrations'!M$3:M$368)))^(1/inputs!$O$12))-1)/inputs!$N$12&lt;0, 0, IF((((inputs!$P$12/(inputs!E133/MAX('Min rate concentrations'!M$3:M$368)))^(1/inputs!$O$12))-1)/inputs!$N$12&gt;inputs!$H$17, inputs!$H$17, (((inputs!$P$12/(inputs!E133/MAX('Min rate concentrations'!M$3:M$368)))^(1/inputs!$O$12))-1)/inputs!$N$12))</f>
        <v>0</v>
      </c>
      <c r="N151" s="101" t="s">
        <v>13</v>
      </c>
    </row>
    <row r="152" spans="1:14" x14ac:dyDescent="0.3">
      <c r="A152" s="40" t="s">
        <v>763</v>
      </c>
      <c r="B152" s="22" t="s">
        <v>62</v>
      </c>
      <c r="C152" s="25" t="s">
        <v>63</v>
      </c>
      <c r="D152" s="176" t="e">
        <f>IF((((inputs!$P$12/(inputs!E150/MAX('Min rate concentrations'!D$3:D$368)))^(1/inputs!$O$12))-1)/inputs!$N$12&lt;0, 0, IF((((inputs!$P$12/(inputs!E150/MAX('Min rate concentrations'!D$3:D$368)))^(1/inputs!$O$12))-1)/inputs!$N$12&gt;inputs!$H$17, inputs!$H$17, (((inputs!$P$12/(inputs!E150/MAX('Min rate concentrations'!D$3:D$368)))^(1/inputs!$O$12))-1)/inputs!$N$12))</f>
        <v>#VALUE!</v>
      </c>
      <c r="E152" s="177" t="e">
        <f>IF((((inputs!$P$12/(inputs!E150/MAX('Min rate concentrations'!E$3:E$368)))^(1/inputs!$O$12))-1)/inputs!$N$12&lt;0, 0, IF((((inputs!$P$12/(inputs!E150/MAX('Min rate concentrations'!E$3:E$368)))^(1/inputs!$O$12))-1)/inputs!$N$12&gt;inputs!$H$17, inputs!$H$17, (((inputs!$P$12/(inputs!E150/MAX('Min rate concentrations'!E$3:E$368)))^(1/inputs!$O$12))-1)/inputs!$N$12))</f>
        <v>#VALUE!</v>
      </c>
      <c r="F152" s="176" t="e">
        <f>IF((((inputs!$P$12/(inputs!E150/MAX('Min rate concentrations'!F$3:F$368)))^(1/inputs!$O$12))-1)/inputs!$N$12&lt;0, 0, IF((((inputs!$P$12/(inputs!E150/MAX('Min rate concentrations'!F$3:F$368)))^(1/inputs!$O$12))-1)/inputs!$N$12&gt;inputs!$H$17, inputs!$H$17, (((inputs!$P$12/(inputs!E150/MAX('Min rate concentrations'!F$3:F$368)))^(1/inputs!$O$12))-1)/inputs!$N$12))</f>
        <v>#VALUE!</v>
      </c>
      <c r="G152" s="176" t="e">
        <f>IF((((inputs!$P$12/(inputs!E150/MAX('Min rate concentrations'!G$3:G$368)))^(1/inputs!$O$12))-1)/inputs!$N$12&lt;0, 0, IF((((inputs!$P$12/(inputs!E150/MAX('Min rate concentrations'!G$3:G$368)))^(1/inputs!$O$12))-1)/inputs!$N$12&gt;inputs!$H$17, inputs!$H$17, (((inputs!$P$12/(inputs!E150/MAX('Min rate concentrations'!G$3:G$368)))^(1/inputs!$O$12))-1)/inputs!$N$12))</f>
        <v>#VALUE!</v>
      </c>
      <c r="H152" s="176">
        <f>IF((((inputs!$P$12/(inputs!E137/MAX('Min rate concentrations'!H$3:H$368)))^(1/inputs!$O$12))-1)/inputs!$N$12&lt;0, 0, IF((((inputs!$P$12/(inputs!E137/MAX('Min rate concentrations'!H$3:H$368)))^(1/inputs!$O$12))-1)/inputs!$N$12&gt;inputs!$H$17, inputs!$H$17, (((inputs!$P$12/(inputs!E137/MAX('Min rate concentrations'!H$3:H$368)))^(1/inputs!$O$12))-1)/inputs!$N$12))</f>
        <v>466.74183189114206</v>
      </c>
      <c r="I152" s="176">
        <f>IF((((inputs!$P$12/(inputs!E137/MAX('Min rate concentrations'!I$3:I$368)))^(1/inputs!$O$12))-1)/inputs!$N$12&lt;0, 0, IF((((inputs!$P$12/(inputs!E137/MAX('Min rate concentrations'!I$3:I$368)))^(1/inputs!$O$12))-1)/inputs!$N$12&gt;inputs!$H$17, inputs!$H$17, (((inputs!$P$12/(inputs!E137/MAX('Min rate concentrations'!I$3:I$368)))^(1/inputs!$O$12))-1)/inputs!$N$12))</f>
        <v>229.71477399712361</v>
      </c>
      <c r="J152" s="101" t="s">
        <v>13</v>
      </c>
      <c r="K152" s="176" t="e">
        <f>IF((((inputs!$P$12/(inputs!E150/MAX('Min rate concentrations'!K$3:K$368)))^(1/inputs!$O$12))-1)/inputs!$N$12&lt;0, 0, IF((((inputs!$P$12/(inputs!E150/MAX('Min rate concentrations'!K$3:K$368)))^(1/inputs!$O$12))-1)/inputs!$N$12&gt;inputs!$H$17, inputs!$H$17, (((inputs!$P$12/(inputs!E150/MAX('Min rate concentrations'!K$3:K$368)))^(1/inputs!$O$12))-1)/inputs!$N$12))</f>
        <v>#VALUE!</v>
      </c>
      <c r="L152" s="101" t="s">
        <v>13</v>
      </c>
      <c r="M152" s="101" t="s">
        <v>13</v>
      </c>
      <c r="N152" s="176" t="e">
        <f>IF((((inputs!$P$12/(inputs!E163/MAX('Min rate concentrations'!N$3:N$368)))^(1/inputs!$O$12))-1)/inputs!$N$12&lt;0, 0, IF((((inputs!$P$12/(inputs!E163/MAX('Min rate concentrations'!N$3:N$368)))^(1/inputs!$O$12))-1)/inputs!$N$12&gt;inputs!$H$17, inputs!$H$17, (((inputs!$P$12/(inputs!E163/MAX('Min rate concentrations'!N$3:N$368)))^(1/inputs!$O$12))-1)/inputs!$N$12))</f>
        <v>#VALUE!</v>
      </c>
    </row>
    <row r="153" spans="1:14" x14ac:dyDescent="0.3">
      <c r="A153" s="41"/>
      <c r="B153" s="22" t="s">
        <v>64</v>
      </c>
      <c r="C153" s="25" t="s">
        <v>65</v>
      </c>
      <c r="D153" s="176" t="e">
        <f>IF((((inputs!$P$12/(inputs!E151/MAX('Min rate concentrations'!D$3:D$368)))^(1/inputs!$O$12))-1)/inputs!$N$12&lt;0, 0, IF((((inputs!$P$12/(inputs!E151/MAX('Min rate concentrations'!D$3:D$368)))^(1/inputs!$O$12))-1)/inputs!$N$12&gt;inputs!$H$17, inputs!$H$17, (((inputs!$P$12/(inputs!E151/MAX('Min rate concentrations'!D$3:D$368)))^(1/inputs!$O$12))-1)/inputs!$N$12))</f>
        <v>#VALUE!</v>
      </c>
      <c r="E153" s="177" t="e">
        <f>IF((((inputs!$P$12/(inputs!E151/MAX('Min rate concentrations'!E$3:E$368)))^(1/inputs!$O$12))-1)/inputs!$N$12&lt;0, 0, IF((((inputs!$P$12/(inputs!E151/MAX('Min rate concentrations'!E$3:E$368)))^(1/inputs!$O$12))-1)/inputs!$N$12&gt;inputs!$H$17, inputs!$H$17, (((inputs!$P$12/(inputs!E151/MAX('Min rate concentrations'!E$3:E$368)))^(1/inputs!$O$12))-1)/inputs!$N$12))</f>
        <v>#VALUE!</v>
      </c>
      <c r="F153" s="176" t="e">
        <f>IF((((inputs!$P$12/(inputs!E151/MAX('Min rate concentrations'!F$3:F$368)))^(1/inputs!$O$12))-1)/inputs!$N$12&lt;0, 0, IF((((inputs!$P$12/(inputs!E151/MAX('Min rate concentrations'!F$3:F$368)))^(1/inputs!$O$12))-1)/inputs!$N$12&gt;inputs!$H$17, inputs!$H$17, (((inputs!$P$12/(inputs!E151/MAX('Min rate concentrations'!F$3:F$368)))^(1/inputs!$O$12))-1)/inputs!$N$12))</f>
        <v>#VALUE!</v>
      </c>
      <c r="G153" s="176" t="e">
        <f>IF((((inputs!$P$12/(inputs!E151/MAX('Min rate concentrations'!G$3:G$368)))^(1/inputs!$O$12))-1)/inputs!$N$12&lt;0, 0, IF((((inputs!$P$12/(inputs!E151/MAX('Min rate concentrations'!G$3:G$368)))^(1/inputs!$O$12))-1)/inputs!$N$12&gt;inputs!$H$17, inputs!$H$17, (((inputs!$P$12/(inputs!E151/MAX('Min rate concentrations'!G$3:G$368)))^(1/inputs!$O$12))-1)/inputs!$N$12))</f>
        <v>#VALUE!</v>
      </c>
      <c r="H153" s="176">
        <f>IF((((inputs!$P$12/(inputs!E138/MAX('Min rate concentrations'!H$3:H$368)))^(1/inputs!$O$12))-1)/inputs!$N$12&lt;0, 0, IF((((inputs!$P$12/(inputs!E138/MAX('Min rate concentrations'!H$3:H$368)))^(1/inputs!$O$12))-1)/inputs!$N$12&gt;inputs!$H$17, inputs!$H$17, (((inputs!$P$12/(inputs!E138/MAX('Min rate concentrations'!H$3:H$368)))^(1/inputs!$O$12))-1)/inputs!$N$12))</f>
        <v>253.30243963588808</v>
      </c>
      <c r="I153" s="176">
        <f>IF((((inputs!$P$12/(inputs!E138/MAX('Min rate concentrations'!I$3:I$368)))^(1/inputs!$O$12))-1)/inputs!$N$12&lt;0, 0, IF((((inputs!$P$12/(inputs!E138/MAX('Min rate concentrations'!I$3:I$368)))^(1/inputs!$O$12))-1)/inputs!$N$12&gt;inputs!$H$17, inputs!$H$17, (((inputs!$P$12/(inputs!E138/MAX('Min rate concentrations'!I$3:I$368)))^(1/inputs!$O$12))-1)/inputs!$N$12))</f>
        <v>118.4313923547799</v>
      </c>
      <c r="J153" s="101" t="s">
        <v>13</v>
      </c>
      <c r="K153" s="176" t="e">
        <f>IF((((inputs!$P$12/(inputs!E151/MAX('Min rate concentrations'!K$3:K$368)))^(1/inputs!$O$12))-1)/inputs!$N$12&lt;0, 0, IF((((inputs!$P$12/(inputs!E151/MAX('Min rate concentrations'!K$3:K$368)))^(1/inputs!$O$12))-1)/inputs!$N$12&gt;inputs!$H$17, inputs!$H$17, (((inputs!$P$12/(inputs!E151/MAX('Min rate concentrations'!K$3:K$368)))^(1/inputs!$O$12))-1)/inputs!$N$12))</f>
        <v>#VALUE!</v>
      </c>
      <c r="L153" s="101" t="s">
        <v>13</v>
      </c>
      <c r="M153" s="101" t="s">
        <v>13</v>
      </c>
      <c r="N153" s="176" t="e">
        <f>IF((((inputs!$P$12/(inputs!E164/MAX('Min rate concentrations'!N$3:N$368)))^(1/inputs!$O$12))-1)/inputs!$N$12&lt;0, 0, IF((((inputs!$P$12/(inputs!E164/MAX('Min rate concentrations'!N$3:N$368)))^(1/inputs!$O$12))-1)/inputs!$N$12&gt;inputs!$H$17, inputs!$H$17, (((inputs!$P$12/(inputs!E164/MAX('Min rate concentrations'!N$3:N$368)))^(1/inputs!$O$12))-1)/inputs!$N$12))</f>
        <v>#VALUE!</v>
      </c>
    </row>
    <row r="154" spans="1:14" x14ac:dyDescent="0.3">
      <c r="A154" s="41"/>
      <c r="B154" s="22" t="s">
        <v>66</v>
      </c>
      <c r="C154" s="22" t="s">
        <v>80</v>
      </c>
      <c r="D154" s="176" t="e">
        <f>IF((((inputs!$P$12/(inputs!E152/MAX('Min rate concentrations'!D$3:D$368)))^(1/inputs!$O$12))-1)/inputs!$N$12&lt;0, 0, IF((((inputs!$P$12/(inputs!E152/MAX('Min rate concentrations'!D$3:D$368)))^(1/inputs!$O$12))-1)/inputs!$N$12&gt;inputs!$H$17, inputs!$H$17, (((inputs!$P$12/(inputs!E152/MAX('Min rate concentrations'!D$3:D$368)))^(1/inputs!$O$12))-1)/inputs!$N$12))</f>
        <v>#VALUE!</v>
      </c>
      <c r="E154" s="177" t="e">
        <f>IF((((inputs!$P$12/(inputs!E152/MAX('Min rate concentrations'!E$3:E$368)))^(1/inputs!$O$12))-1)/inputs!$N$12&lt;0, 0, IF((((inputs!$P$12/(inputs!E152/MAX('Min rate concentrations'!E$3:E$368)))^(1/inputs!$O$12))-1)/inputs!$N$12&gt;inputs!$H$17, inputs!$H$17, (((inputs!$P$12/(inputs!E152/MAX('Min rate concentrations'!E$3:E$368)))^(1/inputs!$O$12))-1)/inputs!$N$12))</f>
        <v>#VALUE!</v>
      </c>
      <c r="F154" s="176" t="e">
        <f>IF((((inputs!$P$12/(inputs!E152/MAX('Min rate concentrations'!F$3:F$368)))^(1/inputs!$O$12))-1)/inputs!$N$12&lt;0, 0, IF((((inputs!$P$12/(inputs!E152/MAX('Min rate concentrations'!F$3:F$368)))^(1/inputs!$O$12))-1)/inputs!$N$12&gt;inputs!$H$17, inputs!$H$17, (((inputs!$P$12/(inputs!E152/MAX('Min rate concentrations'!F$3:F$368)))^(1/inputs!$O$12))-1)/inputs!$N$12))</f>
        <v>#VALUE!</v>
      </c>
      <c r="G154" s="176" t="e">
        <f>IF((((inputs!$P$12/(inputs!E152/MAX('Min rate concentrations'!G$3:G$368)))^(1/inputs!$O$12))-1)/inputs!$N$12&lt;0, 0, IF((((inputs!$P$12/(inputs!E152/MAX('Min rate concentrations'!G$3:G$368)))^(1/inputs!$O$12))-1)/inputs!$N$12&gt;inputs!$H$17, inputs!$H$17, (((inputs!$P$12/(inputs!E152/MAX('Min rate concentrations'!G$3:G$368)))^(1/inputs!$O$12))-1)/inputs!$N$12))</f>
        <v>#VALUE!</v>
      </c>
      <c r="H154" s="176">
        <f>IF((((inputs!$P$12/(inputs!E139/MAX('Min rate concentrations'!H$3:H$368)))^(1/inputs!$O$12))-1)/inputs!$N$12&lt;0, 0, IF((((inputs!$P$12/(inputs!E139/MAX('Min rate concentrations'!H$3:H$368)))^(1/inputs!$O$12))-1)/inputs!$N$12&gt;inputs!$H$17, inputs!$H$17, (((inputs!$P$12/(inputs!E139/MAX('Min rate concentrations'!H$3:H$368)))^(1/inputs!$O$12))-1)/inputs!$N$12))</f>
        <v>189.72771518482165</v>
      </c>
      <c r="I154" s="176">
        <f>IF((((inputs!$P$12/(inputs!E139/MAX('Min rate concentrations'!I$3:I$368)))^(1/inputs!$O$12))-1)/inputs!$N$12&lt;0, 0, IF((((inputs!$P$12/(inputs!E139/MAX('Min rate concentrations'!I$3:I$368)))^(1/inputs!$O$12))-1)/inputs!$N$12&gt;inputs!$H$17, inputs!$H$17, (((inputs!$P$12/(inputs!E139/MAX('Min rate concentrations'!I$3:I$368)))^(1/inputs!$O$12))-1)/inputs!$N$12))</f>
        <v>85.2846978803409</v>
      </c>
      <c r="J154" s="101" t="s">
        <v>13</v>
      </c>
      <c r="K154" s="176" t="e">
        <f>IF((((inputs!$P$12/(inputs!E152/MAX('Min rate concentrations'!K$3:K$368)))^(1/inputs!$O$12))-1)/inputs!$N$12&lt;0, 0, IF((((inputs!$P$12/(inputs!E152/MAX('Min rate concentrations'!K$3:K$368)))^(1/inputs!$O$12))-1)/inputs!$N$12&gt;inputs!$H$17, inputs!$H$17, (((inputs!$P$12/(inputs!E152/MAX('Min rate concentrations'!K$3:K$368)))^(1/inputs!$O$12))-1)/inputs!$N$12))</f>
        <v>#VALUE!</v>
      </c>
      <c r="L154" s="101" t="s">
        <v>13</v>
      </c>
      <c r="M154" s="101" t="s">
        <v>13</v>
      </c>
      <c r="N154" s="176" t="e">
        <f>IF((((inputs!$P$12/(inputs!E165/MAX('Min rate concentrations'!N$3:N$368)))^(1/inputs!$O$12))-1)/inputs!$N$12&lt;0, 0, IF((((inputs!$P$12/(inputs!E165/MAX('Min rate concentrations'!N$3:N$368)))^(1/inputs!$O$12))-1)/inputs!$N$12&gt;inputs!$H$17, inputs!$H$17, (((inputs!$P$12/(inputs!E165/MAX('Min rate concentrations'!N$3:N$368)))^(1/inputs!$O$12))-1)/inputs!$N$12))</f>
        <v>#VALUE!</v>
      </c>
    </row>
    <row r="155" spans="1:14" x14ac:dyDescent="0.3">
      <c r="A155" s="41"/>
      <c r="B155" s="22" t="s">
        <v>62</v>
      </c>
      <c r="C155" s="25" t="s">
        <v>72</v>
      </c>
      <c r="D155" s="176">
        <f>IF((((inputs!$P$12/(inputs!E153/MAX('Min rate concentrations'!D$3:D$368)))^(1/inputs!$O$12))-1)/inputs!$N$12&lt;0, 0, IF((((inputs!$P$12/(inputs!E153/MAX('Min rate concentrations'!D$3:D$368)))^(1/inputs!$O$12))-1)/inputs!$N$12&gt;inputs!$H$17, inputs!$H$17, (((inputs!$P$12/(inputs!E153/MAX('Min rate concentrations'!D$3:D$368)))^(1/inputs!$O$12))-1)/inputs!$N$12))</f>
        <v>48.256092362560565</v>
      </c>
      <c r="E155" s="177">
        <f>IF((((inputs!$P$12/(inputs!E153/MAX('Min rate concentrations'!E$3:E$368)))^(1/inputs!$O$12))-1)/inputs!$N$12&lt;0, 0, IF((((inputs!$P$12/(inputs!E153/MAX('Min rate concentrations'!E$3:E$368)))^(1/inputs!$O$12))-1)/inputs!$N$12&gt;inputs!$H$17, inputs!$H$17, (((inputs!$P$12/(inputs!E153/MAX('Min rate concentrations'!E$3:E$368)))^(1/inputs!$O$12))-1)/inputs!$N$12))</f>
        <v>27.388747502326506</v>
      </c>
      <c r="F155" s="176">
        <f>IF((((inputs!$P$12/(inputs!E153/MAX('Min rate concentrations'!F$3:F$368)))^(1/inputs!$O$12))-1)/inputs!$N$12&lt;0, 0, IF((((inputs!$P$12/(inputs!E153/MAX('Min rate concentrations'!F$3:F$368)))^(1/inputs!$O$12))-1)/inputs!$N$12&gt;inputs!$H$17, inputs!$H$17, (((inputs!$P$12/(inputs!E153/MAX('Min rate concentrations'!F$3:F$368)))^(1/inputs!$O$12))-1)/inputs!$N$12))</f>
        <v>32.242642847727105</v>
      </c>
      <c r="G155" s="176">
        <f>IF((((inputs!$P$12/(inputs!E153/MAX('Min rate concentrations'!G$3:G$368)))^(1/inputs!$O$12))-1)/inputs!$N$12&lt;0, 0, IF((((inputs!$P$12/(inputs!E153/MAX('Min rate concentrations'!G$3:G$368)))^(1/inputs!$O$12))-1)/inputs!$N$12&gt;inputs!$H$17, inputs!$H$17, (((inputs!$P$12/(inputs!E153/MAX('Min rate concentrations'!G$3:G$368)))^(1/inputs!$O$12))-1)/inputs!$N$12))</f>
        <v>0</v>
      </c>
      <c r="H155" s="176">
        <f>IF((((inputs!$P$12/(inputs!E140/MAX('Min rate concentrations'!H$3:H$368)))^(1/inputs!$O$12))-1)/inputs!$N$12&lt;0, 0, IF((((inputs!$P$12/(inputs!E140/MAX('Min rate concentrations'!H$3:H$368)))^(1/inputs!$O$12))-1)/inputs!$N$12&gt;inputs!$H$17, inputs!$H$17, (((inputs!$P$12/(inputs!E140/MAX('Min rate concentrations'!H$3:H$368)))^(1/inputs!$O$12))-1)/inputs!$N$12))</f>
        <v>189.72771518482165</v>
      </c>
      <c r="I155" s="176">
        <f>IF((((inputs!$P$12/(inputs!E140/MAX('Min rate concentrations'!I$3:I$368)))^(1/inputs!$O$12))-1)/inputs!$N$12&lt;0, 0, IF((((inputs!$P$12/(inputs!E140/MAX('Min rate concentrations'!I$3:I$368)))^(1/inputs!$O$12))-1)/inputs!$N$12&gt;inputs!$H$17, inputs!$H$17, (((inputs!$P$12/(inputs!E140/MAX('Min rate concentrations'!I$3:I$368)))^(1/inputs!$O$12))-1)/inputs!$N$12))</f>
        <v>85.2846978803409</v>
      </c>
      <c r="J155" s="101" t="s">
        <v>13</v>
      </c>
      <c r="K155" s="176">
        <f>IF((((inputs!$P$12/(inputs!E153/MAX('Min rate concentrations'!K$3:K$368)))^(1/inputs!$O$12))-1)/inputs!$N$12&lt;0, 0, IF((((inputs!$P$12/(inputs!E153/MAX('Min rate concentrations'!K$3:K$368)))^(1/inputs!$O$12))-1)/inputs!$N$12&gt;inputs!$H$17, inputs!$H$17, (((inputs!$P$12/(inputs!E153/MAX('Min rate concentrations'!K$3:K$368)))^(1/inputs!$O$12))-1)/inputs!$N$12))</f>
        <v>7.2525013859645133</v>
      </c>
      <c r="L155" s="101" t="s">
        <v>13</v>
      </c>
      <c r="M155" s="101" t="s">
        <v>13</v>
      </c>
      <c r="N155" s="176">
        <f>IF((((inputs!$P$12/(inputs!E166/MAX('Min rate concentrations'!N$3:N$368)))^(1/inputs!$O$12))-1)/inputs!$N$12&lt;0, 0, IF((((inputs!$P$12/(inputs!E166/MAX('Min rate concentrations'!N$3:N$368)))^(1/inputs!$O$12))-1)/inputs!$N$12&gt;inputs!$H$17, inputs!$H$17, (((inputs!$P$12/(inputs!E166/MAX('Min rate concentrations'!N$3:N$368)))^(1/inputs!$O$12))-1)/inputs!$N$12))</f>
        <v>0</v>
      </c>
    </row>
    <row r="156" spans="1:14" x14ac:dyDescent="0.3">
      <c r="A156" s="41"/>
      <c r="B156" s="22" t="s">
        <v>62</v>
      </c>
      <c r="C156" s="25" t="s">
        <v>81</v>
      </c>
      <c r="D156" s="176" t="e">
        <f>IF((((inputs!$P$12/(inputs!E154/MAX('Min rate concentrations'!D$3:D$368)))^(1/inputs!$O$12))-1)/inputs!$N$12&lt;0, 0, IF((((inputs!$P$12/(inputs!E154/MAX('Min rate concentrations'!D$3:D$368)))^(1/inputs!$O$12))-1)/inputs!$N$12&gt;inputs!$H$17, inputs!$H$17, (((inputs!$P$12/(inputs!E154/MAX('Min rate concentrations'!D$3:D$368)))^(1/inputs!$O$12))-1)/inputs!$N$12))</f>
        <v>#VALUE!</v>
      </c>
      <c r="E156" s="177" t="e">
        <f>IF((((inputs!$P$12/(inputs!E154/MAX('Min rate concentrations'!E$3:E$368)))^(1/inputs!$O$12))-1)/inputs!$N$12&lt;0, 0, IF((((inputs!$P$12/(inputs!E154/MAX('Min rate concentrations'!E$3:E$368)))^(1/inputs!$O$12))-1)/inputs!$N$12&gt;inputs!$H$17, inputs!$H$17, (((inputs!$P$12/(inputs!E154/MAX('Min rate concentrations'!E$3:E$368)))^(1/inputs!$O$12))-1)/inputs!$N$12))</f>
        <v>#VALUE!</v>
      </c>
      <c r="F156" s="176" t="e">
        <f>IF((((inputs!$P$12/(inputs!E154/MAX('Min rate concentrations'!F$3:F$368)))^(1/inputs!$O$12))-1)/inputs!$N$12&lt;0, 0, IF((((inputs!$P$12/(inputs!E154/MAX('Min rate concentrations'!F$3:F$368)))^(1/inputs!$O$12))-1)/inputs!$N$12&gt;inputs!$H$17, inputs!$H$17, (((inputs!$P$12/(inputs!E154/MAX('Min rate concentrations'!F$3:F$368)))^(1/inputs!$O$12))-1)/inputs!$N$12))</f>
        <v>#VALUE!</v>
      </c>
      <c r="G156" s="176" t="e">
        <f>IF((((inputs!$P$12/(inputs!E154/MAX('Min rate concentrations'!G$3:G$368)))^(1/inputs!$O$12))-1)/inputs!$N$12&lt;0, 0, IF((((inputs!$P$12/(inputs!E154/MAX('Min rate concentrations'!G$3:G$368)))^(1/inputs!$O$12))-1)/inputs!$N$12&gt;inputs!$H$17, inputs!$H$17, (((inputs!$P$12/(inputs!E154/MAX('Min rate concentrations'!G$3:G$368)))^(1/inputs!$O$12))-1)/inputs!$N$12))</f>
        <v>#VALUE!</v>
      </c>
      <c r="H156" s="176" t="e">
        <f>IF((((inputs!$P$12/(inputs!E141/MAX('Min rate concentrations'!H$3:H$368)))^(1/inputs!$O$12))-1)/inputs!$N$12&lt;0, 0, IF((((inputs!$P$12/(inputs!E141/MAX('Min rate concentrations'!H$3:H$368)))^(1/inputs!$O$12))-1)/inputs!$N$12&gt;inputs!$H$17, inputs!$H$17, (((inputs!$P$12/(inputs!E141/MAX('Min rate concentrations'!H$3:H$368)))^(1/inputs!$O$12))-1)/inputs!$N$12))</f>
        <v>#VALUE!</v>
      </c>
      <c r="I156" s="176" t="e">
        <f>IF((((inputs!$P$12/(inputs!E141/MAX('Min rate concentrations'!I$3:I$368)))^(1/inputs!$O$12))-1)/inputs!$N$12&lt;0, 0, IF((((inputs!$P$12/(inputs!E141/MAX('Min rate concentrations'!I$3:I$368)))^(1/inputs!$O$12))-1)/inputs!$N$12&gt;inputs!$H$17, inputs!$H$17, (((inputs!$P$12/(inputs!E141/MAX('Min rate concentrations'!I$3:I$368)))^(1/inputs!$O$12))-1)/inputs!$N$12))</f>
        <v>#VALUE!</v>
      </c>
      <c r="J156" s="101" t="s">
        <v>13</v>
      </c>
      <c r="K156" s="176" t="e">
        <f>IF((((inputs!$P$12/(inputs!E154/MAX('Min rate concentrations'!K$3:K$368)))^(1/inputs!$O$12))-1)/inputs!$N$12&lt;0, 0, IF((((inputs!$P$12/(inputs!E154/MAX('Min rate concentrations'!K$3:K$368)))^(1/inputs!$O$12))-1)/inputs!$N$12&gt;inputs!$H$17, inputs!$H$17, (((inputs!$P$12/(inputs!E154/MAX('Min rate concentrations'!K$3:K$368)))^(1/inputs!$O$12))-1)/inputs!$N$12))</f>
        <v>#VALUE!</v>
      </c>
      <c r="L156" s="101" t="s">
        <v>13</v>
      </c>
      <c r="M156" s="101" t="s">
        <v>13</v>
      </c>
      <c r="N156" s="176" t="e">
        <f>IF((((inputs!$P$12/(inputs!E167/MAX('Min rate concentrations'!N$3:N$368)))^(1/inputs!$O$12))-1)/inputs!$N$12&lt;0, 0, IF((((inputs!$P$12/(inputs!E167/MAX('Min rate concentrations'!N$3:N$368)))^(1/inputs!$O$12))-1)/inputs!$N$12&gt;inputs!$H$17, inputs!$H$17, (((inputs!$P$12/(inputs!E167/MAX('Min rate concentrations'!N$3:N$368)))^(1/inputs!$O$12))-1)/inputs!$N$12))</f>
        <v>#VALUE!</v>
      </c>
    </row>
    <row r="157" spans="1:14" x14ac:dyDescent="0.3">
      <c r="A157" s="41"/>
      <c r="B157" s="22" t="s">
        <v>66</v>
      </c>
      <c r="C157" s="25" t="s">
        <v>82</v>
      </c>
      <c r="D157" s="176">
        <f>IF((((inputs!$P$12/(inputs!E155/MAX('Min rate concentrations'!D$3:D$368)))^(1/inputs!$O$12))-1)/inputs!$N$12&lt;0, 0, IF((((inputs!$P$12/(inputs!E155/MAX('Min rate concentrations'!D$3:D$368)))^(1/inputs!$O$12))-1)/inputs!$N$12&gt;inputs!$H$17, inputs!$H$17, (((inputs!$P$12/(inputs!E155/MAX('Min rate concentrations'!D$3:D$368)))^(1/inputs!$O$12))-1)/inputs!$N$12))</f>
        <v>0</v>
      </c>
      <c r="E157" s="177">
        <f>IF((((inputs!$P$12/(inputs!E155/MAX('Min rate concentrations'!E$3:E$368)))^(1/inputs!$O$12))-1)/inputs!$N$12&lt;0, 0, IF((((inputs!$P$12/(inputs!E155/MAX('Min rate concentrations'!E$3:E$368)))^(1/inputs!$O$12))-1)/inputs!$N$12&gt;inputs!$H$17, inputs!$H$17, (((inputs!$P$12/(inputs!E155/MAX('Min rate concentrations'!E$3:E$368)))^(1/inputs!$O$12))-1)/inputs!$N$12))</f>
        <v>0</v>
      </c>
      <c r="F157" s="176">
        <f>IF((((inputs!$P$12/(inputs!E155/MAX('Min rate concentrations'!F$3:F$368)))^(1/inputs!$O$12))-1)/inputs!$N$12&lt;0, 0, IF((((inputs!$P$12/(inputs!E155/MAX('Min rate concentrations'!F$3:F$368)))^(1/inputs!$O$12))-1)/inputs!$N$12&gt;inputs!$H$17, inputs!$H$17, (((inputs!$P$12/(inputs!E155/MAX('Min rate concentrations'!F$3:F$368)))^(1/inputs!$O$12))-1)/inputs!$N$12))</f>
        <v>0</v>
      </c>
      <c r="G157" s="176">
        <f>IF((((inputs!$P$12/(inputs!E155/MAX('Min rate concentrations'!G$3:G$368)))^(1/inputs!$O$12))-1)/inputs!$N$12&lt;0, 0, IF((((inputs!$P$12/(inputs!E155/MAX('Min rate concentrations'!G$3:G$368)))^(1/inputs!$O$12))-1)/inputs!$N$12&gt;inputs!$H$17, inputs!$H$17, (((inputs!$P$12/(inputs!E155/MAX('Min rate concentrations'!G$3:G$368)))^(1/inputs!$O$12))-1)/inputs!$N$12))</f>
        <v>0</v>
      </c>
      <c r="H157" s="176" t="e">
        <f>IF((((inputs!$P$12/(inputs!E142/MAX('Min rate concentrations'!H$3:H$368)))^(1/inputs!$O$12))-1)/inputs!$N$12&lt;0, 0, IF((((inputs!$P$12/(inputs!E142/MAX('Min rate concentrations'!H$3:H$368)))^(1/inputs!$O$12))-1)/inputs!$N$12&gt;inputs!$H$17, inputs!$H$17, (((inputs!$P$12/(inputs!E142/MAX('Min rate concentrations'!H$3:H$368)))^(1/inputs!$O$12))-1)/inputs!$N$12))</f>
        <v>#VALUE!</v>
      </c>
      <c r="I157" s="176" t="e">
        <f>IF((((inputs!$P$12/(inputs!E142/MAX('Min rate concentrations'!I$3:I$368)))^(1/inputs!$O$12))-1)/inputs!$N$12&lt;0, 0, IF((((inputs!$P$12/(inputs!E142/MAX('Min rate concentrations'!I$3:I$368)))^(1/inputs!$O$12))-1)/inputs!$N$12&gt;inputs!$H$17, inputs!$H$17, (((inputs!$P$12/(inputs!E142/MAX('Min rate concentrations'!I$3:I$368)))^(1/inputs!$O$12))-1)/inputs!$N$12))</f>
        <v>#VALUE!</v>
      </c>
      <c r="J157" s="101" t="s">
        <v>13</v>
      </c>
      <c r="K157" s="176">
        <f>IF((((inputs!$P$12/(inputs!E155/MAX('Min rate concentrations'!K$3:K$368)))^(1/inputs!$O$12))-1)/inputs!$N$12&lt;0, 0, IF((((inputs!$P$12/(inputs!E155/MAX('Min rate concentrations'!K$3:K$368)))^(1/inputs!$O$12))-1)/inputs!$N$12&gt;inputs!$H$17, inputs!$H$17, (((inputs!$P$12/(inputs!E155/MAX('Min rate concentrations'!K$3:K$368)))^(1/inputs!$O$12))-1)/inputs!$N$12))</f>
        <v>0</v>
      </c>
      <c r="L157" s="101" t="s">
        <v>13</v>
      </c>
      <c r="M157" s="101" t="s">
        <v>13</v>
      </c>
      <c r="N157" s="176" t="e">
        <f>IF((((inputs!$P$12/(inputs!E168/MAX('Min rate concentrations'!N$3:N$368)))^(1/inputs!$O$12))-1)/inputs!$N$12&lt;0, 0, IF((((inputs!$P$12/(inputs!E168/MAX('Min rate concentrations'!N$3:N$368)))^(1/inputs!$O$12))-1)/inputs!$N$12&gt;inputs!$H$17, inputs!$H$17, (((inputs!$P$12/(inputs!E168/MAX('Min rate concentrations'!N$3:N$368)))^(1/inputs!$O$12))-1)/inputs!$N$12))</f>
        <v>#VALUE!</v>
      </c>
    </row>
    <row r="158" spans="1:14" x14ac:dyDescent="0.3">
      <c r="A158" s="41"/>
      <c r="B158" s="22" t="s">
        <v>62</v>
      </c>
      <c r="C158" s="25" t="s">
        <v>83</v>
      </c>
      <c r="D158" s="176" t="e">
        <f>IF((((inputs!$P$12/(inputs!E156/MAX('Min rate concentrations'!D$3:D$368)))^(1/inputs!$O$12))-1)/inputs!$N$12&lt;0, 0, IF((((inputs!$P$12/(inputs!E156/MAX('Min rate concentrations'!D$3:D$368)))^(1/inputs!$O$12))-1)/inputs!$N$12&gt;inputs!$H$17, inputs!$H$17, (((inputs!$P$12/(inputs!E156/MAX('Min rate concentrations'!D$3:D$368)))^(1/inputs!$O$12))-1)/inputs!$N$12))</f>
        <v>#VALUE!</v>
      </c>
      <c r="E158" s="177" t="e">
        <f>IF((((inputs!$P$12/(inputs!E156/MAX('Min rate concentrations'!E$3:E$368)))^(1/inputs!$O$12))-1)/inputs!$N$12&lt;0, 0, IF((((inputs!$P$12/(inputs!E156/MAX('Min rate concentrations'!E$3:E$368)))^(1/inputs!$O$12))-1)/inputs!$N$12&gt;inputs!$H$17, inputs!$H$17, (((inputs!$P$12/(inputs!E156/MAX('Min rate concentrations'!E$3:E$368)))^(1/inputs!$O$12))-1)/inputs!$N$12))</f>
        <v>#VALUE!</v>
      </c>
      <c r="F158" s="176" t="e">
        <f>IF((((inputs!$P$12/(inputs!E156/MAX('Min rate concentrations'!F$3:F$368)))^(1/inputs!$O$12))-1)/inputs!$N$12&lt;0, 0, IF((((inputs!$P$12/(inputs!E156/MAX('Min rate concentrations'!F$3:F$368)))^(1/inputs!$O$12))-1)/inputs!$N$12&gt;inputs!$H$17, inputs!$H$17, (((inputs!$P$12/(inputs!E156/MAX('Min rate concentrations'!F$3:F$368)))^(1/inputs!$O$12))-1)/inputs!$N$12))</f>
        <v>#VALUE!</v>
      </c>
      <c r="G158" s="176" t="e">
        <f>IF((((inputs!$P$12/(inputs!E156/MAX('Min rate concentrations'!G$3:G$368)))^(1/inputs!$O$12))-1)/inputs!$N$12&lt;0, 0, IF((((inputs!$P$12/(inputs!E156/MAX('Min rate concentrations'!G$3:G$368)))^(1/inputs!$O$12))-1)/inputs!$N$12&gt;inputs!$H$17, inputs!$H$17, (((inputs!$P$12/(inputs!E156/MAX('Min rate concentrations'!G$3:G$368)))^(1/inputs!$O$12))-1)/inputs!$N$12))</f>
        <v>#VALUE!</v>
      </c>
      <c r="H158" s="176" t="e">
        <f>IF((((inputs!$P$12/(inputs!E143/MAX('Min rate concentrations'!H$3:H$368)))^(1/inputs!$O$12))-1)/inputs!$N$12&lt;0, 0, IF((((inputs!$P$12/(inputs!E143/MAX('Min rate concentrations'!H$3:H$368)))^(1/inputs!$O$12))-1)/inputs!$N$12&gt;inputs!$H$17, inputs!$H$17, (((inputs!$P$12/(inputs!E143/MAX('Min rate concentrations'!H$3:H$368)))^(1/inputs!$O$12))-1)/inputs!$N$12))</f>
        <v>#VALUE!</v>
      </c>
      <c r="I158" s="176" t="e">
        <f>IF((((inputs!$P$12/(inputs!E143/MAX('Min rate concentrations'!I$3:I$368)))^(1/inputs!$O$12))-1)/inputs!$N$12&lt;0, 0, IF((((inputs!$P$12/(inputs!E143/MAX('Min rate concentrations'!I$3:I$368)))^(1/inputs!$O$12))-1)/inputs!$N$12&gt;inputs!$H$17, inputs!$H$17, (((inputs!$P$12/(inputs!E143/MAX('Min rate concentrations'!I$3:I$368)))^(1/inputs!$O$12))-1)/inputs!$N$12))</f>
        <v>#VALUE!</v>
      </c>
      <c r="J158" s="101" t="s">
        <v>13</v>
      </c>
      <c r="K158" s="176" t="e">
        <f>IF((((inputs!$P$12/(inputs!E156/MAX('Min rate concentrations'!K$3:K$368)))^(1/inputs!$O$12))-1)/inputs!$N$12&lt;0, 0, IF((((inputs!$P$12/(inputs!E156/MAX('Min rate concentrations'!K$3:K$368)))^(1/inputs!$O$12))-1)/inputs!$N$12&gt;inputs!$H$17, inputs!$H$17, (((inputs!$P$12/(inputs!E156/MAX('Min rate concentrations'!K$3:K$368)))^(1/inputs!$O$12))-1)/inputs!$N$12))</f>
        <v>#VALUE!</v>
      </c>
      <c r="L158" s="101" t="s">
        <v>13</v>
      </c>
      <c r="M158" s="101" t="s">
        <v>13</v>
      </c>
      <c r="N158" s="176" t="e">
        <f>IF((((inputs!$P$12/(inputs!E169/MAX('Min rate concentrations'!N$3:N$368)))^(1/inputs!$O$12))-1)/inputs!$N$12&lt;0, 0, IF((((inputs!$P$12/(inputs!E169/MAX('Min rate concentrations'!N$3:N$368)))^(1/inputs!$O$12))-1)/inputs!$N$12&gt;inputs!$H$17, inputs!$H$17, (((inputs!$P$12/(inputs!E169/MAX('Min rate concentrations'!N$3:N$368)))^(1/inputs!$O$12))-1)/inputs!$N$12))</f>
        <v>#VALUE!</v>
      </c>
    </row>
    <row r="159" spans="1:14" x14ac:dyDescent="0.3">
      <c r="A159" s="41"/>
      <c r="B159" s="22" t="s">
        <v>66</v>
      </c>
      <c r="C159" s="25" t="s">
        <v>84</v>
      </c>
      <c r="D159" s="176" t="e">
        <f>IF((((inputs!$P$12/(inputs!E157/MAX('Min rate concentrations'!D$3:D$368)))^(1/inputs!$O$12))-1)/inputs!$N$12&lt;0, 0, IF((((inputs!$P$12/(inputs!E157/MAX('Min rate concentrations'!D$3:D$368)))^(1/inputs!$O$12))-1)/inputs!$N$12&gt;inputs!$H$17, inputs!$H$17, (((inputs!$P$12/(inputs!E157/MAX('Min rate concentrations'!D$3:D$368)))^(1/inputs!$O$12))-1)/inputs!$N$12))</f>
        <v>#VALUE!</v>
      </c>
      <c r="E159" s="177" t="e">
        <f>IF((((inputs!$P$12/(inputs!E157/MAX('Min rate concentrations'!E$3:E$368)))^(1/inputs!$O$12))-1)/inputs!$N$12&lt;0, 0, IF((((inputs!$P$12/(inputs!E157/MAX('Min rate concentrations'!E$3:E$368)))^(1/inputs!$O$12))-1)/inputs!$N$12&gt;inputs!$H$17, inputs!$H$17, (((inputs!$P$12/(inputs!E157/MAX('Min rate concentrations'!E$3:E$368)))^(1/inputs!$O$12))-1)/inputs!$N$12))</f>
        <v>#VALUE!</v>
      </c>
      <c r="F159" s="176" t="e">
        <f>IF((((inputs!$P$12/(inputs!E157/MAX('Min rate concentrations'!F$3:F$368)))^(1/inputs!$O$12))-1)/inputs!$N$12&lt;0, 0, IF((((inputs!$P$12/(inputs!E157/MAX('Min rate concentrations'!F$3:F$368)))^(1/inputs!$O$12))-1)/inputs!$N$12&gt;inputs!$H$17, inputs!$H$17, (((inputs!$P$12/(inputs!E157/MAX('Min rate concentrations'!F$3:F$368)))^(1/inputs!$O$12))-1)/inputs!$N$12))</f>
        <v>#VALUE!</v>
      </c>
      <c r="G159" s="176" t="e">
        <f>IF((((inputs!$P$12/(inputs!E157/MAX('Min rate concentrations'!G$3:G$368)))^(1/inputs!$O$12))-1)/inputs!$N$12&lt;0, 0, IF((((inputs!$P$12/(inputs!E157/MAX('Min rate concentrations'!G$3:G$368)))^(1/inputs!$O$12))-1)/inputs!$N$12&gt;inputs!$H$17, inputs!$H$17, (((inputs!$P$12/(inputs!E157/MAX('Min rate concentrations'!G$3:G$368)))^(1/inputs!$O$12))-1)/inputs!$N$12))</f>
        <v>#VALUE!</v>
      </c>
      <c r="H159" s="176" t="e">
        <f>IF((((inputs!$P$12/(inputs!E144/MAX('Min rate concentrations'!H$3:H$368)))^(1/inputs!$O$12))-1)/inputs!$N$12&lt;0, 0, IF((((inputs!$P$12/(inputs!E144/MAX('Min rate concentrations'!H$3:H$368)))^(1/inputs!$O$12))-1)/inputs!$N$12&gt;inputs!$H$17, inputs!$H$17, (((inputs!$P$12/(inputs!E144/MAX('Min rate concentrations'!H$3:H$368)))^(1/inputs!$O$12))-1)/inputs!$N$12))</f>
        <v>#VALUE!</v>
      </c>
      <c r="I159" s="176" t="e">
        <f>IF((((inputs!$P$12/(inputs!E144/MAX('Min rate concentrations'!I$3:I$368)))^(1/inputs!$O$12))-1)/inputs!$N$12&lt;0, 0, IF((((inputs!$P$12/(inputs!E144/MAX('Min rate concentrations'!I$3:I$368)))^(1/inputs!$O$12))-1)/inputs!$N$12&gt;inputs!$H$17, inputs!$H$17, (((inputs!$P$12/(inputs!E144/MAX('Min rate concentrations'!I$3:I$368)))^(1/inputs!$O$12))-1)/inputs!$N$12))</f>
        <v>#VALUE!</v>
      </c>
      <c r="J159" s="101" t="s">
        <v>13</v>
      </c>
      <c r="K159" s="176" t="e">
        <f>IF((((inputs!$P$12/(inputs!E157/MAX('Min rate concentrations'!K$3:K$368)))^(1/inputs!$O$12))-1)/inputs!$N$12&lt;0, 0, IF((((inputs!$P$12/(inputs!E157/MAX('Min rate concentrations'!K$3:K$368)))^(1/inputs!$O$12))-1)/inputs!$N$12&gt;inputs!$H$17, inputs!$H$17, (((inputs!$P$12/(inputs!E157/MAX('Min rate concentrations'!K$3:K$368)))^(1/inputs!$O$12))-1)/inputs!$N$12))</f>
        <v>#VALUE!</v>
      </c>
      <c r="L159" s="101" t="s">
        <v>13</v>
      </c>
      <c r="M159" s="101" t="s">
        <v>13</v>
      </c>
      <c r="N159" s="176">
        <f>IF((((inputs!$P$12/(inputs!E170/MAX('Min rate concentrations'!N$3:N$368)))^(1/inputs!$O$12))-1)/inputs!$N$12&lt;0, 0, IF((((inputs!$P$12/(inputs!E170/MAX('Min rate concentrations'!N$3:N$368)))^(1/inputs!$O$12))-1)/inputs!$N$12&gt;inputs!$H$17, inputs!$H$17, (((inputs!$P$12/(inputs!E170/MAX('Min rate concentrations'!N$3:N$368)))^(1/inputs!$O$12))-1)/inputs!$N$12))</f>
        <v>33.778772655762523</v>
      </c>
    </row>
    <row r="160" spans="1:14" x14ac:dyDescent="0.3">
      <c r="A160" s="41"/>
      <c r="B160" s="22" t="s">
        <v>62</v>
      </c>
      <c r="C160" s="25" t="s">
        <v>85</v>
      </c>
      <c r="D160" s="176" t="e">
        <f>IF((((inputs!$P$12/(inputs!E158/MAX('Min rate concentrations'!D$3:D$368)))^(1/inputs!$O$12))-1)/inputs!$N$12&lt;0, 0, IF((((inputs!$P$12/(inputs!E158/MAX('Min rate concentrations'!D$3:D$368)))^(1/inputs!$O$12))-1)/inputs!$N$12&gt;inputs!$H$17, inputs!$H$17, (((inputs!$P$12/(inputs!E158/MAX('Min rate concentrations'!D$3:D$368)))^(1/inputs!$O$12))-1)/inputs!$N$12))</f>
        <v>#VALUE!</v>
      </c>
      <c r="E160" s="177" t="e">
        <f>IF((((inputs!$P$12/(inputs!E158/MAX('Min rate concentrations'!E$3:E$368)))^(1/inputs!$O$12))-1)/inputs!$N$12&lt;0, 0, IF((((inputs!$P$12/(inputs!E158/MAX('Min rate concentrations'!E$3:E$368)))^(1/inputs!$O$12))-1)/inputs!$N$12&gt;inputs!$H$17, inputs!$H$17, (((inputs!$P$12/(inputs!E158/MAX('Min rate concentrations'!E$3:E$368)))^(1/inputs!$O$12))-1)/inputs!$N$12))</f>
        <v>#VALUE!</v>
      </c>
      <c r="F160" s="176" t="e">
        <f>IF((((inputs!$P$12/(inputs!E158/MAX('Min rate concentrations'!F$3:F$368)))^(1/inputs!$O$12))-1)/inputs!$N$12&lt;0, 0, IF((((inputs!$P$12/(inputs!E158/MAX('Min rate concentrations'!F$3:F$368)))^(1/inputs!$O$12))-1)/inputs!$N$12&gt;inputs!$H$17, inputs!$H$17, (((inputs!$P$12/(inputs!E158/MAX('Min rate concentrations'!F$3:F$368)))^(1/inputs!$O$12))-1)/inputs!$N$12))</f>
        <v>#VALUE!</v>
      </c>
      <c r="G160" s="176" t="e">
        <f>IF((((inputs!$P$12/(inputs!E158/MAX('Min rate concentrations'!G$3:G$368)))^(1/inputs!$O$12))-1)/inputs!$N$12&lt;0, 0, IF((((inputs!$P$12/(inputs!E158/MAX('Min rate concentrations'!G$3:G$368)))^(1/inputs!$O$12))-1)/inputs!$N$12&gt;inputs!$H$17, inputs!$H$17, (((inputs!$P$12/(inputs!E158/MAX('Min rate concentrations'!G$3:G$368)))^(1/inputs!$O$12))-1)/inputs!$N$12))</f>
        <v>#VALUE!</v>
      </c>
      <c r="H160" s="176" t="e">
        <f>IF((((inputs!$P$12/(inputs!E145/MAX('Min rate concentrations'!H$3:H$368)))^(1/inputs!$O$12))-1)/inputs!$N$12&lt;0, 0, IF((((inputs!$P$12/(inputs!E145/MAX('Min rate concentrations'!H$3:H$368)))^(1/inputs!$O$12))-1)/inputs!$N$12&gt;inputs!$H$17, inputs!$H$17, (((inputs!$P$12/(inputs!E145/MAX('Min rate concentrations'!H$3:H$368)))^(1/inputs!$O$12))-1)/inputs!$N$12))</f>
        <v>#VALUE!</v>
      </c>
      <c r="I160" s="176" t="e">
        <f>IF((((inputs!$P$12/(inputs!E145/MAX('Min rate concentrations'!I$3:I$368)))^(1/inputs!$O$12))-1)/inputs!$N$12&lt;0, 0, IF((((inputs!$P$12/(inputs!E145/MAX('Min rate concentrations'!I$3:I$368)))^(1/inputs!$O$12))-1)/inputs!$N$12&gt;inputs!$H$17, inputs!$H$17, (((inputs!$P$12/(inputs!E145/MAX('Min rate concentrations'!I$3:I$368)))^(1/inputs!$O$12))-1)/inputs!$N$12))</f>
        <v>#VALUE!</v>
      </c>
      <c r="J160" s="101" t="s">
        <v>13</v>
      </c>
      <c r="K160" s="176" t="e">
        <f>IF((((inputs!$P$12/(inputs!E158/MAX('Min rate concentrations'!K$3:K$368)))^(1/inputs!$O$12))-1)/inputs!$N$12&lt;0, 0, IF((((inputs!$P$12/(inputs!E158/MAX('Min rate concentrations'!K$3:K$368)))^(1/inputs!$O$12))-1)/inputs!$N$12&gt;inputs!$H$17, inputs!$H$17, (((inputs!$P$12/(inputs!E158/MAX('Min rate concentrations'!K$3:K$368)))^(1/inputs!$O$12))-1)/inputs!$N$12))</f>
        <v>#VALUE!</v>
      </c>
      <c r="L160" s="101" t="s">
        <v>13</v>
      </c>
      <c r="M160" s="101" t="s">
        <v>13</v>
      </c>
      <c r="N160" s="176" t="e">
        <f>IF((((inputs!$P$12/(inputs!E171/MAX('Min rate concentrations'!N$3:N$368)))^(1/inputs!$O$12))-1)/inputs!$N$12&lt;0, 0, IF((((inputs!$P$12/(inputs!E171/MAX('Min rate concentrations'!N$3:N$368)))^(1/inputs!$O$12))-1)/inputs!$N$12&gt;inputs!$H$17, inputs!$H$17, (((inputs!$P$12/(inputs!E171/MAX('Min rate concentrations'!N$3:N$368)))^(1/inputs!$O$12))-1)/inputs!$N$12))</f>
        <v>#VALUE!</v>
      </c>
    </row>
    <row r="161" spans="1:14" x14ac:dyDescent="0.3">
      <c r="A161" s="41"/>
      <c r="B161" s="22" t="s">
        <v>66</v>
      </c>
      <c r="C161" s="25" t="s">
        <v>86</v>
      </c>
      <c r="D161" s="176">
        <f>IF((((inputs!$P$12/(inputs!E159/MAX('Min rate concentrations'!D$3:D$368)))^(1/inputs!$O$12))-1)/inputs!$N$12&lt;0, 0, IF((((inputs!$P$12/(inputs!E159/MAX('Min rate concentrations'!D$3:D$368)))^(1/inputs!$O$12))-1)/inputs!$N$12&gt;inputs!$H$17, inputs!$H$17, (((inputs!$P$12/(inputs!E159/MAX('Min rate concentrations'!D$3:D$368)))^(1/inputs!$O$12))-1)/inputs!$N$12))</f>
        <v>48.256092362560565</v>
      </c>
      <c r="E161" s="177">
        <f>IF((((inputs!$P$12/(inputs!E159/MAX('Min rate concentrations'!E$3:E$368)))^(1/inputs!$O$12))-1)/inputs!$N$12&lt;0, 0, IF((((inputs!$P$12/(inputs!E159/MAX('Min rate concentrations'!E$3:E$368)))^(1/inputs!$O$12))-1)/inputs!$N$12&gt;inputs!$H$17, inputs!$H$17, (((inputs!$P$12/(inputs!E159/MAX('Min rate concentrations'!E$3:E$368)))^(1/inputs!$O$12))-1)/inputs!$N$12))</f>
        <v>27.388747502326506</v>
      </c>
      <c r="F161" s="176">
        <f>IF((((inputs!$P$12/(inputs!E159/MAX('Min rate concentrations'!F$3:F$368)))^(1/inputs!$O$12))-1)/inputs!$N$12&lt;0, 0, IF((((inputs!$P$12/(inputs!E159/MAX('Min rate concentrations'!F$3:F$368)))^(1/inputs!$O$12))-1)/inputs!$N$12&gt;inputs!$H$17, inputs!$H$17, (((inputs!$P$12/(inputs!E159/MAX('Min rate concentrations'!F$3:F$368)))^(1/inputs!$O$12))-1)/inputs!$N$12))</f>
        <v>32.242642847727105</v>
      </c>
      <c r="G161" s="176">
        <f>IF((((inputs!$P$12/(inputs!E159/MAX('Min rate concentrations'!G$3:G$368)))^(1/inputs!$O$12))-1)/inputs!$N$12&lt;0, 0, IF((((inputs!$P$12/(inputs!E159/MAX('Min rate concentrations'!G$3:G$368)))^(1/inputs!$O$12))-1)/inputs!$N$12&gt;inputs!$H$17, inputs!$H$17, (((inputs!$P$12/(inputs!E159/MAX('Min rate concentrations'!G$3:G$368)))^(1/inputs!$O$12))-1)/inputs!$N$12))</f>
        <v>0</v>
      </c>
      <c r="H161" s="176" t="e">
        <f>IF((((inputs!$P$12/(inputs!E146/MAX('Min rate concentrations'!H$3:H$368)))^(1/inputs!$O$12))-1)/inputs!$N$12&lt;0, 0, IF((((inputs!$P$12/(inputs!E146/MAX('Min rate concentrations'!H$3:H$368)))^(1/inputs!$O$12))-1)/inputs!$N$12&gt;inputs!$H$17, inputs!$H$17, (((inputs!$P$12/(inputs!E146/MAX('Min rate concentrations'!H$3:H$368)))^(1/inputs!$O$12))-1)/inputs!$N$12))</f>
        <v>#VALUE!</v>
      </c>
      <c r="I161" s="176" t="e">
        <f>IF((((inputs!$P$12/(inputs!E146/MAX('Min rate concentrations'!I$3:I$368)))^(1/inputs!$O$12))-1)/inputs!$N$12&lt;0, 0, IF((((inputs!$P$12/(inputs!E146/MAX('Min rate concentrations'!I$3:I$368)))^(1/inputs!$O$12))-1)/inputs!$N$12&gt;inputs!$H$17, inputs!$H$17, (((inputs!$P$12/(inputs!E146/MAX('Min rate concentrations'!I$3:I$368)))^(1/inputs!$O$12))-1)/inputs!$N$12))</f>
        <v>#VALUE!</v>
      </c>
      <c r="J161" s="101" t="s">
        <v>13</v>
      </c>
      <c r="K161" s="176">
        <f>IF((((inputs!$P$12/(inputs!E159/MAX('Min rate concentrations'!K$3:K$368)))^(1/inputs!$O$12))-1)/inputs!$N$12&lt;0, 0, IF((((inputs!$P$12/(inputs!E159/MAX('Min rate concentrations'!K$3:K$368)))^(1/inputs!$O$12))-1)/inputs!$N$12&gt;inputs!$H$17, inputs!$H$17, (((inputs!$P$12/(inputs!E159/MAX('Min rate concentrations'!K$3:K$368)))^(1/inputs!$O$12))-1)/inputs!$N$12))</f>
        <v>7.2525013859645133</v>
      </c>
      <c r="L161" s="101" t="s">
        <v>13</v>
      </c>
      <c r="M161" s="101" t="s">
        <v>13</v>
      </c>
      <c r="N161" s="176">
        <f>IF((((inputs!$P$12/(inputs!E172/MAX('Min rate concentrations'!N$3:N$368)))^(1/inputs!$O$12))-1)/inputs!$N$12&lt;0, 0, IF((((inputs!$P$12/(inputs!E172/MAX('Min rate concentrations'!N$3:N$368)))^(1/inputs!$O$12))-1)/inputs!$N$12&gt;inputs!$H$17, inputs!$H$17, (((inputs!$P$12/(inputs!E172/MAX('Min rate concentrations'!N$3:N$368)))^(1/inputs!$O$12))-1)/inputs!$N$12))</f>
        <v>0</v>
      </c>
    </row>
    <row r="162" spans="1:14" x14ac:dyDescent="0.3">
      <c r="A162" s="41"/>
      <c r="B162" s="22" t="s">
        <v>62</v>
      </c>
      <c r="C162" s="25" t="s">
        <v>87</v>
      </c>
      <c r="D162" s="176" t="e">
        <f>IF((((inputs!$P$12/(inputs!E160/MAX('Min rate concentrations'!D$3:D$368)))^(1/inputs!$O$12))-1)/inputs!$N$12&lt;0, 0, IF((((inputs!$P$12/(inputs!E160/MAX('Min rate concentrations'!D$3:D$368)))^(1/inputs!$O$12))-1)/inputs!$N$12&gt;inputs!$H$17, inputs!$H$17, (((inputs!$P$12/(inputs!E160/MAX('Min rate concentrations'!D$3:D$368)))^(1/inputs!$O$12))-1)/inputs!$N$12))</f>
        <v>#VALUE!</v>
      </c>
      <c r="E162" s="177" t="e">
        <f>IF((((inputs!$P$12/(inputs!E160/MAX('Min rate concentrations'!E$3:E$368)))^(1/inputs!$O$12))-1)/inputs!$N$12&lt;0, 0, IF((((inputs!$P$12/(inputs!E160/MAX('Min rate concentrations'!E$3:E$368)))^(1/inputs!$O$12))-1)/inputs!$N$12&gt;inputs!$H$17, inputs!$H$17, (((inputs!$P$12/(inputs!E160/MAX('Min rate concentrations'!E$3:E$368)))^(1/inputs!$O$12))-1)/inputs!$N$12))</f>
        <v>#VALUE!</v>
      </c>
      <c r="F162" s="176" t="e">
        <f>IF((((inputs!$P$12/(inputs!E160/MAX('Min rate concentrations'!F$3:F$368)))^(1/inputs!$O$12))-1)/inputs!$N$12&lt;0, 0, IF((((inputs!$P$12/(inputs!E160/MAX('Min rate concentrations'!F$3:F$368)))^(1/inputs!$O$12))-1)/inputs!$N$12&gt;inputs!$H$17, inputs!$H$17, (((inputs!$P$12/(inputs!E160/MAX('Min rate concentrations'!F$3:F$368)))^(1/inputs!$O$12))-1)/inputs!$N$12))</f>
        <v>#VALUE!</v>
      </c>
      <c r="G162" s="176" t="e">
        <f>IF((((inputs!$P$12/(inputs!E160/MAX('Min rate concentrations'!G$3:G$368)))^(1/inputs!$O$12))-1)/inputs!$N$12&lt;0, 0, IF((((inputs!$P$12/(inputs!E160/MAX('Min rate concentrations'!G$3:G$368)))^(1/inputs!$O$12))-1)/inputs!$N$12&gt;inputs!$H$17, inputs!$H$17, (((inputs!$P$12/(inputs!E160/MAX('Min rate concentrations'!G$3:G$368)))^(1/inputs!$O$12))-1)/inputs!$N$12))</f>
        <v>#VALUE!</v>
      </c>
      <c r="H162" s="176" t="e">
        <f>IF((((inputs!$P$12/(inputs!E147/MAX('Min rate concentrations'!H$3:H$368)))^(1/inputs!$O$12))-1)/inputs!$N$12&lt;0, 0, IF((((inputs!$P$12/(inputs!E147/MAX('Min rate concentrations'!H$3:H$368)))^(1/inputs!$O$12))-1)/inputs!$N$12&gt;inputs!$H$17, inputs!$H$17, (((inputs!$P$12/(inputs!E147/MAX('Min rate concentrations'!H$3:H$368)))^(1/inputs!$O$12))-1)/inputs!$N$12))</f>
        <v>#VALUE!</v>
      </c>
      <c r="I162" s="176" t="e">
        <f>IF((((inputs!$P$12/(inputs!E147/MAX('Min rate concentrations'!I$3:I$368)))^(1/inputs!$O$12))-1)/inputs!$N$12&lt;0, 0, IF((((inputs!$P$12/(inputs!E147/MAX('Min rate concentrations'!I$3:I$368)))^(1/inputs!$O$12))-1)/inputs!$N$12&gt;inputs!$H$17, inputs!$H$17, (((inputs!$P$12/(inputs!E147/MAX('Min rate concentrations'!I$3:I$368)))^(1/inputs!$O$12))-1)/inputs!$N$12))</f>
        <v>#VALUE!</v>
      </c>
      <c r="J162" s="101" t="s">
        <v>13</v>
      </c>
      <c r="K162" s="176" t="e">
        <f>IF((((inputs!$P$12/(inputs!E160/MAX('Min rate concentrations'!K$3:K$368)))^(1/inputs!$O$12))-1)/inputs!$N$12&lt;0, 0, IF((((inputs!$P$12/(inputs!E160/MAX('Min rate concentrations'!K$3:K$368)))^(1/inputs!$O$12))-1)/inputs!$N$12&gt;inputs!$H$17, inputs!$H$17, (((inputs!$P$12/(inputs!E160/MAX('Min rate concentrations'!K$3:K$368)))^(1/inputs!$O$12))-1)/inputs!$N$12))</f>
        <v>#VALUE!</v>
      </c>
      <c r="L162" s="101" t="s">
        <v>13</v>
      </c>
      <c r="M162" s="101" t="s">
        <v>13</v>
      </c>
      <c r="N162" s="176" t="e">
        <f>IF((((inputs!$P$12/(inputs!E173/MAX('Min rate concentrations'!N$3:N$368)))^(1/inputs!$O$12))-1)/inputs!$N$12&lt;0, 0, IF((((inputs!$P$12/(inputs!E173/MAX('Min rate concentrations'!N$3:N$368)))^(1/inputs!$O$12))-1)/inputs!$N$12&gt;inputs!$H$17, inputs!$H$17, (((inputs!$P$12/(inputs!E173/MAX('Min rate concentrations'!N$3:N$368)))^(1/inputs!$O$12))-1)/inputs!$N$12))</f>
        <v>#VALUE!</v>
      </c>
    </row>
    <row r="163" spans="1:14" x14ac:dyDescent="0.3">
      <c r="A163" s="41"/>
      <c r="B163" s="22" t="s">
        <v>66</v>
      </c>
      <c r="C163" s="25" t="s">
        <v>88</v>
      </c>
      <c r="D163" s="176" t="e">
        <f>IF((((inputs!$P$12/(inputs!E161/MAX('Min rate concentrations'!D$3:D$368)))^(1/inputs!$O$12))-1)/inputs!$N$12&lt;0, 0, IF((((inputs!$P$12/(inputs!E161/MAX('Min rate concentrations'!D$3:D$368)))^(1/inputs!$O$12))-1)/inputs!$N$12&gt;inputs!$H$17, inputs!$H$17, (((inputs!$P$12/(inputs!E161/MAX('Min rate concentrations'!D$3:D$368)))^(1/inputs!$O$12))-1)/inputs!$N$12))</f>
        <v>#VALUE!</v>
      </c>
      <c r="E163" s="177" t="e">
        <f>IF((((inputs!$P$12/(inputs!E161/MAX('Min rate concentrations'!E$3:E$368)))^(1/inputs!$O$12))-1)/inputs!$N$12&lt;0, 0, IF((((inputs!$P$12/(inputs!E161/MAX('Min rate concentrations'!E$3:E$368)))^(1/inputs!$O$12))-1)/inputs!$N$12&gt;inputs!$H$17, inputs!$H$17, (((inputs!$P$12/(inputs!E161/MAX('Min rate concentrations'!E$3:E$368)))^(1/inputs!$O$12))-1)/inputs!$N$12))</f>
        <v>#VALUE!</v>
      </c>
      <c r="F163" s="176" t="e">
        <f>IF((((inputs!$P$12/(inputs!E161/MAX('Min rate concentrations'!F$3:F$368)))^(1/inputs!$O$12))-1)/inputs!$N$12&lt;0, 0, IF((((inputs!$P$12/(inputs!E161/MAX('Min rate concentrations'!F$3:F$368)))^(1/inputs!$O$12))-1)/inputs!$N$12&gt;inputs!$H$17, inputs!$H$17, (((inputs!$P$12/(inputs!E161/MAX('Min rate concentrations'!F$3:F$368)))^(1/inputs!$O$12))-1)/inputs!$N$12))</f>
        <v>#VALUE!</v>
      </c>
      <c r="G163" s="176" t="e">
        <f>IF((((inputs!$P$12/(inputs!E161/MAX('Min rate concentrations'!G$3:G$368)))^(1/inputs!$O$12))-1)/inputs!$N$12&lt;0, 0, IF((((inputs!$P$12/(inputs!E161/MAX('Min rate concentrations'!G$3:G$368)))^(1/inputs!$O$12))-1)/inputs!$N$12&gt;inputs!$H$17, inputs!$H$17, (((inputs!$P$12/(inputs!E161/MAX('Min rate concentrations'!G$3:G$368)))^(1/inputs!$O$12))-1)/inputs!$N$12))</f>
        <v>#VALUE!</v>
      </c>
      <c r="H163" s="176" t="e">
        <f>IF((((inputs!$P$12/(inputs!E148/MAX('Min rate concentrations'!H$3:H$368)))^(1/inputs!$O$12))-1)/inputs!$N$12&lt;0, 0, IF((((inputs!$P$12/(inputs!E148/MAX('Min rate concentrations'!H$3:H$368)))^(1/inputs!$O$12))-1)/inputs!$N$12&gt;inputs!$H$17, inputs!$H$17, (((inputs!$P$12/(inputs!E148/MAX('Min rate concentrations'!H$3:H$368)))^(1/inputs!$O$12))-1)/inputs!$N$12))</f>
        <v>#VALUE!</v>
      </c>
      <c r="I163" s="176" t="e">
        <f>IF((((inputs!$P$12/(inputs!E148/MAX('Min rate concentrations'!I$3:I$368)))^(1/inputs!$O$12))-1)/inputs!$N$12&lt;0, 0, IF((((inputs!$P$12/(inputs!E148/MAX('Min rate concentrations'!I$3:I$368)))^(1/inputs!$O$12))-1)/inputs!$N$12&gt;inputs!$H$17, inputs!$H$17, (((inputs!$P$12/(inputs!E148/MAX('Min rate concentrations'!I$3:I$368)))^(1/inputs!$O$12))-1)/inputs!$N$12))</f>
        <v>#VALUE!</v>
      </c>
      <c r="J163" s="101" t="s">
        <v>13</v>
      </c>
      <c r="K163" s="176" t="e">
        <f>IF((((inputs!$P$12/(inputs!E161/MAX('Min rate concentrations'!K$3:K$368)))^(1/inputs!$O$12))-1)/inputs!$N$12&lt;0, 0, IF((((inputs!$P$12/(inputs!E161/MAX('Min rate concentrations'!K$3:K$368)))^(1/inputs!$O$12))-1)/inputs!$N$12&gt;inputs!$H$17, inputs!$H$17, (((inputs!$P$12/(inputs!E161/MAX('Min rate concentrations'!K$3:K$368)))^(1/inputs!$O$12))-1)/inputs!$N$12))</f>
        <v>#VALUE!</v>
      </c>
      <c r="L163" s="101" t="s">
        <v>13</v>
      </c>
      <c r="M163" s="101" t="s">
        <v>13</v>
      </c>
      <c r="N163" s="176">
        <f>IF((((inputs!$P$12/(inputs!E174/MAX('Min rate concentrations'!N$3:N$368)))^(1/inputs!$O$12))-1)/inputs!$N$12&lt;0, 0, IF((((inputs!$P$12/(inputs!E174/MAX('Min rate concentrations'!N$3:N$368)))^(1/inputs!$O$12))-1)/inputs!$N$12&gt;inputs!$H$17, inputs!$H$17, (((inputs!$P$12/(inputs!E174/MAX('Min rate concentrations'!N$3:N$368)))^(1/inputs!$O$12))-1)/inputs!$N$12))</f>
        <v>0</v>
      </c>
    </row>
    <row r="164" spans="1:14" x14ac:dyDescent="0.3">
      <c r="A164" s="39"/>
      <c r="B164" s="22" t="s">
        <v>64</v>
      </c>
      <c r="C164" s="25" t="s">
        <v>72</v>
      </c>
      <c r="D164" s="176">
        <f>IF((((inputs!$P$12/(inputs!E162/MAX('Min rate concentrations'!D$3:D$368)))^(1/inputs!$O$12))-1)/inputs!$N$12&lt;0, 0, IF((((inputs!$P$12/(inputs!E162/MAX('Min rate concentrations'!D$3:D$368)))^(1/inputs!$O$12))-1)/inputs!$N$12&gt;inputs!$H$17, inputs!$H$17, (((inputs!$P$12/(inputs!E162/MAX('Min rate concentrations'!D$3:D$368)))^(1/inputs!$O$12))-1)/inputs!$N$12))</f>
        <v>29.401742467125374</v>
      </c>
      <c r="E164" s="177">
        <f>IF((((inputs!$P$12/(inputs!E162/MAX('Min rate concentrations'!E$3:E$368)))^(1/inputs!$O$12))-1)/inputs!$N$12&lt;0, 0, IF((((inputs!$P$12/(inputs!E162/MAX('Min rate concentrations'!E$3:E$368)))^(1/inputs!$O$12))-1)/inputs!$N$12&gt;inputs!$H$17, inputs!$H$17, (((inputs!$P$12/(inputs!E162/MAX('Min rate concentrations'!E$3:E$368)))^(1/inputs!$O$12))-1)/inputs!$N$12))</f>
        <v>13.660913670670858</v>
      </c>
      <c r="F164" s="176">
        <f>IF((((inputs!$P$12/(inputs!E162/MAX('Min rate concentrations'!F$3:F$368)))^(1/inputs!$O$12))-1)/inputs!$N$12&lt;0, 0, IF((((inputs!$P$12/(inputs!E162/MAX('Min rate concentrations'!F$3:F$368)))^(1/inputs!$O$12))-1)/inputs!$N$12&gt;inputs!$H$17, inputs!$H$17, (((inputs!$P$12/(inputs!E162/MAX('Min rate concentrations'!F$3:F$368)))^(1/inputs!$O$12))-1)/inputs!$N$12))</f>
        <v>17.322344300183211</v>
      </c>
      <c r="G164" s="176">
        <f>IF((((inputs!$P$12/(inputs!E162/MAX('Min rate concentrations'!G$3:G$368)))^(1/inputs!$O$12))-1)/inputs!$N$12&lt;0, 0, IF((((inputs!$P$12/(inputs!E162/MAX('Min rate concentrations'!G$3:G$368)))^(1/inputs!$O$12))-1)/inputs!$N$12&gt;inputs!$H$17, inputs!$H$17, (((inputs!$P$12/(inputs!E162/MAX('Min rate concentrations'!G$3:G$368)))^(1/inputs!$O$12))-1)/inputs!$N$12))</f>
        <v>0</v>
      </c>
      <c r="H164" s="176">
        <f>IF((((inputs!$P$12/(inputs!E149/MAX('Min rate concentrations'!H$3:H$368)))^(1/inputs!$O$12))-1)/inputs!$N$12&lt;0, 0, IF((((inputs!$P$12/(inputs!E149/MAX('Min rate concentrations'!H$3:H$368)))^(1/inputs!$O$12))-1)/inputs!$N$12&gt;inputs!$H$17, inputs!$H$17, (((inputs!$P$12/(inputs!E149/MAX('Min rate concentrations'!H$3:H$368)))^(1/inputs!$O$12))-1)/inputs!$N$12))</f>
        <v>189.72771518482165</v>
      </c>
      <c r="I164" s="176">
        <f>IF((((inputs!$P$12/(inputs!E149/MAX('Min rate concentrations'!I$3:I$368)))^(1/inputs!$O$12))-1)/inputs!$N$12&lt;0, 0, IF((((inputs!$P$12/(inputs!E149/MAX('Min rate concentrations'!I$3:I$368)))^(1/inputs!$O$12))-1)/inputs!$N$12&gt;inputs!$H$17, inputs!$H$17, (((inputs!$P$12/(inputs!E149/MAX('Min rate concentrations'!I$3:I$368)))^(1/inputs!$O$12))-1)/inputs!$N$12))</f>
        <v>85.2846978803409</v>
      </c>
      <c r="J164" s="101" t="s">
        <v>13</v>
      </c>
      <c r="K164" s="176">
        <f>IF((((inputs!$P$12/(inputs!E162/MAX('Min rate concentrations'!K$3:K$368)))^(1/inputs!$O$12))-1)/inputs!$N$12&lt;0, 0, IF((((inputs!$P$12/(inputs!E162/MAX('Min rate concentrations'!K$3:K$368)))^(1/inputs!$O$12))-1)/inputs!$N$12&gt;inputs!$H$17, inputs!$H$17, (((inputs!$P$12/(inputs!E162/MAX('Min rate concentrations'!K$3:K$368)))^(1/inputs!$O$12))-1)/inputs!$N$12))</f>
        <v>0</v>
      </c>
      <c r="L164" s="101" t="s">
        <v>13</v>
      </c>
      <c r="M164" s="101" t="s">
        <v>13</v>
      </c>
      <c r="N164" s="176">
        <f>IF((((inputs!$P$12/(inputs!E175/MAX('Min rate concentrations'!N$3:N$368)))^(1/inputs!$O$12))-1)/inputs!$N$12&lt;0, 0, IF((((inputs!$P$12/(inputs!E175/MAX('Min rate concentrations'!N$3:N$368)))^(1/inputs!$O$12))-1)/inputs!$N$12&gt;inputs!$H$17, inputs!$H$17, (((inputs!$P$12/(inputs!E175/MAX('Min rate concentrations'!N$3:N$368)))^(1/inputs!$O$12))-1)/inputs!$N$12))</f>
        <v>0</v>
      </c>
    </row>
    <row r="165" spans="1:14" x14ac:dyDescent="0.3">
      <c r="A165" s="62"/>
      <c r="B165" s="23"/>
      <c r="C165" s="23"/>
      <c r="D165" s="78"/>
      <c r="E165" s="78"/>
      <c r="F165" s="78"/>
      <c r="G165" s="78"/>
      <c r="H165" s="78"/>
      <c r="I165" s="78"/>
      <c r="J165" s="78"/>
      <c r="K165" s="78"/>
      <c r="L165" s="78"/>
      <c r="M165" s="78"/>
      <c r="N165" s="77"/>
    </row>
    <row r="166" spans="1:14" x14ac:dyDescent="0.3">
      <c r="A166" s="62"/>
      <c r="B166" s="23"/>
      <c r="C166" s="23"/>
      <c r="D166" s="78"/>
      <c r="E166" s="78"/>
      <c r="F166" s="78"/>
      <c r="G166" s="78"/>
      <c r="H166" s="78"/>
      <c r="I166" s="78"/>
      <c r="J166" s="78"/>
      <c r="K166" s="78"/>
      <c r="L166" s="78"/>
      <c r="M166" s="78"/>
      <c r="N166" s="77"/>
    </row>
  </sheetData>
  <sheetProtection algorithmName="SHA-512" hashValue="z1bgzA6RLCBmC/+xpCc+5msJbuuad9655mgEq2TFaeCOLNFZJE3AbKlvBlBEcoG49YNLAcR7o7ZtDk+BP9TVww==" saltValue="e0k0VZC8GYSovBKjDV6Dag==" spinCount="100000" sheet="1" objects="1" scenarios="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A1:AV171"/>
  <sheetViews>
    <sheetView zoomScaleNormal="100" workbookViewId="0">
      <pane xSplit="1" ySplit="2" topLeftCell="B105" activePane="bottomRight" state="frozen"/>
      <selection pane="topRight" activeCell="B1" sqref="B1"/>
      <selection pane="bottomLeft" activeCell="A3" sqref="A3"/>
      <selection pane="bottomRight" activeCell="D116" sqref="D116"/>
    </sheetView>
  </sheetViews>
  <sheetFormatPr defaultColWidth="8.88671875" defaultRowHeight="14.4" x14ac:dyDescent="0.3"/>
  <cols>
    <col min="1" max="1" width="12.6640625" style="4" customWidth="1"/>
    <col min="2" max="2" width="16.6640625" style="4" customWidth="1"/>
    <col min="3" max="3" width="33.44140625" style="4" customWidth="1"/>
    <col min="4" max="4" width="8.88671875" style="4"/>
    <col min="5" max="5" width="11.44140625" style="4" customWidth="1"/>
    <col min="6" max="6" width="10.5546875" style="4" customWidth="1"/>
    <col min="7" max="7" width="9.5546875" style="4" bestFit="1" customWidth="1"/>
    <col min="8" max="8" width="11.33203125" style="4" customWidth="1"/>
    <col min="9" max="9" width="9.5546875" style="4" bestFit="1" customWidth="1"/>
    <col min="10" max="10" width="10" style="4" customWidth="1"/>
    <col min="11" max="11" width="10.44140625" style="4" customWidth="1"/>
    <col min="12" max="12" width="9.5546875" style="4" bestFit="1" customWidth="1"/>
    <col min="13" max="13" width="13.88671875" style="4" customWidth="1"/>
    <col min="14" max="16" width="8.88671875" style="4"/>
    <col min="17" max="17" width="19.33203125" style="4" customWidth="1"/>
    <col min="18" max="16384" width="8.88671875" style="4"/>
  </cols>
  <sheetData>
    <row r="1" spans="1:48" x14ac:dyDescent="0.3">
      <c r="A1" s="1" t="s">
        <v>787</v>
      </c>
      <c r="B1" s="1"/>
    </row>
    <row r="2" spans="1:48" ht="56.25" customHeight="1" x14ac:dyDescent="0.3">
      <c r="A2" s="2" t="s">
        <v>57</v>
      </c>
      <c r="B2" s="2" t="s">
        <v>58</v>
      </c>
      <c r="C2" s="2" t="s">
        <v>59</v>
      </c>
      <c r="D2" s="100" t="s">
        <v>98</v>
      </c>
      <c r="E2" s="100" t="s">
        <v>99</v>
      </c>
      <c r="F2" s="100" t="s">
        <v>100</v>
      </c>
      <c r="G2" s="100" t="s">
        <v>101</v>
      </c>
      <c r="H2" s="100" t="s">
        <v>102</v>
      </c>
      <c r="I2" s="100" t="s">
        <v>112</v>
      </c>
      <c r="J2" s="100" t="s">
        <v>113</v>
      </c>
      <c r="K2" s="100" t="s">
        <v>770</v>
      </c>
      <c r="L2" s="100" t="s">
        <v>115</v>
      </c>
      <c r="M2" s="100" t="s">
        <v>116</v>
      </c>
      <c r="N2" s="100" t="s">
        <v>769</v>
      </c>
    </row>
    <row r="3" spans="1:48" x14ac:dyDescent="0.3">
      <c r="A3" s="40" t="s">
        <v>61</v>
      </c>
      <c r="B3" s="22" t="s">
        <v>62</v>
      </c>
      <c r="C3" s="22" t="s">
        <v>63</v>
      </c>
      <c r="D3" s="101">
        <f>COUNTIF('Max rate concentrations'!D$3:D$368, "&gt;"&amp;inputs!E95)</f>
        <v>30</v>
      </c>
      <c r="E3" s="101">
        <f>COUNTIF('Max rate concentrations'!E$3:E$368, "&gt;"&amp;inputs!E95)</f>
        <v>24</v>
      </c>
      <c r="F3" s="101">
        <f>COUNTIF('Max rate concentrations'!F$3:F$368, "&gt;"&amp;inputs!E95)</f>
        <v>25</v>
      </c>
      <c r="G3" s="101">
        <f>COUNTIF('Max rate concentrations'!G$3:G$368, "&gt;"&amp;inputs!E95)</f>
        <v>8</v>
      </c>
      <c r="H3" s="101">
        <f>COUNTIF('Max rate concentrations'!H$3:H$368, "&gt;"&amp;inputs!E95)</f>
        <v>22</v>
      </c>
      <c r="I3" s="101">
        <f>COUNTIF('Max rate concentrations'!I$3:I$368, "&gt;"&amp;inputs!E95)</f>
        <v>63</v>
      </c>
      <c r="J3" s="101">
        <f>COUNTIF('Max rate concentrations'!J$3:J$368, "&gt;"&amp;inputs!E95)</f>
        <v>30</v>
      </c>
      <c r="K3" s="101">
        <f>COUNTIF('Max rate concentrations'!K$3:K$368, "&gt;"&amp;inputs!E95)</f>
        <v>16</v>
      </c>
      <c r="L3" s="101">
        <f>COUNTIF('Max rate concentrations'!L$3:L$368, "&gt;"&amp;inputs!E95)</f>
        <v>26</v>
      </c>
      <c r="M3" s="101">
        <f>COUNTIF('Max rate concentrations'!M$3:M$368, "&gt;"&amp;inputs!E95)</f>
        <v>1</v>
      </c>
      <c r="N3" s="101" t="s">
        <v>13</v>
      </c>
      <c r="Q3" s="107"/>
      <c r="R3" s="107"/>
      <c r="S3" s="107"/>
      <c r="T3" s="107"/>
      <c r="U3" s="107"/>
      <c r="V3" s="107"/>
      <c r="W3" s="107"/>
      <c r="X3" s="107"/>
      <c r="Y3" s="107"/>
      <c r="Z3" s="178"/>
      <c r="AA3" s="178"/>
      <c r="AB3" s="178"/>
      <c r="AC3" s="178"/>
      <c r="AD3" s="178"/>
      <c r="AE3" s="178"/>
      <c r="AF3" s="178"/>
      <c r="AG3" s="178"/>
      <c r="AH3" s="178"/>
      <c r="AI3" s="178"/>
      <c r="AJ3" s="179"/>
      <c r="AK3" s="178"/>
      <c r="AL3" s="178"/>
      <c r="AM3" s="178"/>
      <c r="AN3" s="107"/>
      <c r="AO3" s="107"/>
      <c r="AP3" s="107"/>
      <c r="AQ3" s="107"/>
      <c r="AR3" s="107"/>
      <c r="AS3" s="107"/>
      <c r="AT3" s="107"/>
      <c r="AU3" s="107"/>
      <c r="AV3" s="107"/>
    </row>
    <row r="4" spans="1:48" x14ac:dyDescent="0.3">
      <c r="A4" s="41"/>
      <c r="B4" s="22" t="s">
        <v>64</v>
      </c>
      <c r="C4" s="22" t="s">
        <v>65</v>
      </c>
      <c r="D4" s="101">
        <f>COUNTIF('Max rate concentrations'!D$3:D$368, "&gt;"&amp;inputs!E96)</f>
        <v>9</v>
      </c>
      <c r="E4" s="101">
        <f>COUNTIF('Max rate concentrations'!E$3:E$368, "&gt;"&amp;inputs!E96)</f>
        <v>3</v>
      </c>
      <c r="F4" s="101">
        <f>COUNTIF('Max rate concentrations'!F$3:F$368, "&gt;"&amp;inputs!E96)</f>
        <v>4</v>
      </c>
      <c r="G4" s="101">
        <f>COUNTIF('Max rate concentrations'!G$3:G$368, "&gt;"&amp;inputs!E96)</f>
        <v>0</v>
      </c>
      <c r="H4" s="101">
        <f>COUNTIF('Max rate concentrations'!H$3:H$368, "&gt;"&amp;inputs!E96)</f>
        <v>1</v>
      </c>
      <c r="I4" s="101">
        <f>COUNTIF('Max rate concentrations'!I$3:I$368, "&gt;"&amp;inputs!E96)</f>
        <v>0</v>
      </c>
      <c r="J4" s="101">
        <f>COUNTIF('Max rate concentrations'!J$3:J$368, "&gt;"&amp;inputs!E96)</f>
        <v>9</v>
      </c>
      <c r="K4" s="101">
        <f>COUNTIF('Max rate concentrations'!K$3:K$368, "&gt;"&amp;inputs!E96)</f>
        <v>0</v>
      </c>
      <c r="L4" s="101">
        <f>COUNTIF('Max rate concentrations'!L$3:L$368, "&gt;"&amp;inputs!E96)</f>
        <v>4</v>
      </c>
      <c r="M4" s="101">
        <f>COUNTIF('Max rate concentrations'!M$3:M$368, "&gt;"&amp;inputs!E96)</f>
        <v>0</v>
      </c>
      <c r="N4" s="101" t="s">
        <v>13</v>
      </c>
      <c r="Q4" s="10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row>
    <row r="5" spans="1:48" x14ac:dyDescent="0.3">
      <c r="A5" s="41"/>
      <c r="B5" s="22" t="s">
        <v>66</v>
      </c>
      <c r="C5" s="22" t="s">
        <v>80</v>
      </c>
      <c r="D5" s="101">
        <f>COUNTIF('Max rate concentrations'!D$3:D$368, "&gt;"&amp;inputs!E97)</f>
        <v>1</v>
      </c>
      <c r="E5" s="101">
        <f>COUNTIF('Max rate concentrations'!E$3:E$368, "&gt;"&amp;inputs!E97)</f>
        <v>0</v>
      </c>
      <c r="F5" s="101">
        <f>COUNTIF('Max rate concentrations'!F$3:F$368, "&gt;"&amp;inputs!E97)</f>
        <v>0</v>
      </c>
      <c r="G5" s="101">
        <f>COUNTIF('Max rate concentrations'!G$3:G$368, "&gt;"&amp;inputs!E97)</f>
        <v>0</v>
      </c>
      <c r="H5" s="101">
        <f>COUNTIF('Max rate concentrations'!H$3:H$368, "&gt;"&amp;inputs!E97)</f>
        <v>0</v>
      </c>
      <c r="I5" s="101">
        <f>COUNTIF('Max rate concentrations'!I$3:I$368, "&gt;"&amp;inputs!E97)</f>
        <v>0</v>
      </c>
      <c r="J5" s="101">
        <f>COUNTIF('Max rate concentrations'!J$3:J$368, "&gt;"&amp;inputs!E97)</f>
        <v>0</v>
      </c>
      <c r="K5" s="101">
        <f>COUNTIF('Max rate concentrations'!K$3:K$368, "&gt;"&amp;inputs!E97)</f>
        <v>0</v>
      </c>
      <c r="L5" s="101">
        <f>COUNTIF('Max rate concentrations'!L$3:L$368, "&gt;"&amp;inputs!E97)</f>
        <v>0</v>
      </c>
      <c r="M5" s="101">
        <f>COUNTIF('Max rate concentrations'!M$3:M$368, "&gt;"&amp;inputs!E97)</f>
        <v>0</v>
      </c>
      <c r="N5" s="101" t="s">
        <v>13</v>
      </c>
      <c r="O5" s="102"/>
      <c r="Q5" s="107"/>
      <c r="R5" s="77"/>
      <c r="S5" s="77"/>
      <c r="T5" s="77"/>
      <c r="U5" s="178"/>
      <c r="V5" s="77"/>
      <c r="W5" s="77"/>
      <c r="X5" s="77"/>
      <c r="Y5" s="77"/>
      <c r="Z5" s="77"/>
      <c r="AA5" s="77"/>
      <c r="AB5" s="77"/>
      <c r="AC5" s="77"/>
      <c r="AD5" s="77"/>
      <c r="AE5" s="77"/>
      <c r="AF5" s="77"/>
      <c r="AG5" s="77"/>
      <c r="AH5" s="77"/>
      <c r="AI5" s="77"/>
      <c r="AJ5" s="77"/>
      <c r="AK5" s="77"/>
      <c r="AL5" s="77"/>
      <c r="AM5" s="77"/>
      <c r="AN5" s="77"/>
      <c r="AO5" s="77"/>
      <c r="AP5" s="77"/>
      <c r="AQ5" s="77"/>
      <c r="AR5" s="77"/>
      <c r="AS5" s="77"/>
      <c r="AT5" s="77"/>
      <c r="AU5" s="77"/>
      <c r="AV5" s="77"/>
    </row>
    <row r="6" spans="1:48" x14ac:dyDescent="0.3">
      <c r="A6" s="41"/>
      <c r="B6" s="22" t="s">
        <v>62</v>
      </c>
      <c r="C6" s="22" t="s">
        <v>71</v>
      </c>
      <c r="D6" s="101">
        <f>COUNTIF('Max rate concentrations'!D$3:D$368, "&gt;"&amp;inputs!E98)</f>
        <v>44</v>
      </c>
      <c r="E6" s="101">
        <f>COUNTIF('Max rate concentrations'!E$3:E$368, "&gt;"&amp;inputs!E98)</f>
        <v>38</v>
      </c>
      <c r="F6" s="101">
        <f>COUNTIF('Max rate concentrations'!F$3:F$368, "&gt;"&amp;inputs!E98)</f>
        <v>40</v>
      </c>
      <c r="G6" s="101">
        <f>COUNTIF('Max rate concentrations'!G$3:G$368, "&gt;"&amp;inputs!E98)</f>
        <v>23</v>
      </c>
      <c r="H6" s="101">
        <f>COUNTIF('Max rate concentrations'!H$3:H$368, "&gt;"&amp;inputs!E98)</f>
        <v>37</v>
      </c>
      <c r="I6" s="101">
        <f>COUNTIF('Max rate concentrations'!I$3:I$368, "&gt;"&amp;inputs!E98)</f>
        <v>158</v>
      </c>
      <c r="J6" s="101">
        <f>COUNTIF('Max rate concentrations'!J$3:J$368, "&gt;"&amp;inputs!E98)</f>
        <v>45</v>
      </c>
      <c r="K6" s="101">
        <f>COUNTIF('Max rate concentrations'!K$3:K$368, "&gt;"&amp;inputs!E98)</f>
        <v>31</v>
      </c>
      <c r="L6" s="101">
        <f>COUNTIF('Max rate concentrations'!L$3:L$368, "&gt;"&amp;inputs!E98)</f>
        <v>40</v>
      </c>
      <c r="M6" s="101">
        <f>COUNTIF('Max rate concentrations'!M$3:M$368, "&gt;"&amp;inputs!E98)</f>
        <v>17</v>
      </c>
      <c r="N6" s="101" t="s">
        <v>13</v>
      </c>
      <c r="O6" s="102"/>
      <c r="Q6" s="107"/>
      <c r="R6" s="77"/>
      <c r="S6" s="77"/>
      <c r="T6" s="77"/>
      <c r="U6" s="178"/>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row>
    <row r="7" spans="1:48" x14ac:dyDescent="0.3">
      <c r="A7" s="41"/>
      <c r="B7" s="61" t="s">
        <v>62</v>
      </c>
      <c r="C7" s="61" t="s">
        <v>81</v>
      </c>
      <c r="D7" s="101">
        <f>COUNTIF('Max rate concentrations'!D$3:D$368, "&gt;"&amp;inputs!E99)</f>
        <v>0</v>
      </c>
      <c r="E7" s="101">
        <f>COUNTIF('Max rate concentrations'!E$3:E$368, "&gt;"&amp;inputs!E99)</f>
        <v>0</v>
      </c>
      <c r="F7" s="101">
        <f>COUNTIF('Max rate concentrations'!F$3:F$368, "&gt;"&amp;inputs!E99)</f>
        <v>0</v>
      </c>
      <c r="G7" s="101">
        <f>COUNTIF('Max rate concentrations'!G$3:G$368, "&gt;"&amp;inputs!E99)</f>
        <v>0</v>
      </c>
      <c r="H7" s="101">
        <f>COUNTIF('Max rate concentrations'!H$3:H$368, "&gt;"&amp;inputs!E99)</f>
        <v>0</v>
      </c>
      <c r="I7" s="101">
        <f>COUNTIF('Max rate concentrations'!I$3:I$368, "&gt;"&amp;inputs!E99)</f>
        <v>0</v>
      </c>
      <c r="J7" s="101">
        <f>COUNTIF('Max rate concentrations'!J$3:J$368, "&gt;"&amp;inputs!E99)</f>
        <v>0</v>
      </c>
      <c r="K7" s="101">
        <f>COUNTIF('Max rate concentrations'!K$3:K$368, "&gt;"&amp;inputs!E99)</f>
        <v>0</v>
      </c>
      <c r="L7" s="101">
        <f>COUNTIF('Max rate concentrations'!L$3:L$368, "&gt;"&amp;inputs!E99)</f>
        <v>0</v>
      </c>
      <c r="M7" s="101">
        <f>COUNTIF('Max rate concentrations'!M$3:M$368, "&gt;"&amp;inputs!E99)</f>
        <v>0</v>
      </c>
      <c r="N7" s="101" t="s">
        <v>13</v>
      </c>
      <c r="O7" s="102"/>
      <c r="Q7" s="107"/>
      <c r="R7" s="77"/>
      <c r="S7" s="77"/>
      <c r="T7" s="77"/>
      <c r="U7" s="178"/>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row>
    <row r="8" spans="1:48" x14ac:dyDescent="0.3">
      <c r="A8" s="41"/>
      <c r="B8" s="61" t="s">
        <v>62</v>
      </c>
      <c r="C8" s="61" t="s">
        <v>82</v>
      </c>
      <c r="D8" s="101">
        <f>COUNTIF('Max rate concentrations'!D$3:D$368, "&gt;"&amp;inputs!E100)</f>
        <v>41</v>
      </c>
      <c r="E8" s="101">
        <f>COUNTIF('Max rate concentrations'!E$3:E$368, "&gt;"&amp;inputs!E100)</f>
        <v>35</v>
      </c>
      <c r="F8" s="101">
        <f>COUNTIF('Max rate concentrations'!F$3:F$368, "&gt;"&amp;inputs!E100)</f>
        <v>36</v>
      </c>
      <c r="G8" s="101">
        <f>COUNTIF('Max rate concentrations'!G$3:G$368, "&gt;"&amp;inputs!E100)</f>
        <v>19</v>
      </c>
      <c r="H8" s="101">
        <f>COUNTIF('Max rate concentrations'!H$3:H$368, "&gt;"&amp;inputs!E100)</f>
        <v>33</v>
      </c>
      <c r="I8" s="101">
        <f>COUNTIF('Max rate concentrations'!I$3:I$368, "&gt;"&amp;inputs!E100)</f>
        <v>133</v>
      </c>
      <c r="J8" s="101">
        <f>COUNTIF('Max rate concentrations'!J$3:J$368, "&gt;"&amp;inputs!E100)</f>
        <v>41</v>
      </c>
      <c r="K8" s="101">
        <f>COUNTIF('Max rate concentrations'!K$3:K$368, "&gt;"&amp;inputs!E100)</f>
        <v>27</v>
      </c>
      <c r="L8" s="101">
        <f>COUNTIF('Max rate concentrations'!L$3:L$368, "&gt;"&amp;inputs!E100)</f>
        <v>37</v>
      </c>
      <c r="M8" s="101">
        <f>COUNTIF('Max rate concentrations'!M$3:M$368, "&gt;"&amp;inputs!E100)</f>
        <v>13</v>
      </c>
      <c r="N8" s="101" t="s">
        <v>13</v>
      </c>
      <c r="O8" s="102"/>
      <c r="Q8" s="107"/>
      <c r="R8" s="77"/>
      <c r="S8" s="77"/>
      <c r="T8" s="77"/>
      <c r="U8" s="178"/>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row>
    <row r="9" spans="1:48" x14ac:dyDescent="0.3">
      <c r="A9" s="41"/>
      <c r="B9" s="61" t="s">
        <v>62</v>
      </c>
      <c r="C9" s="61" t="s">
        <v>83</v>
      </c>
      <c r="D9" s="101">
        <f>COUNTIF('Max rate concentrations'!D$3:D$368, "&gt;"&amp;inputs!E101)</f>
        <v>0</v>
      </c>
      <c r="E9" s="101">
        <f>COUNTIF('Max rate concentrations'!E$3:E$368, "&gt;"&amp;inputs!E101)</f>
        <v>0</v>
      </c>
      <c r="F9" s="101">
        <f>COUNTIF('Max rate concentrations'!F$3:F$368, "&gt;"&amp;inputs!E101)</f>
        <v>0</v>
      </c>
      <c r="G9" s="101">
        <f>COUNTIF('Max rate concentrations'!G$3:G$368, "&gt;"&amp;inputs!E101)</f>
        <v>0</v>
      </c>
      <c r="H9" s="101">
        <f>COUNTIF('Max rate concentrations'!H$3:H$368, "&gt;"&amp;inputs!E101)</f>
        <v>0</v>
      </c>
      <c r="I9" s="101">
        <f>COUNTIF('Max rate concentrations'!I$3:I$368, "&gt;"&amp;inputs!E101)</f>
        <v>0</v>
      </c>
      <c r="J9" s="101">
        <f>COUNTIF('Max rate concentrations'!J$3:J$368, "&gt;"&amp;inputs!E101)</f>
        <v>0</v>
      </c>
      <c r="K9" s="101">
        <f>COUNTIF('Max rate concentrations'!K$3:K$368, "&gt;"&amp;inputs!E101)</f>
        <v>0</v>
      </c>
      <c r="L9" s="101">
        <f>COUNTIF('Max rate concentrations'!L$3:L$368, "&gt;"&amp;inputs!E101)</f>
        <v>0</v>
      </c>
      <c r="M9" s="101">
        <f>COUNTIF('Max rate concentrations'!M$3:M$368, "&gt;"&amp;inputs!E101)</f>
        <v>0</v>
      </c>
      <c r="N9" s="101" t="s">
        <v>13</v>
      </c>
      <c r="O9" s="102"/>
      <c r="Q9" s="107"/>
      <c r="R9" s="77"/>
      <c r="S9" s="77"/>
      <c r="T9" s="77"/>
      <c r="U9" s="178"/>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row>
    <row r="10" spans="1:48" x14ac:dyDescent="0.3">
      <c r="A10" s="41"/>
      <c r="B10" s="61" t="s">
        <v>62</v>
      </c>
      <c r="C10" s="61" t="s">
        <v>84</v>
      </c>
      <c r="D10" s="101">
        <f>COUNTIF('Max rate concentrations'!D$3:D$368, "&gt;"&amp;inputs!E102)</f>
        <v>31</v>
      </c>
      <c r="E10" s="101">
        <f>COUNTIF('Max rate concentrations'!E$3:E$368, "&gt;"&amp;inputs!E102)</f>
        <v>25</v>
      </c>
      <c r="F10" s="101">
        <f>COUNTIF('Max rate concentrations'!F$3:F$368, "&gt;"&amp;inputs!E102)</f>
        <v>27</v>
      </c>
      <c r="G10" s="101">
        <f>COUNTIF('Max rate concentrations'!G$3:G$368, "&gt;"&amp;inputs!E102)</f>
        <v>10</v>
      </c>
      <c r="H10" s="101">
        <f>COUNTIF('Max rate concentrations'!H$3:H$368, "&gt;"&amp;inputs!E102)</f>
        <v>24</v>
      </c>
      <c r="I10" s="101">
        <f>COUNTIF('Max rate concentrations'!I$3:I$368, "&gt;"&amp;inputs!E102)</f>
        <v>71</v>
      </c>
      <c r="J10" s="101">
        <f>COUNTIF('Max rate concentrations'!J$3:J$368, "&gt;"&amp;inputs!E102)</f>
        <v>32</v>
      </c>
      <c r="K10" s="101">
        <f>COUNTIF('Max rate concentrations'!K$3:K$368, "&gt;"&amp;inputs!E102)</f>
        <v>18</v>
      </c>
      <c r="L10" s="101">
        <f>COUNTIF('Max rate concentrations'!L$3:L$368, "&gt;"&amp;inputs!E102)</f>
        <v>27</v>
      </c>
      <c r="M10" s="101">
        <f>COUNTIF('Max rate concentrations'!M$3:M$368, "&gt;"&amp;inputs!E102)</f>
        <v>4</v>
      </c>
      <c r="N10" s="101" t="s">
        <v>13</v>
      </c>
      <c r="O10" s="102"/>
      <c r="Q10" s="107"/>
      <c r="R10" s="77"/>
      <c r="S10" s="77"/>
      <c r="T10" s="77"/>
      <c r="U10" s="178"/>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row>
    <row r="11" spans="1:48" x14ac:dyDescent="0.3">
      <c r="A11" s="41"/>
      <c r="B11" s="61" t="s">
        <v>62</v>
      </c>
      <c r="C11" s="61" t="s">
        <v>85</v>
      </c>
      <c r="D11" s="101">
        <f>COUNTIF('Max rate concentrations'!D$3:D$368, "&gt;"&amp;inputs!E103)</f>
        <v>68</v>
      </c>
      <c r="E11" s="101">
        <f>COUNTIF('Max rate concentrations'!E$3:E$368, "&gt;"&amp;inputs!E103)</f>
        <v>62</v>
      </c>
      <c r="F11" s="101">
        <f>COUNTIF('Max rate concentrations'!F$3:F$368, "&gt;"&amp;inputs!E103)</f>
        <v>64</v>
      </c>
      <c r="G11" s="101">
        <f>COUNTIF('Max rate concentrations'!G$3:G$368, "&gt;"&amp;inputs!E103)</f>
        <v>47</v>
      </c>
      <c r="H11" s="101">
        <f>COUNTIF('Max rate concentrations'!H$3:H$368, "&gt;"&amp;inputs!E103)</f>
        <v>61</v>
      </c>
      <c r="I11" s="101">
        <f>COUNTIF('Max rate concentrations'!I$3:I$368, "&gt;"&amp;inputs!E103)</f>
        <v>312</v>
      </c>
      <c r="J11" s="101">
        <f>COUNTIF('Max rate concentrations'!J$3:J$368, "&gt;"&amp;inputs!E103)</f>
        <v>69</v>
      </c>
      <c r="K11" s="101">
        <f>COUNTIF('Max rate concentrations'!K$3:K$368, "&gt;"&amp;inputs!E103)</f>
        <v>55</v>
      </c>
      <c r="L11" s="101">
        <f>COUNTIF('Max rate concentrations'!L$3:L$368, "&gt;"&amp;inputs!E103)</f>
        <v>64</v>
      </c>
      <c r="M11" s="101">
        <f>COUNTIF('Max rate concentrations'!M$3:M$368, "&gt;"&amp;inputs!E103)</f>
        <v>41</v>
      </c>
      <c r="N11" s="101" t="s">
        <v>13</v>
      </c>
      <c r="O11" s="102"/>
      <c r="Q11" s="178"/>
      <c r="R11" s="77"/>
      <c r="S11" s="77"/>
      <c r="T11" s="77"/>
      <c r="U11" s="178"/>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row>
    <row r="12" spans="1:48" x14ac:dyDescent="0.3">
      <c r="A12" s="41"/>
      <c r="B12" s="61" t="s">
        <v>62</v>
      </c>
      <c r="C12" s="61" t="s">
        <v>86</v>
      </c>
      <c r="D12" s="101">
        <f>COUNTIF('Max rate concentrations'!D$3:D$368, "&gt;"&amp;inputs!E104)</f>
        <v>51</v>
      </c>
      <c r="E12" s="101">
        <f>COUNTIF('Max rate concentrations'!E$3:E$368, "&gt;"&amp;inputs!E104)</f>
        <v>45</v>
      </c>
      <c r="F12" s="101">
        <f>COUNTIF('Max rate concentrations'!F$3:F$368, "&gt;"&amp;inputs!E104)</f>
        <v>46</v>
      </c>
      <c r="G12" s="101">
        <f>COUNTIF('Max rate concentrations'!G$3:G$368, "&gt;"&amp;inputs!E104)</f>
        <v>30</v>
      </c>
      <c r="H12" s="101">
        <f>COUNTIF('Max rate concentrations'!H$3:H$368, "&gt;"&amp;inputs!E104)</f>
        <v>44</v>
      </c>
      <c r="I12" s="101">
        <f>COUNTIF('Max rate concentrations'!I$3:I$368, "&gt;"&amp;inputs!E104)</f>
        <v>199</v>
      </c>
      <c r="J12" s="101">
        <f>COUNTIF('Max rate concentrations'!J$3:J$368, "&gt;"&amp;inputs!E104)</f>
        <v>51</v>
      </c>
      <c r="K12" s="101">
        <f>COUNTIF('Max rate concentrations'!K$3:K$368, "&gt;"&amp;inputs!E104)</f>
        <v>37</v>
      </c>
      <c r="L12" s="101">
        <f>COUNTIF('Max rate concentrations'!L$3:L$368, "&gt;"&amp;inputs!E104)</f>
        <v>47</v>
      </c>
      <c r="M12" s="101">
        <f>COUNTIF('Max rate concentrations'!M$3:M$368, "&gt;"&amp;inputs!E104)</f>
        <v>24</v>
      </c>
      <c r="N12" s="101" t="s">
        <v>13</v>
      </c>
      <c r="O12" s="102"/>
      <c r="Q12" s="178"/>
      <c r="R12" s="77"/>
      <c r="S12" s="77"/>
      <c r="T12" s="77"/>
      <c r="U12" s="178"/>
      <c r="V12" s="77"/>
      <c r="W12" s="77"/>
      <c r="X12" s="77"/>
      <c r="Y12" s="77"/>
      <c r="Z12" s="77"/>
      <c r="AA12" s="77"/>
      <c r="AB12" s="77"/>
      <c r="AC12" s="77"/>
      <c r="AD12" s="77"/>
      <c r="AE12" s="77"/>
      <c r="AF12" s="77"/>
      <c r="AG12" s="77"/>
      <c r="AH12" s="77"/>
      <c r="AI12" s="77"/>
      <c r="AJ12" s="77"/>
      <c r="AK12" s="77"/>
      <c r="AL12" s="77"/>
      <c r="AM12" s="77"/>
      <c r="AN12" s="77"/>
      <c r="AO12" s="77"/>
      <c r="AP12" s="77"/>
      <c r="AQ12" s="77"/>
      <c r="AR12" s="77"/>
      <c r="AS12" s="77"/>
      <c r="AT12" s="77"/>
      <c r="AU12" s="77"/>
      <c r="AV12" s="77"/>
    </row>
    <row r="13" spans="1:48" x14ac:dyDescent="0.3">
      <c r="A13" s="41"/>
      <c r="B13" s="61" t="s">
        <v>62</v>
      </c>
      <c r="C13" s="61" t="s">
        <v>87</v>
      </c>
      <c r="D13" s="101">
        <f>COUNTIF('Max rate concentrations'!D$3:D$368, "&gt;"&amp;inputs!E105)</f>
        <v>0</v>
      </c>
      <c r="E13" s="101">
        <f>COUNTIF('Max rate concentrations'!E$3:E$368, "&gt;"&amp;inputs!E105)</f>
        <v>0</v>
      </c>
      <c r="F13" s="101">
        <f>COUNTIF('Max rate concentrations'!F$3:F$368, "&gt;"&amp;inputs!E105)</f>
        <v>0</v>
      </c>
      <c r="G13" s="101">
        <f>COUNTIF('Max rate concentrations'!G$3:G$368, "&gt;"&amp;inputs!E105)</f>
        <v>0</v>
      </c>
      <c r="H13" s="101">
        <f>COUNTIF('Max rate concentrations'!H$3:H$368, "&gt;"&amp;inputs!E105)</f>
        <v>0</v>
      </c>
      <c r="I13" s="101">
        <f>COUNTIF('Max rate concentrations'!I$3:I$368, "&gt;"&amp;inputs!E105)</f>
        <v>0</v>
      </c>
      <c r="J13" s="101">
        <f>COUNTIF('Max rate concentrations'!J$3:J$368, "&gt;"&amp;inputs!E105)</f>
        <v>0</v>
      </c>
      <c r="K13" s="101">
        <f>COUNTIF('Max rate concentrations'!K$3:K$368, "&gt;"&amp;inputs!E105)</f>
        <v>0</v>
      </c>
      <c r="L13" s="101">
        <f>COUNTIF('Max rate concentrations'!L$3:L$368, "&gt;"&amp;inputs!E105)</f>
        <v>0</v>
      </c>
      <c r="M13" s="101">
        <f>COUNTIF('Max rate concentrations'!M$3:M$368, "&gt;"&amp;inputs!E105)</f>
        <v>0</v>
      </c>
      <c r="N13" s="101" t="s">
        <v>13</v>
      </c>
      <c r="O13" s="102"/>
      <c r="Q13" s="178"/>
      <c r="R13" s="77"/>
      <c r="S13" s="77"/>
      <c r="T13" s="77"/>
      <c r="U13" s="178"/>
      <c r="W13" s="178"/>
      <c r="X13" s="178"/>
      <c r="Y13" s="178"/>
      <c r="Z13" s="178"/>
      <c r="AA13" s="178"/>
      <c r="AB13" s="178"/>
      <c r="AC13" s="178"/>
      <c r="AD13" s="178"/>
      <c r="AE13" s="178"/>
      <c r="AF13" s="178"/>
      <c r="AG13" s="178"/>
      <c r="AH13" s="178"/>
      <c r="AI13" s="178"/>
      <c r="AJ13" s="178"/>
      <c r="AK13" s="178"/>
      <c r="AL13" s="107"/>
      <c r="AM13" s="179"/>
      <c r="AN13" s="178"/>
      <c r="AO13" s="178"/>
      <c r="AP13" s="178"/>
      <c r="AQ13" s="178"/>
      <c r="AR13" s="77"/>
    </row>
    <row r="14" spans="1:48" x14ac:dyDescent="0.3">
      <c r="A14" s="41"/>
      <c r="B14" s="61" t="s">
        <v>62</v>
      </c>
      <c r="C14" s="61" t="s">
        <v>88</v>
      </c>
      <c r="D14" s="101">
        <f>COUNTIF('Max rate concentrations'!D$3:D$368, "&gt;"&amp;inputs!E106)</f>
        <v>0</v>
      </c>
      <c r="E14" s="101">
        <f>COUNTIF('Max rate concentrations'!E$3:E$368, "&gt;"&amp;inputs!E106)</f>
        <v>0</v>
      </c>
      <c r="F14" s="101">
        <f>COUNTIF('Max rate concentrations'!F$3:F$368, "&gt;"&amp;inputs!E106)</f>
        <v>0</v>
      </c>
      <c r="G14" s="101">
        <f>COUNTIF('Max rate concentrations'!G$3:G$368, "&gt;"&amp;inputs!E106)</f>
        <v>0</v>
      </c>
      <c r="H14" s="101">
        <f>COUNTIF('Max rate concentrations'!H$3:H$368, "&gt;"&amp;inputs!E106)</f>
        <v>0</v>
      </c>
      <c r="I14" s="101">
        <f>COUNTIF('Max rate concentrations'!I$3:I$368, "&gt;"&amp;inputs!E106)</f>
        <v>0</v>
      </c>
      <c r="J14" s="101">
        <f>COUNTIF('Max rate concentrations'!J$3:J$368, "&gt;"&amp;inputs!E106)</f>
        <v>0</v>
      </c>
      <c r="K14" s="101">
        <f>COUNTIF('Max rate concentrations'!K$3:K$368, "&gt;"&amp;inputs!E106)</f>
        <v>0</v>
      </c>
      <c r="L14" s="101">
        <f>COUNTIF('Max rate concentrations'!L$3:L$368, "&gt;"&amp;inputs!E106)</f>
        <v>0</v>
      </c>
      <c r="M14" s="101">
        <f>COUNTIF('Max rate concentrations'!M$3:M$368, "&gt;"&amp;inputs!E106)</f>
        <v>0</v>
      </c>
      <c r="N14" s="101" t="s">
        <v>13</v>
      </c>
      <c r="O14" s="102"/>
      <c r="Q14" s="178"/>
      <c r="R14" s="77"/>
      <c r="S14" s="77"/>
      <c r="T14" s="77"/>
      <c r="U14" s="178"/>
    </row>
    <row r="15" spans="1:48" x14ac:dyDescent="0.3">
      <c r="A15" s="39"/>
      <c r="B15" s="22" t="s">
        <v>64</v>
      </c>
      <c r="C15" s="22" t="s">
        <v>71</v>
      </c>
      <c r="D15" s="101">
        <f>COUNTIF('Max rate concentrations'!D$3:D$368, "&gt;"&amp;inputs!E107)</f>
        <v>33</v>
      </c>
      <c r="E15" s="101">
        <f>COUNTIF('Max rate concentrations'!E$3:E$368, "&gt;"&amp;inputs!E107)</f>
        <v>27</v>
      </c>
      <c r="F15" s="101">
        <f>COUNTIF('Max rate concentrations'!F$3:F$368, "&gt;"&amp;inputs!E107)</f>
        <v>29</v>
      </c>
      <c r="G15" s="101">
        <f>COUNTIF('Max rate concentrations'!G$3:G$368, "&gt;"&amp;inputs!E107)</f>
        <v>12</v>
      </c>
      <c r="H15" s="101">
        <f>COUNTIF('Max rate concentrations'!H$3:H$368, "&gt;"&amp;inputs!E107)</f>
        <v>26</v>
      </c>
      <c r="I15" s="101">
        <f>COUNTIF('Max rate concentrations'!I$3:I$368, "&gt;"&amp;inputs!E107)</f>
        <v>84</v>
      </c>
      <c r="J15" s="101">
        <f>COUNTIF('Max rate concentrations'!J$3:J$368, "&gt;"&amp;inputs!E107)</f>
        <v>33</v>
      </c>
      <c r="K15" s="101">
        <f>COUNTIF('Max rate concentrations'!K$3:K$368, "&gt;"&amp;inputs!E107)</f>
        <v>19</v>
      </c>
      <c r="L15" s="101">
        <f>COUNTIF('Max rate concentrations'!L$3:L$368, "&gt;"&amp;inputs!E107)</f>
        <v>29</v>
      </c>
      <c r="M15" s="101">
        <f>COUNTIF('Max rate concentrations'!M$3:M$368, "&gt;"&amp;inputs!E107)</f>
        <v>6</v>
      </c>
      <c r="N15" s="101" t="s">
        <v>13</v>
      </c>
      <c r="Q15" s="178"/>
      <c r="R15" s="77"/>
      <c r="S15" s="77"/>
      <c r="T15" s="77"/>
      <c r="U15" s="178"/>
    </row>
    <row r="16" spans="1:48" x14ac:dyDescent="0.3">
      <c r="A16" s="40" t="s">
        <v>73</v>
      </c>
      <c r="B16" s="22" t="s">
        <v>62</v>
      </c>
      <c r="C16" s="22" t="s">
        <v>63</v>
      </c>
      <c r="D16" s="101">
        <f>COUNTIF('Max rate concentrations'!D$3:D$368, "&gt;"&amp;inputs!E108)</f>
        <v>44</v>
      </c>
      <c r="E16" s="101">
        <f>COUNTIF('Max rate concentrations'!E$3:E$368, "&gt;"&amp;inputs!E108)</f>
        <v>38</v>
      </c>
      <c r="F16" s="101">
        <f>COUNTIF('Max rate concentrations'!F$3:F$368, "&gt;"&amp;inputs!E108)</f>
        <v>39</v>
      </c>
      <c r="G16" s="101">
        <f>COUNTIF('Max rate concentrations'!G$3:G$368, "&gt;"&amp;inputs!E108)</f>
        <v>23</v>
      </c>
      <c r="H16" s="101">
        <f>COUNTIF('Max rate concentrations'!H$3:H$368, "&gt;"&amp;inputs!E108)</f>
        <v>37</v>
      </c>
      <c r="I16" s="101">
        <f>COUNTIF('Max rate concentrations'!I$3:I$368, "&gt;"&amp;inputs!E108)</f>
        <v>154</v>
      </c>
      <c r="J16" s="101">
        <f>COUNTIF('Max rate concentrations'!J$3:J$368, "&gt;"&amp;inputs!E108)</f>
        <v>44</v>
      </c>
      <c r="K16" s="101">
        <f>COUNTIF('Max rate concentrations'!K$3:K$368, "&gt;"&amp;inputs!E108)</f>
        <v>30</v>
      </c>
      <c r="L16" s="101">
        <f>COUNTIF('Max rate concentrations'!L$3:L$368, "&gt;"&amp;inputs!E108)</f>
        <v>40</v>
      </c>
      <c r="M16" s="101">
        <f>COUNTIF('Max rate concentrations'!M$3:M$368, "&gt;"&amp;inputs!E108)</f>
        <v>17</v>
      </c>
      <c r="N16" s="101" t="s">
        <v>13</v>
      </c>
      <c r="Q16" s="178"/>
      <c r="R16" s="77"/>
      <c r="S16" s="77"/>
      <c r="T16" s="77"/>
      <c r="U16" s="178"/>
    </row>
    <row r="17" spans="1:21" x14ac:dyDescent="0.3">
      <c r="A17" s="41"/>
      <c r="B17" s="22" t="s">
        <v>64</v>
      </c>
      <c r="C17" s="22" t="s">
        <v>65</v>
      </c>
      <c r="D17" s="101">
        <f>COUNTIF('Max rate concentrations'!D$3:D$368, "&gt;"&amp;inputs!E109)</f>
        <v>29</v>
      </c>
      <c r="E17" s="101">
        <f>COUNTIF('Max rate concentrations'!E$3:E$368, "&gt;"&amp;inputs!E109)</f>
        <v>23</v>
      </c>
      <c r="F17" s="101">
        <f>COUNTIF('Max rate concentrations'!F$3:F$368, "&gt;"&amp;inputs!E109)</f>
        <v>24</v>
      </c>
      <c r="G17" s="101">
        <f>COUNTIF('Max rate concentrations'!G$3:G$368, "&gt;"&amp;inputs!E109)</f>
        <v>8</v>
      </c>
      <c r="H17" s="101">
        <f>COUNTIF('Max rate concentrations'!H$3:H$368, "&gt;"&amp;inputs!E109)</f>
        <v>22</v>
      </c>
      <c r="I17" s="101">
        <f>COUNTIF('Max rate concentrations'!I$3:I$368, "&gt;"&amp;inputs!E109)</f>
        <v>57</v>
      </c>
      <c r="J17" s="101">
        <f>COUNTIF('Max rate concentrations'!J$3:J$368, "&gt;"&amp;inputs!E109)</f>
        <v>29</v>
      </c>
      <c r="K17" s="101">
        <f>COUNTIF('Max rate concentrations'!K$3:K$368, "&gt;"&amp;inputs!E109)</f>
        <v>15</v>
      </c>
      <c r="L17" s="101">
        <f>COUNTIF('Max rate concentrations'!L$3:L$368, "&gt;"&amp;inputs!E109)</f>
        <v>25</v>
      </c>
      <c r="M17" s="101">
        <f>COUNTIF('Max rate concentrations'!M$3:M$368, "&gt;"&amp;inputs!E109)</f>
        <v>0</v>
      </c>
      <c r="N17" s="101" t="s">
        <v>13</v>
      </c>
      <c r="Q17" s="178"/>
      <c r="R17" s="77"/>
      <c r="S17" s="77"/>
      <c r="T17" s="77"/>
      <c r="U17" s="178"/>
    </row>
    <row r="18" spans="1:21" x14ac:dyDescent="0.3">
      <c r="A18" s="41"/>
      <c r="B18" s="22" t="s">
        <v>66</v>
      </c>
      <c r="C18" s="22" t="s">
        <v>80</v>
      </c>
      <c r="D18" s="101">
        <f>COUNTIF('Max rate concentrations'!D$3:D$368, "&gt;"&amp;inputs!E110)</f>
        <v>23</v>
      </c>
      <c r="E18" s="101">
        <f>COUNTIF('Max rate concentrations'!E$3:E$368, "&gt;"&amp;inputs!E110)</f>
        <v>17</v>
      </c>
      <c r="F18" s="101">
        <f>COUNTIF('Max rate concentrations'!F$3:F$368, "&gt;"&amp;inputs!E110)</f>
        <v>19</v>
      </c>
      <c r="G18" s="101">
        <f>COUNTIF('Max rate concentrations'!G$3:G$368, "&gt;"&amp;inputs!E110)</f>
        <v>2</v>
      </c>
      <c r="H18" s="101">
        <f>COUNTIF('Max rate concentrations'!H$3:H$368, "&gt;"&amp;inputs!E110)</f>
        <v>16</v>
      </c>
      <c r="I18" s="101">
        <f>COUNTIF('Max rate concentrations'!I$3:I$368, "&gt;"&amp;inputs!E110)</f>
        <v>20</v>
      </c>
      <c r="J18" s="101">
        <f>COUNTIF('Max rate concentrations'!J$3:J$368, "&gt;"&amp;inputs!E110)</f>
        <v>24</v>
      </c>
      <c r="K18" s="101">
        <f>COUNTIF('Max rate concentrations'!K$3:K$368, "&gt;"&amp;inputs!E110)</f>
        <v>10</v>
      </c>
      <c r="L18" s="101">
        <f>COUNTIF('Max rate concentrations'!L$3:L$368, "&gt;"&amp;inputs!E110)</f>
        <v>19</v>
      </c>
      <c r="M18" s="101">
        <f>COUNTIF('Max rate concentrations'!M$3:M$368, "&gt;"&amp;inputs!E110)</f>
        <v>0</v>
      </c>
      <c r="N18" s="101" t="s">
        <v>13</v>
      </c>
      <c r="Q18" s="178"/>
      <c r="R18" s="77"/>
      <c r="S18" s="77"/>
      <c r="T18" s="77"/>
      <c r="U18" s="178"/>
    </row>
    <row r="19" spans="1:21" x14ac:dyDescent="0.3">
      <c r="A19" s="41"/>
      <c r="B19" s="22" t="s">
        <v>62</v>
      </c>
      <c r="C19" s="22" t="s">
        <v>71</v>
      </c>
      <c r="D19" s="101">
        <f>COUNTIF('Max rate concentrations'!D$3:D$368, "&gt;"&amp;inputs!E111)</f>
        <v>40</v>
      </c>
      <c r="E19" s="101">
        <f>COUNTIF('Max rate concentrations'!E$3:E$368, "&gt;"&amp;inputs!E111)</f>
        <v>34</v>
      </c>
      <c r="F19" s="101">
        <f>COUNTIF('Max rate concentrations'!F$3:F$368, "&gt;"&amp;inputs!E111)</f>
        <v>36</v>
      </c>
      <c r="G19" s="101">
        <f>COUNTIF('Max rate concentrations'!G$3:G$368, "&gt;"&amp;inputs!E111)</f>
        <v>19</v>
      </c>
      <c r="H19" s="101">
        <f>COUNTIF('Max rate concentrations'!H$3:H$368, "&gt;"&amp;inputs!E111)</f>
        <v>33</v>
      </c>
      <c r="I19" s="101">
        <f>COUNTIF('Max rate concentrations'!I$3:I$368, "&gt;"&amp;inputs!E111)</f>
        <v>131</v>
      </c>
      <c r="J19" s="101">
        <f>COUNTIF('Max rate concentrations'!J$3:J$368, "&gt;"&amp;inputs!E111)</f>
        <v>41</v>
      </c>
      <c r="K19" s="101">
        <f>COUNTIF('Max rate concentrations'!K$3:K$368, "&gt;"&amp;inputs!E111)</f>
        <v>27</v>
      </c>
      <c r="L19" s="101">
        <f>COUNTIF('Max rate concentrations'!L$3:L$368, "&gt;"&amp;inputs!E111)</f>
        <v>36</v>
      </c>
      <c r="M19" s="101">
        <f>COUNTIF('Max rate concentrations'!M$3:M$368, "&gt;"&amp;inputs!E111)</f>
        <v>13</v>
      </c>
      <c r="N19" s="101" t="s">
        <v>13</v>
      </c>
      <c r="Q19" s="178"/>
      <c r="R19" s="77"/>
      <c r="S19" s="77"/>
      <c r="T19" s="77"/>
      <c r="U19" s="178"/>
    </row>
    <row r="20" spans="1:21" x14ac:dyDescent="0.3">
      <c r="A20" s="41"/>
      <c r="B20" s="61" t="s">
        <v>62</v>
      </c>
      <c r="C20" s="61" t="s">
        <v>81</v>
      </c>
      <c r="D20" s="101">
        <f>COUNTIF('Max rate concentrations'!D$3:D$368, "&gt;"&amp;inputs!E112)</f>
        <v>35</v>
      </c>
      <c r="E20" s="101">
        <f>COUNTIF('Max rate concentrations'!E$3:E$368, "&gt;"&amp;inputs!E112)</f>
        <v>29</v>
      </c>
      <c r="F20" s="101">
        <f>COUNTIF('Max rate concentrations'!F$3:F$368, "&gt;"&amp;inputs!E112)</f>
        <v>30</v>
      </c>
      <c r="G20" s="101">
        <f>COUNTIF('Max rate concentrations'!G$3:G$368, "&gt;"&amp;inputs!E112)</f>
        <v>13</v>
      </c>
      <c r="H20" s="101">
        <f>COUNTIF('Max rate concentrations'!H$3:H$368, "&gt;"&amp;inputs!E112)</f>
        <v>27</v>
      </c>
      <c r="I20" s="101">
        <f>COUNTIF('Max rate concentrations'!I$3:I$368, "&gt;"&amp;inputs!E112)</f>
        <v>95</v>
      </c>
      <c r="J20" s="101">
        <f>COUNTIF('Max rate concentrations'!J$3:J$368, "&gt;"&amp;inputs!E112)</f>
        <v>35</v>
      </c>
      <c r="K20" s="101">
        <f>COUNTIF('Max rate concentrations'!K$3:K$368, "&gt;"&amp;inputs!E112)</f>
        <v>21</v>
      </c>
      <c r="L20" s="101">
        <f>COUNTIF('Max rate concentrations'!L$3:L$368, "&gt;"&amp;inputs!E112)</f>
        <v>31</v>
      </c>
      <c r="M20" s="101">
        <f>COUNTIF('Max rate concentrations'!M$3:M$368, "&gt;"&amp;inputs!E112)</f>
        <v>7</v>
      </c>
      <c r="N20" s="101" t="s">
        <v>13</v>
      </c>
      <c r="Q20" s="178"/>
      <c r="R20" s="77"/>
      <c r="S20" s="77"/>
      <c r="T20" s="77"/>
      <c r="U20" s="107"/>
    </row>
    <row r="21" spans="1:21" x14ac:dyDescent="0.3">
      <c r="A21" s="41"/>
      <c r="B21" s="61" t="s">
        <v>62</v>
      </c>
      <c r="C21" s="61" t="s">
        <v>82</v>
      </c>
      <c r="D21" s="101">
        <f>COUNTIF('Max rate concentrations'!D$3:D$368, "&gt;"&amp;inputs!E113)</f>
        <v>29</v>
      </c>
      <c r="E21" s="101">
        <f>COUNTIF('Max rate concentrations'!E$3:E$368, "&gt;"&amp;inputs!E113)</f>
        <v>23</v>
      </c>
      <c r="F21" s="101">
        <f>COUNTIF('Max rate concentrations'!F$3:F$368, "&gt;"&amp;inputs!E113)</f>
        <v>25</v>
      </c>
      <c r="G21" s="101">
        <f>COUNTIF('Max rate concentrations'!G$3:G$368, "&gt;"&amp;inputs!E113)</f>
        <v>8</v>
      </c>
      <c r="H21" s="101">
        <f>COUNTIF('Max rate concentrations'!H$3:H$368, "&gt;"&amp;inputs!E113)</f>
        <v>22</v>
      </c>
      <c r="I21" s="101">
        <f>COUNTIF('Max rate concentrations'!I$3:I$368, "&gt;"&amp;inputs!E113)</f>
        <v>62</v>
      </c>
      <c r="J21" s="101">
        <f>COUNTIF('Max rate concentrations'!J$3:J$368, "&gt;"&amp;inputs!E113)</f>
        <v>30</v>
      </c>
      <c r="K21" s="101">
        <f>COUNTIF('Max rate concentrations'!K$3:K$368, "&gt;"&amp;inputs!E113)</f>
        <v>16</v>
      </c>
      <c r="L21" s="101">
        <f>COUNTIF('Max rate concentrations'!L$3:L$368, "&gt;"&amp;inputs!E113)</f>
        <v>25</v>
      </c>
      <c r="M21" s="101">
        <f>COUNTIF('Max rate concentrations'!M$3:M$368, "&gt;"&amp;inputs!E113)</f>
        <v>1</v>
      </c>
      <c r="N21" s="101" t="s">
        <v>13</v>
      </c>
      <c r="Q21" s="179"/>
      <c r="R21" s="77"/>
      <c r="S21" s="77"/>
      <c r="T21" s="77"/>
      <c r="U21" s="179"/>
    </row>
    <row r="22" spans="1:21" x14ac:dyDescent="0.3">
      <c r="A22" s="41"/>
      <c r="B22" s="61" t="s">
        <v>62</v>
      </c>
      <c r="C22" s="61" t="s">
        <v>83</v>
      </c>
      <c r="D22" s="101">
        <f>COUNTIF('Max rate concentrations'!D$3:D$368, "&gt;"&amp;inputs!E114)</f>
        <v>35</v>
      </c>
      <c r="E22" s="101">
        <f>COUNTIF('Max rate concentrations'!E$3:E$368, "&gt;"&amp;inputs!E114)</f>
        <v>29</v>
      </c>
      <c r="F22" s="101">
        <f>COUNTIF('Max rate concentrations'!F$3:F$368, "&gt;"&amp;inputs!E114)</f>
        <v>30</v>
      </c>
      <c r="G22" s="101">
        <f>COUNTIF('Max rate concentrations'!G$3:G$368, "&gt;"&amp;inputs!E114)</f>
        <v>13</v>
      </c>
      <c r="H22" s="101">
        <f>COUNTIF('Max rate concentrations'!H$3:H$368, "&gt;"&amp;inputs!E114)</f>
        <v>27</v>
      </c>
      <c r="I22" s="101">
        <f>COUNTIF('Max rate concentrations'!I$3:I$368, "&gt;"&amp;inputs!E114)</f>
        <v>95</v>
      </c>
      <c r="J22" s="101">
        <f>COUNTIF('Max rate concentrations'!J$3:J$368, "&gt;"&amp;inputs!E114)</f>
        <v>35</v>
      </c>
      <c r="K22" s="101">
        <f>COUNTIF('Max rate concentrations'!K$3:K$368, "&gt;"&amp;inputs!E114)</f>
        <v>21</v>
      </c>
      <c r="L22" s="101">
        <f>COUNTIF('Max rate concentrations'!L$3:L$368, "&gt;"&amp;inputs!E114)</f>
        <v>31</v>
      </c>
      <c r="M22" s="101">
        <f>COUNTIF('Max rate concentrations'!M$3:M$368, "&gt;"&amp;inputs!E114)</f>
        <v>7</v>
      </c>
      <c r="N22" s="101" t="s">
        <v>13</v>
      </c>
      <c r="Q22" s="178"/>
      <c r="R22" s="77"/>
      <c r="S22" s="77"/>
      <c r="T22" s="77"/>
      <c r="U22" s="178"/>
    </row>
    <row r="23" spans="1:21" x14ac:dyDescent="0.3">
      <c r="A23" s="41"/>
      <c r="B23" s="61" t="s">
        <v>62</v>
      </c>
      <c r="C23" s="61" t="s">
        <v>84</v>
      </c>
      <c r="D23" s="101">
        <f>COUNTIF('Max rate concentrations'!D$3:D$368, "&gt;"&amp;inputs!E115)</f>
        <v>29</v>
      </c>
      <c r="E23" s="101">
        <f>COUNTIF('Max rate concentrations'!E$3:E$368, "&gt;"&amp;inputs!E115)</f>
        <v>23</v>
      </c>
      <c r="F23" s="101">
        <f>COUNTIF('Max rate concentrations'!F$3:F$368, "&gt;"&amp;inputs!E115)</f>
        <v>25</v>
      </c>
      <c r="G23" s="101">
        <f>COUNTIF('Max rate concentrations'!G$3:G$368, "&gt;"&amp;inputs!E115)</f>
        <v>8</v>
      </c>
      <c r="H23" s="101">
        <f>COUNTIF('Max rate concentrations'!H$3:H$368, "&gt;"&amp;inputs!E115)</f>
        <v>22</v>
      </c>
      <c r="I23" s="101">
        <f>COUNTIF('Max rate concentrations'!I$3:I$368, "&gt;"&amp;inputs!E115)</f>
        <v>62</v>
      </c>
      <c r="J23" s="101">
        <f>COUNTIF('Max rate concentrations'!J$3:J$368, "&gt;"&amp;inputs!E115)</f>
        <v>30</v>
      </c>
      <c r="K23" s="101">
        <f>COUNTIF('Max rate concentrations'!K$3:K$368, "&gt;"&amp;inputs!E115)</f>
        <v>16</v>
      </c>
      <c r="L23" s="101">
        <f>COUNTIF('Max rate concentrations'!L$3:L$368, "&gt;"&amp;inputs!E115)</f>
        <v>25</v>
      </c>
      <c r="M23" s="101">
        <f>COUNTIF('Max rate concentrations'!M$3:M$368, "&gt;"&amp;inputs!E115)</f>
        <v>1</v>
      </c>
      <c r="N23" s="101" t="s">
        <v>13</v>
      </c>
      <c r="Q23" s="178"/>
      <c r="R23" s="77"/>
      <c r="S23" s="77"/>
      <c r="T23" s="77"/>
      <c r="U23" s="178"/>
    </row>
    <row r="24" spans="1:21" x14ac:dyDescent="0.3">
      <c r="A24" s="41"/>
      <c r="B24" s="61" t="s">
        <v>62</v>
      </c>
      <c r="C24" s="61" t="s">
        <v>85</v>
      </c>
      <c r="D24" s="101">
        <f>COUNTIF('Max rate concentrations'!D$3:D$368, "&gt;"&amp;inputs!E116)</f>
        <v>24</v>
      </c>
      <c r="E24" s="101">
        <f>COUNTIF('Max rate concentrations'!E$3:E$368, "&gt;"&amp;inputs!E116)</f>
        <v>18</v>
      </c>
      <c r="F24" s="101">
        <f>COUNTIF('Max rate concentrations'!F$3:F$368, "&gt;"&amp;inputs!E116)</f>
        <v>19</v>
      </c>
      <c r="G24" s="101">
        <f>COUNTIF('Max rate concentrations'!G$3:G$368, "&gt;"&amp;inputs!E116)</f>
        <v>2</v>
      </c>
      <c r="H24" s="101">
        <f>COUNTIF('Max rate concentrations'!H$3:H$368, "&gt;"&amp;inputs!E116)</f>
        <v>16</v>
      </c>
      <c r="I24" s="101">
        <f>COUNTIF('Max rate concentrations'!I$3:I$368, "&gt;"&amp;inputs!E116)</f>
        <v>24</v>
      </c>
      <c r="J24" s="101">
        <f>COUNTIF('Max rate concentrations'!J$3:J$368, "&gt;"&amp;inputs!E116)</f>
        <v>24</v>
      </c>
      <c r="K24" s="101">
        <f>COUNTIF('Max rate concentrations'!K$3:K$368, "&gt;"&amp;inputs!E116)</f>
        <v>10</v>
      </c>
      <c r="L24" s="101">
        <f>COUNTIF('Max rate concentrations'!L$3:L$368, "&gt;"&amp;inputs!E116)</f>
        <v>20</v>
      </c>
      <c r="M24" s="101">
        <f>COUNTIF('Max rate concentrations'!M$3:M$368, "&gt;"&amp;inputs!E116)</f>
        <v>0</v>
      </c>
      <c r="N24" s="101" t="s">
        <v>13</v>
      </c>
      <c r="Q24" s="178"/>
      <c r="R24" s="77"/>
      <c r="S24" s="77"/>
      <c r="T24" s="77"/>
      <c r="U24" s="178"/>
    </row>
    <row r="25" spans="1:21" x14ac:dyDescent="0.3">
      <c r="A25" s="41"/>
      <c r="B25" s="61" t="s">
        <v>62</v>
      </c>
      <c r="C25" s="61" t="s">
        <v>86</v>
      </c>
      <c r="D25" s="101">
        <f>COUNTIF('Max rate concentrations'!D$3:D$368, "&gt;"&amp;inputs!E117)</f>
        <v>21</v>
      </c>
      <c r="E25" s="101">
        <f>COUNTIF('Max rate concentrations'!E$3:E$368, "&gt;"&amp;inputs!E117)</f>
        <v>15</v>
      </c>
      <c r="F25" s="101">
        <f>COUNTIF('Max rate concentrations'!F$3:F$368, "&gt;"&amp;inputs!E117)</f>
        <v>16</v>
      </c>
      <c r="G25" s="101">
        <f>COUNTIF('Max rate concentrations'!G$3:G$368, "&gt;"&amp;inputs!E117)</f>
        <v>0</v>
      </c>
      <c r="H25" s="101">
        <f>COUNTIF('Max rate concentrations'!H$3:H$368, "&gt;"&amp;inputs!E117)</f>
        <v>14</v>
      </c>
      <c r="I25" s="101">
        <f>COUNTIF('Max rate concentrations'!I$3:I$368, "&gt;"&amp;inputs!E117)</f>
        <v>7</v>
      </c>
      <c r="J25" s="101">
        <f>COUNTIF('Max rate concentrations'!J$3:J$368, "&gt;"&amp;inputs!E117)</f>
        <v>21</v>
      </c>
      <c r="K25" s="101">
        <f>COUNTIF('Max rate concentrations'!K$3:K$368, "&gt;"&amp;inputs!E117)</f>
        <v>7</v>
      </c>
      <c r="L25" s="101">
        <f>COUNTIF('Max rate concentrations'!L$3:L$368, "&gt;"&amp;inputs!E117)</f>
        <v>17</v>
      </c>
      <c r="M25" s="101">
        <f>COUNTIF('Max rate concentrations'!M$3:M$368, "&gt;"&amp;inputs!E117)</f>
        <v>0</v>
      </c>
      <c r="N25" s="101" t="s">
        <v>13</v>
      </c>
      <c r="Q25" s="107"/>
      <c r="R25" s="77"/>
      <c r="S25" s="77"/>
      <c r="T25" s="77"/>
      <c r="U25" s="178"/>
    </row>
    <row r="26" spans="1:21" x14ac:dyDescent="0.3">
      <c r="A26" s="41"/>
      <c r="B26" s="61" t="s">
        <v>62</v>
      </c>
      <c r="C26" s="61" t="s">
        <v>87</v>
      </c>
      <c r="D26" s="101">
        <f>COUNTIF('Max rate concentrations'!D$3:D$368, "&gt;"&amp;inputs!E118)</f>
        <v>0</v>
      </c>
      <c r="E26" s="101">
        <f>COUNTIF('Max rate concentrations'!E$3:E$368, "&gt;"&amp;inputs!E118)</f>
        <v>0</v>
      </c>
      <c r="F26" s="101">
        <f>COUNTIF('Max rate concentrations'!F$3:F$368, "&gt;"&amp;inputs!E118)</f>
        <v>0</v>
      </c>
      <c r="G26" s="101">
        <f>COUNTIF('Max rate concentrations'!G$3:G$368, "&gt;"&amp;inputs!E118)</f>
        <v>0</v>
      </c>
      <c r="H26" s="101">
        <f>COUNTIF('Max rate concentrations'!H$3:H$368, "&gt;"&amp;inputs!E118)</f>
        <v>0</v>
      </c>
      <c r="I26" s="101">
        <f>COUNTIF('Max rate concentrations'!I$3:I$368, "&gt;"&amp;inputs!E118)</f>
        <v>0</v>
      </c>
      <c r="J26" s="101">
        <f>COUNTIF('Max rate concentrations'!J$3:J$368, "&gt;"&amp;inputs!E118)</f>
        <v>0</v>
      </c>
      <c r="K26" s="101">
        <f>COUNTIF('Max rate concentrations'!K$3:K$368, "&gt;"&amp;inputs!E118)</f>
        <v>0</v>
      </c>
      <c r="L26" s="101">
        <f>COUNTIF('Max rate concentrations'!L$3:L$368, "&gt;"&amp;inputs!E118)</f>
        <v>0</v>
      </c>
      <c r="M26" s="101">
        <f>COUNTIF('Max rate concentrations'!M$3:M$368, "&gt;"&amp;inputs!E118)</f>
        <v>0</v>
      </c>
      <c r="N26" s="101" t="s">
        <v>13</v>
      </c>
      <c r="Q26" s="107"/>
      <c r="R26" s="77"/>
      <c r="S26" s="77"/>
      <c r="T26" s="77"/>
      <c r="U26" s="77"/>
    </row>
    <row r="27" spans="1:21" x14ac:dyDescent="0.3">
      <c r="A27" s="41"/>
      <c r="B27" s="61" t="s">
        <v>62</v>
      </c>
      <c r="C27" s="61" t="s">
        <v>88</v>
      </c>
      <c r="D27" s="101">
        <f>COUNTIF('Max rate concentrations'!D$3:D$368, "&gt;"&amp;inputs!E119)</f>
        <v>0</v>
      </c>
      <c r="E27" s="101">
        <f>COUNTIF('Max rate concentrations'!E$3:E$368, "&gt;"&amp;inputs!E119)</f>
        <v>0</v>
      </c>
      <c r="F27" s="101">
        <f>COUNTIF('Max rate concentrations'!F$3:F$368, "&gt;"&amp;inputs!E119)</f>
        <v>0</v>
      </c>
      <c r="G27" s="101">
        <f>COUNTIF('Max rate concentrations'!G$3:G$368, "&gt;"&amp;inputs!E119)</f>
        <v>0</v>
      </c>
      <c r="H27" s="101">
        <f>COUNTIF('Max rate concentrations'!H$3:H$368, "&gt;"&amp;inputs!E119)</f>
        <v>0</v>
      </c>
      <c r="I27" s="101">
        <f>COUNTIF('Max rate concentrations'!I$3:I$368, "&gt;"&amp;inputs!E119)</f>
        <v>0</v>
      </c>
      <c r="J27" s="101">
        <f>COUNTIF('Max rate concentrations'!J$3:J$368, "&gt;"&amp;inputs!E119)</f>
        <v>0</v>
      </c>
      <c r="K27" s="101">
        <f>COUNTIF('Max rate concentrations'!K$3:K$368, "&gt;"&amp;inputs!E119)</f>
        <v>0</v>
      </c>
      <c r="L27" s="101">
        <f>COUNTIF('Max rate concentrations'!L$3:L$368, "&gt;"&amp;inputs!E119)</f>
        <v>0</v>
      </c>
      <c r="M27" s="101">
        <f>COUNTIF('Max rate concentrations'!M$3:M$368, "&gt;"&amp;inputs!E119)</f>
        <v>0</v>
      </c>
      <c r="N27" s="101" t="s">
        <v>13</v>
      </c>
      <c r="Q27" s="107"/>
      <c r="R27" s="77"/>
      <c r="S27" s="77"/>
      <c r="T27" s="77"/>
      <c r="U27" s="77"/>
    </row>
    <row r="28" spans="1:21" x14ac:dyDescent="0.3">
      <c r="A28" s="39"/>
      <c r="B28" s="22" t="s">
        <v>64</v>
      </c>
      <c r="C28" s="22" t="s">
        <v>71</v>
      </c>
      <c r="D28" s="101">
        <f>COUNTIF('Max rate concentrations'!D$3:D$368, "&gt;"&amp;inputs!E120)</f>
        <v>40</v>
      </c>
      <c r="E28" s="101">
        <f>COUNTIF('Max rate concentrations'!E$3:E$368, "&gt;"&amp;inputs!E120)</f>
        <v>34</v>
      </c>
      <c r="F28" s="101">
        <f>COUNTIF('Max rate concentrations'!F$3:F$368, "&gt;"&amp;inputs!E120)</f>
        <v>36</v>
      </c>
      <c r="G28" s="101">
        <f>COUNTIF('Max rate concentrations'!G$3:G$368, "&gt;"&amp;inputs!E120)</f>
        <v>19</v>
      </c>
      <c r="H28" s="101">
        <f>COUNTIF('Max rate concentrations'!H$3:H$368, "&gt;"&amp;inputs!E120)</f>
        <v>33</v>
      </c>
      <c r="I28" s="101">
        <f>COUNTIF('Max rate concentrations'!I$3:I$368, "&gt;"&amp;inputs!E120)</f>
        <v>131</v>
      </c>
      <c r="J28" s="101">
        <f>COUNTIF('Max rate concentrations'!J$3:J$368, "&gt;"&amp;inputs!E120)</f>
        <v>41</v>
      </c>
      <c r="K28" s="101">
        <f>COUNTIF('Max rate concentrations'!K$3:K$368, "&gt;"&amp;inputs!E120)</f>
        <v>27</v>
      </c>
      <c r="L28" s="101">
        <f>COUNTIF('Max rate concentrations'!L$3:L$368, "&gt;"&amp;inputs!E120)</f>
        <v>36</v>
      </c>
      <c r="M28" s="101">
        <f>COUNTIF('Max rate concentrations'!M$3:M$368, "&gt;"&amp;inputs!E120)</f>
        <v>13</v>
      </c>
      <c r="N28" s="101" t="s">
        <v>13</v>
      </c>
      <c r="Q28" s="107"/>
      <c r="R28" s="77"/>
      <c r="S28" s="77"/>
      <c r="T28" s="77"/>
      <c r="U28" s="77"/>
    </row>
    <row r="29" spans="1:21" x14ac:dyDescent="0.3">
      <c r="A29" s="40" t="s">
        <v>706</v>
      </c>
      <c r="B29" s="22" t="s">
        <v>62</v>
      </c>
      <c r="C29" s="22" t="s">
        <v>63</v>
      </c>
      <c r="D29" s="101">
        <f>COUNTIF('Max rate concentrations'!D$3:D$368, "&gt;"&amp;inputs!E121)</f>
        <v>44</v>
      </c>
      <c r="E29" s="101">
        <f>COUNTIF('Max rate concentrations'!E$3:E$368, "&gt;"&amp;inputs!E121)</f>
        <v>38</v>
      </c>
      <c r="F29" s="101">
        <f>COUNTIF('Max rate concentrations'!F$3:F$368, "&gt;"&amp;inputs!E121)</f>
        <v>39</v>
      </c>
      <c r="G29" s="101">
        <f>COUNTIF('Max rate concentrations'!G$3:G$368, "&gt;"&amp;inputs!E121)</f>
        <v>23</v>
      </c>
      <c r="H29" s="101">
        <f>COUNTIF('Max rate concentrations'!H$3:H$368, "&gt;"&amp;inputs!E121)</f>
        <v>37</v>
      </c>
      <c r="I29" s="101">
        <f>COUNTIF('Max rate concentrations'!I$3:I$368, "&gt;"&amp;inputs!E121)</f>
        <v>154</v>
      </c>
      <c r="J29" s="101">
        <f>COUNTIF('Max rate concentrations'!J$3:J$368, "&gt;"&amp;inputs!E121)</f>
        <v>44</v>
      </c>
      <c r="K29" s="101">
        <f>COUNTIF('Max rate concentrations'!K$3:K$368, "&gt;"&amp;inputs!E121)</f>
        <v>30</v>
      </c>
      <c r="L29" s="101">
        <f>COUNTIF('Max rate concentrations'!L$3:L$368, "&gt;"&amp;inputs!E121)</f>
        <v>40</v>
      </c>
      <c r="M29" s="101">
        <f>COUNTIF('Max rate concentrations'!M$3:M$368, "&gt;"&amp;inputs!E121)</f>
        <v>17</v>
      </c>
      <c r="N29" s="101" t="s">
        <v>13</v>
      </c>
      <c r="Q29" s="107"/>
      <c r="R29" s="77"/>
      <c r="S29" s="77"/>
      <c r="T29" s="77"/>
      <c r="U29" s="77"/>
    </row>
    <row r="30" spans="1:21" ht="43.2" x14ac:dyDescent="0.3">
      <c r="A30" s="26" t="s">
        <v>78</v>
      </c>
      <c r="B30" s="22" t="s">
        <v>64</v>
      </c>
      <c r="C30" s="22" t="s">
        <v>65</v>
      </c>
      <c r="D30" s="101">
        <f>COUNTIF('Max rate concentrations'!D$3:D$368, "&gt;"&amp;inputs!E122)</f>
        <v>29</v>
      </c>
      <c r="E30" s="101">
        <f>COUNTIF('Max rate concentrations'!E$3:E$368, "&gt;"&amp;inputs!E122)</f>
        <v>23</v>
      </c>
      <c r="F30" s="101">
        <f>COUNTIF('Max rate concentrations'!F$3:F$368, "&gt;"&amp;inputs!E122)</f>
        <v>24</v>
      </c>
      <c r="G30" s="101">
        <f>COUNTIF('Max rate concentrations'!G$3:G$368, "&gt;"&amp;inputs!E122)</f>
        <v>8</v>
      </c>
      <c r="H30" s="101">
        <f>COUNTIF('Max rate concentrations'!H$3:H$368, "&gt;"&amp;inputs!E122)</f>
        <v>22</v>
      </c>
      <c r="I30" s="101">
        <f>COUNTIF('Max rate concentrations'!I$3:I$368, "&gt;"&amp;inputs!E122)</f>
        <v>57</v>
      </c>
      <c r="J30" s="101">
        <f>COUNTIF('Max rate concentrations'!J$3:J$368, "&gt;"&amp;inputs!E122)</f>
        <v>29</v>
      </c>
      <c r="K30" s="101">
        <f>COUNTIF('Max rate concentrations'!K$3:K$368, "&gt;"&amp;inputs!E122)</f>
        <v>15</v>
      </c>
      <c r="L30" s="101">
        <f>COUNTIF('Max rate concentrations'!L$3:L$368, "&gt;"&amp;inputs!E122)</f>
        <v>25</v>
      </c>
      <c r="M30" s="101">
        <f>COUNTIF('Max rate concentrations'!M$3:M$368, "&gt;"&amp;inputs!E122)</f>
        <v>0</v>
      </c>
      <c r="N30" s="101" t="s">
        <v>13</v>
      </c>
      <c r="Q30" s="107"/>
      <c r="R30" s="77"/>
      <c r="S30" s="77"/>
      <c r="T30" s="77"/>
      <c r="U30" s="77"/>
    </row>
    <row r="31" spans="1:21" x14ac:dyDescent="0.3">
      <c r="A31" s="41"/>
      <c r="B31" s="22" t="s">
        <v>66</v>
      </c>
      <c r="C31" s="22" t="s">
        <v>80</v>
      </c>
      <c r="D31" s="101">
        <f>COUNTIF('Max rate concentrations'!D$3:D$368, "&gt;"&amp;inputs!E123)</f>
        <v>23</v>
      </c>
      <c r="E31" s="101">
        <f>COUNTIF('Max rate concentrations'!E$3:E$368, "&gt;"&amp;inputs!E123)</f>
        <v>17</v>
      </c>
      <c r="F31" s="101">
        <f>COUNTIF('Max rate concentrations'!F$3:F$368, "&gt;"&amp;inputs!E123)</f>
        <v>19</v>
      </c>
      <c r="G31" s="101">
        <f>COUNTIF('Max rate concentrations'!G$3:G$368, "&gt;"&amp;inputs!E123)</f>
        <v>2</v>
      </c>
      <c r="H31" s="101">
        <f>COUNTIF('Max rate concentrations'!H$3:H$368, "&gt;"&amp;inputs!E123)</f>
        <v>16</v>
      </c>
      <c r="I31" s="101">
        <f>COUNTIF('Max rate concentrations'!I$3:I$368, "&gt;"&amp;inputs!E123)</f>
        <v>20</v>
      </c>
      <c r="J31" s="101">
        <f>COUNTIF('Max rate concentrations'!J$3:J$368, "&gt;"&amp;inputs!E123)</f>
        <v>24</v>
      </c>
      <c r="K31" s="101">
        <f>COUNTIF('Max rate concentrations'!K$3:K$368, "&gt;"&amp;inputs!E123)</f>
        <v>10</v>
      </c>
      <c r="L31" s="101">
        <f>COUNTIF('Max rate concentrations'!L$3:L$368, "&gt;"&amp;inputs!E123)</f>
        <v>19</v>
      </c>
      <c r="M31" s="101">
        <f>COUNTIF('Max rate concentrations'!M$3:M$368, "&gt;"&amp;inputs!E123)</f>
        <v>0</v>
      </c>
      <c r="N31" s="101" t="s">
        <v>13</v>
      </c>
      <c r="Q31" s="107"/>
      <c r="R31" s="77"/>
      <c r="S31" s="77"/>
      <c r="T31" s="77"/>
      <c r="U31" s="77"/>
    </row>
    <row r="32" spans="1:21" x14ac:dyDescent="0.3">
      <c r="A32" s="41"/>
      <c r="B32" s="22" t="s">
        <v>62</v>
      </c>
      <c r="C32" s="22" t="s">
        <v>71</v>
      </c>
      <c r="D32" s="101">
        <f>COUNTIF('Max rate concentrations'!D$3:D$368, "&gt;"&amp;inputs!E124)</f>
        <v>40</v>
      </c>
      <c r="E32" s="101">
        <f>COUNTIF('Max rate concentrations'!E$3:E$368, "&gt;"&amp;inputs!E124)</f>
        <v>34</v>
      </c>
      <c r="F32" s="101">
        <f>COUNTIF('Max rate concentrations'!F$3:F$368, "&gt;"&amp;inputs!E124)</f>
        <v>36</v>
      </c>
      <c r="G32" s="101">
        <f>COUNTIF('Max rate concentrations'!G$3:G$368, "&gt;"&amp;inputs!E124)</f>
        <v>19</v>
      </c>
      <c r="H32" s="101">
        <f>COUNTIF('Max rate concentrations'!H$3:H$368, "&gt;"&amp;inputs!E124)</f>
        <v>33</v>
      </c>
      <c r="I32" s="101">
        <f>COUNTIF('Max rate concentrations'!I$3:I$368, "&gt;"&amp;inputs!E124)</f>
        <v>131</v>
      </c>
      <c r="J32" s="101">
        <f>COUNTIF('Max rate concentrations'!J$3:J$368, "&gt;"&amp;inputs!E124)</f>
        <v>41</v>
      </c>
      <c r="K32" s="101">
        <f>COUNTIF('Max rate concentrations'!K$3:K$368, "&gt;"&amp;inputs!E124)</f>
        <v>27</v>
      </c>
      <c r="L32" s="101">
        <f>COUNTIF('Max rate concentrations'!L$3:L$368, "&gt;"&amp;inputs!E124)</f>
        <v>36</v>
      </c>
      <c r="M32" s="101">
        <f>COUNTIF('Max rate concentrations'!M$3:M$368, "&gt;"&amp;inputs!E124)</f>
        <v>13</v>
      </c>
      <c r="N32" s="101" t="s">
        <v>13</v>
      </c>
      <c r="Q32" s="107"/>
      <c r="R32" s="77"/>
      <c r="S32" s="77"/>
      <c r="T32" s="77"/>
      <c r="U32" s="77"/>
    </row>
    <row r="33" spans="1:21" x14ac:dyDescent="0.3">
      <c r="A33" s="41"/>
      <c r="B33" s="61" t="s">
        <v>62</v>
      </c>
      <c r="C33" s="61" t="s">
        <v>81</v>
      </c>
      <c r="D33" s="101">
        <f>COUNTIF('Max rate concentrations'!D$3:D$368, "&gt;"&amp;inputs!E125)</f>
        <v>35</v>
      </c>
      <c r="E33" s="101">
        <f>COUNTIF('Max rate concentrations'!E$3:E$368, "&gt;"&amp;inputs!E125)</f>
        <v>29</v>
      </c>
      <c r="F33" s="101">
        <f>COUNTIF('Max rate concentrations'!F$3:F$368, "&gt;"&amp;inputs!E125)</f>
        <v>30</v>
      </c>
      <c r="G33" s="101">
        <f>COUNTIF('Max rate concentrations'!G$3:G$368, "&gt;"&amp;inputs!E125)</f>
        <v>13</v>
      </c>
      <c r="H33" s="101">
        <f>COUNTIF('Max rate concentrations'!H$3:H$368, "&gt;"&amp;inputs!E125)</f>
        <v>27</v>
      </c>
      <c r="I33" s="101">
        <f>COUNTIF('Max rate concentrations'!I$3:I$368, "&gt;"&amp;inputs!E125)</f>
        <v>95</v>
      </c>
      <c r="J33" s="101">
        <f>COUNTIF('Max rate concentrations'!J$3:J$368, "&gt;"&amp;inputs!E125)</f>
        <v>35</v>
      </c>
      <c r="K33" s="101">
        <f>COUNTIF('Max rate concentrations'!K$3:K$368, "&gt;"&amp;inputs!E125)</f>
        <v>21</v>
      </c>
      <c r="L33" s="101">
        <f>COUNTIF('Max rate concentrations'!L$3:L$368, "&gt;"&amp;inputs!E125)</f>
        <v>31</v>
      </c>
      <c r="M33" s="101">
        <f>COUNTIF('Max rate concentrations'!M$3:M$368, "&gt;"&amp;inputs!E125)</f>
        <v>7</v>
      </c>
      <c r="N33" s="101" t="s">
        <v>13</v>
      </c>
      <c r="Q33" s="107"/>
      <c r="R33" s="77"/>
      <c r="S33" s="77"/>
      <c r="T33" s="77"/>
      <c r="U33" s="77"/>
    </row>
    <row r="34" spans="1:21" x14ac:dyDescent="0.3">
      <c r="A34" s="41"/>
      <c r="B34" s="61" t="s">
        <v>62</v>
      </c>
      <c r="C34" s="61" t="s">
        <v>82</v>
      </c>
      <c r="D34" s="101">
        <f>COUNTIF('Max rate concentrations'!D$3:D$368, "&gt;"&amp;inputs!E126)</f>
        <v>29</v>
      </c>
      <c r="E34" s="101">
        <f>COUNTIF('Max rate concentrations'!E$3:E$368, "&gt;"&amp;inputs!E126)</f>
        <v>23</v>
      </c>
      <c r="F34" s="101">
        <f>COUNTIF('Max rate concentrations'!F$3:F$368, "&gt;"&amp;inputs!E126)</f>
        <v>25</v>
      </c>
      <c r="G34" s="101">
        <f>COUNTIF('Max rate concentrations'!G$3:G$368, "&gt;"&amp;inputs!E126)</f>
        <v>8</v>
      </c>
      <c r="H34" s="101">
        <f>COUNTIF('Max rate concentrations'!H$3:H$368, "&gt;"&amp;inputs!E126)</f>
        <v>22</v>
      </c>
      <c r="I34" s="101">
        <f>COUNTIF('Max rate concentrations'!I$3:I$368, "&gt;"&amp;inputs!E126)</f>
        <v>62</v>
      </c>
      <c r="J34" s="101">
        <f>COUNTIF('Max rate concentrations'!J$3:J$368, "&gt;"&amp;inputs!E126)</f>
        <v>30</v>
      </c>
      <c r="K34" s="101">
        <f>COUNTIF('Max rate concentrations'!K$3:K$368, "&gt;"&amp;inputs!E126)</f>
        <v>16</v>
      </c>
      <c r="L34" s="101">
        <f>COUNTIF('Max rate concentrations'!L$3:L$368, "&gt;"&amp;inputs!E126)</f>
        <v>25</v>
      </c>
      <c r="M34" s="101">
        <f>COUNTIF('Max rate concentrations'!M$3:M$368, "&gt;"&amp;inputs!E126)</f>
        <v>1</v>
      </c>
      <c r="N34" s="101" t="s">
        <v>13</v>
      </c>
    </row>
    <row r="35" spans="1:21" x14ac:dyDescent="0.3">
      <c r="A35" s="41"/>
      <c r="B35" s="61" t="s">
        <v>62</v>
      </c>
      <c r="C35" s="61" t="s">
        <v>83</v>
      </c>
      <c r="D35" s="101">
        <f>COUNTIF('Max rate concentrations'!D$3:D$368, "&gt;"&amp;inputs!E127)</f>
        <v>35</v>
      </c>
      <c r="E35" s="101">
        <f>COUNTIF('Max rate concentrations'!E$3:E$368, "&gt;"&amp;inputs!E127)</f>
        <v>29</v>
      </c>
      <c r="F35" s="101">
        <f>COUNTIF('Max rate concentrations'!F$3:F$368, "&gt;"&amp;inputs!E127)</f>
        <v>30</v>
      </c>
      <c r="G35" s="101">
        <f>COUNTIF('Max rate concentrations'!G$3:G$368, "&gt;"&amp;inputs!E127)</f>
        <v>13</v>
      </c>
      <c r="H35" s="101">
        <f>COUNTIF('Max rate concentrations'!H$3:H$368, "&gt;"&amp;inputs!E127)</f>
        <v>27</v>
      </c>
      <c r="I35" s="101">
        <f>COUNTIF('Max rate concentrations'!I$3:I$368, "&gt;"&amp;inputs!E127)</f>
        <v>95</v>
      </c>
      <c r="J35" s="101">
        <f>COUNTIF('Max rate concentrations'!J$3:J$368, "&gt;"&amp;inputs!E127)</f>
        <v>35</v>
      </c>
      <c r="K35" s="101">
        <f>COUNTIF('Max rate concentrations'!K$3:K$368, "&gt;"&amp;inputs!E127)</f>
        <v>21</v>
      </c>
      <c r="L35" s="101">
        <f>COUNTIF('Max rate concentrations'!L$3:L$368, "&gt;"&amp;inputs!E127)</f>
        <v>31</v>
      </c>
      <c r="M35" s="101">
        <f>COUNTIF('Max rate concentrations'!M$3:M$368, "&gt;"&amp;inputs!E127)</f>
        <v>7</v>
      </c>
      <c r="N35" s="101" t="s">
        <v>13</v>
      </c>
    </row>
    <row r="36" spans="1:21" x14ac:dyDescent="0.3">
      <c r="A36" s="41"/>
      <c r="B36" s="61" t="s">
        <v>62</v>
      </c>
      <c r="C36" s="61" t="s">
        <v>84</v>
      </c>
      <c r="D36" s="101">
        <f>COUNTIF('Max rate concentrations'!D$3:D$368, "&gt;"&amp;inputs!E128)</f>
        <v>29</v>
      </c>
      <c r="E36" s="101">
        <f>COUNTIF('Max rate concentrations'!E$3:E$368, "&gt;"&amp;inputs!E128)</f>
        <v>23</v>
      </c>
      <c r="F36" s="101">
        <f>COUNTIF('Max rate concentrations'!F$3:F$368, "&gt;"&amp;inputs!E128)</f>
        <v>25</v>
      </c>
      <c r="G36" s="101">
        <f>COUNTIF('Max rate concentrations'!G$3:G$368, "&gt;"&amp;inputs!E128)</f>
        <v>8</v>
      </c>
      <c r="H36" s="101">
        <f>COUNTIF('Max rate concentrations'!H$3:H$368, "&gt;"&amp;inputs!E128)</f>
        <v>22</v>
      </c>
      <c r="I36" s="101">
        <f>COUNTIF('Max rate concentrations'!I$3:I$368, "&gt;"&amp;inputs!E128)</f>
        <v>62</v>
      </c>
      <c r="J36" s="101">
        <f>COUNTIF('Max rate concentrations'!J$3:J$368, "&gt;"&amp;inputs!E128)</f>
        <v>30</v>
      </c>
      <c r="K36" s="101">
        <f>COUNTIF('Max rate concentrations'!K$3:K$368, "&gt;"&amp;inputs!E128)</f>
        <v>16</v>
      </c>
      <c r="L36" s="101">
        <f>COUNTIF('Max rate concentrations'!L$3:L$368, "&gt;"&amp;inputs!E128)</f>
        <v>25</v>
      </c>
      <c r="M36" s="101">
        <f>COUNTIF('Max rate concentrations'!M$3:M$368, "&gt;"&amp;inputs!E128)</f>
        <v>1</v>
      </c>
      <c r="N36" s="101" t="s">
        <v>13</v>
      </c>
    </row>
    <row r="37" spans="1:21" x14ac:dyDescent="0.3">
      <c r="A37" s="41"/>
      <c r="B37" s="61" t="s">
        <v>62</v>
      </c>
      <c r="C37" s="61" t="s">
        <v>85</v>
      </c>
      <c r="D37" s="101">
        <f>COUNTIF('Max rate concentrations'!D$3:D$368, "&gt;"&amp;inputs!E129)</f>
        <v>40</v>
      </c>
      <c r="E37" s="101">
        <f>COUNTIF('Max rate concentrations'!E$3:E$368, "&gt;"&amp;inputs!E129)</f>
        <v>34</v>
      </c>
      <c r="F37" s="101">
        <f>COUNTIF('Max rate concentrations'!F$3:F$368, "&gt;"&amp;inputs!E129)</f>
        <v>36</v>
      </c>
      <c r="G37" s="101">
        <f>COUNTIF('Max rate concentrations'!G$3:G$368, "&gt;"&amp;inputs!E129)</f>
        <v>19</v>
      </c>
      <c r="H37" s="101">
        <f>COUNTIF('Max rate concentrations'!H$3:H$368, "&gt;"&amp;inputs!E129)</f>
        <v>33</v>
      </c>
      <c r="I37" s="101">
        <f>COUNTIF('Max rate concentrations'!I$3:I$368, "&gt;"&amp;inputs!E129)</f>
        <v>131</v>
      </c>
      <c r="J37" s="101">
        <f>COUNTIF('Max rate concentrations'!J$3:J$368, "&gt;"&amp;inputs!E129)</f>
        <v>41</v>
      </c>
      <c r="K37" s="101">
        <f>COUNTIF('Max rate concentrations'!K$3:K$368, "&gt;"&amp;inputs!E129)</f>
        <v>27</v>
      </c>
      <c r="L37" s="101">
        <f>COUNTIF('Max rate concentrations'!L$3:L$368, "&gt;"&amp;inputs!E129)</f>
        <v>36</v>
      </c>
      <c r="M37" s="101">
        <f>COUNTIF('Max rate concentrations'!M$3:M$368, "&gt;"&amp;inputs!E129)</f>
        <v>13</v>
      </c>
      <c r="N37" s="101" t="s">
        <v>13</v>
      </c>
    </row>
    <row r="38" spans="1:21" x14ac:dyDescent="0.3">
      <c r="A38" s="41"/>
      <c r="B38" s="61" t="s">
        <v>62</v>
      </c>
      <c r="C38" s="61" t="s">
        <v>86</v>
      </c>
      <c r="D38" s="101">
        <f>COUNTIF('Max rate concentrations'!D$3:D$368, "&gt;"&amp;inputs!E130)</f>
        <v>40</v>
      </c>
      <c r="E38" s="101">
        <f>COUNTIF('Max rate concentrations'!E$3:E$368, "&gt;"&amp;inputs!E130)</f>
        <v>34</v>
      </c>
      <c r="F38" s="101">
        <f>COUNTIF('Max rate concentrations'!F$3:F$368, "&gt;"&amp;inputs!E130)</f>
        <v>36</v>
      </c>
      <c r="G38" s="101">
        <f>COUNTIF('Max rate concentrations'!G$3:G$368, "&gt;"&amp;inputs!E130)</f>
        <v>19</v>
      </c>
      <c r="H38" s="101">
        <f>COUNTIF('Max rate concentrations'!H$3:H$368, "&gt;"&amp;inputs!E130)</f>
        <v>33</v>
      </c>
      <c r="I38" s="101">
        <f>COUNTIF('Max rate concentrations'!I$3:I$368, "&gt;"&amp;inputs!E130)</f>
        <v>131</v>
      </c>
      <c r="J38" s="101">
        <f>COUNTIF('Max rate concentrations'!J$3:J$368, "&gt;"&amp;inputs!E130)</f>
        <v>41</v>
      </c>
      <c r="K38" s="101">
        <f>COUNTIF('Max rate concentrations'!K$3:K$368, "&gt;"&amp;inputs!E130)</f>
        <v>27</v>
      </c>
      <c r="L38" s="101">
        <f>COUNTIF('Max rate concentrations'!L$3:L$368, "&gt;"&amp;inputs!E130)</f>
        <v>36</v>
      </c>
      <c r="M38" s="101">
        <f>COUNTIF('Max rate concentrations'!M$3:M$368, "&gt;"&amp;inputs!E130)</f>
        <v>13</v>
      </c>
      <c r="N38" s="101" t="s">
        <v>13</v>
      </c>
    </row>
    <row r="39" spans="1:21" x14ac:dyDescent="0.3">
      <c r="A39" s="41"/>
      <c r="B39" s="61" t="s">
        <v>62</v>
      </c>
      <c r="C39" s="61" t="s">
        <v>87</v>
      </c>
      <c r="D39" s="101">
        <f>COUNTIF('Max rate concentrations'!D$3:D$368, "&gt;"&amp;inputs!E131)</f>
        <v>0</v>
      </c>
      <c r="E39" s="101">
        <f>COUNTIF('Max rate concentrations'!E$3:E$368, "&gt;"&amp;inputs!E131)</f>
        <v>0</v>
      </c>
      <c r="F39" s="101">
        <f>COUNTIF('Max rate concentrations'!F$3:F$368, "&gt;"&amp;inputs!E131)</f>
        <v>0</v>
      </c>
      <c r="G39" s="101">
        <f>COUNTIF('Max rate concentrations'!G$3:G$368, "&gt;"&amp;inputs!E131)</f>
        <v>0</v>
      </c>
      <c r="H39" s="101">
        <f>COUNTIF('Max rate concentrations'!H$3:H$368, "&gt;"&amp;inputs!E131)</f>
        <v>0</v>
      </c>
      <c r="I39" s="101">
        <f>COUNTIF('Max rate concentrations'!I$3:I$368, "&gt;"&amp;inputs!E131)</f>
        <v>0</v>
      </c>
      <c r="J39" s="101">
        <f>COUNTIF('Max rate concentrations'!J$3:J$368, "&gt;"&amp;inputs!E131)</f>
        <v>0</v>
      </c>
      <c r="K39" s="101">
        <f>COUNTIF('Max rate concentrations'!K$3:K$368, "&gt;"&amp;inputs!E131)</f>
        <v>0</v>
      </c>
      <c r="L39" s="101">
        <f>COUNTIF('Max rate concentrations'!L$3:L$368, "&gt;"&amp;inputs!E131)</f>
        <v>0</v>
      </c>
      <c r="M39" s="101">
        <f>COUNTIF('Max rate concentrations'!M$3:M$368, "&gt;"&amp;inputs!E131)</f>
        <v>0</v>
      </c>
      <c r="N39" s="101" t="s">
        <v>13</v>
      </c>
    </row>
    <row r="40" spans="1:21" x14ac:dyDescent="0.3">
      <c r="A40" s="41"/>
      <c r="B40" s="61" t="s">
        <v>62</v>
      </c>
      <c r="C40" s="61" t="s">
        <v>88</v>
      </c>
      <c r="D40" s="101">
        <f>COUNTIF('Max rate concentrations'!D$3:D$368, "&gt;"&amp;inputs!E132)</f>
        <v>0</v>
      </c>
      <c r="E40" s="101">
        <f>COUNTIF('Max rate concentrations'!E$3:E$368, "&gt;"&amp;inputs!E132)</f>
        <v>0</v>
      </c>
      <c r="F40" s="101">
        <f>COUNTIF('Max rate concentrations'!F$3:F$368, "&gt;"&amp;inputs!E132)</f>
        <v>0</v>
      </c>
      <c r="G40" s="101">
        <f>COUNTIF('Max rate concentrations'!G$3:G$368, "&gt;"&amp;inputs!E132)</f>
        <v>0</v>
      </c>
      <c r="H40" s="101">
        <f>COUNTIF('Max rate concentrations'!H$3:H$368, "&gt;"&amp;inputs!E132)</f>
        <v>0</v>
      </c>
      <c r="I40" s="101">
        <f>COUNTIF('Max rate concentrations'!I$3:I$368, "&gt;"&amp;inputs!E132)</f>
        <v>0</v>
      </c>
      <c r="J40" s="101">
        <f>COUNTIF('Max rate concentrations'!J$3:J$368, "&gt;"&amp;inputs!E132)</f>
        <v>0</v>
      </c>
      <c r="K40" s="101">
        <f>COUNTIF('Max rate concentrations'!K$3:K$368, "&gt;"&amp;inputs!E132)</f>
        <v>0</v>
      </c>
      <c r="L40" s="101">
        <f>COUNTIF('Max rate concentrations'!L$3:L$368, "&gt;"&amp;inputs!E132)</f>
        <v>0</v>
      </c>
      <c r="M40" s="101">
        <f>COUNTIF('Max rate concentrations'!M$3:M$368, "&gt;"&amp;inputs!E132)</f>
        <v>0</v>
      </c>
      <c r="N40" s="101" t="s">
        <v>13</v>
      </c>
    </row>
    <row r="41" spans="1:21" x14ac:dyDescent="0.3">
      <c r="A41" s="39"/>
      <c r="B41" s="22" t="s">
        <v>64</v>
      </c>
      <c r="C41" s="22" t="s">
        <v>71</v>
      </c>
      <c r="D41" s="101">
        <f>COUNTIF('Max rate concentrations'!D$3:D$368, "&gt;"&amp;inputs!E133)</f>
        <v>40</v>
      </c>
      <c r="E41" s="101">
        <f>COUNTIF('Max rate concentrations'!E$3:E$368, "&gt;"&amp;inputs!E133)</f>
        <v>34</v>
      </c>
      <c r="F41" s="101">
        <f>COUNTIF('Max rate concentrations'!F$3:F$368, "&gt;"&amp;inputs!E133)</f>
        <v>36</v>
      </c>
      <c r="G41" s="101">
        <f>COUNTIF('Max rate concentrations'!G$3:G$368, "&gt;"&amp;inputs!E133)</f>
        <v>19</v>
      </c>
      <c r="H41" s="101">
        <f>COUNTIF('Max rate concentrations'!H$3:H$368, "&gt;"&amp;inputs!E133)</f>
        <v>33</v>
      </c>
      <c r="I41" s="101">
        <f>COUNTIF('Max rate concentrations'!I$3:I$368, "&gt;"&amp;inputs!E133)</f>
        <v>131</v>
      </c>
      <c r="J41" s="101">
        <f>COUNTIF('Max rate concentrations'!J$3:J$368, "&gt;"&amp;inputs!E133)</f>
        <v>41</v>
      </c>
      <c r="K41" s="101">
        <f>COUNTIF('Max rate concentrations'!K$3:K$368, "&gt;"&amp;inputs!E133)</f>
        <v>27</v>
      </c>
      <c r="L41" s="101">
        <f>COUNTIF('Max rate concentrations'!L$3:L$368, "&gt;"&amp;inputs!E133)</f>
        <v>36</v>
      </c>
      <c r="M41" s="101">
        <f>COUNTIF('Max rate concentrations'!M$3:M$368, "&gt;"&amp;inputs!E133)</f>
        <v>13</v>
      </c>
      <c r="N41" s="101" t="s">
        <v>13</v>
      </c>
    </row>
    <row r="42" spans="1:21" ht="28.8" x14ac:dyDescent="0.3">
      <c r="A42" s="24" t="s">
        <v>763</v>
      </c>
      <c r="B42" s="22" t="s">
        <v>62</v>
      </c>
      <c r="C42" s="25" t="s">
        <v>63</v>
      </c>
      <c r="D42" s="101">
        <f>COUNTIF('Max rate concentrations'!D$3:D$368, "&gt;"&amp;inputs!E150)</f>
        <v>0</v>
      </c>
      <c r="E42" s="101">
        <f>COUNTIF('Max rate concentrations'!E$3:E$368, "&gt;"&amp;inputs!E150)</f>
        <v>0</v>
      </c>
      <c r="F42" s="101">
        <f>COUNTIF('Max rate concentrations'!F$3:F$368, "&gt;"&amp;inputs!E150)</f>
        <v>0</v>
      </c>
      <c r="G42" s="101">
        <f>COUNTIF('Max rate concentrations'!G$3:G$368, "&gt;"&amp;inputs!E150)</f>
        <v>0</v>
      </c>
      <c r="H42" s="101">
        <f>COUNTIF('Max rate concentrations'!H$3:H$368, "&gt;"&amp;inputs!E137)</f>
        <v>74</v>
      </c>
      <c r="I42" s="101">
        <f>COUNTIF('Max rate concentrations'!I$3:I$368, "&gt;"&amp;inputs!E137)</f>
        <v>366</v>
      </c>
      <c r="J42" s="101" t="s">
        <v>13</v>
      </c>
      <c r="K42" s="101">
        <f>COUNTIF('Max rate concentrations'!K$3:K$368, "&gt;"&amp;inputs!E150)</f>
        <v>0</v>
      </c>
      <c r="L42" s="101" t="s">
        <v>13</v>
      </c>
      <c r="M42" s="101" t="s">
        <v>13</v>
      </c>
      <c r="N42" s="101">
        <f>COUNTIF('Max rate concentrations'!N$3:N$368, "&gt;"&amp;inputs!E163)</f>
        <v>0</v>
      </c>
    </row>
    <row r="43" spans="1:21" x14ac:dyDescent="0.3">
      <c r="A43" s="41"/>
      <c r="B43" s="22" t="s">
        <v>64</v>
      </c>
      <c r="C43" s="25" t="s">
        <v>65</v>
      </c>
      <c r="D43" s="101">
        <f>COUNTIF('Max rate concentrations'!D$3:D$368, "&gt;"&amp;inputs!E151)</f>
        <v>0</v>
      </c>
      <c r="E43" s="101">
        <f>COUNTIF('Max rate concentrations'!E$3:E$368, "&gt;"&amp;inputs!E151)</f>
        <v>0</v>
      </c>
      <c r="F43" s="101">
        <f>COUNTIF('Max rate concentrations'!F$3:F$368, "&gt;"&amp;inputs!E151)</f>
        <v>0</v>
      </c>
      <c r="G43" s="101">
        <f>COUNTIF('Max rate concentrations'!G$3:G$368, "&gt;"&amp;inputs!E151)</f>
        <v>0</v>
      </c>
      <c r="H43" s="101">
        <f>COUNTIF('Max rate concentrations'!H$3:H$368, "&gt;"&amp;inputs!E138)</f>
        <v>63</v>
      </c>
      <c r="I43" s="101">
        <f>COUNTIF('Max rate concentrations'!I$3:I$368, "&gt;"&amp;inputs!E138)</f>
        <v>323</v>
      </c>
      <c r="J43" s="101" t="s">
        <v>13</v>
      </c>
      <c r="K43" s="101">
        <f>COUNTIF('Max rate concentrations'!K$3:K$368, "&gt;"&amp;inputs!E151)</f>
        <v>0</v>
      </c>
      <c r="L43" s="101" t="s">
        <v>13</v>
      </c>
      <c r="M43" s="101" t="s">
        <v>13</v>
      </c>
      <c r="N43" s="101">
        <f>COUNTIF('Max rate concentrations'!N$3:N$368, "&gt;"&amp;inputs!E164)</f>
        <v>0</v>
      </c>
    </row>
    <row r="44" spans="1:21" x14ac:dyDescent="0.3">
      <c r="A44" s="41"/>
      <c r="B44" s="22" t="s">
        <v>66</v>
      </c>
      <c r="C44" s="22" t="s">
        <v>80</v>
      </c>
      <c r="D44" s="101">
        <f>COUNTIF('Max rate concentrations'!D$3:D$368, "&gt;"&amp;inputs!E152)</f>
        <v>0</v>
      </c>
      <c r="E44" s="101">
        <f>COUNTIF('Max rate concentrations'!E$3:E$368, "&gt;"&amp;inputs!E152)</f>
        <v>0</v>
      </c>
      <c r="F44" s="101">
        <f>COUNTIF('Max rate concentrations'!F$3:F$368, "&gt;"&amp;inputs!E152)</f>
        <v>0</v>
      </c>
      <c r="G44" s="101">
        <f>COUNTIF('Max rate concentrations'!G$3:G$368, "&gt;"&amp;inputs!E152)</f>
        <v>0</v>
      </c>
      <c r="H44" s="101">
        <f>COUNTIF('Max rate concentrations'!H$3:H$368, "&gt;"&amp;inputs!E139)</f>
        <v>58</v>
      </c>
      <c r="I44" s="101">
        <f>COUNTIF('Max rate concentrations'!I$3:I$368, "&gt;"&amp;inputs!E139)</f>
        <v>292</v>
      </c>
      <c r="J44" s="101" t="s">
        <v>13</v>
      </c>
      <c r="K44" s="101">
        <f>COUNTIF('Max rate concentrations'!K$3:K$368, "&gt;"&amp;inputs!E152)</f>
        <v>0</v>
      </c>
      <c r="L44" s="101" t="s">
        <v>13</v>
      </c>
      <c r="M44" s="101" t="s">
        <v>13</v>
      </c>
      <c r="N44" s="101">
        <f>COUNTIF('Max rate concentrations'!N$3:N$368, "&gt;"&amp;inputs!E165)</f>
        <v>0</v>
      </c>
    </row>
    <row r="45" spans="1:21" x14ac:dyDescent="0.3">
      <c r="A45" s="41"/>
      <c r="B45" s="22" t="s">
        <v>62</v>
      </c>
      <c r="C45" s="25" t="s">
        <v>72</v>
      </c>
      <c r="D45" s="101">
        <f>COUNTIF('Max rate concentrations'!D$3:D$368, "&gt;"&amp;inputs!E153)</f>
        <v>39</v>
      </c>
      <c r="E45" s="101">
        <f>COUNTIF('Max rate concentrations'!E$3:E$368, "&gt;"&amp;inputs!E153)</f>
        <v>33</v>
      </c>
      <c r="F45" s="101">
        <f>COUNTIF('Max rate concentrations'!F$3:F$368, "&gt;"&amp;inputs!E153)</f>
        <v>34</v>
      </c>
      <c r="G45" s="101">
        <f>COUNTIF('Max rate concentrations'!G$3:G$368, "&gt;"&amp;inputs!E153)</f>
        <v>17</v>
      </c>
      <c r="H45" s="101">
        <f>COUNTIF('Max rate concentrations'!H$3:H$368, "&gt;"&amp;inputs!E140)</f>
        <v>58</v>
      </c>
      <c r="I45" s="101">
        <f>COUNTIF('Max rate concentrations'!I$3:I$368, "&gt;"&amp;inputs!E140)</f>
        <v>292</v>
      </c>
      <c r="J45" s="101" t="s">
        <v>13</v>
      </c>
      <c r="K45" s="101">
        <f>COUNTIF('Max rate concentrations'!K$3:K$368, "&gt;"&amp;inputs!E153)</f>
        <v>25</v>
      </c>
      <c r="L45" s="101" t="s">
        <v>13</v>
      </c>
      <c r="M45" s="101" t="s">
        <v>13</v>
      </c>
      <c r="N45" s="101">
        <f>COUNTIF('Max rate concentrations'!N$3:N$368, "&gt;"&amp;inputs!E166)</f>
        <v>49</v>
      </c>
    </row>
    <row r="46" spans="1:21" x14ac:dyDescent="0.3">
      <c r="A46" s="41"/>
      <c r="B46" s="22" t="s">
        <v>62</v>
      </c>
      <c r="C46" s="25" t="s">
        <v>81</v>
      </c>
      <c r="D46" s="101">
        <f>COUNTIF('Max rate concentrations'!D$3:D$368, "&gt;"&amp;inputs!E154)</f>
        <v>0</v>
      </c>
      <c r="E46" s="101">
        <f>COUNTIF('Max rate concentrations'!E$3:E$368, "&gt;"&amp;inputs!E154)</f>
        <v>0</v>
      </c>
      <c r="F46" s="101">
        <f>COUNTIF('Max rate concentrations'!F$3:F$368, "&gt;"&amp;inputs!E154)</f>
        <v>0</v>
      </c>
      <c r="G46" s="101">
        <f>COUNTIF('Max rate concentrations'!G$3:G$368, "&gt;"&amp;inputs!E154)</f>
        <v>0</v>
      </c>
      <c r="H46" s="101">
        <f>COUNTIF('Max rate concentrations'!H$3:H$368, "&gt;"&amp;inputs!E141)</f>
        <v>0</v>
      </c>
      <c r="I46" s="101">
        <f>COUNTIF('Max rate concentrations'!I$3:I$368, "&gt;"&amp;inputs!E141)</f>
        <v>0</v>
      </c>
      <c r="J46" s="101" t="s">
        <v>13</v>
      </c>
      <c r="K46" s="101">
        <f>COUNTIF('Max rate concentrations'!K$3:K$368, "&gt;"&amp;inputs!E154)</f>
        <v>0</v>
      </c>
      <c r="L46" s="101" t="s">
        <v>13</v>
      </c>
      <c r="M46" s="101" t="s">
        <v>13</v>
      </c>
      <c r="N46" s="101">
        <f>COUNTIF('Max rate concentrations'!N$3:N$368, "&gt;"&amp;inputs!E167)</f>
        <v>0</v>
      </c>
    </row>
    <row r="47" spans="1:21" x14ac:dyDescent="0.3">
      <c r="A47" s="41"/>
      <c r="B47" s="22" t="s">
        <v>66</v>
      </c>
      <c r="C47" s="25" t="s">
        <v>82</v>
      </c>
      <c r="D47" s="101">
        <f>COUNTIF('Max rate concentrations'!D$3:D$368, "&gt;"&amp;inputs!E155)</f>
        <v>16</v>
      </c>
      <c r="E47" s="101">
        <f>COUNTIF('Max rate concentrations'!E$3:E$368, "&gt;"&amp;inputs!E155)</f>
        <v>10</v>
      </c>
      <c r="F47" s="101">
        <f>COUNTIF('Max rate concentrations'!F$3:F$368, "&gt;"&amp;inputs!E155)</f>
        <v>11</v>
      </c>
      <c r="G47" s="101">
        <f>COUNTIF('Max rate concentrations'!G$3:G$368, "&gt;"&amp;inputs!E155)</f>
        <v>0</v>
      </c>
      <c r="H47" s="101">
        <f>COUNTIF('Max rate concentrations'!H$3:H$368, "&gt;"&amp;inputs!E142)</f>
        <v>0</v>
      </c>
      <c r="I47" s="101">
        <f>COUNTIF('Max rate concentrations'!I$3:I$368, "&gt;"&amp;inputs!E142)</f>
        <v>0</v>
      </c>
      <c r="J47" s="101" t="s">
        <v>13</v>
      </c>
      <c r="K47" s="101">
        <f>COUNTIF('Max rate concentrations'!K$3:K$368, "&gt;"&amp;inputs!E155)</f>
        <v>2</v>
      </c>
      <c r="L47" s="101" t="s">
        <v>13</v>
      </c>
      <c r="M47" s="101" t="s">
        <v>13</v>
      </c>
      <c r="N47" s="101">
        <f>COUNTIF('Max rate concentrations'!N$3:N$368, "&gt;"&amp;inputs!E168)</f>
        <v>0</v>
      </c>
    </row>
    <row r="48" spans="1:21" x14ac:dyDescent="0.3">
      <c r="A48" s="41"/>
      <c r="B48" s="22" t="s">
        <v>62</v>
      </c>
      <c r="C48" s="25" t="s">
        <v>83</v>
      </c>
      <c r="D48" s="101">
        <f>COUNTIF('Max rate concentrations'!D$3:D$368, "&gt;"&amp;inputs!E156)</f>
        <v>0</v>
      </c>
      <c r="E48" s="101">
        <f>COUNTIF('Max rate concentrations'!E$3:E$368, "&gt;"&amp;inputs!E156)</f>
        <v>0</v>
      </c>
      <c r="F48" s="101">
        <f>COUNTIF('Max rate concentrations'!F$3:F$368, "&gt;"&amp;inputs!E156)</f>
        <v>0</v>
      </c>
      <c r="G48" s="101">
        <f>COUNTIF('Max rate concentrations'!G$3:G$368, "&gt;"&amp;inputs!E156)</f>
        <v>0</v>
      </c>
      <c r="H48" s="101">
        <f>COUNTIF('Max rate concentrations'!H$3:H$368, "&gt;"&amp;inputs!E143)</f>
        <v>0</v>
      </c>
      <c r="I48" s="101">
        <f>COUNTIF('Max rate concentrations'!I$3:I$368, "&gt;"&amp;inputs!E143)</f>
        <v>0</v>
      </c>
      <c r="J48" s="101" t="s">
        <v>13</v>
      </c>
      <c r="K48" s="101">
        <f>COUNTIF('Max rate concentrations'!K$3:K$368, "&gt;"&amp;inputs!E156)</f>
        <v>0</v>
      </c>
      <c r="L48" s="101" t="s">
        <v>13</v>
      </c>
      <c r="M48" s="101" t="s">
        <v>13</v>
      </c>
      <c r="N48" s="101">
        <f>COUNTIF('Max rate concentrations'!N$3:N$368, "&gt;"&amp;inputs!E169)</f>
        <v>0</v>
      </c>
    </row>
    <row r="49" spans="1:14" x14ac:dyDescent="0.3">
      <c r="A49" s="41"/>
      <c r="B49" s="22" t="s">
        <v>66</v>
      </c>
      <c r="C49" s="25" t="s">
        <v>84</v>
      </c>
      <c r="D49" s="101">
        <f>COUNTIF('Max rate concentrations'!D$3:D$368, "&gt;"&amp;inputs!E157)</f>
        <v>0</v>
      </c>
      <c r="E49" s="101">
        <f>COUNTIF('Max rate concentrations'!E$3:E$368, "&gt;"&amp;inputs!E157)</f>
        <v>0</v>
      </c>
      <c r="F49" s="101">
        <f>COUNTIF('Max rate concentrations'!F$3:F$368, "&gt;"&amp;inputs!E157)</f>
        <v>0</v>
      </c>
      <c r="G49" s="101">
        <f>COUNTIF('Max rate concentrations'!G$3:G$368, "&gt;"&amp;inputs!E157)</f>
        <v>0</v>
      </c>
      <c r="H49" s="101">
        <f>COUNTIF('Max rate concentrations'!H$3:H$368, "&gt;"&amp;inputs!E144)</f>
        <v>0</v>
      </c>
      <c r="I49" s="101">
        <f>COUNTIF('Max rate concentrations'!I$3:I$368, "&gt;"&amp;inputs!E144)</f>
        <v>0</v>
      </c>
      <c r="J49" s="101" t="s">
        <v>13</v>
      </c>
      <c r="K49" s="101">
        <f>COUNTIF('Max rate concentrations'!K$3:K$368, "&gt;"&amp;inputs!E157)</f>
        <v>0</v>
      </c>
      <c r="L49" s="101" t="s">
        <v>13</v>
      </c>
      <c r="M49" s="101" t="s">
        <v>13</v>
      </c>
      <c r="N49" s="101">
        <f>COUNTIF('Max rate concentrations'!N$3:N$368, "&gt;"&amp;inputs!E170)</f>
        <v>219</v>
      </c>
    </row>
    <row r="50" spans="1:14" x14ac:dyDescent="0.3">
      <c r="A50" s="41"/>
      <c r="B50" s="22" t="s">
        <v>62</v>
      </c>
      <c r="C50" s="25" t="s">
        <v>85</v>
      </c>
      <c r="D50" s="101">
        <f>COUNTIF('Max rate concentrations'!D$3:D$368, "&gt;"&amp;inputs!E158)</f>
        <v>0</v>
      </c>
      <c r="E50" s="101">
        <f>COUNTIF('Max rate concentrations'!E$3:E$368, "&gt;"&amp;inputs!E158)</f>
        <v>0</v>
      </c>
      <c r="F50" s="101">
        <f>COUNTIF('Max rate concentrations'!F$3:F$368, "&gt;"&amp;inputs!E158)</f>
        <v>0</v>
      </c>
      <c r="G50" s="101">
        <f>COUNTIF('Max rate concentrations'!G$3:G$368, "&gt;"&amp;inputs!E158)</f>
        <v>0</v>
      </c>
      <c r="H50" s="101">
        <f>COUNTIF('Max rate concentrations'!H$3:H$368, "&gt;"&amp;inputs!E145)</f>
        <v>0</v>
      </c>
      <c r="I50" s="101">
        <f>COUNTIF('Max rate concentrations'!I$3:I$368, "&gt;"&amp;inputs!E145)</f>
        <v>0</v>
      </c>
      <c r="J50" s="101" t="s">
        <v>13</v>
      </c>
      <c r="K50" s="101">
        <f>COUNTIF('Max rate concentrations'!K$3:K$368, "&gt;"&amp;inputs!E158)</f>
        <v>0</v>
      </c>
      <c r="L50" s="101" t="s">
        <v>13</v>
      </c>
      <c r="M50" s="101" t="s">
        <v>13</v>
      </c>
      <c r="N50" s="101">
        <f>COUNTIF('Max rate concentrations'!N$3:N$368, "&gt;"&amp;inputs!E171)</f>
        <v>0</v>
      </c>
    </row>
    <row r="51" spans="1:14" x14ac:dyDescent="0.3">
      <c r="A51" s="41"/>
      <c r="B51" s="22" t="s">
        <v>66</v>
      </c>
      <c r="C51" s="25" t="s">
        <v>86</v>
      </c>
      <c r="D51" s="101">
        <f>COUNTIF('Max rate concentrations'!D$3:D$368, "&gt;"&amp;inputs!E159)</f>
        <v>39</v>
      </c>
      <c r="E51" s="101">
        <f>COUNTIF('Max rate concentrations'!E$3:E$368, "&gt;"&amp;inputs!E159)</f>
        <v>33</v>
      </c>
      <c r="F51" s="101">
        <f>COUNTIF('Max rate concentrations'!F$3:F$368, "&gt;"&amp;inputs!E159)</f>
        <v>34</v>
      </c>
      <c r="G51" s="101">
        <f>COUNTIF('Max rate concentrations'!G$3:G$368, "&gt;"&amp;inputs!E159)</f>
        <v>17</v>
      </c>
      <c r="H51" s="101">
        <f>COUNTIF('Max rate concentrations'!H$3:H$368, "&gt;"&amp;inputs!E146)</f>
        <v>0</v>
      </c>
      <c r="I51" s="101">
        <f>COUNTIF('Max rate concentrations'!I$3:I$368, "&gt;"&amp;inputs!E146)</f>
        <v>0</v>
      </c>
      <c r="J51" s="101" t="s">
        <v>13</v>
      </c>
      <c r="K51" s="101">
        <f>COUNTIF('Max rate concentrations'!K$3:K$368, "&gt;"&amp;inputs!E159)</f>
        <v>25</v>
      </c>
      <c r="L51" s="101" t="s">
        <v>13</v>
      </c>
      <c r="M51" s="101" t="s">
        <v>13</v>
      </c>
      <c r="N51" s="101">
        <f>COUNTIF('Max rate concentrations'!N$3:N$368, "&gt;"&amp;inputs!E172)</f>
        <v>0</v>
      </c>
    </row>
    <row r="52" spans="1:14" x14ac:dyDescent="0.3">
      <c r="A52" s="41"/>
      <c r="B52" s="22" t="s">
        <v>62</v>
      </c>
      <c r="C52" s="25" t="s">
        <v>87</v>
      </c>
      <c r="D52" s="101">
        <f>COUNTIF('Max rate concentrations'!D$3:D$368, "&gt;"&amp;inputs!E160)</f>
        <v>0</v>
      </c>
      <c r="E52" s="101">
        <f>COUNTIF('Max rate concentrations'!E$3:E$368, "&gt;"&amp;inputs!E160)</f>
        <v>0</v>
      </c>
      <c r="F52" s="101">
        <f>COUNTIF('Max rate concentrations'!F$3:F$368, "&gt;"&amp;inputs!E160)</f>
        <v>0</v>
      </c>
      <c r="G52" s="101">
        <f>COUNTIF('Max rate concentrations'!G$3:G$368, "&gt;"&amp;inputs!E160)</f>
        <v>0</v>
      </c>
      <c r="H52" s="101">
        <f>COUNTIF('Max rate concentrations'!H$3:H$368, "&gt;"&amp;inputs!E147)</f>
        <v>0</v>
      </c>
      <c r="I52" s="101">
        <f>COUNTIF('Max rate concentrations'!I$3:I$368, "&gt;"&amp;inputs!E147)</f>
        <v>0</v>
      </c>
      <c r="J52" s="101" t="s">
        <v>13</v>
      </c>
      <c r="K52" s="101">
        <f>COUNTIF('Max rate concentrations'!K$3:K$368, "&gt;"&amp;inputs!E160)</f>
        <v>0</v>
      </c>
      <c r="L52" s="101" t="s">
        <v>13</v>
      </c>
      <c r="M52" s="101" t="s">
        <v>13</v>
      </c>
      <c r="N52" s="101">
        <f>COUNTIF('Max rate concentrations'!N$3:N$368, "&gt;"&amp;inputs!E173)</f>
        <v>0</v>
      </c>
    </row>
    <row r="53" spans="1:14" x14ac:dyDescent="0.3">
      <c r="A53" s="41"/>
      <c r="B53" s="22" t="s">
        <v>66</v>
      </c>
      <c r="C53" s="25" t="s">
        <v>88</v>
      </c>
      <c r="D53" s="101">
        <f>COUNTIF('Max rate concentrations'!D$3:D$368, "&gt;"&amp;inputs!E161)</f>
        <v>0</v>
      </c>
      <c r="E53" s="101">
        <f>COUNTIF('Max rate concentrations'!E$3:E$368, "&gt;"&amp;inputs!E161)</f>
        <v>0</v>
      </c>
      <c r="F53" s="101">
        <f>COUNTIF('Max rate concentrations'!F$3:F$368, "&gt;"&amp;inputs!E161)</f>
        <v>0</v>
      </c>
      <c r="G53" s="101">
        <f>COUNTIF('Max rate concentrations'!G$3:G$368, "&gt;"&amp;inputs!E161)</f>
        <v>0</v>
      </c>
      <c r="H53" s="101">
        <f>COUNTIF('Max rate concentrations'!H$3:H$368, "&gt;"&amp;inputs!E148)</f>
        <v>0</v>
      </c>
      <c r="I53" s="101">
        <f>COUNTIF('Max rate concentrations'!I$3:I$368, "&gt;"&amp;inputs!E148)</f>
        <v>0</v>
      </c>
      <c r="J53" s="101" t="s">
        <v>13</v>
      </c>
      <c r="K53" s="101">
        <f>COUNTIF('Max rate concentrations'!K$3:K$368, "&gt;"&amp;inputs!E161)</f>
        <v>0</v>
      </c>
      <c r="L53" s="101" t="s">
        <v>13</v>
      </c>
      <c r="M53" s="101" t="s">
        <v>13</v>
      </c>
      <c r="N53" s="101">
        <f>COUNTIF('Max rate concentrations'!N$3:N$368, "&gt;"&amp;inputs!E174)</f>
        <v>77</v>
      </c>
    </row>
    <row r="54" spans="1:14" x14ac:dyDescent="0.3">
      <c r="A54" s="39"/>
      <c r="B54" s="22" t="s">
        <v>64</v>
      </c>
      <c r="C54" s="25" t="s">
        <v>72</v>
      </c>
      <c r="D54" s="101">
        <f>COUNTIF('Max rate concentrations'!D$3:D$368, "&gt;"&amp;inputs!E162)</f>
        <v>33</v>
      </c>
      <c r="E54" s="101">
        <f>COUNTIF('Max rate concentrations'!E$3:E$368, "&gt;"&amp;inputs!E162)</f>
        <v>27</v>
      </c>
      <c r="F54" s="101">
        <f>COUNTIF('Max rate concentrations'!F$3:F$368, "&gt;"&amp;inputs!E162)</f>
        <v>29</v>
      </c>
      <c r="G54" s="101">
        <f>COUNTIF('Max rate concentrations'!G$3:G$368, "&gt;"&amp;inputs!E162)</f>
        <v>12</v>
      </c>
      <c r="H54" s="101">
        <f>COUNTIF('Max rate concentrations'!H$3:H$368, "&gt;"&amp;inputs!E149)</f>
        <v>58</v>
      </c>
      <c r="I54" s="101">
        <f>COUNTIF('Max rate concentrations'!I$3:I$368, "&gt;"&amp;inputs!E149)</f>
        <v>292</v>
      </c>
      <c r="J54" s="101" t="s">
        <v>13</v>
      </c>
      <c r="K54" s="101">
        <f>COUNTIF('Max rate concentrations'!K$3:K$368, "&gt;"&amp;inputs!E162)</f>
        <v>20</v>
      </c>
      <c r="L54" s="101" t="s">
        <v>13</v>
      </c>
      <c r="M54" s="101" t="s">
        <v>13</v>
      </c>
      <c r="N54" s="101">
        <f>COUNTIF('Max rate concentrations'!N$3:N$368, "&gt;"&amp;inputs!E175)</f>
        <v>49</v>
      </c>
    </row>
    <row r="55" spans="1:14" x14ac:dyDescent="0.3">
      <c r="A55" s="62"/>
      <c r="B55" s="23"/>
      <c r="C55" s="23"/>
      <c r="D55" s="77"/>
      <c r="E55" s="77"/>
      <c r="F55" s="77"/>
      <c r="G55" s="77"/>
      <c r="H55" s="77"/>
      <c r="I55" s="77"/>
      <c r="J55" s="77"/>
      <c r="K55" s="77"/>
      <c r="L55" s="77"/>
      <c r="M55" s="77"/>
    </row>
    <row r="56" spans="1:14" x14ac:dyDescent="0.3">
      <c r="A56" s="1" t="s">
        <v>788</v>
      </c>
      <c r="B56" s="1"/>
    </row>
    <row r="57" spans="1:14" ht="60" customHeight="1" x14ac:dyDescent="0.3">
      <c r="A57" s="43" t="s">
        <v>57</v>
      </c>
      <c r="B57" s="2" t="s">
        <v>58</v>
      </c>
      <c r="C57" s="2" t="s">
        <v>59</v>
      </c>
      <c r="D57" s="100" t="s">
        <v>98</v>
      </c>
      <c r="E57" s="100" t="s">
        <v>99</v>
      </c>
      <c r="F57" s="100" t="s">
        <v>100</v>
      </c>
      <c r="G57" s="100" t="s">
        <v>101</v>
      </c>
      <c r="H57" s="100" t="s">
        <v>102</v>
      </c>
      <c r="I57" s="100" t="s">
        <v>112</v>
      </c>
      <c r="J57" s="100" t="s">
        <v>113</v>
      </c>
      <c r="K57" s="100" t="s">
        <v>114</v>
      </c>
      <c r="L57" s="100" t="s">
        <v>115</v>
      </c>
      <c r="M57" s="100" t="s">
        <v>116</v>
      </c>
      <c r="N57" s="100" t="s">
        <v>769</v>
      </c>
    </row>
    <row r="58" spans="1:14" x14ac:dyDescent="0.3">
      <c r="A58" s="44" t="s">
        <v>61</v>
      </c>
      <c r="B58" s="22" t="s">
        <v>62</v>
      </c>
      <c r="C58" s="22" t="s">
        <v>63</v>
      </c>
      <c r="D58" s="101">
        <f>COUNTIF('Max rate concentrations'!W$3:W$368, "&gt;"&amp;inputs!E95)</f>
        <v>22</v>
      </c>
      <c r="E58" s="101">
        <f>COUNTIF('Max rate concentrations'!X$3:X$368, "&gt;"&amp;inputs!E95)</f>
        <v>15</v>
      </c>
      <c r="F58" s="101">
        <f>COUNTIF('Max rate concentrations'!Y$3:Y$368, "&gt;"&amp;inputs!E95)</f>
        <v>17</v>
      </c>
      <c r="G58" s="101">
        <f>COUNTIF('Max rate concentrations'!Z$3:Z$368, "&gt;"&amp;inputs!E95)</f>
        <v>3</v>
      </c>
      <c r="H58" s="101">
        <f>COUNTIF('Max rate concentrations'!AA$3:AA$368, "&gt;"&amp;inputs!E95)</f>
        <v>20</v>
      </c>
      <c r="I58" s="101" t="s">
        <v>13</v>
      </c>
      <c r="J58" s="101">
        <f>COUNTIF('Max rate concentrations'!AB$3:AB$368, "&gt;"&amp;inputs!E95)</f>
        <v>22</v>
      </c>
      <c r="K58" s="101">
        <f>COUNTIF('Max rate concentrations'!AC$3:AC$368, "&gt;"&amp;inputs!E95)</f>
        <v>8</v>
      </c>
      <c r="L58" s="101">
        <f>COUNTIF('Max rate concentrations'!AD$3:AD$368, "&gt;"&amp;inputs!E95)</f>
        <v>23</v>
      </c>
      <c r="M58" s="101">
        <f>COUNTIF('Max rate concentrations'!AE$3:AE$368, "&gt;"&amp;inputs!E95)</f>
        <v>0</v>
      </c>
      <c r="N58" s="101" t="s">
        <v>13</v>
      </c>
    </row>
    <row r="59" spans="1:14" x14ac:dyDescent="0.3">
      <c r="A59" s="45"/>
      <c r="B59" s="22" t="s">
        <v>64</v>
      </c>
      <c r="C59" s="22" t="s">
        <v>65</v>
      </c>
      <c r="D59" s="101">
        <f>COUNTIF('Max rate concentrations'!W$3:W$368, "&gt;"&amp;inputs!E96)</f>
        <v>1</v>
      </c>
      <c r="E59" s="101">
        <f>COUNTIF('Max rate concentrations'!X$3:X$368, "&gt;"&amp;inputs!E96)</f>
        <v>0</v>
      </c>
      <c r="F59" s="101">
        <f>COUNTIF('Max rate concentrations'!Y$3:Y$368, "&gt;"&amp;inputs!E96)</f>
        <v>0</v>
      </c>
      <c r="G59" s="101">
        <f>COUNTIF('Max rate concentrations'!Z$3:Z$368, "&gt;"&amp;inputs!E96)</f>
        <v>0</v>
      </c>
      <c r="H59" s="101">
        <f>COUNTIF('Max rate concentrations'!AA$3:AA$368, "&gt;"&amp;inputs!E96)</f>
        <v>0</v>
      </c>
      <c r="I59" s="101" t="s">
        <v>13</v>
      </c>
      <c r="J59" s="101">
        <f>COUNTIF('Max rate concentrations'!AB$3:AB$368, "&gt;"&amp;inputs!E96)</f>
        <v>0</v>
      </c>
      <c r="K59" s="101">
        <f>COUNTIF('Max rate concentrations'!AC$3:AC$368, "&gt;"&amp;inputs!E96)</f>
        <v>0</v>
      </c>
      <c r="L59" s="101">
        <f>COUNTIF('Max rate concentrations'!AD$3:AD$368, "&gt;"&amp;inputs!E96)</f>
        <v>0</v>
      </c>
      <c r="M59" s="101">
        <f>COUNTIF('Max rate concentrations'!AE$3:AE$368, "&gt;"&amp;inputs!E96)</f>
        <v>0</v>
      </c>
      <c r="N59" s="101" t="s">
        <v>13</v>
      </c>
    </row>
    <row r="60" spans="1:14" x14ac:dyDescent="0.3">
      <c r="A60" s="45"/>
      <c r="B60" s="22" t="s">
        <v>66</v>
      </c>
      <c r="C60" s="22" t="s">
        <v>80</v>
      </c>
      <c r="D60" s="101">
        <f>COUNTIF('Max rate concentrations'!W$3:W$368, "&gt;"&amp;inputs!E97)</f>
        <v>0</v>
      </c>
      <c r="E60" s="101">
        <f>COUNTIF('Max rate concentrations'!X$3:X$368, "&gt;"&amp;inputs!E97)</f>
        <v>0</v>
      </c>
      <c r="F60" s="101">
        <f>COUNTIF('Max rate concentrations'!Y$3:Y$368, "&gt;"&amp;inputs!E97)</f>
        <v>0</v>
      </c>
      <c r="G60" s="101">
        <f>COUNTIF('Max rate concentrations'!Z$3:Z$368, "&gt;"&amp;inputs!E97)</f>
        <v>0</v>
      </c>
      <c r="H60" s="101">
        <f>COUNTIF('Max rate concentrations'!AA$3:AA$368, "&gt;"&amp;inputs!E97)</f>
        <v>0</v>
      </c>
      <c r="I60" s="101" t="s">
        <v>13</v>
      </c>
      <c r="J60" s="101">
        <f>COUNTIF('Max rate concentrations'!AB$3:AB$368, "&gt;"&amp;inputs!E97)</f>
        <v>0</v>
      </c>
      <c r="K60" s="101">
        <f>COUNTIF('Max rate concentrations'!AC$3:AC$368, "&gt;"&amp;inputs!E97)</f>
        <v>0</v>
      </c>
      <c r="L60" s="101">
        <f>COUNTIF('Max rate concentrations'!AD$3:AD$368, "&gt;"&amp;inputs!E97)</f>
        <v>0</v>
      </c>
      <c r="M60" s="101">
        <f>COUNTIF('Max rate concentrations'!AE$3:AE$368, "&gt;"&amp;inputs!E97)</f>
        <v>0</v>
      </c>
      <c r="N60" s="101" t="s">
        <v>13</v>
      </c>
    </row>
    <row r="61" spans="1:14" x14ac:dyDescent="0.3">
      <c r="A61" s="45"/>
      <c r="B61" s="22" t="s">
        <v>62</v>
      </c>
      <c r="C61" s="22" t="s">
        <v>71</v>
      </c>
      <c r="D61" s="101">
        <f>COUNTIF('Max rate concentrations'!W$3:W$368, "&gt;"&amp;inputs!E98)</f>
        <v>37</v>
      </c>
      <c r="E61" s="101">
        <f>COUNTIF('Max rate concentrations'!X$3:X$368, "&gt;"&amp;inputs!E98)</f>
        <v>30</v>
      </c>
      <c r="F61" s="101">
        <f>COUNTIF('Max rate concentrations'!Y$3:Y$368, "&gt;"&amp;inputs!E98)</f>
        <v>32</v>
      </c>
      <c r="G61" s="101">
        <f>COUNTIF('Max rate concentrations'!Z$3:Z$368, "&gt;"&amp;inputs!E98)</f>
        <v>17</v>
      </c>
      <c r="H61" s="101">
        <f>COUNTIF('Max rate concentrations'!AA$3:AA$368, "&gt;"&amp;inputs!E98)</f>
        <v>34</v>
      </c>
      <c r="I61" s="101" t="s">
        <v>13</v>
      </c>
      <c r="J61" s="101">
        <f>COUNTIF('Max rate concentrations'!AB$3:AB$368, "&gt;"&amp;inputs!E98)</f>
        <v>37</v>
      </c>
      <c r="K61" s="101">
        <f>COUNTIF('Max rate concentrations'!AC$3:AC$368, "&gt;"&amp;inputs!E98)</f>
        <v>23</v>
      </c>
      <c r="L61" s="101">
        <f>COUNTIF('Max rate concentrations'!AD$3:AD$368, "&gt;"&amp;inputs!E98)</f>
        <v>38</v>
      </c>
      <c r="M61" s="101">
        <f>COUNTIF('Max rate concentrations'!AE$3:AE$368, "&gt;"&amp;inputs!E98)</f>
        <v>14</v>
      </c>
      <c r="N61" s="101" t="s">
        <v>13</v>
      </c>
    </row>
    <row r="62" spans="1:14" x14ac:dyDescent="0.3">
      <c r="A62" s="45"/>
      <c r="B62" s="61" t="s">
        <v>62</v>
      </c>
      <c r="C62" s="61" t="s">
        <v>81</v>
      </c>
      <c r="D62" s="101">
        <f>COUNTIF('Max rate concentrations'!W$3:W$368, "&gt;"&amp;inputs!E99)</f>
        <v>0</v>
      </c>
      <c r="E62" s="101">
        <f>COUNTIF('Max rate concentrations'!X$3:X$368, "&gt;"&amp;inputs!E99)</f>
        <v>0</v>
      </c>
      <c r="F62" s="101">
        <f>COUNTIF('Max rate concentrations'!Y$3:Y$368, "&gt;"&amp;inputs!E99)</f>
        <v>0</v>
      </c>
      <c r="G62" s="101">
        <f>COUNTIF('Max rate concentrations'!Z$3:Z$368, "&gt;"&amp;inputs!E99)</f>
        <v>0</v>
      </c>
      <c r="H62" s="101">
        <f>COUNTIF('Max rate concentrations'!AA$3:AA$368, "&gt;"&amp;inputs!E99)</f>
        <v>0</v>
      </c>
      <c r="I62" s="101" t="s">
        <v>13</v>
      </c>
      <c r="J62" s="101">
        <f>COUNTIF('Max rate concentrations'!AB$3:AB$368, "&gt;"&amp;inputs!E99)</f>
        <v>0</v>
      </c>
      <c r="K62" s="101">
        <f>COUNTIF('Max rate concentrations'!AC$3:AC$368, "&gt;"&amp;inputs!E99)</f>
        <v>0</v>
      </c>
      <c r="L62" s="101">
        <f>COUNTIF('Max rate concentrations'!AD$3:AD$368, "&gt;"&amp;inputs!E99)</f>
        <v>0</v>
      </c>
      <c r="M62" s="101">
        <f>COUNTIF('Max rate concentrations'!AE$3:AE$368, "&gt;"&amp;inputs!E99)</f>
        <v>0</v>
      </c>
      <c r="N62" s="101" t="s">
        <v>13</v>
      </c>
    </row>
    <row r="63" spans="1:14" x14ac:dyDescent="0.3">
      <c r="A63" s="45"/>
      <c r="B63" s="61" t="s">
        <v>62</v>
      </c>
      <c r="C63" s="61" t="s">
        <v>82</v>
      </c>
      <c r="D63" s="101">
        <f>COUNTIF('Max rate concentrations'!W$3:W$368, "&gt;"&amp;inputs!E100)</f>
        <v>33</v>
      </c>
      <c r="E63" s="101">
        <f>COUNTIF('Max rate concentrations'!X$3:X$368, "&gt;"&amp;inputs!E100)</f>
        <v>26</v>
      </c>
      <c r="F63" s="101">
        <f>COUNTIF('Max rate concentrations'!Y$3:Y$368, "&gt;"&amp;inputs!E100)</f>
        <v>28</v>
      </c>
      <c r="G63" s="101">
        <f>COUNTIF('Max rate concentrations'!Z$3:Z$368, "&gt;"&amp;inputs!E100)</f>
        <v>14</v>
      </c>
      <c r="H63" s="101">
        <f>COUNTIF('Max rate concentrations'!AA$3:AA$368, "&gt;"&amp;inputs!E100)</f>
        <v>31</v>
      </c>
      <c r="I63" s="101" t="s">
        <v>13</v>
      </c>
      <c r="J63" s="101">
        <f>COUNTIF('Max rate concentrations'!AB$3:AB$368, "&gt;"&amp;inputs!E100)</f>
        <v>33</v>
      </c>
      <c r="K63" s="101">
        <f>COUNTIF('Max rate concentrations'!AC$3:AC$368, "&gt;"&amp;inputs!E100)</f>
        <v>19</v>
      </c>
      <c r="L63" s="101">
        <f>COUNTIF('Max rate concentrations'!AD$3:AD$368, "&gt;"&amp;inputs!E100)</f>
        <v>34</v>
      </c>
      <c r="M63" s="101">
        <f>COUNTIF('Max rate concentrations'!AE$3:AE$368, "&gt;"&amp;inputs!E100)</f>
        <v>11</v>
      </c>
      <c r="N63" s="101" t="s">
        <v>13</v>
      </c>
    </row>
    <row r="64" spans="1:14" x14ac:dyDescent="0.3">
      <c r="A64" s="45"/>
      <c r="B64" s="61" t="s">
        <v>62</v>
      </c>
      <c r="C64" s="61" t="s">
        <v>83</v>
      </c>
      <c r="D64" s="101">
        <f>COUNTIF('Max rate concentrations'!W$3:W$368, "&gt;"&amp;inputs!E101)</f>
        <v>0</v>
      </c>
      <c r="E64" s="101">
        <f>COUNTIF('Max rate concentrations'!X$3:X$368, "&gt;"&amp;inputs!E101)</f>
        <v>0</v>
      </c>
      <c r="F64" s="101">
        <f>COUNTIF('Max rate concentrations'!Y$3:Y$368, "&gt;"&amp;inputs!E101)</f>
        <v>0</v>
      </c>
      <c r="G64" s="101">
        <f>COUNTIF('Max rate concentrations'!Z$3:Z$368, "&gt;"&amp;inputs!E101)</f>
        <v>0</v>
      </c>
      <c r="H64" s="101">
        <f>COUNTIF('Max rate concentrations'!AA$3:AA$368, "&gt;"&amp;inputs!E101)</f>
        <v>0</v>
      </c>
      <c r="I64" s="101" t="s">
        <v>13</v>
      </c>
      <c r="J64" s="101">
        <f>COUNTIF('Max rate concentrations'!AB$3:AB$368, "&gt;"&amp;inputs!E101)</f>
        <v>0</v>
      </c>
      <c r="K64" s="101">
        <f>COUNTIF('Max rate concentrations'!AC$3:AC$368, "&gt;"&amp;inputs!E101)</f>
        <v>0</v>
      </c>
      <c r="L64" s="101">
        <f>COUNTIF('Max rate concentrations'!AD$3:AD$368, "&gt;"&amp;inputs!E101)</f>
        <v>0</v>
      </c>
      <c r="M64" s="101">
        <f>COUNTIF('Max rate concentrations'!AE$3:AE$368, "&gt;"&amp;inputs!E101)</f>
        <v>0</v>
      </c>
      <c r="N64" s="101" t="s">
        <v>13</v>
      </c>
    </row>
    <row r="65" spans="1:14" x14ac:dyDescent="0.3">
      <c r="A65" s="45"/>
      <c r="B65" s="61" t="s">
        <v>62</v>
      </c>
      <c r="C65" s="61" t="s">
        <v>84</v>
      </c>
      <c r="D65" s="101">
        <f>COUNTIF('Max rate concentrations'!W$3:W$368, "&gt;"&amp;inputs!E102)</f>
        <v>23</v>
      </c>
      <c r="E65" s="101">
        <f>COUNTIF('Max rate concentrations'!X$3:X$368, "&gt;"&amp;inputs!E102)</f>
        <v>16</v>
      </c>
      <c r="F65" s="101">
        <f>COUNTIF('Max rate concentrations'!Y$3:Y$368, "&gt;"&amp;inputs!E102)</f>
        <v>18</v>
      </c>
      <c r="G65" s="101">
        <f>COUNTIF('Max rate concentrations'!Z$3:Z$368, "&gt;"&amp;inputs!E102)</f>
        <v>4</v>
      </c>
      <c r="H65" s="101">
        <f>COUNTIF('Max rate concentrations'!AA$3:AA$368, "&gt;"&amp;inputs!E102)</f>
        <v>21</v>
      </c>
      <c r="I65" s="101" t="s">
        <v>13</v>
      </c>
      <c r="J65" s="101">
        <f>COUNTIF('Max rate concentrations'!AB$3:AB$368, "&gt;"&amp;inputs!E102)</f>
        <v>24</v>
      </c>
      <c r="K65" s="101">
        <f>COUNTIF('Max rate concentrations'!AC$3:AC$368, "&gt;"&amp;inputs!E102)</f>
        <v>10</v>
      </c>
      <c r="L65" s="101">
        <f>COUNTIF('Max rate concentrations'!AD$3:AD$368, "&gt;"&amp;inputs!E102)</f>
        <v>24</v>
      </c>
      <c r="M65" s="101">
        <f>COUNTIF('Max rate concentrations'!AE$3:AE$368, "&gt;"&amp;inputs!E102)</f>
        <v>0</v>
      </c>
      <c r="N65" s="101" t="s">
        <v>13</v>
      </c>
    </row>
    <row r="66" spans="1:14" x14ac:dyDescent="0.3">
      <c r="A66" s="45"/>
      <c r="B66" s="61" t="s">
        <v>62</v>
      </c>
      <c r="C66" s="61" t="s">
        <v>85</v>
      </c>
      <c r="D66" s="101">
        <f>COUNTIF('Max rate concentrations'!W$3:W$368, "&gt;"&amp;inputs!E103)</f>
        <v>60</v>
      </c>
      <c r="E66" s="101">
        <f>COUNTIF('Max rate concentrations'!X$3:X$368, "&gt;"&amp;inputs!E103)</f>
        <v>54</v>
      </c>
      <c r="F66" s="101">
        <f>COUNTIF('Max rate concentrations'!Y$3:Y$368, "&gt;"&amp;inputs!E103)</f>
        <v>56</v>
      </c>
      <c r="G66" s="101">
        <f>COUNTIF('Max rate concentrations'!Z$3:Z$368, "&gt;"&amp;inputs!E103)</f>
        <v>41</v>
      </c>
      <c r="H66" s="101">
        <f>COUNTIF('Max rate concentrations'!AA$3:AA$368, "&gt;"&amp;inputs!E103)</f>
        <v>58</v>
      </c>
      <c r="I66" s="101" t="s">
        <v>13</v>
      </c>
      <c r="J66" s="101">
        <f>COUNTIF('Max rate concentrations'!AB$3:AB$368, "&gt;"&amp;inputs!E103)</f>
        <v>61</v>
      </c>
      <c r="K66" s="101">
        <f>COUNTIF('Max rate concentrations'!AC$3:AC$368, "&gt;"&amp;inputs!E103)</f>
        <v>47</v>
      </c>
      <c r="L66" s="101">
        <f>COUNTIF('Max rate concentrations'!AD$3:AD$368, "&gt;"&amp;inputs!E103)</f>
        <v>62</v>
      </c>
      <c r="M66" s="101">
        <f>COUNTIF('Max rate concentrations'!AE$3:AE$368, "&gt;"&amp;inputs!E103)</f>
        <v>38</v>
      </c>
      <c r="N66" s="101" t="s">
        <v>13</v>
      </c>
    </row>
    <row r="67" spans="1:14" x14ac:dyDescent="0.3">
      <c r="A67" s="45"/>
      <c r="B67" s="61" t="s">
        <v>62</v>
      </c>
      <c r="C67" s="61" t="s">
        <v>86</v>
      </c>
      <c r="D67" s="101">
        <f>COUNTIF('Max rate concentrations'!W$3:W$368, "&gt;"&amp;inputs!E104)</f>
        <v>43</v>
      </c>
      <c r="E67" s="101">
        <f>COUNTIF('Max rate concentrations'!X$3:X$368, "&gt;"&amp;inputs!E104)</f>
        <v>36</v>
      </c>
      <c r="F67" s="101">
        <f>COUNTIF('Max rate concentrations'!Y$3:Y$368, "&gt;"&amp;inputs!E104)</f>
        <v>38</v>
      </c>
      <c r="G67" s="101">
        <f>COUNTIF('Max rate concentrations'!Z$3:Z$368, "&gt;"&amp;inputs!E104)</f>
        <v>24</v>
      </c>
      <c r="H67" s="101">
        <f>COUNTIF('Max rate concentrations'!AA$3:AA$368, "&gt;"&amp;inputs!E104)</f>
        <v>41</v>
      </c>
      <c r="I67" s="101" t="s">
        <v>13</v>
      </c>
      <c r="J67" s="101">
        <f>COUNTIF('Max rate concentrations'!AB$3:AB$368, "&gt;"&amp;inputs!E104)</f>
        <v>43</v>
      </c>
      <c r="K67" s="101">
        <f>COUNTIF('Max rate concentrations'!AC$3:AC$368, "&gt;"&amp;inputs!E104)</f>
        <v>29</v>
      </c>
      <c r="L67" s="101">
        <f>COUNTIF('Max rate concentrations'!AD$3:AD$368, "&gt;"&amp;inputs!E104)</f>
        <v>44</v>
      </c>
      <c r="M67" s="101">
        <f>COUNTIF('Max rate concentrations'!AE$3:AE$368, "&gt;"&amp;inputs!E104)</f>
        <v>21</v>
      </c>
      <c r="N67" s="101" t="s">
        <v>13</v>
      </c>
    </row>
    <row r="68" spans="1:14" x14ac:dyDescent="0.3">
      <c r="A68" s="45"/>
      <c r="B68" s="61" t="s">
        <v>62</v>
      </c>
      <c r="C68" s="61" t="s">
        <v>87</v>
      </c>
      <c r="D68" s="101">
        <f>COUNTIF('Max rate concentrations'!W$3:W$368, "&gt;"&amp;inputs!E105)</f>
        <v>0</v>
      </c>
      <c r="E68" s="101">
        <f>COUNTIF('Max rate concentrations'!X$3:X$368, "&gt;"&amp;inputs!E105)</f>
        <v>0</v>
      </c>
      <c r="F68" s="101">
        <f>COUNTIF('Max rate concentrations'!Y$3:Y$368, "&gt;"&amp;inputs!E105)</f>
        <v>0</v>
      </c>
      <c r="G68" s="101">
        <f>COUNTIF('Max rate concentrations'!Z$3:Z$368, "&gt;"&amp;inputs!E105)</f>
        <v>0</v>
      </c>
      <c r="H68" s="101">
        <f>COUNTIF('Max rate concentrations'!AA$3:AA$368, "&gt;"&amp;inputs!E105)</f>
        <v>0</v>
      </c>
      <c r="I68" s="101" t="s">
        <v>13</v>
      </c>
      <c r="J68" s="101">
        <f>COUNTIF('Max rate concentrations'!AB$3:AB$368, "&gt;"&amp;inputs!E105)</f>
        <v>0</v>
      </c>
      <c r="K68" s="101">
        <f>COUNTIF('Max rate concentrations'!AC$3:AC$368, "&gt;"&amp;inputs!E105)</f>
        <v>0</v>
      </c>
      <c r="L68" s="101">
        <f>COUNTIF('Max rate concentrations'!AD$3:AD$368, "&gt;"&amp;inputs!E105)</f>
        <v>0</v>
      </c>
      <c r="M68" s="101">
        <f>COUNTIF('Max rate concentrations'!AE$3:AE$368, "&gt;"&amp;inputs!E105)</f>
        <v>0</v>
      </c>
      <c r="N68" s="101" t="s">
        <v>13</v>
      </c>
    </row>
    <row r="69" spans="1:14" x14ac:dyDescent="0.3">
      <c r="A69" s="45"/>
      <c r="B69" s="61" t="s">
        <v>62</v>
      </c>
      <c r="C69" s="61" t="s">
        <v>88</v>
      </c>
      <c r="D69" s="101">
        <f>COUNTIF('Max rate concentrations'!W$3:W$368, "&gt;"&amp;inputs!E106)</f>
        <v>0</v>
      </c>
      <c r="E69" s="101">
        <f>COUNTIF('Max rate concentrations'!X$3:X$368, "&gt;"&amp;inputs!E106)</f>
        <v>0</v>
      </c>
      <c r="F69" s="101">
        <f>COUNTIF('Max rate concentrations'!Y$3:Y$368, "&gt;"&amp;inputs!E106)</f>
        <v>0</v>
      </c>
      <c r="G69" s="101">
        <f>COUNTIF('Max rate concentrations'!Z$3:Z$368, "&gt;"&amp;inputs!E106)</f>
        <v>0</v>
      </c>
      <c r="H69" s="101">
        <f>COUNTIF('Max rate concentrations'!AA$3:AA$368, "&gt;"&amp;inputs!E106)</f>
        <v>0</v>
      </c>
      <c r="I69" s="101" t="s">
        <v>13</v>
      </c>
      <c r="J69" s="101">
        <f>COUNTIF('Max rate concentrations'!AB$3:AB$368, "&gt;"&amp;inputs!E106)</f>
        <v>0</v>
      </c>
      <c r="K69" s="101">
        <f>COUNTIF('Max rate concentrations'!AC$3:AC$368, "&gt;"&amp;inputs!E106)</f>
        <v>0</v>
      </c>
      <c r="L69" s="101">
        <f>COUNTIF('Max rate concentrations'!AD$3:AD$368, "&gt;"&amp;inputs!E106)</f>
        <v>0</v>
      </c>
      <c r="M69" s="101">
        <f>COUNTIF('Max rate concentrations'!AE$3:AE$368, "&gt;"&amp;inputs!E106)</f>
        <v>0</v>
      </c>
      <c r="N69" s="101" t="s">
        <v>13</v>
      </c>
    </row>
    <row r="70" spans="1:14" x14ac:dyDescent="0.3">
      <c r="A70" s="46"/>
      <c r="B70" s="22" t="s">
        <v>64</v>
      </c>
      <c r="C70" s="22" t="s">
        <v>71</v>
      </c>
      <c r="D70" s="101">
        <f>COUNTIF('Max rate concentrations'!W$3:W$368, "&gt;"&amp;inputs!E107)</f>
        <v>25</v>
      </c>
      <c r="E70" s="101">
        <f>COUNTIF('Max rate concentrations'!X$3:X$368, "&gt;"&amp;inputs!E107)</f>
        <v>18</v>
      </c>
      <c r="F70" s="101">
        <f>COUNTIF('Max rate concentrations'!Y$3:Y$368, "&gt;"&amp;inputs!E107)</f>
        <v>20</v>
      </c>
      <c r="G70" s="101">
        <f>COUNTIF('Max rate concentrations'!Z$3:Z$368, "&gt;"&amp;inputs!E107)</f>
        <v>6</v>
      </c>
      <c r="H70" s="101">
        <f>COUNTIF('Max rate concentrations'!AA$3:AA$368, "&gt;"&amp;inputs!E107)</f>
        <v>23</v>
      </c>
      <c r="I70" s="101" t="s">
        <v>13</v>
      </c>
      <c r="J70" s="101">
        <f>COUNTIF('Max rate concentrations'!AB$3:AB$368, "&gt;"&amp;inputs!E107)</f>
        <v>26</v>
      </c>
      <c r="K70" s="101">
        <f>COUNTIF('Max rate concentrations'!AC$3:AC$368, "&gt;"&amp;inputs!E107)</f>
        <v>12</v>
      </c>
      <c r="L70" s="101">
        <f>COUNTIF('Max rate concentrations'!AD$3:AD$368, "&gt;"&amp;inputs!E107)</f>
        <v>26</v>
      </c>
      <c r="M70" s="101">
        <f>COUNTIF('Max rate concentrations'!AE$3:AE$368, "&gt;"&amp;inputs!E107)</f>
        <v>3</v>
      </c>
      <c r="N70" s="101" t="s">
        <v>13</v>
      </c>
    </row>
    <row r="71" spans="1:14" x14ac:dyDescent="0.3">
      <c r="A71" s="45" t="s">
        <v>73</v>
      </c>
      <c r="B71" s="22" t="s">
        <v>62</v>
      </c>
      <c r="C71" s="22" t="s">
        <v>63</v>
      </c>
      <c r="D71" s="101">
        <f>COUNTIF('Max rate concentrations'!W$3:W$368, "&gt;"&amp;inputs!E108)</f>
        <v>36</v>
      </c>
      <c r="E71" s="101">
        <f>COUNTIF('Max rate concentrations'!X$3:X$368, "&gt;"&amp;inputs!E108)</f>
        <v>29</v>
      </c>
      <c r="F71" s="101">
        <f>COUNTIF('Max rate concentrations'!Y$3:Y$368, "&gt;"&amp;inputs!E108)</f>
        <v>31</v>
      </c>
      <c r="G71" s="101">
        <f>COUNTIF('Max rate concentrations'!Z$3:Z$368, "&gt;"&amp;inputs!E108)</f>
        <v>17</v>
      </c>
      <c r="H71" s="101">
        <f>COUNTIF('Max rate concentrations'!AA$3:AA$368, "&gt;"&amp;inputs!E108)</f>
        <v>34</v>
      </c>
      <c r="I71" s="101" t="s">
        <v>13</v>
      </c>
      <c r="J71" s="101">
        <f>COUNTIF('Max rate concentrations'!AB$3:AB$368, "&gt;"&amp;inputs!E108)</f>
        <v>36</v>
      </c>
      <c r="K71" s="101">
        <f>COUNTIF('Max rate concentrations'!AC$3:AC$368, "&gt;"&amp;inputs!E108)</f>
        <v>22</v>
      </c>
      <c r="L71" s="101">
        <f>COUNTIF('Max rate concentrations'!AD$3:AD$368, "&gt;"&amp;inputs!E108)</f>
        <v>37</v>
      </c>
      <c r="M71" s="101">
        <f>COUNTIF('Max rate concentrations'!AE$3:AE$368, "&gt;"&amp;inputs!E108)</f>
        <v>14</v>
      </c>
      <c r="N71" s="101" t="s">
        <v>13</v>
      </c>
    </row>
    <row r="72" spans="1:14" x14ac:dyDescent="0.3">
      <c r="A72" s="45"/>
      <c r="B72" s="22" t="s">
        <v>64</v>
      </c>
      <c r="C72" s="22" t="s">
        <v>65</v>
      </c>
      <c r="D72" s="101">
        <f>COUNTIF('Max rate concentrations'!W$3:W$368, "&gt;"&amp;inputs!E109)</f>
        <v>21</v>
      </c>
      <c r="E72" s="101">
        <f>COUNTIF('Max rate concentrations'!X$3:X$368, "&gt;"&amp;inputs!E109)</f>
        <v>14</v>
      </c>
      <c r="F72" s="101">
        <f>COUNTIF('Max rate concentrations'!Y$3:Y$368, "&gt;"&amp;inputs!E109)</f>
        <v>16</v>
      </c>
      <c r="G72" s="101">
        <f>COUNTIF('Max rate concentrations'!Z$3:Z$368, "&gt;"&amp;inputs!E109)</f>
        <v>2</v>
      </c>
      <c r="H72" s="101">
        <f>COUNTIF('Max rate concentrations'!AA$3:AA$368, "&gt;"&amp;inputs!E109)</f>
        <v>19</v>
      </c>
      <c r="I72" s="101" t="s">
        <v>13</v>
      </c>
      <c r="J72" s="101">
        <f>COUNTIF('Max rate concentrations'!AB$3:AB$368, "&gt;"&amp;inputs!E109)</f>
        <v>21</v>
      </c>
      <c r="K72" s="101">
        <f>COUNTIF('Max rate concentrations'!AC$3:AC$368, "&gt;"&amp;inputs!E109)</f>
        <v>7</v>
      </c>
      <c r="L72" s="101">
        <f>COUNTIF('Max rate concentrations'!AD$3:AD$368, "&gt;"&amp;inputs!E109)</f>
        <v>22</v>
      </c>
      <c r="M72" s="101">
        <f>COUNTIF('Max rate concentrations'!AE$3:AE$368, "&gt;"&amp;inputs!E109)</f>
        <v>0</v>
      </c>
      <c r="N72" s="101" t="s">
        <v>13</v>
      </c>
    </row>
    <row r="73" spans="1:14" x14ac:dyDescent="0.3">
      <c r="A73" s="45"/>
      <c r="B73" s="22" t="s">
        <v>66</v>
      </c>
      <c r="C73" s="22" t="s">
        <v>80</v>
      </c>
      <c r="D73" s="101">
        <f>COUNTIF('Max rate concentrations'!W$3:W$368, "&gt;"&amp;inputs!E110)</f>
        <v>15</v>
      </c>
      <c r="E73" s="101">
        <f>COUNTIF('Max rate concentrations'!X$3:X$368, "&gt;"&amp;inputs!E110)</f>
        <v>8</v>
      </c>
      <c r="F73" s="101">
        <f>COUNTIF('Max rate concentrations'!Y$3:Y$368, "&gt;"&amp;inputs!E110)</f>
        <v>10</v>
      </c>
      <c r="G73" s="101">
        <f>COUNTIF('Max rate concentrations'!Z$3:Z$368, "&gt;"&amp;inputs!E110)</f>
        <v>0</v>
      </c>
      <c r="H73" s="101">
        <f>COUNTIF('Max rate concentrations'!AA$3:AA$368, "&gt;"&amp;inputs!E110)</f>
        <v>13</v>
      </c>
      <c r="I73" s="101" t="s">
        <v>13</v>
      </c>
      <c r="J73" s="101">
        <f>COUNTIF('Max rate concentrations'!AB$3:AB$368, "&gt;"&amp;inputs!E110)</f>
        <v>16</v>
      </c>
      <c r="K73" s="101">
        <f>COUNTIF('Max rate concentrations'!AC$3:AC$368, "&gt;"&amp;inputs!E110)</f>
        <v>2</v>
      </c>
      <c r="L73" s="101">
        <f>COUNTIF('Max rate concentrations'!AD$3:AD$368, "&gt;"&amp;inputs!E110)</f>
        <v>16</v>
      </c>
      <c r="M73" s="101">
        <f>COUNTIF('Max rate concentrations'!AE$3:AE$368, "&gt;"&amp;inputs!E110)</f>
        <v>0</v>
      </c>
      <c r="N73" s="101" t="s">
        <v>13</v>
      </c>
    </row>
    <row r="74" spans="1:14" x14ac:dyDescent="0.3">
      <c r="A74" s="45"/>
      <c r="B74" s="22" t="s">
        <v>62</v>
      </c>
      <c r="C74" s="22" t="s">
        <v>71</v>
      </c>
      <c r="D74" s="101">
        <f>COUNTIF('Max rate concentrations'!W$3:W$368, "&gt;"&amp;inputs!E111)</f>
        <v>32</v>
      </c>
      <c r="E74" s="101">
        <f>COUNTIF('Max rate concentrations'!X$3:X$368, "&gt;"&amp;inputs!E111)</f>
        <v>26</v>
      </c>
      <c r="F74" s="101">
        <f>COUNTIF('Max rate concentrations'!Y$3:Y$368, "&gt;"&amp;inputs!E111)</f>
        <v>27</v>
      </c>
      <c r="G74" s="101">
        <f>COUNTIF('Max rate concentrations'!Z$3:Z$368, "&gt;"&amp;inputs!E111)</f>
        <v>13</v>
      </c>
      <c r="H74" s="101">
        <f>COUNTIF('Max rate concentrations'!AA$3:AA$368, "&gt;"&amp;inputs!E111)</f>
        <v>30</v>
      </c>
      <c r="I74" s="101" t="s">
        <v>13</v>
      </c>
      <c r="J74" s="101">
        <f>COUNTIF('Max rate concentrations'!AB$3:AB$368, "&gt;"&amp;inputs!E111)</f>
        <v>33</v>
      </c>
      <c r="K74" s="101">
        <f>COUNTIF('Max rate concentrations'!AC$3:AC$368, "&gt;"&amp;inputs!E111)</f>
        <v>19</v>
      </c>
      <c r="L74" s="101">
        <f>COUNTIF('Max rate concentrations'!AD$3:AD$368, "&gt;"&amp;inputs!E111)</f>
        <v>33</v>
      </c>
      <c r="M74" s="101">
        <f>COUNTIF('Max rate concentrations'!AE$3:AE$368, "&gt;"&amp;inputs!E111)</f>
        <v>10</v>
      </c>
      <c r="N74" s="101" t="s">
        <v>13</v>
      </c>
    </row>
    <row r="75" spans="1:14" x14ac:dyDescent="0.3">
      <c r="A75" s="45"/>
      <c r="B75" s="61" t="s">
        <v>62</v>
      </c>
      <c r="C75" s="61" t="s">
        <v>81</v>
      </c>
      <c r="D75" s="101">
        <f>COUNTIF('Max rate concentrations'!W$3:W$368, "&gt;"&amp;inputs!E112)</f>
        <v>27</v>
      </c>
      <c r="E75" s="101">
        <f>COUNTIF('Max rate concentrations'!X$3:X$368, "&gt;"&amp;inputs!E112)</f>
        <v>20</v>
      </c>
      <c r="F75" s="101">
        <f>COUNTIF('Max rate concentrations'!Y$3:Y$368, "&gt;"&amp;inputs!E112)</f>
        <v>22</v>
      </c>
      <c r="G75" s="101">
        <f>COUNTIF('Max rate concentrations'!Z$3:Z$368, "&gt;"&amp;inputs!E112)</f>
        <v>8</v>
      </c>
      <c r="H75" s="101">
        <f>COUNTIF('Max rate concentrations'!AA$3:AA$368, "&gt;"&amp;inputs!E112)</f>
        <v>25</v>
      </c>
      <c r="I75" s="101" t="s">
        <v>13</v>
      </c>
      <c r="J75" s="101">
        <f>COUNTIF('Max rate concentrations'!AB$3:AB$368, "&gt;"&amp;inputs!E112)</f>
        <v>27</v>
      </c>
      <c r="K75" s="101">
        <f>COUNTIF('Max rate concentrations'!AC$3:AC$368, "&gt;"&amp;inputs!E112)</f>
        <v>13</v>
      </c>
      <c r="L75" s="101">
        <f>COUNTIF('Max rate concentrations'!AD$3:AD$368, "&gt;"&amp;inputs!E112)</f>
        <v>28</v>
      </c>
      <c r="M75" s="101">
        <f>COUNTIF('Max rate concentrations'!AE$3:AE$368, "&gt;"&amp;inputs!E112)</f>
        <v>5</v>
      </c>
      <c r="N75" s="101" t="s">
        <v>13</v>
      </c>
    </row>
    <row r="76" spans="1:14" x14ac:dyDescent="0.3">
      <c r="A76" s="45"/>
      <c r="B76" s="61" t="s">
        <v>62</v>
      </c>
      <c r="C76" s="61" t="s">
        <v>82</v>
      </c>
      <c r="D76" s="101">
        <f>COUNTIF('Max rate concentrations'!W$3:W$368, "&gt;"&amp;inputs!E113)</f>
        <v>22</v>
      </c>
      <c r="E76" s="101">
        <f>COUNTIF('Max rate concentrations'!X$3:X$368, "&gt;"&amp;inputs!E113)</f>
        <v>15</v>
      </c>
      <c r="F76" s="101">
        <f>COUNTIF('Max rate concentrations'!Y$3:Y$368, "&gt;"&amp;inputs!E113)</f>
        <v>17</v>
      </c>
      <c r="G76" s="101">
        <f>COUNTIF('Max rate concentrations'!Z$3:Z$368, "&gt;"&amp;inputs!E113)</f>
        <v>2</v>
      </c>
      <c r="H76" s="101">
        <f>COUNTIF('Max rate concentrations'!AA$3:AA$368, "&gt;"&amp;inputs!E113)</f>
        <v>19</v>
      </c>
      <c r="I76" s="101" t="s">
        <v>13</v>
      </c>
      <c r="J76" s="101">
        <f>COUNTIF('Max rate concentrations'!AB$3:AB$368, "&gt;"&amp;inputs!E113)</f>
        <v>22</v>
      </c>
      <c r="K76" s="101">
        <f>COUNTIF('Max rate concentrations'!AC$3:AC$368, "&gt;"&amp;inputs!E113)</f>
        <v>8</v>
      </c>
      <c r="L76" s="101">
        <f>COUNTIF('Max rate concentrations'!AD$3:AD$368, "&gt;"&amp;inputs!E113)</f>
        <v>23</v>
      </c>
      <c r="M76" s="101">
        <f>COUNTIF('Max rate concentrations'!AE$3:AE$368, "&gt;"&amp;inputs!E113)</f>
        <v>0</v>
      </c>
      <c r="N76" s="101" t="s">
        <v>13</v>
      </c>
    </row>
    <row r="77" spans="1:14" x14ac:dyDescent="0.3">
      <c r="A77" s="45"/>
      <c r="B77" s="61" t="s">
        <v>62</v>
      </c>
      <c r="C77" s="61" t="s">
        <v>83</v>
      </c>
      <c r="D77" s="101">
        <f>COUNTIF('Max rate concentrations'!W$3:W$368, "&gt;"&amp;inputs!E114)</f>
        <v>27</v>
      </c>
      <c r="E77" s="101">
        <f>COUNTIF('Max rate concentrations'!X$3:X$368, "&gt;"&amp;inputs!E114)</f>
        <v>20</v>
      </c>
      <c r="F77" s="101">
        <f>COUNTIF('Max rate concentrations'!Y$3:Y$368, "&gt;"&amp;inputs!E114)</f>
        <v>22</v>
      </c>
      <c r="G77" s="101">
        <f>COUNTIF('Max rate concentrations'!Z$3:Z$368, "&gt;"&amp;inputs!E114)</f>
        <v>8</v>
      </c>
      <c r="H77" s="101">
        <f>COUNTIF('Max rate concentrations'!AA$3:AA$368, "&gt;"&amp;inputs!E114)</f>
        <v>25</v>
      </c>
      <c r="I77" s="101" t="s">
        <v>13</v>
      </c>
      <c r="J77" s="101">
        <f>COUNTIF('Max rate concentrations'!AB$3:AB$368, "&gt;"&amp;inputs!E114)</f>
        <v>27</v>
      </c>
      <c r="K77" s="101">
        <f>COUNTIF('Max rate concentrations'!AC$3:AC$368, "&gt;"&amp;inputs!E114)</f>
        <v>13</v>
      </c>
      <c r="L77" s="101">
        <f>COUNTIF('Max rate concentrations'!AD$3:AD$368, "&gt;"&amp;inputs!E114)</f>
        <v>28</v>
      </c>
      <c r="M77" s="101">
        <f>COUNTIF('Max rate concentrations'!AE$3:AE$368, "&gt;"&amp;inputs!E114)</f>
        <v>5</v>
      </c>
      <c r="N77" s="101" t="s">
        <v>13</v>
      </c>
    </row>
    <row r="78" spans="1:14" x14ac:dyDescent="0.3">
      <c r="A78" s="45"/>
      <c r="B78" s="61" t="s">
        <v>62</v>
      </c>
      <c r="C78" s="61" t="s">
        <v>84</v>
      </c>
      <c r="D78" s="101">
        <f>COUNTIF('Max rate concentrations'!W$3:W$368, "&gt;"&amp;inputs!E115)</f>
        <v>22</v>
      </c>
      <c r="E78" s="101">
        <f>COUNTIF('Max rate concentrations'!X$3:X$368, "&gt;"&amp;inputs!E115)</f>
        <v>15</v>
      </c>
      <c r="F78" s="101">
        <f>COUNTIF('Max rate concentrations'!Y$3:Y$368, "&gt;"&amp;inputs!E115)</f>
        <v>17</v>
      </c>
      <c r="G78" s="101">
        <f>COUNTIF('Max rate concentrations'!Z$3:Z$368, "&gt;"&amp;inputs!E115)</f>
        <v>2</v>
      </c>
      <c r="H78" s="101">
        <f>COUNTIF('Max rate concentrations'!AA$3:AA$368, "&gt;"&amp;inputs!E115)</f>
        <v>19</v>
      </c>
      <c r="I78" s="101" t="s">
        <v>13</v>
      </c>
      <c r="J78" s="101">
        <f>COUNTIF('Max rate concentrations'!AB$3:AB$368, "&gt;"&amp;inputs!E115)</f>
        <v>22</v>
      </c>
      <c r="K78" s="101">
        <f>COUNTIF('Max rate concentrations'!AC$3:AC$368, "&gt;"&amp;inputs!E115)</f>
        <v>8</v>
      </c>
      <c r="L78" s="101">
        <f>COUNTIF('Max rate concentrations'!AD$3:AD$368, "&gt;"&amp;inputs!E115)</f>
        <v>23</v>
      </c>
      <c r="M78" s="101">
        <f>COUNTIF('Max rate concentrations'!AE$3:AE$368, "&gt;"&amp;inputs!E115)</f>
        <v>0</v>
      </c>
      <c r="N78" s="101" t="s">
        <v>13</v>
      </c>
    </row>
    <row r="79" spans="1:14" x14ac:dyDescent="0.3">
      <c r="A79" s="45"/>
      <c r="B79" s="61" t="s">
        <v>62</v>
      </c>
      <c r="C79" s="61" t="s">
        <v>85</v>
      </c>
      <c r="D79" s="101">
        <f>COUNTIF('Max rate concentrations'!W$3:W$368, "&gt;"&amp;inputs!E116)</f>
        <v>16</v>
      </c>
      <c r="E79" s="101">
        <f>COUNTIF('Max rate concentrations'!X$3:X$368, "&gt;"&amp;inputs!E116)</f>
        <v>9</v>
      </c>
      <c r="F79" s="101">
        <f>COUNTIF('Max rate concentrations'!Y$3:Y$368, "&gt;"&amp;inputs!E116)</f>
        <v>11</v>
      </c>
      <c r="G79" s="101">
        <f>COUNTIF('Max rate concentrations'!Z$3:Z$368, "&gt;"&amp;inputs!E116)</f>
        <v>0</v>
      </c>
      <c r="H79" s="101">
        <f>COUNTIF('Max rate concentrations'!AA$3:AA$368, "&gt;"&amp;inputs!E116)</f>
        <v>14</v>
      </c>
      <c r="I79" s="101" t="s">
        <v>13</v>
      </c>
      <c r="J79" s="101">
        <f>COUNTIF('Max rate concentrations'!AB$3:AB$368, "&gt;"&amp;inputs!E116)</f>
        <v>16</v>
      </c>
      <c r="K79" s="101">
        <f>COUNTIF('Max rate concentrations'!AC$3:AC$368, "&gt;"&amp;inputs!E116)</f>
        <v>2</v>
      </c>
      <c r="L79" s="101">
        <f>COUNTIF('Max rate concentrations'!AD$3:AD$368, "&gt;"&amp;inputs!E116)</f>
        <v>17</v>
      </c>
      <c r="M79" s="101">
        <f>COUNTIF('Max rate concentrations'!AE$3:AE$368, "&gt;"&amp;inputs!E116)</f>
        <v>0</v>
      </c>
      <c r="N79" s="101" t="s">
        <v>13</v>
      </c>
    </row>
    <row r="80" spans="1:14" x14ac:dyDescent="0.3">
      <c r="A80" s="45"/>
      <c r="B80" s="61" t="s">
        <v>62</v>
      </c>
      <c r="C80" s="61" t="s">
        <v>86</v>
      </c>
      <c r="D80" s="101">
        <f>COUNTIF('Max rate concentrations'!W$3:W$368, "&gt;"&amp;inputs!E117)</f>
        <v>13</v>
      </c>
      <c r="E80" s="101">
        <f>COUNTIF('Max rate concentrations'!X$3:X$368, "&gt;"&amp;inputs!E117)</f>
        <v>6</v>
      </c>
      <c r="F80" s="101">
        <f>COUNTIF('Max rate concentrations'!Y$3:Y$368, "&gt;"&amp;inputs!E117)</f>
        <v>8</v>
      </c>
      <c r="G80" s="101">
        <f>COUNTIF('Max rate concentrations'!Z$3:Z$368, "&gt;"&amp;inputs!E117)</f>
        <v>0</v>
      </c>
      <c r="H80" s="101">
        <f>COUNTIF('Max rate concentrations'!AA$3:AA$368, "&gt;"&amp;inputs!E117)</f>
        <v>11</v>
      </c>
      <c r="I80" s="101" t="s">
        <v>13</v>
      </c>
      <c r="J80" s="101">
        <f>COUNTIF('Max rate concentrations'!AB$3:AB$368, "&gt;"&amp;inputs!E117)</f>
        <v>14</v>
      </c>
      <c r="K80" s="101">
        <f>COUNTIF('Max rate concentrations'!AC$3:AC$368, "&gt;"&amp;inputs!E117)</f>
        <v>0</v>
      </c>
      <c r="L80" s="101">
        <f>COUNTIF('Max rate concentrations'!AD$3:AD$368, "&gt;"&amp;inputs!E117)</f>
        <v>14</v>
      </c>
      <c r="M80" s="101">
        <f>COUNTIF('Max rate concentrations'!AE$3:AE$368, "&gt;"&amp;inputs!E117)</f>
        <v>0</v>
      </c>
      <c r="N80" s="101" t="s">
        <v>13</v>
      </c>
    </row>
    <row r="81" spans="1:14" x14ac:dyDescent="0.3">
      <c r="A81" s="45"/>
      <c r="B81" s="61" t="s">
        <v>62</v>
      </c>
      <c r="C81" s="61" t="s">
        <v>87</v>
      </c>
      <c r="D81" s="101">
        <f>COUNTIF('Max rate concentrations'!W$3:W$368, "&gt;"&amp;inputs!E118)</f>
        <v>0</v>
      </c>
      <c r="E81" s="101">
        <f>COUNTIF('Max rate concentrations'!X$3:X$368, "&gt;"&amp;inputs!E118)</f>
        <v>0</v>
      </c>
      <c r="F81" s="101">
        <f>COUNTIF('Max rate concentrations'!Y$3:Y$368, "&gt;"&amp;inputs!E118)</f>
        <v>0</v>
      </c>
      <c r="G81" s="101">
        <f>COUNTIF('Max rate concentrations'!Z$3:Z$368, "&gt;"&amp;inputs!E118)</f>
        <v>0</v>
      </c>
      <c r="H81" s="101">
        <f>COUNTIF('Max rate concentrations'!AA$3:AA$368, "&gt;"&amp;inputs!E118)</f>
        <v>0</v>
      </c>
      <c r="I81" s="101" t="s">
        <v>13</v>
      </c>
      <c r="J81" s="101">
        <f>COUNTIF('Max rate concentrations'!AB$3:AB$368, "&gt;"&amp;inputs!E118)</f>
        <v>0</v>
      </c>
      <c r="K81" s="101">
        <f>COUNTIF('Max rate concentrations'!AC$3:AC$368, "&gt;"&amp;inputs!E118)</f>
        <v>0</v>
      </c>
      <c r="L81" s="101">
        <f>COUNTIF('Max rate concentrations'!AD$3:AD$368, "&gt;"&amp;inputs!E118)</f>
        <v>0</v>
      </c>
      <c r="M81" s="101">
        <f>COUNTIF('Max rate concentrations'!AE$3:AE$368, "&gt;"&amp;inputs!E118)</f>
        <v>0</v>
      </c>
      <c r="N81" s="101" t="s">
        <v>13</v>
      </c>
    </row>
    <row r="82" spans="1:14" x14ac:dyDescent="0.3">
      <c r="A82" s="45"/>
      <c r="B82" s="61" t="s">
        <v>62</v>
      </c>
      <c r="C82" s="61" t="s">
        <v>88</v>
      </c>
      <c r="D82" s="101">
        <f>COUNTIF('Max rate concentrations'!W$3:W$368, "&gt;"&amp;inputs!E119)</f>
        <v>0</v>
      </c>
      <c r="E82" s="101">
        <f>COUNTIF('Max rate concentrations'!X$3:X$368, "&gt;"&amp;inputs!E119)</f>
        <v>0</v>
      </c>
      <c r="F82" s="101">
        <f>COUNTIF('Max rate concentrations'!Y$3:Y$368, "&gt;"&amp;inputs!E119)</f>
        <v>0</v>
      </c>
      <c r="G82" s="101">
        <f>COUNTIF('Max rate concentrations'!Z$3:Z$368, "&gt;"&amp;inputs!E119)</f>
        <v>0</v>
      </c>
      <c r="H82" s="101">
        <f>COUNTIF('Max rate concentrations'!AA$3:AA$368, "&gt;"&amp;inputs!E119)</f>
        <v>0</v>
      </c>
      <c r="I82" s="101" t="s">
        <v>13</v>
      </c>
      <c r="J82" s="101">
        <f>COUNTIF('Max rate concentrations'!AB$3:AB$368, "&gt;"&amp;inputs!E119)</f>
        <v>0</v>
      </c>
      <c r="K82" s="101">
        <f>COUNTIF('Max rate concentrations'!AC$3:AC$368, "&gt;"&amp;inputs!E119)</f>
        <v>0</v>
      </c>
      <c r="L82" s="101">
        <f>COUNTIF('Max rate concentrations'!AD$3:AD$368, "&gt;"&amp;inputs!E119)</f>
        <v>0</v>
      </c>
      <c r="M82" s="101">
        <f>COUNTIF('Max rate concentrations'!AE$3:AE$368, "&gt;"&amp;inputs!E119)</f>
        <v>0</v>
      </c>
      <c r="N82" s="101" t="s">
        <v>13</v>
      </c>
    </row>
    <row r="83" spans="1:14" x14ac:dyDescent="0.3">
      <c r="A83" s="45"/>
      <c r="B83" s="22" t="s">
        <v>64</v>
      </c>
      <c r="C83" s="22" t="s">
        <v>71</v>
      </c>
      <c r="D83" s="101">
        <f>COUNTIF('Max rate concentrations'!W$3:W$368, "&gt;"&amp;inputs!E120)</f>
        <v>32</v>
      </c>
      <c r="E83" s="101">
        <f>COUNTIF('Max rate concentrations'!X$3:X$368, "&gt;"&amp;inputs!E120)</f>
        <v>26</v>
      </c>
      <c r="F83" s="101">
        <f>COUNTIF('Max rate concentrations'!Y$3:Y$368, "&gt;"&amp;inputs!E120)</f>
        <v>27</v>
      </c>
      <c r="G83" s="101">
        <f>COUNTIF('Max rate concentrations'!Z$3:Z$368, "&gt;"&amp;inputs!E120)</f>
        <v>13</v>
      </c>
      <c r="H83" s="101">
        <f>COUNTIF('Max rate concentrations'!AA$3:AA$368, "&gt;"&amp;inputs!E120)</f>
        <v>30</v>
      </c>
      <c r="I83" s="101" t="s">
        <v>13</v>
      </c>
      <c r="J83" s="101">
        <f>COUNTIF('Max rate concentrations'!AB$3:AB$368, "&gt;"&amp;inputs!E120)</f>
        <v>33</v>
      </c>
      <c r="K83" s="101">
        <f>COUNTIF('Max rate concentrations'!AC$3:AC$368, "&gt;"&amp;inputs!E120)</f>
        <v>19</v>
      </c>
      <c r="L83" s="101">
        <f>COUNTIF('Max rate concentrations'!AD$3:AD$368, "&gt;"&amp;inputs!E120)</f>
        <v>33</v>
      </c>
      <c r="M83" s="101">
        <f>COUNTIF('Max rate concentrations'!AE$3:AE$368, "&gt;"&amp;inputs!E120)</f>
        <v>10</v>
      </c>
      <c r="N83" s="101" t="s">
        <v>13</v>
      </c>
    </row>
    <row r="84" spans="1:14" x14ac:dyDescent="0.3">
      <c r="A84" s="40" t="s">
        <v>706</v>
      </c>
      <c r="B84" s="22" t="s">
        <v>62</v>
      </c>
      <c r="C84" s="22" t="s">
        <v>63</v>
      </c>
      <c r="D84" s="101">
        <f>COUNTIF('Max rate concentrations'!W$3:W$368, "&gt;"&amp;inputs!E121)</f>
        <v>36</v>
      </c>
      <c r="E84" s="101">
        <f>COUNTIF('Max rate concentrations'!X$3:X$368, "&gt;"&amp;inputs!E121)</f>
        <v>29</v>
      </c>
      <c r="F84" s="101">
        <f>COUNTIF('Max rate concentrations'!Y$3:Y$368, "&gt;"&amp;inputs!E121)</f>
        <v>31</v>
      </c>
      <c r="G84" s="101">
        <f>COUNTIF('Max rate concentrations'!Z$3:Z$368, "&gt;"&amp;inputs!E121)</f>
        <v>17</v>
      </c>
      <c r="H84" s="101">
        <f>COUNTIF('Max rate concentrations'!AA$3:AA$368, "&gt;"&amp;inputs!E121)</f>
        <v>34</v>
      </c>
      <c r="I84" s="101" t="s">
        <v>13</v>
      </c>
      <c r="J84" s="101">
        <f>COUNTIF('Max rate concentrations'!AB$3:AB$368, "&gt;"&amp;inputs!E121)</f>
        <v>36</v>
      </c>
      <c r="K84" s="101">
        <f>COUNTIF('Max rate concentrations'!AC$3:AC$368, "&gt;"&amp;inputs!E121)</f>
        <v>22</v>
      </c>
      <c r="L84" s="101">
        <f>COUNTIF('Max rate concentrations'!AD$3:AD$368, "&gt;"&amp;inputs!E121)</f>
        <v>37</v>
      </c>
      <c r="M84" s="101">
        <f>COUNTIF('Max rate concentrations'!AE$3:AE$368, "&gt;"&amp;inputs!E121)</f>
        <v>14</v>
      </c>
      <c r="N84" s="101" t="s">
        <v>13</v>
      </c>
    </row>
    <row r="85" spans="1:14" x14ac:dyDescent="0.3">
      <c r="A85" s="45" t="s">
        <v>78</v>
      </c>
      <c r="B85" s="22" t="s">
        <v>64</v>
      </c>
      <c r="C85" s="22" t="s">
        <v>65</v>
      </c>
      <c r="D85" s="101">
        <f>COUNTIF('Max rate concentrations'!W$3:W$368, "&gt;"&amp;inputs!E122)</f>
        <v>21</v>
      </c>
      <c r="E85" s="101">
        <f>COUNTIF('Max rate concentrations'!X$3:X$368, "&gt;"&amp;inputs!E122)</f>
        <v>14</v>
      </c>
      <c r="F85" s="101">
        <f>COUNTIF('Max rate concentrations'!Y$3:Y$368, "&gt;"&amp;inputs!E122)</f>
        <v>16</v>
      </c>
      <c r="G85" s="101">
        <f>COUNTIF('Max rate concentrations'!Z$3:Z$368, "&gt;"&amp;inputs!E122)</f>
        <v>2</v>
      </c>
      <c r="H85" s="101">
        <f>COUNTIF('Max rate concentrations'!AA$3:AA$368, "&gt;"&amp;inputs!E122)</f>
        <v>19</v>
      </c>
      <c r="I85" s="101" t="s">
        <v>13</v>
      </c>
      <c r="J85" s="101">
        <f>COUNTIF('Max rate concentrations'!AB$3:AB$368, "&gt;"&amp;inputs!E122)</f>
        <v>21</v>
      </c>
      <c r="K85" s="101">
        <f>COUNTIF('Max rate concentrations'!AC$3:AC$368, "&gt;"&amp;inputs!E122)</f>
        <v>7</v>
      </c>
      <c r="L85" s="101">
        <f>COUNTIF('Max rate concentrations'!AD$3:AD$368, "&gt;"&amp;inputs!E122)</f>
        <v>22</v>
      </c>
      <c r="M85" s="101">
        <f>COUNTIF('Max rate concentrations'!AE$3:AE$368, "&gt;"&amp;inputs!E122)</f>
        <v>0</v>
      </c>
      <c r="N85" s="101" t="s">
        <v>13</v>
      </c>
    </row>
    <row r="86" spans="1:14" x14ac:dyDescent="0.3">
      <c r="A86" s="45"/>
      <c r="B86" s="22" t="s">
        <v>66</v>
      </c>
      <c r="C86" s="22" t="s">
        <v>80</v>
      </c>
      <c r="D86" s="101">
        <f>COUNTIF('Max rate concentrations'!W$3:W$368, "&gt;"&amp;inputs!E123)</f>
        <v>15</v>
      </c>
      <c r="E86" s="101">
        <f>COUNTIF('Max rate concentrations'!X$3:X$368, "&gt;"&amp;inputs!E123)</f>
        <v>8</v>
      </c>
      <c r="F86" s="101">
        <f>COUNTIF('Max rate concentrations'!Y$3:Y$368, "&gt;"&amp;inputs!E123)</f>
        <v>10</v>
      </c>
      <c r="G86" s="101">
        <f>COUNTIF('Max rate concentrations'!Z$3:Z$368, "&gt;"&amp;inputs!E123)</f>
        <v>0</v>
      </c>
      <c r="H86" s="101">
        <f>COUNTIF('Max rate concentrations'!AA$3:AA$368, "&gt;"&amp;inputs!E123)</f>
        <v>13</v>
      </c>
      <c r="I86" s="101" t="s">
        <v>13</v>
      </c>
      <c r="J86" s="101">
        <f>COUNTIF('Max rate concentrations'!AB$3:AB$368, "&gt;"&amp;inputs!E123)</f>
        <v>16</v>
      </c>
      <c r="K86" s="101">
        <f>COUNTIF('Max rate concentrations'!AC$3:AC$368, "&gt;"&amp;inputs!E123)</f>
        <v>2</v>
      </c>
      <c r="L86" s="101">
        <f>COUNTIF('Max rate concentrations'!AD$3:AD$368, "&gt;"&amp;inputs!E123)</f>
        <v>16</v>
      </c>
      <c r="M86" s="101">
        <f>COUNTIF('Max rate concentrations'!AE$3:AE$368, "&gt;"&amp;inputs!E123)</f>
        <v>0</v>
      </c>
      <c r="N86" s="101" t="s">
        <v>13</v>
      </c>
    </row>
    <row r="87" spans="1:14" x14ac:dyDescent="0.3">
      <c r="A87" s="45"/>
      <c r="B87" s="22" t="s">
        <v>62</v>
      </c>
      <c r="C87" s="22" t="s">
        <v>71</v>
      </c>
      <c r="D87" s="101">
        <f>COUNTIF('Max rate concentrations'!W$3:W$368, "&gt;"&amp;inputs!E124)</f>
        <v>32</v>
      </c>
      <c r="E87" s="101">
        <f>COUNTIF('Max rate concentrations'!X$3:X$368, "&gt;"&amp;inputs!E124)</f>
        <v>26</v>
      </c>
      <c r="F87" s="101">
        <f>COUNTIF('Max rate concentrations'!Y$3:Y$368, "&gt;"&amp;inputs!E124)</f>
        <v>27</v>
      </c>
      <c r="G87" s="101">
        <f>COUNTIF('Max rate concentrations'!Z$3:Z$368, "&gt;"&amp;inputs!E124)</f>
        <v>13</v>
      </c>
      <c r="H87" s="101">
        <f>COUNTIF('Max rate concentrations'!AA$3:AA$368, "&gt;"&amp;inputs!E124)</f>
        <v>30</v>
      </c>
      <c r="I87" s="101" t="s">
        <v>13</v>
      </c>
      <c r="J87" s="101">
        <f>COUNTIF('Max rate concentrations'!AB$3:AB$368, "&gt;"&amp;inputs!E124)</f>
        <v>33</v>
      </c>
      <c r="K87" s="101">
        <f>COUNTIF('Max rate concentrations'!AC$3:AC$368, "&gt;"&amp;inputs!E124)</f>
        <v>19</v>
      </c>
      <c r="L87" s="101">
        <f>COUNTIF('Max rate concentrations'!AD$3:AD$368, "&gt;"&amp;inputs!E124)</f>
        <v>33</v>
      </c>
      <c r="M87" s="101">
        <f>COUNTIF('Max rate concentrations'!AE$3:AE$368, "&gt;"&amp;inputs!E124)</f>
        <v>10</v>
      </c>
      <c r="N87" s="101" t="s">
        <v>13</v>
      </c>
    </row>
    <row r="88" spans="1:14" x14ac:dyDescent="0.3">
      <c r="A88" s="45"/>
      <c r="B88" s="61" t="s">
        <v>62</v>
      </c>
      <c r="C88" s="61" t="s">
        <v>81</v>
      </c>
      <c r="D88" s="101">
        <f>COUNTIF('Max rate concentrations'!W$3:W$368, "&gt;"&amp;inputs!E125)</f>
        <v>27</v>
      </c>
      <c r="E88" s="101">
        <f>COUNTIF('Max rate concentrations'!X$3:X$368, "&gt;"&amp;inputs!E125)</f>
        <v>20</v>
      </c>
      <c r="F88" s="101">
        <f>COUNTIF('Max rate concentrations'!Y$3:Y$368, "&gt;"&amp;inputs!E125)</f>
        <v>22</v>
      </c>
      <c r="G88" s="101">
        <f>COUNTIF('Max rate concentrations'!Z$3:Z$368, "&gt;"&amp;inputs!E125)</f>
        <v>8</v>
      </c>
      <c r="H88" s="101">
        <f>COUNTIF('Max rate concentrations'!AA$3:AA$368, "&gt;"&amp;inputs!E125)</f>
        <v>25</v>
      </c>
      <c r="I88" s="101" t="s">
        <v>13</v>
      </c>
      <c r="J88" s="101">
        <f>COUNTIF('Max rate concentrations'!AB$3:AB$368, "&gt;"&amp;inputs!E125)</f>
        <v>27</v>
      </c>
      <c r="K88" s="101">
        <f>COUNTIF('Max rate concentrations'!AC$3:AC$368, "&gt;"&amp;inputs!E125)</f>
        <v>13</v>
      </c>
      <c r="L88" s="101">
        <f>COUNTIF('Max rate concentrations'!AD$3:AD$368, "&gt;"&amp;inputs!E125)</f>
        <v>28</v>
      </c>
      <c r="M88" s="101">
        <f>COUNTIF('Max rate concentrations'!AE$3:AE$368, "&gt;"&amp;inputs!E125)</f>
        <v>5</v>
      </c>
      <c r="N88" s="101" t="s">
        <v>13</v>
      </c>
    </row>
    <row r="89" spans="1:14" x14ac:dyDescent="0.3">
      <c r="A89" s="45"/>
      <c r="B89" s="61" t="s">
        <v>62</v>
      </c>
      <c r="C89" s="61" t="s">
        <v>82</v>
      </c>
      <c r="D89" s="101">
        <f>COUNTIF('Max rate concentrations'!W$3:W$368, "&gt;"&amp;inputs!E126)</f>
        <v>22</v>
      </c>
      <c r="E89" s="101">
        <f>COUNTIF('Max rate concentrations'!X$3:X$368, "&gt;"&amp;inputs!E126)</f>
        <v>15</v>
      </c>
      <c r="F89" s="101">
        <f>COUNTIF('Max rate concentrations'!Y$3:Y$368, "&gt;"&amp;inputs!E126)</f>
        <v>17</v>
      </c>
      <c r="G89" s="101">
        <f>COUNTIF('Max rate concentrations'!Z$3:Z$368, "&gt;"&amp;inputs!E126)</f>
        <v>2</v>
      </c>
      <c r="H89" s="101">
        <f>COUNTIF('Max rate concentrations'!AA$3:AA$368, "&gt;"&amp;inputs!E126)</f>
        <v>19</v>
      </c>
      <c r="I89" s="101" t="s">
        <v>13</v>
      </c>
      <c r="J89" s="101">
        <f>COUNTIF('Max rate concentrations'!AB$3:AB$368, "&gt;"&amp;inputs!E126)</f>
        <v>22</v>
      </c>
      <c r="K89" s="101">
        <f>COUNTIF('Max rate concentrations'!AC$3:AC$368, "&gt;"&amp;inputs!E126)</f>
        <v>8</v>
      </c>
      <c r="L89" s="101">
        <f>COUNTIF('Max rate concentrations'!AD$3:AD$368, "&gt;"&amp;inputs!E126)</f>
        <v>23</v>
      </c>
      <c r="M89" s="101">
        <f>COUNTIF('Max rate concentrations'!AE$3:AE$368, "&gt;"&amp;inputs!E126)</f>
        <v>0</v>
      </c>
      <c r="N89" s="101" t="s">
        <v>13</v>
      </c>
    </row>
    <row r="90" spans="1:14" x14ac:dyDescent="0.3">
      <c r="A90" s="45"/>
      <c r="B90" s="61" t="s">
        <v>62</v>
      </c>
      <c r="C90" s="61" t="s">
        <v>83</v>
      </c>
      <c r="D90" s="101">
        <f>COUNTIF('Max rate concentrations'!W$3:W$368, "&gt;"&amp;inputs!E127)</f>
        <v>27</v>
      </c>
      <c r="E90" s="101">
        <f>COUNTIF('Max rate concentrations'!X$3:X$368, "&gt;"&amp;inputs!E127)</f>
        <v>20</v>
      </c>
      <c r="F90" s="101">
        <f>COUNTIF('Max rate concentrations'!Y$3:Y$368, "&gt;"&amp;inputs!E127)</f>
        <v>22</v>
      </c>
      <c r="G90" s="101">
        <f>COUNTIF('Max rate concentrations'!Z$3:Z$368, "&gt;"&amp;inputs!E127)</f>
        <v>8</v>
      </c>
      <c r="H90" s="101">
        <f>COUNTIF('Max rate concentrations'!AA$3:AA$368, "&gt;"&amp;inputs!E127)</f>
        <v>25</v>
      </c>
      <c r="I90" s="101" t="s">
        <v>13</v>
      </c>
      <c r="J90" s="101">
        <f>COUNTIF('Max rate concentrations'!AB$3:AB$368, "&gt;"&amp;inputs!E127)</f>
        <v>27</v>
      </c>
      <c r="K90" s="101">
        <f>COUNTIF('Max rate concentrations'!AC$3:AC$368, "&gt;"&amp;inputs!E127)</f>
        <v>13</v>
      </c>
      <c r="L90" s="101">
        <f>COUNTIF('Max rate concentrations'!AD$3:AD$368, "&gt;"&amp;inputs!E127)</f>
        <v>28</v>
      </c>
      <c r="M90" s="101">
        <f>COUNTIF('Max rate concentrations'!AE$3:AE$368, "&gt;"&amp;inputs!E127)</f>
        <v>5</v>
      </c>
      <c r="N90" s="101" t="s">
        <v>13</v>
      </c>
    </row>
    <row r="91" spans="1:14" x14ac:dyDescent="0.3">
      <c r="A91" s="45"/>
      <c r="B91" s="61" t="s">
        <v>62</v>
      </c>
      <c r="C91" s="61" t="s">
        <v>84</v>
      </c>
      <c r="D91" s="101">
        <f>COUNTIF('Max rate concentrations'!W$3:W$368, "&gt;"&amp;inputs!E128)</f>
        <v>22</v>
      </c>
      <c r="E91" s="101">
        <f>COUNTIF('Max rate concentrations'!X$3:X$368, "&gt;"&amp;inputs!E128)</f>
        <v>15</v>
      </c>
      <c r="F91" s="101">
        <f>COUNTIF('Max rate concentrations'!Y$3:Y$368, "&gt;"&amp;inputs!E128)</f>
        <v>17</v>
      </c>
      <c r="G91" s="101">
        <f>COUNTIF('Max rate concentrations'!Z$3:Z$368, "&gt;"&amp;inputs!E128)</f>
        <v>2</v>
      </c>
      <c r="H91" s="101">
        <f>COUNTIF('Max rate concentrations'!AA$3:AA$368, "&gt;"&amp;inputs!E128)</f>
        <v>19</v>
      </c>
      <c r="I91" s="101" t="s">
        <v>13</v>
      </c>
      <c r="J91" s="101">
        <f>COUNTIF('Max rate concentrations'!AB$3:AB$368, "&gt;"&amp;inputs!E128)</f>
        <v>22</v>
      </c>
      <c r="K91" s="101">
        <f>COUNTIF('Max rate concentrations'!AC$3:AC$368, "&gt;"&amp;inputs!E128)</f>
        <v>8</v>
      </c>
      <c r="L91" s="101">
        <f>COUNTIF('Max rate concentrations'!AD$3:AD$368, "&gt;"&amp;inputs!E128)</f>
        <v>23</v>
      </c>
      <c r="M91" s="101">
        <f>COUNTIF('Max rate concentrations'!AE$3:AE$368, "&gt;"&amp;inputs!E128)</f>
        <v>0</v>
      </c>
      <c r="N91" s="101" t="s">
        <v>13</v>
      </c>
    </row>
    <row r="92" spans="1:14" x14ac:dyDescent="0.3">
      <c r="A92" s="45"/>
      <c r="B92" s="61" t="s">
        <v>62</v>
      </c>
      <c r="C92" s="61" t="s">
        <v>85</v>
      </c>
      <c r="D92" s="101">
        <f>COUNTIF('Max rate concentrations'!W$3:W$368, "&gt;"&amp;inputs!E129)</f>
        <v>32</v>
      </c>
      <c r="E92" s="101">
        <f>COUNTIF('Max rate concentrations'!X$3:X$368, "&gt;"&amp;inputs!E129)</f>
        <v>26</v>
      </c>
      <c r="F92" s="101">
        <f>COUNTIF('Max rate concentrations'!Y$3:Y$368, "&gt;"&amp;inputs!E129)</f>
        <v>27</v>
      </c>
      <c r="G92" s="101">
        <f>COUNTIF('Max rate concentrations'!Z$3:Z$368, "&gt;"&amp;inputs!E129)</f>
        <v>13</v>
      </c>
      <c r="H92" s="101">
        <f>COUNTIF('Max rate concentrations'!AA$3:AA$368, "&gt;"&amp;inputs!E129)</f>
        <v>30</v>
      </c>
      <c r="I92" s="101" t="s">
        <v>13</v>
      </c>
      <c r="J92" s="101">
        <f>COUNTIF('Max rate concentrations'!AB$3:AB$368, "&gt;"&amp;inputs!E129)</f>
        <v>33</v>
      </c>
      <c r="K92" s="101">
        <f>COUNTIF('Max rate concentrations'!AC$3:AC$368, "&gt;"&amp;inputs!E129)</f>
        <v>19</v>
      </c>
      <c r="L92" s="101">
        <f>COUNTIF('Max rate concentrations'!AD$3:AD$368, "&gt;"&amp;inputs!E129)</f>
        <v>33</v>
      </c>
      <c r="M92" s="101">
        <f>COUNTIF('Max rate concentrations'!AE$3:AE$368, "&gt;"&amp;inputs!E129)</f>
        <v>10</v>
      </c>
      <c r="N92" s="101" t="s">
        <v>13</v>
      </c>
    </row>
    <row r="93" spans="1:14" x14ac:dyDescent="0.3">
      <c r="A93" s="45"/>
      <c r="B93" s="61" t="s">
        <v>62</v>
      </c>
      <c r="C93" s="61" t="s">
        <v>86</v>
      </c>
      <c r="D93" s="101">
        <f>COUNTIF('Max rate concentrations'!W$3:W$368, "&gt;"&amp;inputs!E130)</f>
        <v>32</v>
      </c>
      <c r="E93" s="101">
        <f>COUNTIF('Max rate concentrations'!X$3:X$368, "&gt;"&amp;inputs!E130)</f>
        <v>26</v>
      </c>
      <c r="F93" s="101">
        <f>COUNTIF('Max rate concentrations'!Y$3:Y$368, "&gt;"&amp;inputs!E130)</f>
        <v>27</v>
      </c>
      <c r="G93" s="101">
        <f>COUNTIF('Max rate concentrations'!Z$3:Z$368, "&gt;"&amp;inputs!E130)</f>
        <v>13</v>
      </c>
      <c r="H93" s="101">
        <f>COUNTIF('Max rate concentrations'!AA$3:AA$368, "&gt;"&amp;inputs!E130)</f>
        <v>30</v>
      </c>
      <c r="I93" s="101" t="s">
        <v>13</v>
      </c>
      <c r="J93" s="101">
        <f>COUNTIF('Max rate concentrations'!AB$3:AB$368, "&gt;"&amp;inputs!E130)</f>
        <v>33</v>
      </c>
      <c r="K93" s="101">
        <f>COUNTIF('Max rate concentrations'!AC$3:AC$368, "&gt;"&amp;inputs!E130)</f>
        <v>19</v>
      </c>
      <c r="L93" s="101">
        <f>COUNTIF('Max rate concentrations'!AD$3:AD$368, "&gt;"&amp;inputs!E130)</f>
        <v>33</v>
      </c>
      <c r="M93" s="101">
        <f>COUNTIF('Max rate concentrations'!AE$3:AE$368, "&gt;"&amp;inputs!E130)</f>
        <v>10</v>
      </c>
      <c r="N93" s="101" t="s">
        <v>13</v>
      </c>
    </row>
    <row r="94" spans="1:14" x14ac:dyDescent="0.3">
      <c r="A94" s="45"/>
      <c r="B94" s="61" t="s">
        <v>62</v>
      </c>
      <c r="C94" s="61" t="s">
        <v>87</v>
      </c>
      <c r="D94" s="101">
        <f>COUNTIF('Max rate concentrations'!W$3:W$368, "&gt;"&amp;inputs!E131)</f>
        <v>0</v>
      </c>
      <c r="E94" s="101">
        <f>COUNTIF('Max rate concentrations'!X$3:X$368, "&gt;"&amp;inputs!E131)</f>
        <v>0</v>
      </c>
      <c r="F94" s="101">
        <f>COUNTIF('Max rate concentrations'!Y$3:Y$368, "&gt;"&amp;inputs!E131)</f>
        <v>0</v>
      </c>
      <c r="G94" s="101">
        <f>COUNTIF('Max rate concentrations'!Z$3:Z$368, "&gt;"&amp;inputs!E131)</f>
        <v>0</v>
      </c>
      <c r="H94" s="101">
        <f>COUNTIF('Max rate concentrations'!AA$3:AA$368, "&gt;"&amp;inputs!E131)</f>
        <v>0</v>
      </c>
      <c r="I94" s="101" t="s">
        <v>13</v>
      </c>
      <c r="J94" s="101">
        <f>COUNTIF('Max rate concentrations'!AB$3:AB$368, "&gt;"&amp;inputs!E131)</f>
        <v>0</v>
      </c>
      <c r="K94" s="101">
        <f>COUNTIF('Max rate concentrations'!AC$3:AC$368, "&gt;"&amp;inputs!E131)</f>
        <v>0</v>
      </c>
      <c r="L94" s="101">
        <f>COUNTIF('Max rate concentrations'!AD$3:AD$368, "&gt;"&amp;inputs!E131)</f>
        <v>0</v>
      </c>
      <c r="M94" s="101">
        <f>COUNTIF('Max rate concentrations'!AE$3:AE$368, "&gt;"&amp;inputs!E131)</f>
        <v>0</v>
      </c>
      <c r="N94" s="101" t="s">
        <v>13</v>
      </c>
    </row>
    <row r="95" spans="1:14" x14ac:dyDescent="0.3">
      <c r="A95" s="45"/>
      <c r="B95" s="61" t="s">
        <v>62</v>
      </c>
      <c r="C95" s="61" t="s">
        <v>88</v>
      </c>
      <c r="D95" s="101">
        <f>COUNTIF('Max rate concentrations'!W$3:W$368, "&gt;"&amp;inputs!E132)</f>
        <v>0</v>
      </c>
      <c r="E95" s="101">
        <f>COUNTIF('Max rate concentrations'!X$3:X$368, "&gt;"&amp;inputs!E132)</f>
        <v>0</v>
      </c>
      <c r="F95" s="101">
        <f>COUNTIF('Max rate concentrations'!Y$3:Y$368, "&gt;"&amp;inputs!E132)</f>
        <v>0</v>
      </c>
      <c r="G95" s="101">
        <f>COUNTIF('Max rate concentrations'!Z$3:Z$368, "&gt;"&amp;inputs!E132)</f>
        <v>0</v>
      </c>
      <c r="H95" s="101">
        <f>COUNTIF('Max rate concentrations'!AA$3:AA$368, "&gt;"&amp;inputs!E132)</f>
        <v>0</v>
      </c>
      <c r="I95" s="101" t="s">
        <v>13</v>
      </c>
      <c r="J95" s="101">
        <f>COUNTIF('Max rate concentrations'!AB$3:AB$368, "&gt;"&amp;inputs!E132)</f>
        <v>0</v>
      </c>
      <c r="K95" s="101">
        <f>COUNTIF('Max rate concentrations'!AC$3:AC$368, "&gt;"&amp;inputs!E132)</f>
        <v>0</v>
      </c>
      <c r="L95" s="101">
        <f>COUNTIF('Max rate concentrations'!AD$3:AD$368, "&gt;"&amp;inputs!E132)</f>
        <v>0</v>
      </c>
      <c r="M95" s="101">
        <f>COUNTIF('Max rate concentrations'!AE$3:AE$368, "&gt;"&amp;inputs!E132)</f>
        <v>0</v>
      </c>
      <c r="N95" s="101" t="s">
        <v>13</v>
      </c>
    </row>
    <row r="96" spans="1:14" x14ac:dyDescent="0.3">
      <c r="A96" s="46"/>
      <c r="B96" s="22" t="s">
        <v>64</v>
      </c>
      <c r="C96" s="22" t="s">
        <v>71</v>
      </c>
      <c r="D96" s="101">
        <f>COUNTIF('Max rate concentrations'!W$3:W$368, "&gt;"&amp;inputs!E133)</f>
        <v>32</v>
      </c>
      <c r="E96" s="101">
        <f>COUNTIF('Max rate concentrations'!X$3:X$368, "&gt;"&amp;inputs!E133)</f>
        <v>26</v>
      </c>
      <c r="F96" s="101">
        <f>COUNTIF('Max rate concentrations'!Y$3:Y$368, "&gt;"&amp;inputs!E133)</f>
        <v>27</v>
      </c>
      <c r="G96" s="101">
        <f>COUNTIF('Max rate concentrations'!Z$3:Z$368, "&gt;"&amp;inputs!E133)</f>
        <v>13</v>
      </c>
      <c r="H96" s="101">
        <f>COUNTIF('Max rate concentrations'!AA$3:AA$368, "&gt;"&amp;inputs!E133)</f>
        <v>30</v>
      </c>
      <c r="I96" s="101" t="s">
        <v>13</v>
      </c>
      <c r="J96" s="101">
        <f>COUNTIF('Max rate concentrations'!AB$3:AB$368, "&gt;"&amp;inputs!E133)</f>
        <v>33</v>
      </c>
      <c r="K96" s="101">
        <f>COUNTIF('Max rate concentrations'!AC$3:AC$368, "&gt;"&amp;inputs!E133)</f>
        <v>19</v>
      </c>
      <c r="L96" s="101">
        <f>COUNTIF('Max rate concentrations'!AD$3:AD$368, "&gt;"&amp;inputs!E133)</f>
        <v>33</v>
      </c>
      <c r="M96" s="101">
        <f>COUNTIF('Max rate concentrations'!AE$3:AE$368, "&gt;"&amp;inputs!E133)</f>
        <v>10</v>
      </c>
      <c r="N96" s="101" t="s">
        <v>13</v>
      </c>
    </row>
    <row r="97" spans="1:14" ht="28.8" x14ac:dyDescent="0.3">
      <c r="A97" s="24" t="s">
        <v>763</v>
      </c>
      <c r="B97" s="22" t="s">
        <v>62</v>
      </c>
      <c r="C97" s="25" t="s">
        <v>63</v>
      </c>
      <c r="D97" s="101">
        <f>COUNTIF('Max rate concentrations'!W$3:W$368, "&gt;"&amp;inputs!E150)</f>
        <v>0</v>
      </c>
      <c r="E97" s="101">
        <f>COUNTIF('Max rate concentrations'!X$3:X$368, "&gt;"&amp;inputs!E150)</f>
        <v>0</v>
      </c>
      <c r="F97" s="101">
        <f>COUNTIF('Max rate concentrations'!Y$3:Y$368, "&gt;"&amp;inputs!E150)</f>
        <v>0</v>
      </c>
      <c r="G97" s="101">
        <f>COUNTIF('Max rate concentrations'!Z$3:Z$368, "&gt;"&amp;inputs!E150)</f>
        <v>0</v>
      </c>
      <c r="H97" s="101">
        <f>COUNTIF('Max rate concentrations'!AA$3:AA$368, "&gt;"&amp;inputs!E137)</f>
        <v>71</v>
      </c>
      <c r="I97" s="101" t="s">
        <v>13</v>
      </c>
      <c r="J97" s="101">
        <f>COUNTIF('Max rate concentrations'!AB$3:AB$368, "&gt;"&amp;inputs!E134)</f>
        <v>0</v>
      </c>
      <c r="K97" s="101">
        <f>COUNTIF('Max rate concentrations'!AC$3:AC$368, "&gt;"&amp;inputs!E150)</f>
        <v>0</v>
      </c>
      <c r="L97" s="101">
        <f>COUNTIF('Max rate concentrations'!AD$3:AD$368, "&gt;"&amp;inputs!E134)</f>
        <v>0</v>
      </c>
      <c r="M97" s="101">
        <f>COUNTIF('Max rate concentrations'!AE$3:AE$368, "&gt;"&amp;inputs!E134)</f>
        <v>0</v>
      </c>
      <c r="N97" s="101" t="s">
        <v>13</v>
      </c>
    </row>
    <row r="98" spans="1:14" x14ac:dyDescent="0.3">
      <c r="A98" s="41"/>
      <c r="B98" s="22" t="s">
        <v>64</v>
      </c>
      <c r="C98" s="25" t="s">
        <v>65</v>
      </c>
      <c r="D98" s="101">
        <f>COUNTIF('Max rate concentrations'!W$3:W$368, "&gt;"&amp;inputs!E151)</f>
        <v>0</v>
      </c>
      <c r="E98" s="101">
        <f>COUNTIF('Max rate concentrations'!X$3:X$368, "&gt;"&amp;inputs!E151)</f>
        <v>0</v>
      </c>
      <c r="F98" s="101">
        <f>COUNTIF('Max rate concentrations'!Y$3:Y$368, "&gt;"&amp;inputs!E151)</f>
        <v>0</v>
      </c>
      <c r="G98" s="101">
        <f>COUNTIF('Max rate concentrations'!Z$3:Z$368, "&gt;"&amp;inputs!E151)</f>
        <v>0</v>
      </c>
      <c r="H98" s="101">
        <f>COUNTIF('Max rate concentrations'!AA$3:AA$368, "&gt;"&amp;inputs!E138)</f>
        <v>60</v>
      </c>
      <c r="I98" s="101" t="s">
        <v>13</v>
      </c>
      <c r="J98" s="101" t="s">
        <v>13</v>
      </c>
      <c r="K98" s="101">
        <f>COUNTIF('Max rate concentrations'!AC$3:AC$368, "&gt;"&amp;inputs!E151)</f>
        <v>0</v>
      </c>
      <c r="L98" s="101" t="s">
        <v>13</v>
      </c>
      <c r="M98" s="101" t="s">
        <v>13</v>
      </c>
      <c r="N98" s="101" t="s">
        <v>13</v>
      </c>
    </row>
    <row r="99" spans="1:14" x14ac:dyDescent="0.3">
      <c r="A99" s="41"/>
      <c r="B99" s="22" t="s">
        <v>66</v>
      </c>
      <c r="C99" s="22" t="s">
        <v>80</v>
      </c>
      <c r="D99" s="101">
        <f>COUNTIF('Max rate concentrations'!W$3:W$368, "&gt;"&amp;inputs!E152)</f>
        <v>0</v>
      </c>
      <c r="E99" s="101">
        <f>COUNTIF('Max rate concentrations'!X$3:X$368, "&gt;"&amp;inputs!E152)</f>
        <v>0</v>
      </c>
      <c r="F99" s="101">
        <f>COUNTIF('Max rate concentrations'!Y$3:Y$368, "&gt;"&amp;inputs!E152)</f>
        <v>0</v>
      </c>
      <c r="G99" s="101">
        <f>COUNTIF('Max rate concentrations'!Z$3:Z$368, "&gt;"&amp;inputs!E152)</f>
        <v>0</v>
      </c>
      <c r="H99" s="101">
        <f>COUNTIF('Max rate concentrations'!AA$3:AA$368, "&gt;"&amp;inputs!E139)</f>
        <v>55</v>
      </c>
      <c r="I99" s="101" t="s">
        <v>13</v>
      </c>
      <c r="J99" s="101" t="s">
        <v>13</v>
      </c>
      <c r="K99" s="101">
        <f>COUNTIF('Max rate concentrations'!AC$3:AC$368, "&gt;"&amp;inputs!E152)</f>
        <v>0</v>
      </c>
      <c r="L99" s="101" t="s">
        <v>13</v>
      </c>
      <c r="M99" s="101" t="s">
        <v>13</v>
      </c>
      <c r="N99" s="101" t="s">
        <v>13</v>
      </c>
    </row>
    <row r="100" spans="1:14" x14ac:dyDescent="0.3">
      <c r="A100" s="41"/>
      <c r="B100" s="22" t="s">
        <v>62</v>
      </c>
      <c r="C100" s="25" t="s">
        <v>72</v>
      </c>
      <c r="D100" s="101">
        <f>COUNTIF('Max rate concentrations'!W$3:W$368, "&gt;"&amp;inputs!E153)</f>
        <v>31</v>
      </c>
      <c r="E100" s="101">
        <f>COUNTIF('Max rate concentrations'!X$3:X$368, "&gt;"&amp;inputs!E153)</f>
        <v>24</v>
      </c>
      <c r="F100" s="101">
        <f>COUNTIF('Max rate concentrations'!Y$3:Y$368, "&gt;"&amp;inputs!E153)</f>
        <v>26</v>
      </c>
      <c r="G100" s="101">
        <f>COUNTIF('Max rate concentrations'!Z$3:Z$368, "&gt;"&amp;inputs!E153)</f>
        <v>11</v>
      </c>
      <c r="H100" s="101">
        <f>COUNTIF('Max rate concentrations'!AA$3:AA$368, "&gt;"&amp;inputs!E140)</f>
        <v>55</v>
      </c>
      <c r="I100" s="101" t="s">
        <v>13</v>
      </c>
      <c r="J100" s="101" t="s">
        <v>13</v>
      </c>
      <c r="K100" s="101">
        <f>COUNTIF('Max rate concentrations'!AC$3:AC$368, "&gt;"&amp;inputs!E153)</f>
        <v>17</v>
      </c>
      <c r="L100" s="101" t="s">
        <v>13</v>
      </c>
      <c r="M100" s="101" t="s">
        <v>13</v>
      </c>
      <c r="N100" s="101" t="s">
        <v>13</v>
      </c>
    </row>
    <row r="101" spans="1:14" x14ac:dyDescent="0.3">
      <c r="A101" s="41"/>
      <c r="B101" s="22" t="s">
        <v>62</v>
      </c>
      <c r="C101" s="25" t="s">
        <v>81</v>
      </c>
      <c r="D101" s="101">
        <f>COUNTIF('Max rate concentrations'!W$3:W$368, "&gt;"&amp;inputs!E154)</f>
        <v>0</v>
      </c>
      <c r="E101" s="101">
        <f>COUNTIF('Max rate concentrations'!X$3:X$368, "&gt;"&amp;inputs!E154)</f>
        <v>0</v>
      </c>
      <c r="F101" s="101">
        <f>COUNTIF('Max rate concentrations'!Y$3:Y$368, "&gt;"&amp;inputs!E154)</f>
        <v>0</v>
      </c>
      <c r="G101" s="101">
        <f>COUNTIF('Max rate concentrations'!Z$3:Z$368, "&gt;"&amp;inputs!E154)</f>
        <v>0</v>
      </c>
      <c r="H101" s="101">
        <f>COUNTIF('Max rate concentrations'!AA$3:AA$368, "&gt;"&amp;inputs!E141)</f>
        <v>0</v>
      </c>
      <c r="I101" s="101" t="s">
        <v>13</v>
      </c>
      <c r="J101" s="101" t="s">
        <v>13</v>
      </c>
      <c r="K101" s="101">
        <f>COUNTIF('Max rate concentrations'!AC$3:AC$368, "&gt;"&amp;inputs!E154)</f>
        <v>0</v>
      </c>
      <c r="L101" s="101" t="s">
        <v>13</v>
      </c>
      <c r="M101" s="101" t="s">
        <v>13</v>
      </c>
      <c r="N101" s="101" t="s">
        <v>13</v>
      </c>
    </row>
    <row r="102" spans="1:14" x14ac:dyDescent="0.3">
      <c r="A102" s="41"/>
      <c r="B102" s="22" t="s">
        <v>66</v>
      </c>
      <c r="C102" s="25" t="s">
        <v>82</v>
      </c>
      <c r="D102" s="101">
        <f>COUNTIF('Max rate concentrations'!W$3:W$368, "&gt;"&amp;inputs!E155)</f>
        <v>8</v>
      </c>
      <c r="E102" s="101">
        <f>COUNTIF('Max rate concentrations'!X$3:X$368, "&gt;"&amp;inputs!E155)</f>
        <v>1</v>
      </c>
      <c r="F102" s="101">
        <f>COUNTIF('Max rate concentrations'!Y$3:Y$368, "&gt;"&amp;inputs!E155)</f>
        <v>3</v>
      </c>
      <c r="G102" s="101">
        <f>COUNTIF('Max rate concentrations'!Z$3:Z$368, "&gt;"&amp;inputs!E155)</f>
        <v>0</v>
      </c>
      <c r="H102" s="101">
        <f>COUNTIF('Max rate concentrations'!AA$3:AA$368, "&gt;"&amp;inputs!E142)</f>
        <v>0</v>
      </c>
      <c r="I102" s="101" t="s">
        <v>13</v>
      </c>
      <c r="J102" s="101" t="s">
        <v>13</v>
      </c>
      <c r="K102" s="101">
        <f>COUNTIF('Max rate concentrations'!AC$3:AC$368, "&gt;"&amp;inputs!E155)</f>
        <v>0</v>
      </c>
      <c r="L102" s="101" t="s">
        <v>13</v>
      </c>
      <c r="M102" s="101" t="s">
        <v>13</v>
      </c>
      <c r="N102" s="101" t="s">
        <v>13</v>
      </c>
    </row>
    <row r="103" spans="1:14" x14ac:dyDescent="0.3">
      <c r="A103" s="41"/>
      <c r="B103" s="22" t="s">
        <v>62</v>
      </c>
      <c r="C103" s="25" t="s">
        <v>83</v>
      </c>
      <c r="D103" s="101">
        <f>COUNTIF('Max rate concentrations'!W$3:W$368, "&gt;"&amp;inputs!E156)</f>
        <v>0</v>
      </c>
      <c r="E103" s="101">
        <f>COUNTIF('Max rate concentrations'!X$3:X$368, "&gt;"&amp;inputs!E156)</f>
        <v>0</v>
      </c>
      <c r="F103" s="101">
        <f>COUNTIF('Max rate concentrations'!Y$3:Y$368, "&gt;"&amp;inputs!E156)</f>
        <v>0</v>
      </c>
      <c r="G103" s="101">
        <f>COUNTIF('Max rate concentrations'!Z$3:Z$368, "&gt;"&amp;inputs!E156)</f>
        <v>0</v>
      </c>
      <c r="H103" s="101">
        <f>COUNTIF('Max rate concentrations'!AA$3:AA$368, "&gt;"&amp;inputs!E143)</f>
        <v>0</v>
      </c>
      <c r="I103" s="101" t="s">
        <v>13</v>
      </c>
      <c r="J103" s="101" t="s">
        <v>13</v>
      </c>
      <c r="K103" s="101">
        <f>COUNTIF('Max rate concentrations'!AC$3:AC$368, "&gt;"&amp;inputs!E156)</f>
        <v>0</v>
      </c>
      <c r="L103" s="101" t="s">
        <v>13</v>
      </c>
      <c r="M103" s="101" t="s">
        <v>13</v>
      </c>
      <c r="N103" s="101" t="s">
        <v>13</v>
      </c>
    </row>
    <row r="104" spans="1:14" x14ac:dyDescent="0.3">
      <c r="A104" s="41"/>
      <c r="B104" s="22" t="s">
        <v>66</v>
      </c>
      <c r="C104" s="25" t="s">
        <v>84</v>
      </c>
      <c r="D104" s="101">
        <f>COUNTIF('Max rate concentrations'!W$3:W$368, "&gt;"&amp;inputs!E157)</f>
        <v>0</v>
      </c>
      <c r="E104" s="101">
        <f>COUNTIF('Max rate concentrations'!X$3:X$368, "&gt;"&amp;inputs!E157)</f>
        <v>0</v>
      </c>
      <c r="F104" s="101">
        <f>COUNTIF('Max rate concentrations'!Y$3:Y$368, "&gt;"&amp;inputs!E157)</f>
        <v>0</v>
      </c>
      <c r="G104" s="101">
        <f>COUNTIF('Max rate concentrations'!Z$3:Z$368, "&gt;"&amp;inputs!E157)</f>
        <v>0</v>
      </c>
      <c r="H104" s="101">
        <f>COUNTIF('Max rate concentrations'!AA$3:AA$368, "&gt;"&amp;inputs!E144)</f>
        <v>0</v>
      </c>
      <c r="I104" s="101" t="s">
        <v>13</v>
      </c>
      <c r="J104" s="101" t="s">
        <v>13</v>
      </c>
      <c r="K104" s="101">
        <f>COUNTIF('Max rate concentrations'!AC$3:AC$368, "&gt;"&amp;inputs!E157)</f>
        <v>0</v>
      </c>
      <c r="L104" s="101" t="s">
        <v>13</v>
      </c>
      <c r="M104" s="101" t="s">
        <v>13</v>
      </c>
      <c r="N104" s="101" t="s">
        <v>13</v>
      </c>
    </row>
    <row r="105" spans="1:14" x14ac:dyDescent="0.3">
      <c r="A105" s="41"/>
      <c r="B105" s="22" t="s">
        <v>62</v>
      </c>
      <c r="C105" s="25" t="s">
        <v>85</v>
      </c>
      <c r="D105" s="101">
        <f>COUNTIF('Max rate concentrations'!W$3:W$368, "&gt;"&amp;inputs!E158)</f>
        <v>0</v>
      </c>
      <c r="E105" s="101">
        <f>COUNTIF('Max rate concentrations'!X$3:X$368, "&gt;"&amp;inputs!E158)</f>
        <v>0</v>
      </c>
      <c r="F105" s="101">
        <f>COUNTIF('Max rate concentrations'!Y$3:Y$368, "&gt;"&amp;inputs!E158)</f>
        <v>0</v>
      </c>
      <c r="G105" s="101">
        <f>COUNTIF('Max rate concentrations'!Z$3:Z$368, "&gt;"&amp;inputs!E158)</f>
        <v>0</v>
      </c>
      <c r="H105" s="101">
        <f>COUNTIF('Max rate concentrations'!AA$3:AA$368, "&gt;"&amp;inputs!E145)</f>
        <v>0</v>
      </c>
      <c r="I105" s="101" t="s">
        <v>13</v>
      </c>
      <c r="J105" s="101" t="s">
        <v>13</v>
      </c>
      <c r="K105" s="101">
        <f>COUNTIF('Max rate concentrations'!AC$3:AC$368, "&gt;"&amp;inputs!E158)</f>
        <v>0</v>
      </c>
      <c r="L105" s="101" t="s">
        <v>13</v>
      </c>
      <c r="M105" s="101" t="s">
        <v>13</v>
      </c>
      <c r="N105" s="101" t="s">
        <v>13</v>
      </c>
    </row>
    <row r="106" spans="1:14" x14ac:dyDescent="0.3">
      <c r="A106" s="41"/>
      <c r="B106" s="22" t="s">
        <v>66</v>
      </c>
      <c r="C106" s="25" t="s">
        <v>86</v>
      </c>
      <c r="D106" s="101">
        <f>COUNTIF('Max rate concentrations'!W$3:W$368, "&gt;"&amp;inputs!E159)</f>
        <v>31</v>
      </c>
      <c r="E106" s="101">
        <f>COUNTIF('Max rate concentrations'!X$3:X$368, "&gt;"&amp;inputs!E159)</f>
        <v>24</v>
      </c>
      <c r="F106" s="101">
        <f>COUNTIF('Max rate concentrations'!Y$3:Y$368, "&gt;"&amp;inputs!E159)</f>
        <v>26</v>
      </c>
      <c r="G106" s="101">
        <f>COUNTIF('Max rate concentrations'!Z$3:Z$368, "&gt;"&amp;inputs!E159)</f>
        <v>11</v>
      </c>
      <c r="H106" s="101">
        <f>COUNTIF('Max rate concentrations'!AA$3:AA$368, "&gt;"&amp;inputs!E146)</f>
        <v>0</v>
      </c>
      <c r="I106" s="101" t="s">
        <v>13</v>
      </c>
      <c r="J106" s="101" t="s">
        <v>13</v>
      </c>
      <c r="K106" s="101">
        <f>COUNTIF('Max rate concentrations'!AC$3:AC$368, "&gt;"&amp;inputs!E159)</f>
        <v>17</v>
      </c>
      <c r="L106" s="101" t="s">
        <v>13</v>
      </c>
      <c r="M106" s="101" t="s">
        <v>13</v>
      </c>
      <c r="N106" s="101" t="s">
        <v>13</v>
      </c>
    </row>
    <row r="107" spans="1:14" x14ac:dyDescent="0.3">
      <c r="A107" s="41"/>
      <c r="B107" s="22" t="s">
        <v>62</v>
      </c>
      <c r="C107" s="25" t="s">
        <v>87</v>
      </c>
      <c r="D107" s="101">
        <f>COUNTIF('Max rate concentrations'!W$3:W$368, "&gt;"&amp;inputs!E160)</f>
        <v>0</v>
      </c>
      <c r="E107" s="101">
        <f>COUNTIF('Max rate concentrations'!X$3:X$368, "&gt;"&amp;inputs!E160)</f>
        <v>0</v>
      </c>
      <c r="F107" s="101">
        <f>COUNTIF('Max rate concentrations'!Y$3:Y$368, "&gt;"&amp;inputs!E160)</f>
        <v>0</v>
      </c>
      <c r="G107" s="101">
        <f>COUNTIF('Max rate concentrations'!Z$3:Z$368, "&gt;"&amp;inputs!E160)</f>
        <v>0</v>
      </c>
      <c r="H107" s="101">
        <f>COUNTIF('Max rate concentrations'!AA$3:AA$368, "&gt;"&amp;inputs!E147)</f>
        <v>0</v>
      </c>
      <c r="I107" s="101" t="s">
        <v>13</v>
      </c>
      <c r="J107" s="101" t="s">
        <v>13</v>
      </c>
      <c r="K107" s="101">
        <f>COUNTIF('Max rate concentrations'!AC$3:AC$368, "&gt;"&amp;inputs!E160)</f>
        <v>0</v>
      </c>
      <c r="L107" s="101" t="s">
        <v>13</v>
      </c>
      <c r="M107" s="101" t="s">
        <v>13</v>
      </c>
      <c r="N107" s="101" t="s">
        <v>13</v>
      </c>
    </row>
    <row r="108" spans="1:14" x14ac:dyDescent="0.3">
      <c r="A108" s="41"/>
      <c r="B108" s="22" t="s">
        <v>66</v>
      </c>
      <c r="C108" s="25" t="s">
        <v>88</v>
      </c>
      <c r="D108" s="101">
        <f>COUNTIF('Max rate concentrations'!W$3:W$368, "&gt;"&amp;inputs!E161)</f>
        <v>0</v>
      </c>
      <c r="E108" s="101">
        <f>COUNTIF('Max rate concentrations'!X$3:X$368, "&gt;"&amp;inputs!E161)</f>
        <v>0</v>
      </c>
      <c r="F108" s="101">
        <f>COUNTIF('Max rate concentrations'!Y$3:Y$368, "&gt;"&amp;inputs!E161)</f>
        <v>0</v>
      </c>
      <c r="G108" s="101">
        <f>COUNTIF('Max rate concentrations'!Z$3:Z$368, "&gt;"&amp;inputs!E161)</f>
        <v>0</v>
      </c>
      <c r="H108" s="101">
        <f>COUNTIF('Max rate concentrations'!AA$3:AA$368, "&gt;"&amp;inputs!E148)</f>
        <v>0</v>
      </c>
      <c r="I108" s="101" t="s">
        <v>13</v>
      </c>
      <c r="J108" s="101" t="s">
        <v>13</v>
      </c>
      <c r="K108" s="101">
        <f>COUNTIF('Max rate concentrations'!AC$3:AC$368, "&gt;"&amp;inputs!E161)</f>
        <v>0</v>
      </c>
      <c r="L108" s="101" t="s">
        <v>13</v>
      </c>
      <c r="M108" s="101" t="s">
        <v>13</v>
      </c>
      <c r="N108" s="101" t="s">
        <v>13</v>
      </c>
    </row>
    <row r="109" spans="1:14" x14ac:dyDescent="0.3">
      <c r="A109" s="39"/>
      <c r="B109" s="22" t="s">
        <v>64</v>
      </c>
      <c r="C109" s="25" t="s">
        <v>72</v>
      </c>
      <c r="D109" s="101">
        <f>COUNTIF('Max rate concentrations'!W$3:W$368, "&gt;"&amp;inputs!E162)</f>
        <v>25</v>
      </c>
      <c r="E109" s="101">
        <f>COUNTIF('Max rate concentrations'!X$3:X$368, "&gt;"&amp;inputs!E162)</f>
        <v>19</v>
      </c>
      <c r="F109" s="101">
        <f>COUNTIF('Max rate concentrations'!Y$3:Y$368, "&gt;"&amp;inputs!E162)</f>
        <v>20</v>
      </c>
      <c r="G109" s="101">
        <f>COUNTIF('Max rate concentrations'!Z$3:Z$368, "&gt;"&amp;inputs!E162)</f>
        <v>6</v>
      </c>
      <c r="H109" s="101">
        <f>COUNTIF('Max rate concentrations'!AA$3:AA$368, "&gt;"&amp;inputs!E149)</f>
        <v>55</v>
      </c>
      <c r="I109" s="101" t="s">
        <v>13</v>
      </c>
      <c r="J109" s="101" t="s">
        <v>13</v>
      </c>
      <c r="K109" s="101">
        <f>COUNTIF('Max rate concentrations'!AC$3:AC$368, "&gt;"&amp;inputs!E162)</f>
        <v>12</v>
      </c>
      <c r="L109" s="101" t="s">
        <v>13</v>
      </c>
      <c r="M109" s="101" t="s">
        <v>13</v>
      </c>
      <c r="N109" s="101" t="s">
        <v>13</v>
      </c>
    </row>
    <row r="110" spans="1:14" x14ac:dyDescent="0.3">
      <c r="A110" s="62"/>
      <c r="B110" s="23"/>
      <c r="C110" s="23"/>
      <c r="D110" s="77"/>
      <c r="E110" s="77"/>
      <c r="F110" s="77"/>
      <c r="G110" s="77"/>
      <c r="H110" s="77"/>
      <c r="I110" s="77"/>
      <c r="J110" s="77"/>
      <c r="K110" s="77"/>
      <c r="L110" s="77"/>
      <c r="M110" s="77"/>
    </row>
    <row r="111" spans="1:14" x14ac:dyDescent="0.3">
      <c r="A111" s="1" t="s">
        <v>789</v>
      </c>
      <c r="B111" s="1"/>
    </row>
    <row r="112" spans="1:14" ht="58.5" customHeight="1" x14ac:dyDescent="0.3">
      <c r="A112" s="181" t="s">
        <v>57</v>
      </c>
      <c r="B112" s="2" t="s">
        <v>58</v>
      </c>
      <c r="C112" s="2" t="s">
        <v>59</v>
      </c>
      <c r="D112" s="100" t="s">
        <v>98</v>
      </c>
      <c r="E112" s="100" t="s">
        <v>99</v>
      </c>
      <c r="F112" s="100" t="s">
        <v>100</v>
      </c>
      <c r="G112" s="100" t="s">
        <v>101</v>
      </c>
      <c r="H112" s="100" t="s">
        <v>102</v>
      </c>
      <c r="I112" s="100" t="s">
        <v>112</v>
      </c>
      <c r="J112" s="100" t="s">
        <v>113</v>
      </c>
      <c r="K112" s="100" t="s">
        <v>114</v>
      </c>
      <c r="L112" s="100" t="s">
        <v>115</v>
      </c>
      <c r="M112" s="100" t="s">
        <v>116</v>
      </c>
      <c r="N112" s="100" t="s">
        <v>769</v>
      </c>
    </row>
    <row r="113" spans="1:14" x14ac:dyDescent="0.3">
      <c r="A113" s="40" t="s">
        <v>61</v>
      </c>
      <c r="B113" s="25" t="s">
        <v>62</v>
      </c>
      <c r="C113" s="22" t="s">
        <v>63</v>
      </c>
      <c r="D113" s="176">
        <f>IF((((inputs!$P$13/(inputs!E95/MAX('Max rate concentrations'!D$3:D$368)))^(1/inputs!$O$13))-1)/inputs!$N$13&lt;0, 0, IF((((inputs!$P$13/(inputs!E95/MAX('Max rate concentrations'!D$3:D$368)))^(1/inputs!$O$13))-1)/inputs!$N$13&gt;inputs!$I$17, inputs!$I$17, (((inputs!$P$13/(inputs!E95/MAX('Max rate concentrations'!D$3:D$368)))^(1/inputs!$O$13))-1)/inputs!$N$13))</f>
        <v>113.96777114441643</v>
      </c>
      <c r="E113" s="176">
        <f>IF((((inputs!$P$13/(inputs!E95/MAX('Max rate concentrations'!E$3:E$368)))^(1/inputs!$O$13))-1)/inputs!$N$13&lt;0, 0, IF((((inputs!$P$13/(inputs!E95/MAX('Max rate concentrations'!E$3:E$368)))^(1/inputs!$O$13))-1)/inputs!$N$13&gt;inputs!$I$17, inputs!$I$17, (((inputs!$P$13/(inputs!E95/MAX('Max rate concentrations'!E$3:E$368)))^(1/inputs!$O$13))-1)/inputs!$N$13))</f>
        <v>58.198501501741767</v>
      </c>
      <c r="F113" s="176">
        <f>IF((((inputs!$P$13/(inputs!E95/MAX('Max rate concentrations'!F$3:F$368)))^(1/inputs!$O$13))-1)/inputs!$N$13&lt;0, 0, IF((((inputs!$P$13/(inputs!E95/MAX('Max rate concentrations'!F$3:F$368)))^(1/inputs!$O$13))-1)/inputs!$N$13&gt;inputs!$I$17, inputs!$I$17, (((inputs!$P$13/(inputs!E95/MAX('Max rate concentrations'!F$3:F$368)))^(1/inputs!$O$13))-1)/inputs!$N$13))</f>
        <v>69.622380431096914</v>
      </c>
      <c r="G113" s="176">
        <f>IF((((inputs!$P$13/(inputs!E95/MAX('Max rate concentrations'!G$3:G$368)))^(1/inputs!$O$13))-1)/inputs!$N$13&lt;0, 0, IF((((inputs!$P$13/(inputs!E95/MAX('Max rate concentrations'!G$3:G$368)))^(1/inputs!$O$13))-1)/inputs!$N$13&gt;inputs!$I$17, inputs!$I$17, (((inputs!$P$13/(inputs!E95/MAX('Max rate concentrations'!G$3:G$368)))^(1/inputs!$O$13))-1)/inputs!$N$13))</f>
        <v>7.4352470564866744</v>
      </c>
      <c r="H113" s="176">
        <f>IF((((inputs!$P$13/(inputs!E95/MAX('Max rate concentrations'!H$3:H$368)))^(1/inputs!$O$13))-1)/inputs!$N$13&lt;0, 0, IF((((inputs!$P$13/(inputs!E95/MAX('Max rate concentrations'!H$3:H$368)))^(1/inputs!$O$13))-1)/inputs!$N$13&gt;inputs!$I$17, inputs!$I$17, (((inputs!$P$13/(inputs!E95/MAX('Max rate concentrations'!H$3:H$368)))^(1/inputs!$O$13))-1)/inputs!$N$13))</f>
        <v>50.627722453180176</v>
      </c>
      <c r="I113" s="176">
        <f>IF((((inputs!$P$13/(inputs!E95/MAX('Max rate concentrations'!I$3:I$368)))^(1/inputs!$O$13))-1)/inputs!$N$13&lt;0, 0, IF((((inputs!$P$13/(inputs!E95/MAX('Max rate concentrations'!I$3:I$368)))^(1/inputs!$O$13))-1)/inputs!$N$13&gt;inputs!$I$17, inputs!$I$17, (((inputs!$P$13/(inputs!E95/MAX('Max rate concentrations'!I$3:I$368)))^(1/inputs!$O$13))-1)/inputs!$N$13))</f>
        <v>10.073397935434963</v>
      </c>
      <c r="J113" s="176">
        <f>IF((((inputs!$P$13/(inputs!E95/MAX('Max rate concentrations'!J$3:J$368)))^(1/inputs!$O$13))-1)/inputs!$N$13&lt;0, 0, IF((((inputs!$P$13/(inputs!E95/MAX('Max rate concentrations'!J$3:J$368)))^(1/inputs!$O$13))-1)/inputs!$N$13&gt;inputs!$I$17, inputs!$I$17, (((inputs!$P$13/(inputs!E95/MAX('Max rate concentrations'!J$3:J$368)))^(1/inputs!$O$13))-1)/inputs!$N$13))</f>
        <v>109.45789746633452</v>
      </c>
      <c r="K113" s="176">
        <f>IF((((inputs!$P$13/(inputs!E95/MAX('Max rate concentrations'!K$3:K$368)))^(1/inputs!$O$13))-1)/inputs!$N$13&lt;0, 0, IF((((inputs!$P$13/(inputs!E95/MAX('Max rate concentrations'!K$3:K$368)))^(1/inputs!$O$13))-1)/inputs!$N$13&gt;inputs!$I$17, inputs!$I$17, (((inputs!$P$13/(inputs!E95/MAX('Max rate concentrations'!K$3:K$368)))^(1/inputs!$O$13))-1)/inputs!$N$13))</f>
        <v>20.860236933196283</v>
      </c>
      <c r="L113" s="176">
        <f>IF((((inputs!$P$13/(inputs!E95/MAX('Max rate concentrations'!L$3:L$368)))^(1/inputs!$O$13))-1)/inputs!$N$13&lt;0, 0, IF((((inputs!$P$13/(inputs!E95/MAX('Max rate concentrations'!L$3:L$368)))^(1/inputs!$O$13))-1)/inputs!$N$13&gt;inputs!$I$17, inputs!$I$17, (((inputs!$P$13/(inputs!E95/MAX('Max rate concentrations'!L$3:L$368)))^(1/inputs!$O$13))-1)/inputs!$N$13))</f>
        <v>61.370465182401887</v>
      </c>
      <c r="M113" s="176">
        <f>IF((((inputs!$P$13/(inputs!E95/MAX('Max rate concentrations'!M$3:M$368)))^(1/inputs!$O$13))-1)/inputs!$N$13&lt;0, 0, IF((((inputs!$P$13/(inputs!E95/MAX('Max rate concentrations'!M$3:M$368)))^(1/inputs!$O$13))-1)/inputs!$N$13&gt;inputs!$I$17, inputs!$I$17, (((inputs!$P$13/(inputs!E95/MAX('Max rate concentrations'!M$3:M$368)))^(1/inputs!$O$13))-1)/inputs!$N$13))</f>
        <v>0.5610631162403964</v>
      </c>
      <c r="N113" s="101" t="s">
        <v>13</v>
      </c>
    </row>
    <row r="114" spans="1:14" x14ac:dyDescent="0.3">
      <c r="A114" s="41"/>
      <c r="B114" s="25" t="s">
        <v>64</v>
      </c>
      <c r="C114" s="22" t="s">
        <v>65</v>
      </c>
      <c r="D114" s="176">
        <f>IF((((inputs!$P$13/(inputs!E96/MAX('Max rate concentrations'!D$3:D$368)))^(1/inputs!$O$13))-1)/inputs!$N$13&lt;0, 0, IF((((inputs!$P$13/(inputs!E96/MAX('Max rate concentrations'!D$3:D$368)))^(1/inputs!$O$13))-1)/inputs!$N$13&gt;inputs!$I$17, inputs!$I$17, (((inputs!$P$13/(inputs!E96/MAX('Max rate concentrations'!D$3:D$368)))^(1/inputs!$O$13))-1)/inputs!$N$13))</f>
        <v>7.5326812274498947</v>
      </c>
      <c r="E114" s="176">
        <f>IF((((inputs!$P$13/(inputs!E96/MAX('Max rate concentrations'!E$3:E$368)))^(1/inputs!$O$13))-1)/inputs!$N$13&lt;0, 0, IF((((inputs!$P$13/(inputs!E96/MAX('Max rate concentrations'!E$3:E$368)))^(1/inputs!$O$13))-1)/inputs!$N$13&gt;inputs!$I$17, inputs!$I$17, (((inputs!$P$13/(inputs!E96/MAX('Max rate concentrations'!E$3:E$368)))^(1/inputs!$O$13))-1)/inputs!$N$13))</f>
        <v>1.5624730211392779</v>
      </c>
      <c r="F114" s="176">
        <f>IF((((inputs!$P$13/(inputs!E96/MAX('Max rate concentrations'!F$3:F$368)))^(1/inputs!$O$13))-1)/inputs!$N$13&lt;0, 0, IF((((inputs!$P$13/(inputs!E96/MAX('Max rate concentrations'!F$3:F$368)))^(1/inputs!$O$13))-1)/inputs!$N$13&gt;inputs!$I$17, inputs!$I$17, (((inputs!$P$13/(inputs!E96/MAX('Max rate concentrations'!F$3:F$368)))^(1/inputs!$O$13))-1)/inputs!$N$13))</f>
        <v>2.7854213611287673</v>
      </c>
      <c r="G114" s="176">
        <f>IF((((inputs!$P$13/(inputs!E96/MAX('Max rate concentrations'!G$3:G$368)))^(1/inputs!$O$13))-1)/inputs!$N$13&lt;0, 0, IF((((inputs!$P$13/(inputs!E96/MAX('Max rate concentrations'!G$3:G$368)))^(1/inputs!$O$13))-1)/inputs!$N$13&gt;inputs!$I$17, inputs!$I$17, (((inputs!$P$13/(inputs!E96/MAX('Max rate concentrations'!G$3:G$368)))^(1/inputs!$O$13))-1)/inputs!$N$13))</f>
        <v>0</v>
      </c>
      <c r="H114" s="176">
        <f>IF((((inputs!$P$13/(inputs!E96/MAX('Max rate concentrations'!H$3:H$368)))^(1/inputs!$O$13))-1)/inputs!$N$13&lt;0, 0, IF((((inputs!$P$13/(inputs!E96/MAX('Max rate concentrations'!H$3:H$368)))^(1/inputs!$O$13))-1)/inputs!$N$13&gt;inputs!$I$17, inputs!$I$17, (((inputs!$P$13/(inputs!E96/MAX('Max rate concentrations'!H$3:H$368)))^(1/inputs!$O$13))-1)/inputs!$N$13))</f>
        <v>0.75200647758425176</v>
      </c>
      <c r="I114" s="176">
        <f>IF((((inputs!$P$13/(inputs!E96/MAX('Max rate concentrations'!I$3:I$368)))^(1/inputs!$O$13))-1)/inputs!$N$13&lt;0, 0, IF((((inputs!$P$13/(inputs!E96/MAX('Max rate concentrations'!I$3:I$368)))^(1/inputs!$O$13))-1)/inputs!$N$13&gt;inputs!$I$17, inputs!$I$17, (((inputs!$P$13/(inputs!E96/MAX('Max rate concentrations'!I$3:I$368)))^(1/inputs!$O$13))-1)/inputs!$N$13))</f>
        <v>0</v>
      </c>
      <c r="J114" s="176">
        <f>IF((((inputs!$P$13/(inputs!E96/MAX('Max rate concentrations'!J$3:J$368)))^(1/inputs!$O$13))-1)/inputs!$N$13&lt;0, 0, IF((((inputs!$P$13/(inputs!E96/MAX('Max rate concentrations'!J$3:J$368)))^(1/inputs!$O$13))-1)/inputs!$N$13&gt;inputs!$I$17, inputs!$I$17, (((inputs!$P$13/(inputs!E96/MAX('Max rate concentrations'!J$3:J$368)))^(1/inputs!$O$13))-1)/inputs!$N$13))</f>
        <v>7.049890525423093</v>
      </c>
      <c r="K114" s="176">
        <f>IF((((inputs!$P$13/(inputs!E96/MAX('Max rate concentrations'!K$3:K$368)))^(1/inputs!$O$13))-1)/inputs!$N$13&lt;0, 0, IF((((inputs!$P$13/(inputs!E96/MAX('Max rate concentrations'!K$3:K$368)))^(1/inputs!$O$13))-1)/inputs!$N$13&gt;inputs!$I$17, inputs!$I$17, (((inputs!$P$13/(inputs!E96/MAX('Max rate concentrations'!K$3:K$368)))^(1/inputs!$O$13))-1)/inputs!$N$13))</f>
        <v>0</v>
      </c>
      <c r="L114" s="176">
        <f>IF((((inputs!$P$13/(inputs!E96/MAX('Max rate concentrations'!L$3:L$368)))^(1/inputs!$O$13))-1)/inputs!$N$13&lt;0, 0, IF((((inputs!$P$13/(inputs!E96/MAX('Max rate concentrations'!L$3:L$368)))^(1/inputs!$O$13))-1)/inputs!$N$13&gt;inputs!$I$17, inputs!$I$17, (((inputs!$P$13/(inputs!E96/MAX('Max rate concentrations'!L$3:L$368)))^(1/inputs!$O$13))-1)/inputs!$N$13))</f>
        <v>1.9020378696253954</v>
      </c>
      <c r="M114" s="176">
        <f>IF((((inputs!$P$13/(inputs!E96/MAX('Max rate concentrations'!M$3:M$368)))^(1/inputs!$O$13))-1)/inputs!$N$13&lt;0, 0, IF((((inputs!$P$13/(inputs!E96/MAX('Max rate concentrations'!M$3:M$368)))^(1/inputs!$O$13))-1)/inputs!$N$13&gt;inputs!$I$17, inputs!$I$17, (((inputs!$P$13/(inputs!E96/MAX('Max rate concentrations'!M$3:M$368)))^(1/inputs!$O$13))-1)/inputs!$N$13))</f>
        <v>0</v>
      </c>
      <c r="N114" s="101" t="s">
        <v>13</v>
      </c>
    </row>
    <row r="115" spans="1:14" x14ac:dyDescent="0.3">
      <c r="A115" s="41"/>
      <c r="B115" s="25" t="s">
        <v>66</v>
      </c>
      <c r="C115" s="22" t="s">
        <v>80</v>
      </c>
      <c r="D115" s="176">
        <f>IF((((inputs!$P$13/(inputs!E97/MAX('Max rate concentrations'!D$3:D$368)))^(1/inputs!$O$13))-1)/inputs!$N$13&lt;0, 0, IF((((inputs!$P$13/(inputs!E97/MAX('Max rate concentrations'!D$3:D$368)))^(1/inputs!$O$13))-1)/inputs!$N$13&gt;inputs!$I$17, inputs!$I$17, (((inputs!$P$13/(inputs!E97/MAX('Max rate concentrations'!D$3:D$368)))^(1/inputs!$O$13))-1)/inputs!$N$13))</f>
        <v>0.35793757624117795</v>
      </c>
      <c r="E115" s="176">
        <f>IF((((inputs!$P$13/(inputs!E97/MAX('Max rate concentrations'!E$3:E$368)))^(1/inputs!$O$13))-1)/inputs!$N$13&lt;0, 0, IF((((inputs!$P$13/(inputs!E97/MAX('Max rate concentrations'!E$3:E$368)))^(1/inputs!$O$13))-1)/inputs!$N$13&gt;inputs!$I$17, inputs!$I$17, (((inputs!$P$13/(inputs!E97/MAX('Max rate concentrations'!E$3:E$368)))^(1/inputs!$O$13))-1)/inputs!$N$13))</f>
        <v>0</v>
      </c>
      <c r="F115" s="176">
        <f>IF((((inputs!$P$13/(inputs!E97/MAX('Max rate concentrations'!F$3:F$368)))^(1/inputs!$O$13))-1)/inputs!$N$13&lt;0, 0, IF((((inputs!$P$13/(inputs!E97/MAX('Max rate concentrations'!F$3:F$368)))^(1/inputs!$O$13))-1)/inputs!$N$13&gt;inputs!$I$17, inputs!$I$17, (((inputs!$P$13/(inputs!E97/MAX('Max rate concentrations'!F$3:F$368)))^(1/inputs!$O$13))-1)/inputs!$N$13))</f>
        <v>0</v>
      </c>
      <c r="G115" s="176">
        <f>IF((((inputs!$P$13/(inputs!E97/MAX('Max rate concentrations'!G$3:G$368)))^(1/inputs!$O$13))-1)/inputs!$N$13&lt;0, 0, IF((((inputs!$P$13/(inputs!E97/MAX('Max rate concentrations'!G$3:G$368)))^(1/inputs!$O$13))-1)/inputs!$N$13&gt;inputs!$I$17, inputs!$I$17, (((inputs!$P$13/(inputs!E97/MAX('Max rate concentrations'!G$3:G$368)))^(1/inputs!$O$13))-1)/inputs!$N$13))</f>
        <v>0</v>
      </c>
      <c r="H115" s="176">
        <f>IF((((inputs!$P$13/(inputs!E97/MAX('Max rate concentrations'!H$3:H$368)))^(1/inputs!$O$13))-1)/inputs!$N$13&lt;0, 0, IF((((inputs!$P$13/(inputs!E97/MAX('Max rate concentrations'!H$3:H$368)))^(1/inputs!$O$13))-1)/inputs!$N$13&gt;inputs!$I$17, inputs!$I$17, (((inputs!$P$13/(inputs!E97/MAX('Max rate concentrations'!H$3:H$368)))^(1/inputs!$O$13))-1)/inputs!$N$13))</f>
        <v>0</v>
      </c>
      <c r="I115" s="176">
        <f>IF((((inputs!$P$13/(inputs!E97/MAX('Max rate concentrations'!I$3:I$368)))^(1/inputs!$O$13))-1)/inputs!$N$13&lt;0, 0, IF((((inputs!$P$13/(inputs!E97/MAX('Max rate concentrations'!I$3:I$368)))^(1/inputs!$O$13))-1)/inputs!$N$13&gt;inputs!$I$17, inputs!$I$17, (((inputs!$P$13/(inputs!E97/MAX('Max rate concentrations'!I$3:I$368)))^(1/inputs!$O$13))-1)/inputs!$N$13))</f>
        <v>0</v>
      </c>
      <c r="J115" s="176">
        <f>IF((((inputs!$P$13/(inputs!E97/MAX('Max rate concentrations'!J$3:J$368)))^(1/inputs!$O$13))-1)/inputs!$N$13&lt;0, 0, IF((((inputs!$P$13/(inputs!E97/MAX('Max rate concentrations'!J$3:J$368)))^(1/inputs!$O$13))-1)/inputs!$N$13&gt;inputs!$I$17, inputs!$I$17, (((inputs!$P$13/(inputs!E97/MAX('Max rate concentrations'!J$3:J$368)))^(1/inputs!$O$13))-1)/inputs!$N$13))</f>
        <v>0.14661080624922174</v>
      </c>
      <c r="K115" s="176">
        <f>IF((((inputs!$P$13/(inputs!E97/MAX('Max rate concentrations'!K$3:K$368)))^(1/inputs!$O$13))-1)/inputs!$N$13&lt;0, 0, IF((((inputs!$P$13/(inputs!E97/MAX('Max rate concentrations'!K$3:K$368)))^(1/inputs!$O$13))-1)/inputs!$N$13&gt;inputs!$I$17, inputs!$I$17, (((inputs!$P$13/(inputs!E97/MAX('Max rate concentrations'!K$3:K$368)))^(1/inputs!$O$13))-1)/inputs!$N$13))</f>
        <v>0</v>
      </c>
      <c r="L115" s="176">
        <f>IF((((inputs!$P$13/(inputs!E97/MAX('Max rate concentrations'!L$3:L$368)))^(1/inputs!$O$13))-1)/inputs!$N$13&lt;0, 0, IF((((inputs!$P$13/(inputs!E97/MAX('Max rate concentrations'!L$3:L$368)))^(1/inputs!$O$13))-1)/inputs!$N$13&gt;inputs!$I$17, inputs!$I$17, (((inputs!$P$13/(inputs!E97/MAX('Max rate concentrations'!L$3:L$368)))^(1/inputs!$O$13))-1)/inputs!$N$13))</f>
        <v>0</v>
      </c>
      <c r="M115" s="176">
        <f>IF((((inputs!$P$13/(inputs!E97/MAX('Max rate concentrations'!M$3:M$368)))^(1/inputs!$O$13))-1)/inputs!$N$13&lt;0, 0, IF((((inputs!$P$13/(inputs!E97/MAX('Max rate concentrations'!M$3:M$368)))^(1/inputs!$O$13))-1)/inputs!$N$13&gt;inputs!$I$17, inputs!$I$17, (((inputs!$P$13/(inputs!E97/MAX('Max rate concentrations'!M$3:M$368)))^(1/inputs!$O$13))-1)/inputs!$N$13))</f>
        <v>0</v>
      </c>
      <c r="N115" s="101" t="s">
        <v>13</v>
      </c>
    </row>
    <row r="116" spans="1:14" x14ac:dyDescent="0.3">
      <c r="A116" s="41"/>
      <c r="B116" s="25" t="s">
        <v>62</v>
      </c>
      <c r="C116" s="22" t="s">
        <v>71</v>
      </c>
      <c r="D116" s="176">
        <f>IF((((inputs!$P$13/(inputs!E98/MAX('Max rate concentrations'!D$3:D$368)))^(1/inputs!$O$13))-1)/inputs!$N$13&lt;0, 0, IF((((inputs!$P$13/(inputs!E98/MAX('Max rate concentrations'!D$3:D$368)))^(1/inputs!$O$13))-1)/inputs!$N$13&gt;inputs!$I$17, inputs!$I$17, (((inputs!$P$13/(inputs!E98/MAX('Max rate concentrations'!D$3:D$368)))^(1/inputs!$O$13))-1)/inputs!$N$13))</f>
        <v>563.98336229330027</v>
      </c>
      <c r="E116" s="176">
        <f>IF((((inputs!$P$13/(inputs!E98/MAX('Max rate concentrations'!E$3:E$368)))^(1/inputs!$O$13))-1)/inputs!$N$13&lt;0, 0, IF((((inputs!$P$13/(inputs!E98/MAX('Max rate concentrations'!E$3:E$368)))^(1/inputs!$O$13))-1)/inputs!$N$13&gt;inputs!$I$17, inputs!$I$17, (((inputs!$P$13/(inputs!E98/MAX('Max rate concentrations'!E$3:E$368)))^(1/inputs!$O$13))-1)/inputs!$N$13))</f>
        <v>297.65990334681595</v>
      </c>
      <c r="F116" s="176">
        <f>IF((((inputs!$P$13/(inputs!E98/MAX('Max rate concentrations'!F$3:F$368)))^(1/inputs!$O$13))-1)/inputs!$N$13&lt;0, 0, IF((((inputs!$P$13/(inputs!E98/MAX('Max rate concentrations'!F$3:F$368)))^(1/inputs!$O$13))-1)/inputs!$N$13&gt;inputs!$I$17, inputs!$I$17, (((inputs!$P$13/(inputs!E98/MAX('Max rate concentrations'!F$3:F$368)))^(1/inputs!$O$13))-1)/inputs!$N$13))</f>
        <v>352.21408651158254</v>
      </c>
      <c r="G116" s="176">
        <f>IF((((inputs!$P$13/(inputs!E98/MAX('Max rate concentrations'!G$3:G$368)))^(1/inputs!$O$13))-1)/inputs!$N$13&lt;0, 0, IF((((inputs!$P$13/(inputs!E98/MAX('Max rate concentrations'!G$3:G$368)))^(1/inputs!$O$13))-1)/inputs!$N$13&gt;inputs!$I$17, inputs!$I$17, (((inputs!$P$13/(inputs!E98/MAX('Max rate concentrations'!G$3:G$368)))^(1/inputs!$O$13))-1)/inputs!$N$13))</f>
        <v>55.242428671914951</v>
      </c>
      <c r="H116" s="176">
        <f>IF((((inputs!$P$13/(inputs!E98/MAX('Max rate concentrations'!H$3:H$368)))^(1/inputs!$O$13))-1)/inputs!$N$13&lt;0, 0, IF((((inputs!$P$13/(inputs!E98/MAX('Max rate concentrations'!H$3:H$368)))^(1/inputs!$O$13))-1)/inputs!$N$13&gt;inputs!$I$17, inputs!$I$17, (((inputs!$P$13/(inputs!E98/MAX('Max rate concentrations'!H$3:H$368)))^(1/inputs!$O$13))-1)/inputs!$N$13))</f>
        <v>261.50601293277265</v>
      </c>
      <c r="I116" s="176">
        <f>IF((((inputs!$P$13/(inputs!E98/MAX('Max rate concentrations'!I$3:I$368)))^(1/inputs!$O$13))-1)/inputs!$N$13&lt;0, 0, IF((((inputs!$P$13/(inputs!E98/MAX('Max rate concentrations'!I$3:I$368)))^(1/inputs!$O$13))-1)/inputs!$N$13&gt;inputs!$I$17, inputs!$I$17, (((inputs!$P$13/(inputs!E98/MAX('Max rate concentrations'!I$3:I$368)))^(1/inputs!$O$13))-1)/inputs!$N$13))</f>
        <v>67.840791028207747</v>
      </c>
      <c r="J116" s="176">
        <f>IF((((inputs!$P$13/(inputs!E98/MAX('Max rate concentrations'!J$3:J$368)))^(1/inputs!$O$13))-1)/inputs!$N$13&lt;0, 0, IF((((inputs!$P$13/(inputs!E98/MAX('Max rate concentrations'!J$3:J$368)))^(1/inputs!$O$13))-1)/inputs!$N$13&gt;inputs!$I$17, inputs!$I$17, (((inputs!$P$13/(inputs!E98/MAX('Max rate concentrations'!J$3:J$368)))^(1/inputs!$O$13))-1)/inputs!$N$13))</f>
        <v>542.44667793192912</v>
      </c>
      <c r="K116" s="176">
        <f>IF((((inputs!$P$13/(inputs!E98/MAX('Max rate concentrations'!K$3:K$368)))^(1/inputs!$O$13))-1)/inputs!$N$13&lt;0, 0, IF((((inputs!$P$13/(inputs!E98/MAX('Max rate concentrations'!K$3:K$368)))^(1/inputs!$O$13))-1)/inputs!$N$13&gt;inputs!$I$17, inputs!$I$17, (((inputs!$P$13/(inputs!E98/MAX('Max rate concentrations'!K$3:K$368)))^(1/inputs!$O$13))-1)/inputs!$N$13))</f>
        <v>119.35282070672373</v>
      </c>
      <c r="L116" s="176">
        <f>IF((((inputs!$P$13/(inputs!E98/MAX('Max rate concentrations'!L$3:L$368)))^(1/inputs!$O$13))-1)/inputs!$N$13&lt;0, 0, IF((((inputs!$P$13/(inputs!E98/MAX('Max rate concentrations'!L$3:L$368)))^(1/inputs!$O$13))-1)/inputs!$N$13&gt;inputs!$I$17, inputs!$I$17, (((inputs!$P$13/(inputs!E98/MAX('Max rate concentrations'!L$3:L$368)))^(1/inputs!$O$13))-1)/inputs!$N$13))</f>
        <v>312.80746300643926</v>
      </c>
      <c r="M116" s="176">
        <f>IF((((inputs!$P$13/(inputs!E98/MAX('Max rate concentrations'!M$3:M$368)))^(1/inputs!$O$13))-1)/inputs!$N$13&lt;0, 0, IF((((inputs!$P$13/(inputs!E98/MAX('Max rate concentrations'!M$3:M$368)))^(1/inputs!$O$13))-1)/inputs!$N$13&gt;inputs!$I$17, inputs!$I$17, (((inputs!$P$13/(inputs!E98/MAX('Max rate concentrations'!M$3:M$368)))^(1/inputs!$O$13))-1)/inputs!$N$13))</f>
        <v>22.415094619832185</v>
      </c>
      <c r="N116" s="101" t="s">
        <v>13</v>
      </c>
    </row>
    <row r="117" spans="1:14" x14ac:dyDescent="0.3">
      <c r="A117" s="41"/>
      <c r="B117" s="180" t="s">
        <v>62</v>
      </c>
      <c r="C117" s="61" t="s">
        <v>81</v>
      </c>
      <c r="D117" s="176" t="e">
        <f>IF((((inputs!$P$13/(inputs!E99/MAX('Max rate concentrations'!D$3:D$368)))^(1/inputs!$O$13))-1)/inputs!$N$13&lt;0, 0, IF((((inputs!$P$13/(inputs!E99/MAX('Max rate concentrations'!D$3:D$368)))^(1/inputs!$O$13))-1)/inputs!$N$13&gt;inputs!$I$17, inputs!$I$17, (((inputs!$P$13/(inputs!E99/MAX('Max rate concentrations'!D$3:D$368)))^(1/inputs!$O$13))-1)/inputs!$N$13))</f>
        <v>#VALUE!</v>
      </c>
      <c r="E117" s="176" t="e">
        <f>IF((((inputs!$P$13/(inputs!E99/MAX('Max rate concentrations'!E$3:E$368)))^(1/inputs!$O$13))-1)/inputs!$N$13&lt;0, 0, IF((((inputs!$P$13/(inputs!E99/MAX('Max rate concentrations'!E$3:E$368)))^(1/inputs!$O$13))-1)/inputs!$N$13&gt;inputs!$I$17, inputs!$I$17, (((inputs!$P$13/(inputs!E99/MAX('Max rate concentrations'!E$3:E$368)))^(1/inputs!$O$13))-1)/inputs!$N$13))</f>
        <v>#VALUE!</v>
      </c>
      <c r="F117" s="176" t="e">
        <f>IF((((inputs!$P$13/(inputs!E99/MAX('Max rate concentrations'!F$3:F$368)))^(1/inputs!$O$13))-1)/inputs!$N$13&lt;0, 0, IF((((inputs!$P$13/(inputs!E99/MAX('Max rate concentrations'!F$3:F$368)))^(1/inputs!$O$13))-1)/inputs!$N$13&gt;inputs!$I$17, inputs!$I$17, (((inputs!$P$13/(inputs!E99/MAX('Max rate concentrations'!F$3:F$368)))^(1/inputs!$O$13))-1)/inputs!$N$13))</f>
        <v>#VALUE!</v>
      </c>
      <c r="G117" s="176" t="e">
        <f>IF((((inputs!$P$13/(inputs!E99/MAX('Max rate concentrations'!G$3:G$368)))^(1/inputs!$O$13))-1)/inputs!$N$13&lt;0, 0, IF((((inputs!$P$13/(inputs!E99/MAX('Max rate concentrations'!G$3:G$368)))^(1/inputs!$O$13))-1)/inputs!$N$13&gt;inputs!$I$17, inputs!$I$17, (((inputs!$P$13/(inputs!E99/MAX('Max rate concentrations'!G$3:G$368)))^(1/inputs!$O$13))-1)/inputs!$N$13))</f>
        <v>#VALUE!</v>
      </c>
      <c r="H117" s="176" t="e">
        <f>IF((((inputs!$P$13/(inputs!E99/MAX('Max rate concentrations'!H$3:H$368)))^(1/inputs!$O$13))-1)/inputs!$N$13&lt;0, 0, IF((((inputs!$P$13/(inputs!E99/MAX('Max rate concentrations'!H$3:H$368)))^(1/inputs!$O$13))-1)/inputs!$N$13&gt;inputs!$I$17, inputs!$I$17, (((inputs!$P$13/(inputs!E99/MAX('Max rate concentrations'!H$3:H$368)))^(1/inputs!$O$13))-1)/inputs!$N$13))</f>
        <v>#VALUE!</v>
      </c>
      <c r="I117" s="176" t="e">
        <f>IF((((inputs!$P$13/(inputs!E99/MAX('Max rate concentrations'!I$3:I$368)))^(1/inputs!$O$13))-1)/inputs!$N$13&lt;0, 0, IF((((inputs!$P$13/(inputs!E99/MAX('Max rate concentrations'!I$3:I$368)))^(1/inputs!$O$13))-1)/inputs!$N$13&gt;inputs!$I$17, inputs!$I$17, (((inputs!$P$13/(inputs!E99/MAX('Max rate concentrations'!I$3:I$368)))^(1/inputs!$O$13))-1)/inputs!$N$13))</f>
        <v>#VALUE!</v>
      </c>
      <c r="J117" s="176" t="e">
        <f>IF((((inputs!$P$13/(inputs!E99/MAX('Max rate concentrations'!J$3:J$368)))^(1/inputs!$O$13))-1)/inputs!$N$13&lt;0, 0, IF((((inputs!$P$13/(inputs!E99/MAX('Max rate concentrations'!J$3:J$368)))^(1/inputs!$O$13))-1)/inputs!$N$13&gt;inputs!$I$17, inputs!$I$17, (((inputs!$P$13/(inputs!E99/MAX('Max rate concentrations'!J$3:J$368)))^(1/inputs!$O$13))-1)/inputs!$N$13))</f>
        <v>#VALUE!</v>
      </c>
      <c r="K117" s="176" t="e">
        <f>IF((((inputs!$P$13/(inputs!E99/MAX('Max rate concentrations'!K$3:K$368)))^(1/inputs!$O$13))-1)/inputs!$N$13&lt;0, 0, IF((((inputs!$P$13/(inputs!E99/MAX('Max rate concentrations'!K$3:K$368)))^(1/inputs!$O$13))-1)/inputs!$N$13&gt;inputs!$I$17, inputs!$I$17, (((inputs!$P$13/(inputs!E99/MAX('Max rate concentrations'!K$3:K$368)))^(1/inputs!$O$13))-1)/inputs!$N$13))</f>
        <v>#VALUE!</v>
      </c>
      <c r="L117" s="176" t="e">
        <f>IF((((inputs!$P$13/(inputs!E99/MAX('Max rate concentrations'!L$3:L$368)))^(1/inputs!$O$13))-1)/inputs!$N$13&lt;0, 0, IF((((inputs!$P$13/(inputs!E99/MAX('Max rate concentrations'!L$3:L$368)))^(1/inputs!$O$13))-1)/inputs!$N$13&gt;inputs!$I$17, inputs!$I$17, (((inputs!$P$13/(inputs!E99/MAX('Max rate concentrations'!L$3:L$368)))^(1/inputs!$O$13))-1)/inputs!$N$13))</f>
        <v>#VALUE!</v>
      </c>
      <c r="M117" s="176" t="e">
        <f>IF((((inputs!$P$13/(inputs!E99/MAX('Max rate concentrations'!M$3:M$368)))^(1/inputs!$O$13))-1)/inputs!$N$13&lt;0, 0, IF((((inputs!$P$13/(inputs!E99/MAX('Max rate concentrations'!M$3:M$368)))^(1/inputs!$O$13))-1)/inputs!$N$13&gt;inputs!$I$17, inputs!$I$17, (((inputs!$P$13/(inputs!E99/MAX('Max rate concentrations'!M$3:M$368)))^(1/inputs!$O$13))-1)/inputs!$N$13))</f>
        <v>#VALUE!</v>
      </c>
      <c r="N117" s="101" t="s">
        <v>13</v>
      </c>
    </row>
    <row r="118" spans="1:14" x14ac:dyDescent="0.3">
      <c r="A118" s="41"/>
      <c r="B118" s="180" t="s">
        <v>62</v>
      </c>
      <c r="C118" s="61" t="s">
        <v>82</v>
      </c>
      <c r="D118" s="176">
        <f>IF((((inputs!$P$13/(inputs!E100/MAX('Max rate concentrations'!D$3:D$368)))^(1/inputs!$O$13))-1)/inputs!$N$13&lt;0, 0, IF((((inputs!$P$13/(inputs!E100/MAX('Max rate concentrations'!D$3:D$368)))^(1/inputs!$O$13))-1)/inputs!$N$13&gt;inputs!$I$17, inputs!$I$17, (((inputs!$P$13/(inputs!E100/MAX('Max rate concentrations'!D$3:D$368)))^(1/inputs!$O$13))-1)/inputs!$N$13))</f>
        <v>374.03360128772914</v>
      </c>
      <c r="E118" s="176">
        <f>IF((((inputs!$P$13/(inputs!E100/MAX('Max rate concentrations'!E$3:E$368)))^(1/inputs!$O$13))-1)/inputs!$N$13&lt;0, 0, IF((((inputs!$P$13/(inputs!E100/MAX('Max rate concentrations'!E$3:E$368)))^(1/inputs!$O$13))-1)/inputs!$N$13&gt;inputs!$I$17, inputs!$I$17, (((inputs!$P$13/(inputs!E100/MAX('Max rate concentrations'!E$3:E$368)))^(1/inputs!$O$13))-1)/inputs!$N$13))</f>
        <v>196.58421409256911</v>
      </c>
      <c r="F118" s="176">
        <f>IF((((inputs!$P$13/(inputs!E100/MAX('Max rate concentrations'!F$3:F$368)))^(1/inputs!$O$13))-1)/inputs!$N$13&lt;0, 0, IF((((inputs!$P$13/(inputs!E100/MAX('Max rate concentrations'!F$3:F$368)))^(1/inputs!$O$13))-1)/inputs!$N$13&gt;inputs!$I$17, inputs!$I$17, (((inputs!$P$13/(inputs!E100/MAX('Max rate concentrations'!F$3:F$368)))^(1/inputs!$O$13))-1)/inputs!$N$13))</f>
        <v>232.93327027340513</v>
      </c>
      <c r="G118" s="176">
        <f>IF((((inputs!$P$13/(inputs!E100/MAX('Max rate concentrations'!G$3:G$368)))^(1/inputs!$O$13))-1)/inputs!$N$13&lt;0, 0, IF((((inputs!$P$13/(inputs!E100/MAX('Max rate concentrations'!G$3:G$368)))^(1/inputs!$O$13))-1)/inputs!$N$13&gt;inputs!$I$17, inputs!$I$17, (((inputs!$P$13/(inputs!E100/MAX('Max rate concentrations'!G$3:G$368)))^(1/inputs!$O$13))-1)/inputs!$N$13))</f>
        <v>35.063210660785714</v>
      </c>
      <c r="H118" s="176">
        <f>IF((((inputs!$P$13/(inputs!E100/MAX('Max rate concentrations'!H$3:H$368)))^(1/inputs!$O$13))-1)/inputs!$N$13&lt;0, 0, IF((((inputs!$P$13/(inputs!E100/MAX('Max rate concentrations'!H$3:H$368)))^(1/inputs!$O$13))-1)/inputs!$N$13&gt;inputs!$I$17, inputs!$I$17, (((inputs!$P$13/(inputs!E100/MAX('Max rate concentrations'!H$3:H$368)))^(1/inputs!$O$13))-1)/inputs!$N$13))</f>
        <v>172.49513938592773</v>
      </c>
      <c r="I118" s="176">
        <f>IF((((inputs!$P$13/(inputs!E100/MAX('Max rate concentrations'!I$3:I$368)))^(1/inputs!$O$13))-1)/inputs!$N$13&lt;0, 0, IF((((inputs!$P$13/(inputs!E100/MAX('Max rate concentrations'!I$3:I$368)))^(1/inputs!$O$13))-1)/inputs!$N$13&gt;inputs!$I$17, inputs!$I$17, (((inputs!$P$13/(inputs!E100/MAX('Max rate concentrations'!I$3:I$368)))^(1/inputs!$O$13))-1)/inputs!$N$13))</f>
        <v>43.457408035024365</v>
      </c>
      <c r="J118" s="176">
        <f>IF((((inputs!$P$13/(inputs!E100/MAX('Max rate concentrations'!J$3:J$368)))^(1/inputs!$O$13))-1)/inputs!$N$13&lt;0, 0, IF((((inputs!$P$13/(inputs!E100/MAX('Max rate concentrations'!J$3:J$368)))^(1/inputs!$O$13))-1)/inputs!$N$13&gt;inputs!$I$17, inputs!$I$17, (((inputs!$P$13/(inputs!E100/MAX('Max rate concentrations'!J$3:J$368)))^(1/inputs!$O$13))-1)/inputs!$N$13))</f>
        <v>359.6838648534752</v>
      </c>
      <c r="K118" s="176">
        <f>IF((((inputs!$P$13/(inputs!E100/MAX('Max rate concentrations'!K$3:K$368)))^(1/inputs!$O$13))-1)/inputs!$N$13&lt;0, 0, IF((((inputs!$P$13/(inputs!E100/MAX('Max rate concentrations'!K$3:K$368)))^(1/inputs!$O$13))-1)/inputs!$N$13&gt;inputs!$I$17, inputs!$I$17, (((inputs!$P$13/(inputs!E100/MAX('Max rate concentrations'!K$3:K$368)))^(1/inputs!$O$13))-1)/inputs!$N$13))</f>
        <v>77.77949943392116</v>
      </c>
      <c r="L118" s="176">
        <f>IF((((inputs!$P$13/(inputs!E100/MAX('Max rate concentrations'!L$3:L$368)))^(1/inputs!$O$13))-1)/inputs!$N$13&lt;0, 0, IF((((inputs!$P$13/(inputs!E100/MAX('Max rate concentrations'!L$3:L$368)))^(1/inputs!$O$13))-1)/inputs!$N$13&gt;inputs!$I$17, inputs!$I$17, (((inputs!$P$13/(inputs!E100/MAX('Max rate concentrations'!L$3:L$368)))^(1/inputs!$O$13))-1)/inputs!$N$13))</f>
        <v>206.67692312291535</v>
      </c>
      <c r="M118" s="176">
        <f>IF((((inputs!$P$13/(inputs!E100/MAX('Max rate concentrations'!M$3:M$368)))^(1/inputs!$O$13))-1)/inputs!$N$13&lt;0, 0, IF((((inputs!$P$13/(inputs!E100/MAX('Max rate concentrations'!M$3:M$368)))^(1/inputs!$O$13))-1)/inputs!$N$13&gt;inputs!$I$17, inputs!$I$17, (((inputs!$P$13/(inputs!E100/MAX('Max rate concentrations'!M$3:M$368)))^(1/inputs!$O$13))-1)/inputs!$N$13))</f>
        <v>13.190596307412385</v>
      </c>
      <c r="N118" s="101" t="s">
        <v>13</v>
      </c>
    </row>
    <row r="119" spans="1:14" x14ac:dyDescent="0.3">
      <c r="A119" s="41"/>
      <c r="B119" s="180" t="s">
        <v>62</v>
      </c>
      <c r="C119" s="61" t="s">
        <v>83</v>
      </c>
      <c r="D119" s="176" t="e">
        <f>IF((((inputs!$P$13/(inputs!E101/MAX('Max rate concentrations'!D$3:D$368)))^(1/inputs!$O$13))-1)/inputs!$N$13&lt;0, 0, IF((((inputs!$P$13/(inputs!E101/MAX('Max rate concentrations'!D$3:D$368)))^(1/inputs!$O$13))-1)/inputs!$N$13&gt;inputs!$I$17, inputs!$I$17, (((inputs!$P$13/(inputs!E101/MAX('Max rate concentrations'!D$3:D$368)))^(1/inputs!$O$13))-1)/inputs!$N$13))</f>
        <v>#VALUE!</v>
      </c>
      <c r="E119" s="176" t="e">
        <f>IF((((inputs!$P$13/(inputs!E101/MAX('Max rate concentrations'!E$3:E$368)))^(1/inputs!$O$13))-1)/inputs!$N$13&lt;0, 0, IF((((inputs!$P$13/(inputs!E101/MAX('Max rate concentrations'!E$3:E$368)))^(1/inputs!$O$13))-1)/inputs!$N$13&gt;inputs!$I$17, inputs!$I$17, (((inputs!$P$13/(inputs!E101/MAX('Max rate concentrations'!E$3:E$368)))^(1/inputs!$O$13))-1)/inputs!$N$13))</f>
        <v>#VALUE!</v>
      </c>
      <c r="F119" s="176" t="e">
        <f>IF((((inputs!$P$13/(inputs!E101/MAX('Max rate concentrations'!F$3:F$368)))^(1/inputs!$O$13))-1)/inputs!$N$13&lt;0, 0, IF((((inputs!$P$13/(inputs!E101/MAX('Max rate concentrations'!F$3:F$368)))^(1/inputs!$O$13))-1)/inputs!$N$13&gt;inputs!$I$17, inputs!$I$17, (((inputs!$P$13/(inputs!E101/MAX('Max rate concentrations'!F$3:F$368)))^(1/inputs!$O$13))-1)/inputs!$N$13))</f>
        <v>#VALUE!</v>
      </c>
      <c r="G119" s="176" t="e">
        <f>IF((((inputs!$P$13/(inputs!E101/MAX('Max rate concentrations'!G$3:G$368)))^(1/inputs!$O$13))-1)/inputs!$N$13&lt;0, 0, IF((((inputs!$P$13/(inputs!E101/MAX('Max rate concentrations'!G$3:G$368)))^(1/inputs!$O$13))-1)/inputs!$N$13&gt;inputs!$I$17, inputs!$I$17, (((inputs!$P$13/(inputs!E101/MAX('Max rate concentrations'!G$3:G$368)))^(1/inputs!$O$13))-1)/inputs!$N$13))</f>
        <v>#VALUE!</v>
      </c>
      <c r="H119" s="176" t="e">
        <f>IF((((inputs!$P$13/(inputs!E101/MAX('Max rate concentrations'!H$3:H$368)))^(1/inputs!$O$13))-1)/inputs!$N$13&lt;0, 0, IF((((inputs!$P$13/(inputs!E101/MAX('Max rate concentrations'!H$3:H$368)))^(1/inputs!$O$13))-1)/inputs!$N$13&gt;inputs!$I$17, inputs!$I$17, (((inputs!$P$13/(inputs!E101/MAX('Max rate concentrations'!H$3:H$368)))^(1/inputs!$O$13))-1)/inputs!$N$13))</f>
        <v>#VALUE!</v>
      </c>
      <c r="I119" s="176" t="e">
        <f>IF((((inputs!$P$13/(inputs!E101/MAX('Max rate concentrations'!I$3:I$368)))^(1/inputs!$O$13))-1)/inputs!$N$13&lt;0, 0, IF((((inputs!$P$13/(inputs!E101/MAX('Max rate concentrations'!I$3:I$368)))^(1/inputs!$O$13))-1)/inputs!$N$13&gt;inputs!$I$17, inputs!$I$17, (((inputs!$P$13/(inputs!E101/MAX('Max rate concentrations'!I$3:I$368)))^(1/inputs!$O$13))-1)/inputs!$N$13))</f>
        <v>#VALUE!</v>
      </c>
      <c r="J119" s="176" t="e">
        <f>IF((((inputs!$P$13/(inputs!E101/MAX('Max rate concentrations'!J$3:J$368)))^(1/inputs!$O$13))-1)/inputs!$N$13&lt;0, 0, IF((((inputs!$P$13/(inputs!E101/MAX('Max rate concentrations'!J$3:J$368)))^(1/inputs!$O$13))-1)/inputs!$N$13&gt;inputs!$I$17, inputs!$I$17, (((inputs!$P$13/(inputs!E101/MAX('Max rate concentrations'!J$3:J$368)))^(1/inputs!$O$13))-1)/inputs!$N$13))</f>
        <v>#VALUE!</v>
      </c>
      <c r="K119" s="176" t="e">
        <f>IF((((inputs!$P$13/(inputs!E101/MAX('Max rate concentrations'!K$3:K$368)))^(1/inputs!$O$13))-1)/inputs!$N$13&lt;0, 0, IF((((inputs!$P$13/(inputs!E101/MAX('Max rate concentrations'!K$3:K$368)))^(1/inputs!$O$13))-1)/inputs!$N$13&gt;inputs!$I$17, inputs!$I$17, (((inputs!$P$13/(inputs!E101/MAX('Max rate concentrations'!K$3:K$368)))^(1/inputs!$O$13))-1)/inputs!$N$13))</f>
        <v>#VALUE!</v>
      </c>
      <c r="L119" s="176" t="e">
        <f>IF((((inputs!$P$13/(inputs!E101/MAX('Max rate concentrations'!L$3:L$368)))^(1/inputs!$O$13))-1)/inputs!$N$13&lt;0, 0, IF((((inputs!$P$13/(inputs!E101/MAX('Max rate concentrations'!L$3:L$368)))^(1/inputs!$O$13))-1)/inputs!$N$13&gt;inputs!$I$17, inputs!$I$17, (((inputs!$P$13/(inputs!E101/MAX('Max rate concentrations'!L$3:L$368)))^(1/inputs!$O$13))-1)/inputs!$N$13))</f>
        <v>#VALUE!</v>
      </c>
      <c r="M119" s="176" t="e">
        <f>IF((((inputs!$P$13/(inputs!E101/MAX('Max rate concentrations'!M$3:M$368)))^(1/inputs!$O$13))-1)/inputs!$N$13&lt;0, 0, IF((((inputs!$P$13/(inputs!E101/MAX('Max rate concentrations'!M$3:M$368)))^(1/inputs!$O$13))-1)/inputs!$N$13&gt;inputs!$I$17, inputs!$I$17, (((inputs!$P$13/(inputs!E101/MAX('Max rate concentrations'!M$3:M$368)))^(1/inputs!$O$13))-1)/inputs!$N$13))</f>
        <v>#VALUE!</v>
      </c>
      <c r="N119" s="101" t="s">
        <v>13</v>
      </c>
    </row>
    <row r="120" spans="1:14" x14ac:dyDescent="0.3">
      <c r="A120" s="41"/>
      <c r="B120" s="180" t="s">
        <v>62</v>
      </c>
      <c r="C120" s="61" t="s">
        <v>84</v>
      </c>
      <c r="D120" s="176">
        <f>IF((((inputs!$P$13/(inputs!E102/MAX('Max rate concentrations'!D$3:D$368)))^(1/inputs!$O$13))-1)/inputs!$N$13&lt;0, 0, IF((((inputs!$P$13/(inputs!E102/MAX('Max rate concentrations'!D$3:D$368)))^(1/inputs!$O$13))-1)/inputs!$N$13&gt;inputs!$I$17, inputs!$I$17, (((inputs!$P$13/(inputs!E102/MAX('Max rate concentrations'!D$3:D$368)))^(1/inputs!$O$13))-1)/inputs!$N$13))</f>
        <v>131.65151479497257</v>
      </c>
      <c r="E120" s="176">
        <f>IF((((inputs!$P$13/(inputs!E102/MAX('Max rate concentrations'!E$3:E$368)))^(1/inputs!$O$13))-1)/inputs!$N$13&lt;0, 0, IF((((inputs!$P$13/(inputs!E102/MAX('Max rate concentrations'!E$3:E$368)))^(1/inputs!$O$13))-1)/inputs!$N$13&gt;inputs!$I$17, inputs!$I$17, (((inputs!$P$13/(inputs!E102/MAX('Max rate concentrations'!E$3:E$368)))^(1/inputs!$O$13))-1)/inputs!$N$13))</f>
        <v>67.608340022270113</v>
      </c>
      <c r="F120" s="176">
        <f>IF((((inputs!$P$13/(inputs!E102/MAX('Max rate concentrations'!F$3:F$368)))^(1/inputs!$O$13))-1)/inputs!$N$13&lt;0, 0, IF((((inputs!$P$13/(inputs!E102/MAX('Max rate concentrations'!F$3:F$368)))^(1/inputs!$O$13))-1)/inputs!$N$13&gt;inputs!$I$17, inputs!$I$17, (((inputs!$P$13/(inputs!E102/MAX('Max rate concentrations'!F$3:F$368)))^(1/inputs!$O$13))-1)/inputs!$N$13))</f>
        <v>80.727060771932713</v>
      </c>
      <c r="G120" s="176">
        <f>IF((((inputs!$P$13/(inputs!E102/MAX('Max rate concentrations'!G$3:G$368)))^(1/inputs!$O$13))-1)/inputs!$N$13&lt;0, 0, IF((((inputs!$P$13/(inputs!E102/MAX('Max rate concentrations'!G$3:G$368)))^(1/inputs!$O$13))-1)/inputs!$N$13&gt;inputs!$I$17, inputs!$I$17, (((inputs!$P$13/(inputs!E102/MAX('Max rate concentrations'!G$3:G$368)))^(1/inputs!$O$13))-1)/inputs!$N$13))</f>
        <v>9.3138707330230659</v>
      </c>
      <c r="H120" s="176">
        <f>IF((((inputs!$P$13/(inputs!E102/MAX('Max rate concentrations'!H$3:H$368)))^(1/inputs!$O$13))-1)/inputs!$N$13&lt;0, 0, IF((((inputs!$P$13/(inputs!E102/MAX('Max rate concentrations'!H$3:H$368)))^(1/inputs!$O$13))-1)/inputs!$N$13&gt;inputs!$I$17, inputs!$I$17, (((inputs!$P$13/(inputs!E102/MAX('Max rate concentrations'!H$3:H$368)))^(1/inputs!$O$13))-1)/inputs!$N$13))</f>
        <v>58.914363413303889</v>
      </c>
      <c r="I120" s="176">
        <f>IF((((inputs!$P$13/(inputs!E102/MAX('Max rate concentrations'!I$3:I$368)))^(1/inputs!$O$13))-1)/inputs!$N$13&lt;0, 0, IF((((inputs!$P$13/(inputs!E102/MAX('Max rate concentrations'!I$3:I$368)))^(1/inputs!$O$13))-1)/inputs!$N$13&gt;inputs!$I$17, inputs!$I$17, (((inputs!$P$13/(inputs!E102/MAX('Max rate concentrations'!I$3:I$368)))^(1/inputs!$O$13))-1)/inputs!$N$13))</f>
        <v>12.343416554579937</v>
      </c>
      <c r="J120" s="176">
        <f>IF((((inputs!$P$13/(inputs!E102/MAX('Max rate concentrations'!J$3:J$368)))^(1/inputs!$O$13))-1)/inputs!$N$13&lt;0, 0, IF((((inputs!$P$13/(inputs!E102/MAX('Max rate concentrations'!J$3:J$368)))^(1/inputs!$O$13))-1)/inputs!$N$13&gt;inputs!$I$17, inputs!$I$17, (((inputs!$P$13/(inputs!E102/MAX('Max rate concentrations'!J$3:J$368)))^(1/inputs!$O$13))-1)/inputs!$N$13))</f>
        <v>126.47255817569491</v>
      </c>
      <c r="K120" s="176">
        <f>IF((((inputs!$P$13/(inputs!E102/MAX('Max rate concentrations'!K$3:K$368)))^(1/inputs!$O$13))-1)/inputs!$N$13&lt;0, 0, IF((((inputs!$P$13/(inputs!E102/MAX('Max rate concentrations'!K$3:K$368)))^(1/inputs!$O$13))-1)/inputs!$N$13&gt;inputs!$I$17, inputs!$I$17, (((inputs!$P$13/(inputs!E102/MAX('Max rate concentrations'!K$3:K$368)))^(1/inputs!$O$13))-1)/inputs!$N$13))</f>
        <v>24.730586399279002</v>
      </c>
      <c r="L120" s="176">
        <f>IF((((inputs!$P$13/(inputs!E102/MAX('Max rate concentrations'!L$3:L$368)))^(1/inputs!$O$13))-1)/inputs!$N$13&lt;0, 0, IF((((inputs!$P$13/(inputs!E102/MAX('Max rate concentrations'!L$3:L$368)))^(1/inputs!$O$13))-1)/inputs!$N$13&gt;inputs!$I$17, inputs!$I$17, (((inputs!$P$13/(inputs!E102/MAX('Max rate concentrations'!L$3:L$368)))^(1/inputs!$O$13))-1)/inputs!$N$13))</f>
        <v>71.250894885813352</v>
      </c>
      <c r="M120" s="176">
        <f>IF((((inputs!$P$13/(inputs!E102/MAX('Max rate concentrations'!M$3:M$368)))^(1/inputs!$O$13))-1)/inputs!$N$13&lt;0, 0, IF((((inputs!$P$13/(inputs!E102/MAX('Max rate concentrations'!M$3:M$368)))^(1/inputs!$O$13))-1)/inputs!$N$13&gt;inputs!$I$17, inputs!$I$17, (((inputs!$P$13/(inputs!E102/MAX('Max rate concentrations'!M$3:M$368)))^(1/inputs!$O$13))-1)/inputs!$N$13))</f>
        <v>1.4198357864362567</v>
      </c>
      <c r="N120" s="101" t="s">
        <v>13</v>
      </c>
    </row>
    <row r="121" spans="1:14" x14ac:dyDescent="0.3">
      <c r="A121" s="41"/>
      <c r="B121" s="180" t="s">
        <v>62</v>
      </c>
      <c r="C121" s="61" t="s">
        <v>85</v>
      </c>
      <c r="D121" s="176">
        <f>IF((((inputs!$P$13/(inputs!E103/MAX('Max rate concentrations'!D$3:D$368)))^(1/inputs!$O$13))-1)/inputs!$N$13&lt;0, 0, IF((((inputs!$P$13/(inputs!E103/MAX('Max rate concentrations'!D$3:D$368)))^(1/inputs!$O$13))-1)/inputs!$N$13&gt;inputs!$I$17, inputs!$I$17, (((inputs!$P$13/(inputs!E103/MAX('Max rate concentrations'!D$3:D$368)))^(1/inputs!$O$13))-1)/inputs!$N$13))</f>
        <v>1000</v>
      </c>
      <c r="E121" s="176">
        <f>IF((((inputs!$P$13/(inputs!E103/MAX('Max rate concentrations'!E$3:E$368)))^(1/inputs!$O$13))-1)/inputs!$N$13&lt;0, 0, IF((((inputs!$P$13/(inputs!E103/MAX('Max rate concentrations'!E$3:E$368)))^(1/inputs!$O$13))-1)/inputs!$N$13&gt;inputs!$I$17, inputs!$I$17, (((inputs!$P$13/(inputs!E103/MAX('Max rate concentrations'!E$3:E$368)))^(1/inputs!$O$13))-1)/inputs!$N$13))</f>
        <v>1000</v>
      </c>
      <c r="F121" s="176">
        <f>IF((((inputs!$P$13/(inputs!E103/MAX('Max rate concentrations'!F$3:F$368)))^(1/inputs!$O$13))-1)/inputs!$N$13&lt;0, 0, IF((((inputs!$P$13/(inputs!E103/MAX('Max rate concentrations'!F$3:F$368)))^(1/inputs!$O$13))-1)/inputs!$N$13&gt;inputs!$I$17, inputs!$I$17, (((inputs!$P$13/(inputs!E103/MAX('Max rate concentrations'!F$3:F$368)))^(1/inputs!$O$13))-1)/inputs!$N$13))</f>
        <v>1000</v>
      </c>
      <c r="G121" s="176">
        <f>IF((((inputs!$P$13/(inputs!E103/MAX('Max rate concentrations'!G$3:G$368)))^(1/inputs!$O$13))-1)/inputs!$N$13&lt;0, 0, IF((((inputs!$P$13/(inputs!E103/MAX('Max rate concentrations'!G$3:G$368)))^(1/inputs!$O$13))-1)/inputs!$N$13&gt;inputs!$I$17, inputs!$I$17, (((inputs!$P$13/(inputs!E103/MAX('Max rate concentrations'!G$3:G$368)))^(1/inputs!$O$13))-1)/inputs!$N$13))</f>
        <v>758.12605486707753</v>
      </c>
      <c r="H121" s="176">
        <f>IF((((inputs!$P$13/(inputs!E103/MAX('Max rate concentrations'!H$3:H$368)))^(1/inputs!$O$13))-1)/inputs!$N$13&lt;0, 0, IF((((inputs!$P$13/(inputs!E103/MAX('Max rate concentrations'!H$3:H$368)))^(1/inputs!$O$13))-1)/inputs!$N$13&gt;inputs!$I$17, inputs!$I$17, (((inputs!$P$13/(inputs!E103/MAX('Max rate concentrations'!H$3:H$368)))^(1/inputs!$O$13))-1)/inputs!$N$13))</f>
        <v>1000</v>
      </c>
      <c r="I121" s="176">
        <f>IF((((inputs!$P$13/(inputs!E103/MAX('Max rate concentrations'!I$3:I$368)))^(1/inputs!$O$13))-1)/inputs!$N$13&lt;0, 0, IF((((inputs!$P$13/(inputs!E103/MAX('Max rate concentrations'!I$3:I$368)))^(1/inputs!$O$13))-1)/inputs!$N$13&gt;inputs!$I$17, inputs!$I$17, (((inputs!$P$13/(inputs!E103/MAX('Max rate concentrations'!I$3:I$368)))^(1/inputs!$O$13))-1)/inputs!$N$13))</f>
        <v>917.16412197700208</v>
      </c>
      <c r="J121" s="176">
        <f>IF((((inputs!$P$13/(inputs!E103/MAX('Max rate concentrations'!J$3:J$368)))^(1/inputs!$O$13))-1)/inputs!$N$13&lt;0, 0, IF((((inputs!$P$13/(inputs!E103/MAX('Max rate concentrations'!J$3:J$368)))^(1/inputs!$O$13))-1)/inputs!$N$13&gt;inputs!$I$17, inputs!$I$17, (((inputs!$P$13/(inputs!E103/MAX('Max rate concentrations'!J$3:J$368)))^(1/inputs!$O$13))-1)/inputs!$N$13))</f>
        <v>1000</v>
      </c>
      <c r="K121" s="176">
        <f>IF((((inputs!$P$13/(inputs!E103/MAX('Max rate concentrations'!K$3:K$368)))^(1/inputs!$O$13))-1)/inputs!$N$13&lt;0, 0, IF((((inputs!$P$13/(inputs!E103/MAX('Max rate concentrations'!K$3:K$368)))^(1/inputs!$O$13))-1)/inputs!$N$13&gt;inputs!$I$17, inputs!$I$17, (((inputs!$P$13/(inputs!E103/MAX('Max rate concentrations'!K$3:K$368)))^(1/inputs!$O$13))-1)/inputs!$N$13))</f>
        <v>1000</v>
      </c>
      <c r="L121" s="176">
        <f>IF((((inputs!$P$13/(inputs!E103/MAX('Max rate concentrations'!L$3:L$368)))^(1/inputs!$O$13))-1)/inputs!$N$13&lt;0, 0, IF((((inputs!$P$13/(inputs!E103/MAX('Max rate concentrations'!L$3:L$368)))^(1/inputs!$O$13))-1)/inputs!$N$13&gt;inputs!$I$17, inputs!$I$17, (((inputs!$P$13/(inputs!E103/MAX('Max rate concentrations'!L$3:L$368)))^(1/inputs!$O$13))-1)/inputs!$N$13))</f>
        <v>1000</v>
      </c>
      <c r="M121" s="176">
        <f>IF((((inputs!$P$13/(inputs!E103/MAX('Max rate concentrations'!M$3:M$368)))^(1/inputs!$O$13))-1)/inputs!$N$13&lt;0, 0, IF((((inputs!$P$13/(inputs!E103/MAX('Max rate concentrations'!M$3:M$368)))^(1/inputs!$O$13))-1)/inputs!$N$13&gt;inputs!$I$17, inputs!$I$17, (((inputs!$P$13/(inputs!E103/MAX('Max rate concentrations'!M$3:M$368)))^(1/inputs!$O$13))-1)/inputs!$N$13))</f>
        <v>343.72332470530296</v>
      </c>
      <c r="N121" s="101" t="s">
        <v>13</v>
      </c>
    </row>
    <row r="122" spans="1:14" x14ac:dyDescent="0.3">
      <c r="A122" s="41"/>
      <c r="B122" s="180" t="s">
        <v>62</v>
      </c>
      <c r="C122" s="61" t="s">
        <v>86</v>
      </c>
      <c r="D122" s="176">
        <f>IF((((inputs!$P$13/(inputs!E104/MAX('Max rate concentrations'!D$3:D$368)))^(1/inputs!$O$13))-1)/inputs!$N$13&lt;0, 0, IF((((inputs!$P$13/(inputs!E104/MAX('Max rate concentrations'!D$3:D$368)))^(1/inputs!$O$13))-1)/inputs!$N$13&gt;inputs!$I$17, inputs!$I$17, (((inputs!$P$13/(inputs!E104/MAX('Max rate concentrations'!D$3:D$368)))^(1/inputs!$O$13))-1)/inputs!$N$13))</f>
        <v>1000</v>
      </c>
      <c r="E122" s="176">
        <f>IF((((inputs!$P$13/(inputs!E104/MAX('Max rate concentrations'!E$3:E$368)))^(1/inputs!$O$13))-1)/inputs!$N$13&lt;0, 0, IF((((inputs!$P$13/(inputs!E104/MAX('Max rate concentrations'!E$3:E$368)))^(1/inputs!$O$13))-1)/inputs!$N$13&gt;inputs!$I$17, inputs!$I$17, (((inputs!$P$13/(inputs!E104/MAX('Max rate concentrations'!E$3:E$368)))^(1/inputs!$O$13))-1)/inputs!$N$13))</f>
        <v>588.78994334443018</v>
      </c>
      <c r="F122" s="176">
        <f>IF((((inputs!$P$13/(inputs!E104/MAX('Max rate concentrations'!F$3:F$368)))^(1/inputs!$O$13))-1)/inputs!$N$13&lt;0, 0, IF((((inputs!$P$13/(inputs!E104/MAX('Max rate concentrations'!F$3:F$368)))^(1/inputs!$O$13))-1)/inputs!$N$13&gt;inputs!$I$17, inputs!$I$17, (((inputs!$P$13/(inputs!E104/MAX('Max rate concentrations'!F$3:F$368)))^(1/inputs!$O$13))-1)/inputs!$N$13))</f>
        <v>695.78066576109825</v>
      </c>
      <c r="G122" s="176">
        <f>IF((((inputs!$P$13/(inputs!E104/MAX('Max rate concentrations'!G$3:G$368)))^(1/inputs!$O$13))-1)/inputs!$N$13&lt;0, 0, IF((((inputs!$P$13/(inputs!E104/MAX('Max rate concentrations'!G$3:G$368)))^(1/inputs!$O$13))-1)/inputs!$N$13&gt;inputs!$I$17, inputs!$I$17, (((inputs!$P$13/(inputs!E104/MAX('Max rate concentrations'!G$3:G$368)))^(1/inputs!$O$13))-1)/inputs!$N$13))</f>
        <v>113.36497614149633</v>
      </c>
      <c r="H122" s="176">
        <f>IF((((inputs!$P$13/(inputs!E104/MAX('Max rate concentrations'!H$3:H$368)))^(1/inputs!$O$13))-1)/inputs!$N$13&lt;0, 0, IF((((inputs!$P$13/(inputs!E104/MAX('Max rate concentrations'!H$3:H$368)))^(1/inputs!$O$13))-1)/inputs!$N$13&gt;inputs!$I$17, inputs!$I$17, (((inputs!$P$13/(inputs!E104/MAX('Max rate concentrations'!H$3:H$368)))^(1/inputs!$O$13))-1)/inputs!$N$13))</f>
        <v>517.88555748113401</v>
      </c>
      <c r="I122" s="176">
        <f>IF((((inputs!$P$13/(inputs!E104/MAX('Max rate concentrations'!I$3:I$368)))^(1/inputs!$O$13))-1)/inputs!$N$13&lt;0, 0, IF((((inputs!$P$13/(inputs!E104/MAX('Max rate concentrations'!I$3:I$368)))^(1/inputs!$O$13))-1)/inputs!$N$13&gt;inputs!$I$17, inputs!$I$17, (((inputs!$P$13/(inputs!E104/MAX('Max rate concentrations'!I$3:I$368)))^(1/inputs!$O$13))-1)/inputs!$N$13))</f>
        <v>138.07266694672245</v>
      </c>
      <c r="J122" s="176">
        <f>IF((((inputs!$P$13/(inputs!E104/MAX('Max rate concentrations'!J$3:J$368)))^(1/inputs!$O$13))-1)/inputs!$N$13&lt;0, 0, IF((((inputs!$P$13/(inputs!E104/MAX('Max rate concentrations'!J$3:J$368)))^(1/inputs!$O$13))-1)/inputs!$N$13&gt;inputs!$I$17, inputs!$I$17, (((inputs!$P$13/(inputs!E104/MAX('Max rate concentrations'!J$3:J$368)))^(1/inputs!$O$13))-1)/inputs!$N$13))</f>
        <v>1000</v>
      </c>
      <c r="K122" s="176">
        <f>IF((((inputs!$P$13/(inputs!E104/MAX('Max rate concentrations'!K$3:K$368)))^(1/inputs!$O$13))-1)/inputs!$N$13&lt;0, 0, IF((((inputs!$P$13/(inputs!E104/MAX('Max rate concentrations'!K$3:K$368)))^(1/inputs!$O$13))-1)/inputs!$N$13&gt;inputs!$I$17, inputs!$I$17, (((inputs!$P$13/(inputs!E104/MAX('Max rate concentrations'!K$3:K$368)))^(1/inputs!$O$13))-1)/inputs!$N$13))</f>
        <v>239.09717045377357</v>
      </c>
      <c r="L122" s="176">
        <f>IF((((inputs!$P$13/(inputs!E104/MAX('Max rate concentrations'!L$3:L$368)))^(1/inputs!$O$13))-1)/inputs!$N$13&lt;0, 0, IF((((inputs!$P$13/(inputs!E104/MAX('Max rate concentrations'!L$3:L$368)))^(1/inputs!$O$13))-1)/inputs!$N$13&gt;inputs!$I$17, inputs!$I$17, (((inputs!$P$13/(inputs!E104/MAX('Max rate concentrations'!L$3:L$368)))^(1/inputs!$O$13))-1)/inputs!$N$13))</f>
        <v>618.49707590176183</v>
      </c>
      <c r="M122" s="176">
        <f>IF((((inputs!$P$13/(inputs!E104/MAX('Max rate concentrations'!M$3:M$368)))^(1/inputs!$O$13))-1)/inputs!$N$13&lt;0, 0, IF((((inputs!$P$13/(inputs!E104/MAX('Max rate concentrations'!M$3:M$368)))^(1/inputs!$O$13))-1)/inputs!$N$13&gt;inputs!$I$17, inputs!$I$17, (((inputs!$P$13/(inputs!E104/MAX('Max rate concentrations'!M$3:M$368)))^(1/inputs!$O$13))-1)/inputs!$N$13))</f>
        <v>48.984575198861329</v>
      </c>
      <c r="N122" s="101" t="s">
        <v>13</v>
      </c>
    </row>
    <row r="123" spans="1:14" x14ac:dyDescent="0.3">
      <c r="A123" s="41"/>
      <c r="B123" s="180" t="s">
        <v>62</v>
      </c>
      <c r="C123" s="61" t="s">
        <v>87</v>
      </c>
      <c r="D123" s="176" t="e">
        <f>IF((((inputs!$P$13/(inputs!E105/MAX('Max rate concentrations'!D$3:D$368)))^(1/inputs!$O$13))-1)/inputs!$N$13&lt;0, 0, IF((((inputs!$P$13/(inputs!E105/MAX('Max rate concentrations'!D$3:D$368)))^(1/inputs!$O$13))-1)/inputs!$N$13&gt;inputs!$I$17, inputs!$I$17, (((inputs!$P$13/(inputs!E105/MAX('Max rate concentrations'!D$3:D$368)))^(1/inputs!$O$13))-1)/inputs!$N$13))</f>
        <v>#VALUE!</v>
      </c>
      <c r="E123" s="176" t="e">
        <f>IF((((inputs!$P$13/(inputs!E105/MAX('Max rate concentrations'!E$3:E$368)))^(1/inputs!$O$13))-1)/inputs!$N$13&lt;0, 0, IF((((inputs!$P$13/(inputs!E105/MAX('Max rate concentrations'!E$3:E$368)))^(1/inputs!$O$13))-1)/inputs!$N$13&gt;inputs!$I$17, inputs!$I$17, (((inputs!$P$13/(inputs!E105/MAX('Max rate concentrations'!E$3:E$368)))^(1/inputs!$O$13))-1)/inputs!$N$13))</f>
        <v>#VALUE!</v>
      </c>
      <c r="F123" s="176" t="e">
        <f>IF((((inputs!$P$13/(inputs!E105/MAX('Max rate concentrations'!F$3:F$368)))^(1/inputs!$O$13))-1)/inputs!$N$13&lt;0, 0, IF((((inputs!$P$13/(inputs!E105/MAX('Max rate concentrations'!F$3:F$368)))^(1/inputs!$O$13))-1)/inputs!$N$13&gt;inputs!$I$17, inputs!$I$17, (((inputs!$P$13/(inputs!E105/MAX('Max rate concentrations'!F$3:F$368)))^(1/inputs!$O$13))-1)/inputs!$N$13))</f>
        <v>#VALUE!</v>
      </c>
      <c r="G123" s="176" t="e">
        <f>IF((((inputs!$P$13/(inputs!E105/MAX('Max rate concentrations'!G$3:G$368)))^(1/inputs!$O$13))-1)/inputs!$N$13&lt;0, 0, IF((((inputs!$P$13/(inputs!E105/MAX('Max rate concentrations'!G$3:G$368)))^(1/inputs!$O$13))-1)/inputs!$N$13&gt;inputs!$I$17, inputs!$I$17, (((inputs!$P$13/(inputs!E105/MAX('Max rate concentrations'!G$3:G$368)))^(1/inputs!$O$13))-1)/inputs!$N$13))</f>
        <v>#VALUE!</v>
      </c>
      <c r="H123" s="176" t="e">
        <f>IF((((inputs!$P$13/(inputs!E105/MAX('Max rate concentrations'!H$3:H$368)))^(1/inputs!$O$13))-1)/inputs!$N$13&lt;0, 0, IF((((inputs!$P$13/(inputs!E105/MAX('Max rate concentrations'!H$3:H$368)))^(1/inputs!$O$13))-1)/inputs!$N$13&gt;inputs!$I$17, inputs!$I$17, (((inputs!$P$13/(inputs!E105/MAX('Max rate concentrations'!H$3:H$368)))^(1/inputs!$O$13))-1)/inputs!$N$13))</f>
        <v>#VALUE!</v>
      </c>
      <c r="I123" s="176" t="e">
        <f>IF((((inputs!$P$13/(inputs!E105/MAX('Max rate concentrations'!I$3:I$368)))^(1/inputs!$O$13))-1)/inputs!$N$13&lt;0, 0, IF((((inputs!$P$13/(inputs!E105/MAX('Max rate concentrations'!I$3:I$368)))^(1/inputs!$O$13))-1)/inputs!$N$13&gt;inputs!$I$17, inputs!$I$17, (((inputs!$P$13/(inputs!E105/MAX('Max rate concentrations'!I$3:I$368)))^(1/inputs!$O$13))-1)/inputs!$N$13))</f>
        <v>#VALUE!</v>
      </c>
      <c r="J123" s="176" t="e">
        <f>IF((((inputs!$P$13/(inputs!E105/MAX('Max rate concentrations'!J$3:J$368)))^(1/inputs!$O$13))-1)/inputs!$N$13&lt;0, 0, IF((((inputs!$P$13/(inputs!E105/MAX('Max rate concentrations'!J$3:J$368)))^(1/inputs!$O$13))-1)/inputs!$N$13&gt;inputs!$I$17, inputs!$I$17, (((inputs!$P$13/(inputs!E105/MAX('Max rate concentrations'!J$3:J$368)))^(1/inputs!$O$13))-1)/inputs!$N$13))</f>
        <v>#VALUE!</v>
      </c>
      <c r="K123" s="176" t="e">
        <f>IF((((inputs!$P$13/(inputs!E105/MAX('Max rate concentrations'!K$3:K$368)))^(1/inputs!$O$13))-1)/inputs!$N$13&lt;0, 0, IF((((inputs!$P$13/(inputs!E105/MAX('Max rate concentrations'!K$3:K$368)))^(1/inputs!$O$13))-1)/inputs!$N$13&gt;inputs!$I$17, inputs!$I$17, (((inputs!$P$13/(inputs!E105/MAX('Max rate concentrations'!K$3:K$368)))^(1/inputs!$O$13))-1)/inputs!$N$13))</f>
        <v>#VALUE!</v>
      </c>
      <c r="L123" s="176" t="e">
        <f>IF((((inputs!$P$13/(inputs!E105/MAX('Max rate concentrations'!L$3:L$368)))^(1/inputs!$O$13))-1)/inputs!$N$13&lt;0, 0, IF((((inputs!$P$13/(inputs!E105/MAX('Max rate concentrations'!L$3:L$368)))^(1/inputs!$O$13))-1)/inputs!$N$13&gt;inputs!$I$17, inputs!$I$17, (((inputs!$P$13/(inputs!E105/MAX('Max rate concentrations'!L$3:L$368)))^(1/inputs!$O$13))-1)/inputs!$N$13))</f>
        <v>#VALUE!</v>
      </c>
      <c r="M123" s="176" t="e">
        <f>IF((((inputs!$P$13/(inputs!E105/MAX('Max rate concentrations'!M$3:M$368)))^(1/inputs!$O$13))-1)/inputs!$N$13&lt;0, 0, IF((((inputs!$P$13/(inputs!E105/MAX('Max rate concentrations'!M$3:M$368)))^(1/inputs!$O$13))-1)/inputs!$N$13&gt;inputs!$I$17, inputs!$I$17, (((inputs!$P$13/(inputs!E105/MAX('Max rate concentrations'!M$3:M$368)))^(1/inputs!$O$13))-1)/inputs!$N$13))</f>
        <v>#VALUE!</v>
      </c>
      <c r="N123" s="101" t="s">
        <v>13</v>
      </c>
    </row>
    <row r="124" spans="1:14" x14ac:dyDescent="0.3">
      <c r="A124" s="41"/>
      <c r="B124" s="180" t="s">
        <v>62</v>
      </c>
      <c r="C124" s="61" t="s">
        <v>88</v>
      </c>
      <c r="D124" s="176" t="e">
        <f>IF((((inputs!$P$13/(inputs!E106/MAX('Max rate concentrations'!D$3:D$368)))^(1/inputs!$O$13))-1)/inputs!$N$13&lt;0, 0, IF((((inputs!$P$13/(inputs!E106/MAX('Max rate concentrations'!D$3:D$368)))^(1/inputs!$O$13))-1)/inputs!$N$13&gt;inputs!$I$17, inputs!$I$17, (((inputs!$P$13/(inputs!E106/MAX('Max rate concentrations'!D$3:D$368)))^(1/inputs!$O$13))-1)/inputs!$N$13))</f>
        <v>#VALUE!</v>
      </c>
      <c r="E124" s="176" t="e">
        <f>IF((((inputs!$P$13/(inputs!E106/MAX('Max rate concentrations'!E$3:E$368)))^(1/inputs!$O$13))-1)/inputs!$N$13&lt;0, 0, IF((((inputs!$P$13/(inputs!E106/MAX('Max rate concentrations'!E$3:E$368)))^(1/inputs!$O$13))-1)/inputs!$N$13&gt;inputs!$I$17, inputs!$I$17, (((inputs!$P$13/(inputs!E106/MAX('Max rate concentrations'!E$3:E$368)))^(1/inputs!$O$13))-1)/inputs!$N$13))</f>
        <v>#VALUE!</v>
      </c>
      <c r="F124" s="176" t="e">
        <f>IF((((inputs!$P$13/(inputs!E106/MAX('Max rate concentrations'!F$3:F$368)))^(1/inputs!$O$13))-1)/inputs!$N$13&lt;0, 0, IF((((inputs!$P$13/(inputs!E106/MAX('Max rate concentrations'!F$3:F$368)))^(1/inputs!$O$13))-1)/inputs!$N$13&gt;inputs!$I$17, inputs!$I$17, (((inputs!$P$13/(inputs!E106/MAX('Max rate concentrations'!F$3:F$368)))^(1/inputs!$O$13))-1)/inputs!$N$13))</f>
        <v>#VALUE!</v>
      </c>
      <c r="G124" s="176" t="e">
        <f>IF((((inputs!$P$13/(inputs!E106/MAX('Max rate concentrations'!G$3:G$368)))^(1/inputs!$O$13))-1)/inputs!$N$13&lt;0, 0, IF((((inputs!$P$13/(inputs!E106/MAX('Max rate concentrations'!G$3:G$368)))^(1/inputs!$O$13))-1)/inputs!$N$13&gt;inputs!$I$17, inputs!$I$17, (((inputs!$P$13/(inputs!E106/MAX('Max rate concentrations'!G$3:G$368)))^(1/inputs!$O$13))-1)/inputs!$N$13))</f>
        <v>#VALUE!</v>
      </c>
      <c r="H124" s="176" t="e">
        <f>IF((((inputs!$P$13/(inputs!E106/MAX('Max rate concentrations'!H$3:H$368)))^(1/inputs!$O$13))-1)/inputs!$N$13&lt;0, 0, IF((((inputs!$P$13/(inputs!E106/MAX('Max rate concentrations'!H$3:H$368)))^(1/inputs!$O$13))-1)/inputs!$N$13&gt;inputs!$I$17, inputs!$I$17, (((inputs!$P$13/(inputs!E106/MAX('Max rate concentrations'!H$3:H$368)))^(1/inputs!$O$13))-1)/inputs!$N$13))</f>
        <v>#VALUE!</v>
      </c>
      <c r="I124" s="176" t="e">
        <f>IF((((inputs!$P$13/(inputs!E106/MAX('Max rate concentrations'!I$3:I$368)))^(1/inputs!$O$13))-1)/inputs!$N$13&lt;0, 0, IF((((inputs!$P$13/(inputs!E106/MAX('Max rate concentrations'!I$3:I$368)))^(1/inputs!$O$13))-1)/inputs!$N$13&gt;inputs!$I$17, inputs!$I$17, (((inputs!$P$13/(inputs!E106/MAX('Max rate concentrations'!I$3:I$368)))^(1/inputs!$O$13))-1)/inputs!$N$13))</f>
        <v>#VALUE!</v>
      </c>
      <c r="J124" s="176" t="e">
        <f>IF((((inputs!$P$13/(inputs!E106/MAX('Max rate concentrations'!J$3:J$368)))^(1/inputs!$O$13))-1)/inputs!$N$13&lt;0, 0, IF((((inputs!$P$13/(inputs!E106/MAX('Max rate concentrations'!J$3:J$368)))^(1/inputs!$O$13))-1)/inputs!$N$13&gt;inputs!$I$17, inputs!$I$17, (((inputs!$P$13/(inputs!E106/MAX('Max rate concentrations'!J$3:J$368)))^(1/inputs!$O$13))-1)/inputs!$N$13))</f>
        <v>#VALUE!</v>
      </c>
      <c r="K124" s="176" t="e">
        <f>IF((((inputs!$P$13/(inputs!E106/MAX('Max rate concentrations'!K$3:K$368)))^(1/inputs!$O$13))-1)/inputs!$N$13&lt;0, 0, IF((((inputs!$P$13/(inputs!E106/MAX('Max rate concentrations'!K$3:K$368)))^(1/inputs!$O$13))-1)/inputs!$N$13&gt;inputs!$I$17, inputs!$I$17, (((inputs!$P$13/(inputs!E106/MAX('Max rate concentrations'!K$3:K$368)))^(1/inputs!$O$13))-1)/inputs!$N$13))</f>
        <v>#VALUE!</v>
      </c>
      <c r="L124" s="176" t="e">
        <f>IF((((inputs!$P$13/(inputs!E106/MAX('Max rate concentrations'!L$3:L$368)))^(1/inputs!$O$13))-1)/inputs!$N$13&lt;0, 0, IF((((inputs!$P$13/(inputs!E106/MAX('Max rate concentrations'!L$3:L$368)))^(1/inputs!$O$13))-1)/inputs!$N$13&gt;inputs!$I$17, inputs!$I$17, (((inputs!$P$13/(inputs!E106/MAX('Max rate concentrations'!L$3:L$368)))^(1/inputs!$O$13))-1)/inputs!$N$13))</f>
        <v>#VALUE!</v>
      </c>
      <c r="M124" s="176" t="e">
        <f>IF((((inputs!$P$13/(inputs!E106/MAX('Max rate concentrations'!M$3:M$368)))^(1/inputs!$O$13))-1)/inputs!$N$13&lt;0, 0, IF((((inputs!$P$13/(inputs!E106/MAX('Max rate concentrations'!M$3:M$368)))^(1/inputs!$O$13))-1)/inputs!$N$13&gt;inputs!$I$17, inputs!$I$17, (((inputs!$P$13/(inputs!E106/MAX('Max rate concentrations'!M$3:M$368)))^(1/inputs!$O$13))-1)/inputs!$N$13))</f>
        <v>#VALUE!</v>
      </c>
      <c r="N124" s="101" t="s">
        <v>13</v>
      </c>
    </row>
    <row r="125" spans="1:14" x14ac:dyDescent="0.3">
      <c r="A125" s="41"/>
      <c r="B125" s="25" t="s">
        <v>64</v>
      </c>
      <c r="C125" s="22" t="s">
        <v>71</v>
      </c>
      <c r="D125" s="176">
        <f>IF((((inputs!$P$13/(inputs!E107/MAX('Max rate concentrations'!D$3:D$368)))^(1/inputs!$O$13))-1)/inputs!$N$13&lt;0, 0, IF((((inputs!$P$13/(inputs!E107/MAX('Max rate concentrations'!D$3:D$368)))^(1/inputs!$O$13))-1)/inputs!$N$13&gt;inputs!$I$17, inputs!$I$17, (((inputs!$P$13/(inputs!E107/MAX('Max rate concentrations'!D$3:D$368)))^(1/inputs!$O$13))-1)/inputs!$N$13))</f>
        <v>162.78754631453052</v>
      </c>
      <c r="E125" s="176">
        <f>IF((((inputs!$P$13/(inputs!E107/MAX('Max rate concentrations'!E$3:E$368)))^(1/inputs!$O$13))-1)/inputs!$N$13&lt;0, 0, IF((((inputs!$P$13/(inputs!E107/MAX('Max rate concentrations'!E$3:E$368)))^(1/inputs!$O$13))-1)/inputs!$N$13&gt;inputs!$I$17, inputs!$I$17, (((inputs!$P$13/(inputs!E107/MAX('Max rate concentrations'!E$3:E$368)))^(1/inputs!$O$13))-1)/inputs!$N$13))</f>
        <v>84.176383223908942</v>
      </c>
      <c r="F125" s="176">
        <f>IF((((inputs!$P$13/(inputs!E107/MAX('Max rate concentrations'!F$3:F$368)))^(1/inputs!$O$13))-1)/inputs!$N$13&lt;0, 0, IF((((inputs!$P$13/(inputs!E107/MAX('Max rate concentrations'!F$3:F$368)))^(1/inputs!$O$13))-1)/inputs!$N$13&gt;inputs!$I$17, inputs!$I$17, (((inputs!$P$13/(inputs!E107/MAX('Max rate concentrations'!F$3:F$368)))^(1/inputs!$O$13))-1)/inputs!$N$13))</f>
        <v>100.27923727591667</v>
      </c>
      <c r="G125" s="176">
        <f>IF((((inputs!$P$13/(inputs!E107/MAX('Max rate concentrations'!G$3:G$368)))^(1/inputs!$O$13))-1)/inputs!$N$13&lt;0, 0, IF((((inputs!$P$13/(inputs!E107/MAX('Max rate concentrations'!G$3:G$368)))^(1/inputs!$O$13))-1)/inputs!$N$13&gt;inputs!$I$17, inputs!$I$17, (((inputs!$P$13/(inputs!E107/MAX('Max rate concentrations'!G$3:G$368)))^(1/inputs!$O$13))-1)/inputs!$N$13))</f>
        <v>12.621591494072741</v>
      </c>
      <c r="H125" s="176">
        <f>IF((((inputs!$P$13/(inputs!E107/MAX('Max rate concentrations'!H$3:H$368)))^(1/inputs!$O$13))-1)/inputs!$N$13&lt;0, 0, IF((((inputs!$P$13/(inputs!E107/MAX('Max rate concentrations'!H$3:H$368)))^(1/inputs!$O$13))-1)/inputs!$N$13&gt;inputs!$I$17, inputs!$I$17, (((inputs!$P$13/(inputs!E107/MAX('Max rate concentrations'!H$3:H$368)))^(1/inputs!$O$13))-1)/inputs!$N$13))</f>
        <v>73.504775897458941</v>
      </c>
      <c r="I125" s="176">
        <f>IF((((inputs!$P$13/(inputs!E107/MAX('Max rate concentrations'!I$3:I$368)))^(1/inputs!$O$13))-1)/inputs!$N$13&lt;0, 0, IF((((inputs!$P$13/(inputs!E107/MAX('Max rate concentrations'!I$3:I$368)))^(1/inputs!$O$13))-1)/inputs!$N$13&gt;inputs!$I$17, inputs!$I$17, (((inputs!$P$13/(inputs!E107/MAX('Max rate concentrations'!I$3:I$368)))^(1/inputs!$O$13))-1)/inputs!$N$13))</f>
        <v>16.340272235840551</v>
      </c>
      <c r="J125" s="176">
        <f>IF((((inputs!$P$13/(inputs!E107/MAX('Max rate concentrations'!J$3:J$368)))^(1/inputs!$O$13))-1)/inputs!$N$13&lt;0, 0, IF((((inputs!$P$13/(inputs!E107/MAX('Max rate concentrations'!J$3:J$368)))^(1/inputs!$O$13))-1)/inputs!$N$13&gt;inputs!$I$17, inputs!$I$17, (((inputs!$P$13/(inputs!E107/MAX('Max rate concentrations'!J$3:J$368)))^(1/inputs!$O$13))-1)/inputs!$N$13))</f>
        <v>156.43052536917253</v>
      </c>
      <c r="K125" s="176">
        <f>IF((((inputs!$P$13/(inputs!E107/MAX('Max rate concentrations'!K$3:K$368)))^(1/inputs!$O$13))-1)/inputs!$N$13&lt;0, 0, IF((((inputs!$P$13/(inputs!E107/MAX('Max rate concentrations'!K$3:K$368)))^(1/inputs!$O$13))-1)/inputs!$N$13&gt;inputs!$I$17, inputs!$I$17, (((inputs!$P$13/(inputs!E107/MAX('Max rate concentrations'!K$3:K$368)))^(1/inputs!$O$13))-1)/inputs!$N$13))</f>
        <v>31.545168500725953</v>
      </c>
      <c r="L125" s="176">
        <f>IF((((inputs!$P$13/(inputs!E107/MAX('Max rate concentrations'!L$3:L$368)))^(1/inputs!$O$13))-1)/inputs!$N$13&lt;0, 0, IF((((inputs!$P$13/(inputs!E107/MAX('Max rate concentrations'!L$3:L$368)))^(1/inputs!$O$13))-1)/inputs!$N$13&gt;inputs!$I$17, inputs!$I$17, (((inputs!$P$13/(inputs!E107/MAX('Max rate concentrations'!L$3:L$368)))^(1/inputs!$O$13))-1)/inputs!$N$13))</f>
        <v>88.647515010564021</v>
      </c>
      <c r="M125" s="176">
        <f>IF((((inputs!$P$13/(inputs!E107/MAX('Max rate concentrations'!M$3:M$368)))^(1/inputs!$O$13))-1)/inputs!$N$13&lt;0, 0, IF((((inputs!$P$13/(inputs!E107/MAX('Max rate concentrations'!M$3:M$368)))^(1/inputs!$O$13))-1)/inputs!$N$13&gt;inputs!$I$17, inputs!$I$17, (((inputs!$P$13/(inputs!E107/MAX('Max rate concentrations'!M$3:M$368)))^(1/inputs!$O$13))-1)/inputs!$N$13))</f>
        <v>2.9318896510325287</v>
      </c>
      <c r="N125" s="101" t="s">
        <v>13</v>
      </c>
    </row>
    <row r="126" spans="1:14" x14ac:dyDescent="0.3">
      <c r="A126" s="40" t="s">
        <v>73</v>
      </c>
      <c r="B126" s="25" t="s">
        <v>62</v>
      </c>
      <c r="C126" s="22" t="s">
        <v>63</v>
      </c>
      <c r="D126" s="176">
        <f>IF((((inputs!$P$13/(inputs!E108/MAX('Max rate concentrations'!D$3:D$368)))^(1/inputs!$O$13))-1)/inputs!$N$13&lt;0, 0, IF((((inputs!$P$13/(inputs!E108/MAX('Max rate concentrations'!D$3:D$368)))^(1/inputs!$O$13))-1)/inputs!$N$13&gt;inputs!$I$17, inputs!$I$17, (((inputs!$P$13/(inputs!E108/MAX('Max rate concentrations'!D$3:D$368)))^(1/inputs!$O$13))-1)/inputs!$N$13))</f>
        <v>526.86792640803242</v>
      </c>
      <c r="E126" s="176">
        <f>IF((((inputs!$P$13/(inputs!E108/MAX('Max rate concentrations'!E$3:E$368)))^(1/inputs!$O$13))-1)/inputs!$N$13&lt;0, 0, IF((((inputs!$P$13/(inputs!E108/MAX('Max rate concentrations'!E$3:E$368)))^(1/inputs!$O$13))-1)/inputs!$N$13&gt;inputs!$I$17, inputs!$I$17, (((inputs!$P$13/(inputs!E108/MAX('Max rate concentrations'!E$3:E$368)))^(1/inputs!$O$13))-1)/inputs!$N$13))</f>
        <v>277.91011137963767</v>
      </c>
      <c r="F126" s="176">
        <f>IF((((inputs!$P$13/(inputs!E108/MAX('Max rate concentrations'!F$3:F$368)))^(1/inputs!$O$13))-1)/inputs!$N$13&lt;0, 0, IF((((inputs!$P$13/(inputs!E108/MAX('Max rate concentrations'!F$3:F$368)))^(1/inputs!$O$13))-1)/inputs!$N$13&gt;inputs!$I$17, inputs!$I$17, (((inputs!$P$13/(inputs!E108/MAX('Max rate concentrations'!F$3:F$368)))^(1/inputs!$O$13))-1)/inputs!$N$13))</f>
        <v>328.90708436536431</v>
      </c>
      <c r="G126" s="176">
        <f>IF((((inputs!$P$13/(inputs!E108/MAX('Max rate concentrations'!G$3:G$368)))^(1/inputs!$O$13))-1)/inputs!$N$13&lt;0, 0, IF((((inputs!$P$13/(inputs!E108/MAX('Max rate concentrations'!G$3:G$368)))^(1/inputs!$O$13))-1)/inputs!$N$13&gt;inputs!$I$17, inputs!$I$17, (((inputs!$P$13/(inputs!E108/MAX('Max rate concentrations'!G$3:G$368)))^(1/inputs!$O$13))-1)/inputs!$N$13))</f>
        <v>51.299488873823037</v>
      </c>
      <c r="H126" s="176">
        <f>IF((((inputs!$P$13/(inputs!E108/MAX('Max rate concentrations'!H$3:H$368)))^(1/inputs!$O$13))-1)/inputs!$N$13&lt;0, 0, IF((((inputs!$P$13/(inputs!E108/MAX('Max rate concentrations'!H$3:H$368)))^(1/inputs!$O$13))-1)/inputs!$N$13&gt;inputs!$I$17, inputs!$I$17, (((inputs!$P$13/(inputs!E108/MAX('Max rate concentrations'!H$3:H$368)))^(1/inputs!$O$13))-1)/inputs!$N$13))</f>
        <v>244.11363848212656</v>
      </c>
      <c r="I126" s="176">
        <f>IF((((inputs!$P$13/(inputs!E108/MAX('Max rate concentrations'!I$3:I$368)))^(1/inputs!$O$13))-1)/inputs!$N$13&lt;0, 0, IF((((inputs!$P$13/(inputs!E108/MAX('Max rate concentrations'!I$3:I$368)))^(1/inputs!$O$13))-1)/inputs!$N$13&gt;inputs!$I$17, inputs!$I$17, (((inputs!$P$13/(inputs!E108/MAX('Max rate concentrations'!I$3:I$368)))^(1/inputs!$O$13))-1)/inputs!$N$13))</f>
        <v>63.07637393519078</v>
      </c>
      <c r="J126" s="176">
        <f>IF((((inputs!$P$13/(inputs!E108/MAX('Max rate concentrations'!J$3:J$368)))^(1/inputs!$O$13))-1)/inputs!$N$13&lt;0, 0, IF((((inputs!$P$13/(inputs!E108/MAX('Max rate concentrations'!J$3:J$368)))^(1/inputs!$O$13))-1)/inputs!$N$13&gt;inputs!$I$17, inputs!$I$17, (((inputs!$P$13/(inputs!E108/MAX('Max rate concentrations'!J$3:J$368)))^(1/inputs!$O$13))-1)/inputs!$N$13))</f>
        <v>506.73554339238279</v>
      </c>
      <c r="K126" s="176">
        <f>IF((((inputs!$P$13/(inputs!E108/MAX('Max rate concentrations'!K$3:K$368)))^(1/inputs!$O$13))-1)/inputs!$N$13&lt;0, 0, IF((((inputs!$P$13/(inputs!E108/MAX('Max rate concentrations'!K$3:K$368)))^(1/inputs!$O$13))-1)/inputs!$N$13&gt;inputs!$I$17, inputs!$I$17, (((inputs!$P$13/(inputs!E108/MAX('Max rate concentrations'!K$3:K$368)))^(1/inputs!$O$13))-1)/inputs!$N$13))</f>
        <v>111.22955731291988</v>
      </c>
      <c r="L126" s="176">
        <f>IF((((inputs!$P$13/(inputs!E108/MAX('Max rate concentrations'!L$3:L$368)))^(1/inputs!$O$13))-1)/inputs!$N$13&lt;0, 0, IF((((inputs!$P$13/(inputs!E108/MAX('Max rate concentrations'!L$3:L$368)))^(1/inputs!$O$13))-1)/inputs!$N$13&gt;inputs!$I$17, inputs!$I$17, (((inputs!$P$13/(inputs!E108/MAX('Max rate concentrations'!L$3:L$368)))^(1/inputs!$O$13))-1)/inputs!$N$13))</f>
        <v>292.06997311615055</v>
      </c>
      <c r="M126" s="176">
        <f>IF((((inputs!$P$13/(inputs!E108/MAX('Max rate concentrations'!M$3:M$368)))^(1/inputs!$O$13))-1)/inputs!$N$13&lt;0, 0, IF((((inputs!$P$13/(inputs!E108/MAX('Max rate concentrations'!M$3:M$368)))^(1/inputs!$O$13))-1)/inputs!$N$13&gt;inputs!$I$17, inputs!$I$17, (((inputs!$P$13/(inputs!E108/MAX('Max rate concentrations'!M$3:M$368)))^(1/inputs!$O$13))-1)/inputs!$N$13))</f>
        <v>20.612663946185073</v>
      </c>
      <c r="N126" s="101" t="s">
        <v>13</v>
      </c>
    </row>
    <row r="127" spans="1:14" x14ac:dyDescent="0.3">
      <c r="A127" s="41"/>
      <c r="B127" s="25" t="s">
        <v>64</v>
      </c>
      <c r="C127" s="22" t="s">
        <v>65</v>
      </c>
      <c r="D127" s="176">
        <f>IF((((inputs!$P$13/(inputs!E109/MAX('Max rate concentrations'!D$3:D$368)))^(1/inputs!$O$13))-1)/inputs!$N$13&lt;0, 0, IF((((inputs!$P$13/(inputs!E109/MAX('Max rate concentrations'!D$3:D$368)))^(1/inputs!$O$13))-1)/inputs!$N$13&gt;inputs!$I$17, inputs!$I$17, (((inputs!$P$13/(inputs!E109/MAX('Max rate concentrations'!D$3:D$368)))^(1/inputs!$O$13))-1)/inputs!$N$13))</f>
        <v>102.59061159871287</v>
      </c>
      <c r="E127" s="176">
        <f>IF((((inputs!$P$13/(inputs!E109/MAX('Max rate concentrations'!E$3:E$368)))^(1/inputs!$O$13))-1)/inputs!$N$13&lt;0, 0, IF((((inputs!$P$13/(inputs!E109/MAX('Max rate concentrations'!E$3:E$368)))^(1/inputs!$O$13))-1)/inputs!$N$13&gt;inputs!$I$17, inputs!$I$17, (((inputs!$P$13/(inputs!E109/MAX('Max rate concentrations'!E$3:E$368)))^(1/inputs!$O$13))-1)/inputs!$N$13))</f>
        <v>52.144509979194929</v>
      </c>
      <c r="F127" s="176">
        <f>IF((((inputs!$P$13/(inputs!E109/MAX('Max rate concentrations'!F$3:F$368)))^(1/inputs!$O$13))-1)/inputs!$N$13&lt;0, 0, IF((((inputs!$P$13/(inputs!E109/MAX('Max rate concentrations'!F$3:F$368)))^(1/inputs!$O$13))-1)/inputs!$N$13&gt;inputs!$I$17, inputs!$I$17, (((inputs!$P$13/(inputs!E109/MAX('Max rate concentrations'!F$3:F$368)))^(1/inputs!$O$13))-1)/inputs!$N$13))</f>
        <v>62.47798146002534</v>
      </c>
      <c r="G127" s="176">
        <f>IF((((inputs!$P$13/(inputs!E109/MAX('Max rate concentrations'!G$3:G$368)))^(1/inputs!$O$13))-1)/inputs!$N$13&lt;0, 0, IF((((inputs!$P$13/(inputs!E109/MAX('Max rate concentrations'!G$3:G$368)))^(1/inputs!$O$13))-1)/inputs!$N$13&gt;inputs!$I$17, inputs!$I$17, (((inputs!$P$13/(inputs!E109/MAX('Max rate concentrations'!G$3:G$368)))^(1/inputs!$O$13))-1)/inputs!$N$13))</f>
        <v>6.2266001932067621</v>
      </c>
      <c r="H127" s="176">
        <f>IF((((inputs!$P$13/(inputs!E109/MAX('Max rate concentrations'!H$3:H$368)))^(1/inputs!$O$13))-1)/inputs!$N$13&lt;0, 0, IF((((inputs!$P$13/(inputs!E109/MAX('Max rate concentrations'!H$3:H$368)))^(1/inputs!$O$13))-1)/inputs!$N$13&gt;inputs!$I$17, inputs!$I$17, (((inputs!$P$13/(inputs!E109/MAX('Max rate concentrations'!H$3:H$368)))^(1/inputs!$O$13))-1)/inputs!$N$13))</f>
        <v>45.296360601057614</v>
      </c>
      <c r="I127" s="176">
        <f>IF((((inputs!$P$13/(inputs!E109/MAX('Max rate concentrations'!I$3:I$368)))^(1/inputs!$O$13))-1)/inputs!$N$13&lt;0, 0, IF((((inputs!$P$13/(inputs!E109/MAX('Max rate concentrations'!I$3:I$368)))^(1/inputs!$O$13))-1)/inputs!$N$13&gt;inputs!$I$17, inputs!$I$17, (((inputs!$P$13/(inputs!E109/MAX('Max rate concentrations'!I$3:I$368)))^(1/inputs!$O$13))-1)/inputs!$N$13))</f>
        <v>8.6129399853493815</v>
      </c>
      <c r="J127" s="176">
        <f>IF((((inputs!$P$13/(inputs!E109/MAX('Max rate concentrations'!J$3:J$368)))^(1/inputs!$O$13))-1)/inputs!$N$13&lt;0, 0, IF((((inputs!$P$13/(inputs!E109/MAX('Max rate concentrations'!J$3:J$368)))^(1/inputs!$O$13))-1)/inputs!$N$13&gt;inputs!$I$17, inputs!$I$17, (((inputs!$P$13/(inputs!E109/MAX('Max rate concentrations'!J$3:J$368)))^(1/inputs!$O$13))-1)/inputs!$N$13))</f>
        <v>98.511204654469481</v>
      </c>
      <c r="K127" s="176">
        <f>IF((((inputs!$P$13/(inputs!E109/MAX('Max rate concentrations'!K$3:K$368)))^(1/inputs!$O$13))-1)/inputs!$N$13&lt;0, 0, IF((((inputs!$P$13/(inputs!E109/MAX('Max rate concentrations'!K$3:K$368)))^(1/inputs!$O$13))-1)/inputs!$N$13&gt;inputs!$I$17, inputs!$I$17, (((inputs!$P$13/(inputs!E109/MAX('Max rate concentrations'!K$3:K$368)))^(1/inputs!$O$13))-1)/inputs!$N$13))</f>
        <v>18.370176895944667</v>
      </c>
      <c r="L127" s="176">
        <f>IF((((inputs!$P$13/(inputs!E109/MAX('Max rate concentrations'!L$3:L$368)))^(1/inputs!$O$13))-1)/inputs!$N$13&lt;0, 0, IF((((inputs!$P$13/(inputs!E109/MAX('Max rate concentrations'!L$3:L$368)))^(1/inputs!$O$13))-1)/inputs!$N$13&gt;inputs!$I$17, inputs!$I$17, (((inputs!$P$13/(inputs!E109/MAX('Max rate concentrations'!L$3:L$368)))^(1/inputs!$O$13))-1)/inputs!$N$13))</f>
        <v>55.013710225015586</v>
      </c>
      <c r="M127" s="176">
        <f>IF((((inputs!$P$13/(inputs!E109/MAX('Max rate concentrations'!M$3:M$368)))^(1/inputs!$O$13))-1)/inputs!$N$13&lt;0, 0, IF((((inputs!$P$13/(inputs!E109/MAX('Max rate concentrations'!M$3:M$368)))^(1/inputs!$O$13))-1)/inputs!$N$13&gt;inputs!$I$17, inputs!$I$17, (((inputs!$P$13/(inputs!E109/MAX('Max rate concentrations'!M$3:M$368)))^(1/inputs!$O$13))-1)/inputs!$N$13))</f>
        <v>8.5560297671721866E-3</v>
      </c>
      <c r="N127" s="101" t="s">
        <v>13</v>
      </c>
    </row>
    <row r="128" spans="1:14" x14ac:dyDescent="0.3">
      <c r="A128" s="41"/>
      <c r="B128" s="25" t="s">
        <v>66</v>
      </c>
      <c r="C128" s="22" t="s">
        <v>80</v>
      </c>
      <c r="D128" s="176">
        <f>IF((((inputs!$P$13/(inputs!E110/MAX('Max rate concentrations'!D$3:D$368)))^(1/inputs!$O$13))-1)/inputs!$N$13&lt;0, 0, IF((((inputs!$P$13/(inputs!E110/MAX('Max rate concentrations'!D$3:D$368)))^(1/inputs!$O$13))-1)/inputs!$N$13&gt;inputs!$I$17, inputs!$I$17, (((inputs!$P$13/(inputs!E110/MAX('Max rate concentrations'!D$3:D$368)))^(1/inputs!$O$13))-1)/inputs!$N$13))</f>
        <v>53.693491470472267</v>
      </c>
      <c r="E128" s="176">
        <f>IF((((inputs!$P$13/(inputs!E110/MAX('Max rate concentrations'!E$3:E$368)))^(1/inputs!$O$13))-1)/inputs!$N$13&lt;0, 0, IF((((inputs!$P$13/(inputs!E110/MAX('Max rate concentrations'!E$3:E$368)))^(1/inputs!$O$13))-1)/inputs!$N$13&gt;inputs!$I$17, inputs!$I$17, (((inputs!$P$13/(inputs!E110/MAX('Max rate concentrations'!E$3:E$368)))^(1/inputs!$O$13))-1)/inputs!$N$13))</f>
        <v>26.125471611651584</v>
      </c>
      <c r="F128" s="176">
        <f>IF((((inputs!$P$13/(inputs!E110/MAX('Max rate concentrations'!F$3:F$368)))^(1/inputs!$O$13))-1)/inputs!$N$13&lt;0, 0, IF((((inputs!$P$13/(inputs!E110/MAX('Max rate concentrations'!F$3:F$368)))^(1/inputs!$O$13))-1)/inputs!$N$13&gt;inputs!$I$17, inputs!$I$17, (((inputs!$P$13/(inputs!E110/MAX('Max rate concentrations'!F$3:F$368)))^(1/inputs!$O$13))-1)/inputs!$N$13))</f>
        <v>31.772555089830028</v>
      </c>
      <c r="G128" s="176">
        <f>IF((((inputs!$P$13/(inputs!E110/MAX('Max rate concentrations'!G$3:G$368)))^(1/inputs!$O$13))-1)/inputs!$N$13&lt;0, 0, IF((((inputs!$P$13/(inputs!E110/MAX('Max rate concentrations'!G$3:G$368)))^(1/inputs!$O$13))-1)/inputs!$N$13&gt;inputs!$I$17, inputs!$I$17, (((inputs!$P$13/(inputs!E110/MAX('Max rate concentrations'!G$3:G$368)))^(1/inputs!$O$13))-1)/inputs!$N$13))</f>
        <v>1.0320390526154632</v>
      </c>
      <c r="H128" s="176">
        <f>IF((((inputs!$P$13/(inputs!E110/MAX('Max rate concentrations'!H$3:H$368)))^(1/inputs!$O$13))-1)/inputs!$N$13&lt;0, 0, IF((((inputs!$P$13/(inputs!E110/MAX('Max rate concentrations'!H$3:H$368)))^(1/inputs!$O$13))-1)/inputs!$N$13&gt;inputs!$I$17, inputs!$I$17, (((inputs!$P$13/(inputs!E110/MAX('Max rate concentrations'!H$3:H$368)))^(1/inputs!$O$13))-1)/inputs!$N$13))</f>
        <v>22.383063140198651</v>
      </c>
      <c r="I128" s="176">
        <f>IF((((inputs!$P$13/(inputs!E110/MAX('Max rate concentrations'!I$3:I$368)))^(1/inputs!$O$13))-1)/inputs!$N$13&lt;0, 0, IF((((inputs!$P$13/(inputs!E110/MAX('Max rate concentrations'!I$3:I$368)))^(1/inputs!$O$13))-1)/inputs!$N$13&gt;inputs!$I$17, inputs!$I$17, (((inputs!$P$13/(inputs!E110/MAX('Max rate concentrations'!I$3:I$368)))^(1/inputs!$O$13))-1)/inputs!$N$13))</f>
        <v>2.3361371031619158</v>
      </c>
      <c r="J128" s="176">
        <f>IF((((inputs!$P$13/(inputs!E110/MAX('Max rate concentrations'!J$3:J$368)))^(1/inputs!$O$13))-1)/inputs!$N$13&lt;0, 0, IF((((inputs!$P$13/(inputs!E110/MAX('Max rate concentrations'!J$3:J$368)))^(1/inputs!$O$13))-1)/inputs!$N$13&gt;inputs!$I$17, inputs!$I$17, (((inputs!$P$13/(inputs!E110/MAX('Max rate concentrations'!J$3:J$368)))^(1/inputs!$O$13))-1)/inputs!$N$13))</f>
        <v>51.464158220911486</v>
      </c>
      <c r="K128" s="176">
        <f>IF((((inputs!$P$13/(inputs!E110/MAX('Max rate concentrations'!K$3:K$368)))^(1/inputs!$O$13))-1)/inputs!$N$13&lt;0, 0, IF((((inputs!$P$13/(inputs!E110/MAX('Max rate concentrations'!K$3:K$368)))^(1/inputs!$O$13))-1)/inputs!$N$13&gt;inputs!$I$17, inputs!$I$17, (((inputs!$P$13/(inputs!E110/MAX('Max rate concentrations'!K$3:K$368)))^(1/inputs!$O$13))-1)/inputs!$N$13))</f>
        <v>7.6683172376608635</v>
      </c>
      <c r="L128" s="176">
        <f>IF((((inputs!$P$13/(inputs!E110/MAX('Max rate concentrations'!L$3:L$368)))^(1/inputs!$O$13))-1)/inputs!$N$13&lt;0, 0, IF((((inputs!$P$13/(inputs!E110/MAX('Max rate concentrations'!L$3:L$368)))^(1/inputs!$O$13))-1)/inputs!$N$13&gt;inputs!$I$17, inputs!$I$17, (((inputs!$P$13/(inputs!E110/MAX('Max rate concentrations'!L$3:L$368)))^(1/inputs!$O$13))-1)/inputs!$N$13))</f>
        <v>27.693445485079963</v>
      </c>
      <c r="M128" s="176">
        <f>IF((((inputs!$P$13/(inputs!E110/MAX('Max rate concentrations'!M$3:M$368)))^(1/inputs!$O$13))-1)/inputs!$N$13&lt;0, 0, IF((((inputs!$P$13/(inputs!E110/MAX('Max rate concentrations'!M$3:M$368)))^(1/inputs!$O$13))-1)/inputs!$N$13&gt;inputs!$I$17, inputs!$I$17, (((inputs!$P$13/(inputs!E110/MAX('Max rate concentrations'!M$3:M$368)))^(1/inputs!$O$13))-1)/inputs!$N$13))</f>
        <v>0</v>
      </c>
      <c r="N128" s="101" t="s">
        <v>13</v>
      </c>
    </row>
    <row r="129" spans="1:14" x14ac:dyDescent="0.3">
      <c r="A129" s="41"/>
      <c r="B129" s="25" t="s">
        <v>62</v>
      </c>
      <c r="C129" s="22" t="s">
        <v>71</v>
      </c>
      <c r="D129" s="176">
        <f>IF((((inputs!$P$13/(inputs!E111/MAX('Max rate concentrations'!D$3:D$368)))^(1/inputs!$O$13))-1)/inputs!$N$13&lt;0, 0, IF((((inputs!$P$13/(inputs!E111/MAX('Max rate concentrations'!D$3:D$368)))^(1/inputs!$O$13))-1)/inputs!$N$13&gt;inputs!$I$17, inputs!$I$17, (((inputs!$P$13/(inputs!E111/MAX('Max rate concentrations'!D$3:D$368)))^(1/inputs!$O$13))-1)/inputs!$N$13))</f>
        <v>358.62392384645671</v>
      </c>
      <c r="E129" s="176">
        <f>IF((((inputs!$P$13/(inputs!E111/MAX('Max rate concentrations'!E$3:E$368)))^(1/inputs!$O$13))-1)/inputs!$N$13&lt;0, 0, IF((((inputs!$P$13/(inputs!E111/MAX('Max rate concentrations'!E$3:E$368)))^(1/inputs!$O$13))-1)/inputs!$N$13&gt;inputs!$I$17, inputs!$I$17, (((inputs!$P$13/(inputs!E111/MAX('Max rate concentrations'!E$3:E$368)))^(1/inputs!$O$13))-1)/inputs!$N$13))</f>
        <v>188.38444716305662</v>
      </c>
      <c r="F129" s="176">
        <f>IF((((inputs!$P$13/(inputs!E111/MAX('Max rate concentrations'!F$3:F$368)))^(1/inputs!$O$13))-1)/inputs!$N$13&lt;0, 0, IF((((inputs!$P$13/(inputs!E111/MAX('Max rate concentrations'!F$3:F$368)))^(1/inputs!$O$13))-1)/inputs!$N$13&gt;inputs!$I$17, inputs!$I$17, (((inputs!$P$13/(inputs!E111/MAX('Max rate concentrations'!F$3:F$368)))^(1/inputs!$O$13))-1)/inputs!$N$13))</f>
        <v>223.25661212215778</v>
      </c>
      <c r="G129" s="176">
        <f>IF((((inputs!$P$13/(inputs!E111/MAX('Max rate concentrations'!G$3:G$368)))^(1/inputs!$O$13))-1)/inputs!$N$13&lt;0, 0, IF((((inputs!$P$13/(inputs!E111/MAX('Max rate concentrations'!G$3:G$368)))^(1/inputs!$O$13))-1)/inputs!$N$13&gt;inputs!$I$17, inputs!$I$17, (((inputs!$P$13/(inputs!E111/MAX('Max rate concentrations'!G$3:G$368)))^(1/inputs!$O$13))-1)/inputs!$N$13))</f>
        <v>33.426171272462916</v>
      </c>
      <c r="H129" s="176">
        <f>IF((((inputs!$P$13/(inputs!E111/MAX('Max rate concentrations'!H$3:H$368)))^(1/inputs!$O$13))-1)/inputs!$N$13&lt;0, 0, IF((((inputs!$P$13/(inputs!E111/MAX('Max rate concentrations'!H$3:H$368)))^(1/inputs!$O$13))-1)/inputs!$N$13&gt;inputs!$I$17, inputs!$I$17, (((inputs!$P$13/(inputs!E111/MAX('Max rate concentrations'!H$3:H$368)))^(1/inputs!$O$13))-1)/inputs!$N$13))</f>
        <v>165.27413082628783</v>
      </c>
      <c r="I129" s="176">
        <f>IF((((inputs!$P$13/(inputs!E111/MAX('Max rate concentrations'!I$3:I$368)))^(1/inputs!$O$13))-1)/inputs!$N$13&lt;0, 0, IF((((inputs!$P$13/(inputs!E111/MAX('Max rate concentrations'!I$3:I$368)))^(1/inputs!$O$13))-1)/inputs!$N$13&gt;inputs!$I$17, inputs!$I$17, (((inputs!$P$13/(inputs!E111/MAX('Max rate concentrations'!I$3:I$368)))^(1/inputs!$O$13))-1)/inputs!$N$13))</f>
        <v>41.479305694369394</v>
      </c>
      <c r="J129" s="176">
        <f>IF((((inputs!$P$13/(inputs!E111/MAX('Max rate concentrations'!J$3:J$368)))^(1/inputs!$O$13))-1)/inputs!$N$13&lt;0, 0, IF((((inputs!$P$13/(inputs!E111/MAX('Max rate concentrations'!J$3:J$368)))^(1/inputs!$O$13))-1)/inputs!$N$13&gt;inputs!$I$17, inputs!$I$17, (((inputs!$P$13/(inputs!E111/MAX('Max rate concentrations'!J$3:J$368)))^(1/inputs!$O$13))-1)/inputs!$N$13))</f>
        <v>344.85722867931366</v>
      </c>
      <c r="K129" s="176">
        <f>IF((((inputs!$P$13/(inputs!E111/MAX('Max rate concentrations'!K$3:K$368)))^(1/inputs!$O$13))-1)/inputs!$N$13&lt;0, 0, IF((((inputs!$P$13/(inputs!E111/MAX('Max rate concentrations'!K$3:K$368)))^(1/inputs!$O$13))-1)/inputs!$N$13&gt;inputs!$I$17, inputs!$I$17, (((inputs!$P$13/(inputs!E111/MAX('Max rate concentrations'!K$3:K$368)))^(1/inputs!$O$13))-1)/inputs!$N$13))</f>
        <v>74.40686307162801</v>
      </c>
      <c r="L129" s="176">
        <f>IF((((inputs!$P$13/(inputs!E111/MAX('Max rate concentrations'!L$3:L$368)))^(1/inputs!$O$13))-1)/inputs!$N$13&lt;0, 0, IF((((inputs!$P$13/(inputs!E111/MAX('Max rate concentrations'!L$3:L$368)))^(1/inputs!$O$13))-1)/inputs!$N$13&gt;inputs!$I$17, inputs!$I$17, (((inputs!$P$13/(inputs!E111/MAX('Max rate concentrations'!L$3:L$368)))^(1/inputs!$O$13))-1)/inputs!$N$13))</f>
        <v>198.0670813541476</v>
      </c>
      <c r="M129" s="176">
        <f>IF((((inputs!$P$13/(inputs!E111/MAX('Max rate concentrations'!M$3:M$368)))^(1/inputs!$O$13))-1)/inputs!$N$13&lt;0, 0, IF((((inputs!$P$13/(inputs!E111/MAX('Max rate concentrations'!M$3:M$368)))^(1/inputs!$O$13))-1)/inputs!$N$13&gt;inputs!$I$17, inputs!$I$17, (((inputs!$P$13/(inputs!E111/MAX('Max rate concentrations'!M$3:M$368)))^(1/inputs!$O$13))-1)/inputs!$N$13))</f>
        <v>12.442258732258576</v>
      </c>
      <c r="N129" s="101" t="s">
        <v>13</v>
      </c>
    </row>
    <row r="130" spans="1:14" x14ac:dyDescent="0.3">
      <c r="A130" s="41"/>
      <c r="B130" s="180" t="s">
        <v>62</v>
      </c>
      <c r="C130" s="61" t="s">
        <v>81</v>
      </c>
      <c r="D130" s="176">
        <f>IF((((inputs!$P$13/(inputs!E112/MAX('Max rate concentrations'!D$3:D$368)))^(1/inputs!$O$13))-1)/inputs!$N$13&lt;0, 0, IF((((inputs!$P$13/(inputs!E112/MAX('Max rate concentrations'!D$3:D$368)))^(1/inputs!$O$13))-1)/inputs!$N$13&gt;inputs!$I$17, inputs!$I$17, (((inputs!$P$13/(inputs!E112/MAX('Max rate concentrations'!D$3:D$368)))^(1/inputs!$O$13))-1)/inputs!$N$13))</f>
        <v>196.40544532692766</v>
      </c>
      <c r="E130" s="176">
        <f>IF((((inputs!$P$13/(inputs!E112/MAX('Max rate concentrations'!E$3:E$368)))^(1/inputs!$O$13))-1)/inputs!$N$13&lt;0, 0, IF((((inputs!$P$13/(inputs!E112/MAX('Max rate concentrations'!E$3:E$368)))^(1/inputs!$O$13))-1)/inputs!$N$13&gt;inputs!$I$17, inputs!$I$17, (((inputs!$P$13/(inputs!E112/MAX('Max rate concentrations'!E$3:E$368)))^(1/inputs!$O$13))-1)/inputs!$N$13))</f>
        <v>102.06507282251319</v>
      </c>
      <c r="F130" s="176">
        <f>IF((((inputs!$P$13/(inputs!E112/MAX('Max rate concentrations'!F$3:F$368)))^(1/inputs!$O$13))-1)/inputs!$N$13&lt;0, 0, IF((((inputs!$P$13/(inputs!E112/MAX('Max rate concentrations'!F$3:F$368)))^(1/inputs!$O$13))-1)/inputs!$N$13&gt;inputs!$I$17, inputs!$I$17, (((inputs!$P$13/(inputs!E112/MAX('Max rate concentrations'!F$3:F$368)))^(1/inputs!$O$13))-1)/inputs!$N$13))</f>
        <v>121.38992682447441</v>
      </c>
      <c r="G130" s="176">
        <f>IF((((inputs!$P$13/(inputs!E112/MAX('Max rate concentrations'!G$3:G$368)))^(1/inputs!$O$13))-1)/inputs!$N$13&lt;0, 0, IF((((inputs!$P$13/(inputs!E112/MAX('Max rate concentrations'!G$3:G$368)))^(1/inputs!$O$13))-1)/inputs!$N$13&gt;inputs!$I$17, inputs!$I$17, (((inputs!$P$13/(inputs!E112/MAX('Max rate concentrations'!G$3:G$368)))^(1/inputs!$O$13))-1)/inputs!$N$13))</f>
        <v>16.192972208931302</v>
      </c>
      <c r="H130" s="176">
        <f>IF((((inputs!$P$13/(inputs!E112/MAX('Max rate concentrations'!H$3:H$368)))^(1/inputs!$O$13))-1)/inputs!$N$13&lt;0, 0, IF((((inputs!$P$13/(inputs!E112/MAX('Max rate concentrations'!H$3:H$368)))^(1/inputs!$O$13))-1)/inputs!$N$13&gt;inputs!$I$17, inputs!$I$17, (((inputs!$P$13/(inputs!E112/MAX('Max rate concentrations'!H$3:H$368)))^(1/inputs!$O$13))-1)/inputs!$N$13))</f>
        <v>89.258196918164103</v>
      </c>
      <c r="I130" s="176">
        <f>IF((((inputs!$P$13/(inputs!E112/MAX('Max rate concentrations'!I$3:I$368)))^(1/inputs!$O$13))-1)/inputs!$N$13&lt;0, 0, IF((((inputs!$P$13/(inputs!E112/MAX('Max rate concentrations'!I$3:I$368)))^(1/inputs!$O$13))-1)/inputs!$N$13&gt;inputs!$I$17, inputs!$I$17, (((inputs!$P$13/(inputs!E112/MAX('Max rate concentrations'!I$3:I$368)))^(1/inputs!$O$13))-1)/inputs!$N$13))</f>
        <v>20.655719134567633</v>
      </c>
      <c r="J130" s="176">
        <f>IF((((inputs!$P$13/(inputs!E112/MAX('Max rate concentrations'!J$3:J$368)))^(1/inputs!$O$13))-1)/inputs!$N$13&lt;0, 0, IF((((inputs!$P$13/(inputs!E112/MAX('Max rate concentrations'!J$3:J$368)))^(1/inputs!$O$13))-1)/inputs!$N$13&gt;inputs!$I$17, inputs!$I$17, (((inputs!$P$13/(inputs!E112/MAX('Max rate concentrations'!J$3:J$368)))^(1/inputs!$O$13))-1)/inputs!$N$13))</f>
        <v>188.77645600244594</v>
      </c>
      <c r="K130" s="176">
        <f>IF((((inputs!$P$13/(inputs!E112/MAX('Max rate concentrations'!K$3:K$368)))^(1/inputs!$O$13))-1)/inputs!$N$13&lt;0, 0, IF((((inputs!$P$13/(inputs!E112/MAX('Max rate concentrations'!K$3:K$368)))^(1/inputs!$O$13))-1)/inputs!$N$13&gt;inputs!$I$17, inputs!$I$17, (((inputs!$P$13/(inputs!E112/MAX('Max rate concentrations'!K$3:K$368)))^(1/inputs!$O$13))-1)/inputs!$N$13))</f>
        <v>38.902944097600908</v>
      </c>
      <c r="L130" s="176">
        <f>IF((((inputs!$P$13/(inputs!E112/MAX('Max rate concentrations'!L$3:L$368)))^(1/inputs!$O$13))-1)/inputs!$N$13&lt;0, 0, IF((((inputs!$P$13/(inputs!E112/MAX('Max rate concentrations'!L$3:L$368)))^(1/inputs!$O$13))-1)/inputs!$N$13&gt;inputs!$I$17, inputs!$I$17, (((inputs!$P$13/(inputs!E112/MAX('Max rate concentrations'!L$3:L$368)))^(1/inputs!$O$13))-1)/inputs!$N$13))</f>
        <v>107.4308277825704</v>
      </c>
      <c r="M130" s="176">
        <f>IF((((inputs!$P$13/(inputs!E112/MAX('Max rate concentrations'!M$3:M$368)))^(1/inputs!$O$13))-1)/inputs!$N$13&lt;0, 0, IF((((inputs!$P$13/(inputs!E112/MAX('Max rate concentrations'!M$3:M$368)))^(1/inputs!$O$13))-1)/inputs!$N$13&gt;inputs!$I$17, inputs!$I$17, (((inputs!$P$13/(inputs!E112/MAX('Max rate concentrations'!M$3:M$368)))^(1/inputs!$O$13))-1)/inputs!$N$13))</f>
        <v>4.5644700294719742</v>
      </c>
      <c r="N130" s="101" t="s">
        <v>13</v>
      </c>
    </row>
    <row r="131" spans="1:14" x14ac:dyDescent="0.3">
      <c r="A131" s="41"/>
      <c r="B131" s="180" t="s">
        <v>62</v>
      </c>
      <c r="C131" s="61" t="s">
        <v>82</v>
      </c>
      <c r="D131" s="176">
        <f>IF((((inputs!$P$13/(inputs!E113/MAX('Max rate concentrations'!D$3:D$368)))^(1/inputs!$O$13))-1)/inputs!$N$13&lt;0, 0, IF((((inputs!$P$13/(inputs!E113/MAX('Max rate concentrations'!D$3:D$368)))^(1/inputs!$O$13))-1)/inputs!$N$13&gt;inputs!$I$17, inputs!$I$17, (((inputs!$P$13/(inputs!E113/MAX('Max rate concentrations'!D$3:D$368)))^(1/inputs!$O$13))-1)/inputs!$N$13))</f>
        <v>111.59677860836642</v>
      </c>
      <c r="E131" s="176">
        <f>IF((((inputs!$P$13/(inputs!E113/MAX('Max rate concentrations'!E$3:E$368)))^(1/inputs!$O$13))-1)/inputs!$N$13&lt;0, 0, IF((((inputs!$P$13/(inputs!E113/MAX('Max rate concentrations'!E$3:E$368)))^(1/inputs!$O$13))-1)/inputs!$N$13&gt;inputs!$I$17, inputs!$I$17, (((inputs!$P$13/(inputs!E113/MAX('Max rate concentrations'!E$3:E$368)))^(1/inputs!$O$13))-1)/inputs!$N$13))</f>
        <v>56.936853666391755</v>
      </c>
      <c r="F131" s="176">
        <f>IF((((inputs!$P$13/(inputs!E113/MAX('Max rate concentrations'!F$3:F$368)))^(1/inputs!$O$13))-1)/inputs!$N$13&lt;0, 0, IF((((inputs!$P$13/(inputs!E113/MAX('Max rate concentrations'!F$3:F$368)))^(1/inputs!$O$13))-1)/inputs!$N$13&gt;inputs!$I$17, inputs!$I$17, (((inputs!$P$13/(inputs!E113/MAX('Max rate concentrations'!F$3:F$368)))^(1/inputs!$O$13))-1)/inputs!$N$13))</f>
        <v>68.133492403560112</v>
      </c>
      <c r="G131" s="176">
        <f>IF((((inputs!$P$13/(inputs!E113/MAX('Max rate concentrations'!G$3:G$368)))^(1/inputs!$O$13))-1)/inputs!$N$13&lt;0, 0, IF((((inputs!$P$13/(inputs!E113/MAX('Max rate concentrations'!G$3:G$368)))^(1/inputs!$O$13))-1)/inputs!$N$13&gt;inputs!$I$17, inputs!$I$17, (((inputs!$P$13/(inputs!E113/MAX('Max rate concentrations'!G$3:G$368)))^(1/inputs!$O$13))-1)/inputs!$N$13))</f>
        <v>7.1833658483481164</v>
      </c>
      <c r="H131" s="176">
        <f>IF((((inputs!$P$13/(inputs!E113/MAX('Max rate concentrations'!H$3:H$368)))^(1/inputs!$O$13))-1)/inputs!$N$13&lt;0, 0, IF((((inputs!$P$13/(inputs!E113/MAX('Max rate concentrations'!H$3:H$368)))^(1/inputs!$O$13))-1)/inputs!$N$13&gt;inputs!$I$17, inputs!$I$17, (((inputs!$P$13/(inputs!E113/MAX('Max rate concentrations'!H$3:H$368)))^(1/inputs!$O$13))-1)/inputs!$N$13))</f>
        <v>49.516670163934727</v>
      </c>
      <c r="I131" s="176">
        <f>IF((((inputs!$P$13/(inputs!E113/MAX('Max rate concentrations'!I$3:I$368)))^(1/inputs!$O$13))-1)/inputs!$N$13&lt;0, 0, IF((((inputs!$P$13/(inputs!E113/MAX('Max rate concentrations'!I$3:I$368)))^(1/inputs!$O$13))-1)/inputs!$N$13&gt;inputs!$I$17, inputs!$I$17, (((inputs!$P$13/(inputs!E113/MAX('Max rate concentrations'!I$3:I$368)))^(1/inputs!$O$13))-1)/inputs!$N$13))</f>
        <v>9.7690394630976805</v>
      </c>
      <c r="J131" s="176">
        <f>IF((((inputs!$P$13/(inputs!E113/MAX('Max rate concentrations'!J$3:J$368)))^(1/inputs!$O$13))-1)/inputs!$N$13&lt;0, 0, IF((((inputs!$P$13/(inputs!E113/MAX('Max rate concentrations'!J$3:J$368)))^(1/inputs!$O$13))-1)/inputs!$N$13&gt;inputs!$I$17, inputs!$I$17, (((inputs!$P$13/(inputs!E113/MAX('Max rate concentrations'!J$3:J$368)))^(1/inputs!$O$13))-1)/inputs!$N$13))</f>
        <v>107.17661391334386</v>
      </c>
      <c r="K131" s="176">
        <f>IF((((inputs!$P$13/(inputs!E113/MAX('Max rate concentrations'!K$3:K$368)))^(1/inputs!$O$13))-1)/inputs!$N$13&lt;0, 0, IF((((inputs!$P$13/(inputs!E113/MAX('Max rate concentrations'!K$3:K$368)))^(1/inputs!$O$13))-1)/inputs!$N$13&gt;inputs!$I$17, inputs!$I$17, (((inputs!$P$13/(inputs!E113/MAX('Max rate concentrations'!K$3:K$368)))^(1/inputs!$O$13))-1)/inputs!$N$13))</f>
        <v>20.341310065824583</v>
      </c>
      <c r="L131" s="176">
        <f>IF((((inputs!$P$13/(inputs!E113/MAX('Max rate concentrations'!L$3:L$368)))^(1/inputs!$O$13))-1)/inputs!$N$13&lt;0, 0, IF((((inputs!$P$13/(inputs!E113/MAX('Max rate concentrations'!L$3:L$368)))^(1/inputs!$O$13))-1)/inputs!$N$13&gt;inputs!$I$17, inputs!$I$17, (((inputs!$P$13/(inputs!E113/MAX('Max rate concentrations'!L$3:L$368)))^(1/inputs!$O$13))-1)/inputs!$N$13))</f>
        <v>60.045721647170915</v>
      </c>
      <c r="M131" s="176">
        <f>IF((((inputs!$P$13/(inputs!E113/MAX('Max rate concentrations'!M$3:M$368)))^(1/inputs!$O$13))-1)/inputs!$N$13&lt;0, 0, IF((((inputs!$P$13/(inputs!E113/MAX('Max rate concentrations'!M$3:M$368)))^(1/inputs!$O$13))-1)/inputs!$N$13&gt;inputs!$I$17, inputs!$I$17, (((inputs!$P$13/(inputs!E113/MAX('Max rate concentrations'!M$3:M$368)))^(1/inputs!$O$13))-1)/inputs!$N$13))</f>
        <v>0.4459210042852686</v>
      </c>
      <c r="N131" s="101" t="s">
        <v>13</v>
      </c>
    </row>
    <row r="132" spans="1:14" x14ac:dyDescent="0.3">
      <c r="A132" s="41"/>
      <c r="B132" s="180" t="s">
        <v>62</v>
      </c>
      <c r="C132" s="61" t="s">
        <v>83</v>
      </c>
      <c r="D132" s="176">
        <f>IF((((inputs!$P$13/(inputs!E114/MAX('Max rate concentrations'!D$3:D$368)))^(1/inputs!$O$13))-1)/inputs!$N$13&lt;0, 0, IF((((inputs!$P$13/(inputs!E114/MAX('Max rate concentrations'!D$3:D$368)))^(1/inputs!$O$13))-1)/inputs!$N$13&gt;inputs!$I$17, inputs!$I$17, (((inputs!$P$13/(inputs!E114/MAX('Max rate concentrations'!D$3:D$368)))^(1/inputs!$O$13))-1)/inputs!$N$13))</f>
        <v>196.40544532692766</v>
      </c>
      <c r="E132" s="176">
        <f>IF((((inputs!$P$13/(inputs!E114/MAX('Max rate concentrations'!E$3:E$368)))^(1/inputs!$O$13))-1)/inputs!$N$13&lt;0, 0, IF((((inputs!$P$13/(inputs!E114/MAX('Max rate concentrations'!E$3:E$368)))^(1/inputs!$O$13))-1)/inputs!$N$13&gt;inputs!$I$17, inputs!$I$17, (((inputs!$P$13/(inputs!E114/MAX('Max rate concentrations'!E$3:E$368)))^(1/inputs!$O$13))-1)/inputs!$N$13))</f>
        <v>102.06507282251319</v>
      </c>
      <c r="F132" s="176">
        <f>IF((((inputs!$P$13/(inputs!E114/MAX('Max rate concentrations'!F$3:F$368)))^(1/inputs!$O$13))-1)/inputs!$N$13&lt;0, 0, IF((((inputs!$P$13/(inputs!E114/MAX('Max rate concentrations'!F$3:F$368)))^(1/inputs!$O$13))-1)/inputs!$N$13&gt;inputs!$I$17, inputs!$I$17, (((inputs!$P$13/(inputs!E114/MAX('Max rate concentrations'!F$3:F$368)))^(1/inputs!$O$13))-1)/inputs!$N$13))</f>
        <v>121.38992682447441</v>
      </c>
      <c r="G132" s="176">
        <f>IF((((inputs!$P$13/(inputs!E114/MAX('Max rate concentrations'!G$3:G$368)))^(1/inputs!$O$13))-1)/inputs!$N$13&lt;0, 0, IF((((inputs!$P$13/(inputs!E114/MAX('Max rate concentrations'!G$3:G$368)))^(1/inputs!$O$13))-1)/inputs!$N$13&gt;inputs!$I$17, inputs!$I$17, (((inputs!$P$13/(inputs!E114/MAX('Max rate concentrations'!G$3:G$368)))^(1/inputs!$O$13))-1)/inputs!$N$13))</f>
        <v>16.192972208931302</v>
      </c>
      <c r="H132" s="176">
        <f>IF((((inputs!$P$13/(inputs!E114/MAX('Max rate concentrations'!H$3:H$368)))^(1/inputs!$O$13))-1)/inputs!$N$13&lt;0, 0, IF((((inputs!$P$13/(inputs!E114/MAX('Max rate concentrations'!H$3:H$368)))^(1/inputs!$O$13))-1)/inputs!$N$13&gt;inputs!$I$17, inputs!$I$17, (((inputs!$P$13/(inputs!E114/MAX('Max rate concentrations'!H$3:H$368)))^(1/inputs!$O$13))-1)/inputs!$N$13))</f>
        <v>89.258196918164103</v>
      </c>
      <c r="I132" s="176">
        <f>IF((((inputs!$P$13/(inputs!E114/MAX('Max rate concentrations'!I$3:I$368)))^(1/inputs!$O$13))-1)/inputs!$N$13&lt;0, 0, IF((((inputs!$P$13/(inputs!E114/MAX('Max rate concentrations'!I$3:I$368)))^(1/inputs!$O$13))-1)/inputs!$N$13&gt;inputs!$I$17, inputs!$I$17, (((inputs!$P$13/(inputs!E114/MAX('Max rate concentrations'!I$3:I$368)))^(1/inputs!$O$13))-1)/inputs!$N$13))</f>
        <v>20.655719134567633</v>
      </c>
      <c r="J132" s="176">
        <f>IF((((inputs!$P$13/(inputs!E114/MAX('Max rate concentrations'!J$3:J$368)))^(1/inputs!$O$13))-1)/inputs!$N$13&lt;0, 0, IF((((inputs!$P$13/(inputs!E114/MAX('Max rate concentrations'!J$3:J$368)))^(1/inputs!$O$13))-1)/inputs!$N$13&gt;inputs!$I$17, inputs!$I$17, (((inputs!$P$13/(inputs!E114/MAX('Max rate concentrations'!J$3:J$368)))^(1/inputs!$O$13))-1)/inputs!$N$13))</f>
        <v>188.77645600244594</v>
      </c>
      <c r="K132" s="176">
        <f>IF((((inputs!$P$13/(inputs!E114/MAX('Max rate concentrations'!K$3:K$368)))^(1/inputs!$O$13))-1)/inputs!$N$13&lt;0, 0, IF((((inputs!$P$13/(inputs!E114/MAX('Max rate concentrations'!K$3:K$368)))^(1/inputs!$O$13))-1)/inputs!$N$13&gt;inputs!$I$17, inputs!$I$17, (((inputs!$P$13/(inputs!E114/MAX('Max rate concentrations'!K$3:K$368)))^(1/inputs!$O$13))-1)/inputs!$N$13))</f>
        <v>38.902944097600908</v>
      </c>
      <c r="L132" s="176">
        <f>IF((((inputs!$P$13/(inputs!E114/MAX('Max rate concentrations'!L$3:L$368)))^(1/inputs!$O$13))-1)/inputs!$N$13&lt;0, 0, IF((((inputs!$P$13/(inputs!E114/MAX('Max rate concentrations'!L$3:L$368)))^(1/inputs!$O$13))-1)/inputs!$N$13&gt;inputs!$I$17, inputs!$I$17, (((inputs!$P$13/(inputs!E114/MAX('Max rate concentrations'!L$3:L$368)))^(1/inputs!$O$13))-1)/inputs!$N$13))</f>
        <v>107.4308277825704</v>
      </c>
      <c r="M132" s="176">
        <f>IF((((inputs!$P$13/(inputs!E114/MAX('Max rate concentrations'!M$3:M$368)))^(1/inputs!$O$13))-1)/inputs!$N$13&lt;0, 0, IF((((inputs!$P$13/(inputs!E114/MAX('Max rate concentrations'!M$3:M$368)))^(1/inputs!$O$13))-1)/inputs!$N$13&gt;inputs!$I$17, inputs!$I$17, (((inputs!$P$13/(inputs!E114/MAX('Max rate concentrations'!M$3:M$368)))^(1/inputs!$O$13))-1)/inputs!$N$13))</f>
        <v>4.5644700294719742</v>
      </c>
      <c r="N132" s="101" t="s">
        <v>13</v>
      </c>
    </row>
    <row r="133" spans="1:14" x14ac:dyDescent="0.3">
      <c r="A133" s="41"/>
      <c r="B133" s="180" t="s">
        <v>62</v>
      </c>
      <c r="C133" s="61" t="s">
        <v>84</v>
      </c>
      <c r="D133" s="176">
        <f>IF((((inputs!$P$13/(inputs!E115/MAX('Max rate concentrations'!D$3:D$368)))^(1/inputs!$O$13))-1)/inputs!$N$13&lt;0, 0, IF((((inputs!$P$13/(inputs!E115/MAX('Max rate concentrations'!D$3:D$368)))^(1/inputs!$O$13))-1)/inputs!$N$13&gt;inputs!$I$17, inputs!$I$17, (((inputs!$P$13/(inputs!E115/MAX('Max rate concentrations'!D$3:D$368)))^(1/inputs!$O$13))-1)/inputs!$N$13))</f>
        <v>111.59677860836642</v>
      </c>
      <c r="E133" s="176">
        <f>IF((((inputs!$P$13/(inputs!E115/MAX('Max rate concentrations'!E$3:E$368)))^(1/inputs!$O$13))-1)/inputs!$N$13&lt;0, 0, IF((((inputs!$P$13/(inputs!E115/MAX('Max rate concentrations'!E$3:E$368)))^(1/inputs!$O$13))-1)/inputs!$N$13&gt;inputs!$I$17, inputs!$I$17, (((inputs!$P$13/(inputs!E115/MAX('Max rate concentrations'!E$3:E$368)))^(1/inputs!$O$13))-1)/inputs!$N$13))</f>
        <v>56.936853666391755</v>
      </c>
      <c r="F133" s="176">
        <f>IF((((inputs!$P$13/(inputs!E115/MAX('Max rate concentrations'!F$3:F$368)))^(1/inputs!$O$13))-1)/inputs!$N$13&lt;0, 0, IF((((inputs!$P$13/(inputs!E115/MAX('Max rate concentrations'!F$3:F$368)))^(1/inputs!$O$13))-1)/inputs!$N$13&gt;inputs!$I$17, inputs!$I$17, (((inputs!$P$13/(inputs!E115/MAX('Max rate concentrations'!F$3:F$368)))^(1/inputs!$O$13))-1)/inputs!$N$13))</f>
        <v>68.133492403560112</v>
      </c>
      <c r="G133" s="176">
        <f>IF((((inputs!$P$13/(inputs!E115/MAX('Max rate concentrations'!G$3:G$368)))^(1/inputs!$O$13))-1)/inputs!$N$13&lt;0, 0, IF((((inputs!$P$13/(inputs!E115/MAX('Max rate concentrations'!G$3:G$368)))^(1/inputs!$O$13))-1)/inputs!$N$13&gt;inputs!$I$17, inputs!$I$17, (((inputs!$P$13/(inputs!E115/MAX('Max rate concentrations'!G$3:G$368)))^(1/inputs!$O$13))-1)/inputs!$N$13))</f>
        <v>7.1833658483481164</v>
      </c>
      <c r="H133" s="176">
        <f>IF((((inputs!$P$13/(inputs!E115/MAX('Max rate concentrations'!H$3:H$368)))^(1/inputs!$O$13))-1)/inputs!$N$13&lt;0, 0, IF((((inputs!$P$13/(inputs!E115/MAX('Max rate concentrations'!H$3:H$368)))^(1/inputs!$O$13))-1)/inputs!$N$13&gt;inputs!$I$17, inputs!$I$17, (((inputs!$P$13/(inputs!E115/MAX('Max rate concentrations'!H$3:H$368)))^(1/inputs!$O$13))-1)/inputs!$N$13))</f>
        <v>49.516670163934727</v>
      </c>
      <c r="I133" s="176">
        <f>IF((((inputs!$P$13/(inputs!E115/MAX('Max rate concentrations'!I$3:I$368)))^(1/inputs!$O$13))-1)/inputs!$N$13&lt;0, 0, IF((((inputs!$P$13/(inputs!E115/MAX('Max rate concentrations'!I$3:I$368)))^(1/inputs!$O$13))-1)/inputs!$N$13&gt;inputs!$I$17, inputs!$I$17, (((inputs!$P$13/(inputs!E115/MAX('Max rate concentrations'!I$3:I$368)))^(1/inputs!$O$13))-1)/inputs!$N$13))</f>
        <v>9.7690394630976805</v>
      </c>
      <c r="J133" s="176">
        <f>IF((((inputs!$P$13/(inputs!E115/MAX('Max rate concentrations'!J$3:J$368)))^(1/inputs!$O$13))-1)/inputs!$N$13&lt;0, 0, IF((((inputs!$P$13/(inputs!E115/MAX('Max rate concentrations'!J$3:J$368)))^(1/inputs!$O$13))-1)/inputs!$N$13&gt;inputs!$I$17, inputs!$I$17, (((inputs!$P$13/(inputs!E115/MAX('Max rate concentrations'!J$3:J$368)))^(1/inputs!$O$13))-1)/inputs!$N$13))</f>
        <v>107.17661391334386</v>
      </c>
      <c r="K133" s="176">
        <f>IF((((inputs!$P$13/(inputs!E115/MAX('Max rate concentrations'!K$3:K$368)))^(1/inputs!$O$13))-1)/inputs!$N$13&lt;0, 0, IF((((inputs!$P$13/(inputs!E115/MAX('Max rate concentrations'!K$3:K$368)))^(1/inputs!$O$13))-1)/inputs!$N$13&gt;inputs!$I$17, inputs!$I$17, (((inputs!$P$13/(inputs!E115/MAX('Max rate concentrations'!K$3:K$368)))^(1/inputs!$O$13))-1)/inputs!$N$13))</f>
        <v>20.341310065824583</v>
      </c>
      <c r="L133" s="176">
        <f>IF((((inputs!$P$13/(inputs!E115/MAX('Max rate concentrations'!L$3:L$368)))^(1/inputs!$O$13))-1)/inputs!$N$13&lt;0, 0, IF((((inputs!$P$13/(inputs!E115/MAX('Max rate concentrations'!L$3:L$368)))^(1/inputs!$O$13))-1)/inputs!$N$13&gt;inputs!$I$17, inputs!$I$17, (((inputs!$P$13/(inputs!E115/MAX('Max rate concentrations'!L$3:L$368)))^(1/inputs!$O$13))-1)/inputs!$N$13))</f>
        <v>60.045721647170915</v>
      </c>
      <c r="M133" s="176">
        <f>IF((((inputs!$P$13/(inputs!E115/MAX('Max rate concentrations'!M$3:M$368)))^(1/inputs!$O$13))-1)/inputs!$N$13&lt;0, 0, IF((((inputs!$P$13/(inputs!E115/MAX('Max rate concentrations'!M$3:M$368)))^(1/inputs!$O$13))-1)/inputs!$N$13&gt;inputs!$I$17, inputs!$I$17, (((inputs!$P$13/(inputs!E115/MAX('Max rate concentrations'!M$3:M$368)))^(1/inputs!$O$13))-1)/inputs!$N$13))</f>
        <v>0.4459210042852686</v>
      </c>
      <c r="N133" s="101" t="s">
        <v>13</v>
      </c>
    </row>
    <row r="134" spans="1:14" x14ac:dyDescent="0.3">
      <c r="A134" s="41"/>
      <c r="B134" s="180" t="s">
        <v>62</v>
      </c>
      <c r="C134" s="61" t="s">
        <v>85</v>
      </c>
      <c r="D134" s="176">
        <f>IF((((inputs!$P$13/(inputs!E116/MAX('Max rate concentrations'!D$3:D$368)))^(1/inputs!$O$13))-1)/inputs!$N$13&lt;0, 0, IF((((inputs!$P$13/(inputs!E116/MAX('Max rate concentrations'!D$3:D$368)))^(1/inputs!$O$13))-1)/inputs!$N$13&gt;inputs!$I$17, inputs!$I$17, (((inputs!$P$13/(inputs!E116/MAX('Max rate concentrations'!D$3:D$368)))^(1/inputs!$O$13))-1)/inputs!$N$13))</f>
        <v>57.745161980293368</v>
      </c>
      <c r="E134" s="176">
        <f>IF((((inputs!$P$13/(inputs!E116/MAX('Max rate concentrations'!E$3:E$368)))^(1/inputs!$O$13))-1)/inputs!$N$13&lt;0, 0, IF((((inputs!$P$13/(inputs!E116/MAX('Max rate concentrations'!E$3:E$368)))^(1/inputs!$O$13))-1)/inputs!$N$13&gt;inputs!$I$17, inputs!$I$17, (((inputs!$P$13/(inputs!E116/MAX('Max rate concentrations'!E$3:E$368)))^(1/inputs!$O$13))-1)/inputs!$N$13))</f>
        <v>28.281438469642353</v>
      </c>
      <c r="F134" s="176">
        <f>IF((((inputs!$P$13/(inputs!E116/MAX('Max rate concentrations'!F$3:F$368)))^(1/inputs!$O$13))-1)/inputs!$N$13&lt;0, 0, IF((((inputs!$P$13/(inputs!E116/MAX('Max rate concentrations'!F$3:F$368)))^(1/inputs!$O$13))-1)/inputs!$N$13&gt;inputs!$I$17, inputs!$I$17, (((inputs!$P$13/(inputs!E116/MAX('Max rate concentrations'!F$3:F$368)))^(1/inputs!$O$13))-1)/inputs!$N$13))</f>
        <v>34.316841342053536</v>
      </c>
      <c r="G134" s="176">
        <f>IF((((inputs!$P$13/(inputs!E116/MAX('Max rate concentrations'!G$3:G$368)))^(1/inputs!$O$13))-1)/inputs!$N$13&lt;0, 0, IF((((inputs!$P$13/(inputs!E116/MAX('Max rate concentrations'!G$3:G$368)))^(1/inputs!$O$13))-1)/inputs!$N$13&gt;inputs!$I$17, inputs!$I$17, (((inputs!$P$13/(inputs!E116/MAX('Max rate concentrations'!G$3:G$368)))^(1/inputs!$O$13))-1)/inputs!$N$13))</f>
        <v>1.4624662460697657</v>
      </c>
      <c r="H134" s="176">
        <f>IF((((inputs!$P$13/(inputs!E116/MAX('Max rate concentrations'!H$3:H$368)))^(1/inputs!$O$13))-1)/inputs!$N$13&lt;0, 0, IF((((inputs!$P$13/(inputs!E116/MAX('Max rate concentrations'!H$3:H$368)))^(1/inputs!$O$13))-1)/inputs!$N$13&gt;inputs!$I$17, inputs!$I$17, (((inputs!$P$13/(inputs!E116/MAX('Max rate concentrations'!H$3:H$368)))^(1/inputs!$O$13))-1)/inputs!$N$13))</f>
        <v>24.281684804653352</v>
      </c>
      <c r="I134" s="176">
        <f>IF((((inputs!$P$13/(inputs!E116/MAX('Max rate concentrations'!I$3:I$368)))^(1/inputs!$O$13))-1)/inputs!$N$13&lt;0, 0, IF((((inputs!$P$13/(inputs!E116/MAX('Max rate concentrations'!I$3:I$368)))^(1/inputs!$O$13))-1)/inputs!$N$13&gt;inputs!$I$17, inputs!$I$17, (((inputs!$P$13/(inputs!E116/MAX('Max rate concentrations'!I$3:I$368)))^(1/inputs!$O$13))-1)/inputs!$N$13))</f>
        <v>2.8562400676518664</v>
      </c>
      <c r="J134" s="176">
        <f>IF((((inputs!$P$13/(inputs!E116/MAX('Max rate concentrations'!J$3:J$368)))^(1/inputs!$O$13))-1)/inputs!$N$13&lt;0, 0, IF((((inputs!$P$13/(inputs!E116/MAX('Max rate concentrations'!J$3:J$368)))^(1/inputs!$O$13))-1)/inputs!$N$13&gt;inputs!$I$17, inputs!$I$17, (((inputs!$P$13/(inputs!E116/MAX('Max rate concentrations'!J$3:J$368)))^(1/inputs!$O$13))-1)/inputs!$N$13))</f>
        <v>55.362529538263139</v>
      </c>
      <c r="K134" s="176">
        <f>IF((((inputs!$P$13/(inputs!E116/MAX('Max rate concentrations'!K$3:K$368)))^(1/inputs!$O$13))-1)/inputs!$N$13&lt;0, 0, IF((((inputs!$P$13/(inputs!E116/MAX('Max rate concentrations'!K$3:K$368)))^(1/inputs!$O$13))-1)/inputs!$N$13&gt;inputs!$I$17, inputs!$I$17, (((inputs!$P$13/(inputs!E116/MAX('Max rate concentrations'!K$3:K$368)))^(1/inputs!$O$13))-1)/inputs!$N$13))</f>
        <v>8.5550853962762012</v>
      </c>
      <c r="L134" s="176">
        <f>IF((((inputs!$P$13/(inputs!E116/MAX('Max rate concentrations'!L$3:L$368)))^(1/inputs!$O$13))-1)/inputs!$N$13&lt;0, 0, IF((((inputs!$P$13/(inputs!E116/MAX('Max rate concentrations'!L$3:L$368)))^(1/inputs!$O$13))-1)/inputs!$N$13&gt;inputs!$I$17, inputs!$I$17, (((inputs!$P$13/(inputs!E116/MAX('Max rate concentrations'!L$3:L$368)))^(1/inputs!$O$13))-1)/inputs!$N$13))</f>
        <v>29.957233427539425</v>
      </c>
      <c r="M134" s="176">
        <f>IF((((inputs!$P$13/(inputs!E116/MAX('Max rate concentrations'!M$3:M$368)))^(1/inputs!$O$13))-1)/inputs!$N$13&lt;0, 0, IF((((inputs!$P$13/(inputs!E116/MAX('Max rate concentrations'!M$3:M$368)))^(1/inputs!$O$13))-1)/inputs!$N$13&gt;inputs!$I$17, inputs!$I$17, (((inputs!$P$13/(inputs!E116/MAX('Max rate concentrations'!M$3:M$368)))^(1/inputs!$O$13))-1)/inputs!$N$13))</f>
        <v>0</v>
      </c>
      <c r="N134" s="101" t="s">
        <v>13</v>
      </c>
    </row>
    <row r="135" spans="1:14" x14ac:dyDescent="0.3">
      <c r="A135" s="41"/>
      <c r="B135" s="180" t="s">
        <v>62</v>
      </c>
      <c r="C135" s="61" t="s">
        <v>86</v>
      </c>
      <c r="D135" s="176">
        <f>IF((((inputs!$P$13/(inputs!E117/MAX('Max rate concentrations'!D$3:D$368)))^(1/inputs!$O$13))-1)/inputs!$N$13&lt;0, 0, IF((((inputs!$P$13/(inputs!E117/MAX('Max rate concentrations'!D$3:D$368)))^(1/inputs!$O$13))-1)/inputs!$N$13&gt;inputs!$I$17, inputs!$I$17, (((inputs!$P$13/(inputs!E117/MAX('Max rate concentrations'!D$3:D$368)))^(1/inputs!$O$13))-1)/inputs!$N$13))</f>
        <v>41.966620807187155</v>
      </c>
      <c r="E135" s="176">
        <f>IF((((inputs!$P$13/(inputs!E117/MAX('Max rate concentrations'!E$3:E$368)))^(1/inputs!$O$13))-1)/inputs!$N$13&lt;0, 0, IF((((inputs!$P$13/(inputs!E117/MAX('Max rate concentrations'!E$3:E$368)))^(1/inputs!$O$13))-1)/inputs!$N$13&gt;inputs!$I$17, inputs!$I$17, (((inputs!$P$13/(inputs!E117/MAX('Max rate concentrations'!E$3:E$368)))^(1/inputs!$O$13))-1)/inputs!$N$13))</f>
        <v>19.885392504354428</v>
      </c>
      <c r="F135" s="176">
        <f>IF((((inputs!$P$13/(inputs!E117/MAX('Max rate concentrations'!F$3:F$368)))^(1/inputs!$O$13))-1)/inputs!$N$13&lt;0, 0, IF((((inputs!$P$13/(inputs!E117/MAX('Max rate concentrations'!F$3:F$368)))^(1/inputs!$O$13))-1)/inputs!$N$13&gt;inputs!$I$17, inputs!$I$17, (((inputs!$P$13/(inputs!E117/MAX('Max rate concentrations'!F$3:F$368)))^(1/inputs!$O$13))-1)/inputs!$N$13))</f>
        <v>24.408551591056675</v>
      </c>
      <c r="G135" s="176">
        <f>IF((((inputs!$P$13/(inputs!E117/MAX('Max rate concentrations'!G$3:G$368)))^(1/inputs!$O$13))-1)/inputs!$N$13&lt;0, 0, IF((((inputs!$P$13/(inputs!E117/MAX('Max rate concentrations'!G$3:G$368)))^(1/inputs!$O$13))-1)/inputs!$N$13&gt;inputs!$I$17, inputs!$I$17, (((inputs!$P$13/(inputs!E117/MAX('Max rate concentrations'!G$3:G$368)))^(1/inputs!$O$13))-1)/inputs!$N$13))</f>
        <v>0</v>
      </c>
      <c r="H135" s="176">
        <f>IF((((inputs!$P$13/(inputs!E117/MAX('Max rate concentrations'!H$3:H$368)))^(1/inputs!$O$13))-1)/inputs!$N$13&lt;0, 0, IF((((inputs!$P$13/(inputs!E117/MAX('Max rate concentrations'!H$3:H$368)))^(1/inputs!$O$13))-1)/inputs!$N$13&gt;inputs!$I$17, inputs!$I$17, (((inputs!$P$13/(inputs!E117/MAX('Max rate concentrations'!H$3:H$368)))^(1/inputs!$O$13))-1)/inputs!$N$13))</f>
        <v>16.88782589333913</v>
      </c>
      <c r="I135" s="176">
        <f>IF((((inputs!$P$13/(inputs!E117/MAX('Max rate concentrations'!I$3:I$368)))^(1/inputs!$O$13))-1)/inputs!$N$13&lt;0, 0, IF((((inputs!$P$13/(inputs!E117/MAX('Max rate concentrations'!I$3:I$368)))^(1/inputs!$O$13))-1)/inputs!$N$13&gt;inputs!$I$17, inputs!$I$17, (((inputs!$P$13/(inputs!E117/MAX('Max rate concentrations'!I$3:I$368)))^(1/inputs!$O$13))-1)/inputs!$N$13))</f>
        <v>0.83078759821559978</v>
      </c>
      <c r="J135" s="176">
        <f>IF((((inputs!$P$13/(inputs!E117/MAX('Max rate concentrations'!J$3:J$368)))^(1/inputs!$O$13))-1)/inputs!$N$13&lt;0, 0, IF((((inputs!$P$13/(inputs!E117/MAX('Max rate concentrations'!J$3:J$368)))^(1/inputs!$O$13))-1)/inputs!$N$13&gt;inputs!$I$17, inputs!$I$17, (((inputs!$P$13/(inputs!E117/MAX('Max rate concentrations'!J$3:J$368)))^(1/inputs!$O$13))-1)/inputs!$N$13))</f>
        <v>40.180985977455357</v>
      </c>
      <c r="K135" s="176">
        <f>IF((((inputs!$P$13/(inputs!E117/MAX('Max rate concentrations'!K$3:K$368)))^(1/inputs!$O$13))-1)/inputs!$N$13&lt;0, 0, IF((((inputs!$P$13/(inputs!E117/MAX('Max rate concentrations'!K$3:K$368)))^(1/inputs!$O$13))-1)/inputs!$N$13&gt;inputs!$I$17, inputs!$I$17, (((inputs!$P$13/(inputs!E117/MAX('Max rate concentrations'!K$3:K$368)))^(1/inputs!$O$13))-1)/inputs!$N$13))</f>
        <v>5.1017177377275251</v>
      </c>
      <c r="L135" s="176">
        <f>IF((((inputs!$P$13/(inputs!E117/MAX('Max rate concentrations'!L$3:L$368)))^(1/inputs!$O$13))-1)/inputs!$N$13&lt;0, 0, IF((((inputs!$P$13/(inputs!E117/MAX('Max rate concentrations'!L$3:L$368)))^(1/inputs!$O$13))-1)/inputs!$N$13&gt;inputs!$I$17, inputs!$I$17, (((inputs!$P$13/(inputs!E117/MAX('Max rate concentrations'!L$3:L$368)))^(1/inputs!$O$13))-1)/inputs!$N$13))</f>
        <v>21.141296600816794</v>
      </c>
      <c r="M135" s="176">
        <f>IF((((inputs!$P$13/(inputs!E117/MAX('Max rate concentrations'!M$3:M$368)))^(1/inputs!$O$13))-1)/inputs!$N$13&lt;0, 0, IF((((inputs!$P$13/(inputs!E117/MAX('Max rate concentrations'!M$3:M$368)))^(1/inputs!$O$13))-1)/inputs!$N$13&gt;inputs!$I$17, inputs!$I$17, (((inputs!$P$13/(inputs!E117/MAX('Max rate concentrations'!M$3:M$368)))^(1/inputs!$O$13))-1)/inputs!$N$13))</f>
        <v>0</v>
      </c>
      <c r="N135" s="101" t="s">
        <v>13</v>
      </c>
    </row>
    <row r="136" spans="1:14" x14ac:dyDescent="0.3">
      <c r="A136" s="41"/>
      <c r="B136" s="180" t="s">
        <v>62</v>
      </c>
      <c r="C136" s="61" t="s">
        <v>87</v>
      </c>
      <c r="D136" s="176" t="e">
        <f>IF((((inputs!$P$13/(inputs!E118/MAX('Max rate concentrations'!D$3:D$368)))^(1/inputs!$O$13))-1)/inputs!$N$13&lt;0, 0, IF((((inputs!$P$13/(inputs!E118/MAX('Max rate concentrations'!D$3:D$368)))^(1/inputs!$O$13))-1)/inputs!$N$13&gt;inputs!$I$17, inputs!$I$17, (((inputs!$P$13/(inputs!E118/MAX('Max rate concentrations'!D$3:D$368)))^(1/inputs!$O$13))-1)/inputs!$N$13))</f>
        <v>#VALUE!</v>
      </c>
      <c r="E136" s="176" t="e">
        <f>IF((((inputs!$P$13/(inputs!E118/MAX('Max rate concentrations'!E$3:E$368)))^(1/inputs!$O$13))-1)/inputs!$N$13&lt;0, 0, IF((((inputs!$P$13/(inputs!E118/MAX('Max rate concentrations'!E$3:E$368)))^(1/inputs!$O$13))-1)/inputs!$N$13&gt;inputs!$I$17, inputs!$I$17, (((inputs!$P$13/(inputs!E118/MAX('Max rate concentrations'!E$3:E$368)))^(1/inputs!$O$13))-1)/inputs!$N$13))</f>
        <v>#VALUE!</v>
      </c>
      <c r="F136" s="176" t="e">
        <f>IF((((inputs!$P$13/(inputs!E118/MAX('Max rate concentrations'!F$3:F$368)))^(1/inputs!$O$13))-1)/inputs!$N$13&lt;0, 0, IF((((inputs!$P$13/(inputs!E118/MAX('Max rate concentrations'!F$3:F$368)))^(1/inputs!$O$13))-1)/inputs!$N$13&gt;inputs!$I$17, inputs!$I$17, (((inputs!$P$13/(inputs!E118/MAX('Max rate concentrations'!F$3:F$368)))^(1/inputs!$O$13))-1)/inputs!$N$13))</f>
        <v>#VALUE!</v>
      </c>
      <c r="G136" s="176" t="e">
        <f>IF((((inputs!$P$13/(inputs!E118/MAX('Max rate concentrations'!G$3:G$368)))^(1/inputs!$O$13))-1)/inputs!$N$13&lt;0, 0, IF((((inputs!$P$13/(inputs!E118/MAX('Max rate concentrations'!G$3:G$368)))^(1/inputs!$O$13))-1)/inputs!$N$13&gt;inputs!$I$17, inputs!$I$17, (((inputs!$P$13/(inputs!E118/MAX('Max rate concentrations'!G$3:G$368)))^(1/inputs!$O$13))-1)/inputs!$N$13))</f>
        <v>#VALUE!</v>
      </c>
      <c r="H136" s="176" t="e">
        <f>IF((((inputs!$P$13/(inputs!E118/MAX('Max rate concentrations'!H$3:H$368)))^(1/inputs!$O$13))-1)/inputs!$N$13&lt;0, 0, IF((((inputs!$P$13/(inputs!E118/MAX('Max rate concentrations'!H$3:H$368)))^(1/inputs!$O$13))-1)/inputs!$N$13&gt;inputs!$I$17, inputs!$I$17, (((inputs!$P$13/(inputs!E118/MAX('Max rate concentrations'!H$3:H$368)))^(1/inputs!$O$13))-1)/inputs!$N$13))</f>
        <v>#VALUE!</v>
      </c>
      <c r="I136" s="176" t="e">
        <f>IF((((inputs!$P$13/(inputs!E118/MAX('Max rate concentrations'!I$3:I$368)))^(1/inputs!$O$13))-1)/inputs!$N$13&lt;0, 0, IF((((inputs!$P$13/(inputs!E118/MAX('Max rate concentrations'!I$3:I$368)))^(1/inputs!$O$13))-1)/inputs!$N$13&gt;inputs!$I$17, inputs!$I$17, (((inputs!$P$13/(inputs!E118/MAX('Max rate concentrations'!I$3:I$368)))^(1/inputs!$O$13))-1)/inputs!$N$13))</f>
        <v>#VALUE!</v>
      </c>
      <c r="J136" s="176" t="e">
        <f>IF((((inputs!$P$13/(inputs!E118/MAX('Max rate concentrations'!J$3:J$368)))^(1/inputs!$O$13))-1)/inputs!$N$13&lt;0, 0, IF((((inputs!$P$13/(inputs!E118/MAX('Max rate concentrations'!J$3:J$368)))^(1/inputs!$O$13))-1)/inputs!$N$13&gt;inputs!$I$17, inputs!$I$17, (((inputs!$P$13/(inputs!E118/MAX('Max rate concentrations'!J$3:J$368)))^(1/inputs!$O$13))-1)/inputs!$N$13))</f>
        <v>#VALUE!</v>
      </c>
      <c r="K136" s="176" t="e">
        <f>IF((((inputs!$P$13/(inputs!E118/MAX('Max rate concentrations'!K$3:K$368)))^(1/inputs!$O$13))-1)/inputs!$N$13&lt;0, 0, IF((((inputs!$P$13/(inputs!E118/MAX('Max rate concentrations'!K$3:K$368)))^(1/inputs!$O$13))-1)/inputs!$N$13&gt;inputs!$I$17, inputs!$I$17, (((inputs!$P$13/(inputs!E118/MAX('Max rate concentrations'!K$3:K$368)))^(1/inputs!$O$13))-1)/inputs!$N$13))</f>
        <v>#VALUE!</v>
      </c>
      <c r="L136" s="176" t="e">
        <f>IF((((inputs!$P$13/(inputs!E118/MAX('Max rate concentrations'!L$3:L$368)))^(1/inputs!$O$13))-1)/inputs!$N$13&lt;0, 0, IF((((inputs!$P$13/(inputs!E118/MAX('Max rate concentrations'!L$3:L$368)))^(1/inputs!$O$13))-1)/inputs!$N$13&gt;inputs!$I$17, inputs!$I$17, (((inputs!$P$13/(inputs!E118/MAX('Max rate concentrations'!L$3:L$368)))^(1/inputs!$O$13))-1)/inputs!$N$13))</f>
        <v>#VALUE!</v>
      </c>
      <c r="M136" s="176" t="e">
        <f>IF((((inputs!$P$13/(inputs!E118/MAX('Max rate concentrations'!M$3:M$368)))^(1/inputs!$O$13))-1)/inputs!$N$13&lt;0, 0, IF((((inputs!$P$13/(inputs!E118/MAX('Max rate concentrations'!M$3:M$368)))^(1/inputs!$O$13))-1)/inputs!$N$13&gt;inputs!$I$17, inputs!$I$17, (((inputs!$P$13/(inputs!E118/MAX('Max rate concentrations'!M$3:M$368)))^(1/inputs!$O$13))-1)/inputs!$N$13))</f>
        <v>#VALUE!</v>
      </c>
      <c r="N136" s="101" t="s">
        <v>13</v>
      </c>
    </row>
    <row r="137" spans="1:14" x14ac:dyDescent="0.3">
      <c r="A137" s="41"/>
      <c r="B137" s="180" t="s">
        <v>62</v>
      </c>
      <c r="C137" s="61" t="s">
        <v>88</v>
      </c>
      <c r="D137" s="176" t="e">
        <f>IF((((inputs!$P$13/(inputs!E119/MAX('Max rate concentrations'!D$3:D$368)))^(1/inputs!$O$13))-1)/inputs!$N$13&lt;0, 0, IF((((inputs!$P$13/(inputs!E119/MAX('Max rate concentrations'!D$3:D$368)))^(1/inputs!$O$13))-1)/inputs!$N$13&gt;inputs!$I$17, inputs!$I$17, (((inputs!$P$13/(inputs!E119/MAX('Max rate concentrations'!D$3:D$368)))^(1/inputs!$O$13))-1)/inputs!$N$13))</f>
        <v>#VALUE!</v>
      </c>
      <c r="E137" s="176" t="e">
        <f>IF((((inputs!$P$13/(inputs!E119/MAX('Max rate concentrations'!E$3:E$368)))^(1/inputs!$O$13))-1)/inputs!$N$13&lt;0, 0, IF((((inputs!$P$13/(inputs!E119/MAX('Max rate concentrations'!E$3:E$368)))^(1/inputs!$O$13))-1)/inputs!$N$13&gt;inputs!$I$17, inputs!$I$17, (((inputs!$P$13/(inputs!E119/MAX('Max rate concentrations'!E$3:E$368)))^(1/inputs!$O$13))-1)/inputs!$N$13))</f>
        <v>#VALUE!</v>
      </c>
      <c r="F137" s="176" t="e">
        <f>IF((((inputs!$P$13/(inputs!E119/MAX('Max rate concentrations'!F$3:F$368)))^(1/inputs!$O$13))-1)/inputs!$N$13&lt;0, 0, IF((((inputs!$P$13/(inputs!E119/MAX('Max rate concentrations'!F$3:F$368)))^(1/inputs!$O$13))-1)/inputs!$N$13&gt;inputs!$I$17, inputs!$I$17, (((inputs!$P$13/(inputs!E119/MAX('Max rate concentrations'!F$3:F$368)))^(1/inputs!$O$13))-1)/inputs!$N$13))</f>
        <v>#VALUE!</v>
      </c>
      <c r="G137" s="176" t="e">
        <f>IF((((inputs!$P$13/(inputs!E119/MAX('Max rate concentrations'!G$3:G$368)))^(1/inputs!$O$13))-1)/inputs!$N$13&lt;0, 0, IF((((inputs!$P$13/(inputs!E119/MAX('Max rate concentrations'!G$3:G$368)))^(1/inputs!$O$13))-1)/inputs!$N$13&gt;inputs!$I$17, inputs!$I$17, (((inputs!$P$13/(inputs!E119/MAX('Max rate concentrations'!G$3:G$368)))^(1/inputs!$O$13))-1)/inputs!$N$13))</f>
        <v>#VALUE!</v>
      </c>
      <c r="H137" s="176" t="e">
        <f>IF((((inputs!$P$13/(inputs!E119/MAX('Max rate concentrations'!H$3:H$368)))^(1/inputs!$O$13))-1)/inputs!$N$13&lt;0, 0, IF((((inputs!$P$13/(inputs!E119/MAX('Max rate concentrations'!H$3:H$368)))^(1/inputs!$O$13))-1)/inputs!$N$13&gt;inputs!$I$17, inputs!$I$17, (((inputs!$P$13/(inputs!E119/MAX('Max rate concentrations'!H$3:H$368)))^(1/inputs!$O$13))-1)/inputs!$N$13))</f>
        <v>#VALUE!</v>
      </c>
      <c r="I137" s="176" t="e">
        <f>IF((((inputs!$P$13/(inputs!E119/MAX('Max rate concentrations'!I$3:I$368)))^(1/inputs!$O$13))-1)/inputs!$N$13&lt;0, 0, IF((((inputs!$P$13/(inputs!E119/MAX('Max rate concentrations'!I$3:I$368)))^(1/inputs!$O$13))-1)/inputs!$N$13&gt;inputs!$I$17, inputs!$I$17, (((inputs!$P$13/(inputs!E119/MAX('Max rate concentrations'!I$3:I$368)))^(1/inputs!$O$13))-1)/inputs!$N$13))</f>
        <v>#VALUE!</v>
      </c>
      <c r="J137" s="176" t="e">
        <f>IF((((inputs!$P$13/(inputs!E119/MAX('Max rate concentrations'!J$3:J$368)))^(1/inputs!$O$13))-1)/inputs!$N$13&lt;0, 0, IF((((inputs!$P$13/(inputs!E119/MAX('Max rate concentrations'!J$3:J$368)))^(1/inputs!$O$13))-1)/inputs!$N$13&gt;inputs!$I$17, inputs!$I$17, (((inputs!$P$13/(inputs!E119/MAX('Max rate concentrations'!J$3:J$368)))^(1/inputs!$O$13))-1)/inputs!$N$13))</f>
        <v>#VALUE!</v>
      </c>
      <c r="K137" s="176" t="e">
        <f>IF((((inputs!$P$13/(inputs!E119/MAX('Max rate concentrations'!K$3:K$368)))^(1/inputs!$O$13))-1)/inputs!$N$13&lt;0, 0, IF((((inputs!$P$13/(inputs!E119/MAX('Max rate concentrations'!K$3:K$368)))^(1/inputs!$O$13))-1)/inputs!$N$13&gt;inputs!$I$17, inputs!$I$17, (((inputs!$P$13/(inputs!E119/MAX('Max rate concentrations'!K$3:K$368)))^(1/inputs!$O$13))-1)/inputs!$N$13))</f>
        <v>#VALUE!</v>
      </c>
      <c r="L137" s="176" t="e">
        <f>IF((((inputs!$P$13/(inputs!E119/MAX('Max rate concentrations'!L$3:L$368)))^(1/inputs!$O$13))-1)/inputs!$N$13&lt;0, 0, IF((((inputs!$P$13/(inputs!E119/MAX('Max rate concentrations'!L$3:L$368)))^(1/inputs!$O$13))-1)/inputs!$N$13&gt;inputs!$I$17, inputs!$I$17, (((inputs!$P$13/(inputs!E119/MAX('Max rate concentrations'!L$3:L$368)))^(1/inputs!$O$13))-1)/inputs!$N$13))</f>
        <v>#VALUE!</v>
      </c>
      <c r="M137" s="176" t="e">
        <f>IF((((inputs!$P$13/(inputs!E119/MAX('Max rate concentrations'!M$3:M$368)))^(1/inputs!$O$13))-1)/inputs!$N$13&lt;0, 0, IF((((inputs!$P$13/(inputs!E119/MAX('Max rate concentrations'!M$3:M$368)))^(1/inputs!$O$13))-1)/inputs!$N$13&gt;inputs!$I$17, inputs!$I$17, (((inputs!$P$13/(inputs!E119/MAX('Max rate concentrations'!M$3:M$368)))^(1/inputs!$O$13))-1)/inputs!$N$13))</f>
        <v>#VALUE!</v>
      </c>
      <c r="N137" s="101" t="s">
        <v>13</v>
      </c>
    </row>
    <row r="138" spans="1:14" x14ac:dyDescent="0.3">
      <c r="A138" s="39"/>
      <c r="B138" s="25" t="s">
        <v>64</v>
      </c>
      <c r="C138" s="22" t="s">
        <v>71</v>
      </c>
      <c r="D138" s="176">
        <f>IF((((inputs!$P$13/(inputs!E120/MAX('Max rate concentrations'!D$3:D$368)))^(1/inputs!$O$13))-1)/inputs!$N$13&lt;0, 0, IF((((inputs!$P$13/(inputs!E120/MAX('Max rate concentrations'!D$3:D$368)))^(1/inputs!$O$13))-1)/inputs!$N$13&gt;inputs!$I$17, inputs!$I$17, (((inputs!$P$13/(inputs!E120/MAX('Max rate concentrations'!D$3:D$368)))^(1/inputs!$O$13))-1)/inputs!$N$13))</f>
        <v>358.62392384645671</v>
      </c>
      <c r="E138" s="176">
        <f>IF((((inputs!$P$13/(inputs!E120/MAX('Max rate concentrations'!E$3:E$368)))^(1/inputs!$O$13))-1)/inputs!$N$13&lt;0, 0, IF((((inputs!$P$13/(inputs!E120/MAX('Max rate concentrations'!E$3:E$368)))^(1/inputs!$O$13))-1)/inputs!$N$13&gt;inputs!$I$17, inputs!$I$17, (((inputs!$P$13/(inputs!E120/MAX('Max rate concentrations'!E$3:E$368)))^(1/inputs!$O$13))-1)/inputs!$N$13))</f>
        <v>188.38444716305662</v>
      </c>
      <c r="F138" s="176">
        <f>IF((((inputs!$P$13/(inputs!E120/MAX('Max rate concentrations'!F$3:F$368)))^(1/inputs!$O$13))-1)/inputs!$N$13&lt;0, 0, IF((((inputs!$P$13/(inputs!E120/MAX('Max rate concentrations'!F$3:F$368)))^(1/inputs!$O$13))-1)/inputs!$N$13&gt;inputs!$I$17, inputs!$I$17, (((inputs!$P$13/(inputs!E120/MAX('Max rate concentrations'!F$3:F$368)))^(1/inputs!$O$13))-1)/inputs!$N$13))</f>
        <v>223.25661212215778</v>
      </c>
      <c r="G138" s="176">
        <f>IF((((inputs!$P$13/(inputs!E120/MAX('Max rate concentrations'!G$3:G$368)))^(1/inputs!$O$13))-1)/inputs!$N$13&lt;0, 0, IF((((inputs!$P$13/(inputs!E120/MAX('Max rate concentrations'!G$3:G$368)))^(1/inputs!$O$13))-1)/inputs!$N$13&gt;inputs!$I$17, inputs!$I$17, (((inputs!$P$13/(inputs!E120/MAX('Max rate concentrations'!G$3:G$368)))^(1/inputs!$O$13))-1)/inputs!$N$13))</f>
        <v>33.426171272462916</v>
      </c>
      <c r="H138" s="176">
        <f>IF((((inputs!$P$13/(inputs!E120/MAX('Max rate concentrations'!H$3:H$368)))^(1/inputs!$O$13))-1)/inputs!$N$13&lt;0, 0, IF((((inputs!$P$13/(inputs!E120/MAX('Max rate concentrations'!H$3:H$368)))^(1/inputs!$O$13))-1)/inputs!$N$13&gt;inputs!$I$17, inputs!$I$17, (((inputs!$P$13/(inputs!E120/MAX('Max rate concentrations'!H$3:H$368)))^(1/inputs!$O$13))-1)/inputs!$N$13))</f>
        <v>165.27413082628783</v>
      </c>
      <c r="I138" s="176">
        <f>IF((((inputs!$P$13/(inputs!E120/MAX('Max rate concentrations'!I$3:I$368)))^(1/inputs!$O$13))-1)/inputs!$N$13&lt;0, 0, IF((((inputs!$P$13/(inputs!E120/MAX('Max rate concentrations'!I$3:I$368)))^(1/inputs!$O$13))-1)/inputs!$N$13&gt;inputs!$I$17, inputs!$I$17, (((inputs!$P$13/(inputs!E120/MAX('Max rate concentrations'!I$3:I$368)))^(1/inputs!$O$13))-1)/inputs!$N$13))</f>
        <v>41.479305694369394</v>
      </c>
      <c r="J138" s="176">
        <f>IF((((inputs!$P$13/(inputs!E120/MAX('Max rate concentrations'!J$3:J$368)))^(1/inputs!$O$13))-1)/inputs!$N$13&lt;0, 0, IF((((inputs!$P$13/(inputs!E120/MAX('Max rate concentrations'!J$3:J$368)))^(1/inputs!$O$13))-1)/inputs!$N$13&gt;inputs!$I$17, inputs!$I$17, (((inputs!$P$13/(inputs!E120/MAX('Max rate concentrations'!J$3:J$368)))^(1/inputs!$O$13))-1)/inputs!$N$13))</f>
        <v>344.85722867931366</v>
      </c>
      <c r="K138" s="176">
        <f>IF((((inputs!$P$13/(inputs!E120/MAX('Max rate concentrations'!K$3:K$368)))^(1/inputs!$O$13))-1)/inputs!$N$13&lt;0, 0, IF((((inputs!$P$13/(inputs!E120/MAX('Max rate concentrations'!K$3:K$368)))^(1/inputs!$O$13))-1)/inputs!$N$13&gt;inputs!$I$17, inputs!$I$17, (((inputs!$P$13/(inputs!E120/MAX('Max rate concentrations'!K$3:K$368)))^(1/inputs!$O$13))-1)/inputs!$N$13))</f>
        <v>74.40686307162801</v>
      </c>
      <c r="L138" s="176">
        <f>IF((((inputs!$P$13/(inputs!E120/MAX('Max rate concentrations'!L$3:L$368)))^(1/inputs!$O$13))-1)/inputs!$N$13&lt;0, 0, IF((((inputs!$P$13/(inputs!E120/MAX('Max rate concentrations'!L$3:L$368)))^(1/inputs!$O$13))-1)/inputs!$N$13&gt;inputs!$I$17, inputs!$I$17, (((inputs!$P$13/(inputs!E120/MAX('Max rate concentrations'!L$3:L$368)))^(1/inputs!$O$13))-1)/inputs!$N$13))</f>
        <v>198.0670813541476</v>
      </c>
      <c r="M138" s="176">
        <f>IF((((inputs!$P$13/(inputs!E120/MAX('Max rate concentrations'!M$3:M$368)))^(1/inputs!$O$13))-1)/inputs!$N$13&lt;0, 0, IF((((inputs!$P$13/(inputs!E120/MAX('Max rate concentrations'!M$3:M$368)))^(1/inputs!$O$13))-1)/inputs!$N$13&gt;inputs!$I$17, inputs!$I$17, (((inputs!$P$13/(inputs!E120/MAX('Max rate concentrations'!M$3:M$368)))^(1/inputs!$O$13))-1)/inputs!$N$13))</f>
        <v>12.442258732258576</v>
      </c>
      <c r="N138" s="101" t="s">
        <v>13</v>
      </c>
    </row>
    <row r="139" spans="1:14" x14ac:dyDescent="0.3">
      <c r="A139" s="40" t="s">
        <v>706</v>
      </c>
      <c r="B139" s="22" t="s">
        <v>62</v>
      </c>
      <c r="C139" s="22" t="s">
        <v>63</v>
      </c>
      <c r="D139" s="176">
        <f>IF((((inputs!$P$13/(inputs!E121/MAX('Max rate concentrations'!D$3:D$368)))^(1/inputs!$O$13))-1)/inputs!$N$13&lt;0, 0, IF((((inputs!$P$13/(inputs!E121/MAX('Max rate concentrations'!D$3:D$368)))^(1/inputs!$O$13))-1)/inputs!$N$13&gt;inputs!$I$17, inputs!$I$17, (((inputs!$P$13/(inputs!E121/MAX('Max rate concentrations'!D$3:D$368)))^(1/inputs!$O$13))-1)/inputs!$N$13))</f>
        <v>526.86792640803242</v>
      </c>
      <c r="E139" s="176">
        <f>IF((((inputs!$P$13/(inputs!E121/MAX('Max rate concentrations'!E$3:E$368)))^(1/inputs!$O$13))-1)/inputs!$N$13&lt;0, 0, IF((((inputs!$P$13/(inputs!E121/MAX('Max rate concentrations'!E$3:E$368)))^(1/inputs!$O$13))-1)/inputs!$N$13&gt;inputs!$I$17, inputs!$I$17, (((inputs!$P$13/(inputs!E121/MAX('Max rate concentrations'!E$3:E$368)))^(1/inputs!$O$13))-1)/inputs!$N$13))</f>
        <v>277.91011137963767</v>
      </c>
      <c r="F139" s="176">
        <f>IF((((inputs!$P$13/(inputs!E121/MAX('Max rate concentrations'!F$3:F$368)))^(1/inputs!$O$13))-1)/inputs!$N$13&lt;0, 0, IF((((inputs!$P$13/(inputs!E121/MAX('Max rate concentrations'!F$3:F$368)))^(1/inputs!$O$13))-1)/inputs!$N$13&gt;inputs!$I$17, inputs!$I$17, (((inputs!$P$13/(inputs!E121/MAX('Max rate concentrations'!F$3:F$368)))^(1/inputs!$O$13))-1)/inputs!$N$13))</f>
        <v>328.90708436536431</v>
      </c>
      <c r="G139" s="176">
        <f>IF((((inputs!$P$13/(inputs!E121/MAX('Max rate concentrations'!G$3:G$368)))^(1/inputs!$O$13))-1)/inputs!$N$13&lt;0, 0, IF((((inputs!$P$13/(inputs!E121/MAX('Max rate concentrations'!G$3:G$368)))^(1/inputs!$O$13))-1)/inputs!$N$13&gt;inputs!$I$17, inputs!$I$17, (((inputs!$P$13/(inputs!E121/MAX('Max rate concentrations'!G$3:G$368)))^(1/inputs!$O$13))-1)/inputs!$N$13))</f>
        <v>51.299488873823037</v>
      </c>
      <c r="H139" s="176">
        <f>IF((((inputs!$P$13/(inputs!E121/MAX('Max rate concentrations'!H$3:H$368)))^(1/inputs!$O$13))-1)/inputs!$N$13&lt;0, 0, IF((((inputs!$P$13/(inputs!E121/MAX('Max rate concentrations'!H$3:H$368)))^(1/inputs!$O$13))-1)/inputs!$N$13&gt;inputs!$I$17, inputs!$I$17, (((inputs!$P$13/(inputs!E121/MAX('Max rate concentrations'!H$3:H$368)))^(1/inputs!$O$13))-1)/inputs!$N$13))</f>
        <v>244.11363848212656</v>
      </c>
      <c r="I139" s="176">
        <f>IF((((inputs!$P$13/(inputs!E121/MAX('Max rate concentrations'!I$3:I$368)))^(1/inputs!$O$13))-1)/inputs!$N$13&lt;0, 0, IF((((inputs!$P$13/(inputs!E121/MAX('Max rate concentrations'!I$3:I$368)))^(1/inputs!$O$13))-1)/inputs!$N$13&gt;inputs!$I$17, inputs!$I$17, (((inputs!$P$13/(inputs!E121/MAX('Max rate concentrations'!I$3:I$368)))^(1/inputs!$O$13))-1)/inputs!$N$13))</f>
        <v>63.07637393519078</v>
      </c>
      <c r="J139" s="176">
        <f>IF((((inputs!$P$13/(inputs!E121/MAX('Max rate concentrations'!J$3:J$368)))^(1/inputs!$O$13))-1)/inputs!$N$13&lt;0, 0, IF((((inputs!$P$13/(inputs!E121/MAX('Max rate concentrations'!J$3:J$368)))^(1/inputs!$O$13))-1)/inputs!$N$13&gt;inputs!$I$17, inputs!$I$17, (((inputs!$P$13/(inputs!E121/MAX('Max rate concentrations'!J$3:J$368)))^(1/inputs!$O$13))-1)/inputs!$N$13))</f>
        <v>506.73554339238279</v>
      </c>
      <c r="K139" s="176">
        <f>IF((((inputs!$P$13/(inputs!E121/MAX('Max rate concentrations'!K$3:K$368)))^(1/inputs!$O$13))-1)/inputs!$N$13&lt;0, 0, IF((((inputs!$P$13/(inputs!E121/MAX('Max rate concentrations'!K$3:K$368)))^(1/inputs!$O$13))-1)/inputs!$N$13&gt;inputs!$I$17, inputs!$I$17, (((inputs!$P$13/(inputs!E121/MAX('Max rate concentrations'!K$3:K$368)))^(1/inputs!$O$13))-1)/inputs!$N$13))</f>
        <v>111.22955731291988</v>
      </c>
      <c r="L139" s="176">
        <f>IF((((inputs!$P$13/(inputs!E121/MAX('Max rate concentrations'!L$3:L$368)))^(1/inputs!$O$13))-1)/inputs!$N$13&lt;0, 0, IF((((inputs!$P$13/(inputs!E121/MAX('Max rate concentrations'!L$3:L$368)))^(1/inputs!$O$13))-1)/inputs!$N$13&gt;inputs!$I$17, inputs!$I$17, (((inputs!$P$13/(inputs!E121/MAX('Max rate concentrations'!L$3:L$368)))^(1/inputs!$O$13))-1)/inputs!$N$13))</f>
        <v>292.06997311615055</v>
      </c>
      <c r="M139" s="176">
        <f>IF((((inputs!$P$13/(inputs!E121/MAX('Max rate concentrations'!M$3:M$368)))^(1/inputs!$O$13))-1)/inputs!$N$13&lt;0, 0, IF((((inputs!$P$13/(inputs!E121/MAX('Max rate concentrations'!M$3:M$368)))^(1/inputs!$O$13))-1)/inputs!$N$13&gt;inputs!$I$17, inputs!$I$17, (((inputs!$P$13/(inputs!E121/MAX('Max rate concentrations'!M$3:M$368)))^(1/inputs!$O$13))-1)/inputs!$N$13))</f>
        <v>20.612663946185073</v>
      </c>
      <c r="N139" s="101" t="s">
        <v>13</v>
      </c>
    </row>
    <row r="140" spans="1:14" x14ac:dyDescent="0.3">
      <c r="A140" s="41" t="s">
        <v>78</v>
      </c>
      <c r="B140" s="22" t="s">
        <v>64</v>
      </c>
      <c r="C140" s="22" t="s">
        <v>65</v>
      </c>
      <c r="D140" s="176">
        <f>IF((((inputs!$P$13/(inputs!E122/MAX('Max rate concentrations'!D$3:D$368)))^(1/inputs!$O$13))-1)/inputs!$N$13&lt;0, 0, IF((((inputs!$P$13/(inputs!E122/MAX('Max rate concentrations'!D$3:D$368)))^(1/inputs!$O$13))-1)/inputs!$N$13&gt;inputs!$I$17, inputs!$I$17, (((inputs!$P$13/(inputs!E122/MAX('Max rate concentrations'!D$3:D$368)))^(1/inputs!$O$13))-1)/inputs!$N$13))</f>
        <v>102.59061159871287</v>
      </c>
      <c r="E140" s="176">
        <f>IF((((inputs!$P$13/(inputs!E122/MAX('Max rate concentrations'!E$3:E$368)))^(1/inputs!$O$13))-1)/inputs!$N$13&lt;0, 0, IF((((inputs!$P$13/(inputs!E122/MAX('Max rate concentrations'!E$3:E$368)))^(1/inputs!$O$13))-1)/inputs!$N$13&gt;inputs!$I$17, inputs!$I$17, (((inputs!$P$13/(inputs!E122/MAX('Max rate concentrations'!E$3:E$368)))^(1/inputs!$O$13))-1)/inputs!$N$13))</f>
        <v>52.144509979194929</v>
      </c>
      <c r="F140" s="176">
        <f>IF((((inputs!$P$13/(inputs!E122/MAX('Max rate concentrations'!F$3:F$368)))^(1/inputs!$O$13))-1)/inputs!$N$13&lt;0, 0, IF((((inputs!$P$13/(inputs!E122/MAX('Max rate concentrations'!F$3:F$368)))^(1/inputs!$O$13))-1)/inputs!$N$13&gt;inputs!$I$17, inputs!$I$17, (((inputs!$P$13/(inputs!E122/MAX('Max rate concentrations'!F$3:F$368)))^(1/inputs!$O$13))-1)/inputs!$N$13))</f>
        <v>62.47798146002534</v>
      </c>
      <c r="G140" s="176">
        <f>IF((((inputs!$P$13/(inputs!E122/MAX('Max rate concentrations'!G$3:G$368)))^(1/inputs!$O$13))-1)/inputs!$N$13&lt;0, 0, IF((((inputs!$P$13/(inputs!E122/MAX('Max rate concentrations'!G$3:G$368)))^(1/inputs!$O$13))-1)/inputs!$N$13&gt;inputs!$I$17, inputs!$I$17, (((inputs!$P$13/(inputs!E122/MAX('Max rate concentrations'!G$3:G$368)))^(1/inputs!$O$13))-1)/inputs!$N$13))</f>
        <v>6.2266001932067621</v>
      </c>
      <c r="H140" s="176">
        <f>IF((((inputs!$P$13/(inputs!E122/MAX('Max rate concentrations'!H$3:H$368)))^(1/inputs!$O$13))-1)/inputs!$N$13&lt;0, 0, IF((((inputs!$P$13/(inputs!E122/MAX('Max rate concentrations'!H$3:H$368)))^(1/inputs!$O$13))-1)/inputs!$N$13&gt;inputs!$I$17, inputs!$I$17, (((inputs!$P$13/(inputs!E122/MAX('Max rate concentrations'!H$3:H$368)))^(1/inputs!$O$13))-1)/inputs!$N$13))</f>
        <v>45.296360601057614</v>
      </c>
      <c r="I140" s="176">
        <f>IF((((inputs!$P$13/(inputs!E122/MAX('Max rate concentrations'!I$3:I$368)))^(1/inputs!$O$13))-1)/inputs!$N$13&lt;0, 0, IF((((inputs!$P$13/(inputs!E122/MAX('Max rate concentrations'!I$3:I$368)))^(1/inputs!$O$13))-1)/inputs!$N$13&gt;inputs!$I$17, inputs!$I$17, (((inputs!$P$13/(inputs!E122/MAX('Max rate concentrations'!I$3:I$368)))^(1/inputs!$O$13))-1)/inputs!$N$13))</f>
        <v>8.6129399853493815</v>
      </c>
      <c r="J140" s="176">
        <f>IF((((inputs!$P$13/(inputs!E122/MAX('Max rate concentrations'!J$3:J$368)))^(1/inputs!$O$13))-1)/inputs!$N$13&lt;0, 0, IF((((inputs!$P$13/(inputs!E122/MAX('Max rate concentrations'!J$3:J$368)))^(1/inputs!$O$13))-1)/inputs!$N$13&gt;inputs!$I$17, inputs!$I$17, (((inputs!$P$13/(inputs!E122/MAX('Max rate concentrations'!J$3:J$368)))^(1/inputs!$O$13))-1)/inputs!$N$13))</f>
        <v>98.511204654469481</v>
      </c>
      <c r="K140" s="176">
        <f>IF((((inputs!$P$13/(inputs!E122/MAX('Max rate concentrations'!K$3:K$368)))^(1/inputs!$O$13))-1)/inputs!$N$13&lt;0, 0, IF((((inputs!$P$13/(inputs!E122/MAX('Max rate concentrations'!K$3:K$368)))^(1/inputs!$O$13))-1)/inputs!$N$13&gt;inputs!$I$17, inputs!$I$17, (((inputs!$P$13/(inputs!E122/MAX('Max rate concentrations'!K$3:K$368)))^(1/inputs!$O$13))-1)/inputs!$N$13))</f>
        <v>18.370176895944667</v>
      </c>
      <c r="L140" s="176">
        <f>IF((((inputs!$P$13/(inputs!E122/MAX('Max rate concentrations'!L$3:L$368)))^(1/inputs!$O$13))-1)/inputs!$N$13&lt;0, 0, IF((((inputs!$P$13/(inputs!E122/MAX('Max rate concentrations'!L$3:L$368)))^(1/inputs!$O$13))-1)/inputs!$N$13&gt;inputs!$I$17, inputs!$I$17, (((inputs!$P$13/(inputs!E122/MAX('Max rate concentrations'!L$3:L$368)))^(1/inputs!$O$13))-1)/inputs!$N$13))</f>
        <v>55.013710225015586</v>
      </c>
      <c r="M140" s="176">
        <f>IF((((inputs!$P$13/(inputs!E122/MAX('Max rate concentrations'!M$3:M$368)))^(1/inputs!$O$13))-1)/inputs!$N$13&lt;0, 0, IF((((inputs!$P$13/(inputs!E122/MAX('Max rate concentrations'!M$3:M$368)))^(1/inputs!$O$13))-1)/inputs!$N$13&gt;inputs!$I$17, inputs!$I$17, (((inputs!$P$13/(inputs!E122/MAX('Max rate concentrations'!M$3:M$368)))^(1/inputs!$O$13))-1)/inputs!$N$13))</f>
        <v>8.5560297671721866E-3</v>
      </c>
      <c r="N140" s="101" t="s">
        <v>13</v>
      </c>
    </row>
    <row r="141" spans="1:14" x14ac:dyDescent="0.3">
      <c r="A141" s="41"/>
      <c r="B141" s="22" t="s">
        <v>66</v>
      </c>
      <c r="C141" s="22" t="s">
        <v>80</v>
      </c>
      <c r="D141" s="176">
        <f>IF((((inputs!$P$13/(inputs!E123/MAX('Max rate concentrations'!D$3:D$368)))^(1/inputs!$O$13))-1)/inputs!$N$13&lt;0, 0, IF((((inputs!$P$13/(inputs!E123/MAX('Max rate concentrations'!D$3:D$368)))^(1/inputs!$O$13))-1)/inputs!$N$13&gt;inputs!$I$17, inputs!$I$17, (((inputs!$P$13/(inputs!E123/MAX('Max rate concentrations'!D$3:D$368)))^(1/inputs!$O$13))-1)/inputs!$N$13))</f>
        <v>53.693491470472267</v>
      </c>
      <c r="E141" s="176">
        <f>IF((((inputs!$P$13/(inputs!E123/MAX('Max rate concentrations'!E$3:E$368)))^(1/inputs!$O$13))-1)/inputs!$N$13&lt;0, 0, IF((((inputs!$P$13/(inputs!E123/MAX('Max rate concentrations'!E$3:E$368)))^(1/inputs!$O$13))-1)/inputs!$N$13&gt;inputs!$I$17, inputs!$I$17, (((inputs!$P$13/(inputs!E123/MAX('Max rate concentrations'!E$3:E$368)))^(1/inputs!$O$13))-1)/inputs!$N$13))</f>
        <v>26.125471611651584</v>
      </c>
      <c r="F141" s="176">
        <f>IF((((inputs!$P$13/(inputs!E123/MAX('Max rate concentrations'!F$3:F$368)))^(1/inputs!$O$13))-1)/inputs!$N$13&lt;0, 0, IF((((inputs!$P$13/(inputs!E123/MAX('Max rate concentrations'!F$3:F$368)))^(1/inputs!$O$13))-1)/inputs!$N$13&gt;inputs!$I$17, inputs!$I$17, (((inputs!$P$13/(inputs!E123/MAX('Max rate concentrations'!F$3:F$368)))^(1/inputs!$O$13))-1)/inputs!$N$13))</f>
        <v>31.772555089830028</v>
      </c>
      <c r="G141" s="176">
        <f>IF((((inputs!$P$13/(inputs!E123/MAX('Max rate concentrations'!G$3:G$368)))^(1/inputs!$O$13))-1)/inputs!$N$13&lt;0, 0, IF((((inputs!$P$13/(inputs!E123/MAX('Max rate concentrations'!G$3:G$368)))^(1/inputs!$O$13))-1)/inputs!$N$13&gt;inputs!$I$17, inputs!$I$17, (((inputs!$P$13/(inputs!E123/MAX('Max rate concentrations'!G$3:G$368)))^(1/inputs!$O$13))-1)/inputs!$N$13))</f>
        <v>1.0320390526154632</v>
      </c>
      <c r="H141" s="176">
        <f>IF((((inputs!$P$13/(inputs!E123/MAX('Max rate concentrations'!H$3:H$368)))^(1/inputs!$O$13))-1)/inputs!$N$13&lt;0, 0, IF((((inputs!$P$13/(inputs!E123/MAX('Max rate concentrations'!H$3:H$368)))^(1/inputs!$O$13))-1)/inputs!$N$13&gt;inputs!$I$17, inputs!$I$17, (((inputs!$P$13/(inputs!E123/MAX('Max rate concentrations'!H$3:H$368)))^(1/inputs!$O$13))-1)/inputs!$N$13))</f>
        <v>22.383063140198651</v>
      </c>
      <c r="I141" s="176">
        <f>IF((((inputs!$P$13/(inputs!E123/MAX('Max rate concentrations'!I$3:I$368)))^(1/inputs!$O$13))-1)/inputs!$N$13&lt;0, 0, IF((((inputs!$P$13/(inputs!E123/MAX('Max rate concentrations'!I$3:I$368)))^(1/inputs!$O$13))-1)/inputs!$N$13&gt;inputs!$I$17, inputs!$I$17, (((inputs!$P$13/(inputs!E123/MAX('Max rate concentrations'!I$3:I$368)))^(1/inputs!$O$13))-1)/inputs!$N$13))</f>
        <v>2.3361371031619158</v>
      </c>
      <c r="J141" s="176">
        <f>IF((((inputs!$P$13/(inputs!E123/MAX('Max rate concentrations'!J$3:J$368)))^(1/inputs!$O$13))-1)/inputs!$N$13&lt;0, 0, IF((((inputs!$P$13/(inputs!E123/MAX('Max rate concentrations'!J$3:J$368)))^(1/inputs!$O$13))-1)/inputs!$N$13&gt;inputs!$I$17, inputs!$I$17, (((inputs!$P$13/(inputs!E123/MAX('Max rate concentrations'!J$3:J$368)))^(1/inputs!$O$13))-1)/inputs!$N$13))</f>
        <v>51.464158220911486</v>
      </c>
      <c r="K141" s="176">
        <f>IF((((inputs!$P$13/(inputs!E123/MAX('Max rate concentrations'!K$3:K$368)))^(1/inputs!$O$13))-1)/inputs!$N$13&lt;0, 0, IF((((inputs!$P$13/(inputs!E123/MAX('Max rate concentrations'!K$3:K$368)))^(1/inputs!$O$13))-1)/inputs!$N$13&gt;inputs!$I$17, inputs!$I$17, (((inputs!$P$13/(inputs!E123/MAX('Max rate concentrations'!K$3:K$368)))^(1/inputs!$O$13))-1)/inputs!$N$13))</f>
        <v>7.6683172376608635</v>
      </c>
      <c r="L141" s="176">
        <f>IF((((inputs!$P$13/(inputs!E123/MAX('Max rate concentrations'!L$3:L$368)))^(1/inputs!$O$13))-1)/inputs!$N$13&lt;0, 0, IF((((inputs!$P$13/(inputs!E123/MAX('Max rate concentrations'!L$3:L$368)))^(1/inputs!$O$13))-1)/inputs!$N$13&gt;inputs!$I$17, inputs!$I$17, (((inputs!$P$13/(inputs!E123/MAX('Max rate concentrations'!L$3:L$368)))^(1/inputs!$O$13))-1)/inputs!$N$13))</f>
        <v>27.693445485079963</v>
      </c>
      <c r="M141" s="176">
        <f>IF((((inputs!$P$13/(inputs!E123/MAX('Max rate concentrations'!M$3:M$368)))^(1/inputs!$O$13))-1)/inputs!$N$13&lt;0, 0, IF((((inputs!$P$13/(inputs!E123/MAX('Max rate concentrations'!M$3:M$368)))^(1/inputs!$O$13))-1)/inputs!$N$13&gt;inputs!$I$17, inputs!$I$17, (((inputs!$P$13/(inputs!E123/MAX('Max rate concentrations'!M$3:M$368)))^(1/inputs!$O$13))-1)/inputs!$N$13))</f>
        <v>0</v>
      </c>
      <c r="N141" s="101" t="s">
        <v>13</v>
      </c>
    </row>
    <row r="142" spans="1:14" x14ac:dyDescent="0.3">
      <c r="A142" s="41"/>
      <c r="B142" s="22" t="s">
        <v>62</v>
      </c>
      <c r="C142" s="22" t="s">
        <v>71</v>
      </c>
      <c r="D142" s="176">
        <f>IF((((inputs!$P$13/(inputs!E124/MAX('Max rate concentrations'!D$3:D$368)))^(1/inputs!$O$13))-1)/inputs!$N$13&lt;0, 0, IF((((inputs!$P$13/(inputs!E124/MAX('Max rate concentrations'!D$3:D$368)))^(1/inputs!$O$13))-1)/inputs!$N$13&gt;inputs!$I$17, inputs!$I$17, (((inputs!$P$13/(inputs!E124/MAX('Max rate concentrations'!D$3:D$368)))^(1/inputs!$O$13))-1)/inputs!$N$13))</f>
        <v>358.62392384645671</v>
      </c>
      <c r="E142" s="176">
        <f>IF((((inputs!$P$13/(inputs!E124/MAX('Max rate concentrations'!E$3:E$368)))^(1/inputs!$O$13))-1)/inputs!$N$13&lt;0, 0, IF((((inputs!$P$13/(inputs!E124/MAX('Max rate concentrations'!E$3:E$368)))^(1/inputs!$O$13))-1)/inputs!$N$13&gt;inputs!$I$17, inputs!$I$17, (((inputs!$P$13/(inputs!E124/MAX('Max rate concentrations'!E$3:E$368)))^(1/inputs!$O$13))-1)/inputs!$N$13))</f>
        <v>188.38444716305662</v>
      </c>
      <c r="F142" s="176">
        <f>IF((((inputs!$P$13/(inputs!E124/MAX('Max rate concentrations'!F$3:F$368)))^(1/inputs!$O$13))-1)/inputs!$N$13&lt;0, 0, IF((((inputs!$P$13/(inputs!E124/MAX('Max rate concentrations'!F$3:F$368)))^(1/inputs!$O$13))-1)/inputs!$N$13&gt;inputs!$I$17, inputs!$I$17, (((inputs!$P$13/(inputs!E124/MAX('Max rate concentrations'!F$3:F$368)))^(1/inputs!$O$13))-1)/inputs!$N$13))</f>
        <v>223.25661212215778</v>
      </c>
      <c r="G142" s="176">
        <f>IF((((inputs!$P$13/(inputs!E124/MAX('Max rate concentrations'!G$3:G$368)))^(1/inputs!$O$13))-1)/inputs!$N$13&lt;0, 0, IF((((inputs!$P$13/(inputs!E124/MAX('Max rate concentrations'!G$3:G$368)))^(1/inputs!$O$13))-1)/inputs!$N$13&gt;inputs!$I$17, inputs!$I$17, (((inputs!$P$13/(inputs!E124/MAX('Max rate concentrations'!G$3:G$368)))^(1/inputs!$O$13))-1)/inputs!$N$13))</f>
        <v>33.426171272462916</v>
      </c>
      <c r="H142" s="176">
        <f>IF((((inputs!$P$13/(inputs!E124/MAX('Max rate concentrations'!H$3:H$368)))^(1/inputs!$O$13))-1)/inputs!$N$13&lt;0, 0, IF((((inputs!$P$13/(inputs!E124/MAX('Max rate concentrations'!H$3:H$368)))^(1/inputs!$O$13))-1)/inputs!$N$13&gt;inputs!$I$17, inputs!$I$17, (((inputs!$P$13/(inputs!E124/MAX('Max rate concentrations'!H$3:H$368)))^(1/inputs!$O$13))-1)/inputs!$N$13))</f>
        <v>165.27413082628783</v>
      </c>
      <c r="I142" s="176">
        <f>IF((((inputs!$P$13/(inputs!E124/MAX('Max rate concentrations'!I$3:I$368)))^(1/inputs!$O$13))-1)/inputs!$N$13&lt;0, 0, IF((((inputs!$P$13/(inputs!E124/MAX('Max rate concentrations'!I$3:I$368)))^(1/inputs!$O$13))-1)/inputs!$N$13&gt;inputs!$I$17, inputs!$I$17, (((inputs!$P$13/(inputs!E124/MAX('Max rate concentrations'!I$3:I$368)))^(1/inputs!$O$13))-1)/inputs!$N$13))</f>
        <v>41.479305694369394</v>
      </c>
      <c r="J142" s="176">
        <f>IF((((inputs!$P$13/(inputs!E124/MAX('Max rate concentrations'!J$3:J$368)))^(1/inputs!$O$13))-1)/inputs!$N$13&lt;0, 0, IF((((inputs!$P$13/(inputs!E124/MAX('Max rate concentrations'!J$3:J$368)))^(1/inputs!$O$13))-1)/inputs!$N$13&gt;inputs!$I$17, inputs!$I$17, (((inputs!$P$13/(inputs!E124/MAX('Max rate concentrations'!J$3:J$368)))^(1/inputs!$O$13))-1)/inputs!$N$13))</f>
        <v>344.85722867931366</v>
      </c>
      <c r="K142" s="176">
        <f>IF((((inputs!$P$13/(inputs!E124/MAX('Max rate concentrations'!K$3:K$368)))^(1/inputs!$O$13))-1)/inputs!$N$13&lt;0, 0, IF((((inputs!$P$13/(inputs!E124/MAX('Max rate concentrations'!K$3:K$368)))^(1/inputs!$O$13))-1)/inputs!$N$13&gt;inputs!$I$17, inputs!$I$17, (((inputs!$P$13/(inputs!E124/MAX('Max rate concentrations'!K$3:K$368)))^(1/inputs!$O$13))-1)/inputs!$N$13))</f>
        <v>74.40686307162801</v>
      </c>
      <c r="L142" s="176">
        <f>IF((((inputs!$P$13/(inputs!E124/MAX('Max rate concentrations'!L$3:L$368)))^(1/inputs!$O$13))-1)/inputs!$N$13&lt;0, 0, IF((((inputs!$P$13/(inputs!E124/MAX('Max rate concentrations'!L$3:L$368)))^(1/inputs!$O$13))-1)/inputs!$N$13&gt;inputs!$I$17, inputs!$I$17, (((inputs!$P$13/(inputs!E124/MAX('Max rate concentrations'!L$3:L$368)))^(1/inputs!$O$13))-1)/inputs!$N$13))</f>
        <v>198.0670813541476</v>
      </c>
      <c r="M142" s="176">
        <f>IF((((inputs!$P$13/(inputs!E124/MAX('Max rate concentrations'!M$3:M$368)))^(1/inputs!$O$13))-1)/inputs!$N$13&lt;0, 0, IF((((inputs!$P$13/(inputs!E124/MAX('Max rate concentrations'!M$3:M$368)))^(1/inputs!$O$13))-1)/inputs!$N$13&gt;inputs!$I$17, inputs!$I$17, (((inputs!$P$13/(inputs!E124/MAX('Max rate concentrations'!M$3:M$368)))^(1/inputs!$O$13))-1)/inputs!$N$13))</f>
        <v>12.442258732258576</v>
      </c>
      <c r="N142" s="101" t="s">
        <v>13</v>
      </c>
    </row>
    <row r="143" spans="1:14" x14ac:dyDescent="0.3">
      <c r="A143" s="41"/>
      <c r="B143" s="61" t="s">
        <v>62</v>
      </c>
      <c r="C143" s="61" t="s">
        <v>81</v>
      </c>
      <c r="D143" s="176">
        <f>IF((((inputs!$P$13/(inputs!E125/MAX('Max rate concentrations'!D$3:D$368)))^(1/inputs!$O$13))-1)/inputs!$N$13&lt;0, 0, IF((((inputs!$P$13/(inputs!E125/MAX('Max rate concentrations'!D$3:D$368)))^(1/inputs!$O$13))-1)/inputs!$N$13&gt;inputs!$I$17, inputs!$I$17, (((inputs!$P$13/(inputs!E125/MAX('Max rate concentrations'!D$3:D$368)))^(1/inputs!$O$13))-1)/inputs!$N$13))</f>
        <v>196.40544532692766</v>
      </c>
      <c r="E143" s="176">
        <f>IF((((inputs!$P$13/(inputs!E125/MAX('Max rate concentrations'!E$3:E$368)))^(1/inputs!$O$13))-1)/inputs!$N$13&lt;0, 0, IF((((inputs!$P$13/(inputs!E125/MAX('Max rate concentrations'!E$3:E$368)))^(1/inputs!$O$13))-1)/inputs!$N$13&gt;inputs!$I$17, inputs!$I$17, (((inputs!$P$13/(inputs!E125/MAX('Max rate concentrations'!E$3:E$368)))^(1/inputs!$O$13))-1)/inputs!$N$13))</f>
        <v>102.06507282251319</v>
      </c>
      <c r="F143" s="176">
        <f>IF((((inputs!$P$13/(inputs!E125/MAX('Max rate concentrations'!F$3:F$368)))^(1/inputs!$O$13))-1)/inputs!$N$13&lt;0, 0, IF((((inputs!$P$13/(inputs!E125/MAX('Max rate concentrations'!F$3:F$368)))^(1/inputs!$O$13))-1)/inputs!$N$13&gt;inputs!$I$17, inputs!$I$17, (((inputs!$P$13/(inputs!E125/MAX('Max rate concentrations'!F$3:F$368)))^(1/inputs!$O$13))-1)/inputs!$N$13))</f>
        <v>121.38992682447441</v>
      </c>
      <c r="G143" s="176">
        <f>IF((((inputs!$P$13/(inputs!E125/MAX('Max rate concentrations'!G$3:G$368)))^(1/inputs!$O$13))-1)/inputs!$N$13&lt;0, 0, IF((((inputs!$P$13/(inputs!E125/MAX('Max rate concentrations'!G$3:G$368)))^(1/inputs!$O$13))-1)/inputs!$N$13&gt;inputs!$I$17, inputs!$I$17, (((inputs!$P$13/(inputs!E125/MAX('Max rate concentrations'!G$3:G$368)))^(1/inputs!$O$13))-1)/inputs!$N$13))</f>
        <v>16.192972208931302</v>
      </c>
      <c r="H143" s="176">
        <f>IF((((inputs!$P$13/(inputs!E125/MAX('Max rate concentrations'!H$3:H$368)))^(1/inputs!$O$13))-1)/inputs!$N$13&lt;0, 0, IF((((inputs!$P$13/(inputs!E125/MAX('Max rate concentrations'!H$3:H$368)))^(1/inputs!$O$13))-1)/inputs!$N$13&gt;inputs!$I$17, inputs!$I$17, (((inputs!$P$13/(inputs!E125/MAX('Max rate concentrations'!H$3:H$368)))^(1/inputs!$O$13))-1)/inputs!$N$13))</f>
        <v>89.258196918164103</v>
      </c>
      <c r="I143" s="176">
        <f>IF((((inputs!$P$13/(inputs!E125/MAX('Max rate concentrations'!I$3:I$368)))^(1/inputs!$O$13))-1)/inputs!$N$13&lt;0, 0, IF((((inputs!$P$13/(inputs!E125/MAX('Max rate concentrations'!I$3:I$368)))^(1/inputs!$O$13))-1)/inputs!$N$13&gt;inputs!$I$17, inputs!$I$17, (((inputs!$P$13/(inputs!E125/MAX('Max rate concentrations'!I$3:I$368)))^(1/inputs!$O$13))-1)/inputs!$N$13))</f>
        <v>20.655719134567633</v>
      </c>
      <c r="J143" s="176">
        <f>IF((((inputs!$P$13/(inputs!E125/MAX('Max rate concentrations'!J$3:J$368)))^(1/inputs!$O$13))-1)/inputs!$N$13&lt;0, 0, IF((((inputs!$P$13/(inputs!E125/MAX('Max rate concentrations'!J$3:J$368)))^(1/inputs!$O$13))-1)/inputs!$N$13&gt;inputs!$I$17, inputs!$I$17, (((inputs!$P$13/(inputs!E125/MAX('Max rate concentrations'!J$3:J$368)))^(1/inputs!$O$13))-1)/inputs!$N$13))</f>
        <v>188.77645600244594</v>
      </c>
      <c r="K143" s="176">
        <f>IF((((inputs!$P$13/(inputs!E125/MAX('Max rate concentrations'!K$3:K$368)))^(1/inputs!$O$13))-1)/inputs!$N$13&lt;0, 0, IF((((inputs!$P$13/(inputs!E125/MAX('Max rate concentrations'!K$3:K$368)))^(1/inputs!$O$13))-1)/inputs!$N$13&gt;inputs!$I$17, inputs!$I$17, (((inputs!$P$13/(inputs!E125/MAX('Max rate concentrations'!K$3:K$368)))^(1/inputs!$O$13))-1)/inputs!$N$13))</f>
        <v>38.902944097600908</v>
      </c>
      <c r="L143" s="176">
        <f>IF((((inputs!$P$13/(inputs!E125/MAX('Max rate concentrations'!L$3:L$368)))^(1/inputs!$O$13))-1)/inputs!$N$13&lt;0, 0, IF((((inputs!$P$13/(inputs!E125/MAX('Max rate concentrations'!L$3:L$368)))^(1/inputs!$O$13))-1)/inputs!$N$13&gt;inputs!$I$17, inputs!$I$17, (((inputs!$P$13/(inputs!E125/MAX('Max rate concentrations'!L$3:L$368)))^(1/inputs!$O$13))-1)/inputs!$N$13))</f>
        <v>107.4308277825704</v>
      </c>
      <c r="M143" s="176">
        <f>IF((((inputs!$P$13/(inputs!E125/MAX('Max rate concentrations'!M$3:M$368)))^(1/inputs!$O$13))-1)/inputs!$N$13&lt;0, 0, IF((((inputs!$P$13/(inputs!E125/MAX('Max rate concentrations'!M$3:M$368)))^(1/inputs!$O$13))-1)/inputs!$N$13&gt;inputs!$I$17, inputs!$I$17, (((inputs!$P$13/(inputs!E125/MAX('Max rate concentrations'!M$3:M$368)))^(1/inputs!$O$13))-1)/inputs!$N$13))</f>
        <v>4.5644700294719742</v>
      </c>
      <c r="N143" s="101" t="s">
        <v>13</v>
      </c>
    </row>
    <row r="144" spans="1:14" x14ac:dyDescent="0.3">
      <c r="A144" s="41"/>
      <c r="B144" s="61" t="s">
        <v>62</v>
      </c>
      <c r="C144" s="61" t="s">
        <v>82</v>
      </c>
      <c r="D144" s="176">
        <f>IF((((inputs!$P$13/(inputs!E126/MAX('Max rate concentrations'!D$3:D$368)))^(1/inputs!$O$13))-1)/inputs!$N$13&lt;0, 0, IF((((inputs!$P$13/(inputs!E126/MAX('Max rate concentrations'!D$3:D$368)))^(1/inputs!$O$13))-1)/inputs!$N$13&gt;inputs!$I$17, inputs!$I$17, (((inputs!$P$13/(inputs!E126/MAX('Max rate concentrations'!D$3:D$368)))^(1/inputs!$O$13))-1)/inputs!$N$13))</f>
        <v>111.59677860836642</v>
      </c>
      <c r="E144" s="176">
        <f>IF((((inputs!$P$13/(inputs!E126/MAX('Max rate concentrations'!E$3:E$368)))^(1/inputs!$O$13))-1)/inputs!$N$13&lt;0, 0, IF((((inputs!$P$13/(inputs!E126/MAX('Max rate concentrations'!E$3:E$368)))^(1/inputs!$O$13))-1)/inputs!$N$13&gt;inputs!$I$17, inputs!$I$17, (((inputs!$P$13/(inputs!E126/MAX('Max rate concentrations'!E$3:E$368)))^(1/inputs!$O$13))-1)/inputs!$N$13))</f>
        <v>56.936853666391755</v>
      </c>
      <c r="F144" s="176">
        <f>IF((((inputs!$P$13/(inputs!E126/MAX('Max rate concentrations'!F$3:F$368)))^(1/inputs!$O$13))-1)/inputs!$N$13&lt;0, 0, IF((((inputs!$P$13/(inputs!E126/MAX('Max rate concentrations'!F$3:F$368)))^(1/inputs!$O$13))-1)/inputs!$N$13&gt;inputs!$I$17, inputs!$I$17, (((inputs!$P$13/(inputs!E126/MAX('Max rate concentrations'!F$3:F$368)))^(1/inputs!$O$13))-1)/inputs!$N$13))</f>
        <v>68.133492403560112</v>
      </c>
      <c r="G144" s="176">
        <f>IF((((inputs!$P$13/(inputs!E126/MAX('Max rate concentrations'!G$3:G$368)))^(1/inputs!$O$13))-1)/inputs!$N$13&lt;0, 0, IF((((inputs!$P$13/(inputs!E126/MAX('Max rate concentrations'!G$3:G$368)))^(1/inputs!$O$13))-1)/inputs!$N$13&gt;inputs!$I$17, inputs!$I$17, (((inputs!$P$13/(inputs!E126/MAX('Max rate concentrations'!G$3:G$368)))^(1/inputs!$O$13))-1)/inputs!$N$13))</f>
        <v>7.1833658483481164</v>
      </c>
      <c r="H144" s="176">
        <f>IF((((inputs!$P$13/(inputs!E126/MAX('Max rate concentrations'!H$3:H$368)))^(1/inputs!$O$13))-1)/inputs!$N$13&lt;0, 0, IF((((inputs!$P$13/(inputs!E126/MAX('Max rate concentrations'!H$3:H$368)))^(1/inputs!$O$13))-1)/inputs!$N$13&gt;inputs!$I$17, inputs!$I$17, (((inputs!$P$13/(inputs!E126/MAX('Max rate concentrations'!H$3:H$368)))^(1/inputs!$O$13))-1)/inputs!$N$13))</f>
        <v>49.516670163934727</v>
      </c>
      <c r="I144" s="176">
        <f>IF((((inputs!$P$13/(inputs!E126/MAX('Max rate concentrations'!I$3:I$368)))^(1/inputs!$O$13))-1)/inputs!$N$13&lt;0, 0, IF((((inputs!$P$13/(inputs!E126/MAX('Max rate concentrations'!I$3:I$368)))^(1/inputs!$O$13))-1)/inputs!$N$13&gt;inputs!$I$17, inputs!$I$17, (((inputs!$P$13/(inputs!E126/MAX('Max rate concentrations'!I$3:I$368)))^(1/inputs!$O$13))-1)/inputs!$N$13))</f>
        <v>9.7690394630976805</v>
      </c>
      <c r="J144" s="176">
        <f>IF((((inputs!$P$13/(inputs!E126/MAX('Max rate concentrations'!J$3:J$368)))^(1/inputs!$O$13))-1)/inputs!$N$13&lt;0, 0, IF((((inputs!$P$13/(inputs!E126/MAX('Max rate concentrations'!J$3:J$368)))^(1/inputs!$O$13))-1)/inputs!$N$13&gt;inputs!$I$17, inputs!$I$17, (((inputs!$P$13/(inputs!E126/MAX('Max rate concentrations'!J$3:J$368)))^(1/inputs!$O$13))-1)/inputs!$N$13))</f>
        <v>107.17661391334386</v>
      </c>
      <c r="K144" s="176">
        <f>IF((((inputs!$P$13/(inputs!E126/MAX('Max rate concentrations'!K$3:K$368)))^(1/inputs!$O$13))-1)/inputs!$N$13&lt;0, 0, IF((((inputs!$P$13/(inputs!E126/MAX('Max rate concentrations'!K$3:K$368)))^(1/inputs!$O$13))-1)/inputs!$N$13&gt;inputs!$I$17, inputs!$I$17, (((inputs!$P$13/(inputs!E126/MAX('Max rate concentrations'!K$3:K$368)))^(1/inputs!$O$13))-1)/inputs!$N$13))</f>
        <v>20.341310065824583</v>
      </c>
      <c r="L144" s="176">
        <f>IF((((inputs!$P$13/(inputs!E126/MAX('Max rate concentrations'!L$3:L$368)))^(1/inputs!$O$13))-1)/inputs!$N$13&lt;0, 0, IF((((inputs!$P$13/(inputs!E126/MAX('Max rate concentrations'!L$3:L$368)))^(1/inputs!$O$13))-1)/inputs!$N$13&gt;inputs!$I$17, inputs!$I$17, (((inputs!$P$13/(inputs!E126/MAX('Max rate concentrations'!L$3:L$368)))^(1/inputs!$O$13))-1)/inputs!$N$13))</f>
        <v>60.045721647170915</v>
      </c>
      <c r="M144" s="176">
        <f>IF((((inputs!$P$13/(inputs!E126/MAX('Max rate concentrations'!M$3:M$368)))^(1/inputs!$O$13))-1)/inputs!$N$13&lt;0, 0, IF((((inputs!$P$13/(inputs!E126/MAX('Max rate concentrations'!M$3:M$368)))^(1/inputs!$O$13))-1)/inputs!$N$13&gt;inputs!$I$17, inputs!$I$17, (((inputs!$P$13/(inputs!E126/MAX('Max rate concentrations'!M$3:M$368)))^(1/inputs!$O$13))-1)/inputs!$N$13))</f>
        <v>0.4459210042852686</v>
      </c>
      <c r="N144" s="101" t="s">
        <v>13</v>
      </c>
    </row>
    <row r="145" spans="1:14" x14ac:dyDescent="0.3">
      <c r="A145" s="41"/>
      <c r="B145" s="61" t="s">
        <v>62</v>
      </c>
      <c r="C145" s="61" t="s">
        <v>83</v>
      </c>
      <c r="D145" s="176">
        <f>IF((((inputs!$P$13/(inputs!E127/MAX('Max rate concentrations'!D$3:D$368)))^(1/inputs!$O$13))-1)/inputs!$N$13&lt;0, 0, IF((((inputs!$P$13/(inputs!E127/MAX('Max rate concentrations'!D$3:D$368)))^(1/inputs!$O$13))-1)/inputs!$N$13&gt;inputs!$I$17, inputs!$I$17, (((inputs!$P$13/(inputs!E127/MAX('Max rate concentrations'!D$3:D$368)))^(1/inputs!$O$13))-1)/inputs!$N$13))</f>
        <v>196.40544532692766</v>
      </c>
      <c r="E145" s="176">
        <f>IF((((inputs!$P$13/(inputs!E127/MAX('Max rate concentrations'!E$3:E$368)))^(1/inputs!$O$13))-1)/inputs!$N$13&lt;0, 0, IF((((inputs!$P$13/(inputs!E127/MAX('Max rate concentrations'!E$3:E$368)))^(1/inputs!$O$13))-1)/inputs!$N$13&gt;inputs!$I$17, inputs!$I$17, (((inputs!$P$13/(inputs!E127/MAX('Max rate concentrations'!E$3:E$368)))^(1/inputs!$O$13))-1)/inputs!$N$13))</f>
        <v>102.06507282251319</v>
      </c>
      <c r="F145" s="176">
        <f>IF((((inputs!$P$13/(inputs!E127/MAX('Max rate concentrations'!F$3:F$368)))^(1/inputs!$O$13))-1)/inputs!$N$13&lt;0, 0, IF((((inputs!$P$13/(inputs!E127/MAX('Max rate concentrations'!F$3:F$368)))^(1/inputs!$O$13))-1)/inputs!$N$13&gt;inputs!$I$17, inputs!$I$17, (((inputs!$P$13/(inputs!E127/MAX('Max rate concentrations'!F$3:F$368)))^(1/inputs!$O$13))-1)/inputs!$N$13))</f>
        <v>121.38992682447441</v>
      </c>
      <c r="G145" s="176">
        <f>IF((((inputs!$P$13/(inputs!E127/MAX('Max rate concentrations'!G$3:G$368)))^(1/inputs!$O$13))-1)/inputs!$N$13&lt;0, 0, IF((((inputs!$P$13/(inputs!E127/MAX('Max rate concentrations'!G$3:G$368)))^(1/inputs!$O$13))-1)/inputs!$N$13&gt;inputs!$I$17, inputs!$I$17, (((inputs!$P$13/(inputs!E127/MAX('Max rate concentrations'!G$3:G$368)))^(1/inputs!$O$13))-1)/inputs!$N$13))</f>
        <v>16.192972208931302</v>
      </c>
      <c r="H145" s="176">
        <f>IF((((inputs!$P$13/(inputs!E127/MAX('Max rate concentrations'!H$3:H$368)))^(1/inputs!$O$13))-1)/inputs!$N$13&lt;0, 0, IF((((inputs!$P$13/(inputs!E127/MAX('Max rate concentrations'!H$3:H$368)))^(1/inputs!$O$13))-1)/inputs!$N$13&gt;inputs!$I$17, inputs!$I$17, (((inputs!$P$13/(inputs!E127/MAX('Max rate concentrations'!H$3:H$368)))^(1/inputs!$O$13))-1)/inputs!$N$13))</f>
        <v>89.258196918164103</v>
      </c>
      <c r="I145" s="176">
        <f>IF((((inputs!$P$13/(inputs!E127/MAX('Max rate concentrations'!I$3:I$368)))^(1/inputs!$O$13))-1)/inputs!$N$13&lt;0, 0, IF((((inputs!$P$13/(inputs!E127/MAX('Max rate concentrations'!I$3:I$368)))^(1/inputs!$O$13))-1)/inputs!$N$13&gt;inputs!$I$17, inputs!$I$17, (((inputs!$P$13/(inputs!E127/MAX('Max rate concentrations'!I$3:I$368)))^(1/inputs!$O$13))-1)/inputs!$N$13))</f>
        <v>20.655719134567633</v>
      </c>
      <c r="J145" s="176">
        <f>IF((((inputs!$P$13/(inputs!E127/MAX('Max rate concentrations'!J$3:J$368)))^(1/inputs!$O$13))-1)/inputs!$N$13&lt;0, 0, IF((((inputs!$P$13/(inputs!E127/MAX('Max rate concentrations'!J$3:J$368)))^(1/inputs!$O$13))-1)/inputs!$N$13&gt;inputs!$I$17, inputs!$I$17, (((inputs!$P$13/(inputs!E127/MAX('Max rate concentrations'!J$3:J$368)))^(1/inputs!$O$13))-1)/inputs!$N$13))</f>
        <v>188.77645600244594</v>
      </c>
      <c r="K145" s="176">
        <f>IF((((inputs!$P$13/(inputs!E127/MAX('Max rate concentrations'!K$3:K$368)))^(1/inputs!$O$13))-1)/inputs!$N$13&lt;0, 0, IF((((inputs!$P$13/(inputs!E127/MAX('Max rate concentrations'!K$3:K$368)))^(1/inputs!$O$13))-1)/inputs!$N$13&gt;inputs!$I$17, inputs!$I$17, (((inputs!$P$13/(inputs!E127/MAX('Max rate concentrations'!K$3:K$368)))^(1/inputs!$O$13))-1)/inputs!$N$13))</f>
        <v>38.902944097600908</v>
      </c>
      <c r="L145" s="176">
        <f>IF((((inputs!$P$13/(inputs!E127/MAX('Max rate concentrations'!L$3:L$368)))^(1/inputs!$O$13))-1)/inputs!$N$13&lt;0, 0, IF((((inputs!$P$13/(inputs!E127/MAX('Max rate concentrations'!L$3:L$368)))^(1/inputs!$O$13))-1)/inputs!$N$13&gt;inputs!$I$17, inputs!$I$17, (((inputs!$P$13/(inputs!E127/MAX('Max rate concentrations'!L$3:L$368)))^(1/inputs!$O$13))-1)/inputs!$N$13))</f>
        <v>107.4308277825704</v>
      </c>
      <c r="M145" s="176">
        <f>IF((((inputs!$P$13/(inputs!E127/MAX('Max rate concentrations'!M$3:M$368)))^(1/inputs!$O$13))-1)/inputs!$N$13&lt;0, 0, IF((((inputs!$P$13/(inputs!E127/MAX('Max rate concentrations'!M$3:M$368)))^(1/inputs!$O$13))-1)/inputs!$N$13&gt;inputs!$I$17, inputs!$I$17, (((inputs!$P$13/(inputs!E127/MAX('Max rate concentrations'!M$3:M$368)))^(1/inputs!$O$13))-1)/inputs!$N$13))</f>
        <v>4.5644700294719742</v>
      </c>
      <c r="N145" s="101" t="s">
        <v>13</v>
      </c>
    </row>
    <row r="146" spans="1:14" x14ac:dyDescent="0.3">
      <c r="A146" s="41"/>
      <c r="B146" s="61" t="s">
        <v>62</v>
      </c>
      <c r="C146" s="61" t="s">
        <v>84</v>
      </c>
      <c r="D146" s="176">
        <f>IF((((inputs!$P$13/(inputs!E128/MAX('Max rate concentrations'!D$3:D$368)))^(1/inputs!$O$13))-1)/inputs!$N$13&lt;0, 0, IF((((inputs!$P$13/(inputs!E128/MAX('Max rate concentrations'!D$3:D$368)))^(1/inputs!$O$13))-1)/inputs!$N$13&gt;inputs!$I$17, inputs!$I$17, (((inputs!$P$13/(inputs!E128/MAX('Max rate concentrations'!D$3:D$368)))^(1/inputs!$O$13))-1)/inputs!$N$13))</f>
        <v>111.59677860836642</v>
      </c>
      <c r="E146" s="176">
        <f>IF((((inputs!$P$13/(inputs!E128/MAX('Max rate concentrations'!E$3:E$368)))^(1/inputs!$O$13))-1)/inputs!$N$13&lt;0, 0, IF((((inputs!$P$13/(inputs!E128/MAX('Max rate concentrations'!E$3:E$368)))^(1/inputs!$O$13))-1)/inputs!$N$13&gt;inputs!$I$17, inputs!$I$17, (((inputs!$P$13/(inputs!E128/MAX('Max rate concentrations'!E$3:E$368)))^(1/inputs!$O$13))-1)/inputs!$N$13))</f>
        <v>56.936853666391755</v>
      </c>
      <c r="F146" s="176">
        <f>IF((((inputs!$P$13/(inputs!E128/MAX('Max rate concentrations'!F$3:F$368)))^(1/inputs!$O$13))-1)/inputs!$N$13&lt;0, 0, IF((((inputs!$P$13/(inputs!E128/MAX('Max rate concentrations'!F$3:F$368)))^(1/inputs!$O$13))-1)/inputs!$N$13&gt;inputs!$I$17, inputs!$I$17, (((inputs!$P$13/(inputs!E128/MAX('Max rate concentrations'!F$3:F$368)))^(1/inputs!$O$13))-1)/inputs!$N$13))</f>
        <v>68.133492403560112</v>
      </c>
      <c r="G146" s="176">
        <f>IF((((inputs!$P$13/(inputs!E128/MAX('Max rate concentrations'!G$3:G$368)))^(1/inputs!$O$13))-1)/inputs!$N$13&lt;0, 0, IF((((inputs!$P$13/(inputs!E128/MAX('Max rate concentrations'!G$3:G$368)))^(1/inputs!$O$13))-1)/inputs!$N$13&gt;inputs!$I$17, inputs!$I$17, (((inputs!$P$13/(inputs!E128/MAX('Max rate concentrations'!G$3:G$368)))^(1/inputs!$O$13))-1)/inputs!$N$13))</f>
        <v>7.1833658483481164</v>
      </c>
      <c r="H146" s="176">
        <f>IF((((inputs!$P$13/(inputs!E128/MAX('Max rate concentrations'!H$3:H$368)))^(1/inputs!$O$13))-1)/inputs!$N$13&lt;0, 0, IF((((inputs!$P$13/(inputs!E128/MAX('Max rate concentrations'!H$3:H$368)))^(1/inputs!$O$13))-1)/inputs!$N$13&gt;inputs!$I$17, inputs!$I$17, (((inputs!$P$13/(inputs!E128/MAX('Max rate concentrations'!H$3:H$368)))^(1/inputs!$O$13))-1)/inputs!$N$13))</f>
        <v>49.516670163934727</v>
      </c>
      <c r="I146" s="176">
        <f>IF((((inputs!$P$13/(inputs!E128/MAX('Max rate concentrations'!I$3:I$368)))^(1/inputs!$O$13))-1)/inputs!$N$13&lt;0, 0, IF((((inputs!$P$13/(inputs!E128/MAX('Max rate concentrations'!I$3:I$368)))^(1/inputs!$O$13))-1)/inputs!$N$13&gt;inputs!$I$17, inputs!$I$17, (((inputs!$P$13/(inputs!E128/MAX('Max rate concentrations'!I$3:I$368)))^(1/inputs!$O$13))-1)/inputs!$N$13))</f>
        <v>9.7690394630976805</v>
      </c>
      <c r="J146" s="176">
        <f>IF((((inputs!$P$13/(inputs!E128/MAX('Max rate concentrations'!J$3:J$368)))^(1/inputs!$O$13))-1)/inputs!$N$13&lt;0, 0, IF((((inputs!$P$13/(inputs!E128/MAX('Max rate concentrations'!J$3:J$368)))^(1/inputs!$O$13))-1)/inputs!$N$13&gt;inputs!$I$17, inputs!$I$17, (((inputs!$P$13/(inputs!E128/MAX('Max rate concentrations'!J$3:J$368)))^(1/inputs!$O$13))-1)/inputs!$N$13))</f>
        <v>107.17661391334386</v>
      </c>
      <c r="K146" s="176">
        <f>IF((((inputs!$P$13/(inputs!E128/MAX('Max rate concentrations'!K$3:K$368)))^(1/inputs!$O$13))-1)/inputs!$N$13&lt;0, 0, IF((((inputs!$P$13/(inputs!E128/MAX('Max rate concentrations'!K$3:K$368)))^(1/inputs!$O$13))-1)/inputs!$N$13&gt;inputs!$I$17, inputs!$I$17, (((inputs!$P$13/(inputs!E128/MAX('Max rate concentrations'!K$3:K$368)))^(1/inputs!$O$13))-1)/inputs!$N$13))</f>
        <v>20.341310065824583</v>
      </c>
      <c r="L146" s="176">
        <f>IF((((inputs!$P$13/(inputs!E128/MAX('Max rate concentrations'!L$3:L$368)))^(1/inputs!$O$13))-1)/inputs!$N$13&lt;0, 0, IF((((inputs!$P$13/(inputs!E128/MAX('Max rate concentrations'!L$3:L$368)))^(1/inputs!$O$13))-1)/inputs!$N$13&gt;inputs!$I$17, inputs!$I$17, (((inputs!$P$13/(inputs!E128/MAX('Max rate concentrations'!L$3:L$368)))^(1/inputs!$O$13))-1)/inputs!$N$13))</f>
        <v>60.045721647170915</v>
      </c>
      <c r="M146" s="176">
        <f>IF((((inputs!$P$13/(inputs!E128/MAX('Max rate concentrations'!M$3:M$368)))^(1/inputs!$O$13))-1)/inputs!$N$13&lt;0, 0, IF((((inputs!$P$13/(inputs!E128/MAX('Max rate concentrations'!M$3:M$368)))^(1/inputs!$O$13))-1)/inputs!$N$13&gt;inputs!$I$17, inputs!$I$17, (((inputs!$P$13/(inputs!E128/MAX('Max rate concentrations'!M$3:M$368)))^(1/inputs!$O$13))-1)/inputs!$N$13))</f>
        <v>0.4459210042852686</v>
      </c>
      <c r="N146" s="101" t="s">
        <v>13</v>
      </c>
    </row>
    <row r="147" spans="1:14" x14ac:dyDescent="0.3">
      <c r="A147" s="41"/>
      <c r="B147" s="61" t="s">
        <v>62</v>
      </c>
      <c r="C147" s="61" t="s">
        <v>85</v>
      </c>
      <c r="D147" s="176">
        <f>IF((((inputs!$P$13/(inputs!E129/MAX('Max rate concentrations'!D$3:D$368)))^(1/inputs!$O$13))-1)/inputs!$N$13&lt;0, 0, IF((((inputs!$P$13/(inputs!E129/MAX('Max rate concentrations'!D$3:D$368)))^(1/inputs!$O$13))-1)/inputs!$N$13&gt;inputs!$I$17, inputs!$I$17, (((inputs!$P$13/(inputs!E129/MAX('Max rate concentrations'!D$3:D$368)))^(1/inputs!$O$13))-1)/inputs!$N$13))</f>
        <v>358.62392384645671</v>
      </c>
      <c r="E147" s="176">
        <f>IF((((inputs!$P$13/(inputs!E129/MAX('Max rate concentrations'!E$3:E$368)))^(1/inputs!$O$13))-1)/inputs!$N$13&lt;0, 0, IF((((inputs!$P$13/(inputs!E129/MAX('Max rate concentrations'!E$3:E$368)))^(1/inputs!$O$13))-1)/inputs!$N$13&gt;inputs!$I$17, inputs!$I$17, (((inputs!$P$13/(inputs!E129/MAX('Max rate concentrations'!E$3:E$368)))^(1/inputs!$O$13))-1)/inputs!$N$13))</f>
        <v>188.38444716305662</v>
      </c>
      <c r="F147" s="176">
        <f>IF((((inputs!$P$13/(inputs!E129/MAX('Max rate concentrations'!F$3:F$368)))^(1/inputs!$O$13))-1)/inputs!$N$13&lt;0, 0, IF((((inputs!$P$13/(inputs!E129/MAX('Max rate concentrations'!F$3:F$368)))^(1/inputs!$O$13))-1)/inputs!$N$13&gt;inputs!$I$17, inputs!$I$17, (((inputs!$P$13/(inputs!E129/MAX('Max rate concentrations'!F$3:F$368)))^(1/inputs!$O$13))-1)/inputs!$N$13))</f>
        <v>223.25661212215778</v>
      </c>
      <c r="G147" s="176">
        <f>IF((((inputs!$P$13/(inputs!E129/MAX('Max rate concentrations'!G$3:G$368)))^(1/inputs!$O$13))-1)/inputs!$N$13&lt;0, 0, IF((((inputs!$P$13/(inputs!E129/MAX('Max rate concentrations'!G$3:G$368)))^(1/inputs!$O$13))-1)/inputs!$N$13&gt;inputs!$I$17, inputs!$I$17, (((inputs!$P$13/(inputs!E129/MAX('Max rate concentrations'!G$3:G$368)))^(1/inputs!$O$13))-1)/inputs!$N$13))</f>
        <v>33.426171272462916</v>
      </c>
      <c r="H147" s="176">
        <f>IF((((inputs!$P$13/(inputs!E129/MAX('Max rate concentrations'!H$3:H$368)))^(1/inputs!$O$13))-1)/inputs!$N$13&lt;0, 0, IF((((inputs!$P$13/(inputs!E129/MAX('Max rate concentrations'!H$3:H$368)))^(1/inputs!$O$13))-1)/inputs!$N$13&gt;inputs!$I$17, inputs!$I$17, (((inputs!$P$13/(inputs!E129/MAX('Max rate concentrations'!H$3:H$368)))^(1/inputs!$O$13))-1)/inputs!$N$13))</f>
        <v>165.27413082628783</v>
      </c>
      <c r="I147" s="176">
        <f>IF((((inputs!$P$13/(inputs!E129/MAX('Max rate concentrations'!I$3:I$368)))^(1/inputs!$O$13))-1)/inputs!$N$13&lt;0, 0, IF((((inputs!$P$13/(inputs!E129/MAX('Max rate concentrations'!I$3:I$368)))^(1/inputs!$O$13))-1)/inputs!$N$13&gt;inputs!$I$17, inputs!$I$17, (((inputs!$P$13/(inputs!E129/MAX('Max rate concentrations'!I$3:I$368)))^(1/inputs!$O$13))-1)/inputs!$N$13))</f>
        <v>41.479305694369394</v>
      </c>
      <c r="J147" s="176">
        <f>IF((((inputs!$P$13/(inputs!E129/MAX('Max rate concentrations'!J$3:J$368)))^(1/inputs!$O$13))-1)/inputs!$N$13&lt;0, 0, IF((((inputs!$P$13/(inputs!E129/MAX('Max rate concentrations'!J$3:J$368)))^(1/inputs!$O$13))-1)/inputs!$N$13&gt;inputs!$I$17, inputs!$I$17, (((inputs!$P$13/(inputs!E129/MAX('Max rate concentrations'!J$3:J$368)))^(1/inputs!$O$13))-1)/inputs!$N$13))</f>
        <v>344.85722867931366</v>
      </c>
      <c r="K147" s="176">
        <f>IF((((inputs!$P$13/(inputs!E129/MAX('Max rate concentrations'!K$3:K$368)))^(1/inputs!$O$13))-1)/inputs!$N$13&lt;0, 0, IF((((inputs!$P$13/(inputs!E129/MAX('Max rate concentrations'!K$3:K$368)))^(1/inputs!$O$13))-1)/inputs!$N$13&gt;inputs!$I$17, inputs!$I$17, (((inputs!$P$13/(inputs!E129/MAX('Max rate concentrations'!K$3:K$368)))^(1/inputs!$O$13))-1)/inputs!$N$13))</f>
        <v>74.40686307162801</v>
      </c>
      <c r="L147" s="176">
        <f>IF((((inputs!$P$13/(inputs!E129/MAX('Max rate concentrations'!L$3:L$368)))^(1/inputs!$O$13))-1)/inputs!$N$13&lt;0, 0, IF((((inputs!$P$13/(inputs!E129/MAX('Max rate concentrations'!L$3:L$368)))^(1/inputs!$O$13))-1)/inputs!$N$13&gt;inputs!$I$17, inputs!$I$17, (((inputs!$P$13/(inputs!E129/MAX('Max rate concentrations'!L$3:L$368)))^(1/inputs!$O$13))-1)/inputs!$N$13))</f>
        <v>198.0670813541476</v>
      </c>
      <c r="M147" s="176">
        <f>IF((((inputs!$P$13/(inputs!E129/MAX('Max rate concentrations'!M$3:M$368)))^(1/inputs!$O$13))-1)/inputs!$N$13&lt;0, 0, IF((((inputs!$P$13/(inputs!E129/MAX('Max rate concentrations'!M$3:M$368)))^(1/inputs!$O$13))-1)/inputs!$N$13&gt;inputs!$I$17, inputs!$I$17, (((inputs!$P$13/(inputs!E129/MAX('Max rate concentrations'!M$3:M$368)))^(1/inputs!$O$13))-1)/inputs!$N$13))</f>
        <v>12.442258732258576</v>
      </c>
      <c r="N147" s="101" t="s">
        <v>13</v>
      </c>
    </row>
    <row r="148" spans="1:14" x14ac:dyDescent="0.3">
      <c r="A148" s="41"/>
      <c r="B148" s="61" t="s">
        <v>62</v>
      </c>
      <c r="C148" s="61" t="s">
        <v>86</v>
      </c>
      <c r="D148" s="176">
        <f>IF((((inputs!$P$13/(inputs!E130/MAX('Max rate concentrations'!D$3:D$368)))^(1/inputs!$O$13))-1)/inputs!$N$13&lt;0, 0, IF((((inputs!$P$13/(inputs!E130/MAX('Max rate concentrations'!D$3:D$368)))^(1/inputs!$O$13))-1)/inputs!$N$13&gt;inputs!$I$17, inputs!$I$17, (((inputs!$P$13/(inputs!E130/MAX('Max rate concentrations'!D$3:D$368)))^(1/inputs!$O$13))-1)/inputs!$N$13))</f>
        <v>358.62392384645671</v>
      </c>
      <c r="E148" s="176">
        <f>IF((((inputs!$P$13/(inputs!E130/MAX('Max rate concentrations'!E$3:E$368)))^(1/inputs!$O$13))-1)/inputs!$N$13&lt;0, 0, IF((((inputs!$P$13/(inputs!E130/MAX('Max rate concentrations'!E$3:E$368)))^(1/inputs!$O$13))-1)/inputs!$N$13&gt;inputs!$I$17, inputs!$I$17, (((inputs!$P$13/(inputs!E130/MAX('Max rate concentrations'!E$3:E$368)))^(1/inputs!$O$13))-1)/inputs!$N$13))</f>
        <v>188.38444716305662</v>
      </c>
      <c r="F148" s="176">
        <f>IF((((inputs!$P$13/(inputs!E130/MAX('Max rate concentrations'!F$3:F$368)))^(1/inputs!$O$13))-1)/inputs!$N$13&lt;0, 0, IF((((inputs!$P$13/(inputs!E130/MAX('Max rate concentrations'!F$3:F$368)))^(1/inputs!$O$13))-1)/inputs!$N$13&gt;inputs!$I$17, inputs!$I$17, (((inputs!$P$13/(inputs!E130/MAX('Max rate concentrations'!F$3:F$368)))^(1/inputs!$O$13))-1)/inputs!$N$13))</f>
        <v>223.25661212215778</v>
      </c>
      <c r="G148" s="176">
        <f>IF((((inputs!$P$13/(inputs!E130/MAX('Max rate concentrations'!G$3:G$368)))^(1/inputs!$O$13))-1)/inputs!$N$13&lt;0, 0, IF((((inputs!$P$13/(inputs!E130/MAX('Max rate concentrations'!G$3:G$368)))^(1/inputs!$O$13))-1)/inputs!$N$13&gt;inputs!$I$17, inputs!$I$17, (((inputs!$P$13/(inputs!E130/MAX('Max rate concentrations'!G$3:G$368)))^(1/inputs!$O$13))-1)/inputs!$N$13))</f>
        <v>33.426171272462916</v>
      </c>
      <c r="H148" s="176">
        <f>IF((((inputs!$P$13/(inputs!E130/MAX('Max rate concentrations'!H$3:H$368)))^(1/inputs!$O$13))-1)/inputs!$N$13&lt;0, 0, IF((((inputs!$P$13/(inputs!E130/MAX('Max rate concentrations'!H$3:H$368)))^(1/inputs!$O$13))-1)/inputs!$N$13&gt;inputs!$I$17, inputs!$I$17, (((inputs!$P$13/(inputs!E130/MAX('Max rate concentrations'!H$3:H$368)))^(1/inputs!$O$13))-1)/inputs!$N$13))</f>
        <v>165.27413082628783</v>
      </c>
      <c r="I148" s="176">
        <f>IF((((inputs!$P$13/(inputs!E130/MAX('Max rate concentrations'!I$3:I$368)))^(1/inputs!$O$13))-1)/inputs!$N$13&lt;0, 0, IF((((inputs!$P$13/(inputs!E130/MAX('Max rate concentrations'!I$3:I$368)))^(1/inputs!$O$13))-1)/inputs!$N$13&gt;inputs!$I$17, inputs!$I$17, (((inputs!$P$13/(inputs!E130/MAX('Max rate concentrations'!I$3:I$368)))^(1/inputs!$O$13))-1)/inputs!$N$13))</f>
        <v>41.479305694369394</v>
      </c>
      <c r="J148" s="176">
        <f>IF((((inputs!$P$13/(inputs!E130/MAX('Max rate concentrations'!J$3:J$368)))^(1/inputs!$O$13))-1)/inputs!$N$13&lt;0, 0, IF((((inputs!$P$13/(inputs!E130/MAX('Max rate concentrations'!J$3:J$368)))^(1/inputs!$O$13))-1)/inputs!$N$13&gt;inputs!$I$17, inputs!$I$17, (((inputs!$P$13/(inputs!E130/MAX('Max rate concentrations'!J$3:J$368)))^(1/inputs!$O$13))-1)/inputs!$N$13))</f>
        <v>344.85722867931366</v>
      </c>
      <c r="K148" s="176">
        <f>IF((((inputs!$P$13/(inputs!E130/MAX('Max rate concentrations'!K$3:K$368)))^(1/inputs!$O$13))-1)/inputs!$N$13&lt;0, 0, IF((((inputs!$P$13/(inputs!E130/MAX('Max rate concentrations'!K$3:K$368)))^(1/inputs!$O$13))-1)/inputs!$N$13&gt;inputs!$I$17, inputs!$I$17, (((inputs!$P$13/(inputs!E130/MAX('Max rate concentrations'!K$3:K$368)))^(1/inputs!$O$13))-1)/inputs!$N$13))</f>
        <v>74.40686307162801</v>
      </c>
      <c r="L148" s="176">
        <f>IF((((inputs!$P$13/(inputs!E130/MAX('Max rate concentrations'!L$3:L$368)))^(1/inputs!$O$13))-1)/inputs!$N$13&lt;0, 0, IF((((inputs!$P$13/(inputs!E130/MAX('Max rate concentrations'!L$3:L$368)))^(1/inputs!$O$13))-1)/inputs!$N$13&gt;inputs!$I$17, inputs!$I$17, (((inputs!$P$13/(inputs!E130/MAX('Max rate concentrations'!L$3:L$368)))^(1/inputs!$O$13))-1)/inputs!$N$13))</f>
        <v>198.0670813541476</v>
      </c>
      <c r="M148" s="176">
        <f>IF((((inputs!$P$13/(inputs!E130/MAX('Max rate concentrations'!M$3:M$368)))^(1/inputs!$O$13))-1)/inputs!$N$13&lt;0, 0, IF((((inputs!$P$13/(inputs!E130/MAX('Max rate concentrations'!M$3:M$368)))^(1/inputs!$O$13))-1)/inputs!$N$13&gt;inputs!$I$17, inputs!$I$17, (((inputs!$P$13/(inputs!E130/MAX('Max rate concentrations'!M$3:M$368)))^(1/inputs!$O$13))-1)/inputs!$N$13))</f>
        <v>12.442258732258576</v>
      </c>
      <c r="N148" s="101" t="s">
        <v>13</v>
      </c>
    </row>
    <row r="149" spans="1:14" x14ac:dyDescent="0.3">
      <c r="A149" s="41"/>
      <c r="B149" s="61" t="s">
        <v>62</v>
      </c>
      <c r="C149" s="61" t="s">
        <v>87</v>
      </c>
      <c r="D149" s="176" t="e">
        <f>IF((((inputs!$P$13/(inputs!E131/MAX('Max rate concentrations'!D$3:D$368)))^(1/inputs!$O$13))-1)/inputs!$N$13&lt;0, 0, IF((((inputs!$P$13/(inputs!E131/MAX('Max rate concentrations'!D$3:D$368)))^(1/inputs!$O$13))-1)/inputs!$N$13&gt;inputs!$I$17, inputs!$I$17, (((inputs!$P$13/(inputs!E131/MAX('Max rate concentrations'!D$3:D$368)))^(1/inputs!$O$13))-1)/inputs!$N$13))</f>
        <v>#VALUE!</v>
      </c>
      <c r="E149" s="176" t="e">
        <f>IF((((inputs!$P$13/(inputs!E131/MAX('Max rate concentrations'!E$3:E$368)))^(1/inputs!$O$13))-1)/inputs!$N$13&lt;0, 0, IF((((inputs!$P$13/(inputs!E131/MAX('Max rate concentrations'!E$3:E$368)))^(1/inputs!$O$13))-1)/inputs!$N$13&gt;inputs!$I$17, inputs!$I$17, (((inputs!$P$13/(inputs!E131/MAX('Max rate concentrations'!E$3:E$368)))^(1/inputs!$O$13))-1)/inputs!$N$13))</f>
        <v>#VALUE!</v>
      </c>
      <c r="F149" s="176" t="e">
        <f>IF((((inputs!$P$13/(inputs!E131/MAX('Max rate concentrations'!F$3:F$368)))^(1/inputs!$O$13))-1)/inputs!$N$13&lt;0, 0, IF((((inputs!$P$13/(inputs!E131/MAX('Max rate concentrations'!F$3:F$368)))^(1/inputs!$O$13))-1)/inputs!$N$13&gt;inputs!$I$17, inputs!$I$17, (((inputs!$P$13/(inputs!E131/MAX('Max rate concentrations'!F$3:F$368)))^(1/inputs!$O$13))-1)/inputs!$N$13))</f>
        <v>#VALUE!</v>
      </c>
      <c r="G149" s="176" t="e">
        <f>IF((((inputs!$P$13/(inputs!E131/MAX('Max rate concentrations'!G$3:G$368)))^(1/inputs!$O$13))-1)/inputs!$N$13&lt;0, 0, IF((((inputs!$P$13/(inputs!E131/MAX('Max rate concentrations'!G$3:G$368)))^(1/inputs!$O$13))-1)/inputs!$N$13&gt;inputs!$I$17, inputs!$I$17, (((inputs!$P$13/(inputs!E131/MAX('Max rate concentrations'!G$3:G$368)))^(1/inputs!$O$13))-1)/inputs!$N$13))</f>
        <v>#VALUE!</v>
      </c>
      <c r="H149" s="176" t="e">
        <f>IF((((inputs!$P$13/(inputs!E131/MAX('Max rate concentrations'!H$3:H$368)))^(1/inputs!$O$13))-1)/inputs!$N$13&lt;0, 0, IF((((inputs!$P$13/(inputs!E131/MAX('Max rate concentrations'!H$3:H$368)))^(1/inputs!$O$13))-1)/inputs!$N$13&gt;inputs!$I$17, inputs!$I$17, (((inputs!$P$13/(inputs!E131/MAX('Max rate concentrations'!H$3:H$368)))^(1/inputs!$O$13))-1)/inputs!$N$13))</f>
        <v>#VALUE!</v>
      </c>
      <c r="I149" s="176" t="e">
        <f>IF((((inputs!$P$13/(inputs!E131/MAX('Max rate concentrations'!I$3:I$368)))^(1/inputs!$O$13))-1)/inputs!$N$13&lt;0, 0, IF((((inputs!$P$13/(inputs!E131/MAX('Max rate concentrations'!I$3:I$368)))^(1/inputs!$O$13))-1)/inputs!$N$13&gt;inputs!$I$17, inputs!$I$17, (((inputs!$P$13/(inputs!E131/MAX('Max rate concentrations'!I$3:I$368)))^(1/inputs!$O$13))-1)/inputs!$N$13))</f>
        <v>#VALUE!</v>
      </c>
      <c r="J149" s="176" t="e">
        <f>IF((((inputs!$P$13/(inputs!E131/MAX('Max rate concentrations'!J$3:J$368)))^(1/inputs!$O$13))-1)/inputs!$N$13&lt;0, 0, IF((((inputs!$P$13/(inputs!E131/MAX('Max rate concentrations'!J$3:J$368)))^(1/inputs!$O$13))-1)/inputs!$N$13&gt;inputs!$I$17, inputs!$I$17, (((inputs!$P$13/(inputs!E131/MAX('Max rate concentrations'!J$3:J$368)))^(1/inputs!$O$13))-1)/inputs!$N$13))</f>
        <v>#VALUE!</v>
      </c>
      <c r="K149" s="176" t="e">
        <f>IF((((inputs!$P$13/(inputs!E131/MAX('Max rate concentrations'!K$3:K$368)))^(1/inputs!$O$13))-1)/inputs!$N$13&lt;0, 0, IF((((inputs!$P$13/(inputs!E131/MAX('Max rate concentrations'!K$3:K$368)))^(1/inputs!$O$13))-1)/inputs!$N$13&gt;inputs!$I$17, inputs!$I$17, (((inputs!$P$13/(inputs!E131/MAX('Max rate concentrations'!K$3:K$368)))^(1/inputs!$O$13))-1)/inputs!$N$13))</f>
        <v>#VALUE!</v>
      </c>
      <c r="L149" s="176" t="e">
        <f>IF((((inputs!$P$13/(inputs!E131/MAX('Max rate concentrations'!L$3:L$368)))^(1/inputs!$O$13))-1)/inputs!$N$13&lt;0, 0, IF((((inputs!$P$13/(inputs!E131/MAX('Max rate concentrations'!L$3:L$368)))^(1/inputs!$O$13))-1)/inputs!$N$13&gt;inputs!$I$17, inputs!$I$17, (((inputs!$P$13/(inputs!E131/MAX('Max rate concentrations'!L$3:L$368)))^(1/inputs!$O$13))-1)/inputs!$N$13))</f>
        <v>#VALUE!</v>
      </c>
      <c r="M149" s="176" t="e">
        <f>IF((((inputs!$P$13/(inputs!E131/MAX('Max rate concentrations'!M$3:M$368)))^(1/inputs!$O$13))-1)/inputs!$N$13&lt;0, 0, IF((((inputs!$P$13/(inputs!E131/MAX('Max rate concentrations'!M$3:M$368)))^(1/inputs!$O$13))-1)/inputs!$N$13&gt;inputs!$I$17, inputs!$I$17, (((inputs!$P$13/(inputs!E131/MAX('Max rate concentrations'!M$3:M$368)))^(1/inputs!$O$13))-1)/inputs!$N$13))</f>
        <v>#VALUE!</v>
      </c>
      <c r="N149" s="101" t="s">
        <v>13</v>
      </c>
    </row>
    <row r="150" spans="1:14" x14ac:dyDescent="0.3">
      <c r="A150" s="41"/>
      <c r="B150" s="61" t="s">
        <v>62</v>
      </c>
      <c r="C150" s="61" t="s">
        <v>88</v>
      </c>
      <c r="D150" s="176" t="e">
        <f>IF((((inputs!$P$13/(inputs!E132/MAX('Max rate concentrations'!D$3:D$368)))^(1/inputs!$O$13))-1)/inputs!$N$13&lt;0, 0, IF((((inputs!$P$13/(inputs!E132/MAX('Max rate concentrations'!D$3:D$368)))^(1/inputs!$O$13))-1)/inputs!$N$13&gt;inputs!$I$17, inputs!$I$17, (((inputs!$P$13/(inputs!E132/MAX('Max rate concentrations'!D$3:D$368)))^(1/inputs!$O$13))-1)/inputs!$N$13))</f>
        <v>#VALUE!</v>
      </c>
      <c r="E150" s="176" t="e">
        <f>IF((((inputs!$P$13/(inputs!E132/MAX('Max rate concentrations'!E$3:E$368)))^(1/inputs!$O$13))-1)/inputs!$N$13&lt;0, 0, IF((((inputs!$P$13/(inputs!E132/MAX('Max rate concentrations'!E$3:E$368)))^(1/inputs!$O$13))-1)/inputs!$N$13&gt;inputs!$I$17, inputs!$I$17, (((inputs!$P$13/(inputs!E132/MAX('Max rate concentrations'!E$3:E$368)))^(1/inputs!$O$13))-1)/inputs!$N$13))</f>
        <v>#VALUE!</v>
      </c>
      <c r="F150" s="176" t="e">
        <f>IF((((inputs!$P$13/(inputs!E132/MAX('Max rate concentrations'!F$3:F$368)))^(1/inputs!$O$13))-1)/inputs!$N$13&lt;0, 0, IF((((inputs!$P$13/(inputs!E132/MAX('Max rate concentrations'!F$3:F$368)))^(1/inputs!$O$13))-1)/inputs!$N$13&gt;inputs!$I$17, inputs!$I$17, (((inputs!$P$13/(inputs!E132/MAX('Max rate concentrations'!F$3:F$368)))^(1/inputs!$O$13))-1)/inputs!$N$13))</f>
        <v>#VALUE!</v>
      </c>
      <c r="G150" s="176" t="e">
        <f>IF((((inputs!$P$13/(inputs!E132/MAX('Max rate concentrations'!G$3:G$368)))^(1/inputs!$O$13))-1)/inputs!$N$13&lt;0, 0, IF((((inputs!$P$13/(inputs!E132/MAX('Max rate concentrations'!G$3:G$368)))^(1/inputs!$O$13))-1)/inputs!$N$13&gt;inputs!$I$17, inputs!$I$17, (((inputs!$P$13/(inputs!E132/MAX('Max rate concentrations'!G$3:G$368)))^(1/inputs!$O$13))-1)/inputs!$N$13))</f>
        <v>#VALUE!</v>
      </c>
      <c r="H150" s="176" t="e">
        <f>IF((((inputs!$P$13/(inputs!E132/MAX('Max rate concentrations'!H$3:H$368)))^(1/inputs!$O$13))-1)/inputs!$N$13&lt;0, 0, IF((((inputs!$P$13/(inputs!E132/MAX('Max rate concentrations'!H$3:H$368)))^(1/inputs!$O$13))-1)/inputs!$N$13&gt;inputs!$I$17, inputs!$I$17, (((inputs!$P$13/(inputs!E132/MAX('Max rate concentrations'!H$3:H$368)))^(1/inputs!$O$13))-1)/inputs!$N$13))</f>
        <v>#VALUE!</v>
      </c>
      <c r="I150" s="176" t="e">
        <f>IF((((inputs!$P$13/(inputs!E132/MAX('Max rate concentrations'!I$3:I$368)))^(1/inputs!$O$13))-1)/inputs!$N$13&lt;0, 0, IF((((inputs!$P$13/(inputs!E132/MAX('Max rate concentrations'!I$3:I$368)))^(1/inputs!$O$13))-1)/inputs!$N$13&gt;inputs!$I$17, inputs!$I$17, (((inputs!$P$13/(inputs!E132/MAX('Max rate concentrations'!I$3:I$368)))^(1/inputs!$O$13))-1)/inputs!$N$13))</f>
        <v>#VALUE!</v>
      </c>
      <c r="J150" s="176" t="e">
        <f>IF((((inputs!$P$13/(inputs!E132/MAX('Max rate concentrations'!J$3:J$368)))^(1/inputs!$O$13))-1)/inputs!$N$13&lt;0, 0, IF((((inputs!$P$13/(inputs!E132/MAX('Max rate concentrations'!J$3:J$368)))^(1/inputs!$O$13))-1)/inputs!$N$13&gt;inputs!$I$17, inputs!$I$17, (((inputs!$P$13/(inputs!E132/MAX('Max rate concentrations'!J$3:J$368)))^(1/inputs!$O$13))-1)/inputs!$N$13))</f>
        <v>#VALUE!</v>
      </c>
      <c r="K150" s="176" t="e">
        <f>IF((((inputs!$P$13/(inputs!E132/MAX('Max rate concentrations'!K$3:K$368)))^(1/inputs!$O$13))-1)/inputs!$N$13&lt;0, 0, IF((((inputs!$P$13/(inputs!E132/MAX('Max rate concentrations'!K$3:K$368)))^(1/inputs!$O$13))-1)/inputs!$N$13&gt;inputs!$I$17, inputs!$I$17, (((inputs!$P$13/(inputs!E132/MAX('Max rate concentrations'!K$3:K$368)))^(1/inputs!$O$13))-1)/inputs!$N$13))</f>
        <v>#VALUE!</v>
      </c>
      <c r="L150" s="176" t="e">
        <f>IF((((inputs!$P$13/(inputs!E132/MAX('Max rate concentrations'!L$3:L$368)))^(1/inputs!$O$13))-1)/inputs!$N$13&lt;0, 0, IF((((inputs!$P$13/(inputs!E132/MAX('Max rate concentrations'!L$3:L$368)))^(1/inputs!$O$13))-1)/inputs!$N$13&gt;inputs!$I$17, inputs!$I$17, (((inputs!$P$13/(inputs!E132/MAX('Max rate concentrations'!L$3:L$368)))^(1/inputs!$O$13))-1)/inputs!$N$13))</f>
        <v>#VALUE!</v>
      </c>
      <c r="M150" s="176" t="e">
        <f>IF((((inputs!$P$13/(inputs!E132/MAX('Max rate concentrations'!M$3:M$368)))^(1/inputs!$O$13))-1)/inputs!$N$13&lt;0, 0, IF((((inputs!$P$13/(inputs!E132/MAX('Max rate concentrations'!M$3:M$368)))^(1/inputs!$O$13))-1)/inputs!$N$13&gt;inputs!$I$17, inputs!$I$17, (((inputs!$P$13/(inputs!E132/MAX('Max rate concentrations'!M$3:M$368)))^(1/inputs!$O$13))-1)/inputs!$N$13))</f>
        <v>#VALUE!</v>
      </c>
      <c r="N150" s="101" t="s">
        <v>13</v>
      </c>
    </row>
    <row r="151" spans="1:14" x14ac:dyDescent="0.3">
      <c r="A151" s="39"/>
      <c r="B151" s="22" t="s">
        <v>64</v>
      </c>
      <c r="C151" s="22" t="s">
        <v>71</v>
      </c>
      <c r="D151" s="176">
        <f>IF((((inputs!$P$13/(inputs!E133/MAX('Max rate concentrations'!D$3:D$368)))^(1/inputs!$O$13))-1)/inputs!$N$13&lt;0, 0, IF((((inputs!$P$13/(inputs!E133/MAX('Max rate concentrations'!D$3:D$368)))^(1/inputs!$O$13))-1)/inputs!$N$13&gt;inputs!$I$17, inputs!$I$17, (((inputs!$P$13/(inputs!E133/MAX('Max rate concentrations'!D$3:D$368)))^(1/inputs!$O$13))-1)/inputs!$N$13))</f>
        <v>358.62392384645671</v>
      </c>
      <c r="E151" s="176">
        <f>IF((((inputs!$P$13/(inputs!E133/MAX('Max rate concentrations'!E$3:E$368)))^(1/inputs!$O$13))-1)/inputs!$N$13&lt;0, 0, IF((((inputs!$P$13/(inputs!E133/MAX('Max rate concentrations'!E$3:E$368)))^(1/inputs!$O$13))-1)/inputs!$N$13&gt;inputs!$I$17, inputs!$I$17, (((inputs!$P$13/(inputs!E133/MAX('Max rate concentrations'!E$3:E$368)))^(1/inputs!$O$13))-1)/inputs!$N$13))</f>
        <v>188.38444716305662</v>
      </c>
      <c r="F151" s="176">
        <f>IF((((inputs!$P$13/(inputs!E133/MAX('Max rate concentrations'!F$3:F$368)))^(1/inputs!$O$13))-1)/inputs!$N$13&lt;0, 0, IF((((inputs!$P$13/(inputs!E133/MAX('Max rate concentrations'!F$3:F$368)))^(1/inputs!$O$13))-1)/inputs!$N$13&gt;inputs!$I$17, inputs!$I$17, (((inputs!$P$13/(inputs!E133/MAX('Max rate concentrations'!F$3:F$368)))^(1/inputs!$O$13))-1)/inputs!$N$13))</f>
        <v>223.25661212215778</v>
      </c>
      <c r="G151" s="176">
        <f>IF((((inputs!$P$13/(inputs!E133/MAX('Max rate concentrations'!G$3:G$368)))^(1/inputs!$O$13))-1)/inputs!$N$13&lt;0, 0, IF((((inputs!$P$13/(inputs!E133/MAX('Max rate concentrations'!G$3:G$368)))^(1/inputs!$O$13))-1)/inputs!$N$13&gt;inputs!$I$17, inputs!$I$17, (((inputs!$P$13/(inputs!E133/MAX('Max rate concentrations'!G$3:G$368)))^(1/inputs!$O$13))-1)/inputs!$N$13))</f>
        <v>33.426171272462916</v>
      </c>
      <c r="H151" s="176">
        <f>IF((((inputs!$P$13/(inputs!E133/MAX('Max rate concentrations'!H$3:H$368)))^(1/inputs!$O$13))-1)/inputs!$N$13&lt;0, 0, IF((((inputs!$P$13/(inputs!E133/MAX('Max rate concentrations'!H$3:H$368)))^(1/inputs!$O$13))-1)/inputs!$N$13&gt;inputs!$I$17, inputs!$I$17, (((inputs!$P$13/(inputs!E133/MAX('Max rate concentrations'!H$3:H$368)))^(1/inputs!$O$13))-1)/inputs!$N$13))</f>
        <v>165.27413082628783</v>
      </c>
      <c r="I151" s="176">
        <f>IF((((inputs!$P$13/(inputs!E133/MAX('Max rate concentrations'!I$3:I$368)))^(1/inputs!$O$13))-1)/inputs!$N$13&lt;0, 0, IF((((inputs!$P$13/(inputs!E133/MAX('Max rate concentrations'!I$3:I$368)))^(1/inputs!$O$13))-1)/inputs!$N$13&gt;inputs!$I$17, inputs!$I$17, (((inputs!$P$13/(inputs!E133/MAX('Max rate concentrations'!I$3:I$368)))^(1/inputs!$O$13))-1)/inputs!$N$13))</f>
        <v>41.479305694369394</v>
      </c>
      <c r="J151" s="176">
        <f>IF((((inputs!$P$13/(inputs!E133/MAX('Max rate concentrations'!J$3:J$368)))^(1/inputs!$O$13))-1)/inputs!$N$13&lt;0, 0, IF((((inputs!$P$13/(inputs!E133/MAX('Max rate concentrations'!J$3:J$368)))^(1/inputs!$O$13))-1)/inputs!$N$13&gt;inputs!$I$17, inputs!$I$17, (((inputs!$P$13/(inputs!E133/MAX('Max rate concentrations'!J$3:J$368)))^(1/inputs!$O$13))-1)/inputs!$N$13))</f>
        <v>344.85722867931366</v>
      </c>
      <c r="K151" s="176">
        <f>IF((((inputs!$P$13/(inputs!E133/MAX('Max rate concentrations'!K$3:K$368)))^(1/inputs!$O$13))-1)/inputs!$N$13&lt;0, 0, IF((((inputs!$P$13/(inputs!E133/MAX('Max rate concentrations'!K$3:K$368)))^(1/inputs!$O$13))-1)/inputs!$N$13&gt;inputs!$I$17, inputs!$I$17, (((inputs!$P$13/(inputs!E133/MAX('Max rate concentrations'!K$3:K$368)))^(1/inputs!$O$13))-1)/inputs!$N$13))</f>
        <v>74.40686307162801</v>
      </c>
      <c r="L151" s="176">
        <f>IF((((inputs!$P$13/(inputs!E133/MAX('Max rate concentrations'!L$3:L$368)))^(1/inputs!$O$13))-1)/inputs!$N$13&lt;0, 0, IF((((inputs!$P$13/(inputs!E133/MAX('Max rate concentrations'!L$3:L$368)))^(1/inputs!$O$13))-1)/inputs!$N$13&gt;inputs!$I$17, inputs!$I$17, (((inputs!$P$13/(inputs!E133/MAX('Max rate concentrations'!L$3:L$368)))^(1/inputs!$O$13))-1)/inputs!$N$13))</f>
        <v>198.0670813541476</v>
      </c>
      <c r="M151" s="176">
        <f>IF((((inputs!$P$13/(inputs!E133/MAX('Max rate concentrations'!M$3:M$368)))^(1/inputs!$O$13))-1)/inputs!$N$13&lt;0, 0, IF((((inputs!$P$13/(inputs!E133/MAX('Max rate concentrations'!M$3:M$368)))^(1/inputs!$O$13))-1)/inputs!$N$13&gt;inputs!$I$17, inputs!$I$17, (((inputs!$P$13/(inputs!E133/MAX('Max rate concentrations'!M$3:M$368)))^(1/inputs!$O$13))-1)/inputs!$N$13))</f>
        <v>12.442258732258576</v>
      </c>
      <c r="N151" s="101" t="s">
        <v>13</v>
      </c>
    </row>
    <row r="152" spans="1:14" ht="28.8" x14ac:dyDescent="0.3">
      <c r="A152" s="24" t="s">
        <v>763</v>
      </c>
      <c r="B152" s="22" t="s">
        <v>62</v>
      </c>
      <c r="C152" s="22" t="s">
        <v>63</v>
      </c>
      <c r="D152" s="176" t="e">
        <f>IF((((inputs!$P$13/(inputs!E150/MAX('Max rate concentrations'!D$3:D$368)))^(1/inputs!$O$13))-1)/inputs!$N$13&lt;0, 0, IF((((inputs!$P$13/(inputs!E150/MAX('Max rate concentrations'!D$3:D$368)))^(1/inputs!$O$13))-1)/inputs!$N$13&gt;inputs!$I$17, inputs!$I$17, (((inputs!$P$13/(inputs!E150/MAX('Max rate concentrations'!D$3:D$368)))^(1/inputs!$O$13))-1)/inputs!$N$13))</f>
        <v>#VALUE!</v>
      </c>
      <c r="E152" s="176" t="e">
        <f>IF((((inputs!$P$13/(inputs!E150/MAX('Max rate concentrations'!E$3:E$368)))^(1/inputs!$O$13))-1)/inputs!$N$13&lt;0, 0, IF((((inputs!$P$13/(inputs!E150/MAX('Max rate concentrations'!E$3:E$368)))^(1/inputs!$O$13))-1)/inputs!$N$13&gt;inputs!$I$17, inputs!$I$17, (((inputs!$P$13/(inputs!E150/MAX('Max rate concentrations'!E$3:E$368)))^(1/inputs!$O$13))-1)/inputs!$N$13))</f>
        <v>#VALUE!</v>
      </c>
      <c r="F152" s="176" t="e">
        <f>IF((((inputs!$P$13/(inputs!E150/MAX('Max rate concentrations'!F$3:F$368)))^(1/inputs!$O$13))-1)/inputs!$N$13&lt;0, 0, IF((((inputs!$P$13/(inputs!E150/MAX('Max rate concentrations'!F$3:F$368)))^(1/inputs!$O$13))-1)/inputs!$N$13&gt;inputs!$I$17, inputs!$I$17, (((inputs!$P$13/(inputs!E150/MAX('Max rate concentrations'!F$3:F$368)))^(1/inputs!$O$13))-1)/inputs!$N$13))</f>
        <v>#VALUE!</v>
      </c>
      <c r="G152" s="176" t="e">
        <f>IF((((inputs!$P$13/(inputs!E150/MAX('Max rate concentrations'!G$3:G$368)))^(1/inputs!$O$13))-1)/inputs!$N$13&lt;0, 0, IF((((inputs!$P$13/(inputs!E150/MAX('Max rate concentrations'!G$3:G$368)))^(1/inputs!$O$13))-1)/inputs!$N$13&gt;inputs!$I$17, inputs!$I$17, (((inputs!$P$13/(inputs!E150/MAX('Max rate concentrations'!G$3:G$368)))^(1/inputs!$O$13))-1)/inputs!$N$13))</f>
        <v>#VALUE!</v>
      </c>
      <c r="H152" s="176">
        <f>IF((((inputs!$P$13/(inputs!E137/MAX('Max rate concentrations'!H$3:H$368)))^(1/inputs!$O$13))-1)/inputs!$N$13&lt;0, 0, IF((((inputs!$P$13/(inputs!E137/MAX('Max rate concentrations'!H$3:H$368)))^(1/inputs!$O$13))-1)/inputs!$N$13&gt;inputs!$I$17, inputs!$I$17, (((inputs!$P$13/(inputs!E137/MAX('Max rate concentrations'!H$3:H$368)))^(1/inputs!$O$13))-1)/inputs!$N$13))</f>
        <v>1000</v>
      </c>
      <c r="I152" s="176">
        <f>IF((((inputs!$P$13/(inputs!E137/MAX('Max rate concentrations'!I$3:I$368)))^(1/inputs!$O$13))-1)/inputs!$N$13&lt;0, 0, IF((((inputs!$P$13/(inputs!E137/MAX('Max rate concentrations'!I$3:I$368)))^(1/inputs!$O$13))-1)/inputs!$N$13&gt;inputs!$I$17, inputs!$I$17, (((inputs!$P$13/(inputs!E137/MAX('Max rate concentrations'!I$3:I$368)))^(1/inputs!$O$13))-1)/inputs!$N$13))</f>
        <v>1000</v>
      </c>
      <c r="J152" s="176" t="s">
        <v>13</v>
      </c>
      <c r="K152" s="176" t="e">
        <f>IF((((inputs!$P$13/(inputs!E150/MAX('Max rate concentrations'!K$3:K$368)))^(1/inputs!$O$13))-1)/inputs!$N$13&lt;0, 0, IF((((inputs!$P$13/(inputs!E150/MAX('Max rate concentrations'!K$3:K$368)))^(1/inputs!$O$13))-1)/inputs!$N$13&gt;inputs!$I$17, inputs!$I$17, (((inputs!$P$13/(inputs!E150/MAX('Max rate concentrations'!K$3:K$368)))^(1/inputs!$O$13))-1)/inputs!$N$13))</f>
        <v>#VALUE!</v>
      </c>
      <c r="L152" s="176" t="s">
        <v>13</v>
      </c>
      <c r="M152" s="176" t="s">
        <v>13</v>
      </c>
      <c r="N152" s="176" t="e">
        <f>IF((((inputs!$P$13/(inputs!E163/MAX('Max rate concentrations'!N$3:N$368)))^(1/inputs!$O$13))-1)/inputs!$N$13&lt;0, 0, IF((((inputs!$P$13/(inputs!E163/MAX('Max rate concentrations'!N$3:N$368)))^(1/inputs!$O$13))-1)/inputs!$N$13&gt;inputs!$I$17, inputs!$I$17, (((inputs!$P$13/(inputs!E163/MAX('Max rate concentrations'!N$3:N$368)))^(1/inputs!$O$13))-1)/inputs!$N$13))</f>
        <v>#VALUE!</v>
      </c>
    </row>
    <row r="153" spans="1:14" x14ac:dyDescent="0.3">
      <c r="A153" s="41"/>
      <c r="B153" s="22" t="s">
        <v>64</v>
      </c>
      <c r="C153" s="22" t="s">
        <v>65</v>
      </c>
      <c r="D153" s="176" t="e">
        <f>IF((((inputs!$P$13/(inputs!E151/MAX('Max rate concentrations'!D$3:D$368)))^(1/inputs!$O$13))-1)/inputs!$N$13&lt;0, 0, IF((((inputs!$P$13/(inputs!E151/MAX('Max rate concentrations'!D$3:D$368)))^(1/inputs!$O$13))-1)/inputs!$N$13&gt;inputs!$I$17, inputs!$I$17, (((inputs!$P$13/(inputs!E151/MAX('Max rate concentrations'!D$3:D$368)))^(1/inputs!$O$13))-1)/inputs!$N$13))</f>
        <v>#VALUE!</v>
      </c>
      <c r="E153" s="176" t="e">
        <f>IF((((inputs!$P$13/(inputs!E151/MAX('Max rate concentrations'!E$3:E$368)))^(1/inputs!$O$13))-1)/inputs!$N$13&lt;0, 0, IF((((inputs!$P$13/(inputs!E151/MAX('Max rate concentrations'!E$3:E$368)))^(1/inputs!$O$13))-1)/inputs!$N$13&gt;inputs!$I$17, inputs!$I$17, (((inputs!$P$13/(inputs!E151/MAX('Max rate concentrations'!E$3:E$368)))^(1/inputs!$O$13))-1)/inputs!$N$13))</f>
        <v>#VALUE!</v>
      </c>
      <c r="F153" s="176" t="e">
        <f>IF((((inputs!$P$13/(inputs!E151/MAX('Max rate concentrations'!F$3:F$368)))^(1/inputs!$O$13))-1)/inputs!$N$13&lt;0, 0, IF((((inputs!$P$13/(inputs!E151/MAX('Max rate concentrations'!F$3:F$368)))^(1/inputs!$O$13))-1)/inputs!$N$13&gt;inputs!$I$17, inputs!$I$17, (((inputs!$P$13/(inputs!E151/MAX('Max rate concentrations'!F$3:F$368)))^(1/inputs!$O$13))-1)/inputs!$N$13))</f>
        <v>#VALUE!</v>
      </c>
      <c r="G153" s="176" t="e">
        <f>IF((((inputs!$P$13/(inputs!E151/MAX('Max rate concentrations'!G$3:G$368)))^(1/inputs!$O$13))-1)/inputs!$N$13&lt;0, 0, IF((((inputs!$P$13/(inputs!E151/MAX('Max rate concentrations'!G$3:G$368)))^(1/inputs!$O$13))-1)/inputs!$N$13&gt;inputs!$I$17, inputs!$I$17, (((inputs!$P$13/(inputs!E151/MAX('Max rate concentrations'!G$3:G$368)))^(1/inputs!$O$13))-1)/inputs!$N$13))</f>
        <v>#VALUE!</v>
      </c>
      <c r="H153" s="176">
        <f>IF((((inputs!$P$13/(inputs!E138/MAX('Max rate concentrations'!H$3:H$368)))^(1/inputs!$O$13))-1)/inputs!$N$13&lt;0, 0, IF((((inputs!$P$13/(inputs!E138/MAX('Max rate concentrations'!H$3:H$368)))^(1/inputs!$O$13))-1)/inputs!$N$13&gt;inputs!$I$17, inputs!$I$17, (((inputs!$P$13/(inputs!E138/MAX('Max rate concentrations'!H$3:H$368)))^(1/inputs!$O$13))-1)/inputs!$N$13))</f>
        <v>1000</v>
      </c>
      <c r="I153" s="176">
        <f>IF((((inputs!$P$13/(inputs!E138/MAX('Max rate concentrations'!I$3:I$368)))^(1/inputs!$O$13))-1)/inputs!$N$13&lt;0, 0, IF((((inputs!$P$13/(inputs!E138/MAX('Max rate concentrations'!I$3:I$368)))^(1/inputs!$O$13))-1)/inputs!$N$13&gt;inputs!$I$17, inputs!$I$17, (((inputs!$P$13/(inputs!E138/MAX('Max rate concentrations'!I$3:I$368)))^(1/inputs!$O$13))-1)/inputs!$N$13))</f>
        <v>1000</v>
      </c>
      <c r="J153" s="176" t="s">
        <v>13</v>
      </c>
      <c r="K153" s="176" t="e">
        <f>IF((((inputs!$P$13/(inputs!E151/MAX('Max rate concentrations'!K$3:K$368)))^(1/inputs!$O$13))-1)/inputs!$N$13&lt;0, 0, IF((((inputs!$P$13/(inputs!E151/MAX('Max rate concentrations'!K$3:K$368)))^(1/inputs!$O$13))-1)/inputs!$N$13&gt;inputs!$I$17, inputs!$I$17, (((inputs!$P$13/(inputs!E151/MAX('Max rate concentrations'!K$3:K$368)))^(1/inputs!$O$13))-1)/inputs!$N$13))</f>
        <v>#VALUE!</v>
      </c>
      <c r="L153" s="176" t="s">
        <v>13</v>
      </c>
      <c r="M153" s="176" t="s">
        <v>13</v>
      </c>
      <c r="N153" s="176" t="e">
        <f>IF((((inputs!$P$13/(inputs!E164/MAX('Max rate concentrations'!N$3:N$368)))^(1/inputs!$O$13))-1)/inputs!$N$13&lt;0, 0, IF((((inputs!$P$13/(inputs!E164/MAX('Max rate concentrations'!N$3:N$368)))^(1/inputs!$O$13))-1)/inputs!$N$13&gt;inputs!$I$17, inputs!$I$17, (((inputs!$P$13/(inputs!E164/MAX('Max rate concentrations'!N$3:N$368)))^(1/inputs!$O$13))-1)/inputs!$N$13))</f>
        <v>#VALUE!</v>
      </c>
    </row>
    <row r="154" spans="1:14" x14ac:dyDescent="0.3">
      <c r="A154" s="41"/>
      <c r="B154" s="22" t="s">
        <v>66</v>
      </c>
      <c r="C154" s="22" t="s">
        <v>80</v>
      </c>
      <c r="D154" s="176" t="e">
        <f>IF((((inputs!$P$13/(inputs!E152/MAX('Max rate concentrations'!D$3:D$368)))^(1/inputs!$O$13))-1)/inputs!$N$13&lt;0, 0, IF((((inputs!$P$13/(inputs!E152/MAX('Max rate concentrations'!D$3:D$368)))^(1/inputs!$O$13))-1)/inputs!$N$13&gt;inputs!$I$17, inputs!$I$17, (((inputs!$P$13/(inputs!E152/MAX('Max rate concentrations'!D$3:D$368)))^(1/inputs!$O$13))-1)/inputs!$N$13))</f>
        <v>#VALUE!</v>
      </c>
      <c r="E154" s="176" t="e">
        <f>IF((((inputs!$P$13/(inputs!E152/MAX('Max rate concentrations'!E$3:E$368)))^(1/inputs!$O$13))-1)/inputs!$N$13&lt;0, 0, IF((((inputs!$P$13/(inputs!E152/MAX('Max rate concentrations'!E$3:E$368)))^(1/inputs!$O$13))-1)/inputs!$N$13&gt;inputs!$I$17, inputs!$I$17, (((inputs!$P$13/(inputs!E152/MAX('Max rate concentrations'!E$3:E$368)))^(1/inputs!$O$13))-1)/inputs!$N$13))</f>
        <v>#VALUE!</v>
      </c>
      <c r="F154" s="176" t="e">
        <f>IF((((inputs!$P$13/(inputs!E152/MAX('Max rate concentrations'!F$3:F$368)))^(1/inputs!$O$13))-1)/inputs!$N$13&lt;0, 0, IF((((inputs!$P$13/(inputs!E152/MAX('Max rate concentrations'!F$3:F$368)))^(1/inputs!$O$13))-1)/inputs!$N$13&gt;inputs!$I$17, inputs!$I$17, (((inputs!$P$13/(inputs!E152/MAX('Max rate concentrations'!F$3:F$368)))^(1/inputs!$O$13))-1)/inputs!$N$13))</f>
        <v>#VALUE!</v>
      </c>
      <c r="G154" s="176" t="e">
        <f>IF((((inputs!$P$13/(inputs!E152/MAX('Max rate concentrations'!G$3:G$368)))^(1/inputs!$O$13))-1)/inputs!$N$13&lt;0, 0, IF((((inputs!$P$13/(inputs!E152/MAX('Max rate concentrations'!G$3:G$368)))^(1/inputs!$O$13))-1)/inputs!$N$13&gt;inputs!$I$17, inputs!$I$17, (((inputs!$P$13/(inputs!E152/MAX('Max rate concentrations'!G$3:G$368)))^(1/inputs!$O$13))-1)/inputs!$N$13))</f>
        <v>#VALUE!</v>
      </c>
      <c r="H154" s="176">
        <f>IF((((inputs!$P$13/(inputs!E139/MAX('Max rate concentrations'!H$3:H$368)))^(1/inputs!$O$13))-1)/inputs!$N$13&lt;0, 0, IF((((inputs!$P$13/(inputs!E139/MAX('Max rate concentrations'!H$3:H$368)))^(1/inputs!$O$13))-1)/inputs!$N$13&gt;inputs!$I$17, inputs!$I$17, (((inputs!$P$13/(inputs!E139/MAX('Max rate concentrations'!H$3:H$368)))^(1/inputs!$O$13))-1)/inputs!$N$13))</f>
        <v>1000</v>
      </c>
      <c r="I154" s="176">
        <f>IF((((inputs!$P$13/(inputs!E139/MAX('Max rate concentrations'!I$3:I$368)))^(1/inputs!$O$13))-1)/inputs!$N$13&lt;0, 0, IF((((inputs!$P$13/(inputs!E139/MAX('Max rate concentrations'!I$3:I$368)))^(1/inputs!$O$13))-1)/inputs!$N$13&gt;inputs!$I$17, inputs!$I$17, (((inputs!$P$13/(inputs!E139/MAX('Max rate concentrations'!I$3:I$368)))^(1/inputs!$O$13))-1)/inputs!$N$13))</f>
        <v>659.30440874790395</v>
      </c>
      <c r="J154" s="176" t="s">
        <v>13</v>
      </c>
      <c r="K154" s="176" t="e">
        <f>IF((((inputs!$P$13/(inputs!E152/MAX('Max rate concentrations'!K$3:K$368)))^(1/inputs!$O$13))-1)/inputs!$N$13&lt;0, 0, IF((((inputs!$P$13/(inputs!E152/MAX('Max rate concentrations'!K$3:K$368)))^(1/inputs!$O$13))-1)/inputs!$N$13&gt;inputs!$I$17, inputs!$I$17, (((inputs!$P$13/(inputs!E152/MAX('Max rate concentrations'!K$3:K$368)))^(1/inputs!$O$13))-1)/inputs!$N$13))</f>
        <v>#VALUE!</v>
      </c>
      <c r="L154" s="176" t="s">
        <v>13</v>
      </c>
      <c r="M154" s="176" t="s">
        <v>13</v>
      </c>
      <c r="N154" s="176" t="e">
        <f>IF((((inputs!$P$13/(inputs!E165/MAX('Max rate concentrations'!N$3:N$368)))^(1/inputs!$O$13))-1)/inputs!$N$13&lt;0, 0, IF((((inputs!$P$13/(inputs!E165/MAX('Max rate concentrations'!N$3:N$368)))^(1/inputs!$O$13))-1)/inputs!$N$13&gt;inputs!$I$17, inputs!$I$17, (((inputs!$P$13/(inputs!E165/MAX('Max rate concentrations'!N$3:N$368)))^(1/inputs!$O$13))-1)/inputs!$N$13))</f>
        <v>#VALUE!</v>
      </c>
    </row>
    <row r="155" spans="1:14" x14ac:dyDescent="0.3">
      <c r="A155" s="41"/>
      <c r="B155" s="22" t="s">
        <v>62</v>
      </c>
      <c r="C155" s="22" t="s">
        <v>72</v>
      </c>
      <c r="D155" s="176">
        <f>IF((((inputs!$P$13/(inputs!E153/MAX('Max rate concentrations'!D$3:D$368)))^(1/inputs!$O$13))-1)/inputs!$N$13&lt;0, 0, IF((((inputs!$P$13/(inputs!E153/MAX('Max rate concentrations'!D$3:D$368)))^(1/inputs!$O$13))-1)/inputs!$N$13&gt;inputs!$I$17, inputs!$I$17, (((inputs!$P$13/(inputs!E153/MAX('Max rate concentrations'!D$3:D$368)))^(1/inputs!$O$13))-1)/inputs!$N$13))</f>
        <v>298.55026865906984</v>
      </c>
      <c r="E155" s="176">
        <f>IF((((inputs!$P$13/(inputs!E153/MAX('Max rate concentrations'!E$3:E$368)))^(1/inputs!$O$13))-1)/inputs!$N$13&lt;0, 0, IF((((inputs!$P$13/(inputs!E153/MAX('Max rate concentrations'!E$3:E$368)))^(1/inputs!$O$13))-1)/inputs!$N$13&gt;inputs!$I$17, inputs!$I$17, (((inputs!$P$13/(inputs!E153/MAX('Max rate concentrations'!E$3:E$368)))^(1/inputs!$O$13))-1)/inputs!$N$13))</f>
        <v>156.41817317596281</v>
      </c>
      <c r="F155" s="176">
        <f>IF((((inputs!$P$13/(inputs!E153/MAX('Max rate concentrations'!F$3:F$368)))^(1/inputs!$O$13))-1)/inputs!$N$13&lt;0, 0, IF((((inputs!$P$13/(inputs!E153/MAX('Max rate concentrations'!F$3:F$368)))^(1/inputs!$O$13))-1)/inputs!$N$13&gt;inputs!$I$17, inputs!$I$17, (((inputs!$P$13/(inputs!E153/MAX('Max rate concentrations'!F$3:F$368)))^(1/inputs!$O$13))-1)/inputs!$N$13))</f>
        <v>185.53277089578134</v>
      </c>
      <c r="G155" s="176">
        <f>IF((((inputs!$P$13/(inputs!E153/MAX('Max rate concentrations'!G$3:G$368)))^(1/inputs!$O$13))-1)/inputs!$N$13&lt;0, 0, IF((((inputs!$P$13/(inputs!E153/MAX('Max rate concentrations'!G$3:G$368)))^(1/inputs!$O$13))-1)/inputs!$N$13&gt;inputs!$I$17, inputs!$I$17, (((inputs!$P$13/(inputs!E153/MAX('Max rate concentrations'!G$3:G$368)))^(1/inputs!$O$13))-1)/inputs!$N$13))</f>
        <v>27.04427651074154</v>
      </c>
      <c r="H155" s="176">
        <f>IF((((inputs!$P$13/(inputs!E140/MAX('Max rate concentrations'!H$3:H$368)))^(1/inputs!$O$13))-1)/inputs!$N$13&lt;0, 0, IF((((inputs!$P$13/(inputs!E140/MAX('Max rate concentrations'!H$3:H$368)))^(1/inputs!$O$13))-1)/inputs!$N$13&gt;inputs!$I$17, inputs!$I$17, (((inputs!$P$13/(inputs!E140/MAX('Max rate concentrations'!H$3:H$368)))^(1/inputs!$O$13))-1)/inputs!$N$13))</f>
        <v>1000</v>
      </c>
      <c r="I155" s="176">
        <f>IF((((inputs!$P$13/(inputs!E140/MAX('Max rate concentrations'!I$3:I$368)))^(1/inputs!$O$13))-1)/inputs!$N$13&lt;0, 0, IF((((inputs!$P$13/(inputs!E140/MAX('Max rate concentrations'!I$3:I$368)))^(1/inputs!$O$13))-1)/inputs!$N$13&gt;inputs!$I$17, inputs!$I$17, (((inputs!$P$13/(inputs!E140/MAX('Max rate concentrations'!I$3:I$368)))^(1/inputs!$O$13))-1)/inputs!$N$13))</f>
        <v>659.30440874790395</v>
      </c>
      <c r="J155" s="176" t="s">
        <v>13</v>
      </c>
      <c r="K155" s="176">
        <f>IF((((inputs!$P$13/(inputs!E153/MAX('Max rate concentrations'!K$3:K$368)))^(1/inputs!$O$13))-1)/inputs!$N$13&lt;0, 0, IF((((inputs!$P$13/(inputs!E153/MAX('Max rate concentrations'!K$3:K$368)))^(1/inputs!$O$13))-1)/inputs!$N$13&gt;inputs!$I$17, inputs!$I$17, (((inputs!$P$13/(inputs!E153/MAX('Max rate concentrations'!K$3:K$368)))^(1/inputs!$O$13))-1)/inputs!$N$13))</f>
        <v>61.258853019309257</v>
      </c>
      <c r="L155" s="176" t="s">
        <v>13</v>
      </c>
      <c r="M155" s="176" t="s">
        <v>13</v>
      </c>
      <c r="N155" s="176">
        <f>IF((((inputs!$P$13/(inputs!E166/MAX('Max rate concentrations'!N$3:N$368)))^(1/inputs!$O$13))-1)/inputs!$N$13&lt;0, 0, IF((((inputs!$P$13/(inputs!E166/MAX('Max rate concentrations'!N$3:N$368)))^(1/inputs!$O$13))-1)/inputs!$N$13&gt;inputs!$I$17, inputs!$I$17, (((inputs!$P$13/(inputs!E166/MAX('Max rate concentrations'!N$3:N$368)))^(1/inputs!$O$13))-1)/inputs!$N$13))</f>
        <v>6.9758561768241192</v>
      </c>
    </row>
    <row r="156" spans="1:14" x14ac:dyDescent="0.3">
      <c r="A156" s="41"/>
      <c r="B156" s="22" t="s">
        <v>62</v>
      </c>
      <c r="C156" s="22" t="s">
        <v>81</v>
      </c>
      <c r="D156" s="176" t="e">
        <f>IF((((inputs!$P$13/(inputs!E154/MAX('Max rate concentrations'!D$3:D$368)))^(1/inputs!$O$13))-1)/inputs!$N$13&lt;0, 0, IF((((inputs!$P$13/(inputs!E154/MAX('Max rate concentrations'!D$3:D$368)))^(1/inputs!$O$13))-1)/inputs!$N$13&gt;inputs!$I$17, inputs!$I$17, (((inputs!$P$13/(inputs!E154/MAX('Max rate concentrations'!D$3:D$368)))^(1/inputs!$O$13))-1)/inputs!$N$13))</f>
        <v>#VALUE!</v>
      </c>
      <c r="E156" s="176" t="e">
        <f>IF((((inputs!$P$13/(inputs!E154/MAX('Max rate concentrations'!E$3:E$368)))^(1/inputs!$O$13))-1)/inputs!$N$13&lt;0, 0, IF((((inputs!$P$13/(inputs!E154/MAX('Max rate concentrations'!E$3:E$368)))^(1/inputs!$O$13))-1)/inputs!$N$13&gt;inputs!$I$17, inputs!$I$17, (((inputs!$P$13/(inputs!E154/MAX('Max rate concentrations'!E$3:E$368)))^(1/inputs!$O$13))-1)/inputs!$N$13))</f>
        <v>#VALUE!</v>
      </c>
      <c r="F156" s="176" t="e">
        <f>IF((((inputs!$P$13/(inputs!E154/MAX('Max rate concentrations'!F$3:F$368)))^(1/inputs!$O$13))-1)/inputs!$N$13&lt;0, 0, IF((((inputs!$P$13/(inputs!E154/MAX('Max rate concentrations'!F$3:F$368)))^(1/inputs!$O$13))-1)/inputs!$N$13&gt;inputs!$I$17, inputs!$I$17, (((inputs!$P$13/(inputs!E154/MAX('Max rate concentrations'!F$3:F$368)))^(1/inputs!$O$13))-1)/inputs!$N$13))</f>
        <v>#VALUE!</v>
      </c>
      <c r="G156" s="176" t="e">
        <f>IF((((inputs!$P$13/(inputs!E154/MAX('Max rate concentrations'!G$3:G$368)))^(1/inputs!$O$13))-1)/inputs!$N$13&lt;0, 0, IF((((inputs!$P$13/(inputs!E154/MAX('Max rate concentrations'!G$3:G$368)))^(1/inputs!$O$13))-1)/inputs!$N$13&gt;inputs!$I$17, inputs!$I$17, (((inputs!$P$13/(inputs!E154/MAX('Max rate concentrations'!G$3:G$368)))^(1/inputs!$O$13))-1)/inputs!$N$13))</f>
        <v>#VALUE!</v>
      </c>
      <c r="H156" s="176" t="e">
        <f>IF((((inputs!$P$13/(inputs!E141/MAX('Max rate concentrations'!H$3:H$368)))^(1/inputs!$O$13))-1)/inputs!$N$13&lt;0, 0, IF((((inputs!$P$13/(inputs!E141/MAX('Max rate concentrations'!H$3:H$368)))^(1/inputs!$O$13))-1)/inputs!$N$13&gt;inputs!$I$17, inputs!$I$17, (((inputs!$P$13/(inputs!E141/MAX('Max rate concentrations'!H$3:H$368)))^(1/inputs!$O$13))-1)/inputs!$N$13))</f>
        <v>#VALUE!</v>
      </c>
      <c r="I156" s="176" t="e">
        <f>IF((((inputs!$P$13/(inputs!E141/MAX('Max rate concentrations'!I$3:I$368)))^(1/inputs!$O$13))-1)/inputs!$N$13&lt;0, 0, IF((((inputs!$P$13/(inputs!E141/MAX('Max rate concentrations'!I$3:I$368)))^(1/inputs!$O$13))-1)/inputs!$N$13&gt;inputs!$I$17, inputs!$I$17, (((inputs!$P$13/(inputs!E141/MAX('Max rate concentrations'!I$3:I$368)))^(1/inputs!$O$13))-1)/inputs!$N$13))</f>
        <v>#VALUE!</v>
      </c>
      <c r="J156" s="176" t="s">
        <v>13</v>
      </c>
      <c r="K156" s="176" t="e">
        <f>IF((((inputs!$P$13/(inputs!E154/MAX('Max rate concentrations'!K$3:K$368)))^(1/inputs!$O$13))-1)/inputs!$N$13&lt;0, 0, IF((((inputs!$P$13/(inputs!E154/MAX('Max rate concentrations'!K$3:K$368)))^(1/inputs!$O$13))-1)/inputs!$N$13&gt;inputs!$I$17, inputs!$I$17, (((inputs!$P$13/(inputs!E154/MAX('Max rate concentrations'!K$3:K$368)))^(1/inputs!$O$13))-1)/inputs!$N$13))</f>
        <v>#VALUE!</v>
      </c>
      <c r="L156" s="176" t="s">
        <v>13</v>
      </c>
      <c r="M156" s="176" t="s">
        <v>13</v>
      </c>
      <c r="N156" s="176" t="e">
        <f>IF((((inputs!$P$13/(inputs!E167/MAX('Max rate concentrations'!N$3:N$368)))^(1/inputs!$O$13))-1)/inputs!$N$13&lt;0, 0, IF((((inputs!$P$13/(inputs!E167/MAX('Max rate concentrations'!N$3:N$368)))^(1/inputs!$O$13))-1)/inputs!$N$13&gt;inputs!$I$17, inputs!$I$17, (((inputs!$P$13/(inputs!E167/MAX('Max rate concentrations'!N$3:N$368)))^(1/inputs!$O$13))-1)/inputs!$N$13))</f>
        <v>#VALUE!</v>
      </c>
    </row>
    <row r="157" spans="1:14" x14ac:dyDescent="0.3">
      <c r="A157" s="41"/>
      <c r="B157" s="22" t="s">
        <v>66</v>
      </c>
      <c r="C157" s="22" t="s">
        <v>82</v>
      </c>
      <c r="D157" s="176">
        <f>IF((((inputs!$P$13/(inputs!E155/MAX('Max rate concentrations'!D$3:D$368)))^(1/inputs!$O$13))-1)/inputs!$N$13&lt;0, 0, IF((((inputs!$P$13/(inputs!E155/MAX('Max rate concentrations'!D$3:D$368)))^(1/inputs!$O$13))-1)/inputs!$N$13&gt;inputs!$I$17, inputs!$I$17, (((inputs!$P$13/(inputs!E155/MAX('Max rate concentrations'!D$3:D$368)))^(1/inputs!$O$13))-1)/inputs!$N$13))</f>
        <v>21.716064198840247</v>
      </c>
      <c r="E157" s="176">
        <f>IF((((inputs!$P$13/(inputs!E155/MAX('Max rate concentrations'!E$3:E$368)))^(1/inputs!$O$13))-1)/inputs!$N$13&lt;0, 0, IF((((inputs!$P$13/(inputs!E155/MAX('Max rate concentrations'!E$3:E$368)))^(1/inputs!$O$13))-1)/inputs!$N$13&gt;inputs!$I$17, inputs!$I$17, (((inputs!$P$13/(inputs!E155/MAX('Max rate concentrations'!E$3:E$368)))^(1/inputs!$O$13))-1)/inputs!$N$13))</f>
        <v>9.1097065749008124</v>
      </c>
      <c r="F157" s="176">
        <f>IF((((inputs!$P$13/(inputs!E155/MAX('Max rate concentrations'!F$3:F$368)))^(1/inputs!$O$13))-1)/inputs!$N$13&lt;0, 0, IF((((inputs!$P$13/(inputs!E155/MAX('Max rate concentrations'!F$3:F$368)))^(1/inputs!$O$13))-1)/inputs!$N$13&gt;inputs!$I$17, inputs!$I$17, (((inputs!$P$13/(inputs!E155/MAX('Max rate concentrations'!F$3:F$368)))^(1/inputs!$O$13))-1)/inputs!$N$13))</f>
        <v>11.69201586743346</v>
      </c>
      <c r="G157" s="176">
        <f>IF((((inputs!$P$13/(inputs!E155/MAX('Max rate concentrations'!G$3:G$368)))^(1/inputs!$O$13))-1)/inputs!$N$13&lt;0, 0, IF((((inputs!$P$13/(inputs!E155/MAX('Max rate concentrations'!G$3:G$368)))^(1/inputs!$O$13))-1)/inputs!$N$13&gt;inputs!$I$17, inputs!$I$17, (((inputs!$P$13/(inputs!E155/MAX('Max rate concentrations'!G$3:G$368)))^(1/inputs!$O$13))-1)/inputs!$N$13))</f>
        <v>0</v>
      </c>
      <c r="H157" s="176" t="e">
        <f>IF((((inputs!$P$13/(inputs!E142/MAX('Max rate concentrations'!H$3:H$368)))^(1/inputs!$O$13))-1)/inputs!$N$13&lt;0, 0, IF((((inputs!$P$13/(inputs!E142/MAX('Max rate concentrations'!H$3:H$368)))^(1/inputs!$O$13))-1)/inputs!$N$13&gt;inputs!$I$17, inputs!$I$17, (((inputs!$P$13/(inputs!E142/MAX('Max rate concentrations'!H$3:H$368)))^(1/inputs!$O$13))-1)/inputs!$N$13))</f>
        <v>#VALUE!</v>
      </c>
      <c r="I157" s="176" t="e">
        <f>IF((((inputs!$P$13/(inputs!E142/MAX('Max rate concentrations'!I$3:I$368)))^(1/inputs!$O$13))-1)/inputs!$N$13&lt;0, 0, IF((((inputs!$P$13/(inputs!E142/MAX('Max rate concentrations'!I$3:I$368)))^(1/inputs!$O$13))-1)/inputs!$N$13&gt;inputs!$I$17, inputs!$I$17, (((inputs!$P$13/(inputs!E142/MAX('Max rate concentrations'!I$3:I$368)))^(1/inputs!$O$13))-1)/inputs!$N$13))</f>
        <v>#VALUE!</v>
      </c>
      <c r="J157" s="176" t="s">
        <v>13</v>
      </c>
      <c r="K157" s="176">
        <f>IF((((inputs!$P$13/(inputs!E155/MAX('Max rate concentrations'!K$3:K$368)))^(1/inputs!$O$13))-1)/inputs!$N$13&lt;0, 0, IF((((inputs!$P$13/(inputs!E155/MAX('Max rate concentrations'!K$3:K$368)))^(1/inputs!$O$13))-1)/inputs!$N$13&gt;inputs!$I$17, inputs!$I$17, (((inputs!$P$13/(inputs!E155/MAX('Max rate concentrations'!K$3:K$368)))^(1/inputs!$O$13))-1)/inputs!$N$13))</f>
        <v>0.66958320186364717</v>
      </c>
      <c r="L157" s="176" t="s">
        <v>13</v>
      </c>
      <c r="M157" s="176" t="s">
        <v>13</v>
      </c>
      <c r="N157" s="176" t="e">
        <f>IF((((inputs!$P$13/(inputs!E168/MAX('Max rate concentrations'!N$3:N$368)))^(1/inputs!$O$13))-1)/inputs!$N$13&lt;0, 0, IF((((inputs!$P$13/(inputs!E168/MAX('Max rate concentrations'!N$3:N$368)))^(1/inputs!$O$13))-1)/inputs!$N$13&gt;inputs!$I$17, inputs!$I$17, (((inputs!$P$13/(inputs!E168/MAX('Max rate concentrations'!N$3:N$368)))^(1/inputs!$O$13))-1)/inputs!$N$13))</f>
        <v>#VALUE!</v>
      </c>
    </row>
    <row r="158" spans="1:14" x14ac:dyDescent="0.3">
      <c r="A158" s="41"/>
      <c r="B158" s="22" t="s">
        <v>62</v>
      </c>
      <c r="C158" s="22" t="s">
        <v>83</v>
      </c>
      <c r="D158" s="176" t="e">
        <f>IF((((inputs!$P$13/(inputs!E156/MAX('Max rate concentrations'!D$3:D$368)))^(1/inputs!$O$13))-1)/inputs!$N$13&lt;0, 0, IF((((inputs!$P$13/(inputs!E156/MAX('Max rate concentrations'!D$3:D$368)))^(1/inputs!$O$13))-1)/inputs!$N$13&gt;inputs!$I$17, inputs!$I$17, (((inputs!$P$13/(inputs!E156/MAX('Max rate concentrations'!D$3:D$368)))^(1/inputs!$O$13))-1)/inputs!$N$13))</f>
        <v>#VALUE!</v>
      </c>
      <c r="E158" s="176" t="e">
        <f>IF((((inputs!$P$13/(inputs!E156/MAX('Max rate concentrations'!E$3:E$368)))^(1/inputs!$O$13))-1)/inputs!$N$13&lt;0, 0, IF((((inputs!$P$13/(inputs!E156/MAX('Max rate concentrations'!E$3:E$368)))^(1/inputs!$O$13))-1)/inputs!$N$13&gt;inputs!$I$17, inputs!$I$17, (((inputs!$P$13/(inputs!E156/MAX('Max rate concentrations'!E$3:E$368)))^(1/inputs!$O$13))-1)/inputs!$N$13))</f>
        <v>#VALUE!</v>
      </c>
      <c r="F158" s="176" t="e">
        <f>IF((((inputs!$P$13/(inputs!E156/MAX('Max rate concentrations'!F$3:F$368)))^(1/inputs!$O$13))-1)/inputs!$N$13&lt;0, 0, IF((((inputs!$P$13/(inputs!E156/MAX('Max rate concentrations'!F$3:F$368)))^(1/inputs!$O$13))-1)/inputs!$N$13&gt;inputs!$I$17, inputs!$I$17, (((inputs!$P$13/(inputs!E156/MAX('Max rate concentrations'!F$3:F$368)))^(1/inputs!$O$13))-1)/inputs!$N$13))</f>
        <v>#VALUE!</v>
      </c>
      <c r="G158" s="176" t="e">
        <f>IF((((inputs!$P$13/(inputs!E156/MAX('Max rate concentrations'!G$3:G$368)))^(1/inputs!$O$13))-1)/inputs!$N$13&lt;0, 0, IF((((inputs!$P$13/(inputs!E156/MAX('Max rate concentrations'!G$3:G$368)))^(1/inputs!$O$13))-1)/inputs!$N$13&gt;inputs!$I$17, inputs!$I$17, (((inputs!$P$13/(inputs!E156/MAX('Max rate concentrations'!G$3:G$368)))^(1/inputs!$O$13))-1)/inputs!$N$13))</f>
        <v>#VALUE!</v>
      </c>
      <c r="H158" s="176" t="e">
        <f>IF((((inputs!$P$13/(inputs!E143/MAX('Max rate concentrations'!H$3:H$368)))^(1/inputs!$O$13))-1)/inputs!$N$13&lt;0, 0, IF((((inputs!$P$13/(inputs!E143/MAX('Max rate concentrations'!H$3:H$368)))^(1/inputs!$O$13))-1)/inputs!$N$13&gt;inputs!$I$17, inputs!$I$17, (((inputs!$P$13/(inputs!E143/MAX('Max rate concentrations'!H$3:H$368)))^(1/inputs!$O$13))-1)/inputs!$N$13))</f>
        <v>#VALUE!</v>
      </c>
      <c r="I158" s="176" t="e">
        <f>IF((((inputs!$P$13/(inputs!E143/MAX('Max rate concentrations'!I$3:I$368)))^(1/inputs!$O$13))-1)/inputs!$N$13&lt;0, 0, IF((((inputs!$P$13/(inputs!E143/MAX('Max rate concentrations'!I$3:I$368)))^(1/inputs!$O$13))-1)/inputs!$N$13&gt;inputs!$I$17, inputs!$I$17, (((inputs!$P$13/(inputs!E143/MAX('Max rate concentrations'!I$3:I$368)))^(1/inputs!$O$13))-1)/inputs!$N$13))</f>
        <v>#VALUE!</v>
      </c>
      <c r="J158" s="176" t="s">
        <v>13</v>
      </c>
      <c r="K158" s="176" t="e">
        <f>IF((((inputs!$P$13/(inputs!E156/MAX('Max rate concentrations'!K$3:K$368)))^(1/inputs!$O$13))-1)/inputs!$N$13&lt;0, 0, IF((((inputs!$P$13/(inputs!E156/MAX('Max rate concentrations'!K$3:K$368)))^(1/inputs!$O$13))-1)/inputs!$N$13&gt;inputs!$I$17, inputs!$I$17, (((inputs!$P$13/(inputs!E156/MAX('Max rate concentrations'!K$3:K$368)))^(1/inputs!$O$13))-1)/inputs!$N$13))</f>
        <v>#VALUE!</v>
      </c>
      <c r="L158" s="176" t="s">
        <v>13</v>
      </c>
      <c r="M158" s="176" t="s">
        <v>13</v>
      </c>
      <c r="N158" s="176" t="e">
        <f>IF((((inputs!$P$13/(inputs!E169/MAX('Max rate concentrations'!N$3:N$368)))^(1/inputs!$O$13))-1)/inputs!$N$13&lt;0, 0, IF((((inputs!$P$13/(inputs!E169/MAX('Max rate concentrations'!N$3:N$368)))^(1/inputs!$O$13))-1)/inputs!$N$13&gt;inputs!$I$17, inputs!$I$17, (((inputs!$P$13/(inputs!E169/MAX('Max rate concentrations'!N$3:N$368)))^(1/inputs!$O$13))-1)/inputs!$N$13))</f>
        <v>#VALUE!</v>
      </c>
    </row>
    <row r="159" spans="1:14" x14ac:dyDescent="0.3">
      <c r="A159" s="41"/>
      <c r="B159" s="22" t="s">
        <v>66</v>
      </c>
      <c r="C159" s="22" t="s">
        <v>84</v>
      </c>
      <c r="D159" s="176" t="e">
        <f>IF((((inputs!$P$13/(inputs!E157/MAX('Max rate concentrations'!D$3:D$368)))^(1/inputs!$O$13))-1)/inputs!$N$13&lt;0, 0, IF((((inputs!$P$13/(inputs!E157/MAX('Max rate concentrations'!D$3:D$368)))^(1/inputs!$O$13))-1)/inputs!$N$13&gt;inputs!$I$17, inputs!$I$17, (((inputs!$P$13/(inputs!E157/MAX('Max rate concentrations'!D$3:D$368)))^(1/inputs!$O$13))-1)/inputs!$N$13))</f>
        <v>#VALUE!</v>
      </c>
      <c r="E159" s="176" t="e">
        <f>IF((((inputs!$P$13/(inputs!E157/MAX('Max rate concentrations'!E$3:E$368)))^(1/inputs!$O$13))-1)/inputs!$N$13&lt;0, 0, IF((((inputs!$P$13/(inputs!E157/MAX('Max rate concentrations'!E$3:E$368)))^(1/inputs!$O$13))-1)/inputs!$N$13&gt;inputs!$I$17, inputs!$I$17, (((inputs!$P$13/(inputs!E157/MAX('Max rate concentrations'!E$3:E$368)))^(1/inputs!$O$13))-1)/inputs!$N$13))</f>
        <v>#VALUE!</v>
      </c>
      <c r="F159" s="176" t="e">
        <f>IF((((inputs!$P$13/(inputs!E157/MAX('Max rate concentrations'!F$3:F$368)))^(1/inputs!$O$13))-1)/inputs!$N$13&lt;0, 0, IF((((inputs!$P$13/(inputs!E157/MAX('Max rate concentrations'!F$3:F$368)))^(1/inputs!$O$13))-1)/inputs!$N$13&gt;inputs!$I$17, inputs!$I$17, (((inputs!$P$13/(inputs!E157/MAX('Max rate concentrations'!F$3:F$368)))^(1/inputs!$O$13))-1)/inputs!$N$13))</f>
        <v>#VALUE!</v>
      </c>
      <c r="G159" s="176" t="e">
        <f>IF((((inputs!$P$13/(inputs!E157/MAX('Max rate concentrations'!G$3:G$368)))^(1/inputs!$O$13))-1)/inputs!$N$13&lt;0, 0, IF((((inputs!$P$13/(inputs!E157/MAX('Max rate concentrations'!G$3:G$368)))^(1/inputs!$O$13))-1)/inputs!$N$13&gt;inputs!$I$17, inputs!$I$17, (((inputs!$P$13/(inputs!E157/MAX('Max rate concentrations'!G$3:G$368)))^(1/inputs!$O$13))-1)/inputs!$N$13))</f>
        <v>#VALUE!</v>
      </c>
      <c r="H159" s="176" t="e">
        <f>IF((((inputs!$P$13/(inputs!E144/MAX('Max rate concentrations'!H$3:H$368)))^(1/inputs!$O$13))-1)/inputs!$N$13&lt;0, 0, IF((((inputs!$P$13/(inputs!E144/MAX('Max rate concentrations'!H$3:H$368)))^(1/inputs!$O$13))-1)/inputs!$N$13&gt;inputs!$I$17, inputs!$I$17, (((inputs!$P$13/(inputs!E144/MAX('Max rate concentrations'!H$3:H$368)))^(1/inputs!$O$13))-1)/inputs!$N$13))</f>
        <v>#VALUE!</v>
      </c>
      <c r="I159" s="176" t="e">
        <f>IF((((inputs!$P$13/(inputs!E144/MAX('Max rate concentrations'!I$3:I$368)))^(1/inputs!$O$13))-1)/inputs!$N$13&lt;0, 0, IF((((inputs!$P$13/(inputs!E144/MAX('Max rate concentrations'!I$3:I$368)))^(1/inputs!$O$13))-1)/inputs!$N$13&gt;inputs!$I$17, inputs!$I$17, (((inputs!$P$13/(inputs!E144/MAX('Max rate concentrations'!I$3:I$368)))^(1/inputs!$O$13))-1)/inputs!$N$13))</f>
        <v>#VALUE!</v>
      </c>
      <c r="J159" s="176" t="s">
        <v>13</v>
      </c>
      <c r="K159" s="176" t="e">
        <f>IF((((inputs!$P$13/(inputs!E157/MAX('Max rate concentrations'!K$3:K$368)))^(1/inputs!$O$13))-1)/inputs!$N$13&lt;0, 0, IF((((inputs!$P$13/(inputs!E157/MAX('Max rate concentrations'!K$3:K$368)))^(1/inputs!$O$13))-1)/inputs!$N$13&gt;inputs!$I$17, inputs!$I$17, (((inputs!$P$13/(inputs!E157/MAX('Max rate concentrations'!K$3:K$368)))^(1/inputs!$O$13))-1)/inputs!$N$13))</f>
        <v>#VALUE!</v>
      </c>
      <c r="L159" s="176" t="s">
        <v>13</v>
      </c>
      <c r="M159" s="176" t="s">
        <v>13</v>
      </c>
      <c r="N159" s="176">
        <f>IF((((inputs!$P$13/(inputs!E170/MAX('Max rate concentrations'!N$3:N$368)))^(1/inputs!$O$13))-1)/inputs!$N$13&lt;0, 0, IF((((inputs!$P$13/(inputs!E170/MAX('Max rate concentrations'!N$3:N$368)))^(1/inputs!$O$13))-1)/inputs!$N$13&gt;inputs!$I$17, inputs!$I$17, (((inputs!$P$13/(inputs!E170/MAX('Max rate concentrations'!N$3:N$368)))^(1/inputs!$O$13))-1)/inputs!$N$13))</f>
        <v>195.24558799855396</v>
      </c>
    </row>
    <row r="160" spans="1:14" x14ac:dyDescent="0.3">
      <c r="A160" s="41"/>
      <c r="B160" s="22" t="s">
        <v>62</v>
      </c>
      <c r="C160" s="22" t="s">
        <v>85</v>
      </c>
      <c r="D160" s="176" t="e">
        <f>IF((((inputs!$P$13/(inputs!E158/MAX('Max rate concentrations'!D$3:D$368)))^(1/inputs!$O$13))-1)/inputs!$N$13&lt;0, 0, IF((((inputs!$P$13/(inputs!E158/MAX('Max rate concentrations'!D$3:D$368)))^(1/inputs!$O$13))-1)/inputs!$N$13&gt;inputs!$I$17, inputs!$I$17, (((inputs!$P$13/(inputs!E158/MAX('Max rate concentrations'!D$3:D$368)))^(1/inputs!$O$13))-1)/inputs!$N$13))</f>
        <v>#VALUE!</v>
      </c>
      <c r="E160" s="176" t="e">
        <f>IF((((inputs!$P$13/(inputs!E158/MAX('Max rate concentrations'!E$3:E$368)))^(1/inputs!$O$13))-1)/inputs!$N$13&lt;0, 0, IF((((inputs!$P$13/(inputs!E158/MAX('Max rate concentrations'!E$3:E$368)))^(1/inputs!$O$13))-1)/inputs!$N$13&gt;inputs!$I$17, inputs!$I$17, (((inputs!$P$13/(inputs!E158/MAX('Max rate concentrations'!E$3:E$368)))^(1/inputs!$O$13))-1)/inputs!$N$13))</f>
        <v>#VALUE!</v>
      </c>
      <c r="F160" s="176" t="e">
        <f>IF((((inputs!$P$13/(inputs!E158/MAX('Max rate concentrations'!F$3:F$368)))^(1/inputs!$O$13))-1)/inputs!$N$13&lt;0, 0, IF((((inputs!$P$13/(inputs!E158/MAX('Max rate concentrations'!F$3:F$368)))^(1/inputs!$O$13))-1)/inputs!$N$13&gt;inputs!$I$17, inputs!$I$17, (((inputs!$P$13/(inputs!E158/MAX('Max rate concentrations'!F$3:F$368)))^(1/inputs!$O$13))-1)/inputs!$N$13))</f>
        <v>#VALUE!</v>
      </c>
      <c r="G160" s="176" t="e">
        <f>IF((((inputs!$P$13/(inputs!E158/MAX('Max rate concentrations'!G$3:G$368)))^(1/inputs!$O$13))-1)/inputs!$N$13&lt;0, 0, IF((((inputs!$P$13/(inputs!E158/MAX('Max rate concentrations'!G$3:G$368)))^(1/inputs!$O$13))-1)/inputs!$N$13&gt;inputs!$I$17, inputs!$I$17, (((inputs!$P$13/(inputs!E158/MAX('Max rate concentrations'!G$3:G$368)))^(1/inputs!$O$13))-1)/inputs!$N$13))</f>
        <v>#VALUE!</v>
      </c>
      <c r="H160" s="176" t="e">
        <f>IF((((inputs!$P$13/(inputs!E145/MAX('Max rate concentrations'!H$3:H$368)))^(1/inputs!$O$13))-1)/inputs!$N$13&lt;0, 0, IF((((inputs!$P$13/(inputs!E145/MAX('Max rate concentrations'!H$3:H$368)))^(1/inputs!$O$13))-1)/inputs!$N$13&gt;inputs!$I$17, inputs!$I$17, (((inputs!$P$13/(inputs!E145/MAX('Max rate concentrations'!H$3:H$368)))^(1/inputs!$O$13))-1)/inputs!$N$13))</f>
        <v>#VALUE!</v>
      </c>
      <c r="I160" s="176" t="e">
        <f>IF((((inputs!$P$13/(inputs!E145/MAX('Max rate concentrations'!I$3:I$368)))^(1/inputs!$O$13))-1)/inputs!$N$13&lt;0, 0, IF((((inputs!$P$13/(inputs!E145/MAX('Max rate concentrations'!I$3:I$368)))^(1/inputs!$O$13))-1)/inputs!$N$13&gt;inputs!$I$17, inputs!$I$17, (((inputs!$P$13/(inputs!E145/MAX('Max rate concentrations'!I$3:I$368)))^(1/inputs!$O$13))-1)/inputs!$N$13))</f>
        <v>#VALUE!</v>
      </c>
      <c r="J160" s="176" t="s">
        <v>13</v>
      </c>
      <c r="K160" s="176" t="e">
        <f>IF((((inputs!$P$13/(inputs!E158/MAX('Max rate concentrations'!K$3:K$368)))^(1/inputs!$O$13))-1)/inputs!$N$13&lt;0, 0, IF((((inputs!$P$13/(inputs!E158/MAX('Max rate concentrations'!K$3:K$368)))^(1/inputs!$O$13))-1)/inputs!$N$13&gt;inputs!$I$17, inputs!$I$17, (((inputs!$P$13/(inputs!E158/MAX('Max rate concentrations'!K$3:K$368)))^(1/inputs!$O$13))-1)/inputs!$N$13))</f>
        <v>#VALUE!</v>
      </c>
      <c r="L160" s="176" t="s">
        <v>13</v>
      </c>
      <c r="M160" s="176" t="s">
        <v>13</v>
      </c>
      <c r="N160" s="176" t="e">
        <f>IF((((inputs!$P$13/(inputs!E171/MAX('Max rate concentrations'!N$3:N$368)))^(1/inputs!$O$13))-1)/inputs!$N$13&lt;0, 0, IF((((inputs!$P$13/(inputs!E171/MAX('Max rate concentrations'!N$3:N$368)))^(1/inputs!$O$13))-1)/inputs!$N$13&gt;inputs!$I$17, inputs!$I$17, (((inputs!$P$13/(inputs!E171/MAX('Max rate concentrations'!N$3:N$368)))^(1/inputs!$O$13))-1)/inputs!$N$13))</f>
        <v>#VALUE!</v>
      </c>
    </row>
    <row r="161" spans="1:14" x14ac:dyDescent="0.3">
      <c r="A161" s="41"/>
      <c r="B161" s="22" t="s">
        <v>66</v>
      </c>
      <c r="C161" s="22" t="s">
        <v>86</v>
      </c>
      <c r="D161" s="176">
        <f>IF((((inputs!$P$13/(inputs!E159/MAX('Max rate concentrations'!D$3:D$368)))^(1/inputs!$O$13))-1)/inputs!$N$13&lt;0, 0, IF((((inputs!$P$13/(inputs!E159/MAX('Max rate concentrations'!D$3:D$368)))^(1/inputs!$O$13))-1)/inputs!$N$13&gt;inputs!$I$17, inputs!$I$17, (((inputs!$P$13/(inputs!E159/MAX('Max rate concentrations'!D$3:D$368)))^(1/inputs!$O$13))-1)/inputs!$N$13))</f>
        <v>298.55026865906984</v>
      </c>
      <c r="E161" s="176">
        <f>IF((((inputs!$P$13/(inputs!E159/MAX('Max rate concentrations'!E$3:E$368)))^(1/inputs!$O$13))-1)/inputs!$N$13&lt;0, 0, IF((((inputs!$P$13/(inputs!E159/MAX('Max rate concentrations'!E$3:E$368)))^(1/inputs!$O$13))-1)/inputs!$N$13&gt;inputs!$I$17, inputs!$I$17, (((inputs!$P$13/(inputs!E159/MAX('Max rate concentrations'!E$3:E$368)))^(1/inputs!$O$13))-1)/inputs!$N$13))</f>
        <v>156.41817317596281</v>
      </c>
      <c r="F161" s="176">
        <f>IF((((inputs!$P$13/(inputs!E159/MAX('Max rate concentrations'!F$3:F$368)))^(1/inputs!$O$13))-1)/inputs!$N$13&lt;0, 0, IF((((inputs!$P$13/(inputs!E159/MAX('Max rate concentrations'!F$3:F$368)))^(1/inputs!$O$13))-1)/inputs!$N$13&gt;inputs!$I$17, inputs!$I$17, (((inputs!$P$13/(inputs!E159/MAX('Max rate concentrations'!F$3:F$368)))^(1/inputs!$O$13))-1)/inputs!$N$13))</f>
        <v>185.53277089578134</v>
      </c>
      <c r="G161" s="176">
        <f>IF((((inputs!$P$13/(inputs!E159/MAX('Max rate concentrations'!G$3:G$368)))^(1/inputs!$O$13))-1)/inputs!$N$13&lt;0, 0, IF((((inputs!$P$13/(inputs!E159/MAX('Max rate concentrations'!G$3:G$368)))^(1/inputs!$O$13))-1)/inputs!$N$13&gt;inputs!$I$17, inputs!$I$17, (((inputs!$P$13/(inputs!E159/MAX('Max rate concentrations'!G$3:G$368)))^(1/inputs!$O$13))-1)/inputs!$N$13))</f>
        <v>27.04427651074154</v>
      </c>
      <c r="H161" s="176" t="e">
        <f>IF((((inputs!$P$13/(inputs!E146/MAX('Max rate concentrations'!H$3:H$368)))^(1/inputs!$O$13))-1)/inputs!$N$13&lt;0, 0, IF((((inputs!$P$13/(inputs!E146/MAX('Max rate concentrations'!H$3:H$368)))^(1/inputs!$O$13))-1)/inputs!$N$13&gt;inputs!$I$17, inputs!$I$17, (((inputs!$P$13/(inputs!E146/MAX('Max rate concentrations'!H$3:H$368)))^(1/inputs!$O$13))-1)/inputs!$N$13))</f>
        <v>#VALUE!</v>
      </c>
      <c r="I161" s="176" t="e">
        <f>IF((((inputs!$P$13/(inputs!E146/MAX('Max rate concentrations'!I$3:I$368)))^(1/inputs!$O$13))-1)/inputs!$N$13&lt;0, 0, IF((((inputs!$P$13/(inputs!E146/MAX('Max rate concentrations'!I$3:I$368)))^(1/inputs!$O$13))-1)/inputs!$N$13&gt;inputs!$I$17, inputs!$I$17, (((inputs!$P$13/(inputs!E146/MAX('Max rate concentrations'!I$3:I$368)))^(1/inputs!$O$13))-1)/inputs!$N$13))</f>
        <v>#VALUE!</v>
      </c>
      <c r="J161" s="176" t="s">
        <v>13</v>
      </c>
      <c r="K161" s="176">
        <f>IF((((inputs!$P$13/(inputs!E159/MAX('Max rate concentrations'!K$3:K$368)))^(1/inputs!$O$13))-1)/inputs!$N$13&lt;0, 0, IF((((inputs!$P$13/(inputs!E159/MAX('Max rate concentrations'!K$3:K$368)))^(1/inputs!$O$13))-1)/inputs!$N$13&gt;inputs!$I$17, inputs!$I$17, (((inputs!$P$13/(inputs!E159/MAX('Max rate concentrations'!K$3:K$368)))^(1/inputs!$O$13))-1)/inputs!$N$13))</f>
        <v>61.258853019309257</v>
      </c>
      <c r="L161" s="176" t="s">
        <v>13</v>
      </c>
      <c r="M161" s="176" t="s">
        <v>13</v>
      </c>
      <c r="N161" s="176">
        <f>IF((((inputs!$P$13/(inputs!E172/MAX('Max rate concentrations'!N$3:N$368)))^(1/inputs!$O$13))-1)/inputs!$N$13&lt;0, 0, IF((((inputs!$P$13/(inputs!E172/MAX('Max rate concentrations'!N$3:N$368)))^(1/inputs!$O$13))-1)/inputs!$N$13&gt;inputs!$I$17, inputs!$I$17, (((inputs!$P$13/(inputs!E172/MAX('Max rate concentrations'!N$3:N$368)))^(1/inputs!$O$13))-1)/inputs!$N$13))</f>
        <v>0</v>
      </c>
    </row>
    <row r="162" spans="1:14" x14ac:dyDescent="0.3">
      <c r="A162" s="41"/>
      <c r="B162" s="22" t="s">
        <v>62</v>
      </c>
      <c r="C162" s="22" t="s">
        <v>87</v>
      </c>
      <c r="D162" s="176" t="e">
        <f>IF((((inputs!$P$13/(inputs!E160/MAX('Max rate concentrations'!D$3:D$368)))^(1/inputs!$O$13))-1)/inputs!$N$13&lt;0, 0, IF((((inputs!$P$13/(inputs!E160/MAX('Max rate concentrations'!D$3:D$368)))^(1/inputs!$O$13))-1)/inputs!$N$13&gt;inputs!$I$17, inputs!$I$17, (((inputs!$P$13/(inputs!E160/MAX('Max rate concentrations'!D$3:D$368)))^(1/inputs!$O$13))-1)/inputs!$N$13))</f>
        <v>#VALUE!</v>
      </c>
      <c r="E162" s="176" t="e">
        <f>IF((((inputs!$P$13/(inputs!E160/MAX('Max rate concentrations'!E$3:E$368)))^(1/inputs!$O$13))-1)/inputs!$N$13&lt;0, 0, IF((((inputs!$P$13/(inputs!E160/MAX('Max rate concentrations'!E$3:E$368)))^(1/inputs!$O$13))-1)/inputs!$N$13&gt;inputs!$I$17, inputs!$I$17, (((inputs!$P$13/(inputs!E160/MAX('Max rate concentrations'!E$3:E$368)))^(1/inputs!$O$13))-1)/inputs!$N$13))</f>
        <v>#VALUE!</v>
      </c>
      <c r="F162" s="176" t="e">
        <f>IF((((inputs!$P$13/(inputs!E160/MAX('Max rate concentrations'!F$3:F$368)))^(1/inputs!$O$13))-1)/inputs!$N$13&lt;0, 0, IF((((inputs!$P$13/(inputs!E160/MAX('Max rate concentrations'!F$3:F$368)))^(1/inputs!$O$13))-1)/inputs!$N$13&gt;inputs!$I$17, inputs!$I$17, (((inputs!$P$13/(inputs!E160/MAX('Max rate concentrations'!F$3:F$368)))^(1/inputs!$O$13))-1)/inputs!$N$13))</f>
        <v>#VALUE!</v>
      </c>
      <c r="G162" s="176" t="e">
        <f>IF((((inputs!$P$13/(inputs!E160/MAX('Max rate concentrations'!G$3:G$368)))^(1/inputs!$O$13))-1)/inputs!$N$13&lt;0, 0, IF((((inputs!$P$13/(inputs!E160/MAX('Max rate concentrations'!G$3:G$368)))^(1/inputs!$O$13))-1)/inputs!$N$13&gt;inputs!$I$17, inputs!$I$17, (((inputs!$P$13/(inputs!E160/MAX('Max rate concentrations'!G$3:G$368)))^(1/inputs!$O$13))-1)/inputs!$N$13))</f>
        <v>#VALUE!</v>
      </c>
      <c r="H162" s="176" t="e">
        <f>IF((((inputs!$P$13/(inputs!E147/MAX('Max rate concentrations'!H$3:H$368)))^(1/inputs!$O$13))-1)/inputs!$N$13&lt;0, 0, IF((((inputs!$P$13/(inputs!E147/MAX('Max rate concentrations'!H$3:H$368)))^(1/inputs!$O$13))-1)/inputs!$N$13&gt;inputs!$I$17, inputs!$I$17, (((inputs!$P$13/(inputs!E147/MAX('Max rate concentrations'!H$3:H$368)))^(1/inputs!$O$13))-1)/inputs!$N$13))</f>
        <v>#VALUE!</v>
      </c>
      <c r="I162" s="176" t="e">
        <f>IF((((inputs!$P$13/(inputs!E147/MAX('Max rate concentrations'!I$3:I$368)))^(1/inputs!$O$13))-1)/inputs!$N$13&lt;0, 0, IF((((inputs!$P$13/(inputs!E147/MAX('Max rate concentrations'!I$3:I$368)))^(1/inputs!$O$13))-1)/inputs!$N$13&gt;inputs!$I$17, inputs!$I$17, (((inputs!$P$13/(inputs!E147/MAX('Max rate concentrations'!I$3:I$368)))^(1/inputs!$O$13))-1)/inputs!$N$13))</f>
        <v>#VALUE!</v>
      </c>
      <c r="J162" s="176" t="s">
        <v>13</v>
      </c>
      <c r="K162" s="176" t="e">
        <f>IF((((inputs!$P$13/(inputs!E160/MAX('Max rate concentrations'!K$3:K$368)))^(1/inputs!$O$13))-1)/inputs!$N$13&lt;0, 0, IF((((inputs!$P$13/(inputs!E160/MAX('Max rate concentrations'!K$3:K$368)))^(1/inputs!$O$13))-1)/inputs!$N$13&gt;inputs!$I$17, inputs!$I$17, (((inputs!$P$13/(inputs!E160/MAX('Max rate concentrations'!K$3:K$368)))^(1/inputs!$O$13))-1)/inputs!$N$13))</f>
        <v>#VALUE!</v>
      </c>
      <c r="L162" s="176" t="s">
        <v>13</v>
      </c>
      <c r="M162" s="176" t="s">
        <v>13</v>
      </c>
      <c r="N162" s="176" t="e">
        <f>IF((((inputs!$P$13/(inputs!E173/MAX('Max rate concentrations'!N$3:N$368)))^(1/inputs!$O$13))-1)/inputs!$N$13&lt;0, 0, IF((((inputs!$P$13/(inputs!E173/MAX('Max rate concentrations'!N$3:N$368)))^(1/inputs!$O$13))-1)/inputs!$N$13&gt;inputs!$I$17, inputs!$I$17, (((inputs!$P$13/(inputs!E173/MAX('Max rate concentrations'!N$3:N$368)))^(1/inputs!$O$13))-1)/inputs!$N$13))</f>
        <v>#VALUE!</v>
      </c>
    </row>
    <row r="163" spans="1:14" x14ac:dyDescent="0.3">
      <c r="A163" s="41"/>
      <c r="B163" s="22" t="s">
        <v>66</v>
      </c>
      <c r="C163" s="22" t="s">
        <v>88</v>
      </c>
      <c r="D163" s="176" t="e">
        <f>IF((((inputs!$P$13/(inputs!E161/MAX('Max rate concentrations'!D$3:D$368)))^(1/inputs!$O$13))-1)/inputs!$N$13&lt;0, 0, IF((((inputs!$P$13/(inputs!E161/MAX('Max rate concentrations'!D$3:D$368)))^(1/inputs!$O$13))-1)/inputs!$N$13&gt;inputs!$I$17, inputs!$I$17, (((inputs!$P$13/(inputs!E161/MAX('Max rate concentrations'!D$3:D$368)))^(1/inputs!$O$13))-1)/inputs!$N$13))</f>
        <v>#VALUE!</v>
      </c>
      <c r="E163" s="176" t="e">
        <f>IF((((inputs!$P$13/(inputs!E161/MAX('Max rate concentrations'!E$3:E$368)))^(1/inputs!$O$13))-1)/inputs!$N$13&lt;0, 0, IF((((inputs!$P$13/(inputs!E161/MAX('Max rate concentrations'!E$3:E$368)))^(1/inputs!$O$13))-1)/inputs!$N$13&gt;inputs!$I$17, inputs!$I$17, (((inputs!$P$13/(inputs!E161/MAX('Max rate concentrations'!E$3:E$368)))^(1/inputs!$O$13))-1)/inputs!$N$13))</f>
        <v>#VALUE!</v>
      </c>
      <c r="F163" s="176" t="e">
        <f>IF((((inputs!$P$13/(inputs!E161/MAX('Max rate concentrations'!F$3:F$368)))^(1/inputs!$O$13))-1)/inputs!$N$13&lt;0, 0, IF((((inputs!$P$13/(inputs!E161/MAX('Max rate concentrations'!F$3:F$368)))^(1/inputs!$O$13))-1)/inputs!$N$13&gt;inputs!$I$17, inputs!$I$17, (((inputs!$P$13/(inputs!E161/MAX('Max rate concentrations'!F$3:F$368)))^(1/inputs!$O$13))-1)/inputs!$N$13))</f>
        <v>#VALUE!</v>
      </c>
      <c r="G163" s="176" t="e">
        <f>IF((((inputs!$P$13/(inputs!E161/MAX('Max rate concentrations'!G$3:G$368)))^(1/inputs!$O$13))-1)/inputs!$N$13&lt;0, 0, IF((((inputs!$P$13/(inputs!E161/MAX('Max rate concentrations'!G$3:G$368)))^(1/inputs!$O$13))-1)/inputs!$N$13&gt;inputs!$I$17, inputs!$I$17, (((inputs!$P$13/(inputs!E161/MAX('Max rate concentrations'!G$3:G$368)))^(1/inputs!$O$13))-1)/inputs!$N$13))</f>
        <v>#VALUE!</v>
      </c>
      <c r="H163" s="176" t="e">
        <f>IF((((inputs!$P$13/(inputs!E148/MAX('Max rate concentrations'!H$3:H$368)))^(1/inputs!$O$13))-1)/inputs!$N$13&lt;0, 0, IF((((inputs!$P$13/(inputs!E148/MAX('Max rate concentrations'!H$3:H$368)))^(1/inputs!$O$13))-1)/inputs!$N$13&gt;inputs!$I$17, inputs!$I$17, (((inputs!$P$13/(inputs!E148/MAX('Max rate concentrations'!H$3:H$368)))^(1/inputs!$O$13))-1)/inputs!$N$13))</f>
        <v>#VALUE!</v>
      </c>
      <c r="I163" s="176" t="e">
        <f>IF((((inputs!$P$13/(inputs!E148/MAX('Max rate concentrations'!I$3:I$368)))^(1/inputs!$O$13))-1)/inputs!$N$13&lt;0, 0, IF((((inputs!$P$13/(inputs!E148/MAX('Max rate concentrations'!I$3:I$368)))^(1/inputs!$O$13))-1)/inputs!$N$13&gt;inputs!$I$17, inputs!$I$17, (((inputs!$P$13/(inputs!E148/MAX('Max rate concentrations'!I$3:I$368)))^(1/inputs!$O$13))-1)/inputs!$N$13))</f>
        <v>#VALUE!</v>
      </c>
      <c r="J163" s="176" t="s">
        <v>13</v>
      </c>
      <c r="K163" s="176" t="e">
        <f>IF((((inputs!$P$13/(inputs!E161/MAX('Max rate concentrations'!K$3:K$368)))^(1/inputs!$O$13))-1)/inputs!$N$13&lt;0, 0, IF((((inputs!$P$13/(inputs!E161/MAX('Max rate concentrations'!K$3:K$368)))^(1/inputs!$O$13))-1)/inputs!$N$13&gt;inputs!$I$17, inputs!$I$17, (((inputs!$P$13/(inputs!E161/MAX('Max rate concentrations'!K$3:K$368)))^(1/inputs!$O$13))-1)/inputs!$N$13))</f>
        <v>#VALUE!</v>
      </c>
      <c r="L163" s="176" t="s">
        <v>13</v>
      </c>
      <c r="M163" s="176" t="s">
        <v>13</v>
      </c>
      <c r="N163" s="176">
        <f>IF((((inputs!$P$13/(inputs!E174/MAX('Max rate concentrations'!N$3:N$368)))^(1/inputs!$O$13))-1)/inputs!$N$13&lt;0, 0, IF((((inputs!$P$13/(inputs!E174/MAX('Max rate concentrations'!N$3:N$368)))^(1/inputs!$O$13))-1)/inputs!$N$13&gt;inputs!$I$17, inputs!$I$17, (((inputs!$P$13/(inputs!E174/MAX('Max rate concentrations'!N$3:N$368)))^(1/inputs!$O$13))-1)/inputs!$N$13))</f>
        <v>14.099068266103297</v>
      </c>
    </row>
    <row r="164" spans="1:14" x14ac:dyDescent="0.3">
      <c r="A164" s="39"/>
      <c r="B164" s="22" t="s">
        <v>64</v>
      </c>
      <c r="C164" s="22" t="s">
        <v>72</v>
      </c>
      <c r="D164" s="176">
        <f>IF((((inputs!$P$13/(inputs!E162/MAX('Max rate concentrations'!D$3:D$368)))^(1/inputs!$O$13))-1)/inputs!$N$13&lt;0, 0, IF((((inputs!$P$13/(inputs!E162/MAX('Max rate concentrations'!D$3:D$368)))^(1/inputs!$O$13))-1)/inputs!$N$13&gt;inputs!$I$17, inputs!$I$17, (((inputs!$P$13/(inputs!E162/MAX('Max rate concentrations'!D$3:D$368)))^(1/inputs!$O$13))-1)/inputs!$N$13))</f>
        <v>168.20181131920415</v>
      </c>
      <c r="E164" s="176">
        <f>IF((((inputs!$P$13/(inputs!E162/MAX('Max rate concentrations'!E$3:E$368)))^(1/inputs!$O$13))-1)/inputs!$N$13&lt;0, 0, IF((((inputs!$P$13/(inputs!E162/MAX('Max rate concentrations'!E$3:E$368)))^(1/inputs!$O$13))-1)/inputs!$N$13&gt;inputs!$I$17, inputs!$I$17, (((inputs!$P$13/(inputs!E162/MAX('Max rate concentrations'!E$3:E$368)))^(1/inputs!$O$13))-1)/inputs!$N$13))</f>
        <v>87.057411156007703</v>
      </c>
      <c r="F164" s="176">
        <f>IF((((inputs!$P$13/(inputs!E162/MAX('Max rate concentrations'!F$3:F$368)))^(1/inputs!$O$13))-1)/inputs!$N$13&lt;0, 0, IF((((inputs!$P$13/(inputs!E162/MAX('Max rate concentrations'!F$3:F$368)))^(1/inputs!$O$13))-1)/inputs!$N$13&gt;inputs!$I$17, inputs!$I$17, (((inputs!$P$13/(inputs!E162/MAX('Max rate concentrations'!F$3:F$368)))^(1/inputs!$O$13))-1)/inputs!$N$13))</f>
        <v>103.67917811115855</v>
      </c>
      <c r="G164" s="176">
        <f>IF((((inputs!$P$13/(inputs!E162/MAX('Max rate concentrations'!G$3:G$368)))^(1/inputs!$O$13))-1)/inputs!$N$13&lt;0, 0, IF((((inputs!$P$13/(inputs!E162/MAX('Max rate concentrations'!G$3:G$368)))^(1/inputs!$O$13))-1)/inputs!$N$13&gt;inputs!$I$17, inputs!$I$17, (((inputs!$P$13/(inputs!E162/MAX('Max rate concentrations'!G$3:G$368)))^(1/inputs!$O$13))-1)/inputs!$N$13))</f>
        <v>13.196773233291315</v>
      </c>
      <c r="H164" s="176">
        <f>IF((((inputs!$P$13/(inputs!E149/MAX('Max rate concentrations'!H$3:H$368)))^(1/inputs!$O$13))-1)/inputs!$N$13&lt;0, 0, IF((((inputs!$P$13/(inputs!E149/MAX('Max rate concentrations'!H$3:H$368)))^(1/inputs!$O$13))-1)/inputs!$N$13&gt;inputs!$I$17, inputs!$I$17, (((inputs!$P$13/(inputs!E149/MAX('Max rate concentrations'!H$3:H$368)))^(1/inputs!$O$13))-1)/inputs!$N$13))</f>
        <v>1000</v>
      </c>
      <c r="I164" s="176">
        <f>IF((((inputs!$P$13/(inputs!E149/MAX('Max rate concentrations'!I$3:I$368)))^(1/inputs!$O$13))-1)/inputs!$N$13&lt;0, 0, IF((((inputs!$P$13/(inputs!E149/MAX('Max rate concentrations'!I$3:I$368)))^(1/inputs!$O$13))-1)/inputs!$N$13&gt;inputs!$I$17, inputs!$I$17, (((inputs!$P$13/(inputs!E149/MAX('Max rate concentrations'!I$3:I$368)))^(1/inputs!$O$13))-1)/inputs!$N$13))</f>
        <v>659.30440874790395</v>
      </c>
      <c r="J164" s="176" t="s">
        <v>13</v>
      </c>
      <c r="K164" s="176">
        <f>IF((((inputs!$P$13/(inputs!E162/MAX('Max rate concentrations'!K$3:K$368)))^(1/inputs!$O$13))-1)/inputs!$N$13&lt;0, 0, IF((((inputs!$P$13/(inputs!E162/MAX('Max rate concentrations'!K$3:K$368)))^(1/inputs!$O$13))-1)/inputs!$N$13&gt;inputs!$I$17, inputs!$I$17, (((inputs!$P$13/(inputs!E162/MAX('Max rate concentrations'!K$3:K$368)))^(1/inputs!$O$13))-1)/inputs!$N$13))</f>
        <v>32.730160665516237</v>
      </c>
      <c r="L164" s="176" t="s">
        <v>13</v>
      </c>
      <c r="M164" s="176" t="s">
        <v>13</v>
      </c>
      <c r="N164" s="176">
        <f>IF((((inputs!$P$13/(inputs!E175/MAX('Max rate concentrations'!N$3:N$368)))^(1/inputs!$O$13))-1)/inputs!$N$13&lt;0, 0, IF((((inputs!$P$13/(inputs!E175/MAX('Max rate concentrations'!N$3:N$368)))^(1/inputs!$O$13))-1)/inputs!$N$13&gt;inputs!$I$17, inputs!$I$17, (((inputs!$P$13/(inputs!E175/MAX('Max rate concentrations'!N$3:N$368)))^(1/inputs!$O$13))-1)/inputs!$N$13))</f>
        <v>6.9758561768241192</v>
      </c>
    </row>
    <row r="165" spans="1:14" x14ac:dyDescent="0.3">
      <c r="A165" s="62"/>
      <c r="B165" s="23"/>
      <c r="C165" s="23"/>
    </row>
    <row r="166" spans="1:14" x14ac:dyDescent="0.3">
      <c r="A166" s="62"/>
      <c r="B166" s="23"/>
      <c r="C166" s="23"/>
    </row>
    <row r="167" spans="1:14" x14ac:dyDescent="0.3">
      <c r="A167" s="62"/>
      <c r="B167" s="23"/>
      <c r="C167" s="23"/>
    </row>
    <row r="168" spans="1:14" x14ac:dyDescent="0.3">
      <c r="A168" s="62"/>
      <c r="B168" s="23"/>
      <c r="C168" s="23"/>
    </row>
    <row r="169" spans="1:14" x14ac:dyDescent="0.3">
      <c r="A169" s="62"/>
      <c r="B169" s="23"/>
      <c r="C169" s="23"/>
    </row>
    <row r="170" spans="1:14" x14ac:dyDescent="0.3">
      <c r="A170" s="62"/>
      <c r="B170" s="23"/>
      <c r="C170" s="23"/>
    </row>
    <row r="171" spans="1:14" x14ac:dyDescent="0.3">
      <c r="A171" s="62"/>
      <c r="B171" s="23"/>
      <c r="C171" s="23"/>
    </row>
  </sheetData>
  <sheetProtection algorithmName="SHA-512" hashValue="4Ytq7Q11pe0XEfT1Djne2mByW6fWyS6R+W3tLT5bgrbd3kA1vKclXOgTywEw6TxaT2qP3enJ6grPfiGbcR1qZw==" saltValue="UHPyFtczSKEgYJIqyTomgQ==" spinCount="100000" sheet="1" objects="1" scenarios="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RH820"/>
  <sheetViews>
    <sheetView zoomScale="90" zoomScaleNormal="90" workbookViewId="0">
      <pane xSplit="2" ySplit="1" topLeftCell="X802" activePane="bottomRight" state="frozen"/>
      <selection pane="topRight" activeCell="C1" sqref="C1"/>
      <selection pane="bottomLeft" activeCell="A2" sqref="A2"/>
      <selection pane="bottomRight" activeCell="V448" sqref="V448"/>
    </sheetView>
  </sheetViews>
  <sheetFormatPr defaultColWidth="9.109375" defaultRowHeight="13.2" x14ac:dyDescent="0.25"/>
  <cols>
    <col min="1" max="1" width="30.88671875" style="121" customWidth="1"/>
    <col min="2" max="2" width="37.44140625" style="121" customWidth="1"/>
    <col min="3" max="3" width="13.44140625" style="42" customWidth="1"/>
    <col min="4" max="4" width="19.33203125" style="122" customWidth="1"/>
    <col min="5" max="5" width="12.109375" style="42" customWidth="1"/>
    <col min="6" max="6" width="10.109375" style="42" customWidth="1"/>
    <col min="7" max="7" width="15" style="42" customWidth="1"/>
    <col min="8" max="8" width="10.6640625" style="42" customWidth="1"/>
    <col min="9" max="9" width="8.44140625" style="58" customWidth="1"/>
    <col min="10" max="10" width="8" style="58" customWidth="1"/>
    <col min="11" max="12" width="13.88671875" style="42" customWidth="1"/>
    <col min="13" max="13" width="13.33203125" style="42" customWidth="1"/>
    <col min="14" max="14" width="8.6640625" style="42" customWidth="1"/>
    <col min="15" max="16" width="8.109375" style="42" customWidth="1"/>
    <col min="17" max="17" width="8.33203125" style="42" customWidth="1"/>
    <col min="18" max="18" width="9.88671875" style="42" customWidth="1"/>
    <col min="19" max="19" width="9.6640625" style="42" customWidth="1"/>
    <col min="20" max="21" width="15.44140625" style="42" customWidth="1"/>
    <col min="22" max="23" width="11" style="42" customWidth="1"/>
    <col min="24" max="24" width="11.33203125" style="42" customWidth="1"/>
    <col min="25" max="25" width="11.5546875" style="42" bestFit="1" customWidth="1"/>
    <col min="26" max="26" width="14.5546875" style="42" customWidth="1"/>
    <col min="27" max="27" width="17.109375" style="42" customWidth="1"/>
    <col min="28" max="16384" width="9.109375" style="42"/>
  </cols>
  <sheetData>
    <row r="1" spans="1:476" ht="63" customHeight="1" x14ac:dyDescent="0.25">
      <c r="A1" s="108" t="s">
        <v>117</v>
      </c>
      <c r="B1" s="109" t="s">
        <v>118</v>
      </c>
      <c r="C1" s="110" t="s">
        <v>57</v>
      </c>
      <c r="D1" s="111" t="s">
        <v>119</v>
      </c>
      <c r="E1" s="14" t="s">
        <v>120</v>
      </c>
      <c r="F1" s="14" t="s">
        <v>123</v>
      </c>
      <c r="G1" s="110" t="s">
        <v>121</v>
      </c>
      <c r="H1" s="110" t="s">
        <v>122</v>
      </c>
      <c r="I1" s="66" t="s">
        <v>742</v>
      </c>
      <c r="J1" s="66" t="s">
        <v>745</v>
      </c>
      <c r="K1" s="66" t="s">
        <v>743</v>
      </c>
      <c r="L1" s="66" t="s">
        <v>744</v>
      </c>
      <c r="M1" s="57" t="s">
        <v>124</v>
      </c>
      <c r="N1" s="57" t="s">
        <v>125</v>
      </c>
      <c r="O1" s="67" t="s">
        <v>746</v>
      </c>
      <c r="P1" s="67" t="s">
        <v>747</v>
      </c>
      <c r="Q1" s="51" t="s">
        <v>126</v>
      </c>
      <c r="R1" s="51" t="s">
        <v>127</v>
      </c>
      <c r="S1" s="51" t="s">
        <v>128</v>
      </c>
      <c r="T1" s="57" t="s">
        <v>129</v>
      </c>
      <c r="U1" s="57" t="s">
        <v>130</v>
      </c>
      <c r="V1" s="51" t="s">
        <v>131</v>
      </c>
      <c r="W1" s="51" t="s">
        <v>71</v>
      </c>
      <c r="X1" s="51" t="s">
        <v>132</v>
      </c>
      <c r="Y1" s="51" t="s">
        <v>75</v>
      </c>
      <c r="Z1" s="57" t="s">
        <v>133</v>
      </c>
      <c r="AA1" s="57" t="s">
        <v>134</v>
      </c>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07"/>
      <c r="CA1" s="107"/>
      <c r="CB1" s="107"/>
      <c r="CC1" s="107"/>
      <c r="CD1" s="107"/>
      <c r="CE1" s="107"/>
      <c r="CF1" s="107"/>
      <c r="CG1" s="107"/>
      <c r="CH1" s="107"/>
      <c r="CI1" s="107"/>
      <c r="CJ1" s="107"/>
      <c r="CK1" s="107"/>
      <c r="CL1" s="107"/>
      <c r="CM1" s="107"/>
      <c r="CN1" s="107"/>
      <c r="CO1" s="107"/>
      <c r="CP1" s="107"/>
      <c r="CQ1" s="107"/>
      <c r="CR1" s="107"/>
      <c r="CS1" s="107"/>
      <c r="CT1" s="107"/>
      <c r="CU1" s="107"/>
      <c r="CV1" s="107"/>
      <c r="CW1" s="107"/>
      <c r="CX1" s="107"/>
      <c r="CY1" s="107"/>
      <c r="CZ1" s="107"/>
      <c r="DA1" s="107"/>
      <c r="DB1" s="107"/>
      <c r="DC1" s="107"/>
      <c r="DD1" s="107"/>
      <c r="DE1" s="107"/>
      <c r="DF1" s="107"/>
      <c r="DG1" s="107"/>
      <c r="DH1" s="107"/>
      <c r="DI1" s="107"/>
      <c r="DJ1" s="107"/>
      <c r="DK1" s="107"/>
      <c r="DL1" s="107"/>
      <c r="DM1" s="107"/>
      <c r="DN1" s="107"/>
      <c r="DO1" s="107"/>
      <c r="DP1" s="107"/>
      <c r="DQ1" s="107"/>
      <c r="DR1" s="107"/>
      <c r="DS1" s="107"/>
      <c r="DT1" s="107"/>
      <c r="DU1" s="107"/>
      <c r="DV1" s="107"/>
      <c r="DW1" s="107"/>
      <c r="DX1" s="107"/>
      <c r="DY1" s="107"/>
      <c r="DZ1" s="107"/>
      <c r="EA1" s="107"/>
      <c r="EB1" s="107"/>
      <c r="EC1" s="107"/>
      <c r="ED1" s="107"/>
      <c r="EE1" s="107"/>
      <c r="EF1" s="107"/>
      <c r="EG1" s="107"/>
      <c r="EH1" s="107"/>
      <c r="EI1" s="107"/>
      <c r="EJ1" s="107"/>
      <c r="EK1" s="107"/>
      <c r="EL1" s="107"/>
      <c r="EM1" s="107"/>
      <c r="EN1" s="107"/>
      <c r="EO1" s="107"/>
      <c r="EP1" s="107"/>
      <c r="EQ1" s="107"/>
      <c r="ER1" s="107"/>
      <c r="ES1" s="107"/>
      <c r="ET1" s="107"/>
      <c r="EU1" s="107"/>
      <c r="EV1" s="107"/>
      <c r="EW1" s="107"/>
      <c r="EX1" s="107"/>
      <c r="EY1" s="107"/>
      <c r="EZ1" s="107"/>
      <c r="FA1" s="107"/>
      <c r="FB1" s="107"/>
      <c r="FC1" s="107"/>
      <c r="FD1" s="107"/>
      <c r="FE1" s="107"/>
      <c r="FF1" s="107"/>
      <c r="FG1" s="107"/>
      <c r="FH1" s="107"/>
      <c r="FI1" s="107"/>
      <c r="FJ1" s="107"/>
      <c r="FK1" s="107"/>
      <c r="FL1" s="107"/>
      <c r="FM1" s="107"/>
      <c r="FN1" s="107"/>
      <c r="FO1" s="107"/>
      <c r="FP1" s="107"/>
      <c r="FQ1" s="107"/>
      <c r="FR1" s="107"/>
      <c r="FS1" s="107"/>
      <c r="FT1" s="107"/>
      <c r="FU1" s="107"/>
      <c r="FV1" s="107"/>
      <c r="FW1" s="107"/>
      <c r="FX1" s="107"/>
      <c r="FY1" s="107"/>
      <c r="FZ1" s="107"/>
      <c r="GA1" s="107"/>
      <c r="GB1" s="107"/>
      <c r="GC1" s="107"/>
      <c r="GD1" s="107"/>
      <c r="GE1" s="107"/>
      <c r="GF1" s="107"/>
      <c r="GG1" s="107"/>
      <c r="GH1" s="107"/>
      <c r="GI1" s="107"/>
      <c r="GJ1" s="107"/>
      <c r="GK1" s="107"/>
      <c r="GL1" s="107"/>
      <c r="GM1" s="107"/>
      <c r="GN1" s="107"/>
      <c r="GO1" s="107"/>
      <c r="GP1" s="107"/>
      <c r="GQ1" s="107"/>
      <c r="GR1" s="107"/>
      <c r="GS1" s="107"/>
      <c r="GT1" s="107"/>
      <c r="GU1" s="107"/>
      <c r="GV1" s="107"/>
      <c r="GW1" s="107"/>
      <c r="GX1" s="107"/>
      <c r="GY1" s="107"/>
      <c r="GZ1" s="107"/>
      <c r="HA1" s="107"/>
      <c r="HB1" s="107"/>
      <c r="HC1" s="107"/>
      <c r="HD1" s="107"/>
      <c r="HE1" s="107"/>
      <c r="HF1" s="107"/>
      <c r="HG1" s="107"/>
      <c r="HH1" s="107"/>
      <c r="HI1" s="107"/>
      <c r="HJ1" s="107"/>
      <c r="HK1" s="107"/>
      <c r="HL1" s="107"/>
      <c r="HM1" s="107"/>
      <c r="HN1" s="107"/>
      <c r="HO1" s="107"/>
      <c r="HP1" s="107"/>
      <c r="HQ1" s="107"/>
      <c r="HR1" s="107"/>
      <c r="HS1" s="107"/>
      <c r="HT1" s="107"/>
      <c r="HU1" s="107"/>
      <c r="HV1" s="107"/>
      <c r="HW1" s="107"/>
      <c r="HX1" s="107"/>
      <c r="HY1" s="107"/>
      <c r="HZ1" s="107"/>
      <c r="IA1" s="107"/>
      <c r="IB1" s="107"/>
      <c r="IC1" s="107"/>
      <c r="ID1" s="107"/>
      <c r="IE1" s="107"/>
      <c r="IF1" s="107"/>
      <c r="IG1" s="107"/>
      <c r="IH1" s="107"/>
      <c r="II1" s="107"/>
      <c r="IJ1" s="107"/>
      <c r="IK1" s="107"/>
      <c r="IL1" s="107"/>
      <c r="IM1" s="107"/>
      <c r="IN1" s="107"/>
      <c r="IO1" s="107"/>
      <c r="IP1" s="107"/>
      <c r="IQ1" s="107"/>
      <c r="IR1" s="107"/>
      <c r="IS1" s="107"/>
      <c r="IT1" s="107"/>
      <c r="IU1" s="107"/>
      <c r="IV1" s="107"/>
      <c r="IW1" s="107"/>
      <c r="IX1" s="107"/>
      <c r="IY1" s="107"/>
      <c r="IZ1" s="107"/>
      <c r="JA1" s="107"/>
      <c r="JB1" s="107"/>
      <c r="JC1" s="107"/>
      <c r="JD1" s="107"/>
      <c r="JE1" s="107"/>
      <c r="JF1" s="107"/>
      <c r="JG1" s="107"/>
      <c r="JH1" s="107"/>
      <c r="JI1" s="107"/>
      <c r="JJ1" s="107"/>
      <c r="JK1" s="107"/>
      <c r="JL1" s="107"/>
      <c r="JM1" s="107"/>
      <c r="JN1" s="107"/>
      <c r="JO1" s="107"/>
      <c r="JP1" s="107"/>
      <c r="JQ1" s="107"/>
      <c r="JR1" s="107"/>
      <c r="JS1" s="107"/>
      <c r="JT1" s="107"/>
      <c r="JU1" s="107"/>
      <c r="JV1" s="107"/>
      <c r="JW1" s="107"/>
      <c r="JX1" s="107"/>
      <c r="JY1" s="107"/>
      <c r="JZ1" s="107"/>
      <c r="KA1" s="107"/>
      <c r="KB1" s="107"/>
      <c r="KC1" s="107"/>
      <c r="KD1" s="107"/>
      <c r="KE1" s="107"/>
      <c r="KF1" s="107"/>
      <c r="KG1" s="107"/>
      <c r="KH1" s="107"/>
      <c r="KI1" s="107"/>
      <c r="KJ1" s="107"/>
      <c r="KK1" s="107"/>
      <c r="KL1" s="107"/>
      <c r="KM1" s="107"/>
      <c r="KN1" s="107"/>
      <c r="KO1" s="107"/>
      <c r="KP1" s="107"/>
      <c r="KQ1" s="107"/>
      <c r="KR1" s="107"/>
      <c r="KS1" s="107"/>
      <c r="KT1" s="107"/>
      <c r="KU1" s="107"/>
      <c r="KV1" s="107"/>
      <c r="KW1" s="107"/>
      <c r="KX1" s="107"/>
      <c r="KY1" s="107"/>
      <c r="KZ1" s="107"/>
      <c r="LA1" s="107"/>
      <c r="LB1" s="107"/>
      <c r="LC1" s="107"/>
      <c r="LD1" s="107"/>
      <c r="LE1" s="107"/>
      <c r="LF1" s="107"/>
      <c r="LG1" s="107"/>
      <c r="LH1" s="107"/>
      <c r="LI1" s="107"/>
      <c r="LJ1" s="107"/>
      <c r="LK1" s="107"/>
      <c r="LL1" s="107"/>
      <c r="LM1" s="107"/>
      <c r="LN1" s="107"/>
      <c r="LO1" s="107"/>
      <c r="LP1" s="107"/>
      <c r="LQ1" s="107"/>
      <c r="LR1" s="107"/>
      <c r="LS1" s="107"/>
      <c r="LT1" s="107"/>
      <c r="LU1" s="107"/>
      <c r="LV1" s="107"/>
      <c r="LW1" s="107"/>
      <c r="LX1" s="107"/>
      <c r="LY1" s="107"/>
      <c r="LZ1" s="107"/>
      <c r="MA1" s="107"/>
      <c r="MB1" s="107"/>
      <c r="MC1" s="107"/>
      <c r="MD1" s="107"/>
      <c r="ME1" s="107"/>
      <c r="MF1" s="107"/>
      <c r="MG1" s="107"/>
      <c r="MH1" s="107"/>
      <c r="MI1" s="107"/>
      <c r="MJ1" s="107"/>
      <c r="MK1" s="107"/>
      <c r="ML1" s="107"/>
      <c r="MM1" s="107"/>
      <c r="MN1" s="107"/>
      <c r="MO1" s="107"/>
      <c r="MP1" s="107"/>
      <c r="MQ1" s="107"/>
      <c r="MR1" s="107"/>
      <c r="MS1" s="107"/>
      <c r="MT1" s="107"/>
      <c r="MU1" s="107"/>
      <c r="MV1" s="107"/>
      <c r="MW1" s="107"/>
      <c r="MX1" s="107"/>
      <c r="MY1" s="107"/>
      <c r="MZ1" s="107"/>
      <c r="NA1" s="107"/>
      <c r="NB1" s="107"/>
      <c r="NC1" s="107"/>
      <c r="ND1" s="107"/>
      <c r="NE1" s="107"/>
      <c r="NF1" s="107"/>
      <c r="NG1" s="107"/>
      <c r="NH1" s="107"/>
      <c r="NI1" s="107"/>
      <c r="NJ1" s="107"/>
      <c r="NK1" s="107"/>
      <c r="NL1" s="107"/>
      <c r="NM1" s="107"/>
      <c r="NN1" s="107"/>
      <c r="NO1" s="107"/>
      <c r="NP1" s="107"/>
      <c r="NQ1" s="107"/>
      <c r="NR1" s="107"/>
      <c r="NS1" s="107"/>
      <c r="NT1" s="107"/>
      <c r="NU1" s="107"/>
      <c r="NV1" s="107"/>
      <c r="NW1" s="107"/>
      <c r="NX1" s="107"/>
      <c r="NY1" s="107"/>
      <c r="NZ1" s="107"/>
      <c r="OA1" s="107"/>
      <c r="OB1" s="107"/>
      <c r="OC1" s="107"/>
      <c r="OD1" s="107"/>
      <c r="OE1" s="107"/>
      <c r="OF1" s="107"/>
      <c r="OG1" s="107"/>
      <c r="OH1" s="107"/>
      <c r="OI1" s="107"/>
      <c r="OJ1" s="107"/>
      <c r="OK1" s="107"/>
      <c r="OL1" s="107"/>
      <c r="OM1" s="107"/>
      <c r="ON1" s="107"/>
      <c r="OO1" s="107"/>
      <c r="OP1" s="107"/>
      <c r="OQ1" s="107"/>
      <c r="OR1" s="107"/>
      <c r="OS1" s="107"/>
      <c r="OT1" s="107"/>
      <c r="OU1" s="107"/>
      <c r="OV1" s="107"/>
      <c r="OW1" s="107"/>
      <c r="OX1" s="107"/>
      <c r="OY1" s="107"/>
      <c r="OZ1" s="107"/>
      <c r="PA1" s="107"/>
      <c r="PB1" s="107"/>
      <c r="PC1" s="107"/>
      <c r="PD1" s="107"/>
      <c r="PE1" s="107"/>
      <c r="PF1" s="107"/>
      <c r="PG1" s="107"/>
      <c r="PH1" s="107"/>
      <c r="PI1" s="107"/>
      <c r="PJ1" s="107"/>
      <c r="PK1" s="107"/>
      <c r="PL1" s="107"/>
      <c r="PM1" s="107"/>
      <c r="PN1" s="107"/>
      <c r="PO1" s="107"/>
      <c r="PP1" s="107"/>
      <c r="PQ1" s="107"/>
      <c r="PR1" s="107"/>
      <c r="PS1" s="107"/>
      <c r="PT1" s="107"/>
      <c r="PU1" s="107"/>
      <c r="PV1" s="107"/>
      <c r="PW1" s="107"/>
      <c r="PX1" s="107"/>
      <c r="PY1" s="107"/>
      <c r="PZ1" s="107"/>
      <c r="QA1" s="107"/>
      <c r="QB1" s="107"/>
      <c r="QC1" s="107"/>
      <c r="QD1" s="107"/>
      <c r="QE1" s="107"/>
      <c r="QF1" s="107"/>
      <c r="QG1" s="107"/>
      <c r="QH1" s="107"/>
      <c r="QI1" s="107"/>
      <c r="QJ1" s="107"/>
      <c r="QK1" s="107"/>
      <c r="QL1" s="107"/>
      <c r="QM1" s="107"/>
      <c r="QN1" s="107"/>
      <c r="QO1" s="107"/>
      <c r="QP1" s="107"/>
      <c r="QQ1" s="107"/>
      <c r="QR1" s="107"/>
      <c r="QS1" s="107"/>
      <c r="QT1" s="107"/>
      <c r="QU1" s="107"/>
      <c r="QV1" s="107"/>
      <c r="QW1" s="107"/>
      <c r="QX1" s="107"/>
      <c r="QY1" s="107"/>
      <c r="QZ1" s="107"/>
      <c r="RA1" s="107"/>
      <c r="RB1" s="107"/>
      <c r="RC1" s="107"/>
      <c r="RD1" s="107"/>
      <c r="RE1" s="107"/>
      <c r="RF1" s="107"/>
      <c r="RG1" s="107"/>
      <c r="RH1" s="107"/>
    </row>
    <row r="2" spans="1:476" x14ac:dyDescent="0.25">
      <c r="A2" s="103" t="s">
        <v>671</v>
      </c>
      <c r="B2" s="20" t="s">
        <v>672</v>
      </c>
      <c r="C2" s="21" t="s">
        <v>702</v>
      </c>
      <c r="D2" s="15" t="s">
        <v>704</v>
      </c>
      <c r="E2" s="15">
        <v>9694</v>
      </c>
      <c r="F2" s="21">
        <v>1.9</v>
      </c>
      <c r="G2" s="21" t="s">
        <v>142</v>
      </c>
      <c r="H2" s="21">
        <v>0.69</v>
      </c>
      <c r="I2" s="48">
        <f>MAX('Min rate concentrations'!$H$3:$H$368)</f>
        <v>47</v>
      </c>
      <c r="J2" s="48">
        <f>MAX('Min rate concentrations'!AA:AA)</f>
        <v>32.5</v>
      </c>
      <c r="K2" s="59">
        <f t="shared" ref="K2:K33" si="0">(((0.013*F2^0.773)/(1-H2)))*I2/F2</f>
        <v>1.703736583877987</v>
      </c>
      <c r="L2" s="59">
        <f>(((0.013*F2^0.773)/(1-H2)))*J2/F2</f>
        <v>1.1781157228943528</v>
      </c>
      <c r="M2" s="59">
        <f>IF((((0.065*F2^0.726)/3.7-(0.301*F2^0.751)/(1-H2)*H2)*(MAX('Min rate concentrations'!$P$3:$P$368)))/F2&gt;0, (((0.065*F2^0.726)/3.7-(0.301*F2^0.751)/(1-H2)*H2)*(MAX('Min rate concentrations'!$P$3:$P$368)))/F2, 0)</f>
        <v>0</v>
      </c>
      <c r="N2" s="59">
        <f>IF((((0.065*F2^0.726)/3.7-(0.301*F2^0.751)/(1-H2)*H2)*(MAX('Min rate concentrations'!$Q$3:$Q$368)))/F2&gt;0, (((0.065*F2^0.726)/3.7-(0.301*F2^0.751)/(1-H2)*H2)*(MAX('Min rate concentrations'!$Q$3:$Q$368)))/F2, 0)</f>
        <v>0</v>
      </c>
      <c r="O2" s="59" t="s">
        <v>13</v>
      </c>
      <c r="P2" s="59" t="s">
        <v>13</v>
      </c>
      <c r="Q2" s="59">
        <f>(inputs!$C$7*11.2)*(1.131*F2^0.579)*0.5*1/F2</f>
        <v>2.4169372229025541</v>
      </c>
      <c r="R2" s="59">
        <f>(60*76.9*((F2/1000)^0.76)*3*24*(MAX('Min rate concentrations'!$R$3:$R$368))/F2)</f>
        <v>1.9193566002110949E-3</v>
      </c>
      <c r="S2" s="59">
        <f>(IF(inputs!$C$6="aerial",((0.025*0.112*inputs!$C$7/3.3)*(3*60*76.9*((F2/1000)^0.76))*MAX(inputs!$H$14:$H$16))/F2,((0.0083*0.112*inputs!$C$7/1)*(3*60*76.9*((F2/1000)^0.76))*MAX(inputs!$H$14:$H$16))/F2))</f>
        <v>8.1044235787068215E-3</v>
      </c>
      <c r="T2" s="63">
        <f>IF((((inputs!$P$12/(V2/MAX(K2:S2)))^(1/inputs!$O$12))-1)/inputs!$N$12&lt;0, 0, IF((((inputs!$P$12/(V2/MAX(K2:S2)))^(1/inputs!$O$12))-1)/inputs!$N$12&gt;inputs!$H$17, inputs!$H$17, (((inputs!$P$12/(V2/MAX(K2:S2)))^(1/inputs!$O$12))-1)/inputs!$N$12))</f>
        <v>729.64625921179902</v>
      </c>
      <c r="U2" s="63">
        <f>IF((((inputs!$P$12/(X2/MAX(K2:S2)))^(1/inputs!$O$12))-1)/inputs!$N$12&lt;0, 0, IF((((inputs!$P$12/(X2/MAX(K2:S2)))^(1/inputs!$O$12))-1)/inputs!$N$12&gt;inputs!$H$17, inputs!$H$17, (((inputs!$P$12/(X2/MAX(K2:S2)))^(1/inputs!$O$12))-1)/inputs!$N$12))</f>
        <v>405.97484645309754</v>
      </c>
      <c r="V2" s="21">
        <f>inputs!$E$87*(F2/inputs!$F$87)^(1)</f>
        <v>3.6099999999999999E-4</v>
      </c>
      <c r="W2" s="21">
        <f>inputs!$E$90*(F2/inputs!$F$90)^(1)</f>
        <v>3.8000000000000002E-4</v>
      </c>
      <c r="X2" s="21">
        <f>inputs!$E$89*(F2/inputs!$F$89)^(1)</f>
        <v>1.4189873417721518E-3</v>
      </c>
      <c r="Y2" s="21" t="s">
        <v>13</v>
      </c>
      <c r="Z2" s="63">
        <f t="shared" ref="Z2:Z65" si="1">MAX(K2:S2)/V2</f>
        <v>6695.1169609489034</v>
      </c>
      <c r="AA2" s="63">
        <f t="shared" ref="AA2:AA65" si="2">MAX(K2:S2)/W2</f>
        <v>6360.361112901458</v>
      </c>
    </row>
    <row r="3" spans="1:476" x14ac:dyDescent="0.25">
      <c r="A3" s="103" t="s">
        <v>671</v>
      </c>
      <c r="B3" s="20" t="s">
        <v>672</v>
      </c>
      <c r="C3" s="21" t="s">
        <v>702</v>
      </c>
      <c r="D3" s="15" t="s">
        <v>704</v>
      </c>
      <c r="E3" s="15">
        <v>9694</v>
      </c>
      <c r="F3" s="21">
        <v>1.9</v>
      </c>
      <c r="G3" s="21" t="s">
        <v>146</v>
      </c>
      <c r="H3" s="20">
        <v>0.84</v>
      </c>
      <c r="I3" s="48">
        <f>MAX('Min rate concentrations'!$I$3:$I$368)</f>
        <v>9.4775690500787988</v>
      </c>
      <c r="J3" s="48" t="s">
        <v>13</v>
      </c>
      <c r="K3" s="59">
        <f t="shared" si="0"/>
        <v>0.66564589710414712</v>
      </c>
      <c r="L3" s="48" t="s">
        <v>13</v>
      </c>
      <c r="M3" s="59">
        <f>IF((((0.065*F3^0.726)/3.7-(0.301*F3^0.751)/(1-H3)*H3)*(MAX('Min rate concentrations'!$P$3:$P$368)))/F3&gt;0, (((0.065*F3^0.726)/3.7-(0.301*F3^0.751)/(1-H3)*H3)*(MAX('Min rate concentrations'!$P$3:$P$368)))/F3, 0)</f>
        <v>0</v>
      </c>
      <c r="N3" s="59">
        <f>IF((((0.065*F3^0.726)/3.7-(0.301*F3^0.751)/(1-H3)*H3)*(MAX('Min rate concentrations'!$Q$3:$Q$368)))/F3&gt;0, (((0.065*F3^0.726)/3.7-(0.301*F3^0.751)/(1-H3)*H3)*(MAX('Min rate concentrations'!$Q$3:$Q$368)))/F3, 0)</f>
        <v>0</v>
      </c>
      <c r="O3" s="59" t="s">
        <v>13</v>
      </c>
      <c r="P3" s="59" t="s">
        <v>13</v>
      </c>
      <c r="Q3" s="59">
        <f>(inputs!$C$7*11.2)*(1.131*F3^0.579)*0.5*1/F3</f>
        <v>2.4169372229025541</v>
      </c>
      <c r="R3" s="59">
        <f>(60*76.9*((F3/1000)^0.76)*3*24*(MAX('Min rate concentrations'!$R$3:$R$368))/F3)</f>
        <v>1.9193566002110949E-3</v>
      </c>
      <c r="S3" s="59">
        <f>(IF(inputs!$C$6="aerial",((0.025*0.112*inputs!$C$7/3.3)*(3*60*76.9*((F3/1000)^0.76))*MAX(inputs!$H$14:$H$16))/F3,((0.0083*0.112*inputs!$C$7/1)*(3*60*76.9*((F3/1000)^0.76))*MAX(inputs!$H$14:$H$16))/F3))</f>
        <v>8.1044235787068215E-3</v>
      </c>
      <c r="T3" s="63">
        <f>IF((((inputs!$P$12/(V3/MAX(K3:S3)))^(1/inputs!$O$12))-1)/inputs!$N$12&lt;0, 0, IF((((inputs!$P$12/(V3/MAX(K3:S3)))^(1/inputs!$O$12))-1)/inputs!$N$12&gt;inputs!$H$17, inputs!$H$17, (((inputs!$P$12/(V3/MAX(K3:S3)))^(1/inputs!$O$12))-1)/inputs!$N$12))</f>
        <v>729.64625921179902</v>
      </c>
      <c r="U3" s="63">
        <f>IF((((inputs!$P$12/(X3/MAX(K3:S3)))^(1/inputs!$O$12))-1)/inputs!$N$12&lt;0, 0, IF((((inputs!$P$12/(X3/MAX(K3:S3)))^(1/inputs!$O$12))-1)/inputs!$N$12&gt;inputs!$H$17, inputs!$H$17, (((inputs!$P$12/(X3/MAX(K3:S3)))^(1/inputs!$O$12))-1)/inputs!$N$12))</f>
        <v>405.97484645309754</v>
      </c>
      <c r="V3" s="21">
        <f>inputs!$E$87*(F3/inputs!$F$87)^(1)</f>
        <v>3.6099999999999999E-4</v>
      </c>
      <c r="W3" s="21">
        <f>inputs!$E$90*(F3/inputs!$F$90)^(1)</f>
        <v>3.8000000000000002E-4</v>
      </c>
      <c r="X3" s="21">
        <f>inputs!$E$89*(F3/inputs!$F$89)^(1)</f>
        <v>1.4189873417721518E-3</v>
      </c>
      <c r="Y3" s="21" t="s">
        <v>13</v>
      </c>
      <c r="Z3" s="63">
        <f t="shared" si="1"/>
        <v>6695.1169609489034</v>
      </c>
      <c r="AA3" s="63">
        <f t="shared" si="2"/>
        <v>6360.361112901458</v>
      </c>
    </row>
    <row r="4" spans="1:476" x14ac:dyDescent="0.25">
      <c r="A4" s="103" t="s">
        <v>657</v>
      </c>
      <c r="B4" s="20" t="s">
        <v>658</v>
      </c>
      <c r="C4" s="21" t="s">
        <v>702</v>
      </c>
      <c r="D4" s="15" t="s">
        <v>704</v>
      </c>
      <c r="E4" s="15">
        <v>204</v>
      </c>
      <c r="F4" s="21">
        <v>14</v>
      </c>
      <c r="G4" s="21" t="s">
        <v>142</v>
      </c>
      <c r="H4" s="21">
        <v>0.69</v>
      </c>
      <c r="I4" s="48">
        <f>MAX('Min rate concentrations'!$H$3:$H$368)</f>
        <v>47</v>
      </c>
      <c r="J4" s="48">
        <f>MAX('Min rate concentrations'!AA:AA)</f>
        <v>32.5</v>
      </c>
      <c r="K4" s="59">
        <f t="shared" si="0"/>
        <v>1.0827007866197562</v>
      </c>
      <c r="L4" s="59">
        <f t="shared" ref="L4:L16" si="3">(((0.013*F4^0.773)/(1-H4)))*J4/F4</f>
        <v>0.74867607585408658</v>
      </c>
      <c r="M4" s="59">
        <f>IF((((0.065*F4^0.726)/3.7-(0.301*F4^0.751)/(1-H4)*H4)*(MAX('Min rate concentrations'!$P$3:$P$368)))/F4&gt;0, (((0.065*F4^0.726)/3.7-(0.301*F4^0.751)/(1-H4)*H4)*(MAX('Min rate concentrations'!$P$3:$P$368)))/F4, 0)</f>
        <v>0</v>
      </c>
      <c r="N4" s="59">
        <f>IF((((0.065*F4^0.726)/3.7-(0.301*F4^0.751)/(1-H4)*H4)*(MAX('Min rate concentrations'!$Q$3:$Q$368)))/F4&gt;0, (((0.065*F4^0.726)/3.7-(0.301*F4^0.751)/(1-H4)*H4)*(MAX('Min rate concentrations'!$Q$3:$Q$368)))/F4, 0)</f>
        <v>0</v>
      </c>
      <c r="O4" s="59" t="s">
        <v>13</v>
      </c>
      <c r="P4" s="59" t="s">
        <v>13</v>
      </c>
      <c r="Q4" s="59">
        <f>(inputs!$C$7*11.2)*(1.131*F4^0.579)*0.5*1/F4</f>
        <v>1.0425592197021285</v>
      </c>
      <c r="R4" s="59">
        <f>(60*76.9*((F4/1000)^0.76)*3*24*(MAX('Min rate concentrations'!$R$3:$R$368))/F4)</f>
        <v>1.1884633847552672E-3</v>
      </c>
      <c r="S4" s="59">
        <f>(IF(inputs!$C$6="aerial",((0.025*0.112*inputs!$C$7/3.3)*(3*60*76.9*((F4/1000)^0.76))*MAX(inputs!$H$14:$H$16))/F4,((0.0083*0.112*inputs!$C$7/1)*(3*60*76.9*((F4/1000)^0.76))*MAX(inputs!$H$14:$H$16))/F4))</f>
        <v>5.0182496972063341E-3</v>
      </c>
      <c r="T4" s="63">
        <f>IF((((inputs!$P$12/(V4/MAX(K4:S4)))^(1/inputs!$O$12))-1)/inputs!$N$12&lt;0, 0, IF((((inputs!$P$12/(V4/MAX(K4:S4)))^(1/inputs!$O$12))-1)/inputs!$N$12&gt;inputs!$H$17, inputs!$H$17, (((inputs!$P$12/(V4/MAX(K4:S4)))^(1/inputs!$O$12))-1)/inputs!$N$12))</f>
        <v>214.22878545217165</v>
      </c>
      <c r="U4" s="63">
        <f>IF((((inputs!$P$12/(X4/MAX(K4:S4)))^(1/inputs!$O$12))-1)/inputs!$N$12&lt;0, 0, IF((((inputs!$P$12/(X4/MAX(K4:S4)))^(1/inputs!$O$12))-1)/inputs!$N$12&gt;inputs!$H$17, inputs!$H$17, (((inputs!$P$12/(X4/MAX(K4:S4)))^(1/inputs!$O$12))-1)/inputs!$N$12))</f>
        <v>110.60475018809768</v>
      </c>
      <c r="V4" s="21">
        <f>inputs!$E$87*(F4/inputs!$F$87)^(1)</f>
        <v>2.66E-3</v>
      </c>
      <c r="W4" s="21">
        <f>inputs!$E$90*(F4/inputs!$F$90)^(1)</f>
        <v>2.8E-3</v>
      </c>
      <c r="X4" s="21">
        <f>inputs!$E$89*(F4/inputs!$F$89)^(1)</f>
        <v>1.0455696202531645E-2</v>
      </c>
      <c r="Y4" s="21" t="s">
        <v>13</v>
      </c>
      <c r="Z4" s="63">
        <f t="shared" si="1"/>
        <v>407.0303709096828</v>
      </c>
      <c r="AA4" s="63">
        <f t="shared" si="2"/>
        <v>386.67885236419863</v>
      </c>
    </row>
    <row r="5" spans="1:476" x14ac:dyDescent="0.25">
      <c r="A5" s="103" t="s">
        <v>689</v>
      </c>
      <c r="B5" s="20" t="s">
        <v>690</v>
      </c>
      <c r="C5" s="21" t="s">
        <v>702</v>
      </c>
      <c r="D5" s="15" t="s">
        <v>704</v>
      </c>
      <c r="E5" s="15">
        <v>205</v>
      </c>
      <c r="F5" s="21">
        <v>8.6999999999999993</v>
      </c>
      <c r="G5" s="21" t="s">
        <v>182</v>
      </c>
      <c r="H5" s="21">
        <v>0.85</v>
      </c>
      <c r="I5" s="48">
        <f>MAX('Min rate concentrations'!$M$3:$M$368)</f>
        <v>2.8488184789681945</v>
      </c>
      <c r="J5" s="48">
        <f>MAX('Min rate concentrations'!AE:AE)</f>
        <v>1.9699276716269429</v>
      </c>
      <c r="K5" s="59">
        <f t="shared" si="0"/>
        <v>0.15109357623849215</v>
      </c>
      <c r="L5" s="59">
        <f t="shared" si="3"/>
        <v>0.1044796005904467</v>
      </c>
      <c r="M5" s="59">
        <f>IF((((0.065*F5^0.726)/3.7-(0.301*F5^0.751)/(1-H5)*H5)*(MAX('Min rate concentrations'!$P$3:$P$368)))/F5&gt;0, (((0.065*F5^0.726)/3.7-(0.301*F5^0.751)/(1-H5)*H5)*(MAX('Min rate concentrations'!$P$3:$P$368)))/F5, 0)</f>
        <v>0</v>
      </c>
      <c r="N5" s="59">
        <f>IF((((0.065*F5^0.726)/3.7-(0.301*F5^0.751)/(1-H5)*H5)*(MAX('Min rate concentrations'!$Q$3:$Q$368)))/F5&gt;0, (((0.065*F5^0.726)/3.7-(0.301*F5^0.751)/(1-H5)*H5)*(MAX('Min rate concentrations'!$Q$3:$Q$368)))/F5, 0)</f>
        <v>0</v>
      </c>
      <c r="O5" s="59" t="s">
        <v>13</v>
      </c>
      <c r="P5" s="59" t="s">
        <v>13</v>
      </c>
      <c r="Q5" s="59">
        <f>(inputs!$C$7*11.2)*(1.131*F5^0.579)*0.5*1/F5</f>
        <v>1.2737465799313981</v>
      </c>
      <c r="R5" s="59">
        <f>(60*76.9*((F5/1000)^0.76)*3*24*(MAX('Min rate concentrations'!$R$3:$R$368))/F5)</f>
        <v>1.3322076220028903E-3</v>
      </c>
      <c r="S5" s="59">
        <f>(IF(inputs!$C$6="aerial",((0.025*0.112*inputs!$C$7/3.3)*(3*60*76.9*((F5/1000)^0.76))*MAX(inputs!$H$14:$H$16))/F5,((0.0083*0.112*inputs!$C$7/1)*(3*60*76.9*((F5/1000)^0.76))*MAX(inputs!$H$14:$H$16))/F5))</f>
        <v>5.6252052705087303E-3</v>
      </c>
      <c r="T5" s="63">
        <f>IF((((inputs!$P$12/(V5/MAX(K5:S5)))^(1/inputs!$O$12))-1)/inputs!$N$12&lt;0, 0, IF((((inputs!$P$12/(V5/MAX(K5:S5)))^(1/inputs!$O$12))-1)/inputs!$N$12&gt;inputs!$H$17, inputs!$H$17, (((inputs!$P$12/(V5/MAX(K5:S5)))^(1/inputs!$O$12))-1)/inputs!$N$12))</f>
        <v>286.17158530503656</v>
      </c>
      <c r="U5" s="63">
        <f>IF((((inputs!$P$12/(X5/MAX(K5:S5)))^(1/inputs!$O$12))-1)/inputs!$N$12&lt;0, 0, IF((((inputs!$P$12/(X5/MAX(K5:S5)))^(1/inputs!$O$12))-1)/inputs!$N$12&gt;inputs!$H$17, inputs!$H$17, (((inputs!$P$12/(X5/MAX(K5:S5)))^(1/inputs!$O$12))-1)/inputs!$N$12))</f>
        <v>151.83298322240191</v>
      </c>
      <c r="V5" s="21">
        <f>inputs!$E$87*(F5/inputs!$F$87)^(1)</f>
        <v>1.6529999999999997E-3</v>
      </c>
      <c r="W5" s="21">
        <f>inputs!$E$90*(F5/inputs!$F$90)^(1)</f>
        <v>1.7399999999999998E-3</v>
      </c>
      <c r="X5" s="21">
        <f>inputs!$E$89*(F5/inputs!$F$89)^(1)</f>
        <v>6.4974683544303784E-3</v>
      </c>
      <c r="Y5" s="21" t="s">
        <v>13</v>
      </c>
      <c r="Z5" s="63">
        <f t="shared" si="1"/>
        <v>770.56659402988396</v>
      </c>
      <c r="AA5" s="63">
        <f t="shared" si="2"/>
        <v>732.0382643283898</v>
      </c>
    </row>
    <row r="6" spans="1:476" x14ac:dyDescent="0.25">
      <c r="A6" s="103" t="s">
        <v>689</v>
      </c>
      <c r="B6" s="20" t="s">
        <v>690</v>
      </c>
      <c r="C6" s="21" t="s">
        <v>702</v>
      </c>
      <c r="D6" s="15" t="s">
        <v>704</v>
      </c>
      <c r="E6" s="15">
        <v>205</v>
      </c>
      <c r="F6" s="21">
        <v>8.6999999999999993</v>
      </c>
      <c r="G6" s="21" t="s">
        <v>142</v>
      </c>
      <c r="H6" s="21">
        <v>0.69</v>
      </c>
      <c r="I6" s="48">
        <f>MAX('Min rate concentrations'!$H$3:$H$368)</f>
        <v>47</v>
      </c>
      <c r="J6" s="48">
        <f>MAX('Min rate concentrations'!AA:AA)</f>
        <v>32.5</v>
      </c>
      <c r="K6" s="59">
        <f t="shared" si="0"/>
        <v>1.206170343323405</v>
      </c>
      <c r="L6" s="59">
        <f t="shared" si="3"/>
        <v>0.83405396080873762</v>
      </c>
      <c r="M6" s="59">
        <f>IF((((0.065*F6^0.726)/3.7-(0.301*F6^0.751)/(1-H6)*H6)*(MAX('Min rate concentrations'!$P$3:$P$368)))/F6&gt;0, (((0.065*F6^0.726)/3.7-(0.301*F6^0.751)/(1-H6)*H6)*(MAX('Min rate concentrations'!$P$3:$P$368)))/F6, 0)</f>
        <v>0</v>
      </c>
      <c r="N6" s="59">
        <f>IF((((0.065*F6^0.726)/3.7-(0.301*F6^0.751)/(1-H6)*H6)*(MAX('Min rate concentrations'!$Q$3:$Q$368)))/F6&gt;0, (((0.065*F6^0.726)/3.7-(0.301*F6^0.751)/(1-H6)*H6)*(MAX('Min rate concentrations'!$Q$3:$Q$368)))/F6, 0)</f>
        <v>0</v>
      </c>
      <c r="O6" s="59" t="s">
        <v>13</v>
      </c>
      <c r="P6" s="59" t="s">
        <v>13</v>
      </c>
      <c r="Q6" s="59">
        <f>(inputs!$C$7*11.2)*(1.131*F6^0.579)*0.5*1/F6</f>
        <v>1.2737465799313981</v>
      </c>
      <c r="R6" s="59">
        <f>(60*76.9*((F6/1000)^0.76)*3*24*(MAX('Min rate concentrations'!$R$3:$R$368))/F6)</f>
        <v>1.3322076220028903E-3</v>
      </c>
      <c r="S6" s="59">
        <f>(IF(inputs!$C$6="aerial",((0.025*0.112*inputs!$C$7/3.3)*(3*60*76.9*((F6/1000)^0.76))*MAX(inputs!$H$14:$H$16))/F6,((0.0083*0.112*inputs!$C$7/1)*(3*60*76.9*((F6/1000)^0.76))*MAX(inputs!$H$14:$H$16))/F6))</f>
        <v>5.6252052705087303E-3</v>
      </c>
      <c r="T6" s="63">
        <f>IF((((inputs!$P$12/(V6/MAX(K6:S6)))^(1/inputs!$O$12))-1)/inputs!$N$12&lt;0, 0, IF((((inputs!$P$12/(V6/MAX(K6:S6)))^(1/inputs!$O$12))-1)/inputs!$N$12&gt;inputs!$H$17, inputs!$H$17, (((inputs!$P$12/(V6/MAX(K6:S6)))^(1/inputs!$O$12))-1)/inputs!$N$12))</f>
        <v>286.17158530503656</v>
      </c>
      <c r="U6" s="63">
        <f>IF((((inputs!$P$12/(X6/MAX(K6:S6)))^(1/inputs!$O$12))-1)/inputs!$N$12&lt;0, 0, IF((((inputs!$P$12/(X6/MAX(K6:S6)))^(1/inputs!$O$12))-1)/inputs!$N$12&gt;inputs!$H$17, inputs!$H$17, (((inputs!$P$12/(X6/MAX(K6:S6)))^(1/inputs!$O$12))-1)/inputs!$N$12))</f>
        <v>151.83298322240191</v>
      </c>
      <c r="V6" s="21">
        <f>inputs!$E$87*(F6/inputs!$F$87)^(1)</f>
        <v>1.6529999999999997E-3</v>
      </c>
      <c r="W6" s="21">
        <f>inputs!$E$90*(F6/inputs!$F$90)^(1)</f>
        <v>1.7399999999999998E-3</v>
      </c>
      <c r="X6" s="21">
        <f>inputs!$E$89*(F6/inputs!$F$89)^(1)</f>
        <v>6.4974683544303784E-3</v>
      </c>
      <c r="Y6" s="21" t="s">
        <v>13</v>
      </c>
      <c r="Z6" s="63">
        <f t="shared" si="1"/>
        <v>770.56659402988396</v>
      </c>
      <c r="AA6" s="63">
        <f t="shared" si="2"/>
        <v>732.0382643283898</v>
      </c>
    </row>
    <row r="7" spans="1:476" x14ac:dyDescent="0.25">
      <c r="A7" s="103" t="s">
        <v>689</v>
      </c>
      <c r="B7" s="20" t="s">
        <v>690</v>
      </c>
      <c r="C7" s="21" t="s">
        <v>702</v>
      </c>
      <c r="D7" s="15" t="s">
        <v>704</v>
      </c>
      <c r="E7" s="15">
        <v>205</v>
      </c>
      <c r="F7" s="21">
        <v>8.6999999999999993</v>
      </c>
      <c r="G7" s="21" t="s">
        <v>456</v>
      </c>
      <c r="H7" s="20">
        <v>0.68</v>
      </c>
      <c r="I7" s="48">
        <f>MAX('Min rate concentrations'!$J$3:$J$368)</f>
        <v>114.4108103430513</v>
      </c>
      <c r="J7" s="48">
        <f>MAX('Min rate concentrations'!AB:AB)</f>
        <v>40.520495329830666</v>
      </c>
      <c r="K7" s="59">
        <f t="shared" si="0"/>
        <v>2.8443927647160927</v>
      </c>
      <c r="L7" s="59">
        <f t="shared" si="3"/>
        <v>1.0073891041702829</v>
      </c>
      <c r="M7" s="59">
        <f>IF((((0.065*F7^0.726)/3.7-(0.301*F7^0.751)/(1-H7)*H7)*(MAX('Min rate concentrations'!$P$3:$P$368)))/F7&gt;0, (((0.065*F7^0.726)/3.7-(0.301*F7^0.751)/(1-H7)*H7)*(MAX('Min rate concentrations'!$P$3:$P$368)))/F7, 0)</f>
        <v>0</v>
      </c>
      <c r="N7" s="59">
        <f>IF((((0.065*F7^0.726)/3.7-(0.301*F7^0.751)/(1-H7)*H7)*(MAX('Min rate concentrations'!$Q$3:$Q$368)))/F7&gt;0, (((0.065*F7^0.726)/3.7-(0.301*F7^0.751)/(1-H7)*H7)*(MAX('Min rate concentrations'!$Q$3:$Q$368)))/F7, 0)</f>
        <v>0</v>
      </c>
      <c r="O7" s="59" t="s">
        <v>13</v>
      </c>
      <c r="P7" s="59" t="s">
        <v>13</v>
      </c>
      <c r="Q7" s="59">
        <f>(inputs!$C$7*11.2)*(1.131*F7^0.579)*0.5*1/F7</f>
        <v>1.2737465799313981</v>
      </c>
      <c r="R7" s="59">
        <f>(60*76.9*((F7/1000)^0.76)*3*24*(MAX('Min rate concentrations'!$R$3:$R$368))/F7)</f>
        <v>1.3322076220028903E-3</v>
      </c>
      <c r="S7" s="59">
        <f>(IF(inputs!$C$6="aerial",((0.025*0.112*inputs!$C$7/3.3)*(3*60*76.9*((F7/1000)^0.76))*MAX(inputs!$H$14:$H$16))/F7,((0.0083*0.112*inputs!$C$7/1)*(3*60*76.9*((F7/1000)^0.76))*MAX(inputs!$H$14:$H$16))/F7))</f>
        <v>5.6252052705087303E-3</v>
      </c>
      <c r="T7" s="63">
        <f>IF((((inputs!$P$12/(V7/MAX(K7:S7)))^(1/inputs!$O$12))-1)/inputs!$N$12&lt;0, 0, IF((((inputs!$P$12/(V7/MAX(K7:S7)))^(1/inputs!$O$12))-1)/inputs!$N$12&gt;inputs!$H$17, inputs!$H$17, (((inputs!$P$12/(V7/MAX(K7:S7)))^(1/inputs!$O$12))-1)/inputs!$N$12))</f>
        <v>407.78108020333048</v>
      </c>
      <c r="U7" s="63">
        <f>IF((((inputs!$P$12/(X7/MAX(K7:S7)))^(1/inputs!$O$12))-1)/inputs!$N$12&lt;0, 0, IF((((inputs!$P$12/(X7/MAX(K7:S7)))^(1/inputs!$O$12))-1)/inputs!$N$12&gt;inputs!$H$17, inputs!$H$17, (((inputs!$P$12/(X7/MAX(K7:S7)))^(1/inputs!$O$12))-1)/inputs!$N$12))</f>
        <v>221.52369035508011</v>
      </c>
      <c r="V7" s="21">
        <f>inputs!$E$87*(F7/inputs!$F$87)^(1)</f>
        <v>1.6529999999999997E-3</v>
      </c>
      <c r="W7" s="21">
        <f>inputs!$E$90*(F7/inputs!$F$90)^(1)</f>
        <v>1.7399999999999998E-3</v>
      </c>
      <c r="X7" s="21">
        <f>inputs!$E$89*(F7/inputs!$F$89)^(1)</f>
        <v>6.4974683544303784E-3</v>
      </c>
      <c r="Y7" s="21" t="s">
        <v>13</v>
      </c>
      <c r="Z7" s="63">
        <f t="shared" si="1"/>
        <v>1720.7457741779149</v>
      </c>
      <c r="AA7" s="63">
        <f t="shared" si="2"/>
        <v>1634.708485469019</v>
      </c>
    </row>
    <row r="8" spans="1:476" x14ac:dyDescent="0.25">
      <c r="A8" s="103" t="s">
        <v>687</v>
      </c>
      <c r="B8" s="20" t="s">
        <v>688</v>
      </c>
      <c r="C8" s="21" t="s">
        <v>702</v>
      </c>
      <c r="D8" s="15" t="s">
        <v>704</v>
      </c>
      <c r="E8" s="15">
        <v>206</v>
      </c>
      <c r="F8" s="21">
        <v>13</v>
      </c>
      <c r="G8" s="21" t="s">
        <v>142</v>
      </c>
      <c r="H8" s="21">
        <v>0.69</v>
      </c>
      <c r="I8" s="48">
        <f>MAX('Min rate concentrations'!$H$3:$H$368)</f>
        <v>47</v>
      </c>
      <c r="J8" s="48">
        <f>MAX('Min rate concentrations'!AA:AA)</f>
        <v>32.5</v>
      </c>
      <c r="K8" s="59">
        <f t="shared" si="0"/>
        <v>1.1010685942253902</v>
      </c>
      <c r="L8" s="59">
        <f t="shared" si="3"/>
        <v>0.76137721941117398</v>
      </c>
      <c r="M8" s="59">
        <f>IF((((0.065*F8^0.726)/3.7-(0.301*F8^0.751)/(1-H8)*H8)*(MAX('Min rate concentrations'!$P$3:$P$368)))/F8&gt;0, (((0.065*F8^0.726)/3.7-(0.301*F8^0.751)/(1-H8)*H8)*(MAX('Min rate concentrations'!$P$3:$P$368)))/F8, 0)</f>
        <v>0</v>
      </c>
      <c r="N8" s="59">
        <f>IF((((0.065*F8^0.726)/3.7-(0.301*F8^0.751)/(1-H8)*H8)*(MAX('Min rate concentrations'!$Q$3:$Q$368)))/F8&gt;0, (((0.065*F8^0.726)/3.7-(0.301*F8^0.751)/(1-H8)*H8)*(MAX('Min rate concentrations'!$Q$3:$Q$368)))/F8, 0)</f>
        <v>0</v>
      </c>
      <c r="O8" s="59" t="s">
        <v>13</v>
      </c>
      <c r="P8" s="59" t="s">
        <v>13</v>
      </c>
      <c r="Q8" s="59">
        <f>(inputs!$C$7*11.2)*(1.131*F8^0.579)*0.5*1/F8</f>
        <v>1.0755992356910249</v>
      </c>
      <c r="R8" s="59">
        <f>(60*76.9*((F8/1000)^0.76)*3*24*(MAX('Min rate concentrations'!$R$3:$R$368))/F8)</f>
        <v>1.2097903894147818E-3</v>
      </c>
      <c r="S8" s="59">
        <f>(IF(inputs!$C$6="aerial",((0.025*0.112*inputs!$C$7/3.3)*(3*60*76.9*((F8/1000)^0.76))*MAX(inputs!$H$14:$H$16))/F8,((0.0083*0.112*inputs!$C$7/1)*(3*60*76.9*((F8/1000)^0.76))*MAX(inputs!$H$14:$H$16))/F8))</f>
        <v>5.1083023114035873E-3</v>
      </c>
      <c r="T8" s="63">
        <f>IF((((inputs!$P$12/(V8/MAX(K8:S8)))^(1/inputs!$O$12))-1)/inputs!$N$12&lt;0, 0, IF((((inputs!$P$12/(V8/MAX(K8:S8)))^(1/inputs!$O$12))-1)/inputs!$N$12&gt;inputs!$H$17, inputs!$H$17, (((inputs!$P$12/(V8/MAX(K8:S8)))^(1/inputs!$O$12))-1)/inputs!$N$12))</f>
        <v>223.37372681200418</v>
      </c>
      <c r="U8" s="63">
        <f>IF((((inputs!$P$12/(X8/MAX(K8:S8)))^(1/inputs!$O$12))-1)/inputs!$N$12&lt;0, 0, IF((((inputs!$P$12/(X8/MAX(K8:S8)))^(1/inputs!$O$12))-1)/inputs!$N$12&gt;inputs!$H$17, inputs!$H$17, (((inputs!$P$12/(X8/MAX(K8:S8)))^(1/inputs!$O$12))-1)/inputs!$N$12))</f>
        <v>115.84543826583869</v>
      </c>
      <c r="V8" s="21">
        <f>inputs!$E$87*(F8/inputs!$F$87)^(1)</f>
        <v>2.47E-3</v>
      </c>
      <c r="W8" s="21">
        <f>inputs!$E$90*(F8/inputs!$F$90)^(1)</f>
        <v>2.6000000000000003E-3</v>
      </c>
      <c r="X8" s="21">
        <f>inputs!$E$89*(F8/inputs!$F$89)^(1)</f>
        <v>9.7088607594936708E-3</v>
      </c>
      <c r="Y8" s="21" t="s">
        <v>13</v>
      </c>
      <c r="Z8" s="63">
        <f t="shared" si="1"/>
        <v>445.77675879570455</v>
      </c>
      <c r="AA8" s="63">
        <f t="shared" si="2"/>
        <v>423.48792085591924</v>
      </c>
    </row>
    <row r="9" spans="1:476" x14ac:dyDescent="0.25">
      <c r="A9" s="103" t="s">
        <v>687</v>
      </c>
      <c r="B9" s="20" t="s">
        <v>688</v>
      </c>
      <c r="C9" s="21" t="s">
        <v>702</v>
      </c>
      <c r="D9" s="15" t="s">
        <v>704</v>
      </c>
      <c r="E9" s="15">
        <v>206</v>
      </c>
      <c r="F9" s="21">
        <v>13</v>
      </c>
      <c r="G9" s="21" t="s">
        <v>164</v>
      </c>
      <c r="H9" s="21">
        <v>0.78</v>
      </c>
      <c r="I9" s="48">
        <f>inputs!$C$66*(inputs!$C$62/1000)</f>
        <v>8.2000000000000011</v>
      </c>
      <c r="J9" s="48">
        <f>inputs!$C$65*(inputs!$C$61/1000)</f>
        <v>0.25</v>
      </c>
      <c r="K9" s="59">
        <f t="shared" si="0"/>
        <v>0.27068823660744123</v>
      </c>
      <c r="L9" s="59">
        <f t="shared" si="3"/>
        <v>8.2526901404707687E-3</v>
      </c>
      <c r="M9" s="59">
        <f>IF((((0.065*F9^0.726)/3.7-(0.301*F9^0.751)/(1-H9)*H9)*(MAX('Min rate concentrations'!$P$3:$P$368)))/F9&gt;0, (((0.065*F9^0.726)/3.7-(0.301*F9^0.751)/(1-H9)*H9)*(MAX('Min rate concentrations'!$P$3:$P$368)))/F9, 0)</f>
        <v>0</v>
      </c>
      <c r="N9" s="59">
        <f>IF((((0.065*F9^0.726)/3.7-(0.301*F9^0.751)/(1-H9)*H9)*(MAX('Min rate concentrations'!$Q$3:$Q$368)))/F9&gt;0, (((0.065*F9^0.726)/3.7-(0.301*F9^0.751)/(1-H9)*H9)*(MAX('Min rate concentrations'!$Q$3:$Q$368)))/F9, 0)</f>
        <v>0</v>
      </c>
      <c r="O9" s="59" t="s">
        <v>13</v>
      </c>
      <c r="P9" s="59" t="s">
        <v>13</v>
      </c>
      <c r="Q9" s="59">
        <f>(inputs!$C$7*11.2)*(1.131*F9^0.579)*0.5*1/F9</f>
        <v>1.0755992356910249</v>
      </c>
      <c r="R9" s="59">
        <f>(60*76.9*((F9/1000)^0.76)*3*24*(MAX('Min rate concentrations'!$R$3:$R$368))/F9)</f>
        <v>1.2097903894147818E-3</v>
      </c>
      <c r="S9" s="59">
        <f>(IF(inputs!$C$6="aerial",((0.025*0.112*inputs!$C$7/3.3)*(3*60*76.9*((F9/1000)^0.76))*MAX(inputs!$H$14:$H$16))/F9,((0.0083*0.112*inputs!$C$7/1)*(3*60*76.9*((F9/1000)^0.76))*MAX(inputs!$H$14:$H$16))/F9))</f>
        <v>5.1083023114035873E-3</v>
      </c>
      <c r="T9" s="63">
        <f>IF((((inputs!$P$12/(V9/MAX(K9:S9)))^(1/inputs!$O$12))-1)/inputs!$N$12&lt;0, 0, IF((((inputs!$P$12/(V9/MAX(K9:S9)))^(1/inputs!$O$12))-1)/inputs!$N$12&gt;inputs!$H$17, inputs!$H$17, (((inputs!$P$12/(V9/MAX(K9:S9)))^(1/inputs!$O$12))-1)/inputs!$N$12))</f>
        <v>220.98762981153973</v>
      </c>
      <c r="U9" s="63">
        <f>IF((((inputs!$P$12/(X9/MAX(K9:S9)))^(1/inputs!$O$12))-1)/inputs!$N$12&lt;0, 0, IF((((inputs!$P$12/(X9/MAX(K9:S9)))^(1/inputs!$O$12))-1)/inputs!$N$12&gt;inputs!$H$17, inputs!$H$17, (((inputs!$P$12/(X9/MAX(K9:S9)))^(1/inputs!$O$12))-1)/inputs!$N$12))</f>
        <v>114.47803856248001</v>
      </c>
      <c r="V9" s="21">
        <f>inputs!$E$87*(F9/inputs!$F$87)^(1)</f>
        <v>2.47E-3</v>
      </c>
      <c r="W9" s="21">
        <f>inputs!$E$90*(F9/inputs!$F$90)^(1)</f>
        <v>2.6000000000000003E-3</v>
      </c>
      <c r="X9" s="21">
        <f>inputs!$E$89*(F9/inputs!$F$89)^(1)</f>
        <v>9.7088607594936708E-3</v>
      </c>
      <c r="Y9" s="21" t="s">
        <v>13</v>
      </c>
      <c r="Z9" s="63">
        <f t="shared" si="1"/>
        <v>435.46527760770238</v>
      </c>
      <c r="AA9" s="63">
        <f t="shared" si="2"/>
        <v>413.6920137273172</v>
      </c>
    </row>
    <row r="10" spans="1:476" x14ac:dyDescent="0.25">
      <c r="A10" s="103" t="s">
        <v>687</v>
      </c>
      <c r="B10" s="20" t="s">
        <v>688</v>
      </c>
      <c r="C10" s="21" t="s">
        <v>702</v>
      </c>
      <c r="D10" s="15" t="s">
        <v>704</v>
      </c>
      <c r="E10" s="15">
        <v>206</v>
      </c>
      <c r="F10" s="21">
        <v>13</v>
      </c>
      <c r="G10" s="21" t="s">
        <v>138</v>
      </c>
      <c r="H10" s="20">
        <v>0.68</v>
      </c>
      <c r="I10" s="48">
        <f>MAX('Min rate concentrations'!$L$3:$L$368)</f>
        <v>58.421240152220811</v>
      </c>
      <c r="J10" s="48">
        <f>MAX('Min rate concentrations'!AD:AD)</f>
        <v>40.397666062705881</v>
      </c>
      <c r="K10" s="59">
        <f t="shared" si="0"/>
        <v>1.325864079645346</v>
      </c>
      <c r="L10" s="59">
        <f t="shared" si="3"/>
        <v>0.91682090613773937</v>
      </c>
      <c r="M10" s="59">
        <f>IF((((0.065*F10^0.726)/3.7-(0.301*F10^0.751)/(1-H10)*H10)*(MAX('Min rate concentrations'!$P$3:$P$368)))/F10&gt;0, (((0.065*F10^0.726)/3.7-(0.301*F10^0.751)/(1-H10)*H10)*(MAX('Min rate concentrations'!$P$3:$P$368)))/F10, 0)</f>
        <v>0</v>
      </c>
      <c r="N10" s="59">
        <f>IF((((0.065*F10^0.726)/3.7-(0.301*F10^0.751)/(1-H10)*H10)*(MAX('Min rate concentrations'!$Q$3:$Q$368)))/F10&gt;0, (((0.065*F10^0.726)/3.7-(0.301*F10^0.751)/(1-H10)*H10)*(MAX('Min rate concentrations'!$Q$3:$Q$368)))/F10, 0)</f>
        <v>0</v>
      </c>
      <c r="O10" s="59" t="s">
        <v>13</v>
      </c>
      <c r="P10" s="59" t="s">
        <v>13</v>
      </c>
      <c r="Q10" s="59">
        <f>(inputs!$C$7*11.2)*(1.131*F10^0.579)*0.5*1/F10</f>
        <v>1.0755992356910249</v>
      </c>
      <c r="R10" s="59">
        <f>(60*76.9*((F10/1000)^0.76)*3*24*(MAX('Min rate concentrations'!$R$3:$R$368))/F10)</f>
        <v>1.2097903894147818E-3</v>
      </c>
      <c r="S10" s="59">
        <f>(IF(inputs!$C$6="aerial",((0.025*0.112*inputs!$C$7/3.3)*(3*60*76.9*((F10/1000)^0.76))*MAX(inputs!$H$14:$H$16))/F10,((0.0083*0.112*inputs!$C$7/1)*(3*60*76.9*((F10/1000)^0.76))*MAX(inputs!$H$14:$H$16))/F10))</f>
        <v>5.1083023114035873E-3</v>
      </c>
      <c r="T10" s="63">
        <f>IF((((inputs!$P$12/(V10/MAX(K10:S10)))^(1/inputs!$O$12))-1)/inputs!$N$12&lt;0, 0, IF((((inputs!$P$12/(V10/MAX(K10:S10)))^(1/inputs!$O$12))-1)/inputs!$N$12&gt;inputs!$H$17, inputs!$H$17, (((inputs!$P$12/(V10/MAX(K10:S10)))^(1/inputs!$O$12))-1)/inputs!$N$12))</f>
        <v>243.14325336841179</v>
      </c>
      <c r="U10" s="63">
        <f>IF((((inputs!$P$12/(X10/MAX(K10:S10)))^(1/inputs!$O$12))-1)/inputs!$N$12&lt;0, 0, IF((((inputs!$P$12/(X10/MAX(K10:S10)))^(1/inputs!$O$12))-1)/inputs!$N$12&gt;inputs!$H$17, inputs!$H$17, (((inputs!$P$12/(X10/MAX(K10:S10)))^(1/inputs!$O$12))-1)/inputs!$N$12))</f>
        <v>127.17475335383054</v>
      </c>
      <c r="V10" s="21">
        <f>inputs!$E$87*(F10/inputs!$F$87)^(1)</f>
        <v>2.47E-3</v>
      </c>
      <c r="W10" s="21">
        <f>inputs!$E$90*(F10/inputs!$F$90)^(1)</f>
        <v>2.6000000000000003E-3</v>
      </c>
      <c r="X10" s="21">
        <f>inputs!$E$89*(F10/inputs!$F$89)^(1)</f>
        <v>9.7088607594936708E-3</v>
      </c>
      <c r="Y10" s="21" t="s">
        <v>13</v>
      </c>
      <c r="Z10" s="63">
        <f t="shared" si="1"/>
        <v>536.78707677949228</v>
      </c>
      <c r="AA10" s="63">
        <f t="shared" si="2"/>
        <v>509.94772294051762</v>
      </c>
    </row>
    <row r="11" spans="1:476" ht="26.4" x14ac:dyDescent="0.25">
      <c r="A11" s="103" t="s">
        <v>687</v>
      </c>
      <c r="B11" s="20" t="s">
        <v>688</v>
      </c>
      <c r="C11" s="21" t="s">
        <v>702</v>
      </c>
      <c r="D11" s="15" t="s">
        <v>704</v>
      </c>
      <c r="E11" s="15">
        <v>206</v>
      </c>
      <c r="F11" s="21">
        <v>13</v>
      </c>
      <c r="G11" s="21" t="s">
        <v>634</v>
      </c>
      <c r="H11" s="21">
        <v>0.75</v>
      </c>
      <c r="I11" s="48">
        <f>inputs!$C$65*inputs!$C$64/1000</f>
        <v>2.13</v>
      </c>
      <c r="J11" s="48">
        <f>inputs!$C$65*inputs!$C$63/1000</f>
        <v>0.88</v>
      </c>
      <c r="K11" s="59">
        <f t="shared" si="0"/>
        <v>6.1875369597193627E-2</v>
      </c>
      <c r="L11" s="59">
        <f t="shared" si="3"/>
        <v>2.5563532979122248E-2</v>
      </c>
      <c r="M11" s="59">
        <f>IF((((0.065*F11^0.726)/3.7-(0.301*F11^0.751)/(1-H11)*H11)*(MAX('Min rate concentrations'!$P$3:$P$368)))/F11&gt;0, (((0.065*F11^0.726)/3.7-(0.301*F11^0.751)/(1-H11)*H11)*(MAX('Min rate concentrations'!$P$3:$P$368)))/F11, 0)</f>
        <v>0</v>
      </c>
      <c r="N11" s="59">
        <f>IF((((0.065*F11^0.726)/3.7-(0.301*F11^0.751)/(1-H11)*H11)*(MAX('Min rate concentrations'!$Q$3:$Q$368)))/F11&gt;0, (((0.065*F11^0.726)/3.7-(0.301*F11^0.751)/(1-H11)*H11)*(MAX('Min rate concentrations'!$Q$3:$Q$368)))/F11, 0)</f>
        <v>0</v>
      </c>
      <c r="O11" s="59" t="s">
        <v>13</v>
      </c>
      <c r="P11" s="59" t="s">
        <v>13</v>
      </c>
      <c r="Q11" s="59">
        <f>(inputs!$C$7*11.2)*(1.131*F11^0.579)*0.5*1/F11</f>
        <v>1.0755992356910249</v>
      </c>
      <c r="R11" s="59">
        <f>(60*76.9*((F11/1000)^0.76)*3*24*(MAX('Min rate concentrations'!$R$3:$R$368))/F11)</f>
        <v>1.2097903894147818E-3</v>
      </c>
      <c r="S11" s="59">
        <f>(IF(inputs!$C$6="aerial",((0.025*0.112*inputs!$C$7/3.3)*(3*60*76.9*((F11/1000)^0.76))*MAX(inputs!$H$14:$H$16))/F11,((0.0083*0.112*inputs!$C$7/1)*(3*60*76.9*((F11/1000)^0.76))*MAX(inputs!$H$14:$H$16))/F11))</f>
        <v>5.1083023114035873E-3</v>
      </c>
      <c r="T11" s="63">
        <f>IF((((inputs!$P$12/(V11/MAX(K11:S11)))^(1/inputs!$O$12))-1)/inputs!$N$12&lt;0, 0, IF((((inputs!$P$12/(V11/MAX(K11:S11)))^(1/inputs!$O$12))-1)/inputs!$N$12&gt;inputs!$H$17, inputs!$H$17, (((inputs!$P$12/(V11/MAX(K11:S11)))^(1/inputs!$O$12))-1)/inputs!$N$12))</f>
        <v>220.98762981153973</v>
      </c>
      <c r="U11" s="63">
        <f>IF((((inputs!$P$12/(X11/MAX(K11:S11)))^(1/inputs!$O$12))-1)/inputs!$N$12&lt;0, 0, IF((((inputs!$P$12/(X11/MAX(K11:S11)))^(1/inputs!$O$12))-1)/inputs!$N$12&gt;inputs!$H$17, inputs!$H$17, (((inputs!$P$12/(X11/MAX(K11:S11)))^(1/inputs!$O$12))-1)/inputs!$N$12))</f>
        <v>114.47803856248001</v>
      </c>
      <c r="V11" s="21">
        <f>inputs!$E$87*(F11/inputs!$F$87)^(1)</f>
        <v>2.47E-3</v>
      </c>
      <c r="W11" s="21">
        <f>inputs!$E$90*(F11/inputs!$F$90)^(1)</f>
        <v>2.6000000000000003E-3</v>
      </c>
      <c r="X11" s="21">
        <f>inputs!$E$89*(F11/inputs!$F$89)^(1)</f>
        <v>9.7088607594936708E-3</v>
      </c>
      <c r="Y11" s="21" t="s">
        <v>13</v>
      </c>
      <c r="Z11" s="63">
        <f t="shared" si="1"/>
        <v>435.46527760770238</v>
      </c>
      <c r="AA11" s="63">
        <f t="shared" si="2"/>
        <v>413.6920137273172</v>
      </c>
    </row>
    <row r="12" spans="1:476" x14ac:dyDescent="0.25">
      <c r="A12" s="103" t="s">
        <v>691</v>
      </c>
      <c r="B12" s="20" t="s">
        <v>692</v>
      </c>
      <c r="C12" s="21" t="s">
        <v>702</v>
      </c>
      <c r="D12" s="15" t="s">
        <v>704</v>
      </c>
      <c r="E12" s="15">
        <v>5819</v>
      </c>
      <c r="F12" s="21">
        <v>11</v>
      </c>
      <c r="G12" s="21" t="s">
        <v>182</v>
      </c>
      <c r="H12" s="21">
        <v>0.85</v>
      </c>
      <c r="I12" s="48">
        <f>MAX('Min rate concentrations'!$M$3:$M$368)</f>
        <v>2.8488184789681945</v>
      </c>
      <c r="J12" s="48">
        <f>MAX('Min rate concentrations'!AE:AE)</f>
        <v>1.9699276716269429</v>
      </c>
      <c r="K12" s="59">
        <f t="shared" si="0"/>
        <v>0.14325860949309185</v>
      </c>
      <c r="L12" s="59">
        <f t="shared" si="3"/>
        <v>9.9061804436712433E-2</v>
      </c>
      <c r="M12" s="59">
        <f>IF((((0.065*F12^0.726)/3.7-(0.301*F12^0.751)/(1-H12)*H12)*(MAX('Min rate concentrations'!$P$3:$P$368)))/F12&gt;0, (((0.065*F12^0.726)/3.7-(0.301*F12^0.751)/(1-H12)*H12)*(MAX('Min rate concentrations'!$P$3:$P$368)))/F12, 0)</f>
        <v>0</v>
      </c>
      <c r="N12" s="59">
        <f>IF((((0.065*F12^0.726)/3.7-(0.301*F12^0.751)/(1-H12)*H12)*(MAX('Min rate concentrations'!$Q$3:$Q$368)))/F12&gt;0, (((0.065*F12^0.726)/3.7-(0.301*F12^0.751)/(1-H12)*H12)*(MAX('Min rate concentrations'!$Q$3:$Q$368)))/F12, 0)</f>
        <v>0</v>
      </c>
      <c r="O12" s="59" t="s">
        <v>13</v>
      </c>
      <c r="P12" s="59" t="s">
        <v>13</v>
      </c>
      <c r="Q12" s="59">
        <f>(inputs!$C$7*11.2)*(1.131*F12^0.579)*0.5*1/F12</f>
        <v>1.153969461387895</v>
      </c>
      <c r="R12" s="59">
        <f>(60*76.9*((F12/1000)^0.76)*3*24*(MAX('Min rate concentrations'!$R$3:$R$368))/F12)</f>
        <v>1.2592799546261209E-3</v>
      </c>
      <c r="S12" s="59">
        <f>(IF(inputs!$C$6="aerial",((0.025*0.112*inputs!$C$7/3.3)*(3*60*76.9*((F12/1000)^0.76))*MAX(inputs!$H$14:$H$16))/F12,((0.0083*0.112*inputs!$C$7/1)*(3*60*76.9*((F12/1000)^0.76))*MAX(inputs!$H$14:$H$16))/F12))</f>
        <v>5.3172704620612658E-3</v>
      </c>
      <c r="T12" s="63">
        <f>IF((((inputs!$P$12/(V12/MAX(K12:S12)))^(1/inputs!$O$12))-1)/inputs!$N$12&lt;0, 0, IF((((inputs!$P$12/(V12/MAX(K12:S12)))^(1/inputs!$O$12))-1)/inputs!$N$12&gt;inputs!$H$17, inputs!$H$17, (((inputs!$P$12/(V12/MAX(K12:S12)))^(1/inputs!$O$12))-1)/inputs!$N$12))</f>
        <v>246.27651808852838</v>
      </c>
      <c r="U12" s="63">
        <f>IF((((inputs!$P$12/(X12/MAX(K12:S12)))^(1/inputs!$O$12))-1)/inputs!$N$12&lt;0, 0, IF((((inputs!$P$12/(X12/MAX(K12:S12)))^(1/inputs!$O$12))-1)/inputs!$N$12&gt;inputs!$H$17, inputs!$H$17, (((inputs!$P$12/(X12/MAX(K12:S12)))^(1/inputs!$O$12))-1)/inputs!$N$12))</f>
        <v>128.97033217899894</v>
      </c>
      <c r="V12" s="21">
        <f>inputs!$E$87*(F12/inputs!$F$87)^(1)</f>
        <v>2.0899999999999998E-3</v>
      </c>
      <c r="W12" s="21">
        <f>inputs!$E$90*(F12/inputs!$F$90)^(1)</f>
        <v>2.2000000000000001E-3</v>
      </c>
      <c r="X12" s="21">
        <f>inputs!$E$89*(F12/inputs!$F$89)^(1)</f>
        <v>8.2151898734177213E-3</v>
      </c>
      <c r="Y12" s="21" t="s">
        <v>13</v>
      </c>
      <c r="Z12" s="63">
        <f t="shared" si="1"/>
        <v>552.1384982717201</v>
      </c>
      <c r="AA12" s="63">
        <f t="shared" si="2"/>
        <v>524.5315733581341</v>
      </c>
    </row>
    <row r="13" spans="1:476" x14ac:dyDescent="0.25">
      <c r="A13" s="103" t="s">
        <v>691</v>
      </c>
      <c r="B13" s="20" t="s">
        <v>692</v>
      </c>
      <c r="C13" s="21" t="s">
        <v>702</v>
      </c>
      <c r="D13" s="15" t="s">
        <v>704</v>
      </c>
      <c r="E13" s="15">
        <v>5819</v>
      </c>
      <c r="F13" s="21">
        <v>11</v>
      </c>
      <c r="G13" s="21" t="s">
        <v>142</v>
      </c>
      <c r="H13" s="21">
        <v>0.69</v>
      </c>
      <c r="I13" s="48">
        <f>MAX('Min rate concentrations'!$H$3:$H$368)</f>
        <v>47</v>
      </c>
      <c r="J13" s="48">
        <f>MAX('Min rate concentrations'!AA:AA)</f>
        <v>32.5</v>
      </c>
      <c r="K13" s="59">
        <f t="shared" si="0"/>
        <v>1.1436243055334847</v>
      </c>
      <c r="L13" s="59">
        <f t="shared" si="3"/>
        <v>0.79080404106038837</v>
      </c>
      <c r="M13" s="59">
        <f>IF((((0.065*F13^0.726)/3.7-(0.301*F13^0.751)/(1-H13)*H13)*(MAX('Min rate concentrations'!$P$3:$P$368)))/F13&gt;0, (((0.065*F13^0.726)/3.7-(0.301*F13^0.751)/(1-H13)*H13)*(MAX('Min rate concentrations'!$P$3:$P$368)))/F13, 0)</f>
        <v>0</v>
      </c>
      <c r="N13" s="59">
        <f>IF((((0.065*F13^0.726)/3.7-(0.301*F13^0.751)/(1-H13)*H13)*(MAX('Min rate concentrations'!$Q$3:$Q$368)))/F13&gt;0, (((0.065*F13^0.726)/3.7-(0.301*F13^0.751)/(1-H13)*H13)*(MAX('Min rate concentrations'!$Q$3:$Q$368)))/F13, 0)</f>
        <v>0</v>
      </c>
      <c r="O13" s="59" t="s">
        <v>13</v>
      </c>
      <c r="P13" s="59" t="s">
        <v>13</v>
      </c>
      <c r="Q13" s="59">
        <f>(inputs!$C$7*11.2)*(1.131*F13^0.579)*0.5*1/F13</f>
        <v>1.153969461387895</v>
      </c>
      <c r="R13" s="59">
        <f>(60*76.9*((F13/1000)^0.76)*3*24*(MAX('Min rate concentrations'!$R$3:$R$368))/F13)</f>
        <v>1.2592799546261209E-3</v>
      </c>
      <c r="S13" s="59">
        <f>(IF(inputs!$C$6="aerial",((0.025*0.112*inputs!$C$7/3.3)*(3*60*76.9*((F13/1000)^0.76))*MAX(inputs!$H$14:$H$16))/F13,((0.0083*0.112*inputs!$C$7/1)*(3*60*76.9*((F13/1000)^0.76))*MAX(inputs!$H$14:$H$16))/F13))</f>
        <v>5.3172704620612658E-3</v>
      </c>
      <c r="T13" s="63">
        <f>IF((((inputs!$P$12/(V13/MAX(K13:S13)))^(1/inputs!$O$12))-1)/inputs!$N$12&lt;0, 0, IF((((inputs!$P$12/(V13/MAX(K13:S13)))^(1/inputs!$O$12))-1)/inputs!$N$12&gt;inputs!$H$17, inputs!$H$17, (((inputs!$P$12/(V13/MAX(K13:S13)))^(1/inputs!$O$12))-1)/inputs!$N$12))</f>
        <v>246.27651808852838</v>
      </c>
      <c r="U13" s="63">
        <f>IF((((inputs!$P$12/(X13/MAX(K13:S13)))^(1/inputs!$O$12))-1)/inputs!$N$12&lt;0, 0, IF((((inputs!$P$12/(X13/MAX(K13:S13)))^(1/inputs!$O$12))-1)/inputs!$N$12&gt;inputs!$H$17, inputs!$H$17, (((inputs!$P$12/(X13/MAX(K13:S13)))^(1/inputs!$O$12))-1)/inputs!$N$12))</f>
        <v>128.97033217899894</v>
      </c>
      <c r="V13" s="21">
        <f>inputs!$E$87*(F13/inputs!$F$87)^(1)</f>
        <v>2.0899999999999998E-3</v>
      </c>
      <c r="W13" s="21">
        <f>inputs!$E$90*(F13/inputs!$F$90)^(1)</f>
        <v>2.2000000000000001E-3</v>
      </c>
      <c r="X13" s="21">
        <f>inputs!$E$89*(F13/inputs!$F$89)^(1)</f>
        <v>8.2151898734177213E-3</v>
      </c>
      <c r="Y13" s="21" t="s">
        <v>13</v>
      </c>
      <c r="Z13" s="63">
        <f t="shared" si="1"/>
        <v>552.1384982717201</v>
      </c>
      <c r="AA13" s="63">
        <f t="shared" si="2"/>
        <v>524.5315733581341</v>
      </c>
    </row>
    <row r="14" spans="1:476" x14ac:dyDescent="0.25">
      <c r="A14" s="103" t="s">
        <v>691</v>
      </c>
      <c r="B14" s="20" t="s">
        <v>692</v>
      </c>
      <c r="C14" s="21" t="s">
        <v>702</v>
      </c>
      <c r="D14" s="15" t="s">
        <v>704</v>
      </c>
      <c r="E14" s="15">
        <v>5819</v>
      </c>
      <c r="F14" s="21">
        <v>11</v>
      </c>
      <c r="G14" s="21" t="s">
        <v>195</v>
      </c>
      <c r="H14" s="20">
        <v>0.82</v>
      </c>
      <c r="I14" s="48">
        <f>inputs!$C$65*(inputs!$C$62/1000)</f>
        <v>0.82000000000000006</v>
      </c>
      <c r="J14" s="48">
        <f>inputs!$C$65*(inputs!$C$61/1000)</f>
        <v>0.25</v>
      </c>
      <c r="K14" s="59">
        <f t="shared" si="0"/>
        <v>3.4362801237188149E-2</v>
      </c>
      <c r="L14" s="59">
        <f t="shared" si="3"/>
        <v>1.0476463791825655E-2</v>
      </c>
      <c r="M14" s="59">
        <f>IF((((0.065*F14^0.726)/3.7-(0.301*F14^0.751)/(1-H14)*H14)*(MAX('Min rate concentrations'!$P$3:$P$368)))/F14&gt;0, (((0.065*F14^0.726)/3.7-(0.301*F14^0.751)/(1-H14)*H14)*(MAX('Min rate concentrations'!$P$3:$P$368)))/F14, 0)</f>
        <v>0</v>
      </c>
      <c r="N14" s="59">
        <f>IF((((0.065*F14^0.726)/3.7-(0.301*F14^0.751)/(1-H14)*H14)*(MAX('Min rate concentrations'!$Q$3:$Q$368)))/F14&gt;0, (((0.065*F14^0.726)/3.7-(0.301*F14^0.751)/(1-H14)*H14)*(MAX('Min rate concentrations'!$Q$3:$Q$368)))/F14, 0)</f>
        <v>0</v>
      </c>
      <c r="O14" s="59" t="s">
        <v>13</v>
      </c>
      <c r="P14" s="59" t="s">
        <v>13</v>
      </c>
      <c r="Q14" s="59">
        <f>(inputs!$C$7*11.2)*(1.131*F14^0.579)*0.5*1/F14</f>
        <v>1.153969461387895</v>
      </c>
      <c r="R14" s="59">
        <f>(60*76.9*((F14/1000)^0.76)*3*24*(MAX('Min rate concentrations'!$R$3:$R$368))/F14)</f>
        <v>1.2592799546261209E-3</v>
      </c>
      <c r="S14" s="59">
        <f>(IF(inputs!$C$6="aerial",((0.025*0.112*inputs!$C$7/3.3)*(3*60*76.9*((F14/1000)^0.76))*MAX(inputs!$H$14:$H$16))/F14,((0.0083*0.112*inputs!$C$7/1)*(3*60*76.9*((F14/1000)^0.76))*MAX(inputs!$H$14:$H$16))/F14))</f>
        <v>5.3172704620612658E-3</v>
      </c>
      <c r="T14" s="63">
        <f>IF((((inputs!$P$12/(V14/MAX(K14:S14)))^(1/inputs!$O$12))-1)/inputs!$N$12&lt;0, 0, IF((((inputs!$P$12/(V14/MAX(K14:S14)))^(1/inputs!$O$12))-1)/inputs!$N$12&gt;inputs!$H$17, inputs!$H$17, (((inputs!$P$12/(V14/MAX(K14:S14)))^(1/inputs!$O$12))-1)/inputs!$N$12))</f>
        <v>246.27651808852838</v>
      </c>
      <c r="U14" s="63">
        <f>IF((((inputs!$P$12/(X14/MAX(K14:S14)))^(1/inputs!$O$12))-1)/inputs!$N$12&lt;0, 0, IF((((inputs!$P$12/(X14/MAX(K14:S14)))^(1/inputs!$O$12))-1)/inputs!$N$12&gt;inputs!$H$17, inputs!$H$17, (((inputs!$P$12/(X14/MAX(K14:S14)))^(1/inputs!$O$12))-1)/inputs!$N$12))</f>
        <v>128.97033217899894</v>
      </c>
      <c r="V14" s="21">
        <f>inputs!$E$87*(F14/inputs!$F$87)^(1)</f>
        <v>2.0899999999999998E-3</v>
      </c>
      <c r="W14" s="21">
        <f>inputs!$E$90*(F14/inputs!$F$90)^(1)</f>
        <v>2.2000000000000001E-3</v>
      </c>
      <c r="X14" s="21">
        <f>inputs!$E$89*(F14/inputs!$F$89)^(1)</f>
        <v>8.2151898734177213E-3</v>
      </c>
      <c r="Y14" s="21" t="s">
        <v>13</v>
      </c>
      <c r="Z14" s="63">
        <f t="shared" si="1"/>
        <v>552.1384982717201</v>
      </c>
      <c r="AA14" s="63">
        <f t="shared" si="2"/>
        <v>524.5315733581341</v>
      </c>
    </row>
    <row r="15" spans="1:476" x14ac:dyDescent="0.25">
      <c r="A15" s="103" t="s">
        <v>698</v>
      </c>
      <c r="B15" s="20" t="s">
        <v>699</v>
      </c>
      <c r="C15" s="21" t="s">
        <v>702</v>
      </c>
      <c r="D15" s="15" t="s">
        <v>704</v>
      </c>
      <c r="E15" s="15">
        <v>208</v>
      </c>
      <c r="F15" s="21">
        <v>21</v>
      </c>
      <c r="G15" s="21" t="s">
        <v>182</v>
      </c>
      <c r="H15" s="21">
        <v>0.85</v>
      </c>
      <c r="I15" s="48">
        <f>MAX('Min rate concentrations'!$M$3:$M$368)</f>
        <v>2.8488184789681945</v>
      </c>
      <c r="J15" s="48">
        <f>MAX('Min rate concentrations'!AE:AE)</f>
        <v>1.9699276716269429</v>
      </c>
      <c r="K15" s="59">
        <f t="shared" si="0"/>
        <v>0.12370096599263729</v>
      </c>
      <c r="L15" s="59">
        <f t="shared" si="3"/>
        <v>8.5537902016185371E-2</v>
      </c>
      <c r="M15" s="59">
        <f>IF((((0.065*F15^0.726)/3.7-(0.301*F15^0.751)/(1-H15)*H15)*(MAX('Min rate concentrations'!$P$3:$P$368)))/F15&gt;0, (((0.065*F15^0.726)/3.7-(0.301*F15^0.751)/(1-H15)*H15)*(MAX('Min rate concentrations'!$P$3:$P$368)))/F15, 0)</f>
        <v>0</v>
      </c>
      <c r="N15" s="59">
        <f>IF((((0.065*F15^0.726)/3.7-(0.301*F15^0.751)/(1-H15)*H15)*(MAX('Min rate concentrations'!$Q$3:$Q$368)))/F15&gt;0, (((0.065*F15^0.726)/3.7-(0.301*F15^0.751)/(1-H15)*H15)*(MAX('Min rate concentrations'!$Q$3:$Q$368)))/F15, 0)</f>
        <v>0</v>
      </c>
      <c r="O15" s="59" t="s">
        <v>13</v>
      </c>
      <c r="P15" s="59" t="s">
        <v>13</v>
      </c>
      <c r="Q15" s="59">
        <f>(inputs!$C$7*11.2)*(1.131*F15^0.579)*0.5*1/F15</f>
        <v>0.87895433654767885</v>
      </c>
      <c r="R15" s="59">
        <f>(60*76.9*((F15/1000)^0.76)*3*24*(MAX('Min rate concentrations'!$R$3:$R$368))/F15)</f>
        <v>1.0782610164340883E-3</v>
      </c>
      <c r="S15" s="59">
        <f>(IF(inputs!$C$6="aerial",((0.025*0.112*inputs!$C$7/3.3)*(3*60*76.9*((F15/1000)^0.76))*MAX(inputs!$H$14:$H$16))/F15,((0.0083*0.112*inputs!$C$7/1)*(3*60*76.9*((F15/1000)^0.76))*MAX(inputs!$H$14:$H$16))/F15))</f>
        <v>4.5529236227534317E-3</v>
      </c>
      <c r="T15" s="63">
        <f>IF((((inputs!$P$12/(V15/MAX(K15:S15)))^(1/inputs!$O$12))-1)/inputs!$N$12&lt;0, 0, IF((((inputs!$P$12/(V15/MAX(K15:S15)))^(1/inputs!$O$12))-1)/inputs!$N$12&gt;inputs!$H$17, inputs!$H$17, (((inputs!$P$12/(V15/MAX(K15:S15)))^(1/inputs!$O$12))-1)/inputs!$N$12))</f>
        <v>160.59370194142062</v>
      </c>
      <c r="U15" s="63">
        <f>IF((((inputs!$P$12/(X15/MAX(K15:S15)))^(1/inputs!$O$12))-1)/inputs!$N$12&lt;0, 0, IF((((inputs!$P$12/(X15/MAX(K15:S15)))^(1/inputs!$O$12))-1)/inputs!$N$12&gt;inputs!$H$17, inputs!$H$17, (((inputs!$P$12/(X15/MAX(K15:S15)))^(1/inputs!$O$12))-1)/inputs!$N$12))</f>
        <v>79.868113216530617</v>
      </c>
      <c r="V15" s="21">
        <f>inputs!$E$87*(F15/inputs!$F$87)^(1)</f>
        <v>3.9899999999999996E-3</v>
      </c>
      <c r="W15" s="21">
        <f>inputs!$E$90*(F15/inputs!$F$90)^(1)</f>
        <v>4.1999999999999997E-3</v>
      </c>
      <c r="X15" s="21">
        <f>inputs!$E$89*(F15/inputs!$F$89)^(1)</f>
        <v>1.5683544303797467E-2</v>
      </c>
      <c r="Y15" s="21" t="s">
        <v>13</v>
      </c>
      <c r="Z15" s="63">
        <f t="shared" si="1"/>
        <v>220.28930740543331</v>
      </c>
      <c r="AA15" s="63">
        <f t="shared" si="2"/>
        <v>209.27484203516164</v>
      </c>
    </row>
    <row r="16" spans="1:476" x14ac:dyDescent="0.25">
      <c r="A16" s="103" t="s">
        <v>698</v>
      </c>
      <c r="B16" s="20" t="s">
        <v>699</v>
      </c>
      <c r="C16" s="21" t="s">
        <v>702</v>
      </c>
      <c r="D16" s="15" t="s">
        <v>704</v>
      </c>
      <c r="E16" s="15">
        <v>208</v>
      </c>
      <c r="F16" s="21">
        <v>21</v>
      </c>
      <c r="G16" s="21" t="s">
        <v>142</v>
      </c>
      <c r="H16" s="21">
        <v>0.69</v>
      </c>
      <c r="I16" s="48">
        <f>MAX('Min rate concentrations'!$H$3:$H$368)</f>
        <v>47</v>
      </c>
      <c r="J16" s="48">
        <f>MAX('Min rate concentrations'!AA:AA)</f>
        <v>32.5</v>
      </c>
      <c r="K16" s="59">
        <f t="shared" si="0"/>
        <v>0.98749688990924356</v>
      </c>
      <c r="L16" s="59">
        <f t="shared" si="3"/>
        <v>0.68284359408617912</v>
      </c>
      <c r="M16" s="59">
        <f>IF((((0.065*F16^0.726)/3.7-(0.301*F16^0.751)/(1-H16)*H16)*(MAX('Min rate concentrations'!$P$3:$P$368)))/F16&gt;0, (((0.065*F16^0.726)/3.7-(0.301*F16^0.751)/(1-H16)*H16)*(MAX('Min rate concentrations'!$P$3:$P$368)))/F16, 0)</f>
        <v>0</v>
      </c>
      <c r="N16" s="59">
        <f>IF((((0.065*F16^0.726)/3.7-(0.301*F16^0.751)/(1-H16)*H16)*(MAX('Min rate concentrations'!$Q$3:$Q$368)))/F16&gt;0, (((0.065*F16^0.726)/3.7-(0.301*F16^0.751)/(1-H16)*H16)*(MAX('Min rate concentrations'!$Q$3:$Q$368)))/F16, 0)</f>
        <v>0</v>
      </c>
      <c r="O16" s="59" t="s">
        <v>13</v>
      </c>
      <c r="P16" s="59" t="s">
        <v>13</v>
      </c>
      <c r="Q16" s="59">
        <f>(inputs!$C$7*11.2)*(1.131*F16^0.579)*0.5*1/F16</f>
        <v>0.87895433654767885</v>
      </c>
      <c r="R16" s="59">
        <f>(60*76.9*((F16/1000)^0.76)*3*24*(MAX('Min rate concentrations'!$R$3:$R$368))/F16)</f>
        <v>1.0782610164340883E-3</v>
      </c>
      <c r="S16" s="59">
        <f>(IF(inputs!$C$6="aerial",((0.025*0.112*inputs!$C$7/3.3)*(3*60*76.9*((F16/1000)^0.76))*MAX(inputs!$H$14:$H$16))/F16,((0.0083*0.112*inputs!$C$7/1)*(3*60*76.9*((F16/1000)^0.76))*MAX(inputs!$H$14:$H$16))/F16))</f>
        <v>4.5529236227534317E-3</v>
      </c>
      <c r="T16" s="63">
        <f>IF((((inputs!$P$12/(V16/MAX(K16:S16)))^(1/inputs!$O$12))-1)/inputs!$N$12&lt;0, 0, IF((((inputs!$P$12/(V16/MAX(K16:S16)))^(1/inputs!$O$12))-1)/inputs!$N$12&gt;inputs!$H$17, inputs!$H$17, (((inputs!$P$12/(V16/MAX(K16:S16)))^(1/inputs!$O$12))-1)/inputs!$N$12))</f>
        <v>169.76423863996578</v>
      </c>
      <c r="U16" s="63">
        <f>IF((((inputs!$P$12/(X16/MAX(K16:S16)))^(1/inputs!$O$12))-1)/inputs!$N$12&lt;0, 0, IF((((inputs!$P$12/(X16/MAX(K16:S16)))^(1/inputs!$O$12))-1)/inputs!$N$12&gt;inputs!$H$17, inputs!$H$17, (((inputs!$P$12/(X16/MAX(K16:S16)))^(1/inputs!$O$12))-1)/inputs!$N$12))</f>
        <v>85.123469205323175</v>
      </c>
      <c r="V16" s="21">
        <f>inputs!$E$87*(F16/inputs!$F$87)^(1)</f>
        <v>3.9899999999999996E-3</v>
      </c>
      <c r="W16" s="21">
        <f>inputs!$E$90*(F16/inputs!$F$90)^(1)</f>
        <v>4.1999999999999997E-3</v>
      </c>
      <c r="X16" s="21">
        <f>inputs!$E$89*(F16/inputs!$F$89)^(1)</f>
        <v>1.5683544303797467E-2</v>
      </c>
      <c r="Y16" s="21" t="s">
        <v>13</v>
      </c>
      <c r="Z16" s="63">
        <f t="shared" si="1"/>
        <v>247.4929548644721</v>
      </c>
      <c r="AA16" s="63">
        <f t="shared" si="2"/>
        <v>235.11830712124848</v>
      </c>
    </row>
    <row r="17" spans="1:476" x14ac:dyDescent="0.25">
      <c r="A17" s="103" t="s">
        <v>698</v>
      </c>
      <c r="B17" s="20" t="s">
        <v>699</v>
      </c>
      <c r="C17" s="21" t="s">
        <v>702</v>
      </c>
      <c r="D17" s="15" t="s">
        <v>704</v>
      </c>
      <c r="E17" s="15">
        <v>208</v>
      </c>
      <c r="F17" s="21">
        <v>21</v>
      </c>
      <c r="G17" s="21" t="s">
        <v>146</v>
      </c>
      <c r="H17" s="20">
        <v>0.84</v>
      </c>
      <c r="I17" s="48">
        <f>MAX('Min rate concentrations'!$I$3:$I$368)</f>
        <v>9.4775690500787988</v>
      </c>
      <c r="J17" s="48" t="s">
        <v>13</v>
      </c>
      <c r="K17" s="59">
        <f t="shared" si="0"/>
        <v>0.38581272445005382</v>
      </c>
      <c r="L17" s="48" t="s">
        <v>13</v>
      </c>
      <c r="M17" s="59">
        <f>IF((((0.065*F17^0.726)/3.7-(0.301*F17^0.751)/(1-H17)*H17)*(MAX('Min rate concentrations'!$P$3:$P$368)))/F17&gt;0, (((0.065*F17^0.726)/3.7-(0.301*F17^0.751)/(1-H17)*H17)*(MAX('Min rate concentrations'!$P$3:$P$368)))/F17, 0)</f>
        <v>0</v>
      </c>
      <c r="N17" s="59">
        <f>IF((((0.065*F17^0.726)/3.7-(0.301*F17^0.751)/(1-H17)*H17)*(MAX('Min rate concentrations'!$Q$3:$Q$368)))/F17&gt;0, (((0.065*F17^0.726)/3.7-(0.301*F17^0.751)/(1-H17)*H17)*(MAX('Min rate concentrations'!$Q$3:$Q$368)))/F17, 0)</f>
        <v>0</v>
      </c>
      <c r="O17" s="59" t="s">
        <v>13</v>
      </c>
      <c r="P17" s="59" t="s">
        <v>13</v>
      </c>
      <c r="Q17" s="59">
        <f>(inputs!$C$7*11.2)*(1.131*F17^0.579)*0.5*1/F17</f>
        <v>0.87895433654767885</v>
      </c>
      <c r="R17" s="59">
        <f>(60*76.9*((F17/1000)^0.76)*3*24*(MAX('Min rate concentrations'!$R$3:$R$368))/F17)</f>
        <v>1.0782610164340883E-3</v>
      </c>
      <c r="S17" s="59">
        <f>(IF(inputs!$C$6="aerial",((0.025*0.112*inputs!$C$7/3.3)*(3*60*76.9*((F17/1000)^0.76))*MAX(inputs!$H$14:$H$16))/F17,((0.0083*0.112*inputs!$C$7/1)*(3*60*76.9*((F17/1000)^0.76))*MAX(inputs!$H$14:$H$16))/F17))</f>
        <v>4.5529236227534317E-3</v>
      </c>
      <c r="T17" s="63">
        <f>IF((((inputs!$P$12/(V17/MAX(K17:S17)))^(1/inputs!$O$12))-1)/inputs!$N$12&lt;0, 0, IF((((inputs!$P$12/(V17/MAX(K17:S17)))^(1/inputs!$O$12))-1)/inputs!$N$12&gt;inputs!$H$17, inputs!$H$17, (((inputs!$P$12/(V17/MAX(K17:S17)))^(1/inputs!$O$12))-1)/inputs!$N$12))</f>
        <v>160.59370194142062</v>
      </c>
      <c r="U17" s="63">
        <f>IF((((inputs!$P$12/(X17/MAX(K17:S17)))^(1/inputs!$O$12))-1)/inputs!$N$12&lt;0, 0, IF((((inputs!$P$12/(X17/MAX(K17:S17)))^(1/inputs!$O$12))-1)/inputs!$N$12&gt;inputs!$H$17, inputs!$H$17, (((inputs!$P$12/(X17/MAX(K17:S17)))^(1/inputs!$O$12))-1)/inputs!$N$12))</f>
        <v>79.868113216530617</v>
      </c>
      <c r="V17" s="21">
        <f>inputs!$E$87*(F17/inputs!$F$87)^(1)</f>
        <v>3.9899999999999996E-3</v>
      </c>
      <c r="W17" s="21">
        <f>inputs!$E$90*(F17/inputs!$F$90)^(1)</f>
        <v>4.1999999999999997E-3</v>
      </c>
      <c r="X17" s="21">
        <f>inputs!$E$89*(F17/inputs!$F$89)^(1)</f>
        <v>1.5683544303797467E-2</v>
      </c>
      <c r="Y17" s="21" t="s">
        <v>13</v>
      </c>
      <c r="Z17" s="63">
        <f t="shared" si="1"/>
        <v>220.28930740543331</v>
      </c>
      <c r="AA17" s="63">
        <f t="shared" si="2"/>
        <v>209.27484203516164</v>
      </c>
    </row>
    <row r="18" spans="1:476" x14ac:dyDescent="0.25">
      <c r="A18" s="103" t="s">
        <v>667</v>
      </c>
      <c r="B18" s="20" t="s">
        <v>668</v>
      </c>
      <c r="C18" s="21" t="s">
        <v>702</v>
      </c>
      <c r="D18" s="15" t="s">
        <v>704</v>
      </c>
      <c r="E18" s="15">
        <v>193</v>
      </c>
      <c r="F18" s="21">
        <v>3.9</v>
      </c>
      <c r="G18" s="21" t="s">
        <v>142</v>
      </c>
      <c r="H18" s="21">
        <v>0.69</v>
      </c>
      <c r="I18" s="48">
        <f>MAX('Min rate concentrations'!$H$3:$H$368)</f>
        <v>47</v>
      </c>
      <c r="J18" s="48">
        <f>MAX('Min rate concentrations'!AA:AA)</f>
        <v>32.5</v>
      </c>
      <c r="K18" s="59">
        <f t="shared" si="0"/>
        <v>1.447131012219008</v>
      </c>
      <c r="L18" s="59">
        <f t="shared" ref="L18:L30" si="4">(((0.013*F18^0.773)/(1-H18)))*J18/F18</f>
        <v>1.0006756999386757</v>
      </c>
      <c r="M18" s="59">
        <f>IF((((0.065*F18^0.726)/3.7-(0.301*F18^0.751)/(1-H18)*H18)*(MAX('Min rate concentrations'!$P$3:$P$368)))/F18&gt;0, (((0.065*F18^0.726)/3.7-(0.301*F18^0.751)/(1-H18)*H18)*(MAX('Min rate concentrations'!$P$3:$P$368)))/F18, 0)</f>
        <v>0</v>
      </c>
      <c r="N18" s="59">
        <f>IF((((0.065*F18^0.726)/3.7-(0.301*F18^0.751)/(1-H18)*H18)*(MAX('Min rate concentrations'!$Q$3:$Q$368)))/F18&gt;0, (((0.065*F18^0.726)/3.7-(0.301*F18^0.751)/(1-H18)*H18)*(MAX('Min rate concentrations'!$Q$3:$Q$368)))/F18, 0)</f>
        <v>0</v>
      </c>
      <c r="O18" s="59" t="s">
        <v>13</v>
      </c>
      <c r="P18" s="59" t="s">
        <v>13</v>
      </c>
      <c r="Q18" s="59">
        <f>(inputs!$C$7*11.2)*(1.131*F18^0.579)*0.5*1/F18</f>
        <v>1.785592843758439</v>
      </c>
      <c r="R18" s="59">
        <f>(60*76.9*((F18/1000)^0.76)*3*24*(MAX('Min rate concentrations'!$R$3:$R$368))/F18)</f>
        <v>1.6151059944379078E-3</v>
      </c>
      <c r="S18" s="59">
        <f>(IF(inputs!$C$6="aerial",((0.025*0.112*inputs!$C$7/3.3)*(3*60*76.9*((F18/1000)^0.76))*MAX(inputs!$H$14:$H$16))/F18,((0.0083*0.112*inputs!$C$7/1)*(3*60*76.9*((F18/1000)^0.76))*MAX(inputs!$H$14:$H$16))/F18))</f>
        <v>6.8197348538534723E-3</v>
      </c>
      <c r="T18" s="63">
        <f>IF((((inputs!$P$12/(V18/MAX(K18:S18)))^(1/inputs!$O$12))-1)/inputs!$N$12&lt;0, 0, IF((((inputs!$P$12/(V18/MAX(K18:S18)))^(1/inputs!$O$12))-1)/inputs!$N$12&gt;inputs!$H$17, inputs!$H$17, (((inputs!$P$12/(V18/MAX(K18:S18)))^(1/inputs!$O$12))-1)/inputs!$N$12))</f>
        <v>471.82150708355067</v>
      </c>
      <c r="U18" s="63">
        <f>IF((((inputs!$P$12/(X18/MAX(K18:S18)))^(1/inputs!$O$12))-1)/inputs!$N$12&lt;0, 0, IF((((inputs!$P$12/(X18/MAX(K18:S18)))^(1/inputs!$O$12))-1)/inputs!$N$12&gt;inputs!$H$17, inputs!$H$17, (((inputs!$P$12/(X18/MAX(K18:S18)))^(1/inputs!$O$12))-1)/inputs!$N$12))</f>
        <v>258.22331350616474</v>
      </c>
      <c r="V18" s="21">
        <f>inputs!$E$87*(F18/inputs!$F$87)^(1)</f>
        <v>7.4100000000000001E-4</v>
      </c>
      <c r="W18" s="21">
        <f>inputs!$E$90*(F18/inputs!$F$90)^(1)</f>
        <v>7.7999999999999999E-4</v>
      </c>
      <c r="X18" s="21">
        <f>inputs!$E$89*(F18/inputs!$F$89)^(1)</f>
        <v>2.9126582278481013E-3</v>
      </c>
      <c r="Y18" s="21" t="s">
        <v>13</v>
      </c>
      <c r="Z18" s="63">
        <f t="shared" si="1"/>
        <v>2409.7069416443169</v>
      </c>
      <c r="AA18" s="63">
        <f t="shared" si="2"/>
        <v>2289.2215945621015</v>
      </c>
    </row>
    <row r="19" spans="1:476" x14ac:dyDescent="0.25">
      <c r="A19" s="103" t="s">
        <v>665</v>
      </c>
      <c r="B19" s="20" t="s">
        <v>666</v>
      </c>
      <c r="C19" s="21" t="s">
        <v>702</v>
      </c>
      <c r="D19" s="15" t="s">
        <v>704</v>
      </c>
      <c r="E19" s="15">
        <v>196</v>
      </c>
      <c r="F19" s="21">
        <v>8.9</v>
      </c>
      <c r="G19" s="21" t="s">
        <v>142</v>
      </c>
      <c r="H19" s="21">
        <v>0.69</v>
      </c>
      <c r="I19" s="48">
        <f>MAX('Min rate concentrations'!$H$3:$H$368)</f>
        <v>47</v>
      </c>
      <c r="J19" s="48">
        <f>MAX('Min rate concentrations'!AA:AA)</f>
        <v>32.5</v>
      </c>
      <c r="K19" s="59">
        <f t="shared" si="0"/>
        <v>1.1999633586541045</v>
      </c>
      <c r="L19" s="59">
        <f t="shared" si="4"/>
        <v>0.82976189694166813</v>
      </c>
      <c r="M19" s="59">
        <f>IF((((0.065*F19^0.726)/3.7-(0.301*F19^0.751)/(1-H19)*H19)*(MAX('Min rate concentrations'!$P$3:$P$368)))/F19&gt;0, (((0.065*F19^0.726)/3.7-(0.301*F19^0.751)/(1-H19)*H19)*(MAX('Min rate concentrations'!$P$3:$P$368)))/F19, 0)</f>
        <v>0</v>
      </c>
      <c r="N19" s="59">
        <f>IF((((0.065*F19^0.726)/3.7-(0.301*F19^0.751)/(1-H19)*H19)*(MAX('Min rate concentrations'!$Q$3:$Q$368)))/F19&gt;0, (((0.065*F19^0.726)/3.7-(0.301*F19^0.751)/(1-H19)*H19)*(MAX('Min rate concentrations'!$Q$3:$Q$368)))/F19, 0)</f>
        <v>0</v>
      </c>
      <c r="O19" s="59" t="s">
        <v>13</v>
      </c>
      <c r="P19" s="59" t="s">
        <v>13</v>
      </c>
      <c r="Q19" s="59">
        <f>(inputs!$C$7*11.2)*(1.131*F19^0.579)*0.5*1/F19</f>
        <v>1.2616167417218662</v>
      </c>
      <c r="R19" s="59">
        <f>(60*76.9*((F19/1000)^0.76)*3*24*(MAX('Min rate concentrations'!$R$3:$R$368))/F19)</f>
        <v>1.3249605058486733E-3</v>
      </c>
      <c r="S19" s="59">
        <f>(IF(inputs!$C$6="aerial",((0.025*0.112*inputs!$C$7/3.3)*(3*60*76.9*((F19/1000)^0.76))*MAX(inputs!$H$14:$H$16))/F19,((0.0083*0.112*inputs!$C$7/1)*(3*60*76.9*((F19/1000)^0.76))*MAX(inputs!$H$14:$H$16))/F19))</f>
        <v>5.5946045478335368E-3</v>
      </c>
      <c r="T19" s="63">
        <f>IF((((inputs!$P$12/(V19/MAX(K19:S19)))^(1/inputs!$O$12))-1)/inputs!$N$12&lt;0, 0, IF((((inputs!$P$12/(V19/MAX(K19:S19)))^(1/inputs!$O$12))-1)/inputs!$N$12&gt;inputs!$H$17, inputs!$H$17, (((inputs!$P$12/(V19/MAX(K19:S19)))^(1/inputs!$O$12))-1)/inputs!$N$12))</f>
        <v>282.06513471629057</v>
      </c>
      <c r="U19" s="63">
        <f>IF((((inputs!$P$12/(X19/MAX(K19:S19)))^(1/inputs!$O$12))-1)/inputs!$N$12&lt;0, 0, IF((((inputs!$P$12/(X19/MAX(K19:S19)))^(1/inputs!$O$12))-1)/inputs!$N$12&gt;inputs!$H$17, inputs!$H$17, (((inputs!$P$12/(X19/MAX(K19:S19)))^(1/inputs!$O$12))-1)/inputs!$N$12))</f>
        <v>149.47970114048505</v>
      </c>
      <c r="V19" s="21">
        <f>inputs!$E$87*(F19/inputs!$F$87)^(1)</f>
        <v>1.6910000000000002E-3</v>
      </c>
      <c r="W19" s="21">
        <f>inputs!$E$90*(F19/inputs!$F$90)^(1)</f>
        <v>1.7800000000000001E-3</v>
      </c>
      <c r="X19" s="21">
        <f>inputs!$E$89*(F19/inputs!$F$89)^(1)</f>
        <v>6.6468354430379746E-3</v>
      </c>
      <c r="Y19" s="21" t="s">
        <v>13</v>
      </c>
      <c r="Z19" s="63">
        <f t="shared" si="1"/>
        <v>746.07731621636071</v>
      </c>
      <c r="AA19" s="63">
        <f t="shared" si="2"/>
        <v>708.7734504055428</v>
      </c>
    </row>
    <row r="20" spans="1:476" x14ac:dyDescent="0.25">
      <c r="A20" s="103" t="s">
        <v>663</v>
      </c>
      <c r="B20" s="20" t="s">
        <v>664</v>
      </c>
      <c r="C20" s="21" t="s">
        <v>702</v>
      </c>
      <c r="D20" s="15" t="s">
        <v>704</v>
      </c>
      <c r="E20" s="15">
        <v>190</v>
      </c>
      <c r="F20" s="21">
        <v>8</v>
      </c>
      <c r="G20" s="21" t="s">
        <v>182</v>
      </c>
      <c r="H20" s="21">
        <v>0.85</v>
      </c>
      <c r="I20" s="48">
        <f>MAX('Min rate concentrations'!$M$3:$M$368)</f>
        <v>2.8488184789681945</v>
      </c>
      <c r="J20" s="48">
        <f>MAX('Min rate concentrations'!AE:AE)</f>
        <v>1.9699276716269429</v>
      </c>
      <c r="K20" s="59">
        <f t="shared" si="0"/>
        <v>0.15399812883629896</v>
      </c>
      <c r="L20" s="59">
        <f t="shared" si="4"/>
        <v>0.10648806781233437</v>
      </c>
      <c r="M20" s="59">
        <f>IF((((0.065*F20^0.726)/3.7-(0.301*F20^0.751)/(1-H20)*H20)*(MAX('Min rate concentrations'!$P$3:$P$368)))/F20&gt;0, (((0.065*F20^0.726)/3.7-(0.301*F20^0.751)/(1-H20)*H20)*(MAX('Min rate concentrations'!$P$3:$P$368)))/F20, 0)</f>
        <v>0</v>
      </c>
      <c r="N20" s="59">
        <f>IF((((0.065*F20^0.726)/3.7-(0.301*F20^0.751)/(1-H20)*H20)*(MAX('Min rate concentrations'!$Q$3:$Q$368)))/F20&gt;0, (((0.065*F20^0.726)/3.7-(0.301*F20^0.751)/(1-H20)*H20)*(MAX('Min rate concentrations'!$Q$3:$Q$368)))/F20, 0)</f>
        <v>0</v>
      </c>
      <c r="O20" s="59" t="s">
        <v>13</v>
      </c>
      <c r="P20" s="59" t="s">
        <v>13</v>
      </c>
      <c r="Q20" s="59">
        <f>(inputs!$C$7*11.2)*(1.131*F20^0.579)*0.5*1/F20</f>
        <v>1.3195314682159063</v>
      </c>
      <c r="R20" s="59">
        <f>(60*76.9*((F20/1000)^0.76)*3*24*(MAX('Min rate concentrations'!$R$3:$R$368))/F20)</f>
        <v>1.3592988135249188E-3</v>
      </c>
      <c r="S20" s="59">
        <f>(IF(inputs!$C$6="aerial",((0.025*0.112*inputs!$C$7/3.3)*(3*60*76.9*((F20/1000)^0.76))*MAX(inputs!$H$14:$H$16))/F20,((0.0083*0.112*inputs!$C$7/1)*(3*60*76.9*((F20/1000)^0.76))*MAX(inputs!$H$14:$H$16))/F20))</f>
        <v>5.7395969845457362E-3</v>
      </c>
      <c r="T20" s="63">
        <f>IF((((inputs!$P$12/(V20/MAX(K20:S20)))^(1/inputs!$O$12))-1)/inputs!$N$12&lt;0, 0, IF((((inputs!$P$12/(V20/MAX(K20:S20)))^(1/inputs!$O$12))-1)/inputs!$N$12&gt;inputs!$H$17, inputs!$H$17, (((inputs!$P$12/(V20/MAX(K20:S20)))^(1/inputs!$O$12))-1)/inputs!$N$12))</f>
        <v>301.80256273720795</v>
      </c>
      <c r="U20" s="63">
        <f>IF((((inputs!$P$12/(X20/MAX(K20:S20)))^(1/inputs!$O$12))-1)/inputs!$N$12&lt;0, 0, IF((((inputs!$P$12/(X20/MAX(K20:S20)))^(1/inputs!$O$12))-1)/inputs!$N$12&gt;inputs!$H$17, inputs!$H$17, (((inputs!$P$12/(X20/MAX(K20:S20)))^(1/inputs!$O$12))-1)/inputs!$N$12))</f>
        <v>160.7906215329138</v>
      </c>
      <c r="V20" s="21">
        <f>inputs!$E$87*(F20/inputs!$F$87)^(1)</f>
        <v>1.5200000000000001E-3</v>
      </c>
      <c r="W20" s="21">
        <f>inputs!$E$90*(F20/inputs!$F$90)^(1)</f>
        <v>1.6000000000000001E-3</v>
      </c>
      <c r="X20" s="21">
        <f>inputs!$E$89*(F20/inputs!$F$89)^(1)</f>
        <v>5.9746835443037971E-3</v>
      </c>
      <c r="Y20" s="21" t="s">
        <v>13</v>
      </c>
      <c r="Z20" s="63">
        <f t="shared" si="1"/>
        <v>868.11280803678039</v>
      </c>
      <c r="AA20" s="63">
        <f t="shared" si="2"/>
        <v>824.70716763494136</v>
      </c>
    </row>
    <row r="21" spans="1:476" x14ac:dyDescent="0.25">
      <c r="A21" s="103" t="s">
        <v>663</v>
      </c>
      <c r="B21" s="20" t="s">
        <v>664</v>
      </c>
      <c r="C21" s="21" t="s">
        <v>702</v>
      </c>
      <c r="D21" s="15" t="s">
        <v>704</v>
      </c>
      <c r="E21" s="15">
        <v>190</v>
      </c>
      <c r="F21" s="21">
        <v>8</v>
      </c>
      <c r="G21" s="21" t="s">
        <v>142</v>
      </c>
      <c r="H21" s="21">
        <v>0.69</v>
      </c>
      <c r="I21" s="48">
        <f>MAX('Min rate concentrations'!$H$3:$H$368)</f>
        <v>47</v>
      </c>
      <c r="J21" s="48">
        <f>MAX('Min rate concentrations'!AA:AA)</f>
        <v>32.5</v>
      </c>
      <c r="K21" s="59">
        <f t="shared" si="0"/>
        <v>1.2293572007088416</v>
      </c>
      <c r="L21" s="59">
        <f t="shared" si="4"/>
        <v>0.85008742602207132</v>
      </c>
      <c r="M21" s="59">
        <f>IF((((0.065*F21^0.726)/3.7-(0.301*F21^0.751)/(1-H21)*H21)*(MAX('Min rate concentrations'!$P$3:$P$368)))/F21&gt;0, (((0.065*F21^0.726)/3.7-(0.301*F21^0.751)/(1-H21)*H21)*(MAX('Min rate concentrations'!$P$3:$P$368)))/F21, 0)</f>
        <v>0</v>
      </c>
      <c r="N21" s="59">
        <f>IF((((0.065*F21^0.726)/3.7-(0.301*F21^0.751)/(1-H21)*H21)*(MAX('Min rate concentrations'!$Q$3:$Q$368)))/F21&gt;0, (((0.065*F21^0.726)/3.7-(0.301*F21^0.751)/(1-H21)*H21)*(MAX('Min rate concentrations'!$Q$3:$Q$368)))/F21, 0)</f>
        <v>0</v>
      </c>
      <c r="O21" s="59" t="s">
        <v>13</v>
      </c>
      <c r="P21" s="59" t="s">
        <v>13</v>
      </c>
      <c r="Q21" s="59">
        <f>(inputs!$C$7*11.2)*(1.131*F21^0.579)*0.5*1/F21</f>
        <v>1.3195314682159063</v>
      </c>
      <c r="R21" s="59">
        <f>(60*76.9*((F21/1000)^0.76)*3*24*(MAX('Min rate concentrations'!$R$3:$R$368))/F21)</f>
        <v>1.3592988135249188E-3</v>
      </c>
      <c r="S21" s="59">
        <f>(IF(inputs!$C$6="aerial",((0.025*0.112*inputs!$C$7/3.3)*(3*60*76.9*((F21/1000)^0.76))*MAX(inputs!$H$14:$H$16))/F21,((0.0083*0.112*inputs!$C$7/1)*(3*60*76.9*((F21/1000)^0.76))*MAX(inputs!$H$14:$H$16))/F21))</f>
        <v>5.7395969845457362E-3</v>
      </c>
      <c r="T21" s="63">
        <f>IF((((inputs!$P$12/(V21/MAX(K21:S21)))^(1/inputs!$O$12))-1)/inputs!$N$12&lt;0, 0, IF((((inputs!$P$12/(V21/MAX(K21:S21)))^(1/inputs!$O$12))-1)/inputs!$N$12&gt;inputs!$H$17, inputs!$H$17, (((inputs!$P$12/(V21/MAX(K21:S21)))^(1/inputs!$O$12))-1)/inputs!$N$12))</f>
        <v>301.80256273720795</v>
      </c>
      <c r="U21" s="63">
        <f>IF((((inputs!$P$12/(X21/MAX(K21:S21)))^(1/inputs!$O$12))-1)/inputs!$N$12&lt;0, 0, IF((((inputs!$P$12/(X21/MAX(K21:S21)))^(1/inputs!$O$12))-1)/inputs!$N$12&gt;inputs!$H$17, inputs!$H$17, (((inputs!$P$12/(X21/MAX(K21:S21)))^(1/inputs!$O$12))-1)/inputs!$N$12))</f>
        <v>160.7906215329138</v>
      </c>
      <c r="V21" s="21">
        <f>inputs!$E$87*(F21/inputs!$F$87)^(1)</f>
        <v>1.5200000000000001E-3</v>
      </c>
      <c r="W21" s="21">
        <f>inputs!$E$90*(F21/inputs!$F$90)^(1)</f>
        <v>1.6000000000000001E-3</v>
      </c>
      <c r="X21" s="21">
        <f>inputs!$E$89*(F21/inputs!$F$89)^(1)</f>
        <v>5.9746835443037971E-3</v>
      </c>
      <c r="Y21" s="21" t="s">
        <v>13</v>
      </c>
      <c r="Z21" s="63">
        <f t="shared" si="1"/>
        <v>868.11280803678039</v>
      </c>
      <c r="AA21" s="63">
        <f t="shared" si="2"/>
        <v>824.70716763494136</v>
      </c>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c r="BE21" s="107"/>
      <c r="BF21" s="107"/>
      <c r="BG21" s="107"/>
      <c r="BH21" s="107"/>
      <c r="BI21" s="107"/>
      <c r="BJ21" s="107"/>
      <c r="BK21" s="107"/>
      <c r="BL21" s="107"/>
      <c r="BM21" s="107"/>
      <c r="BN21" s="107"/>
      <c r="BO21" s="107"/>
      <c r="BP21" s="107"/>
      <c r="BQ21" s="107"/>
      <c r="BR21" s="107"/>
      <c r="BS21" s="107"/>
      <c r="BT21" s="107"/>
      <c r="BU21" s="107"/>
      <c r="BV21" s="107"/>
      <c r="BW21" s="107"/>
      <c r="BX21" s="107"/>
      <c r="BY21" s="107"/>
      <c r="BZ21" s="107"/>
      <c r="CA21" s="107"/>
      <c r="CB21" s="107"/>
      <c r="CC21" s="107"/>
      <c r="CD21" s="107"/>
      <c r="CE21" s="107"/>
      <c r="CF21" s="107"/>
      <c r="CG21" s="107"/>
      <c r="CH21" s="107"/>
      <c r="CI21" s="107"/>
      <c r="CJ21" s="107"/>
      <c r="CK21" s="107"/>
      <c r="CL21" s="107"/>
      <c r="CM21" s="107"/>
      <c r="CN21" s="107"/>
      <c r="CO21" s="107"/>
      <c r="CP21" s="107"/>
      <c r="CQ21" s="107"/>
      <c r="CR21" s="107"/>
      <c r="CS21" s="107"/>
      <c r="CT21" s="107"/>
      <c r="CU21" s="107"/>
      <c r="CV21" s="107"/>
      <c r="CW21" s="107"/>
      <c r="CX21" s="107"/>
      <c r="CY21" s="107"/>
      <c r="CZ21" s="107"/>
      <c r="DA21" s="107"/>
      <c r="DB21" s="107"/>
      <c r="DC21" s="107"/>
      <c r="DD21" s="107"/>
      <c r="DE21" s="107"/>
      <c r="DF21" s="107"/>
      <c r="DG21" s="107"/>
      <c r="DH21" s="107"/>
      <c r="DI21" s="107"/>
      <c r="DJ21" s="107"/>
      <c r="DK21" s="107"/>
      <c r="DL21" s="107"/>
      <c r="DM21" s="107"/>
      <c r="DN21" s="107"/>
      <c r="DO21" s="107"/>
      <c r="DP21" s="107"/>
      <c r="DQ21" s="107"/>
      <c r="DR21" s="107"/>
      <c r="DS21" s="107"/>
      <c r="DT21" s="107"/>
      <c r="DU21" s="107"/>
      <c r="DV21" s="107"/>
      <c r="DW21" s="107"/>
      <c r="DX21" s="107"/>
      <c r="DY21" s="107"/>
      <c r="DZ21" s="107"/>
      <c r="EA21" s="107"/>
      <c r="EB21" s="107"/>
      <c r="EC21" s="107"/>
      <c r="ED21" s="107"/>
      <c r="EE21" s="107"/>
      <c r="EF21" s="107"/>
      <c r="EG21" s="107"/>
      <c r="EH21" s="107"/>
      <c r="EI21" s="107"/>
      <c r="EJ21" s="107"/>
      <c r="EK21" s="107"/>
      <c r="EL21" s="107"/>
      <c r="EM21" s="107"/>
      <c r="EN21" s="107"/>
      <c r="EO21" s="107"/>
      <c r="EP21" s="107"/>
      <c r="EQ21" s="107"/>
      <c r="ER21" s="107"/>
      <c r="ES21" s="107"/>
      <c r="ET21" s="107"/>
      <c r="EU21" s="107"/>
      <c r="EV21" s="107"/>
      <c r="EW21" s="107"/>
      <c r="EX21" s="107"/>
      <c r="EY21" s="107"/>
      <c r="EZ21" s="107"/>
      <c r="FA21" s="107"/>
      <c r="FB21" s="107"/>
      <c r="FC21" s="107"/>
      <c r="FD21" s="107"/>
      <c r="FE21" s="107"/>
      <c r="FF21" s="107"/>
      <c r="FG21" s="107"/>
      <c r="FH21" s="107"/>
      <c r="FI21" s="107"/>
      <c r="FJ21" s="107"/>
      <c r="FK21" s="107"/>
      <c r="FL21" s="107"/>
      <c r="FM21" s="107"/>
      <c r="FN21" s="107"/>
      <c r="FO21" s="107"/>
      <c r="FP21" s="107"/>
      <c r="FQ21" s="107"/>
      <c r="FR21" s="107"/>
      <c r="FS21" s="107"/>
      <c r="FT21" s="107"/>
      <c r="FU21" s="107"/>
      <c r="FV21" s="107"/>
      <c r="FW21" s="107"/>
      <c r="FX21" s="107"/>
      <c r="FY21" s="107"/>
      <c r="FZ21" s="107"/>
      <c r="GA21" s="107"/>
      <c r="GB21" s="107"/>
      <c r="GC21" s="107"/>
      <c r="GD21" s="107"/>
      <c r="GE21" s="107"/>
      <c r="GF21" s="107"/>
      <c r="GG21" s="107"/>
      <c r="GH21" s="107"/>
      <c r="GI21" s="107"/>
      <c r="GJ21" s="107"/>
      <c r="GK21" s="107"/>
      <c r="GL21" s="107"/>
      <c r="GM21" s="107"/>
      <c r="GN21" s="107"/>
      <c r="GO21" s="107"/>
      <c r="GP21" s="107"/>
      <c r="GQ21" s="107"/>
      <c r="GR21" s="107"/>
      <c r="GS21" s="107"/>
      <c r="GT21" s="107"/>
      <c r="GU21" s="107"/>
      <c r="GV21" s="107"/>
      <c r="GW21" s="107"/>
      <c r="GX21" s="107"/>
      <c r="GY21" s="107"/>
      <c r="GZ21" s="107"/>
      <c r="HA21" s="107"/>
      <c r="HB21" s="107"/>
      <c r="HC21" s="107"/>
      <c r="HD21" s="107"/>
      <c r="HE21" s="107"/>
      <c r="HF21" s="107"/>
      <c r="HG21" s="107"/>
      <c r="HH21" s="107"/>
      <c r="HI21" s="107"/>
      <c r="HJ21" s="107"/>
      <c r="HK21" s="107"/>
      <c r="HL21" s="107"/>
      <c r="HM21" s="107"/>
      <c r="HN21" s="107"/>
      <c r="HO21" s="107"/>
      <c r="HP21" s="107"/>
      <c r="HQ21" s="107"/>
      <c r="HR21" s="107"/>
      <c r="HS21" s="107"/>
      <c r="HT21" s="107"/>
      <c r="HU21" s="107"/>
      <c r="HV21" s="107"/>
      <c r="HW21" s="107"/>
      <c r="HX21" s="107"/>
      <c r="HY21" s="107"/>
      <c r="HZ21" s="107"/>
      <c r="IA21" s="107"/>
      <c r="IB21" s="107"/>
      <c r="IC21" s="107"/>
      <c r="ID21" s="107"/>
      <c r="IE21" s="107"/>
      <c r="IF21" s="107"/>
      <c r="IG21" s="107"/>
      <c r="IH21" s="107"/>
      <c r="II21" s="107"/>
      <c r="IJ21" s="107"/>
      <c r="IK21" s="107"/>
      <c r="IL21" s="107"/>
      <c r="IM21" s="107"/>
      <c r="IN21" s="107"/>
      <c r="IO21" s="107"/>
      <c r="IP21" s="107"/>
      <c r="IQ21" s="107"/>
      <c r="IR21" s="107"/>
      <c r="IS21" s="107"/>
      <c r="IT21" s="107"/>
      <c r="IU21" s="107"/>
      <c r="IV21" s="107"/>
      <c r="IW21" s="107"/>
      <c r="IX21" s="107"/>
      <c r="IY21" s="107"/>
      <c r="IZ21" s="107"/>
      <c r="JA21" s="107"/>
      <c r="JB21" s="107"/>
      <c r="JC21" s="107"/>
      <c r="JD21" s="107"/>
      <c r="JE21" s="107"/>
      <c r="JF21" s="107"/>
      <c r="JG21" s="107"/>
      <c r="JH21" s="107"/>
      <c r="JI21" s="107"/>
      <c r="JJ21" s="107"/>
      <c r="JK21" s="107"/>
      <c r="JL21" s="107"/>
      <c r="JM21" s="107"/>
      <c r="JN21" s="107"/>
      <c r="JO21" s="107"/>
      <c r="JP21" s="107"/>
      <c r="JQ21" s="107"/>
      <c r="JR21" s="107"/>
      <c r="JS21" s="107"/>
      <c r="JT21" s="107"/>
      <c r="JU21" s="107"/>
      <c r="JV21" s="107"/>
      <c r="JW21" s="107"/>
      <c r="JX21" s="107"/>
      <c r="JY21" s="107"/>
      <c r="JZ21" s="107"/>
      <c r="KA21" s="107"/>
      <c r="KB21" s="107"/>
      <c r="KC21" s="107"/>
      <c r="KD21" s="107"/>
      <c r="KE21" s="107"/>
      <c r="KF21" s="107"/>
      <c r="KG21" s="107"/>
      <c r="KH21" s="107"/>
      <c r="KI21" s="107"/>
      <c r="KJ21" s="107"/>
      <c r="KK21" s="107"/>
      <c r="KL21" s="107"/>
      <c r="KM21" s="107"/>
      <c r="KN21" s="107"/>
      <c r="KO21" s="107"/>
      <c r="KP21" s="107"/>
      <c r="KQ21" s="107"/>
      <c r="KR21" s="107"/>
      <c r="KS21" s="107"/>
      <c r="KT21" s="107"/>
      <c r="KU21" s="107"/>
      <c r="KV21" s="107"/>
      <c r="KW21" s="107"/>
      <c r="KX21" s="107"/>
      <c r="KY21" s="107"/>
      <c r="KZ21" s="107"/>
      <c r="LA21" s="107"/>
      <c r="LB21" s="107"/>
      <c r="LC21" s="107"/>
      <c r="LD21" s="107"/>
      <c r="LE21" s="107"/>
      <c r="LF21" s="107"/>
      <c r="LG21" s="107"/>
      <c r="LH21" s="107"/>
      <c r="LI21" s="107"/>
      <c r="LJ21" s="107"/>
      <c r="LK21" s="107"/>
      <c r="LL21" s="107"/>
      <c r="LM21" s="107"/>
      <c r="LN21" s="107"/>
      <c r="LO21" s="107"/>
      <c r="LP21" s="107"/>
      <c r="LQ21" s="107"/>
      <c r="LR21" s="107"/>
      <c r="LS21" s="107"/>
      <c r="LT21" s="107"/>
      <c r="LU21" s="107"/>
      <c r="LV21" s="107"/>
      <c r="LW21" s="107"/>
      <c r="LX21" s="107"/>
      <c r="LY21" s="107"/>
      <c r="LZ21" s="107"/>
      <c r="MA21" s="107"/>
      <c r="MB21" s="107"/>
      <c r="MC21" s="107"/>
      <c r="MD21" s="107"/>
      <c r="ME21" s="107"/>
      <c r="MF21" s="107"/>
      <c r="MG21" s="107"/>
      <c r="MH21" s="107"/>
      <c r="MI21" s="107"/>
      <c r="MJ21" s="107"/>
      <c r="MK21" s="107"/>
      <c r="ML21" s="107"/>
      <c r="MM21" s="107"/>
      <c r="MN21" s="107"/>
      <c r="MO21" s="107"/>
      <c r="MP21" s="107"/>
      <c r="MQ21" s="107"/>
      <c r="MR21" s="107"/>
      <c r="MS21" s="107"/>
      <c r="MT21" s="107"/>
      <c r="MU21" s="107"/>
      <c r="MV21" s="107"/>
      <c r="MW21" s="107"/>
      <c r="MX21" s="107"/>
      <c r="MY21" s="107"/>
      <c r="MZ21" s="107"/>
      <c r="NA21" s="107"/>
      <c r="NB21" s="107"/>
      <c r="NC21" s="107"/>
      <c r="ND21" s="107"/>
      <c r="NE21" s="107"/>
      <c r="NF21" s="107"/>
      <c r="NG21" s="107"/>
      <c r="NH21" s="107"/>
      <c r="NI21" s="107"/>
      <c r="NJ21" s="107"/>
      <c r="NK21" s="107"/>
      <c r="NL21" s="107"/>
      <c r="NM21" s="107"/>
      <c r="NN21" s="107"/>
      <c r="NO21" s="107"/>
      <c r="NP21" s="107"/>
      <c r="NQ21" s="107"/>
      <c r="NR21" s="107"/>
      <c r="NS21" s="107"/>
      <c r="NT21" s="107"/>
      <c r="NU21" s="107"/>
      <c r="NV21" s="107"/>
      <c r="NW21" s="107"/>
      <c r="NX21" s="107"/>
      <c r="NY21" s="107"/>
      <c r="NZ21" s="107"/>
      <c r="OA21" s="107"/>
      <c r="OB21" s="107"/>
      <c r="OC21" s="107"/>
      <c r="OD21" s="107"/>
      <c r="OE21" s="107"/>
      <c r="OF21" s="107"/>
      <c r="OG21" s="107"/>
      <c r="OH21" s="107"/>
      <c r="OI21" s="107"/>
      <c r="OJ21" s="107"/>
      <c r="OK21" s="107"/>
      <c r="OL21" s="107"/>
      <c r="OM21" s="107"/>
      <c r="ON21" s="107"/>
      <c r="OO21" s="107"/>
      <c r="OP21" s="107"/>
      <c r="OQ21" s="107"/>
      <c r="OR21" s="107"/>
      <c r="OS21" s="107"/>
      <c r="OT21" s="107"/>
      <c r="OU21" s="107"/>
      <c r="OV21" s="107"/>
      <c r="OW21" s="107"/>
      <c r="OX21" s="107"/>
      <c r="OY21" s="107"/>
      <c r="OZ21" s="107"/>
      <c r="PA21" s="107"/>
      <c r="PB21" s="107"/>
      <c r="PC21" s="107"/>
      <c r="PD21" s="107"/>
      <c r="PE21" s="107"/>
      <c r="PF21" s="107"/>
      <c r="PG21" s="107"/>
      <c r="PH21" s="107"/>
      <c r="PI21" s="107"/>
      <c r="PJ21" s="107"/>
      <c r="PK21" s="107"/>
      <c r="PL21" s="107"/>
      <c r="PM21" s="107"/>
      <c r="PN21" s="107"/>
      <c r="PO21" s="107"/>
      <c r="PP21" s="107"/>
      <c r="PQ21" s="107"/>
      <c r="PR21" s="107"/>
      <c r="PS21" s="107"/>
      <c r="PT21" s="107"/>
      <c r="PU21" s="107"/>
      <c r="PV21" s="107"/>
      <c r="PW21" s="107"/>
      <c r="PX21" s="107"/>
      <c r="PY21" s="107"/>
      <c r="PZ21" s="107"/>
      <c r="QA21" s="107"/>
      <c r="QB21" s="107"/>
      <c r="QC21" s="107"/>
      <c r="QD21" s="107"/>
      <c r="QE21" s="107"/>
      <c r="QF21" s="107"/>
      <c r="QG21" s="107"/>
      <c r="QH21" s="107"/>
      <c r="QI21" s="107"/>
      <c r="QJ21" s="107"/>
      <c r="QK21" s="107"/>
      <c r="QL21" s="107"/>
      <c r="QM21" s="107"/>
      <c r="QN21" s="107"/>
      <c r="QO21" s="107"/>
      <c r="QP21" s="107"/>
      <c r="QQ21" s="107"/>
      <c r="QR21" s="107"/>
      <c r="QS21" s="107"/>
      <c r="QT21" s="107"/>
      <c r="QU21" s="107"/>
      <c r="QV21" s="107"/>
      <c r="QW21" s="107"/>
      <c r="QX21" s="107"/>
      <c r="QY21" s="107"/>
      <c r="QZ21" s="107"/>
      <c r="RA21" s="107"/>
      <c r="RB21" s="107"/>
      <c r="RC21" s="107"/>
      <c r="RD21" s="107"/>
      <c r="RE21" s="107"/>
      <c r="RF21" s="107"/>
      <c r="RG21" s="107"/>
      <c r="RH21" s="107"/>
    </row>
    <row r="22" spans="1:476" x14ac:dyDescent="0.25">
      <c r="A22" s="103" t="s">
        <v>669</v>
      </c>
      <c r="B22" s="20" t="s">
        <v>670</v>
      </c>
      <c r="C22" s="21" t="s">
        <v>702</v>
      </c>
      <c r="D22" s="15" t="s">
        <v>704</v>
      </c>
      <c r="E22" s="15">
        <v>9378</v>
      </c>
      <c r="F22" s="21">
        <v>3</v>
      </c>
      <c r="G22" s="21" t="s">
        <v>142</v>
      </c>
      <c r="H22" s="21">
        <v>0.69</v>
      </c>
      <c r="I22" s="48">
        <f>MAX('Min rate concentrations'!$H$3:$H$368)</f>
        <v>47</v>
      </c>
      <c r="J22" s="48">
        <f>MAX('Min rate concentrations'!AA:AA)</f>
        <v>32.5</v>
      </c>
      <c r="K22" s="59">
        <f t="shared" si="0"/>
        <v>1.5359355468590252</v>
      </c>
      <c r="L22" s="59">
        <f t="shared" si="4"/>
        <v>1.0620830909131558</v>
      </c>
      <c r="M22" s="59">
        <f>IF((((0.065*F22^0.726)/3.7-(0.301*F22^0.751)/(1-H22)*H22)*(MAX('Min rate concentrations'!$P$3:$P$368)))/F22&gt;0, (((0.065*F22^0.726)/3.7-(0.301*F22^0.751)/(1-H22)*H22)*(MAX('Min rate concentrations'!$P$3:$P$368)))/F22, 0)</f>
        <v>0</v>
      </c>
      <c r="N22" s="59">
        <f>IF((((0.065*F22^0.726)/3.7-(0.301*F22^0.751)/(1-H22)*H22)*(MAX('Min rate concentrations'!$Q$3:$Q$368)))/F22&gt;0, (((0.065*F22^0.726)/3.7-(0.301*F22^0.751)/(1-H22)*H22)*(MAX('Min rate concentrations'!$Q$3:$Q$368)))/F22, 0)</f>
        <v>0</v>
      </c>
      <c r="O22" s="59" t="s">
        <v>13</v>
      </c>
      <c r="P22" s="59" t="s">
        <v>13</v>
      </c>
      <c r="Q22" s="59">
        <f>(inputs!$C$7*11.2)*(1.131*F22^0.579)*0.5*1/F22</f>
        <v>1.9941259634554307</v>
      </c>
      <c r="R22" s="59">
        <f>(60*76.9*((F22/1000)^0.76)*3*24*(MAX('Min rate concentrations'!$R$3:$R$368))/F22)</f>
        <v>1.7200751972895458E-3</v>
      </c>
      <c r="S22" s="59">
        <f>(IF(inputs!$C$6="aerial",((0.025*0.112*inputs!$C$7/3.3)*(3*60*76.9*((F22/1000)^0.76))*MAX(inputs!$H$14:$H$16))/F22,((0.0083*0.112*inputs!$C$7/1)*(3*60*76.9*((F22/1000)^0.76))*MAX(inputs!$H$14:$H$16))/F22))</f>
        <v>7.2629640497909606E-3</v>
      </c>
      <c r="T22" s="63">
        <f>IF((((inputs!$P$12/(V22/MAX(K22:S22)))^(1/inputs!$O$12))-1)/inputs!$N$12&lt;0, 0, IF((((inputs!$P$12/(V22/MAX(K22:S22)))^(1/inputs!$O$12))-1)/inputs!$N$12&gt;inputs!$H$17, inputs!$H$17, (((inputs!$P$12/(V22/MAX(K22:S22)))^(1/inputs!$O$12))-1)/inputs!$N$12))</f>
        <v>553.74253709103971</v>
      </c>
      <c r="U22" s="63">
        <f>IF((((inputs!$P$12/(X22/MAX(K22:S22)))^(1/inputs!$O$12))-1)/inputs!$N$12&lt;0, 0, IF((((inputs!$P$12/(X22/MAX(K22:S22)))^(1/inputs!$O$12))-1)/inputs!$N$12&gt;inputs!$H$17, inputs!$H$17, (((inputs!$P$12/(X22/MAX(K22:S22)))^(1/inputs!$O$12))-1)/inputs!$N$12))</f>
        <v>305.16976711189687</v>
      </c>
      <c r="V22" s="21">
        <f>inputs!$E$87*(F22/inputs!$F$87)^(1)</f>
        <v>5.6999999999999998E-4</v>
      </c>
      <c r="W22" s="21">
        <f>inputs!$E$90*(F22/inputs!$F$90)^(1)</f>
        <v>5.9999999999999995E-4</v>
      </c>
      <c r="X22" s="21">
        <f>inputs!$E$89*(F22/inputs!$F$89)^(1)</f>
        <v>2.2405063291139238E-3</v>
      </c>
      <c r="Y22" s="21" t="s">
        <v>13</v>
      </c>
      <c r="Z22" s="63">
        <f t="shared" si="1"/>
        <v>3498.4666025533875</v>
      </c>
      <c r="AA22" s="63">
        <f t="shared" si="2"/>
        <v>3323.543272425718</v>
      </c>
    </row>
    <row r="23" spans="1:476" x14ac:dyDescent="0.25">
      <c r="A23" s="103" t="s">
        <v>669</v>
      </c>
      <c r="B23" s="20" t="s">
        <v>670</v>
      </c>
      <c r="C23" s="21" t="s">
        <v>702</v>
      </c>
      <c r="D23" s="15" t="s">
        <v>704</v>
      </c>
      <c r="E23" s="15">
        <v>9378</v>
      </c>
      <c r="F23" s="21">
        <v>3</v>
      </c>
      <c r="G23" s="21" t="s">
        <v>164</v>
      </c>
      <c r="H23" s="21">
        <v>0.78</v>
      </c>
      <c r="I23" s="48">
        <f>inputs!$C$65*(inputs!$C$62/1000)</f>
        <v>0.82000000000000006</v>
      </c>
      <c r="J23" s="48">
        <f>inputs!$C$65*(inputs!$C$61/1000)</f>
        <v>0.25</v>
      </c>
      <c r="K23" s="59">
        <f t="shared" si="0"/>
        <v>3.7759653386031371E-2</v>
      </c>
      <c r="L23" s="59">
        <f t="shared" si="4"/>
        <v>1.1512089446960782E-2</v>
      </c>
      <c r="M23" s="59">
        <f>IF((((0.065*F23^0.726)/3.7-(0.301*F23^0.751)/(1-H23)*H23)*(MAX('Min rate concentrations'!$P$3:$P$368)))/F23&gt;0, (((0.065*F23^0.726)/3.7-(0.301*F23^0.751)/(1-H23)*H23)*(MAX('Min rate concentrations'!$P$3:$P$368)))/F23, 0)</f>
        <v>0</v>
      </c>
      <c r="N23" s="59">
        <f>IF((((0.065*F23^0.726)/3.7-(0.301*F23^0.751)/(1-H23)*H23)*(MAX('Min rate concentrations'!$Q$3:$Q$368)))/F23&gt;0, (((0.065*F23^0.726)/3.7-(0.301*F23^0.751)/(1-H23)*H23)*(MAX('Min rate concentrations'!$Q$3:$Q$368)))/F23, 0)</f>
        <v>0</v>
      </c>
      <c r="O23" s="59" t="s">
        <v>13</v>
      </c>
      <c r="P23" s="59" t="s">
        <v>13</v>
      </c>
      <c r="Q23" s="59">
        <f>(inputs!$C$7*11.2)*(1.131*F23^0.579)*0.5*1/F23</f>
        <v>1.9941259634554307</v>
      </c>
      <c r="R23" s="59">
        <f>(60*76.9*((F23/1000)^0.76)*3*24*(MAX('Min rate concentrations'!$R$3:$R$368))/F23)</f>
        <v>1.7200751972895458E-3</v>
      </c>
      <c r="S23" s="59">
        <f>(IF(inputs!$C$6="aerial",((0.025*0.112*inputs!$C$7/3.3)*(3*60*76.9*((F23/1000)^0.76))*MAX(inputs!$H$14:$H$16))/F23,((0.0083*0.112*inputs!$C$7/1)*(3*60*76.9*((F23/1000)^0.76))*MAX(inputs!$H$14:$H$16))/F23))</f>
        <v>7.2629640497909606E-3</v>
      </c>
      <c r="T23" s="63">
        <f>IF((((inputs!$P$12/(V23/MAX(K23:S23)))^(1/inputs!$O$12))-1)/inputs!$N$12&lt;0, 0, IF((((inputs!$P$12/(V23/MAX(K23:S23)))^(1/inputs!$O$12))-1)/inputs!$N$12&gt;inputs!$H$17, inputs!$H$17, (((inputs!$P$12/(V23/MAX(K23:S23)))^(1/inputs!$O$12))-1)/inputs!$N$12))</f>
        <v>553.74253709103971</v>
      </c>
      <c r="U23" s="63">
        <f>IF((((inputs!$P$12/(X23/MAX(K23:S23)))^(1/inputs!$O$12))-1)/inputs!$N$12&lt;0, 0, IF((((inputs!$P$12/(X23/MAX(K23:S23)))^(1/inputs!$O$12))-1)/inputs!$N$12&gt;inputs!$H$17, inputs!$H$17, (((inputs!$P$12/(X23/MAX(K23:S23)))^(1/inputs!$O$12))-1)/inputs!$N$12))</f>
        <v>305.16976711189687</v>
      </c>
      <c r="V23" s="21">
        <f>inputs!$E$87*(F23/inputs!$F$87)^(1)</f>
        <v>5.6999999999999998E-4</v>
      </c>
      <c r="W23" s="21">
        <f>inputs!$E$90*(F23/inputs!$F$90)^(1)</f>
        <v>5.9999999999999995E-4</v>
      </c>
      <c r="X23" s="21">
        <f>inputs!$E$89*(F23/inputs!$F$89)^(1)</f>
        <v>2.2405063291139238E-3</v>
      </c>
      <c r="Y23" s="21" t="s">
        <v>13</v>
      </c>
      <c r="Z23" s="63">
        <f t="shared" si="1"/>
        <v>3498.4666025533875</v>
      </c>
      <c r="AA23" s="63">
        <f t="shared" si="2"/>
        <v>3323.543272425718</v>
      </c>
    </row>
    <row r="24" spans="1:476" ht="26.4" x14ac:dyDescent="0.25">
      <c r="A24" s="103" t="s">
        <v>693</v>
      </c>
      <c r="B24" s="20" t="s">
        <v>694</v>
      </c>
      <c r="C24" s="21" t="s">
        <v>702</v>
      </c>
      <c r="D24" s="15" t="s">
        <v>704</v>
      </c>
      <c r="E24" s="15">
        <v>1740</v>
      </c>
      <c r="F24" s="21">
        <v>13.84</v>
      </c>
      <c r="G24" s="21" t="s">
        <v>142</v>
      </c>
      <c r="H24" s="21">
        <v>0.69</v>
      </c>
      <c r="I24" s="48">
        <f>MAX('Min rate concentrations'!$H$3:$H$368)</f>
        <v>47</v>
      </c>
      <c r="J24" s="48">
        <f>MAX('Min rate concentrations'!AA:AA)</f>
        <v>32.5</v>
      </c>
      <c r="K24" s="59">
        <f t="shared" si="0"/>
        <v>1.0855294843857939</v>
      </c>
      <c r="L24" s="59">
        <f t="shared" si="4"/>
        <v>0.75063209026677247</v>
      </c>
      <c r="M24" s="59">
        <f>IF((((0.065*F24^0.726)/3.7-(0.301*F24^0.751)/(1-H24)*H24)*(MAX('Min rate concentrations'!$P$3:$P$368)))/F24&gt;0, (((0.065*F24^0.726)/3.7-(0.301*F24^0.751)/(1-H24)*H24)*(MAX('Min rate concentrations'!$P$3:$P$368)))/F24, 0)</f>
        <v>0</v>
      </c>
      <c r="N24" s="59">
        <f>IF((((0.065*F24^0.726)/3.7-(0.301*F24^0.751)/(1-H24)*H24)*(MAX('Min rate concentrations'!$Q$3:$Q$368)))/F24&gt;0, (((0.065*F24^0.726)/3.7-(0.301*F24^0.751)/(1-H24)*H24)*(MAX('Min rate concentrations'!$Q$3:$Q$368)))/F24, 0)</f>
        <v>0</v>
      </c>
      <c r="O24" s="59" t="s">
        <v>13</v>
      </c>
      <c r="P24" s="59" t="s">
        <v>13</v>
      </c>
      <c r="Q24" s="59">
        <f>(inputs!$C$7*11.2)*(1.131*F24^0.579)*0.5*1/F24</f>
        <v>1.0476165298273163</v>
      </c>
      <c r="R24" s="59">
        <f>(60*76.9*((F24/1000)^0.76)*3*24*(MAX('Min rate concentrations'!$R$3:$R$368))/F24)</f>
        <v>1.1917464668909279E-3</v>
      </c>
      <c r="S24" s="59">
        <f>(IF(inputs!$C$6="aerial",((0.025*0.112*inputs!$C$7/3.3)*(3*60*76.9*((F24/1000)^0.76))*MAX(inputs!$H$14:$H$16))/F24,((0.0083*0.112*inputs!$C$7/1)*(3*60*76.9*((F24/1000)^0.76))*MAX(inputs!$H$14:$H$16))/F24))</f>
        <v>5.0321124094653029E-3</v>
      </c>
      <c r="T24" s="63">
        <f>IF((((inputs!$P$12/(V24/MAX(K24:S24)))^(1/inputs!$O$12))-1)/inputs!$N$12&lt;0, 0, IF((((inputs!$P$12/(V24/MAX(K24:S24)))^(1/inputs!$O$12))-1)/inputs!$N$12&gt;inputs!$H$17, inputs!$H$17, (((inputs!$P$12/(V24/MAX(K24:S24)))^(1/inputs!$O$12))-1)/inputs!$N$12))</f>
        <v>215.62512777804133</v>
      </c>
      <c r="U24" s="63">
        <f>IF((((inputs!$P$12/(X24/MAX(K24:S24)))^(1/inputs!$O$12))-1)/inputs!$N$12&lt;0, 0, IF((((inputs!$P$12/(X24/MAX(K24:S24)))^(1/inputs!$O$12))-1)/inputs!$N$12&gt;inputs!$H$17, inputs!$H$17, (((inputs!$P$12/(X24/MAX(K24:S24)))^(1/inputs!$O$12))-1)/inputs!$N$12))</f>
        <v>111.40495155535545</v>
      </c>
      <c r="V24" s="21">
        <f>inputs!$E$87*(F24/inputs!$F$87)^(1)</f>
        <v>2.6295999999999997E-3</v>
      </c>
      <c r="W24" s="21">
        <f>inputs!$E$90*(F24/inputs!$F$90)^(1)</f>
        <v>2.7680000000000001E-3</v>
      </c>
      <c r="X24" s="21">
        <f>inputs!$E$89*(F24/inputs!$F$89)^(1)</f>
        <v>1.0336202531645569E-2</v>
      </c>
      <c r="Y24" s="21" t="s">
        <v>13</v>
      </c>
      <c r="Z24" s="63">
        <f t="shared" si="1"/>
        <v>412.81163841869255</v>
      </c>
      <c r="AA24" s="63">
        <f t="shared" si="2"/>
        <v>392.17105649775789</v>
      </c>
    </row>
    <row r="25" spans="1:476" ht="26.4" x14ac:dyDescent="0.25">
      <c r="A25" s="103" t="s">
        <v>693</v>
      </c>
      <c r="B25" s="20" t="s">
        <v>694</v>
      </c>
      <c r="C25" s="21" t="s">
        <v>702</v>
      </c>
      <c r="D25" s="15" t="s">
        <v>704</v>
      </c>
      <c r="E25" s="15">
        <v>1740</v>
      </c>
      <c r="F25" s="21">
        <v>13.84</v>
      </c>
      <c r="G25" s="21" t="s">
        <v>164</v>
      </c>
      <c r="H25" s="21">
        <v>0.78</v>
      </c>
      <c r="I25" s="48">
        <f>inputs!$C$65*(inputs!$C$62/1000)</f>
        <v>0.82000000000000006</v>
      </c>
      <c r="J25" s="48">
        <f>inputs!$C$65*(inputs!$C$61/1000)</f>
        <v>0.25</v>
      </c>
      <c r="K25" s="59">
        <f t="shared" si="0"/>
        <v>2.6686808020393513E-2</v>
      </c>
      <c r="L25" s="59">
        <f t="shared" si="4"/>
        <v>8.1362219574370453E-3</v>
      </c>
      <c r="M25" s="59">
        <f>IF((((0.065*F25^0.726)/3.7-(0.301*F25^0.751)/(1-H25)*H25)*(MAX('Min rate concentrations'!$P$3:$P$368)))/F25&gt;0, (((0.065*F25^0.726)/3.7-(0.301*F25^0.751)/(1-H25)*H25)*(MAX('Min rate concentrations'!$P$3:$P$368)))/F25, 0)</f>
        <v>0</v>
      </c>
      <c r="N25" s="59">
        <f>IF((((0.065*F25^0.726)/3.7-(0.301*F25^0.751)/(1-H25)*H25)*(MAX('Min rate concentrations'!$Q$3:$Q$368)))/F25&gt;0, (((0.065*F25^0.726)/3.7-(0.301*F25^0.751)/(1-H25)*H25)*(MAX('Min rate concentrations'!$Q$3:$Q$368)))/F25, 0)</f>
        <v>0</v>
      </c>
      <c r="O25" s="59" t="s">
        <v>13</v>
      </c>
      <c r="P25" s="59" t="s">
        <v>13</v>
      </c>
      <c r="Q25" s="59">
        <f>(inputs!$C$7*11.2)*(1.131*F25^0.579)*0.5*1/F25</f>
        <v>1.0476165298273163</v>
      </c>
      <c r="R25" s="59">
        <f>(60*76.9*((F25/1000)^0.76)*3*24*(MAX('Min rate concentrations'!$R$3:$R$368))/F25)</f>
        <v>1.1917464668909279E-3</v>
      </c>
      <c r="S25" s="59">
        <f>(IF(inputs!$C$6="aerial",((0.025*0.112*inputs!$C$7/3.3)*(3*60*76.9*((F25/1000)^0.76))*MAX(inputs!$H$14:$H$16))/F25,((0.0083*0.112*inputs!$C$7/1)*(3*60*76.9*((F25/1000)^0.76))*MAX(inputs!$H$14:$H$16))/F25))</f>
        <v>5.0321124094653029E-3</v>
      </c>
      <c r="T25" s="63">
        <f>IF((((inputs!$P$12/(V25/MAX(K25:S25)))^(1/inputs!$O$12))-1)/inputs!$N$12&lt;0, 0, IF((((inputs!$P$12/(V25/MAX(K25:S25)))^(1/inputs!$O$12))-1)/inputs!$N$12&gt;inputs!$H$17, inputs!$H$17, (((inputs!$P$12/(V25/MAX(K25:S25)))^(1/inputs!$O$12))-1)/inputs!$N$12))</f>
        <v>212.12072855180637</v>
      </c>
      <c r="U25" s="63">
        <f>IF((((inputs!$P$12/(X25/MAX(K25:S25)))^(1/inputs!$O$12))-1)/inputs!$N$12&lt;0, 0, IF((((inputs!$P$12/(X25/MAX(K25:S25)))^(1/inputs!$O$12))-1)/inputs!$N$12&gt;inputs!$H$17, inputs!$H$17, (((inputs!$P$12/(X25/MAX(K25:S25)))^(1/inputs!$O$12))-1)/inputs!$N$12))</f>
        <v>109.39668681948284</v>
      </c>
      <c r="V25" s="21">
        <f>inputs!$E$87*(F25/inputs!$F$87)^(1)</f>
        <v>2.6295999999999997E-3</v>
      </c>
      <c r="W25" s="21">
        <f>inputs!$E$90*(F25/inputs!$F$90)^(1)</f>
        <v>2.7680000000000001E-3</v>
      </c>
      <c r="X25" s="21">
        <f>inputs!$E$89*(F25/inputs!$F$89)^(1)</f>
        <v>1.0336202531645569E-2</v>
      </c>
      <c r="Y25" s="21" t="s">
        <v>13</v>
      </c>
      <c r="Z25" s="63">
        <f t="shared" si="1"/>
        <v>398.39387352727277</v>
      </c>
      <c r="AA25" s="63">
        <f t="shared" si="2"/>
        <v>378.47417985090908</v>
      </c>
    </row>
    <row r="26" spans="1:476" ht="26.4" x14ac:dyDescent="0.25">
      <c r="A26" s="103" t="s">
        <v>693</v>
      </c>
      <c r="B26" s="20" t="s">
        <v>695</v>
      </c>
      <c r="C26" s="21" t="s">
        <v>702</v>
      </c>
      <c r="D26" s="15" t="s">
        <v>704</v>
      </c>
      <c r="E26" s="15">
        <v>207</v>
      </c>
      <c r="F26" s="21">
        <v>13.84</v>
      </c>
      <c r="G26" s="21" t="s">
        <v>142</v>
      </c>
      <c r="H26" s="21">
        <v>0.69</v>
      </c>
      <c r="I26" s="48">
        <f>MAX('Min rate concentrations'!$H$3:$H$368)</f>
        <v>47</v>
      </c>
      <c r="J26" s="48">
        <f>MAX('Min rate concentrations'!AA:AA)</f>
        <v>32.5</v>
      </c>
      <c r="K26" s="59">
        <f t="shared" si="0"/>
        <v>1.0855294843857939</v>
      </c>
      <c r="L26" s="59">
        <f t="shared" si="4"/>
        <v>0.75063209026677247</v>
      </c>
      <c r="M26" s="59">
        <f>IF((((0.065*F26^0.726)/3.7-(0.301*F26^0.751)/(1-H26)*H26)*(MAX('Min rate concentrations'!$P$3:$P$368)))/F26&gt;0, (((0.065*F26^0.726)/3.7-(0.301*F26^0.751)/(1-H26)*H26)*(MAX('Min rate concentrations'!$P$3:$P$368)))/F26, 0)</f>
        <v>0</v>
      </c>
      <c r="N26" s="59">
        <f>IF((((0.065*F26^0.726)/3.7-(0.301*F26^0.751)/(1-H26)*H26)*(MAX('Min rate concentrations'!$Q$3:$Q$368)))/F26&gt;0, (((0.065*F26^0.726)/3.7-(0.301*F26^0.751)/(1-H26)*H26)*(MAX('Min rate concentrations'!$Q$3:$Q$368)))/F26, 0)</f>
        <v>0</v>
      </c>
      <c r="O26" s="59" t="s">
        <v>13</v>
      </c>
      <c r="P26" s="59" t="s">
        <v>13</v>
      </c>
      <c r="Q26" s="59">
        <f>(inputs!$C$7*11.2)*(1.131*F26^0.579)*0.5*1/F26</f>
        <v>1.0476165298273163</v>
      </c>
      <c r="R26" s="59">
        <f>(60*76.9*((F26/1000)^0.76)*3*24*(MAX('Min rate concentrations'!$R$3:$R$368))/F26)</f>
        <v>1.1917464668909279E-3</v>
      </c>
      <c r="S26" s="59">
        <f>(IF(inputs!$C$6="aerial",((0.025*0.112*inputs!$C$7/3.3)*(3*60*76.9*((F26/1000)^0.76))*MAX(inputs!$H$14:$H$16))/F26,((0.0083*0.112*inputs!$C$7/1)*(3*60*76.9*((F26/1000)^0.76))*MAX(inputs!$H$14:$H$16))/F26))</f>
        <v>5.0321124094653029E-3</v>
      </c>
      <c r="T26" s="63">
        <f>IF((((inputs!$P$12/(V26/MAX(K26:S26)))^(1/inputs!$O$12))-1)/inputs!$N$12&lt;0, 0, IF((((inputs!$P$12/(V26/MAX(K26:S26)))^(1/inputs!$O$12))-1)/inputs!$N$12&gt;inputs!$H$17, inputs!$H$17, (((inputs!$P$12/(V26/MAX(K26:S26)))^(1/inputs!$O$12))-1)/inputs!$N$12))</f>
        <v>215.62512777804133</v>
      </c>
      <c r="U26" s="63">
        <f>IF((((inputs!$P$12/(X26/MAX(K26:S26)))^(1/inputs!$O$12))-1)/inputs!$N$12&lt;0, 0, IF((((inputs!$P$12/(X26/MAX(K26:S26)))^(1/inputs!$O$12))-1)/inputs!$N$12&gt;inputs!$H$17, inputs!$H$17, (((inputs!$P$12/(X26/MAX(K26:S26)))^(1/inputs!$O$12))-1)/inputs!$N$12))</f>
        <v>111.40495155535545</v>
      </c>
      <c r="V26" s="21">
        <f>inputs!$E$87*(F26/inputs!$F$87)^(1)</f>
        <v>2.6295999999999997E-3</v>
      </c>
      <c r="W26" s="21">
        <f>inputs!$E$90*(F26/inputs!$F$90)^(1)</f>
        <v>2.7680000000000001E-3</v>
      </c>
      <c r="X26" s="21">
        <f>inputs!$E$89*(F26/inputs!$F$89)^(1)</f>
        <v>1.0336202531645569E-2</v>
      </c>
      <c r="Y26" s="21" t="s">
        <v>13</v>
      </c>
      <c r="Z26" s="63">
        <f t="shared" si="1"/>
        <v>412.81163841869255</v>
      </c>
      <c r="AA26" s="63">
        <f t="shared" si="2"/>
        <v>392.17105649775789</v>
      </c>
    </row>
    <row r="27" spans="1:476" ht="26.4" x14ac:dyDescent="0.25">
      <c r="A27" s="103" t="s">
        <v>693</v>
      </c>
      <c r="B27" s="20" t="s">
        <v>695</v>
      </c>
      <c r="C27" s="21" t="s">
        <v>702</v>
      </c>
      <c r="D27" s="15" t="s">
        <v>704</v>
      </c>
      <c r="E27" s="15">
        <v>207</v>
      </c>
      <c r="F27" s="21">
        <v>13.84</v>
      </c>
      <c r="G27" s="21" t="s">
        <v>164</v>
      </c>
      <c r="H27" s="21">
        <v>0.78</v>
      </c>
      <c r="I27" s="48">
        <f>inputs!$C$65*(inputs!$C$62/1000)</f>
        <v>0.82000000000000006</v>
      </c>
      <c r="J27" s="48">
        <f>inputs!$C$65*(inputs!$C$61/1000)</f>
        <v>0.25</v>
      </c>
      <c r="K27" s="59">
        <f t="shared" si="0"/>
        <v>2.6686808020393513E-2</v>
      </c>
      <c r="L27" s="59">
        <f t="shared" si="4"/>
        <v>8.1362219574370453E-3</v>
      </c>
      <c r="M27" s="59">
        <f>IF((((0.065*F27^0.726)/3.7-(0.301*F27^0.751)/(1-H27)*H27)*(MAX('Min rate concentrations'!$P$3:$P$368)))/F27&gt;0, (((0.065*F27^0.726)/3.7-(0.301*F27^0.751)/(1-H27)*H27)*(MAX('Min rate concentrations'!$P$3:$P$368)))/F27, 0)</f>
        <v>0</v>
      </c>
      <c r="N27" s="59">
        <f>IF((((0.065*F27^0.726)/3.7-(0.301*F27^0.751)/(1-H27)*H27)*(MAX('Min rate concentrations'!$Q$3:$Q$368)))/F27&gt;0, (((0.065*F27^0.726)/3.7-(0.301*F27^0.751)/(1-H27)*H27)*(MAX('Min rate concentrations'!$Q$3:$Q$368)))/F27, 0)</f>
        <v>0</v>
      </c>
      <c r="O27" s="59" t="s">
        <v>13</v>
      </c>
      <c r="P27" s="59" t="s">
        <v>13</v>
      </c>
      <c r="Q27" s="59">
        <f>(inputs!$C$7*11.2)*(1.131*F27^0.579)*0.5*1/F27</f>
        <v>1.0476165298273163</v>
      </c>
      <c r="R27" s="59">
        <f>(60*76.9*((F27/1000)^0.76)*3*24*(MAX('Min rate concentrations'!$R$3:$R$368))/F27)</f>
        <v>1.1917464668909279E-3</v>
      </c>
      <c r="S27" s="59">
        <f>(IF(inputs!$C$6="aerial",((0.025*0.112*inputs!$C$7/3.3)*(3*60*76.9*((F27/1000)^0.76))*MAX(inputs!$H$14:$H$16))/F27,((0.0083*0.112*inputs!$C$7/1)*(3*60*76.9*((F27/1000)^0.76))*MAX(inputs!$H$14:$H$16))/F27))</f>
        <v>5.0321124094653029E-3</v>
      </c>
      <c r="T27" s="63">
        <f>IF((((inputs!$P$12/(V27/MAX(K27:S27)))^(1/inputs!$O$12))-1)/inputs!$N$12&lt;0, 0, IF((((inputs!$P$12/(V27/MAX(K27:S27)))^(1/inputs!$O$12))-1)/inputs!$N$12&gt;inputs!$H$17, inputs!$H$17, (((inputs!$P$12/(V27/MAX(K27:S27)))^(1/inputs!$O$12))-1)/inputs!$N$12))</f>
        <v>212.12072855180637</v>
      </c>
      <c r="U27" s="63">
        <f>IF((((inputs!$P$12/(X27/MAX(K27:S27)))^(1/inputs!$O$12))-1)/inputs!$N$12&lt;0, 0, IF((((inputs!$P$12/(X27/MAX(K27:S27)))^(1/inputs!$O$12))-1)/inputs!$N$12&gt;inputs!$H$17, inputs!$H$17, (((inputs!$P$12/(X27/MAX(K27:S27)))^(1/inputs!$O$12))-1)/inputs!$N$12))</f>
        <v>109.39668681948284</v>
      </c>
      <c r="V27" s="21">
        <f>inputs!$E$87*(F27/inputs!$F$87)^(1)</f>
        <v>2.6295999999999997E-3</v>
      </c>
      <c r="W27" s="21">
        <f>inputs!$E$90*(F27/inputs!$F$90)^(1)</f>
        <v>2.7680000000000001E-3</v>
      </c>
      <c r="X27" s="21">
        <f>inputs!$E$89*(F27/inputs!$F$89)^(1)</f>
        <v>1.0336202531645569E-2</v>
      </c>
      <c r="Y27" s="21" t="s">
        <v>13</v>
      </c>
      <c r="Z27" s="63">
        <f t="shared" si="1"/>
        <v>398.39387352727277</v>
      </c>
      <c r="AA27" s="63">
        <f t="shared" si="2"/>
        <v>378.47417985090908</v>
      </c>
    </row>
    <row r="28" spans="1:476" x14ac:dyDescent="0.25">
      <c r="A28" s="103" t="s">
        <v>696</v>
      </c>
      <c r="B28" s="20" t="s">
        <v>697</v>
      </c>
      <c r="C28" s="21" t="s">
        <v>702</v>
      </c>
      <c r="D28" s="15" t="s">
        <v>704</v>
      </c>
      <c r="E28" s="15">
        <v>4090</v>
      </c>
      <c r="F28" s="21">
        <v>8</v>
      </c>
      <c r="G28" s="21" t="s">
        <v>182</v>
      </c>
      <c r="H28" s="21">
        <v>0.85</v>
      </c>
      <c r="I28" s="48">
        <f>MAX('Min rate concentrations'!$M$3:$M$368)</f>
        <v>2.8488184789681945</v>
      </c>
      <c r="J28" s="48">
        <f>MAX('Min rate concentrations'!AE:AE)</f>
        <v>1.9699276716269429</v>
      </c>
      <c r="K28" s="59">
        <f t="shared" si="0"/>
        <v>0.15399812883629896</v>
      </c>
      <c r="L28" s="59">
        <f t="shared" si="4"/>
        <v>0.10648806781233437</v>
      </c>
      <c r="M28" s="59">
        <f>IF((((0.065*F28^0.726)/3.7-(0.301*F28^0.751)/(1-H28)*H28)*(MAX('Min rate concentrations'!$P$3:$P$368)))/F28&gt;0, (((0.065*F28^0.726)/3.7-(0.301*F28^0.751)/(1-H28)*H28)*(MAX('Min rate concentrations'!$P$3:$P$368)))/F28, 0)</f>
        <v>0</v>
      </c>
      <c r="N28" s="59">
        <f>IF((((0.065*F28^0.726)/3.7-(0.301*F28^0.751)/(1-H28)*H28)*(MAX('Min rate concentrations'!$Q$3:$Q$368)))/F28&gt;0, (((0.065*F28^0.726)/3.7-(0.301*F28^0.751)/(1-H28)*H28)*(MAX('Min rate concentrations'!$Q$3:$Q$368)))/F28, 0)</f>
        <v>0</v>
      </c>
      <c r="O28" s="59" t="s">
        <v>13</v>
      </c>
      <c r="P28" s="59" t="s">
        <v>13</v>
      </c>
      <c r="Q28" s="59">
        <f>(inputs!$C$7*11.2)*(1.131*F28^0.579)*0.5*1/F28</f>
        <v>1.3195314682159063</v>
      </c>
      <c r="R28" s="59">
        <f>(60*76.9*((F28/1000)^0.76)*3*24*(MAX('Min rate concentrations'!$R$3:$R$368))/F28)</f>
        <v>1.3592988135249188E-3</v>
      </c>
      <c r="S28" s="59">
        <f>(IF(inputs!$C$6="aerial",((0.025*0.112*inputs!$C$7/3.3)*(3*60*76.9*((F28/1000)^0.76))*MAX(inputs!$H$14:$H$16))/F28,((0.0083*0.112*inputs!$C$7/1)*(3*60*76.9*((F28/1000)^0.76))*MAX(inputs!$H$14:$H$16))/F28))</f>
        <v>5.7395969845457362E-3</v>
      </c>
      <c r="T28" s="63">
        <f>IF((((inputs!$P$12/(V28/MAX(K28:S28)))^(1/inputs!$O$12))-1)/inputs!$N$12&lt;0, 0, IF((((inputs!$P$12/(V28/MAX(K28:S28)))^(1/inputs!$O$12))-1)/inputs!$N$12&gt;inputs!$H$17, inputs!$H$17, (((inputs!$P$12/(V28/MAX(K28:S28)))^(1/inputs!$O$12))-1)/inputs!$N$12))</f>
        <v>301.80256273720795</v>
      </c>
      <c r="U28" s="63">
        <f>IF((((inputs!$P$12/(X28/MAX(K28:S28)))^(1/inputs!$O$12))-1)/inputs!$N$12&lt;0, 0, IF((((inputs!$P$12/(X28/MAX(K28:S28)))^(1/inputs!$O$12))-1)/inputs!$N$12&gt;inputs!$H$17, inputs!$H$17, (((inputs!$P$12/(X28/MAX(K28:S28)))^(1/inputs!$O$12))-1)/inputs!$N$12))</f>
        <v>160.7906215329138</v>
      </c>
      <c r="V28" s="21">
        <f>inputs!$E$87*(F28/inputs!$F$87)^(1)</f>
        <v>1.5200000000000001E-3</v>
      </c>
      <c r="W28" s="21">
        <f>inputs!$E$90*(F28/inputs!$F$90)^(1)</f>
        <v>1.6000000000000001E-3</v>
      </c>
      <c r="X28" s="21">
        <f>inputs!$E$89*(F28/inputs!$F$89)^(1)</f>
        <v>5.9746835443037971E-3</v>
      </c>
      <c r="Y28" s="21" t="s">
        <v>13</v>
      </c>
      <c r="Z28" s="63">
        <f t="shared" si="1"/>
        <v>868.11280803678039</v>
      </c>
      <c r="AA28" s="63">
        <f t="shared" si="2"/>
        <v>824.70716763494136</v>
      </c>
    </row>
    <row r="29" spans="1:476" x14ac:dyDescent="0.25">
      <c r="A29" s="103" t="s">
        <v>696</v>
      </c>
      <c r="B29" s="20" t="s">
        <v>697</v>
      </c>
      <c r="C29" s="21" t="s">
        <v>702</v>
      </c>
      <c r="D29" s="15" t="s">
        <v>704</v>
      </c>
      <c r="E29" s="15">
        <v>4090</v>
      </c>
      <c r="F29" s="21">
        <v>8</v>
      </c>
      <c r="G29" s="21" t="s">
        <v>142</v>
      </c>
      <c r="H29" s="21">
        <v>0.69</v>
      </c>
      <c r="I29" s="48">
        <f>MAX('Min rate concentrations'!$H$3:$H$368)</f>
        <v>47</v>
      </c>
      <c r="J29" s="48">
        <f>MAX('Min rate concentrations'!AA:AA)</f>
        <v>32.5</v>
      </c>
      <c r="K29" s="59">
        <f t="shared" si="0"/>
        <v>1.2293572007088416</v>
      </c>
      <c r="L29" s="59">
        <f t="shared" si="4"/>
        <v>0.85008742602207132</v>
      </c>
      <c r="M29" s="59">
        <f>IF((((0.065*F29^0.726)/3.7-(0.301*F29^0.751)/(1-H29)*H29)*(MAX('Min rate concentrations'!$P$3:$P$368)))/F29&gt;0, (((0.065*F29^0.726)/3.7-(0.301*F29^0.751)/(1-H29)*H29)*(MAX('Min rate concentrations'!$P$3:$P$368)))/F29, 0)</f>
        <v>0</v>
      </c>
      <c r="N29" s="59">
        <f>IF((((0.065*F29^0.726)/3.7-(0.301*F29^0.751)/(1-H29)*H29)*(MAX('Min rate concentrations'!$Q$3:$Q$368)))/F29&gt;0, (((0.065*F29^0.726)/3.7-(0.301*F29^0.751)/(1-H29)*H29)*(MAX('Min rate concentrations'!$Q$3:$Q$368)))/F29, 0)</f>
        <v>0</v>
      </c>
      <c r="O29" s="59" t="s">
        <v>13</v>
      </c>
      <c r="P29" s="59" t="s">
        <v>13</v>
      </c>
      <c r="Q29" s="59">
        <f>(inputs!$C$7*11.2)*(1.131*F29^0.579)*0.5*1/F29</f>
        <v>1.3195314682159063</v>
      </c>
      <c r="R29" s="59">
        <f>(60*76.9*((F29/1000)^0.76)*3*24*(MAX('Min rate concentrations'!$R$3:$R$368))/F29)</f>
        <v>1.3592988135249188E-3</v>
      </c>
      <c r="S29" s="59">
        <f>(IF(inputs!$C$6="aerial",((0.025*0.112*inputs!$C$7/3.3)*(3*60*76.9*((F29/1000)^0.76))*MAX(inputs!$H$14:$H$16))/F29,((0.0083*0.112*inputs!$C$7/1)*(3*60*76.9*((F29/1000)^0.76))*MAX(inputs!$H$14:$H$16))/F29))</f>
        <v>5.7395969845457362E-3</v>
      </c>
      <c r="T29" s="63">
        <f>IF((((inputs!$P$12/(V29/MAX(K29:S29)))^(1/inputs!$O$12))-1)/inputs!$N$12&lt;0, 0, IF((((inputs!$P$12/(V29/MAX(K29:S29)))^(1/inputs!$O$12))-1)/inputs!$N$12&gt;inputs!$H$17, inputs!$H$17, (((inputs!$P$12/(V29/MAX(K29:S29)))^(1/inputs!$O$12))-1)/inputs!$N$12))</f>
        <v>301.80256273720795</v>
      </c>
      <c r="U29" s="63">
        <f>IF((((inputs!$P$12/(X29/MAX(K29:S29)))^(1/inputs!$O$12))-1)/inputs!$N$12&lt;0, 0, IF((((inputs!$P$12/(X29/MAX(K29:S29)))^(1/inputs!$O$12))-1)/inputs!$N$12&gt;inputs!$H$17, inputs!$H$17, (((inputs!$P$12/(X29/MAX(K29:S29)))^(1/inputs!$O$12))-1)/inputs!$N$12))</f>
        <v>160.7906215329138</v>
      </c>
      <c r="V29" s="21">
        <f>inputs!$E$87*(F29/inputs!$F$87)^(1)</f>
        <v>1.5200000000000001E-3</v>
      </c>
      <c r="W29" s="21">
        <f>inputs!$E$90*(F29/inputs!$F$90)^(1)</f>
        <v>1.6000000000000001E-3</v>
      </c>
      <c r="X29" s="21">
        <f>inputs!$E$89*(F29/inputs!$F$89)^(1)</f>
        <v>5.9746835443037971E-3</v>
      </c>
      <c r="Y29" s="21" t="s">
        <v>13</v>
      </c>
      <c r="Z29" s="63">
        <f t="shared" si="1"/>
        <v>868.11280803678039</v>
      </c>
      <c r="AA29" s="63">
        <f t="shared" si="2"/>
        <v>824.70716763494136</v>
      </c>
    </row>
    <row r="30" spans="1:476" x14ac:dyDescent="0.25">
      <c r="A30" s="103" t="s">
        <v>677</v>
      </c>
      <c r="B30" s="20" t="s">
        <v>678</v>
      </c>
      <c r="C30" s="21" t="s">
        <v>702</v>
      </c>
      <c r="D30" s="15" t="s">
        <v>704</v>
      </c>
      <c r="E30" s="15">
        <v>195</v>
      </c>
      <c r="F30" s="21">
        <v>57</v>
      </c>
      <c r="G30" s="21" t="s">
        <v>142</v>
      </c>
      <c r="H30" s="21">
        <v>0.69</v>
      </c>
      <c r="I30" s="48">
        <f>MAX('Min rate concentrations'!$H$3:$H$368)</f>
        <v>47</v>
      </c>
      <c r="J30" s="48">
        <f>MAX('Min rate concentrations'!AA:AA)</f>
        <v>32.5</v>
      </c>
      <c r="K30" s="59">
        <f t="shared" si="0"/>
        <v>0.78721964650423537</v>
      </c>
      <c r="L30" s="59">
        <f t="shared" si="4"/>
        <v>0.54435401088058821</v>
      </c>
      <c r="M30" s="59">
        <f>IF((((0.065*F30^0.726)/3.7-(0.301*F30^0.751)/(1-H30)*H30)*(MAX('Min rate concentrations'!$P$3:$P$368)))/F30&gt;0, (((0.065*F30^0.726)/3.7-(0.301*F30^0.751)/(1-H30)*H30)*(MAX('Min rate concentrations'!$P$3:$P$368)))/F30, 0)</f>
        <v>0</v>
      </c>
      <c r="N30" s="59">
        <f>IF((((0.065*F30^0.726)/3.7-(0.301*F30^0.751)/(1-H30)*H30)*(MAX('Min rate concentrations'!$Q$3:$Q$368)))/F30&gt;0, (((0.065*F30^0.726)/3.7-(0.301*F30^0.751)/(1-H30)*H30)*(MAX('Min rate concentrations'!$Q$3:$Q$368)))/F30, 0)</f>
        <v>0</v>
      </c>
      <c r="O30" s="59" t="s">
        <v>13</v>
      </c>
      <c r="P30" s="59" t="s">
        <v>13</v>
      </c>
      <c r="Q30" s="59">
        <f>(inputs!$C$7*11.2)*(1.131*F30^0.579)*0.5*1/F30</f>
        <v>0.57729436989306571</v>
      </c>
      <c r="R30" s="59">
        <f>(60*76.9*((F30/1000)^0.76)*3*24*(MAX('Min rate concentrations'!$R$3:$R$368))/F30)</f>
        <v>8.4848968954204251E-4</v>
      </c>
      <c r="S30" s="59">
        <f>(IF(inputs!$C$6="aerial",((0.025*0.112*inputs!$C$7/3.3)*(3*60*76.9*((F30/1000)^0.76))*MAX(inputs!$H$14:$H$16))/F30,((0.0083*0.112*inputs!$C$7/1)*(3*60*76.9*((F30/1000)^0.76))*MAX(inputs!$H$14:$H$16))/F30))</f>
        <v>3.5827213376909048E-3</v>
      </c>
      <c r="T30" s="63">
        <f>IF((((inputs!$P$12/(V30/MAX(K30:S30)))^(1/inputs!$O$12))-1)/inputs!$N$12&lt;0, 0, IF((((inputs!$P$12/(V30/MAX(K30:S30)))^(1/inputs!$O$12))-1)/inputs!$N$12&gt;inputs!$H$17, inputs!$H$17, (((inputs!$P$12/(V30/MAX(K30:S30)))^(1/inputs!$O$12))-1)/inputs!$N$12))</f>
        <v>91.958207608243512</v>
      </c>
      <c r="U30" s="63">
        <f>IF((((inputs!$P$12/(X30/MAX(K30:S30)))^(1/inputs!$O$12))-1)/inputs!$N$12&lt;0, 0, IF((((inputs!$P$12/(X30/MAX(K30:S30)))^(1/inputs!$O$12))-1)/inputs!$N$12&gt;inputs!$H$17, inputs!$H$17, (((inputs!$P$12/(X30/MAX(K30:S30)))^(1/inputs!$O$12))-1)/inputs!$N$12))</f>
        <v>40.53519650241676</v>
      </c>
      <c r="V30" s="21">
        <f>inputs!$E$87*(F30/inputs!$F$87)^(1)</f>
        <v>1.0829999999999999E-2</v>
      </c>
      <c r="W30" s="21">
        <f>inputs!$E$90*(F30/inputs!$F$90)^(1)</f>
        <v>1.1399999999999999E-2</v>
      </c>
      <c r="X30" s="21">
        <f>inputs!$E$89*(F30/inputs!$F$89)^(1)</f>
        <v>4.2569620253164554E-2</v>
      </c>
      <c r="Y30" s="21" t="s">
        <v>13</v>
      </c>
      <c r="Z30" s="63">
        <f t="shared" si="1"/>
        <v>72.688794691065141</v>
      </c>
      <c r="AA30" s="63">
        <f t="shared" si="2"/>
        <v>69.054354956511887</v>
      </c>
      <c r="AB30" s="107"/>
      <c r="AC30" s="107"/>
      <c r="AD30" s="107"/>
      <c r="AE30" s="107"/>
      <c r="AF30" s="107"/>
      <c r="AG30" s="107"/>
      <c r="AH30" s="107"/>
      <c r="AI30" s="107"/>
      <c r="AJ30" s="107"/>
      <c r="AK30" s="107"/>
      <c r="AL30" s="107"/>
      <c r="AM30" s="107"/>
      <c r="AN30" s="107"/>
      <c r="AO30" s="107"/>
      <c r="AP30" s="107"/>
      <c r="AQ30" s="107"/>
      <c r="AR30" s="107"/>
      <c r="AS30" s="107"/>
      <c r="AT30" s="107"/>
      <c r="AU30" s="107"/>
      <c r="AV30" s="107"/>
      <c r="AW30" s="107"/>
      <c r="AX30" s="107"/>
      <c r="AY30" s="107"/>
      <c r="AZ30" s="107"/>
      <c r="BA30" s="107"/>
      <c r="BB30" s="107"/>
      <c r="BC30" s="107"/>
      <c r="BD30" s="107"/>
      <c r="BE30" s="107"/>
      <c r="BF30" s="107"/>
      <c r="BG30" s="107"/>
      <c r="BH30" s="107"/>
      <c r="BI30" s="107"/>
      <c r="BJ30" s="107"/>
      <c r="BK30" s="107"/>
      <c r="BL30" s="107"/>
      <c r="BM30" s="107"/>
      <c r="BN30" s="107"/>
      <c r="BO30" s="107"/>
      <c r="BP30" s="107"/>
      <c r="BQ30" s="107"/>
      <c r="BR30" s="107"/>
      <c r="BS30" s="107"/>
      <c r="BT30" s="107"/>
      <c r="BU30" s="107"/>
      <c r="BV30" s="107"/>
      <c r="BW30" s="107"/>
      <c r="BX30" s="107"/>
      <c r="BY30" s="107"/>
      <c r="BZ30" s="107"/>
      <c r="CA30" s="107"/>
      <c r="CB30" s="107"/>
      <c r="CC30" s="107"/>
      <c r="CD30" s="107"/>
      <c r="CE30" s="107"/>
      <c r="CF30" s="107"/>
      <c r="CG30" s="107"/>
      <c r="CH30" s="107"/>
      <c r="CI30" s="107"/>
      <c r="CJ30" s="107"/>
      <c r="CK30" s="107"/>
      <c r="CL30" s="107"/>
      <c r="CM30" s="107"/>
      <c r="CN30" s="107"/>
      <c r="CO30" s="107"/>
      <c r="CP30" s="107"/>
      <c r="CQ30" s="107"/>
      <c r="CR30" s="107"/>
      <c r="CS30" s="107"/>
      <c r="CT30" s="107"/>
      <c r="CU30" s="107"/>
      <c r="CV30" s="107"/>
      <c r="CW30" s="107"/>
      <c r="CX30" s="107"/>
      <c r="CY30" s="107"/>
      <c r="CZ30" s="107"/>
      <c r="DA30" s="107"/>
      <c r="DB30" s="107"/>
      <c r="DC30" s="107"/>
      <c r="DD30" s="107"/>
      <c r="DE30" s="107"/>
      <c r="DF30" s="107"/>
      <c r="DG30" s="107"/>
      <c r="DH30" s="107"/>
      <c r="DI30" s="107"/>
      <c r="DJ30" s="107"/>
      <c r="DK30" s="107"/>
      <c r="DL30" s="107"/>
      <c r="DM30" s="107"/>
      <c r="DN30" s="107"/>
      <c r="DO30" s="107"/>
      <c r="DP30" s="107"/>
      <c r="DQ30" s="107"/>
      <c r="DR30" s="107"/>
      <c r="DS30" s="107"/>
      <c r="DT30" s="107"/>
      <c r="DU30" s="107"/>
      <c r="DV30" s="107"/>
      <c r="DW30" s="107"/>
      <c r="DX30" s="107"/>
      <c r="DY30" s="107"/>
      <c r="DZ30" s="107"/>
      <c r="EA30" s="107"/>
      <c r="EB30" s="107"/>
      <c r="EC30" s="107"/>
      <c r="ED30" s="107"/>
      <c r="EE30" s="107"/>
      <c r="EF30" s="107"/>
      <c r="EG30" s="107"/>
      <c r="EH30" s="107"/>
      <c r="EI30" s="107"/>
      <c r="EJ30" s="107"/>
      <c r="EK30" s="107"/>
      <c r="EL30" s="107"/>
      <c r="EM30" s="107"/>
      <c r="EN30" s="107"/>
      <c r="EO30" s="107"/>
      <c r="EP30" s="107"/>
      <c r="EQ30" s="107"/>
      <c r="ER30" s="107"/>
      <c r="ES30" s="107"/>
      <c r="ET30" s="107"/>
      <c r="EU30" s="107"/>
      <c r="EV30" s="107"/>
      <c r="EW30" s="107"/>
      <c r="EX30" s="107"/>
      <c r="EY30" s="107"/>
      <c r="EZ30" s="107"/>
      <c r="FA30" s="107"/>
      <c r="FB30" s="107"/>
      <c r="FC30" s="107"/>
      <c r="FD30" s="107"/>
      <c r="FE30" s="107"/>
      <c r="FF30" s="107"/>
      <c r="FG30" s="107"/>
      <c r="FH30" s="107"/>
      <c r="FI30" s="107"/>
      <c r="FJ30" s="107"/>
      <c r="FK30" s="107"/>
      <c r="FL30" s="107"/>
      <c r="FM30" s="107"/>
      <c r="FN30" s="107"/>
      <c r="FO30" s="107"/>
      <c r="FP30" s="107"/>
      <c r="FQ30" s="107"/>
      <c r="FR30" s="107"/>
      <c r="FS30" s="107"/>
      <c r="FT30" s="107"/>
      <c r="FU30" s="107"/>
      <c r="FV30" s="107"/>
      <c r="FW30" s="107"/>
      <c r="FX30" s="107"/>
      <c r="FY30" s="107"/>
      <c r="FZ30" s="107"/>
      <c r="GA30" s="107"/>
      <c r="GB30" s="107"/>
      <c r="GC30" s="107"/>
      <c r="GD30" s="107"/>
      <c r="GE30" s="107"/>
      <c r="GF30" s="107"/>
      <c r="GG30" s="107"/>
      <c r="GH30" s="107"/>
      <c r="GI30" s="107"/>
      <c r="GJ30" s="107"/>
      <c r="GK30" s="107"/>
      <c r="GL30" s="107"/>
      <c r="GM30" s="107"/>
      <c r="GN30" s="107"/>
      <c r="GO30" s="107"/>
      <c r="GP30" s="107"/>
      <c r="GQ30" s="107"/>
      <c r="GR30" s="107"/>
      <c r="GS30" s="107"/>
      <c r="GT30" s="107"/>
      <c r="GU30" s="107"/>
      <c r="GV30" s="107"/>
      <c r="GW30" s="107"/>
      <c r="GX30" s="107"/>
      <c r="GY30" s="107"/>
      <c r="GZ30" s="107"/>
      <c r="HA30" s="107"/>
      <c r="HB30" s="107"/>
      <c r="HC30" s="107"/>
      <c r="HD30" s="107"/>
      <c r="HE30" s="107"/>
      <c r="HF30" s="107"/>
      <c r="HG30" s="107"/>
      <c r="HH30" s="107"/>
      <c r="HI30" s="107"/>
      <c r="HJ30" s="107"/>
      <c r="HK30" s="107"/>
      <c r="HL30" s="107"/>
      <c r="HM30" s="107"/>
      <c r="HN30" s="107"/>
      <c r="HO30" s="107"/>
      <c r="HP30" s="107"/>
      <c r="HQ30" s="107"/>
      <c r="HR30" s="107"/>
      <c r="HS30" s="107"/>
      <c r="HT30" s="107"/>
      <c r="HU30" s="107"/>
      <c r="HV30" s="107"/>
      <c r="HW30" s="107"/>
      <c r="HX30" s="107"/>
      <c r="HY30" s="107"/>
      <c r="HZ30" s="107"/>
      <c r="IA30" s="107"/>
      <c r="IB30" s="107"/>
      <c r="IC30" s="107"/>
      <c r="ID30" s="107"/>
      <c r="IE30" s="107"/>
      <c r="IF30" s="107"/>
      <c r="IG30" s="107"/>
      <c r="IH30" s="107"/>
      <c r="II30" s="107"/>
      <c r="IJ30" s="107"/>
      <c r="IK30" s="107"/>
      <c r="IL30" s="107"/>
      <c r="IM30" s="107"/>
      <c r="IN30" s="107"/>
      <c r="IO30" s="107"/>
      <c r="IP30" s="107"/>
      <c r="IQ30" s="107"/>
      <c r="IR30" s="107"/>
      <c r="IS30" s="107"/>
      <c r="IT30" s="107"/>
      <c r="IU30" s="107"/>
      <c r="IV30" s="107"/>
      <c r="IW30" s="107"/>
      <c r="IX30" s="107"/>
      <c r="IY30" s="107"/>
      <c r="IZ30" s="107"/>
      <c r="JA30" s="107"/>
      <c r="JB30" s="107"/>
      <c r="JC30" s="107"/>
      <c r="JD30" s="107"/>
      <c r="JE30" s="107"/>
      <c r="JF30" s="107"/>
      <c r="JG30" s="107"/>
      <c r="JH30" s="107"/>
      <c r="JI30" s="107"/>
      <c r="JJ30" s="107"/>
      <c r="JK30" s="107"/>
      <c r="JL30" s="107"/>
      <c r="JM30" s="107"/>
      <c r="JN30" s="107"/>
      <c r="JO30" s="107"/>
      <c r="JP30" s="107"/>
      <c r="JQ30" s="107"/>
      <c r="JR30" s="107"/>
      <c r="JS30" s="107"/>
      <c r="JT30" s="107"/>
      <c r="JU30" s="107"/>
      <c r="JV30" s="107"/>
      <c r="JW30" s="107"/>
      <c r="JX30" s="107"/>
      <c r="JY30" s="107"/>
      <c r="JZ30" s="107"/>
      <c r="KA30" s="107"/>
      <c r="KB30" s="107"/>
      <c r="KC30" s="107"/>
      <c r="KD30" s="107"/>
      <c r="KE30" s="107"/>
      <c r="KF30" s="107"/>
      <c r="KG30" s="107"/>
      <c r="KH30" s="107"/>
      <c r="KI30" s="107"/>
      <c r="KJ30" s="107"/>
      <c r="KK30" s="107"/>
      <c r="KL30" s="107"/>
      <c r="KM30" s="107"/>
      <c r="KN30" s="107"/>
      <c r="KO30" s="107"/>
      <c r="KP30" s="107"/>
      <c r="KQ30" s="107"/>
      <c r="KR30" s="107"/>
      <c r="KS30" s="107"/>
      <c r="KT30" s="107"/>
      <c r="KU30" s="107"/>
      <c r="KV30" s="107"/>
      <c r="KW30" s="107"/>
      <c r="KX30" s="107"/>
      <c r="KY30" s="107"/>
      <c r="KZ30" s="107"/>
      <c r="LA30" s="107"/>
      <c r="LB30" s="107"/>
      <c r="LC30" s="107"/>
      <c r="LD30" s="107"/>
      <c r="LE30" s="107"/>
      <c r="LF30" s="107"/>
      <c r="LG30" s="107"/>
      <c r="LH30" s="107"/>
      <c r="LI30" s="107"/>
      <c r="LJ30" s="107"/>
      <c r="LK30" s="107"/>
      <c r="LL30" s="107"/>
      <c r="LM30" s="107"/>
      <c r="LN30" s="107"/>
      <c r="LO30" s="107"/>
      <c r="LP30" s="107"/>
      <c r="LQ30" s="107"/>
      <c r="LR30" s="107"/>
      <c r="LS30" s="107"/>
      <c r="LT30" s="107"/>
      <c r="LU30" s="107"/>
      <c r="LV30" s="107"/>
      <c r="LW30" s="107"/>
      <c r="LX30" s="107"/>
      <c r="LY30" s="107"/>
      <c r="LZ30" s="107"/>
      <c r="MA30" s="107"/>
      <c r="MB30" s="107"/>
      <c r="MC30" s="107"/>
      <c r="MD30" s="107"/>
      <c r="ME30" s="107"/>
      <c r="MF30" s="107"/>
      <c r="MG30" s="107"/>
      <c r="MH30" s="107"/>
      <c r="MI30" s="107"/>
      <c r="MJ30" s="107"/>
      <c r="MK30" s="107"/>
      <c r="ML30" s="107"/>
      <c r="MM30" s="107"/>
      <c r="MN30" s="107"/>
      <c r="MO30" s="107"/>
      <c r="MP30" s="107"/>
      <c r="MQ30" s="107"/>
      <c r="MR30" s="107"/>
      <c r="MS30" s="107"/>
      <c r="MT30" s="107"/>
      <c r="MU30" s="107"/>
      <c r="MV30" s="107"/>
      <c r="MW30" s="107"/>
      <c r="MX30" s="107"/>
      <c r="MY30" s="107"/>
      <c r="MZ30" s="107"/>
      <c r="NA30" s="107"/>
      <c r="NB30" s="107"/>
      <c r="NC30" s="107"/>
      <c r="ND30" s="107"/>
      <c r="NE30" s="107"/>
      <c r="NF30" s="107"/>
      <c r="NG30" s="107"/>
      <c r="NH30" s="107"/>
      <c r="NI30" s="107"/>
      <c r="NJ30" s="107"/>
      <c r="NK30" s="107"/>
      <c r="NL30" s="107"/>
      <c r="NM30" s="107"/>
      <c r="NN30" s="107"/>
      <c r="NO30" s="107"/>
      <c r="NP30" s="107"/>
      <c r="NQ30" s="107"/>
      <c r="NR30" s="107"/>
      <c r="NS30" s="107"/>
      <c r="NT30" s="107"/>
      <c r="NU30" s="107"/>
      <c r="NV30" s="107"/>
      <c r="NW30" s="107"/>
      <c r="NX30" s="107"/>
      <c r="NY30" s="107"/>
      <c r="NZ30" s="107"/>
      <c r="OA30" s="107"/>
      <c r="OB30" s="107"/>
      <c r="OC30" s="107"/>
      <c r="OD30" s="107"/>
      <c r="OE30" s="107"/>
      <c r="OF30" s="107"/>
      <c r="OG30" s="107"/>
      <c r="OH30" s="107"/>
      <c r="OI30" s="107"/>
      <c r="OJ30" s="107"/>
      <c r="OK30" s="107"/>
      <c r="OL30" s="107"/>
      <c r="OM30" s="107"/>
      <c r="ON30" s="107"/>
      <c r="OO30" s="107"/>
      <c r="OP30" s="107"/>
      <c r="OQ30" s="107"/>
      <c r="OR30" s="107"/>
      <c r="OS30" s="107"/>
      <c r="OT30" s="107"/>
      <c r="OU30" s="107"/>
      <c r="OV30" s="107"/>
      <c r="OW30" s="107"/>
      <c r="OX30" s="107"/>
      <c r="OY30" s="107"/>
      <c r="OZ30" s="107"/>
      <c r="PA30" s="107"/>
      <c r="PB30" s="107"/>
      <c r="PC30" s="107"/>
      <c r="PD30" s="107"/>
      <c r="PE30" s="107"/>
      <c r="PF30" s="107"/>
      <c r="PG30" s="107"/>
      <c r="PH30" s="107"/>
      <c r="PI30" s="107"/>
      <c r="PJ30" s="107"/>
      <c r="PK30" s="107"/>
      <c r="PL30" s="107"/>
      <c r="PM30" s="107"/>
      <c r="PN30" s="107"/>
      <c r="PO30" s="107"/>
      <c r="PP30" s="107"/>
      <c r="PQ30" s="107"/>
      <c r="PR30" s="107"/>
      <c r="PS30" s="107"/>
      <c r="PT30" s="107"/>
      <c r="PU30" s="107"/>
      <c r="PV30" s="107"/>
      <c r="PW30" s="107"/>
      <c r="PX30" s="107"/>
      <c r="PY30" s="107"/>
      <c r="PZ30" s="107"/>
      <c r="QA30" s="107"/>
      <c r="QB30" s="107"/>
      <c r="QC30" s="107"/>
      <c r="QD30" s="107"/>
      <c r="QE30" s="107"/>
      <c r="QF30" s="107"/>
      <c r="QG30" s="107"/>
      <c r="QH30" s="107"/>
      <c r="QI30" s="107"/>
      <c r="QJ30" s="107"/>
      <c r="QK30" s="107"/>
      <c r="QL30" s="107"/>
      <c r="QM30" s="107"/>
      <c r="QN30" s="107"/>
      <c r="QO30" s="107"/>
      <c r="QP30" s="107"/>
      <c r="QQ30" s="107"/>
      <c r="QR30" s="107"/>
      <c r="QS30" s="107"/>
      <c r="QT30" s="107"/>
      <c r="QU30" s="107"/>
      <c r="QV30" s="107"/>
      <c r="QW30" s="107"/>
      <c r="QX30" s="107"/>
      <c r="QY30" s="107"/>
      <c r="QZ30" s="107"/>
      <c r="RA30" s="107"/>
      <c r="RB30" s="107"/>
      <c r="RC30" s="107"/>
      <c r="RD30" s="107"/>
      <c r="RE30" s="107"/>
      <c r="RF30" s="107"/>
      <c r="RG30" s="107"/>
      <c r="RH30" s="107"/>
    </row>
    <row r="31" spans="1:476" x14ac:dyDescent="0.25">
      <c r="A31" s="103" t="s">
        <v>677</v>
      </c>
      <c r="B31" s="20" t="s">
        <v>678</v>
      </c>
      <c r="C31" s="21" t="s">
        <v>702</v>
      </c>
      <c r="D31" s="15" t="s">
        <v>704</v>
      </c>
      <c r="E31" s="15">
        <v>195</v>
      </c>
      <c r="F31" s="21">
        <v>57</v>
      </c>
      <c r="G31" s="21" t="s">
        <v>146</v>
      </c>
      <c r="H31" s="20">
        <v>0.84</v>
      </c>
      <c r="I31" s="48">
        <f>MAX('Min rate concentrations'!$I$3:$I$368)</f>
        <v>9.4775690500787988</v>
      </c>
      <c r="J31" s="48" t="s">
        <v>13</v>
      </c>
      <c r="K31" s="59">
        <f t="shared" si="0"/>
        <v>0.30756487403856103</v>
      </c>
      <c r="L31" s="48" t="s">
        <v>13</v>
      </c>
      <c r="M31" s="59">
        <f>IF((((0.065*F31^0.726)/3.7-(0.301*F31^0.751)/(1-H31)*H31)*(MAX('Min rate concentrations'!$P$3:$P$368)))/F31&gt;0, (((0.065*F31^0.726)/3.7-(0.301*F31^0.751)/(1-H31)*H31)*(MAX('Min rate concentrations'!$P$3:$P$368)))/F31, 0)</f>
        <v>0</v>
      </c>
      <c r="N31" s="59">
        <f>IF((((0.065*F31^0.726)/3.7-(0.301*F31^0.751)/(1-H31)*H31)*(MAX('Min rate concentrations'!$Q$3:$Q$368)))/F31&gt;0, (((0.065*F31^0.726)/3.7-(0.301*F31^0.751)/(1-H31)*H31)*(MAX('Min rate concentrations'!$Q$3:$Q$368)))/F31, 0)</f>
        <v>0</v>
      </c>
      <c r="O31" s="59" t="s">
        <v>13</v>
      </c>
      <c r="P31" s="59" t="s">
        <v>13</v>
      </c>
      <c r="Q31" s="59">
        <f>(inputs!$C$7*11.2)*(1.131*F31^0.579)*0.5*1/F31</f>
        <v>0.57729436989306571</v>
      </c>
      <c r="R31" s="59">
        <f>(60*76.9*((F31/1000)^0.76)*3*24*(MAX('Min rate concentrations'!$R$3:$R$368))/F31)</f>
        <v>8.4848968954204251E-4</v>
      </c>
      <c r="S31" s="59">
        <f>(IF(inputs!$C$6="aerial",((0.025*0.112*inputs!$C$7/3.3)*(3*60*76.9*((F31/1000)^0.76))*MAX(inputs!$H$14:$H$16))/F31,((0.0083*0.112*inputs!$C$7/1)*(3*60*76.9*((F31/1000)^0.76))*MAX(inputs!$H$14:$H$16))/F31))</f>
        <v>3.5827213376909048E-3</v>
      </c>
      <c r="T31" s="63">
        <f>IF((((inputs!$P$12/(V31/MAX(K31:S31)))^(1/inputs!$O$12))-1)/inputs!$N$12&lt;0, 0, IF((((inputs!$P$12/(V31/MAX(K31:S31)))^(1/inputs!$O$12))-1)/inputs!$N$12&gt;inputs!$H$17, inputs!$H$17, (((inputs!$P$12/(V31/MAX(K31:S31)))^(1/inputs!$O$12))-1)/inputs!$N$12))</f>
        <v>77.682885151320406</v>
      </c>
      <c r="U31" s="63">
        <f>IF((((inputs!$P$12/(X31/MAX(K31:S31)))^(1/inputs!$O$12))-1)/inputs!$N$12&lt;0, 0, IF((((inputs!$P$12/(X31/MAX(K31:S31)))^(1/inputs!$O$12))-1)/inputs!$N$12&gt;inputs!$H$17, inputs!$H$17, (((inputs!$P$12/(X31/MAX(K31:S31)))^(1/inputs!$O$12))-1)/inputs!$N$12))</f>
        <v>32.354442874568825</v>
      </c>
      <c r="V31" s="21">
        <f>inputs!$E$87*(F31/inputs!$F$87)^(1)</f>
        <v>1.0829999999999999E-2</v>
      </c>
      <c r="W31" s="21">
        <f>inputs!$E$90*(F31/inputs!$F$90)^(1)</f>
        <v>1.1399999999999999E-2</v>
      </c>
      <c r="X31" s="21">
        <f>inputs!$E$89*(F31/inputs!$F$89)^(1)</f>
        <v>4.2569620253164554E-2</v>
      </c>
      <c r="Y31" s="21" t="s">
        <v>13</v>
      </c>
      <c r="Z31" s="63">
        <f t="shared" si="1"/>
        <v>53.305112640172275</v>
      </c>
      <c r="AA31" s="63">
        <f t="shared" si="2"/>
        <v>50.639857008163666</v>
      </c>
    </row>
    <row r="32" spans="1:476" x14ac:dyDescent="0.25">
      <c r="A32" s="103" t="s">
        <v>673</v>
      </c>
      <c r="B32" s="20" t="s">
        <v>674</v>
      </c>
      <c r="C32" s="21" t="s">
        <v>702</v>
      </c>
      <c r="D32" s="15" t="s">
        <v>704</v>
      </c>
      <c r="E32" s="15">
        <v>3628</v>
      </c>
      <c r="F32" s="21">
        <v>1.4E-2</v>
      </c>
      <c r="G32" s="21" t="s">
        <v>142</v>
      </c>
      <c r="H32" s="21">
        <v>0.69</v>
      </c>
      <c r="I32" s="48">
        <f>MAX('Min rate concentrations'!$H$3:$H$368)</f>
        <v>47</v>
      </c>
      <c r="J32" s="48">
        <f>MAX('Min rate concentrations'!AA:AA)</f>
        <v>32.5</v>
      </c>
      <c r="K32" s="59">
        <f t="shared" si="0"/>
        <v>5.1940778220675154</v>
      </c>
      <c r="L32" s="59">
        <f t="shared" ref="L32:L38" si="5">(((0.013*F32^0.773)/(1-H32)))*J32/F32</f>
        <v>3.5916495578126435</v>
      </c>
      <c r="M32" s="59">
        <f>IF((((0.065*F32^0.726)/3.7-(0.301*F32^0.751)/(1-H32)*H32)*(MAX('Min rate concentrations'!$P$3:$P$368)))/F32&gt;0, (((0.065*F32^0.726)/3.7-(0.301*F32^0.751)/(1-H32)*H32)*(MAX('Min rate concentrations'!$P$3:$P$368)))/F32, 0)</f>
        <v>0</v>
      </c>
      <c r="N32" s="59">
        <f>IF((((0.065*F32^0.726)/3.7-(0.301*F32^0.751)/(1-H32)*H32)*(MAX('Min rate concentrations'!$Q$3:$Q$368)))/F32&gt;0, (((0.065*F32^0.726)/3.7-(0.301*F32^0.751)/(1-H32)*H32)*(MAX('Min rate concentrations'!$Q$3:$Q$368)))/F32, 0)</f>
        <v>0</v>
      </c>
      <c r="O32" s="59" t="s">
        <v>13</v>
      </c>
      <c r="P32" s="59" t="s">
        <v>13</v>
      </c>
      <c r="Q32" s="59">
        <f>(inputs!$C$7*11.2)*(1.131*F32^0.579)*0.5*1/F32</f>
        <v>19.102962944362865</v>
      </c>
      <c r="R32" s="59">
        <f>(60*76.9*((F32/1000)^0.76)*3*24*(MAX('Min rate concentrations'!$R$3:$R$368))/F32)</f>
        <v>6.2371445055326054E-3</v>
      </c>
      <c r="S32" s="59">
        <f>(IF(inputs!$C$6="aerial",((0.025*0.112*inputs!$C$7/3.3)*(3*60*76.9*((F32/1000)^0.76))*MAX(inputs!$H$14:$H$16))/F32,((0.0083*0.112*inputs!$C$7/1)*(3*60*76.9*((F32/1000)^0.76))*MAX(inputs!$H$14:$H$16))/F32))</f>
        <v>2.6336148784900482E-2</v>
      </c>
      <c r="T32" s="63">
        <f>IF((((inputs!$P$12/(V32/MAX(K32:S32)))^(1/inputs!$O$12))-1)/inputs!$N$12&lt;0, 0, IF((((inputs!$P$12/(V32/MAX(K32:S32)))^(1/inputs!$O$12))-1)/inputs!$N$12&gt;inputs!$H$17, inputs!$H$17, (((inputs!$P$12/(V32/MAX(K32:S32)))^(1/inputs!$O$12))-1)/inputs!$N$12))</f>
        <v>1000</v>
      </c>
      <c r="U32" s="63">
        <f>IF((((inputs!$P$12/(X32/MAX(K32:S32)))^(1/inputs!$O$12))-1)/inputs!$N$12&lt;0, 0, IF((((inputs!$P$12/(X32/MAX(K32:S32)))^(1/inputs!$O$12))-1)/inputs!$N$12&gt;inputs!$H$17, inputs!$H$17, (((inputs!$P$12/(X32/MAX(K32:S32)))^(1/inputs!$O$12))-1)/inputs!$N$12))</f>
        <v>1000</v>
      </c>
      <c r="V32" s="21">
        <f>inputs!$E$87*(F32/inputs!$F$87)^(1)</f>
        <v>2.6600000000000004E-6</v>
      </c>
      <c r="W32" s="21">
        <f>inputs!$E$90*(F32/inputs!$F$90)^(1)</f>
        <v>2.7999999999999999E-6</v>
      </c>
      <c r="X32" s="21">
        <f>inputs!$E$89*(F32/inputs!$F$89)^(1)</f>
        <v>1.0455696202531645E-5</v>
      </c>
      <c r="Y32" s="21" t="s">
        <v>13</v>
      </c>
      <c r="Z32" s="63">
        <f t="shared" si="1"/>
        <v>7181565.016677768</v>
      </c>
      <c r="AA32" s="63">
        <f t="shared" si="2"/>
        <v>6822486.7658438804</v>
      </c>
    </row>
    <row r="33" spans="1:27" x14ac:dyDescent="0.25">
      <c r="A33" s="103" t="s">
        <v>700</v>
      </c>
      <c r="B33" s="20" t="s">
        <v>701</v>
      </c>
      <c r="C33" s="21" t="s">
        <v>702</v>
      </c>
      <c r="D33" s="15" t="s">
        <v>704</v>
      </c>
      <c r="E33" s="15">
        <v>10517</v>
      </c>
      <c r="F33" s="21">
        <v>6</v>
      </c>
      <c r="G33" s="21" t="s">
        <v>142</v>
      </c>
      <c r="H33" s="21">
        <v>0.69</v>
      </c>
      <c r="I33" s="48">
        <f>MAX('Min rate concentrations'!$H$3:$H$368)</f>
        <v>47</v>
      </c>
      <c r="J33" s="48">
        <f>MAX('Min rate concentrations'!AA:AA)</f>
        <v>32.5</v>
      </c>
      <c r="K33" s="59">
        <f t="shared" si="0"/>
        <v>1.31231829261515</v>
      </c>
      <c r="L33" s="59">
        <f t="shared" si="5"/>
        <v>0.90745413851047596</v>
      </c>
      <c r="M33" s="59">
        <f>IF((((0.065*F33^0.726)/3.7-(0.301*F33^0.751)/(1-H33)*H33)*(MAX('Min rate concentrations'!$P$3:$P$368)))/F33&gt;0, (((0.065*F33^0.726)/3.7-(0.301*F33^0.751)/(1-H33)*H33)*(MAX('Min rate concentrations'!$P$3:$P$368)))/F33, 0)</f>
        <v>0</v>
      </c>
      <c r="N33" s="59">
        <f>IF((((0.065*F33^0.726)/3.7-(0.301*F33^0.751)/(1-H33)*H33)*(MAX('Min rate concentrations'!$Q$3:$Q$368)))/F33&gt;0, (((0.065*F33^0.726)/3.7-(0.301*F33^0.751)/(1-H33)*H33)*(MAX('Min rate concentrations'!$Q$3:$Q$368)))/F33, 0)</f>
        <v>0</v>
      </c>
      <c r="O33" s="59" t="s">
        <v>13</v>
      </c>
      <c r="P33" s="59" t="s">
        <v>13</v>
      </c>
      <c r="Q33" s="59">
        <f>(inputs!$C$7*11.2)*(1.131*F33^0.579)*0.5*1/F33</f>
        <v>1.4894260996934188</v>
      </c>
      <c r="R33" s="59">
        <f>(60*76.9*((F33/1000)^0.76)*3*24*(MAX('Min rate concentrations'!$R$3:$R$368))/F33)</f>
        <v>1.4564656102159718E-3</v>
      </c>
      <c r="S33" s="59">
        <f>(IF(inputs!$C$6="aerial",((0.025*0.112*inputs!$C$7/3.3)*(3*60*76.9*((F33/1000)^0.76))*MAX(inputs!$H$14:$H$16))/F33,((0.0083*0.112*inputs!$C$7/1)*(3*60*76.9*((F33/1000)^0.76))*MAX(inputs!$H$14:$H$16))/F33))</f>
        <v>6.1498807630180514E-3</v>
      </c>
      <c r="T33" s="63">
        <f>IF((((inputs!$P$12/(V33/MAX(K33:S33)))^(1/inputs!$O$12))-1)/inputs!$N$12&lt;0, 0, IF((((inputs!$P$12/(V33/MAX(K33:S33)))^(1/inputs!$O$12))-1)/inputs!$N$12&gt;inputs!$H$17, inputs!$H$17, (((inputs!$P$12/(V33/MAX(K33:S33)))^(1/inputs!$O$12))-1)/inputs!$N$12))</f>
        <v>361.55057891002133</v>
      </c>
      <c r="U33" s="63">
        <f>IF((((inputs!$P$12/(X33/MAX(K33:S33)))^(1/inputs!$O$12))-1)/inputs!$N$12&lt;0, 0, IF((((inputs!$P$12/(X33/MAX(K33:S33)))^(1/inputs!$O$12))-1)/inputs!$N$12&gt;inputs!$H$17, inputs!$H$17, (((inputs!$P$12/(X33/MAX(K33:S33)))^(1/inputs!$O$12))-1)/inputs!$N$12))</f>
        <v>195.03039450738794</v>
      </c>
      <c r="V33" s="21">
        <f>inputs!$E$87*(F33/inputs!$F$87)^(1)</f>
        <v>1.14E-3</v>
      </c>
      <c r="W33" s="21">
        <f>inputs!$E$90*(F33/inputs!$F$90)^(1)</f>
        <v>1.1999999999999999E-3</v>
      </c>
      <c r="X33" s="21">
        <f>inputs!$E$89*(F33/inputs!$F$89)^(1)</f>
        <v>4.4810126582278476E-3</v>
      </c>
      <c r="Y33" s="21" t="s">
        <v>13</v>
      </c>
      <c r="Z33" s="63">
        <f t="shared" si="1"/>
        <v>1306.5141225380867</v>
      </c>
      <c r="AA33" s="63">
        <f t="shared" si="2"/>
        <v>1241.1884164111825</v>
      </c>
    </row>
    <row r="34" spans="1:27" x14ac:dyDescent="0.25">
      <c r="A34" s="103" t="s">
        <v>700</v>
      </c>
      <c r="B34" s="20" t="s">
        <v>701</v>
      </c>
      <c r="C34" s="21" t="s">
        <v>702</v>
      </c>
      <c r="D34" s="15" t="s">
        <v>704</v>
      </c>
      <c r="E34" s="15">
        <v>10517</v>
      </c>
      <c r="F34" s="21">
        <v>6</v>
      </c>
      <c r="G34" s="21" t="s">
        <v>164</v>
      </c>
      <c r="H34" s="21">
        <v>0.78</v>
      </c>
      <c r="I34" s="48">
        <f>inputs!$C$65*(inputs!$C$62/1000)</f>
        <v>0.82000000000000006</v>
      </c>
      <c r="J34" s="48">
        <f>inputs!$C$65*(inputs!$C$61/1000)</f>
        <v>0.25</v>
      </c>
      <c r="K34" s="59">
        <f t="shared" ref="K34:K61" si="6">(((0.013*F34^0.773)/(1-H34)))*I34/F34</f>
        <v>3.2262215665645182E-2</v>
      </c>
      <c r="L34" s="59">
        <f t="shared" si="5"/>
        <v>9.8360413614771904E-3</v>
      </c>
      <c r="M34" s="59">
        <f>IF((((0.065*F34^0.726)/3.7-(0.301*F34^0.751)/(1-H34)*H34)*(MAX('Min rate concentrations'!$P$3:$P$368)))/F34&gt;0, (((0.065*F34^0.726)/3.7-(0.301*F34^0.751)/(1-H34)*H34)*(MAX('Min rate concentrations'!$P$3:$P$368)))/F34, 0)</f>
        <v>0</v>
      </c>
      <c r="N34" s="59">
        <f>IF((((0.065*F34^0.726)/3.7-(0.301*F34^0.751)/(1-H34)*H34)*(MAX('Min rate concentrations'!$Q$3:$Q$368)))/F34&gt;0, (((0.065*F34^0.726)/3.7-(0.301*F34^0.751)/(1-H34)*H34)*(MAX('Min rate concentrations'!$Q$3:$Q$368)))/F34, 0)</f>
        <v>0</v>
      </c>
      <c r="O34" s="59" t="s">
        <v>13</v>
      </c>
      <c r="P34" s="59" t="s">
        <v>13</v>
      </c>
      <c r="Q34" s="59">
        <f>(inputs!$C$7*11.2)*(1.131*F34^0.579)*0.5*1/F34</f>
        <v>1.4894260996934188</v>
      </c>
      <c r="R34" s="59">
        <f>(60*76.9*((F34/1000)^0.76)*3*24*(MAX('Min rate concentrations'!$R$3:$R$368))/F34)</f>
        <v>1.4564656102159718E-3</v>
      </c>
      <c r="S34" s="59">
        <f>(IF(inputs!$C$6="aerial",((0.025*0.112*inputs!$C$7/3.3)*(3*60*76.9*((F34/1000)^0.76))*MAX(inputs!$H$14:$H$16))/F34,((0.0083*0.112*inputs!$C$7/1)*(3*60*76.9*((F34/1000)^0.76))*MAX(inputs!$H$14:$H$16))/F34))</f>
        <v>6.1498807630180514E-3</v>
      </c>
      <c r="T34" s="63">
        <f>IF((((inputs!$P$12/(V34/MAX(K34:S34)))^(1/inputs!$O$12))-1)/inputs!$N$12&lt;0, 0, IF((((inputs!$P$12/(V34/MAX(K34:S34)))^(1/inputs!$O$12))-1)/inputs!$N$12&gt;inputs!$H$17, inputs!$H$17, (((inputs!$P$12/(V34/MAX(K34:S34)))^(1/inputs!$O$12))-1)/inputs!$N$12))</f>
        <v>361.55057891002133</v>
      </c>
      <c r="U34" s="63">
        <f>IF((((inputs!$P$12/(X34/MAX(K34:S34)))^(1/inputs!$O$12))-1)/inputs!$N$12&lt;0, 0, IF((((inputs!$P$12/(X34/MAX(K34:S34)))^(1/inputs!$O$12))-1)/inputs!$N$12&gt;inputs!$H$17, inputs!$H$17, (((inputs!$P$12/(X34/MAX(K34:S34)))^(1/inputs!$O$12))-1)/inputs!$N$12))</f>
        <v>195.03039450738794</v>
      </c>
      <c r="V34" s="21">
        <f>inputs!$E$87*(F34/inputs!$F$87)^(1)</f>
        <v>1.14E-3</v>
      </c>
      <c r="W34" s="21">
        <f>inputs!$E$90*(F34/inputs!$F$90)^(1)</f>
        <v>1.1999999999999999E-3</v>
      </c>
      <c r="X34" s="21">
        <f>inputs!$E$89*(F34/inputs!$F$89)^(1)</f>
        <v>4.4810126582278476E-3</v>
      </c>
      <c r="Y34" s="21" t="s">
        <v>13</v>
      </c>
      <c r="Z34" s="63">
        <f t="shared" si="1"/>
        <v>1306.5141225380867</v>
      </c>
      <c r="AA34" s="63">
        <f t="shared" si="2"/>
        <v>1241.1884164111825</v>
      </c>
    </row>
    <row r="35" spans="1:27" x14ac:dyDescent="0.25">
      <c r="A35" s="103" t="s">
        <v>655</v>
      </c>
      <c r="B35" s="20" t="s">
        <v>656</v>
      </c>
      <c r="C35" s="21" t="s">
        <v>702</v>
      </c>
      <c r="D35" s="15" t="s">
        <v>704</v>
      </c>
      <c r="E35" s="15">
        <v>202</v>
      </c>
      <c r="F35" s="21">
        <v>15</v>
      </c>
      <c r="G35" s="21" t="s">
        <v>142</v>
      </c>
      <c r="H35" s="21">
        <v>0.69</v>
      </c>
      <c r="I35" s="48">
        <f>MAX('Min rate concentrations'!$H$3:$H$368)</f>
        <v>47</v>
      </c>
      <c r="J35" s="48">
        <f>MAX('Min rate concentrations'!AA:AA)</f>
        <v>32.5</v>
      </c>
      <c r="K35" s="59">
        <f t="shared" si="6"/>
        <v>1.0658762875374075</v>
      </c>
      <c r="L35" s="59">
        <f t="shared" si="5"/>
        <v>0.73704211372267536</v>
      </c>
      <c r="M35" s="59">
        <f>IF((((0.065*F35^0.726)/3.7-(0.301*F35^0.751)/(1-H35)*H35)*(MAX('Min rate concentrations'!$P$3:$P$368)))/F35&gt;0, (((0.065*F35^0.726)/3.7-(0.301*F35^0.751)/(1-H35)*H35)*(MAX('Min rate concentrations'!$P$3:$P$368)))/F35, 0)</f>
        <v>0</v>
      </c>
      <c r="N35" s="59">
        <f>IF((((0.065*F35^0.726)/3.7-(0.301*F35^0.751)/(1-H35)*H35)*(MAX('Min rate concentrations'!$Q$3:$Q$368)))/F35&gt;0, (((0.065*F35^0.726)/3.7-(0.301*F35^0.751)/(1-H35)*H35)*(MAX('Min rate concentrations'!$Q$3:$Q$368)))/F35, 0)</f>
        <v>0</v>
      </c>
      <c r="O35" s="59" t="s">
        <v>13</v>
      </c>
      <c r="P35" s="59" t="s">
        <v>13</v>
      </c>
      <c r="Q35" s="59">
        <f>(inputs!$C$7*11.2)*(1.131*F35^0.579)*0.5*1/F35</f>
        <v>1.0127126064668197</v>
      </c>
      <c r="R35" s="59">
        <f>(60*76.9*((F35/1000)^0.76)*3*24*(MAX('Min rate concentrations'!$R$3:$R$368))/F35)</f>
        <v>1.1689464934642817E-3</v>
      </c>
      <c r="S35" s="59">
        <f>(IF(inputs!$C$6="aerial",((0.025*0.112*inputs!$C$7/3.3)*(3*60*76.9*((F35/1000)^0.76))*MAX(inputs!$H$14:$H$16))/F35,((0.0083*0.112*inputs!$C$7/1)*(3*60*76.9*((F35/1000)^0.76))*MAX(inputs!$H$14:$H$16))/F35))</f>
        <v>4.9358402304379772E-3</v>
      </c>
      <c r="T35" s="63">
        <f>IF((((inputs!$P$12/(V35/MAX(K35:S35)))^(1/inputs!$O$12))-1)/inputs!$N$12&lt;0, 0, IF((((inputs!$P$12/(V35/MAX(K35:S35)))^(1/inputs!$O$12))-1)/inputs!$N$12&gt;inputs!$H$17, inputs!$H$17, (((inputs!$P$12/(V35/MAX(K35:S35)))^(1/inputs!$O$12))-1)/inputs!$N$12))</f>
        <v>206.0137581746074</v>
      </c>
      <c r="U35" s="63">
        <f>IF((((inputs!$P$12/(X35/MAX(K35:S35)))^(1/inputs!$O$12))-1)/inputs!$N$12&lt;0, 0, IF((((inputs!$P$12/(X35/MAX(K35:S35)))^(1/inputs!$O$12))-1)/inputs!$N$12&gt;inputs!$H$17, inputs!$H$17, (((inputs!$P$12/(X35/MAX(K35:S35)))^(1/inputs!$O$12))-1)/inputs!$N$12))</f>
        <v>105.89696762090166</v>
      </c>
      <c r="V35" s="21">
        <f>inputs!$E$87*(F35/inputs!$F$87)^(1)</f>
        <v>2.8499999999999997E-3</v>
      </c>
      <c r="W35" s="21">
        <f>inputs!$E$90*(F35/inputs!$F$90)^(1)</f>
        <v>3.0000000000000001E-3</v>
      </c>
      <c r="X35" s="21">
        <f>inputs!$E$89*(F35/inputs!$F$89)^(1)</f>
        <v>1.120253164556962E-2</v>
      </c>
      <c r="Y35" s="21" t="s">
        <v>13</v>
      </c>
      <c r="Z35" s="63">
        <f t="shared" si="1"/>
        <v>373.99167983768689</v>
      </c>
      <c r="AA35" s="63">
        <f t="shared" si="2"/>
        <v>355.29209584580246</v>
      </c>
    </row>
    <row r="36" spans="1:27" x14ac:dyDescent="0.25">
      <c r="A36" s="103" t="s">
        <v>659</v>
      </c>
      <c r="B36" s="20" t="s">
        <v>660</v>
      </c>
      <c r="C36" s="21" t="s">
        <v>702</v>
      </c>
      <c r="D36" s="15" t="s">
        <v>704</v>
      </c>
      <c r="E36" s="15">
        <v>1707</v>
      </c>
      <c r="F36" s="21">
        <v>2.2999999999999998</v>
      </c>
      <c r="G36" s="21" t="s">
        <v>142</v>
      </c>
      <c r="H36" s="21">
        <v>0.69</v>
      </c>
      <c r="I36" s="48">
        <f>MAX('Min rate concentrations'!$H$3:$H$368)</f>
        <v>47</v>
      </c>
      <c r="J36" s="48">
        <f>MAX('Min rate concentrations'!AA:AA)</f>
        <v>32.5</v>
      </c>
      <c r="K36" s="59">
        <f t="shared" si="6"/>
        <v>1.6314256929607003</v>
      </c>
      <c r="L36" s="59">
        <f t="shared" si="5"/>
        <v>1.1281135110898461</v>
      </c>
      <c r="M36" s="59">
        <f>IF((((0.065*F36^0.726)/3.7-(0.301*F36^0.751)/(1-H36)*H36)*(MAX('Min rate concentrations'!$P$3:$P$368)))/F36&gt;0, (((0.065*F36^0.726)/3.7-(0.301*F36^0.751)/(1-H36)*H36)*(MAX('Min rate concentrations'!$P$3:$P$368)))/F36, 0)</f>
        <v>0</v>
      </c>
      <c r="N36" s="59">
        <f>IF((((0.065*F36^0.726)/3.7-(0.301*F36^0.751)/(1-H36)*H36)*(MAX('Min rate concentrations'!$Q$3:$Q$368)))/F36&gt;0, (((0.065*F36^0.726)/3.7-(0.301*F36^0.751)/(1-H36)*H36)*(MAX('Min rate concentrations'!$Q$3:$Q$368)))/F36, 0)</f>
        <v>0</v>
      </c>
      <c r="O36" s="59" t="s">
        <v>13</v>
      </c>
      <c r="P36" s="59" t="s">
        <v>13</v>
      </c>
      <c r="Q36" s="59">
        <f>(inputs!$C$7*11.2)*(1.131*F36^0.579)*0.5*1/F36</f>
        <v>2.2301455971878101</v>
      </c>
      <c r="R36" s="59">
        <f>(60*76.9*((F36/1000)^0.76)*3*24*(MAX('Min rate concentrations'!$R$3:$R$368))/F36)</f>
        <v>1.8333351032886218E-3</v>
      </c>
      <c r="S36" s="59">
        <f>(IF(inputs!$C$6="aerial",((0.025*0.112*inputs!$C$7/3.3)*(3*60*76.9*((F36/1000)^0.76))*MAX(inputs!$H$14:$H$16))/F36,((0.0083*0.112*inputs!$C$7/1)*(3*60*76.9*((F36/1000)^0.76))*MAX(inputs!$H$14:$H$16))/F36))</f>
        <v>7.7412004820412656E-3</v>
      </c>
      <c r="T36" s="63">
        <f>IF((((inputs!$P$12/(V36/MAX(K36:S36)))^(1/inputs!$O$12))-1)/inputs!$N$12&lt;0, 0, IF((((inputs!$P$12/(V36/MAX(K36:S36)))^(1/inputs!$O$12))-1)/inputs!$N$12&gt;inputs!$H$17, inputs!$H$17, (((inputs!$P$12/(V36/MAX(K36:S36)))^(1/inputs!$O$12))-1)/inputs!$N$12))</f>
        <v>650.38614402962901</v>
      </c>
      <c r="U36" s="63">
        <f>IF((((inputs!$P$12/(X36/MAX(K36:S36)))^(1/inputs!$O$12))-1)/inputs!$N$12&lt;0, 0, IF((((inputs!$P$12/(X36/MAX(K36:S36)))^(1/inputs!$O$12))-1)/inputs!$N$12&gt;inputs!$H$17, inputs!$H$17, (((inputs!$P$12/(X36/MAX(K36:S36)))^(1/inputs!$O$12))-1)/inputs!$N$12))</f>
        <v>360.55328229741542</v>
      </c>
      <c r="V36" s="21">
        <f>inputs!$E$87*(F36/inputs!$F$87)^(1)</f>
        <v>4.37E-4</v>
      </c>
      <c r="W36" s="21">
        <f>inputs!$E$90*(F36/inputs!$F$90)^(1)</f>
        <v>4.6000000000000001E-4</v>
      </c>
      <c r="X36" s="21">
        <f>inputs!$E$89*(F36/inputs!$F$89)^(1)</f>
        <v>1.7177215189873418E-3</v>
      </c>
      <c r="Y36" s="21" t="s">
        <v>13</v>
      </c>
      <c r="Z36" s="63">
        <f t="shared" si="1"/>
        <v>5103.3080027181013</v>
      </c>
      <c r="AA36" s="63">
        <f t="shared" si="2"/>
        <v>4848.1426025821957</v>
      </c>
    </row>
    <row r="37" spans="1:27" ht="26.4" x14ac:dyDescent="0.25">
      <c r="A37" s="103" t="s">
        <v>645</v>
      </c>
      <c r="B37" s="20" t="s">
        <v>648</v>
      </c>
      <c r="C37" s="21" t="s">
        <v>702</v>
      </c>
      <c r="D37" s="15" t="s">
        <v>703</v>
      </c>
      <c r="E37" s="15">
        <v>4773</v>
      </c>
      <c r="F37" s="21">
        <v>31</v>
      </c>
      <c r="G37" s="21" t="s">
        <v>182</v>
      </c>
      <c r="H37" s="21">
        <v>0.85</v>
      </c>
      <c r="I37" s="48">
        <f>MAX('Min rate concentrations'!$M$3:$M$368)</f>
        <v>2.8488184789681945</v>
      </c>
      <c r="J37" s="48">
        <f>MAX('Min rate concentrations'!AE:AE)</f>
        <v>1.9699276716269429</v>
      </c>
      <c r="K37" s="59">
        <f t="shared" si="6"/>
        <v>0.11323423920033235</v>
      </c>
      <c r="L37" s="59">
        <f t="shared" si="5"/>
        <v>7.8300271787463849E-2</v>
      </c>
      <c r="M37" s="59">
        <f>IF((((0.065*F37^0.726)/3.7-(0.301*F37^0.751)/(1-H37)*H37)*(MAX('Min rate concentrations'!$P$3:$P$368)))/F37&gt;0, (((0.065*F37^0.726)/3.7-(0.301*F37^0.751)/(1-H37)*H37)*(MAX('Min rate concentrations'!$P$3:$P$368)))/F37, 0)</f>
        <v>0</v>
      </c>
      <c r="N37" s="59">
        <f>IF((((0.065*F37^0.726)/3.7-(0.301*F37^0.751)/(1-H37)*H37)*(MAX('Min rate concentrations'!$Q$3:$Q$368)))/F37&gt;0, (((0.065*F37^0.726)/3.7-(0.301*F37^0.751)/(1-H37)*H37)*(MAX('Min rate concentrations'!$Q$3:$Q$368)))/F37, 0)</f>
        <v>0</v>
      </c>
      <c r="O37" s="59" t="s">
        <v>13</v>
      </c>
      <c r="P37" s="59" t="s">
        <v>13</v>
      </c>
      <c r="Q37" s="59">
        <f>(inputs!$C$7*11.2)*(8.42*F37^0.694)*0.5*1/F37</f>
        <v>8.243534209308697</v>
      </c>
      <c r="R37" s="59">
        <f>(60*76.9*((F37/1000)^0.76)*3*24*(MAX('Min rate concentrations'!$R$3:$R$368))/F37)</f>
        <v>9.8204124492080446E-4</v>
      </c>
      <c r="S37" s="59">
        <f>(IF(inputs!$C$6="aerial",((0.025*0.112*inputs!$C$7/3.3)*(3*60*76.9*((F37/1000)^0.76))*MAX(inputs!$H$14:$H$16))/F37,((0.0083*0.112*inputs!$C$7/1)*(3*60*76.9*((F37/1000)^0.76))*MAX(inputs!$H$14:$H$16))/F37))</f>
        <v>4.1466386286547457E-3</v>
      </c>
      <c r="T37" s="63">
        <f>IF((((inputs!$P$12/(V37/MAX(K37:S37)))^(1/inputs!$O$12))-1)/inputs!$N$12&lt;0, 0, IF((((inputs!$P$12/(V37/MAX(K37:S37)))^(1/inputs!$O$12))-1)/inputs!$N$12&gt;inputs!$H$17, inputs!$H$17, (((inputs!$P$12/(V37/MAX(K37:S37)))^(1/inputs!$O$12))-1)/inputs!$N$12))</f>
        <v>372.62111335458241</v>
      </c>
      <c r="U37" s="63">
        <f>IF((((inputs!$P$12/(X37/MAX(K37:S37)))^(1/inputs!$O$12))-1)/inputs!$N$12&lt;0, 0, IF((((inputs!$P$12/(X37/MAX(K37:S37)))^(1/inputs!$O$12))-1)/inputs!$N$12&gt;inputs!$H$17, inputs!$H$17, (((inputs!$P$12/(X37/MAX(K37:S37)))^(1/inputs!$O$12))-1)/inputs!$N$12))</f>
        <v>201.37458148409871</v>
      </c>
      <c r="V37" s="21">
        <f>inputs!$E$87*(F37/inputs!$F$87)^(1)</f>
        <v>5.8899999999999994E-3</v>
      </c>
      <c r="W37" s="21">
        <f>inputs!$E$90*(F37/inputs!$F$90)^(1)</f>
        <v>6.1999999999999998E-3</v>
      </c>
      <c r="X37" s="21">
        <f>inputs!$E$89*(F37/inputs!$F$89)^(1)</f>
        <v>2.3151898734177216E-2</v>
      </c>
      <c r="Y37" s="21" t="s">
        <v>13</v>
      </c>
      <c r="Z37" s="63">
        <f t="shared" si="1"/>
        <v>1399.5813598147195</v>
      </c>
      <c r="AA37" s="63">
        <f t="shared" si="2"/>
        <v>1329.6022918239835</v>
      </c>
    </row>
    <row r="38" spans="1:27" ht="26.4" x14ac:dyDescent="0.25">
      <c r="A38" s="103" t="s">
        <v>645</v>
      </c>
      <c r="B38" s="20" t="s">
        <v>648</v>
      </c>
      <c r="C38" s="21" t="s">
        <v>702</v>
      </c>
      <c r="D38" s="15" t="s">
        <v>703</v>
      </c>
      <c r="E38" s="15">
        <v>4773</v>
      </c>
      <c r="F38" s="21">
        <v>31</v>
      </c>
      <c r="G38" s="21" t="s">
        <v>142</v>
      </c>
      <c r="H38" s="21">
        <v>0.69</v>
      </c>
      <c r="I38" s="48">
        <f>MAX('Min rate concentrations'!$H$3:$H$368)</f>
        <v>47</v>
      </c>
      <c r="J38" s="48">
        <f>MAX('Min rate concentrations'!AA:AA)</f>
        <v>32.5</v>
      </c>
      <c r="K38" s="59">
        <f t="shared" si="6"/>
        <v>0.90394168019854437</v>
      </c>
      <c r="L38" s="59">
        <f t="shared" si="5"/>
        <v>0.62506605545644012</v>
      </c>
      <c r="M38" s="59">
        <f>IF((((0.065*F38^0.726)/3.7-(0.301*F38^0.751)/(1-H38)*H38)*(MAX('Min rate concentrations'!$P$3:$P$368)))/F38&gt;0, (((0.065*F38^0.726)/3.7-(0.301*F38^0.751)/(1-H38)*H38)*(MAX('Min rate concentrations'!$P$3:$P$368)))/F38, 0)</f>
        <v>0</v>
      </c>
      <c r="N38" s="59">
        <f>IF((((0.065*F38^0.726)/3.7-(0.301*F38^0.751)/(1-H38)*H38)*(MAX('Min rate concentrations'!$Q$3:$Q$368)))/F38&gt;0, (((0.065*F38^0.726)/3.7-(0.301*F38^0.751)/(1-H38)*H38)*(MAX('Min rate concentrations'!$Q$3:$Q$368)))/F38, 0)</f>
        <v>0</v>
      </c>
      <c r="O38" s="59" t="s">
        <v>13</v>
      </c>
      <c r="P38" s="59" t="s">
        <v>13</v>
      </c>
      <c r="Q38" s="59">
        <f>(inputs!$C$7*11.2)*(8.42*F38^0.694)*0.5*1/F38</f>
        <v>8.243534209308697</v>
      </c>
      <c r="R38" s="59">
        <f>(60*76.9*((F38/1000)^0.76)*3*24*(MAX('Min rate concentrations'!$R$3:$R$368))/F38)</f>
        <v>9.8204124492080446E-4</v>
      </c>
      <c r="S38" s="59">
        <f>(IF(inputs!$C$6="aerial",((0.025*0.112*inputs!$C$7/3.3)*(3*60*76.9*((F38/1000)^0.76))*MAX(inputs!$H$14:$H$16))/F38,((0.0083*0.112*inputs!$C$7/1)*(3*60*76.9*((F38/1000)^0.76))*MAX(inputs!$H$14:$H$16))/F38))</f>
        <v>4.1466386286547457E-3</v>
      </c>
      <c r="T38" s="63">
        <f>IF((((inputs!$P$12/(V38/MAX(K38:S38)))^(1/inputs!$O$12))-1)/inputs!$N$12&lt;0, 0, IF((((inputs!$P$12/(V38/MAX(K38:S38)))^(1/inputs!$O$12))-1)/inputs!$N$12&gt;inputs!$H$17, inputs!$H$17, (((inputs!$P$12/(V38/MAX(K38:S38)))^(1/inputs!$O$12))-1)/inputs!$N$12))</f>
        <v>372.62111335458241</v>
      </c>
      <c r="U38" s="63">
        <f>IF((((inputs!$P$12/(X38/MAX(K38:S38)))^(1/inputs!$O$12))-1)/inputs!$N$12&lt;0, 0, IF((((inputs!$P$12/(X38/MAX(K38:S38)))^(1/inputs!$O$12))-1)/inputs!$N$12&gt;inputs!$H$17, inputs!$H$17, (((inputs!$P$12/(X38/MAX(K38:S38)))^(1/inputs!$O$12))-1)/inputs!$N$12))</f>
        <v>201.37458148409871</v>
      </c>
      <c r="V38" s="21">
        <f>inputs!$E$87*(F38/inputs!$F$87)^(1)</f>
        <v>5.8899999999999994E-3</v>
      </c>
      <c r="W38" s="21">
        <f>inputs!$E$90*(F38/inputs!$F$90)^(1)</f>
        <v>6.1999999999999998E-3</v>
      </c>
      <c r="X38" s="21">
        <f>inputs!$E$89*(F38/inputs!$F$89)^(1)</f>
        <v>2.3151898734177216E-2</v>
      </c>
      <c r="Y38" s="21" t="s">
        <v>13</v>
      </c>
      <c r="Z38" s="63">
        <f t="shared" si="1"/>
        <v>1399.5813598147195</v>
      </c>
      <c r="AA38" s="63">
        <f t="shared" si="2"/>
        <v>1329.6022918239835</v>
      </c>
    </row>
    <row r="39" spans="1:27" ht="26.4" x14ac:dyDescent="0.25">
      <c r="A39" s="103" t="s">
        <v>645</v>
      </c>
      <c r="B39" s="20" t="s">
        <v>648</v>
      </c>
      <c r="C39" s="21" t="s">
        <v>702</v>
      </c>
      <c r="D39" s="15" t="s">
        <v>703</v>
      </c>
      <c r="E39" s="15">
        <v>4773</v>
      </c>
      <c r="F39" s="21">
        <v>31</v>
      </c>
      <c r="G39" s="21" t="s">
        <v>146</v>
      </c>
      <c r="H39" s="20">
        <v>0.84</v>
      </c>
      <c r="I39" s="48">
        <f>MAX('Min rate concentrations'!$I$3:$I$368)</f>
        <v>9.4775690500787988</v>
      </c>
      <c r="J39" s="48" t="s">
        <v>13</v>
      </c>
      <c r="K39" s="59">
        <f t="shared" si="6"/>
        <v>0.35316789950944744</v>
      </c>
      <c r="L39" s="48" t="s">
        <v>13</v>
      </c>
      <c r="M39" s="59">
        <f>IF((((0.065*F39^0.726)/3.7-(0.301*F39^0.751)/(1-H39)*H39)*(MAX('Min rate concentrations'!$P$3:$P$368)))/F39&gt;0, (((0.065*F39^0.726)/3.7-(0.301*F39^0.751)/(1-H39)*H39)*(MAX('Min rate concentrations'!$P$3:$P$368)))/F39, 0)</f>
        <v>0</v>
      </c>
      <c r="N39" s="59">
        <f>IF((((0.065*F39^0.726)/3.7-(0.301*F39^0.751)/(1-H39)*H39)*(MAX('Min rate concentrations'!$Q$3:$Q$368)))/F39&gt;0, (((0.065*F39^0.726)/3.7-(0.301*F39^0.751)/(1-H39)*H39)*(MAX('Min rate concentrations'!$Q$3:$Q$368)))/F39, 0)</f>
        <v>0</v>
      </c>
      <c r="O39" s="59" t="s">
        <v>13</v>
      </c>
      <c r="P39" s="59" t="s">
        <v>13</v>
      </c>
      <c r="Q39" s="59">
        <f>(inputs!$C$7*11.2)*(8.42*F39^0.694)*0.5*1/F39</f>
        <v>8.243534209308697</v>
      </c>
      <c r="R39" s="59">
        <f>(60*76.9*((F39/1000)^0.76)*3*24*(MAX('Min rate concentrations'!$R$3:$R$368))/F39)</f>
        <v>9.8204124492080446E-4</v>
      </c>
      <c r="S39" s="59">
        <f>(IF(inputs!$C$6="aerial",((0.025*0.112*inputs!$C$7/3.3)*(3*60*76.9*((F39/1000)^0.76))*MAX(inputs!$H$14:$H$16))/F39,((0.0083*0.112*inputs!$C$7/1)*(3*60*76.9*((F39/1000)^0.76))*MAX(inputs!$H$14:$H$16))/F39))</f>
        <v>4.1466386286547457E-3</v>
      </c>
      <c r="T39" s="63">
        <f>IF((((inputs!$P$12/(V39/MAX(K39:S39)))^(1/inputs!$O$12))-1)/inputs!$N$12&lt;0, 0, IF((((inputs!$P$12/(V39/MAX(K39:S39)))^(1/inputs!$O$12))-1)/inputs!$N$12&gt;inputs!$H$17, inputs!$H$17, (((inputs!$P$12/(V39/MAX(K39:S39)))^(1/inputs!$O$12))-1)/inputs!$N$12))</f>
        <v>372.62111335458241</v>
      </c>
      <c r="U39" s="63">
        <f>IF((((inputs!$P$12/(X39/MAX(K39:S39)))^(1/inputs!$O$12))-1)/inputs!$N$12&lt;0, 0, IF((((inputs!$P$12/(X39/MAX(K39:S39)))^(1/inputs!$O$12))-1)/inputs!$N$12&gt;inputs!$H$17, inputs!$H$17, (((inputs!$P$12/(X39/MAX(K39:S39)))^(1/inputs!$O$12))-1)/inputs!$N$12))</f>
        <v>201.37458148409871</v>
      </c>
      <c r="V39" s="21">
        <f>inputs!$E$87*(F39/inputs!$F$87)^(1)</f>
        <v>5.8899999999999994E-3</v>
      </c>
      <c r="W39" s="21">
        <f>inputs!$E$90*(F39/inputs!$F$90)^(1)</f>
        <v>6.1999999999999998E-3</v>
      </c>
      <c r="X39" s="21">
        <f>inputs!$E$89*(F39/inputs!$F$89)^(1)</f>
        <v>2.3151898734177216E-2</v>
      </c>
      <c r="Y39" s="21" t="s">
        <v>13</v>
      </c>
      <c r="Z39" s="63">
        <f t="shared" si="1"/>
        <v>1399.5813598147195</v>
      </c>
      <c r="AA39" s="63">
        <f t="shared" si="2"/>
        <v>1329.6022918239835</v>
      </c>
    </row>
    <row r="40" spans="1:27" ht="26.4" x14ac:dyDescent="0.25">
      <c r="A40" s="103" t="s">
        <v>645</v>
      </c>
      <c r="B40" s="20" t="s">
        <v>646</v>
      </c>
      <c r="C40" s="21" t="s">
        <v>702</v>
      </c>
      <c r="D40" s="15" t="s">
        <v>703</v>
      </c>
      <c r="E40" s="15">
        <v>8395</v>
      </c>
      <c r="F40" s="21">
        <v>31</v>
      </c>
      <c r="G40" s="21" t="s">
        <v>182</v>
      </c>
      <c r="H40" s="21">
        <v>0.85</v>
      </c>
      <c r="I40" s="48">
        <f>MAX('Min rate concentrations'!$M$3:$M$368)</f>
        <v>2.8488184789681945</v>
      </c>
      <c r="J40" s="48">
        <f>MAX('Min rate concentrations'!AE:AE)</f>
        <v>1.9699276716269429</v>
      </c>
      <c r="K40" s="59">
        <f t="shared" si="6"/>
        <v>0.11323423920033235</v>
      </c>
      <c r="L40" s="59">
        <f>(((0.013*F40^0.773)/(1-H40)))*J40/F40</f>
        <v>7.8300271787463849E-2</v>
      </c>
      <c r="M40" s="59">
        <f>IF((((0.065*F40^0.726)/3.7-(0.301*F40^0.751)/(1-H40)*H40)*(MAX('Min rate concentrations'!$P$3:$P$368)))/F40&gt;0, (((0.065*F40^0.726)/3.7-(0.301*F40^0.751)/(1-H40)*H40)*(MAX('Min rate concentrations'!$P$3:$P$368)))/F40, 0)</f>
        <v>0</v>
      </c>
      <c r="N40" s="59">
        <f>IF((((0.065*F40^0.726)/3.7-(0.301*F40^0.751)/(1-H40)*H40)*(MAX('Min rate concentrations'!$Q$3:$Q$368)))/F40&gt;0, (((0.065*F40^0.726)/3.7-(0.301*F40^0.751)/(1-H40)*H40)*(MAX('Min rate concentrations'!$Q$3:$Q$368)))/F40, 0)</f>
        <v>0</v>
      </c>
      <c r="O40" s="59" t="s">
        <v>13</v>
      </c>
      <c r="P40" s="59" t="s">
        <v>13</v>
      </c>
      <c r="Q40" s="59">
        <f>(inputs!$C$7*11.2)*(8.42*F40^0.694)*0.5*1/F40</f>
        <v>8.243534209308697</v>
      </c>
      <c r="R40" s="59">
        <f>(60*76.9*((F40/1000)^0.76)*3*24*(MAX('Min rate concentrations'!$R$3:$R$368))/F40)</f>
        <v>9.8204124492080446E-4</v>
      </c>
      <c r="S40" s="59">
        <f>(IF(inputs!$C$6="aerial",((0.025*0.112*inputs!$C$7/3.3)*(3*60*76.9*((F40/1000)^0.76))*MAX(inputs!$H$14:$H$16))/F40,((0.0083*0.112*inputs!$C$7/1)*(3*60*76.9*((F40/1000)^0.76))*MAX(inputs!$H$14:$H$16))/F40))</f>
        <v>4.1466386286547457E-3</v>
      </c>
      <c r="T40" s="63">
        <f>IF((((inputs!$P$12/(V40/MAX(K40:S40)))^(1/inputs!$O$12))-1)/inputs!$N$12&lt;0, 0, IF((((inputs!$P$12/(V40/MAX(K40:S40)))^(1/inputs!$O$12))-1)/inputs!$N$12&gt;inputs!$H$17, inputs!$H$17, (((inputs!$P$12/(V40/MAX(K40:S40)))^(1/inputs!$O$12))-1)/inputs!$N$12))</f>
        <v>372.62111335458241</v>
      </c>
      <c r="U40" s="63">
        <f>IF((((inputs!$P$12/(X40/MAX(K40:S40)))^(1/inputs!$O$12))-1)/inputs!$N$12&lt;0, 0, IF((((inputs!$P$12/(X40/MAX(K40:S40)))^(1/inputs!$O$12))-1)/inputs!$N$12&gt;inputs!$H$17, inputs!$H$17, (((inputs!$P$12/(X40/MAX(K40:S40)))^(1/inputs!$O$12))-1)/inputs!$N$12))</f>
        <v>201.37458148409871</v>
      </c>
      <c r="V40" s="21">
        <f>inputs!$E$87*(F40/inputs!$F$87)^(1)</f>
        <v>5.8899999999999994E-3</v>
      </c>
      <c r="W40" s="21">
        <f>inputs!$E$90*(F40/inputs!$F$90)^(1)</f>
        <v>6.1999999999999998E-3</v>
      </c>
      <c r="X40" s="21">
        <f>inputs!$E$89*(F40/inputs!$F$89)^(1)</f>
        <v>2.3151898734177216E-2</v>
      </c>
      <c r="Y40" s="21" t="s">
        <v>13</v>
      </c>
      <c r="Z40" s="63">
        <f t="shared" si="1"/>
        <v>1399.5813598147195</v>
      </c>
      <c r="AA40" s="63">
        <f t="shared" si="2"/>
        <v>1329.6022918239835</v>
      </c>
    </row>
    <row r="41" spans="1:27" ht="26.4" x14ac:dyDescent="0.25">
      <c r="A41" s="103" t="s">
        <v>645</v>
      </c>
      <c r="B41" s="20" t="s">
        <v>646</v>
      </c>
      <c r="C41" s="21" t="s">
        <v>702</v>
      </c>
      <c r="D41" s="15" t="s">
        <v>703</v>
      </c>
      <c r="E41" s="15">
        <v>8395</v>
      </c>
      <c r="F41" s="21">
        <v>31</v>
      </c>
      <c r="G41" s="21" t="s">
        <v>142</v>
      </c>
      <c r="H41" s="21">
        <v>0.69</v>
      </c>
      <c r="I41" s="48">
        <f>MAX('Min rate concentrations'!$H$3:$H$368)</f>
        <v>47</v>
      </c>
      <c r="J41" s="48">
        <f>MAX('Min rate concentrations'!AA:AA)</f>
        <v>32.5</v>
      </c>
      <c r="K41" s="59">
        <f t="shared" si="6"/>
        <v>0.90394168019854437</v>
      </c>
      <c r="L41" s="59">
        <f>(((0.013*F41^0.773)/(1-H41)))*J41/F41</f>
        <v>0.62506605545644012</v>
      </c>
      <c r="M41" s="59">
        <f>IF((((0.065*F41^0.726)/3.7-(0.301*F41^0.751)/(1-H41)*H41)*(MAX('Min rate concentrations'!$P$3:$P$368)))/F41&gt;0, (((0.065*F41^0.726)/3.7-(0.301*F41^0.751)/(1-H41)*H41)*(MAX('Min rate concentrations'!$P$3:$P$368)))/F41, 0)</f>
        <v>0</v>
      </c>
      <c r="N41" s="59">
        <f>IF((((0.065*F41^0.726)/3.7-(0.301*F41^0.751)/(1-H41)*H41)*(MAX('Min rate concentrations'!$Q$3:$Q$368)))/F41&gt;0, (((0.065*F41^0.726)/3.7-(0.301*F41^0.751)/(1-H41)*H41)*(MAX('Min rate concentrations'!$Q$3:$Q$368)))/F41, 0)</f>
        <v>0</v>
      </c>
      <c r="O41" s="59" t="s">
        <v>13</v>
      </c>
      <c r="P41" s="59" t="s">
        <v>13</v>
      </c>
      <c r="Q41" s="59">
        <f>(inputs!$C$7*11.2)*(8.42*F41^0.694)*0.5*1/F41</f>
        <v>8.243534209308697</v>
      </c>
      <c r="R41" s="59">
        <f>(60*76.9*((F41/1000)^0.76)*3*24*(MAX('Min rate concentrations'!$R$3:$R$368))/F41)</f>
        <v>9.8204124492080446E-4</v>
      </c>
      <c r="S41" s="59">
        <f>(IF(inputs!$C$6="aerial",((0.025*0.112*inputs!$C$7/3.3)*(3*60*76.9*((F41/1000)^0.76))*MAX(inputs!$H$14:$H$16))/F41,((0.0083*0.112*inputs!$C$7/1)*(3*60*76.9*((F41/1000)^0.76))*MAX(inputs!$H$14:$H$16))/F41))</f>
        <v>4.1466386286547457E-3</v>
      </c>
      <c r="T41" s="63">
        <f>IF((((inputs!$P$12/(V41/MAX(K41:S41)))^(1/inputs!$O$12))-1)/inputs!$N$12&lt;0, 0, IF((((inputs!$P$12/(V41/MAX(K41:S41)))^(1/inputs!$O$12))-1)/inputs!$N$12&gt;inputs!$H$17, inputs!$H$17, (((inputs!$P$12/(V41/MAX(K41:S41)))^(1/inputs!$O$12))-1)/inputs!$N$12))</f>
        <v>372.62111335458241</v>
      </c>
      <c r="U41" s="63">
        <f>IF((((inputs!$P$12/(X41/MAX(K41:S41)))^(1/inputs!$O$12))-1)/inputs!$N$12&lt;0, 0, IF((((inputs!$P$12/(X41/MAX(K41:S41)))^(1/inputs!$O$12))-1)/inputs!$N$12&gt;inputs!$H$17, inputs!$H$17, (((inputs!$P$12/(X41/MAX(K41:S41)))^(1/inputs!$O$12))-1)/inputs!$N$12))</f>
        <v>201.37458148409871</v>
      </c>
      <c r="V41" s="21">
        <f>inputs!$E$87*(F41/inputs!$F$87)^(1)</f>
        <v>5.8899999999999994E-3</v>
      </c>
      <c r="W41" s="21">
        <f>inputs!$E$90*(F41/inputs!$F$90)^(1)</f>
        <v>6.1999999999999998E-3</v>
      </c>
      <c r="X41" s="21">
        <f>inputs!$E$89*(F41/inputs!$F$89)^(1)</f>
        <v>2.3151898734177216E-2</v>
      </c>
      <c r="Y41" s="21" t="s">
        <v>13</v>
      </c>
      <c r="Z41" s="63">
        <f t="shared" si="1"/>
        <v>1399.5813598147195</v>
      </c>
      <c r="AA41" s="63">
        <f t="shared" si="2"/>
        <v>1329.6022918239835</v>
      </c>
    </row>
    <row r="42" spans="1:27" ht="26.4" x14ac:dyDescent="0.25">
      <c r="A42" s="103" t="s">
        <v>645</v>
      </c>
      <c r="B42" s="20" t="s">
        <v>646</v>
      </c>
      <c r="C42" s="21" t="s">
        <v>702</v>
      </c>
      <c r="D42" s="15" t="s">
        <v>703</v>
      </c>
      <c r="E42" s="15">
        <v>8395</v>
      </c>
      <c r="F42" s="21">
        <v>31</v>
      </c>
      <c r="G42" s="21" t="s">
        <v>146</v>
      </c>
      <c r="H42" s="20">
        <v>0.84</v>
      </c>
      <c r="I42" s="48">
        <f>MAX('Min rate concentrations'!$I$3:$I$368)</f>
        <v>9.4775690500787988</v>
      </c>
      <c r="J42" s="48" t="s">
        <v>13</v>
      </c>
      <c r="K42" s="59">
        <f t="shared" si="6"/>
        <v>0.35316789950944744</v>
      </c>
      <c r="L42" s="48" t="s">
        <v>13</v>
      </c>
      <c r="M42" s="59">
        <f>IF((((0.065*F42^0.726)/3.7-(0.301*F42^0.751)/(1-H42)*H42)*(MAX('Min rate concentrations'!$P$3:$P$368)))/F42&gt;0, (((0.065*F42^0.726)/3.7-(0.301*F42^0.751)/(1-H42)*H42)*(MAX('Min rate concentrations'!$P$3:$P$368)))/F42, 0)</f>
        <v>0</v>
      </c>
      <c r="N42" s="59">
        <f>IF((((0.065*F42^0.726)/3.7-(0.301*F42^0.751)/(1-H42)*H42)*(MAX('Min rate concentrations'!$Q$3:$Q$368)))/F42&gt;0, (((0.065*F42^0.726)/3.7-(0.301*F42^0.751)/(1-H42)*H42)*(MAX('Min rate concentrations'!$Q$3:$Q$368)))/F42, 0)</f>
        <v>0</v>
      </c>
      <c r="O42" s="59" t="s">
        <v>13</v>
      </c>
      <c r="P42" s="59" t="s">
        <v>13</v>
      </c>
      <c r="Q42" s="59">
        <f>(inputs!$C$7*11.2)*(8.42*F42^0.694)*0.5*1/F42</f>
        <v>8.243534209308697</v>
      </c>
      <c r="R42" s="59">
        <f>(60*76.9*((F42/1000)^0.76)*3*24*(MAX('Min rate concentrations'!$R$3:$R$368))/F42)</f>
        <v>9.8204124492080446E-4</v>
      </c>
      <c r="S42" s="59">
        <f>(IF(inputs!$C$6="aerial",((0.025*0.112*inputs!$C$7/3.3)*(3*60*76.9*((F42/1000)^0.76))*MAX(inputs!$H$14:$H$16))/F42,((0.0083*0.112*inputs!$C$7/1)*(3*60*76.9*((F42/1000)^0.76))*MAX(inputs!$H$14:$H$16))/F42))</f>
        <v>4.1466386286547457E-3</v>
      </c>
      <c r="T42" s="63">
        <f>IF((((inputs!$P$12/(V42/MAX(K42:S42)))^(1/inputs!$O$12))-1)/inputs!$N$12&lt;0, 0, IF((((inputs!$P$12/(V42/MAX(K42:S42)))^(1/inputs!$O$12))-1)/inputs!$N$12&gt;inputs!$H$17, inputs!$H$17, (((inputs!$P$12/(V42/MAX(K42:S42)))^(1/inputs!$O$12))-1)/inputs!$N$12))</f>
        <v>372.62111335458241</v>
      </c>
      <c r="U42" s="63">
        <f>IF((((inputs!$P$12/(X42/MAX(K42:S42)))^(1/inputs!$O$12))-1)/inputs!$N$12&lt;0, 0, IF((((inputs!$P$12/(X42/MAX(K42:S42)))^(1/inputs!$O$12))-1)/inputs!$N$12&gt;inputs!$H$17, inputs!$H$17, (((inputs!$P$12/(X42/MAX(K42:S42)))^(1/inputs!$O$12))-1)/inputs!$N$12))</f>
        <v>201.37458148409871</v>
      </c>
      <c r="V42" s="21">
        <f>inputs!$E$87*(F42/inputs!$F$87)^(1)</f>
        <v>5.8899999999999994E-3</v>
      </c>
      <c r="W42" s="21">
        <f>inputs!$E$90*(F42/inputs!$F$90)^(1)</f>
        <v>6.1999999999999998E-3</v>
      </c>
      <c r="X42" s="21">
        <f>inputs!$E$89*(F42/inputs!$F$89)^(1)</f>
        <v>2.3151898734177216E-2</v>
      </c>
      <c r="Y42" s="21" t="s">
        <v>13</v>
      </c>
      <c r="Z42" s="63">
        <f t="shared" si="1"/>
        <v>1399.5813598147195</v>
      </c>
      <c r="AA42" s="63">
        <f t="shared" si="2"/>
        <v>1329.6022918239835</v>
      </c>
    </row>
    <row r="43" spans="1:27" ht="26.4" x14ac:dyDescent="0.25">
      <c r="A43" s="103" t="s">
        <v>645</v>
      </c>
      <c r="B43" s="20" t="s">
        <v>647</v>
      </c>
      <c r="C43" s="21" t="s">
        <v>702</v>
      </c>
      <c r="D43" s="15" t="s">
        <v>703</v>
      </c>
      <c r="E43" s="15">
        <v>203</v>
      </c>
      <c r="F43" s="21">
        <v>31</v>
      </c>
      <c r="G43" s="21" t="s">
        <v>182</v>
      </c>
      <c r="H43" s="21">
        <v>0.85</v>
      </c>
      <c r="I43" s="48">
        <f>MAX('Min rate concentrations'!$M$3:$M$368)</f>
        <v>2.8488184789681945</v>
      </c>
      <c r="J43" s="48">
        <f>MAX('Min rate concentrations'!AE:AE)</f>
        <v>1.9699276716269429</v>
      </c>
      <c r="K43" s="59">
        <f t="shared" si="6"/>
        <v>0.11323423920033235</v>
      </c>
      <c r="L43" s="59">
        <f>(((0.013*F43^0.773)/(1-H43)))*J43/F43</f>
        <v>7.8300271787463849E-2</v>
      </c>
      <c r="M43" s="59">
        <f>IF((((0.065*F43^0.726)/3.7-(0.301*F43^0.751)/(1-H43)*H43)*(MAX('Min rate concentrations'!$P$3:$P$368)))/F43&gt;0, (((0.065*F43^0.726)/3.7-(0.301*F43^0.751)/(1-H43)*H43)*(MAX('Min rate concentrations'!$P$3:$P$368)))/F43, 0)</f>
        <v>0</v>
      </c>
      <c r="N43" s="59">
        <f>IF((((0.065*F43^0.726)/3.7-(0.301*F43^0.751)/(1-H43)*H43)*(MAX('Min rate concentrations'!$Q$3:$Q$368)))/F43&gt;0, (((0.065*F43^0.726)/3.7-(0.301*F43^0.751)/(1-H43)*H43)*(MAX('Min rate concentrations'!$Q$3:$Q$368)))/F43, 0)</f>
        <v>0</v>
      </c>
      <c r="O43" s="59" t="s">
        <v>13</v>
      </c>
      <c r="P43" s="59" t="s">
        <v>13</v>
      </c>
      <c r="Q43" s="59">
        <f>(inputs!$C$7*11.2)*(8.42*F43^0.694)*0.5*1/F43</f>
        <v>8.243534209308697</v>
      </c>
      <c r="R43" s="59">
        <f>(60*76.9*((F43/1000)^0.76)*3*24*(MAX('Min rate concentrations'!$R$3:$R$368))/F43)</f>
        <v>9.8204124492080446E-4</v>
      </c>
      <c r="S43" s="59">
        <f>(IF(inputs!$C$6="aerial",((0.025*0.112*inputs!$C$7/3.3)*(3*60*76.9*((F43/1000)^0.76))*MAX(inputs!$H$14:$H$16))/F43,((0.0083*0.112*inputs!$C$7/1)*(3*60*76.9*((F43/1000)^0.76))*MAX(inputs!$H$14:$H$16))/F43))</f>
        <v>4.1466386286547457E-3</v>
      </c>
      <c r="T43" s="63">
        <f>IF((((inputs!$P$12/(V43/MAX(K43:S43)))^(1/inputs!$O$12))-1)/inputs!$N$12&lt;0, 0, IF((((inputs!$P$12/(V43/MAX(K43:S43)))^(1/inputs!$O$12))-1)/inputs!$N$12&gt;inputs!$H$17, inputs!$H$17, (((inputs!$P$12/(V43/MAX(K43:S43)))^(1/inputs!$O$12))-1)/inputs!$N$12))</f>
        <v>372.62111335458241</v>
      </c>
      <c r="U43" s="63">
        <f>IF((((inputs!$P$12/(X43/MAX(K43:S43)))^(1/inputs!$O$12))-1)/inputs!$N$12&lt;0, 0, IF((((inputs!$P$12/(X43/MAX(K43:S43)))^(1/inputs!$O$12))-1)/inputs!$N$12&gt;inputs!$H$17, inputs!$H$17, (((inputs!$P$12/(X43/MAX(K43:S43)))^(1/inputs!$O$12))-1)/inputs!$N$12))</f>
        <v>201.37458148409871</v>
      </c>
      <c r="V43" s="21">
        <f>inputs!$E$87*(F43/inputs!$F$87)^(1)</f>
        <v>5.8899999999999994E-3</v>
      </c>
      <c r="W43" s="21">
        <f>inputs!$E$90*(F43/inputs!$F$90)^(1)</f>
        <v>6.1999999999999998E-3</v>
      </c>
      <c r="X43" s="21">
        <f>inputs!$E$89*(F43/inputs!$F$89)^(1)</f>
        <v>2.3151898734177216E-2</v>
      </c>
      <c r="Y43" s="21" t="s">
        <v>13</v>
      </c>
      <c r="Z43" s="63">
        <f t="shared" si="1"/>
        <v>1399.5813598147195</v>
      </c>
      <c r="AA43" s="63">
        <f t="shared" si="2"/>
        <v>1329.6022918239835</v>
      </c>
    </row>
    <row r="44" spans="1:27" ht="26.4" x14ac:dyDescent="0.25">
      <c r="A44" s="103" t="s">
        <v>645</v>
      </c>
      <c r="B44" s="20" t="s">
        <v>647</v>
      </c>
      <c r="C44" s="21" t="s">
        <v>702</v>
      </c>
      <c r="D44" s="15" t="s">
        <v>703</v>
      </c>
      <c r="E44" s="15">
        <v>203</v>
      </c>
      <c r="F44" s="21">
        <v>31</v>
      </c>
      <c r="G44" s="21" t="s">
        <v>142</v>
      </c>
      <c r="H44" s="21">
        <v>0.69</v>
      </c>
      <c r="I44" s="48">
        <f>MAX('Min rate concentrations'!$H$3:$H$368)</f>
        <v>47</v>
      </c>
      <c r="J44" s="48">
        <f>MAX('Min rate concentrations'!AA:AA)</f>
        <v>32.5</v>
      </c>
      <c r="K44" s="59">
        <f t="shared" si="6"/>
        <v>0.90394168019854437</v>
      </c>
      <c r="L44" s="59">
        <f>(((0.013*F44^0.773)/(1-H44)))*J44/F44</f>
        <v>0.62506605545644012</v>
      </c>
      <c r="M44" s="59">
        <f>IF((((0.065*F44^0.726)/3.7-(0.301*F44^0.751)/(1-H44)*H44)*(MAX('Min rate concentrations'!$P$3:$P$368)))/F44&gt;0, (((0.065*F44^0.726)/3.7-(0.301*F44^0.751)/(1-H44)*H44)*(MAX('Min rate concentrations'!$P$3:$P$368)))/F44, 0)</f>
        <v>0</v>
      </c>
      <c r="N44" s="59">
        <f>IF((((0.065*F44^0.726)/3.7-(0.301*F44^0.751)/(1-H44)*H44)*(MAX('Min rate concentrations'!$Q$3:$Q$368)))/F44&gt;0, (((0.065*F44^0.726)/3.7-(0.301*F44^0.751)/(1-H44)*H44)*(MAX('Min rate concentrations'!$Q$3:$Q$368)))/F44, 0)</f>
        <v>0</v>
      </c>
      <c r="O44" s="59" t="s">
        <v>13</v>
      </c>
      <c r="P44" s="59" t="s">
        <v>13</v>
      </c>
      <c r="Q44" s="59">
        <f>(inputs!$C$7*11.2)*(8.42*F44^0.694)*0.5*1/F44</f>
        <v>8.243534209308697</v>
      </c>
      <c r="R44" s="59">
        <f>(60*76.9*((F44/1000)^0.76)*3*24*(MAX('Min rate concentrations'!$R$3:$R$368))/F44)</f>
        <v>9.8204124492080446E-4</v>
      </c>
      <c r="S44" s="59">
        <f>(IF(inputs!$C$6="aerial",((0.025*0.112*inputs!$C$7/3.3)*(3*60*76.9*((F44/1000)^0.76))*MAX(inputs!$H$14:$H$16))/F44,((0.0083*0.112*inputs!$C$7/1)*(3*60*76.9*((F44/1000)^0.76))*MAX(inputs!$H$14:$H$16))/F44))</f>
        <v>4.1466386286547457E-3</v>
      </c>
      <c r="T44" s="63">
        <f>IF((((inputs!$P$12/(V44/MAX(K44:S44)))^(1/inputs!$O$12))-1)/inputs!$N$12&lt;0, 0, IF((((inputs!$P$12/(V44/MAX(K44:S44)))^(1/inputs!$O$12))-1)/inputs!$N$12&gt;inputs!$H$17, inputs!$H$17, (((inputs!$P$12/(V44/MAX(K44:S44)))^(1/inputs!$O$12))-1)/inputs!$N$12))</f>
        <v>372.62111335458241</v>
      </c>
      <c r="U44" s="63">
        <f>IF((((inputs!$P$12/(X44/MAX(K44:S44)))^(1/inputs!$O$12))-1)/inputs!$N$12&lt;0, 0, IF((((inputs!$P$12/(X44/MAX(K44:S44)))^(1/inputs!$O$12))-1)/inputs!$N$12&gt;inputs!$H$17, inputs!$H$17, (((inputs!$P$12/(X44/MAX(K44:S44)))^(1/inputs!$O$12))-1)/inputs!$N$12))</f>
        <v>201.37458148409871</v>
      </c>
      <c r="V44" s="21">
        <f>inputs!$E$87*(F44/inputs!$F$87)^(1)</f>
        <v>5.8899999999999994E-3</v>
      </c>
      <c r="W44" s="21">
        <f>inputs!$E$90*(F44/inputs!$F$90)^(1)</f>
        <v>6.1999999999999998E-3</v>
      </c>
      <c r="X44" s="21">
        <f>inputs!$E$89*(F44/inputs!$F$89)^(1)</f>
        <v>2.3151898734177216E-2</v>
      </c>
      <c r="Y44" s="21" t="s">
        <v>13</v>
      </c>
      <c r="Z44" s="63">
        <f t="shared" si="1"/>
        <v>1399.5813598147195</v>
      </c>
      <c r="AA44" s="63">
        <f t="shared" si="2"/>
        <v>1329.6022918239835</v>
      </c>
    </row>
    <row r="45" spans="1:27" ht="26.4" x14ac:dyDescent="0.25">
      <c r="A45" s="103" t="s">
        <v>645</v>
      </c>
      <c r="B45" s="20" t="s">
        <v>647</v>
      </c>
      <c r="C45" s="21" t="s">
        <v>702</v>
      </c>
      <c r="D45" s="15" t="s">
        <v>703</v>
      </c>
      <c r="E45" s="15">
        <v>203</v>
      </c>
      <c r="F45" s="21">
        <v>31</v>
      </c>
      <c r="G45" s="21" t="s">
        <v>146</v>
      </c>
      <c r="H45" s="20">
        <v>0.84</v>
      </c>
      <c r="I45" s="48">
        <f>MAX('Min rate concentrations'!$I$3:$I$368)</f>
        <v>9.4775690500787988</v>
      </c>
      <c r="J45" s="48" t="s">
        <v>13</v>
      </c>
      <c r="K45" s="59">
        <f t="shared" si="6"/>
        <v>0.35316789950944744</v>
      </c>
      <c r="L45" s="48" t="s">
        <v>13</v>
      </c>
      <c r="M45" s="59">
        <f>IF((((0.065*F45^0.726)/3.7-(0.301*F45^0.751)/(1-H45)*H45)*(MAX('Min rate concentrations'!$P$3:$P$368)))/F45&gt;0, (((0.065*F45^0.726)/3.7-(0.301*F45^0.751)/(1-H45)*H45)*(MAX('Min rate concentrations'!$P$3:$P$368)))/F45, 0)</f>
        <v>0</v>
      </c>
      <c r="N45" s="59">
        <f>IF((((0.065*F45^0.726)/3.7-(0.301*F45^0.751)/(1-H45)*H45)*(MAX('Min rate concentrations'!$Q$3:$Q$368)))/F45&gt;0, (((0.065*F45^0.726)/3.7-(0.301*F45^0.751)/(1-H45)*H45)*(MAX('Min rate concentrations'!$Q$3:$Q$368)))/F45, 0)</f>
        <v>0</v>
      </c>
      <c r="O45" s="59" t="s">
        <v>13</v>
      </c>
      <c r="P45" s="59" t="s">
        <v>13</v>
      </c>
      <c r="Q45" s="59">
        <f>(inputs!$C$7*11.2)*(8.42*F45^0.694)*0.5*1/F45</f>
        <v>8.243534209308697</v>
      </c>
      <c r="R45" s="59">
        <f>(60*76.9*((F45/1000)^0.76)*3*24*(MAX('Min rate concentrations'!$R$3:$R$368))/F45)</f>
        <v>9.8204124492080446E-4</v>
      </c>
      <c r="S45" s="59">
        <f>(IF(inputs!$C$6="aerial",((0.025*0.112*inputs!$C$7/3.3)*(3*60*76.9*((F45/1000)^0.76))*MAX(inputs!$H$14:$H$16))/F45,((0.0083*0.112*inputs!$C$7/1)*(3*60*76.9*((F45/1000)^0.76))*MAX(inputs!$H$14:$H$16))/F45))</f>
        <v>4.1466386286547457E-3</v>
      </c>
      <c r="T45" s="63">
        <f>IF((((inputs!$P$12/(V45/MAX(K45:S45)))^(1/inputs!$O$12))-1)/inputs!$N$12&lt;0, 0, IF((((inputs!$P$12/(V45/MAX(K45:S45)))^(1/inputs!$O$12))-1)/inputs!$N$12&gt;inputs!$H$17, inputs!$H$17, (((inputs!$P$12/(V45/MAX(K45:S45)))^(1/inputs!$O$12))-1)/inputs!$N$12))</f>
        <v>372.62111335458241</v>
      </c>
      <c r="U45" s="63">
        <f>IF((((inputs!$P$12/(X45/MAX(K45:S45)))^(1/inputs!$O$12))-1)/inputs!$N$12&lt;0, 0, IF((((inputs!$P$12/(X45/MAX(K45:S45)))^(1/inputs!$O$12))-1)/inputs!$N$12&gt;inputs!$H$17, inputs!$H$17, (((inputs!$P$12/(X45/MAX(K45:S45)))^(1/inputs!$O$12))-1)/inputs!$N$12))</f>
        <v>201.37458148409871</v>
      </c>
      <c r="V45" s="21">
        <f>inputs!$E$87*(F45/inputs!$F$87)^(1)</f>
        <v>5.8899999999999994E-3</v>
      </c>
      <c r="W45" s="21">
        <f>inputs!$E$90*(F45/inputs!$F$90)^(1)</f>
        <v>6.1999999999999998E-3</v>
      </c>
      <c r="X45" s="21">
        <f>inputs!$E$89*(F45/inputs!$F$89)^(1)</f>
        <v>2.3151898734177216E-2</v>
      </c>
      <c r="Y45" s="21" t="s">
        <v>13</v>
      </c>
      <c r="Z45" s="63">
        <f t="shared" si="1"/>
        <v>1399.5813598147195</v>
      </c>
      <c r="AA45" s="63">
        <f t="shared" si="2"/>
        <v>1329.6022918239835</v>
      </c>
    </row>
    <row r="46" spans="1:27" x14ac:dyDescent="0.25">
      <c r="A46" s="103" t="s">
        <v>683</v>
      </c>
      <c r="B46" s="20" t="s">
        <v>684</v>
      </c>
      <c r="C46" s="21" t="s">
        <v>702</v>
      </c>
      <c r="D46" s="15" t="s">
        <v>703</v>
      </c>
      <c r="E46" s="15">
        <v>198</v>
      </c>
      <c r="F46" s="21">
        <v>1.2</v>
      </c>
      <c r="G46" s="21" t="s">
        <v>142</v>
      </c>
      <c r="H46" s="21">
        <v>0.69</v>
      </c>
      <c r="I46" s="48">
        <f>MAX('Min rate concentrations'!$H$3:$H$368)</f>
        <v>47</v>
      </c>
      <c r="J46" s="48">
        <f>MAX('Min rate concentrations'!AA:AA)</f>
        <v>32.5</v>
      </c>
      <c r="K46" s="59">
        <f t="shared" si="6"/>
        <v>1.8910602834385815</v>
      </c>
      <c r="L46" s="59">
        <f>(((0.013*F46^0.773)/(1-H46)))*J46/F46</f>
        <v>1.3076480683351894</v>
      </c>
      <c r="M46" s="59">
        <f>IF((((0.065*F46^0.726)/3.7-(0.301*F46^0.751)/(1-H46)*H46)*(MAX('Min rate concentrations'!$P$3:$P$368)))/F46&gt;0, (((0.065*F46^0.726)/3.7-(0.301*F46^0.751)/(1-H46)*H46)*(MAX('Min rate concentrations'!$P$3:$P$368)))/F46, 0)</f>
        <v>0</v>
      </c>
      <c r="N46" s="59">
        <f>IF((((0.065*F46^0.726)/3.7-(0.301*F46^0.751)/(1-H46)*H46)*(MAX('Min rate concentrations'!$Q$3:$Q$368)))/F46&gt;0, (((0.065*F46^0.726)/3.7-(0.301*F46^0.751)/(1-H46)*H46)*(MAX('Min rate concentrations'!$Q$3:$Q$368)))/F46, 0)</f>
        <v>0</v>
      </c>
      <c r="O46" s="59" t="s">
        <v>13</v>
      </c>
      <c r="P46" s="59" t="s">
        <v>13</v>
      </c>
      <c r="Q46" s="59">
        <f>(inputs!$C$7*11.2)*(8.42*F46^0.694)*0.5*1/F46</f>
        <v>22.296703647820159</v>
      </c>
      <c r="R46" s="59">
        <f>(60*76.9*((F46/1000)^0.76)*3*24*(MAX('Min rate concentrations'!$R$3:$R$368))/F46)</f>
        <v>2.1431523049555441E-3</v>
      </c>
      <c r="S46" s="59">
        <f>(IF(inputs!$C$6="aerial",((0.025*0.112*inputs!$C$7/3.3)*(3*60*76.9*((F46/1000)^0.76))*MAX(inputs!$H$14:$H$16))/F46,((0.0083*0.112*inputs!$C$7/1)*(3*60*76.9*((F46/1000)^0.76))*MAX(inputs!$H$14:$H$16))/F46))</f>
        <v>9.0493939850110738E-3</v>
      </c>
      <c r="T46" s="63">
        <f>IF((((inputs!$P$12/(V46/MAX(K46:S46)))^(1/inputs!$O$12))-1)/inputs!$N$12&lt;0, 0, IF((((inputs!$P$12/(V46/MAX(K46:S46)))^(1/inputs!$O$12))-1)/inputs!$N$12&gt;inputs!$H$17, inputs!$H$17, (((inputs!$P$12/(V46/MAX(K46:S46)))^(1/inputs!$O$12))-1)/inputs!$N$12))</f>
        <v>1000</v>
      </c>
      <c r="U46" s="63">
        <f>IF((((inputs!$P$12/(X46/MAX(K46:S46)))^(1/inputs!$O$12))-1)/inputs!$N$12&lt;0, 0, IF((((inputs!$P$12/(X46/MAX(K46:S46)))^(1/inputs!$O$12))-1)/inputs!$N$12&gt;inputs!$H$17, inputs!$H$17, (((inputs!$P$12/(X46/MAX(K46:S46)))^(1/inputs!$O$12))-1)/inputs!$N$12))</f>
        <v>1000</v>
      </c>
      <c r="V46" s="21">
        <f>inputs!$E$87*(F46/inputs!$F$87)^(1)</f>
        <v>2.2800000000000001E-4</v>
      </c>
      <c r="W46" s="21">
        <f>inputs!$E$90*(F46/inputs!$F$90)^(1)</f>
        <v>2.4000000000000001E-4</v>
      </c>
      <c r="X46" s="21">
        <f>inputs!$E$89*(F46/inputs!$F$89)^(1)</f>
        <v>8.962025316455696E-4</v>
      </c>
      <c r="Y46" s="21" t="s">
        <v>13</v>
      </c>
      <c r="Z46" s="63">
        <f t="shared" si="1"/>
        <v>97792.559858860346</v>
      </c>
      <c r="AA46" s="63">
        <f t="shared" si="2"/>
        <v>92902.93186591733</v>
      </c>
    </row>
    <row r="47" spans="1:27" x14ac:dyDescent="0.25">
      <c r="A47" s="103" t="s">
        <v>661</v>
      </c>
      <c r="B47" s="20" t="s">
        <v>662</v>
      </c>
      <c r="C47" s="21" t="s">
        <v>702</v>
      </c>
      <c r="D47" s="15" t="s">
        <v>703</v>
      </c>
      <c r="E47" s="15">
        <v>191</v>
      </c>
      <c r="F47" s="21">
        <v>2.2999999999999998</v>
      </c>
      <c r="G47" s="21" t="s">
        <v>142</v>
      </c>
      <c r="H47" s="21">
        <v>0.69</v>
      </c>
      <c r="I47" s="48">
        <f>MAX('Min rate concentrations'!$H$3:$H$368)</f>
        <v>47</v>
      </c>
      <c r="J47" s="48">
        <f>MAX('Min rate concentrations'!AA:AA)</f>
        <v>32.5</v>
      </c>
      <c r="K47" s="59">
        <f t="shared" si="6"/>
        <v>1.6314256929607003</v>
      </c>
      <c r="L47" s="59">
        <f>(((0.013*F47^0.773)/(1-H47)))*J47/F47</f>
        <v>1.1281135110898461</v>
      </c>
      <c r="M47" s="59">
        <f>IF((((0.065*F47^0.726)/3.7-(0.301*F47^0.751)/(1-H47)*H47)*(MAX('Min rate concentrations'!$P$3:$P$368)))/F47&gt;0, (((0.065*F47^0.726)/3.7-(0.301*F47^0.751)/(1-H47)*H47)*(MAX('Min rate concentrations'!$P$3:$P$368)))/F47, 0)</f>
        <v>0</v>
      </c>
      <c r="N47" s="59">
        <f>IF((((0.065*F47^0.726)/3.7-(0.301*F47^0.751)/(1-H47)*H47)*(MAX('Min rate concentrations'!$Q$3:$Q$368)))/F47&gt;0, (((0.065*F47^0.726)/3.7-(0.301*F47^0.751)/(1-H47)*H47)*(MAX('Min rate concentrations'!$Q$3:$Q$368)))/F47, 0)</f>
        <v>0</v>
      </c>
      <c r="O47" s="59" t="s">
        <v>13</v>
      </c>
      <c r="P47" s="59" t="s">
        <v>13</v>
      </c>
      <c r="Q47" s="59">
        <f>(inputs!$C$7*11.2)*(8.42*F47^0.694)*0.5*1/F47</f>
        <v>18.271803035180817</v>
      </c>
      <c r="R47" s="59">
        <f>(60*76.9*((F47/1000)^0.76)*3*24*(MAX('Min rate concentrations'!$R$3:$R$368))/F47)</f>
        <v>1.8333351032886218E-3</v>
      </c>
      <c r="S47" s="59">
        <f>(IF(inputs!$C$6="aerial",((0.025*0.112*inputs!$C$7/3.3)*(3*60*76.9*((F47/1000)^0.76))*MAX(inputs!$H$14:$H$16))/F47,((0.0083*0.112*inputs!$C$7/1)*(3*60*76.9*((F47/1000)^0.76))*MAX(inputs!$H$14:$H$16))/F47))</f>
        <v>7.7412004820412656E-3</v>
      </c>
      <c r="T47" s="63">
        <f>IF((((inputs!$P$12/(V47/MAX(K47:S47)))^(1/inputs!$O$12))-1)/inputs!$N$12&lt;0, 0, IF((((inputs!$P$12/(V47/MAX(K47:S47)))^(1/inputs!$O$12))-1)/inputs!$N$12&gt;inputs!$H$17, inputs!$H$17, (((inputs!$P$12/(V47/MAX(K47:S47)))^(1/inputs!$O$12))-1)/inputs!$N$12))</f>
        <v>1000</v>
      </c>
      <c r="U47" s="63">
        <f>IF((((inputs!$P$12/(X47/MAX(K47:S47)))^(1/inputs!$O$12))-1)/inputs!$N$12&lt;0, 0, IF((((inputs!$P$12/(X47/MAX(K47:S47)))^(1/inputs!$O$12))-1)/inputs!$N$12&gt;inputs!$H$17, inputs!$H$17, (((inputs!$P$12/(X47/MAX(K47:S47)))^(1/inputs!$O$12))-1)/inputs!$N$12))</f>
        <v>886.73901809006338</v>
      </c>
      <c r="V47" s="21">
        <f>inputs!$E$87*(F47/inputs!$F$87)^(1)</f>
        <v>4.37E-4</v>
      </c>
      <c r="W47" s="21">
        <f>inputs!$E$90*(F47/inputs!$F$90)^(1)</f>
        <v>4.6000000000000001E-4</v>
      </c>
      <c r="X47" s="21">
        <f>inputs!$E$89*(F47/inputs!$F$89)^(1)</f>
        <v>1.7177215189873418E-3</v>
      </c>
      <c r="Y47" s="21" t="s">
        <v>13</v>
      </c>
      <c r="Z47" s="63">
        <f t="shared" si="1"/>
        <v>41811.906258995004</v>
      </c>
      <c r="AA47" s="63">
        <f t="shared" si="2"/>
        <v>39721.310946045254</v>
      </c>
    </row>
    <row r="48" spans="1:27" x14ac:dyDescent="0.25">
      <c r="A48" s="103" t="s">
        <v>649</v>
      </c>
      <c r="B48" s="20" t="s">
        <v>650</v>
      </c>
      <c r="C48" s="21" t="s">
        <v>702</v>
      </c>
      <c r="D48" s="15" t="s">
        <v>703</v>
      </c>
      <c r="E48" s="15">
        <v>199</v>
      </c>
      <c r="F48" s="21">
        <v>3.9</v>
      </c>
      <c r="G48" s="21" t="s">
        <v>146</v>
      </c>
      <c r="H48" s="20">
        <v>0.84</v>
      </c>
      <c r="I48" s="48">
        <f>MAX('Min rate concentrations'!$I$3:$I$368)</f>
        <v>9.4775690500787988</v>
      </c>
      <c r="J48" s="48" t="s">
        <v>13</v>
      </c>
      <c r="K48" s="59">
        <f t="shared" si="6"/>
        <v>0.5653907006347052</v>
      </c>
      <c r="L48" s="48" t="s">
        <v>13</v>
      </c>
      <c r="M48" s="59">
        <f>IF((((0.065*F48^0.726)/3.7-(0.301*F48^0.751)/(1-H48)*H48)*(MAX('Min rate concentrations'!$P$3:$P$368)))/F48&gt;0, (((0.065*F48^0.726)/3.7-(0.301*F48^0.751)/(1-H48)*H48)*(MAX('Min rate concentrations'!$P$3:$P$368)))/F48, 0)</f>
        <v>0</v>
      </c>
      <c r="N48" s="59">
        <f>IF((((0.065*F48^0.726)/3.7-(0.301*F48^0.751)/(1-H48)*H48)*(MAX('Min rate concentrations'!$Q$3:$Q$368)))/F48&gt;0, (((0.065*F48^0.726)/3.7-(0.301*F48^0.751)/(1-H48)*H48)*(MAX('Min rate concentrations'!$Q$3:$Q$368)))/F48, 0)</f>
        <v>0</v>
      </c>
      <c r="O48" s="59" t="s">
        <v>13</v>
      </c>
      <c r="P48" s="59" t="s">
        <v>13</v>
      </c>
      <c r="Q48" s="59">
        <f>(inputs!$C$7*11.2)*(8.42*F48^0.694)*0.5*1/F48</f>
        <v>15.54548775791233</v>
      </c>
      <c r="R48" s="59">
        <f>(60*76.9*((F48/1000)^0.76)*3*24*(MAX('Min rate concentrations'!$R$3:$R$368))/F48)</f>
        <v>1.6151059944379078E-3</v>
      </c>
      <c r="S48" s="59">
        <f>(IF(inputs!$C$6="aerial",((0.025*0.112*inputs!$C$7/3.3)*(3*60*76.9*((F48/1000)^0.76))*MAX(inputs!$H$14:$H$16))/F48,((0.0083*0.112*inputs!$C$7/1)*(3*60*76.9*((F48/1000)^0.76))*MAX(inputs!$H$14:$H$16))/F48))</f>
        <v>6.8197348538534723E-3</v>
      </c>
      <c r="T48" s="63">
        <f>IF((((inputs!$P$12/(V48/MAX(K48:S48)))^(1/inputs!$O$12))-1)/inputs!$N$12&lt;0, 0, IF((((inputs!$P$12/(V48/MAX(K48:S48)))^(1/inputs!$O$12))-1)/inputs!$N$12&gt;inputs!$H$17, inputs!$H$17, (((inputs!$P$12/(V48/MAX(K48:S48)))^(1/inputs!$O$12))-1)/inputs!$N$12))</f>
        <v>1000</v>
      </c>
      <c r="U48" s="63">
        <f>IF((((inputs!$P$12/(X48/MAX(K48:S48)))^(1/inputs!$O$12))-1)/inputs!$N$12&lt;0, 0, IF((((inputs!$P$12/(X48/MAX(K48:S48)))^(1/inputs!$O$12))-1)/inputs!$N$12&gt;inputs!$H$17, inputs!$H$17, (((inputs!$P$12/(X48/MAX(K48:S48)))^(1/inputs!$O$12))-1)/inputs!$N$12))</f>
        <v>662.87415699944086</v>
      </c>
      <c r="V48" s="21">
        <f>inputs!$E$87*(F48/inputs!$F$87)^(1)</f>
        <v>7.4100000000000001E-4</v>
      </c>
      <c r="W48" s="21">
        <f>inputs!$E$90*(F48/inputs!$F$90)^(1)</f>
        <v>7.7999999999999999E-4</v>
      </c>
      <c r="X48" s="21">
        <f>inputs!$E$89*(F48/inputs!$F$89)^(1)</f>
        <v>2.9126582278481013E-3</v>
      </c>
      <c r="Y48" s="21" t="s">
        <v>13</v>
      </c>
      <c r="Z48" s="63">
        <f t="shared" si="1"/>
        <v>20979.065800151591</v>
      </c>
      <c r="AA48" s="63">
        <f t="shared" si="2"/>
        <v>19930.112510144012</v>
      </c>
    </row>
    <row r="49" spans="1:27" x14ac:dyDescent="0.25">
      <c r="A49" s="103" t="s">
        <v>681</v>
      </c>
      <c r="B49" s="20" t="s">
        <v>682</v>
      </c>
      <c r="C49" s="21" t="s">
        <v>702</v>
      </c>
      <c r="D49" s="15" t="s">
        <v>703</v>
      </c>
      <c r="E49" s="15">
        <v>3849</v>
      </c>
      <c r="F49" s="21">
        <v>8.1</v>
      </c>
      <c r="G49" s="21" t="s">
        <v>142</v>
      </c>
      <c r="H49" s="21">
        <v>0.69</v>
      </c>
      <c r="I49" s="48">
        <f>MAX('Min rate concentrations'!$H$3:$H$368)</f>
        <v>47</v>
      </c>
      <c r="J49" s="48">
        <f>MAX('Min rate concentrations'!AA:AA)</f>
        <v>32.5</v>
      </c>
      <c r="K49" s="59">
        <f t="shared" si="6"/>
        <v>1.2258954048114588</v>
      </c>
      <c r="L49" s="59">
        <f>(((0.013*F49^0.773)/(1-H49)))*J49/F49</f>
        <v>0.84769363098664696</v>
      </c>
      <c r="M49" s="59">
        <f>IF((((0.065*F49^0.726)/3.7-(0.301*F49^0.751)/(1-H49)*H49)*(MAX('Min rate concentrations'!$P$3:$P$368)))/F49&gt;0, (((0.065*F49^0.726)/3.7-(0.301*F49^0.751)/(1-H49)*H49)*(MAX('Min rate concentrations'!$P$3:$P$368)))/F49, 0)</f>
        <v>0</v>
      </c>
      <c r="N49" s="59">
        <f>IF((((0.065*F49^0.726)/3.7-(0.301*F49^0.751)/(1-H49)*H49)*(MAX('Min rate concentrations'!$Q$3:$Q$368)))/F49&gt;0, (((0.065*F49^0.726)/3.7-(0.301*F49^0.751)/(1-H49)*H49)*(MAX('Min rate concentrations'!$Q$3:$Q$368)))/F49, 0)</f>
        <v>0</v>
      </c>
      <c r="O49" s="59" t="s">
        <v>13</v>
      </c>
      <c r="P49" s="59" t="s">
        <v>13</v>
      </c>
      <c r="Q49" s="59">
        <f>(inputs!$C$7*11.2)*(8.42*F49^0.694)*0.5*1/F49</f>
        <v>12.430073797616148</v>
      </c>
      <c r="R49" s="59">
        <f>(60*76.9*((F49/1000)^0.76)*3*24*(MAX('Min rate concentrations'!$R$3:$R$368))/F49)</f>
        <v>1.3552522287691505E-3</v>
      </c>
      <c r="S49" s="59">
        <f>(IF(inputs!$C$6="aerial",((0.025*0.112*inputs!$C$7/3.3)*(3*60*76.9*((F49/1000)^0.76))*MAX(inputs!$H$14:$H$16))/F49,((0.0083*0.112*inputs!$C$7/1)*(3*60*76.9*((F49/1000)^0.76))*MAX(inputs!$H$14:$H$16))/F49))</f>
        <v>5.7225104062078305E-3</v>
      </c>
      <c r="T49" s="63">
        <f>IF((((inputs!$P$12/(V49/MAX(K49:S49)))^(1/inputs!$O$12))-1)/inputs!$N$12&lt;0, 0, IF((((inputs!$P$12/(V49/MAX(K49:S49)))^(1/inputs!$O$12))-1)/inputs!$N$12&gt;inputs!$H$17, inputs!$H$17, (((inputs!$P$12/(V49/MAX(K49:S49)))^(1/inputs!$O$12))-1)/inputs!$N$12))</f>
        <v>789.76153346175272</v>
      </c>
      <c r="U49" s="63">
        <f>IF((((inputs!$P$12/(X49/MAX(K49:S49)))^(1/inputs!$O$12))-1)/inputs!$N$12&lt;0, 0, IF((((inputs!$P$12/(X49/MAX(K49:S49)))^(1/inputs!$O$12))-1)/inputs!$N$12&gt;inputs!$H$17, inputs!$H$17, (((inputs!$P$12/(X49/MAX(K49:S49)))^(1/inputs!$O$12))-1)/inputs!$N$12))</f>
        <v>440.42508387459145</v>
      </c>
      <c r="V49" s="21">
        <f>inputs!$E$87*(F49/inputs!$F$87)^(1)</f>
        <v>1.539E-3</v>
      </c>
      <c r="W49" s="21">
        <f>inputs!$E$90*(F49/inputs!$F$90)^(1)</f>
        <v>1.6200000000000001E-3</v>
      </c>
      <c r="X49" s="21">
        <f>inputs!$E$89*(F49/inputs!$F$89)^(1)</f>
        <v>6.0493670886075943E-3</v>
      </c>
      <c r="Y49" s="21" t="s">
        <v>13</v>
      </c>
      <c r="Z49" s="63">
        <f t="shared" si="1"/>
        <v>8076.7211160598745</v>
      </c>
      <c r="AA49" s="63">
        <f t="shared" si="2"/>
        <v>7672.8850602568809</v>
      </c>
    </row>
    <row r="50" spans="1:27" x14ac:dyDescent="0.25">
      <c r="A50" s="103" t="s">
        <v>679</v>
      </c>
      <c r="B50" s="20" t="s">
        <v>680</v>
      </c>
      <c r="C50" s="21" t="s">
        <v>702</v>
      </c>
      <c r="D50" s="15" t="s">
        <v>703</v>
      </c>
      <c r="E50" s="15">
        <v>192</v>
      </c>
      <c r="F50" s="21">
        <v>0.24</v>
      </c>
      <c r="G50" s="21" t="s">
        <v>142</v>
      </c>
      <c r="H50" s="21">
        <v>0.69</v>
      </c>
      <c r="I50" s="48">
        <f>MAX('Min rate concentrations'!$H$3:$H$368)</f>
        <v>47</v>
      </c>
      <c r="J50" s="48">
        <f>MAX('Min rate concentrations'!AA:AA)</f>
        <v>32.5</v>
      </c>
      <c r="K50" s="59">
        <f t="shared" si="6"/>
        <v>2.7250317363727672</v>
      </c>
      <c r="L50" s="59">
        <f>(((0.013*F50^0.773)/(1-H50)))*J50/F50</f>
        <v>1.8843304560024452</v>
      </c>
      <c r="M50" s="59">
        <f>IF((((0.065*F50^0.726)/3.7-(0.301*F50^0.751)/(1-H50)*H50)*(MAX('Min rate concentrations'!$P$3:$P$368)))/F50&gt;0, (((0.065*F50^0.726)/3.7-(0.301*F50^0.751)/(1-H50)*H50)*(MAX('Min rate concentrations'!$P$3:$P$368)))/F50, 0)</f>
        <v>0</v>
      </c>
      <c r="N50" s="59">
        <f>IF((((0.065*F50^0.726)/3.7-(0.301*F50^0.751)/(1-H50)*H50)*(MAX('Min rate concentrations'!$Q$3:$Q$368)))/F50&gt;0, (((0.065*F50^0.726)/3.7-(0.301*F50^0.751)/(1-H50)*H50)*(MAX('Min rate concentrations'!$Q$3:$Q$368)))/F50, 0)</f>
        <v>0</v>
      </c>
      <c r="O50" s="59" t="s">
        <v>13</v>
      </c>
      <c r="P50" s="59" t="s">
        <v>13</v>
      </c>
      <c r="Q50" s="59">
        <f>(inputs!$C$7*11.2)*(8.42*F50^0.694)*0.5*1/F50</f>
        <v>36.485935233585593</v>
      </c>
      <c r="R50" s="59">
        <f>(60*76.9*((F50/1000)^0.76)*3*24*(MAX('Min rate concentrations'!$R$3:$R$368))/F50)</f>
        <v>3.1535944069116567E-3</v>
      </c>
      <c r="S50" s="59">
        <f>(IF(inputs!$C$6="aerial",((0.025*0.112*inputs!$C$7/3.3)*(3*60*76.9*((F50/1000)^0.76))*MAX(inputs!$H$14:$H$16))/F50,((0.0083*0.112*inputs!$C$7/1)*(3*60*76.9*((F50/1000)^0.76))*MAX(inputs!$H$14:$H$16))/F50))</f>
        <v>1.3315954349620001E-2</v>
      </c>
      <c r="T50" s="63">
        <f>IF((((inputs!$P$12/(V50/MAX(K50:S50)))^(1/inputs!$O$12))-1)/inputs!$N$12&lt;0, 0, IF((((inputs!$P$12/(V50/MAX(K50:S50)))^(1/inputs!$O$12))-1)/inputs!$N$12&gt;inputs!$H$17, inputs!$H$17, (((inputs!$P$12/(V50/MAX(K50:S50)))^(1/inputs!$O$12))-1)/inputs!$N$12))</f>
        <v>1000</v>
      </c>
      <c r="U50" s="63">
        <f>IF((((inputs!$P$12/(X50/MAX(K50:S50)))^(1/inputs!$O$12))-1)/inputs!$N$12&lt;0, 0, IF((((inputs!$P$12/(X50/MAX(K50:S50)))^(1/inputs!$O$12))-1)/inputs!$N$12&gt;inputs!$H$17, inputs!$H$17, (((inputs!$P$12/(X50/MAX(K50:S50)))^(1/inputs!$O$12))-1)/inputs!$N$12))</f>
        <v>1000</v>
      </c>
      <c r="V50" s="21">
        <f>inputs!$E$87*(F50/inputs!$F$87)^(1)</f>
        <v>4.5599999999999997E-5</v>
      </c>
      <c r="W50" s="21">
        <f>inputs!$E$90*(F50/inputs!$F$90)^(1)</f>
        <v>4.7999999999999994E-5</v>
      </c>
      <c r="X50" s="21">
        <f>inputs!$E$89*(F50/inputs!$F$89)^(1)</f>
        <v>1.7924050632911389E-4</v>
      </c>
      <c r="Y50" s="21" t="s">
        <v>13</v>
      </c>
      <c r="Z50" s="63">
        <f t="shared" si="1"/>
        <v>800130.15863126307</v>
      </c>
      <c r="AA50" s="63">
        <f t="shared" si="2"/>
        <v>760123.6506997</v>
      </c>
    </row>
    <row r="51" spans="1:27" x14ac:dyDescent="0.25">
      <c r="A51" s="103" t="s">
        <v>643</v>
      </c>
      <c r="B51" s="20" t="s">
        <v>644</v>
      </c>
      <c r="C51" s="21" t="s">
        <v>702</v>
      </c>
      <c r="D51" s="15" t="s">
        <v>703</v>
      </c>
      <c r="E51" s="15">
        <v>9943</v>
      </c>
      <c r="F51" s="21">
        <v>4.3</v>
      </c>
      <c r="G51" s="21" t="s">
        <v>164</v>
      </c>
      <c r="H51" s="21">
        <v>0.78</v>
      </c>
      <c r="I51" s="48">
        <f>inputs!$C$65*(inputs!$C$62/1000)</f>
        <v>0.82000000000000006</v>
      </c>
      <c r="J51" s="48">
        <f>inputs!$C$65*(inputs!$C$61/1000)</f>
        <v>0.25</v>
      </c>
      <c r="K51" s="59">
        <f t="shared" si="6"/>
        <v>3.4796629937502516E-2</v>
      </c>
      <c r="L51" s="59">
        <f>(((0.013*F51^0.773)/(1-H51)))*J51/F51</f>
        <v>1.0608728639482475E-2</v>
      </c>
      <c r="M51" s="59">
        <f>IF((((0.065*F51^0.726)/3.7-(0.301*F51^0.751)/(1-H51)*H51)*(MAX('Min rate concentrations'!$P$3:$P$368)))/F51&gt;0, (((0.065*F51^0.726)/3.7-(0.301*F51^0.751)/(1-H51)*H51)*(MAX('Min rate concentrations'!$P$3:$P$368)))/F51, 0)</f>
        <v>0</v>
      </c>
      <c r="N51" s="59">
        <f>IF((((0.065*F51^0.726)/3.7-(0.301*F51^0.751)/(1-H51)*H51)*(MAX('Min rate concentrations'!$Q$3:$Q$368)))/F51&gt;0, (((0.065*F51^0.726)/3.7-(0.301*F51^0.751)/(1-H51)*H51)*(MAX('Min rate concentrations'!$Q$3:$Q$368)))/F51, 0)</f>
        <v>0</v>
      </c>
      <c r="O51" s="59" t="s">
        <v>13</v>
      </c>
      <c r="P51" s="59" t="s">
        <v>13</v>
      </c>
      <c r="Q51" s="59">
        <f>(inputs!$C$7*11.2)*(8.42*F51^0.694)*0.5*1/F51</f>
        <v>15.087899251698612</v>
      </c>
      <c r="R51" s="59">
        <f>(60*76.9*((F51/1000)^0.76)*3*24*(MAX('Min rate concentrations'!$R$3:$R$368))/F51)</f>
        <v>1.5776988368809844E-3</v>
      </c>
      <c r="S51" s="59">
        <f>(IF(inputs!$C$6="aerial",((0.025*0.112*inputs!$C$7/3.3)*(3*60*76.9*((F51/1000)^0.76))*MAX(inputs!$H$14:$H$16))/F51,((0.0083*0.112*inputs!$C$7/1)*(3*60*76.9*((F51/1000)^0.76))*MAX(inputs!$H$14:$H$16))/F51))</f>
        <v>6.66178429391928E-3</v>
      </c>
      <c r="T51" s="63">
        <f>IF((((inputs!$P$12/(V51/MAX(K51:S51)))^(1/inputs!$O$12))-1)/inputs!$N$12&lt;0, 0, IF((((inputs!$P$12/(V51/MAX(K51:S51)))^(1/inputs!$O$12))-1)/inputs!$N$12&gt;inputs!$H$17, inputs!$H$17, (((inputs!$P$12/(V51/MAX(K51:S51)))^(1/inputs!$O$12))-1)/inputs!$N$12))</f>
        <v>1000</v>
      </c>
      <c r="U51" s="63">
        <f>IF((((inputs!$P$12/(X51/MAX(K51:S51)))^(1/inputs!$O$12))-1)/inputs!$N$12&lt;0, 0, IF((((inputs!$P$12/(X51/MAX(K51:S51)))^(1/inputs!$O$12))-1)/inputs!$N$12&gt;inputs!$H$17, inputs!$H$17, (((inputs!$P$12/(X51/MAX(K51:S51)))^(1/inputs!$O$12))-1)/inputs!$N$12))</f>
        <v>627.93041364956991</v>
      </c>
      <c r="V51" s="21">
        <f>inputs!$E$87*(F51/inputs!$F$87)^(1)</f>
        <v>8.1699999999999991E-4</v>
      </c>
      <c r="W51" s="21">
        <f>inputs!$E$90*(F51/inputs!$F$90)^(1)</f>
        <v>8.5999999999999998E-4</v>
      </c>
      <c r="X51" s="21">
        <f>inputs!$E$89*(F51/inputs!$F$89)^(1)</f>
        <v>3.211392405063291E-3</v>
      </c>
      <c r="Y51" s="21" t="s">
        <v>13</v>
      </c>
      <c r="Z51" s="63">
        <f t="shared" si="1"/>
        <v>18467.440944551548</v>
      </c>
      <c r="AA51" s="63">
        <f t="shared" si="2"/>
        <v>17544.068897323967</v>
      </c>
    </row>
    <row r="52" spans="1:27" ht="26.4" x14ac:dyDescent="0.25">
      <c r="A52" s="103" t="s">
        <v>643</v>
      </c>
      <c r="B52" s="20" t="s">
        <v>644</v>
      </c>
      <c r="C52" s="21" t="s">
        <v>702</v>
      </c>
      <c r="D52" s="15" t="s">
        <v>703</v>
      </c>
      <c r="E52" s="15">
        <v>9943</v>
      </c>
      <c r="F52" s="21">
        <v>4.3</v>
      </c>
      <c r="G52" s="21" t="s">
        <v>634</v>
      </c>
      <c r="H52" s="21">
        <v>0.75</v>
      </c>
      <c r="I52" s="48">
        <f>inputs!$C$65*inputs!$C$64/1000</f>
        <v>2.13</v>
      </c>
      <c r="J52" s="48">
        <f>inputs!$C$65*inputs!$C$63/1000</f>
        <v>0.88</v>
      </c>
      <c r="K52" s="59">
        <f t="shared" si="6"/>
        <v>7.95400038473838E-2</v>
      </c>
      <c r="L52" s="59">
        <f>(((0.013*F52^0.773)/(1-H52)))*J52/F52</f>
        <v>3.286159783366091E-2</v>
      </c>
      <c r="M52" s="59">
        <f>IF((((0.065*F52^0.726)/3.7-(0.301*F52^0.751)/(1-H52)*H52)*(MAX('Min rate concentrations'!$P$3:$P$368)))/F52&gt;0, (((0.065*F52^0.726)/3.7-(0.301*F52^0.751)/(1-H52)*H52)*(MAX('Min rate concentrations'!$P$3:$P$368)))/F52, 0)</f>
        <v>0</v>
      </c>
      <c r="N52" s="59">
        <f>IF((((0.065*F52^0.726)/3.7-(0.301*F52^0.751)/(1-H52)*H52)*(MAX('Min rate concentrations'!$Q$3:$Q$368)))/F52&gt;0, (((0.065*F52^0.726)/3.7-(0.301*F52^0.751)/(1-H52)*H52)*(MAX('Min rate concentrations'!$Q$3:$Q$368)))/F52, 0)</f>
        <v>0</v>
      </c>
      <c r="O52" s="59" t="s">
        <v>13</v>
      </c>
      <c r="P52" s="59" t="s">
        <v>13</v>
      </c>
      <c r="Q52" s="59">
        <f>(inputs!$C$7*11.2)*(8.42*F52^0.694)*0.5*1/F52</f>
        <v>15.087899251698612</v>
      </c>
      <c r="R52" s="59">
        <f>(60*76.9*((F52/1000)^0.76)*3*24*(MAX('Min rate concentrations'!$R$3:$R$368))/F52)</f>
        <v>1.5776988368809844E-3</v>
      </c>
      <c r="S52" s="59">
        <f>(IF(inputs!$C$6="aerial",((0.025*0.112*inputs!$C$7/3.3)*(3*60*76.9*((F52/1000)^0.76))*MAX(inputs!$H$14:$H$16))/F52,((0.0083*0.112*inputs!$C$7/1)*(3*60*76.9*((F52/1000)^0.76))*MAX(inputs!$H$14:$H$16))/F52))</f>
        <v>6.66178429391928E-3</v>
      </c>
      <c r="T52" s="63">
        <f>IF((((inputs!$P$12/(V52/MAX(K52:S52)))^(1/inputs!$O$12))-1)/inputs!$N$12&lt;0, 0, IF((((inputs!$P$12/(V52/MAX(K52:S52)))^(1/inputs!$O$12))-1)/inputs!$N$12&gt;inputs!$H$17, inputs!$H$17, (((inputs!$P$12/(V52/MAX(K52:S52)))^(1/inputs!$O$12))-1)/inputs!$N$12))</f>
        <v>1000</v>
      </c>
      <c r="U52" s="63">
        <f>IF((((inputs!$P$12/(X52/MAX(K52:S52)))^(1/inputs!$O$12))-1)/inputs!$N$12&lt;0, 0, IF((((inputs!$P$12/(X52/MAX(K52:S52)))^(1/inputs!$O$12))-1)/inputs!$N$12&gt;inputs!$H$17, inputs!$H$17, (((inputs!$P$12/(X52/MAX(K52:S52)))^(1/inputs!$O$12))-1)/inputs!$N$12))</f>
        <v>627.93041364956991</v>
      </c>
      <c r="V52" s="21">
        <f>inputs!$E$87*(F52/inputs!$F$87)^(1)</f>
        <v>8.1699999999999991E-4</v>
      </c>
      <c r="W52" s="21">
        <f>inputs!$E$90*(F52/inputs!$F$90)^(1)</f>
        <v>8.5999999999999998E-4</v>
      </c>
      <c r="X52" s="21">
        <f>inputs!$E$89*(F52/inputs!$F$89)^(1)</f>
        <v>3.211392405063291E-3</v>
      </c>
      <c r="Y52" s="21" t="s">
        <v>13</v>
      </c>
      <c r="Z52" s="63">
        <f t="shared" si="1"/>
        <v>18467.440944551548</v>
      </c>
      <c r="AA52" s="63">
        <f t="shared" si="2"/>
        <v>17544.068897323967</v>
      </c>
    </row>
    <row r="53" spans="1:27" x14ac:dyDescent="0.25">
      <c r="A53" s="103" t="s">
        <v>643</v>
      </c>
      <c r="B53" s="20" t="s">
        <v>644</v>
      </c>
      <c r="C53" s="21" t="s">
        <v>702</v>
      </c>
      <c r="D53" s="15" t="s">
        <v>703</v>
      </c>
      <c r="E53" s="15">
        <v>9943</v>
      </c>
      <c r="F53" s="21">
        <v>4.3</v>
      </c>
      <c r="G53" s="21" t="s">
        <v>146</v>
      </c>
      <c r="H53" s="20">
        <v>0.84</v>
      </c>
      <c r="I53" s="48">
        <f>MAX('Min rate concentrations'!$I$3:$I$368)</f>
        <v>9.4775690500787988</v>
      </c>
      <c r="J53" s="48" t="s">
        <v>13</v>
      </c>
      <c r="K53" s="59">
        <f t="shared" si="6"/>
        <v>0.55299727017833999</v>
      </c>
      <c r="L53" s="48" t="s">
        <v>13</v>
      </c>
      <c r="M53" s="59">
        <f>IF((((0.065*F53^0.726)/3.7-(0.301*F53^0.751)/(1-H53)*H53)*(MAX('Min rate concentrations'!$P$3:$P$368)))/F53&gt;0, (((0.065*F53^0.726)/3.7-(0.301*F53^0.751)/(1-H53)*H53)*(MAX('Min rate concentrations'!$P$3:$P$368)))/F53, 0)</f>
        <v>0</v>
      </c>
      <c r="N53" s="59">
        <f>IF((((0.065*F53^0.726)/3.7-(0.301*F53^0.751)/(1-H53)*H53)*(MAX('Min rate concentrations'!$Q$3:$Q$368)))/F53&gt;0, (((0.065*F53^0.726)/3.7-(0.301*F53^0.751)/(1-H53)*H53)*(MAX('Min rate concentrations'!$Q$3:$Q$368)))/F53, 0)</f>
        <v>0</v>
      </c>
      <c r="O53" s="59" t="s">
        <v>13</v>
      </c>
      <c r="P53" s="59" t="s">
        <v>13</v>
      </c>
      <c r="Q53" s="59">
        <f>(inputs!$C$7*11.2)*(8.42*F53^0.694)*0.5*1/F53</f>
        <v>15.087899251698612</v>
      </c>
      <c r="R53" s="59">
        <f>(60*76.9*((F53/1000)^0.76)*3*24*(MAX('Min rate concentrations'!$R$3:$R$368))/F53)</f>
        <v>1.5776988368809844E-3</v>
      </c>
      <c r="S53" s="59">
        <f>(IF(inputs!$C$6="aerial",((0.025*0.112*inputs!$C$7/3.3)*(3*60*76.9*((F53/1000)^0.76))*MAX(inputs!$H$14:$H$16))/F53,((0.0083*0.112*inputs!$C$7/1)*(3*60*76.9*((F53/1000)^0.76))*MAX(inputs!$H$14:$H$16))/F53))</f>
        <v>6.66178429391928E-3</v>
      </c>
      <c r="T53" s="63">
        <f>IF((((inputs!$P$12/(V53/MAX(K53:S53)))^(1/inputs!$O$12))-1)/inputs!$N$12&lt;0, 0, IF((((inputs!$P$12/(V53/MAX(K53:S53)))^(1/inputs!$O$12))-1)/inputs!$N$12&gt;inputs!$H$17, inputs!$H$17, (((inputs!$P$12/(V53/MAX(K53:S53)))^(1/inputs!$O$12))-1)/inputs!$N$12))</f>
        <v>1000</v>
      </c>
      <c r="U53" s="63">
        <f>IF((((inputs!$P$12/(X53/MAX(K53:S53)))^(1/inputs!$O$12))-1)/inputs!$N$12&lt;0, 0, IF((((inputs!$P$12/(X53/MAX(K53:S53)))^(1/inputs!$O$12))-1)/inputs!$N$12&gt;inputs!$H$17, inputs!$H$17, (((inputs!$P$12/(X53/MAX(K53:S53)))^(1/inputs!$O$12))-1)/inputs!$N$12))</f>
        <v>627.93041364956991</v>
      </c>
      <c r="V53" s="21">
        <f>inputs!$E$87*(F53/inputs!$F$87)^(1)</f>
        <v>8.1699999999999991E-4</v>
      </c>
      <c r="W53" s="21">
        <f>inputs!$E$90*(F53/inputs!$F$90)^(1)</f>
        <v>8.5999999999999998E-4</v>
      </c>
      <c r="X53" s="21">
        <f>inputs!$E$89*(F53/inputs!$F$89)^(1)</f>
        <v>3.211392405063291E-3</v>
      </c>
      <c r="Y53" s="21" t="s">
        <v>13</v>
      </c>
      <c r="Z53" s="63">
        <f t="shared" si="1"/>
        <v>18467.440944551548</v>
      </c>
      <c r="AA53" s="63">
        <f t="shared" si="2"/>
        <v>17544.068897323967</v>
      </c>
    </row>
    <row r="54" spans="1:27" x14ac:dyDescent="0.25">
      <c r="A54" s="103" t="s">
        <v>651</v>
      </c>
      <c r="B54" s="20" t="s">
        <v>652</v>
      </c>
      <c r="C54" s="21" t="s">
        <v>702</v>
      </c>
      <c r="D54" s="15" t="s">
        <v>703</v>
      </c>
      <c r="E54" s="15">
        <v>188</v>
      </c>
      <c r="F54" s="21">
        <v>3</v>
      </c>
      <c r="G54" s="21" t="s">
        <v>142</v>
      </c>
      <c r="H54" s="21">
        <v>0.69</v>
      </c>
      <c r="I54" s="48">
        <f>MAX('Min rate concentrations'!$H$3:$H$368)</f>
        <v>47</v>
      </c>
      <c r="J54" s="48">
        <f>MAX('Min rate concentrations'!AA:AA)</f>
        <v>32.5</v>
      </c>
      <c r="K54" s="59">
        <f t="shared" si="6"/>
        <v>1.5359355468590252</v>
      </c>
      <c r="L54" s="59">
        <f>(((0.013*F54^0.773)/(1-H54)))*J54/F54</f>
        <v>1.0620830909131558</v>
      </c>
      <c r="M54" s="59">
        <f>IF((((0.065*F54^0.726)/3.7-(0.301*F54^0.751)/(1-H54)*H54)*(MAX('Min rate concentrations'!$P$3:$P$368)))/F54&gt;0, (((0.065*F54^0.726)/3.7-(0.301*F54^0.751)/(1-H54)*H54)*(MAX('Min rate concentrations'!$P$3:$P$368)))/F54, 0)</f>
        <v>0</v>
      </c>
      <c r="N54" s="59">
        <f>IF((((0.065*F54^0.726)/3.7-(0.301*F54^0.751)/(1-H54)*H54)*(MAX('Min rate concentrations'!$Q$3:$Q$368)))/F54&gt;0, (((0.065*F54^0.726)/3.7-(0.301*F54^0.751)/(1-H54)*H54)*(MAX('Min rate concentrations'!$Q$3:$Q$368)))/F54, 0)</f>
        <v>0</v>
      </c>
      <c r="O54" s="59" t="s">
        <v>13</v>
      </c>
      <c r="P54" s="59" t="s">
        <v>13</v>
      </c>
      <c r="Q54" s="59">
        <f>(inputs!$C$7*11.2)*(8.42*F54^0.694)*0.5*1/F54</f>
        <v>16.84500013887752</v>
      </c>
      <c r="R54" s="59">
        <f>(60*76.9*((F54/1000)^0.76)*3*24*(MAX('Min rate concentrations'!$R$3:$R$368))/F54)</f>
        <v>1.7200751972895458E-3</v>
      </c>
      <c r="S54" s="59">
        <f>(IF(inputs!$C$6="aerial",((0.025*0.112*inputs!$C$7/3.3)*(3*60*76.9*((F54/1000)^0.76))*MAX(inputs!$H$14:$H$16))/F54,((0.0083*0.112*inputs!$C$7/1)*(3*60*76.9*((F54/1000)^0.76))*MAX(inputs!$H$14:$H$16))/F54))</f>
        <v>7.2629640497909606E-3</v>
      </c>
      <c r="T54" s="63">
        <f>IF((((inputs!$P$12/(V54/MAX(K54:S54)))^(1/inputs!$O$12))-1)/inputs!$N$12&lt;0, 0, IF((((inputs!$P$12/(V54/MAX(K54:S54)))^(1/inputs!$O$12))-1)/inputs!$N$12&gt;inputs!$H$17, inputs!$H$17, (((inputs!$P$12/(V54/MAX(K54:S54)))^(1/inputs!$O$12))-1)/inputs!$N$12))</f>
        <v>1000</v>
      </c>
      <c r="U54" s="63">
        <f>IF((((inputs!$P$12/(X54/MAX(K54:S54)))^(1/inputs!$O$12))-1)/inputs!$N$12&lt;0, 0, IF((((inputs!$P$12/(X54/MAX(K54:S54)))^(1/inputs!$O$12))-1)/inputs!$N$12&gt;inputs!$H$17, inputs!$H$17, (((inputs!$P$12/(X54/MAX(K54:S54)))^(1/inputs!$O$12))-1)/inputs!$N$12))</f>
        <v>766.2648479541175</v>
      </c>
      <c r="V54" s="21">
        <f>inputs!$E$87*(F54/inputs!$F$87)^(1)</f>
        <v>5.6999999999999998E-4</v>
      </c>
      <c r="W54" s="21">
        <f>inputs!$E$90*(F54/inputs!$F$90)^(1)</f>
        <v>5.9999999999999995E-4</v>
      </c>
      <c r="X54" s="21">
        <f>inputs!$E$89*(F54/inputs!$F$89)^(1)</f>
        <v>2.2405063291139238E-3</v>
      </c>
      <c r="Y54" s="21" t="s">
        <v>13</v>
      </c>
      <c r="Z54" s="63">
        <f t="shared" si="1"/>
        <v>29552.631822592142</v>
      </c>
      <c r="AA54" s="63">
        <f t="shared" si="2"/>
        <v>28075.000231462534</v>
      </c>
    </row>
    <row r="55" spans="1:27" x14ac:dyDescent="0.25">
      <c r="A55" s="103" t="s">
        <v>651</v>
      </c>
      <c r="B55" s="20" t="s">
        <v>652</v>
      </c>
      <c r="C55" s="21" t="s">
        <v>702</v>
      </c>
      <c r="D55" s="15" t="s">
        <v>703</v>
      </c>
      <c r="E55" s="15">
        <v>188</v>
      </c>
      <c r="F55" s="21">
        <v>3</v>
      </c>
      <c r="G55" s="21" t="s">
        <v>146</v>
      </c>
      <c r="H55" s="20">
        <v>0.84</v>
      </c>
      <c r="I55" s="48">
        <f>MAX('Min rate concentrations'!$I$3:$I$368)</f>
        <v>9.4775690500787988</v>
      </c>
      <c r="J55" s="48" t="s">
        <v>13</v>
      </c>
      <c r="K55" s="59">
        <f t="shared" si="6"/>
        <v>0.60008642454339833</v>
      </c>
      <c r="L55" s="48" t="s">
        <v>13</v>
      </c>
      <c r="M55" s="59">
        <f>IF((((0.065*F55^0.726)/3.7-(0.301*F55^0.751)/(1-H55)*H55)*(MAX('Min rate concentrations'!$P$3:$P$368)))/F55&gt;0, (((0.065*F55^0.726)/3.7-(0.301*F55^0.751)/(1-H55)*H55)*(MAX('Min rate concentrations'!$P$3:$P$368)))/F55, 0)</f>
        <v>0</v>
      </c>
      <c r="N55" s="59">
        <f>IF((((0.065*F55^0.726)/3.7-(0.301*F55^0.751)/(1-H55)*H55)*(MAX('Min rate concentrations'!$Q$3:$Q$368)))/F55&gt;0, (((0.065*F55^0.726)/3.7-(0.301*F55^0.751)/(1-H55)*H55)*(MAX('Min rate concentrations'!$Q$3:$Q$368)))/F55, 0)</f>
        <v>0</v>
      </c>
      <c r="O55" s="59" t="s">
        <v>13</v>
      </c>
      <c r="P55" s="59" t="s">
        <v>13</v>
      </c>
      <c r="Q55" s="59">
        <f>(inputs!$C$7*11.2)*(8.42*F55^0.694)*0.5*1/F55</f>
        <v>16.84500013887752</v>
      </c>
      <c r="R55" s="59">
        <f>(60*76.9*((F55/1000)^0.76)*3*24*(MAX('Min rate concentrations'!$R$3:$R$368))/F55)</f>
        <v>1.7200751972895458E-3</v>
      </c>
      <c r="S55" s="59">
        <f>(IF(inputs!$C$6="aerial",((0.025*0.112*inputs!$C$7/3.3)*(3*60*76.9*((F55/1000)^0.76))*MAX(inputs!$H$14:$H$16))/F55,((0.0083*0.112*inputs!$C$7/1)*(3*60*76.9*((F55/1000)^0.76))*MAX(inputs!$H$14:$H$16))/F55))</f>
        <v>7.2629640497909606E-3</v>
      </c>
      <c r="T55" s="63">
        <f>IF((((inputs!$P$12/(V55/MAX(K55:S55)))^(1/inputs!$O$12))-1)/inputs!$N$12&lt;0, 0, IF((((inputs!$P$12/(V55/MAX(K55:S55)))^(1/inputs!$O$12))-1)/inputs!$N$12&gt;inputs!$H$17, inputs!$H$17, (((inputs!$P$12/(V55/MAX(K55:S55)))^(1/inputs!$O$12))-1)/inputs!$N$12))</f>
        <v>1000</v>
      </c>
      <c r="U55" s="63">
        <f>IF((((inputs!$P$12/(X55/MAX(K55:S55)))^(1/inputs!$O$12))-1)/inputs!$N$12&lt;0, 0, IF((((inputs!$P$12/(X55/MAX(K55:S55)))^(1/inputs!$O$12))-1)/inputs!$N$12&gt;inputs!$H$17, inputs!$H$17, (((inputs!$P$12/(X55/MAX(K55:S55)))^(1/inputs!$O$12))-1)/inputs!$N$12))</f>
        <v>766.2648479541175</v>
      </c>
      <c r="V55" s="21">
        <f>inputs!$E$87*(F55/inputs!$F$87)^(1)</f>
        <v>5.6999999999999998E-4</v>
      </c>
      <c r="W55" s="21">
        <f>inputs!$E$90*(F55/inputs!$F$90)^(1)</f>
        <v>5.9999999999999995E-4</v>
      </c>
      <c r="X55" s="21">
        <f>inputs!$E$89*(F55/inputs!$F$89)^(1)</f>
        <v>2.2405063291139238E-3</v>
      </c>
      <c r="Y55" s="21" t="s">
        <v>13</v>
      </c>
      <c r="Z55" s="63">
        <f t="shared" si="1"/>
        <v>29552.631822592142</v>
      </c>
      <c r="AA55" s="63">
        <f t="shared" si="2"/>
        <v>28075.000231462534</v>
      </c>
    </row>
    <row r="56" spans="1:27" x14ac:dyDescent="0.25">
      <c r="A56" s="103" t="s">
        <v>685</v>
      </c>
      <c r="B56" s="20" t="s">
        <v>686</v>
      </c>
      <c r="C56" s="21" t="s">
        <v>702</v>
      </c>
      <c r="D56" s="15" t="s">
        <v>703</v>
      </c>
      <c r="E56" s="15">
        <v>200</v>
      </c>
      <c r="F56" s="21">
        <v>1.3</v>
      </c>
      <c r="G56" s="21" t="s">
        <v>142</v>
      </c>
      <c r="H56" s="21">
        <v>0.69</v>
      </c>
      <c r="I56" s="48">
        <f>MAX('Min rate concentrations'!$H$3:$H$368)</f>
        <v>47</v>
      </c>
      <c r="J56" s="48">
        <f>MAX('Min rate concentrations'!AA:AA)</f>
        <v>32.5</v>
      </c>
      <c r="K56" s="59">
        <f t="shared" si="6"/>
        <v>1.8570105687513594</v>
      </c>
      <c r="L56" s="59">
        <f>(((0.013*F56^0.773)/(1-H56)))*J56/F56</f>
        <v>1.2841030528599826</v>
      </c>
      <c r="M56" s="59">
        <f>IF((((0.065*F56^0.726)/3.7-(0.301*F56^0.751)/(1-H56)*H56)*(MAX('Min rate concentrations'!$P$3:$P$368)))/F56&gt;0, (((0.065*F56^0.726)/3.7-(0.301*F56^0.751)/(1-H56)*H56)*(MAX('Min rate concentrations'!$P$3:$P$368)))/F56, 0)</f>
        <v>0</v>
      </c>
      <c r="N56" s="59">
        <f>IF((((0.065*F56^0.726)/3.7-(0.301*F56^0.751)/(1-H56)*H56)*(MAX('Min rate concentrations'!$Q$3:$Q$368)))/F56&gt;0, (((0.065*F56^0.726)/3.7-(0.301*F56^0.751)/(1-H56)*H56)*(MAX('Min rate concentrations'!$Q$3:$Q$368)))/F56, 0)</f>
        <v>0</v>
      </c>
      <c r="O56" s="59" t="s">
        <v>13</v>
      </c>
      <c r="P56" s="59" t="s">
        <v>13</v>
      </c>
      <c r="Q56" s="59">
        <f>(inputs!$C$7*11.2)*(8.42*F56^0.694)*0.5*1/F56</f>
        <v>21.75722269866144</v>
      </c>
      <c r="R56" s="59">
        <f>(60*76.9*((F56/1000)^0.76)*3*24*(MAX('Min rate concentrations'!$R$3:$R$368))/F56)</f>
        <v>2.1023747413380371E-3</v>
      </c>
      <c r="S56" s="59">
        <f>(IF(inputs!$C$6="aerial",((0.025*0.112*inputs!$C$7/3.3)*(3*60*76.9*((F56/1000)^0.76))*MAX(inputs!$H$14:$H$16))/F56,((0.0083*0.112*inputs!$C$7/1)*(3*60*76.9*((F56/1000)^0.76))*MAX(inputs!$H$14:$H$16))/F56))</f>
        <v>8.8772119902595006E-3</v>
      </c>
      <c r="T56" s="63">
        <f>IF((((inputs!$P$12/(V56/MAX(K56:S56)))^(1/inputs!$O$12))-1)/inputs!$N$12&lt;0, 0, IF((((inputs!$P$12/(V56/MAX(K56:S56)))^(1/inputs!$O$12))-1)/inputs!$N$12&gt;inputs!$H$17, inputs!$H$17, (((inputs!$P$12/(V56/MAX(K56:S56)))^(1/inputs!$O$12))-1)/inputs!$N$12))</f>
        <v>1000</v>
      </c>
      <c r="U56" s="63">
        <f>IF((((inputs!$P$12/(X56/MAX(K56:S56)))^(1/inputs!$O$12))-1)/inputs!$N$12&lt;0, 0, IF((((inputs!$P$12/(X56/MAX(K56:S56)))^(1/inputs!$O$12))-1)/inputs!$N$12&gt;inputs!$H$17, inputs!$H$17, (((inputs!$P$12/(X56/MAX(K56:S56)))^(1/inputs!$O$12))-1)/inputs!$N$12))</f>
        <v>1000</v>
      </c>
      <c r="V56" s="21">
        <f>inputs!$E$87*(F56/inputs!$F$87)^(1)</f>
        <v>2.4700000000000004E-4</v>
      </c>
      <c r="W56" s="21">
        <f>inputs!$E$90*(F56/inputs!$F$90)^(1)</f>
        <v>2.5999999999999998E-4</v>
      </c>
      <c r="X56" s="21">
        <f>inputs!$E$89*(F56/inputs!$F$89)^(1)</f>
        <v>9.7088607594936704E-4</v>
      </c>
      <c r="Y56" s="21" t="s">
        <v>13</v>
      </c>
      <c r="Z56" s="63">
        <f t="shared" si="1"/>
        <v>88085.921856928893</v>
      </c>
      <c r="AA56" s="63">
        <f t="shared" si="2"/>
        <v>83681.625764082477</v>
      </c>
    </row>
    <row r="57" spans="1:27" x14ac:dyDescent="0.25">
      <c r="A57" s="103" t="s">
        <v>653</v>
      </c>
      <c r="B57" s="20" t="s">
        <v>654</v>
      </c>
      <c r="C57" s="21" t="s">
        <v>702</v>
      </c>
      <c r="D57" s="15" t="s">
        <v>703</v>
      </c>
      <c r="E57" s="15">
        <v>201</v>
      </c>
      <c r="F57" s="21">
        <v>4.5999999999999996</v>
      </c>
      <c r="G57" s="21" t="s">
        <v>142</v>
      </c>
      <c r="H57" s="21">
        <v>0.69</v>
      </c>
      <c r="I57" s="48">
        <f>MAX('Min rate concentrations'!$H$3:$H$368)</f>
        <v>47</v>
      </c>
      <c r="J57" s="48">
        <f>MAX('Min rate concentrations'!AA:AA)</f>
        <v>32.5</v>
      </c>
      <c r="K57" s="59">
        <f t="shared" si="6"/>
        <v>1.393906003603405</v>
      </c>
      <c r="L57" s="59">
        <f>(((0.013*F57^0.773)/(1-H57)))*J57/F57</f>
        <v>0.96387117270448219</v>
      </c>
      <c r="M57" s="59">
        <f>IF((((0.065*F57^0.726)/3.7-(0.301*F57^0.751)/(1-H57)*H57)*(MAX('Min rate concentrations'!$P$3:$P$368)))/F57&gt;0, (((0.065*F57^0.726)/3.7-(0.301*F57^0.751)/(1-H57)*H57)*(MAX('Min rate concentrations'!$P$3:$P$368)))/F57, 0)</f>
        <v>0</v>
      </c>
      <c r="N57" s="59">
        <f>IF((((0.065*F57^0.726)/3.7-(0.301*F57^0.751)/(1-H57)*H57)*(MAX('Min rate concentrations'!$Q$3:$Q$368)))/F57&gt;0, (((0.065*F57^0.726)/3.7-(0.301*F57^0.751)/(1-H57)*H57)*(MAX('Min rate concentrations'!$Q$3:$Q$368)))/F57, 0)</f>
        <v>0</v>
      </c>
      <c r="O57" s="59" t="s">
        <v>13</v>
      </c>
      <c r="P57" s="59" t="s">
        <v>13</v>
      </c>
      <c r="Q57" s="59">
        <f>(inputs!$C$7*11.2)*(8.42*F57^0.694)*0.5*1/F57</f>
        <v>14.779720676097172</v>
      </c>
      <c r="R57" s="59">
        <f>(60*76.9*((F57/1000)^0.76)*3*24*(MAX('Min rate concentrations'!$R$3:$R$368))/F57)</f>
        <v>1.5523679046993116E-3</v>
      </c>
      <c r="S57" s="59">
        <f>(IF(inputs!$C$6="aerial",((0.025*0.112*inputs!$C$7/3.3)*(3*60*76.9*((F57/1000)^0.76))*MAX(inputs!$H$14:$H$16))/F57,((0.0083*0.112*inputs!$C$7/1)*(3*60*76.9*((F57/1000)^0.76))*MAX(inputs!$H$14:$H$16))/F57))</f>
        <v>6.5548252202269836E-3</v>
      </c>
      <c r="T57" s="63">
        <f>IF((((inputs!$P$12/(V57/MAX(K57:S57)))^(1/inputs!$O$12))-1)/inputs!$N$12&lt;0, 0, IF((((inputs!$P$12/(V57/MAX(K57:S57)))^(1/inputs!$O$12))-1)/inputs!$N$12&gt;inputs!$H$17, inputs!$H$17, (((inputs!$P$12/(V57/MAX(K57:S57)))^(1/inputs!$O$12))-1)/inputs!$N$12))</f>
        <v>1000</v>
      </c>
      <c r="U57" s="63">
        <f>IF((((inputs!$P$12/(X57/MAX(K57:S57)))^(1/inputs!$O$12))-1)/inputs!$N$12&lt;0, 0, IF((((inputs!$P$12/(X57/MAX(K57:S57)))^(1/inputs!$O$12))-1)/inputs!$N$12&gt;inputs!$H$17, inputs!$H$17, (((inputs!$P$12/(X57/MAX(K57:S57)))^(1/inputs!$O$12))-1)/inputs!$N$12))</f>
        <v>604.83066675119608</v>
      </c>
      <c r="V57" s="21">
        <f>inputs!$E$87*(F57/inputs!$F$87)^(1)</f>
        <v>8.7399999999999999E-4</v>
      </c>
      <c r="W57" s="21">
        <f>inputs!$E$90*(F57/inputs!$F$90)^(1)</f>
        <v>9.2000000000000003E-4</v>
      </c>
      <c r="X57" s="21">
        <f>inputs!$E$89*(F57/inputs!$F$89)^(1)</f>
        <v>3.4354430379746836E-3</v>
      </c>
      <c r="Y57" s="21" t="s">
        <v>13</v>
      </c>
      <c r="Z57" s="63">
        <f t="shared" si="1"/>
        <v>16910.435556175253</v>
      </c>
      <c r="AA57" s="63">
        <f t="shared" si="2"/>
        <v>16064.913778366492</v>
      </c>
    </row>
    <row r="58" spans="1:27" x14ac:dyDescent="0.25">
      <c r="A58" s="103" t="s">
        <v>653</v>
      </c>
      <c r="B58" s="20" t="s">
        <v>654</v>
      </c>
      <c r="C58" s="21" t="s">
        <v>702</v>
      </c>
      <c r="D58" s="15" t="s">
        <v>703</v>
      </c>
      <c r="E58" s="15">
        <v>201</v>
      </c>
      <c r="F58" s="21">
        <v>4.5999999999999996</v>
      </c>
      <c r="G58" s="21" t="s">
        <v>164</v>
      </c>
      <c r="H58" s="21">
        <v>0.78</v>
      </c>
      <c r="I58" s="48">
        <f>inputs!$C$65*(inputs!$C$62/1000)</f>
        <v>0.82000000000000006</v>
      </c>
      <c r="J58" s="48">
        <f>inputs!$C$65*(inputs!$C$61/1000)</f>
        <v>0.25</v>
      </c>
      <c r="K58" s="59">
        <f t="shared" si="6"/>
        <v>3.4267979314892234E-2</v>
      </c>
      <c r="L58" s="59">
        <f>(((0.013*F58^0.773)/(1-H58)))*J58/F58</f>
        <v>1.044755466917446E-2</v>
      </c>
      <c r="M58" s="59">
        <f>IF((((0.065*F58^0.726)/3.7-(0.301*F58^0.751)/(1-H58)*H58)*(MAX('Min rate concentrations'!$P$3:$P$368)))/F58&gt;0, (((0.065*F58^0.726)/3.7-(0.301*F58^0.751)/(1-H58)*H58)*(MAX('Min rate concentrations'!$P$3:$P$368)))/F58, 0)</f>
        <v>0</v>
      </c>
      <c r="N58" s="59">
        <f>IF((((0.065*F58^0.726)/3.7-(0.301*F58^0.751)/(1-H58)*H58)*(MAX('Min rate concentrations'!$Q$3:$Q$368)))/F58&gt;0, (((0.065*F58^0.726)/3.7-(0.301*F58^0.751)/(1-H58)*H58)*(MAX('Min rate concentrations'!$Q$3:$Q$368)))/F58, 0)</f>
        <v>0</v>
      </c>
      <c r="O58" s="59" t="s">
        <v>13</v>
      </c>
      <c r="P58" s="59" t="s">
        <v>13</v>
      </c>
      <c r="Q58" s="59">
        <f>(inputs!$C$7*11.2)*(8.42*F58^0.694)*0.5*1/F58</f>
        <v>14.779720676097172</v>
      </c>
      <c r="R58" s="59">
        <f>(60*76.9*((F58/1000)^0.76)*3*24*(MAX('Min rate concentrations'!$R$3:$R$368))/F58)</f>
        <v>1.5523679046993116E-3</v>
      </c>
      <c r="S58" s="59">
        <f>(IF(inputs!$C$6="aerial",((0.025*0.112*inputs!$C$7/3.3)*(3*60*76.9*((F58/1000)^0.76))*MAX(inputs!$H$14:$H$16))/F58,((0.0083*0.112*inputs!$C$7/1)*(3*60*76.9*((F58/1000)^0.76))*MAX(inputs!$H$14:$H$16))/F58))</f>
        <v>6.5548252202269836E-3</v>
      </c>
      <c r="T58" s="63">
        <f>IF((((inputs!$P$12/(V58/MAX(K58:S58)))^(1/inputs!$O$12))-1)/inputs!$N$12&lt;0, 0, IF((((inputs!$P$12/(V58/MAX(K58:S58)))^(1/inputs!$O$12))-1)/inputs!$N$12&gt;inputs!$H$17, inputs!$H$17, (((inputs!$P$12/(V58/MAX(K58:S58)))^(1/inputs!$O$12))-1)/inputs!$N$12))</f>
        <v>1000</v>
      </c>
      <c r="U58" s="63">
        <f>IF((((inputs!$P$12/(X58/MAX(K58:S58)))^(1/inputs!$O$12))-1)/inputs!$N$12&lt;0, 0, IF((((inputs!$P$12/(X58/MAX(K58:S58)))^(1/inputs!$O$12))-1)/inputs!$N$12&gt;inputs!$H$17, inputs!$H$17, (((inputs!$P$12/(X58/MAX(K58:S58)))^(1/inputs!$O$12))-1)/inputs!$N$12))</f>
        <v>604.83066675119608</v>
      </c>
      <c r="V58" s="21">
        <f>inputs!$E$87*(F58/inputs!$F$87)^(1)</f>
        <v>8.7399999999999999E-4</v>
      </c>
      <c r="W58" s="21">
        <f>inputs!$E$90*(F58/inputs!$F$90)^(1)</f>
        <v>9.2000000000000003E-4</v>
      </c>
      <c r="X58" s="21">
        <f>inputs!$E$89*(F58/inputs!$F$89)^(1)</f>
        <v>3.4354430379746836E-3</v>
      </c>
      <c r="Y58" s="21" t="s">
        <v>13</v>
      </c>
      <c r="Z58" s="63">
        <f t="shared" si="1"/>
        <v>16910.435556175253</v>
      </c>
      <c r="AA58" s="63">
        <f t="shared" si="2"/>
        <v>16064.913778366492</v>
      </c>
    </row>
    <row r="59" spans="1:27" x14ac:dyDescent="0.25">
      <c r="A59" s="103" t="s">
        <v>675</v>
      </c>
      <c r="B59" s="20" t="s">
        <v>676</v>
      </c>
      <c r="C59" s="21" t="s">
        <v>702</v>
      </c>
      <c r="D59" s="15" t="s">
        <v>703</v>
      </c>
      <c r="E59" s="15">
        <v>7482</v>
      </c>
      <c r="F59" s="21">
        <v>0.8</v>
      </c>
      <c r="G59" s="21" t="s">
        <v>142</v>
      </c>
      <c r="H59" s="21">
        <v>0.69</v>
      </c>
      <c r="I59" s="48">
        <f>MAX('Min rate concentrations'!$H$3:$H$368)</f>
        <v>47</v>
      </c>
      <c r="J59" s="48">
        <f>MAX('Min rate concentrations'!AA:AA)</f>
        <v>32.5</v>
      </c>
      <c r="K59" s="59">
        <f t="shared" si="6"/>
        <v>2.0733761061389306</v>
      </c>
      <c r="L59" s="59">
        <f>(((0.013*F59^0.773)/(1-H59)))*J59/F59</f>
        <v>1.4337175202024521</v>
      </c>
      <c r="M59" s="59">
        <f>IF((((0.065*F59^0.726)/3.7-(0.301*F59^0.751)/(1-H59)*H59)*(MAX('Min rate concentrations'!$P$3:$P$368)))/F59&gt;0, (((0.065*F59^0.726)/3.7-(0.301*F59^0.751)/(1-H59)*H59)*(MAX('Min rate concentrations'!$P$3:$P$368)))/F59, 0)</f>
        <v>0</v>
      </c>
      <c r="N59" s="59">
        <f>IF((((0.065*F59^0.726)/3.7-(0.301*F59^0.751)/(1-H59)*H59)*(MAX('Min rate concentrations'!$Q$3:$Q$368)))/F59&gt;0, (((0.065*F59^0.726)/3.7-(0.301*F59^0.751)/(1-H59)*H59)*(MAX('Min rate concentrations'!$Q$3:$Q$368)))/F59, 0)</f>
        <v>0</v>
      </c>
      <c r="O59" s="59" t="s">
        <v>13</v>
      </c>
      <c r="P59" s="59" t="s">
        <v>13</v>
      </c>
      <c r="Q59" s="59">
        <f>(inputs!$C$7*11.2)*(8.42*F59^0.694)*0.5*1/F59</f>
        <v>25.242047916961916</v>
      </c>
      <c r="R59" s="59">
        <f>(60*76.9*((F59/1000)^0.76)*3*24*(MAX('Min rate concentrations'!$R$3:$R$368))/F59)</f>
        <v>2.3621906046616473E-3</v>
      </c>
      <c r="S59" s="59">
        <f>(IF(inputs!$C$6="aerial",((0.025*0.112*inputs!$C$7/3.3)*(3*60*76.9*((F59/1000)^0.76))*MAX(inputs!$H$14:$H$16))/F59,((0.0083*0.112*inputs!$C$7/1)*(3*60*76.9*((F59/1000)^0.76))*MAX(inputs!$H$14:$H$16))/F59))</f>
        <v>9.9742763964310033E-3</v>
      </c>
      <c r="T59" s="63">
        <f>IF((((inputs!$P$12/(V59/MAX(K59:S59)))^(1/inputs!$O$12))-1)/inputs!$N$12&lt;0, 0, IF((((inputs!$P$12/(V59/MAX(K59:S59)))^(1/inputs!$O$12))-1)/inputs!$N$12&gt;inputs!$H$17, inputs!$H$17, (((inputs!$P$12/(V59/MAX(K59:S59)))^(1/inputs!$O$12))-1)/inputs!$N$12))</f>
        <v>1000</v>
      </c>
      <c r="U59" s="63">
        <f>IF((((inputs!$P$12/(X59/MAX(K59:S59)))^(1/inputs!$O$12))-1)/inputs!$N$12&lt;0, 0, IF((((inputs!$P$12/(X59/MAX(K59:S59)))^(1/inputs!$O$12))-1)/inputs!$N$12&gt;inputs!$H$17, inputs!$H$17, (((inputs!$P$12/(X59/MAX(K59:S59)))^(1/inputs!$O$12))-1)/inputs!$N$12))</f>
        <v>1000</v>
      </c>
      <c r="V59" s="21">
        <f>inputs!$E$87*(F59/inputs!$F$87)^(1)</f>
        <v>1.5200000000000001E-4</v>
      </c>
      <c r="W59" s="21">
        <f>inputs!$E$90*(F59/inputs!$F$90)^(1)</f>
        <v>1.6000000000000001E-4</v>
      </c>
      <c r="X59" s="21">
        <f>inputs!$E$89*(F59/inputs!$F$89)^(1)</f>
        <v>5.9746835443037977E-4</v>
      </c>
      <c r="Y59" s="21" t="s">
        <v>13</v>
      </c>
      <c r="Z59" s="63">
        <f t="shared" si="1"/>
        <v>166066.10471685469</v>
      </c>
      <c r="AA59" s="63">
        <f t="shared" si="2"/>
        <v>157762.79948101196</v>
      </c>
    </row>
    <row r="60" spans="1:27" x14ac:dyDescent="0.25">
      <c r="A60" s="103" t="s">
        <v>675</v>
      </c>
      <c r="B60" s="20" t="s">
        <v>676</v>
      </c>
      <c r="C60" s="21" t="s">
        <v>702</v>
      </c>
      <c r="D60" s="15" t="s">
        <v>703</v>
      </c>
      <c r="E60" s="15">
        <v>7482</v>
      </c>
      <c r="F60" s="21">
        <v>0.8</v>
      </c>
      <c r="G60" s="21" t="s">
        <v>164</v>
      </c>
      <c r="H60" s="21">
        <v>0.78</v>
      </c>
      <c r="I60" s="48">
        <f>inputs!$C$65*(inputs!$C$62/1000)</f>
        <v>0.82000000000000006</v>
      </c>
      <c r="J60" s="48">
        <f>inputs!$C$65*(inputs!$C$61/1000)</f>
        <v>0.25</v>
      </c>
      <c r="K60" s="59">
        <f t="shared" si="6"/>
        <v>5.0972166942022855E-2</v>
      </c>
      <c r="L60" s="59">
        <f>(((0.013*F60^0.773)/(1-H60)))*J60/F60</f>
        <v>1.5540294799397211E-2</v>
      </c>
      <c r="M60" s="59">
        <f>IF((((0.065*F60^0.726)/3.7-(0.301*F60^0.751)/(1-H60)*H60)*(MAX('Min rate concentrations'!$P$3:$P$368)))/F60&gt;0, (((0.065*F60^0.726)/3.7-(0.301*F60^0.751)/(1-H60)*H60)*(MAX('Min rate concentrations'!$P$3:$P$368)))/F60, 0)</f>
        <v>0</v>
      </c>
      <c r="N60" s="59">
        <f>IF((((0.065*F60^0.726)/3.7-(0.301*F60^0.751)/(1-H60)*H60)*(MAX('Min rate concentrations'!$Q$3:$Q$368)))/F60&gt;0, (((0.065*F60^0.726)/3.7-(0.301*F60^0.751)/(1-H60)*H60)*(MAX('Min rate concentrations'!$Q$3:$Q$368)))/F60, 0)</f>
        <v>0</v>
      </c>
      <c r="O60" s="59" t="s">
        <v>13</v>
      </c>
      <c r="P60" s="59" t="s">
        <v>13</v>
      </c>
      <c r="Q60" s="59">
        <f>(inputs!$C$7*11.2)*(8.42*F60^0.694)*0.5*1/F60</f>
        <v>25.242047916961916</v>
      </c>
      <c r="R60" s="59">
        <f>(60*76.9*((F60/1000)^0.76)*3*24*(MAX('Min rate concentrations'!$R$3:$R$368))/F60)</f>
        <v>2.3621906046616473E-3</v>
      </c>
      <c r="S60" s="59">
        <f>(IF(inputs!$C$6="aerial",((0.025*0.112*inputs!$C$7/3.3)*(3*60*76.9*((F60/1000)^0.76))*MAX(inputs!$H$14:$H$16))/F60,((0.0083*0.112*inputs!$C$7/1)*(3*60*76.9*((F60/1000)^0.76))*MAX(inputs!$H$14:$H$16))/F60))</f>
        <v>9.9742763964310033E-3</v>
      </c>
      <c r="T60" s="63">
        <f>IF((((inputs!$P$12/(V60/MAX(K60:S60)))^(1/inputs!$O$12))-1)/inputs!$N$12&lt;0, 0, IF((((inputs!$P$12/(V60/MAX(K60:S60)))^(1/inputs!$O$12))-1)/inputs!$N$12&gt;inputs!$H$17, inputs!$H$17, (((inputs!$P$12/(V60/MAX(K60:S60)))^(1/inputs!$O$12))-1)/inputs!$N$12))</f>
        <v>1000</v>
      </c>
      <c r="U60" s="63">
        <f>IF((((inputs!$P$12/(X60/MAX(K60:S60)))^(1/inputs!$O$12))-1)/inputs!$N$12&lt;0, 0, IF((((inputs!$P$12/(X60/MAX(K60:S60)))^(1/inputs!$O$12))-1)/inputs!$N$12&gt;inputs!$H$17, inputs!$H$17, (((inputs!$P$12/(X60/MAX(K60:S60)))^(1/inputs!$O$12))-1)/inputs!$N$12))</f>
        <v>1000</v>
      </c>
      <c r="V60" s="21">
        <f>inputs!$E$87*(F60/inputs!$F$87)^(1)</f>
        <v>1.5200000000000001E-4</v>
      </c>
      <c r="W60" s="21">
        <f>inputs!$E$90*(F60/inputs!$F$90)^(1)</f>
        <v>1.6000000000000001E-4</v>
      </c>
      <c r="X60" s="21">
        <f>inputs!$E$89*(F60/inputs!$F$89)^(1)</f>
        <v>5.9746835443037977E-4</v>
      </c>
      <c r="Y60" s="21" t="s">
        <v>13</v>
      </c>
      <c r="Z60" s="63">
        <f t="shared" si="1"/>
        <v>166066.10471685469</v>
      </c>
      <c r="AA60" s="63">
        <f t="shared" si="2"/>
        <v>157762.79948101196</v>
      </c>
    </row>
    <row r="61" spans="1:27" x14ac:dyDescent="0.25">
      <c r="A61" s="103" t="s">
        <v>675</v>
      </c>
      <c r="B61" s="20" t="s">
        <v>676</v>
      </c>
      <c r="C61" s="21" t="s">
        <v>702</v>
      </c>
      <c r="D61" s="15" t="s">
        <v>703</v>
      </c>
      <c r="E61" s="15">
        <v>7482</v>
      </c>
      <c r="F61" s="21">
        <v>0.8</v>
      </c>
      <c r="G61" s="21" t="s">
        <v>146</v>
      </c>
      <c r="H61" s="20">
        <v>0.84</v>
      </c>
      <c r="I61" s="48">
        <f>MAX('Min rate concentrations'!$I$3:$I$368)</f>
        <v>9.4775690500787988</v>
      </c>
      <c r="J61" s="48" t="s">
        <v>13</v>
      </c>
      <c r="K61" s="59">
        <f t="shared" si="6"/>
        <v>0.81006319360927126</v>
      </c>
      <c r="L61" s="48" t="s">
        <v>13</v>
      </c>
      <c r="M61" s="59">
        <f>IF((((0.065*F61^0.726)/3.7-(0.301*F61^0.751)/(1-H61)*H61)*(MAX('Min rate concentrations'!$P$3:$P$368)))/F61&gt;0, (((0.065*F61^0.726)/3.7-(0.301*F61^0.751)/(1-H61)*H61)*(MAX('Min rate concentrations'!$P$3:$P$368)))/F61, 0)</f>
        <v>0</v>
      </c>
      <c r="N61" s="59">
        <f>IF((((0.065*F61^0.726)/3.7-(0.301*F61^0.751)/(1-H61)*H61)*(MAX('Min rate concentrations'!$Q$3:$Q$368)))/F61&gt;0, (((0.065*F61^0.726)/3.7-(0.301*F61^0.751)/(1-H61)*H61)*(MAX('Min rate concentrations'!$Q$3:$Q$368)))/F61, 0)</f>
        <v>0</v>
      </c>
      <c r="O61" s="59" t="s">
        <v>13</v>
      </c>
      <c r="P61" s="59" t="s">
        <v>13</v>
      </c>
      <c r="Q61" s="59">
        <f>(inputs!$C$7*11.2)*(8.42*F61^0.694)*0.5*1/F61</f>
        <v>25.242047916961916</v>
      </c>
      <c r="R61" s="59">
        <f>(60*76.9*((F61/1000)^0.76)*3*24*(MAX('Min rate concentrations'!$R$3:$R$368))/F61)</f>
        <v>2.3621906046616473E-3</v>
      </c>
      <c r="S61" s="59">
        <f>(IF(inputs!$C$6="aerial",((0.025*0.112*inputs!$C$7/3.3)*(3*60*76.9*((F61/1000)^0.76))*MAX(inputs!$H$14:$H$16))/F61,((0.0083*0.112*inputs!$C$7/1)*(3*60*76.9*((F61/1000)^0.76))*MAX(inputs!$H$14:$H$16))/F61))</f>
        <v>9.9742763964310033E-3</v>
      </c>
      <c r="T61" s="63">
        <f>IF((((inputs!$P$12/(V61/MAX(K61:S61)))^(1/inputs!$O$12))-1)/inputs!$N$12&lt;0, 0, IF((((inputs!$P$12/(V61/MAX(K61:S61)))^(1/inputs!$O$12))-1)/inputs!$N$12&gt;inputs!$H$17, inputs!$H$17, (((inputs!$P$12/(V61/MAX(K61:S61)))^(1/inputs!$O$12))-1)/inputs!$N$12))</f>
        <v>1000</v>
      </c>
      <c r="U61" s="63">
        <f>IF((((inputs!$P$12/(X61/MAX(K61:S61)))^(1/inputs!$O$12))-1)/inputs!$N$12&lt;0, 0, IF((((inputs!$P$12/(X61/MAX(K61:S61)))^(1/inputs!$O$12))-1)/inputs!$N$12&gt;inputs!$H$17, inputs!$H$17, (((inputs!$P$12/(X61/MAX(K61:S61)))^(1/inputs!$O$12))-1)/inputs!$N$12))</f>
        <v>1000</v>
      </c>
      <c r="V61" s="21">
        <f>inputs!$E$87*(F61/inputs!$F$87)^(1)</f>
        <v>1.5200000000000001E-4</v>
      </c>
      <c r="W61" s="21">
        <f>inputs!$E$90*(F61/inputs!$F$90)^(1)</f>
        <v>1.6000000000000001E-4</v>
      </c>
      <c r="X61" s="21">
        <f>inputs!$E$89*(F61/inputs!$F$89)^(1)</f>
        <v>5.9746835443037977E-4</v>
      </c>
      <c r="Y61" s="21" t="s">
        <v>13</v>
      </c>
      <c r="Z61" s="63">
        <f t="shared" si="1"/>
        <v>166066.10471685469</v>
      </c>
      <c r="AA61" s="63">
        <f t="shared" si="2"/>
        <v>157762.79948101196</v>
      </c>
    </row>
    <row r="62" spans="1:27" x14ac:dyDescent="0.25">
      <c r="A62" s="114" t="s">
        <v>338</v>
      </c>
      <c r="B62" s="20" t="s">
        <v>339</v>
      </c>
      <c r="C62" s="20" t="s">
        <v>73</v>
      </c>
      <c r="D62" s="48" t="s">
        <v>137</v>
      </c>
      <c r="E62" s="15">
        <v>1221</v>
      </c>
      <c r="F62" s="15">
        <v>380</v>
      </c>
      <c r="G62" s="20" t="s">
        <v>164</v>
      </c>
      <c r="H62" s="20">
        <v>0.78</v>
      </c>
      <c r="I62" s="48">
        <f>inputs!$C$65*(inputs!$C$62/1000)</f>
        <v>0.82000000000000006</v>
      </c>
      <c r="J62" s="48">
        <f>inputs!$C$65*(inputs!$C$61/1000)</f>
        <v>0.25</v>
      </c>
      <c r="K62" s="59">
        <f t="shared" ref="K62:K71" si="7">((0.301*F62^0.751)/(1-H62))*I62/F62</f>
        <v>0.2556180700823838</v>
      </c>
      <c r="L62" s="59">
        <f t="shared" ref="L62:L71" si="8">((0.301*F62^0.751)/(1-H62))*J62/F62</f>
        <v>7.7932338439751142E-2</v>
      </c>
      <c r="M62" s="59">
        <f>IF((((1.18*F62^0.874)/3.7-(0.301*F62^0.751)/(1-H62)*H62)*(MAX('Min rate concentrations'!$P$3:$P$368)))/F62&gt;0, (((1.18*F62^0.874)/3.7-(0.301*F62^0.751)/(1-H62)*H62)*(MAX('Min rate concentrations'!$P$3:$P$368)))/F62, 0)</f>
        <v>0</v>
      </c>
      <c r="N62" s="59">
        <f>IF((((1.18*F62^0.874)/3.7-(0.301*F62^0.751)/(1-H62)*H62)*(MAX('Min rate concentrations'!$Q$3:$Q$368)))/F62&gt;0, (((1.18*F62^0.874)/3.7-(0.301*F62^0.751)/(1-H62)*H62)*(MAX('Min rate concentrations'!$Q$3:$Q$368)))/F62, 0)</f>
        <v>0</v>
      </c>
      <c r="O62" s="59">
        <f>((MAX('Min rate concentrations'!$F$3:$F$368))*0.62*6.01*8*(10*F62^0.667)*0.079*0.1/F62)*inputs!$E$80/(10^(0.84+0.62*LOG10(inputs!$E$80)))</f>
        <v>3.3848095504777449</v>
      </c>
      <c r="P62" s="59">
        <f>((MAX('Min rate concentrations'!Y:Y))*0.62*6.01*8*(10*F62^0.667)*0.079*0.1/F62)*inputs!$E$80/(10^(0.84+0.62*LOG10(inputs!$E$80)))</f>
        <v>1.1282698501592481</v>
      </c>
      <c r="Q62" s="59">
        <f>(inputs!$C$7*11.2*(10*F62^0.667)*0.5/F62)*inputs!$E$80/(10^(0.84+0.62*LOG10(inputs!$E$80)))</f>
        <v>0.59621823759810022</v>
      </c>
      <c r="R62" s="59">
        <f>(60*284*((F62/1000)^0.77)*3*24*(MAX('Min rate concentrations'!$R$3:$R$368))/F62)*(inputs!$E$73*3.4/inputs!$E$75)</f>
        <v>5.8557870889460887E-3</v>
      </c>
      <c r="S62" s="59">
        <f>(IF(inputs!$C$6="aerial",((0.025*0.112*inputs!$C$7/3.3)*(3*60*284*((F62/1000)^0.77))*MAX(inputs!$H$14:$H$16))/F62,((0.0083*0.112*inputs!$C$7/1)*(3*60*284*((F62/1000)^0.77))*MAX(inputs!$H$14:$H$16))/F62))*(inputs!E$75*3.4/inputs!$E$73)</f>
        <v>3.2295025565195583E-2</v>
      </c>
      <c r="T62" s="63">
        <f>IF((((inputs!$P$12/(V62/MAX(K62:S62)))^(1/inputs!$O$12))-1)/inputs!$N$12&lt;0, 0, IF((((inputs!$P$12/(V62/MAX(K62:S62)))^(1/inputs!$O$12))-1)/inputs!$N$12&gt;inputs!$H$17, inputs!$H$17, (((inputs!$P$12/(V62/MAX(K62:S62)))^(1/inputs!$O$12))-1)/inputs!$N$12))</f>
        <v>183.54168678735365</v>
      </c>
      <c r="U62" s="63">
        <f>IF((((inputs!$P$12/(X62/MAX(K62:S62)))^(1/inputs!$O$12))-1)/inputs!$N$12&lt;0, 0, IF((((inputs!$P$12/(X62/MAX(K62:S62)))^(1/inputs!$O$12))-1)/inputs!$N$12&gt;inputs!$H$17, inputs!$H$17, (((inputs!$P$12/(X62/MAX(K62:S62)))^(1/inputs!$O$12))-1)/inputs!$N$12))</f>
        <v>0</v>
      </c>
      <c r="V62" s="21">
        <f>inputs!$E$78*(F62/inputs!$F$78)^(inputs!$E$84-1)</f>
        <v>1.1594009988906985E-2</v>
      </c>
      <c r="W62" s="21">
        <f>inputs!$E$85*(F62/inputs!$F$85)^(inputs!$E$84-1)</f>
        <v>0.53539002324690754</v>
      </c>
      <c r="X62" s="21">
        <f>inputs!$E$80*(F62/inputs!$F$80)^(inputs!$E$84-1)</f>
        <v>1.9992412260485786</v>
      </c>
      <c r="Y62" s="21">
        <f>inputs!$E$82*(F62/inputs!$F$82)^(inputs!$E$84-1)</f>
        <v>0.92141868859208143</v>
      </c>
      <c r="Z62" s="63">
        <f t="shared" si="1"/>
        <v>291.94468123766427</v>
      </c>
      <c r="AA62" s="63">
        <f t="shared" si="2"/>
        <v>6.3221378873486431</v>
      </c>
    </row>
    <row r="63" spans="1:27" x14ac:dyDescent="0.25">
      <c r="A63" s="103" t="s">
        <v>191</v>
      </c>
      <c r="B63" s="20" t="s">
        <v>192</v>
      </c>
      <c r="C63" s="20" t="s">
        <v>73</v>
      </c>
      <c r="D63" s="104" t="s">
        <v>137</v>
      </c>
      <c r="E63" s="15">
        <v>8386</v>
      </c>
      <c r="F63" s="15">
        <v>441</v>
      </c>
      <c r="G63" s="20" t="s">
        <v>142</v>
      </c>
      <c r="H63" s="20">
        <v>0.69</v>
      </c>
      <c r="I63" s="48">
        <f>MAX('Min rate concentrations'!$H$3:$H$368)</f>
        <v>47</v>
      </c>
      <c r="J63" s="48">
        <f>MAX('Min rate concentrations'!AA:AA)</f>
        <v>32.5</v>
      </c>
      <c r="K63" s="59">
        <f t="shared" si="7"/>
        <v>10.019301623693254</v>
      </c>
      <c r="L63" s="59">
        <f t="shared" si="8"/>
        <v>6.9282404844687386</v>
      </c>
      <c r="M63" s="59">
        <f>IF((((1.18*F63^0.874)/3.7-(0.301*F63^0.751)/(1-H63)*H63)*(MAX('Min rate concentrations'!$P$3:$P$368)))/F63&gt;0, (((1.18*F63^0.874)/3.7-(0.301*F63^0.751)/(1-H63)*H63)*(MAX('Min rate concentrations'!$P$3:$P$368)))/F63, 0)</f>
        <v>1.4266302307921165E-4</v>
      </c>
      <c r="N63" s="59">
        <f>IF((((1.18*F63^0.874)/3.7-(0.301*F63^0.751)/(1-H63)*H63)*(MAX('Min rate concentrations'!$Q$3:$Q$368)))/F63&gt;0, (((1.18*F63^0.874)/3.7-(0.301*F63^0.751)/(1-H63)*H63)*(MAX('Min rate concentrations'!$Q$3:$Q$368)))/F63, 0)</f>
        <v>5.4326845741027336E-4</v>
      </c>
      <c r="O63" s="59">
        <f>((MAX('Min rate concentrations'!$F$3:$F$368))*0.62*6.01*8*(10*F63^0.667)*0.079*0.1/F63)*inputs!$E$80/(10^(0.84+0.62*LOG10(inputs!$E$80)))</f>
        <v>3.2210993863931954</v>
      </c>
      <c r="P63" s="59">
        <f>((MAX('Min rate concentrations'!Y:Y))*0.62*6.01*8*(10*F63^0.667)*0.079*0.1/F63)*inputs!$E$80/(10^(0.84+0.62*LOG10(inputs!$E$80)))</f>
        <v>1.0736997954643983</v>
      </c>
      <c r="Q63" s="59">
        <f>(inputs!$C$7*11.2*(10*F63^0.667)*0.5/F63)*inputs!$E$80/(10^(0.84+0.62*LOG10(inputs!$E$80)))</f>
        <v>0.56738146434637937</v>
      </c>
      <c r="R63" s="59">
        <f>(60*284*((F63/1000)^0.77)*3*24*(MAX('Min rate concentrations'!$R$3:$R$368))/F63)*(inputs!$E$73*3.4/inputs!$E$75)</f>
        <v>5.6586734107008521E-3</v>
      </c>
      <c r="S63" s="59">
        <f>(IF(inputs!$C$6="aerial",((0.025*0.112*inputs!$C$7/3.3)*(3*60*284*((F63/1000)^0.77))*MAX(inputs!$H$14:$H$16))/F63,((0.0083*0.112*inputs!$C$7/1)*(3*60*284*((F63/1000)^0.77))*MAX(inputs!$H$14:$H$16))/F63))*(inputs!E$75*3.4/inputs!$E$73)</f>
        <v>3.1207931519341994E-2</v>
      </c>
      <c r="T63" s="63">
        <f>IF((((inputs!$P$12/(V63/MAX(K63:S63)))^(1/inputs!$O$12))-1)/inputs!$N$12&lt;0, 0, IF((((inputs!$P$12/(V63/MAX(K63:S63)))^(1/inputs!$O$12))-1)/inputs!$N$12&gt;inputs!$H$17, inputs!$H$17, (((inputs!$P$12/(V63/MAX(K63:S63)))^(1/inputs!$O$12))-1)/inputs!$N$12))</f>
        <v>308.66268764854772</v>
      </c>
      <c r="U63" s="63">
        <f>IF((((inputs!$P$12/(X63/MAX(K63:S63)))^(1/inputs!$O$12))-1)/inputs!$N$12&lt;0, 0, IF((((inputs!$P$12/(X63/MAX(K63:S63)))^(1/inputs!$O$12))-1)/inputs!$N$12&gt;inputs!$H$17, inputs!$H$17, (((inputs!$P$12/(X63/MAX(K63:S63)))^(1/inputs!$O$12))-1)/inputs!$N$12))</f>
        <v>13.015803997388604</v>
      </c>
      <c r="V63" s="21">
        <f>inputs!$E$78*(F63/inputs!$F$78)^(inputs!$E$84-1)</f>
        <v>1.0972644854266207E-2</v>
      </c>
      <c r="W63" s="21">
        <f>inputs!$E$85*(F63/inputs!$F$85)^(inputs!$E$84-1)</f>
        <v>0.50669652598423132</v>
      </c>
      <c r="X63" s="21">
        <f>inputs!$E$80*(F63/inputs!$F$80)^(inputs!$E$84-1)</f>
        <v>1.8920946223461801</v>
      </c>
      <c r="Y63" s="21">
        <f>inputs!$E$82*(F63/inputs!$F$82)^(inputs!$E$84-1)</f>
        <v>0.87203651210220912</v>
      </c>
      <c r="Z63" s="63">
        <f t="shared" si="1"/>
        <v>913.11636863902606</v>
      </c>
      <c r="AA63" s="63">
        <f t="shared" si="2"/>
        <v>19.773772090170322</v>
      </c>
    </row>
    <row r="64" spans="1:27" x14ac:dyDescent="0.25">
      <c r="A64" s="103" t="s">
        <v>191</v>
      </c>
      <c r="B64" s="20" t="s">
        <v>192</v>
      </c>
      <c r="C64" s="20" t="s">
        <v>73</v>
      </c>
      <c r="D64" s="104" t="s">
        <v>137</v>
      </c>
      <c r="E64" s="15">
        <v>8386</v>
      </c>
      <c r="F64" s="15">
        <v>441</v>
      </c>
      <c r="G64" s="20" t="s">
        <v>138</v>
      </c>
      <c r="H64" s="20">
        <v>0.68</v>
      </c>
      <c r="I64" s="48">
        <f>MAX('Min rate concentrations'!$L$3:$L$368)</f>
        <v>58.421240152220811</v>
      </c>
      <c r="J64" s="48">
        <f>MAX('Min rate concentrations'!AD:AD)</f>
        <v>40.397666062705881</v>
      </c>
      <c r="K64" s="59">
        <f t="shared" si="7"/>
        <v>12.064854265807785</v>
      </c>
      <c r="L64" s="59">
        <f t="shared" si="8"/>
        <v>8.3427183752926179</v>
      </c>
      <c r="M64" s="59">
        <f>IF((((1.18*F64^0.874)/3.7-(0.301*F64^0.751)/(1-H64)*H64)*(MAX('Min rate concentrations'!$P$3:$P$368)))/F64&gt;0, (((1.18*F64^0.874)/3.7-(0.301*F64^0.751)/(1-H64)*H64)*(MAX('Min rate concentrations'!$P$3:$P$368)))/F64, 0)</f>
        <v>1.1096057771223574E-3</v>
      </c>
      <c r="N64" s="59">
        <f>IF((((1.18*F64^0.874)/3.7-(0.301*F64^0.751)/(1-H64)*H64)*(MAX('Min rate concentrations'!$Q$3:$Q$368)))/F64&gt;0, (((1.18*F64^0.874)/3.7-(0.301*F64^0.751)/(1-H64)*H64)*(MAX('Min rate concentrations'!$Q$3:$Q$368)))/F64, 0)</f>
        <v>4.2254384202701691E-3</v>
      </c>
      <c r="O64" s="59">
        <f>((MAX('Min rate concentrations'!$F$3:$F$368))*0.62*6.01*8*(10*F64^0.667)*0.079*0.1/F64)*inputs!$E$80/(10^(0.84+0.62*LOG10(inputs!$E$80)))</f>
        <v>3.2210993863931954</v>
      </c>
      <c r="P64" s="59">
        <f>((MAX('Min rate concentrations'!Y:Y))*0.62*6.01*8*(10*F64^0.667)*0.079*0.1/F64)*inputs!$E$80/(10^(0.84+0.62*LOG10(inputs!$E$80)))</f>
        <v>1.0736997954643983</v>
      </c>
      <c r="Q64" s="59">
        <f>(inputs!$C$7*11.2*(10*F64^0.667)*0.5/F64)*inputs!$E$80/(10^(0.84+0.62*LOG10(inputs!$E$80)))</f>
        <v>0.56738146434637937</v>
      </c>
      <c r="R64" s="59">
        <f>(60*284*((F64/1000)^0.77)*3*24*(MAX('Min rate concentrations'!$R$3:$R$368))/F64)*(inputs!$E$73*3.4/inputs!$E$75)</f>
        <v>5.6586734107008521E-3</v>
      </c>
      <c r="S64" s="59">
        <f>(IF(inputs!$C$6="aerial",((0.025*0.112*inputs!$C$7/3.3)*(3*60*284*((F64/1000)^0.77))*MAX(inputs!$H$14:$H$16))/F64,((0.0083*0.112*inputs!$C$7/1)*(3*60*284*((F64/1000)^0.77))*MAX(inputs!$H$14:$H$16))/F64))*(inputs!E$75*3.4/inputs!$E$73)</f>
        <v>3.1207931519341994E-2</v>
      </c>
      <c r="T64" s="63">
        <f>IF((((inputs!$P$12/(V64/MAX(K64:S64)))^(1/inputs!$O$12))-1)/inputs!$N$12&lt;0, 0, IF((((inputs!$P$12/(V64/MAX(K64:S64)))^(1/inputs!$O$12))-1)/inputs!$N$12&gt;inputs!$H$17, inputs!$H$17, (((inputs!$P$12/(V64/MAX(K64:S64)))^(1/inputs!$O$12))-1)/inputs!$N$12))</f>
        <v>335.12679546459123</v>
      </c>
      <c r="U64" s="63">
        <f>IF((((inputs!$P$12/(X64/MAX(K64:S64)))^(1/inputs!$O$12))-1)/inputs!$N$12&lt;0, 0, IF((((inputs!$P$12/(X64/MAX(K64:S64)))^(1/inputs!$O$12))-1)/inputs!$N$12&gt;inputs!$H$17, inputs!$H$17, (((inputs!$P$12/(X64/MAX(K64:S64)))^(1/inputs!$O$12))-1)/inputs!$N$12))</f>
        <v>16.273718803835472</v>
      </c>
      <c r="V64" s="21">
        <f>inputs!$E$78*(F64/inputs!$F$78)^(inputs!$E$84-1)</f>
        <v>1.0972644854266207E-2</v>
      </c>
      <c r="W64" s="21">
        <f>inputs!$E$85*(F64/inputs!$F$85)^(inputs!$E$84-1)</f>
        <v>0.50669652598423132</v>
      </c>
      <c r="X64" s="21">
        <f>inputs!$E$80*(F64/inputs!$F$80)^(inputs!$E$84-1)</f>
        <v>1.8920946223461801</v>
      </c>
      <c r="Y64" s="21">
        <f>inputs!$E$82*(F64/inputs!$F$82)^(inputs!$E$84-1)</f>
        <v>0.87203651210220912</v>
      </c>
      <c r="Z64" s="63">
        <f t="shared" si="1"/>
        <v>1099.5393021507412</v>
      </c>
      <c r="AA64" s="63">
        <f t="shared" si="2"/>
        <v>23.810809127559029</v>
      </c>
    </row>
    <row r="65" spans="1:27" x14ac:dyDescent="0.25">
      <c r="A65" s="103" t="s">
        <v>191</v>
      </c>
      <c r="B65" s="20" t="s">
        <v>192</v>
      </c>
      <c r="C65" s="20" t="s">
        <v>73</v>
      </c>
      <c r="D65" s="104" t="s">
        <v>137</v>
      </c>
      <c r="E65" s="15">
        <v>8386</v>
      </c>
      <c r="F65" s="15">
        <v>441</v>
      </c>
      <c r="G65" s="21" t="s">
        <v>456</v>
      </c>
      <c r="H65" s="20">
        <v>0.68</v>
      </c>
      <c r="I65" s="48">
        <f>MAX('Min rate concentrations'!$J$3:$J$368)</f>
        <v>114.4108103430513</v>
      </c>
      <c r="J65" s="48">
        <f>MAX('Min rate concentrations'!AB:AB)</f>
        <v>40.520495329830666</v>
      </c>
      <c r="K65" s="59">
        <f t="shared" si="7"/>
        <v>23.627532548526627</v>
      </c>
      <c r="L65" s="59">
        <f t="shared" si="8"/>
        <v>8.3680844442698472</v>
      </c>
      <c r="M65" s="59">
        <f>IF((((1.18*F65^0.874)/3.7-(0.301*F65^0.751)/(1-H65)*H65)*(MAX('Min rate concentrations'!$P$3:$P$368)))/F65&gt;0, (((1.18*F65^0.874)/3.7-(0.301*F65^0.751)/(1-H65)*H65)*(MAX('Min rate concentrations'!$P$3:$P$368)))/F65, 0)</f>
        <v>1.1096057771223574E-3</v>
      </c>
      <c r="N65" s="59">
        <f>IF((((1.18*F65^0.874)/3.7-(0.301*F65^0.751)/(1-H65)*H65)*(MAX('Min rate concentrations'!$Q$3:$Q$368)))/F65&gt;0, (((1.18*F65^0.874)/3.7-(0.301*F65^0.751)/(1-H65)*H65)*(MAX('Min rate concentrations'!$Q$3:$Q$368)))/F65, 0)</f>
        <v>4.2254384202701691E-3</v>
      </c>
      <c r="O65" s="59">
        <f>((MAX('Min rate concentrations'!$F$3:$F$368))*0.62*6.01*8*(10*F65^0.667)*0.079*0.1/F65)*inputs!$E$80/(10^(0.84+0.62*LOG10(inputs!$E$80)))</f>
        <v>3.2210993863931954</v>
      </c>
      <c r="P65" s="59">
        <f>((MAX('Min rate concentrations'!Y:Y))*0.62*6.01*8*(10*F65^0.667)*0.079*0.1/F65)*inputs!$E$80/(10^(0.84+0.62*LOG10(inputs!$E$80)))</f>
        <v>1.0736997954643983</v>
      </c>
      <c r="Q65" s="59">
        <f>(inputs!$C$7*11.2*(10*F65^0.667)*0.5/F65)*inputs!$E$80/(10^(0.84+0.62*LOG10(inputs!$E$80)))</f>
        <v>0.56738146434637937</v>
      </c>
      <c r="R65" s="59">
        <f>(60*284*((F65/1000)^0.77)*3*24*(MAX('Min rate concentrations'!$R$3:$R$368))/F65)*(inputs!$E$73*3.4/inputs!$E$75)</f>
        <v>5.6586734107008521E-3</v>
      </c>
      <c r="S65" s="59">
        <f>(IF(inputs!$C$6="aerial",((0.025*0.112*inputs!$C$7/3.3)*(3*60*284*((F65/1000)^0.77))*MAX(inputs!$H$14:$H$16))/F65,((0.0083*0.112*inputs!$C$7/1)*(3*60*284*((F65/1000)^0.77))*MAX(inputs!$H$14:$H$16))/F65))*(inputs!E$75*3.4/inputs!$E$73)</f>
        <v>3.1207931519341994E-2</v>
      </c>
      <c r="T65" s="63">
        <f>IF((((inputs!$P$12/(V65/MAX(K65:S65)))^(1/inputs!$O$12))-1)/inputs!$N$12&lt;0, 0, IF((((inputs!$P$12/(V65/MAX(K65:S65)))^(1/inputs!$O$12))-1)/inputs!$N$12&gt;inputs!$H$17, inputs!$H$17, (((inputs!$P$12/(V65/MAX(K65:S65)))^(1/inputs!$O$12))-1)/inputs!$N$12))</f>
        <v>449.44467272882832</v>
      </c>
      <c r="U65" s="63">
        <f>IF((((inputs!$P$12/(X65/MAX(K65:S65)))^(1/inputs!$O$12))-1)/inputs!$N$12&lt;0, 0, IF((((inputs!$P$12/(X65/MAX(K65:S65)))^(1/inputs!$O$12))-1)/inputs!$N$12&gt;inputs!$H$17, inputs!$H$17, (((inputs!$P$12/(X65/MAX(K65:S65)))^(1/inputs!$O$12))-1)/inputs!$N$12))</f>
        <v>30.347040586289413</v>
      </c>
      <c r="V65" s="21">
        <f>inputs!$E$78*(F65/inputs!$F$78)^(inputs!$E$84-1)</f>
        <v>1.0972644854266207E-2</v>
      </c>
      <c r="W65" s="21">
        <f>inputs!$E$85*(F65/inputs!$F$85)^(inputs!$E$84-1)</f>
        <v>0.50669652598423132</v>
      </c>
      <c r="X65" s="21">
        <f>inputs!$E$80*(F65/inputs!$F$80)^(inputs!$E$84-1)</f>
        <v>1.8920946223461801</v>
      </c>
      <c r="Y65" s="21">
        <f>inputs!$E$82*(F65/inputs!$F$82)^(inputs!$E$84-1)</f>
        <v>0.87203651210220912</v>
      </c>
      <c r="Z65" s="63">
        <f t="shared" si="1"/>
        <v>2153.312429440396</v>
      </c>
      <c r="AA65" s="63">
        <f t="shared" si="2"/>
        <v>46.630539853478155</v>
      </c>
    </row>
    <row r="66" spans="1:27" x14ac:dyDescent="0.25">
      <c r="A66" s="103" t="s">
        <v>189</v>
      </c>
      <c r="B66" s="20" t="s">
        <v>190</v>
      </c>
      <c r="C66" s="20" t="s">
        <v>73</v>
      </c>
      <c r="D66" s="104" t="s">
        <v>137</v>
      </c>
      <c r="E66" s="15">
        <v>127</v>
      </c>
      <c r="F66" s="15">
        <v>380</v>
      </c>
      <c r="G66" s="20" t="s">
        <v>182</v>
      </c>
      <c r="H66" s="20">
        <v>0.85</v>
      </c>
      <c r="I66" s="48">
        <f>MAX('Min rate concentrations'!$M$3:$M$368)</f>
        <v>2.8488184789681945</v>
      </c>
      <c r="J66" s="48">
        <f>MAX('Min rate concentrations'!AE:AE)</f>
        <v>1.9699276716269429</v>
      </c>
      <c r="K66" s="59">
        <f t="shared" si="7"/>
        <v>1.3024885036906826</v>
      </c>
      <c r="L66" s="59">
        <f t="shared" si="8"/>
        <v>0.90065694404142949</v>
      </c>
      <c r="M66" s="59">
        <f>IF((((1.18*F66^0.874)/3.7-(0.301*F66^0.751)/(1-H66)*H66)*(MAX('Min rate concentrations'!$P$3:$P$368)))/F66&gt;0, (((1.18*F66^0.874)/3.7-(0.301*F66^0.751)/(1-H66)*H66)*(MAX('Min rate concentrations'!$P$3:$P$368)))/F66, 0)</f>
        <v>0</v>
      </c>
      <c r="N66" s="59">
        <f>IF((((1.18*F66^0.874)/3.7-(0.301*F66^0.751)/(1-H66)*H66)*(MAX('Min rate concentrations'!$Q$3:$Q$368)))/F66&gt;0, (((1.18*F66^0.874)/3.7-(0.301*F66^0.751)/(1-H66)*H66)*(MAX('Min rate concentrations'!$Q$3:$Q$368)))/F66, 0)</f>
        <v>0</v>
      </c>
      <c r="O66" s="59">
        <f>((MAX('Min rate concentrations'!$F$3:$F$368))*0.62*6.01*8*(10*F66^0.667)*0.079*0.1/F66)*inputs!$E$80/(10^(0.84+0.62*LOG10(inputs!$E$80)))</f>
        <v>3.3848095504777449</v>
      </c>
      <c r="P66" s="59">
        <f>((MAX('Min rate concentrations'!Y:Y))*0.62*6.01*8*(10*F66^0.667)*0.079*0.1/F66)*inputs!$E$80/(10^(0.84+0.62*LOG10(inputs!$E$80)))</f>
        <v>1.1282698501592481</v>
      </c>
      <c r="Q66" s="59">
        <f>(inputs!$C$7*11.2*(10*F66^0.667)*0.5/F66)*inputs!$E$80/(10^(0.84+0.62*LOG10(inputs!$E$80)))</f>
        <v>0.59621823759810022</v>
      </c>
      <c r="R66" s="59">
        <f>(60*284*((F66/1000)^0.77)*3*24*(MAX('Min rate concentrations'!$R$3:$R$368))/F66)*(inputs!$E$73*3.4/inputs!$E$75)</f>
        <v>5.8557870889460887E-3</v>
      </c>
      <c r="S66" s="59">
        <f>(IF(inputs!$C$6="aerial",((0.025*0.112*inputs!$C$7/3.3)*(3*60*284*((F66/1000)^0.77))*MAX(inputs!$H$14:$H$16))/F66,((0.0083*0.112*inputs!$C$7/1)*(3*60*284*((F66/1000)^0.77))*MAX(inputs!$H$14:$H$16))/F66))*(inputs!E$75*3.4/inputs!$E$73)</f>
        <v>3.2295025565195583E-2</v>
      </c>
      <c r="T66" s="63">
        <f>IF((((inputs!$P$12/(V66/MAX(K66:S66)))^(1/inputs!$O$12))-1)/inputs!$N$12&lt;0, 0, IF((((inputs!$P$12/(V66/MAX(K66:S66)))^(1/inputs!$O$12))-1)/inputs!$N$12&gt;inputs!$H$17, inputs!$H$17, (((inputs!$P$12/(V66/MAX(K66:S66)))^(1/inputs!$O$12))-1)/inputs!$N$12))</f>
        <v>183.54168678735365</v>
      </c>
      <c r="U66" s="63">
        <f>IF((((inputs!$P$12/(X66/MAX(K66:S66)))^(1/inputs!$O$12))-1)/inputs!$N$12&lt;0, 0, IF((((inputs!$P$12/(X66/MAX(K66:S66)))^(1/inputs!$O$12))-1)/inputs!$N$12&gt;inputs!$H$17, inputs!$H$17, (((inputs!$P$12/(X66/MAX(K66:S66)))^(1/inputs!$O$12))-1)/inputs!$N$12))</f>
        <v>0</v>
      </c>
      <c r="V66" s="21">
        <f>inputs!$E$78*(F66/inputs!$F$78)^(inputs!$E$84-1)</f>
        <v>1.1594009988906985E-2</v>
      </c>
      <c r="W66" s="21">
        <f>inputs!$E$85*(F66/inputs!$F$85)^(inputs!$E$84-1)</f>
        <v>0.53539002324690754</v>
      </c>
      <c r="X66" s="21">
        <f>inputs!$E$80*(F66/inputs!$F$80)^(inputs!$E$84-1)</f>
        <v>1.9992412260485786</v>
      </c>
      <c r="Y66" s="21">
        <f>inputs!$E$82*(F66/inputs!$F$82)^(inputs!$E$84-1)</f>
        <v>0.92141868859208143</v>
      </c>
      <c r="Z66" s="63">
        <f t="shared" ref="Z66:Z129" si="9">MAX(K66:S66)/V66</f>
        <v>291.94468123766427</v>
      </c>
      <c r="AA66" s="63">
        <f t="shared" ref="AA66:AA129" si="10">MAX(K66:S66)/W66</f>
        <v>6.3221378873486431</v>
      </c>
    </row>
    <row r="67" spans="1:27" x14ac:dyDescent="0.25">
      <c r="A67" s="103" t="s">
        <v>189</v>
      </c>
      <c r="B67" s="20" t="s">
        <v>190</v>
      </c>
      <c r="C67" s="20" t="s">
        <v>73</v>
      </c>
      <c r="D67" s="104" t="s">
        <v>137</v>
      </c>
      <c r="E67" s="15">
        <v>127</v>
      </c>
      <c r="F67" s="15">
        <v>380</v>
      </c>
      <c r="G67" s="20" t="s">
        <v>142</v>
      </c>
      <c r="H67" s="20">
        <v>0.69</v>
      </c>
      <c r="I67" s="48">
        <f>MAX('Min rate concentrations'!$H$3:$H$368)</f>
        <v>47</v>
      </c>
      <c r="J67" s="48">
        <f>MAX('Min rate concentrations'!AA:AA)</f>
        <v>32.5</v>
      </c>
      <c r="K67" s="59">
        <f t="shared" si="7"/>
        <v>10.39768231570357</v>
      </c>
      <c r="L67" s="59">
        <f t="shared" si="8"/>
        <v>7.1898867076673625</v>
      </c>
      <c r="M67" s="59">
        <f>IF((((1.18*F67^0.874)/3.7-(0.301*F67^0.751)/(1-H67)*H67)*(MAX('Min rate concentrations'!$P$3:$P$368)))/F67&gt;0, (((1.18*F67^0.874)/3.7-(0.301*F67^0.751)/(1-H67)*H67)*(MAX('Min rate concentrations'!$P$3:$P$368)))/F67, 0)</f>
        <v>0</v>
      </c>
      <c r="N67" s="59">
        <f>IF((((1.18*F67^0.874)/3.7-(0.301*F67^0.751)/(1-H67)*H67)*(MAX('Min rate concentrations'!$Q$3:$Q$368)))/F67&gt;0, (((1.18*F67^0.874)/3.7-(0.301*F67^0.751)/(1-H67)*H67)*(MAX('Min rate concentrations'!$Q$3:$Q$368)))/F67, 0)</f>
        <v>0</v>
      </c>
      <c r="O67" s="59">
        <f>((MAX('Min rate concentrations'!$F$3:$F$368))*0.62*6.01*8*(10*F67^0.667)*0.079*0.1/F67)*inputs!$E$80/(10^(0.84+0.62*LOG10(inputs!$E$80)))</f>
        <v>3.3848095504777449</v>
      </c>
      <c r="P67" s="59">
        <f>((MAX('Min rate concentrations'!Y:Y))*0.62*6.01*8*(10*F67^0.667)*0.079*0.1/F67)*inputs!$E$80/(10^(0.84+0.62*LOG10(inputs!$E$80)))</f>
        <v>1.1282698501592481</v>
      </c>
      <c r="Q67" s="59">
        <f>(inputs!$C$7*11.2*(10*F67^0.667)*0.5/F67)*inputs!$E$80/(10^(0.84+0.62*LOG10(inputs!$E$80)))</f>
        <v>0.59621823759810022</v>
      </c>
      <c r="R67" s="59">
        <f>(60*284*((F67/1000)^0.77)*3*24*(MAX('Min rate concentrations'!$R$3:$R$368))/F67)*(inputs!$E$73*3.4/inputs!$E$75)</f>
        <v>5.8557870889460887E-3</v>
      </c>
      <c r="S67" s="59">
        <f>(IF(inputs!$C$6="aerial",((0.025*0.112*inputs!$C$7/3.3)*(3*60*284*((F67/1000)^0.77))*MAX(inputs!$H$14:$H$16))/F67,((0.0083*0.112*inputs!$C$7/1)*(3*60*284*((F67/1000)^0.77))*MAX(inputs!$H$14:$H$16))/F67))*(inputs!E$75*3.4/inputs!$E$73)</f>
        <v>3.2295025565195583E-2</v>
      </c>
      <c r="T67" s="63">
        <f>IF((((inputs!$P$12/(V67/MAX(K67:S67)))^(1/inputs!$O$12))-1)/inputs!$N$12&lt;0, 0, IF((((inputs!$P$12/(V67/MAX(K67:S67)))^(1/inputs!$O$12))-1)/inputs!$N$12&gt;inputs!$H$17, inputs!$H$17, (((inputs!$P$12/(V67/MAX(K67:S67)))^(1/inputs!$O$12))-1)/inputs!$N$12))</f>
        <v>306.20145942752998</v>
      </c>
      <c r="U67" s="63">
        <f>IF((((inputs!$P$12/(X67/MAX(K67:S67)))^(1/inputs!$O$12))-1)/inputs!$N$12&lt;0, 0, IF((((inputs!$P$12/(X67/MAX(K67:S67)))^(1/inputs!$O$12))-1)/inputs!$N$12&gt;inputs!$H$17, inputs!$H$17, (((inputs!$P$12/(X67/MAX(K67:S67)))^(1/inputs!$O$12))-1)/inputs!$N$12))</f>
        <v>12.712809771434083</v>
      </c>
      <c r="V67" s="21">
        <f>inputs!$E$78*(F67/inputs!$F$78)^(inputs!$E$84-1)</f>
        <v>1.1594009988906985E-2</v>
      </c>
      <c r="W67" s="21">
        <f>inputs!$E$85*(F67/inputs!$F$85)^(inputs!$E$84-1)</f>
        <v>0.53539002324690754</v>
      </c>
      <c r="X67" s="21">
        <f>inputs!$E$80*(F67/inputs!$F$80)^(inputs!$E$84-1)</f>
        <v>1.9992412260485786</v>
      </c>
      <c r="Y67" s="21">
        <f>inputs!$E$82*(F67/inputs!$F$82)^(inputs!$E$84-1)</f>
        <v>0.92141868859208143</v>
      </c>
      <c r="Z67" s="63">
        <f t="shared" si="9"/>
        <v>896.81502134739856</v>
      </c>
      <c r="AA67" s="63">
        <f t="shared" si="10"/>
        <v>19.420762181271421</v>
      </c>
    </row>
    <row r="68" spans="1:27" x14ac:dyDescent="0.25">
      <c r="A68" s="103" t="s">
        <v>189</v>
      </c>
      <c r="B68" s="20" t="s">
        <v>190</v>
      </c>
      <c r="C68" s="20" t="s">
        <v>73</v>
      </c>
      <c r="D68" s="104" t="s">
        <v>137</v>
      </c>
      <c r="E68" s="15">
        <v>127</v>
      </c>
      <c r="F68" s="15">
        <v>380</v>
      </c>
      <c r="G68" s="20" t="s">
        <v>138</v>
      </c>
      <c r="H68" s="20">
        <v>0.68</v>
      </c>
      <c r="I68" s="48">
        <f>MAX('Min rate concentrations'!$L$3:$L$368)</f>
        <v>58.421240152220811</v>
      </c>
      <c r="J68" s="48">
        <f>MAX('Min rate concentrations'!AD:AD)</f>
        <v>40.397666062705881</v>
      </c>
      <c r="K68" s="59">
        <f t="shared" si="7"/>
        <v>12.520485613935341</v>
      </c>
      <c r="L68" s="59">
        <f t="shared" si="8"/>
        <v>8.6577826053808202</v>
      </c>
      <c r="M68" s="59">
        <f>IF((((1.18*F68^0.874)/3.7-(0.301*F68^0.751)/(1-H68)*H68)*(MAX('Min rate concentrations'!$P$3:$P$368)))/F68&gt;0, (((1.18*F68^0.874)/3.7-(0.301*F68^0.751)/(1-H68)*H68)*(MAX('Min rate concentrations'!$P$3:$P$368)))/F68, 0)</f>
        <v>7.4680025260605602E-4</v>
      </c>
      <c r="N68" s="59">
        <f>IF((((1.18*F68^0.874)/3.7-(0.301*F68^0.751)/(1-H68)*H68)*(MAX('Min rate concentrations'!$Q$3:$Q$368)))/F68&gt;0, (((1.18*F68^0.874)/3.7-(0.301*F68^0.751)/(1-H68)*H68)*(MAX('Min rate concentrations'!$Q$3:$Q$368)))/F68, 0)</f>
        <v>2.8438554887598878E-3</v>
      </c>
      <c r="O68" s="59">
        <f>((MAX('Min rate concentrations'!$F$3:$F$368))*0.62*6.01*8*(10*F68^0.667)*0.079*0.1/F68)*inputs!$E$80/(10^(0.84+0.62*LOG10(inputs!$E$80)))</f>
        <v>3.3848095504777449</v>
      </c>
      <c r="P68" s="59">
        <f>((MAX('Min rate concentrations'!Y:Y))*0.62*6.01*8*(10*F68^0.667)*0.079*0.1/F68)*inputs!$E$80/(10^(0.84+0.62*LOG10(inputs!$E$80)))</f>
        <v>1.1282698501592481</v>
      </c>
      <c r="Q68" s="59">
        <f>(inputs!$C$7*11.2*(10*F68^0.667)*0.5/F68)*inputs!$E$80/(10^(0.84+0.62*LOG10(inputs!$E$80)))</f>
        <v>0.59621823759810022</v>
      </c>
      <c r="R68" s="59">
        <f>(60*284*((F68/1000)^0.77)*3*24*(MAX('Min rate concentrations'!$R$3:$R$368))/F68)*(inputs!$E$73*3.4/inputs!$E$75)</f>
        <v>5.8557870889460887E-3</v>
      </c>
      <c r="S68" s="59">
        <f>(IF(inputs!$C$6="aerial",((0.025*0.112*inputs!$C$7/3.3)*(3*60*284*((F68/1000)^0.77))*MAX(inputs!$H$14:$H$16))/F68,((0.0083*0.112*inputs!$C$7/1)*(3*60*284*((F68/1000)^0.77))*MAX(inputs!$H$14:$H$16))/F68))*(inputs!E$75*3.4/inputs!$E$73)</f>
        <v>3.2295025565195583E-2</v>
      </c>
      <c r="T68" s="63">
        <f>IF((((inputs!$P$12/(V68/MAX(K68:S68)))^(1/inputs!$O$12))-1)/inputs!$N$12&lt;0, 0, IF((((inputs!$P$12/(V68/MAX(K68:S68)))^(1/inputs!$O$12))-1)/inputs!$N$12&gt;inputs!$H$17, inputs!$H$17, (((inputs!$P$12/(V68/MAX(K68:S68)))^(1/inputs!$O$12))-1)/inputs!$N$12))</f>
        <v>332.47237820524401</v>
      </c>
      <c r="U68" s="63">
        <f>IF((((inputs!$P$12/(X68/MAX(K68:S68)))^(1/inputs!$O$12))-1)/inputs!$N$12&lt;0, 0, IF((((inputs!$P$12/(X68/MAX(K68:S68)))^(1/inputs!$O$12))-1)/inputs!$N$12&gt;inputs!$H$17, inputs!$H$17, (((inputs!$P$12/(X68/MAX(K68:S68)))^(1/inputs!$O$12))-1)/inputs!$N$12))</f>
        <v>15.946941670375008</v>
      </c>
      <c r="V68" s="21">
        <f>inputs!$E$78*(F68/inputs!$F$78)^(inputs!$E$84-1)</f>
        <v>1.1594009988906985E-2</v>
      </c>
      <c r="W68" s="21">
        <f>inputs!$E$85*(F68/inputs!$F$85)^(inputs!$E$84-1)</f>
        <v>0.53539002324690754</v>
      </c>
      <c r="X68" s="21">
        <f>inputs!$E$80*(F68/inputs!$F$80)^(inputs!$E$84-1)</f>
        <v>1.9992412260485786</v>
      </c>
      <c r="Y68" s="21">
        <f>inputs!$E$82*(F68/inputs!$F$82)^(inputs!$E$84-1)</f>
        <v>0.92141868859208143</v>
      </c>
      <c r="Z68" s="63">
        <f t="shared" si="9"/>
        <v>1079.9098522353179</v>
      </c>
      <c r="AA68" s="63">
        <f t="shared" si="10"/>
        <v>23.385728292066489</v>
      </c>
    </row>
    <row r="69" spans="1:27" x14ac:dyDescent="0.25">
      <c r="A69" s="103" t="s">
        <v>189</v>
      </c>
      <c r="B69" s="20" t="s">
        <v>190</v>
      </c>
      <c r="C69" s="20" t="s">
        <v>73</v>
      </c>
      <c r="D69" s="104" t="s">
        <v>137</v>
      </c>
      <c r="E69" s="15">
        <v>127</v>
      </c>
      <c r="F69" s="15">
        <v>380</v>
      </c>
      <c r="G69" s="21" t="s">
        <v>456</v>
      </c>
      <c r="H69" s="20">
        <v>0.68</v>
      </c>
      <c r="I69" s="48">
        <f>MAX('Min rate concentrations'!$J$3:$J$368)</f>
        <v>114.4108103430513</v>
      </c>
      <c r="J69" s="48">
        <f>MAX('Min rate concentrations'!AB:AB)</f>
        <v>40.520495329830666</v>
      </c>
      <c r="K69" s="59">
        <f t="shared" si="7"/>
        <v>24.519830480257347</v>
      </c>
      <c r="L69" s="59">
        <f t="shared" si="8"/>
        <v>8.6841066284244786</v>
      </c>
      <c r="M69" s="59">
        <f>IF((((1.18*F69^0.874)/3.7-(0.301*F69^0.751)/(1-H69)*H69)*(MAX('Min rate concentrations'!$P$3:$P$368)))/F69&gt;0, (((1.18*F69^0.874)/3.7-(0.301*F69^0.751)/(1-H69)*H69)*(MAX('Min rate concentrations'!$P$3:$P$368)))/F69, 0)</f>
        <v>7.4680025260605602E-4</v>
      </c>
      <c r="N69" s="59">
        <f>IF((((1.18*F69^0.874)/3.7-(0.301*F69^0.751)/(1-H69)*H69)*(MAX('Min rate concentrations'!$Q$3:$Q$368)))/F69&gt;0, (((1.18*F69^0.874)/3.7-(0.301*F69^0.751)/(1-H69)*H69)*(MAX('Min rate concentrations'!$Q$3:$Q$368)))/F69, 0)</f>
        <v>2.8438554887598878E-3</v>
      </c>
      <c r="O69" s="59">
        <f>((MAX('Min rate concentrations'!$F$3:$F$368))*0.62*6.01*8*(10*F69^0.667)*0.079*0.1/F69)*inputs!$E$80/(10^(0.84+0.62*LOG10(inputs!$E$80)))</f>
        <v>3.3848095504777449</v>
      </c>
      <c r="P69" s="59">
        <f>((MAX('Min rate concentrations'!Y:Y))*0.62*6.01*8*(10*F69^0.667)*0.079*0.1/F69)*inputs!$E$80/(10^(0.84+0.62*LOG10(inputs!$E$80)))</f>
        <v>1.1282698501592481</v>
      </c>
      <c r="Q69" s="59">
        <f>(inputs!$C$7*11.2*(10*F69^0.667)*0.5/F69)*inputs!$E$80/(10^(0.84+0.62*LOG10(inputs!$E$80)))</f>
        <v>0.59621823759810022</v>
      </c>
      <c r="R69" s="59">
        <f>(60*284*((F69/1000)^0.77)*3*24*(MAX('Min rate concentrations'!$R$3:$R$368))/F69)*(inputs!$E$73*3.4/inputs!$E$75)</f>
        <v>5.8557870889460887E-3</v>
      </c>
      <c r="S69" s="59">
        <f>(IF(inputs!$C$6="aerial",((0.025*0.112*inputs!$C$7/3.3)*(3*60*284*((F69/1000)^0.77))*MAX(inputs!$H$14:$H$16))/F69,((0.0083*0.112*inputs!$C$7/1)*(3*60*284*((F69/1000)^0.77))*MAX(inputs!$H$14:$H$16))/F69))*(inputs!E$75*3.4/inputs!$E$73)</f>
        <v>3.2295025565195583E-2</v>
      </c>
      <c r="T69" s="63">
        <f>IF((((inputs!$P$12/(V69/MAX(K69:S69)))^(1/inputs!$O$12))-1)/inputs!$N$12&lt;0, 0, IF((((inputs!$P$12/(V69/MAX(K69:S69)))^(1/inputs!$O$12))-1)/inputs!$N$12&gt;inputs!$H$17, inputs!$H$17, (((inputs!$P$12/(V69/MAX(K69:S69)))^(1/inputs!$O$12))-1)/inputs!$N$12))</f>
        <v>445.95573042423734</v>
      </c>
      <c r="U69" s="63">
        <f>IF((((inputs!$P$12/(X69/MAX(K69:S69)))^(1/inputs!$O$12))-1)/inputs!$N$12&lt;0, 0, IF((((inputs!$P$12/(X69/MAX(K69:S69)))^(1/inputs!$O$12))-1)/inputs!$N$12&gt;inputs!$H$17, inputs!$H$17, (((inputs!$P$12/(X69/MAX(K69:S69)))^(1/inputs!$O$12))-1)/inputs!$N$12))</f>
        <v>29.917527644762071</v>
      </c>
      <c r="V69" s="21">
        <f>inputs!$E$78*(F69/inputs!$F$78)^(inputs!$E$84-1)</f>
        <v>1.1594009988906985E-2</v>
      </c>
      <c r="W69" s="21">
        <f>inputs!$E$85*(F69/inputs!$F$85)^(inputs!$E$84-1)</f>
        <v>0.53539002324690754</v>
      </c>
      <c r="X69" s="21">
        <f>inputs!$E$80*(F69/inputs!$F$80)^(inputs!$E$84-1)</f>
        <v>1.9992412260485786</v>
      </c>
      <c r="Y69" s="21">
        <f>inputs!$E$82*(F69/inputs!$F$82)^(inputs!$E$84-1)</f>
        <v>0.92141868859208143</v>
      </c>
      <c r="Z69" s="63">
        <f t="shared" si="9"/>
        <v>2114.8705671047064</v>
      </c>
      <c r="AA69" s="63">
        <f t="shared" si="10"/>
        <v>45.798071341627256</v>
      </c>
    </row>
    <row r="70" spans="1:27" x14ac:dyDescent="0.25">
      <c r="A70" s="103" t="s">
        <v>189</v>
      </c>
      <c r="B70" s="20" t="s">
        <v>190</v>
      </c>
      <c r="C70" s="20" t="s">
        <v>73</v>
      </c>
      <c r="D70" s="104" t="s">
        <v>137</v>
      </c>
      <c r="E70" s="15">
        <v>127</v>
      </c>
      <c r="F70" s="15">
        <v>380</v>
      </c>
      <c r="G70" s="20" t="s">
        <v>145</v>
      </c>
      <c r="H70" s="20">
        <v>0.66</v>
      </c>
      <c r="I70" s="48">
        <f>MAX('Min rate concentrations'!$M$3:$M$368)</f>
        <v>2.8488184789681945</v>
      </c>
      <c r="J70" s="48">
        <f>MAX('Min rate concentrations'!AE:AE)</f>
        <v>1.9699276716269429</v>
      </c>
      <c r="K70" s="59">
        <f t="shared" si="7"/>
        <v>0.57462728104000715</v>
      </c>
      <c r="L70" s="59">
        <f t="shared" si="8"/>
        <v>0.39734865178298368</v>
      </c>
      <c r="M70" s="59">
        <f>IF((((1.18*F70^0.874)/3.7-(0.301*F70^0.751)/(1-H70)*H70)*(MAX('Min rate concentrations'!$P$3:$P$368)))/F70&gt;0, (((1.18*F70^0.874)/3.7-(0.301*F70^0.751)/(1-H70)*H70)*(MAX('Min rate concentrations'!$P$3:$P$368)))/F70, 0)</f>
        <v>2.5766381964670831E-3</v>
      </c>
      <c r="N70" s="59">
        <f>IF((((1.18*F70^0.874)/3.7-(0.301*F70^0.751)/(1-H70)*H70)*(MAX('Min rate concentrations'!$Q$3:$Q$368)))/F70&gt;0, (((1.18*F70^0.874)/3.7-(0.301*F70^0.751)/(1-H70)*H70)*(MAX('Min rate concentrations'!$Q$3:$Q$368)))/F70, 0)</f>
        <v>9.811976699258913E-3</v>
      </c>
      <c r="O70" s="59">
        <f>((MAX('Min rate concentrations'!$F$3:$F$368))*0.62*6.01*8*(10*F70^0.667)*0.079*0.1/F70)*inputs!$E$80/(10^(0.84+0.62*LOG10(inputs!$E$80)))</f>
        <v>3.3848095504777449</v>
      </c>
      <c r="P70" s="59">
        <f>((MAX('Min rate concentrations'!Y:Y))*0.62*6.01*8*(10*F70^0.667)*0.079*0.1/F70)*inputs!$E$80/(10^(0.84+0.62*LOG10(inputs!$E$80)))</f>
        <v>1.1282698501592481</v>
      </c>
      <c r="Q70" s="59">
        <f>(inputs!$C$7*11.2*(10*F70^0.667)*0.5/F70)*inputs!$E$80/(10^(0.84+0.62*LOG10(inputs!$E$80)))</f>
        <v>0.59621823759810022</v>
      </c>
      <c r="R70" s="59">
        <f>(60*284*((F70/1000)^0.77)*3*24*(MAX('Min rate concentrations'!$R$3:$R$368))/F70)*(inputs!$E$73*3.4/inputs!$E$75)</f>
        <v>5.8557870889460887E-3</v>
      </c>
      <c r="S70" s="59">
        <f>(IF(inputs!$C$6="aerial",((0.025*0.112*inputs!$C$7/3.3)*(3*60*284*((F70/1000)^0.77))*MAX(inputs!$H$14:$H$16))/F70,((0.0083*0.112*inputs!$C$7/1)*(3*60*284*((F70/1000)^0.77))*MAX(inputs!$H$14:$H$16))/F70))*(inputs!E$75*3.4/inputs!$E$73)</f>
        <v>3.2295025565195583E-2</v>
      </c>
      <c r="T70" s="63">
        <f>IF((((inputs!$P$12/(V70/MAX(K70:S70)))^(1/inputs!$O$12))-1)/inputs!$N$12&lt;0, 0, IF((((inputs!$P$12/(V70/MAX(K70:S70)))^(1/inputs!$O$12))-1)/inputs!$N$12&gt;inputs!$H$17, inputs!$H$17, (((inputs!$P$12/(V70/MAX(K70:S70)))^(1/inputs!$O$12))-1)/inputs!$N$12))</f>
        <v>183.54168678735365</v>
      </c>
      <c r="U70" s="63">
        <f>IF((((inputs!$P$12/(X70/MAX(K70:S70)))^(1/inputs!$O$12))-1)/inputs!$N$12&lt;0, 0, IF((((inputs!$P$12/(X70/MAX(K70:S70)))^(1/inputs!$O$12))-1)/inputs!$N$12&gt;inputs!$H$17, inputs!$H$17, (((inputs!$P$12/(X70/MAX(K70:S70)))^(1/inputs!$O$12))-1)/inputs!$N$12))</f>
        <v>0</v>
      </c>
      <c r="V70" s="21">
        <f>inputs!$E$78*(F70/inputs!$F$78)^(inputs!$E$84-1)</f>
        <v>1.1594009988906985E-2</v>
      </c>
      <c r="W70" s="21">
        <f>inputs!$E$85*(F70/inputs!$F$85)^(inputs!$E$84-1)</f>
        <v>0.53539002324690754</v>
      </c>
      <c r="X70" s="21">
        <f>inputs!$E$80*(F70/inputs!$F$80)^(inputs!$E$84-1)</f>
        <v>1.9992412260485786</v>
      </c>
      <c r="Y70" s="21">
        <f>inputs!$E$82*(F70/inputs!$F$82)^(inputs!$E$84-1)</f>
        <v>0.92141868859208143</v>
      </c>
      <c r="Z70" s="63">
        <f t="shared" si="9"/>
        <v>291.94468123766427</v>
      </c>
      <c r="AA70" s="63">
        <f t="shared" si="10"/>
        <v>6.3221378873486431</v>
      </c>
    </row>
    <row r="71" spans="1:27" x14ac:dyDescent="0.25">
      <c r="A71" s="103" t="s">
        <v>135</v>
      </c>
      <c r="B71" s="20" t="s">
        <v>136</v>
      </c>
      <c r="C71" s="20" t="s">
        <v>73</v>
      </c>
      <c r="D71" s="104" t="s">
        <v>137</v>
      </c>
      <c r="E71" s="15">
        <v>128</v>
      </c>
      <c r="F71" s="15">
        <v>82</v>
      </c>
      <c r="G71" s="20" t="s">
        <v>138</v>
      </c>
      <c r="H71" s="20">
        <v>0.68</v>
      </c>
      <c r="I71" s="48">
        <f>MAX('Min rate concentrations'!$L$3:$L$368)</f>
        <v>58.421240152220811</v>
      </c>
      <c r="J71" s="48">
        <f>MAX('Min rate concentrations'!AD:AD)</f>
        <v>40.397666062705881</v>
      </c>
      <c r="K71" s="59">
        <f t="shared" si="7"/>
        <v>18.342040154297688</v>
      </c>
      <c r="L71" s="59">
        <f t="shared" si="8"/>
        <v>12.683325638610105</v>
      </c>
      <c r="M71" s="59">
        <f>IF((((1.18*F71^0.874)/3.7-(0.301*F71^0.751)/(1-H71)*H71)*(MAX('Min rate concentrations'!$P$3:$P$368)))/F71&gt;0, (((1.18*F71^0.874)/3.7-(0.301*F71^0.751)/(1-H71)*H71)*(MAX('Min rate concentrations'!$P$3:$P$368)))/F71, 0)</f>
        <v>0</v>
      </c>
      <c r="N71" s="59">
        <f>IF((((1.18*F71^0.874)/3.7-(0.301*F71^0.751)/(1-H71)*H71)*(MAX('Min rate concentrations'!$Q$3:$Q$368)))/F71&gt;0, (((1.18*F71^0.874)/3.7-(0.301*F71^0.751)/(1-H71)*H71)*(MAX('Min rate concentrations'!$Q$3:$Q$368)))/F71, 0)</f>
        <v>0</v>
      </c>
      <c r="O71" s="59">
        <f>((MAX('Min rate concentrations'!$F$3:$F$368))*0.62*6.01*8*(10*F71^0.667)*0.079*0.1/F71)*inputs!$E$80/(10^(0.84+0.62*LOG10(inputs!$E$80)))</f>
        <v>5.6402994598290137</v>
      </c>
      <c r="P71" s="59">
        <f>((MAX('Min rate concentrations'!Y:Y))*0.62*6.01*8*(10*F71^0.667)*0.079*0.1/F71)*inputs!$E$80/(10^(0.84+0.62*LOG10(inputs!$E$80)))</f>
        <v>1.8800998199430048</v>
      </c>
      <c r="Q71" s="59">
        <f>(inputs!$C$7*11.2*(10*F71^0.667)*0.5/F71)*inputs!$E$80/(10^(0.84+0.62*LOG10(inputs!$E$80)))</f>
        <v>0.99351214693604462</v>
      </c>
      <c r="R71" s="59">
        <f>(60*284*((F71/1000)^0.77)*3*24*(MAX('Min rate concentrations'!$R$3:$R$368))/F71)*(inputs!$E$73*3.4/inputs!$E$75)</f>
        <v>8.3321737747732352E-3</v>
      </c>
      <c r="S71" s="59">
        <f>(IF(inputs!$C$6="aerial",((0.025*0.112*inputs!$C$7/3.3)*(3*60*284*((F71/1000)^0.77))*MAX(inputs!$H$14:$H$16))/F71,((0.0083*0.112*inputs!$C$7/1)*(3*60*284*((F71/1000)^0.77))*MAX(inputs!$H$14:$H$16))/F71))*(inputs!E$75*3.4/inputs!$E$73)</f>
        <v>4.5952450282543252E-2</v>
      </c>
      <c r="T71" s="63">
        <f>IF((((inputs!$P$12/(V71/MAX(K71:S71)))^(1/inputs!$O$12))-1)/inputs!$N$12&lt;0, 0, IF((((inputs!$P$12/(V71/MAX(K71:S71)))^(1/inputs!$O$12))-1)/inputs!$N$12&gt;inputs!$H$17, inputs!$H$17, (((inputs!$P$12/(V71/MAX(K71:S71)))^(1/inputs!$O$12))-1)/inputs!$N$12))</f>
        <v>306.2335241877804</v>
      </c>
      <c r="U71" s="63">
        <f>IF((((inputs!$P$12/(X71/MAX(K71:S71)))^(1/inputs!$O$12))-1)/inputs!$N$12&lt;0, 0, IF((((inputs!$P$12/(X71/MAX(K71:S71)))^(1/inputs!$O$12))-1)/inputs!$N$12&gt;inputs!$H$17, inputs!$H$17, (((inputs!$P$12/(X71/MAX(K71:S71)))^(1/inputs!$O$12))-1)/inputs!$N$12))</f>
        <v>12.716757165312282</v>
      </c>
      <c r="V71" s="21">
        <f>inputs!$E$78*(F71/inputs!$F$78)^(inputs!$E$84-1)</f>
        <v>2.0447606345010017E-2</v>
      </c>
      <c r="W71" s="21">
        <f>inputs!$E$85*(F71/inputs!$F$85)^(inputs!$E$84-1)</f>
        <v>0.94423279321588605</v>
      </c>
      <c r="X71" s="21">
        <f>inputs!$E$80*(F71/inputs!$F$80)^(inputs!$E$84-1)</f>
        <v>3.5259325822618526</v>
      </c>
      <c r="Y71" s="21">
        <f>inputs!$E$82*(F71/inputs!$F$82)^(inputs!$E$84-1)</f>
        <v>1.6250466095244802</v>
      </c>
      <c r="Z71" s="63">
        <f t="shared" si="9"/>
        <v>897.02627509619651</v>
      </c>
      <c r="AA71" s="63">
        <f t="shared" si="10"/>
        <v>19.425336936062152</v>
      </c>
    </row>
    <row r="72" spans="1:27" x14ac:dyDescent="0.25">
      <c r="A72" s="103" t="s">
        <v>175</v>
      </c>
      <c r="B72" s="20" t="s">
        <v>176</v>
      </c>
      <c r="C72" s="20" t="s">
        <v>73</v>
      </c>
      <c r="D72" s="104" t="s">
        <v>172</v>
      </c>
      <c r="E72" s="15">
        <v>69</v>
      </c>
      <c r="F72" s="15">
        <v>460</v>
      </c>
      <c r="G72" s="20" t="s">
        <v>173</v>
      </c>
      <c r="H72" s="20">
        <v>0.8</v>
      </c>
      <c r="I72" s="48">
        <f>inputs!$C$65*inputs!$C$60/1000</f>
        <v>2.8</v>
      </c>
      <c r="J72" s="48">
        <f>inputs!$C$65*inputs!$C$59/1000</f>
        <v>2.8</v>
      </c>
      <c r="K72" s="59">
        <f>(((0.301*F72^0.751)/(1-H72)))*I72/F72</f>
        <v>0.91551998958237779</v>
      </c>
      <c r="L72" s="59"/>
      <c r="M72" s="59">
        <f>IF((((1.18*F72^0.874)/3.7-(0.301*F72^0.751)/(1-H72)*H72)*(MAX('Min rate concentrations'!$P$3:$P$368)))/F72&gt;0, (((1.18*F72^0.874)/3.7-(0.301*F72^0.751)/(1-H72)*H72)*(MAX('Min rate concentrations'!$P$3:$P$368)))/F72, 0)</f>
        <v>0</v>
      </c>
      <c r="N72" s="59">
        <f>IF((((1.18*F72^0.874)/3.7-(0.301*F72^0.751)/(1-H72)*H72)*(MAX('Min rate concentrations'!$Q$3:$Q$368)))/F72&gt;0, (((1.18*F72^0.874)/3.7-(0.301*F72^0.751)/(1-H72)*H72)*(MAX('Min rate concentrations'!$Q$3:$Q$368)))/F72, 0)</f>
        <v>0</v>
      </c>
      <c r="O72" s="59">
        <f>((MAX('Min rate concentrations'!$F$3:$F$368))*0.62*6.01*8*(10*F72^0.667)*0.079*0.1/F72)*inputs!$E$80/(10^(0.84+0.62*LOG10(inputs!$E$80)))</f>
        <v>3.1761705709329711</v>
      </c>
      <c r="P72" s="59">
        <f>((MAX('Min rate concentrations'!Y:Y))*0.62*6.01*8*(10*F72^0.667)*0.079*0.1/F72)*inputs!$E$80/(10^(0.84+0.62*LOG10(inputs!$E$80)))</f>
        <v>1.0587235236443238</v>
      </c>
      <c r="Q72" s="59">
        <f>(inputs!$C$7*11.2*(10*F72^0.667)*0.5/F72)*inputs!$E$80/(10^(0.84+0.62*LOG10(inputs!$E$80)))</f>
        <v>0.55946746541332748</v>
      </c>
      <c r="R72" s="59">
        <f>(60*284*((F72/1000)^0.77)*3*24*(MAX('Min rate concentrations'!$R$3:$R$368))/F72)*(inputs!$E$73*3.4/inputs!$E$75)</f>
        <v>5.604039706195091E-3</v>
      </c>
      <c r="S72" s="59">
        <f>(IF(inputs!$C$6="aerial",((0.025*0.112*inputs!$C$7/3.3)*(3*60*284*((F72/1000)^0.77))*MAX(inputs!$H$14:$H$16))/F72,((0.0083*0.112*inputs!$C$7/1)*(3*60*284*((F72/1000)^0.77))*MAX(inputs!$H$14:$H$16))/F72))*(inputs!E$75*3.4/inputs!$E$73)</f>
        <v>3.0906623282390286E-2</v>
      </c>
      <c r="T72" s="63">
        <f>IF((((inputs!$P$12/(V72/MAX(K72:S72)))^(1/inputs!$O$12))-1)/inputs!$N$12&lt;0, 0, IF((((inputs!$P$12/(V72/MAX(K72:S72)))^(1/inputs!$O$12))-1)/inputs!$N$12&gt;inputs!$H$17, inputs!$H$17, (((inputs!$P$12/(V72/MAX(K72:S72)))^(1/inputs!$O$12))-1)/inputs!$N$12))</f>
        <v>184.15220428806293</v>
      </c>
      <c r="U72" s="63">
        <f>IF((((inputs!$P$12/(X72/MAX(K72:S72)))^(1/inputs!$O$12))-1)/inputs!$N$12&lt;0, 0, IF((((inputs!$P$12/(X72/MAX(K72:S72)))^(1/inputs!$O$12))-1)/inputs!$N$12&gt;inputs!$H$17, inputs!$H$17, (((inputs!$P$12/(X72/MAX(K72:S72)))^(1/inputs!$O$12))-1)/inputs!$N$12))</f>
        <v>0</v>
      </c>
      <c r="V72" s="21">
        <f>inputs!$E$78*(F72/inputs!$F$78)^(inputs!$E$84-1)</f>
        <v>1.0802722080610554E-2</v>
      </c>
      <c r="W72" s="21">
        <f>inputs!$E$85*(F72/inputs!$F$85)^(inputs!$E$84-1)</f>
        <v>0.49884980532203388</v>
      </c>
      <c r="X72" s="21">
        <f>inputs!$E$80*(F72/inputs!$F$80)^(inputs!$E$84-1)</f>
        <v>1.8627935768354429</v>
      </c>
      <c r="Y72" s="21">
        <f>inputs!$E$82*(F72/inputs!$F$82)^(inputs!$E$84-1)</f>
        <v>0.85853212324852302</v>
      </c>
      <c r="Z72" s="63">
        <f t="shared" si="9"/>
        <v>294.01576262280912</v>
      </c>
      <c r="AA72" s="63">
        <f t="shared" si="10"/>
        <v>6.3669876925833124</v>
      </c>
    </row>
    <row r="73" spans="1:27" x14ac:dyDescent="0.25">
      <c r="A73" s="103" t="s">
        <v>175</v>
      </c>
      <c r="B73" s="20" t="s">
        <v>176</v>
      </c>
      <c r="C73" s="20" t="s">
        <v>73</v>
      </c>
      <c r="D73" s="104" t="s">
        <v>172</v>
      </c>
      <c r="E73" s="15">
        <v>69</v>
      </c>
      <c r="F73" s="15">
        <v>460</v>
      </c>
      <c r="G73" s="20" t="s">
        <v>164</v>
      </c>
      <c r="H73" s="20">
        <v>0.78</v>
      </c>
      <c r="I73" s="48">
        <f>inputs!$C$65*(inputs!$C$62/1000)</f>
        <v>0.82000000000000006</v>
      </c>
      <c r="J73" s="48">
        <f>inputs!$C$65*(inputs!$C$61/1000)</f>
        <v>0.25</v>
      </c>
      <c r="K73" s="59">
        <f t="shared" ref="K73:K81" si="11">((0.301*F73^0.751)/(1-H73))*I73/F73</f>
        <v>0.24374233488881489</v>
      </c>
      <c r="L73" s="59">
        <f>((0.301*F73^0.751)/(1-H73))*J73/F73</f>
        <v>7.4311687466102103E-2</v>
      </c>
      <c r="M73" s="59">
        <f>IF((((1.18*F73^0.874)/3.7-(0.301*F73^0.751)/(1-H73)*H73)*(MAX('Min rate concentrations'!$P$3:$P$368)))/F73&gt;0, (((1.18*F73^0.874)/3.7-(0.301*F73^0.751)/(1-H73)*H73)*(MAX('Min rate concentrations'!$P$3:$P$368)))/F73, 0)</f>
        <v>0</v>
      </c>
      <c r="N73" s="59">
        <f>IF((((1.18*F73^0.874)/3.7-(0.301*F73^0.751)/(1-H73)*H73)*(MAX('Min rate concentrations'!$Q$3:$Q$368)))/F73&gt;0, (((1.18*F73^0.874)/3.7-(0.301*F73^0.751)/(1-H73)*H73)*(MAX('Min rate concentrations'!$Q$3:$Q$368)))/F73, 0)</f>
        <v>0</v>
      </c>
      <c r="O73" s="59">
        <f>((MAX('Min rate concentrations'!$F$3:$F$368))*0.62*6.01*8*(10*F73^0.667)*0.079*0.1/F73)*inputs!$E$80/(10^(0.84+0.62*LOG10(inputs!$E$80)))</f>
        <v>3.1761705709329711</v>
      </c>
      <c r="P73" s="59">
        <f>((MAX('Min rate concentrations'!Y:Y))*0.62*6.01*8*(10*F73^0.667)*0.079*0.1/F73)*inputs!$E$80/(10^(0.84+0.62*LOG10(inputs!$E$80)))</f>
        <v>1.0587235236443238</v>
      </c>
      <c r="Q73" s="59">
        <f>(inputs!$C$7*11.2*(10*F73^0.667)*0.5/F73)*inputs!$E$80/(10^(0.84+0.62*LOG10(inputs!$E$80)))</f>
        <v>0.55946746541332748</v>
      </c>
      <c r="R73" s="59">
        <f>(60*284*((F73/1000)^0.77)*3*24*(MAX('Min rate concentrations'!$R$3:$R$368))/F73)*(inputs!$E$73*3.4/inputs!$E$75)</f>
        <v>5.604039706195091E-3</v>
      </c>
      <c r="S73" s="59">
        <f>(IF(inputs!$C$6="aerial",((0.025*0.112*inputs!$C$7/3.3)*(3*60*284*((F73/1000)^0.77))*MAX(inputs!$H$14:$H$16))/F73,((0.0083*0.112*inputs!$C$7/1)*(3*60*284*((F73/1000)^0.77))*MAX(inputs!$H$14:$H$16))/F73))*(inputs!E$75*3.4/inputs!$E$73)</f>
        <v>3.0906623282390286E-2</v>
      </c>
      <c r="T73" s="63">
        <f>IF((((inputs!$P$12/(V73/MAX(K73:S73)))^(1/inputs!$O$12))-1)/inputs!$N$12&lt;0, 0, IF((((inputs!$P$12/(V73/MAX(K73:S73)))^(1/inputs!$O$12))-1)/inputs!$N$12&gt;inputs!$H$17, inputs!$H$17, (((inputs!$P$12/(V73/MAX(K73:S73)))^(1/inputs!$O$12))-1)/inputs!$N$12))</f>
        <v>184.15220428806293</v>
      </c>
      <c r="U73" s="63">
        <f>IF((((inputs!$P$12/(X73/MAX(K73:S73)))^(1/inputs!$O$12))-1)/inputs!$N$12&lt;0, 0, IF((((inputs!$P$12/(X73/MAX(K73:S73)))^(1/inputs!$O$12))-1)/inputs!$N$12&gt;inputs!$H$17, inputs!$H$17, (((inputs!$P$12/(X73/MAX(K73:S73)))^(1/inputs!$O$12))-1)/inputs!$N$12))</f>
        <v>0</v>
      </c>
      <c r="V73" s="21">
        <f>inputs!$E$78*(F73/inputs!$F$78)^(inputs!$E$84-1)</f>
        <v>1.0802722080610554E-2</v>
      </c>
      <c r="W73" s="21">
        <f>inputs!$E$85*(F73/inputs!$F$85)^(inputs!$E$84-1)</f>
        <v>0.49884980532203388</v>
      </c>
      <c r="X73" s="21">
        <f>inputs!$E$80*(F73/inputs!$F$80)^(inputs!$E$84-1)</f>
        <v>1.8627935768354429</v>
      </c>
      <c r="Y73" s="21">
        <f>inputs!$E$82*(F73/inputs!$F$82)^(inputs!$E$84-1)</f>
        <v>0.85853212324852302</v>
      </c>
      <c r="Z73" s="63">
        <f t="shared" si="9"/>
        <v>294.01576262280912</v>
      </c>
      <c r="AA73" s="63">
        <f t="shared" si="10"/>
        <v>6.3669876925833124</v>
      </c>
    </row>
    <row r="74" spans="1:27" x14ac:dyDescent="0.25">
      <c r="A74" s="103" t="s">
        <v>175</v>
      </c>
      <c r="B74" s="20" t="s">
        <v>176</v>
      </c>
      <c r="C74" s="20" t="s">
        <v>73</v>
      </c>
      <c r="D74" s="104" t="s">
        <v>172</v>
      </c>
      <c r="E74" s="15">
        <v>69</v>
      </c>
      <c r="F74" s="15">
        <v>460</v>
      </c>
      <c r="G74" s="20" t="s">
        <v>169</v>
      </c>
      <c r="H74" s="20">
        <v>0.79</v>
      </c>
      <c r="I74" s="48">
        <f>MAX('Min rate concentrations'!$D$3:$D$368)</f>
        <v>120</v>
      </c>
      <c r="J74" s="48">
        <f>MAX('Min rate concentrations'!W:W)</f>
        <v>42.5</v>
      </c>
      <c r="K74" s="59">
        <f t="shared" si="11"/>
        <v>37.368162840097064</v>
      </c>
      <c r="L74" s="59">
        <f>((0.301*F74^0.751)/(1-H74))*J74/F74</f>
        <v>13.234557672534375</v>
      </c>
      <c r="M74" s="59">
        <f>IF((((1.18*F74^0.874)/3.7-(0.301*F74^0.751)/(1-H74)*H74)*(MAX('Min rate concentrations'!$P$3:$P$368)))/F74&gt;0, (((1.18*F74^0.874)/3.7-(0.301*F74^0.751)/(1-H74)*H74)*(MAX('Min rate concentrations'!$P$3:$P$368)))/F74, 0)</f>
        <v>0</v>
      </c>
      <c r="N74" s="59">
        <f>IF((((1.18*F74^0.874)/3.7-(0.301*F74^0.751)/(1-H74)*H74)*(MAX('Min rate concentrations'!$Q$3:$Q$368)))/F74&gt;0, (((1.18*F74^0.874)/3.7-(0.301*F74^0.751)/(1-H74)*H74)*(MAX('Min rate concentrations'!$Q$3:$Q$368)))/F74, 0)</f>
        <v>0</v>
      </c>
      <c r="O74" s="59">
        <f>((MAX('Min rate concentrations'!$F$3:$F$368))*0.62*6.01*8*(10*F74^0.667)*0.079*0.1/F74)*inputs!$E$80/(10^(0.84+0.62*LOG10(inputs!$E$80)))</f>
        <v>3.1761705709329711</v>
      </c>
      <c r="P74" s="59">
        <f>((MAX('Min rate concentrations'!Y:Y))*0.62*6.01*8*(10*F74^0.667)*0.079*0.1/F74)*inputs!$E$80/(10^(0.84+0.62*LOG10(inputs!$E$80)))</f>
        <v>1.0587235236443238</v>
      </c>
      <c r="Q74" s="59">
        <f>(inputs!$C$7*11.2*(10*F74^0.667)*0.5/F74)*inputs!$E$80/(10^(0.84+0.62*LOG10(inputs!$E$80)))</f>
        <v>0.55946746541332748</v>
      </c>
      <c r="R74" s="59">
        <f>(60*284*((F74/1000)^0.77)*3*24*(MAX('Min rate concentrations'!$R$3:$R$368))/F74)*(inputs!$E$73*3.4/inputs!$E$75)</f>
        <v>5.604039706195091E-3</v>
      </c>
      <c r="S74" s="59">
        <f>(IF(inputs!$C$6="aerial",((0.025*0.112*inputs!$C$7/3.3)*(3*60*284*((F74/1000)^0.77))*MAX(inputs!$H$14:$H$16))/F74,((0.0083*0.112*inputs!$C$7/1)*(3*60*284*((F74/1000)^0.77))*MAX(inputs!$H$14:$H$16))/F74))*(inputs!E$75*3.4/inputs!$E$73)</f>
        <v>3.0906623282390286E-2</v>
      </c>
      <c r="T74" s="63">
        <f>IF((((inputs!$P$12/(V74/MAX(K74:S74)))^(1/inputs!$O$12))-1)/inputs!$N$12&lt;0, 0, IF((((inputs!$P$12/(V74/MAX(K74:S74)))^(1/inputs!$O$12))-1)/inputs!$N$12&gt;inputs!$H$17, inputs!$H$17, (((inputs!$P$12/(V74/MAX(K74:S74)))^(1/inputs!$O$12))-1)/inputs!$N$12))</f>
        <v>551.07176980425083</v>
      </c>
      <c r="U74" s="63">
        <f>IF((((inputs!$P$12/(X74/MAX(K74:S74)))^(1/inputs!$O$12))-1)/inputs!$N$12&lt;0, 0, IF((((inputs!$P$12/(X74/MAX(K74:S74)))^(1/inputs!$O$12))-1)/inputs!$N$12&gt;inputs!$H$17, inputs!$H$17, (((inputs!$P$12/(X74/MAX(K74:S74)))^(1/inputs!$O$12))-1)/inputs!$N$12))</f>
        <v>42.858039506022955</v>
      </c>
      <c r="V74" s="21">
        <f>inputs!$E$78*(F74/inputs!$F$78)^(inputs!$E$84-1)</f>
        <v>1.0802722080610554E-2</v>
      </c>
      <c r="W74" s="21">
        <f>inputs!$E$85*(F74/inputs!$F$85)^(inputs!$E$84-1)</f>
        <v>0.49884980532203388</v>
      </c>
      <c r="X74" s="21">
        <f>inputs!$E$80*(F74/inputs!$F$80)^(inputs!$E$84-1)</f>
        <v>1.8627935768354429</v>
      </c>
      <c r="Y74" s="21">
        <f>inputs!$E$82*(F74/inputs!$F$82)^(inputs!$E$84-1)</f>
        <v>0.85853212324852302</v>
      </c>
      <c r="Z74" s="63">
        <f t="shared" si="9"/>
        <v>3459.1432197601321</v>
      </c>
      <c r="AA74" s="63">
        <f t="shared" si="10"/>
        <v>74.908644729196482</v>
      </c>
    </row>
    <row r="75" spans="1:27" x14ac:dyDescent="0.25">
      <c r="A75" s="103" t="s">
        <v>175</v>
      </c>
      <c r="B75" s="20" t="s">
        <v>176</v>
      </c>
      <c r="C75" s="20" t="s">
        <v>73</v>
      </c>
      <c r="D75" s="104" t="s">
        <v>172</v>
      </c>
      <c r="E75" s="15">
        <v>69</v>
      </c>
      <c r="F75" s="15">
        <v>460</v>
      </c>
      <c r="G75" s="20" t="s">
        <v>177</v>
      </c>
      <c r="H75" s="20">
        <v>0.85</v>
      </c>
      <c r="I75" s="48">
        <f>MAX('Min rate concentrations'!$F$3:$F$368)</f>
        <v>67.5</v>
      </c>
      <c r="J75" s="48">
        <f>MAX('Min rate concentrations'!Y:Y)</f>
        <v>22.5</v>
      </c>
      <c r="K75" s="59">
        <f t="shared" si="11"/>
        <v>29.427428236576425</v>
      </c>
      <c r="L75" s="59">
        <f>((0.301*F75^0.751)/(1-H75))*J75/F75</f>
        <v>9.8091427455254756</v>
      </c>
      <c r="M75" s="59">
        <f>IF((((1.18*F75^0.874)/3.7-(0.301*F75^0.751)/(1-H75)*H75)*(MAX('Min rate concentrations'!$P$3:$P$368)))/F75&gt;0, (((1.18*F75^0.874)/3.7-(0.301*F75^0.751)/(1-H75)*H75)*(MAX('Min rate concentrations'!$P$3:$P$368)))/F75, 0)</f>
        <v>0</v>
      </c>
      <c r="N75" s="59">
        <f>IF((((1.18*F75^0.874)/3.7-(0.301*F75^0.751)/(1-H75)*H75)*(MAX('Min rate concentrations'!$Q$3:$Q$368)))/F75&gt;0, (((1.18*F75^0.874)/3.7-(0.301*F75^0.751)/(1-H75)*H75)*(MAX('Min rate concentrations'!$Q$3:$Q$368)))/F75, 0)</f>
        <v>0</v>
      </c>
      <c r="O75" s="59">
        <f>((MAX('Min rate concentrations'!$F$3:$F$368))*0.62*6.01*8*(10*F75^0.667)*0.079*0.1/F75)*inputs!$E$80/(10^(0.84+0.62*LOG10(inputs!$E$80)))</f>
        <v>3.1761705709329711</v>
      </c>
      <c r="P75" s="59">
        <f>((MAX('Min rate concentrations'!Y:Y))*0.62*6.01*8*(10*F75^0.667)*0.079*0.1/F75)*inputs!$E$80/(10^(0.84+0.62*LOG10(inputs!$E$80)))</f>
        <v>1.0587235236443238</v>
      </c>
      <c r="Q75" s="59">
        <f>(inputs!$C$7*11.2*(10*F75^0.667)*0.5/F75)*inputs!$E$80/(10^(0.84+0.62*LOG10(inputs!$E$80)))</f>
        <v>0.55946746541332748</v>
      </c>
      <c r="R75" s="59">
        <f>(60*284*((F75/1000)^0.77)*3*24*(MAX('Min rate concentrations'!$R$3:$R$368))/F75)*(inputs!$E$73*3.4/inputs!$E$75)</f>
        <v>5.604039706195091E-3</v>
      </c>
      <c r="S75" s="59">
        <f>(IF(inputs!$C$6="aerial",((0.025*0.112*inputs!$C$7/3.3)*(3*60*284*((F75/1000)^0.77))*MAX(inputs!$H$14:$H$16))/F75,((0.0083*0.112*inputs!$C$7/1)*(3*60*284*((F75/1000)^0.77))*MAX(inputs!$H$14:$H$16))/F75))*(inputs!E$75*3.4/inputs!$E$73)</f>
        <v>3.0906623282390286E-2</v>
      </c>
      <c r="T75" s="63">
        <f>IF((((inputs!$P$12/(V75/MAX(K75:S75)))^(1/inputs!$O$12))-1)/inputs!$N$12&lt;0, 0, IF((((inputs!$P$12/(V75/MAX(K75:S75)))^(1/inputs!$O$12))-1)/inputs!$N$12&gt;inputs!$H$17, inputs!$H$17, (((inputs!$P$12/(V75/MAX(K75:S75)))^(1/inputs!$O$12))-1)/inputs!$N$12))</f>
        <v>497.40754594121717</v>
      </c>
      <c r="U75" s="63">
        <f>IF((((inputs!$P$12/(X75/MAX(K75:S75)))^(1/inputs!$O$12))-1)/inputs!$N$12&lt;0, 0, IF((((inputs!$P$12/(X75/MAX(K75:S75)))^(1/inputs!$O$12))-1)/inputs!$N$12&gt;inputs!$H$17, inputs!$H$17, (((inputs!$P$12/(X75/MAX(K75:S75)))^(1/inputs!$O$12))-1)/inputs!$N$12))</f>
        <v>36.251602186648583</v>
      </c>
      <c r="V75" s="21">
        <f>inputs!$E$78*(F75/inputs!$F$78)^(inputs!$E$84-1)</f>
        <v>1.0802722080610554E-2</v>
      </c>
      <c r="W75" s="21">
        <f>inputs!$E$85*(F75/inputs!$F$85)^(inputs!$E$84-1)</f>
        <v>0.49884980532203388</v>
      </c>
      <c r="X75" s="21">
        <f>inputs!$E$80*(F75/inputs!$F$80)^(inputs!$E$84-1)</f>
        <v>1.8627935768354429</v>
      </c>
      <c r="Y75" s="21">
        <f>inputs!$E$82*(F75/inputs!$F$82)^(inputs!$E$84-1)</f>
        <v>0.85853212324852302</v>
      </c>
      <c r="Z75" s="63">
        <f t="shared" si="9"/>
        <v>2724.0752855611026</v>
      </c>
      <c r="AA75" s="63">
        <f t="shared" si="10"/>
        <v>58.990557724242201</v>
      </c>
    </row>
    <row r="76" spans="1:27" x14ac:dyDescent="0.25">
      <c r="A76" s="103" t="s">
        <v>175</v>
      </c>
      <c r="B76" s="20" t="s">
        <v>176</v>
      </c>
      <c r="C76" s="20" t="s">
        <v>73</v>
      </c>
      <c r="D76" s="104" t="s">
        <v>172</v>
      </c>
      <c r="E76" s="15">
        <v>69</v>
      </c>
      <c r="F76" s="15">
        <v>460</v>
      </c>
      <c r="G76" s="20" t="s">
        <v>154</v>
      </c>
      <c r="H76" s="20">
        <v>9.2999999999999999E-2</v>
      </c>
      <c r="I76" s="48">
        <f>MAX('Min rate concentrations'!$G$3:$G$368)</f>
        <v>7.5</v>
      </c>
      <c r="J76" s="48">
        <f>MAX('Min rate concentrations'!Z:Z)</f>
        <v>3.5</v>
      </c>
      <c r="K76" s="59">
        <f t="shared" si="11"/>
        <v>0.54074656811055544</v>
      </c>
      <c r="L76" s="59"/>
      <c r="M76" s="59">
        <f>IF((((1.18*F76^0.874)/3.7-(0.301*F76^0.751)/(1-H76)*H76)*(MAX('Min rate concentrations'!$P$3:$P$368)))/F76&gt;0, (((1.18*F76^0.874)/3.7-(0.301*F76^0.751)/(1-H76)*H76)*(MAX('Min rate concentrations'!$P$3:$P$368)))/F76, 0)</f>
        <v>2.040557563627772E-2</v>
      </c>
      <c r="N76" s="59">
        <f>IF((((1.18*F76^0.874)/3.7-(0.301*F76^0.751)/(1-H76)*H76)*(MAX('Min rate concentrations'!$Q$3:$Q$368)))/F76&gt;0, (((1.18*F76^0.874)/3.7-(0.301*F76^0.751)/(1-H76)*H76)*(MAX('Min rate concentrations'!$Q$3:$Q$368)))/F76, 0)</f>
        <v>7.7705528448910502E-2</v>
      </c>
      <c r="O76" s="59">
        <f>((MAX('Min rate concentrations'!$F$3:$F$368))*0.62*6.01*8*(10*F76^0.667)*0.079*0.1/F76)*inputs!$E$80/(10^(0.84+0.62*LOG10(inputs!$E$80)))</f>
        <v>3.1761705709329711</v>
      </c>
      <c r="P76" s="59">
        <f>((MAX('Min rate concentrations'!Y:Y))*0.62*6.01*8*(10*F76^0.667)*0.079*0.1/F76)*inputs!$E$80/(10^(0.84+0.62*LOG10(inputs!$E$80)))</f>
        <v>1.0587235236443238</v>
      </c>
      <c r="Q76" s="59">
        <f>(inputs!$C$7*11.2*(10*F76^0.667)*0.5/F76)*inputs!$E$80/(10^(0.84+0.62*LOG10(inputs!$E$80)))</f>
        <v>0.55946746541332748</v>
      </c>
      <c r="R76" s="59">
        <f>(60*284*((F76/1000)^0.77)*3*24*(MAX('Min rate concentrations'!$R$3:$R$368))/F76)*(inputs!$E$73*3.4/inputs!$E$75)</f>
        <v>5.604039706195091E-3</v>
      </c>
      <c r="S76" s="59">
        <f>(IF(inputs!$C$6="aerial",((0.025*0.112*inputs!$C$7/3.3)*(3*60*284*((F76/1000)^0.77))*MAX(inputs!$H$14:$H$16))/F76,((0.0083*0.112*inputs!$C$7/1)*(3*60*284*((F76/1000)^0.77))*MAX(inputs!$H$14:$H$16))/F76))*(inputs!E$75*3.4/inputs!$E$73)</f>
        <v>3.0906623282390286E-2</v>
      </c>
      <c r="T76" s="63">
        <f>IF((((inputs!$P$12/(V76/MAX(K76:S76)))^(1/inputs!$O$12))-1)/inputs!$N$12&lt;0, 0, IF((((inputs!$P$12/(V76/MAX(K76:S76)))^(1/inputs!$O$12))-1)/inputs!$N$12&gt;inputs!$H$17, inputs!$H$17, (((inputs!$P$12/(V76/MAX(K76:S76)))^(1/inputs!$O$12))-1)/inputs!$N$12))</f>
        <v>184.15220428806293</v>
      </c>
      <c r="U76" s="63">
        <f>IF((((inputs!$P$12/(X76/MAX(K76:S76)))^(1/inputs!$O$12))-1)/inputs!$N$12&lt;0, 0, IF((((inputs!$P$12/(X76/MAX(K76:S76)))^(1/inputs!$O$12))-1)/inputs!$N$12&gt;inputs!$H$17, inputs!$H$17, (((inputs!$P$12/(X76/MAX(K76:S76)))^(1/inputs!$O$12))-1)/inputs!$N$12))</f>
        <v>0</v>
      </c>
      <c r="V76" s="21">
        <f>inputs!$E$78*(F76/inputs!$F$78)^(inputs!$E$84-1)</f>
        <v>1.0802722080610554E-2</v>
      </c>
      <c r="W76" s="21">
        <f>inputs!$E$85*(F76/inputs!$F$85)^(inputs!$E$84-1)</f>
        <v>0.49884980532203388</v>
      </c>
      <c r="X76" s="21">
        <f>inputs!$E$80*(F76/inputs!$F$80)^(inputs!$E$84-1)</f>
        <v>1.8627935768354429</v>
      </c>
      <c r="Y76" s="21">
        <f>inputs!$E$82*(F76/inputs!$F$82)^(inputs!$E$84-1)</f>
        <v>0.85853212324852302</v>
      </c>
      <c r="Z76" s="63">
        <f t="shared" si="9"/>
        <v>294.01576262280912</v>
      </c>
      <c r="AA76" s="63">
        <f t="shared" si="10"/>
        <v>6.3669876925833124</v>
      </c>
    </row>
    <row r="77" spans="1:27" x14ac:dyDescent="0.25">
      <c r="A77" s="103" t="s">
        <v>175</v>
      </c>
      <c r="B77" s="20" t="s">
        <v>176</v>
      </c>
      <c r="C77" s="20" t="s">
        <v>73</v>
      </c>
      <c r="D77" s="104" t="s">
        <v>172</v>
      </c>
      <c r="E77" s="15">
        <v>69</v>
      </c>
      <c r="F77" s="15">
        <v>460</v>
      </c>
      <c r="G77" s="20" t="s">
        <v>146</v>
      </c>
      <c r="H77" s="20">
        <v>0.84</v>
      </c>
      <c r="I77" s="48">
        <f>MAX('Min rate concentrations'!$I$3:$I$368)</f>
        <v>9.4775690500787988</v>
      </c>
      <c r="J77" s="48" t="s">
        <v>13</v>
      </c>
      <c r="K77" s="59">
        <f t="shared" si="11"/>
        <v>3.8736178205332163</v>
      </c>
      <c r="L77" s="48" t="s">
        <v>13</v>
      </c>
      <c r="M77" s="59">
        <f>IF((((1.18*F77^0.874)/3.7-(0.301*F77^0.751)/(1-H77)*H77)*(MAX('Min rate concentrations'!$P$3:$P$368)))/F77&gt;0, (((1.18*F77^0.874)/3.7-(0.301*F77^0.751)/(1-H77)*H77)*(MAX('Min rate concentrations'!$P$3:$P$368)))/F77, 0)</f>
        <v>0</v>
      </c>
      <c r="N77" s="59">
        <f>IF((((1.18*F77^0.874)/3.7-(0.301*F77^0.751)/(1-H77)*H77)*(MAX('Min rate concentrations'!$Q$3:$Q$368)))/F77&gt;0, (((1.18*F77^0.874)/3.7-(0.301*F77^0.751)/(1-H77)*H77)*(MAX('Min rate concentrations'!$Q$3:$Q$368)))/F77, 0)</f>
        <v>0</v>
      </c>
      <c r="O77" s="59">
        <f>((MAX('Min rate concentrations'!$F$3:$F$368))*0.62*6.01*8*(10*F77^0.667)*0.079*0.1/F77)*inputs!$E$80/(10^(0.84+0.62*LOG10(inputs!$E$80)))</f>
        <v>3.1761705709329711</v>
      </c>
      <c r="P77" s="59">
        <f>((MAX('Min rate concentrations'!Y:Y))*0.62*6.01*8*(10*F77^0.667)*0.079*0.1/F77)*inputs!$E$80/(10^(0.84+0.62*LOG10(inputs!$E$80)))</f>
        <v>1.0587235236443238</v>
      </c>
      <c r="Q77" s="59">
        <f>(inputs!$C$7*11.2*(10*F77^0.667)*0.5/F77)*inputs!$E$80/(10^(0.84+0.62*LOG10(inputs!$E$80)))</f>
        <v>0.55946746541332748</v>
      </c>
      <c r="R77" s="59">
        <f>(60*284*((F77/1000)^0.77)*3*24*(MAX('Min rate concentrations'!$R$3:$R$368))/F77)*(inputs!$E$73*3.4/inputs!$E$75)</f>
        <v>5.604039706195091E-3</v>
      </c>
      <c r="S77" s="59">
        <f>(IF(inputs!$C$6="aerial",((0.025*0.112*inputs!$C$7/3.3)*(3*60*284*((F77/1000)^0.77))*MAX(inputs!$H$14:$H$16))/F77,((0.0083*0.112*inputs!$C$7/1)*(3*60*284*((F77/1000)^0.77))*MAX(inputs!$H$14:$H$16))/F77))*(inputs!E$75*3.4/inputs!$E$73)</f>
        <v>3.0906623282390286E-2</v>
      </c>
      <c r="T77" s="63">
        <f>IF((((inputs!$P$12/(V77/MAX(K77:S77)))^(1/inputs!$O$12))-1)/inputs!$N$12&lt;0, 0, IF((((inputs!$P$12/(V77/MAX(K77:S77)))^(1/inputs!$O$12))-1)/inputs!$N$12&gt;inputs!$H$17, inputs!$H$17, (((inputs!$P$12/(V77/MAX(K77:S77)))^(1/inputs!$O$12))-1)/inputs!$N$12))</f>
        <v>202.03357283696681</v>
      </c>
      <c r="U77" s="63">
        <f>IF((((inputs!$P$12/(X77/MAX(K77:S77)))^(1/inputs!$O$12))-1)/inputs!$N$12&lt;0, 0, IF((((inputs!$P$12/(X77/MAX(K77:S77)))^(1/inputs!$O$12))-1)/inputs!$N$12&gt;inputs!$H$17, inputs!$H$17, (((inputs!$P$12/(X77/MAX(K77:S77)))^(1/inputs!$O$12))-1)/inputs!$N$12))</f>
        <v>0</v>
      </c>
      <c r="V77" s="21">
        <f>inputs!$E$78*(F77/inputs!$F$78)^(inputs!$E$84-1)</f>
        <v>1.0802722080610554E-2</v>
      </c>
      <c r="W77" s="21">
        <f>inputs!$E$85*(F77/inputs!$F$85)^(inputs!$E$84-1)</f>
        <v>0.49884980532203388</v>
      </c>
      <c r="X77" s="21">
        <f>inputs!$E$80*(F77/inputs!$F$80)^(inputs!$E$84-1)</f>
        <v>1.8627935768354429</v>
      </c>
      <c r="Y77" s="21">
        <f>inputs!$E$82*(F77/inputs!$F$82)^(inputs!$E$84-1)</f>
        <v>0.85853212324852302</v>
      </c>
      <c r="Z77" s="63">
        <f t="shared" si="9"/>
        <v>358.57793911831203</v>
      </c>
      <c r="AA77" s="63">
        <f t="shared" si="10"/>
        <v>7.7650983907522857</v>
      </c>
    </row>
    <row r="78" spans="1:27" x14ac:dyDescent="0.25">
      <c r="A78" s="103" t="s">
        <v>187</v>
      </c>
      <c r="B78" s="20" t="s">
        <v>188</v>
      </c>
      <c r="C78" s="20" t="s">
        <v>73</v>
      </c>
      <c r="D78" s="104" t="s">
        <v>172</v>
      </c>
      <c r="E78" s="15">
        <v>73</v>
      </c>
      <c r="F78" s="15">
        <v>1500</v>
      </c>
      <c r="G78" s="20" t="s">
        <v>152</v>
      </c>
      <c r="H78" s="20">
        <v>0.77</v>
      </c>
      <c r="I78" s="48">
        <f>MAX('Min rate concentrations'!$G$3:$G$368)</f>
        <v>7.5</v>
      </c>
      <c r="J78" s="48">
        <f>MAX('Min rate concentrations'!Z:Z)</f>
        <v>3.5</v>
      </c>
      <c r="K78" s="59">
        <f t="shared" si="11"/>
        <v>1.5887413516008464</v>
      </c>
      <c r="L78" s="59">
        <f>((0.301*F78^0.751)/(1-H78))*J78/F78</f>
        <v>0.74141263074706165</v>
      </c>
      <c r="M78" s="59">
        <f>IF((((1.18*F78^0.874)/3.7-(0.301*F78^0.751)/(1-H78)*H78)*(MAX('Min rate concentrations'!$P$3:$P$368)))/F78&gt;0, (((1.18*F78^0.874)/3.7-(0.301*F78^0.751)/(1-H78)*H78)*(MAX('Min rate concentrations'!$P$3:$P$368)))/F78, 0)</f>
        <v>0</v>
      </c>
      <c r="N78" s="59">
        <f>IF((((1.18*F78^0.874)/3.7-(0.301*F78^0.751)/(1-H78)*H78)*(MAX('Min rate concentrations'!$Q$3:$Q$368)))/F78&gt;0, (((1.18*F78^0.874)/3.7-(0.301*F78^0.751)/(1-H78)*H78)*(MAX('Min rate concentrations'!$Q$3:$Q$368)))/F78, 0)</f>
        <v>0</v>
      </c>
      <c r="O78" s="59">
        <f>((MAX('Min rate concentrations'!$F$3:$F$368))*0.62*6.01*8*(10*F78^0.667)*0.079*0.1/F78)*inputs!$E$80/(10^(0.84+0.62*LOG10(inputs!$E$80)))</f>
        <v>2.1427119225049047</v>
      </c>
      <c r="P78" s="59">
        <f>((MAX('Min rate concentrations'!Y:Y))*0.62*6.01*8*(10*F78^0.667)*0.079*0.1/F78)*inputs!$E$80/(10^(0.84+0.62*LOG10(inputs!$E$80)))</f>
        <v>0.71423730750163483</v>
      </c>
      <c r="Q78" s="59">
        <f>(inputs!$C$7*11.2*(10*F78^0.667)*0.5/F78)*inputs!$E$80/(10^(0.84+0.62*LOG10(inputs!$E$80)))</f>
        <v>0.37742859888113856</v>
      </c>
      <c r="R78" s="59">
        <f>(60*284*((F78/1000)^0.77)*3*24*(MAX('Min rate concentrations'!$R$3:$R$368))/F78)*(inputs!$E$73*3.4/inputs!$E$75)</f>
        <v>4.2700652891856121E-3</v>
      </c>
      <c r="S78" s="59">
        <f>(IF(inputs!$C$6="aerial",((0.025*0.112*inputs!$C$7/3.3)*(3*60*284*((F78/1000)^0.77))*MAX(inputs!$H$14:$H$16))/F78,((0.0083*0.112*inputs!$C$7/1)*(3*60*284*((F78/1000)^0.77))*MAX(inputs!$H$14:$H$16))/F78))*(inputs!E$75*3.4/inputs!$E$73)</f>
        <v>2.3549672415450279E-2</v>
      </c>
      <c r="T78" s="63">
        <f>IF((((inputs!$P$12/(V78/MAX(K78:S78)))^(1/inputs!$O$12))-1)/inputs!$N$12&lt;0, 0, IF((((inputs!$P$12/(V78/MAX(K78:S78)))^(1/inputs!$O$12))-1)/inputs!$N$12&gt;inputs!$H$17, inputs!$H$17, (((inputs!$P$12/(V78/MAX(K78:S78)))^(1/inputs!$O$12))-1)/inputs!$N$12))</f>
        <v>187.96854344369868</v>
      </c>
      <c r="U78" s="63">
        <f>IF((((inputs!$P$12/(X78/MAX(K78:S78)))^(1/inputs!$O$12))-1)/inputs!$N$12&lt;0, 0, IF((((inputs!$P$12/(X78/MAX(K78:S78)))^(1/inputs!$O$12))-1)/inputs!$N$12&gt;inputs!$H$17, inputs!$H$17, (((inputs!$P$12/(X78/MAX(K78:S78)))^(1/inputs!$O$12))-1)/inputs!$N$12))</f>
        <v>0</v>
      </c>
      <c r="V78" s="21">
        <f>inputs!$E$78*(F78/inputs!$F$78)^(inputs!$E$84-1)</f>
        <v>6.9758933946425274E-3</v>
      </c>
      <c r="W78" s="21">
        <f>inputs!$E$85*(F78/inputs!$F$85)^(inputs!$E$84-1)</f>
        <v>0.32213390624115795</v>
      </c>
      <c r="X78" s="21">
        <f>inputs!$E$80*(F78/inputs!$F$80)^(inputs!$E$84-1)</f>
        <v>1.2029050929258429</v>
      </c>
      <c r="Y78" s="21">
        <f>inputs!$E$82*(F78/inputs!$F$82)^(inputs!$E$84-1)</f>
        <v>0.55439994873211673</v>
      </c>
      <c r="Z78" s="63">
        <f t="shared" si="9"/>
        <v>307.15949933387793</v>
      </c>
      <c r="AA78" s="63">
        <f t="shared" si="10"/>
        <v>6.6516187243599685</v>
      </c>
    </row>
    <row r="79" spans="1:27" x14ac:dyDescent="0.25">
      <c r="A79" s="103" t="s">
        <v>187</v>
      </c>
      <c r="B79" s="20" t="s">
        <v>188</v>
      </c>
      <c r="C79" s="20" t="s">
        <v>73</v>
      </c>
      <c r="D79" s="104" t="s">
        <v>172</v>
      </c>
      <c r="E79" s="15">
        <v>73</v>
      </c>
      <c r="F79" s="15">
        <v>1500</v>
      </c>
      <c r="G79" s="20" t="s">
        <v>169</v>
      </c>
      <c r="H79" s="20">
        <v>0.79</v>
      </c>
      <c r="I79" s="48">
        <f>MAX('Min rate concentrations'!$D$3:$D$368)</f>
        <v>120</v>
      </c>
      <c r="J79" s="48">
        <f>MAX('Min rate concentrations'!W:W)</f>
        <v>42.5</v>
      </c>
      <c r="K79" s="59">
        <f t="shared" si="11"/>
        <v>27.840800828052927</v>
      </c>
      <c r="L79" s="59">
        <f>((0.301*F79^0.751)/(1-H79))*J79/F79</f>
        <v>9.8602836266020795</v>
      </c>
      <c r="M79" s="59">
        <f>IF((((1.18*F79^0.874)/3.7-(0.301*F79^0.751)/(1-H79)*H79)*(MAX('Min rate concentrations'!$P$3:$P$368)))/F79&gt;0, (((1.18*F79^0.874)/3.7-(0.301*F79^0.751)/(1-H79)*H79)*(MAX('Min rate concentrations'!$P$3:$P$368)))/F79, 0)</f>
        <v>0</v>
      </c>
      <c r="N79" s="59">
        <f>IF((((1.18*F79^0.874)/3.7-(0.301*F79^0.751)/(1-H79)*H79)*(MAX('Min rate concentrations'!$Q$3:$Q$368)))/F79&gt;0, (((1.18*F79^0.874)/3.7-(0.301*F79^0.751)/(1-H79)*H79)*(MAX('Min rate concentrations'!$Q$3:$Q$368)))/F79, 0)</f>
        <v>0</v>
      </c>
      <c r="O79" s="59">
        <f>((MAX('Min rate concentrations'!$F$3:$F$368))*0.62*6.01*8*(10*F79^0.667)*0.079*0.1/F79)*inputs!$E$80/(10^(0.84+0.62*LOG10(inputs!$E$80)))</f>
        <v>2.1427119225049047</v>
      </c>
      <c r="P79" s="59">
        <f>((MAX('Min rate concentrations'!Y:Y))*0.62*6.01*8*(10*F79^0.667)*0.079*0.1/F79)*inputs!$E$80/(10^(0.84+0.62*LOG10(inputs!$E$80)))</f>
        <v>0.71423730750163483</v>
      </c>
      <c r="Q79" s="59">
        <f>(inputs!$C$7*11.2*(10*F79^0.667)*0.5/F79)*inputs!$E$80/(10^(0.84+0.62*LOG10(inputs!$E$80)))</f>
        <v>0.37742859888113856</v>
      </c>
      <c r="R79" s="59">
        <f>(60*284*((F79/1000)^0.77)*3*24*(MAX('Min rate concentrations'!$R$3:$R$368))/F79)*(inputs!$E$73*3.4/inputs!$E$75)</f>
        <v>4.2700652891856121E-3</v>
      </c>
      <c r="S79" s="59">
        <f>(IF(inputs!$C$6="aerial",((0.025*0.112*inputs!$C$7/3.3)*(3*60*284*((F79/1000)^0.77))*MAX(inputs!$H$14:$H$16))/F79,((0.0083*0.112*inputs!$C$7/1)*(3*60*284*((F79/1000)^0.77))*MAX(inputs!$H$14:$H$16))/F79))*(inputs!E$75*3.4/inputs!$E$73)</f>
        <v>2.3549672415450279E-2</v>
      </c>
      <c r="T79" s="63">
        <f>IF((((inputs!$P$12/(V79/MAX(K79:S79)))^(1/inputs!$O$12))-1)/inputs!$N$12&lt;0, 0, IF((((inputs!$P$12/(V79/MAX(K79:S79)))^(1/inputs!$O$12))-1)/inputs!$N$12&gt;inputs!$H$17, inputs!$H$17, (((inputs!$P$12/(V79/MAX(K79:S79)))^(1/inputs!$O$12))-1)/inputs!$N$12))</f>
        <v>585.78584215123942</v>
      </c>
      <c r="U79" s="63">
        <f>IF((((inputs!$P$12/(X79/MAX(K79:S79)))^(1/inputs!$O$12))-1)/inputs!$N$12&lt;0, 0, IF((((inputs!$P$12/(X79/MAX(K79:S79)))^(1/inputs!$O$12))-1)/inputs!$N$12&gt;inputs!$H$17, inputs!$H$17, (((inputs!$P$12/(X79/MAX(K79:S79)))^(1/inputs!$O$12))-1)/inputs!$N$12))</f>
        <v>47.131582036814798</v>
      </c>
      <c r="V79" s="21">
        <f>inputs!$E$78*(F79/inputs!$F$78)^(inputs!$E$84-1)</f>
        <v>6.9758933946425274E-3</v>
      </c>
      <c r="W79" s="21">
        <f>inputs!$E$85*(F79/inputs!$F$85)^(inputs!$E$84-1)</f>
        <v>0.32213390624115795</v>
      </c>
      <c r="X79" s="21">
        <f>inputs!$E$80*(F79/inputs!$F$80)^(inputs!$E$84-1)</f>
        <v>1.2029050929258429</v>
      </c>
      <c r="Y79" s="21">
        <f>inputs!$E$82*(F79/inputs!$F$82)^(inputs!$E$84-1)</f>
        <v>0.55439994873211673</v>
      </c>
      <c r="Z79" s="63">
        <f t="shared" si="9"/>
        <v>3991.0014750848413</v>
      </c>
      <c r="AA79" s="63">
        <f t="shared" si="10"/>
        <v>86.426173366583058</v>
      </c>
    </row>
    <row r="80" spans="1:27" x14ac:dyDescent="0.25">
      <c r="A80" s="103" t="s">
        <v>187</v>
      </c>
      <c r="B80" s="20" t="s">
        <v>188</v>
      </c>
      <c r="C80" s="20" t="s">
        <v>73</v>
      </c>
      <c r="D80" s="104" t="s">
        <v>172</v>
      </c>
      <c r="E80" s="15">
        <v>73</v>
      </c>
      <c r="F80" s="15">
        <v>1500</v>
      </c>
      <c r="G80" s="20" t="s">
        <v>158</v>
      </c>
      <c r="H80" s="20">
        <v>0.85</v>
      </c>
      <c r="I80" s="48">
        <f>MAX('Min rate concentrations'!$F$3:$F$368)</f>
        <v>67.5</v>
      </c>
      <c r="J80" s="48">
        <f>MAX('Min rate concentrations'!Y:Y)</f>
        <v>22.5</v>
      </c>
      <c r="K80" s="59">
        <f t="shared" si="11"/>
        <v>21.924630652091675</v>
      </c>
      <c r="L80" s="59">
        <f>((0.301*F80^0.751)/(1-H80))*J80/F80</f>
        <v>7.3082102173638912</v>
      </c>
      <c r="M80" s="59">
        <f>IF((((1.18*F80^0.874)/3.7-(0.301*F80^0.751)/(1-H80)*H80)*(MAX('Min rate concentrations'!$P$3:$P$368)))/F80&gt;0, (((1.18*F80^0.874)/3.7-(0.301*F80^0.751)/(1-H80)*H80)*(MAX('Min rate concentrations'!$P$3:$P$368)))/F80, 0)</f>
        <v>0</v>
      </c>
      <c r="N80" s="59">
        <f>IF((((1.18*F80^0.874)/3.7-(0.301*F80^0.751)/(1-H80)*H80)*(MAX('Min rate concentrations'!$Q$3:$Q$368)))/F80&gt;0, (((1.18*F80^0.874)/3.7-(0.301*F80^0.751)/(1-H80)*H80)*(MAX('Min rate concentrations'!$Q$3:$Q$368)))/F80, 0)</f>
        <v>0</v>
      </c>
      <c r="O80" s="59">
        <f>((MAX('Min rate concentrations'!$F$3:$F$368))*0.62*6.01*8*(10*F80^0.667)*0.079*0.1/F80)*inputs!$E$80/(10^(0.84+0.62*LOG10(inputs!$E$80)))</f>
        <v>2.1427119225049047</v>
      </c>
      <c r="P80" s="59">
        <f>((MAX('Min rate concentrations'!Y:Y))*0.62*6.01*8*(10*F80^0.667)*0.079*0.1/F80)*inputs!$E$80/(10^(0.84+0.62*LOG10(inputs!$E$80)))</f>
        <v>0.71423730750163483</v>
      </c>
      <c r="Q80" s="59">
        <f>(inputs!$C$7*11.2*(10*F80^0.667)*0.5/F80)*inputs!$E$80/(10^(0.84+0.62*LOG10(inputs!$E$80)))</f>
        <v>0.37742859888113856</v>
      </c>
      <c r="R80" s="59">
        <f>(60*284*((F80/1000)^0.77)*3*24*(MAX('Min rate concentrations'!$R$3:$R$368))/F80)*(inputs!$E$73*3.4/inputs!$E$75)</f>
        <v>4.2700652891856121E-3</v>
      </c>
      <c r="S80" s="59">
        <f>(IF(inputs!$C$6="aerial",((0.025*0.112*inputs!$C$7/3.3)*(3*60*284*((F80/1000)^0.77))*MAX(inputs!$H$14:$H$16))/F80,((0.0083*0.112*inputs!$C$7/1)*(3*60*284*((F80/1000)^0.77))*MAX(inputs!$H$14:$H$16))/F80))*(inputs!E$75*3.4/inputs!$E$73)</f>
        <v>2.3549672415450279E-2</v>
      </c>
      <c r="T80" s="63">
        <f>IF((((inputs!$P$12/(V80/MAX(K80:S80)))^(1/inputs!$O$12))-1)/inputs!$N$12&lt;0, 0, IF((((inputs!$P$12/(V80/MAX(K80:S80)))^(1/inputs!$O$12))-1)/inputs!$N$12&gt;inputs!$H$17, inputs!$H$17, (((inputs!$P$12/(V80/MAX(K80:S80)))^(1/inputs!$O$12))-1)/inputs!$N$12))</f>
        <v>528.90728677928121</v>
      </c>
      <c r="U80" s="63">
        <f>IF((((inputs!$P$12/(X80/MAX(K80:S80)))^(1/inputs!$O$12))-1)/inputs!$N$12&lt;0, 0, IF((((inputs!$P$12/(X80/MAX(K80:S80)))^(1/inputs!$O$12))-1)/inputs!$N$12&gt;inputs!$H$17, inputs!$H$17, (((inputs!$P$12/(X80/MAX(K80:S80)))^(1/inputs!$O$12))-1)/inputs!$N$12))</f>
        <v>40.129438265193954</v>
      </c>
      <c r="V80" s="21">
        <f>inputs!$E$78*(F80/inputs!$F$78)^(inputs!$E$84-1)</f>
        <v>6.9758933946425274E-3</v>
      </c>
      <c r="W80" s="21">
        <f>inputs!$E$85*(F80/inputs!$F$85)^(inputs!$E$84-1)</f>
        <v>0.32213390624115795</v>
      </c>
      <c r="X80" s="21">
        <f>inputs!$E$80*(F80/inputs!$F$80)^(inputs!$E$84-1)</f>
        <v>1.2029050929258429</v>
      </c>
      <c r="Y80" s="21">
        <f>inputs!$E$82*(F80/inputs!$F$82)^(inputs!$E$84-1)</f>
        <v>0.55439994873211673</v>
      </c>
      <c r="Z80" s="63">
        <f t="shared" si="9"/>
        <v>3142.9136616293117</v>
      </c>
      <c r="AA80" s="63">
        <f t="shared" si="10"/>
        <v>68.060611526184132</v>
      </c>
    </row>
    <row r="81" spans="1:27" x14ac:dyDescent="0.25">
      <c r="A81" s="103" t="s">
        <v>187</v>
      </c>
      <c r="B81" s="20" t="s">
        <v>188</v>
      </c>
      <c r="C81" s="20" t="s">
        <v>73</v>
      </c>
      <c r="D81" s="104" t="s">
        <v>172</v>
      </c>
      <c r="E81" s="15">
        <v>73</v>
      </c>
      <c r="F81" s="15">
        <v>1500</v>
      </c>
      <c r="G81" s="20" t="s">
        <v>154</v>
      </c>
      <c r="H81" s="20">
        <v>9.2999999999999999E-2</v>
      </c>
      <c r="I81" s="48">
        <f>MAX('Min rate concentrations'!$G$3:$G$368)</f>
        <v>7.5</v>
      </c>
      <c r="J81" s="48">
        <f>MAX('Min rate concentrations'!Z:Z)</f>
        <v>3.5</v>
      </c>
      <c r="K81" s="59">
        <f t="shared" si="11"/>
        <v>0.4028781817730922</v>
      </c>
      <c r="L81" s="59"/>
      <c r="M81" s="59">
        <f>IF((((1.18*F81^0.874)/3.7-(0.301*F81^0.751)/(1-H81)*H81)*(MAX('Min rate concentrations'!$P$3:$P$368)))/F81&gt;0, (((1.18*F81^0.874)/3.7-(0.301*F81^0.751)/(1-H81)*H81)*(MAX('Min rate concentrations'!$P$3:$P$368)))/F81, 0)</f>
        <v>1.7695492349568753E-2</v>
      </c>
      <c r="N81" s="59">
        <f>IF((((1.18*F81^0.874)/3.7-(0.301*F81^0.751)/(1-H81)*H81)*(MAX('Min rate concentrations'!$Q$3:$Q$368)))/F81&gt;0, (((1.18*F81^0.874)/3.7-(0.301*F81^0.751)/(1-H81)*H81)*(MAX('Min rate concentrations'!$Q$3:$Q$368)))/F81, 0)</f>
        <v>6.7385385675780909E-2</v>
      </c>
      <c r="O81" s="59">
        <f>((MAX('Min rate concentrations'!$F$3:$F$368))*0.62*6.01*8*(10*F81^0.667)*0.079*0.1/F81)*inputs!$E$80/(10^(0.84+0.62*LOG10(inputs!$E$80)))</f>
        <v>2.1427119225049047</v>
      </c>
      <c r="P81" s="59">
        <f>((MAX('Min rate concentrations'!Y:Y))*0.62*6.01*8*(10*F81^0.667)*0.079*0.1/F81)*inputs!$E$80/(10^(0.84+0.62*LOG10(inputs!$E$80)))</f>
        <v>0.71423730750163483</v>
      </c>
      <c r="Q81" s="59">
        <f>(inputs!$C$7*11.2*(10*F81^0.667)*0.5/F81)*inputs!$E$80/(10^(0.84+0.62*LOG10(inputs!$E$80)))</f>
        <v>0.37742859888113856</v>
      </c>
      <c r="R81" s="59">
        <f>(60*284*((F81/1000)^0.77)*3*24*(MAX('Min rate concentrations'!$R$3:$R$368))/F81)*(inputs!$E$73*3.4/inputs!$E$75)</f>
        <v>4.2700652891856121E-3</v>
      </c>
      <c r="S81" s="59">
        <f>(IF(inputs!$C$6="aerial",((0.025*0.112*inputs!$C$7/3.3)*(3*60*284*((F81/1000)^0.77))*MAX(inputs!$H$14:$H$16))/F81,((0.0083*0.112*inputs!$C$7/1)*(3*60*284*((F81/1000)^0.77))*MAX(inputs!$H$14:$H$16))/F81))*(inputs!E$75*3.4/inputs!$E$73)</f>
        <v>2.3549672415450279E-2</v>
      </c>
      <c r="T81" s="63">
        <f>IF((((inputs!$P$12/(V81/MAX(K81:S81)))^(1/inputs!$O$12))-1)/inputs!$N$12&lt;0, 0, IF((((inputs!$P$12/(V81/MAX(K81:S81)))^(1/inputs!$O$12))-1)/inputs!$N$12&gt;inputs!$H$17, inputs!$H$17, (((inputs!$P$12/(V81/MAX(K81:S81)))^(1/inputs!$O$12))-1)/inputs!$N$12))</f>
        <v>187.96854344369868</v>
      </c>
      <c r="U81" s="63">
        <f>IF((((inputs!$P$12/(X81/MAX(K81:S81)))^(1/inputs!$O$12))-1)/inputs!$N$12&lt;0, 0, IF((((inputs!$P$12/(X81/MAX(K81:S81)))^(1/inputs!$O$12))-1)/inputs!$N$12&gt;inputs!$H$17, inputs!$H$17, (((inputs!$P$12/(X81/MAX(K81:S81)))^(1/inputs!$O$12))-1)/inputs!$N$12))</f>
        <v>0</v>
      </c>
      <c r="V81" s="21">
        <f>inputs!$E$78*(F81/inputs!$F$78)^(inputs!$E$84-1)</f>
        <v>6.9758933946425274E-3</v>
      </c>
      <c r="W81" s="21">
        <f>inputs!$E$85*(F81/inputs!$F$85)^(inputs!$E$84-1)</f>
        <v>0.32213390624115795</v>
      </c>
      <c r="X81" s="21">
        <f>inputs!$E$80*(F81/inputs!$F$80)^(inputs!$E$84-1)</f>
        <v>1.2029050929258429</v>
      </c>
      <c r="Y81" s="21">
        <f>inputs!$E$82*(F81/inputs!$F$82)^(inputs!$E$84-1)</f>
        <v>0.55439994873211673</v>
      </c>
      <c r="Z81" s="63">
        <f t="shared" si="9"/>
        <v>307.15949933387793</v>
      </c>
      <c r="AA81" s="63">
        <f t="shared" si="10"/>
        <v>6.6516187243599685</v>
      </c>
    </row>
    <row r="82" spans="1:27" x14ac:dyDescent="0.25">
      <c r="A82" s="103" t="s">
        <v>170</v>
      </c>
      <c r="B82" s="20" t="s">
        <v>171</v>
      </c>
      <c r="C82" s="20" t="s">
        <v>73</v>
      </c>
      <c r="D82" s="104" t="s">
        <v>172</v>
      </c>
      <c r="E82" s="15">
        <v>70</v>
      </c>
      <c r="F82" s="15">
        <v>420</v>
      </c>
      <c r="G82" s="20" t="s">
        <v>173</v>
      </c>
      <c r="H82" s="20">
        <v>0.8</v>
      </c>
      <c r="I82" s="48">
        <f>inputs!$C$65*inputs!$C$60/1000</f>
        <v>2.8</v>
      </c>
      <c r="J82" s="48">
        <f>inputs!$C$65*inputs!$C$59/1000</f>
        <v>2.8</v>
      </c>
      <c r="K82" s="59">
        <f>(((0.301*F82^0.751)/(1-H82)))*I82/F82</f>
        <v>0.93649498915020435</v>
      </c>
      <c r="L82" s="59"/>
      <c r="M82" s="59">
        <f>IF((((1.18*F82^0.874)/3.7-(0.301*F82^0.751)/(1-H82)*H82)*(MAX('Min rate concentrations'!$P$3:$P$368)))/F82&gt;0, (((1.18*F82^0.874)/3.7-(0.301*F82^0.751)/(1-H82)*H82)*(MAX('Min rate concentrations'!$P$3:$P$368)))/F82, 0)</f>
        <v>0</v>
      </c>
      <c r="N82" s="59">
        <f>IF((((1.18*F82^0.874)/3.7-(0.301*F82^0.751)/(1-H82)*H82)*(MAX('Min rate concentrations'!$Q$3:$Q$368)))/F82&gt;0, (((1.18*F82^0.874)/3.7-(0.301*F82^0.751)/(1-H82)*H82)*(MAX('Min rate concentrations'!$Q$3:$Q$368)))/F82, 0)</f>
        <v>0</v>
      </c>
      <c r="O82" s="59">
        <f>((MAX('Min rate concentrations'!$F$3:$F$368))*0.62*6.01*8*(10*F82^0.667)*0.079*0.1/F82)*inputs!$E$80/(10^(0.84+0.62*LOG10(inputs!$E$80)))</f>
        <v>3.2738604367729089</v>
      </c>
      <c r="P82" s="59">
        <f>((MAX('Min rate concentrations'!Y:Y))*0.62*6.01*8*(10*F82^0.667)*0.079*0.1/F82)*inputs!$E$80/(10^(0.84+0.62*LOG10(inputs!$E$80)))</f>
        <v>1.091286812257636</v>
      </c>
      <c r="Q82" s="59">
        <f>(inputs!$C$7*11.2*(10*F82^0.667)*0.5/F82)*inputs!$E$80/(10^(0.84+0.62*LOG10(inputs!$E$80)))</f>
        <v>0.57667507451915179</v>
      </c>
      <c r="R82" s="59">
        <f>(60*284*((F82/1000)^0.77)*3*24*(MAX('Min rate concentrations'!$R$3:$R$368))/F82)*(inputs!$E$73*3.4/inputs!$E$75)</f>
        <v>5.7225311872717653E-3</v>
      </c>
      <c r="S82" s="59">
        <f>(IF(inputs!$C$6="aerial",((0.025*0.112*inputs!$C$7/3.3)*(3*60*284*((F82/1000)^0.77))*MAX(inputs!$H$14:$H$16))/F82,((0.0083*0.112*inputs!$C$7/1)*(3*60*284*((F82/1000)^0.77))*MAX(inputs!$H$14:$H$16))/F82))*(inputs!E$75*3.4/inputs!$E$73)</f>
        <v>3.1560111080444396E-2</v>
      </c>
      <c r="T82" s="63">
        <f>IF((((inputs!$P$12/(V82/MAX(K82:S82)))^(1/inputs!$O$12))-1)/inputs!$N$12&lt;0, 0, IF((((inputs!$P$12/(V82/MAX(K82:S82)))^(1/inputs!$O$12))-1)/inputs!$N$12&gt;inputs!$H$17, inputs!$H$17, (((inputs!$P$12/(V82/MAX(K82:S82)))^(1/inputs!$O$12))-1)/inputs!$N$12))</f>
        <v>183.86128480843439</v>
      </c>
      <c r="U82" s="63">
        <f>IF((((inputs!$P$12/(X82/MAX(K82:S82)))^(1/inputs!$O$12))-1)/inputs!$N$12&lt;0, 0, IF((((inputs!$P$12/(X82/MAX(K82:S82)))^(1/inputs!$O$12))-1)/inputs!$N$12&gt;inputs!$H$17, inputs!$H$17, (((inputs!$P$12/(X82/MAX(K82:S82)))^(1/inputs!$O$12))-1)/inputs!$N$12))</f>
        <v>0</v>
      </c>
      <c r="V82" s="21">
        <f>inputs!$E$78*(F82/inputs!$F$78)^(inputs!$E$84-1)</f>
        <v>1.117252573011749E-2</v>
      </c>
      <c r="W82" s="21">
        <f>inputs!$E$85*(F82/inputs!$F$85)^(inputs!$E$84-1)</f>
        <v>0.51592665661815518</v>
      </c>
      <c r="X82" s="21">
        <f>inputs!$E$80*(F82/inputs!$F$80)^(inputs!$E$84-1)</f>
        <v>1.9265615658526047</v>
      </c>
      <c r="Y82" s="21">
        <f>inputs!$E$82*(F82/inputs!$F$82)^(inputs!$E$84-1)</f>
        <v>0.88792178170933744</v>
      </c>
      <c r="Z82" s="63">
        <f t="shared" si="9"/>
        <v>293.02778224512366</v>
      </c>
      <c r="AA82" s="63">
        <f t="shared" si="10"/>
        <v>6.345592720935799</v>
      </c>
    </row>
    <row r="83" spans="1:27" x14ac:dyDescent="0.25">
      <c r="A83" s="103" t="s">
        <v>170</v>
      </c>
      <c r="B83" s="20" t="s">
        <v>171</v>
      </c>
      <c r="C83" s="20" t="s">
        <v>73</v>
      </c>
      <c r="D83" s="104" t="s">
        <v>172</v>
      </c>
      <c r="E83" s="15">
        <v>70</v>
      </c>
      <c r="F83" s="15">
        <v>420</v>
      </c>
      <c r="G83" s="20" t="s">
        <v>142</v>
      </c>
      <c r="H83" s="20">
        <v>0.69</v>
      </c>
      <c r="I83" s="48">
        <f>MAX('Min rate concentrations'!$H$3:$H$368)</f>
        <v>47</v>
      </c>
      <c r="J83" s="48">
        <f>MAX('Min rate concentrations'!AA:AA)</f>
        <v>32.5</v>
      </c>
      <c r="K83" s="59">
        <f t="shared" ref="K83:K114" si="12">((0.301*F83^0.751)/(1-H83))*I83/F83</f>
        <v>10.141766011534468</v>
      </c>
      <c r="L83" s="59">
        <f>((0.301*F83^0.751)/(1-H83))*J83/F83</f>
        <v>7.0129233058483011</v>
      </c>
      <c r="M83" s="59">
        <f>IF((((1.18*F83^0.874)/3.7-(0.301*F83^0.751)/(1-H83)*H83)*(MAX('Min rate concentrations'!$P$3:$P$368)))/F83&gt;0, (((1.18*F83^0.874)/3.7-(0.301*F83^0.751)/(1-H83)*H83)*(MAX('Min rate concentrations'!$P$3:$P$368)))/F83, 0)</f>
        <v>1.4239078955626124E-5</v>
      </c>
      <c r="N83" s="59">
        <f>IF((((1.18*F83^0.874)/3.7-(0.301*F83^0.751)/(1-H83)*H83)*(MAX('Min rate concentrations'!$Q$3:$Q$368)))/F83&gt;0, (((1.18*F83^0.874)/3.7-(0.301*F83^0.751)/(1-H83)*H83)*(MAX('Min rate concentrations'!$Q$3:$Q$368)))/F83, 0)</f>
        <v>5.4223177752731228E-5</v>
      </c>
      <c r="O83" s="59">
        <f>((MAX('Min rate concentrations'!$F$3:$F$368))*0.62*6.01*8*(10*F83^0.667)*0.079*0.1/F83)*inputs!$E$80/(10^(0.84+0.62*LOG10(inputs!$E$80)))</f>
        <v>3.2738604367729089</v>
      </c>
      <c r="P83" s="59">
        <f>((MAX('Min rate concentrations'!Y:Y))*0.62*6.01*8*(10*F83^0.667)*0.079*0.1/F83)*inputs!$E$80/(10^(0.84+0.62*LOG10(inputs!$E$80)))</f>
        <v>1.091286812257636</v>
      </c>
      <c r="Q83" s="59">
        <f>(inputs!$C$7*11.2*(10*F83^0.667)*0.5/F83)*inputs!$E$80/(10^(0.84+0.62*LOG10(inputs!$E$80)))</f>
        <v>0.57667507451915179</v>
      </c>
      <c r="R83" s="59">
        <f>(60*284*((F83/1000)^0.77)*3*24*(MAX('Min rate concentrations'!$R$3:$R$368))/F83)*(inputs!$E$73*3.4/inputs!$E$75)</f>
        <v>5.7225311872717653E-3</v>
      </c>
      <c r="S83" s="59">
        <f>(IF(inputs!$C$6="aerial",((0.025*0.112*inputs!$C$7/3.3)*(3*60*284*((F83/1000)^0.77))*MAX(inputs!$H$14:$H$16))/F83,((0.0083*0.112*inputs!$C$7/1)*(3*60*284*((F83/1000)^0.77))*MAX(inputs!$H$14:$H$16))/F83))*(inputs!E$75*3.4/inputs!$E$73)</f>
        <v>3.1560111080444396E-2</v>
      </c>
      <c r="T83" s="63">
        <f>IF((((inputs!$P$12/(V83/MAX(K83:S83)))^(1/inputs!$O$12))-1)/inputs!$N$12&lt;0, 0, IF((((inputs!$P$12/(V83/MAX(K83:S83)))^(1/inputs!$O$12))-1)/inputs!$N$12&gt;inputs!$H$17, inputs!$H$17, (((inputs!$P$12/(V83/MAX(K83:S83)))^(1/inputs!$O$12))-1)/inputs!$N$12))</f>
        <v>307.85408506637356</v>
      </c>
      <c r="U83" s="63">
        <f>IF((((inputs!$P$12/(X83/MAX(K83:S83)))^(1/inputs!$O$12))-1)/inputs!$N$12&lt;0, 0, IF((((inputs!$P$12/(X83/MAX(K83:S83)))^(1/inputs!$O$12))-1)/inputs!$N$12&gt;inputs!$H$17, inputs!$H$17, (((inputs!$P$12/(X83/MAX(K83:S83)))^(1/inputs!$O$12))-1)/inputs!$N$12))</f>
        <v>12.91625942391164</v>
      </c>
      <c r="V83" s="21">
        <f>inputs!$E$78*(F83/inputs!$F$78)^(inputs!$E$84-1)</f>
        <v>1.117252573011749E-2</v>
      </c>
      <c r="W83" s="21">
        <f>inputs!$E$85*(F83/inputs!$F$85)^(inputs!$E$84-1)</f>
        <v>0.51592665661815518</v>
      </c>
      <c r="X83" s="21">
        <f>inputs!$E$80*(F83/inputs!$F$80)^(inputs!$E$84-1)</f>
        <v>1.9265615658526047</v>
      </c>
      <c r="Y83" s="21">
        <f>inputs!$E$82*(F83/inputs!$F$82)^(inputs!$E$84-1)</f>
        <v>0.88792178170933744</v>
      </c>
      <c r="Z83" s="63">
        <f t="shared" si="9"/>
        <v>907.74156681470606</v>
      </c>
      <c r="AA83" s="63">
        <f t="shared" si="10"/>
        <v>19.657379360881787</v>
      </c>
    </row>
    <row r="84" spans="1:27" x14ac:dyDescent="0.25">
      <c r="A84" s="103" t="s">
        <v>170</v>
      </c>
      <c r="B84" s="20" t="s">
        <v>171</v>
      </c>
      <c r="C84" s="20" t="s">
        <v>73</v>
      </c>
      <c r="D84" s="104" t="s">
        <v>172</v>
      </c>
      <c r="E84" s="15">
        <v>70</v>
      </c>
      <c r="F84" s="15">
        <v>420</v>
      </c>
      <c r="G84" s="20" t="s">
        <v>169</v>
      </c>
      <c r="H84" s="20">
        <v>0.79</v>
      </c>
      <c r="I84" s="48">
        <f>MAX('Min rate concentrations'!$D$3:$D$368)</f>
        <v>120</v>
      </c>
      <c r="J84" s="48">
        <f>MAX('Min rate concentrations'!W:W)</f>
        <v>42.5</v>
      </c>
      <c r="K84" s="59">
        <f t="shared" si="12"/>
        <v>38.224285271436905</v>
      </c>
      <c r="L84" s="59">
        <f>((0.301*F84^0.751)/(1-H84))*J84/F84</f>
        <v>13.537767700300572</v>
      </c>
      <c r="M84" s="59">
        <f>IF((((1.18*F84^0.874)/3.7-(0.301*F84^0.751)/(1-H84)*H84)*(MAX('Min rate concentrations'!$P$3:$P$368)))/F84&gt;0, (((1.18*F84^0.874)/3.7-(0.301*F84^0.751)/(1-H84)*H84)*(MAX('Min rate concentrations'!$P$3:$P$368)))/F84, 0)</f>
        <v>0</v>
      </c>
      <c r="N84" s="59">
        <f>IF((((1.18*F84^0.874)/3.7-(0.301*F84^0.751)/(1-H84)*H84)*(MAX('Min rate concentrations'!$Q$3:$Q$368)))/F84&gt;0, (((1.18*F84^0.874)/3.7-(0.301*F84^0.751)/(1-H84)*H84)*(MAX('Min rate concentrations'!$Q$3:$Q$368)))/F84, 0)</f>
        <v>0</v>
      </c>
      <c r="O84" s="59">
        <f>((MAX('Min rate concentrations'!$F$3:$F$368))*0.62*6.01*8*(10*F84^0.667)*0.079*0.1/F84)*inputs!$E$80/(10^(0.84+0.62*LOG10(inputs!$E$80)))</f>
        <v>3.2738604367729089</v>
      </c>
      <c r="P84" s="59">
        <f>((MAX('Min rate concentrations'!Y:Y))*0.62*6.01*8*(10*F84^0.667)*0.079*0.1/F84)*inputs!$E$80/(10^(0.84+0.62*LOG10(inputs!$E$80)))</f>
        <v>1.091286812257636</v>
      </c>
      <c r="Q84" s="59">
        <f>(inputs!$C$7*11.2*(10*F84^0.667)*0.5/F84)*inputs!$E$80/(10^(0.84+0.62*LOG10(inputs!$E$80)))</f>
        <v>0.57667507451915179</v>
      </c>
      <c r="R84" s="59">
        <f>(60*284*((F84/1000)^0.77)*3*24*(MAX('Min rate concentrations'!$R$3:$R$368))/F84)*(inputs!$E$73*3.4/inputs!$E$75)</f>
        <v>5.7225311872717653E-3</v>
      </c>
      <c r="S84" s="59">
        <f>(IF(inputs!$C$6="aerial",((0.025*0.112*inputs!$C$7/3.3)*(3*60*284*((F84/1000)^0.77))*MAX(inputs!$H$14:$H$16))/F84,((0.0083*0.112*inputs!$C$7/1)*(3*60*284*((F84/1000)^0.77))*MAX(inputs!$H$14:$H$16))/F84))*(inputs!E$75*3.4/inputs!$E$73)</f>
        <v>3.1560111080444396E-2</v>
      </c>
      <c r="T84" s="63">
        <f>IF((((inputs!$P$12/(V84/MAX(K84:S84)))^(1/inputs!$O$12))-1)/inputs!$N$12&lt;0, 0, IF((((inputs!$P$12/(V84/MAX(K84:S84)))^(1/inputs!$O$12))-1)/inputs!$N$12&gt;inputs!$H$17, inputs!$H$17, (((inputs!$P$12/(V84/MAX(K84:S84)))^(1/inputs!$O$12))-1)/inputs!$N$12))</f>
        <v>548.4827696012934</v>
      </c>
      <c r="U84" s="63">
        <f>IF((((inputs!$P$12/(X84/MAX(K84:S84)))^(1/inputs!$O$12))-1)/inputs!$N$12&lt;0, 0, IF((((inputs!$P$12/(X84/MAX(K84:S84)))^(1/inputs!$O$12))-1)/inputs!$N$12&gt;inputs!$H$17, inputs!$H$17, (((inputs!$P$12/(X84/MAX(K84:S84)))^(1/inputs!$O$12))-1)/inputs!$N$12))</f>
        <v>42.539315664896684</v>
      </c>
      <c r="V84" s="21">
        <f>inputs!$E$78*(F84/inputs!$F$78)^(inputs!$E$84-1)</f>
        <v>1.117252573011749E-2</v>
      </c>
      <c r="W84" s="21">
        <f>inputs!$E$85*(F84/inputs!$F$85)^(inputs!$E$84-1)</f>
        <v>0.51592665661815518</v>
      </c>
      <c r="X84" s="21">
        <f>inputs!$E$80*(F84/inputs!$F$80)^(inputs!$E$84-1)</f>
        <v>1.9265615658526047</v>
      </c>
      <c r="Y84" s="21">
        <f>inputs!$E$82*(F84/inputs!$F$82)^(inputs!$E$84-1)</f>
        <v>0.88792178170933744</v>
      </c>
      <c r="Z84" s="63">
        <f t="shared" si="9"/>
        <v>3421.275206231719</v>
      </c>
      <c r="AA84" s="63">
        <f t="shared" si="10"/>
        <v>74.088603062290019</v>
      </c>
    </row>
    <row r="85" spans="1:27" x14ac:dyDescent="0.25">
      <c r="A85" s="103" t="s">
        <v>170</v>
      </c>
      <c r="B85" s="20" t="s">
        <v>171</v>
      </c>
      <c r="C85" s="20" t="s">
        <v>73</v>
      </c>
      <c r="D85" s="104" t="s">
        <v>172</v>
      </c>
      <c r="E85" s="15">
        <v>70</v>
      </c>
      <c r="F85" s="15">
        <v>420</v>
      </c>
      <c r="G85" s="20" t="s">
        <v>158</v>
      </c>
      <c r="H85" s="20">
        <v>0.85</v>
      </c>
      <c r="I85" s="48">
        <f>MAX('Min rate concentrations'!$F$3:$F$368)</f>
        <v>67.5</v>
      </c>
      <c r="J85" s="48">
        <f>MAX('Min rate concentrations'!Y:Y)</f>
        <v>22.5</v>
      </c>
      <c r="K85" s="59">
        <f t="shared" si="12"/>
        <v>30.101624651256557</v>
      </c>
      <c r="L85" s="59">
        <f>((0.301*F85^0.751)/(1-H85))*J85/F85</f>
        <v>10.033874883752185</v>
      </c>
      <c r="M85" s="59">
        <f>IF((((1.18*F85^0.874)/3.7-(0.301*F85^0.751)/(1-H85)*H85)*(MAX('Min rate concentrations'!$P$3:$P$368)))/F85&gt;0, (((1.18*F85^0.874)/3.7-(0.301*F85^0.751)/(1-H85)*H85)*(MAX('Min rate concentrations'!$P$3:$P$368)))/F85, 0)</f>
        <v>0</v>
      </c>
      <c r="N85" s="59">
        <f>IF((((1.18*F85^0.874)/3.7-(0.301*F85^0.751)/(1-H85)*H85)*(MAX('Min rate concentrations'!$Q$3:$Q$368)))/F85&gt;0, (((1.18*F85^0.874)/3.7-(0.301*F85^0.751)/(1-H85)*H85)*(MAX('Min rate concentrations'!$Q$3:$Q$368)))/F85, 0)</f>
        <v>0</v>
      </c>
      <c r="O85" s="59">
        <f>((MAX('Min rate concentrations'!$F$3:$F$368))*0.62*6.01*8*(10*F85^0.667)*0.079*0.1/F85)*inputs!$E$80/(10^(0.84+0.62*LOG10(inputs!$E$80)))</f>
        <v>3.2738604367729089</v>
      </c>
      <c r="P85" s="59">
        <f>((MAX('Min rate concentrations'!Y:Y))*0.62*6.01*8*(10*F85^0.667)*0.079*0.1/F85)*inputs!$E$80/(10^(0.84+0.62*LOG10(inputs!$E$80)))</f>
        <v>1.091286812257636</v>
      </c>
      <c r="Q85" s="59">
        <f>(inputs!$C$7*11.2*(10*F85^0.667)*0.5/F85)*inputs!$E$80/(10^(0.84+0.62*LOG10(inputs!$E$80)))</f>
        <v>0.57667507451915179</v>
      </c>
      <c r="R85" s="59">
        <f>(60*284*((F85/1000)^0.77)*3*24*(MAX('Min rate concentrations'!$R$3:$R$368))/F85)*(inputs!$E$73*3.4/inputs!$E$75)</f>
        <v>5.7225311872717653E-3</v>
      </c>
      <c r="S85" s="59">
        <f>(IF(inputs!$C$6="aerial",((0.025*0.112*inputs!$C$7/3.3)*(3*60*284*((F85/1000)^0.77))*MAX(inputs!$H$14:$H$16))/F85,((0.0083*0.112*inputs!$C$7/1)*(3*60*284*((F85/1000)^0.77))*MAX(inputs!$H$14:$H$16))/F85))*(inputs!E$75*3.4/inputs!$E$73)</f>
        <v>3.1560111080444396E-2</v>
      </c>
      <c r="T85" s="63">
        <f>IF((((inputs!$P$12/(V85/MAX(K85:S85)))^(1/inputs!$O$12))-1)/inputs!$N$12&lt;0, 0, IF((((inputs!$P$12/(V85/MAX(K85:S85)))^(1/inputs!$O$12))-1)/inputs!$N$12&gt;inputs!$H$17, inputs!$H$17, (((inputs!$P$12/(V85/MAX(K85:S85)))^(1/inputs!$O$12))-1)/inputs!$N$12))</f>
        <v>495.05827286810501</v>
      </c>
      <c r="U85" s="63">
        <f>IF((((inputs!$P$12/(X85/MAX(K85:S85)))^(1/inputs!$O$12))-1)/inputs!$N$12&lt;0, 0, IF((((inputs!$P$12/(X85/MAX(K85:S85)))^(1/inputs!$O$12))-1)/inputs!$N$12&gt;inputs!$H$17, inputs!$H$17, (((inputs!$P$12/(X85/MAX(K85:S85)))^(1/inputs!$O$12))-1)/inputs!$N$12))</f>
        <v>35.962390414142142</v>
      </c>
      <c r="V85" s="21">
        <f>inputs!$E$78*(F85/inputs!$F$78)^(inputs!$E$84-1)</f>
        <v>1.117252573011749E-2</v>
      </c>
      <c r="W85" s="21">
        <f>inputs!$E$85*(F85/inputs!$F$85)^(inputs!$E$84-1)</f>
        <v>0.51592665661815518</v>
      </c>
      <c r="X85" s="21">
        <f>inputs!$E$80*(F85/inputs!$F$80)^(inputs!$E$84-1)</f>
        <v>1.9265615658526047</v>
      </c>
      <c r="Y85" s="21">
        <f>inputs!$E$82*(F85/inputs!$F$82)^(inputs!$E$84-1)</f>
        <v>0.88792178170933744</v>
      </c>
      <c r="Z85" s="63">
        <f t="shared" si="9"/>
        <v>2694.2542249074786</v>
      </c>
      <c r="AA85" s="63">
        <f t="shared" si="10"/>
        <v>58.34477491155338</v>
      </c>
    </row>
    <row r="86" spans="1:27" x14ac:dyDescent="0.25">
      <c r="A86" s="103" t="s">
        <v>170</v>
      </c>
      <c r="B86" s="20" t="s">
        <v>171</v>
      </c>
      <c r="C86" s="20" t="s">
        <v>73</v>
      </c>
      <c r="D86" s="104" t="s">
        <v>172</v>
      </c>
      <c r="E86" s="15">
        <v>70</v>
      </c>
      <c r="F86" s="15">
        <v>420</v>
      </c>
      <c r="G86" s="20" t="s">
        <v>154</v>
      </c>
      <c r="H86" s="20">
        <v>9.2999999999999999E-2</v>
      </c>
      <c r="I86" s="48">
        <f>MAX('Min rate concentrations'!$G$3:$G$368)</f>
        <v>7.5</v>
      </c>
      <c r="J86" s="48">
        <f>MAX('Min rate concentrations'!Z:Z)</f>
        <v>3.5</v>
      </c>
      <c r="K86" s="59">
        <f t="shared" si="12"/>
        <v>0.55313532986505987</v>
      </c>
      <c r="L86" s="59"/>
      <c r="M86" s="59">
        <f>IF((((1.18*F86^0.874)/3.7-(0.301*F86^0.751)/(1-H86)*H86)*(MAX('Min rate concentrations'!$P$3:$P$368)))/F86&gt;0, (((1.18*F86^0.874)/3.7-(0.301*F86^0.751)/(1-H86)*H86)*(MAX('Min rate concentrations'!$P$3:$P$368)))/F86, 0)</f>
        <v>2.0629741389620846E-2</v>
      </c>
      <c r="N86" s="59">
        <f>IF((((1.18*F86^0.874)/3.7-(0.301*F86^0.751)/(1-H86)*H86)*(MAX('Min rate concentrations'!$Q$3:$Q$368)))/F86&gt;0, (((1.18*F86^0.874)/3.7-(0.301*F86^0.751)/(1-H86)*H86)*(MAX('Min rate concentrations'!$Q$3:$Q$368)))/F86, 0)</f>
        <v>7.8559163682444783E-2</v>
      </c>
      <c r="O86" s="59">
        <f>((MAX('Min rate concentrations'!$F$3:$F$368))*0.62*6.01*8*(10*F86^0.667)*0.079*0.1/F86)*inputs!$E$80/(10^(0.84+0.62*LOG10(inputs!$E$80)))</f>
        <v>3.2738604367729089</v>
      </c>
      <c r="P86" s="59">
        <f>((MAX('Min rate concentrations'!Y:Y))*0.62*6.01*8*(10*F86^0.667)*0.079*0.1/F86)*inputs!$E$80/(10^(0.84+0.62*LOG10(inputs!$E$80)))</f>
        <v>1.091286812257636</v>
      </c>
      <c r="Q86" s="59">
        <f>(inputs!$C$7*11.2*(10*F86^0.667)*0.5/F86)*inputs!$E$80/(10^(0.84+0.62*LOG10(inputs!$E$80)))</f>
        <v>0.57667507451915179</v>
      </c>
      <c r="R86" s="59">
        <f>(60*284*((F86/1000)^0.77)*3*24*(MAX('Min rate concentrations'!$R$3:$R$368))/F86)*(inputs!$E$73*3.4/inputs!$E$75)</f>
        <v>5.7225311872717653E-3</v>
      </c>
      <c r="S86" s="59">
        <f>(IF(inputs!$C$6="aerial",((0.025*0.112*inputs!$C$7/3.3)*(3*60*284*((F86/1000)^0.77))*MAX(inputs!$H$14:$H$16))/F86,((0.0083*0.112*inputs!$C$7/1)*(3*60*284*((F86/1000)^0.77))*MAX(inputs!$H$14:$H$16))/F86))*(inputs!E$75*3.4/inputs!$E$73)</f>
        <v>3.1560111080444396E-2</v>
      </c>
      <c r="T86" s="63">
        <f>IF((((inputs!$P$12/(V86/MAX(K86:S86)))^(1/inputs!$O$12))-1)/inputs!$N$12&lt;0, 0, IF((((inputs!$P$12/(V86/MAX(K86:S86)))^(1/inputs!$O$12))-1)/inputs!$N$12&gt;inputs!$H$17, inputs!$H$17, (((inputs!$P$12/(V86/MAX(K86:S86)))^(1/inputs!$O$12))-1)/inputs!$N$12))</f>
        <v>183.86128480843439</v>
      </c>
      <c r="U86" s="63">
        <f>IF((((inputs!$P$12/(X86/MAX(K86:S86)))^(1/inputs!$O$12))-1)/inputs!$N$12&lt;0, 0, IF((((inputs!$P$12/(X86/MAX(K86:S86)))^(1/inputs!$O$12))-1)/inputs!$N$12&gt;inputs!$H$17, inputs!$H$17, (((inputs!$P$12/(X86/MAX(K86:S86)))^(1/inputs!$O$12))-1)/inputs!$N$12))</f>
        <v>0</v>
      </c>
      <c r="V86" s="21">
        <f>inputs!$E$78*(F86/inputs!$F$78)^(inputs!$E$84-1)</f>
        <v>1.117252573011749E-2</v>
      </c>
      <c r="W86" s="21">
        <f>inputs!$E$85*(F86/inputs!$F$85)^(inputs!$E$84-1)</f>
        <v>0.51592665661815518</v>
      </c>
      <c r="X86" s="21">
        <f>inputs!$E$80*(F86/inputs!$F$80)^(inputs!$E$84-1)</f>
        <v>1.9265615658526047</v>
      </c>
      <c r="Y86" s="21">
        <f>inputs!$E$82*(F86/inputs!$F$82)^(inputs!$E$84-1)</f>
        <v>0.88792178170933744</v>
      </c>
      <c r="Z86" s="63">
        <f t="shared" si="9"/>
        <v>293.02778224512366</v>
      </c>
      <c r="AA86" s="63">
        <f t="shared" si="10"/>
        <v>6.345592720935799</v>
      </c>
    </row>
    <row r="87" spans="1:27" x14ac:dyDescent="0.25">
      <c r="A87" s="103" t="s">
        <v>170</v>
      </c>
      <c r="B87" s="20" t="s">
        <v>171</v>
      </c>
      <c r="C87" s="20" t="s">
        <v>73</v>
      </c>
      <c r="D87" s="104" t="s">
        <v>172</v>
      </c>
      <c r="E87" s="15">
        <v>70</v>
      </c>
      <c r="F87" s="15">
        <v>420</v>
      </c>
      <c r="G87" s="20" t="s">
        <v>174</v>
      </c>
      <c r="H87" s="20">
        <v>0.83</v>
      </c>
      <c r="I87" s="48">
        <f>inputs!$C$65*(inputs!$C$62/1000)</f>
        <v>0.82000000000000006</v>
      </c>
      <c r="J87" s="48">
        <f>inputs!$C$65*(inputs!$C$61/1000)</f>
        <v>0.25</v>
      </c>
      <c r="K87" s="59">
        <f t="shared" si="12"/>
        <v>0.32265793743830562</v>
      </c>
      <c r="L87" s="59"/>
      <c r="M87" s="59">
        <f>IF((((1.18*F87^0.874)/3.7-(0.301*F87^0.751)/(1-H87)*H87)*(MAX('Min rate concentrations'!$P$3:$P$368)))/F87&gt;0, (((1.18*F87^0.874)/3.7-(0.301*F87^0.751)/(1-H87)*H87)*(MAX('Min rate concentrations'!$P$3:$P$368)))/F87, 0)</f>
        <v>0</v>
      </c>
      <c r="N87" s="59">
        <f>IF((((1.18*F87^0.874)/3.7-(0.301*F87^0.751)/(1-H87)*H87)*(MAX('Min rate concentrations'!$Q$3:$Q$368)))/F87&gt;0, (((1.18*F87^0.874)/3.7-(0.301*F87^0.751)/(1-H87)*H87)*(MAX('Min rate concentrations'!$Q$3:$Q$368)))/F87, 0)</f>
        <v>0</v>
      </c>
      <c r="O87" s="59">
        <f>((MAX('Min rate concentrations'!$F$3:$F$368))*0.62*6.01*8*(10*F87^0.667)*0.079*0.1/F87)*inputs!$E$80/(10^(0.84+0.62*LOG10(inputs!$E$80)))</f>
        <v>3.2738604367729089</v>
      </c>
      <c r="P87" s="59">
        <f>((MAX('Min rate concentrations'!Y:Y))*0.62*6.01*8*(10*F87^0.667)*0.079*0.1/F87)*inputs!$E$80/(10^(0.84+0.62*LOG10(inputs!$E$80)))</f>
        <v>1.091286812257636</v>
      </c>
      <c r="Q87" s="59">
        <f>(inputs!$C$7*11.2*(10*F87^0.667)*0.5/F87)*inputs!$E$80/(10^(0.84+0.62*LOG10(inputs!$E$80)))</f>
        <v>0.57667507451915179</v>
      </c>
      <c r="R87" s="59">
        <f>(60*284*((F87/1000)^0.77)*3*24*(MAX('Min rate concentrations'!$R$3:$R$368))/F87)*(inputs!$E$73*3.4/inputs!$E$75)</f>
        <v>5.7225311872717653E-3</v>
      </c>
      <c r="S87" s="59">
        <f>(IF(inputs!$C$6="aerial",((0.025*0.112*inputs!$C$7/3.3)*(3*60*284*((F87/1000)^0.77))*MAX(inputs!$H$14:$H$16))/F87,((0.0083*0.112*inputs!$C$7/1)*(3*60*284*((F87/1000)^0.77))*MAX(inputs!$H$14:$H$16))/F87))*(inputs!E$75*3.4/inputs!$E$73)</f>
        <v>3.1560111080444396E-2</v>
      </c>
      <c r="T87" s="63">
        <f>IF((((inputs!$P$12/(V87/MAX(K87:S87)))^(1/inputs!$O$12))-1)/inputs!$N$12&lt;0, 0, IF((((inputs!$P$12/(V87/MAX(K87:S87)))^(1/inputs!$O$12))-1)/inputs!$N$12&gt;inputs!$H$17, inputs!$H$17, (((inputs!$P$12/(V87/MAX(K87:S87)))^(1/inputs!$O$12))-1)/inputs!$N$12))</f>
        <v>183.86128480843439</v>
      </c>
      <c r="U87" s="63">
        <f>IF((((inputs!$P$12/(X87/MAX(K87:S87)))^(1/inputs!$O$12))-1)/inputs!$N$12&lt;0, 0, IF((((inputs!$P$12/(X87/MAX(K87:S87)))^(1/inputs!$O$12))-1)/inputs!$N$12&gt;inputs!$H$17, inputs!$H$17, (((inputs!$P$12/(X87/MAX(K87:S87)))^(1/inputs!$O$12))-1)/inputs!$N$12))</f>
        <v>0</v>
      </c>
      <c r="V87" s="21">
        <f>inputs!$E$78*(F87/inputs!$F$78)^(inputs!$E$84-1)</f>
        <v>1.117252573011749E-2</v>
      </c>
      <c r="W87" s="21">
        <f>inputs!$E$85*(F87/inputs!$F$85)^(inputs!$E$84-1)</f>
        <v>0.51592665661815518</v>
      </c>
      <c r="X87" s="21">
        <f>inputs!$E$80*(F87/inputs!$F$80)^(inputs!$E$84-1)</f>
        <v>1.9265615658526047</v>
      </c>
      <c r="Y87" s="21">
        <f>inputs!$E$82*(F87/inputs!$F$82)^(inputs!$E$84-1)</f>
        <v>0.88792178170933744</v>
      </c>
      <c r="Z87" s="63">
        <f t="shared" si="9"/>
        <v>293.02778224512366</v>
      </c>
      <c r="AA87" s="63">
        <f t="shared" si="10"/>
        <v>6.345592720935799</v>
      </c>
    </row>
    <row r="88" spans="1:27" x14ac:dyDescent="0.25">
      <c r="A88" s="103" t="s">
        <v>342</v>
      </c>
      <c r="B88" s="20" t="s">
        <v>343</v>
      </c>
      <c r="C88" s="20" t="s">
        <v>73</v>
      </c>
      <c r="D88" s="104" t="s">
        <v>172</v>
      </c>
      <c r="E88" s="15">
        <v>146</v>
      </c>
      <c r="F88" s="15">
        <v>1075</v>
      </c>
      <c r="G88" s="20" t="s">
        <v>241</v>
      </c>
      <c r="H88" s="20">
        <v>0.8</v>
      </c>
      <c r="I88" s="48">
        <f>inputs!$C$65*inputs!$C$60/1000</f>
        <v>2.8</v>
      </c>
      <c r="J88" s="48">
        <f>inputs!$C$65*inputs!$C$59/1000</f>
        <v>2.8</v>
      </c>
      <c r="K88" s="59">
        <f t="shared" si="12"/>
        <v>0.74109489843852361</v>
      </c>
      <c r="L88" s="59">
        <f t="shared" ref="L88:L112" si="13">((0.301*F88^0.751)/(1-H88))*J88/F88</f>
        <v>0.74109489843852361</v>
      </c>
      <c r="M88" s="59">
        <f>IF((((1.18*F88^0.874)/3.7-(0.301*F88^0.751)/(1-H88)*H88)*(MAX('Min rate concentrations'!$P$3:$P$368)))/F88&gt;0, (((1.18*F88^0.874)/3.7-(0.301*F88^0.751)/(1-H88)*H88)*(MAX('Min rate concentrations'!$P$3:$P$368)))/F88, 0)</f>
        <v>0</v>
      </c>
      <c r="N88" s="59">
        <f>IF((((1.18*F88^0.874)/3.7-(0.301*F88^0.751)/(1-H88)*H88)*(MAX('Min rate concentrations'!$Q$3:$Q$368)))/F88&gt;0, (((1.18*F88^0.874)/3.7-(0.301*F88^0.751)/(1-H88)*H88)*(MAX('Min rate concentrations'!$Q$3:$Q$368)))/F88, 0)</f>
        <v>0</v>
      </c>
      <c r="O88" s="59">
        <f>((MAX('Min rate concentrations'!$F$3:$F$368))*0.62*6.01*8*(10*F88^0.667)*0.079*0.1/F88)*inputs!$E$80/(10^(0.84+0.62*LOG10(inputs!$E$80)))</f>
        <v>2.3941047967970794</v>
      </c>
      <c r="P88" s="59">
        <f>((MAX('Min rate concentrations'!Y:Y))*0.62*6.01*8*(10*F88^0.667)*0.079*0.1/F88)*inputs!$E$80/(10^(0.84+0.62*LOG10(inputs!$E$80)))</f>
        <v>0.79803493226569322</v>
      </c>
      <c r="Q88" s="59">
        <f>(inputs!$C$7*11.2*(10*F88^0.667)*0.5/F88)*inputs!$E$80/(10^(0.84+0.62*LOG10(inputs!$E$80)))</f>
        <v>0.42171026797358308</v>
      </c>
      <c r="R88" s="59">
        <f>(60*284*((F88/1000)^0.77)*3*24*(MAX('Min rate concentrations'!$R$3:$R$368))/F88)*(inputs!$E$73*3.4/inputs!$E$75)</f>
        <v>4.6101128681225369E-3</v>
      </c>
      <c r="S88" s="59">
        <f>(IF(inputs!$C$6="aerial",((0.025*0.112*inputs!$C$7/3.3)*(3*60*284*((F88/1000)^0.77))*MAX(inputs!$H$14:$H$16))/F88,((0.0083*0.112*inputs!$C$7/1)*(3*60*284*((F88/1000)^0.77))*MAX(inputs!$H$14:$H$16))/F88))*(inputs!E$75*3.4/inputs!$E$73)</f>
        <v>2.5425055705235729E-2</v>
      </c>
      <c r="T88" s="63">
        <f>IF((((inputs!$P$12/(V88/MAX(K88:S88)))^(1/inputs!$O$12))-1)/inputs!$N$12&lt;0, 0, IF((((inputs!$P$12/(V88/MAX(K88:S88)))^(1/inputs!$O$12))-1)/inputs!$N$12&gt;inputs!$H$17, inputs!$H$17, (((inputs!$P$12/(V88/MAX(K88:S88)))^(1/inputs!$O$12))-1)/inputs!$N$12))</f>
        <v>186.886030775752</v>
      </c>
      <c r="U88" s="63">
        <f>IF((((inputs!$P$12/(X88/MAX(K88:S88)))^(1/inputs!$O$12))-1)/inputs!$N$12&lt;0, 0, IF((((inputs!$P$12/(X88/MAX(K88:S88)))^(1/inputs!$O$12))-1)/inputs!$N$12&gt;inputs!$H$17, inputs!$H$17, (((inputs!$P$12/(X88/MAX(K88:S88)))^(1/inputs!$O$12))-1)/inputs!$N$12))</f>
        <v>0</v>
      </c>
      <c r="V88" s="21">
        <f>inputs!$E$78*(F88/inputs!$F$78)^(inputs!$E$84-1)</f>
        <v>7.8910077366186188E-3</v>
      </c>
      <c r="W88" s="21">
        <f>inputs!$E$85*(F88/inputs!$F$85)^(inputs!$E$84-1)</f>
        <v>0.36439220076504825</v>
      </c>
      <c r="X88" s="21">
        <f>inputs!$E$80*(F88/inputs!$F$80)^(inputs!$E$84-1)</f>
        <v>1.3607050534897371</v>
      </c>
      <c r="Y88" s="21">
        <f>inputs!$E$82*(F88/inputs!$F$82)^(inputs!$E$84-1)</f>
        <v>0.62712745696284811</v>
      </c>
      <c r="Z88" s="63">
        <f t="shared" si="9"/>
        <v>303.39658465763699</v>
      </c>
      <c r="AA88" s="63">
        <f t="shared" si="10"/>
        <v>6.5701318298542386</v>
      </c>
    </row>
    <row r="89" spans="1:27" x14ac:dyDescent="0.25">
      <c r="A89" s="103" t="s">
        <v>342</v>
      </c>
      <c r="B89" s="20" t="s">
        <v>343</v>
      </c>
      <c r="C89" s="20" t="s">
        <v>73</v>
      </c>
      <c r="D89" s="104" t="s">
        <v>172</v>
      </c>
      <c r="E89" s="15">
        <v>146</v>
      </c>
      <c r="F89" s="15">
        <v>1075</v>
      </c>
      <c r="G89" s="20" t="s">
        <v>164</v>
      </c>
      <c r="H89" s="20">
        <v>0.78</v>
      </c>
      <c r="I89" s="48">
        <f>inputs!$C$65*(inputs!$C$62/1000)</f>
        <v>0.82000000000000006</v>
      </c>
      <c r="J89" s="48">
        <f>inputs!$C$65*(inputs!$C$61/1000)</f>
        <v>0.25</v>
      </c>
      <c r="K89" s="59">
        <f t="shared" si="12"/>
        <v>0.19730448594791863</v>
      </c>
      <c r="L89" s="59">
        <f t="shared" si="13"/>
        <v>6.0153806691438598E-2</v>
      </c>
      <c r="M89" s="59">
        <f>IF((((1.18*F89^0.874)/3.7-(0.301*F89^0.751)/(1-H89)*H89)*(MAX('Min rate concentrations'!$P$3:$P$368)))/F89&gt;0, (((1.18*F89^0.874)/3.7-(0.301*F89^0.751)/(1-H89)*H89)*(MAX('Min rate concentrations'!$P$3:$P$368)))/F89, 0)</f>
        <v>0</v>
      </c>
      <c r="N89" s="59">
        <f>IF((((1.18*F89^0.874)/3.7-(0.301*F89^0.751)/(1-H89)*H89)*(MAX('Min rate concentrations'!$Q$3:$Q$368)))/F89&gt;0, (((1.18*F89^0.874)/3.7-(0.301*F89^0.751)/(1-H89)*H89)*(MAX('Min rate concentrations'!$Q$3:$Q$368)))/F89, 0)</f>
        <v>0</v>
      </c>
      <c r="O89" s="59">
        <f>((MAX('Min rate concentrations'!$F$3:$F$368))*0.62*6.01*8*(10*F89^0.667)*0.079*0.1/F89)*inputs!$E$80/(10^(0.84+0.62*LOG10(inputs!$E$80)))</f>
        <v>2.3941047967970794</v>
      </c>
      <c r="P89" s="59">
        <f>((MAX('Min rate concentrations'!Y:Y))*0.62*6.01*8*(10*F89^0.667)*0.079*0.1/F89)*inputs!$E$80/(10^(0.84+0.62*LOG10(inputs!$E$80)))</f>
        <v>0.79803493226569322</v>
      </c>
      <c r="Q89" s="59">
        <f>(inputs!$C$7*11.2*(10*F89^0.667)*0.5/F89)*inputs!$E$80/(10^(0.84+0.62*LOG10(inputs!$E$80)))</f>
        <v>0.42171026797358308</v>
      </c>
      <c r="R89" s="59">
        <f>(60*284*((F89/1000)^0.77)*3*24*(MAX('Min rate concentrations'!$R$3:$R$368))/F89)*(inputs!$E$73*3.4/inputs!$E$75)</f>
        <v>4.6101128681225369E-3</v>
      </c>
      <c r="S89" s="59">
        <f>(IF(inputs!$C$6="aerial",((0.025*0.112*inputs!$C$7/3.3)*(3*60*284*((F89/1000)^0.77))*MAX(inputs!$H$14:$H$16))/F89,((0.0083*0.112*inputs!$C$7/1)*(3*60*284*((F89/1000)^0.77))*MAX(inputs!$H$14:$H$16))/F89))*(inputs!E$75*3.4/inputs!$E$73)</f>
        <v>2.5425055705235729E-2</v>
      </c>
      <c r="T89" s="63">
        <f>IF((((inputs!$P$12/(V89/MAX(K89:S89)))^(1/inputs!$O$12))-1)/inputs!$N$12&lt;0, 0, IF((((inputs!$P$12/(V89/MAX(K89:S89)))^(1/inputs!$O$12))-1)/inputs!$N$12&gt;inputs!$H$17, inputs!$H$17, (((inputs!$P$12/(V89/MAX(K89:S89)))^(1/inputs!$O$12))-1)/inputs!$N$12))</f>
        <v>186.886030775752</v>
      </c>
      <c r="U89" s="63">
        <f>IF((((inputs!$P$12/(X89/MAX(K89:S89)))^(1/inputs!$O$12))-1)/inputs!$N$12&lt;0, 0, IF((((inputs!$P$12/(X89/MAX(K89:S89)))^(1/inputs!$O$12))-1)/inputs!$N$12&gt;inputs!$H$17, inputs!$H$17, (((inputs!$P$12/(X89/MAX(K89:S89)))^(1/inputs!$O$12))-1)/inputs!$N$12))</f>
        <v>0</v>
      </c>
      <c r="V89" s="21">
        <f>inputs!$E$78*(F89/inputs!$F$78)^(inputs!$E$84-1)</f>
        <v>7.8910077366186188E-3</v>
      </c>
      <c r="W89" s="21">
        <f>inputs!$E$85*(F89/inputs!$F$85)^(inputs!$E$84-1)</f>
        <v>0.36439220076504825</v>
      </c>
      <c r="X89" s="21">
        <f>inputs!$E$80*(F89/inputs!$F$80)^(inputs!$E$84-1)</f>
        <v>1.3607050534897371</v>
      </c>
      <c r="Y89" s="21">
        <f>inputs!$E$82*(F89/inputs!$F$82)^(inputs!$E$84-1)</f>
        <v>0.62712745696284811</v>
      </c>
      <c r="Z89" s="63">
        <f t="shared" si="9"/>
        <v>303.39658465763699</v>
      </c>
      <c r="AA89" s="63">
        <f t="shared" si="10"/>
        <v>6.5701318298542386</v>
      </c>
    </row>
    <row r="90" spans="1:27" x14ac:dyDescent="0.25">
      <c r="A90" s="103" t="s">
        <v>342</v>
      </c>
      <c r="B90" s="20" t="s">
        <v>343</v>
      </c>
      <c r="C90" s="20" t="s">
        <v>73</v>
      </c>
      <c r="D90" s="104" t="s">
        <v>172</v>
      </c>
      <c r="E90" s="15">
        <v>146</v>
      </c>
      <c r="F90" s="15">
        <v>1075</v>
      </c>
      <c r="G90" s="20" t="s">
        <v>177</v>
      </c>
      <c r="H90" s="20">
        <v>0.85</v>
      </c>
      <c r="I90" s="48">
        <f>MAX('Min rate concentrations'!$F$3:$F$368)</f>
        <v>67.5</v>
      </c>
      <c r="J90" s="48">
        <f>MAX('Min rate concentrations'!Y:Y)</f>
        <v>22.5</v>
      </c>
      <c r="K90" s="59">
        <f t="shared" si="12"/>
        <v>23.820907449809681</v>
      </c>
      <c r="L90" s="59">
        <f t="shared" si="13"/>
        <v>7.9403024832698934</v>
      </c>
      <c r="M90" s="59">
        <f>IF((((1.18*F90^0.874)/3.7-(0.301*F90^0.751)/(1-H90)*H90)*(MAX('Min rate concentrations'!$P$3:$P$368)))/F90&gt;0, (((1.18*F90^0.874)/3.7-(0.301*F90^0.751)/(1-H90)*H90)*(MAX('Min rate concentrations'!$P$3:$P$368)))/F90, 0)</f>
        <v>0</v>
      </c>
      <c r="N90" s="59">
        <f>IF((((1.18*F90^0.874)/3.7-(0.301*F90^0.751)/(1-H90)*H90)*(MAX('Min rate concentrations'!$Q$3:$Q$368)))/F90&gt;0, (((1.18*F90^0.874)/3.7-(0.301*F90^0.751)/(1-H90)*H90)*(MAX('Min rate concentrations'!$Q$3:$Q$368)))/F90, 0)</f>
        <v>0</v>
      </c>
      <c r="O90" s="59">
        <f>((MAX('Min rate concentrations'!$F$3:$F$368))*0.62*6.01*8*(10*F90^0.667)*0.079*0.1/F90)*inputs!$E$80/(10^(0.84+0.62*LOG10(inputs!$E$80)))</f>
        <v>2.3941047967970794</v>
      </c>
      <c r="P90" s="59">
        <f>((MAX('Min rate concentrations'!Y:Y))*0.62*6.01*8*(10*F90^0.667)*0.079*0.1/F90)*inputs!$E$80/(10^(0.84+0.62*LOG10(inputs!$E$80)))</f>
        <v>0.79803493226569322</v>
      </c>
      <c r="Q90" s="59">
        <f>(inputs!$C$7*11.2*(10*F90^0.667)*0.5/F90)*inputs!$E$80/(10^(0.84+0.62*LOG10(inputs!$E$80)))</f>
        <v>0.42171026797358308</v>
      </c>
      <c r="R90" s="59">
        <f>(60*284*((F90/1000)^0.77)*3*24*(MAX('Min rate concentrations'!$R$3:$R$368))/F90)*(inputs!$E$73*3.4/inputs!$E$75)</f>
        <v>4.6101128681225369E-3</v>
      </c>
      <c r="S90" s="59">
        <f>(IF(inputs!$C$6="aerial",((0.025*0.112*inputs!$C$7/3.3)*(3*60*284*((F90/1000)^0.77))*MAX(inputs!$H$14:$H$16))/F90,((0.0083*0.112*inputs!$C$7/1)*(3*60*284*((F90/1000)^0.77))*MAX(inputs!$H$14:$H$16))/F90))*(inputs!E$75*3.4/inputs!$E$73)</f>
        <v>2.5425055705235729E-2</v>
      </c>
      <c r="T90" s="63">
        <f>IF((((inputs!$P$12/(V90/MAX(K90:S90)))^(1/inputs!$O$12))-1)/inputs!$N$12&lt;0, 0, IF((((inputs!$P$12/(V90/MAX(K90:S90)))^(1/inputs!$O$12))-1)/inputs!$N$12&gt;inputs!$H$17, inputs!$H$17, (((inputs!$P$12/(V90/MAX(K90:S90)))^(1/inputs!$O$12))-1)/inputs!$N$12))</f>
        <v>519.84287709362843</v>
      </c>
      <c r="U90" s="63">
        <f>IF((((inputs!$P$12/(X90/MAX(K90:S90)))^(1/inputs!$O$12))-1)/inputs!$N$12&lt;0, 0, IF((((inputs!$P$12/(X90/MAX(K90:S90)))^(1/inputs!$O$12))-1)/inputs!$N$12&gt;inputs!$H$17, inputs!$H$17, (((inputs!$P$12/(X90/MAX(K90:S90)))^(1/inputs!$O$12))-1)/inputs!$N$12))</f>
        <v>39.013546706261984</v>
      </c>
      <c r="V90" s="21">
        <f>inputs!$E$78*(F90/inputs!$F$78)^(inputs!$E$84-1)</f>
        <v>7.8910077366186188E-3</v>
      </c>
      <c r="W90" s="21">
        <f>inputs!$E$85*(F90/inputs!$F$85)^(inputs!$E$84-1)</f>
        <v>0.36439220076504825</v>
      </c>
      <c r="X90" s="21">
        <f>inputs!$E$80*(F90/inputs!$F$80)^(inputs!$E$84-1)</f>
        <v>1.3607050534897371</v>
      </c>
      <c r="Y90" s="21">
        <f>inputs!$E$82*(F90/inputs!$F$82)^(inputs!$E$84-1)</f>
        <v>0.62712745696284811</v>
      </c>
      <c r="Z90" s="63">
        <f t="shared" si="9"/>
        <v>3018.7408560338322</v>
      </c>
      <c r="AA90" s="63">
        <f t="shared" si="10"/>
        <v>65.371617174564221</v>
      </c>
    </row>
    <row r="91" spans="1:27" x14ac:dyDescent="0.25">
      <c r="A91" s="114" t="s">
        <v>317</v>
      </c>
      <c r="B91" s="48" t="s">
        <v>318</v>
      </c>
      <c r="C91" s="20" t="s">
        <v>73</v>
      </c>
      <c r="D91" s="48" t="s">
        <v>172</v>
      </c>
      <c r="E91" s="15">
        <v>147</v>
      </c>
      <c r="F91" s="15">
        <v>773</v>
      </c>
      <c r="G91" s="20" t="s">
        <v>241</v>
      </c>
      <c r="H91" s="20">
        <v>0.8</v>
      </c>
      <c r="I91" s="48">
        <f>inputs!$C$65*inputs!$C$60/1000</f>
        <v>2.8</v>
      </c>
      <c r="J91" s="48">
        <f>inputs!$C$65*inputs!$C$59/1000</f>
        <v>2.8</v>
      </c>
      <c r="K91" s="59">
        <f t="shared" si="12"/>
        <v>0.80452183831489099</v>
      </c>
      <c r="L91" s="59">
        <f t="shared" si="13"/>
        <v>0.80452183831489099</v>
      </c>
      <c r="M91" s="59">
        <f>IF((((1.18*F91^0.874)/3.7-(0.301*F91^0.751)/(1-H91)*H91)*(MAX('Min rate concentrations'!$P$3:$P$368)))/F91&gt;0, (((1.18*F91^0.874)/3.7-(0.301*F91^0.751)/(1-H91)*H91)*(MAX('Min rate concentrations'!$P$3:$P$368)))/F91, 0)</f>
        <v>0</v>
      </c>
      <c r="N91" s="59">
        <f>IF((((1.18*F91^0.874)/3.7-(0.301*F91^0.751)/(1-H91)*H91)*(MAX('Min rate concentrations'!$Q$3:$Q$368)))/F91&gt;0, (((1.18*F91^0.874)/3.7-(0.301*F91^0.751)/(1-H91)*H91)*(MAX('Min rate concentrations'!$Q$3:$Q$368)))/F91, 0)</f>
        <v>0</v>
      </c>
      <c r="O91" s="59">
        <f>((MAX('Min rate concentrations'!$F$3:$F$368))*0.62*6.01*8*(10*F91^0.667)*0.079*0.1/F91)*inputs!$E$80/(10^(0.84+0.62*LOG10(inputs!$E$80)))</f>
        <v>2.6720119981079749</v>
      </c>
      <c r="P91" s="59">
        <f>((MAX('Min rate concentrations'!Y:Y))*0.62*6.01*8*(10*F91^0.667)*0.079*0.1/F91)*inputs!$E$80/(10^(0.84+0.62*LOG10(inputs!$E$80)))</f>
        <v>0.89067066603599165</v>
      </c>
      <c r="Q91" s="59">
        <f>(inputs!$C$7*11.2*(10*F91^0.667)*0.5/F91)*inputs!$E$80/(10^(0.84+0.62*LOG10(inputs!$E$80)))</f>
        <v>0.47066231071348136</v>
      </c>
      <c r="R91" s="59">
        <f>(60*284*((F91/1000)^0.77)*3*24*(MAX('Min rate concentrations'!$R$3:$R$368))/F91)*(inputs!$E$73*3.4/inputs!$E$75)</f>
        <v>4.9734095208041123E-3</v>
      </c>
      <c r="S91" s="59">
        <f>(IF(inputs!$C$6="aerial",((0.025*0.112*inputs!$C$7/3.3)*(3*60*284*((F91/1000)^0.77))*MAX(inputs!$H$14:$H$16))/F91,((0.0083*0.112*inputs!$C$7/1)*(3*60*284*((F91/1000)^0.77))*MAX(inputs!$H$14:$H$16))/F91))*(inputs!E$75*3.4/inputs!$E$73)</f>
        <v>2.7428659065106709E-2</v>
      </c>
      <c r="T91" s="63">
        <f>IF((((inputs!$P$12/(V91/MAX(K91:S91)))^(1/inputs!$O$12))-1)/inputs!$N$12&lt;0, 0, IF((((inputs!$P$12/(V91/MAX(K91:S91)))^(1/inputs!$O$12))-1)/inputs!$N$12&gt;inputs!$H$17, inputs!$H$17, (((inputs!$P$12/(V91/MAX(K91:S91)))^(1/inputs!$O$12))-1)/inputs!$N$12))</f>
        <v>185.81972800999202</v>
      </c>
      <c r="U91" s="63">
        <f>IF((((inputs!$P$12/(X91/MAX(K91:S91)))^(1/inputs!$O$12))-1)/inputs!$N$12&lt;0, 0, IF((((inputs!$P$12/(X91/MAX(K91:S91)))^(1/inputs!$O$12))-1)/inputs!$N$12&gt;inputs!$H$17, inputs!$H$17, (((inputs!$P$12/(X91/MAX(K91:S91)))^(1/inputs!$O$12))-1)/inputs!$N$12))</f>
        <v>0</v>
      </c>
      <c r="V91" s="21">
        <f>inputs!$E$78*(F91/inputs!$F$78)^(inputs!$E$84-1)</f>
        <v>8.9151198958738638E-3</v>
      </c>
      <c r="W91" s="21">
        <f>inputs!$E$85*(F91/inputs!$F$85)^(inputs!$E$84-1)</f>
        <v>0.41168381369928875</v>
      </c>
      <c r="X91" s="21">
        <f>inputs!$E$80*(F91/inputs!$F$80)^(inputs!$E$84-1)</f>
        <v>1.5373003169783566</v>
      </c>
      <c r="Y91" s="21">
        <f>inputs!$E$82*(F91/inputs!$F$82)^(inputs!$E$84-1)</f>
        <v>0.70851742330365974</v>
      </c>
      <c r="Z91" s="63">
        <f t="shared" si="9"/>
        <v>299.71688875935899</v>
      </c>
      <c r="AA91" s="63">
        <f t="shared" si="10"/>
        <v>6.4904470595963852</v>
      </c>
    </row>
    <row r="92" spans="1:27" x14ac:dyDescent="0.25">
      <c r="A92" s="114" t="s">
        <v>317</v>
      </c>
      <c r="B92" s="48" t="s">
        <v>318</v>
      </c>
      <c r="C92" s="20" t="s">
        <v>73</v>
      </c>
      <c r="D92" s="48" t="s">
        <v>172</v>
      </c>
      <c r="E92" s="15">
        <v>1473</v>
      </c>
      <c r="F92" s="15">
        <v>773</v>
      </c>
      <c r="G92" s="20" t="s">
        <v>164</v>
      </c>
      <c r="H92" s="20">
        <v>0.78</v>
      </c>
      <c r="I92" s="48">
        <f>inputs!$C$65*(inputs!$C$62/1000)</f>
        <v>0.82000000000000006</v>
      </c>
      <c r="J92" s="48">
        <f>inputs!$C$65*(inputs!$C$61/1000)</f>
        <v>0.25</v>
      </c>
      <c r="K92" s="59">
        <f t="shared" si="12"/>
        <v>0.21419087903188655</v>
      </c>
      <c r="L92" s="59">
        <f t="shared" si="13"/>
        <v>6.5302097265819065E-2</v>
      </c>
      <c r="M92" s="59">
        <f>IF((((1.18*F92^0.874)/3.7-(0.301*F92^0.751)/(1-H92)*H92)*(MAX('Min rate concentrations'!$P$3:$P$368)))/F92&gt;0, (((1.18*F92^0.874)/3.7-(0.301*F92^0.751)/(1-H92)*H92)*(MAX('Min rate concentrations'!$P$3:$P$368)))/F92, 0)</f>
        <v>0</v>
      </c>
      <c r="N92" s="59">
        <f>IF((((1.18*F92^0.874)/3.7-(0.301*F92^0.751)/(1-H92)*H92)*(MAX('Min rate concentrations'!$Q$3:$Q$368)))/F92&gt;0, (((1.18*F92^0.874)/3.7-(0.301*F92^0.751)/(1-H92)*H92)*(MAX('Min rate concentrations'!$Q$3:$Q$368)))/F92, 0)</f>
        <v>0</v>
      </c>
      <c r="O92" s="59">
        <f>((MAX('Min rate concentrations'!$F$3:$F$368))*0.62*6.01*8*(10*F92^0.667)*0.079*0.1/F92)*inputs!$E$80/(10^(0.84+0.62*LOG10(inputs!$E$80)))</f>
        <v>2.6720119981079749</v>
      </c>
      <c r="P92" s="59">
        <f>((MAX('Min rate concentrations'!Y:Y))*0.62*6.01*8*(10*F92^0.667)*0.079*0.1/F92)*inputs!$E$80/(10^(0.84+0.62*LOG10(inputs!$E$80)))</f>
        <v>0.89067066603599165</v>
      </c>
      <c r="Q92" s="59">
        <f>(inputs!$C$7*11.2*(10*F92^0.667)*0.5/F92)*inputs!$E$80/(10^(0.84+0.62*LOG10(inputs!$E$80)))</f>
        <v>0.47066231071348136</v>
      </c>
      <c r="R92" s="59">
        <f>(60*284*((F92/1000)^0.77)*3*24*(MAX('Min rate concentrations'!$R$3:$R$368))/F92)*(inputs!$E$73*3.4/inputs!$E$75)</f>
        <v>4.9734095208041123E-3</v>
      </c>
      <c r="S92" s="59">
        <f>(IF(inputs!$C$6="aerial",((0.025*0.112*inputs!$C$7/3.3)*(3*60*284*((F92/1000)^0.77))*MAX(inputs!$H$14:$H$16))/F92,((0.0083*0.112*inputs!$C$7/1)*(3*60*284*((F92/1000)^0.77))*MAX(inputs!$H$14:$H$16))/F92))*(inputs!E$75*3.4/inputs!$E$73)</f>
        <v>2.7428659065106709E-2</v>
      </c>
      <c r="T92" s="63">
        <f>IF((((inputs!$P$12/(V92/MAX(K92:S92)))^(1/inputs!$O$12))-1)/inputs!$N$12&lt;0, 0, IF((((inputs!$P$12/(V92/MAX(K92:S92)))^(1/inputs!$O$12))-1)/inputs!$N$12&gt;inputs!$H$17, inputs!$H$17, (((inputs!$P$12/(V92/MAX(K92:S92)))^(1/inputs!$O$12))-1)/inputs!$N$12))</f>
        <v>185.81972800999202</v>
      </c>
      <c r="U92" s="63">
        <f>IF((((inputs!$P$12/(X92/MAX(K92:S92)))^(1/inputs!$O$12))-1)/inputs!$N$12&lt;0, 0, IF((((inputs!$P$12/(X92/MAX(K92:S92)))^(1/inputs!$O$12))-1)/inputs!$N$12&gt;inputs!$H$17, inputs!$H$17, (((inputs!$P$12/(X92/MAX(K92:S92)))^(1/inputs!$O$12))-1)/inputs!$N$12))</f>
        <v>0</v>
      </c>
      <c r="V92" s="21">
        <f>inputs!$E$78*(F92/inputs!$F$78)^(inputs!$E$84-1)</f>
        <v>8.9151198958738638E-3</v>
      </c>
      <c r="W92" s="21">
        <f>inputs!$E$85*(F92/inputs!$F$85)^(inputs!$E$84-1)</f>
        <v>0.41168381369928875</v>
      </c>
      <c r="X92" s="21">
        <f>inputs!$E$80*(F92/inputs!$F$80)^(inputs!$E$84-1)</f>
        <v>1.5373003169783566</v>
      </c>
      <c r="Y92" s="21">
        <f>inputs!$E$82*(F92/inputs!$F$82)^(inputs!$E$84-1)</f>
        <v>0.70851742330365974</v>
      </c>
      <c r="Z92" s="63">
        <f t="shared" si="9"/>
        <v>299.71688875935899</v>
      </c>
      <c r="AA92" s="63">
        <f t="shared" si="10"/>
        <v>6.4904470595963852</v>
      </c>
    </row>
    <row r="93" spans="1:27" x14ac:dyDescent="0.25">
      <c r="A93" s="103" t="s">
        <v>147</v>
      </c>
      <c r="B93" s="20" t="s">
        <v>148</v>
      </c>
      <c r="C93" s="20" t="s">
        <v>73</v>
      </c>
      <c r="D93" s="104" t="s">
        <v>149</v>
      </c>
      <c r="E93" s="15">
        <v>148</v>
      </c>
      <c r="F93" s="15">
        <v>6.4</v>
      </c>
      <c r="G93" s="20" t="s">
        <v>142</v>
      </c>
      <c r="H93" s="20">
        <v>0.69</v>
      </c>
      <c r="I93" s="48">
        <f>MAX('Min rate concentrations'!$H$3:$H$368)</f>
        <v>47</v>
      </c>
      <c r="J93" s="48">
        <f>MAX('Min rate concentrations'!AA:AA)</f>
        <v>32.5</v>
      </c>
      <c r="K93" s="59">
        <f t="shared" si="12"/>
        <v>28.74510147875171</v>
      </c>
      <c r="L93" s="59">
        <f t="shared" si="13"/>
        <v>19.876931873604907</v>
      </c>
      <c r="M93" s="59">
        <f>IF((((1.18*F93^0.874)/3.7-(0.301*F93^0.751)/(1-H93)*H93)*(MAX('Min rate concentrations'!$P$3:$P$368)))/F93&gt;0, (((1.18*F93^0.874)/3.7-(0.301*F93^0.751)/(1-H93)*H93)*(MAX('Min rate concentrations'!$P$3:$P$368)))/F93, 0)</f>
        <v>0</v>
      </c>
      <c r="N93" s="59">
        <f>IF((((1.18*F93^0.874)/3.7-(0.301*F93^0.751)/(1-H93)*H93)*(MAX('Min rate concentrations'!$Q$3:$Q$368)))/F93&gt;0, (((1.18*F93^0.874)/3.7-(0.301*F93^0.751)/(1-H93)*H93)*(MAX('Min rate concentrations'!$Q$3:$Q$368)))/F93, 0)</f>
        <v>0</v>
      </c>
      <c r="O93" s="59">
        <f>((MAX('Min rate concentrations'!$F$3:$F$368))*0.62*6.01*8*(10*F93^0.667)*0.079*0.1/F93)*inputs!$E$80/(10^(0.84+0.62*LOG10(inputs!$E$80)))</f>
        <v>13.186946494337173</v>
      </c>
      <c r="P93" s="59">
        <f>((MAX('Min rate concentrations'!Y:Y))*0.62*6.01*8*(10*F93^0.667)*0.079*0.1/F93)*inputs!$E$80/(10^(0.84+0.62*LOG10(inputs!$E$80)))</f>
        <v>4.3956488314457243</v>
      </c>
      <c r="Q93" s="59">
        <f>(inputs!$C$7*11.2*(10*F93^0.667)*0.5/F93)*inputs!$E$80/(10^(0.84+0.62*LOG10(inputs!$E$80)))</f>
        <v>2.3228184277146235</v>
      </c>
      <c r="R93" s="59">
        <f>(60*284*((F93/1000)^0.77)*3*24*(MAX('Min rate concentrations'!$R$3:$R$368))/F93)*(inputs!$E$73*3.4/inputs!$E$75)</f>
        <v>1.4980079251729525E-2</v>
      </c>
      <c r="S93" s="59">
        <f>(IF(inputs!$C$6="aerial",((0.025*0.112*inputs!$C$7/3.3)*(3*60*284*((F93/1000)^0.77))*MAX(inputs!$H$14:$H$16))/F93,((0.0083*0.112*inputs!$C$7/1)*(3*60*284*((F93/1000)^0.77))*MAX(inputs!$H$14:$H$16))/F93))*(inputs!E$75*3.4/inputs!$E$73)</f>
        <v>8.2616057424029568E-2</v>
      </c>
      <c r="T93" s="63">
        <f>IF((((inputs!$P$12/(V93/MAX(K93:S93)))^(1/inputs!$O$12))-1)/inputs!$N$12&lt;0, 0, IF((((inputs!$P$12/(V93/MAX(K93:S93)))^(1/inputs!$O$12))-1)/inputs!$N$12&gt;inputs!$H$17, inputs!$H$17, (((inputs!$P$12/(V93/MAX(K93:S93)))^(1/inputs!$O$12))-1)/inputs!$N$12))</f>
        <v>245.26163331961965</v>
      </c>
      <c r="U93" s="63">
        <f>IF((((inputs!$P$12/(X93/MAX(K93:S93)))^(1/inputs!$O$12))-1)/inputs!$N$12&lt;0, 0, IF((((inputs!$P$12/(X93/MAX(K93:S93)))^(1/inputs!$O$12))-1)/inputs!$N$12&gt;inputs!$H$17, inputs!$H$17, (((inputs!$P$12/(X93/MAX(K93:S93)))^(1/inputs!$O$12))-1)/inputs!$N$12))</f>
        <v>5.2106954678149675</v>
      </c>
      <c r="V93" s="21">
        <f>inputs!$E$78*(F93/inputs!$F$78)^(inputs!$E$84-1)</f>
        <v>5.2537210583032415E-2</v>
      </c>
      <c r="W93" s="21">
        <f>inputs!$E$85*(F93/inputs!$F$85)^(inputs!$E$84-1)</f>
        <v>2.426071602688789</v>
      </c>
      <c r="X93" s="21">
        <f>inputs!$E$80*(F93/inputs!$F$80)^(inputs!$E$84-1)</f>
        <v>9.0593813011796538</v>
      </c>
      <c r="Y93" s="21">
        <f>inputs!$E$82*(F93/inputs!$F$82)^(inputs!$E$84-1)</f>
        <v>4.1753256831778396</v>
      </c>
      <c r="Z93" s="63">
        <f t="shared" si="9"/>
        <v>547.13794584357549</v>
      </c>
      <c r="AA93" s="63">
        <f t="shared" si="10"/>
        <v>11.848414303557169</v>
      </c>
    </row>
    <row r="94" spans="1:27" x14ac:dyDescent="0.25">
      <c r="A94" s="103" t="s">
        <v>199</v>
      </c>
      <c r="B94" s="20" t="s">
        <v>200</v>
      </c>
      <c r="C94" s="20" t="s">
        <v>73</v>
      </c>
      <c r="D94" s="104" t="s">
        <v>201</v>
      </c>
      <c r="E94" s="15">
        <v>111</v>
      </c>
      <c r="F94" s="15">
        <v>33.799999999999997</v>
      </c>
      <c r="G94" s="20" t="s">
        <v>142</v>
      </c>
      <c r="H94" s="20">
        <v>0.69</v>
      </c>
      <c r="I94" s="48">
        <f>MAX('Min rate concentrations'!$H$3:$H$368)</f>
        <v>47</v>
      </c>
      <c r="J94" s="48">
        <f>MAX('Min rate concentrations'!AA:AA)</f>
        <v>32.5</v>
      </c>
      <c r="K94" s="59">
        <f t="shared" si="12"/>
        <v>18.993386301223843</v>
      </c>
      <c r="L94" s="59">
        <f t="shared" si="13"/>
        <v>13.133724569995209</v>
      </c>
      <c r="M94" s="59">
        <f>IF((((1.18*F94^0.874)/3.7-(0.301*F94^0.751)/(1-H94)*H94)*(MAX('Min rate concentrations'!$P$3:$P$368)))/F94&gt;0, (((1.18*F94^0.874)/3.7-(0.301*F94^0.751)/(1-H94)*H94)*(MAX('Min rate concentrations'!$P$3:$P$368)))/F94, 0)</f>
        <v>0</v>
      </c>
      <c r="N94" s="59">
        <f>IF((((1.18*F94^0.874)/3.7-(0.301*F94^0.751)/(1-H94)*H94)*(MAX('Min rate concentrations'!$Q$3:$Q$368)))/F94&gt;0, (((1.18*F94^0.874)/3.7-(0.301*F94^0.751)/(1-H94)*H94)*(MAX('Min rate concentrations'!$Q$3:$Q$368)))/F94, 0)</f>
        <v>0</v>
      </c>
      <c r="O94" s="59">
        <f>((MAX('Min rate concentrations'!$F$3:$F$368))*0.62*6.01*8*(10*F94^0.667)*0.079*0.1/F94)*inputs!$E$80/(10^(0.84+0.62*LOG10(inputs!$E$80)))</f>
        <v>7.5765747829310728</v>
      </c>
      <c r="P94" s="59">
        <f>((MAX('Min rate concentrations'!Y:Y))*0.62*6.01*8*(10*F94^0.667)*0.079*0.1/F94)*inputs!$E$80/(10^(0.84+0.62*LOG10(inputs!$E$80)))</f>
        <v>2.5255249276436906</v>
      </c>
      <c r="Q94" s="59">
        <f>(inputs!$C$7*11.2*(10*F94^0.667)*0.5/F94)*inputs!$E$80/(10^(0.84+0.62*LOG10(inputs!$E$80)))</f>
        <v>1.3345779125067128</v>
      </c>
      <c r="R94" s="59">
        <f>(60*284*((F94/1000)^0.77)*3*24*(MAX('Min rate concentrations'!$R$3:$R$368))/F94)*(inputs!$E$73*3.4/inputs!$E$75)</f>
        <v>1.0216088910838762E-2</v>
      </c>
      <c r="S94" s="59">
        <f>(IF(inputs!$C$6="aerial",((0.025*0.112*inputs!$C$7/3.3)*(3*60*284*((F94/1000)^0.77))*MAX(inputs!$H$14:$H$16))/F94,((0.0083*0.112*inputs!$C$7/1)*(3*60*284*((F94/1000)^0.77))*MAX(inputs!$H$14:$H$16))/F94))*(inputs!E$75*3.4/inputs!$E$73)</f>
        <v>5.6342358002505318E-2</v>
      </c>
      <c r="T94" s="63">
        <f>IF((((inputs!$P$12/(V94/MAX(K94:S94)))^(1/inputs!$O$12))-1)/inputs!$N$12&lt;0, 0, IF((((inputs!$P$12/(V94/MAX(K94:S94)))^(1/inputs!$O$12))-1)/inputs!$N$12&gt;inputs!$H$17, inputs!$H$17, (((inputs!$P$12/(V94/MAX(K94:S94)))^(1/inputs!$O$12))-1)/inputs!$N$12))</f>
        <v>268.62611715199381</v>
      </c>
      <c r="U94" s="63">
        <f>IF((((inputs!$P$12/(X94/MAX(K94:S94)))^(1/inputs!$O$12))-1)/inputs!$N$12&lt;0, 0, IF((((inputs!$P$12/(X94/MAX(K94:S94)))^(1/inputs!$O$12))-1)/inputs!$N$12&gt;inputs!$H$17, inputs!$H$17, (((inputs!$P$12/(X94/MAX(K94:S94)))^(1/inputs!$O$12))-1)/inputs!$N$12))</f>
        <v>8.0870251121619567</v>
      </c>
      <c r="V94" s="21">
        <f>inputs!$E$78*(F94/inputs!$F$78)^(inputs!$E$84-1)</f>
        <v>2.8382746730274414E-2</v>
      </c>
      <c r="W94" s="21">
        <f>inputs!$E$85*(F94/inputs!$F$85)^(inputs!$E$84-1)</f>
        <v>1.3106629583959224</v>
      </c>
      <c r="X94" s="21">
        <f>inputs!$E$80*(F94/inputs!$F$80)^(inputs!$E$84-1)</f>
        <v>4.8942477560354058</v>
      </c>
      <c r="Y94" s="21">
        <f>inputs!$E$82*(F94/inputs!$F$82)^(inputs!$E$84-1)</f>
        <v>2.2556814506691771</v>
      </c>
      <c r="Z94" s="63">
        <f t="shared" si="9"/>
        <v>669.18774570061521</v>
      </c>
      <c r="AA94" s="63">
        <f t="shared" si="10"/>
        <v>14.491434414587584</v>
      </c>
    </row>
    <row r="95" spans="1:27" x14ac:dyDescent="0.25">
      <c r="A95" s="114" t="s">
        <v>346</v>
      </c>
      <c r="B95" s="20" t="s">
        <v>347</v>
      </c>
      <c r="C95" s="20" t="s">
        <v>73</v>
      </c>
      <c r="D95" s="48" t="s">
        <v>185</v>
      </c>
      <c r="E95" s="15">
        <v>96</v>
      </c>
      <c r="F95" s="15">
        <v>39</v>
      </c>
      <c r="G95" s="20" t="s">
        <v>186</v>
      </c>
      <c r="H95" s="49">
        <v>0.75</v>
      </c>
      <c r="I95" s="48">
        <f>inputs!$C$65*inputs!$C$64/1000</f>
        <v>2.13</v>
      </c>
      <c r="J95" s="48">
        <f>inputs!$C$65*inputs!$C$63/1000</f>
        <v>0.88</v>
      </c>
      <c r="K95" s="59">
        <f t="shared" si="12"/>
        <v>1.0299852448202287</v>
      </c>
      <c r="L95" s="59">
        <f t="shared" si="13"/>
        <v>0.42553381006657343</v>
      </c>
      <c r="M95" s="59">
        <f>IF((((1.18*F95^0.874)/3.7-(0.301*F95^0.751)/(1-H95)*H95)*(MAX('Min rate concentrations'!$P$3:$P$368)))/F95&gt;0, (((1.18*F95^0.874)/3.7-(0.301*F95^0.751)/(1-H95)*H95)*(MAX('Min rate concentrations'!$P$3:$P$368)))/F95, 0)</f>
        <v>0</v>
      </c>
      <c r="N95" s="59">
        <f>IF((((1.18*F95^0.874)/3.7-(0.301*F95^0.751)/(1-H95)*H95)*(MAX('Min rate concentrations'!$Q$3:$Q$368)))/F95&gt;0, (((1.18*F95^0.874)/3.7-(0.301*F95^0.751)/(1-H95)*H95)*(MAX('Min rate concentrations'!$Q$3:$Q$368)))/F95, 0)</f>
        <v>0</v>
      </c>
      <c r="O95" s="59">
        <f>((MAX('Min rate concentrations'!$F$3:$F$368))*0.62*6.01*8*(10*F95^0.667)*0.079*0.1/F95)*inputs!$E$80/(10^(0.84+0.62*LOG10(inputs!$E$80)))</f>
        <v>7.2239987349183759</v>
      </c>
      <c r="P95" s="59">
        <f>((MAX('Min rate concentrations'!Y:Y))*0.62*6.01*8*(10*F95^0.667)*0.079*0.1/F95)*inputs!$E$80/(10^(0.84+0.62*LOG10(inputs!$E$80)))</f>
        <v>2.407999578306125</v>
      </c>
      <c r="Q95" s="59">
        <f>(inputs!$C$7*11.2*(10*F95^0.667)*0.5/F95)*inputs!$E$80/(10^(0.84+0.62*LOG10(inputs!$E$80)))</f>
        <v>1.2724733046017387</v>
      </c>
      <c r="R95" s="59">
        <f>(60*284*((F95/1000)^0.77)*3*24*(MAX('Min rate concentrations'!$R$3:$R$368))/F95)*(inputs!$E$73*3.4/inputs!$E$75)</f>
        <v>9.8853180167296963E-3</v>
      </c>
      <c r="S95" s="59">
        <f>(IF(inputs!$C$6="aerial",((0.025*0.112*inputs!$C$7/3.3)*(3*60*284*((F95/1000)^0.77))*MAX(inputs!$H$14:$H$16))/F95,((0.0083*0.112*inputs!$C$7/1)*(3*60*284*((F95/1000)^0.77))*MAX(inputs!$H$14:$H$16))/F95))*(inputs!E$75*3.4/inputs!$E$73)</f>
        <v>5.4518136199489343E-2</v>
      </c>
      <c r="T95" s="63">
        <f>IF((((inputs!$P$12/(V95/MAX(K95:S95)))^(1/inputs!$O$12))-1)/inputs!$N$12&lt;0, 0, IF((((inputs!$P$12/(V95/MAX(K95:S95)))^(1/inputs!$O$12))-1)/inputs!$N$12&gt;inputs!$H$17, inputs!$H$17, (((inputs!$P$12/(V95/MAX(K95:S95)))^(1/inputs!$O$12))-1)/inputs!$N$12))</f>
        <v>176.40026381594936</v>
      </c>
      <c r="U95" s="63">
        <f>IF((((inputs!$P$12/(X95/MAX(K95:S95)))^(1/inputs!$O$12))-1)/inputs!$N$12&lt;0, 0, IF((((inputs!$P$12/(X95/MAX(K95:S95)))^(1/inputs!$O$12))-1)/inputs!$N$12&gt;inputs!$H$17, inputs!$H$17, (((inputs!$P$12/(X95/MAX(K95:S95)))^(1/inputs!$O$12))-1)/inputs!$N$12))</f>
        <v>0</v>
      </c>
      <c r="V95" s="21">
        <f>inputs!$E$78*(F95/inputs!$F$78)^(inputs!$E$84-1)</f>
        <v>2.6919047967817342E-2</v>
      </c>
      <c r="W95" s="21">
        <f>inputs!$E$85*(F95/inputs!$F$85)^(inputs!$E$84-1)</f>
        <v>1.2430720459154132</v>
      </c>
      <c r="X95" s="21">
        <f>inputs!$E$80*(F95/inputs!$F$80)^(inputs!$E$84-1)</f>
        <v>4.6418513106967962</v>
      </c>
      <c r="Y95" s="21">
        <f>inputs!$E$82*(F95/inputs!$F$82)^(inputs!$E$84-1)</f>
        <v>2.1393559174423253</v>
      </c>
      <c r="Z95" s="63">
        <f t="shared" si="9"/>
        <v>268.36011227272667</v>
      </c>
      <c r="AA95" s="63">
        <f t="shared" si="10"/>
        <v>5.8114079217335597</v>
      </c>
    </row>
    <row r="96" spans="1:27" x14ac:dyDescent="0.25">
      <c r="A96" s="103" t="s">
        <v>292</v>
      </c>
      <c r="B96" s="20" t="s">
        <v>293</v>
      </c>
      <c r="C96" s="20" t="s">
        <v>73</v>
      </c>
      <c r="D96" s="104" t="s">
        <v>185</v>
      </c>
      <c r="E96" s="15">
        <v>91</v>
      </c>
      <c r="F96" s="15">
        <v>270</v>
      </c>
      <c r="G96" s="20" t="s">
        <v>142</v>
      </c>
      <c r="H96" s="20">
        <v>0.69</v>
      </c>
      <c r="I96" s="48">
        <f>MAX('Min rate concentrations'!$H$3:$H$368)</f>
        <v>47</v>
      </c>
      <c r="J96" s="48">
        <f>MAX('Min rate concentrations'!AA:AA)</f>
        <v>32.5</v>
      </c>
      <c r="K96" s="59">
        <f t="shared" si="12"/>
        <v>11.321216154971356</v>
      </c>
      <c r="L96" s="59">
        <f t="shared" si="13"/>
        <v>7.8285005326929591</v>
      </c>
      <c r="M96" s="59">
        <f>IF((((1.18*F96^0.874)/3.7-(0.301*F96^0.751)/(1-H96)*H96)*(MAX('Min rate concentrations'!$P$3:$P$368)))/F96&gt;0, (((1.18*F96^0.874)/3.7-(0.301*F96^0.751)/(1-H96)*H96)*(MAX('Min rate concentrations'!$P$3:$P$368)))/F96, 0)</f>
        <v>0</v>
      </c>
      <c r="N96" s="59">
        <f>IF((((1.18*F96^0.874)/3.7-(0.301*F96^0.751)/(1-H96)*H96)*(MAX('Min rate concentrations'!$Q$3:$Q$368)))/F96&gt;0, (((1.18*F96^0.874)/3.7-(0.301*F96^0.751)/(1-H96)*H96)*(MAX('Min rate concentrations'!$Q$3:$Q$368)))/F96, 0)</f>
        <v>0</v>
      </c>
      <c r="O96" s="59">
        <f>((MAX('Min rate concentrations'!$F$3:$F$368))*0.62*6.01*8*(10*F96^0.667)*0.079*0.1/F96)*inputs!$E$80/(10^(0.84+0.62*LOG10(inputs!$E$80)))</f>
        <v>3.7927834035080275</v>
      </c>
      <c r="P96" s="59">
        <f>((MAX('Min rate concentrations'!Y:Y))*0.62*6.01*8*(10*F96^0.667)*0.079*0.1/F96)*inputs!$E$80/(10^(0.84+0.62*LOG10(inputs!$E$80)))</f>
        <v>1.2642611345026755</v>
      </c>
      <c r="Q96" s="59">
        <f>(inputs!$C$7*11.2*(10*F96^0.667)*0.5/F96)*inputs!$E$80/(10^(0.84+0.62*LOG10(inputs!$E$80)))</f>
        <v>0.66808090756884941</v>
      </c>
      <c r="R96" s="59">
        <f>(60*284*((F96/1000)^0.77)*3*24*(MAX('Min rate concentrations'!$R$3:$R$368))/F96)*(inputs!$E$73*3.4/inputs!$E$75)</f>
        <v>6.3346385480028498E-3</v>
      </c>
      <c r="S96" s="59">
        <f>(IF(inputs!$C$6="aerial",((0.025*0.112*inputs!$C$7/3.3)*(3*60*284*((F96/1000)^0.77))*MAX(inputs!$H$14:$H$16))/F96,((0.0083*0.112*inputs!$C$7/1)*(3*60*284*((F96/1000)^0.77))*MAX(inputs!$H$14:$H$16))/F96))*(inputs!E$75*3.4/inputs!$E$73)</f>
        <v>3.4935920781717637E-2</v>
      </c>
      <c r="T96" s="63">
        <f>IF((((inputs!$P$12/(V96/MAX(K96:S96)))^(1/inputs!$O$12))-1)/inputs!$N$12&lt;0, 0, IF((((inputs!$P$12/(V96/MAX(K96:S96)))^(1/inputs!$O$12))-1)/inputs!$N$12&gt;inputs!$H$17, inputs!$H$17, (((inputs!$P$12/(V96/MAX(K96:S96)))^(1/inputs!$O$12))-1)/inputs!$N$12))</f>
        <v>300.61929449833332</v>
      </c>
      <c r="U96" s="63">
        <f>IF((((inputs!$P$12/(X96/MAX(K96:S96)))^(1/inputs!$O$12))-1)/inputs!$N$12&lt;0, 0, IF((((inputs!$P$12/(X96/MAX(K96:S96)))^(1/inputs!$O$12))-1)/inputs!$N$12&gt;inputs!$H$17, inputs!$H$17, (((inputs!$P$12/(X96/MAX(K96:S96)))^(1/inputs!$O$12))-1)/inputs!$N$12))</f>
        <v>12.025606639506382</v>
      </c>
      <c r="V96" s="21">
        <f>inputs!$E$78*(F96/inputs!$F$78)^(inputs!$E$84-1)</f>
        <v>1.3156761686377191E-2</v>
      </c>
      <c r="W96" s="21">
        <f>inputs!$E$85*(F96/inputs!$F$85)^(inputs!$E$84-1)</f>
        <v>0.60755501779480292</v>
      </c>
      <c r="X96" s="21">
        <f>inputs!$E$80*(F96/inputs!$F$80)^(inputs!$E$84-1)</f>
        <v>2.2687181044236309</v>
      </c>
      <c r="Y96" s="21">
        <f>inputs!$E$82*(F96/inputs!$F$82)^(inputs!$E$84-1)</f>
        <v>1.0456163234962925</v>
      </c>
      <c r="Z96" s="63">
        <f t="shared" si="9"/>
        <v>860.48652585184391</v>
      </c>
      <c r="AA96" s="63">
        <f t="shared" si="10"/>
        <v>18.634059177164119</v>
      </c>
    </row>
    <row r="97" spans="1:476" x14ac:dyDescent="0.25">
      <c r="A97" s="103" t="s">
        <v>292</v>
      </c>
      <c r="B97" s="20" t="s">
        <v>293</v>
      </c>
      <c r="C97" s="20" t="s">
        <v>73</v>
      </c>
      <c r="D97" s="104" t="s">
        <v>185</v>
      </c>
      <c r="E97" s="15">
        <v>91</v>
      </c>
      <c r="F97" s="15">
        <v>270</v>
      </c>
      <c r="G97" s="20" t="s">
        <v>152</v>
      </c>
      <c r="H97" s="20">
        <v>0.77</v>
      </c>
      <c r="I97" s="48">
        <f>MAX('Min rate concentrations'!$G$3:$G$368)</f>
        <v>7.5</v>
      </c>
      <c r="J97" s="48">
        <f>MAX('Min rate concentrations'!Z:Z)</f>
        <v>3.5</v>
      </c>
      <c r="K97" s="59">
        <f t="shared" si="12"/>
        <v>2.434951670703831</v>
      </c>
      <c r="L97" s="59">
        <f t="shared" si="13"/>
        <v>1.1363107796617877</v>
      </c>
      <c r="M97" s="59">
        <f>IF((((1.18*F97^0.874)/3.7-(0.301*F97^0.751)/(1-H97)*H97)*(MAX('Min rate concentrations'!$P$3:$P$368)))/F97&gt;0, (((1.18*F97^0.874)/3.7-(0.301*F97^0.751)/(1-H97)*H97)*(MAX('Min rate concentrations'!$P$3:$P$368)))/F97, 0)</f>
        <v>0</v>
      </c>
      <c r="N97" s="59">
        <f>IF((((1.18*F97^0.874)/3.7-(0.301*F97^0.751)/(1-H97)*H97)*(MAX('Min rate concentrations'!$Q$3:$Q$368)))/F97&gt;0, (((1.18*F97^0.874)/3.7-(0.301*F97^0.751)/(1-H97)*H97)*(MAX('Min rate concentrations'!$Q$3:$Q$368)))/F97, 0)</f>
        <v>0</v>
      </c>
      <c r="O97" s="59">
        <f>((MAX('Min rate concentrations'!$F$3:$F$368))*0.62*6.01*8*(10*F97^0.667)*0.079*0.1/F97)*inputs!$E$80/(10^(0.84+0.62*LOG10(inputs!$E$80)))</f>
        <v>3.7927834035080275</v>
      </c>
      <c r="P97" s="59">
        <f>((MAX('Min rate concentrations'!Y:Y))*0.62*6.01*8*(10*F97^0.667)*0.079*0.1/F97)*inputs!$E$80/(10^(0.84+0.62*LOG10(inputs!$E$80)))</f>
        <v>1.2642611345026755</v>
      </c>
      <c r="Q97" s="59">
        <f>(inputs!$C$7*11.2*(10*F97^0.667)*0.5/F97)*inputs!$E$80/(10^(0.84+0.62*LOG10(inputs!$E$80)))</f>
        <v>0.66808090756884941</v>
      </c>
      <c r="R97" s="59">
        <f>(60*284*((F97/1000)^0.77)*3*24*(MAX('Min rate concentrations'!$R$3:$R$368))/F97)*(inputs!$E$73*3.4/inputs!$E$75)</f>
        <v>6.3346385480028498E-3</v>
      </c>
      <c r="S97" s="59">
        <f>(IF(inputs!$C$6="aerial",((0.025*0.112*inputs!$C$7/3.3)*(3*60*284*((F97/1000)^0.77))*MAX(inputs!$H$14:$H$16))/F97,((0.0083*0.112*inputs!$C$7/1)*(3*60*284*((F97/1000)^0.77))*MAX(inputs!$H$14:$H$16))/F97))*(inputs!E$75*3.4/inputs!$E$73)</f>
        <v>3.4935920781717637E-2</v>
      </c>
      <c r="T97" s="63">
        <f>IF((((inputs!$P$12/(V97/MAX(K97:S97)))^(1/inputs!$O$12))-1)/inputs!$N$12&lt;0, 0, IF((((inputs!$P$12/(V97/MAX(K97:S97)))^(1/inputs!$O$12))-1)/inputs!$N$12&gt;inputs!$H$17, inputs!$H$17, (((inputs!$P$12/(V97/MAX(K97:S97)))^(1/inputs!$O$12))-1)/inputs!$N$12))</f>
        <v>182.4539946808309</v>
      </c>
      <c r="U97" s="63">
        <f>IF((((inputs!$P$12/(X97/MAX(K97:S97)))^(1/inputs!$O$12))-1)/inputs!$N$12&lt;0, 0, IF((((inputs!$P$12/(X97/MAX(K97:S97)))^(1/inputs!$O$12))-1)/inputs!$N$12&gt;inputs!$H$17, inputs!$H$17, (((inputs!$P$12/(X97/MAX(K97:S97)))^(1/inputs!$O$12))-1)/inputs!$N$12))</f>
        <v>0</v>
      </c>
      <c r="V97" s="21">
        <f>inputs!$E$78*(F97/inputs!$F$78)^(inputs!$E$84-1)</f>
        <v>1.3156761686377191E-2</v>
      </c>
      <c r="W97" s="21">
        <f>inputs!$E$85*(F97/inputs!$F$85)^(inputs!$E$84-1)</f>
        <v>0.60755501779480292</v>
      </c>
      <c r="X97" s="21">
        <f>inputs!$E$80*(F97/inputs!$F$80)^(inputs!$E$84-1)</f>
        <v>2.2687181044236309</v>
      </c>
      <c r="Y97" s="21">
        <f>inputs!$E$82*(F97/inputs!$F$82)^(inputs!$E$84-1)</f>
        <v>1.0456163234962925</v>
      </c>
      <c r="Z97" s="63">
        <f t="shared" si="9"/>
        <v>288.27636267328313</v>
      </c>
      <c r="AA97" s="63">
        <f t="shared" si="10"/>
        <v>6.2426994962109115</v>
      </c>
    </row>
    <row r="98" spans="1:476" x14ac:dyDescent="0.25">
      <c r="A98" s="114" t="s">
        <v>265</v>
      </c>
      <c r="B98" s="48" t="s">
        <v>266</v>
      </c>
      <c r="C98" s="20" t="s">
        <v>73</v>
      </c>
      <c r="D98" s="48" t="s">
        <v>185</v>
      </c>
      <c r="E98" s="15">
        <v>104</v>
      </c>
      <c r="F98" s="15">
        <v>166</v>
      </c>
      <c r="G98" s="20" t="s">
        <v>164</v>
      </c>
      <c r="H98" s="20">
        <v>0.78</v>
      </c>
      <c r="I98" s="48">
        <f>inputs!$C$65*(inputs!$C$62/1000)</f>
        <v>0.82000000000000006</v>
      </c>
      <c r="J98" s="48">
        <f>inputs!$C$65*(inputs!$C$61/1000)</f>
        <v>0.25</v>
      </c>
      <c r="K98" s="59">
        <f t="shared" si="12"/>
        <v>0.31415990232273266</v>
      </c>
      <c r="L98" s="59">
        <f t="shared" si="13"/>
        <v>9.5780458025223378E-2</v>
      </c>
      <c r="M98" s="59">
        <f>IF((((1.18*F98^0.874)/3.7-(0.301*F98^0.751)/(1-H98)*H98)*(MAX('Min rate concentrations'!$P$3:$P$368)))/F98&gt;0, (((1.18*F98^0.874)/3.7-(0.301*F98^0.751)/(1-H98)*H98)*(MAX('Min rate concentrations'!$P$3:$P$368)))/F98, 0)</f>
        <v>0</v>
      </c>
      <c r="N98" s="59">
        <f>IF((((1.18*F98^0.874)/3.7-(0.301*F98^0.751)/(1-H98)*H98)*(MAX('Min rate concentrations'!$Q$3:$Q$368)))/F98&gt;0, (((1.18*F98^0.874)/3.7-(0.301*F98^0.751)/(1-H98)*H98)*(MAX('Min rate concentrations'!$Q$3:$Q$368)))/F98, 0)</f>
        <v>0</v>
      </c>
      <c r="O98" s="59">
        <f>((MAX('Min rate concentrations'!$F$3:$F$368))*0.62*6.01*8*(10*F98^0.667)*0.079*0.1/F98)*inputs!$E$80/(10^(0.84+0.62*LOG10(inputs!$E$80)))</f>
        <v>4.4597055141345994</v>
      </c>
      <c r="P98" s="59">
        <f>((MAX('Min rate concentrations'!Y:Y))*0.62*6.01*8*(10*F98^0.667)*0.079*0.1/F98)*inputs!$E$80/(10^(0.84+0.62*LOG10(inputs!$E$80)))</f>
        <v>1.4865685047115329</v>
      </c>
      <c r="Q98" s="59">
        <f>(inputs!$C$7*11.2*(10*F98^0.667)*0.5/F98)*inputs!$E$80/(10^(0.84+0.62*LOG10(inputs!$E$80)))</f>
        <v>0.78555609176550723</v>
      </c>
      <c r="R98" s="59">
        <f>(60*284*((F98/1000)^0.77)*3*24*(MAX('Min rate concentrations'!$R$3:$R$368))/F98)*(inputs!$E$73*3.4/inputs!$E$75)</f>
        <v>7.084523492366079E-3</v>
      </c>
      <c r="S98" s="59">
        <f>(IF(inputs!$C$6="aerial",((0.025*0.112*inputs!$C$7/3.3)*(3*60*284*((F98/1000)^0.77))*MAX(inputs!$H$14:$H$16))/F98,((0.0083*0.112*inputs!$C$7/1)*(3*60*284*((F98/1000)^0.77))*MAX(inputs!$H$14:$H$16))/F98))*(inputs!E$75*3.4/inputs!$E$73)</f>
        <v>3.9071582321543952E-2</v>
      </c>
      <c r="T98" s="63">
        <f>IF((((inputs!$P$12/(V98/MAX(K98:S98)))^(1/inputs!$O$12))-1)/inputs!$N$12&lt;0, 0, IF((((inputs!$P$12/(V98/MAX(K98:S98)))^(1/inputs!$O$12))-1)/inputs!$N$12&gt;inputs!$H$17, inputs!$H$17, (((inputs!$P$12/(V98/MAX(K98:S98)))^(1/inputs!$O$12))-1)/inputs!$N$12))</f>
        <v>180.91542737168831</v>
      </c>
      <c r="U98" s="63">
        <f>IF((((inputs!$P$12/(X98/MAX(K98:S98)))^(1/inputs!$O$12))-1)/inputs!$N$12&lt;0, 0, IF((((inputs!$P$12/(X98/MAX(K98:S98)))^(1/inputs!$O$12))-1)/inputs!$N$12&gt;inputs!$H$17, inputs!$H$17, (((inputs!$P$12/(X98/MAX(K98:S98)))^(1/inputs!$O$12))-1)/inputs!$N$12))</f>
        <v>0</v>
      </c>
      <c r="V98" s="21">
        <f>inputs!$E$78*(F98/inputs!$F$78)^(inputs!$E$84-1)</f>
        <v>1.5751198636649078E-2</v>
      </c>
      <c r="W98" s="21">
        <f>inputs!$E$85*(F98/inputs!$F$85)^(inputs!$E$84-1)</f>
        <v>0.72736133678605042</v>
      </c>
      <c r="X98" s="21">
        <f>inputs!$E$80*(F98/inputs!$F$80)^(inputs!$E$84-1)</f>
        <v>2.7160961310365175</v>
      </c>
      <c r="Y98" s="21">
        <f>inputs!$E$82*(F98/inputs!$F$82)^(inputs!$E$84-1)</f>
        <v>1.2518057863863215</v>
      </c>
      <c r="Z98" s="63">
        <f t="shared" si="9"/>
        <v>283.13435802644165</v>
      </c>
      <c r="AA98" s="63">
        <f t="shared" si="10"/>
        <v>6.131348050255796</v>
      </c>
    </row>
    <row r="99" spans="1:476" x14ac:dyDescent="0.25">
      <c r="A99" s="114" t="s">
        <v>265</v>
      </c>
      <c r="B99" s="48" t="s">
        <v>266</v>
      </c>
      <c r="C99" s="20" t="s">
        <v>73</v>
      </c>
      <c r="D99" s="48" t="s">
        <v>185</v>
      </c>
      <c r="E99" s="15">
        <v>104</v>
      </c>
      <c r="F99" s="15">
        <v>166</v>
      </c>
      <c r="G99" s="49" t="s">
        <v>186</v>
      </c>
      <c r="H99" s="49">
        <v>0.75</v>
      </c>
      <c r="I99" s="48">
        <f>inputs!$C$65*inputs!$C$64/1000</f>
        <v>2.13</v>
      </c>
      <c r="J99" s="48">
        <f>inputs!$C$65*inputs!$C$63/1000</f>
        <v>0.88</v>
      </c>
      <c r="K99" s="59">
        <f t="shared" si="12"/>
        <v>0.71812356208991468</v>
      </c>
      <c r="L99" s="59">
        <f t="shared" si="13"/>
        <v>0.29668954677893189</v>
      </c>
      <c r="M99" s="59">
        <f>IF((((1.18*F99^0.874)/3.7-(0.301*F99^0.751)/(1-H99)*H99)*(MAX('Min rate concentrations'!$P$3:$P$368)))/F99&gt;0, (((1.18*F99^0.874)/3.7-(0.301*F99^0.751)/(1-H99)*H99)*(MAX('Min rate concentrations'!$P$3:$P$368)))/F99, 0)</f>
        <v>0</v>
      </c>
      <c r="N99" s="59">
        <f>IF((((1.18*F99^0.874)/3.7-(0.301*F99^0.751)/(1-H99)*H99)*(MAX('Min rate concentrations'!$Q$3:$Q$368)))/F99&gt;0, (((1.18*F99^0.874)/3.7-(0.301*F99^0.751)/(1-H99)*H99)*(MAX('Min rate concentrations'!$Q$3:$Q$368)))/F99, 0)</f>
        <v>0</v>
      </c>
      <c r="O99" s="59">
        <f>((MAX('Min rate concentrations'!$F$3:$F$368))*0.62*6.01*8*(10*F99^0.667)*0.079*0.1/F99)*inputs!$E$80/(10^(0.84+0.62*LOG10(inputs!$E$80)))</f>
        <v>4.4597055141345994</v>
      </c>
      <c r="P99" s="59">
        <f>((MAX('Min rate concentrations'!Y:Y))*0.62*6.01*8*(10*F99^0.667)*0.079*0.1/F99)*inputs!$E$80/(10^(0.84+0.62*LOG10(inputs!$E$80)))</f>
        <v>1.4865685047115329</v>
      </c>
      <c r="Q99" s="59">
        <f>(inputs!$C$7*11.2*(10*F99^0.667)*0.5/F99)*inputs!$E$80/(10^(0.84+0.62*LOG10(inputs!$E$80)))</f>
        <v>0.78555609176550723</v>
      </c>
      <c r="R99" s="59">
        <f>(60*284*((F99/1000)^0.77)*3*24*(MAX('Min rate concentrations'!$R$3:$R$368))/F99)*(inputs!$E$73*3.4/inputs!$E$75)</f>
        <v>7.084523492366079E-3</v>
      </c>
      <c r="S99" s="59">
        <f>(IF(inputs!$C$6="aerial",((0.025*0.112*inputs!$C$7/3.3)*(3*60*284*((F99/1000)^0.77))*MAX(inputs!$H$14:$H$16))/F99,((0.0083*0.112*inputs!$C$7/1)*(3*60*284*((F99/1000)^0.77))*MAX(inputs!$H$14:$H$16))/F99))*(inputs!E$75*3.4/inputs!$E$73)</f>
        <v>3.9071582321543952E-2</v>
      </c>
      <c r="T99" s="63">
        <f>IF((((inputs!$P$12/(V99/MAX(K99:S99)))^(1/inputs!$O$12))-1)/inputs!$N$12&lt;0, 0, IF((((inputs!$P$12/(V99/MAX(K99:S99)))^(1/inputs!$O$12))-1)/inputs!$N$12&gt;inputs!$H$17, inputs!$H$17, (((inputs!$P$12/(V99/MAX(K99:S99)))^(1/inputs!$O$12))-1)/inputs!$N$12))</f>
        <v>180.91542737168831</v>
      </c>
      <c r="U99" s="63">
        <f>IF((((inputs!$P$12/(X99/MAX(K99:S99)))^(1/inputs!$O$12))-1)/inputs!$N$12&lt;0, 0, IF((((inputs!$P$12/(X99/MAX(K99:S99)))^(1/inputs!$O$12))-1)/inputs!$N$12&gt;inputs!$H$17, inputs!$H$17, (((inputs!$P$12/(X99/MAX(K99:S99)))^(1/inputs!$O$12))-1)/inputs!$N$12))</f>
        <v>0</v>
      </c>
      <c r="V99" s="21">
        <f>inputs!$E$78*(F99/inputs!$F$78)^(inputs!$E$84-1)</f>
        <v>1.5751198636649078E-2</v>
      </c>
      <c r="W99" s="21">
        <f>inputs!$E$85*(F99/inputs!$F$85)^(inputs!$E$84-1)</f>
        <v>0.72736133678605042</v>
      </c>
      <c r="X99" s="21">
        <f>inputs!$E$80*(F99/inputs!$F$80)^(inputs!$E$84-1)</f>
        <v>2.7160961310365175</v>
      </c>
      <c r="Y99" s="21">
        <f>inputs!$E$82*(F99/inputs!$F$82)^(inputs!$E$84-1)</f>
        <v>1.2518057863863215</v>
      </c>
      <c r="Z99" s="63">
        <f t="shared" si="9"/>
        <v>283.13435802644165</v>
      </c>
      <c r="AA99" s="63">
        <f t="shared" si="10"/>
        <v>6.131348050255796</v>
      </c>
    </row>
    <row r="100" spans="1:476" x14ac:dyDescent="0.25">
      <c r="A100" s="114" t="s">
        <v>344</v>
      </c>
      <c r="B100" s="20" t="s">
        <v>345</v>
      </c>
      <c r="C100" s="20" t="s">
        <v>73</v>
      </c>
      <c r="D100" s="48" t="s">
        <v>185</v>
      </c>
      <c r="E100" s="15">
        <v>134</v>
      </c>
      <c r="F100" s="15">
        <v>39</v>
      </c>
      <c r="G100" s="20" t="s">
        <v>186</v>
      </c>
      <c r="H100" s="49">
        <v>0.75</v>
      </c>
      <c r="I100" s="48">
        <f>inputs!$C$65*inputs!$C$64/1000</f>
        <v>2.13</v>
      </c>
      <c r="J100" s="48">
        <f>inputs!$C$65*inputs!$C$63/1000</f>
        <v>0.88</v>
      </c>
      <c r="K100" s="59">
        <f t="shared" si="12"/>
        <v>1.0299852448202287</v>
      </c>
      <c r="L100" s="59">
        <f t="shared" si="13"/>
        <v>0.42553381006657343</v>
      </c>
      <c r="M100" s="59">
        <f>IF((((1.18*F100^0.874)/3.7-(0.301*F100^0.751)/(1-H100)*H100)*(MAX('Min rate concentrations'!$P$3:$P$368)))/F100&gt;0, (((1.18*F100^0.874)/3.7-(0.301*F100^0.751)/(1-H100)*H100)*(MAX('Min rate concentrations'!$P$3:$P$368)))/F100, 0)</f>
        <v>0</v>
      </c>
      <c r="N100" s="59">
        <f>IF((((1.18*F100^0.874)/3.7-(0.301*F100^0.751)/(1-H100)*H100)*(MAX('Min rate concentrations'!$Q$3:$Q$368)))/F100&gt;0, (((1.18*F100^0.874)/3.7-(0.301*F100^0.751)/(1-H100)*H100)*(MAX('Min rate concentrations'!$Q$3:$Q$368)))/F100, 0)</f>
        <v>0</v>
      </c>
      <c r="O100" s="59">
        <f>((MAX('Min rate concentrations'!$F$3:$F$368))*0.62*6.01*8*(10*F100^0.667)*0.079*0.1/F100)*inputs!$E$80/(10^(0.84+0.62*LOG10(inputs!$E$80)))</f>
        <v>7.2239987349183759</v>
      </c>
      <c r="P100" s="59">
        <f>((MAX('Min rate concentrations'!Y:Y))*0.62*6.01*8*(10*F100^0.667)*0.079*0.1/F100)*inputs!$E$80/(10^(0.84+0.62*LOG10(inputs!$E$80)))</f>
        <v>2.407999578306125</v>
      </c>
      <c r="Q100" s="59">
        <f>(inputs!$C$7*11.2*(10*F100^0.667)*0.5/F100)*inputs!$E$80/(10^(0.84+0.62*LOG10(inputs!$E$80)))</f>
        <v>1.2724733046017387</v>
      </c>
      <c r="R100" s="59">
        <f>(60*284*((F100/1000)^0.77)*3*24*(MAX('Min rate concentrations'!$R$3:$R$368))/F100)*(inputs!$E$73*3.4/inputs!$E$75)</f>
        <v>9.8853180167296963E-3</v>
      </c>
      <c r="S100" s="59">
        <f>(IF(inputs!$C$6="aerial",((0.025*0.112*inputs!$C$7/3.3)*(3*60*284*((F100/1000)^0.77))*MAX(inputs!$H$14:$H$16))/F100,((0.0083*0.112*inputs!$C$7/1)*(3*60*284*((F100/1000)^0.77))*MAX(inputs!$H$14:$H$16))/F100))*(inputs!E$75*3.4/inputs!$E$73)</f>
        <v>5.4518136199489343E-2</v>
      </c>
      <c r="T100" s="63">
        <f>IF((((inputs!$P$12/(V100/MAX(K100:S100)))^(1/inputs!$O$12))-1)/inputs!$N$12&lt;0, 0, IF((((inputs!$P$12/(V100/MAX(K100:S100)))^(1/inputs!$O$12))-1)/inputs!$N$12&gt;inputs!$H$17, inputs!$H$17, (((inputs!$P$12/(V100/MAX(K100:S100)))^(1/inputs!$O$12))-1)/inputs!$N$12))</f>
        <v>176.40026381594936</v>
      </c>
      <c r="U100" s="63">
        <f>IF((((inputs!$P$12/(X100/MAX(K100:S100)))^(1/inputs!$O$12))-1)/inputs!$N$12&lt;0, 0, IF((((inputs!$P$12/(X100/MAX(K100:S100)))^(1/inputs!$O$12))-1)/inputs!$N$12&gt;inputs!$H$17, inputs!$H$17, (((inputs!$P$12/(X100/MAX(K100:S100)))^(1/inputs!$O$12))-1)/inputs!$N$12))</f>
        <v>0</v>
      </c>
      <c r="V100" s="21">
        <f>inputs!$E$78*(F100/inputs!$F$78)^(inputs!$E$84-1)</f>
        <v>2.6919047967817342E-2</v>
      </c>
      <c r="W100" s="21">
        <f>inputs!$E$85*(F100/inputs!$F$85)^(inputs!$E$84-1)</f>
        <v>1.2430720459154132</v>
      </c>
      <c r="X100" s="21">
        <f>inputs!$E$80*(F100/inputs!$F$80)^(inputs!$E$84-1)</f>
        <v>4.6418513106967962</v>
      </c>
      <c r="Y100" s="21">
        <f>inputs!$E$82*(F100/inputs!$F$82)^(inputs!$E$84-1)</f>
        <v>2.1393559174423253</v>
      </c>
      <c r="Z100" s="63">
        <f t="shared" si="9"/>
        <v>268.36011227272667</v>
      </c>
      <c r="AA100" s="63">
        <f t="shared" si="10"/>
        <v>5.8114079217335597</v>
      </c>
      <c r="AB100" s="107"/>
      <c r="AC100" s="107"/>
      <c r="AD100" s="107"/>
      <c r="AE100" s="107"/>
      <c r="AF100" s="107"/>
      <c r="AG100" s="107"/>
      <c r="AH100" s="107"/>
      <c r="AI100" s="107"/>
      <c r="AJ100" s="107"/>
      <c r="AK100" s="107"/>
      <c r="AL100" s="107"/>
      <c r="AM100" s="107"/>
      <c r="AN100" s="107"/>
      <c r="AO100" s="107"/>
      <c r="AP100" s="107"/>
      <c r="AQ100" s="107"/>
      <c r="AR100" s="107"/>
      <c r="AS100" s="107"/>
      <c r="AT100" s="107"/>
      <c r="AU100" s="107"/>
      <c r="AV100" s="107"/>
      <c r="AW100" s="107"/>
      <c r="AX100" s="107"/>
      <c r="AY100" s="107"/>
      <c r="AZ100" s="107"/>
      <c r="BA100" s="107"/>
      <c r="BB100" s="107"/>
      <c r="BC100" s="107"/>
      <c r="BD100" s="107"/>
      <c r="BE100" s="107"/>
      <c r="BF100" s="107"/>
      <c r="BG100" s="107"/>
      <c r="BH100" s="107"/>
      <c r="BI100" s="107"/>
      <c r="BJ100" s="107"/>
      <c r="BK100" s="107"/>
      <c r="BL100" s="107"/>
      <c r="BM100" s="107"/>
      <c r="BN100" s="107"/>
      <c r="BO100" s="107"/>
      <c r="BP100" s="107"/>
      <c r="BQ100" s="107"/>
      <c r="BR100" s="107"/>
      <c r="BS100" s="107"/>
      <c r="BT100" s="107"/>
      <c r="BU100" s="107"/>
      <c r="BV100" s="107"/>
      <c r="BW100" s="107"/>
      <c r="BX100" s="107"/>
      <c r="BY100" s="107"/>
      <c r="BZ100" s="107"/>
      <c r="CA100" s="107"/>
      <c r="CB100" s="107"/>
      <c r="CC100" s="107"/>
      <c r="CD100" s="107"/>
      <c r="CE100" s="107"/>
      <c r="CF100" s="107"/>
      <c r="CG100" s="107"/>
      <c r="CH100" s="107"/>
      <c r="CI100" s="107"/>
      <c r="CJ100" s="107"/>
      <c r="CK100" s="107"/>
      <c r="CL100" s="107"/>
      <c r="CM100" s="107"/>
      <c r="CN100" s="107"/>
      <c r="CO100" s="107"/>
      <c r="CP100" s="107"/>
      <c r="CQ100" s="107"/>
      <c r="CR100" s="107"/>
      <c r="CS100" s="107"/>
      <c r="CT100" s="107"/>
      <c r="CU100" s="107"/>
      <c r="CV100" s="107"/>
      <c r="CW100" s="107"/>
      <c r="CX100" s="107"/>
      <c r="CY100" s="107"/>
      <c r="CZ100" s="107"/>
      <c r="DA100" s="107"/>
      <c r="DB100" s="107"/>
      <c r="DC100" s="107"/>
      <c r="DD100" s="107"/>
      <c r="DE100" s="107"/>
      <c r="DF100" s="107"/>
      <c r="DG100" s="107"/>
      <c r="DH100" s="107"/>
      <c r="DI100" s="107"/>
      <c r="DJ100" s="107"/>
      <c r="DK100" s="107"/>
      <c r="DL100" s="107"/>
      <c r="DM100" s="107"/>
      <c r="DN100" s="107"/>
      <c r="DO100" s="107"/>
      <c r="DP100" s="107"/>
      <c r="DQ100" s="107"/>
      <c r="DR100" s="107"/>
      <c r="DS100" s="107"/>
      <c r="DT100" s="107"/>
      <c r="DU100" s="107"/>
      <c r="DV100" s="107"/>
      <c r="DW100" s="107"/>
      <c r="DX100" s="107"/>
      <c r="DY100" s="107"/>
      <c r="DZ100" s="107"/>
      <c r="EA100" s="107"/>
      <c r="EB100" s="107"/>
      <c r="EC100" s="107"/>
      <c r="ED100" s="107"/>
      <c r="EE100" s="107"/>
      <c r="EF100" s="107"/>
      <c r="EG100" s="107"/>
      <c r="EH100" s="107"/>
      <c r="EI100" s="107"/>
      <c r="EJ100" s="107"/>
      <c r="EK100" s="107"/>
      <c r="EL100" s="107"/>
      <c r="EM100" s="107"/>
      <c r="EN100" s="107"/>
      <c r="EO100" s="107"/>
      <c r="EP100" s="107"/>
      <c r="EQ100" s="107"/>
      <c r="ER100" s="107"/>
      <c r="ES100" s="107"/>
      <c r="ET100" s="107"/>
      <c r="EU100" s="107"/>
      <c r="EV100" s="107"/>
      <c r="EW100" s="107"/>
      <c r="EX100" s="107"/>
      <c r="EY100" s="107"/>
      <c r="EZ100" s="107"/>
      <c r="FA100" s="107"/>
      <c r="FB100" s="107"/>
      <c r="FC100" s="107"/>
      <c r="FD100" s="107"/>
      <c r="FE100" s="107"/>
      <c r="FF100" s="107"/>
      <c r="FG100" s="107"/>
      <c r="FH100" s="107"/>
      <c r="FI100" s="107"/>
      <c r="FJ100" s="107"/>
      <c r="FK100" s="107"/>
      <c r="FL100" s="107"/>
      <c r="FM100" s="107"/>
      <c r="FN100" s="107"/>
      <c r="FO100" s="107"/>
      <c r="FP100" s="107"/>
      <c r="FQ100" s="107"/>
      <c r="FR100" s="107"/>
      <c r="FS100" s="107"/>
      <c r="FT100" s="107"/>
      <c r="FU100" s="107"/>
      <c r="FV100" s="107"/>
      <c r="FW100" s="107"/>
      <c r="FX100" s="107"/>
      <c r="FY100" s="107"/>
      <c r="FZ100" s="107"/>
      <c r="GA100" s="107"/>
      <c r="GB100" s="107"/>
      <c r="GC100" s="107"/>
      <c r="GD100" s="107"/>
      <c r="GE100" s="107"/>
      <c r="GF100" s="107"/>
      <c r="GG100" s="107"/>
      <c r="GH100" s="107"/>
      <c r="GI100" s="107"/>
      <c r="GJ100" s="107"/>
      <c r="GK100" s="107"/>
      <c r="GL100" s="107"/>
      <c r="GM100" s="107"/>
      <c r="GN100" s="107"/>
      <c r="GO100" s="107"/>
      <c r="GP100" s="107"/>
      <c r="GQ100" s="107"/>
      <c r="GR100" s="107"/>
      <c r="GS100" s="107"/>
      <c r="GT100" s="107"/>
      <c r="GU100" s="107"/>
      <c r="GV100" s="107"/>
      <c r="GW100" s="107"/>
      <c r="GX100" s="107"/>
      <c r="GY100" s="107"/>
      <c r="GZ100" s="107"/>
      <c r="HA100" s="107"/>
      <c r="HB100" s="107"/>
      <c r="HC100" s="107"/>
      <c r="HD100" s="107"/>
      <c r="HE100" s="107"/>
      <c r="HF100" s="107"/>
      <c r="HG100" s="107"/>
      <c r="HH100" s="107"/>
      <c r="HI100" s="107"/>
      <c r="HJ100" s="107"/>
      <c r="HK100" s="107"/>
      <c r="HL100" s="107"/>
      <c r="HM100" s="107"/>
      <c r="HN100" s="107"/>
      <c r="HO100" s="107"/>
      <c r="HP100" s="107"/>
      <c r="HQ100" s="107"/>
      <c r="HR100" s="107"/>
      <c r="HS100" s="107"/>
      <c r="HT100" s="107"/>
      <c r="HU100" s="107"/>
      <c r="HV100" s="107"/>
      <c r="HW100" s="107"/>
      <c r="HX100" s="107"/>
      <c r="HY100" s="107"/>
      <c r="HZ100" s="107"/>
      <c r="IA100" s="107"/>
      <c r="IB100" s="107"/>
      <c r="IC100" s="107"/>
      <c r="ID100" s="107"/>
      <c r="IE100" s="107"/>
      <c r="IF100" s="107"/>
      <c r="IG100" s="107"/>
      <c r="IH100" s="107"/>
      <c r="II100" s="107"/>
      <c r="IJ100" s="107"/>
      <c r="IK100" s="107"/>
      <c r="IL100" s="107"/>
      <c r="IM100" s="107"/>
      <c r="IN100" s="107"/>
      <c r="IO100" s="107"/>
      <c r="IP100" s="107"/>
      <c r="IQ100" s="107"/>
      <c r="IR100" s="107"/>
      <c r="IS100" s="107"/>
      <c r="IT100" s="107"/>
      <c r="IU100" s="107"/>
      <c r="IV100" s="107"/>
      <c r="IW100" s="107"/>
      <c r="IX100" s="107"/>
      <c r="IY100" s="107"/>
      <c r="IZ100" s="107"/>
      <c r="JA100" s="107"/>
      <c r="JB100" s="107"/>
      <c r="JC100" s="107"/>
      <c r="JD100" s="107"/>
      <c r="JE100" s="107"/>
      <c r="JF100" s="107"/>
      <c r="JG100" s="107"/>
      <c r="JH100" s="107"/>
      <c r="JI100" s="107"/>
      <c r="JJ100" s="107"/>
      <c r="JK100" s="107"/>
      <c r="JL100" s="107"/>
      <c r="JM100" s="107"/>
      <c r="JN100" s="107"/>
      <c r="JO100" s="107"/>
      <c r="JP100" s="107"/>
      <c r="JQ100" s="107"/>
      <c r="JR100" s="107"/>
      <c r="JS100" s="107"/>
      <c r="JT100" s="107"/>
      <c r="JU100" s="107"/>
      <c r="JV100" s="107"/>
      <c r="JW100" s="107"/>
      <c r="JX100" s="107"/>
      <c r="JY100" s="107"/>
      <c r="JZ100" s="107"/>
      <c r="KA100" s="107"/>
      <c r="KB100" s="107"/>
      <c r="KC100" s="107"/>
      <c r="KD100" s="107"/>
      <c r="KE100" s="107"/>
      <c r="KF100" s="107"/>
      <c r="KG100" s="107"/>
      <c r="KH100" s="107"/>
      <c r="KI100" s="107"/>
      <c r="KJ100" s="107"/>
      <c r="KK100" s="107"/>
      <c r="KL100" s="107"/>
      <c r="KM100" s="107"/>
      <c r="KN100" s="107"/>
      <c r="KO100" s="107"/>
      <c r="KP100" s="107"/>
      <c r="KQ100" s="107"/>
      <c r="KR100" s="107"/>
      <c r="KS100" s="107"/>
      <c r="KT100" s="107"/>
      <c r="KU100" s="107"/>
      <c r="KV100" s="107"/>
      <c r="KW100" s="107"/>
      <c r="KX100" s="107"/>
      <c r="KY100" s="107"/>
      <c r="KZ100" s="107"/>
      <c r="LA100" s="107"/>
      <c r="LB100" s="107"/>
      <c r="LC100" s="107"/>
      <c r="LD100" s="107"/>
      <c r="LE100" s="107"/>
      <c r="LF100" s="107"/>
      <c r="LG100" s="107"/>
      <c r="LH100" s="107"/>
      <c r="LI100" s="107"/>
      <c r="LJ100" s="107"/>
      <c r="LK100" s="107"/>
      <c r="LL100" s="107"/>
      <c r="LM100" s="107"/>
      <c r="LN100" s="107"/>
      <c r="LO100" s="107"/>
      <c r="LP100" s="107"/>
      <c r="LQ100" s="107"/>
      <c r="LR100" s="107"/>
      <c r="LS100" s="107"/>
      <c r="LT100" s="107"/>
      <c r="LU100" s="107"/>
      <c r="LV100" s="107"/>
      <c r="LW100" s="107"/>
      <c r="LX100" s="107"/>
      <c r="LY100" s="107"/>
      <c r="LZ100" s="107"/>
      <c r="MA100" s="107"/>
      <c r="MB100" s="107"/>
      <c r="MC100" s="107"/>
      <c r="MD100" s="107"/>
      <c r="ME100" s="107"/>
      <c r="MF100" s="107"/>
      <c r="MG100" s="107"/>
      <c r="MH100" s="107"/>
      <c r="MI100" s="107"/>
      <c r="MJ100" s="107"/>
      <c r="MK100" s="107"/>
      <c r="ML100" s="107"/>
      <c r="MM100" s="107"/>
      <c r="MN100" s="107"/>
      <c r="MO100" s="107"/>
      <c r="MP100" s="107"/>
      <c r="MQ100" s="107"/>
      <c r="MR100" s="107"/>
      <c r="MS100" s="107"/>
      <c r="MT100" s="107"/>
      <c r="MU100" s="107"/>
      <c r="MV100" s="107"/>
      <c r="MW100" s="107"/>
      <c r="MX100" s="107"/>
      <c r="MY100" s="107"/>
      <c r="MZ100" s="107"/>
      <c r="NA100" s="107"/>
      <c r="NB100" s="107"/>
      <c r="NC100" s="107"/>
      <c r="ND100" s="107"/>
      <c r="NE100" s="107"/>
      <c r="NF100" s="107"/>
      <c r="NG100" s="107"/>
      <c r="NH100" s="107"/>
      <c r="NI100" s="107"/>
      <c r="NJ100" s="107"/>
      <c r="NK100" s="107"/>
      <c r="NL100" s="107"/>
      <c r="NM100" s="107"/>
      <c r="NN100" s="107"/>
      <c r="NO100" s="107"/>
      <c r="NP100" s="107"/>
      <c r="NQ100" s="107"/>
      <c r="NR100" s="107"/>
      <c r="NS100" s="107"/>
      <c r="NT100" s="107"/>
      <c r="NU100" s="107"/>
      <c r="NV100" s="107"/>
      <c r="NW100" s="107"/>
      <c r="NX100" s="107"/>
      <c r="NY100" s="107"/>
      <c r="NZ100" s="107"/>
      <c r="OA100" s="107"/>
      <c r="OB100" s="107"/>
      <c r="OC100" s="107"/>
      <c r="OD100" s="107"/>
      <c r="OE100" s="107"/>
      <c r="OF100" s="107"/>
      <c r="OG100" s="107"/>
      <c r="OH100" s="107"/>
      <c r="OI100" s="107"/>
      <c r="OJ100" s="107"/>
      <c r="OK100" s="107"/>
      <c r="OL100" s="107"/>
      <c r="OM100" s="107"/>
      <c r="ON100" s="107"/>
      <c r="OO100" s="107"/>
      <c r="OP100" s="107"/>
      <c r="OQ100" s="107"/>
      <c r="OR100" s="107"/>
      <c r="OS100" s="107"/>
      <c r="OT100" s="107"/>
      <c r="OU100" s="107"/>
      <c r="OV100" s="107"/>
      <c r="OW100" s="107"/>
      <c r="OX100" s="107"/>
      <c r="OY100" s="107"/>
      <c r="OZ100" s="107"/>
      <c r="PA100" s="107"/>
      <c r="PB100" s="107"/>
      <c r="PC100" s="107"/>
      <c r="PD100" s="107"/>
      <c r="PE100" s="107"/>
      <c r="PF100" s="107"/>
      <c r="PG100" s="107"/>
      <c r="PH100" s="107"/>
      <c r="PI100" s="107"/>
      <c r="PJ100" s="107"/>
      <c r="PK100" s="107"/>
      <c r="PL100" s="107"/>
      <c r="PM100" s="107"/>
      <c r="PN100" s="107"/>
      <c r="PO100" s="107"/>
      <c r="PP100" s="107"/>
      <c r="PQ100" s="107"/>
      <c r="PR100" s="107"/>
      <c r="PS100" s="107"/>
      <c r="PT100" s="107"/>
      <c r="PU100" s="107"/>
      <c r="PV100" s="107"/>
      <c r="PW100" s="107"/>
      <c r="PX100" s="107"/>
      <c r="PY100" s="107"/>
      <c r="PZ100" s="107"/>
      <c r="QA100" s="107"/>
      <c r="QB100" s="107"/>
      <c r="QC100" s="107"/>
      <c r="QD100" s="107"/>
      <c r="QE100" s="107"/>
      <c r="QF100" s="107"/>
      <c r="QG100" s="107"/>
      <c r="QH100" s="107"/>
      <c r="QI100" s="107"/>
      <c r="QJ100" s="107"/>
      <c r="QK100" s="107"/>
      <c r="QL100" s="107"/>
      <c r="QM100" s="107"/>
      <c r="QN100" s="107"/>
      <c r="QO100" s="107"/>
      <c r="QP100" s="107"/>
      <c r="QQ100" s="107"/>
      <c r="QR100" s="107"/>
      <c r="QS100" s="107"/>
      <c r="QT100" s="107"/>
      <c r="QU100" s="107"/>
      <c r="QV100" s="107"/>
      <c r="QW100" s="107"/>
      <c r="QX100" s="107"/>
      <c r="QY100" s="107"/>
      <c r="QZ100" s="107"/>
      <c r="RA100" s="107"/>
      <c r="RB100" s="107"/>
      <c r="RC100" s="107"/>
      <c r="RD100" s="107"/>
      <c r="RE100" s="107"/>
      <c r="RF100" s="107"/>
      <c r="RG100" s="107"/>
      <c r="RH100" s="107"/>
    </row>
    <row r="101" spans="1:476" x14ac:dyDescent="0.25">
      <c r="A101" s="114" t="s">
        <v>183</v>
      </c>
      <c r="B101" s="20" t="s">
        <v>184</v>
      </c>
      <c r="C101" s="20" t="s">
        <v>73</v>
      </c>
      <c r="D101" s="48" t="s">
        <v>185</v>
      </c>
      <c r="E101" s="15">
        <v>143</v>
      </c>
      <c r="F101" s="15">
        <v>222</v>
      </c>
      <c r="G101" s="20" t="s">
        <v>164</v>
      </c>
      <c r="H101" s="20">
        <v>0.78</v>
      </c>
      <c r="I101" s="48">
        <f>inputs!$C$65*(inputs!$C$62/1000)</f>
        <v>0.82000000000000006</v>
      </c>
      <c r="J101" s="48">
        <f>inputs!$C$65*(inputs!$C$61/1000)</f>
        <v>0.25</v>
      </c>
      <c r="K101" s="59">
        <f t="shared" si="12"/>
        <v>0.29222392960363835</v>
      </c>
      <c r="L101" s="59">
        <f t="shared" si="13"/>
        <v>8.9092661464523895E-2</v>
      </c>
      <c r="M101" s="59">
        <f>IF((((1.18*F101^0.874)/3.7-(0.301*F101^0.751)/(1-H101)*H101)*(MAX('Min rate concentrations'!$P$3:$P$368)))/F101&gt;0, (((1.18*F101^0.874)/3.7-(0.301*F101^0.751)/(1-H101)*H101)*(MAX('Min rate concentrations'!$P$3:$P$368)))/F101, 0)</f>
        <v>0</v>
      </c>
      <c r="N101" s="59">
        <f>IF((((1.18*F101^0.874)/3.7-(0.301*F101^0.751)/(1-H101)*H101)*(MAX('Min rate concentrations'!$Q$3:$Q$368)))/F101&gt;0, (((1.18*F101^0.874)/3.7-(0.301*F101^0.751)/(1-H101)*H101)*(MAX('Min rate concentrations'!$Q$3:$Q$368)))/F101, 0)</f>
        <v>0</v>
      </c>
      <c r="O101" s="59">
        <f>((MAX('Min rate concentrations'!$F$3:$F$368))*0.62*6.01*8*(10*F101^0.667)*0.079*0.1/F101)*inputs!$E$80/(10^(0.84+0.62*LOG10(inputs!$E$80)))</f>
        <v>4.0482435714605671</v>
      </c>
      <c r="P101" s="59">
        <f>((MAX('Min rate concentrations'!Y:Y))*0.62*6.01*8*(10*F101^0.667)*0.079*0.1/F101)*inputs!$E$80/(10^(0.84+0.62*LOG10(inputs!$E$80)))</f>
        <v>1.3494145238201889</v>
      </c>
      <c r="Q101" s="59">
        <f>(inputs!$C$7*11.2*(10*F101^0.667)*0.5/F101)*inputs!$E$80/(10^(0.84+0.62*LOG10(inputs!$E$80)))</f>
        <v>0.71307901125585893</v>
      </c>
      <c r="R101" s="59">
        <f>(60*284*((F101/1000)^0.77)*3*24*(MAX('Min rate concentrations'!$R$3:$R$368))/F101)*(inputs!$E$73*3.4/inputs!$E$75)</f>
        <v>6.6263492302369295E-3</v>
      </c>
      <c r="S101" s="59">
        <f>(IF(inputs!$C$6="aerial",((0.025*0.112*inputs!$C$7/3.3)*(3*60*284*((F101/1000)^0.77))*MAX(inputs!$H$14:$H$16))/F101,((0.0083*0.112*inputs!$C$7/1)*(3*60*284*((F101/1000)^0.77))*MAX(inputs!$H$14:$H$16))/F101))*(inputs!E$75*3.4/inputs!$E$73)</f>
        <v>3.6544723116449677E-2</v>
      </c>
      <c r="T101" s="63">
        <f>IF((((inputs!$P$12/(V101/MAX(K101:S101)))^(1/inputs!$O$12))-1)/inputs!$N$12&lt;0, 0, IF((((inputs!$P$12/(V101/MAX(K101:S101)))^(1/inputs!$O$12))-1)/inputs!$N$12&gt;inputs!$H$17, inputs!$H$17, (((inputs!$P$12/(V101/MAX(K101:S101)))^(1/inputs!$O$12))-1)/inputs!$N$12))</f>
        <v>181.83350966950724</v>
      </c>
      <c r="U101" s="63">
        <f>IF((((inputs!$P$12/(X101/MAX(K101:S101)))^(1/inputs!$O$12))-1)/inputs!$N$12&lt;0, 0, IF((((inputs!$P$12/(X101/MAX(K101:S101)))^(1/inputs!$O$12))-1)/inputs!$N$12&gt;inputs!$H$17, inputs!$H$17, (((inputs!$P$12/(X101/MAX(K101:S101)))^(1/inputs!$O$12))-1)/inputs!$N$12))</f>
        <v>0</v>
      </c>
      <c r="V101" s="21">
        <f>inputs!$E$78*(F101/inputs!$F$78)^(inputs!$E$84-1)</f>
        <v>1.4145001583331419E-2</v>
      </c>
      <c r="W101" s="21">
        <f>inputs!$E$85*(F101/inputs!$F$85)^(inputs!$E$84-1)</f>
        <v>0.65319011573848906</v>
      </c>
      <c r="X101" s="21">
        <f>inputs!$E$80*(F101/inputs!$F$80)^(inputs!$E$84-1)</f>
        <v>2.439127647377902</v>
      </c>
      <c r="Y101" s="21">
        <f>inputs!$E$82*(F101/inputs!$F$82)^(inputs!$E$84-1)</f>
        <v>1.124155388991076</v>
      </c>
      <c r="Z101" s="63">
        <f t="shared" si="9"/>
        <v>286.19604936849561</v>
      </c>
      <c r="AA101" s="63">
        <f t="shared" si="10"/>
        <v>6.1976497713589414</v>
      </c>
      <c r="AB101" s="107"/>
      <c r="AC101" s="107"/>
      <c r="AD101" s="107"/>
      <c r="AE101" s="107"/>
      <c r="AF101" s="107"/>
      <c r="AG101" s="107"/>
      <c r="AH101" s="107"/>
      <c r="AI101" s="107"/>
      <c r="AJ101" s="107"/>
      <c r="AK101" s="107"/>
      <c r="AL101" s="107"/>
      <c r="AM101" s="107"/>
      <c r="AN101" s="107"/>
      <c r="AO101" s="107"/>
      <c r="AP101" s="107"/>
      <c r="AQ101" s="107"/>
      <c r="AR101" s="107"/>
      <c r="AS101" s="107"/>
      <c r="AT101" s="107"/>
      <c r="AU101" s="107"/>
      <c r="AV101" s="107"/>
      <c r="AW101" s="107"/>
      <c r="AX101" s="107"/>
      <c r="AY101" s="107"/>
      <c r="AZ101" s="107"/>
      <c r="BA101" s="107"/>
      <c r="BB101" s="107"/>
      <c r="BC101" s="107"/>
      <c r="BD101" s="107"/>
      <c r="BE101" s="107"/>
      <c r="BF101" s="107"/>
      <c r="BG101" s="107"/>
      <c r="BH101" s="107"/>
      <c r="BI101" s="107"/>
      <c r="BJ101" s="107"/>
      <c r="BK101" s="107"/>
      <c r="BL101" s="107"/>
      <c r="BM101" s="107"/>
      <c r="BN101" s="107"/>
      <c r="BO101" s="107"/>
      <c r="BP101" s="107"/>
      <c r="BQ101" s="107"/>
      <c r="BR101" s="107"/>
      <c r="BS101" s="107"/>
      <c r="BT101" s="107"/>
      <c r="BU101" s="107"/>
      <c r="BV101" s="107"/>
      <c r="BW101" s="107"/>
      <c r="BX101" s="107"/>
      <c r="BY101" s="107"/>
      <c r="BZ101" s="107"/>
      <c r="CA101" s="107"/>
      <c r="CB101" s="107"/>
      <c r="CC101" s="107"/>
      <c r="CD101" s="107"/>
      <c r="CE101" s="107"/>
      <c r="CF101" s="107"/>
      <c r="CG101" s="107"/>
      <c r="CH101" s="107"/>
      <c r="CI101" s="107"/>
      <c r="CJ101" s="107"/>
      <c r="CK101" s="107"/>
      <c r="CL101" s="107"/>
      <c r="CM101" s="107"/>
      <c r="CN101" s="107"/>
      <c r="CO101" s="107"/>
      <c r="CP101" s="107"/>
      <c r="CQ101" s="107"/>
      <c r="CR101" s="107"/>
      <c r="CS101" s="107"/>
      <c r="CT101" s="107"/>
      <c r="CU101" s="107"/>
      <c r="CV101" s="107"/>
      <c r="CW101" s="107"/>
      <c r="CX101" s="107"/>
      <c r="CY101" s="107"/>
      <c r="CZ101" s="107"/>
      <c r="DA101" s="107"/>
      <c r="DB101" s="107"/>
      <c r="DC101" s="107"/>
      <c r="DD101" s="107"/>
      <c r="DE101" s="107"/>
      <c r="DF101" s="107"/>
      <c r="DG101" s="107"/>
      <c r="DH101" s="107"/>
      <c r="DI101" s="107"/>
      <c r="DJ101" s="107"/>
      <c r="DK101" s="107"/>
      <c r="DL101" s="107"/>
      <c r="DM101" s="107"/>
      <c r="DN101" s="107"/>
      <c r="DO101" s="107"/>
      <c r="DP101" s="107"/>
      <c r="DQ101" s="107"/>
      <c r="DR101" s="107"/>
      <c r="DS101" s="107"/>
      <c r="DT101" s="107"/>
      <c r="DU101" s="107"/>
      <c r="DV101" s="107"/>
      <c r="DW101" s="107"/>
      <c r="DX101" s="107"/>
      <c r="DY101" s="107"/>
      <c r="DZ101" s="107"/>
      <c r="EA101" s="107"/>
      <c r="EB101" s="107"/>
      <c r="EC101" s="107"/>
      <c r="ED101" s="107"/>
      <c r="EE101" s="107"/>
      <c r="EF101" s="107"/>
      <c r="EG101" s="107"/>
      <c r="EH101" s="107"/>
      <c r="EI101" s="107"/>
      <c r="EJ101" s="107"/>
      <c r="EK101" s="107"/>
      <c r="EL101" s="107"/>
      <c r="EM101" s="107"/>
      <c r="EN101" s="107"/>
      <c r="EO101" s="107"/>
      <c r="EP101" s="107"/>
      <c r="EQ101" s="107"/>
      <c r="ER101" s="107"/>
      <c r="ES101" s="107"/>
      <c r="ET101" s="107"/>
      <c r="EU101" s="107"/>
      <c r="EV101" s="107"/>
      <c r="EW101" s="107"/>
      <c r="EX101" s="107"/>
      <c r="EY101" s="107"/>
      <c r="EZ101" s="107"/>
      <c r="FA101" s="107"/>
      <c r="FB101" s="107"/>
      <c r="FC101" s="107"/>
      <c r="FD101" s="107"/>
      <c r="FE101" s="107"/>
      <c r="FF101" s="107"/>
      <c r="FG101" s="107"/>
      <c r="FH101" s="107"/>
      <c r="FI101" s="107"/>
      <c r="FJ101" s="107"/>
      <c r="FK101" s="107"/>
      <c r="FL101" s="107"/>
      <c r="FM101" s="107"/>
      <c r="FN101" s="107"/>
      <c r="FO101" s="107"/>
      <c r="FP101" s="107"/>
      <c r="FQ101" s="107"/>
      <c r="FR101" s="107"/>
      <c r="FS101" s="107"/>
      <c r="FT101" s="107"/>
      <c r="FU101" s="107"/>
      <c r="FV101" s="107"/>
      <c r="FW101" s="107"/>
      <c r="FX101" s="107"/>
      <c r="FY101" s="107"/>
      <c r="FZ101" s="107"/>
      <c r="GA101" s="107"/>
      <c r="GB101" s="107"/>
      <c r="GC101" s="107"/>
      <c r="GD101" s="107"/>
      <c r="GE101" s="107"/>
      <c r="GF101" s="107"/>
      <c r="GG101" s="107"/>
      <c r="GH101" s="107"/>
      <c r="GI101" s="107"/>
      <c r="GJ101" s="107"/>
      <c r="GK101" s="107"/>
      <c r="GL101" s="107"/>
      <c r="GM101" s="107"/>
      <c r="GN101" s="107"/>
      <c r="GO101" s="107"/>
      <c r="GP101" s="107"/>
      <c r="GQ101" s="107"/>
      <c r="GR101" s="107"/>
      <c r="GS101" s="107"/>
      <c r="GT101" s="107"/>
      <c r="GU101" s="107"/>
      <c r="GV101" s="107"/>
      <c r="GW101" s="107"/>
      <c r="GX101" s="107"/>
      <c r="GY101" s="107"/>
      <c r="GZ101" s="107"/>
      <c r="HA101" s="107"/>
      <c r="HB101" s="107"/>
      <c r="HC101" s="107"/>
      <c r="HD101" s="107"/>
      <c r="HE101" s="107"/>
      <c r="HF101" s="107"/>
      <c r="HG101" s="107"/>
      <c r="HH101" s="107"/>
      <c r="HI101" s="107"/>
      <c r="HJ101" s="107"/>
      <c r="HK101" s="107"/>
      <c r="HL101" s="107"/>
      <c r="HM101" s="107"/>
      <c r="HN101" s="107"/>
      <c r="HO101" s="107"/>
      <c r="HP101" s="107"/>
      <c r="HQ101" s="107"/>
      <c r="HR101" s="107"/>
      <c r="HS101" s="107"/>
      <c r="HT101" s="107"/>
      <c r="HU101" s="107"/>
      <c r="HV101" s="107"/>
      <c r="HW101" s="107"/>
      <c r="HX101" s="107"/>
      <c r="HY101" s="107"/>
      <c r="HZ101" s="107"/>
      <c r="IA101" s="107"/>
      <c r="IB101" s="107"/>
      <c r="IC101" s="107"/>
      <c r="ID101" s="107"/>
      <c r="IE101" s="107"/>
      <c r="IF101" s="107"/>
      <c r="IG101" s="107"/>
      <c r="IH101" s="107"/>
      <c r="II101" s="107"/>
      <c r="IJ101" s="107"/>
      <c r="IK101" s="107"/>
      <c r="IL101" s="107"/>
      <c r="IM101" s="107"/>
      <c r="IN101" s="107"/>
      <c r="IO101" s="107"/>
      <c r="IP101" s="107"/>
      <c r="IQ101" s="107"/>
      <c r="IR101" s="107"/>
      <c r="IS101" s="107"/>
      <c r="IT101" s="107"/>
      <c r="IU101" s="107"/>
      <c r="IV101" s="107"/>
      <c r="IW101" s="107"/>
      <c r="IX101" s="107"/>
      <c r="IY101" s="107"/>
      <c r="IZ101" s="107"/>
      <c r="JA101" s="107"/>
      <c r="JB101" s="107"/>
      <c r="JC101" s="107"/>
      <c r="JD101" s="107"/>
      <c r="JE101" s="107"/>
      <c r="JF101" s="107"/>
      <c r="JG101" s="107"/>
      <c r="JH101" s="107"/>
      <c r="JI101" s="107"/>
      <c r="JJ101" s="107"/>
      <c r="JK101" s="107"/>
      <c r="JL101" s="107"/>
      <c r="JM101" s="107"/>
      <c r="JN101" s="107"/>
      <c r="JO101" s="107"/>
      <c r="JP101" s="107"/>
      <c r="JQ101" s="107"/>
      <c r="JR101" s="107"/>
      <c r="JS101" s="107"/>
      <c r="JT101" s="107"/>
      <c r="JU101" s="107"/>
      <c r="JV101" s="107"/>
      <c r="JW101" s="107"/>
      <c r="JX101" s="107"/>
      <c r="JY101" s="107"/>
      <c r="JZ101" s="107"/>
      <c r="KA101" s="107"/>
      <c r="KB101" s="107"/>
      <c r="KC101" s="107"/>
      <c r="KD101" s="107"/>
      <c r="KE101" s="107"/>
      <c r="KF101" s="107"/>
      <c r="KG101" s="107"/>
      <c r="KH101" s="107"/>
      <c r="KI101" s="107"/>
      <c r="KJ101" s="107"/>
      <c r="KK101" s="107"/>
      <c r="KL101" s="107"/>
      <c r="KM101" s="107"/>
      <c r="KN101" s="107"/>
      <c r="KO101" s="107"/>
      <c r="KP101" s="107"/>
      <c r="KQ101" s="107"/>
      <c r="KR101" s="107"/>
      <c r="KS101" s="107"/>
      <c r="KT101" s="107"/>
      <c r="KU101" s="107"/>
      <c r="KV101" s="107"/>
      <c r="KW101" s="107"/>
      <c r="KX101" s="107"/>
      <c r="KY101" s="107"/>
      <c r="KZ101" s="107"/>
      <c r="LA101" s="107"/>
      <c r="LB101" s="107"/>
      <c r="LC101" s="107"/>
      <c r="LD101" s="107"/>
      <c r="LE101" s="107"/>
      <c r="LF101" s="107"/>
      <c r="LG101" s="107"/>
      <c r="LH101" s="107"/>
      <c r="LI101" s="107"/>
      <c r="LJ101" s="107"/>
      <c r="LK101" s="107"/>
      <c r="LL101" s="107"/>
      <c r="LM101" s="107"/>
      <c r="LN101" s="107"/>
      <c r="LO101" s="107"/>
      <c r="LP101" s="107"/>
      <c r="LQ101" s="107"/>
      <c r="LR101" s="107"/>
      <c r="LS101" s="107"/>
      <c r="LT101" s="107"/>
      <c r="LU101" s="107"/>
      <c r="LV101" s="107"/>
      <c r="LW101" s="107"/>
      <c r="LX101" s="107"/>
      <c r="LY101" s="107"/>
      <c r="LZ101" s="107"/>
      <c r="MA101" s="107"/>
      <c r="MB101" s="107"/>
      <c r="MC101" s="107"/>
      <c r="MD101" s="107"/>
      <c r="ME101" s="107"/>
      <c r="MF101" s="107"/>
      <c r="MG101" s="107"/>
      <c r="MH101" s="107"/>
      <c r="MI101" s="107"/>
      <c r="MJ101" s="107"/>
      <c r="MK101" s="107"/>
      <c r="ML101" s="107"/>
      <c r="MM101" s="107"/>
      <c r="MN101" s="107"/>
      <c r="MO101" s="107"/>
      <c r="MP101" s="107"/>
      <c r="MQ101" s="107"/>
      <c r="MR101" s="107"/>
      <c r="MS101" s="107"/>
      <c r="MT101" s="107"/>
      <c r="MU101" s="107"/>
      <c r="MV101" s="107"/>
      <c r="MW101" s="107"/>
      <c r="MX101" s="107"/>
      <c r="MY101" s="107"/>
      <c r="MZ101" s="107"/>
      <c r="NA101" s="107"/>
      <c r="NB101" s="107"/>
      <c r="NC101" s="107"/>
      <c r="ND101" s="107"/>
      <c r="NE101" s="107"/>
      <c r="NF101" s="107"/>
      <c r="NG101" s="107"/>
      <c r="NH101" s="107"/>
      <c r="NI101" s="107"/>
      <c r="NJ101" s="107"/>
      <c r="NK101" s="107"/>
      <c r="NL101" s="107"/>
      <c r="NM101" s="107"/>
      <c r="NN101" s="107"/>
      <c r="NO101" s="107"/>
      <c r="NP101" s="107"/>
      <c r="NQ101" s="107"/>
      <c r="NR101" s="107"/>
      <c r="NS101" s="107"/>
      <c r="NT101" s="107"/>
      <c r="NU101" s="107"/>
      <c r="NV101" s="107"/>
      <c r="NW101" s="107"/>
      <c r="NX101" s="107"/>
      <c r="NY101" s="107"/>
      <c r="NZ101" s="107"/>
      <c r="OA101" s="107"/>
      <c r="OB101" s="107"/>
      <c r="OC101" s="107"/>
      <c r="OD101" s="107"/>
      <c r="OE101" s="107"/>
      <c r="OF101" s="107"/>
      <c r="OG101" s="107"/>
      <c r="OH101" s="107"/>
      <c r="OI101" s="107"/>
      <c r="OJ101" s="107"/>
      <c r="OK101" s="107"/>
      <c r="OL101" s="107"/>
      <c r="OM101" s="107"/>
      <c r="ON101" s="107"/>
      <c r="OO101" s="107"/>
      <c r="OP101" s="107"/>
      <c r="OQ101" s="107"/>
      <c r="OR101" s="107"/>
      <c r="OS101" s="107"/>
      <c r="OT101" s="107"/>
      <c r="OU101" s="107"/>
      <c r="OV101" s="107"/>
      <c r="OW101" s="107"/>
      <c r="OX101" s="107"/>
      <c r="OY101" s="107"/>
      <c r="OZ101" s="107"/>
      <c r="PA101" s="107"/>
      <c r="PB101" s="107"/>
      <c r="PC101" s="107"/>
      <c r="PD101" s="107"/>
      <c r="PE101" s="107"/>
      <c r="PF101" s="107"/>
      <c r="PG101" s="107"/>
      <c r="PH101" s="107"/>
      <c r="PI101" s="107"/>
      <c r="PJ101" s="107"/>
      <c r="PK101" s="107"/>
      <c r="PL101" s="107"/>
      <c r="PM101" s="107"/>
      <c r="PN101" s="107"/>
      <c r="PO101" s="107"/>
      <c r="PP101" s="107"/>
      <c r="PQ101" s="107"/>
      <c r="PR101" s="107"/>
      <c r="PS101" s="107"/>
      <c r="PT101" s="107"/>
      <c r="PU101" s="107"/>
      <c r="PV101" s="107"/>
      <c r="PW101" s="107"/>
      <c r="PX101" s="107"/>
      <c r="PY101" s="107"/>
      <c r="PZ101" s="107"/>
      <c r="QA101" s="107"/>
      <c r="QB101" s="107"/>
      <c r="QC101" s="107"/>
      <c r="QD101" s="107"/>
      <c r="QE101" s="107"/>
      <c r="QF101" s="107"/>
      <c r="QG101" s="107"/>
      <c r="QH101" s="107"/>
      <c r="QI101" s="107"/>
      <c r="QJ101" s="107"/>
      <c r="QK101" s="107"/>
      <c r="QL101" s="107"/>
      <c r="QM101" s="107"/>
      <c r="QN101" s="107"/>
      <c r="QO101" s="107"/>
      <c r="QP101" s="107"/>
      <c r="QQ101" s="107"/>
      <c r="QR101" s="107"/>
      <c r="QS101" s="107"/>
      <c r="QT101" s="107"/>
      <c r="QU101" s="107"/>
      <c r="QV101" s="107"/>
      <c r="QW101" s="107"/>
      <c r="QX101" s="107"/>
      <c r="QY101" s="107"/>
      <c r="QZ101" s="107"/>
      <c r="RA101" s="107"/>
      <c r="RB101" s="107"/>
      <c r="RC101" s="107"/>
      <c r="RD101" s="107"/>
      <c r="RE101" s="107"/>
      <c r="RF101" s="107"/>
      <c r="RG101" s="107"/>
      <c r="RH101" s="107"/>
    </row>
    <row r="102" spans="1:476" x14ac:dyDescent="0.25">
      <c r="A102" s="114" t="s">
        <v>183</v>
      </c>
      <c r="B102" s="20" t="s">
        <v>184</v>
      </c>
      <c r="C102" s="20" t="s">
        <v>73</v>
      </c>
      <c r="D102" s="48" t="s">
        <v>185</v>
      </c>
      <c r="E102" s="15">
        <v>143</v>
      </c>
      <c r="F102" s="15">
        <v>222</v>
      </c>
      <c r="G102" s="49" t="s">
        <v>186</v>
      </c>
      <c r="H102" s="49">
        <v>0.75</v>
      </c>
      <c r="I102" s="48">
        <f>inputs!$C$65*inputs!$C$64/1000</f>
        <v>2.13</v>
      </c>
      <c r="J102" s="48">
        <f>inputs!$C$65*inputs!$C$63/1000</f>
        <v>0.88</v>
      </c>
      <c r="K102" s="59">
        <f t="shared" si="12"/>
        <v>0.66798113859641417</v>
      </c>
      <c r="L102" s="59">
        <f t="shared" si="13"/>
        <v>0.27597342815250919</v>
      </c>
      <c r="M102" s="59">
        <f>IF((((1.18*F102^0.874)/3.7-(0.301*F102^0.751)/(1-H102)*H102)*(MAX('Min rate concentrations'!$P$3:$P$368)))/F102&gt;0, (((1.18*F102^0.874)/3.7-(0.301*F102^0.751)/(1-H102)*H102)*(MAX('Min rate concentrations'!$P$3:$P$368)))/F102, 0)</f>
        <v>0</v>
      </c>
      <c r="N102" s="59">
        <f>IF((((1.18*F102^0.874)/3.7-(0.301*F102^0.751)/(1-H102)*H102)*(MAX('Min rate concentrations'!$Q$3:$Q$368)))/F102&gt;0, (((1.18*F102^0.874)/3.7-(0.301*F102^0.751)/(1-H102)*H102)*(MAX('Min rate concentrations'!$Q$3:$Q$368)))/F102, 0)</f>
        <v>0</v>
      </c>
      <c r="O102" s="59">
        <f>((MAX('Min rate concentrations'!$F$3:$F$368))*0.62*6.01*8*(10*F102^0.667)*0.079*0.1/F102)*inputs!$E$80/(10^(0.84+0.62*LOG10(inputs!$E$80)))</f>
        <v>4.0482435714605671</v>
      </c>
      <c r="P102" s="59">
        <f>((MAX('Min rate concentrations'!Y:Y))*0.62*6.01*8*(10*F102^0.667)*0.079*0.1/F102)*inputs!$E$80/(10^(0.84+0.62*LOG10(inputs!$E$80)))</f>
        <v>1.3494145238201889</v>
      </c>
      <c r="Q102" s="59">
        <f>(inputs!$C$7*11.2*(10*F102^0.667)*0.5/F102)*inputs!$E$80/(10^(0.84+0.62*LOG10(inputs!$E$80)))</f>
        <v>0.71307901125585893</v>
      </c>
      <c r="R102" s="59">
        <f>(60*284*((F102/1000)^0.77)*3*24*(MAX('Min rate concentrations'!$R$3:$R$368))/F102)*(inputs!$E$73*3.4/inputs!$E$75)</f>
        <v>6.6263492302369295E-3</v>
      </c>
      <c r="S102" s="59">
        <f>(IF(inputs!$C$6="aerial",((0.025*0.112*inputs!$C$7/3.3)*(3*60*284*((F102/1000)^0.77))*MAX(inputs!$H$14:$H$16))/F102,((0.0083*0.112*inputs!$C$7/1)*(3*60*284*((F102/1000)^0.77))*MAX(inputs!$H$14:$H$16))/F102))*(inputs!E$75*3.4/inputs!$E$73)</f>
        <v>3.6544723116449677E-2</v>
      </c>
      <c r="T102" s="63">
        <f>IF((((inputs!$P$12/(V102/MAX(K102:S102)))^(1/inputs!$O$12))-1)/inputs!$N$12&lt;0, 0, IF((((inputs!$P$12/(V102/MAX(K102:S102)))^(1/inputs!$O$12))-1)/inputs!$N$12&gt;inputs!$H$17, inputs!$H$17, (((inputs!$P$12/(V102/MAX(K102:S102)))^(1/inputs!$O$12))-1)/inputs!$N$12))</f>
        <v>181.83350966950724</v>
      </c>
      <c r="U102" s="63">
        <f>IF((((inputs!$P$12/(X102/MAX(K102:S102)))^(1/inputs!$O$12))-1)/inputs!$N$12&lt;0, 0, IF((((inputs!$P$12/(X102/MAX(K102:S102)))^(1/inputs!$O$12))-1)/inputs!$N$12&gt;inputs!$H$17, inputs!$H$17, (((inputs!$P$12/(X102/MAX(K102:S102)))^(1/inputs!$O$12))-1)/inputs!$N$12))</f>
        <v>0</v>
      </c>
      <c r="V102" s="21">
        <f>inputs!$E$78*(F102/inputs!$F$78)^(inputs!$E$84-1)</f>
        <v>1.4145001583331419E-2</v>
      </c>
      <c r="W102" s="21">
        <f>inputs!$E$85*(F102/inputs!$F$85)^(inputs!$E$84-1)</f>
        <v>0.65319011573848906</v>
      </c>
      <c r="X102" s="21">
        <f>inputs!$E$80*(F102/inputs!$F$80)^(inputs!$E$84-1)</f>
        <v>2.439127647377902</v>
      </c>
      <c r="Y102" s="21">
        <f>inputs!$E$82*(F102/inputs!$F$82)^(inputs!$E$84-1)</f>
        <v>1.124155388991076</v>
      </c>
      <c r="Z102" s="63">
        <f t="shared" si="9"/>
        <v>286.19604936849561</v>
      </c>
      <c r="AA102" s="63">
        <f t="shared" si="10"/>
        <v>6.1976497713589414</v>
      </c>
    </row>
    <row r="103" spans="1:476" ht="26.4" x14ac:dyDescent="0.25">
      <c r="A103" s="103" t="s">
        <v>210</v>
      </c>
      <c r="B103" s="20" t="s">
        <v>212</v>
      </c>
      <c r="C103" s="20" t="s">
        <v>73</v>
      </c>
      <c r="D103" s="104" t="s">
        <v>185</v>
      </c>
      <c r="E103" s="15">
        <v>131</v>
      </c>
      <c r="F103" s="15">
        <v>40</v>
      </c>
      <c r="G103" s="20" t="s">
        <v>142</v>
      </c>
      <c r="H103" s="20">
        <v>0.69</v>
      </c>
      <c r="I103" s="48">
        <f>MAX('Min rate concentrations'!$H$3:$H$368)</f>
        <v>47</v>
      </c>
      <c r="J103" s="48">
        <f>MAX('Min rate concentrations'!AA:AA)</f>
        <v>32.5</v>
      </c>
      <c r="K103" s="59">
        <f t="shared" si="12"/>
        <v>18.213345323373996</v>
      </c>
      <c r="L103" s="59">
        <f t="shared" si="13"/>
        <v>12.594334532120318</v>
      </c>
      <c r="M103" s="59">
        <f>IF((((1.18*F103^0.874)/3.7-(0.301*F103^0.751)/(1-H103)*H103)*(MAX('Min rate concentrations'!$P$3:$P$368)))/F103&gt;0, (((1.18*F103^0.874)/3.7-(0.301*F103^0.751)/(1-H103)*H103)*(MAX('Min rate concentrations'!$P$3:$P$368)))/F103, 0)</f>
        <v>0</v>
      </c>
      <c r="N103" s="59">
        <f>IF((((1.18*F103^0.874)/3.7-(0.301*F103^0.751)/(1-H103)*H103)*(MAX('Min rate concentrations'!$Q$3:$Q$368)))/F103&gt;0, (((1.18*F103^0.874)/3.7-(0.301*F103^0.751)/(1-H103)*H103)*(MAX('Min rate concentrations'!$Q$3:$Q$368)))/F103, 0)</f>
        <v>0</v>
      </c>
      <c r="O103" s="59">
        <f>((MAX('Min rate concentrations'!$F$3:$F$368))*0.62*6.01*8*(10*F103^0.667)*0.079*0.1/F103)*inputs!$E$80/(10^(0.84+0.62*LOG10(inputs!$E$80)))</f>
        <v>7.1633504461813917</v>
      </c>
      <c r="P103" s="59">
        <f>((MAX('Min rate concentrations'!Y:Y))*0.62*6.01*8*(10*F103^0.667)*0.079*0.1/F103)*inputs!$E$80/(10^(0.84+0.62*LOG10(inputs!$E$80)))</f>
        <v>2.3877834820604642</v>
      </c>
      <c r="Q103" s="59">
        <f>(inputs!$C$7*11.2*(10*F103^0.667)*0.5/F103)*inputs!$E$80/(10^(0.84+0.62*LOG10(inputs!$E$80)))</f>
        <v>1.2617903945931084</v>
      </c>
      <c r="R103" s="59">
        <f>(60*284*((F103/1000)^0.77)*3*24*(MAX('Min rate concentrations'!$R$3:$R$368))/F103)*(inputs!$E$73*3.4/inputs!$E$75)</f>
        <v>9.8279221355870392E-3</v>
      </c>
      <c r="S103" s="59">
        <f>(IF(inputs!$C$6="aerial",((0.025*0.112*inputs!$C$7/3.3)*(3*60*284*((F103/1000)^0.77))*MAX(inputs!$H$14:$H$16))/F103,((0.0083*0.112*inputs!$C$7/1)*(3*60*284*((F103/1000)^0.77))*MAX(inputs!$H$14:$H$16))/F103))*(inputs!E$75*3.4/inputs!$E$73)</f>
        <v>5.4201594388681704E-2</v>
      </c>
      <c r="T103" s="63">
        <f>IF((((inputs!$P$12/(V103/MAX(K103:S103)))^(1/inputs!$O$12))-1)/inputs!$N$12&lt;0, 0, IF((((inputs!$P$12/(V103/MAX(K103:S103)))^(1/inputs!$O$12))-1)/inputs!$N$12&gt;inputs!$H$17, inputs!$H$17, (((inputs!$P$12/(V103/MAX(K103:S103)))^(1/inputs!$O$12))-1)/inputs!$N$12))</f>
        <v>271.0990655166284</v>
      </c>
      <c r="U103" s="63">
        <f>IF((((inputs!$P$12/(X103/MAX(K103:S103)))^(1/inputs!$O$12))-1)/inputs!$N$12&lt;0, 0, IF((((inputs!$P$12/(X103/MAX(K103:S103)))^(1/inputs!$O$12))-1)/inputs!$N$12&gt;inputs!$H$17, inputs!$H$17, (((inputs!$P$12/(X103/MAX(K103:S103)))^(1/inputs!$O$12))-1)/inputs!$N$12))</f>
        <v>8.3914621689002526</v>
      </c>
      <c r="V103" s="21">
        <f>inputs!$E$78*(F103/inputs!$F$78)^(inputs!$E$84-1)</f>
        <v>2.6668058808446828E-2</v>
      </c>
      <c r="W103" s="21">
        <f>inputs!$E$85*(F103/inputs!$F$85)^(inputs!$E$84-1)</f>
        <v>1.2314818288982921</v>
      </c>
      <c r="X103" s="21">
        <f>inputs!$E$80*(F103/inputs!$F$80)^(inputs!$E$84-1)</f>
        <v>4.5985713863923561</v>
      </c>
      <c r="Y103" s="21">
        <f>inputs!$E$82*(F103/inputs!$F$82)^(inputs!$E$84-1)</f>
        <v>2.1194088842502481</v>
      </c>
      <c r="Z103" s="63">
        <f t="shared" si="9"/>
        <v>682.96479523305652</v>
      </c>
      <c r="AA103" s="63">
        <f t="shared" si="10"/>
        <v>14.789779999976139</v>
      </c>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L103" s="107"/>
      <c r="BM103" s="107"/>
      <c r="BN103" s="107"/>
      <c r="BO103" s="107"/>
      <c r="BP103" s="107"/>
      <c r="BQ103" s="107"/>
      <c r="BR103" s="107"/>
      <c r="BS103" s="107"/>
      <c r="BT103" s="107"/>
      <c r="BU103" s="107"/>
      <c r="BV103" s="107"/>
      <c r="BW103" s="107"/>
      <c r="BX103" s="107"/>
      <c r="BY103" s="107"/>
      <c r="BZ103" s="107"/>
      <c r="CA103" s="107"/>
      <c r="CB103" s="107"/>
      <c r="CC103" s="107"/>
      <c r="CD103" s="107"/>
      <c r="CE103" s="107"/>
      <c r="CF103" s="107"/>
      <c r="CG103" s="107"/>
      <c r="CH103" s="107"/>
      <c r="CI103" s="107"/>
      <c r="CJ103" s="107"/>
      <c r="CK103" s="107"/>
      <c r="CL103" s="107"/>
      <c r="CM103" s="107"/>
      <c r="CN103" s="107"/>
      <c r="CO103" s="107"/>
      <c r="CP103" s="107"/>
      <c r="CQ103" s="107"/>
      <c r="CR103" s="107"/>
      <c r="CS103" s="107"/>
      <c r="CT103" s="107"/>
      <c r="CU103" s="107"/>
      <c r="CV103" s="107"/>
      <c r="CW103" s="107"/>
      <c r="CX103" s="107"/>
      <c r="CY103" s="107"/>
      <c r="CZ103" s="107"/>
      <c r="DA103" s="107"/>
      <c r="DB103" s="107"/>
      <c r="DC103" s="107"/>
      <c r="DD103" s="107"/>
      <c r="DE103" s="107"/>
      <c r="DF103" s="107"/>
      <c r="DG103" s="107"/>
      <c r="DH103" s="107"/>
      <c r="DI103" s="107"/>
      <c r="DJ103" s="107"/>
      <c r="DK103" s="107"/>
      <c r="DL103" s="107"/>
      <c r="DM103" s="107"/>
      <c r="DN103" s="107"/>
      <c r="DO103" s="107"/>
      <c r="DP103" s="107"/>
      <c r="DQ103" s="107"/>
      <c r="DR103" s="107"/>
      <c r="DS103" s="107"/>
      <c r="DT103" s="107"/>
      <c r="DU103" s="107"/>
      <c r="DV103" s="107"/>
      <c r="DW103" s="107"/>
      <c r="DX103" s="107"/>
      <c r="DY103" s="107"/>
      <c r="DZ103" s="107"/>
      <c r="EA103" s="107"/>
      <c r="EB103" s="107"/>
      <c r="EC103" s="107"/>
      <c r="ED103" s="107"/>
      <c r="EE103" s="107"/>
      <c r="EF103" s="107"/>
      <c r="EG103" s="107"/>
      <c r="EH103" s="107"/>
      <c r="EI103" s="107"/>
      <c r="EJ103" s="107"/>
      <c r="EK103" s="107"/>
      <c r="EL103" s="107"/>
      <c r="EM103" s="107"/>
      <c r="EN103" s="107"/>
      <c r="EO103" s="107"/>
      <c r="EP103" s="107"/>
      <c r="EQ103" s="107"/>
      <c r="ER103" s="107"/>
      <c r="ES103" s="107"/>
      <c r="ET103" s="107"/>
      <c r="EU103" s="107"/>
      <c r="EV103" s="107"/>
      <c r="EW103" s="107"/>
      <c r="EX103" s="107"/>
      <c r="EY103" s="107"/>
      <c r="EZ103" s="107"/>
      <c r="FA103" s="107"/>
      <c r="FB103" s="107"/>
      <c r="FC103" s="107"/>
      <c r="FD103" s="107"/>
      <c r="FE103" s="107"/>
      <c r="FF103" s="107"/>
      <c r="FG103" s="107"/>
      <c r="FH103" s="107"/>
      <c r="FI103" s="107"/>
      <c r="FJ103" s="107"/>
      <c r="FK103" s="107"/>
      <c r="FL103" s="107"/>
      <c r="FM103" s="107"/>
      <c r="FN103" s="107"/>
      <c r="FO103" s="107"/>
      <c r="FP103" s="107"/>
      <c r="FQ103" s="107"/>
      <c r="FR103" s="107"/>
      <c r="FS103" s="107"/>
      <c r="FT103" s="107"/>
      <c r="FU103" s="107"/>
      <c r="FV103" s="107"/>
      <c r="FW103" s="107"/>
      <c r="FX103" s="107"/>
      <c r="FY103" s="107"/>
      <c r="FZ103" s="107"/>
      <c r="GA103" s="107"/>
      <c r="GB103" s="107"/>
      <c r="GC103" s="107"/>
      <c r="GD103" s="107"/>
      <c r="GE103" s="107"/>
      <c r="GF103" s="107"/>
      <c r="GG103" s="107"/>
      <c r="GH103" s="107"/>
      <c r="GI103" s="107"/>
      <c r="GJ103" s="107"/>
      <c r="GK103" s="107"/>
      <c r="GL103" s="107"/>
      <c r="GM103" s="107"/>
      <c r="GN103" s="107"/>
      <c r="GO103" s="107"/>
      <c r="GP103" s="107"/>
      <c r="GQ103" s="107"/>
      <c r="GR103" s="107"/>
      <c r="GS103" s="107"/>
      <c r="GT103" s="107"/>
      <c r="GU103" s="107"/>
      <c r="GV103" s="107"/>
      <c r="GW103" s="107"/>
      <c r="GX103" s="107"/>
      <c r="GY103" s="107"/>
      <c r="GZ103" s="107"/>
      <c r="HA103" s="107"/>
      <c r="HB103" s="107"/>
      <c r="HC103" s="107"/>
      <c r="HD103" s="107"/>
      <c r="HE103" s="107"/>
      <c r="HF103" s="107"/>
      <c r="HG103" s="107"/>
      <c r="HH103" s="107"/>
      <c r="HI103" s="107"/>
      <c r="HJ103" s="107"/>
      <c r="HK103" s="107"/>
      <c r="HL103" s="107"/>
      <c r="HM103" s="107"/>
      <c r="HN103" s="107"/>
      <c r="HO103" s="107"/>
      <c r="HP103" s="107"/>
      <c r="HQ103" s="107"/>
      <c r="HR103" s="107"/>
      <c r="HS103" s="107"/>
      <c r="HT103" s="107"/>
      <c r="HU103" s="107"/>
      <c r="HV103" s="107"/>
      <c r="HW103" s="107"/>
      <c r="HX103" s="107"/>
      <c r="HY103" s="107"/>
      <c r="HZ103" s="107"/>
      <c r="IA103" s="107"/>
      <c r="IB103" s="107"/>
      <c r="IC103" s="107"/>
      <c r="ID103" s="107"/>
      <c r="IE103" s="107"/>
      <c r="IF103" s="107"/>
      <c r="IG103" s="107"/>
      <c r="IH103" s="107"/>
      <c r="II103" s="107"/>
      <c r="IJ103" s="107"/>
      <c r="IK103" s="107"/>
      <c r="IL103" s="107"/>
      <c r="IM103" s="107"/>
      <c r="IN103" s="107"/>
      <c r="IO103" s="107"/>
      <c r="IP103" s="107"/>
      <c r="IQ103" s="107"/>
      <c r="IR103" s="107"/>
      <c r="IS103" s="107"/>
      <c r="IT103" s="107"/>
      <c r="IU103" s="107"/>
      <c r="IV103" s="107"/>
      <c r="IW103" s="107"/>
      <c r="IX103" s="107"/>
      <c r="IY103" s="107"/>
      <c r="IZ103" s="107"/>
      <c r="JA103" s="107"/>
      <c r="JB103" s="107"/>
      <c r="JC103" s="107"/>
      <c r="JD103" s="107"/>
      <c r="JE103" s="107"/>
      <c r="JF103" s="107"/>
      <c r="JG103" s="107"/>
      <c r="JH103" s="107"/>
      <c r="JI103" s="107"/>
      <c r="JJ103" s="107"/>
      <c r="JK103" s="107"/>
      <c r="JL103" s="107"/>
      <c r="JM103" s="107"/>
      <c r="JN103" s="107"/>
      <c r="JO103" s="107"/>
      <c r="JP103" s="107"/>
      <c r="JQ103" s="107"/>
      <c r="JR103" s="107"/>
      <c r="JS103" s="107"/>
      <c r="JT103" s="107"/>
      <c r="JU103" s="107"/>
      <c r="JV103" s="107"/>
      <c r="JW103" s="107"/>
      <c r="JX103" s="107"/>
      <c r="JY103" s="107"/>
      <c r="JZ103" s="107"/>
      <c r="KA103" s="107"/>
      <c r="KB103" s="107"/>
      <c r="KC103" s="107"/>
      <c r="KD103" s="107"/>
      <c r="KE103" s="107"/>
      <c r="KF103" s="107"/>
      <c r="KG103" s="107"/>
      <c r="KH103" s="107"/>
      <c r="KI103" s="107"/>
      <c r="KJ103" s="107"/>
      <c r="KK103" s="107"/>
      <c r="KL103" s="107"/>
      <c r="KM103" s="107"/>
      <c r="KN103" s="107"/>
      <c r="KO103" s="107"/>
      <c r="KP103" s="107"/>
      <c r="KQ103" s="107"/>
      <c r="KR103" s="107"/>
      <c r="KS103" s="107"/>
      <c r="KT103" s="107"/>
      <c r="KU103" s="107"/>
      <c r="KV103" s="107"/>
      <c r="KW103" s="107"/>
      <c r="KX103" s="107"/>
      <c r="KY103" s="107"/>
      <c r="KZ103" s="107"/>
      <c r="LA103" s="107"/>
      <c r="LB103" s="107"/>
      <c r="LC103" s="107"/>
      <c r="LD103" s="107"/>
      <c r="LE103" s="107"/>
      <c r="LF103" s="107"/>
      <c r="LG103" s="107"/>
      <c r="LH103" s="107"/>
      <c r="LI103" s="107"/>
      <c r="LJ103" s="107"/>
      <c r="LK103" s="107"/>
      <c r="LL103" s="107"/>
      <c r="LM103" s="107"/>
      <c r="LN103" s="107"/>
      <c r="LO103" s="107"/>
      <c r="LP103" s="107"/>
      <c r="LQ103" s="107"/>
      <c r="LR103" s="107"/>
      <c r="LS103" s="107"/>
      <c r="LT103" s="107"/>
      <c r="LU103" s="107"/>
      <c r="LV103" s="107"/>
      <c r="LW103" s="107"/>
      <c r="LX103" s="107"/>
      <c r="LY103" s="107"/>
      <c r="LZ103" s="107"/>
      <c r="MA103" s="107"/>
      <c r="MB103" s="107"/>
      <c r="MC103" s="107"/>
      <c r="MD103" s="107"/>
      <c r="ME103" s="107"/>
      <c r="MF103" s="107"/>
      <c r="MG103" s="107"/>
      <c r="MH103" s="107"/>
      <c r="MI103" s="107"/>
      <c r="MJ103" s="107"/>
      <c r="MK103" s="107"/>
      <c r="ML103" s="107"/>
      <c r="MM103" s="107"/>
      <c r="MN103" s="107"/>
      <c r="MO103" s="107"/>
      <c r="MP103" s="107"/>
      <c r="MQ103" s="107"/>
      <c r="MR103" s="107"/>
      <c r="MS103" s="107"/>
      <c r="MT103" s="107"/>
      <c r="MU103" s="107"/>
      <c r="MV103" s="107"/>
      <c r="MW103" s="107"/>
      <c r="MX103" s="107"/>
      <c r="MY103" s="107"/>
      <c r="MZ103" s="107"/>
      <c r="NA103" s="107"/>
      <c r="NB103" s="107"/>
      <c r="NC103" s="107"/>
      <c r="ND103" s="107"/>
      <c r="NE103" s="107"/>
      <c r="NF103" s="107"/>
      <c r="NG103" s="107"/>
      <c r="NH103" s="107"/>
      <c r="NI103" s="107"/>
      <c r="NJ103" s="107"/>
      <c r="NK103" s="107"/>
      <c r="NL103" s="107"/>
      <c r="NM103" s="107"/>
      <c r="NN103" s="107"/>
      <c r="NO103" s="107"/>
      <c r="NP103" s="107"/>
      <c r="NQ103" s="107"/>
      <c r="NR103" s="107"/>
      <c r="NS103" s="107"/>
      <c r="NT103" s="107"/>
      <c r="NU103" s="107"/>
      <c r="NV103" s="107"/>
      <c r="NW103" s="107"/>
      <c r="NX103" s="107"/>
      <c r="NY103" s="107"/>
      <c r="NZ103" s="107"/>
      <c r="OA103" s="107"/>
      <c r="OB103" s="107"/>
      <c r="OC103" s="107"/>
      <c r="OD103" s="107"/>
      <c r="OE103" s="107"/>
      <c r="OF103" s="107"/>
      <c r="OG103" s="107"/>
      <c r="OH103" s="107"/>
      <c r="OI103" s="107"/>
      <c r="OJ103" s="107"/>
      <c r="OK103" s="107"/>
      <c r="OL103" s="107"/>
      <c r="OM103" s="107"/>
      <c r="ON103" s="107"/>
      <c r="OO103" s="107"/>
      <c r="OP103" s="107"/>
      <c r="OQ103" s="107"/>
      <c r="OR103" s="107"/>
      <c r="OS103" s="107"/>
      <c r="OT103" s="107"/>
      <c r="OU103" s="107"/>
      <c r="OV103" s="107"/>
      <c r="OW103" s="107"/>
      <c r="OX103" s="107"/>
      <c r="OY103" s="107"/>
      <c r="OZ103" s="107"/>
      <c r="PA103" s="107"/>
      <c r="PB103" s="107"/>
      <c r="PC103" s="107"/>
      <c r="PD103" s="107"/>
      <c r="PE103" s="107"/>
      <c r="PF103" s="107"/>
      <c r="PG103" s="107"/>
      <c r="PH103" s="107"/>
      <c r="PI103" s="107"/>
      <c r="PJ103" s="107"/>
      <c r="PK103" s="107"/>
      <c r="PL103" s="107"/>
      <c r="PM103" s="107"/>
      <c r="PN103" s="107"/>
      <c r="PO103" s="107"/>
      <c r="PP103" s="107"/>
      <c r="PQ103" s="107"/>
      <c r="PR103" s="107"/>
      <c r="PS103" s="107"/>
      <c r="PT103" s="107"/>
      <c r="PU103" s="107"/>
      <c r="PV103" s="107"/>
      <c r="PW103" s="107"/>
      <c r="PX103" s="107"/>
      <c r="PY103" s="107"/>
      <c r="PZ103" s="107"/>
      <c r="QA103" s="107"/>
      <c r="QB103" s="107"/>
      <c r="QC103" s="107"/>
      <c r="QD103" s="107"/>
      <c r="QE103" s="107"/>
      <c r="QF103" s="107"/>
      <c r="QG103" s="107"/>
      <c r="QH103" s="107"/>
      <c r="QI103" s="107"/>
      <c r="QJ103" s="107"/>
      <c r="QK103" s="107"/>
      <c r="QL103" s="107"/>
      <c r="QM103" s="107"/>
      <c r="QN103" s="107"/>
      <c r="QO103" s="107"/>
      <c r="QP103" s="107"/>
      <c r="QQ103" s="107"/>
      <c r="QR103" s="107"/>
      <c r="QS103" s="107"/>
      <c r="QT103" s="107"/>
      <c r="QU103" s="107"/>
      <c r="QV103" s="107"/>
      <c r="QW103" s="107"/>
      <c r="QX103" s="107"/>
      <c r="QY103" s="107"/>
      <c r="QZ103" s="107"/>
      <c r="RA103" s="107"/>
      <c r="RB103" s="107"/>
      <c r="RC103" s="107"/>
      <c r="RD103" s="107"/>
      <c r="RE103" s="107"/>
      <c r="RF103" s="107"/>
      <c r="RG103" s="107"/>
      <c r="RH103" s="107"/>
    </row>
    <row r="104" spans="1:476" ht="26.4" x14ac:dyDescent="0.25">
      <c r="A104" s="103" t="s">
        <v>210</v>
      </c>
      <c r="B104" s="20" t="s">
        <v>212</v>
      </c>
      <c r="C104" s="20" t="s">
        <v>73</v>
      </c>
      <c r="D104" s="104" t="s">
        <v>185</v>
      </c>
      <c r="E104" s="15">
        <v>131</v>
      </c>
      <c r="F104" s="15">
        <v>40</v>
      </c>
      <c r="G104" s="20" t="s">
        <v>164</v>
      </c>
      <c r="H104" s="20">
        <v>0.78</v>
      </c>
      <c r="I104" s="48">
        <f>inputs!$C$65*(inputs!$C$62/1000)</f>
        <v>0.82000000000000006</v>
      </c>
      <c r="J104" s="48">
        <f>inputs!$C$65*(inputs!$C$61/1000)</f>
        <v>0.25</v>
      </c>
      <c r="K104" s="59">
        <f t="shared" si="12"/>
        <v>0.44775941791118673</v>
      </c>
      <c r="L104" s="59">
        <f t="shared" si="13"/>
        <v>0.13651201765584961</v>
      </c>
      <c r="M104" s="59">
        <f>IF((((1.18*F104^0.874)/3.7-(0.301*F104^0.751)/(1-H104)*H104)*(MAX('Min rate concentrations'!$P$3:$P$368)))/F104&gt;0, (((1.18*F104^0.874)/3.7-(0.301*F104^0.751)/(1-H104)*H104)*(MAX('Min rate concentrations'!$P$3:$P$368)))/F104, 0)</f>
        <v>0</v>
      </c>
      <c r="N104" s="59">
        <f>IF((((1.18*F104^0.874)/3.7-(0.301*F104^0.751)/(1-H104)*H104)*(MAX('Min rate concentrations'!$Q$3:$Q$368)))/F104&gt;0, (((1.18*F104^0.874)/3.7-(0.301*F104^0.751)/(1-H104)*H104)*(MAX('Min rate concentrations'!$Q$3:$Q$368)))/F104, 0)</f>
        <v>0</v>
      </c>
      <c r="O104" s="59">
        <f>((MAX('Min rate concentrations'!$F$3:$F$368))*0.62*6.01*8*(10*F104^0.667)*0.079*0.1/F104)*inputs!$E$80/(10^(0.84+0.62*LOG10(inputs!$E$80)))</f>
        <v>7.1633504461813917</v>
      </c>
      <c r="P104" s="59">
        <f>((MAX('Min rate concentrations'!Y:Y))*0.62*6.01*8*(10*F104^0.667)*0.079*0.1/F104)*inputs!$E$80/(10^(0.84+0.62*LOG10(inputs!$E$80)))</f>
        <v>2.3877834820604642</v>
      </c>
      <c r="Q104" s="59">
        <f>(inputs!$C$7*11.2*(10*F104^0.667)*0.5/F104)*inputs!$E$80/(10^(0.84+0.62*LOG10(inputs!$E$80)))</f>
        <v>1.2617903945931084</v>
      </c>
      <c r="R104" s="59">
        <f>(60*284*((F104/1000)^0.77)*3*24*(MAX('Min rate concentrations'!$R$3:$R$368))/F104)*(inputs!$E$73*3.4/inputs!$E$75)</f>
        <v>9.8279221355870392E-3</v>
      </c>
      <c r="S104" s="59">
        <f>(IF(inputs!$C$6="aerial",((0.025*0.112*inputs!$C$7/3.3)*(3*60*284*((F104/1000)^0.77))*MAX(inputs!$H$14:$H$16))/F104,((0.0083*0.112*inputs!$C$7/1)*(3*60*284*((F104/1000)^0.77))*MAX(inputs!$H$14:$H$16))/F104))*(inputs!E$75*3.4/inputs!$E$73)</f>
        <v>5.4201594388681704E-2</v>
      </c>
      <c r="T104" s="63">
        <f>IF((((inputs!$P$12/(V104/MAX(K104:S104)))^(1/inputs!$O$12))-1)/inputs!$N$12&lt;0, 0, IF((((inputs!$P$12/(V104/MAX(K104:S104)))^(1/inputs!$O$12))-1)/inputs!$N$12&gt;inputs!$H$17, inputs!$H$17, (((inputs!$P$12/(V104/MAX(K104:S104)))^(1/inputs!$O$12))-1)/inputs!$N$12))</f>
        <v>176.47834458264853</v>
      </c>
      <c r="U104" s="63">
        <f>IF((((inputs!$P$12/(X104/MAX(K104:S104)))^(1/inputs!$O$12))-1)/inputs!$N$12&lt;0, 0, IF((((inputs!$P$12/(X104/MAX(K104:S104)))^(1/inputs!$O$12))-1)/inputs!$N$12&gt;inputs!$H$17, inputs!$H$17, (((inputs!$P$12/(X104/MAX(K104:S104)))^(1/inputs!$O$12))-1)/inputs!$N$12))</f>
        <v>0</v>
      </c>
      <c r="V104" s="21">
        <f>inputs!$E$78*(F104/inputs!$F$78)^(inputs!$E$84-1)</f>
        <v>2.6668058808446828E-2</v>
      </c>
      <c r="W104" s="21">
        <f>inputs!$E$85*(F104/inputs!$F$85)^(inputs!$E$84-1)</f>
        <v>1.2314818288982921</v>
      </c>
      <c r="X104" s="21">
        <f>inputs!$E$80*(F104/inputs!$F$80)^(inputs!$E$84-1)</f>
        <v>4.5985713863923561</v>
      </c>
      <c r="Y104" s="21">
        <f>inputs!$E$82*(F104/inputs!$F$82)^(inputs!$E$84-1)</f>
        <v>2.1194088842502481</v>
      </c>
      <c r="Z104" s="63">
        <f t="shared" si="9"/>
        <v>268.61161877715955</v>
      </c>
      <c r="AA104" s="63">
        <f t="shared" si="10"/>
        <v>5.8168543604008081</v>
      </c>
      <c r="AB104" s="107"/>
      <c r="AC104" s="107"/>
      <c r="AD104" s="107"/>
      <c r="AE104" s="107"/>
      <c r="AF104" s="107"/>
      <c r="AG104" s="107"/>
      <c r="AH104" s="107"/>
      <c r="AI104" s="107"/>
      <c r="AJ104" s="107"/>
      <c r="AK104" s="107"/>
      <c r="AL104" s="107"/>
      <c r="AM104" s="107"/>
      <c r="AN104" s="107"/>
      <c r="AO104" s="107"/>
      <c r="AP104" s="107"/>
      <c r="AQ104" s="107"/>
      <c r="AR104" s="107"/>
      <c r="AS104" s="107"/>
      <c r="AT104" s="107"/>
      <c r="AU104" s="107"/>
      <c r="AV104" s="107"/>
      <c r="AW104" s="107"/>
      <c r="AX104" s="107"/>
      <c r="AY104" s="107"/>
      <c r="AZ104" s="107"/>
      <c r="BA104" s="107"/>
      <c r="BB104" s="107"/>
      <c r="BC104" s="107"/>
      <c r="BD104" s="107"/>
      <c r="BE104" s="107"/>
      <c r="BF104" s="107"/>
      <c r="BG104" s="107"/>
      <c r="BH104" s="107"/>
      <c r="BI104" s="107"/>
      <c r="BJ104" s="107"/>
      <c r="BK104" s="107"/>
      <c r="BL104" s="107"/>
      <c r="BM104" s="107"/>
      <c r="BN104" s="107"/>
      <c r="BO104" s="107"/>
      <c r="BP104" s="107"/>
      <c r="BQ104" s="107"/>
      <c r="BR104" s="107"/>
      <c r="BS104" s="107"/>
      <c r="BT104" s="107"/>
      <c r="BU104" s="107"/>
      <c r="BV104" s="107"/>
      <c r="BW104" s="107"/>
      <c r="BX104" s="107"/>
      <c r="BY104" s="107"/>
      <c r="BZ104" s="107"/>
      <c r="CA104" s="107"/>
      <c r="CB104" s="107"/>
      <c r="CC104" s="107"/>
      <c r="CD104" s="107"/>
      <c r="CE104" s="107"/>
      <c r="CF104" s="107"/>
      <c r="CG104" s="107"/>
      <c r="CH104" s="107"/>
      <c r="CI104" s="107"/>
      <c r="CJ104" s="107"/>
      <c r="CK104" s="107"/>
      <c r="CL104" s="107"/>
      <c r="CM104" s="107"/>
      <c r="CN104" s="107"/>
      <c r="CO104" s="107"/>
      <c r="CP104" s="107"/>
      <c r="CQ104" s="107"/>
      <c r="CR104" s="107"/>
      <c r="CS104" s="107"/>
      <c r="CT104" s="107"/>
      <c r="CU104" s="107"/>
      <c r="CV104" s="107"/>
      <c r="CW104" s="107"/>
      <c r="CX104" s="107"/>
      <c r="CY104" s="107"/>
      <c r="CZ104" s="107"/>
      <c r="DA104" s="107"/>
      <c r="DB104" s="107"/>
      <c r="DC104" s="107"/>
      <c r="DD104" s="107"/>
      <c r="DE104" s="107"/>
      <c r="DF104" s="107"/>
      <c r="DG104" s="107"/>
      <c r="DH104" s="107"/>
      <c r="DI104" s="107"/>
      <c r="DJ104" s="107"/>
      <c r="DK104" s="107"/>
      <c r="DL104" s="107"/>
      <c r="DM104" s="107"/>
      <c r="DN104" s="107"/>
      <c r="DO104" s="107"/>
      <c r="DP104" s="107"/>
      <c r="DQ104" s="107"/>
      <c r="DR104" s="107"/>
      <c r="DS104" s="107"/>
      <c r="DT104" s="107"/>
      <c r="DU104" s="107"/>
      <c r="DV104" s="107"/>
      <c r="DW104" s="107"/>
      <c r="DX104" s="107"/>
      <c r="DY104" s="107"/>
      <c r="DZ104" s="107"/>
      <c r="EA104" s="107"/>
      <c r="EB104" s="107"/>
      <c r="EC104" s="107"/>
      <c r="ED104" s="107"/>
      <c r="EE104" s="107"/>
      <c r="EF104" s="107"/>
      <c r="EG104" s="107"/>
      <c r="EH104" s="107"/>
      <c r="EI104" s="107"/>
      <c r="EJ104" s="107"/>
      <c r="EK104" s="107"/>
      <c r="EL104" s="107"/>
      <c r="EM104" s="107"/>
      <c r="EN104" s="107"/>
      <c r="EO104" s="107"/>
      <c r="EP104" s="107"/>
      <c r="EQ104" s="107"/>
      <c r="ER104" s="107"/>
      <c r="ES104" s="107"/>
      <c r="ET104" s="107"/>
      <c r="EU104" s="107"/>
      <c r="EV104" s="107"/>
      <c r="EW104" s="107"/>
      <c r="EX104" s="107"/>
      <c r="EY104" s="107"/>
      <c r="EZ104" s="107"/>
      <c r="FA104" s="107"/>
      <c r="FB104" s="107"/>
      <c r="FC104" s="107"/>
      <c r="FD104" s="107"/>
      <c r="FE104" s="107"/>
      <c r="FF104" s="107"/>
      <c r="FG104" s="107"/>
      <c r="FH104" s="107"/>
      <c r="FI104" s="107"/>
      <c r="FJ104" s="107"/>
      <c r="FK104" s="107"/>
      <c r="FL104" s="107"/>
      <c r="FM104" s="107"/>
      <c r="FN104" s="107"/>
      <c r="FO104" s="107"/>
      <c r="FP104" s="107"/>
      <c r="FQ104" s="107"/>
      <c r="FR104" s="107"/>
      <c r="FS104" s="107"/>
      <c r="FT104" s="107"/>
      <c r="FU104" s="107"/>
      <c r="FV104" s="107"/>
      <c r="FW104" s="107"/>
      <c r="FX104" s="107"/>
      <c r="FY104" s="107"/>
      <c r="FZ104" s="107"/>
      <c r="GA104" s="107"/>
      <c r="GB104" s="107"/>
      <c r="GC104" s="107"/>
      <c r="GD104" s="107"/>
      <c r="GE104" s="107"/>
      <c r="GF104" s="107"/>
      <c r="GG104" s="107"/>
      <c r="GH104" s="107"/>
      <c r="GI104" s="107"/>
      <c r="GJ104" s="107"/>
      <c r="GK104" s="107"/>
      <c r="GL104" s="107"/>
      <c r="GM104" s="107"/>
      <c r="GN104" s="107"/>
      <c r="GO104" s="107"/>
      <c r="GP104" s="107"/>
      <c r="GQ104" s="107"/>
      <c r="GR104" s="107"/>
      <c r="GS104" s="107"/>
      <c r="GT104" s="107"/>
      <c r="GU104" s="107"/>
      <c r="GV104" s="107"/>
      <c r="GW104" s="107"/>
      <c r="GX104" s="107"/>
      <c r="GY104" s="107"/>
      <c r="GZ104" s="107"/>
      <c r="HA104" s="107"/>
      <c r="HB104" s="107"/>
      <c r="HC104" s="107"/>
      <c r="HD104" s="107"/>
      <c r="HE104" s="107"/>
      <c r="HF104" s="107"/>
      <c r="HG104" s="107"/>
      <c r="HH104" s="107"/>
      <c r="HI104" s="107"/>
      <c r="HJ104" s="107"/>
      <c r="HK104" s="107"/>
      <c r="HL104" s="107"/>
      <c r="HM104" s="107"/>
      <c r="HN104" s="107"/>
      <c r="HO104" s="107"/>
      <c r="HP104" s="107"/>
      <c r="HQ104" s="107"/>
      <c r="HR104" s="107"/>
      <c r="HS104" s="107"/>
      <c r="HT104" s="107"/>
      <c r="HU104" s="107"/>
      <c r="HV104" s="107"/>
      <c r="HW104" s="107"/>
      <c r="HX104" s="107"/>
      <c r="HY104" s="107"/>
      <c r="HZ104" s="107"/>
      <c r="IA104" s="107"/>
      <c r="IB104" s="107"/>
      <c r="IC104" s="107"/>
      <c r="ID104" s="107"/>
      <c r="IE104" s="107"/>
      <c r="IF104" s="107"/>
      <c r="IG104" s="107"/>
      <c r="IH104" s="107"/>
      <c r="II104" s="107"/>
      <c r="IJ104" s="107"/>
      <c r="IK104" s="107"/>
      <c r="IL104" s="107"/>
      <c r="IM104" s="107"/>
      <c r="IN104" s="107"/>
      <c r="IO104" s="107"/>
      <c r="IP104" s="107"/>
      <c r="IQ104" s="107"/>
      <c r="IR104" s="107"/>
      <c r="IS104" s="107"/>
      <c r="IT104" s="107"/>
      <c r="IU104" s="107"/>
      <c r="IV104" s="107"/>
      <c r="IW104" s="107"/>
      <c r="IX104" s="107"/>
      <c r="IY104" s="107"/>
      <c r="IZ104" s="107"/>
      <c r="JA104" s="107"/>
      <c r="JB104" s="107"/>
      <c r="JC104" s="107"/>
      <c r="JD104" s="107"/>
      <c r="JE104" s="107"/>
      <c r="JF104" s="107"/>
      <c r="JG104" s="107"/>
      <c r="JH104" s="107"/>
      <c r="JI104" s="107"/>
      <c r="JJ104" s="107"/>
      <c r="JK104" s="107"/>
      <c r="JL104" s="107"/>
      <c r="JM104" s="107"/>
      <c r="JN104" s="107"/>
      <c r="JO104" s="107"/>
      <c r="JP104" s="107"/>
      <c r="JQ104" s="107"/>
      <c r="JR104" s="107"/>
      <c r="JS104" s="107"/>
      <c r="JT104" s="107"/>
      <c r="JU104" s="107"/>
      <c r="JV104" s="107"/>
      <c r="JW104" s="107"/>
      <c r="JX104" s="107"/>
      <c r="JY104" s="107"/>
      <c r="JZ104" s="107"/>
      <c r="KA104" s="107"/>
      <c r="KB104" s="107"/>
      <c r="KC104" s="107"/>
      <c r="KD104" s="107"/>
      <c r="KE104" s="107"/>
      <c r="KF104" s="107"/>
      <c r="KG104" s="107"/>
      <c r="KH104" s="107"/>
      <c r="KI104" s="107"/>
      <c r="KJ104" s="107"/>
      <c r="KK104" s="107"/>
      <c r="KL104" s="107"/>
      <c r="KM104" s="107"/>
      <c r="KN104" s="107"/>
      <c r="KO104" s="107"/>
      <c r="KP104" s="107"/>
      <c r="KQ104" s="107"/>
      <c r="KR104" s="107"/>
      <c r="KS104" s="107"/>
      <c r="KT104" s="107"/>
      <c r="KU104" s="107"/>
      <c r="KV104" s="107"/>
      <c r="KW104" s="107"/>
      <c r="KX104" s="107"/>
      <c r="KY104" s="107"/>
      <c r="KZ104" s="107"/>
      <c r="LA104" s="107"/>
      <c r="LB104" s="107"/>
      <c r="LC104" s="107"/>
      <c r="LD104" s="107"/>
      <c r="LE104" s="107"/>
      <c r="LF104" s="107"/>
      <c r="LG104" s="107"/>
      <c r="LH104" s="107"/>
      <c r="LI104" s="107"/>
      <c r="LJ104" s="107"/>
      <c r="LK104" s="107"/>
      <c r="LL104" s="107"/>
      <c r="LM104" s="107"/>
      <c r="LN104" s="107"/>
      <c r="LO104" s="107"/>
      <c r="LP104" s="107"/>
      <c r="LQ104" s="107"/>
      <c r="LR104" s="107"/>
      <c r="LS104" s="107"/>
      <c r="LT104" s="107"/>
      <c r="LU104" s="107"/>
      <c r="LV104" s="107"/>
      <c r="LW104" s="107"/>
      <c r="LX104" s="107"/>
      <c r="LY104" s="107"/>
      <c r="LZ104" s="107"/>
      <c r="MA104" s="107"/>
      <c r="MB104" s="107"/>
      <c r="MC104" s="107"/>
      <c r="MD104" s="107"/>
      <c r="ME104" s="107"/>
      <c r="MF104" s="107"/>
      <c r="MG104" s="107"/>
      <c r="MH104" s="107"/>
      <c r="MI104" s="107"/>
      <c r="MJ104" s="107"/>
      <c r="MK104" s="107"/>
      <c r="ML104" s="107"/>
      <c r="MM104" s="107"/>
      <c r="MN104" s="107"/>
      <c r="MO104" s="107"/>
      <c r="MP104" s="107"/>
      <c r="MQ104" s="107"/>
      <c r="MR104" s="107"/>
      <c r="MS104" s="107"/>
      <c r="MT104" s="107"/>
      <c r="MU104" s="107"/>
      <c r="MV104" s="107"/>
      <c r="MW104" s="107"/>
      <c r="MX104" s="107"/>
      <c r="MY104" s="107"/>
      <c r="MZ104" s="107"/>
      <c r="NA104" s="107"/>
      <c r="NB104" s="107"/>
      <c r="NC104" s="107"/>
      <c r="ND104" s="107"/>
      <c r="NE104" s="107"/>
      <c r="NF104" s="107"/>
      <c r="NG104" s="107"/>
      <c r="NH104" s="107"/>
      <c r="NI104" s="107"/>
      <c r="NJ104" s="107"/>
      <c r="NK104" s="107"/>
      <c r="NL104" s="107"/>
      <c r="NM104" s="107"/>
      <c r="NN104" s="107"/>
      <c r="NO104" s="107"/>
      <c r="NP104" s="107"/>
      <c r="NQ104" s="107"/>
      <c r="NR104" s="107"/>
      <c r="NS104" s="107"/>
      <c r="NT104" s="107"/>
      <c r="NU104" s="107"/>
      <c r="NV104" s="107"/>
      <c r="NW104" s="107"/>
      <c r="NX104" s="107"/>
      <c r="NY104" s="107"/>
      <c r="NZ104" s="107"/>
      <c r="OA104" s="107"/>
      <c r="OB104" s="107"/>
      <c r="OC104" s="107"/>
      <c r="OD104" s="107"/>
      <c r="OE104" s="107"/>
      <c r="OF104" s="107"/>
      <c r="OG104" s="107"/>
      <c r="OH104" s="107"/>
      <c r="OI104" s="107"/>
      <c r="OJ104" s="107"/>
      <c r="OK104" s="107"/>
      <c r="OL104" s="107"/>
      <c r="OM104" s="107"/>
      <c r="ON104" s="107"/>
      <c r="OO104" s="107"/>
      <c r="OP104" s="107"/>
      <c r="OQ104" s="107"/>
      <c r="OR104" s="107"/>
      <c r="OS104" s="107"/>
      <c r="OT104" s="107"/>
      <c r="OU104" s="107"/>
      <c r="OV104" s="107"/>
      <c r="OW104" s="107"/>
      <c r="OX104" s="107"/>
      <c r="OY104" s="107"/>
      <c r="OZ104" s="107"/>
      <c r="PA104" s="107"/>
      <c r="PB104" s="107"/>
      <c r="PC104" s="107"/>
      <c r="PD104" s="107"/>
      <c r="PE104" s="107"/>
      <c r="PF104" s="107"/>
      <c r="PG104" s="107"/>
      <c r="PH104" s="107"/>
      <c r="PI104" s="107"/>
      <c r="PJ104" s="107"/>
      <c r="PK104" s="107"/>
      <c r="PL104" s="107"/>
      <c r="PM104" s="107"/>
      <c r="PN104" s="107"/>
      <c r="PO104" s="107"/>
      <c r="PP104" s="107"/>
      <c r="PQ104" s="107"/>
      <c r="PR104" s="107"/>
      <c r="PS104" s="107"/>
      <c r="PT104" s="107"/>
      <c r="PU104" s="107"/>
      <c r="PV104" s="107"/>
      <c r="PW104" s="107"/>
      <c r="PX104" s="107"/>
      <c r="PY104" s="107"/>
      <c r="PZ104" s="107"/>
      <c r="QA104" s="107"/>
      <c r="QB104" s="107"/>
      <c r="QC104" s="107"/>
      <c r="QD104" s="107"/>
      <c r="QE104" s="107"/>
      <c r="QF104" s="107"/>
      <c r="QG104" s="107"/>
      <c r="QH104" s="107"/>
      <c r="QI104" s="107"/>
      <c r="QJ104" s="107"/>
      <c r="QK104" s="107"/>
      <c r="QL104" s="107"/>
      <c r="QM104" s="107"/>
      <c r="QN104" s="107"/>
      <c r="QO104" s="107"/>
      <c r="QP104" s="107"/>
      <c r="QQ104" s="107"/>
      <c r="QR104" s="107"/>
      <c r="QS104" s="107"/>
      <c r="QT104" s="107"/>
      <c r="QU104" s="107"/>
      <c r="QV104" s="107"/>
      <c r="QW104" s="107"/>
      <c r="QX104" s="107"/>
      <c r="QY104" s="107"/>
      <c r="QZ104" s="107"/>
      <c r="RA104" s="107"/>
      <c r="RB104" s="107"/>
      <c r="RC104" s="107"/>
      <c r="RD104" s="107"/>
      <c r="RE104" s="107"/>
      <c r="RF104" s="107"/>
      <c r="RG104" s="107"/>
      <c r="RH104" s="107"/>
    </row>
    <row r="105" spans="1:476" ht="26.4" x14ac:dyDescent="0.25">
      <c r="A105" s="103" t="s">
        <v>210</v>
      </c>
      <c r="B105" s="20" t="s">
        <v>211</v>
      </c>
      <c r="C105" s="20" t="s">
        <v>73</v>
      </c>
      <c r="D105" s="104" t="s">
        <v>185</v>
      </c>
      <c r="E105" s="15">
        <v>130</v>
      </c>
      <c r="F105" s="15">
        <v>40</v>
      </c>
      <c r="G105" s="20" t="s">
        <v>142</v>
      </c>
      <c r="H105" s="20">
        <v>0.69</v>
      </c>
      <c r="I105" s="48">
        <f>MAX('Min rate concentrations'!$H$3:$H$368)</f>
        <v>47</v>
      </c>
      <c r="J105" s="48">
        <f>MAX('Min rate concentrations'!AA:AA)</f>
        <v>32.5</v>
      </c>
      <c r="K105" s="59">
        <f t="shared" si="12"/>
        <v>18.213345323373996</v>
      </c>
      <c r="L105" s="59">
        <f t="shared" si="13"/>
        <v>12.594334532120318</v>
      </c>
      <c r="M105" s="59">
        <f>IF((((1.18*F105^0.874)/3.7-(0.301*F105^0.751)/(1-H105)*H105)*(MAX('Min rate concentrations'!$P$3:$P$368)))/F105&gt;0, (((1.18*F105^0.874)/3.7-(0.301*F105^0.751)/(1-H105)*H105)*(MAX('Min rate concentrations'!$P$3:$P$368)))/F105, 0)</f>
        <v>0</v>
      </c>
      <c r="N105" s="59">
        <f>IF((((1.18*F105^0.874)/3.7-(0.301*F105^0.751)/(1-H105)*H105)*(MAX('Min rate concentrations'!$Q$3:$Q$368)))/F105&gt;0, (((1.18*F105^0.874)/3.7-(0.301*F105^0.751)/(1-H105)*H105)*(MAX('Min rate concentrations'!$Q$3:$Q$368)))/F105, 0)</f>
        <v>0</v>
      </c>
      <c r="O105" s="59">
        <f>((MAX('Min rate concentrations'!$F$3:$F$368))*0.62*6.01*8*(10*F105^0.667)*0.079*0.1/F105)*inputs!$E$80/(10^(0.84+0.62*LOG10(inputs!$E$80)))</f>
        <v>7.1633504461813917</v>
      </c>
      <c r="P105" s="59">
        <f>((MAX('Min rate concentrations'!Y:Y))*0.62*6.01*8*(10*F105^0.667)*0.079*0.1/F105)*inputs!$E$80/(10^(0.84+0.62*LOG10(inputs!$E$80)))</f>
        <v>2.3877834820604642</v>
      </c>
      <c r="Q105" s="59">
        <f>(inputs!$C$7*11.2*(10*F105^0.667)*0.5/F105)*inputs!$E$80/(10^(0.84+0.62*LOG10(inputs!$E$80)))</f>
        <v>1.2617903945931084</v>
      </c>
      <c r="R105" s="59">
        <f>(60*284*((F105/1000)^0.77)*3*24*(MAX('Min rate concentrations'!$R$3:$R$368))/F105)*(inputs!$E$73*3.4/inputs!$E$75)</f>
        <v>9.8279221355870392E-3</v>
      </c>
      <c r="S105" s="59">
        <f>(IF(inputs!$C$6="aerial",((0.025*0.112*inputs!$C$7/3.3)*(3*60*284*((F105/1000)^0.77))*MAX(inputs!$H$14:$H$16))/F105,((0.0083*0.112*inputs!$C$7/1)*(3*60*284*((F105/1000)^0.77))*MAX(inputs!$H$14:$H$16))/F105))*(inputs!E$75*3.4/inputs!$E$73)</f>
        <v>5.4201594388681704E-2</v>
      </c>
      <c r="T105" s="63">
        <f>IF((((inputs!$P$12/(V105/MAX(K105:S105)))^(1/inputs!$O$12))-1)/inputs!$N$12&lt;0, 0, IF((((inputs!$P$12/(V105/MAX(K105:S105)))^(1/inputs!$O$12))-1)/inputs!$N$12&gt;inputs!$H$17, inputs!$H$17, (((inputs!$P$12/(V105/MAX(K105:S105)))^(1/inputs!$O$12))-1)/inputs!$N$12))</f>
        <v>271.0990655166284</v>
      </c>
      <c r="U105" s="63">
        <f>IF((((inputs!$P$12/(X105/MAX(K105:S105)))^(1/inputs!$O$12))-1)/inputs!$N$12&lt;0, 0, IF((((inputs!$P$12/(X105/MAX(K105:S105)))^(1/inputs!$O$12))-1)/inputs!$N$12&gt;inputs!$H$17, inputs!$H$17, (((inputs!$P$12/(X105/MAX(K105:S105)))^(1/inputs!$O$12))-1)/inputs!$N$12))</f>
        <v>8.3914621689002526</v>
      </c>
      <c r="V105" s="21">
        <f>inputs!$E$78*(F105/inputs!$F$78)^(inputs!$E$84-1)</f>
        <v>2.6668058808446828E-2</v>
      </c>
      <c r="W105" s="21">
        <f>inputs!$E$85*(F105/inputs!$F$85)^(inputs!$E$84-1)</f>
        <v>1.2314818288982921</v>
      </c>
      <c r="X105" s="21">
        <f>inputs!$E$80*(F105/inputs!$F$80)^(inputs!$E$84-1)</f>
        <v>4.5985713863923561</v>
      </c>
      <c r="Y105" s="21">
        <f>inputs!$E$82*(F105/inputs!$F$82)^(inputs!$E$84-1)</f>
        <v>2.1194088842502481</v>
      </c>
      <c r="Z105" s="63">
        <f t="shared" si="9"/>
        <v>682.96479523305652</v>
      </c>
      <c r="AA105" s="63">
        <f t="shared" si="10"/>
        <v>14.789779999976139</v>
      </c>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c r="CZ105" s="107"/>
      <c r="DA105" s="107"/>
      <c r="DB105" s="107"/>
      <c r="DC105" s="107"/>
      <c r="DD105" s="107"/>
      <c r="DE105" s="107"/>
      <c r="DF105" s="107"/>
      <c r="DG105" s="107"/>
      <c r="DH105" s="107"/>
      <c r="DI105" s="107"/>
      <c r="DJ105" s="107"/>
      <c r="DK105" s="107"/>
      <c r="DL105" s="107"/>
      <c r="DM105" s="107"/>
      <c r="DN105" s="107"/>
      <c r="DO105" s="107"/>
      <c r="DP105" s="107"/>
      <c r="DQ105" s="107"/>
      <c r="DR105" s="107"/>
      <c r="DS105" s="107"/>
      <c r="DT105" s="107"/>
      <c r="DU105" s="107"/>
      <c r="DV105" s="107"/>
      <c r="DW105" s="107"/>
      <c r="DX105" s="107"/>
      <c r="DY105" s="107"/>
      <c r="DZ105" s="107"/>
      <c r="EA105" s="107"/>
      <c r="EB105" s="107"/>
      <c r="EC105" s="107"/>
      <c r="ED105" s="107"/>
      <c r="EE105" s="107"/>
      <c r="EF105" s="107"/>
      <c r="EG105" s="107"/>
      <c r="EH105" s="107"/>
      <c r="EI105" s="107"/>
      <c r="EJ105" s="107"/>
      <c r="EK105" s="107"/>
      <c r="EL105" s="107"/>
      <c r="EM105" s="107"/>
      <c r="EN105" s="107"/>
      <c r="EO105" s="107"/>
      <c r="EP105" s="107"/>
      <c r="EQ105" s="107"/>
      <c r="ER105" s="107"/>
      <c r="ES105" s="107"/>
      <c r="ET105" s="107"/>
      <c r="EU105" s="107"/>
      <c r="EV105" s="107"/>
      <c r="EW105" s="107"/>
      <c r="EX105" s="107"/>
      <c r="EY105" s="107"/>
      <c r="EZ105" s="107"/>
      <c r="FA105" s="107"/>
      <c r="FB105" s="107"/>
      <c r="FC105" s="107"/>
      <c r="FD105" s="107"/>
      <c r="FE105" s="107"/>
      <c r="FF105" s="107"/>
      <c r="FG105" s="107"/>
      <c r="FH105" s="107"/>
      <c r="FI105" s="107"/>
      <c r="FJ105" s="107"/>
      <c r="FK105" s="107"/>
      <c r="FL105" s="107"/>
      <c r="FM105" s="107"/>
      <c r="FN105" s="107"/>
      <c r="FO105" s="107"/>
      <c r="FP105" s="107"/>
      <c r="FQ105" s="107"/>
      <c r="FR105" s="107"/>
      <c r="FS105" s="107"/>
      <c r="FT105" s="107"/>
      <c r="FU105" s="107"/>
      <c r="FV105" s="107"/>
      <c r="FW105" s="107"/>
      <c r="FX105" s="107"/>
      <c r="FY105" s="107"/>
      <c r="FZ105" s="107"/>
      <c r="GA105" s="107"/>
      <c r="GB105" s="107"/>
      <c r="GC105" s="107"/>
      <c r="GD105" s="107"/>
      <c r="GE105" s="107"/>
      <c r="GF105" s="107"/>
      <c r="GG105" s="107"/>
      <c r="GH105" s="107"/>
      <c r="GI105" s="107"/>
      <c r="GJ105" s="107"/>
      <c r="GK105" s="107"/>
      <c r="GL105" s="107"/>
      <c r="GM105" s="107"/>
      <c r="GN105" s="107"/>
      <c r="GO105" s="107"/>
      <c r="GP105" s="107"/>
      <c r="GQ105" s="107"/>
      <c r="GR105" s="107"/>
      <c r="GS105" s="107"/>
      <c r="GT105" s="107"/>
      <c r="GU105" s="107"/>
      <c r="GV105" s="107"/>
      <c r="GW105" s="107"/>
      <c r="GX105" s="107"/>
      <c r="GY105" s="107"/>
      <c r="GZ105" s="107"/>
      <c r="HA105" s="107"/>
      <c r="HB105" s="107"/>
      <c r="HC105" s="107"/>
      <c r="HD105" s="107"/>
      <c r="HE105" s="107"/>
      <c r="HF105" s="107"/>
      <c r="HG105" s="107"/>
      <c r="HH105" s="107"/>
      <c r="HI105" s="107"/>
      <c r="HJ105" s="107"/>
      <c r="HK105" s="107"/>
      <c r="HL105" s="107"/>
      <c r="HM105" s="107"/>
      <c r="HN105" s="107"/>
      <c r="HO105" s="107"/>
      <c r="HP105" s="107"/>
      <c r="HQ105" s="107"/>
      <c r="HR105" s="107"/>
      <c r="HS105" s="107"/>
      <c r="HT105" s="107"/>
      <c r="HU105" s="107"/>
      <c r="HV105" s="107"/>
      <c r="HW105" s="107"/>
      <c r="HX105" s="107"/>
      <c r="HY105" s="107"/>
      <c r="HZ105" s="107"/>
      <c r="IA105" s="107"/>
      <c r="IB105" s="107"/>
      <c r="IC105" s="107"/>
      <c r="ID105" s="107"/>
      <c r="IE105" s="107"/>
      <c r="IF105" s="107"/>
      <c r="IG105" s="107"/>
      <c r="IH105" s="107"/>
      <c r="II105" s="107"/>
      <c r="IJ105" s="107"/>
      <c r="IK105" s="107"/>
      <c r="IL105" s="107"/>
      <c r="IM105" s="107"/>
      <c r="IN105" s="107"/>
      <c r="IO105" s="107"/>
      <c r="IP105" s="107"/>
      <c r="IQ105" s="107"/>
      <c r="IR105" s="107"/>
      <c r="IS105" s="107"/>
      <c r="IT105" s="107"/>
      <c r="IU105" s="107"/>
      <c r="IV105" s="107"/>
      <c r="IW105" s="107"/>
      <c r="IX105" s="107"/>
      <c r="IY105" s="107"/>
      <c r="IZ105" s="107"/>
      <c r="JA105" s="107"/>
      <c r="JB105" s="107"/>
      <c r="JC105" s="107"/>
      <c r="JD105" s="107"/>
      <c r="JE105" s="107"/>
      <c r="JF105" s="107"/>
      <c r="JG105" s="107"/>
      <c r="JH105" s="107"/>
      <c r="JI105" s="107"/>
      <c r="JJ105" s="107"/>
      <c r="JK105" s="107"/>
      <c r="JL105" s="107"/>
      <c r="JM105" s="107"/>
      <c r="JN105" s="107"/>
      <c r="JO105" s="107"/>
      <c r="JP105" s="107"/>
      <c r="JQ105" s="107"/>
      <c r="JR105" s="107"/>
      <c r="JS105" s="107"/>
      <c r="JT105" s="107"/>
      <c r="JU105" s="107"/>
      <c r="JV105" s="107"/>
      <c r="JW105" s="107"/>
      <c r="JX105" s="107"/>
      <c r="JY105" s="107"/>
      <c r="JZ105" s="107"/>
      <c r="KA105" s="107"/>
      <c r="KB105" s="107"/>
      <c r="KC105" s="107"/>
      <c r="KD105" s="107"/>
      <c r="KE105" s="107"/>
      <c r="KF105" s="107"/>
      <c r="KG105" s="107"/>
      <c r="KH105" s="107"/>
      <c r="KI105" s="107"/>
      <c r="KJ105" s="107"/>
      <c r="KK105" s="107"/>
      <c r="KL105" s="107"/>
      <c r="KM105" s="107"/>
      <c r="KN105" s="107"/>
      <c r="KO105" s="107"/>
      <c r="KP105" s="107"/>
      <c r="KQ105" s="107"/>
      <c r="KR105" s="107"/>
      <c r="KS105" s="107"/>
      <c r="KT105" s="107"/>
      <c r="KU105" s="107"/>
      <c r="KV105" s="107"/>
      <c r="KW105" s="107"/>
      <c r="KX105" s="107"/>
      <c r="KY105" s="107"/>
      <c r="KZ105" s="107"/>
      <c r="LA105" s="107"/>
      <c r="LB105" s="107"/>
      <c r="LC105" s="107"/>
      <c r="LD105" s="107"/>
      <c r="LE105" s="107"/>
      <c r="LF105" s="107"/>
      <c r="LG105" s="107"/>
      <c r="LH105" s="107"/>
      <c r="LI105" s="107"/>
      <c r="LJ105" s="107"/>
      <c r="LK105" s="107"/>
      <c r="LL105" s="107"/>
      <c r="LM105" s="107"/>
      <c r="LN105" s="107"/>
      <c r="LO105" s="107"/>
      <c r="LP105" s="107"/>
      <c r="LQ105" s="107"/>
      <c r="LR105" s="107"/>
      <c r="LS105" s="107"/>
      <c r="LT105" s="107"/>
      <c r="LU105" s="107"/>
      <c r="LV105" s="107"/>
      <c r="LW105" s="107"/>
      <c r="LX105" s="107"/>
      <c r="LY105" s="107"/>
      <c r="LZ105" s="107"/>
      <c r="MA105" s="107"/>
      <c r="MB105" s="107"/>
      <c r="MC105" s="107"/>
      <c r="MD105" s="107"/>
      <c r="ME105" s="107"/>
      <c r="MF105" s="107"/>
      <c r="MG105" s="107"/>
      <c r="MH105" s="107"/>
      <c r="MI105" s="107"/>
      <c r="MJ105" s="107"/>
      <c r="MK105" s="107"/>
      <c r="ML105" s="107"/>
      <c r="MM105" s="107"/>
      <c r="MN105" s="107"/>
      <c r="MO105" s="107"/>
      <c r="MP105" s="107"/>
      <c r="MQ105" s="107"/>
      <c r="MR105" s="107"/>
      <c r="MS105" s="107"/>
      <c r="MT105" s="107"/>
      <c r="MU105" s="107"/>
      <c r="MV105" s="107"/>
      <c r="MW105" s="107"/>
      <c r="MX105" s="107"/>
      <c r="MY105" s="107"/>
      <c r="MZ105" s="107"/>
      <c r="NA105" s="107"/>
      <c r="NB105" s="107"/>
      <c r="NC105" s="107"/>
      <c r="ND105" s="107"/>
      <c r="NE105" s="107"/>
      <c r="NF105" s="107"/>
      <c r="NG105" s="107"/>
      <c r="NH105" s="107"/>
      <c r="NI105" s="107"/>
      <c r="NJ105" s="107"/>
      <c r="NK105" s="107"/>
      <c r="NL105" s="107"/>
      <c r="NM105" s="107"/>
      <c r="NN105" s="107"/>
      <c r="NO105" s="107"/>
      <c r="NP105" s="107"/>
      <c r="NQ105" s="107"/>
      <c r="NR105" s="107"/>
      <c r="NS105" s="107"/>
      <c r="NT105" s="107"/>
      <c r="NU105" s="107"/>
      <c r="NV105" s="107"/>
      <c r="NW105" s="107"/>
      <c r="NX105" s="107"/>
      <c r="NY105" s="107"/>
      <c r="NZ105" s="107"/>
      <c r="OA105" s="107"/>
      <c r="OB105" s="107"/>
      <c r="OC105" s="107"/>
      <c r="OD105" s="107"/>
      <c r="OE105" s="107"/>
      <c r="OF105" s="107"/>
      <c r="OG105" s="107"/>
      <c r="OH105" s="107"/>
      <c r="OI105" s="107"/>
      <c r="OJ105" s="107"/>
      <c r="OK105" s="107"/>
      <c r="OL105" s="107"/>
      <c r="OM105" s="107"/>
      <c r="ON105" s="107"/>
      <c r="OO105" s="107"/>
      <c r="OP105" s="107"/>
      <c r="OQ105" s="107"/>
      <c r="OR105" s="107"/>
      <c r="OS105" s="107"/>
      <c r="OT105" s="107"/>
      <c r="OU105" s="107"/>
      <c r="OV105" s="107"/>
      <c r="OW105" s="107"/>
      <c r="OX105" s="107"/>
      <c r="OY105" s="107"/>
      <c r="OZ105" s="107"/>
      <c r="PA105" s="107"/>
      <c r="PB105" s="107"/>
      <c r="PC105" s="107"/>
      <c r="PD105" s="107"/>
      <c r="PE105" s="107"/>
      <c r="PF105" s="107"/>
      <c r="PG105" s="107"/>
      <c r="PH105" s="107"/>
      <c r="PI105" s="107"/>
      <c r="PJ105" s="107"/>
      <c r="PK105" s="107"/>
      <c r="PL105" s="107"/>
      <c r="PM105" s="107"/>
      <c r="PN105" s="107"/>
      <c r="PO105" s="107"/>
      <c r="PP105" s="107"/>
      <c r="PQ105" s="107"/>
      <c r="PR105" s="107"/>
      <c r="PS105" s="107"/>
      <c r="PT105" s="107"/>
      <c r="PU105" s="107"/>
      <c r="PV105" s="107"/>
      <c r="PW105" s="107"/>
      <c r="PX105" s="107"/>
      <c r="PY105" s="107"/>
      <c r="PZ105" s="107"/>
      <c r="QA105" s="107"/>
      <c r="QB105" s="107"/>
      <c r="QC105" s="107"/>
      <c r="QD105" s="107"/>
      <c r="QE105" s="107"/>
      <c r="QF105" s="107"/>
      <c r="QG105" s="107"/>
      <c r="QH105" s="107"/>
      <c r="QI105" s="107"/>
      <c r="QJ105" s="107"/>
      <c r="QK105" s="107"/>
      <c r="QL105" s="107"/>
      <c r="QM105" s="107"/>
      <c r="QN105" s="107"/>
      <c r="QO105" s="107"/>
      <c r="QP105" s="107"/>
      <c r="QQ105" s="107"/>
      <c r="QR105" s="107"/>
      <c r="QS105" s="107"/>
      <c r="QT105" s="107"/>
      <c r="QU105" s="107"/>
      <c r="QV105" s="107"/>
      <c r="QW105" s="107"/>
      <c r="QX105" s="107"/>
      <c r="QY105" s="107"/>
      <c r="QZ105" s="107"/>
      <c r="RA105" s="107"/>
      <c r="RB105" s="107"/>
      <c r="RC105" s="107"/>
      <c r="RD105" s="107"/>
      <c r="RE105" s="107"/>
      <c r="RF105" s="107"/>
      <c r="RG105" s="107"/>
      <c r="RH105" s="107"/>
    </row>
    <row r="106" spans="1:476" ht="26.4" x14ac:dyDescent="0.25">
      <c r="A106" s="103" t="s">
        <v>210</v>
      </c>
      <c r="B106" s="20" t="s">
        <v>211</v>
      </c>
      <c r="C106" s="20" t="s">
        <v>73</v>
      </c>
      <c r="D106" s="104" t="s">
        <v>185</v>
      </c>
      <c r="E106" s="15">
        <v>130</v>
      </c>
      <c r="F106" s="15">
        <v>40</v>
      </c>
      <c r="G106" s="20" t="s">
        <v>164</v>
      </c>
      <c r="H106" s="20">
        <v>0.78</v>
      </c>
      <c r="I106" s="48">
        <f>inputs!$C$65*(inputs!$C$62/1000)</f>
        <v>0.82000000000000006</v>
      </c>
      <c r="J106" s="48">
        <f>inputs!$C$65*(inputs!$C$61/1000)</f>
        <v>0.25</v>
      </c>
      <c r="K106" s="59">
        <f t="shared" si="12"/>
        <v>0.44775941791118673</v>
      </c>
      <c r="L106" s="59">
        <f t="shared" si="13"/>
        <v>0.13651201765584961</v>
      </c>
      <c r="M106" s="59">
        <f>IF((((1.18*F106^0.874)/3.7-(0.301*F106^0.751)/(1-H106)*H106)*(MAX('Min rate concentrations'!$P$3:$P$368)))/F106&gt;0, (((1.18*F106^0.874)/3.7-(0.301*F106^0.751)/(1-H106)*H106)*(MAX('Min rate concentrations'!$P$3:$P$368)))/F106, 0)</f>
        <v>0</v>
      </c>
      <c r="N106" s="59">
        <f>IF((((1.18*F106^0.874)/3.7-(0.301*F106^0.751)/(1-H106)*H106)*(MAX('Min rate concentrations'!$Q$3:$Q$368)))/F106&gt;0, (((1.18*F106^0.874)/3.7-(0.301*F106^0.751)/(1-H106)*H106)*(MAX('Min rate concentrations'!$Q$3:$Q$368)))/F106, 0)</f>
        <v>0</v>
      </c>
      <c r="O106" s="59">
        <f>((MAX('Min rate concentrations'!$F$3:$F$368))*0.62*6.01*8*(10*F106^0.667)*0.079*0.1/F106)*inputs!$E$80/(10^(0.84+0.62*LOG10(inputs!$E$80)))</f>
        <v>7.1633504461813917</v>
      </c>
      <c r="P106" s="59">
        <f>((MAX('Min rate concentrations'!Y:Y))*0.62*6.01*8*(10*F106^0.667)*0.079*0.1/F106)*inputs!$E$80/(10^(0.84+0.62*LOG10(inputs!$E$80)))</f>
        <v>2.3877834820604642</v>
      </c>
      <c r="Q106" s="59">
        <f>(inputs!$C$7*11.2*(10*F106^0.667)*0.5/F106)*inputs!$E$80/(10^(0.84+0.62*LOG10(inputs!$E$80)))</f>
        <v>1.2617903945931084</v>
      </c>
      <c r="R106" s="59">
        <f>(60*284*((F106/1000)^0.77)*3*24*(MAX('Min rate concentrations'!$R$3:$R$368))/F106)*(inputs!$E$73*3.4/inputs!$E$75)</f>
        <v>9.8279221355870392E-3</v>
      </c>
      <c r="S106" s="59">
        <f>(IF(inputs!$C$6="aerial",((0.025*0.112*inputs!$C$7/3.3)*(3*60*284*((F106/1000)^0.77))*MAX(inputs!$H$14:$H$16))/F106,((0.0083*0.112*inputs!$C$7/1)*(3*60*284*((F106/1000)^0.77))*MAX(inputs!$H$14:$H$16))/F106))*(inputs!E$75*3.4/inputs!$E$73)</f>
        <v>5.4201594388681704E-2</v>
      </c>
      <c r="T106" s="63">
        <f>IF((((inputs!$P$12/(V106/MAX(K106:S106)))^(1/inputs!$O$12))-1)/inputs!$N$12&lt;0, 0, IF((((inputs!$P$12/(V106/MAX(K106:S106)))^(1/inputs!$O$12))-1)/inputs!$N$12&gt;inputs!$H$17, inputs!$H$17, (((inputs!$P$12/(V106/MAX(K106:S106)))^(1/inputs!$O$12))-1)/inputs!$N$12))</f>
        <v>176.47834458264853</v>
      </c>
      <c r="U106" s="63">
        <f>IF((((inputs!$P$12/(X106/MAX(K106:S106)))^(1/inputs!$O$12))-1)/inputs!$N$12&lt;0, 0, IF((((inputs!$P$12/(X106/MAX(K106:S106)))^(1/inputs!$O$12))-1)/inputs!$N$12&gt;inputs!$H$17, inputs!$H$17, (((inputs!$P$12/(X106/MAX(K106:S106)))^(1/inputs!$O$12))-1)/inputs!$N$12))</f>
        <v>0</v>
      </c>
      <c r="V106" s="21">
        <f>inputs!$E$78*(F106/inputs!$F$78)^(inputs!$E$84-1)</f>
        <v>2.6668058808446828E-2</v>
      </c>
      <c r="W106" s="21">
        <f>inputs!$E$85*(F106/inputs!$F$85)^(inputs!$E$84-1)</f>
        <v>1.2314818288982921</v>
      </c>
      <c r="X106" s="21">
        <f>inputs!$E$80*(F106/inputs!$F$80)^(inputs!$E$84-1)</f>
        <v>4.5985713863923561</v>
      </c>
      <c r="Y106" s="21">
        <f>inputs!$E$82*(F106/inputs!$F$82)^(inputs!$E$84-1)</f>
        <v>2.1194088842502481</v>
      </c>
      <c r="Z106" s="63">
        <f t="shared" si="9"/>
        <v>268.61161877715955</v>
      </c>
      <c r="AA106" s="63">
        <f t="shared" si="10"/>
        <v>5.8168543604008081</v>
      </c>
      <c r="AB106" s="107"/>
      <c r="AC106" s="107"/>
      <c r="AD106" s="107"/>
      <c r="AE106" s="107"/>
      <c r="AF106" s="107"/>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L106" s="107"/>
      <c r="BM106" s="107"/>
      <c r="BN106" s="107"/>
      <c r="BO106" s="107"/>
      <c r="BP106" s="107"/>
      <c r="BQ106" s="107"/>
      <c r="BR106" s="107"/>
      <c r="BS106" s="107"/>
      <c r="BT106" s="107"/>
      <c r="BU106" s="107"/>
      <c r="BV106" s="107"/>
      <c r="BW106" s="107"/>
      <c r="BX106" s="107"/>
      <c r="BY106" s="107"/>
      <c r="BZ106" s="107"/>
      <c r="CA106" s="107"/>
      <c r="CB106" s="107"/>
      <c r="CC106" s="107"/>
      <c r="CD106" s="107"/>
      <c r="CE106" s="107"/>
      <c r="CF106" s="107"/>
      <c r="CG106" s="107"/>
      <c r="CH106" s="107"/>
      <c r="CI106" s="107"/>
      <c r="CJ106" s="107"/>
      <c r="CK106" s="107"/>
      <c r="CL106" s="107"/>
      <c r="CM106" s="107"/>
      <c r="CN106" s="107"/>
      <c r="CO106" s="107"/>
      <c r="CP106" s="107"/>
      <c r="CQ106" s="107"/>
      <c r="CR106" s="107"/>
      <c r="CS106" s="107"/>
      <c r="CT106" s="107"/>
      <c r="CU106" s="107"/>
      <c r="CV106" s="107"/>
      <c r="CW106" s="107"/>
      <c r="CX106" s="107"/>
      <c r="CY106" s="107"/>
      <c r="CZ106" s="107"/>
      <c r="DA106" s="107"/>
      <c r="DB106" s="107"/>
      <c r="DC106" s="107"/>
      <c r="DD106" s="107"/>
      <c r="DE106" s="107"/>
      <c r="DF106" s="107"/>
      <c r="DG106" s="107"/>
      <c r="DH106" s="107"/>
      <c r="DI106" s="107"/>
      <c r="DJ106" s="107"/>
      <c r="DK106" s="107"/>
      <c r="DL106" s="107"/>
      <c r="DM106" s="107"/>
      <c r="DN106" s="107"/>
      <c r="DO106" s="107"/>
      <c r="DP106" s="107"/>
      <c r="DQ106" s="107"/>
      <c r="DR106" s="107"/>
      <c r="DS106" s="107"/>
      <c r="DT106" s="107"/>
      <c r="DU106" s="107"/>
      <c r="DV106" s="107"/>
      <c r="DW106" s="107"/>
      <c r="DX106" s="107"/>
      <c r="DY106" s="107"/>
      <c r="DZ106" s="107"/>
      <c r="EA106" s="107"/>
      <c r="EB106" s="107"/>
      <c r="EC106" s="107"/>
      <c r="ED106" s="107"/>
      <c r="EE106" s="107"/>
      <c r="EF106" s="107"/>
      <c r="EG106" s="107"/>
      <c r="EH106" s="107"/>
      <c r="EI106" s="107"/>
      <c r="EJ106" s="107"/>
      <c r="EK106" s="107"/>
      <c r="EL106" s="107"/>
      <c r="EM106" s="107"/>
      <c r="EN106" s="107"/>
      <c r="EO106" s="107"/>
      <c r="EP106" s="107"/>
      <c r="EQ106" s="107"/>
      <c r="ER106" s="107"/>
      <c r="ES106" s="107"/>
      <c r="ET106" s="107"/>
      <c r="EU106" s="107"/>
      <c r="EV106" s="107"/>
      <c r="EW106" s="107"/>
      <c r="EX106" s="107"/>
      <c r="EY106" s="107"/>
      <c r="EZ106" s="107"/>
      <c r="FA106" s="107"/>
      <c r="FB106" s="107"/>
      <c r="FC106" s="107"/>
      <c r="FD106" s="107"/>
      <c r="FE106" s="107"/>
      <c r="FF106" s="107"/>
      <c r="FG106" s="107"/>
      <c r="FH106" s="107"/>
      <c r="FI106" s="107"/>
      <c r="FJ106" s="107"/>
      <c r="FK106" s="107"/>
      <c r="FL106" s="107"/>
      <c r="FM106" s="107"/>
      <c r="FN106" s="107"/>
      <c r="FO106" s="107"/>
      <c r="FP106" s="107"/>
      <c r="FQ106" s="107"/>
      <c r="FR106" s="107"/>
      <c r="FS106" s="107"/>
      <c r="FT106" s="107"/>
      <c r="FU106" s="107"/>
      <c r="FV106" s="107"/>
      <c r="FW106" s="107"/>
      <c r="FX106" s="107"/>
      <c r="FY106" s="107"/>
      <c r="FZ106" s="107"/>
      <c r="GA106" s="107"/>
      <c r="GB106" s="107"/>
      <c r="GC106" s="107"/>
      <c r="GD106" s="107"/>
      <c r="GE106" s="107"/>
      <c r="GF106" s="107"/>
      <c r="GG106" s="107"/>
      <c r="GH106" s="107"/>
      <c r="GI106" s="107"/>
      <c r="GJ106" s="107"/>
      <c r="GK106" s="107"/>
      <c r="GL106" s="107"/>
      <c r="GM106" s="107"/>
      <c r="GN106" s="107"/>
      <c r="GO106" s="107"/>
      <c r="GP106" s="107"/>
      <c r="GQ106" s="107"/>
      <c r="GR106" s="107"/>
      <c r="GS106" s="107"/>
      <c r="GT106" s="107"/>
      <c r="GU106" s="107"/>
      <c r="GV106" s="107"/>
      <c r="GW106" s="107"/>
      <c r="GX106" s="107"/>
      <c r="GY106" s="107"/>
      <c r="GZ106" s="107"/>
      <c r="HA106" s="107"/>
      <c r="HB106" s="107"/>
      <c r="HC106" s="107"/>
      <c r="HD106" s="107"/>
      <c r="HE106" s="107"/>
      <c r="HF106" s="107"/>
      <c r="HG106" s="107"/>
      <c r="HH106" s="107"/>
      <c r="HI106" s="107"/>
      <c r="HJ106" s="107"/>
      <c r="HK106" s="107"/>
      <c r="HL106" s="107"/>
      <c r="HM106" s="107"/>
      <c r="HN106" s="107"/>
      <c r="HO106" s="107"/>
      <c r="HP106" s="107"/>
      <c r="HQ106" s="107"/>
      <c r="HR106" s="107"/>
      <c r="HS106" s="107"/>
      <c r="HT106" s="107"/>
      <c r="HU106" s="107"/>
      <c r="HV106" s="107"/>
      <c r="HW106" s="107"/>
      <c r="HX106" s="107"/>
      <c r="HY106" s="107"/>
      <c r="HZ106" s="107"/>
      <c r="IA106" s="107"/>
      <c r="IB106" s="107"/>
      <c r="IC106" s="107"/>
      <c r="ID106" s="107"/>
      <c r="IE106" s="107"/>
      <c r="IF106" s="107"/>
      <c r="IG106" s="107"/>
      <c r="IH106" s="107"/>
      <c r="II106" s="107"/>
      <c r="IJ106" s="107"/>
      <c r="IK106" s="107"/>
      <c r="IL106" s="107"/>
      <c r="IM106" s="107"/>
      <c r="IN106" s="107"/>
      <c r="IO106" s="107"/>
      <c r="IP106" s="107"/>
      <c r="IQ106" s="107"/>
      <c r="IR106" s="107"/>
      <c r="IS106" s="107"/>
      <c r="IT106" s="107"/>
      <c r="IU106" s="107"/>
      <c r="IV106" s="107"/>
      <c r="IW106" s="107"/>
      <c r="IX106" s="107"/>
      <c r="IY106" s="107"/>
      <c r="IZ106" s="107"/>
      <c r="JA106" s="107"/>
      <c r="JB106" s="107"/>
      <c r="JC106" s="107"/>
      <c r="JD106" s="107"/>
      <c r="JE106" s="107"/>
      <c r="JF106" s="107"/>
      <c r="JG106" s="107"/>
      <c r="JH106" s="107"/>
      <c r="JI106" s="107"/>
      <c r="JJ106" s="107"/>
      <c r="JK106" s="107"/>
      <c r="JL106" s="107"/>
      <c r="JM106" s="107"/>
      <c r="JN106" s="107"/>
      <c r="JO106" s="107"/>
      <c r="JP106" s="107"/>
      <c r="JQ106" s="107"/>
      <c r="JR106" s="107"/>
      <c r="JS106" s="107"/>
      <c r="JT106" s="107"/>
      <c r="JU106" s="107"/>
      <c r="JV106" s="107"/>
      <c r="JW106" s="107"/>
      <c r="JX106" s="107"/>
      <c r="JY106" s="107"/>
      <c r="JZ106" s="107"/>
      <c r="KA106" s="107"/>
      <c r="KB106" s="107"/>
      <c r="KC106" s="107"/>
      <c r="KD106" s="107"/>
      <c r="KE106" s="107"/>
      <c r="KF106" s="107"/>
      <c r="KG106" s="107"/>
      <c r="KH106" s="107"/>
      <c r="KI106" s="107"/>
      <c r="KJ106" s="107"/>
      <c r="KK106" s="107"/>
      <c r="KL106" s="107"/>
      <c r="KM106" s="107"/>
      <c r="KN106" s="107"/>
      <c r="KO106" s="107"/>
      <c r="KP106" s="107"/>
      <c r="KQ106" s="107"/>
      <c r="KR106" s="107"/>
      <c r="KS106" s="107"/>
      <c r="KT106" s="107"/>
      <c r="KU106" s="107"/>
      <c r="KV106" s="107"/>
      <c r="KW106" s="107"/>
      <c r="KX106" s="107"/>
      <c r="KY106" s="107"/>
      <c r="KZ106" s="107"/>
      <c r="LA106" s="107"/>
      <c r="LB106" s="107"/>
      <c r="LC106" s="107"/>
      <c r="LD106" s="107"/>
      <c r="LE106" s="107"/>
      <c r="LF106" s="107"/>
      <c r="LG106" s="107"/>
      <c r="LH106" s="107"/>
      <c r="LI106" s="107"/>
      <c r="LJ106" s="107"/>
      <c r="LK106" s="107"/>
      <c r="LL106" s="107"/>
      <c r="LM106" s="107"/>
      <c r="LN106" s="107"/>
      <c r="LO106" s="107"/>
      <c r="LP106" s="107"/>
      <c r="LQ106" s="107"/>
      <c r="LR106" s="107"/>
      <c r="LS106" s="107"/>
      <c r="LT106" s="107"/>
      <c r="LU106" s="107"/>
      <c r="LV106" s="107"/>
      <c r="LW106" s="107"/>
      <c r="LX106" s="107"/>
      <c r="LY106" s="107"/>
      <c r="LZ106" s="107"/>
      <c r="MA106" s="107"/>
      <c r="MB106" s="107"/>
      <c r="MC106" s="107"/>
      <c r="MD106" s="107"/>
      <c r="ME106" s="107"/>
      <c r="MF106" s="107"/>
      <c r="MG106" s="107"/>
      <c r="MH106" s="107"/>
      <c r="MI106" s="107"/>
      <c r="MJ106" s="107"/>
      <c r="MK106" s="107"/>
      <c r="ML106" s="107"/>
      <c r="MM106" s="107"/>
      <c r="MN106" s="107"/>
      <c r="MO106" s="107"/>
      <c r="MP106" s="107"/>
      <c r="MQ106" s="107"/>
      <c r="MR106" s="107"/>
      <c r="MS106" s="107"/>
      <c r="MT106" s="107"/>
      <c r="MU106" s="107"/>
      <c r="MV106" s="107"/>
      <c r="MW106" s="107"/>
      <c r="MX106" s="107"/>
      <c r="MY106" s="107"/>
      <c r="MZ106" s="107"/>
      <c r="NA106" s="107"/>
      <c r="NB106" s="107"/>
      <c r="NC106" s="107"/>
      <c r="ND106" s="107"/>
      <c r="NE106" s="107"/>
      <c r="NF106" s="107"/>
      <c r="NG106" s="107"/>
      <c r="NH106" s="107"/>
      <c r="NI106" s="107"/>
      <c r="NJ106" s="107"/>
      <c r="NK106" s="107"/>
      <c r="NL106" s="107"/>
      <c r="NM106" s="107"/>
      <c r="NN106" s="107"/>
      <c r="NO106" s="107"/>
      <c r="NP106" s="107"/>
      <c r="NQ106" s="107"/>
      <c r="NR106" s="107"/>
      <c r="NS106" s="107"/>
      <c r="NT106" s="107"/>
      <c r="NU106" s="107"/>
      <c r="NV106" s="107"/>
      <c r="NW106" s="107"/>
      <c r="NX106" s="107"/>
      <c r="NY106" s="107"/>
      <c r="NZ106" s="107"/>
      <c r="OA106" s="107"/>
      <c r="OB106" s="107"/>
      <c r="OC106" s="107"/>
      <c r="OD106" s="107"/>
      <c r="OE106" s="107"/>
      <c r="OF106" s="107"/>
      <c r="OG106" s="107"/>
      <c r="OH106" s="107"/>
      <c r="OI106" s="107"/>
      <c r="OJ106" s="107"/>
      <c r="OK106" s="107"/>
      <c r="OL106" s="107"/>
      <c r="OM106" s="107"/>
      <c r="ON106" s="107"/>
      <c r="OO106" s="107"/>
      <c r="OP106" s="107"/>
      <c r="OQ106" s="107"/>
      <c r="OR106" s="107"/>
      <c r="OS106" s="107"/>
      <c r="OT106" s="107"/>
      <c r="OU106" s="107"/>
      <c r="OV106" s="107"/>
      <c r="OW106" s="107"/>
      <c r="OX106" s="107"/>
      <c r="OY106" s="107"/>
      <c r="OZ106" s="107"/>
      <c r="PA106" s="107"/>
      <c r="PB106" s="107"/>
      <c r="PC106" s="107"/>
      <c r="PD106" s="107"/>
      <c r="PE106" s="107"/>
      <c r="PF106" s="107"/>
      <c r="PG106" s="107"/>
      <c r="PH106" s="107"/>
      <c r="PI106" s="107"/>
      <c r="PJ106" s="107"/>
      <c r="PK106" s="107"/>
      <c r="PL106" s="107"/>
      <c r="PM106" s="107"/>
      <c r="PN106" s="107"/>
      <c r="PO106" s="107"/>
      <c r="PP106" s="107"/>
      <c r="PQ106" s="107"/>
      <c r="PR106" s="107"/>
      <c r="PS106" s="107"/>
      <c r="PT106" s="107"/>
      <c r="PU106" s="107"/>
      <c r="PV106" s="107"/>
      <c r="PW106" s="107"/>
      <c r="PX106" s="107"/>
      <c r="PY106" s="107"/>
      <c r="PZ106" s="107"/>
      <c r="QA106" s="107"/>
      <c r="QB106" s="107"/>
      <c r="QC106" s="107"/>
      <c r="QD106" s="107"/>
      <c r="QE106" s="107"/>
      <c r="QF106" s="107"/>
      <c r="QG106" s="107"/>
      <c r="QH106" s="107"/>
      <c r="QI106" s="107"/>
      <c r="QJ106" s="107"/>
      <c r="QK106" s="107"/>
      <c r="QL106" s="107"/>
      <c r="QM106" s="107"/>
      <c r="QN106" s="107"/>
      <c r="QO106" s="107"/>
      <c r="QP106" s="107"/>
      <c r="QQ106" s="107"/>
      <c r="QR106" s="107"/>
      <c r="QS106" s="107"/>
      <c r="QT106" s="107"/>
      <c r="QU106" s="107"/>
      <c r="QV106" s="107"/>
      <c r="QW106" s="107"/>
      <c r="QX106" s="107"/>
      <c r="QY106" s="107"/>
      <c r="QZ106" s="107"/>
      <c r="RA106" s="107"/>
      <c r="RB106" s="107"/>
      <c r="RC106" s="107"/>
      <c r="RD106" s="107"/>
      <c r="RE106" s="107"/>
      <c r="RF106" s="107"/>
      <c r="RG106" s="107"/>
      <c r="RH106" s="107"/>
    </row>
    <row r="107" spans="1:476" x14ac:dyDescent="0.25">
      <c r="A107" s="112" t="s">
        <v>193</v>
      </c>
      <c r="B107" s="20" t="s">
        <v>194</v>
      </c>
      <c r="C107" s="20" t="s">
        <v>73</v>
      </c>
      <c r="D107" s="48" t="s">
        <v>185</v>
      </c>
      <c r="E107" s="15">
        <v>8621</v>
      </c>
      <c r="F107" s="15">
        <v>90</v>
      </c>
      <c r="G107" s="20" t="s">
        <v>164</v>
      </c>
      <c r="H107" s="20">
        <v>0.78</v>
      </c>
      <c r="I107" s="48">
        <f>inputs!$C$65*(inputs!$C$62/1000)</f>
        <v>0.82000000000000006</v>
      </c>
      <c r="J107" s="48">
        <f>inputs!$C$65*(inputs!$C$61/1000)</f>
        <v>0.25</v>
      </c>
      <c r="K107" s="59">
        <f t="shared" si="12"/>
        <v>0.36589062529279909</v>
      </c>
      <c r="L107" s="59">
        <f t="shared" si="13"/>
        <v>0.11155201990634117</v>
      </c>
      <c r="M107" s="59">
        <f>IF((((1.18*F107^0.874)/3.7-(0.301*F107^0.751)/(1-H107)*H107)*(MAX('Min rate concentrations'!$P$3:$P$368)))/F107&gt;0, (((1.18*F107^0.874)/3.7-(0.301*F107^0.751)/(1-H107)*H107)*(MAX('Min rate concentrations'!$P$3:$P$368)))/F107, 0)</f>
        <v>0</v>
      </c>
      <c r="N107" s="59">
        <f>IF((((1.18*F107^0.874)/3.7-(0.301*F107^0.751)/(1-H107)*H107)*(MAX('Min rate concentrations'!$Q$3:$Q$368)))/F107&gt;0, (((1.18*F107^0.874)/3.7-(0.301*F107^0.751)/(1-H107)*H107)*(MAX('Min rate concentrations'!$Q$3:$Q$368)))/F107, 0)</f>
        <v>0</v>
      </c>
      <c r="O107" s="59">
        <f>((MAX('Min rate concentrations'!$F$3:$F$368))*0.62*6.01*8*(10*F107^0.667)*0.079*0.1/F107)*inputs!$E$80/(10^(0.84+0.62*LOG10(inputs!$E$80)))</f>
        <v>5.4681374129609379</v>
      </c>
      <c r="P107" s="59">
        <f>((MAX('Min rate concentrations'!Y:Y))*0.62*6.01*8*(10*F107^0.667)*0.079*0.1/F107)*inputs!$E$80/(10^(0.84+0.62*LOG10(inputs!$E$80)))</f>
        <v>1.8227124709869793</v>
      </c>
      <c r="Q107" s="59">
        <f>(inputs!$C$7*11.2*(10*F107^0.667)*0.5/F107)*inputs!$E$80/(10^(0.84+0.62*LOG10(inputs!$E$80)))</f>
        <v>0.96318661439597064</v>
      </c>
      <c r="R107" s="59">
        <f>(60*284*((F107/1000)^0.77)*3*24*(MAX('Min rate concentrations'!$R$3:$R$368))/F107)*(inputs!$E$73*3.4/inputs!$E$75)</f>
        <v>8.155671560200287E-3</v>
      </c>
      <c r="S107" s="59">
        <f>(IF(inputs!$C$6="aerial",((0.025*0.112*inputs!$C$7/3.3)*(3*60*284*((F107/1000)^0.77))*MAX(inputs!$H$14:$H$16))/F107,((0.0083*0.112*inputs!$C$7/1)*(3*60*284*((F107/1000)^0.77))*MAX(inputs!$H$14:$H$16))/F107))*(inputs!E$75*3.4/inputs!$E$73)</f>
        <v>4.4979029725175826E-2</v>
      </c>
      <c r="T107" s="63">
        <f>IF((((inputs!$P$12/(V107/MAX(K107:S107)))^(1/inputs!$O$12))-1)/inputs!$N$12&lt;0, 0, IF((((inputs!$P$12/(V107/MAX(K107:S107)))^(1/inputs!$O$12))-1)/inputs!$N$12&gt;inputs!$H$17, inputs!$H$17, (((inputs!$P$12/(V107/MAX(K107:S107)))^(1/inputs!$O$12))-1)/inputs!$N$12))</f>
        <v>178.99507625156909</v>
      </c>
      <c r="U107" s="63">
        <f>IF((((inputs!$P$12/(X107/MAX(K107:S107)))^(1/inputs!$O$12))-1)/inputs!$N$12&lt;0, 0, IF((((inputs!$P$12/(X107/MAX(K107:S107)))^(1/inputs!$O$12))-1)/inputs!$N$12&gt;inputs!$H$17, inputs!$H$17, (((inputs!$P$12/(X107/MAX(K107:S107)))^(1/inputs!$O$12))-1)/inputs!$N$12))</f>
        <v>0</v>
      </c>
      <c r="V107" s="21">
        <f>inputs!$E$78*(F107/inputs!$F$78)^(inputs!$E$84-1)</f>
        <v>1.9755311066585041E-2</v>
      </c>
      <c r="W107" s="21">
        <f>inputs!$E$85*(F107/inputs!$F$85)^(inputs!$E$84-1)</f>
        <v>0.91226387257804753</v>
      </c>
      <c r="X107" s="21">
        <f>inputs!$E$80*(F107/inputs!$F$80)^(inputs!$E$84-1)</f>
        <v>3.4065549672218229</v>
      </c>
      <c r="Y107" s="21">
        <f>inputs!$E$82*(F107/inputs!$F$82)^(inputs!$E$84-1)</f>
        <v>1.5700273531864954</v>
      </c>
      <c r="Z107" s="63">
        <f t="shared" si="9"/>
        <v>276.79328331154318</v>
      </c>
      <c r="AA107" s="63">
        <f t="shared" si="10"/>
        <v>5.9940304305902661</v>
      </c>
    </row>
    <row r="108" spans="1:476" x14ac:dyDescent="0.25">
      <c r="A108" s="112" t="s">
        <v>193</v>
      </c>
      <c r="B108" s="20" t="s">
        <v>194</v>
      </c>
      <c r="C108" s="20" t="s">
        <v>73</v>
      </c>
      <c r="D108" s="48" t="s">
        <v>185</v>
      </c>
      <c r="E108" s="15">
        <v>8621</v>
      </c>
      <c r="F108" s="15">
        <v>90</v>
      </c>
      <c r="G108" s="20" t="s">
        <v>195</v>
      </c>
      <c r="H108" s="20">
        <v>0.82</v>
      </c>
      <c r="I108" s="48">
        <f>inputs!$C$65*(inputs!$C$62/1000)</f>
        <v>0.82000000000000006</v>
      </c>
      <c r="J108" s="48">
        <f>inputs!$C$65*(inputs!$C$61/1000)</f>
        <v>0.25</v>
      </c>
      <c r="K108" s="59">
        <f t="shared" si="12"/>
        <v>0.44719965313564314</v>
      </c>
      <c r="L108" s="59">
        <f t="shared" si="13"/>
        <v>0.13634135766330582</v>
      </c>
      <c r="M108" s="59">
        <f>IF((((1.18*F108^0.874)/3.7-(0.301*F108^0.751)/(1-H108)*H108)*(MAX('Min rate concentrations'!$P$3:$P$368)))/F108&gt;0, (((1.18*F108^0.874)/3.7-(0.301*F108^0.751)/(1-H108)*H108)*(MAX('Min rate concentrations'!$P$3:$P$368)))/F108, 0)</f>
        <v>0</v>
      </c>
      <c r="N108" s="59">
        <f>IF((((1.18*F108^0.874)/3.7-(0.301*F108^0.751)/(1-H108)*H108)*(MAX('Min rate concentrations'!$Q$3:$Q$368)))/F108&gt;0, (((1.18*F108^0.874)/3.7-(0.301*F108^0.751)/(1-H108)*H108)*(MAX('Min rate concentrations'!$Q$3:$Q$368)))/F108, 0)</f>
        <v>0</v>
      </c>
      <c r="O108" s="59">
        <f>((MAX('Min rate concentrations'!$F$3:$F$368))*0.62*6.01*8*(10*F108^0.667)*0.079*0.1/F108)*inputs!$E$80/(10^(0.84+0.62*LOG10(inputs!$E$80)))</f>
        <v>5.4681374129609379</v>
      </c>
      <c r="P108" s="59">
        <f>((MAX('Min rate concentrations'!Y:Y))*0.62*6.01*8*(10*F108^0.667)*0.079*0.1/F108)*inputs!$E$80/(10^(0.84+0.62*LOG10(inputs!$E$80)))</f>
        <v>1.8227124709869793</v>
      </c>
      <c r="Q108" s="59">
        <f>(inputs!$C$7*11.2*(10*F108^0.667)*0.5/F108)*inputs!$E$80/(10^(0.84+0.62*LOG10(inputs!$E$80)))</f>
        <v>0.96318661439597064</v>
      </c>
      <c r="R108" s="59">
        <f>(60*284*((F108/1000)^0.77)*3*24*(MAX('Min rate concentrations'!$R$3:$R$368))/F108)*(inputs!$E$73*3.4/inputs!$E$75)</f>
        <v>8.155671560200287E-3</v>
      </c>
      <c r="S108" s="59">
        <f>(IF(inputs!$C$6="aerial",((0.025*0.112*inputs!$C$7/3.3)*(3*60*284*((F108/1000)^0.77))*MAX(inputs!$H$14:$H$16))/F108,((0.0083*0.112*inputs!$C$7/1)*(3*60*284*((F108/1000)^0.77))*MAX(inputs!$H$14:$H$16))/F108))*(inputs!E$75*3.4/inputs!$E$73)</f>
        <v>4.4979029725175826E-2</v>
      </c>
      <c r="T108" s="63">
        <f>IF((((inputs!$P$12/(V108/MAX(K108:S108)))^(1/inputs!$O$12))-1)/inputs!$N$12&lt;0, 0, IF((((inputs!$P$12/(V108/MAX(K108:S108)))^(1/inputs!$O$12))-1)/inputs!$N$12&gt;inputs!$H$17, inputs!$H$17, (((inputs!$P$12/(V108/MAX(K108:S108)))^(1/inputs!$O$12))-1)/inputs!$N$12))</f>
        <v>178.99507625156909</v>
      </c>
      <c r="U108" s="63">
        <f>IF((((inputs!$P$12/(X108/MAX(K108:S108)))^(1/inputs!$O$12))-1)/inputs!$N$12&lt;0, 0, IF((((inputs!$P$12/(X108/MAX(K108:S108)))^(1/inputs!$O$12))-1)/inputs!$N$12&gt;inputs!$H$17, inputs!$H$17, (((inputs!$P$12/(X108/MAX(K108:S108)))^(1/inputs!$O$12))-1)/inputs!$N$12))</f>
        <v>0</v>
      </c>
      <c r="V108" s="21">
        <f>inputs!$E$78*(F108/inputs!$F$78)^(inputs!$E$84-1)</f>
        <v>1.9755311066585041E-2</v>
      </c>
      <c r="W108" s="21">
        <f>inputs!$E$85*(F108/inputs!$F$85)^(inputs!$E$84-1)</f>
        <v>0.91226387257804753</v>
      </c>
      <c r="X108" s="21">
        <f>inputs!$E$80*(F108/inputs!$F$80)^(inputs!$E$84-1)</f>
        <v>3.4065549672218229</v>
      </c>
      <c r="Y108" s="21">
        <f>inputs!$E$82*(F108/inputs!$F$82)^(inputs!$E$84-1)</f>
        <v>1.5700273531864954</v>
      </c>
      <c r="Z108" s="63">
        <f t="shared" si="9"/>
        <v>276.79328331154318</v>
      </c>
      <c r="AA108" s="63">
        <f t="shared" si="10"/>
        <v>5.9940304305902661</v>
      </c>
    </row>
    <row r="109" spans="1:476" x14ac:dyDescent="0.25">
      <c r="A109" s="114" t="s">
        <v>348</v>
      </c>
      <c r="B109" s="20" t="s">
        <v>349</v>
      </c>
      <c r="C109" s="20" t="s">
        <v>73</v>
      </c>
      <c r="D109" s="48" t="s">
        <v>185</v>
      </c>
      <c r="E109" s="15">
        <v>136</v>
      </c>
      <c r="F109" s="15">
        <v>100</v>
      </c>
      <c r="G109" s="20" t="s">
        <v>186</v>
      </c>
      <c r="H109" s="49">
        <v>0.75</v>
      </c>
      <c r="I109" s="48">
        <f>inputs!$C$65*inputs!$C$64/1000</f>
        <v>2.13</v>
      </c>
      <c r="J109" s="48">
        <f>inputs!$C$65*inputs!$C$63/1000</f>
        <v>0.88</v>
      </c>
      <c r="K109" s="59">
        <f t="shared" si="12"/>
        <v>0.81471570916627511</v>
      </c>
      <c r="L109" s="59">
        <f t="shared" si="13"/>
        <v>0.33659616153348459</v>
      </c>
      <c r="M109" s="59">
        <f>IF((((1.18*F109^0.874)/3.7-(0.301*F109^0.751)/(1-H109)*H109)*(MAX('Min rate concentrations'!$P$3:$P$368)))/F109&gt;0, (((1.18*F109^0.874)/3.7-(0.301*F109^0.751)/(1-H109)*H109)*(MAX('Min rate concentrations'!$P$3:$P$368)))/F109, 0)</f>
        <v>0</v>
      </c>
      <c r="N109" s="59">
        <f>IF((((1.18*F109^0.874)/3.7-(0.301*F109^0.751)/(1-H109)*H109)*(MAX('Min rate concentrations'!$Q$3:$Q$368)))/F109&gt;0, (((1.18*F109^0.874)/3.7-(0.301*F109^0.751)/(1-H109)*H109)*(MAX('Min rate concentrations'!$Q$3:$Q$368)))/F109, 0)</f>
        <v>0</v>
      </c>
      <c r="O109" s="59">
        <f>((MAX('Min rate concentrations'!$F$3:$F$368))*0.62*6.01*8*(10*F109^0.667)*0.079*0.1/F109)*inputs!$E$80/(10^(0.84+0.62*LOG10(inputs!$E$80)))</f>
        <v>5.2796140434754051</v>
      </c>
      <c r="P109" s="59">
        <f>((MAX('Min rate concentrations'!Y:Y))*0.62*6.01*8*(10*F109^0.667)*0.079*0.1/F109)*inputs!$E$80/(10^(0.84+0.62*LOG10(inputs!$E$80)))</f>
        <v>1.7598713478251351</v>
      </c>
      <c r="Q109" s="59">
        <f>(inputs!$C$7*11.2*(10*F109^0.667)*0.5/F109)*inputs!$E$80/(10^(0.84+0.62*LOG10(inputs!$E$80)))</f>
        <v>0.92997911204628758</v>
      </c>
      <c r="R109" s="59">
        <f>(60*284*((F109/1000)^0.77)*3*24*(MAX('Min rate concentrations'!$R$3:$R$368))/F109)*(inputs!$E$73*3.4/inputs!$E$75)</f>
        <v>7.9604112539003076E-3</v>
      </c>
      <c r="S109" s="59">
        <f>(IF(inputs!$C$6="aerial",((0.025*0.112*inputs!$C$7/3.3)*(3*60*284*((F109/1000)^0.77))*MAX(inputs!$H$14:$H$16))/F109,((0.0083*0.112*inputs!$C$7/1)*(3*60*284*((F109/1000)^0.77))*MAX(inputs!$H$14:$H$16))/F109))*(inputs!E$75*3.4/inputs!$E$73)</f>
        <v>4.3902157139468337E-2</v>
      </c>
      <c r="T109" s="63">
        <f>IF((((inputs!$P$12/(V109/MAX(K109:S109)))^(1/inputs!$O$12))-1)/inputs!$N$12&lt;0, 0, IF((((inputs!$P$12/(V109/MAX(K109:S109)))^(1/inputs!$O$12))-1)/inputs!$N$12&gt;inputs!$H$17, inputs!$H$17, (((inputs!$P$12/(V109/MAX(K109:S109)))^(1/inputs!$O$12))-1)/inputs!$N$12))</f>
        <v>179.32432414979328</v>
      </c>
      <c r="U109" s="63">
        <f>IF((((inputs!$P$12/(X109/MAX(K109:S109)))^(1/inputs!$O$12))-1)/inputs!$N$12&lt;0, 0, IF((((inputs!$P$12/(X109/MAX(K109:S109)))^(1/inputs!$O$12))-1)/inputs!$N$12&gt;inputs!$H$17, inputs!$H$17, (((inputs!$P$12/(X109/MAX(K109:S109)))^(1/inputs!$O$12))-1)/inputs!$N$12))</f>
        <v>0</v>
      </c>
      <c r="V109" s="21">
        <f>inputs!$E$78*(F109/inputs!$F$78)^(inputs!$E$84-1)</f>
        <v>1.9E-2</v>
      </c>
      <c r="W109" s="21">
        <f>inputs!$E$85*(F109/inputs!$F$85)^(inputs!$E$84-1)</f>
        <v>0.87738499892824706</v>
      </c>
      <c r="X109" s="21">
        <f>inputs!$E$80*(F109/inputs!$F$80)^(inputs!$E$84-1)</f>
        <v>3.2763110719472515</v>
      </c>
      <c r="Y109" s="21">
        <f>inputs!$E$82*(F109/inputs!$F$82)^(inputs!$E$84-1)</f>
        <v>1.51</v>
      </c>
      <c r="Z109" s="63">
        <f t="shared" si="9"/>
        <v>277.87442334081078</v>
      </c>
      <c r="AA109" s="63">
        <f t="shared" si="10"/>
        <v>6.0174427986854315</v>
      </c>
    </row>
    <row r="110" spans="1:476" x14ac:dyDescent="0.25">
      <c r="A110" s="114" t="s">
        <v>350</v>
      </c>
      <c r="B110" s="20" t="s">
        <v>351</v>
      </c>
      <c r="C110" s="20" t="s">
        <v>73</v>
      </c>
      <c r="D110" s="48" t="s">
        <v>185</v>
      </c>
      <c r="E110" s="15">
        <v>135</v>
      </c>
      <c r="F110" s="15">
        <v>110</v>
      </c>
      <c r="G110" s="20" t="s">
        <v>186</v>
      </c>
      <c r="H110" s="49">
        <v>0.75</v>
      </c>
      <c r="I110" s="48">
        <f>inputs!$C$65*inputs!$C$64/1000</f>
        <v>2.13</v>
      </c>
      <c r="J110" s="48">
        <f>inputs!$C$65*inputs!$C$63/1000</f>
        <v>0.88</v>
      </c>
      <c r="K110" s="59">
        <f t="shared" si="12"/>
        <v>0.79560831209667449</v>
      </c>
      <c r="L110" s="59">
        <f t="shared" si="13"/>
        <v>0.32870202565496409</v>
      </c>
      <c r="M110" s="59">
        <f>IF((((1.18*F110^0.874)/3.7-(0.301*F110^0.751)/(1-H110)*H110)*(MAX('Min rate concentrations'!$P$3:$P$368)))/F110&gt;0, (((1.18*F110^0.874)/3.7-(0.301*F110^0.751)/(1-H110)*H110)*(MAX('Min rate concentrations'!$P$3:$P$368)))/F110, 0)</f>
        <v>0</v>
      </c>
      <c r="N110" s="59">
        <f>IF((((1.18*F110^0.874)/3.7-(0.301*F110^0.751)/(1-H110)*H110)*(MAX('Min rate concentrations'!$Q$3:$Q$368)))/F110&gt;0, (((1.18*F110^0.874)/3.7-(0.301*F110^0.751)/(1-H110)*H110)*(MAX('Min rate concentrations'!$Q$3:$Q$368)))/F110, 0)</f>
        <v>0</v>
      </c>
      <c r="O110" s="59">
        <f>((MAX('Min rate concentrations'!$F$3:$F$368))*0.62*6.01*8*(10*F110^0.667)*0.079*0.1/F110)*inputs!$E$80/(10^(0.84+0.62*LOG10(inputs!$E$80)))</f>
        <v>5.1146793401714534</v>
      </c>
      <c r="P110" s="59">
        <f>((MAX('Min rate concentrations'!Y:Y))*0.62*6.01*8*(10*F110^0.667)*0.079*0.1/F110)*inputs!$E$80/(10^(0.84+0.62*LOG10(inputs!$E$80)))</f>
        <v>1.7048931133904834</v>
      </c>
      <c r="Q110" s="59">
        <f>(inputs!$C$7*11.2*(10*F110^0.667)*0.5/F110)*inputs!$E$80/(10^(0.84+0.62*LOG10(inputs!$E$80)))</f>
        <v>0.90092664198670336</v>
      </c>
      <c r="R110" s="59">
        <f>(60*284*((F110/1000)^0.77)*3*24*(MAX('Min rate concentrations'!$R$3:$R$368))/F110)*(inputs!$E$73*3.4/inputs!$E$75)</f>
        <v>7.7878071303845112E-3</v>
      </c>
      <c r="S110" s="59">
        <f>(IF(inputs!$C$6="aerial",((0.025*0.112*inputs!$C$7/3.3)*(3*60*284*((F110/1000)^0.77))*MAX(inputs!$H$14:$H$16))/F110,((0.0083*0.112*inputs!$C$7/1)*(3*60*284*((F110/1000)^0.77))*MAX(inputs!$H$14:$H$16))/F110))*(inputs!E$75*3.4/inputs!$E$73)</f>
        <v>4.2950234793773211E-2</v>
      </c>
      <c r="T110" s="63">
        <f>IF((((inputs!$P$12/(V110/MAX(K110:S110)))^(1/inputs!$O$12))-1)/inputs!$N$12&lt;0, 0, IF((((inputs!$P$12/(V110/MAX(K110:S110)))^(1/inputs!$O$12))-1)/inputs!$N$12&gt;inputs!$H$17, inputs!$H$17, (((inputs!$P$12/(V110/MAX(K110:S110)))^(1/inputs!$O$12))-1)/inputs!$N$12))</f>
        <v>179.62261516708483</v>
      </c>
      <c r="U110" s="63">
        <f>IF((((inputs!$P$12/(X110/MAX(K110:S110)))^(1/inputs!$O$12))-1)/inputs!$N$12&lt;0, 0, IF((((inputs!$P$12/(X110/MAX(K110:S110)))^(1/inputs!$O$12))-1)/inputs!$N$12&gt;inputs!$H$17, inputs!$H$17, (((inputs!$P$12/(X110/MAX(K110:S110)))^(1/inputs!$O$12))-1)/inputs!$N$12))</f>
        <v>0</v>
      </c>
      <c r="V110" s="21">
        <f>inputs!$E$78*(F110/inputs!$F$78)^(inputs!$E$84-1)</f>
        <v>1.8341646012025203E-2</v>
      </c>
      <c r="W110" s="21">
        <f>inputs!$E$85*(F110/inputs!$F$85)^(inputs!$E$84-1)</f>
        <v>0.84698342455805364</v>
      </c>
      <c r="X110" s="21">
        <f>inputs!$E$80*(F110/inputs!$F$80)^(inputs!$E$84-1)</f>
        <v>3.162786205628175</v>
      </c>
      <c r="Y110" s="21">
        <f>inputs!$E$82*(F110/inputs!$F$82)^(inputs!$E$84-1)</f>
        <v>1.4576781830609504</v>
      </c>
      <c r="Z110" s="63">
        <f t="shared" si="9"/>
        <v>278.85607086834807</v>
      </c>
      <c r="AA110" s="63">
        <f t="shared" si="10"/>
        <v>6.0387006308184077</v>
      </c>
    </row>
    <row r="111" spans="1:476" x14ac:dyDescent="0.25">
      <c r="A111" s="103" t="s">
        <v>208</v>
      </c>
      <c r="B111" s="20" t="s">
        <v>209</v>
      </c>
      <c r="C111" s="20" t="s">
        <v>73</v>
      </c>
      <c r="D111" s="104" t="s">
        <v>185</v>
      </c>
      <c r="E111" s="15">
        <v>132</v>
      </c>
      <c r="F111" s="15">
        <v>34</v>
      </c>
      <c r="G111" s="20" t="s">
        <v>142</v>
      </c>
      <c r="H111" s="20">
        <v>0.69</v>
      </c>
      <c r="I111" s="48">
        <f>MAX('Min rate concentrations'!$H$3:$H$368)</f>
        <v>47</v>
      </c>
      <c r="J111" s="48">
        <f>MAX('Min rate concentrations'!AA:AA)</f>
        <v>32.5</v>
      </c>
      <c r="K111" s="59">
        <f t="shared" si="12"/>
        <v>18.965504915888541</v>
      </c>
      <c r="L111" s="59">
        <f t="shared" si="13"/>
        <v>13.114444888646331</v>
      </c>
      <c r="M111" s="59">
        <f>IF((((1.18*F111^0.874)/3.7-(0.301*F111^0.751)/(1-H111)*H111)*(MAX('Min rate concentrations'!$P$3:$P$368)))/F111&gt;0, (((1.18*F111^0.874)/3.7-(0.301*F111^0.751)/(1-H111)*H111)*(MAX('Min rate concentrations'!$P$3:$P$368)))/F111, 0)</f>
        <v>0</v>
      </c>
      <c r="N111" s="59">
        <f>IF((((1.18*F111^0.874)/3.7-(0.301*F111^0.751)/(1-H111)*H111)*(MAX('Min rate concentrations'!$Q$3:$Q$368)))/F111&gt;0, (((1.18*F111^0.874)/3.7-(0.301*F111^0.751)/(1-H111)*H111)*(MAX('Min rate concentrations'!$Q$3:$Q$368)))/F111, 0)</f>
        <v>0</v>
      </c>
      <c r="O111" s="59">
        <f>((MAX('Min rate concentrations'!$F$3:$F$368))*0.62*6.01*8*(10*F111^0.667)*0.079*0.1/F111)*inputs!$E$80/(10^(0.84+0.62*LOG10(inputs!$E$80)))</f>
        <v>7.561704399544027</v>
      </c>
      <c r="P111" s="59">
        <f>((MAX('Min rate concentrations'!Y:Y))*0.62*6.01*8*(10*F111^0.667)*0.079*0.1/F111)*inputs!$E$80/(10^(0.84+0.62*LOG10(inputs!$E$80)))</f>
        <v>2.5205681331813428</v>
      </c>
      <c r="Q111" s="59">
        <f>(inputs!$C$7*11.2*(10*F111^0.667)*0.5/F111)*inputs!$E$80/(10^(0.84+0.62*LOG10(inputs!$E$80)))</f>
        <v>1.3319585646104095</v>
      </c>
      <c r="R111" s="59">
        <f>(60*284*((F111/1000)^0.77)*3*24*(MAX('Min rate concentrations'!$R$3:$R$368))/F111)*(inputs!$E$73*3.4/inputs!$E$75)</f>
        <v>1.0202235732169293E-2</v>
      </c>
      <c r="S111" s="59">
        <f>(IF(inputs!$C$6="aerial",((0.025*0.112*inputs!$C$7/3.3)*(3*60*284*((F111/1000)^0.77))*MAX(inputs!$H$14:$H$16))/F111,((0.0083*0.112*inputs!$C$7/1)*(3*60*284*((F111/1000)^0.77))*MAX(inputs!$H$14:$H$16))/F111))*(inputs!E$75*3.4/inputs!$E$73)</f>
        <v>5.6265956871027333E-2</v>
      </c>
      <c r="T111" s="63">
        <f>IF((((inputs!$P$12/(V111/MAX(K111:S111)))^(1/inputs!$O$12))-1)/inputs!$N$12&lt;0, 0, IF((((inputs!$P$12/(V111/MAX(K111:S111)))^(1/inputs!$O$12))-1)/inputs!$N$12&gt;inputs!$H$17, inputs!$H$17, (((inputs!$P$12/(V111/MAX(K111:S111)))^(1/inputs!$O$12))-1)/inputs!$N$12))</f>
        <v>268.71239878456595</v>
      </c>
      <c r="U111" s="63">
        <f>IF((((inputs!$P$12/(X111/MAX(K111:S111)))^(1/inputs!$O$12))-1)/inputs!$N$12&lt;0, 0, IF((((inputs!$P$12/(X111/MAX(K111:S111)))^(1/inputs!$O$12))-1)/inputs!$N$12&gt;inputs!$H$17, inputs!$H$17, (((inputs!$P$12/(X111/MAX(K111:S111)))^(1/inputs!$O$12))-1)/inputs!$N$12))</f>
        <v>8.0976469782091538</v>
      </c>
      <c r="V111" s="21">
        <f>inputs!$E$78*(F111/inputs!$F$78)^(inputs!$E$84-1)</f>
        <v>2.832085768556198E-2</v>
      </c>
      <c r="W111" s="21">
        <f>inputs!$E$85*(F111/inputs!$F$85)^(inputs!$E$84-1)</f>
        <v>1.3078050363207285</v>
      </c>
      <c r="X111" s="21">
        <f>inputs!$E$80*(F111/inputs!$F$80)^(inputs!$E$84-1)</f>
        <v>4.883575768539429</v>
      </c>
      <c r="Y111" s="21">
        <f>inputs!$E$82*(F111/inputs!$F$82)^(inputs!$E$84-1)</f>
        <v>2.2507629002736103</v>
      </c>
      <c r="Z111" s="63">
        <f t="shared" si="9"/>
        <v>669.6656268837927</v>
      </c>
      <c r="AA111" s="63">
        <f t="shared" si="10"/>
        <v>14.501783055710305</v>
      </c>
    </row>
    <row r="112" spans="1:476" x14ac:dyDescent="0.25">
      <c r="A112" s="112" t="s">
        <v>357</v>
      </c>
      <c r="B112" s="113" t="s">
        <v>358</v>
      </c>
      <c r="C112" s="20" t="s">
        <v>73</v>
      </c>
      <c r="D112" s="48" t="s">
        <v>185</v>
      </c>
      <c r="E112" s="118">
        <v>6618</v>
      </c>
      <c r="F112" s="15">
        <v>148</v>
      </c>
      <c r="G112" s="20" t="s">
        <v>186</v>
      </c>
      <c r="H112" s="49">
        <v>0.75</v>
      </c>
      <c r="I112" s="48">
        <f>inputs!$C$65*inputs!$C$64/1000</f>
        <v>2.13</v>
      </c>
      <c r="J112" s="48">
        <f>inputs!$C$65*inputs!$C$63/1000</f>
        <v>0.88</v>
      </c>
      <c r="K112" s="59">
        <f t="shared" si="12"/>
        <v>0.73894297244323426</v>
      </c>
      <c r="L112" s="59">
        <f t="shared" si="13"/>
        <v>0.30529099330988085</v>
      </c>
      <c r="M112" s="59">
        <f>IF((((1.18*F112^0.874)/3.7-(0.301*F112^0.751)/(1-H112)*H112)*(MAX('Min rate concentrations'!$P$3:$P$368)))/F112&gt;0, (((1.18*F112^0.874)/3.7-(0.301*F112^0.751)/(1-H112)*H112)*(MAX('Min rate concentrations'!$P$3:$P$368)))/F112, 0)</f>
        <v>0</v>
      </c>
      <c r="N112" s="59">
        <f>IF((((1.18*F112^0.874)/3.7-(0.301*F112^0.751)/(1-H112)*H112)*(MAX('Min rate concentrations'!$Q$3:$Q$368)))/F112&gt;0, (((1.18*F112^0.874)/3.7-(0.301*F112^0.751)/(1-H112)*H112)*(MAX('Min rate concentrations'!$Q$3:$Q$368)))/F112, 0)</f>
        <v>0</v>
      </c>
      <c r="O112" s="59">
        <f>((MAX('Min rate concentrations'!$F$3:$F$368))*0.62*6.01*8*(10*F112^0.667)*0.079*0.1/F112)*inputs!$E$80/(10^(0.84+0.62*LOG10(inputs!$E$80)))</f>
        <v>4.6334557963694412</v>
      </c>
      <c r="P112" s="59">
        <f>((MAX('Min rate concentrations'!Y:Y))*0.62*6.01*8*(10*F112^0.667)*0.079*0.1/F112)*inputs!$E$80/(10^(0.84+0.62*LOG10(inputs!$E$80)))</f>
        <v>1.5444852654564807</v>
      </c>
      <c r="Q112" s="59">
        <f>(inputs!$C$7*11.2*(10*F112^0.667)*0.5/F112)*inputs!$E$80/(10^(0.84+0.62*LOG10(inputs!$E$80)))</f>
        <v>0.8161613844744009</v>
      </c>
      <c r="R112" s="59">
        <f>(60*284*((F112/1000)^0.77)*3*24*(MAX('Min rate concentrations'!$R$3:$R$368))/F112)*(inputs!$E$73*3.4/inputs!$E$75)</f>
        <v>7.2740337283888406E-3</v>
      </c>
      <c r="S112" s="59">
        <f>(IF(inputs!$C$6="aerial",((0.025*0.112*inputs!$C$7/3.3)*(3*60*284*((F112/1000)^0.77))*MAX(inputs!$H$14:$H$16))/F112,((0.0083*0.112*inputs!$C$7/1)*(3*60*284*((F112/1000)^0.77))*MAX(inputs!$H$14:$H$16))/F112))*(inputs!E$75*3.4/inputs!$E$73)</f>
        <v>4.0116742916397941E-2</v>
      </c>
      <c r="T112" s="63">
        <f>IF((((inputs!$P$12/(V112/MAX(K112:S112)))^(1/inputs!$O$12))-1)/inputs!$N$12&lt;0, 0, IF((((inputs!$P$12/(V112/MAX(K112:S112)))^(1/inputs!$O$12))-1)/inputs!$N$12&gt;inputs!$H$17, inputs!$H$17, (((inputs!$P$12/(V112/MAX(K112:S112)))^(1/inputs!$O$12))-1)/inputs!$N$12))</f>
        <v>180.55403742449855</v>
      </c>
      <c r="U112" s="63">
        <f>IF((((inputs!$P$12/(X112/MAX(K112:S112)))^(1/inputs!$O$12))-1)/inputs!$N$12&lt;0, 0, IF((((inputs!$P$12/(X112/MAX(K112:S112)))^(1/inputs!$O$12))-1)/inputs!$N$12&gt;inputs!$H$17, inputs!$H$17, (((inputs!$P$12/(X112/MAX(K112:S112)))^(1/inputs!$O$12))-1)/inputs!$N$12))</f>
        <v>0</v>
      </c>
      <c r="V112" s="21">
        <f>inputs!$E$78*(F112/inputs!$F$78)^(inputs!$E$84-1)</f>
        <v>1.6434510237281978E-2</v>
      </c>
      <c r="W112" s="21">
        <f>inputs!$E$85*(F112/inputs!$F$85)^(inputs!$E$84-1)</f>
        <v>0.75891540773283761</v>
      </c>
      <c r="X112" s="21">
        <f>inputs!$E$80*(F112/inputs!$F$80)^(inputs!$E$84-1)</f>
        <v>2.8339246238124951</v>
      </c>
      <c r="Y112" s="21">
        <f>inputs!$E$82*(F112/inputs!$F$82)^(inputs!$E$84-1)</f>
        <v>1.30611107675241</v>
      </c>
      <c r="Z112" s="63">
        <f t="shared" si="9"/>
        <v>281.93452250608385</v>
      </c>
      <c r="AA112" s="63">
        <f t="shared" si="10"/>
        <v>6.1053653004770263</v>
      </c>
    </row>
    <row r="113" spans="1:476" x14ac:dyDescent="0.25">
      <c r="A113" s="112" t="s">
        <v>357</v>
      </c>
      <c r="B113" s="113" t="s">
        <v>358</v>
      </c>
      <c r="C113" s="20" t="s">
        <v>73</v>
      </c>
      <c r="D113" s="48" t="s">
        <v>185</v>
      </c>
      <c r="E113" s="118">
        <v>6618</v>
      </c>
      <c r="F113" s="15">
        <v>148</v>
      </c>
      <c r="G113" s="20" t="s">
        <v>174</v>
      </c>
      <c r="H113" s="20">
        <v>0.83</v>
      </c>
      <c r="I113" s="48">
        <f>inputs!$C$65*(inputs!$C$62/1000)</f>
        <v>0.82000000000000006</v>
      </c>
      <c r="J113" s="48">
        <f>inputs!$C$65*(inputs!$C$61/1000)</f>
        <v>0.25</v>
      </c>
      <c r="K113" s="59">
        <f t="shared" si="12"/>
        <v>0.41834661516394089</v>
      </c>
      <c r="L113" s="59"/>
      <c r="M113" s="59">
        <f>IF((((1.18*F113^0.874)/3.7-(0.301*F113^0.751)/(1-H113)*H113)*(MAX('Min rate concentrations'!$P$3:$P$368)))/F113&gt;0, (((1.18*F113^0.874)/3.7-(0.301*F113^0.751)/(1-H113)*H113)*(MAX('Min rate concentrations'!$P$3:$P$368)))/F113, 0)</f>
        <v>0</v>
      </c>
      <c r="N113" s="59">
        <f>IF((((1.18*F113^0.874)/3.7-(0.301*F113^0.751)/(1-H113)*H113)*(MAX('Min rate concentrations'!$Q$3:$Q$368)))/F113&gt;0, (((1.18*F113^0.874)/3.7-(0.301*F113^0.751)/(1-H113)*H113)*(MAX('Min rate concentrations'!$Q$3:$Q$368)))/F113, 0)</f>
        <v>0</v>
      </c>
      <c r="O113" s="59">
        <f>((MAX('Min rate concentrations'!$F$3:$F$368))*0.62*6.01*8*(10*F113^0.667)*0.079*0.1/F113)*inputs!$E$80/(10^(0.84+0.62*LOG10(inputs!$E$80)))</f>
        <v>4.6334557963694412</v>
      </c>
      <c r="P113" s="59">
        <f>((MAX('Min rate concentrations'!Y:Y))*0.62*6.01*8*(10*F113^0.667)*0.079*0.1/F113)*inputs!$E$80/(10^(0.84+0.62*LOG10(inputs!$E$80)))</f>
        <v>1.5444852654564807</v>
      </c>
      <c r="Q113" s="59">
        <f>(inputs!$C$7*11.2*(10*F113^0.667)*0.5/F113)*inputs!$E$80/(10^(0.84+0.62*LOG10(inputs!$E$80)))</f>
        <v>0.8161613844744009</v>
      </c>
      <c r="R113" s="59">
        <f>(60*284*((F113/1000)^0.77)*3*24*(MAX('Min rate concentrations'!$R$3:$R$368))/F113)*(inputs!$E$73*3.4/inputs!$E$75)</f>
        <v>7.2740337283888406E-3</v>
      </c>
      <c r="S113" s="59">
        <f>(IF(inputs!$C$6="aerial",((0.025*0.112*inputs!$C$7/3.3)*(3*60*284*((F113/1000)^0.77))*MAX(inputs!$H$14:$H$16))/F113,((0.0083*0.112*inputs!$C$7/1)*(3*60*284*((F113/1000)^0.77))*MAX(inputs!$H$14:$H$16))/F113))*(inputs!E$75*3.4/inputs!$E$73)</f>
        <v>4.0116742916397941E-2</v>
      </c>
      <c r="T113" s="63">
        <f>IF((((inputs!$P$12/(V113/MAX(K113:S113)))^(1/inputs!$O$12))-1)/inputs!$N$12&lt;0, 0, IF((((inputs!$P$12/(V113/MAX(K113:S113)))^(1/inputs!$O$12))-1)/inputs!$N$12&gt;inputs!$H$17, inputs!$H$17, (((inputs!$P$12/(V113/MAX(K113:S113)))^(1/inputs!$O$12))-1)/inputs!$N$12))</f>
        <v>180.55403742449855</v>
      </c>
      <c r="U113" s="63">
        <f>IF((((inputs!$P$12/(X113/MAX(K113:S113)))^(1/inputs!$O$12))-1)/inputs!$N$12&lt;0, 0, IF((((inputs!$P$12/(X113/MAX(K113:S113)))^(1/inputs!$O$12))-1)/inputs!$N$12&gt;inputs!$H$17, inputs!$H$17, (((inputs!$P$12/(X113/MAX(K113:S113)))^(1/inputs!$O$12))-1)/inputs!$N$12))</f>
        <v>0</v>
      </c>
      <c r="V113" s="21">
        <f>inputs!$E$78*(F113/inputs!$F$78)^(inputs!$E$84-1)</f>
        <v>1.6434510237281978E-2</v>
      </c>
      <c r="W113" s="21">
        <f>inputs!$E$85*(F113/inputs!$F$85)^(inputs!$E$84-1)</f>
        <v>0.75891540773283761</v>
      </c>
      <c r="X113" s="21">
        <f>inputs!$E$80*(F113/inputs!$F$80)^(inputs!$E$84-1)</f>
        <v>2.8339246238124951</v>
      </c>
      <c r="Y113" s="21">
        <f>inputs!$E$82*(F113/inputs!$F$82)^(inputs!$E$84-1)</f>
        <v>1.30611107675241</v>
      </c>
      <c r="Z113" s="63">
        <f t="shared" si="9"/>
        <v>281.93452250608385</v>
      </c>
      <c r="AA113" s="63">
        <f t="shared" si="10"/>
        <v>6.1053653004770263</v>
      </c>
    </row>
    <row r="114" spans="1:476" x14ac:dyDescent="0.25">
      <c r="A114" s="114" t="s">
        <v>289</v>
      </c>
      <c r="B114" s="20" t="s">
        <v>290</v>
      </c>
      <c r="C114" s="20" t="s">
        <v>73</v>
      </c>
      <c r="D114" s="48" t="s">
        <v>291</v>
      </c>
      <c r="E114" s="15">
        <v>124</v>
      </c>
      <c r="F114" s="15">
        <v>2050</v>
      </c>
      <c r="G114" s="49" t="s">
        <v>186</v>
      </c>
      <c r="H114" s="49">
        <v>0.75</v>
      </c>
      <c r="I114" s="48">
        <f>inputs!$C$65*inputs!$C$64/1000</f>
        <v>2.13</v>
      </c>
      <c r="J114" s="48">
        <f>inputs!$C$65*inputs!$C$63/1000</f>
        <v>0.88</v>
      </c>
      <c r="K114" s="59">
        <f t="shared" si="12"/>
        <v>0.38404258029650334</v>
      </c>
      <c r="L114" s="59">
        <f>((0.301*F114^0.751)/(1-H114))*J114/F114</f>
        <v>0.15866547918353194</v>
      </c>
      <c r="M114" s="59">
        <f>IF((((1.18*F114^0.874)/3.7-(0.301*F114^0.751)/(1-H114)*H114)*(MAX('Min rate concentrations'!$P$3:$P$368)))/F114&gt;0, (((1.18*F114^0.874)/3.7-(0.301*F114^0.751)/(1-H114)*H114)*(MAX('Min rate concentrations'!$P$3:$P$368)))/F114, 0)</f>
        <v>0</v>
      </c>
      <c r="N114" s="59">
        <f>IF((((1.18*F114^0.874)/3.7-(0.301*F114^0.751)/(1-H114)*H114)*(MAX('Min rate concentrations'!$Q$3:$Q$368)))/F114&gt;0, (((1.18*F114^0.874)/3.7-(0.301*F114^0.751)/(1-H114)*H114)*(MAX('Min rate concentrations'!$Q$3:$Q$368)))/F114, 0)</f>
        <v>0</v>
      </c>
      <c r="O114" s="59">
        <f>((MAX('Min rate concentrations'!$F$3:$F$368))*0.62*6.01*8*(10*F114^0.667)*0.079*0.1/F114)*inputs!$E$80/(10^(0.84+0.62*LOG10(inputs!$E$80)))</f>
        <v>1.9310260815893434</v>
      </c>
      <c r="P114" s="59">
        <f>((MAX('Min rate concentrations'!Y:Y))*0.62*6.01*8*(10*F114^0.667)*0.079*0.1/F114)*inputs!$E$80/(10^(0.84+0.62*LOG10(inputs!$E$80)))</f>
        <v>0.64367536052978103</v>
      </c>
      <c r="Q114" s="59">
        <f>(inputs!$C$7*11.2*(10*F114^0.667)*0.5/F114)*inputs!$E$80/(10^(0.84+0.62*LOG10(inputs!$E$80)))</f>
        <v>0.34014113643666105</v>
      </c>
      <c r="R114" s="59">
        <f>(60*284*((F114/1000)^0.77)*3*24*(MAX('Min rate concentrations'!$R$3:$R$368))/F114)*(inputs!$E$73*3.4/inputs!$E$75)</f>
        <v>3.9740389280708659E-3</v>
      </c>
      <c r="S114" s="59">
        <f>(IF(inputs!$C$6="aerial",((0.025*0.112*inputs!$C$7/3.3)*(3*60*284*((F114/1000)^0.77))*MAX(inputs!$H$14:$H$16))/F114,((0.0083*0.112*inputs!$C$7/1)*(3*60*284*((F114/1000)^0.77))*MAX(inputs!$H$14:$H$16))/F114))*(inputs!E$75*3.4/inputs!$E$73)</f>
        <v>2.1917068846543351E-2</v>
      </c>
      <c r="T114" s="63">
        <f>IF((((inputs!$P$12/(V114/MAX(K114:S114)))^(1/inputs!$O$12))-1)/inputs!$N$12&lt;0, 0, IF((((inputs!$P$12/(V114/MAX(K114:S114)))^(1/inputs!$O$12))-1)/inputs!$N$12&gt;inputs!$H$17, inputs!$H$17, (((inputs!$P$12/(V114/MAX(K114:S114)))^(1/inputs!$O$12))-1)/inputs!$N$12))</f>
        <v>188.98850939585074</v>
      </c>
      <c r="U114" s="63">
        <f>IF((((inputs!$P$12/(X114/MAX(K114:S114)))^(1/inputs!$O$12))-1)/inputs!$N$12&lt;0, 0, IF((((inputs!$P$12/(X114/MAX(K114:S114)))^(1/inputs!$O$12))-1)/inputs!$N$12&gt;inputs!$H$17, inputs!$H$17, (((inputs!$P$12/(X114/MAX(K114:S114)))^(1/inputs!$O$12))-1)/inputs!$N$12))</f>
        <v>0</v>
      </c>
      <c r="V114" s="21">
        <f>inputs!$E$78*(F114/inputs!$F$78)^(inputs!$E$84-1)</f>
        <v>6.2144782498448634E-3</v>
      </c>
      <c r="W114" s="21">
        <f>inputs!$E$85*(F114/inputs!$F$85)^(inputs!$E$84-1)</f>
        <v>0.28697315750419744</v>
      </c>
      <c r="X114" s="21">
        <f>inputs!$E$80*(F114/inputs!$F$80)^(inputs!$E$84-1)</f>
        <v>1.0716086261232689</v>
      </c>
      <c r="Y114" s="21">
        <f>inputs!$E$82*(F114/inputs!$F$82)^(inputs!$E$84-1)</f>
        <v>0.4938874819613549</v>
      </c>
      <c r="Z114" s="63">
        <f t="shared" si="9"/>
        <v>310.73020195018768</v>
      </c>
      <c r="AA114" s="63">
        <f t="shared" si="10"/>
        <v>6.7289432167923202</v>
      </c>
    </row>
    <row r="115" spans="1:476" x14ac:dyDescent="0.25">
      <c r="A115" s="103" t="s">
        <v>242</v>
      </c>
      <c r="B115" s="20" t="s">
        <v>243</v>
      </c>
      <c r="C115" s="20" t="s">
        <v>73</v>
      </c>
      <c r="D115" s="104" t="s">
        <v>223</v>
      </c>
      <c r="E115" s="15">
        <v>5170</v>
      </c>
      <c r="F115" s="15">
        <v>58</v>
      </c>
      <c r="G115" s="20" t="s">
        <v>142</v>
      </c>
      <c r="H115" s="20">
        <v>0.69</v>
      </c>
      <c r="I115" s="48">
        <f>MAX('Min rate concentrations'!$H$3:$H$368)</f>
        <v>47</v>
      </c>
      <c r="J115" s="48">
        <f>MAX('Min rate concentrations'!AA:AA)</f>
        <v>32.5</v>
      </c>
      <c r="K115" s="59">
        <f t="shared" ref="K115:K146" si="14">((0.301*F115^0.751)/(1-H115))*I115/F115</f>
        <v>16.603861011202376</v>
      </c>
      <c r="L115" s="59">
        <f>((0.301*F115^0.751)/(1-H115))*J115/F115</f>
        <v>11.481393252427175</v>
      </c>
      <c r="M115" s="59">
        <f>IF((((1.18*F115^0.874)/3.7-(0.301*F115^0.751)/(1-H115)*H115)*(MAX('Min rate concentrations'!$P$3:$P$368)))/F115&gt;0, (((1.18*F115^0.874)/3.7-(0.301*F115^0.751)/(1-H115)*H115)*(MAX('Min rate concentrations'!$P$3:$P$368)))/F115, 0)</f>
        <v>0</v>
      </c>
      <c r="N115" s="59">
        <f>IF((((1.18*F115^0.874)/3.7-(0.301*F115^0.751)/(1-H115)*H115)*(MAX('Min rate concentrations'!$Q$3:$Q$368)))/F115&gt;0, (((1.18*F115^0.874)/3.7-(0.301*F115^0.751)/(1-H115)*H115)*(MAX('Min rate concentrations'!$Q$3:$Q$368)))/F115, 0)</f>
        <v>0</v>
      </c>
      <c r="O115" s="59">
        <f>((MAX('Min rate concentrations'!$F$3:$F$368))*0.62*6.01*8*(10*F115^0.667)*0.079*0.1/F115)*inputs!$E$80/(10^(0.84+0.62*LOG10(inputs!$E$80)))</f>
        <v>6.3296639522952276</v>
      </c>
      <c r="P115" s="59">
        <f>((MAX('Min rate concentrations'!Y:Y))*0.62*6.01*8*(10*F115^0.667)*0.079*0.1/F115)*inputs!$E$80/(10^(0.84+0.62*LOG10(inputs!$E$80)))</f>
        <v>2.1098879840984091</v>
      </c>
      <c r="Q115" s="59">
        <f>(inputs!$C$7*11.2*(10*F115^0.667)*0.5/F115)*inputs!$E$80/(10^(0.84+0.62*LOG10(inputs!$E$80)))</f>
        <v>1.1149404508425091</v>
      </c>
      <c r="R115" s="59">
        <f>(60*284*((F115/1000)^0.77)*3*24*(MAX('Min rate concentrations'!$R$3:$R$368))/F115)*(inputs!$E$73*3.4/inputs!$E$75)</f>
        <v>9.0229191626173041E-3</v>
      </c>
      <c r="S115" s="59">
        <f>(IF(inputs!$C$6="aerial",((0.025*0.112*inputs!$C$7/3.3)*(3*60*284*((F115/1000)^0.77))*MAX(inputs!$H$14:$H$16))/F115,((0.0083*0.112*inputs!$C$7/1)*(3*60*284*((F115/1000)^0.77))*MAX(inputs!$H$14:$H$16))/F115))*(inputs!E$75*3.4/inputs!$E$73)</f>
        <v>4.9761953534732034E-2</v>
      </c>
      <c r="T115" s="63">
        <f>IF((((inputs!$P$12/(V115/MAX(K115:S115)))^(1/inputs!$O$12))-1)/inputs!$N$12&lt;0, 0, IF((((inputs!$P$12/(V115/MAX(K115:S115)))^(1/inputs!$O$12))-1)/inputs!$N$12&gt;inputs!$H$17, inputs!$H$17, (((inputs!$P$12/(V115/MAX(K115:S115)))^(1/inputs!$O$12))-1)/inputs!$N$12))</f>
        <v>276.62789909998662</v>
      </c>
      <c r="U115" s="63">
        <f>IF((((inputs!$P$12/(X115/MAX(K115:S115)))^(1/inputs!$O$12))-1)/inputs!$N$12&lt;0, 0, IF((((inputs!$P$12/(X115/MAX(K115:S115)))^(1/inputs!$O$12))-1)/inputs!$N$12&gt;inputs!$H$17, inputs!$H$17, (((inputs!$P$12/(X115/MAX(K115:S115)))^(1/inputs!$O$12))-1)/inputs!$N$12))</f>
        <v>9.0720998430969857</v>
      </c>
      <c r="V115" s="21">
        <f>inputs!$E$78*(F115/inputs!$F$78)^(inputs!$E$84-1)</f>
        <v>2.3242628641364116E-2</v>
      </c>
      <c r="W115" s="21">
        <f>inputs!$E$85*(F115/inputs!$F$85)^(inputs!$E$84-1)</f>
        <v>1.073301773978574</v>
      </c>
      <c r="X115" s="21">
        <f>inputs!$E$80*(F115/inputs!$F$80)^(inputs!$E$84-1)</f>
        <v>4.0078990294136618</v>
      </c>
      <c r="Y115" s="21">
        <f>inputs!$E$82*(F115/inputs!$F$82)^(inputs!$E$84-1)</f>
        <v>1.847177328866306</v>
      </c>
      <c r="Z115" s="63">
        <f t="shared" si="9"/>
        <v>714.37104930778139</v>
      </c>
      <c r="AA115" s="63">
        <f t="shared" si="10"/>
        <v>15.469890587857945</v>
      </c>
    </row>
    <row r="116" spans="1:476" x14ac:dyDescent="0.25">
      <c r="A116" s="103" t="s">
        <v>242</v>
      </c>
      <c r="B116" s="20" t="s">
        <v>243</v>
      </c>
      <c r="C116" s="20" t="s">
        <v>73</v>
      </c>
      <c r="D116" s="104" t="s">
        <v>223</v>
      </c>
      <c r="E116" s="15">
        <v>5170</v>
      </c>
      <c r="F116" s="15">
        <v>58</v>
      </c>
      <c r="G116" s="20" t="s">
        <v>152</v>
      </c>
      <c r="H116" s="20">
        <v>0.77</v>
      </c>
      <c r="I116" s="48">
        <f>MAX('Min rate concentrations'!$G$3:$G$368)</f>
        <v>7.5</v>
      </c>
      <c r="J116" s="48">
        <f>MAX('Min rate concentrations'!Z:Z)</f>
        <v>3.5</v>
      </c>
      <c r="K116" s="59">
        <f t="shared" si="14"/>
        <v>3.5711356938987544</v>
      </c>
      <c r="L116" s="59">
        <f>((0.301*F116^0.751)/(1-H116))*J116/F116</f>
        <v>1.6665299904860853</v>
      </c>
      <c r="M116" s="59">
        <f>IF((((1.18*F116^0.874)/3.7-(0.301*F116^0.751)/(1-H116)*H116)*(MAX('Min rate concentrations'!$P$3:$P$368)))/F116&gt;0, (((1.18*F116^0.874)/3.7-(0.301*F116^0.751)/(1-H116)*H116)*(MAX('Min rate concentrations'!$P$3:$P$368)))/F116, 0)</f>
        <v>0</v>
      </c>
      <c r="N116" s="59">
        <f>IF((((1.18*F116^0.874)/3.7-(0.301*F116^0.751)/(1-H116)*H116)*(MAX('Min rate concentrations'!$Q$3:$Q$368)))/F116&gt;0, (((1.18*F116^0.874)/3.7-(0.301*F116^0.751)/(1-H116)*H116)*(MAX('Min rate concentrations'!$Q$3:$Q$368)))/F116, 0)</f>
        <v>0</v>
      </c>
      <c r="O116" s="59">
        <f>((MAX('Min rate concentrations'!$F$3:$F$368))*0.62*6.01*8*(10*F116^0.667)*0.079*0.1/F116)*inputs!$E$80/(10^(0.84+0.62*LOG10(inputs!$E$80)))</f>
        <v>6.3296639522952276</v>
      </c>
      <c r="P116" s="59">
        <f>((MAX('Min rate concentrations'!Y:Y))*0.62*6.01*8*(10*F116^0.667)*0.079*0.1/F116)*inputs!$E$80/(10^(0.84+0.62*LOG10(inputs!$E$80)))</f>
        <v>2.1098879840984091</v>
      </c>
      <c r="Q116" s="59">
        <f>(inputs!$C$7*11.2*(10*F116^0.667)*0.5/F116)*inputs!$E$80/(10^(0.84+0.62*LOG10(inputs!$E$80)))</f>
        <v>1.1149404508425091</v>
      </c>
      <c r="R116" s="59">
        <f>(60*284*((F116/1000)^0.77)*3*24*(MAX('Min rate concentrations'!$R$3:$R$368))/F116)*(inputs!$E$73*3.4/inputs!$E$75)</f>
        <v>9.0229191626173041E-3</v>
      </c>
      <c r="S116" s="59">
        <f>(IF(inputs!$C$6="aerial",((0.025*0.112*inputs!$C$7/3.3)*(3*60*284*((F116/1000)^0.77))*MAX(inputs!$H$14:$H$16))/F116,((0.0083*0.112*inputs!$C$7/1)*(3*60*284*((F116/1000)^0.77))*MAX(inputs!$H$14:$H$16))/F116))*(inputs!E$75*3.4/inputs!$E$73)</f>
        <v>4.9761953534732034E-2</v>
      </c>
      <c r="T116" s="63">
        <f>IF((((inputs!$P$12/(V116/MAX(K116:S116)))^(1/inputs!$O$12))-1)/inputs!$N$12&lt;0, 0, IF((((inputs!$P$12/(V116/MAX(K116:S116)))^(1/inputs!$O$12))-1)/inputs!$N$12&gt;inputs!$H$17, inputs!$H$17, (((inputs!$P$12/(V116/MAX(K116:S116)))^(1/inputs!$O$12))-1)/inputs!$N$12))</f>
        <v>177.62768481277578</v>
      </c>
      <c r="U116" s="63">
        <f>IF((((inputs!$P$12/(X116/MAX(K116:S116)))^(1/inputs!$O$12))-1)/inputs!$N$12&lt;0, 0, IF((((inputs!$P$12/(X116/MAX(K116:S116)))^(1/inputs!$O$12))-1)/inputs!$N$12&gt;inputs!$H$17, inputs!$H$17, (((inputs!$P$12/(X116/MAX(K116:S116)))^(1/inputs!$O$12))-1)/inputs!$N$12))</f>
        <v>0</v>
      </c>
      <c r="V116" s="21">
        <f>inputs!$E$78*(F116/inputs!$F$78)^(inputs!$E$84-1)</f>
        <v>2.3242628641364116E-2</v>
      </c>
      <c r="W116" s="21">
        <f>inputs!$E$85*(F116/inputs!$F$85)^(inputs!$E$84-1)</f>
        <v>1.073301773978574</v>
      </c>
      <c r="X116" s="21">
        <f>inputs!$E$80*(F116/inputs!$F$80)^(inputs!$E$84-1)</f>
        <v>4.0078990294136618</v>
      </c>
      <c r="Y116" s="21">
        <f>inputs!$E$82*(F116/inputs!$F$82)^(inputs!$E$84-1)</f>
        <v>1.847177328866306</v>
      </c>
      <c r="Z116" s="63">
        <f t="shared" si="9"/>
        <v>272.32995243190953</v>
      </c>
      <c r="AA116" s="63">
        <f t="shared" si="10"/>
        <v>5.8973758413089001</v>
      </c>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c r="CZ116" s="107"/>
      <c r="DA116" s="107"/>
      <c r="DB116" s="107"/>
      <c r="DC116" s="107"/>
      <c r="DD116" s="107"/>
      <c r="DE116" s="107"/>
      <c r="DF116" s="107"/>
      <c r="DG116" s="107"/>
      <c r="DH116" s="107"/>
      <c r="DI116" s="107"/>
      <c r="DJ116" s="107"/>
      <c r="DK116" s="107"/>
      <c r="DL116" s="107"/>
      <c r="DM116" s="107"/>
      <c r="DN116" s="107"/>
      <c r="DO116" s="107"/>
      <c r="DP116" s="107"/>
      <c r="DQ116" s="107"/>
      <c r="DR116" s="107"/>
      <c r="DS116" s="107"/>
      <c r="DT116" s="107"/>
      <c r="DU116" s="107"/>
      <c r="DV116" s="107"/>
      <c r="DW116" s="107"/>
      <c r="DX116" s="107"/>
      <c r="DY116" s="107"/>
      <c r="DZ116" s="107"/>
      <c r="EA116" s="107"/>
      <c r="EB116" s="107"/>
      <c r="EC116" s="107"/>
      <c r="ED116" s="107"/>
      <c r="EE116" s="107"/>
      <c r="EF116" s="107"/>
      <c r="EG116" s="107"/>
      <c r="EH116" s="107"/>
      <c r="EI116" s="107"/>
      <c r="EJ116" s="107"/>
      <c r="EK116" s="107"/>
      <c r="EL116" s="107"/>
      <c r="EM116" s="107"/>
      <c r="EN116" s="107"/>
      <c r="EO116" s="107"/>
      <c r="EP116" s="107"/>
      <c r="EQ116" s="107"/>
      <c r="ER116" s="107"/>
      <c r="ES116" s="107"/>
      <c r="ET116" s="107"/>
      <c r="EU116" s="107"/>
      <c r="EV116" s="107"/>
      <c r="EW116" s="107"/>
      <c r="EX116" s="107"/>
      <c r="EY116" s="107"/>
      <c r="EZ116" s="107"/>
      <c r="FA116" s="107"/>
      <c r="FB116" s="107"/>
      <c r="FC116" s="107"/>
      <c r="FD116" s="107"/>
      <c r="FE116" s="107"/>
      <c r="FF116" s="107"/>
      <c r="FG116" s="107"/>
      <c r="FH116" s="107"/>
      <c r="FI116" s="107"/>
      <c r="FJ116" s="107"/>
      <c r="FK116" s="107"/>
      <c r="FL116" s="107"/>
      <c r="FM116" s="107"/>
      <c r="FN116" s="107"/>
      <c r="FO116" s="107"/>
      <c r="FP116" s="107"/>
      <c r="FQ116" s="107"/>
      <c r="FR116" s="107"/>
      <c r="FS116" s="107"/>
      <c r="FT116" s="107"/>
      <c r="FU116" s="107"/>
      <c r="FV116" s="107"/>
      <c r="FW116" s="107"/>
      <c r="FX116" s="107"/>
      <c r="FY116" s="107"/>
      <c r="FZ116" s="107"/>
      <c r="GA116" s="107"/>
      <c r="GB116" s="107"/>
      <c r="GC116" s="107"/>
      <c r="GD116" s="107"/>
      <c r="GE116" s="107"/>
      <c r="GF116" s="107"/>
      <c r="GG116" s="107"/>
      <c r="GH116" s="107"/>
      <c r="GI116" s="107"/>
      <c r="GJ116" s="107"/>
      <c r="GK116" s="107"/>
      <c r="GL116" s="107"/>
      <c r="GM116" s="107"/>
      <c r="GN116" s="107"/>
      <c r="GO116" s="107"/>
      <c r="GP116" s="107"/>
      <c r="GQ116" s="107"/>
      <c r="GR116" s="107"/>
      <c r="GS116" s="107"/>
      <c r="GT116" s="107"/>
      <c r="GU116" s="107"/>
      <c r="GV116" s="107"/>
      <c r="GW116" s="107"/>
      <c r="GX116" s="107"/>
      <c r="GY116" s="107"/>
      <c r="GZ116" s="107"/>
      <c r="HA116" s="107"/>
      <c r="HB116" s="107"/>
      <c r="HC116" s="107"/>
      <c r="HD116" s="107"/>
      <c r="HE116" s="107"/>
      <c r="HF116" s="107"/>
      <c r="HG116" s="107"/>
      <c r="HH116" s="107"/>
      <c r="HI116" s="107"/>
      <c r="HJ116" s="107"/>
      <c r="HK116" s="107"/>
      <c r="HL116" s="107"/>
      <c r="HM116" s="107"/>
      <c r="HN116" s="107"/>
      <c r="HO116" s="107"/>
      <c r="HP116" s="107"/>
      <c r="HQ116" s="107"/>
      <c r="HR116" s="107"/>
      <c r="HS116" s="107"/>
      <c r="HT116" s="107"/>
      <c r="HU116" s="107"/>
      <c r="HV116" s="107"/>
      <c r="HW116" s="107"/>
      <c r="HX116" s="107"/>
      <c r="HY116" s="107"/>
      <c r="HZ116" s="107"/>
      <c r="IA116" s="107"/>
      <c r="IB116" s="107"/>
      <c r="IC116" s="107"/>
      <c r="ID116" s="107"/>
      <c r="IE116" s="107"/>
      <c r="IF116" s="107"/>
      <c r="IG116" s="107"/>
      <c r="IH116" s="107"/>
      <c r="II116" s="107"/>
      <c r="IJ116" s="107"/>
      <c r="IK116" s="107"/>
      <c r="IL116" s="107"/>
      <c r="IM116" s="107"/>
      <c r="IN116" s="107"/>
      <c r="IO116" s="107"/>
      <c r="IP116" s="107"/>
      <c r="IQ116" s="107"/>
      <c r="IR116" s="107"/>
      <c r="IS116" s="107"/>
      <c r="IT116" s="107"/>
      <c r="IU116" s="107"/>
      <c r="IV116" s="107"/>
      <c r="IW116" s="107"/>
      <c r="IX116" s="107"/>
      <c r="IY116" s="107"/>
      <c r="IZ116" s="107"/>
      <c r="JA116" s="107"/>
      <c r="JB116" s="107"/>
      <c r="JC116" s="107"/>
      <c r="JD116" s="107"/>
      <c r="JE116" s="107"/>
      <c r="JF116" s="107"/>
      <c r="JG116" s="107"/>
      <c r="JH116" s="107"/>
      <c r="JI116" s="107"/>
      <c r="JJ116" s="107"/>
      <c r="JK116" s="107"/>
      <c r="JL116" s="107"/>
      <c r="JM116" s="107"/>
      <c r="JN116" s="107"/>
      <c r="JO116" s="107"/>
      <c r="JP116" s="107"/>
      <c r="JQ116" s="107"/>
      <c r="JR116" s="107"/>
      <c r="JS116" s="107"/>
      <c r="JT116" s="107"/>
      <c r="JU116" s="107"/>
      <c r="JV116" s="107"/>
      <c r="JW116" s="107"/>
      <c r="JX116" s="107"/>
      <c r="JY116" s="107"/>
      <c r="JZ116" s="107"/>
      <c r="KA116" s="107"/>
      <c r="KB116" s="107"/>
      <c r="KC116" s="107"/>
      <c r="KD116" s="107"/>
      <c r="KE116" s="107"/>
      <c r="KF116" s="107"/>
      <c r="KG116" s="107"/>
      <c r="KH116" s="107"/>
      <c r="KI116" s="107"/>
      <c r="KJ116" s="107"/>
      <c r="KK116" s="107"/>
      <c r="KL116" s="107"/>
      <c r="KM116" s="107"/>
      <c r="KN116" s="107"/>
      <c r="KO116" s="107"/>
      <c r="KP116" s="107"/>
      <c r="KQ116" s="107"/>
      <c r="KR116" s="107"/>
      <c r="KS116" s="107"/>
      <c r="KT116" s="107"/>
      <c r="KU116" s="107"/>
      <c r="KV116" s="107"/>
      <c r="KW116" s="107"/>
      <c r="KX116" s="107"/>
      <c r="KY116" s="107"/>
      <c r="KZ116" s="107"/>
      <c r="LA116" s="107"/>
      <c r="LB116" s="107"/>
      <c r="LC116" s="107"/>
      <c r="LD116" s="107"/>
      <c r="LE116" s="107"/>
      <c r="LF116" s="107"/>
      <c r="LG116" s="107"/>
      <c r="LH116" s="107"/>
      <c r="LI116" s="107"/>
      <c r="LJ116" s="107"/>
      <c r="LK116" s="107"/>
      <c r="LL116" s="107"/>
      <c r="LM116" s="107"/>
      <c r="LN116" s="107"/>
      <c r="LO116" s="107"/>
      <c r="LP116" s="107"/>
      <c r="LQ116" s="107"/>
      <c r="LR116" s="107"/>
      <c r="LS116" s="107"/>
      <c r="LT116" s="107"/>
      <c r="LU116" s="107"/>
      <c r="LV116" s="107"/>
      <c r="LW116" s="107"/>
      <c r="LX116" s="107"/>
      <c r="LY116" s="107"/>
      <c r="LZ116" s="107"/>
      <c r="MA116" s="107"/>
      <c r="MB116" s="107"/>
      <c r="MC116" s="107"/>
      <c r="MD116" s="107"/>
      <c r="ME116" s="107"/>
      <c r="MF116" s="107"/>
      <c r="MG116" s="107"/>
      <c r="MH116" s="107"/>
      <c r="MI116" s="107"/>
      <c r="MJ116" s="107"/>
      <c r="MK116" s="107"/>
      <c r="ML116" s="107"/>
      <c r="MM116" s="107"/>
      <c r="MN116" s="107"/>
      <c r="MO116" s="107"/>
      <c r="MP116" s="107"/>
      <c r="MQ116" s="107"/>
      <c r="MR116" s="107"/>
      <c r="MS116" s="107"/>
      <c r="MT116" s="107"/>
      <c r="MU116" s="107"/>
      <c r="MV116" s="107"/>
      <c r="MW116" s="107"/>
      <c r="MX116" s="107"/>
      <c r="MY116" s="107"/>
      <c r="MZ116" s="107"/>
      <c r="NA116" s="107"/>
      <c r="NB116" s="107"/>
      <c r="NC116" s="107"/>
      <c r="ND116" s="107"/>
      <c r="NE116" s="107"/>
      <c r="NF116" s="107"/>
      <c r="NG116" s="107"/>
      <c r="NH116" s="107"/>
      <c r="NI116" s="107"/>
      <c r="NJ116" s="107"/>
      <c r="NK116" s="107"/>
      <c r="NL116" s="107"/>
      <c r="NM116" s="107"/>
      <c r="NN116" s="107"/>
      <c r="NO116" s="107"/>
      <c r="NP116" s="107"/>
      <c r="NQ116" s="107"/>
      <c r="NR116" s="107"/>
      <c r="NS116" s="107"/>
      <c r="NT116" s="107"/>
      <c r="NU116" s="107"/>
      <c r="NV116" s="107"/>
      <c r="NW116" s="107"/>
      <c r="NX116" s="107"/>
      <c r="NY116" s="107"/>
      <c r="NZ116" s="107"/>
      <c r="OA116" s="107"/>
      <c r="OB116" s="107"/>
      <c r="OC116" s="107"/>
      <c r="OD116" s="107"/>
      <c r="OE116" s="107"/>
      <c r="OF116" s="107"/>
      <c r="OG116" s="107"/>
      <c r="OH116" s="107"/>
      <c r="OI116" s="107"/>
      <c r="OJ116" s="107"/>
      <c r="OK116" s="107"/>
      <c r="OL116" s="107"/>
      <c r="OM116" s="107"/>
      <c r="ON116" s="107"/>
      <c r="OO116" s="107"/>
      <c r="OP116" s="107"/>
      <c r="OQ116" s="107"/>
      <c r="OR116" s="107"/>
      <c r="OS116" s="107"/>
      <c r="OT116" s="107"/>
      <c r="OU116" s="107"/>
      <c r="OV116" s="107"/>
      <c r="OW116" s="107"/>
      <c r="OX116" s="107"/>
      <c r="OY116" s="107"/>
      <c r="OZ116" s="107"/>
      <c r="PA116" s="107"/>
      <c r="PB116" s="107"/>
      <c r="PC116" s="107"/>
      <c r="PD116" s="107"/>
      <c r="PE116" s="107"/>
      <c r="PF116" s="107"/>
      <c r="PG116" s="107"/>
      <c r="PH116" s="107"/>
      <c r="PI116" s="107"/>
      <c r="PJ116" s="107"/>
      <c r="PK116" s="107"/>
      <c r="PL116" s="107"/>
      <c r="PM116" s="107"/>
      <c r="PN116" s="107"/>
      <c r="PO116" s="107"/>
      <c r="PP116" s="107"/>
      <c r="PQ116" s="107"/>
      <c r="PR116" s="107"/>
      <c r="PS116" s="107"/>
      <c r="PT116" s="107"/>
      <c r="PU116" s="107"/>
      <c r="PV116" s="107"/>
      <c r="PW116" s="107"/>
      <c r="PX116" s="107"/>
      <c r="PY116" s="107"/>
      <c r="PZ116" s="107"/>
      <c r="QA116" s="107"/>
      <c r="QB116" s="107"/>
      <c r="QC116" s="107"/>
      <c r="QD116" s="107"/>
      <c r="QE116" s="107"/>
      <c r="QF116" s="107"/>
      <c r="QG116" s="107"/>
      <c r="QH116" s="107"/>
      <c r="QI116" s="107"/>
      <c r="QJ116" s="107"/>
      <c r="QK116" s="107"/>
      <c r="QL116" s="107"/>
      <c r="QM116" s="107"/>
      <c r="QN116" s="107"/>
      <c r="QO116" s="107"/>
      <c r="QP116" s="107"/>
      <c r="QQ116" s="107"/>
      <c r="QR116" s="107"/>
      <c r="QS116" s="107"/>
      <c r="QT116" s="107"/>
      <c r="QU116" s="107"/>
      <c r="QV116" s="107"/>
      <c r="QW116" s="107"/>
      <c r="QX116" s="107"/>
      <c r="QY116" s="107"/>
      <c r="QZ116" s="107"/>
      <c r="RA116" s="107"/>
      <c r="RB116" s="107"/>
      <c r="RC116" s="107"/>
      <c r="RD116" s="107"/>
      <c r="RE116" s="107"/>
      <c r="RF116" s="107"/>
      <c r="RG116" s="107"/>
      <c r="RH116" s="107"/>
    </row>
    <row r="117" spans="1:476" x14ac:dyDescent="0.25">
      <c r="A117" s="103" t="s">
        <v>242</v>
      </c>
      <c r="B117" s="20" t="s">
        <v>243</v>
      </c>
      <c r="C117" s="20" t="s">
        <v>73</v>
      </c>
      <c r="D117" s="104" t="s">
        <v>223</v>
      </c>
      <c r="E117" s="15">
        <v>5170</v>
      </c>
      <c r="F117" s="15">
        <v>58</v>
      </c>
      <c r="G117" s="20" t="s">
        <v>177</v>
      </c>
      <c r="H117" s="20">
        <v>0.85</v>
      </c>
      <c r="I117" s="48">
        <f>MAX('Min rate concentrations'!$F$3:$F$368)</f>
        <v>67.5</v>
      </c>
      <c r="J117" s="48">
        <f>MAX('Min rate concentrations'!Y:Y)</f>
        <v>22.5</v>
      </c>
      <c r="K117" s="59">
        <f t="shared" si="14"/>
        <v>49.281672575802808</v>
      </c>
      <c r="L117" s="59">
        <f>((0.301*F117^0.751)/(1-H117))*J117/F117</f>
        <v>16.427224191934268</v>
      </c>
      <c r="M117" s="59">
        <f>IF((((1.18*F117^0.874)/3.7-(0.301*F117^0.751)/(1-H117)*H117)*(MAX('Min rate concentrations'!$P$3:$P$368)))/F117&gt;0, (((1.18*F117^0.874)/3.7-(0.301*F117^0.751)/(1-H117)*H117)*(MAX('Min rate concentrations'!$P$3:$P$368)))/F117, 0)</f>
        <v>0</v>
      </c>
      <c r="N117" s="59">
        <f>IF((((1.18*F117^0.874)/3.7-(0.301*F117^0.751)/(1-H117)*H117)*(MAX('Min rate concentrations'!$Q$3:$Q$368)))/F117&gt;0, (((1.18*F117^0.874)/3.7-(0.301*F117^0.751)/(1-H117)*H117)*(MAX('Min rate concentrations'!$Q$3:$Q$368)))/F117, 0)</f>
        <v>0</v>
      </c>
      <c r="O117" s="59">
        <f>((MAX('Min rate concentrations'!$F$3:$F$368))*0.62*6.01*8*(10*F117^0.667)*0.079*0.1/F117)*inputs!$E$80/(10^(0.84+0.62*LOG10(inputs!$E$80)))</f>
        <v>6.3296639522952276</v>
      </c>
      <c r="P117" s="59">
        <f>((MAX('Min rate concentrations'!Y:Y))*0.62*6.01*8*(10*F117^0.667)*0.079*0.1/F117)*inputs!$E$80/(10^(0.84+0.62*LOG10(inputs!$E$80)))</f>
        <v>2.1098879840984091</v>
      </c>
      <c r="Q117" s="59">
        <f>(inputs!$C$7*11.2*(10*F117^0.667)*0.5/F117)*inputs!$E$80/(10^(0.84+0.62*LOG10(inputs!$E$80)))</f>
        <v>1.1149404508425091</v>
      </c>
      <c r="R117" s="59">
        <f>(60*284*((F117/1000)^0.77)*3*24*(MAX('Min rate concentrations'!$R$3:$R$368))/F117)*(inputs!$E$73*3.4/inputs!$E$75)</f>
        <v>9.0229191626173041E-3</v>
      </c>
      <c r="S117" s="59">
        <f>(IF(inputs!$C$6="aerial",((0.025*0.112*inputs!$C$7/3.3)*(3*60*284*((F117/1000)^0.77))*MAX(inputs!$H$14:$H$16))/F117,((0.0083*0.112*inputs!$C$7/1)*(3*60*284*((F117/1000)^0.77))*MAX(inputs!$H$14:$H$16))/F117))*(inputs!E$75*3.4/inputs!$E$73)</f>
        <v>4.9761953534732034E-2</v>
      </c>
      <c r="T117" s="63">
        <f>IF((((inputs!$P$12/(V117/MAX(K117:S117)))^(1/inputs!$O$12))-1)/inputs!$N$12&lt;0, 0, IF((((inputs!$P$12/(V117/MAX(K117:S117)))^(1/inputs!$O$12))-1)/inputs!$N$12&gt;inputs!$H$17, inputs!$H$17, (((inputs!$P$12/(V117/MAX(K117:S117)))^(1/inputs!$O$12))-1)/inputs!$N$12))</f>
        <v>446.45205096122572</v>
      </c>
      <c r="U117" s="63">
        <f>IF((((inputs!$P$12/(X117/MAX(K117:S117)))^(1/inputs!$O$12))-1)/inputs!$N$12&lt;0, 0, IF((((inputs!$P$12/(X117/MAX(K117:S117)))^(1/inputs!$O$12))-1)/inputs!$N$12&gt;inputs!$H$17, inputs!$H$17, (((inputs!$P$12/(X117/MAX(K117:S117)))^(1/inputs!$O$12))-1)/inputs!$N$12))</f>
        <v>29.978628137453438</v>
      </c>
      <c r="V117" s="21">
        <f>inputs!$E$78*(F117/inputs!$F$78)^(inputs!$E$84-1)</f>
        <v>2.3242628641364116E-2</v>
      </c>
      <c r="W117" s="21">
        <f>inputs!$E$85*(F117/inputs!$F$85)^(inputs!$E$84-1)</f>
        <v>1.073301773978574</v>
      </c>
      <c r="X117" s="21">
        <f>inputs!$E$80*(F117/inputs!$F$80)^(inputs!$E$84-1)</f>
        <v>4.0078990294136618</v>
      </c>
      <c r="Y117" s="21">
        <f>inputs!$E$82*(F117/inputs!$F$82)^(inputs!$E$84-1)</f>
        <v>1.847177328866306</v>
      </c>
      <c r="Z117" s="63">
        <f t="shared" si="9"/>
        <v>2120.3140718816067</v>
      </c>
      <c r="AA117" s="63">
        <f t="shared" si="10"/>
        <v>45.915951851195402</v>
      </c>
    </row>
    <row r="118" spans="1:476" x14ac:dyDescent="0.25">
      <c r="A118" s="103" t="s">
        <v>242</v>
      </c>
      <c r="B118" s="20" t="s">
        <v>243</v>
      </c>
      <c r="C118" s="20" t="s">
        <v>73</v>
      </c>
      <c r="D118" s="104" t="s">
        <v>223</v>
      </c>
      <c r="E118" s="15">
        <v>5170</v>
      </c>
      <c r="F118" s="15">
        <v>58</v>
      </c>
      <c r="G118" s="20" t="s">
        <v>154</v>
      </c>
      <c r="H118" s="20">
        <v>9.2999999999999999E-2</v>
      </c>
      <c r="I118" s="48">
        <f>MAX('Min rate concentrations'!$G$3:$G$368)</f>
        <v>7.5</v>
      </c>
      <c r="J118" s="48">
        <f>MAX('Min rate concentrations'!Z:Z)</f>
        <v>3.5</v>
      </c>
      <c r="K118" s="59">
        <f t="shared" si="14"/>
        <v>0.90558016493573701</v>
      </c>
      <c r="L118" s="59"/>
      <c r="M118" s="59">
        <f>IF((((1.18*F118^0.874)/3.7-(0.301*F118^0.751)/(1-H118)*H118)*(MAX('Min rate concentrations'!$P$3:$P$368)))/F118&gt;0, (((1.18*F118^0.874)/3.7-(0.301*F118^0.751)/(1-H118)*H118)*(MAX('Min rate concentrations'!$P$3:$P$368)))/F118, 0)</f>
        <v>2.6122438024373088E-2</v>
      </c>
      <c r="N118" s="59">
        <f>IF((((1.18*F118^0.874)/3.7-(0.301*F118^0.751)/(1-H118)*H118)*(MAX('Min rate concentrations'!$Q$3:$Q$368)))/F118&gt;0, (((1.18*F118^0.874)/3.7-(0.301*F118^0.751)/(1-H118)*H118)*(MAX('Min rate concentrations'!$Q$3:$Q$368)))/F118, 0)</f>
        <v>9.9475647599427411E-2</v>
      </c>
      <c r="O118" s="59">
        <f>((MAX('Min rate concentrations'!$F$3:$F$368))*0.62*6.01*8*(10*F118^0.667)*0.079*0.1/F118)*inputs!$E$80/(10^(0.84+0.62*LOG10(inputs!$E$80)))</f>
        <v>6.3296639522952276</v>
      </c>
      <c r="P118" s="59">
        <f>((MAX('Min rate concentrations'!Y:Y))*0.62*6.01*8*(10*F118^0.667)*0.079*0.1/F118)*inputs!$E$80/(10^(0.84+0.62*LOG10(inputs!$E$80)))</f>
        <v>2.1098879840984091</v>
      </c>
      <c r="Q118" s="59">
        <f>(inputs!$C$7*11.2*(10*F118^0.667)*0.5/F118)*inputs!$E$80/(10^(0.84+0.62*LOG10(inputs!$E$80)))</f>
        <v>1.1149404508425091</v>
      </c>
      <c r="R118" s="59">
        <f>(60*284*((F118/1000)^0.77)*3*24*(MAX('Min rate concentrations'!$R$3:$R$368))/F118)*(inputs!$E$73*3.4/inputs!$E$75)</f>
        <v>9.0229191626173041E-3</v>
      </c>
      <c r="S118" s="59">
        <f>(IF(inputs!$C$6="aerial",((0.025*0.112*inputs!$C$7/3.3)*(3*60*284*((F118/1000)^0.77))*MAX(inputs!$H$14:$H$16))/F118,((0.0083*0.112*inputs!$C$7/1)*(3*60*284*((F118/1000)^0.77))*MAX(inputs!$H$14:$H$16))/F118))*(inputs!E$75*3.4/inputs!$E$73)</f>
        <v>4.9761953534732034E-2</v>
      </c>
      <c r="T118" s="63">
        <f>IF((((inputs!$P$12/(V118/MAX(K118:S118)))^(1/inputs!$O$12))-1)/inputs!$N$12&lt;0, 0, IF((((inputs!$P$12/(V118/MAX(K118:S118)))^(1/inputs!$O$12))-1)/inputs!$N$12&gt;inputs!$H$17, inputs!$H$17, (((inputs!$P$12/(V118/MAX(K118:S118)))^(1/inputs!$O$12))-1)/inputs!$N$12))</f>
        <v>177.62768481277578</v>
      </c>
      <c r="U118" s="63">
        <f>IF((((inputs!$P$12/(X118/MAX(K118:S118)))^(1/inputs!$O$12))-1)/inputs!$N$12&lt;0, 0, IF((((inputs!$P$12/(X118/MAX(K118:S118)))^(1/inputs!$O$12))-1)/inputs!$N$12&gt;inputs!$H$17, inputs!$H$17, (((inputs!$P$12/(X118/MAX(K118:S118)))^(1/inputs!$O$12))-1)/inputs!$N$12))</f>
        <v>0</v>
      </c>
      <c r="V118" s="21">
        <f>inputs!$E$78*(F118/inputs!$F$78)^(inputs!$E$84-1)</f>
        <v>2.3242628641364116E-2</v>
      </c>
      <c r="W118" s="21">
        <f>inputs!$E$85*(F118/inputs!$F$85)^(inputs!$E$84-1)</f>
        <v>1.073301773978574</v>
      </c>
      <c r="X118" s="21">
        <f>inputs!$E$80*(F118/inputs!$F$80)^(inputs!$E$84-1)</f>
        <v>4.0078990294136618</v>
      </c>
      <c r="Y118" s="21">
        <f>inputs!$E$82*(F118/inputs!$F$82)^(inputs!$E$84-1)</f>
        <v>1.847177328866306</v>
      </c>
      <c r="Z118" s="63">
        <f t="shared" si="9"/>
        <v>272.32995243190953</v>
      </c>
      <c r="AA118" s="63">
        <f t="shared" si="10"/>
        <v>5.8973758413089001</v>
      </c>
    </row>
    <row r="119" spans="1:476" x14ac:dyDescent="0.25">
      <c r="A119" s="103" t="s">
        <v>221</v>
      </c>
      <c r="B119" s="20" t="s">
        <v>222</v>
      </c>
      <c r="C119" s="20" t="s">
        <v>73</v>
      </c>
      <c r="D119" s="104" t="s">
        <v>223</v>
      </c>
      <c r="E119" s="15">
        <v>101</v>
      </c>
      <c r="F119" s="15">
        <v>494</v>
      </c>
      <c r="G119" s="20" t="s">
        <v>177</v>
      </c>
      <c r="H119" s="20">
        <v>0.85</v>
      </c>
      <c r="I119" s="48">
        <f>MAX('Min rate concentrations'!$F$3:$F$368)</f>
        <v>67.5</v>
      </c>
      <c r="J119" s="48">
        <f>MAX('Min rate concentrations'!Y:Y)</f>
        <v>22.5</v>
      </c>
      <c r="K119" s="59">
        <f t="shared" si="14"/>
        <v>28.909527866638864</v>
      </c>
      <c r="L119" s="59">
        <f>((0.301*F119^0.751)/(1-H119))*J119/F119</f>
        <v>9.6365092888796191</v>
      </c>
      <c r="M119" s="59">
        <f>IF((((1.18*F119^0.874)/3.7-(0.301*F119^0.751)/(1-H119)*H119)*(MAX('Min rate concentrations'!$P$3:$P$368)))/F119&gt;0, (((1.18*F119^0.874)/3.7-(0.301*F119^0.751)/(1-H119)*H119)*(MAX('Min rate concentrations'!$P$3:$P$368)))/F119, 0)</f>
        <v>0</v>
      </c>
      <c r="N119" s="59">
        <f>IF((((1.18*F119^0.874)/3.7-(0.301*F119^0.751)/(1-H119)*H119)*(MAX('Min rate concentrations'!$Q$3:$Q$368)))/F119&gt;0, (((1.18*F119^0.874)/3.7-(0.301*F119^0.751)/(1-H119)*H119)*(MAX('Min rate concentrations'!$Q$3:$Q$368)))/F119, 0)</f>
        <v>0</v>
      </c>
      <c r="O119" s="59">
        <f>((MAX('Min rate concentrations'!$F$3:$F$368))*0.62*6.01*8*(10*F119^0.667)*0.079*0.1/F119)*inputs!$E$80/(10^(0.84+0.62*LOG10(inputs!$E$80)))</f>
        <v>3.1016379469299036</v>
      </c>
      <c r="P119" s="59">
        <f>((MAX('Min rate concentrations'!Y:Y))*0.62*6.01*8*(10*F119^0.667)*0.079*0.1/F119)*inputs!$E$80/(10^(0.84+0.62*LOG10(inputs!$E$80)))</f>
        <v>1.033879315643301</v>
      </c>
      <c r="Q119" s="59">
        <f>(inputs!$C$7*11.2*(10*F119^0.667)*0.5/F119)*inputs!$E$80/(10^(0.84+0.62*LOG10(inputs!$E$80)))</f>
        <v>0.54633889523412837</v>
      </c>
      <c r="R119" s="59">
        <f>(60*284*((F119/1000)^0.77)*3*24*(MAX('Min rate concentrations'!$R$3:$R$368))/F119)*(inputs!$E$73*3.4/inputs!$E$75)</f>
        <v>5.512877049348189E-3</v>
      </c>
      <c r="S119" s="59">
        <f>(IF(inputs!$C$6="aerial",((0.025*0.112*inputs!$C$7/3.3)*(3*60*284*((F119/1000)^0.77))*MAX(inputs!$H$14:$H$16))/F119,((0.0083*0.112*inputs!$C$7/1)*(3*60*284*((F119/1000)^0.77))*MAX(inputs!$H$14:$H$16))/F119))*(inputs!E$75*3.4/inputs!$E$73)</f>
        <v>3.040385562900013E-2</v>
      </c>
      <c r="T119" s="63">
        <f>IF((((inputs!$P$12/(V119/MAX(K119:S119)))^(1/inputs!$O$12))-1)/inputs!$N$12&lt;0, 0, IF((((inputs!$P$12/(V119/MAX(K119:S119)))^(1/inputs!$O$12))-1)/inputs!$N$12&gt;inputs!$H$17, inputs!$H$17, (((inputs!$P$12/(V119/MAX(K119:S119)))^(1/inputs!$O$12))-1)/inputs!$N$12))</f>
        <v>499.25641209069249</v>
      </c>
      <c r="U119" s="63">
        <f>IF((((inputs!$P$12/(X119/MAX(K119:S119)))^(1/inputs!$O$12))-1)/inputs!$N$12&lt;0, 0, IF((((inputs!$P$12/(X119/MAX(K119:S119)))^(1/inputs!$O$12))-1)/inputs!$N$12&gt;inputs!$H$17, inputs!$H$17, (((inputs!$P$12/(X119/MAX(K119:S119)))^(1/inputs!$O$12))-1)/inputs!$N$12))</f>
        <v>36.479210403988994</v>
      </c>
      <c r="V119" s="21">
        <f>inputs!$E$78*(F119/inputs!$F$78)^(inputs!$E$84-1)</f>
        <v>1.0521426601493024E-2</v>
      </c>
      <c r="W119" s="21">
        <f>inputs!$E$85*(F119/inputs!$F$85)^(inputs!$E$84-1)</f>
        <v>0.48586009828813626</v>
      </c>
      <c r="X119" s="21">
        <f>inputs!$E$80*(F119/inputs!$F$80)^(inputs!$E$84-1)</f>
        <v>1.8142877087974707</v>
      </c>
      <c r="Y119" s="21">
        <f>inputs!$E$82*(F119/inputs!$F$82)^(inputs!$E$84-1)</f>
        <v>0.83617653517128765</v>
      </c>
      <c r="Z119" s="63">
        <f t="shared" si="9"/>
        <v>2747.6813707502847</v>
      </c>
      <c r="AA119" s="63">
        <f t="shared" si="10"/>
        <v>59.501753629280856</v>
      </c>
    </row>
    <row r="120" spans="1:476" x14ac:dyDescent="0.25">
      <c r="A120" s="103" t="s">
        <v>221</v>
      </c>
      <c r="B120" s="20" t="s">
        <v>222</v>
      </c>
      <c r="C120" s="20" t="s">
        <v>73</v>
      </c>
      <c r="D120" s="104" t="s">
        <v>223</v>
      </c>
      <c r="E120" s="15">
        <v>101</v>
      </c>
      <c r="F120" s="15">
        <v>494</v>
      </c>
      <c r="G120" s="20" t="s">
        <v>154</v>
      </c>
      <c r="H120" s="20">
        <v>9.2999999999999999E-2</v>
      </c>
      <c r="I120" s="48">
        <f>MAX('Min rate concentrations'!$G$3:$G$368)</f>
        <v>7.5</v>
      </c>
      <c r="J120" s="48">
        <f>MAX('Min rate concentrations'!Z:Z)</f>
        <v>3.5</v>
      </c>
      <c r="K120" s="59">
        <f t="shared" si="14"/>
        <v>0.53122983951927361</v>
      </c>
      <c r="L120" s="59"/>
      <c r="M120" s="59">
        <f>IF((((1.18*F120^0.874)/3.7-(0.301*F120^0.751)/(1-H120)*H120)*(MAX('Min rate concentrations'!$P$3:$P$368)))/F120&gt;0, (((1.18*F120^0.874)/3.7-(0.301*F120^0.751)/(1-H120)*H120)*(MAX('Min rate concentrations'!$P$3:$P$368)))/F120, 0)</f>
        <v>2.0231477095086495E-2</v>
      </c>
      <c r="N120" s="59">
        <f>IF((((1.18*F120^0.874)/3.7-(0.301*F120^0.751)/(1-H120)*H120)*(MAX('Min rate concentrations'!$Q$3:$Q$368)))/F120&gt;0, (((1.18*F120^0.874)/3.7-(0.301*F120^0.751)/(1-H120)*H120)*(MAX('Min rate concentrations'!$Q$3:$Q$368)))/F120, 0)</f>
        <v>7.7042551849446334E-2</v>
      </c>
      <c r="O120" s="59">
        <f>((MAX('Min rate concentrations'!$F$3:$F$368))*0.62*6.01*8*(10*F120^0.667)*0.079*0.1/F120)*inputs!$E$80/(10^(0.84+0.62*LOG10(inputs!$E$80)))</f>
        <v>3.1016379469299036</v>
      </c>
      <c r="P120" s="59">
        <f>((MAX('Min rate concentrations'!Y:Y))*0.62*6.01*8*(10*F120^0.667)*0.079*0.1/F120)*inputs!$E$80/(10^(0.84+0.62*LOG10(inputs!$E$80)))</f>
        <v>1.033879315643301</v>
      </c>
      <c r="Q120" s="59">
        <f>(inputs!$C$7*11.2*(10*F120^0.667)*0.5/F120)*inputs!$E$80/(10^(0.84+0.62*LOG10(inputs!$E$80)))</f>
        <v>0.54633889523412837</v>
      </c>
      <c r="R120" s="59">
        <f>(60*284*((F120/1000)^0.77)*3*24*(MAX('Min rate concentrations'!$R$3:$R$368))/F120)*(inputs!$E$73*3.4/inputs!$E$75)</f>
        <v>5.512877049348189E-3</v>
      </c>
      <c r="S120" s="59">
        <f>(IF(inputs!$C$6="aerial",((0.025*0.112*inputs!$C$7/3.3)*(3*60*284*((F120/1000)^0.77))*MAX(inputs!$H$14:$H$16))/F120,((0.0083*0.112*inputs!$C$7/1)*(3*60*284*((F120/1000)^0.77))*MAX(inputs!$H$14:$H$16))/F120))*(inputs!E$75*3.4/inputs!$E$73)</f>
        <v>3.040385562900013E-2</v>
      </c>
      <c r="T120" s="63">
        <f>IF((((inputs!$P$12/(V120/MAX(K120:S120)))^(1/inputs!$O$12))-1)/inputs!$N$12&lt;0, 0, IF((((inputs!$P$12/(V120/MAX(K120:S120)))^(1/inputs!$O$12))-1)/inputs!$N$12&gt;inputs!$H$17, inputs!$H$17, (((inputs!$P$12/(V120/MAX(K120:S120)))^(1/inputs!$O$12))-1)/inputs!$N$12))</f>
        <v>184.38052270089645</v>
      </c>
      <c r="U120" s="63">
        <f>IF((((inputs!$P$12/(X120/MAX(K120:S120)))^(1/inputs!$O$12))-1)/inputs!$N$12&lt;0, 0, IF((((inputs!$P$12/(X120/MAX(K120:S120)))^(1/inputs!$O$12))-1)/inputs!$N$12&gt;inputs!$H$17, inputs!$H$17, (((inputs!$P$12/(X120/MAX(K120:S120)))^(1/inputs!$O$12))-1)/inputs!$N$12))</f>
        <v>0</v>
      </c>
      <c r="V120" s="21">
        <f>inputs!$E$78*(F120/inputs!$F$78)^(inputs!$E$84-1)</f>
        <v>1.0521426601493024E-2</v>
      </c>
      <c r="W120" s="21">
        <f>inputs!$E$85*(F120/inputs!$F$85)^(inputs!$E$84-1)</f>
        <v>0.48586009828813626</v>
      </c>
      <c r="X120" s="21">
        <f>inputs!$E$80*(F120/inputs!$F$80)^(inputs!$E$84-1)</f>
        <v>1.8142877087974707</v>
      </c>
      <c r="Y120" s="21">
        <f>inputs!$E$82*(F120/inputs!$F$82)^(inputs!$E$84-1)</f>
        <v>0.83617653517128765</v>
      </c>
      <c r="Z120" s="63">
        <f t="shared" si="9"/>
        <v>294.79252808642616</v>
      </c>
      <c r="AA120" s="63">
        <f t="shared" si="10"/>
        <v>6.3838087504162502</v>
      </c>
    </row>
    <row r="121" spans="1:476" x14ac:dyDescent="0.25">
      <c r="A121" s="103" t="s">
        <v>258</v>
      </c>
      <c r="B121" s="20" t="s">
        <v>259</v>
      </c>
      <c r="C121" s="20" t="s">
        <v>73</v>
      </c>
      <c r="D121" s="104" t="s">
        <v>260</v>
      </c>
      <c r="E121" s="15">
        <v>119</v>
      </c>
      <c r="F121" s="15">
        <v>50.5</v>
      </c>
      <c r="G121" s="20" t="s">
        <v>142</v>
      </c>
      <c r="H121" s="20">
        <v>0.69</v>
      </c>
      <c r="I121" s="48">
        <f>MAX('Min rate concentrations'!$H$3:$H$368)</f>
        <v>47</v>
      </c>
      <c r="J121" s="48">
        <f>MAX('Min rate concentrations'!AA:AA)</f>
        <v>32.5</v>
      </c>
      <c r="K121" s="59">
        <f t="shared" si="14"/>
        <v>17.186328416507152</v>
      </c>
      <c r="L121" s="59">
        <f t="shared" ref="L121:L126" si="15">((0.301*F121^0.751)/(1-H121))*J121/F121</f>
        <v>11.884163266733669</v>
      </c>
      <c r="M121" s="59">
        <f>IF((((1.18*F121^0.874)/3.7-(0.301*F121^0.751)/(1-H121)*H121)*(MAX('Min rate concentrations'!$P$3:$P$368)))/F121&gt;0, (((1.18*F121^0.874)/3.7-(0.301*F121^0.751)/(1-H121)*H121)*(MAX('Min rate concentrations'!$P$3:$P$368)))/F121, 0)</f>
        <v>0</v>
      </c>
      <c r="N121" s="59">
        <f>IF((((1.18*F121^0.874)/3.7-(0.301*F121^0.751)/(1-H121)*H121)*(MAX('Min rate concentrations'!$Q$3:$Q$368)))/F121&gt;0, (((1.18*F121^0.874)/3.7-(0.301*F121^0.751)/(1-H121)*H121)*(MAX('Min rate concentrations'!$Q$3:$Q$368)))/F121, 0)</f>
        <v>0</v>
      </c>
      <c r="O121" s="59">
        <f>((MAX('Min rate concentrations'!$F$3:$F$368))*0.62*6.01*8*(10*F121^0.667)*0.079*0.1/F121)*inputs!$E$80/(10^(0.84+0.62*LOG10(inputs!$E$80)))</f>
        <v>6.6283608951975728</v>
      </c>
      <c r="P121" s="59">
        <f>((MAX('Min rate concentrations'!Y:Y))*0.62*6.01*8*(10*F121^0.667)*0.079*0.1/F121)*inputs!$E$80/(10^(0.84+0.62*LOG10(inputs!$E$80)))</f>
        <v>2.2094536317325244</v>
      </c>
      <c r="Q121" s="59">
        <f>(inputs!$C$7*11.2*(10*F121^0.667)*0.5/F121)*inputs!$E$80/(10^(0.84+0.62*LOG10(inputs!$E$80)))</f>
        <v>1.1675545085073016</v>
      </c>
      <c r="R121" s="59">
        <f>(60*284*((F121/1000)^0.77)*3*24*(MAX('Min rate concentrations'!$R$3:$R$368))/F121)*(inputs!$E$73*3.4/inputs!$E$75)</f>
        <v>9.3149062446573668E-3</v>
      </c>
      <c r="S121" s="59">
        <f>(IF(inputs!$C$6="aerial",((0.025*0.112*inputs!$C$7/3.3)*(3*60*284*((F121/1000)^0.77))*MAX(inputs!$H$14:$H$16))/F121,((0.0083*0.112*inputs!$C$7/1)*(3*60*284*((F121/1000)^0.77))*MAX(inputs!$H$14:$H$16))/F121))*(inputs!E$75*3.4/inputs!$E$73)</f>
        <v>5.1372280231375606E-2</v>
      </c>
      <c r="T121" s="63">
        <f>IF((((inputs!$P$12/(V121/MAX(K121:S121)))^(1/inputs!$O$12))-1)/inputs!$N$12&lt;0, 0, IF((((inputs!$P$12/(V121/MAX(K121:S121)))^(1/inputs!$O$12))-1)/inputs!$N$12&gt;inputs!$H$17, inputs!$H$17, (((inputs!$P$12/(V121/MAX(K121:S121)))^(1/inputs!$O$12))-1)/inputs!$N$12))</f>
        <v>274.55565496983405</v>
      </c>
      <c r="U121" s="63">
        <f>IF((((inputs!$P$12/(X121/MAX(K121:S121)))^(1/inputs!$O$12))-1)/inputs!$N$12&lt;0, 0, IF((((inputs!$P$12/(X121/MAX(K121:S121)))^(1/inputs!$O$12))-1)/inputs!$N$12&gt;inputs!$H$17, inputs!$H$17, (((inputs!$P$12/(X121/MAX(K121:S121)))^(1/inputs!$O$12))-1)/inputs!$N$12))</f>
        <v>8.816992250537087</v>
      </c>
      <c r="V121" s="21">
        <f>inputs!$E$78*(F121/inputs!$F$78)^(inputs!$E$84-1)</f>
        <v>2.4464468841670566E-2</v>
      </c>
      <c r="W121" s="21">
        <f>inputs!$E$85*(F121/inputs!$F$85)^(inputs!$E$84-1)</f>
        <v>1.1297241036015404</v>
      </c>
      <c r="X121" s="21">
        <f>inputs!$E$80*(F121/inputs!$F$80)^(inputs!$E$84-1)</f>
        <v>4.2185900071196754</v>
      </c>
      <c r="Y121" s="21">
        <f>inputs!$E$82*(F121/inputs!$F$82)^(inputs!$E$84-1)</f>
        <v>1.9442814711011871</v>
      </c>
      <c r="Z121" s="63">
        <f t="shared" si="9"/>
        <v>702.50159640635695</v>
      </c>
      <c r="AA121" s="63">
        <f t="shared" si="10"/>
        <v>15.212854502898045</v>
      </c>
    </row>
    <row r="122" spans="1:476" x14ac:dyDescent="0.25">
      <c r="A122" s="103" t="s">
        <v>258</v>
      </c>
      <c r="B122" s="20" t="s">
        <v>259</v>
      </c>
      <c r="C122" s="20" t="s">
        <v>73</v>
      </c>
      <c r="D122" s="104" t="s">
        <v>260</v>
      </c>
      <c r="E122" s="15">
        <v>119</v>
      </c>
      <c r="F122" s="15">
        <v>50.5</v>
      </c>
      <c r="G122" s="20" t="s">
        <v>164</v>
      </c>
      <c r="H122" s="20">
        <v>0.78</v>
      </c>
      <c r="I122" s="48">
        <f>inputs!$C$65*(inputs!$C$62/1000)</f>
        <v>0.82000000000000006</v>
      </c>
      <c r="J122" s="48">
        <f>inputs!$C$65*(inputs!$C$61/1000)</f>
        <v>0.25</v>
      </c>
      <c r="K122" s="59">
        <f t="shared" si="14"/>
        <v>0.4225110912452727</v>
      </c>
      <c r="L122" s="59">
        <f t="shared" si="15"/>
        <v>0.12881435708697339</v>
      </c>
      <c r="M122" s="59">
        <f>IF((((1.18*F122^0.874)/3.7-(0.301*F122^0.751)/(1-H122)*H122)*(MAX('Min rate concentrations'!$P$3:$P$368)))/F122&gt;0, (((1.18*F122^0.874)/3.7-(0.301*F122^0.751)/(1-H122)*H122)*(MAX('Min rate concentrations'!$P$3:$P$368)))/F122, 0)</f>
        <v>0</v>
      </c>
      <c r="N122" s="59">
        <f>IF((((1.18*F122^0.874)/3.7-(0.301*F122^0.751)/(1-H122)*H122)*(MAX('Min rate concentrations'!$Q$3:$Q$368)))/F122&gt;0, (((1.18*F122^0.874)/3.7-(0.301*F122^0.751)/(1-H122)*H122)*(MAX('Min rate concentrations'!$Q$3:$Q$368)))/F122, 0)</f>
        <v>0</v>
      </c>
      <c r="O122" s="59">
        <f>((MAX('Min rate concentrations'!$F$3:$F$368))*0.62*6.01*8*(10*F122^0.667)*0.079*0.1/F122)*inputs!$E$80/(10^(0.84+0.62*LOG10(inputs!$E$80)))</f>
        <v>6.6283608951975728</v>
      </c>
      <c r="P122" s="59">
        <f>((MAX('Min rate concentrations'!Y:Y))*0.62*6.01*8*(10*F122^0.667)*0.079*0.1/F122)*inputs!$E$80/(10^(0.84+0.62*LOG10(inputs!$E$80)))</f>
        <v>2.2094536317325244</v>
      </c>
      <c r="Q122" s="59">
        <f>(inputs!$C$7*11.2*(10*F122^0.667)*0.5/F122)*inputs!$E$80/(10^(0.84+0.62*LOG10(inputs!$E$80)))</f>
        <v>1.1675545085073016</v>
      </c>
      <c r="R122" s="59">
        <f>(60*284*((F122/1000)^0.77)*3*24*(MAX('Min rate concentrations'!$R$3:$R$368))/F122)*(inputs!$E$73*3.4/inputs!$E$75)</f>
        <v>9.3149062446573668E-3</v>
      </c>
      <c r="S122" s="59">
        <f>(IF(inputs!$C$6="aerial",((0.025*0.112*inputs!$C$7/3.3)*(3*60*284*((F122/1000)^0.77))*MAX(inputs!$H$14:$H$16))/F122,((0.0083*0.112*inputs!$C$7/1)*(3*60*284*((F122/1000)^0.77))*MAX(inputs!$H$14:$H$16))/F122))*(inputs!E$75*3.4/inputs!$E$73)</f>
        <v>5.1372280231375606E-2</v>
      </c>
      <c r="T122" s="63">
        <f>IF((((inputs!$P$12/(V122/MAX(K122:S122)))^(1/inputs!$O$12))-1)/inputs!$N$12&lt;0, 0, IF((((inputs!$P$12/(V122/MAX(K122:S122)))^(1/inputs!$O$12))-1)/inputs!$N$12&gt;inputs!$H$17, inputs!$H$17, (((inputs!$P$12/(V122/MAX(K122:S122)))^(1/inputs!$O$12))-1)/inputs!$N$12))</f>
        <v>177.19861159504575</v>
      </c>
      <c r="U122" s="63">
        <f>IF((((inputs!$P$12/(X122/MAX(K122:S122)))^(1/inputs!$O$12))-1)/inputs!$N$12&lt;0, 0, IF((((inputs!$P$12/(X122/MAX(K122:S122)))^(1/inputs!$O$12))-1)/inputs!$N$12&gt;inputs!$H$17, inputs!$H$17, (((inputs!$P$12/(X122/MAX(K122:S122)))^(1/inputs!$O$12))-1)/inputs!$N$12))</f>
        <v>0</v>
      </c>
      <c r="V122" s="21">
        <f>inputs!$E$78*(F122/inputs!$F$78)^(inputs!$E$84-1)</f>
        <v>2.4464468841670566E-2</v>
      </c>
      <c r="W122" s="21">
        <f>inputs!$E$85*(F122/inputs!$F$85)^(inputs!$E$84-1)</f>
        <v>1.1297241036015404</v>
      </c>
      <c r="X122" s="21">
        <f>inputs!$E$80*(F122/inputs!$F$80)^(inputs!$E$84-1)</f>
        <v>4.2185900071196754</v>
      </c>
      <c r="Y122" s="21">
        <f>inputs!$E$82*(F122/inputs!$F$82)^(inputs!$E$84-1)</f>
        <v>1.9442814711011871</v>
      </c>
      <c r="Z122" s="63">
        <f t="shared" si="9"/>
        <v>270.93827125759714</v>
      </c>
      <c r="AA122" s="63">
        <f t="shared" si="10"/>
        <v>5.867238624073325</v>
      </c>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c r="BK122" s="107"/>
      <c r="BL122" s="107"/>
      <c r="BM122" s="107"/>
      <c r="BN122" s="107"/>
      <c r="BO122" s="107"/>
      <c r="BP122" s="107"/>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c r="CZ122" s="107"/>
      <c r="DA122" s="107"/>
      <c r="DB122" s="107"/>
      <c r="DC122" s="107"/>
      <c r="DD122" s="107"/>
      <c r="DE122" s="107"/>
      <c r="DF122" s="107"/>
      <c r="DG122" s="107"/>
      <c r="DH122" s="107"/>
      <c r="DI122" s="107"/>
      <c r="DJ122" s="107"/>
      <c r="DK122" s="107"/>
      <c r="DL122" s="107"/>
      <c r="DM122" s="107"/>
      <c r="DN122" s="107"/>
      <c r="DO122" s="107"/>
      <c r="DP122" s="107"/>
      <c r="DQ122" s="107"/>
      <c r="DR122" s="107"/>
      <c r="DS122" s="107"/>
      <c r="DT122" s="107"/>
      <c r="DU122" s="107"/>
      <c r="DV122" s="107"/>
      <c r="DW122" s="107"/>
      <c r="DX122" s="107"/>
      <c r="DY122" s="107"/>
      <c r="DZ122" s="107"/>
      <c r="EA122" s="107"/>
      <c r="EB122" s="107"/>
      <c r="EC122" s="107"/>
      <c r="ED122" s="107"/>
      <c r="EE122" s="107"/>
      <c r="EF122" s="107"/>
      <c r="EG122" s="107"/>
      <c r="EH122" s="107"/>
      <c r="EI122" s="107"/>
      <c r="EJ122" s="107"/>
      <c r="EK122" s="107"/>
      <c r="EL122" s="107"/>
      <c r="EM122" s="107"/>
      <c r="EN122" s="107"/>
      <c r="EO122" s="107"/>
      <c r="EP122" s="107"/>
      <c r="EQ122" s="107"/>
      <c r="ER122" s="107"/>
      <c r="ES122" s="107"/>
      <c r="ET122" s="107"/>
      <c r="EU122" s="107"/>
      <c r="EV122" s="107"/>
      <c r="EW122" s="107"/>
      <c r="EX122" s="107"/>
      <c r="EY122" s="107"/>
      <c r="EZ122" s="107"/>
      <c r="FA122" s="107"/>
      <c r="FB122" s="107"/>
      <c r="FC122" s="107"/>
      <c r="FD122" s="107"/>
      <c r="FE122" s="107"/>
      <c r="FF122" s="107"/>
      <c r="FG122" s="107"/>
      <c r="FH122" s="107"/>
      <c r="FI122" s="107"/>
      <c r="FJ122" s="107"/>
      <c r="FK122" s="107"/>
      <c r="FL122" s="107"/>
      <c r="FM122" s="107"/>
      <c r="FN122" s="107"/>
      <c r="FO122" s="107"/>
      <c r="FP122" s="107"/>
      <c r="FQ122" s="107"/>
      <c r="FR122" s="107"/>
      <c r="FS122" s="107"/>
      <c r="FT122" s="107"/>
      <c r="FU122" s="107"/>
      <c r="FV122" s="107"/>
      <c r="FW122" s="107"/>
      <c r="FX122" s="107"/>
      <c r="FY122" s="107"/>
      <c r="FZ122" s="107"/>
      <c r="GA122" s="107"/>
      <c r="GB122" s="107"/>
      <c r="GC122" s="107"/>
      <c r="GD122" s="107"/>
      <c r="GE122" s="107"/>
      <c r="GF122" s="107"/>
      <c r="GG122" s="107"/>
      <c r="GH122" s="107"/>
      <c r="GI122" s="107"/>
      <c r="GJ122" s="107"/>
      <c r="GK122" s="107"/>
      <c r="GL122" s="107"/>
      <c r="GM122" s="107"/>
      <c r="GN122" s="107"/>
      <c r="GO122" s="107"/>
      <c r="GP122" s="107"/>
      <c r="GQ122" s="107"/>
      <c r="GR122" s="107"/>
      <c r="GS122" s="107"/>
      <c r="GT122" s="107"/>
      <c r="GU122" s="107"/>
      <c r="GV122" s="107"/>
      <c r="GW122" s="107"/>
      <c r="GX122" s="107"/>
      <c r="GY122" s="107"/>
      <c r="GZ122" s="107"/>
      <c r="HA122" s="107"/>
      <c r="HB122" s="107"/>
      <c r="HC122" s="107"/>
      <c r="HD122" s="107"/>
      <c r="HE122" s="107"/>
      <c r="HF122" s="107"/>
      <c r="HG122" s="107"/>
      <c r="HH122" s="107"/>
      <c r="HI122" s="107"/>
      <c r="HJ122" s="107"/>
      <c r="HK122" s="107"/>
      <c r="HL122" s="107"/>
      <c r="HM122" s="107"/>
      <c r="HN122" s="107"/>
      <c r="HO122" s="107"/>
      <c r="HP122" s="107"/>
      <c r="HQ122" s="107"/>
      <c r="HR122" s="107"/>
      <c r="HS122" s="107"/>
      <c r="HT122" s="107"/>
      <c r="HU122" s="107"/>
      <c r="HV122" s="107"/>
      <c r="HW122" s="107"/>
      <c r="HX122" s="107"/>
      <c r="HY122" s="107"/>
      <c r="HZ122" s="107"/>
      <c r="IA122" s="107"/>
      <c r="IB122" s="107"/>
      <c r="IC122" s="107"/>
      <c r="ID122" s="107"/>
      <c r="IE122" s="107"/>
      <c r="IF122" s="107"/>
      <c r="IG122" s="107"/>
      <c r="IH122" s="107"/>
      <c r="II122" s="107"/>
      <c r="IJ122" s="107"/>
      <c r="IK122" s="107"/>
      <c r="IL122" s="107"/>
      <c r="IM122" s="107"/>
      <c r="IN122" s="107"/>
      <c r="IO122" s="107"/>
      <c r="IP122" s="107"/>
      <c r="IQ122" s="107"/>
      <c r="IR122" s="107"/>
      <c r="IS122" s="107"/>
      <c r="IT122" s="107"/>
      <c r="IU122" s="107"/>
      <c r="IV122" s="107"/>
      <c r="IW122" s="107"/>
      <c r="IX122" s="107"/>
      <c r="IY122" s="107"/>
      <c r="IZ122" s="107"/>
      <c r="JA122" s="107"/>
      <c r="JB122" s="107"/>
      <c r="JC122" s="107"/>
      <c r="JD122" s="107"/>
      <c r="JE122" s="107"/>
      <c r="JF122" s="107"/>
      <c r="JG122" s="107"/>
      <c r="JH122" s="107"/>
      <c r="JI122" s="107"/>
      <c r="JJ122" s="107"/>
      <c r="JK122" s="107"/>
      <c r="JL122" s="107"/>
      <c r="JM122" s="107"/>
      <c r="JN122" s="107"/>
      <c r="JO122" s="107"/>
      <c r="JP122" s="107"/>
      <c r="JQ122" s="107"/>
      <c r="JR122" s="107"/>
      <c r="JS122" s="107"/>
      <c r="JT122" s="107"/>
      <c r="JU122" s="107"/>
      <c r="JV122" s="107"/>
      <c r="JW122" s="107"/>
      <c r="JX122" s="107"/>
      <c r="JY122" s="107"/>
      <c r="JZ122" s="107"/>
      <c r="KA122" s="107"/>
      <c r="KB122" s="107"/>
      <c r="KC122" s="107"/>
      <c r="KD122" s="107"/>
      <c r="KE122" s="107"/>
      <c r="KF122" s="107"/>
      <c r="KG122" s="107"/>
      <c r="KH122" s="107"/>
      <c r="KI122" s="107"/>
      <c r="KJ122" s="107"/>
      <c r="KK122" s="107"/>
      <c r="KL122" s="107"/>
      <c r="KM122" s="107"/>
      <c r="KN122" s="107"/>
      <c r="KO122" s="107"/>
      <c r="KP122" s="107"/>
      <c r="KQ122" s="107"/>
      <c r="KR122" s="107"/>
      <c r="KS122" s="107"/>
      <c r="KT122" s="107"/>
      <c r="KU122" s="107"/>
      <c r="KV122" s="107"/>
      <c r="KW122" s="107"/>
      <c r="KX122" s="107"/>
      <c r="KY122" s="107"/>
      <c r="KZ122" s="107"/>
      <c r="LA122" s="107"/>
      <c r="LB122" s="107"/>
      <c r="LC122" s="107"/>
      <c r="LD122" s="107"/>
      <c r="LE122" s="107"/>
      <c r="LF122" s="107"/>
      <c r="LG122" s="107"/>
      <c r="LH122" s="107"/>
      <c r="LI122" s="107"/>
      <c r="LJ122" s="107"/>
      <c r="LK122" s="107"/>
      <c r="LL122" s="107"/>
      <c r="LM122" s="107"/>
      <c r="LN122" s="107"/>
      <c r="LO122" s="107"/>
      <c r="LP122" s="107"/>
      <c r="LQ122" s="107"/>
      <c r="LR122" s="107"/>
      <c r="LS122" s="107"/>
      <c r="LT122" s="107"/>
      <c r="LU122" s="107"/>
      <c r="LV122" s="107"/>
      <c r="LW122" s="107"/>
      <c r="LX122" s="107"/>
      <c r="LY122" s="107"/>
      <c r="LZ122" s="107"/>
      <c r="MA122" s="107"/>
      <c r="MB122" s="107"/>
      <c r="MC122" s="107"/>
      <c r="MD122" s="107"/>
      <c r="ME122" s="107"/>
      <c r="MF122" s="107"/>
      <c r="MG122" s="107"/>
      <c r="MH122" s="107"/>
      <c r="MI122" s="107"/>
      <c r="MJ122" s="107"/>
      <c r="MK122" s="107"/>
      <c r="ML122" s="107"/>
      <c r="MM122" s="107"/>
      <c r="MN122" s="107"/>
      <c r="MO122" s="107"/>
      <c r="MP122" s="107"/>
      <c r="MQ122" s="107"/>
      <c r="MR122" s="107"/>
      <c r="MS122" s="107"/>
      <c r="MT122" s="107"/>
      <c r="MU122" s="107"/>
      <c r="MV122" s="107"/>
      <c r="MW122" s="107"/>
      <c r="MX122" s="107"/>
      <c r="MY122" s="107"/>
      <c r="MZ122" s="107"/>
      <c r="NA122" s="107"/>
      <c r="NB122" s="107"/>
      <c r="NC122" s="107"/>
      <c r="ND122" s="107"/>
      <c r="NE122" s="107"/>
      <c r="NF122" s="107"/>
      <c r="NG122" s="107"/>
      <c r="NH122" s="107"/>
      <c r="NI122" s="107"/>
      <c r="NJ122" s="107"/>
      <c r="NK122" s="107"/>
      <c r="NL122" s="107"/>
      <c r="NM122" s="107"/>
      <c r="NN122" s="107"/>
      <c r="NO122" s="107"/>
      <c r="NP122" s="107"/>
      <c r="NQ122" s="107"/>
      <c r="NR122" s="107"/>
      <c r="NS122" s="107"/>
      <c r="NT122" s="107"/>
      <c r="NU122" s="107"/>
      <c r="NV122" s="107"/>
      <c r="NW122" s="107"/>
      <c r="NX122" s="107"/>
      <c r="NY122" s="107"/>
      <c r="NZ122" s="107"/>
      <c r="OA122" s="107"/>
      <c r="OB122" s="107"/>
      <c r="OC122" s="107"/>
      <c r="OD122" s="107"/>
      <c r="OE122" s="107"/>
      <c r="OF122" s="107"/>
      <c r="OG122" s="107"/>
      <c r="OH122" s="107"/>
      <c r="OI122" s="107"/>
      <c r="OJ122" s="107"/>
      <c r="OK122" s="107"/>
      <c r="OL122" s="107"/>
      <c r="OM122" s="107"/>
      <c r="ON122" s="107"/>
      <c r="OO122" s="107"/>
      <c r="OP122" s="107"/>
      <c r="OQ122" s="107"/>
      <c r="OR122" s="107"/>
      <c r="OS122" s="107"/>
      <c r="OT122" s="107"/>
      <c r="OU122" s="107"/>
      <c r="OV122" s="107"/>
      <c r="OW122" s="107"/>
      <c r="OX122" s="107"/>
      <c r="OY122" s="107"/>
      <c r="OZ122" s="107"/>
      <c r="PA122" s="107"/>
      <c r="PB122" s="107"/>
      <c r="PC122" s="107"/>
      <c r="PD122" s="107"/>
      <c r="PE122" s="107"/>
      <c r="PF122" s="107"/>
      <c r="PG122" s="107"/>
      <c r="PH122" s="107"/>
      <c r="PI122" s="107"/>
      <c r="PJ122" s="107"/>
      <c r="PK122" s="107"/>
      <c r="PL122" s="107"/>
      <c r="PM122" s="107"/>
      <c r="PN122" s="107"/>
      <c r="PO122" s="107"/>
      <c r="PP122" s="107"/>
      <c r="PQ122" s="107"/>
      <c r="PR122" s="107"/>
      <c r="PS122" s="107"/>
      <c r="PT122" s="107"/>
      <c r="PU122" s="107"/>
      <c r="PV122" s="107"/>
      <c r="PW122" s="107"/>
      <c r="PX122" s="107"/>
      <c r="PY122" s="107"/>
      <c r="PZ122" s="107"/>
      <c r="QA122" s="107"/>
      <c r="QB122" s="107"/>
      <c r="QC122" s="107"/>
      <c r="QD122" s="107"/>
      <c r="QE122" s="107"/>
      <c r="QF122" s="107"/>
      <c r="QG122" s="107"/>
      <c r="QH122" s="107"/>
      <c r="QI122" s="107"/>
      <c r="QJ122" s="107"/>
      <c r="QK122" s="107"/>
      <c r="QL122" s="107"/>
      <c r="QM122" s="107"/>
      <c r="QN122" s="107"/>
      <c r="QO122" s="107"/>
      <c r="QP122" s="107"/>
      <c r="QQ122" s="107"/>
      <c r="QR122" s="107"/>
      <c r="QS122" s="107"/>
      <c r="QT122" s="107"/>
      <c r="QU122" s="107"/>
      <c r="QV122" s="107"/>
      <c r="QW122" s="107"/>
      <c r="QX122" s="107"/>
      <c r="QY122" s="107"/>
      <c r="QZ122" s="107"/>
      <c r="RA122" s="107"/>
      <c r="RB122" s="107"/>
      <c r="RC122" s="107"/>
      <c r="RD122" s="107"/>
      <c r="RE122" s="107"/>
      <c r="RF122" s="107"/>
      <c r="RG122" s="107"/>
      <c r="RH122" s="107"/>
    </row>
    <row r="123" spans="1:476" x14ac:dyDescent="0.25">
      <c r="A123" s="103" t="s">
        <v>258</v>
      </c>
      <c r="B123" s="20" t="s">
        <v>259</v>
      </c>
      <c r="C123" s="20" t="s">
        <v>73</v>
      </c>
      <c r="D123" s="104" t="s">
        <v>260</v>
      </c>
      <c r="E123" s="15">
        <v>119</v>
      </c>
      <c r="F123" s="15">
        <v>50.5</v>
      </c>
      <c r="G123" s="20" t="s">
        <v>138</v>
      </c>
      <c r="H123" s="20">
        <v>0.68</v>
      </c>
      <c r="I123" s="48">
        <f>MAX('Min rate concentrations'!$L$3:$L$368)</f>
        <v>58.421240152220811</v>
      </c>
      <c r="J123" s="48">
        <f>MAX('Min rate concentrations'!AD:AD)</f>
        <v>40.397666062705881</v>
      </c>
      <c r="K123" s="59">
        <f t="shared" si="14"/>
        <v>20.695109848687999</v>
      </c>
      <c r="L123" s="59">
        <f t="shared" si="15"/>
        <v>14.31044829962468</v>
      </c>
      <c r="M123" s="59">
        <f>IF((((1.18*F123^0.874)/3.7-(0.301*F123^0.751)/(1-H123)*H123)*(MAX('Min rate concentrations'!$P$3:$P$368)))/F123&gt;0, (((1.18*F123^0.874)/3.7-(0.301*F123^0.751)/(1-H123)*H123)*(MAX('Min rate concentrations'!$P$3:$P$368)))/F123, 0)</f>
        <v>0</v>
      </c>
      <c r="N123" s="59">
        <f>IF((((1.18*F123^0.874)/3.7-(0.301*F123^0.751)/(1-H123)*H123)*(MAX('Min rate concentrations'!$Q$3:$Q$368)))/F123&gt;0, (((1.18*F123^0.874)/3.7-(0.301*F123^0.751)/(1-H123)*H123)*(MAX('Min rate concentrations'!$Q$3:$Q$368)))/F123, 0)</f>
        <v>0</v>
      </c>
      <c r="O123" s="59">
        <f>((MAX('Min rate concentrations'!$F$3:$F$368))*0.62*6.01*8*(10*F123^0.667)*0.079*0.1/F123)*inputs!$E$80/(10^(0.84+0.62*LOG10(inputs!$E$80)))</f>
        <v>6.6283608951975728</v>
      </c>
      <c r="P123" s="59">
        <f>((MAX('Min rate concentrations'!Y:Y))*0.62*6.01*8*(10*F123^0.667)*0.079*0.1/F123)*inputs!$E$80/(10^(0.84+0.62*LOG10(inputs!$E$80)))</f>
        <v>2.2094536317325244</v>
      </c>
      <c r="Q123" s="59">
        <f>(inputs!$C$7*11.2*(10*F123^0.667)*0.5/F123)*inputs!$E$80/(10^(0.84+0.62*LOG10(inputs!$E$80)))</f>
        <v>1.1675545085073016</v>
      </c>
      <c r="R123" s="59">
        <f>(60*284*((F123/1000)^0.77)*3*24*(MAX('Min rate concentrations'!$R$3:$R$368))/F123)*(inputs!$E$73*3.4/inputs!$E$75)</f>
        <v>9.3149062446573668E-3</v>
      </c>
      <c r="S123" s="59">
        <f>(IF(inputs!$C$6="aerial",((0.025*0.112*inputs!$C$7/3.3)*(3*60*284*((F123/1000)^0.77))*MAX(inputs!$H$14:$H$16))/F123,((0.0083*0.112*inputs!$C$7/1)*(3*60*284*((F123/1000)^0.77))*MAX(inputs!$H$14:$H$16))/F123))*(inputs!E$75*3.4/inputs!$E$73)</f>
        <v>5.1372280231375606E-2</v>
      </c>
      <c r="T123" s="63">
        <f>IF((((inputs!$P$12/(V123/MAX(K123:S123)))^(1/inputs!$O$12))-1)/inputs!$N$12&lt;0, 0, IF((((inputs!$P$12/(V123/MAX(K123:S123)))^(1/inputs!$O$12))-1)/inputs!$N$12&gt;inputs!$H$17, inputs!$H$17, (((inputs!$P$12/(V123/MAX(K123:S123)))^(1/inputs!$O$12))-1)/inputs!$N$12))</f>
        <v>298.34260152663438</v>
      </c>
      <c r="U123" s="63">
        <f>IF((((inputs!$P$12/(X123/MAX(K123:S123)))^(1/inputs!$O$12))-1)/inputs!$N$12&lt;0, 0, IF((((inputs!$P$12/(X123/MAX(K123:S123)))^(1/inputs!$O$12))-1)/inputs!$N$12&gt;inputs!$H$17, inputs!$H$17, (((inputs!$P$12/(X123/MAX(K123:S123)))^(1/inputs!$O$12))-1)/inputs!$N$12))</f>
        <v>11.745329979745527</v>
      </c>
      <c r="V123" s="21">
        <f>inputs!$E$78*(F123/inputs!$F$78)^(inputs!$E$84-1)</f>
        <v>2.4464468841670566E-2</v>
      </c>
      <c r="W123" s="21">
        <f>inputs!$E$85*(F123/inputs!$F$85)^(inputs!$E$84-1)</f>
        <v>1.1297241036015404</v>
      </c>
      <c r="X123" s="21">
        <f>inputs!$E$80*(F123/inputs!$F$80)^(inputs!$E$84-1)</f>
        <v>4.2185900071196754</v>
      </c>
      <c r="Y123" s="21">
        <f>inputs!$E$82*(F123/inputs!$F$82)^(inputs!$E$84-1)</f>
        <v>1.9442814711011871</v>
      </c>
      <c r="Z123" s="63">
        <f t="shared" si="9"/>
        <v>845.92516529268835</v>
      </c>
      <c r="AA123" s="63">
        <f t="shared" si="10"/>
        <v>18.318729132814248</v>
      </c>
    </row>
    <row r="124" spans="1:476" x14ac:dyDescent="0.25">
      <c r="A124" s="103" t="s">
        <v>258</v>
      </c>
      <c r="B124" s="20" t="s">
        <v>259</v>
      </c>
      <c r="C124" s="20" t="s">
        <v>73</v>
      </c>
      <c r="D124" s="104" t="s">
        <v>260</v>
      </c>
      <c r="E124" s="15">
        <v>119</v>
      </c>
      <c r="F124" s="15">
        <v>50.5</v>
      </c>
      <c r="G124" s="49" t="s">
        <v>186</v>
      </c>
      <c r="H124" s="49">
        <v>0.75</v>
      </c>
      <c r="I124" s="48">
        <f>inputs!$C$65*inputs!$C$64/1000</f>
        <v>2.13</v>
      </c>
      <c r="J124" s="48">
        <f>inputs!$C$65*inputs!$C$63/1000</f>
        <v>0.88</v>
      </c>
      <c r="K124" s="59">
        <f t="shared" si="14"/>
        <v>0.9657985236952914</v>
      </c>
      <c r="L124" s="59">
        <f t="shared" si="15"/>
        <v>0.39901535251260872</v>
      </c>
      <c r="M124" s="59">
        <f>IF((((1.18*F124^0.874)/3.7-(0.301*F124^0.751)/(1-H124)*H124)*(MAX('Min rate concentrations'!$P$3:$P$368)))/F124&gt;0, (((1.18*F124^0.874)/3.7-(0.301*F124^0.751)/(1-H124)*H124)*(MAX('Min rate concentrations'!$P$3:$P$368)))/F124, 0)</f>
        <v>0</v>
      </c>
      <c r="N124" s="59">
        <f>IF((((1.18*F124^0.874)/3.7-(0.301*F124^0.751)/(1-H124)*H124)*(MAX('Min rate concentrations'!$Q$3:$Q$368)))/F124&gt;0, (((1.18*F124^0.874)/3.7-(0.301*F124^0.751)/(1-H124)*H124)*(MAX('Min rate concentrations'!$Q$3:$Q$368)))/F124, 0)</f>
        <v>0</v>
      </c>
      <c r="O124" s="59">
        <f>((MAX('Min rate concentrations'!$F$3:$F$368))*0.62*6.01*8*(10*F124^0.667)*0.079*0.1/F124)*inputs!$E$80/(10^(0.84+0.62*LOG10(inputs!$E$80)))</f>
        <v>6.6283608951975728</v>
      </c>
      <c r="P124" s="59">
        <f>((MAX('Min rate concentrations'!Y:Y))*0.62*6.01*8*(10*F124^0.667)*0.079*0.1/F124)*inputs!$E$80/(10^(0.84+0.62*LOG10(inputs!$E$80)))</f>
        <v>2.2094536317325244</v>
      </c>
      <c r="Q124" s="59">
        <f>(inputs!$C$7*11.2*(10*F124^0.667)*0.5/F124)*inputs!$E$80/(10^(0.84+0.62*LOG10(inputs!$E$80)))</f>
        <v>1.1675545085073016</v>
      </c>
      <c r="R124" s="59">
        <f>(60*284*((F124/1000)^0.77)*3*24*(MAX('Min rate concentrations'!$R$3:$R$368))/F124)*(inputs!$E$73*3.4/inputs!$E$75)</f>
        <v>9.3149062446573668E-3</v>
      </c>
      <c r="S124" s="59">
        <f>(IF(inputs!$C$6="aerial",((0.025*0.112*inputs!$C$7/3.3)*(3*60*284*((F124/1000)^0.77))*MAX(inputs!$H$14:$H$16))/F124,((0.0083*0.112*inputs!$C$7/1)*(3*60*284*((F124/1000)^0.77))*MAX(inputs!$H$14:$H$16))/F124))*(inputs!E$75*3.4/inputs!$E$73)</f>
        <v>5.1372280231375606E-2</v>
      </c>
      <c r="T124" s="63">
        <f>IF((((inputs!$P$12/(V124/MAX(K124:S124)))^(1/inputs!$O$12))-1)/inputs!$N$12&lt;0, 0, IF((((inputs!$P$12/(V124/MAX(K124:S124)))^(1/inputs!$O$12))-1)/inputs!$N$12&gt;inputs!$H$17, inputs!$H$17, (((inputs!$P$12/(V124/MAX(K124:S124)))^(1/inputs!$O$12))-1)/inputs!$N$12))</f>
        <v>177.19861159504575</v>
      </c>
      <c r="U124" s="63">
        <f>IF((((inputs!$P$12/(X124/MAX(K124:S124)))^(1/inputs!$O$12))-1)/inputs!$N$12&lt;0, 0, IF((((inputs!$P$12/(X124/MAX(K124:S124)))^(1/inputs!$O$12))-1)/inputs!$N$12&gt;inputs!$H$17, inputs!$H$17, (((inputs!$P$12/(X124/MAX(K124:S124)))^(1/inputs!$O$12))-1)/inputs!$N$12))</f>
        <v>0</v>
      </c>
      <c r="V124" s="21">
        <f>inputs!$E$78*(F124/inputs!$F$78)^(inputs!$E$84-1)</f>
        <v>2.4464468841670566E-2</v>
      </c>
      <c r="W124" s="21">
        <f>inputs!$E$85*(F124/inputs!$F$85)^(inputs!$E$84-1)</f>
        <v>1.1297241036015404</v>
      </c>
      <c r="X124" s="21">
        <f>inputs!$E$80*(F124/inputs!$F$80)^(inputs!$E$84-1)</f>
        <v>4.2185900071196754</v>
      </c>
      <c r="Y124" s="21">
        <f>inputs!$E$82*(F124/inputs!$F$82)^(inputs!$E$84-1)</f>
        <v>1.9442814711011871</v>
      </c>
      <c r="Z124" s="63">
        <f t="shared" si="9"/>
        <v>270.93827125759714</v>
      </c>
      <c r="AA124" s="63">
        <f t="shared" si="10"/>
        <v>5.867238624073325</v>
      </c>
    </row>
    <row r="125" spans="1:476" x14ac:dyDescent="0.25">
      <c r="A125" s="103" t="s">
        <v>258</v>
      </c>
      <c r="B125" s="20" t="s">
        <v>259</v>
      </c>
      <c r="C125" s="20" t="s">
        <v>73</v>
      </c>
      <c r="D125" s="104" t="s">
        <v>260</v>
      </c>
      <c r="E125" s="15">
        <v>119</v>
      </c>
      <c r="F125" s="15">
        <v>50.5</v>
      </c>
      <c r="G125" s="21" t="s">
        <v>456</v>
      </c>
      <c r="H125" s="20">
        <v>0.68</v>
      </c>
      <c r="I125" s="48">
        <f>MAX('Min rate concentrations'!$J$3:$J$368)</f>
        <v>114.4108103430513</v>
      </c>
      <c r="J125" s="48">
        <f>MAX('Min rate concentrations'!AB:AB)</f>
        <v>40.520495329830666</v>
      </c>
      <c r="K125" s="59">
        <f t="shared" si="14"/>
        <v>40.528826189884441</v>
      </c>
      <c r="L125" s="59">
        <f t="shared" si="15"/>
        <v>14.353959275584074</v>
      </c>
      <c r="M125" s="59">
        <f>IF((((1.18*F125^0.874)/3.7-(0.301*F125^0.751)/(1-H125)*H125)*(MAX('Min rate concentrations'!$P$3:$P$368)))/F125&gt;0, (((1.18*F125^0.874)/3.7-(0.301*F125^0.751)/(1-H125)*H125)*(MAX('Min rate concentrations'!$P$3:$P$368)))/F125, 0)</f>
        <v>0</v>
      </c>
      <c r="N125" s="59">
        <f>IF((((1.18*F125^0.874)/3.7-(0.301*F125^0.751)/(1-H125)*H125)*(MAX('Min rate concentrations'!$Q$3:$Q$368)))/F125&gt;0, (((1.18*F125^0.874)/3.7-(0.301*F125^0.751)/(1-H125)*H125)*(MAX('Min rate concentrations'!$Q$3:$Q$368)))/F125, 0)</f>
        <v>0</v>
      </c>
      <c r="O125" s="59">
        <f>((MAX('Min rate concentrations'!$F$3:$F$368))*0.62*6.01*8*(10*F125^0.667)*0.079*0.1/F125)*inputs!$E$80/(10^(0.84+0.62*LOG10(inputs!$E$80)))</f>
        <v>6.6283608951975728</v>
      </c>
      <c r="P125" s="59">
        <f>((MAX('Min rate concentrations'!Y:Y))*0.62*6.01*8*(10*F125^0.667)*0.079*0.1/F125)*inputs!$E$80/(10^(0.84+0.62*LOG10(inputs!$E$80)))</f>
        <v>2.2094536317325244</v>
      </c>
      <c r="Q125" s="59">
        <f>(inputs!$C$7*11.2*(10*F125^0.667)*0.5/F125)*inputs!$E$80/(10^(0.84+0.62*LOG10(inputs!$E$80)))</f>
        <v>1.1675545085073016</v>
      </c>
      <c r="R125" s="59">
        <f>(60*284*((F125/1000)^0.77)*3*24*(MAX('Min rate concentrations'!$R$3:$R$368))/F125)*(inputs!$E$73*3.4/inputs!$E$75)</f>
        <v>9.3149062446573668E-3</v>
      </c>
      <c r="S125" s="59">
        <f>(IF(inputs!$C$6="aerial",((0.025*0.112*inputs!$C$7/3.3)*(3*60*284*((F125/1000)^0.77))*MAX(inputs!$H$14:$H$16))/F125,((0.0083*0.112*inputs!$C$7/1)*(3*60*284*((F125/1000)^0.77))*MAX(inputs!$H$14:$H$16))/F125))*(inputs!E$75*3.4/inputs!$E$73)</f>
        <v>5.1372280231375606E-2</v>
      </c>
      <c r="T125" s="63">
        <f>IF((((inputs!$P$12/(V125/MAX(K125:S125)))^(1/inputs!$O$12))-1)/inputs!$N$12&lt;0, 0, IF((((inputs!$P$12/(V125/MAX(K125:S125)))^(1/inputs!$O$12))-1)/inputs!$N$12&gt;inputs!$H$17, inputs!$H$17, (((inputs!$P$12/(V125/MAX(K125:S125)))^(1/inputs!$O$12))-1)/inputs!$N$12))</f>
        <v>401.09585721442863</v>
      </c>
      <c r="U125" s="63">
        <f>IF((((inputs!$P$12/(X125/MAX(K125:S125)))^(1/inputs!$O$12))-1)/inputs!$N$12&lt;0, 0, IF((((inputs!$P$12/(X125/MAX(K125:S125)))^(1/inputs!$O$12))-1)/inputs!$N$12&gt;inputs!$H$17, inputs!$H$17, (((inputs!$P$12/(X125/MAX(K125:S125)))^(1/inputs!$O$12))-1)/inputs!$N$12))</f>
        <v>24.39496681779309</v>
      </c>
      <c r="V125" s="21">
        <f>inputs!$E$78*(F125/inputs!$F$78)^(inputs!$E$84-1)</f>
        <v>2.4464468841670566E-2</v>
      </c>
      <c r="W125" s="21">
        <f>inputs!$E$85*(F125/inputs!$F$85)^(inputs!$E$84-1)</f>
        <v>1.1297241036015404</v>
      </c>
      <c r="X125" s="21">
        <f>inputs!$E$80*(F125/inputs!$F$80)^(inputs!$E$84-1)</f>
        <v>4.2185900071196754</v>
      </c>
      <c r="Y125" s="21">
        <f>inputs!$E$82*(F125/inputs!$F$82)^(inputs!$E$84-1)</f>
        <v>1.9442814711011871</v>
      </c>
      <c r="Z125" s="63">
        <f t="shared" si="9"/>
        <v>1656.6403485879612</v>
      </c>
      <c r="AA125" s="63">
        <f t="shared" si="10"/>
        <v>35.874976961790281</v>
      </c>
    </row>
    <row r="126" spans="1:476" x14ac:dyDescent="0.25">
      <c r="A126" s="103" t="s">
        <v>258</v>
      </c>
      <c r="B126" s="20" t="s">
        <v>259</v>
      </c>
      <c r="C126" s="20" t="s">
        <v>73</v>
      </c>
      <c r="D126" s="104" t="s">
        <v>260</v>
      </c>
      <c r="E126" s="15">
        <v>119</v>
      </c>
      <c r="F126" s="15">
        <v>50.5</v>
      </c>
      <c r="G126" s="20" t="s">
        <v>145</v>
      </c>
      <c r="H126" s="20">
        <v>0.66</v>
      </c>
      <c r="I126" s="48">
        <f>MAX('Min rate concentrations'!$M$3:$M$368)</f>
        <v>2.8488184789681945</v>
      </c>
      <c r="J126" s="48">
        <f>MAX('Min rate concentrations'!AE:AE)</f>
        <v>1.9699276716269429</v>
      </c>
      <c r="K126" s="59">
        <f t="shared" si="14"/>
        <v>0.9498013950784826</v>
      </c>
      <c r="L126" s="59">
        <f t="shared" si="15"/>
        <v>0.65677756042661029</v>
      </c>
      <c r="M126" s="59">
        <f>IF((((1.18*F126^0.874)/3.7-(0.301*F126^0.751)/(1-H126)*H126)*(MAX('Min rate concentrations'!$P$3:$P$368)))/F126&gt;0, (((1.18*F126^0.874)/3.7-(0.301*F126^0.751)/(1-H126)*H126)*(MAX('Min rate concentrations'!$P$3:$P$368)))/F126, 0)</f>
        <v>0</v>
      </c>
      <c r="N126" s="59">
        <f>IF((((1.18*F126^0.874)/3.7-(0.301*F126^0.751)/(1-H126)*H126)*(MAX('Min rate concentrations'!$Q$3:$Q$368)))/F126&gt;0, (((1.18*F126^0.874)/3.7-(0.301*F126^0.751)/(1-H126)*H126)*(MAX('Min rate concentrations'!$Q$3:$Q$368)))/F126, 0)</f>
        <v>0</v>
      </c>
      <c r="O126" s="59">
        <f>((MAX('Min rate concentrations'!$F$3:$F$368))*0.62*6.01*8*(10*F126^0.667)*0.079*0.1/F126)*inputs!$E$80/(10^(0.84+0.62*LOG10(inputs!$E$80)))</f>
        <v>6.6283608951975728</v>
      </c>
      <c r="P126" s="59">
        <f>((MAX('Min rate concentrations'!Y:Y))*0.62*6.01*8*(10*F126^0.667)*0.079*0.1/F126)*inputs!$E$80/(10^(0.84+0.62*LOG10(inputs!$E$80)))</f>
        <v>2.2094536317325244</v>
      </c>
      <c r="Q126" s="59">
        <f>(inputs!$C$7*11.2*(10*F126^0.667)*0.5/F126)*inputs!$E$80/(10^(0.84+0.62*LOG10(inputs!$E$80)))</f>
        <v>1.1675545085073016</v>
      </c>
      <c r="R126" s="59">
        <f>(60*284*((F126/1000)^0.77)*3*24*(MAX('Min rate concentrations'!$R$3:$R$368))/F126)*(inputs!$E$73*3.4/inputs!$E$75)</f>
        <v>9.3149062446573668E-3</v>
      </c>
      <c r="S126" s="59">
        <f>(IF(inputs!$C$6="aerial",((0.025*0.112*inputs!$C$7/3.3)*(3*60*284*((F126/1000)^0.77))*MAX(inputs!$H$14:$H$16))/F126,((0.0083*0.112*inputs!$C$7/1)*(3*60*284*((F126/1000)^0.77))*MAX(inputs!$H$14:$H$16))/F126))*(inputs!E$75*3.4/inputs!$E$73)</f>
        <v>5.1372280231375606E-2</v>
      </c>
      <c r="T126" s="63">
        <f>IF((((inputs!$P$12/(V126/MAX(K126:S126)))^(1/inputs!$O$12))-1)/inputs!$N$12&lt;0, 0, IF((((inputs!$P$12/(V126/MAX(K126:S126)))^(1/inputs!$O$12))-1)/inputs!$N$12&gt;inputs!$H$17, inputs!$H$17, (((inputs!$P$12/(V126/MAX(K126:S126)))^(1/inputs!$O$12))-1)/inputs!$N$12))</f>
        <v>177.19861159504575</v>
      </c>
      <c r="U126" s="63">
        <f>IF((((inputs!$P$12/(X126/MAX(K126:S126)))^(1/inputs!$O$12))-1)/inputs!$N$12&lt;0, 0, IF((((inputs!$P$12/(X126/MAX(K126:S126)))^(1/inputs!$O$12))-1)/inputs!$N$12&gt;inputs!$H$17, inputs!$H$17, (((inputs!$P$12/(X126/MAX(K126:S126)))^(1/inputs!$O$12))-1)/inputs!$N$12))</f>
        <v>0</v>
      </c>
      <c r="V126" s="21">
        <f>inputs!$E$78*(F126/inputs!$F$78)^(inputs!$E$84-1)</f>
        <v>2.4464468841670566E-2</v>
      </c>
      <c r="W126" s="21">
        <f>inputs!$E$85*(F126/inputs!$F$85)^(inputs!$E$84-1)</f>
        <v>1.1297241036015404</v>
      </c>
      <c r="X126" s="21">
        <f>inputs!$E$80*(F126/inputs!$F$80)^(inputs!$E$84-1)</f>
        <v>4.2185900071196754</v>
      </c>
      <c r="Y126" s="21">
        <f>inputs!$E$82*(F126/inputs!$F$82)^(inputs!$E$84-1)</f>
        <v>1.9442814711011871</v>
      </c>
      <c r="Z126" s="63">
        <f t="shared" si="9"/>
        <v>270.93827125759714</v>
      </c>
      <c r="AA126" s="63">
        <f t="shared" si="10"/>
        <v>5.867238624073325</v>
      </c>
    </row>
    <row r="127" spans="1:476" x14ac:dyDescent="0.25">
      <c r="A127" s="103" t="s">
        <v>258</v>
      </c>
      <c r="B127" s="20" t="s">
        <v>259</v>
      </c>
      <c r="C127" s="20" t="s">
        <v>73</v>
      </c>
      <c r="D127" s="104" t="s">
        <v>260</v>
      </c>
      <c r="E127" s="15">
        <v>119</v>
      </c>
      <c r="F127" s="15">
        <v>50.5</v>
      </c>
      <c r="G127" s="20" t="s">
        <v>146</v>
      </c>
      <c r="H127" s="20">
        <v>0.84</v>
      </c>
      <c r="I127" s="48">
        <f>MAX('Min rate concentrations'!$I$3:$I$368)</f>
        <v>9.4775690500787988</v>
      </c>
      <c r="J127" s="48" t="s">
        <v>13</v>
      </c>
      <c r="K127" s="59">
        <f t="shared" si="14"/>
        <v>6.7146583016331336</v>
      </c>
      <c r="L127" s="48" t="s">
        <v>13</v>
      </c>
      <c r="M127" s="59">
        <f>IF((((1.18*F127^0.874)/3.7-(0.301*F127^0.751)/(1-H127)*H127)*(MAX('Min rate concentrations'!$P$3:$P$368)))/F127&gt;0, (((1.18*F127^0.874)/3.7-(0.301*F127^0.751)/(1-H127)*H127)*(MAX('Min rate concentrations'!$P$3:$P$368)))/F127, 0)</f>
        <v>0</v>
      </c>
      <c r="N127" s="59">
        <f>IF((((1.18*F127^0.874)/3.7-(0.301*F127^0.751)/(1-H127)*H127)*(MAX('Min rate concentrations'!$Q$3:$Q$368)))/F127&gt;0, (((1.18*F127^0.874)/3.7-(0.301*F127^0.751)/(1-H127)*H127)*(MAX('Min rate concentrations'!$Q$3:$Q$368)))/F127, 0)</f>
        <v>0</v>
      </c>
      <c r="O127" s="59">
        <f>((MAX('Min rate concentrations'!$F$3:$F$368))*0.62*6.01*8*(10*F127^0.667)*0.079*0.1/F127)*inputs!$E$80/(10^(0.84+0.62*LOG10(inputs!$E$80)))</f>
        <v>6.6283608951975728</v>
      </c>
      <c r="P127" s="59">
        <f>((MAX('Min rate concentrations'!Y:Y))*0.62*6.01*8*(10*F127^0.667)*0.079*0.1/F127)*inputs!$E$80/(10^(0.84+0.62*LOG10(inputs!$E$80)))</f>
        <v>2.2094536317325244</v>
      </c>
      <c r="Q127" s="59">
        <f>(inputs!$C$7*11.2*(10*F127^0.667)*0.5/F127)*inputs!$E$80/(10^(0.84+0.62*LOG10(inputs!$E$80)))</f>
        <v>1.1675545085073016</v>
      </c>
      <c r="R127" s="59">
        <f>(60*284*((F127/1000)^0.77)*3*24*(MAX('Min rate concentrations'!$R$3:$R$368))/F127)*(inputs!$E$73*3.4/inputs!$E$75)</f>
        <v>9.3149062446573668E-3</v>
      </c>
      <c r="S127" s="59">
        <f>(IF(inputs!$C$6="aerial",((0.025*0.112*inputs!$C$7/3.3)*(3*60*284*((F127/1000)^0.77))*MAX(inputs!$H$14:$H$16))/F127,((0.0083*0.112*inputs!$C$7/1)*(3*60*284*((F127/1000)^0.77))*MAX(inputs!$H$14:$H$16))/F127))*(inputs!E$75*3.4/inputs!$E$73)</f>
        <v>5.1372280231375606E-2</v>
      </c>
      <c r="T127" s="63">
        <f>IF((((inputs!$P$12/(V127/MAX(K127:S127)))^(1/inputs!$O$12))-1)/inputs!$N$12&lt;0, 0, IF((((inputs!$P$12/(V127/MAX(K127:S127)))^(1/inputs!$O$12))-1)/inputs!$N$12&gt;inputs!$H$17, inputs!$H$17, (((inputs!$P$12/(V127/MAX(K127:S127)))^(1/inputs!$O$12))-1)/inputs!$N$12))</f>
        <v>178.28364994441117</v>
      </c>
      <c r="U127" s="63">
        <f>IF((((inputs!$P$12/(X127/MAX(K127:S127)))^(1/inputs!$O$12))-1)/inputs!$N$12&lt;0, 0, IF((((inputs!$P$12/(X127/MAX(K127:S127)))^(1/inputs!$O$12))-1)/inputs!$N$12&gt;inputs!$H$17, inputs!$H$17, (((inputs!$P$12/(X127/MAX(K127:S127)))^(1/inputs!$O$12))-1)/inputs!$N$12))</f>
        <v>0</v>
      </c>
      <c r="V127" s="21">
        <f>inputs!$E$78*(F127/inputs!$F$78)^(inputs!$E$84-1)</f>
        <v>2.4464468841670566E-2</v>
      </c>
      <c r="W127" s="21">
        <f>inputs!$E$85*(F127/inputs!$F$85)^(inputs!$E$84-1)</f>
        <v>1.1297241036015404</v>
      </c>
      <c r="X127" s="21">
        <f>inputs!$E$80*(F127/inputs!$F$80)^(inputs!$E$84-1)</f>
        <v>4.2185900071196754</v>
      </c>
      <c r="Y127" s="21">
        <f>inputs!$E$82*(F127/inputs!$F$82)^(inputs!$E$84-1)</f>
        <v>1.9442814711011871</v>
      </c>
      <c r="Z127" s="63">
        <f t="shared" si="9"/>
        <v>274.46573007937093</v>
      </c>
      <c r="AA127" s="63">
        <f t="shared" si="10"/>
        <v>5.9436266609050135</v>
      </c>
    </row>
    <row r="128" spans="1:476" x14ac:dyDescent="0.25">
      <c r="A128" s="103" t="s">
        <v>215</v>
      </c>
      <c r="B128" s="20" t="s">
        <v>216</v>
      </c>
      <c r="C128" s="20" t="s">
        <v>73</v>
      </c>
      <c r="D128" s="104" t="s">
        <v>217</v>
      </c>
      <c r="E128" s="15">
        <v>6901</v>
      </c>
      <c r="F128" s="15">
        <v>52.3</v>
      </c>
      <c r="G128" s="20" t="s">
        <v>182</v>
      </c>
      <c r="H128" s="20">
        <v>0.85</v>
      </c>
      <c r="I128" s="48">
        <f>MAX('Min rate concentrations'!$M$3:$M$368)</f>
        <v>2.8488184789681945</v>
      </c>
      <c r="J128" s="48">
        <f>MAX('Min rate concentrations'!AE:AE)</f>
        <v>1.9699276716269429</v>
      </c>
      <c r="K128" s="59">
        <f t="shared" si="14"/>
        <v>2.1341900644593088</v>
      </c>
      <c r="L128" s="59">
        <f t="shared" ref="L128:L133" si="16">((0.301*F128^0.751)/(1-H128))*J128/F128</f>
        <v>1.4757697254239899</v>
      </c>
      <c r="M128" s="59">
        <f>IF((((1.18*F128^0.874)/3.7-(0.301*F128^0.751)/(1-H128)*H128)*(MAX('Min rate concentrations'!$P$3:$P$368)))/F128&gt;0, (((1.18*F128^0.874)/3.7-(0.301*F128^0.751)/(1-H128)*H128)*(MAX('Min rate concentrations'!$P$3:$P$368)))/F128, 0)</f>
        <v>0</v>
      </c>
      <c r="N128" s="59">
        <f>IF((((1.18*F128^0.874)/3.7-(0.301*F128^0.751)/(1-H128)*H128)*(MAX('Min rate concentrations'!$Q$3:$Q$368)))/F128&gt;0, (((1.18*F128^0.874)/3.7-(0.301*F128^0.751)/(1-H128)*H128)*(MAX('Min rate concentrations'!$Q$3:$Q$368)))/F128, 0)</f>
        <v>0</v>
      </c>
      <c r="O128" s="59">
        <f>((MAX('Min rate concentrations'!$F$3:$F$368))*0.62*6.01*8*(10*F128^0.667)*0.079*0.1/F128)*inputs!$E$80/(10^(0.84+0.62*LOG10(inputs!$E$80)))</f>
        <v>6.5515055460088893</v>
      </c>
      <c r="P128" s="59">
        <f>((MAX('Min rate concentrations'!Y:Y))*0.62*6.01*8*(10*F128^0.667)*0.079*0.1/F128)*inputs!$E$80/(10^(0.84+0.62*LOG10(inputs!$E$80)))</f>
        <v>2.1838351820029627</v>
      </c>
      <c r="Q128" s="59">
        <f>(inputs!$C$7*11.2*(10*F128^0.667)*0.5/F128)*inputs!$E$80/(10^(0.84+0.62*LOG10(inputs!$E$80)))</f>
        <v>1.1540168012419707</v>
      </c>
      <c r="R128" s="59">
        <f>(60*284*((F128/1000)^0.77)*3*24*(MAX('Min rate concentrations'!$R$3:$R$368))/F128)*(inputs!$E$73*3.4/inputs!$E$75)</f>
        <v>9.2401733011692744E-3</v>
      </c>
      <c r="S128" s="59">
        <f>(IF(inputs!$C$6="aerial",((0.025*0.112*inputs!$C$7/3.3)*(3*60*284*((F128/1000)^0.77))*MAX(inputs!$H$14:$H$16))/F128,((0.0083*0.112*inputs!$C$7/1)*(3*60*284*((F128/1000)^0.77))*MAX(inputs!$H$14:$H$16))/F128))*(inputs!E$75*3.4/inputs!$E$73)</f>
        <v>5.0960123456573081E-2</v>
      </c>
      <c r="T128" s="63">
        <f>IF((((inputs!$P$12/(V128/MAX(K128:S128)))^(1/inputs!$O$12))-1)/inputs!$N$12&lt;0, 0, IF((((inputs!$P$12/(V128/MAX(K128:S128)))^(1/inputs!$O$12))-1)/inputs!$N$12&gt;inputs!$H$17, inputs!$H$17, (((inputs!$P$12/(V128/MAX(K128:S128)))^(1/inputs!$O$12))-1)/inputs!$N$12))</f>
        <v>177.30705231338649</v>
      </c>
      <c r="U128" s="63">
        <f>IF((((inputs!$P$12/(X128/MAX(K128:S128)))^(1/inputs!$O$12))-1)/inputs!$N$12&lt;0, 0, IF((((inputs!$P$12/(X128/MAX(K128:S128)))^(1/inputs!$O$12))-1)/inputs!$N$12&gt;inputs!$H$17, inputs!$H$17, (((inputs!$P$12/(X128/MAX(K128:S128)))^(1/inputs!$O$12))-1)/inputs!$N$12))</f>
        <v>0</v>
      </c>
      <c r="V128" s="21">
        <f>inputs!$E$78*(F128/inputs!$F$78)^(inputs!$E$84-1)</f>
        <v>2.4149490696052035E-2</v>
      </c>
      <c r="W128" s="21">
        <f>inputs!$E$85*(F128/inputs!$F$85)^(inputs!$E$84-1)</f>
        <v>1.115178993077544</v>
      </c>
      <c r="X128" s="21">
        <f>inputs!$E$80*(F128/inputs!$F$80)^(inputs!$E$84-1)</f>
        <v>4.1642759868085495</v>
      </c>
      <c r="Y128" s="21">
        <f>inputs!$E$82*(F128/inputs!$F$82)^(inputs!$E$84-1)</f>
        <v>1.9192489974230829</v>
      </c>
      <c r="Z128" s="63">
        <f t="shared" si="9"/>
        <v>271.28959481865724</v>
      </c>
      <c r="AA128" s="63">
        <f t="shared" si="10"/>
        <v>5.8748466270233362</v>
      </c>
    </row>
    <row r="129" spans="1:27" x14ac:dyDescent="0.25">
      <c r="A129" s="103" t="s">
        <v>215</v>
      </c>
      <c r="B129" s="20" t="s">
        <v>216</v>
      </c>
      <c r="C129" s="20" t="s">
        <v>73</v>
      </c>
      <c r="D129" s="104" t="s">
        <v>217</v>
      </c>
      <c r="E129" s="15">
        <v>6901</v>
      </c>
      <c r="F129" s="15">
        <v>52.3</v>
      </c>
      <c r="G129" s="20" t="s">
        <v>142</v>
      </c>
      <c r="H129" s="20">
        <v>0.69</v>
      </c>
      <c r="I129" s="48">
        <f>MAX('Min rate concentrations'!$H$3:$H$368)</f>
        <v>47</v>
      </c>
      <c r="J129" s="48">
        <f>MAX('Min rate concentrations'!AA:AA)</f>
        <v>32.5</v>
      </c>
      <c r="K129" s="59">
        <f t="shared" si="14"/>
        <v>17.037102614495463</v>
      </c>
      <c r="L129" s="59">
        <f t="shared" si="16"/>
        <v>11.780975212151118</v>
      </c>
      <c r="M129" s="59">
        <f>IF((((1.18*F129^0.874)/3.7-(0.301*F129^0.751)/(1-H129)*H129)*(MAX('Min rate concentrations'!$P$3:$P$368)))/F129&gt;0, (((1.18*F129^0.874)/3.7-(0.301*F129^0.751)/(1-H129)*H129)*(MAX('Min rate concentrations'!$P$3:$P$368)))/F129, 0)</f>
        <v>0</v>
      </c>
      <c r="N129" s="59">
        <f>IF((((1.18*F129^0.874)/3.7-(0.301*F129^0.751)/(1-H129)*H129)*(MAX('Min rate concentrations'!$Q$3:$Q$368)))/F129&gt;0, (((1.18*F129^0.874)/3.7-(0.301*F129^0.751)/(1-H129)*H129)*(MAX('Min rate concentrations'!$Q$3:$Q$368)))/F129, 0)</f>
        <v>0</v>
      </c>
      <c r="O129" s="59">
        <f>((MAX('Min rate concentrations'!$F$3:$F$368))*0.62*6.01*8*(10*F129^0.667)*0.079*0.1/F129)*inputs!$E$80/(10^(0.84+0.62*LOG10(inputs!$E$80)))</f>
        <v>6.5515055460088893</v>
      </c>
      <c r="P129" s="59">
        <f>((MAX('Min rate concentrations'!Y:Y))*0.62*6.01*8*(10*F129^0.667)*0.079*0.1/F129)*inputs!$E$80/(10^(0.84+0.62*LOG10(inputs!$E$80)))</f>
        <v>2.1838351820029627</v>
      </c>
      <c r="Q129" s="59">
        <f>(inputs!$C$7*11.2*(10*F129^0.667)*0.5/F129)*inputs!$E$80/(10^(0.84+0.62*LOG10(inputs!$E$80)))</f>
        <v>1.1540168012419707</v>
      </c>
      <c r="R129" s="59">
        <f>(60*284*((F129/1000)^0.77)*3*24*(MAX('Min rate concentrations'!$R$3:$R$368))/F129)*(inputs!$E$73*3.4/inputs!$E$75)</f>
        <v>9.2401733011692744E-3</v>
      </c>
      <c r="S129" s="59">
        <f>(IF(inputs!$C$6="aerial",((0.025*0.112*inputs!$C$7/3.3)*(3*60*284*((F129/1000)^0.77))*MAX(inputs!$H$14:$H$16))/F129,((0.0083*0.112*inputs!$C$7/1)*(3*60*284*((F129/1000)^0.77))*MAX(inputs!$H$14:$H$16))/F129))*(inputs!E$75*3.4/inputs!$E$73)</f>
        <v>5.0960123456573081E-2</v>
      </c>
      <c r="T129" s="63">
        <f>IF((((inputs!$P$12/(V129/MAX(K129:S129)))^(1/inputs!$O$12))-1)/inputs!$N$12&lt;0, 0, IF((((inputs!$P$12/(V129/MAX(K129:S129)))^(1/inputs!$O$12))-1)/inputs!$N$12&gt;inputs!$H$17, inputs!$H$17, (((inputs!$P$12/(V129/MAX(K129:S129)))^(1/inputs!$O$12))-1)/inputs!$N$12))</f>
        <v>275.07845272296856</v>
      </c>
      <c r="U129" s="63">
        <f>IF((((inputs!$P$12/(X129/MAX(K129:S129)))^(1/inputs!$O$12))-1)/inputs!$N$12&lt;0, 0, IF((((inputs!$P$12/(X129/MAX(K129:S129)))^(1/inputs!$O$12))-1)/inputs!$N$12&gt;inputs!$H$17, inputs!$H$17, (((inputs!$P$12/(X129/MAX(K129:S129)))^(1/inputs!$O$12))-1)/inputs!$N$12))</f>
        <v>8.8813522717610436</v>
      </c>
      <c r="V129" s="21">
        <f>inputs!$E$78*(F129/inputs!$F$78)^(inputs!$E$84-1)</f>
        <v>2.4149490696052035E-2</v>
      </c>
      <c r="W129" s="21">
        <f>inputs!$E$85*(F129/inputs!$F$85)^(inputs!$E$84-1)</f>
        <v>1.115178993077544</v>
      </c>
      <c r="X129" s="21">
        <f>inputs!$E$80*(F129/inputs!$F$80)^(inputs!$E$84-1)</f>
        <v>4.1642759868085495</v>
      </c>
      <c r="Y129" s="21">
        <f>inputs!$E$82*(F129/inputs!$F$82)^(inputs!$E$84-1)</f>
        <v>1.9192489974230829</v>
      </c>
      <c r="Z129" s="63">
        <f t="shared" si="9"/>
        <v>705.48496566350752</v>
      </c>
      <c r="AA129" s="63">
        <f t="shared" si="10"/>
        <v>15.277460138913133</v>
      </c>
    </row>
    <row r="130" spans="1:27" x14ac:dyDescent="0.25">
      <c r="A130" s="103" t="s">
        <v>215</v>
      </c>
      <c r="B130" s="20" t="s">
        <v>216</v>
      </c>
      <c r="C130" s="20" t="s">
        <v>73</v>
      </c>
      <c r="D130" s="104" t="s">
        <v>217</v>
      </c>
      <c r="E130" s="15">
        <v>6901</v>
      </c>
      <c r="F130" s="15">
        <v>52.3</v>
      </c>
      <c r="G130" s="20" t="s">
        <v>138</v>
      </c>
      <c r="H130" s="20">
        <v>0.68</v>
      </c>
      <c r="I130" s="48">
        <f>MAX('Min rate concentrations'!$L$3:$L$368)</f>
        <v>58.421240152220811</v>
      </c>
      <c r="J130" s="48">
        <f>MAX('Min rate concentrations'!AD:AD)</f>
        <v>40.397666062705881</v>
      </c>
      <c r="K130" s="59">
        <f t="shared" si="14"/>
        <v>20.51541792787469</v>
      </c>
      <c r="L130" s="59">
        <f t="shared" si="16"/>
        <v>14.186193247998457</v>
      </c>
      <c r="M130" s="59">
        <f>IF((((1.18*F130^0.874)/3.7-(0.301*F130^0.751)/(1-H130)*H130)*(MAX('Min rate concentrations'!$P$3:$P$368)))/F130&gt;0, (((1.18*F130^0.874)/3.7-(0.301*F130^0.751)/(1-H130)*H130)*(MAX('Min rate concentrations'!$P$3:$P$368)))/F130, 0)</f>
        <v>0</v>
      </c>
      <c r="N130" s="59">
        <f>IF((((1.18*F130^0.874)/3.7-(0.301*F130^0.751)/(1-H130)*H130)*(MAX('Min rate concentrations'!$Q$3:$Q$368)))/F130&gt;0, (((1.18*F130^0.874)/3.7-(0.301*F130^0.751)/(1-H130)*H130)*(MAX('Min rate concentrations'!$Q$3:$Q$368)))/F130, 0)</f>
        <v>0</v>
      </c>
      <c r="O130" s="59">
        <f>((MAX('Min rate concentrations'!$F$3:$F$368))*0.62*6.01*8*(10*F130^0.667)*0.079*0.1/F130)*inputs!$E$80/(10^(0.84+0.62*LOG10(inputs!$E$80)))</f>
        <v>6.5515055460088893</v>
      </c>
      <c r="P130" s="59">
        <f>((MAX('Min rate concentrations'!Y:Y))*0.62*6.01*8*(10*F130^0.667)*0.079*0.1/F130)*inputs!$E$80/(10^(0.84+0.62*LOG10(inputs!$E$80)))</f>
        <v>2.1838351820029627</v>
      </c>
      <c r="Q130" s="59">
        <f>(inputs!$C$7*11.2*(10*F130^0.667)*0.5/F130)*inputs!$E$80/(10^(0.84+0.62*LOG10(inputs!$E$80)))</f>
        <v>1.1540168012419707</v>
      </c>
      <c r="R130" s="59">
        <f>(60*284*((F130/1000)^0.77)*3*24*(MAX('Min rate concentrations'!$R$3:$R$368))/F130)*(inputs!$E$73*3.4/inputs!$E$75)</f>
        <v>9.2401733011692744E-3</v>
      </c>
      <c r="S130" s="59">
        <f>(IF(inputs!$C$6="aerial",((0.025*0.112*inputs!$C$7/3.3)*(3*60*284*((F130/1000)^0.77))*MAX(inputs!$H$14:$H$16))/F130,((0.0083*0.112*inputs!$C$7/1)*(3*60*284*((F130/1000)^0.77))*MAX(inputs!$H$14:$H$16))/F130))*(inputs!E$75*3.4/inputs!$E$73)</f>
        <v>5.0960123456573081E-2</v>
      </c>
      <c r="T130" s="63">
        <f>IF((((inputs!$P$12/(V130/MAX(K130:S130)))^(1/inputs!$O$12))-1)/inputs!$N$12&lt;0, 0, IF((((inputs!$P$12/(V130/MAX(K130:S130)))^(1/inputs!$O$12))-1)/inputs!$N$12&gt;inputs!$H$17, inputs!$H$17, (((inputs!$P$12/(V130/MAX(K130:S130)))^(1/inputs!$O$12))-1)/inputs!$N$12))</f>
        <v>298.9064352122785</v>
      </c>
      <c r="U130" s="63">
        <f>IF((((inputs!$P$12/(X130/MAX(K130:S130)))^(1/inputs!$O$12))-1)/inputs!$N$12&lt;0, 0, IF((((inputs!$P$12/(X130/MAX(K130:S130)))^(1/inputs!$O$12))-1)/inputs!$N$12&gt;inputs!$H$17, inputs!$H$17, (((inputs!$P$12/(X130/MAX(K130:S130)))^(1/inputs!$O$12))-1)/inputs!$N$12))</f>
        <v>11.814741808234213</v>
      </c>
      <c r="V130" s="21">
        <f>inputs!$E$78*(F130/inputs!$F$78)^(inputs!$E$84-1)</f>
        <v>2.4149490696052035E-2</v>
      </c>
      <c r="W130" s="21">
        <f>inputs!$E$85*(F130/inputs!$F$85)^(inputs!$E$84-1)</f>
        <v>1.115178993077544</v>
      </c>
      <c r="X130" s="21">
        <f>inputs!$E$80*(F130/inputs!$F$80)^(inputs!$E$84-1)</f>
        <v>4.1642759868085495</v>
      </c>
      <c r="Y130" s="21">
        <f>inputs!$E$82*(F130/inputs!$F$82)^(inputs!$E$84-1)</f>
        <v>1.9192489974230829</v>
      </c>
      <c r="Z130" s="63">
        <f t="shared" ref="Z130:Z193" si="17">MAX(K130:S130)/V130</f>
        <v>849.51762279726074</v>
      </c>
      <c r="AA130" s="63">
        <f t="shared" ref="AA130:AA193" si="18">MAX(K130:S130)/W130</f>
        <v>18.396524733001449</v>
      </c>
    </row>
    <row r="131" spans="1:27" x14ac:dyDescent="0.25">
      <c r="A131" s="103" t="s">
        <v>215</v>
      </c>
      <c r="B131" s="20" t="s">
        <v>216</v>
      </c>
      <c r="C131" s="20" t="s">
        <v>73</v>
      </c>
      <c r="D131" s="104" t="s">
        <v>217</v>
      </c>
      <c r="E131" s="15">
        <v>6901</v>
      </c>
      <c r="F131" s="15">
        <v>52.3</v>
      </c>
      <c r="G131" s="20" t="s">
        <v>218</v>
      </c>
      <c r="H131" s="20">
        <v>0.68</v>
      </c>
      <c r="I131" s="48">
        <f>MAX('Min rate concentrations'!$K$3:$K$368)</f>
        <v>18.333393099490852</v>
      </c>
      <c r="J131" s="48">
        <f>MAX('Min rate concentrations'!AC:AC)</f>
        <v>6.4930767227363431</v>
      </c>
      <c r="K131" s="59">
        <f t="shared" si="14"/>
        <v>6.4380218648571628</v>
      </c>
      <c r="L131" s="59">
        <f t="shared" si="16"/>
        <v>2.2801327438035788</v>
      </c>
      <c r="M131" s="59">
        <f>IF((((1.18*F131^0.874)/3.7-(0.301*F131^0.751)/(1-H131)*H131)*(MAX('Min rate concentrations'!$P$3:$P$368)))/F131&gt;0, (((1.18*F131^0.874)/3.7-(0.301*F131^0.751)/(1-H131)*H131)*(MAX('Min rate concentrations'!$P$3:$P$368)))/F131, 0)</f>
        <v>0</v>
      </c>
      <c r="N131" s="59">
        <f>IF((((1.18*F131^0.874)/3.7-(0.301*F131^0.751)/(1-H131)*H131)*(MAX('Min rate concentrations'!$Q$3:$Q$368)))/F131&gt;0, (((1.18*F131^0.874)/3.7-(0.301*F131^0.751)/(1-H131)*H131)*(MAX('Min rate concentrations'!$Q$3:$Q$368)))/F131, 0)</f>
        <v>0</v>
      </c>
      <c r="O131" s="59">
        <f>((MAX('Min rate concentrations'!$F$3:$F$368))*0.62*6.01*8*(10*F131^0.667)*0.079*0.1/F131)*inputs!$E$80/(10^(0.84+0.62*LOG10(inputs!$E$80)))</f>
        <v>6.5515055460088893</v>
      </c>
      <c r="P131" s="59">
        <f>((MAX('Min rate concentrations'!Y:Y))*0.62*6.01*8*(10*F131^0.667)*0.079*0.1/F131)*inputs!$E$80/(10^(0.84+0.62*LOG10(inputs!$E$80)))</f>
        <v>2.1838351820029627</v>
      </c>
      <c r="Q131" s="59">
        <f>(inputs!$C$7*11.2*(10*F131^0.667)*0.5/F131)*inputs!$E$80/(10^(0.84+0.62*LOG10(inputs!$E$80)))</f>
        <v>1.1540168012419707</v>
      </c>
      <c r="R131" s="59">
        <f>(60*284*((F131/1000)^0.77)*3*24*(MAX('Min rate concentrations'!$R$3:$R$368))/F131)*(inputs!$E$73*3.4/inputs!$E$75)</f>
        <v>9.2401733011692744E-3</v>
      </c>
      <c r="S131" s="59">
        <f>(IF(inputs!$C$6="aerial",((0.025*0.112*inputs!$C$7/3.3)*(3*60*284*((F131/1000)^0.77))*MAX(inputs!$H$14:$H$16))/F131,((0.0083*0.112*inputs!$C$7/1)*(3*60*284*((F131/1000)^0.77))*MAX(inputs!$H$14:$H$16))/F131))*(inputs!E$75*3.4/inputs!$E$73)</f>
        <v>5.0960123456573081E-2</v>
      </c>
      <c r="T131" s="63">
        <f>IF((((inputs!$P$12/(V131/MAX(K131:S131)))^(1/inputs!$O$12))-1)/inputs!$N$12&lt;0, 0, IF((((inputs!$P$12/(V131/MAX(K131:S131)))^(1/inputs!$O$12))-1)/inputs!$N$12&gt;inputs!$H$17, inputs!$H$17, (((inputs!$P$12/(V131/MAX(K131:S131)))^(1/inputs!$O$12))-1)/inputs!$N$12))</f>
        <v>177.30705231338649</v>
      </c>
      <c r="U131" s="63">
        <f>IF((((inputs!$P$12/(X131/MAX(K131:S131)))^(1/inputs!$O$12))-1)/inputs!$N$12&lt;0, 0, IF((((inputs!$P$12/(X131/MAX(K131:S131)))^(1/inputs!$O$12))-1)/inputs!$N$12&gt;inputs!$H$17, inputs!$H$17, (((inputs!$P$12/(X131/MAX(K131:S131)))^(1/inputs!$O$12))-1)/inputs!$N$12))</f>
        <v>0</v>
      </c>
      <c r="V131" s="21">
        <f>inputs!$E$78*(F131/inputs!$F$78)^(inputs!$E$84-1)</f>
        <v>2.4149490696052035E-2</v>
      </c>
      <c r="W131" s="21">
        <f>inputs!$E$85*(F131/inputs!$F$85)^(inputs!$E$84-1)</f>
        <v>1.115178993077544</v>
      </c>
      <c r="X131" s="21">
        <f>inputs!$E$80*(F131/inputs!$F$80)^(inputs!$E$84-1)</f>
        <v>4.1642759868085495</v>
      </c>
      <c r="Y131" s="21">
        <f>inputs!$E$82*(F131/inputs!$F$82)^(inputs!$E$84-1)</f>
        <v>1.9192489974230829</v>
      </c>
      <c r="Z131" s="63">
        <f t="shared" si="17"/>
        <v>271.28959481865724</v>
      </c>
      <c r="AA131" s="63">
        <f t="shared" si="18"/>
        <v>5.8748466270233362</v>
      </c>
    </row>
    <row r="132" spans="1:27" x14ac:dyDescent="0.25">
      <c r="A132" s="103" t="s">
        <v>215</v>
      </c>
      <c r="B132" s="20" t="s">
        <v>216</v>
      </c>
      <c r="C132" s="20" t="s">
        <v>73</v>
      </c>
      <c r="D132" s="104" t="s">
        <v>217</v>
      </c>
      <c r="E132" s="15">
        <v>6901</v>
      </c>
      <c r="F132" s="15">
        <v>52.3</v>
      </c>
      <c r="G132" s="20" t="s">
        <v>152</v>
      </c>
      <c r="H132" s="20">
        <v>0.77</v>
      </c>
      <c r="I132" s="48">
        <f>MAX('Min rate concentrations'!$G$3:$G$368)</f>
        <v>7.5</v>
      </c>
      <c r="J132" s="48">
        <f>MAX('Min rate concentrations'!Z:Z)</f>
        <v>3.5</v>
      </c>
      <c r="K132" s="59">
        <f t="shared" si="14"/>
        <v>3.6643167047827903</v>
      </c>
      <c r="L132" s="59">
        <f t="shared" si="16"/>
        <v>1.7100144622319686</v>
      </c>
      <c r="M132" s="59">
        <f>IF((((1.18*F132^0.874)/3.7-(0.301*F132^0.751)/(1-H132)*H132)*(MAX('Min rate concentrations'!$P$3:$P$368)))/F132&gt;0, (((1.18*F132^0.874)/3.7-(0.301*F132^0.751)/(1-H132)*H132)*(MAX('Min rate concentrations'!$P$3:$P$368)))/F132, 0)</f>
        <v>0</v>
      </c>
      <c r="N132" s="59">
        <f>IF((((1.18*F132^0.874)/3.7-(0.301*F132^0.751)/(1-H132)*H132)*(MAX('Min rate concentrations'!$Q$3:$Q$368)))/F132&gt;0, (((1.18*F132^0.874)/3.7-(0.301*F132^0.751)/(1-H132)*H132)*(MAX('Min rate concentrations'!$Q$3:$Q$368)))/F132, 0)</f>
        <v>0</v>
      </c>
      <c r="O132" s="59">
        <f>((MAX('Min rate concentrations'!$F$3:$F$368))*0.62*6.01*8*(10*F132^0.667)*0.079*0.1/F132)*inputs!$E$80/(10^(0.84+0.62*LOG10(inputs!$E$80)))</f>
        <v>6.5515055460088893</v>
      </c>
      <c r="P132" s="59">
        <f>((MAX('Min rate concentrations'!Y:Y))*0.62*6.01*8*(10*F132^0.667)*0.079*0.1/F132)*inputs!$E$80/(10^(0.84+0.62*LOG10(inputs!$E$80)))</f>
        <v>2.1838351820029627</v>
      </c>
      <c r="Q132" s="59">
        <f>(inputs!$C$7*11.2*(10*F132^0.667)*0.5/F132)*inputs!$E$80/(10^(0.84+0.62*LOG10(inputs!$E$80)))</f>
        <v>1.1540168012419707</v>
      </c>
      <c r="R132" s="59">
        <f>(60*284*((F132/1000)^0.77)*3*24*(MAX('Min rate concentrations'!$R$3:$R$368))/F132)*(inputs!$E$73*3.4/inputs!$E$75)</f>
        <v>9.2401733011692744E-3</v>
      </c>
      <c r="S132" s="59">
        <f>(IF(inputs!$C$6="aerial",((0.025*0.112*inputs!$C$7/3.3)*(3*60*284*((F132/1000)^0.77))*MAX(inputs!$H$14:$H$16))/F132,((0.0083*0.112*inputs!$C$7/1)*(3*60*284*((F132/1000)^0.77))*MAX(inputs!$H$14:$H$16))/F132))*(inputs!E$75*3.4/inputs!$E$73)</f>
        <v>5.0960123456573081E-2</v>
      </c>
      <c r="T132" s="63">
        <f>IF((((inputs!$P$12/(V132/MAX(K132:S132)))^(1/inputs!$O$12))-1)/inputs!$N$12&lt;0, 0, IF((((inputs!$P$12/(V132/MAX(K132:S132)))^(1/inputs!$O$12))-1)/inputs!$N$12&gt;inputs!$H$17, inputs!$H$17, (((inputs!$P$12/(V132/MAX(K132:S132)))^(1/inputs!$O$12))-1)/inputs!$N$12))</f>
        <v>177.30705231338649</v>
      </c>
      <c r="U132" s="63">
        <f>IF((((inputs!$P$12/(X132/MAX(K132:S132)))^(1/inputs!$O$12))-1)/inputs!$N$12&lt;0, 0, IF((((inputs!$P$12/(X132/MAX(K132:S132)))^(1/inputs!$O$12))-1)/inputs!$N$12&gt;inputs!$H$17, inputs!$H$17, (((inputs!$P$12/(X132/MAX(K132:S132)))^(1/inputs!$O$12))-1)/inputs!$N$12))</f>
        <v>0</v>
      </c>
      <c r="V132" s="21">
        <f>inputs!$E$78*(F132/inputs!$F$78)^(inputs!$E$84-1)</f>
        <v>2.4149490696052035E-2</v>
      </c>
      <c r="W132" s="21">
        <f>inputs!$E$85*(F132/inputs!$F$85)^(inputs!$E$84-1)</f>
        <v>1.115178993077544</v>
      </c>
      <c r="X132" s="21">
        <f>inputs!$E$80*(F132/inputs!$F$80)^(inputs!$E$84-1)</f>
        <v>4.1642759868085495</v>
      </c>
      <c r="Y132" s="21">
        <f>inputs!$E$82*(F132/inputs!$F$82)^(inputs!$E$84-1)</f>
        <v>1.9192489974230829</v>
      </c>
      <c r="Z132" s="63">
        <f t="shared" si="17"/>
        <v>271.28959481865724</v>
      </c>
      <c r="AA132" s="63">
        <f t="shared" si="18"/>
        <v>5.8748466270233362</v>
      </c>
    </row>
    <row r="133" spans="1:27" x14ac:dyDescent="0.25">
      <c r="A133" s="103" t="s">
        <v>215</v>
      </c>
      <c r="B133" s="20" t="s">
        <v>216</v>
      </c>
      <c r="C133" s="20" t="s">
        <v>73</v>
      </c>
      <c r="D133" s="104" t="s">
        <v>217</v>
      </c>
      <c r="E133" s="15">
        <v>6901</v>
      </c>
      <c r="F133" s="15">
        <v>52.3</v>
      </c>
      <c r="G133" s="20" t="s">
        <v>145</v>
      </c>
      <c r="H133" s="20">
        <v>0.66</v>
      </c>
      <c r="I133" s="48">
        <f>MAX('Min rate concentrations'!$M$3:$M$368)</f>
        <v>2.8488184789681945</v>
      </c>
      <c r="J133" s="48">
        <f>MAX('Min rate concentrations'!AE:AE)</f>
        <v>1.9699276716269429</v>
      </c>
      <c r="K133" s="59">
        <f t="shared" si="14"/>
        <v>0.94155444020263623</v>
      </c>
      <c r="L133" s="59">
        <f t="shared" si="16"/>
        <v>0.65107487886352511</v>
      </c>
      <c r="M133" s="59">
        <f>IF((((1.18*F133^0.874)/3.7-(0.301*F133^0.751)/(1-H133)*H133)*(MAX('Min rate concentrations'!$P$3:$P$368)))/F133&gt;0, (((1.18*F133^0.874)/3.7-(0.301*F133^0.751)/(1-H133)*H133)*(MAX('Min rate concentrations'!$P$3:$P$368)))/F133, 0)</f>
        <v>0</v>
      </c>
      <c r="N133" s="59">
        <f>IF((((1.18*F133^0.874)/3.7-(0.301*F133^0.751)/(1-H133)*H133)*(MAX('Min rate concentrations'!$Q$3:$Q$368)))/F133&gt;0, (((1.18*F133^0.874)/3.7-(0.301*F133^0.751)/(1-H133)*H133)*(MAX('Min rate concentrations'!$Q$3:$Q$368)))/F133, 0)</f>
        <v>0</v>
      </c>
      <c r="O133" s="59">
        <f>((MAX('Min rate concentrations'!$F$3:$F$368))*0.62*6.01*8*(10*F133^0.667)*0.079*0.1/F133)*inputs!$E$80/(10^(0.84+0.62*LOG10(inputs!$E$80)))</f>
        <v>6.5515055460088893</v>
      </c>
      <c r="P133" s="59">
        <f>((MAX('Min rate concentrations'!Y:Y))*0.62*6.01*8*(10*F133^0.667)*0.079*0.1/F133)*inputs!$E$80/(10^(0.84+0.62*LOG10(inputs!$E$80)))</f>
        <v>2.1838351820029627</v>
      </c>
      <c r="Q133" s="59">
        <f>(inputs!$C$7*11.2*(10*F133^0.667)*0.5/F133)*inputs!$E$80/(10^(0.84+0.62*LOG10(inputs!$E$80)))</f>
        <v>1.1540168012419707</v>
      </c>
      <c r="R133" s="59">
        <f>(60*284*((F133/1000)^0.77)*3*24*(MAX('Min rate concentrations'!$R$3:$R$368))/F133)*(inputs!$E$73*3.4/inputs!$E$75)</f>
        <v>9.2401733011692744E-3</v>
      </c>
      <c r="S133" s="59">
        <f>(IF(inputs!$C$6="aerial",((0.025*0.112*inputs!$C$7/3.3)*(3*60*284*((F133/1000)^0.77))*MAX(inputs!$H$14:$H$16))/F133,((0.0083*0.112*inputs!$C$7/1)*(3*60*284*((F133/1000)^0.77))*MAX(inputs!$H$14:$H$16))/F133))*(inputs!E$75*3.4/inputs!$E$73)</f>
        <v>5.0960123456573081E-2</v>
      </c>
      <c r="T133" s="63">
        <f>IF((((inputs!$P$12/(V133/MAX(K133:S133)))^(1/inputs!$O$12))-1)/inputs!$N$12&lt;0, 0, IF((((inputs!$P$12/(V133/MAX(K133:S133)))^(1/inputs!$O$12))-1)/inputs!$N$12&gt;inputs!$H$17, inputs!$H$17, (((inputs!$P$12/(V133/MAX(K133:S133)))^(1/inputs!$O$12))-1)/inputs!$N$12))</f>
        <v>177.30705231338649</v>
      </c>
      <c r="U133" s="63">
        <f>IF((((inputs!$P$12/(X133/MAX(K133:S133)))^(1/inputs!$O$12))-1)/inputs!$N$12&lt;0, 0, IF((((inputs!$P$12/(X133/MAX(K133:S133)))^(1/inputs!$O$12))-1)/inputs!$N$12&gt;inputs!$H$17, inputs!$H$17, (((inputs!$P$12/(X133/MAX(K133:S133)))^(1/inputs!$O$12))-1)/inputs!$N$12))</f>
        <v>0</v>
      </c>
      <c r="V133" s="21">
        <f>inputs!$E$78*(F133/inputs!$F$78)^(inputs!$E$84-1)</f>
        <v>2.4149490696052035E-2</v>
      </c>
      <c r="W133" s="21">
        <f>inputs!$E$85*(F133/inputs!$F$85)^(inputs!$E$84-1)</f>
        <v>1.115178993077544</v>
      </c>
      <c r="X133" s="21">
        <f>inputs!$E$80*(F133/inputs!$F$80)^(inputs!$E$84-1)</f>
        <v>4.1642759868085495</v>
      </c>
      <c r="Y133" s="21">
        <f>inputs!$E$82*(F133/inputs!$F$82)^(inputs!$E$84-1)</f>
        <v>1.9192489974230829</v>
      </c>
      <c r="Z133" s="63">
        <f t="shared" si="17"/>
        <v>271.28959481865724</v>
      </c>
      <c r="AA133" s="63">
        <f t="shared" si="18"/>
        <v>5.8748466270233362</v>
      </c>
    </row>
    <row r="134" spans="1:27" x14ac:dyDescent="0.25">
      <c r="A134" s="103" t="s">
        <v>215</v>
      </c>
      <c r="B134" s="20" t="s">
        <v>216</v>
      </c>
      <c r="C134" s="20" t="s">
        <v>73</v>
      </c>
      <c r="D134" s="104" t="s">
        <v>217</v>
      </c>
      <c r="E134" s="15">
        <v>6901</v>
      </c>
      <c r="F134" s="15">
        <v>52.3</v>
      </c>
      <c r="G134" s="20" t="s">
        <v>154</v>
      </c>
      <c r="H134" s="20">
        <v>9.2999999999999999E-2</v>
      </c>
      <c r="I134" s="48">
        <f>MAX('Min rate concentrations'!$G$3:$G$368)</f>
        <v>7.5</v>
      </c>
      <c r="J134" s="48">
        <f>MAX('Min rate concentrations'!Z:Z)</f>
        <v>3.5</v>
      </c>
      <c r="K134" s="59">
        <f t="shared" si="14"/>
        <v>0.92920930771779675</v>
      </c>
      <c r="L134" s="59"/>
      <c r="M134" s="59">
        <f>IF((((1.18*F134^0.874)/3.7-(0.301*F134^0.751)/(1-H134)*H134)*(MAX('Min rate concentrations'!$P$3:$P$368)))/F134&gt;0, (((1.18*F134^0.874)/3.7-(0.301*F134^0.751)/(1-H134)*H134)*(MAX('Min rate concentrations'!$P$3:$P$368)))/F134, 0)</f>
        <v>2.6444008772696103E-2</v>
      </c>
      <c r="N134" s="59">
        <f>IF((((1.18*F134^0.874)/3.7-(0.301*F134^0.751)/(1-H134)*H134)*(MAX('Min rate concentrations'!$Q$3:$Q$368)))/F134&gt;0, (((1.18*F134^0.874)/3.7-(0.301*F134^0.751)/(1-H134)*H134)*(MAX('Min rate concentrations'!$Q$3:$Q$368)))/F134, 0)</f>
        <v>0.10070020628757964</v>
      </c>
      <c r="O134" s="59">
        <f>((MAX('Min rate concentrations'!$F$3:$F$368))*0.62*6.01*8*(10*F134^0.667)*0.079*0.1/F134)*inputs!$E$80/(10^(0.84+0.62*LOG10(inputs!$E$80)))</f>
        <v>6.5515055460088893</v>
      </c>
      <c r="P134" s="59">
        <f>((MAX('Min rate concentrations'!Y:Y))*0.62*6.01*8*(10*F134^0.667)*0.079*0.1/F134)*inputs!$E$80/(10^(0.84+0.62*LOG10(inputs!$E$80)))</f>
        <v>2.1838351820029627</v>
      </c>
      <c r="Q134" s="59">
        <f>(inputs!$C$7*11.2*(10*F134^0.667)*0.5/F134)*inputs!$E$80/(10^(0.84+0.62*LOG10(inputs!$E$80)))</f>
        <v>1.1540168012419707</v>
      </c>
      <c r="R134" s="59">
        <f>(60*284*((F134/1000)^0.77)*3*24*(MAX('Min rate concentrations'!$R$3:$R$368))/F134)*(inputs!$E$73*3.4/inputs!$E$75)</f>
        <v>9.2401733011692744E-3</v>
      </c>
      <c r="S134" s="59">
        <f>(IF(inputs!$C$6="aerial",((0.025*0.112*inputs!$C$7/3.3)*(3*60*284*((F134/1000)^0.77))*MAX(inputs!$H$14:$H$16))/F134,((0.0083*0.112*inputs!$C$7/1)*(3*60*284*((F134/1000)^0.77))*MAX(inputs!$H$14:$H$16))/F134))*(inputs!E$75*3.4/inputs!$E$73)</f>
        <v>5.0960123456573081E-2</v>
      </c>
      <c r="T134" s="63">
        <f>IF((((inputs!$P$12/(V134/MAX(K134:S134)))^(1/inputs!$O$12))-1)/inputs!$N$12&lt;0, 0, IF((((inputs!$P$12/(V134/MAX(K134:S134)))^(1/inputs!$O$12))-1)/inputs!$N$12&gt;inputs!$H$17, inputs!$H$17, (((inputs!$P$12/(V134/MAX(K134:S134)))^(1/inputs!$O$12))-1)/inputs!$N$12))</f>
        <v>177.30705231338649</v>
      </c>
      <c r="U134" s="63">
        <f>IF((((inputs!$P$12/(X134/MAX(K134:S134)))^(1/inputs!$O$12))-1)/inputs!$N$12&lt;0, 0, IF((((inputs!$P$12/(X134/MAX(K134:S134)))^(1/inputs!$O$12))-1)/inputs!$N$12&gt;inputs!$H$17, inputs!$H$17, (((inputs!$P$12/(X134/MAX(K134:S134)))^(1/inputs!$O$12))-1)/inputs!$N$12))</f>
        <v>0</v>
      </c>
      <c r="V134" s="21">
        <f>inputs!$E$78*(F134/inputs!$F$78)^(inputs!$E$84-1)</f>
        <v>2.4149490696052035E-2</v>
      </c>
      <c r="W134" s="21">
        <f>inputs!$E$85*(F134/inputs!$F$85)^(inputs!$E$84-1)</f>
        <v>1.115178993077544</v>
      </c>
      <c r="X134" s="21">
        <f>inputs!$E$80*(F134/inputs!$F$80)^(inputs!$E$84-1)</f>
        <v>4.1642759868085495</v>
      </c>
      <c r="Y134" s="21">
        <f>inputs!$E$82*(F134/inputs!$F$82)^(inputs!$E$84-1)</f>
        <v>1.9192489974230829</v>
      </c>
      <c r="Z134" s="63">
        <f t="shared" si="17"/>
        <v>271.28959481865724</v>
      </c>
      <c r="AA134" s="63">
        <f t="shared" si="18"/>
        <v>5.8748466270233362</v>
      </c>
    </row>
    <row r="135" spans="1:27" x14ac:dyDescent="0.25">
      <c r="A135" s="103" t="s">
        <v>315</v>
      </c>
      <c r="B135" s="20" t="s">
        <v>316</v>
      </c>
      <c r="C135" s="20" t="s">
        <v>73</v>
      </c>
      <c r="D135" s="104" t="s">
        <v>236</v>
      </c>
      <c r="E135" s="15">
        <v>125</v>
      </c>
      <c r="F135" s="15">
        <v>834</v>
      </c>
      <c r="G135" s="20" t="s">
        <v>182</v>
      </c>
      <c r="H135" s="20">
        <v>0.85</v>
      </c>
      <c r="I135" s="48">
        <f>MAX('Min rate concentrations'!$M$3:$M$368)</f>
        <v>2.8488184789681945</v>
      </c>
      <c r="J135" s="48">
        <f>MAX('Min rate concentrations'!AE:AE)</f>
        <v>1.9699276716269429</v>
      </c>
      <c r="K135" s="59">
        <f t="shared" si="14"/>
        <v>1.0709511651624823</v>
      </c>
      <c r="L135" s="59">
        <f t="shared" ref="L135:L142" si="19">((0.301*F135^0.751)/(1-H135))*J135/F135</f>
        <v>0.74055133761235459</v>
      </c>
      <c r="M135" s="59">
        <f>IF((((1.18*F135^0.874)/3.7-(0.301*F135^0.751)/(1-H135)*H135)*(MAX('Min rate concentrations'!$P$3:$P$368)))/F135&gt;0, (((1.18*F135^0.874)/3.7-(0.301*F135^0.751)/(1-H135)*H135)*(MAX('Min rate concentrations'!$P$3:$P$368)))/F135, 0)</f>
        <v>0</v>
      </c>
      <c r="N135" s="59">
        <f>IF((((1.18*F135^0.874)/3.7-(0.301*F135^0.751)/(1-H135)*H135)*(MAX('Min rate concentrations'!$Q$3:$Q$368)))/F135&gt;0, (((1.18*F135^0.874)/3.7-(0.301*F135^0.751)/(1-H135)*H135)*(MAX('Min rate concentrations'!$Q$3:$Q$368)))/F135, 0)</f>
        <v>0</v>
      </c>
      <c r="O135" s="59">
        <f>((MAX('Min rate concentrations'!$F$3:$F$368))*0.62*6.01*8*(10*F135^0.667)*0.079*0.1/F135)*inputs!$E$80/(10^(0.84+0.62*LOG10(inputs!$E$80)))</f>
        <v>2.6052768505689619</v>
      </c>
      <c r="P135" s="59">
        <f>((MAX('Min rate concentrations'!Y:Y))*0.62*6.01*8*(10*F135^0.667)*0.079*0.1/F135)*inputs!$E$80/(10^(0.84+0.62*LOG10(inputs!$E$80)))</f>
        <v>0.86842561685632025</v>
      </c>
      <c r="Q135" s="59">
        <f>(inputs!$C$7*11.2*(10*F135^0.667)*0.5/F135)*inputs!$E$80/(10^(0.84+0.62*LOG10(inputs!$E$80)))</f>
        <v>0.45890722923601862</v>
      </c>
      <c r="R135" s="59">
        <f>(60*284*((F135/1000)^0.77)*3*24*(MAX('Min rate concentrations'!$R$3:$R$368))/F135)*(inputs!$E$73*3.4/inputs!$E$75)</f>
        <v>4.887281037611906E-3</v>
      </c>
      <c r="S135" s="59">
        <f>(IF(inputs!$C$6="aerial",((0.025*0.112*inputs!$C$7/3.3)*(3*60*284*((F135/1000)^0.77))*MAX(inputs!$H$14:$H$16))/F135,((0.0083*0.112*inputs!$C$7/1)*(3*60*284*((F135/1000)^0.77))*MAX(inputs!$H$14:$H$16))/F135))*(inputs!E$75*3.4/inputs!$E$73)</f>
        <v>2.6953655188713309E-2</v>
      </c>
      <c r="T135" s="63">
        <f>IF((((inputs!$P$12/(V135/MAX(K135:S135)))^(1/inputs!$O$12))-1)/inputs!$N$12&lt;0, 0, IF((((inputs!$P$12/(V135/MAX(K135:S135)))^(1/inputs!$O$12))-1)/inputs!$N$12&gt;inputs!$H$17, inputs!$H$17, (((inputs!$P$12/(V135/MAX(K135:S135)))^(1/inputs!$O$12))-1)/inputs!$N$12))</f>
        <v>186.06483556466296</v>
      </c>
      <c r="U135" s="63">
        <f>IF((((inputs!$P$12/(X135/MAX(K135:S135)))^(1/inputs!$O$12))-1)/inputs!$N$12&lt;0, 0, IF((((inputs!$P$12/(X135/MAX(K135:S135)))^(1/inputs!$O$12))-1)/inputs!$N$12&gt;inputs!$H$17, inputs!$H$17, (((inputs!$P$12/(X135/MAX(K135:S135)))^(1/inputs!$O$12))-1)/inputs!$N$12))</f>
        <v>0</v>
      </c>
      <c r="V135" s="21">
        <f>inputs!$E$78*(F135/inputs!$F$78)^(inputs!$E$84-1)</f>
        <v>8.6680650573563271E-3</v>
      </c>
      <c r="W135" s="21">
        <f>inputs!$E$85*(F135/inputs!$F$85)^(inputs!$E$84-1)</f>
        <v>0.40027527637150312</v>
      </c>
      <c r="X135" s="21">
        <f>inputs!$E$80*(F135/inputs!$F$80)^(inputs!$E$84-1)</f>
        <v>1.4946988168302964</v>
      </c>
      <c r="Y135" s="21">
        <f>inputs!$E$82*(F135/inputs!$F$82)^(inputs!$E$84-1)</f>
        <v>0.68888306508463437</v>
      </c>
      <c r="Z135" s="63">
        <f t="shared" si="17"/>
        <v>300.5603711243424</v>
      </c>
      <c r="AA135" s="63">
        <f t="shared" si="18"/>
        <v>6.5087128892541308</v>
      </c>
    </row>
    <row r="136" spans="1:27" x14ac:dyDescent="0.25">
      <c r="A136" s="103" t="s">
        <v>315</v>
      </c>
      <c r="B136" s="20" t="s">
        <v>316</v>
      </c>
      <c r="C136" s="20" t="s">
        <v>73</v>
      </c>
      <c r="D136" s="104" t="s">
        <v>236</v>
      </c>
      <c r="E136" s="15">
        <v>125</v>
      </c>
      <c r="F136" s="15">
        <v>834</v>
      </c>
      <c r="G136" s="20" t="s">
        <v>142</v>
      </c>
      <c r="H136" s="20">
        <v>0.69</v>
      </c>
      <c r="I136" s="48">
        <f>MAX('Min rate concentrations'!$H$3:$H$368)</f>
        <v>47</v>
      </c>
      <c r="J136" s="48">
        <f>MAX('Min rate concentrations'!AA:AA)</f>
        <v>32.5</v>
      </c>
      <c r="K136" s="59">
        <f t="shared" si="14"/>
        <v>8.5493345695099752</v>
      </c>
      <c r="L136" s="59">
        <f t="shared" si="19"/>
        <v>5.9117739044483875</v>
      </c>
      <c r="M136" s="59">
        <f>IF((((1.18*F136^0.874)/3.7-(0.301*F136^0.751)/(1-H136)*H136)*(MAX('Min rate concentrations'!$P$3:$P$368)))/F136&gt;0, (((1.18*F136^0.874)/3.7-(0.301*F136^0.751)/(1-H136)*H136)*(MAX('Min rate concentrations'!$P$3:$P$368)))/F136, 0)</f>
        <v>1.6169003684566841E-3</v>
      </c>
      <c r="N136" s="59">
        <f>IF((((1.18*F136^0.874)/3.7-(0.301*F136^0.751)/(1-H136)*H136)*(MAX('Min rate concentrations'!$Q$3:$Q$368)))/F136&gt;0, (((1.18*F136^0.874)/3.7-(0.301*F136^0.751)/(1-H136)*H136)*(MAX('Min rate concentrations'!$Q$3:$Q$368)))/F136, 0)</f>
        <v>6.1572434818645333E-3</v>
      </c>
      <c r="O136" s="59">
        <f>((MAX('Min rate concentrations'!$F$3:$F$368))*0.62*6.01*8*(10*F136^0.667)*0.079*0.1/F136)*inputs!$E$80/(10^(0.84+0.62*LOG10(inputs!$E$80)))</f>
        <v>2.6052768505689619</v>
      </c>
      <c r="P136" s="59">
        <f>((MAX('Min rate concentrations'!Y:Y))*0.62*6.01*8*(10*F136^0.667)*0.079*0.1/F136)*inputs!$E$80/(10^(0.84+0.62*LOG10(inputs!$E$80)))</f>
        <v>0.86842561685632025</v>
      </c>
      <c r="Q136" s="59">
        <f>(inputs!$C$7*11.2*(10*F136^0.667)*0.5/F136)*inputs!$E$80/(10^(0.84+0.62*LOG10(inputs!$E$80)))</f>
        <v>0.45890722923601862</v>
      </c>
      <c r="R136" s="59">
        <f>(60*284*((F136/1000)^0.77)*3*24*(MAX('Min rate concentrations'!$R$3:$R$368))/F136)*(inputs!$E$73*3.4/inputs!$E$75)</f>
        <v>4.887281037611906E-3</v>
      </c>
      <c r="S136" s="59">
        <f>(IF(inputs!$C$6="aerial",((0.025*0.112*inputs!$C$7/3.3)*(3*60*284*((F136/1000)^0.77))*MAX(inputs!$H$14:$H$16))/F136,((0.0083*0.112*inputs!$C$7/1)*(3*60*284*((F136/1000)^0.77))*MAX(inputs!$H$14:$H$16))/F136))*(inputs!E$75*3.4/inputs!$E$73)</f>
        <v>2.6953655188713309E-2</v>
      </c>
      <c r="T136" s="63">
        <f>IF((((inputs!$P$12/(V136/MAX(K136:S136)))^(1/inputs!$O$12))-1)/inputs!$N$12&lt;0, 0, IF((((inputs!$P$12/(V136/MAX(K136:S136)))^(1/inputs!$O$12))-1)/inputs!$N$12&gt;inputs!$H$17, inputs!$H$17, (((inputs!$P$12/(V136/MAX(K136:S136)))^(1/inputs!$O$12))-1)/inputs!$N$12))</f>
        <v>319.40306324961273</v>
      </c>
      <c r="U136" s="63">
        <f>IF((((inputs!$P$12/(X136/MAX(K136:S136)))^(1/inputs!$O$12))-1)/inputs!$N$12&lt;0, 0, IF((((inputs!$P$12/(X136/MAX(K136:S136)))^(1/inputs!$O$12))-1)/inputs!$N$12&gt;inputs!$H$17, inputs!$H$17, (((inputs!$P$12/(X136/MAX(K136:S136)))^(1/inputs!$O$12))-1)/inputs!$N$12))</f>
        <v>14.338018558360762</v>
      </c>
      <c r="V136" s="21">
        <f>inputs!$E$78*(F136/inputs!$F$78)^(inputs!$E$84-1)</f>
        <v>8.6680650573563271E-3</v>
      </c>
      <c r="W136" s="21">
        <f>inputs!$E$85*(F136/inputs!$F$85)^(inputs!$E$84-1)</f>
        <v>0.40027527637150312</v>
      </c>
      <c r="X136" s="21">
        <f>inputs!$E$80*(F136/inputs!$F$80)^(inputs!$E$84-1)</f>
        <v>1.4946988168302964</v>
      </c>
      <c r="Y136" s="21">
        <f>inputs!$E$82*(F136/inputs!$F$82)^(inputs!$E$84-1)</f>
        <v>0.68888306508463437</v>
      </c>
      <c r="Z136" s="63">
        <f t="shared" si="17"/>
        <v>986.30253844880997</v>
      </c>
      <c r="AA136" s="63">
        <f t="shared" si="18"/>
        <v>21.358637603125842</v>
      </c>
    </row>
    <row r="137" spans="1:27" x14ac:dyDescent="0.25">
      <c r="A137" s="103" t="s">
        <v>315</v>
      </c>
      <c r="B137" s="20" t="s">
        <v>316</v>
      </c>
      <c r="C137" s="20" t="s">
        <v>73</v>
      </c>
      <c r="D137" s="104" t="s">
        <v>236</v>
      </c>
      <c r="E137" s="15">
        <v>125</v>
      </c>
      <c r="F137" s="15">
        <v>834</v>
      </c>
      <c r="G137" s="20" t="s">
        <v>164</v>
      </c>
      <c r="H137" s="20">
        <v>0.78</v>
      </c>
      <c r="I137" s="48">
        <f>inputs!$C$65*(inputs!$C$62/1000)</f>
        <v>0.82000000000000006</v>
      </c>
      <c r="J137" s="48">
        <f>inputs!$C$65*(inputs!$C$61/1000)</f>
        <v>0.25</v>
      </c>
      <c r="K137" s="59">
        <f t="shared" si="14"/>
        <v>0.21017803167982943</v>
      </c>
      <c r="L137" s="59">
        <f t="shared" si="19"/>
        <v>6.4078668195069938E-2</v>
      </c>
      <c r="M137" s="59">
        <f>IF((((1.18*F137^0.874)/3.7-(0.301*F137^0.751)/(1-H137)*H137)*(MAX('Min rate concentrations'!$P$3:$P$368)))/F137&gt;0, (((1.18*F137^0.874)/3.7-(0.301*F137^0.751)/(1-H137)*H137)*(MAX('Min rate concentrations'!$P$3:$P$368)))/F137, 0)</f>
        <v>0</v>
      </c>
      <c r="N137" s="59">
        <f>IF((((1.18*F137^0.874)/3.7-(0.301*F137^0.751)/(1-H137)*H137)*(MAX('Min rate concentrations'!$Q$3:$Q$368)))/F137&gt;0, (((1.18*F137^0.874)/3.7-(0.301*F137^0.751)/(1-H137)*H137)*(MAX('Min rate concentrations'!$Q$3:$Q$368)))/F137, 0)</f>
        <v>0</v>
      </c>
      <c r="O137" s="59">
        <f>((MAX('Min rate concentrations'!$F$3:$F$368))*0.62*6.01*8*(10*F137^0.667)*0.079*0.1/F137)*inputs!$E$80/(10^(0.84+0.62*LOG10(inputs!$E$80)))</f>
        <v>2.6052768505689619</v>
      </c>
      <c r="P137" s="59">
        <f>((MAX('Min rate concentrations'!Y:Y))*0.62*6.01*8*(10*F137^0.667)*0.079*0.1/F137)*inputs!$E$80/(10^(0.84+0.62*LOG10(inputs!$E$80)))</f>
        <v>0.86842561685632025</v>
      </c>
      <c r="Q137" s="59">
        <f>(inputs!$C$7*11.2*(10*F137^0.667)*0.5/F137)*inputs!$E$80/(10^(0.84+0.62*LOG10(inputs!$E$80)))</f>
        <v>0.45890722923601862</v>
      </c>
      <c r="R137" s="59">
        <f>(60*284*((F137/1000)^0.77)*3*24*(MAX('Min rate concentrations'!$R$3:$R$368))/F137)*(inputs!$E$73*3.4/inputs!$E$75)</f>
        <v>4.887281037611906E-3</v>
      </c>
      <c r="S137" s="59">
        <f>(IF(inputs!$C$6="aerial",((0.025*0.112*inputs!$C$7/3.3)*(3*60*284*((F137/1000)^0.77))*MAX(inputs!$H$14:$H$16))/F137,((0.0083*0.112*inputs!$C$7/1)*(3*60*284*((F137/1000)^0.77))*MAX(inputs!$H$14:$H$16))/F137))*(inputs!E$75*3.4/inputs!$E$73)</f>
        <v>2.6953655188713309E-2</v>
      </c>
      <c r="T137" s="63">
        <f>IF((((inputs!$P$12/(V137/MAX(K137:S137)))^(1/inputs!$O$12))-1)/inputs!$N$12&lt;0, 0, IF((((inputs!$P$12/(V137/MAX(K137:S137)))^(1/inputs!$O$12))-1)/inputs!$N$12&gt;inputs!$H$17, inputs!$H$17, (((inputs!$P$12/(V137/MAX(K137:S137)))^(1/inputs!$O$12))-1)/inputs!$N$12))</f>
        <v>186.06483556466296</v>
      </c>
      <c r="U137" s="63">
        <f>IF((((inputs!$P$12/(X137/MAX(K137:S137)))^(1/inputs!$O$12))-1)/inputs!$N$12&lt;0, 0, IF((((inputs!$P$12/(X137/MAX(K137:S137)))^(1/inputs!$O$12))-1)/inputs!$N$12&gt;inputs!$H$17, inputs!$H$17, (((inputs!$P$12/(X137/MAX(K137:S137)))^(1/inputs!$O$12))-1)/inputs!$N$12))</f>
        <v>0</v>
      </c>
      <c r="V137" s="21">
        <f>inputs!$E$78*(F137/inputs!$F$78)^(inputs!$E$84-1)</f>
        <v>8.6680650573563271E-3</v>
      </c>
      <c r="W137" s="21">
        <f>inputs!$E$85*(F137/inputs!$F$85)^(inputs!$E$84-1)</f>
        <v>0.40027527637150312</v>
      </c>
      <c r="X137" s="21">
        <f>inputs!$E$80*(F137/inputs!$F$80)^(inputs!$E$84-1)</f>
        <v>1.4946988168302964</v>
      </c>
      <c r="Y137" s="21">
        <f>inputs!$E$82*(F137/inputs!$F$82)^(inputs!$E$84-1)</f>
        <v>0.68888306508463437</v>
      </c>
      <c r="Z137" s="63">
        <f t="shared" si="17"/>
        <v>300.5603711243424</v>
      </c>
      <c r="AA137" s="63">
        <f t="shared" si="18"/>
        <v>6.5087128892541308</v>
      </c>
    </row>
    <row r="138" spans="1:27" x14ac:dyDescent="0.25">
      <c r="A138" s="103" t="s">
        <v>315</v>
      </c>
      <c r="B138" s="20" t="s">
        <v>316</v>
      </c>
      <c r="C138" s="20" t="s">
        <v>73</v>
      </c>
      <c r="D138" s="104" t="s">
        <v>236</v>
      </c>
      <c r="E138" s="15">
        <v>125</v>
      </c>
      <c r="F138" s="15">
        <v>834</v>
      </c>
      <c r="G138" s="20" t="s">
        <v>138</v>
      </c>
      <c r="H138" s="20">
        <v>0.68</v>
      </c>
      <c r="I138" s="48">
        <f>MAX('Min rate concentrations'!$L$3:$L$368)</f>
        <v>58.421240152220811</v>
      </c>
      <c r="J138" s="48">
        <f>MAX('Min rate concentrations'!AD:AD)</f>
        <v>40.397666062705881</v>
      </c>
      <c r="K138" s="59">
        <f t="shared" si="14"/>
        <v>10.294776973961302</v>
      </c>
      <c r="L138" s="59">
        <f t="shared" si="19"/>
        <v>7.1187287585902626</v>
      </c>
      <c r="M138" s="59">
        <f>IF((((1.18*F138^0.874)/3.7-(0.301*F138^0.751)/(1-H138)*H138)*(MAX('Min rate concentrations'!$P$3:$P$368)))/F138&gt;0, (((1.18*F138^0.874)/3.7-(0.301*F138^0.751)/(1-H138)*H138)*(MAX('Min rate concentrations'!$P$3:$P$368)))/F138, 0)</f>
        <v>2.441979543069957E-3</v>
      </c>
      <c r="N138" s="59">
        <f>IF((((1.18*F138^0.874)/3.7-(0.301*F138^0.751)/(1-H138)*H138)*(MAX('Min rate concentrations'!$Q$3:$Q$368)))/F138&gt;0, (((1.18*F138^0.874)/3.7-(0.301*F138^0.751)/(1-H138)*H138)*(MAX('Min rate concentrations'!$Q$3:$Q$368)))/F138, 0)</f>
        <v>9.2991893116862942E-3</v>
      </c>
      <c r="O138" s="59">
        <f>((MAX('Min rate concentrations'!$F$3:$F$368))*0.62*6.01*8*(10*F138^0.667)*0.079*0.1/F138)*inputs!$E$80/(10^(0.84+0.62*LOG10(inputs!$E$80)))</f>
        <v>2.6052768505689619</v>
      </c>
      <c r="P138" s="59">
        <f>((MAX('Min rate concentrations'!Y:Y))*0.62*6.01*8*(10*F138^0.667)*0.079*0.1/F138)*inputs!$E$80/(10^(0.84+0.62*LOG10(inputs!$E$80)))</f>
        <v>0.86842561685632025</v>
      </c>
      <c r="Q138" s="59">
        <f>(inputs!$C$7*11.2*(10*F138^0.667)*0.5/F138)*inputs!$E$80/(10^(0.84+0.62*LOG10(inputs!$E$80)))</f>
        <v>0.45890722923601862</v>
      </c>
      <c r="R138" s="59">
        <f>(60*284*((F138/1000)^0.77)*3*24*(MAX('Min rate concentrations'!$R$3:$R$368))/F138)*(inputs!$E$73*3.4/inputs!$E$75)</f>
        <v>4.887281037611906E-3</v>
      </c>
      <c r="S138" s="59">
        <f>(IF(inputs!$C$6="aerial",((0.025*0.112*inputs!$C$7/3.3)*(3*60*284*((F138/1000)^0.77))*MAX(inputs!$H$14:$H$16))/F138,((0.0083*0.112*inputs!$C$7/1)*(3*60*284*((F138/1000)^0.77))*MAX(inputs!$H$14:$H$16))/F138))*(inputs!E$75*3.4/inputs!$E$73)</f>
        <v>2.6953655188713309E-2</v>
      </c>
      <c r="T138" s="63">
        <f>IF((((inputs!$P$12/(V138/MAX(K138:S138)))^(1/inputs!$O$12))-1)/inputs!$N$12&lt;0, 0, IF((((inputs!$P$12/(V138/MAX(K138:S138)))^(1/inputs!$O$12))-1)/inputs!$N$12&gt;inputs!$H$17, inputs!$H$17, (((inputs!$P$12/(V138/MAX(K138:S138)))^(1/inputs!$O$12))-1)/inputs!$N$12))</f>
        <v>346.71021472001752</v>
      </c>
      <c r="U138" s="63">
        <f>IF((((inputs!$P$12/(X138/MAX(K138:S138)))^(1/inputs!$O$12))-1)/inputs!$N$12&lt;0, 0, IF((((inputs!$P$12/(X138/MAX(K138:S138)))^(1/inputs!$O$12))-1)/inputs!$N$12&gt;inputs!$H$17, inputs!$H$17, (((inputs!$P$12/(X138/MAX(K138:S138)))^(1/inputs!$O$12))-1)/inputs!$N$12))</f>
        <v>17.699717872606541</v>
      </c>
      <c r="V138" s="21">
        <f>inputs!$E$78*(F138/inputs!$F$78)^(inputs!$E$84-1)</f>
        <v>8.6680650573563271E-3</v>
      </c>
      <c r="W138" s="21">
        <f>inputs!$E$85*(F138/inputs!$F$85)^(inputs!$E$84-1)</f>
        <v>0.40027527637150312</v>
      </c>
      <c r="X138" s="21">
        <f>inputs!$E$80*(F138/inputs!$F$80)^(inputs!$E$84-1)</f>
        <v>1.4946988168302964</v>
      </c>
      <c r="Y138" s="21">
        <f>inputs!$E$82*(F138/inputs!$F$82)^(inputs!$E$84-1)</f>
        <v>0.68888306508463437</v>
      </c>
      <c r="Z138" s="63">
        <f t="shared" si="17"/>
        <v>1187.6672482083452</v>
      </c>
      <c r="AA138" s="63">
        <f t="shared" si="18"/>
        <v>25.719242685392647</v>
      </c>
    </row>
    <row r="139" spans="1:27" x14ac:dyDescent="0.25">
      <c r="A139" s="103" t="s">
        <v>315</v>
      </c>
      <c r="B139" s="20" t="s">
        <v>316</v>
      </c>
      <c r="C139" s="20" t="s">
        <v>73</v>
      </c>
      <c r="D139" s="104" t="s">
        <v>236</v>
      </c>
      <c r="E139" s="15">
        <v>125</v>
      </c>
      <c r="F139" s="15">
        <v>834</v>
      </c>
      <c r="G139" s="20" t="s">
        <v>218</v>
      </c>
      <c r="H139" s="20">
        <v>0.68</v>
      </c>
      <c r="I139" s="48">
        <f>MAX('Min rate concentrations'!$K$3:$K$368)</f>
        <v>18.333393099490852</v>
      </c>
      <c r="J139" s="48">
        <f>MAX('Min rate concentrations'!AC:AC)</f>
        <v>6.4930767227363431</v>
      </c>
      <c r="K139" s="59">
        <f t="shared" si="14"/>
        <v>3.2306433866081634</v>
      </c>
      <c r="L139" s="59">
        <f t="shared" si="19"/>
        <v>1.1441861994237243</v>
      </c>
      <c r="M139" s="59">
        <f>IF((((1.18*F139^0.874)/3.7-(0.301*F139^0.751)/(1-H139)*H139)*(MAX('Min rate concentrations'!$P$3:$P$368)))/F139&gt;0, (((1.18*F139^0.874)/3.7-(0.301*F139^0.751)/(1-H139)*H139)*(MAX('Min rate concentrations'!$P$3:$P$368)))/F139, 0)</f>
        <v>2.441979543069957E-3</v>
      </c>
      <c r="N139" s="59">
        <f>IF((((1.18*F139^0.874)/3.7-(0.301*F139^0.751)/(1-H139)*H139)*(MAX('Min rate concentrations'!$Q$3:$Q$368)))/F139&gt;0, (((1.18*F139^0.874)/3.7-(0.301*F139^0.751)/(1-H139)*H139)*(MAX('Min rate concentrations'!$Q$3:$Q$368)))/F139, 0)</f>
        <v>9.2991893116862942E-3</v>
      </c>
      <c r="O139" s="59">
        <f>((MAX('Min rate concentrations'!$F$3:$F$368))*0.62*6.01*8*(10*F139^0.667)*0.079*0.1/F139)*inputs!$E$80/(10^(0.84+0.62*LOG10(inputs!$E$80)))</f>
        <v>2.6052768505689619</v>
      </c>
      <c r="P139" s="59">
        <f>((MAX('Min rate concentrations'!Y:Y))*0.62*6.01*8*(10*F139^0.667)*0.079*0.1/F139)*inputs!$E$80/(10^(0.84+0.62*LOG10(inputs!$E$80)))</f>
        <v>0.86842561685632025</v>
      </c>
      <c r="Q139" s="59">
        <f>(inputs!$C$7*11.2*(10*F139^0.667)*0.5/F139)*inputs!$E$80/(10^(0.84+0.62*LOG10(inputs!$E$80)))</f>
        <v>0.45890722923601862</v>
      </c>
      <c r="R139" s="59">
        <f>(60*284*((F139/1000)^0.77)*3*24*(MAX('Min rate concentrations'!$R$3:$R$368))/F139)*(inputs!$E$73*3.4/inputs!$E$75)</f>
        <v>4.887281037611906E-3</v>
      </c>
      <c r="S139" s="59">
        <f>(IF(inputs!$C$6="aerial",((0.025*0.112*inputs!$C$7/3.3)*(3*60*284*((F139/1000)^0.77))*MAX(inputs!$H$14:$H$16))/F139,((0.0083*0.112*inputs!$C$7/1)*(3*60*284*((F139/1000)^0.77))*MAX(inputs!$H$14:$H$16))/F139))*(inputs!E$75*3.4/inputs!$E$73)</f>
        <v>2.6953655188713309E-2</v>
      </c>
      <c r="T139" s="63">
        <f>IF((((inputs!$P$12/(V139/MAX(K139:S139)))^(1/inputs!$O$12))-1)/inputs!$N$12&lt;0, 0, IF((((inputs!$P$12/(V139/MAX(K139:S139)))^(1/inputs!$O$12))-1)/inputs!$N$12&gt;inputs!$H$17, inputs!$H$17, (((inputs!$P$12/(V139/MAX(K139:S139)))^(1/inputs!$O$12))-1)/inputs!$N$12))</f>
        <v>205.68563375854981</v>
      </c>
      <c r="U139" s="63">
        <f>IF((((inputs!$P$12/(X139/MAX(K139:S139)))^(1/inputs!$O$12))-1)/inputs!$N$12&lt;0, 0, IF((((inputs!$P$12/(X139/MAX(K139:S139)))^(1/inputs!$O$12))-1)/inputs!$N$12&gt;inputs!$H$17, inputs!$H$17, (((inputs!$P$12/(X139/MAX(K139:S139)))^(1/inputs!$O$12))-1)/inputs!$N$12))</f>
        <v>0.338616051943671</v>
      </c>
      <c r="V139" s="21">
        <f>inputs!$E$78*(F139/inputs!$F$78)^(inputs!$E$84-1)</f>
        <v>8.6680650573563271E-3</v>
      </c>
      <c r="W139" s="21">
        <f>inputs!$E$85*(F139/inputs!$F$85)^(inputs!$E$84-1)</f>
        <v>0.40027527637150312</v>
      </c>
      <c r="X139" s="21">
        <f>inputs!$E$80*(F139/inputs!$F$80)^(inputs!$E$84-1)</f>
        <v>1.4946988168302964</v>
      </c>
      <c r="Y139" s="21">
        <f>inputs!$E$82*(F139/inputs!$F$82)^(inputs!$E$84-1)</f>
        <v>0.68888306508463437</v>
      </c>
      <c r="Z139" s="63">
        <f t="shared" si="17"/>
        <v>372.70640739670188</v>
      </c>
      <c r="AA139" s="63">
        <f t="shared" si="18"/>
        <v>8.0710540403443289</v>
      </c>
    </row>
    <row r="140" spans="1:27" x14ac:dyDescent="0.25">
      <c r="A140" s="103" t="s">
        <v>315</v>
      </c>
      <c r="B140" s="20" t="s">
        <v>316</v>
      </c>
      <c r="C140" s="20" t="s">
        <v>73</v>
      </c>
      <c r="D140" s="104" t="s">
        <v>236</v>
      </c>
      <c r="E140" s="15">
        <v>125</v>
      </c>
      <c r="F140" s="15">
        <v>834</v>
      </c>
      <c r="G140" s="49" t="s">
        <v>186</v>
      </c>
      <c r="H140" s="49">
        <v>0.75</v>
      </c>
      <c r="I140" s="48">
        <f>inputs!$C$65*inputs!$C$64/1000</f>
        <v>2.13</v>
      </c>
      <c r="J140" s="48">
        <f>inputs!$C$65*inputs!$C$63/1000</f>
        <v>0.88</v>
      </c>
      <c r="K140" s="59">
        <f t="shared" si="14"/>
        <v>0.48043622265935637</v>
      </c>
      <c r="L140" s="59">
        <f t="shared" si="19"/>
        <v>0.19849008260104864</v>
      </c>
      <c r="M140" s="59">
        <f>IF((((1.18*F140^0.874)/3.7-(0.301*F140^0.751)/(1-H140)*H140)*(MAX('Min rate concentrations'!$P$3:$P$368)))/F140&gt;0, (((1.18*F140^0.874)/3.7-(0.301*F140^0.751)/(1-H140)*H140)*(MAX('Min rate concentrations'!$P$3:$P$368)))/F140, 0)</f>
        <v>0</v>
      </c>
      <c r="N140" s="59">
        <f>IF((((1.18*F140^0.874)/3.7-(0.301*F140^0.751)/(1-H140)*H140)*(MAX('Min rate concentrations'!$Q$3:$Q$368)))/F140&gt;0, (((1.18*F140^0.874)/3.7-(0.301*F140^0.751)/(1-H140)*H140)*(MAX('Min rate concentrations'!$Q$3:$Q$368)))/F140, 0)</f>
        <v>0</v>
      </c>
      <c r="O140" s="59">
        <f>((MAX('Min rate concentrations'!$F$3:$F$368))*0.62*6.01*8*(10*F140^0.667)*0.079*0.1/F140)*inputs!$E$80/(10^(0.84+0.62*LOG10(inputs!$E$80)))</f>
        <v>2.6052768505689619</v>
      </c>
      <c r="P140" s="59">
        <f>((MAX('Min rate concentrations'!Y:Y))*0.62*6.01*8*(10*F140^0.667)*0.079*0.1/F140)*inputs!$E$80/(10^(0.84+0.62*LOG10(inputs!$E$80)))</f>
        <v>0.86842561685632025</v>
      </c>
      <c r="Q140" s="59">
        <f>(inputs!$C$7*11.2*(10*F140^0.667)*0.5/F140)*inputs!$E$80/(10^(0.84+0.62*LOG10(inputs!$E$80)))</f>
        <v>0.45890722923601862</v>
      </c>
      <c r="R140" s="59">
        <f>(60*284*((F140/1000)^0.77)*3*24*(MAX('Min rate concentrations'!$R$3:$R$368))/F140)*(inputs!$E$73*3.4/inputs!$E$75)</f>
        <v>4.887281037611906E-3</v>
      </c>
      <c r="S140" s="59">
        <f>(IF(inputs!$C$6="aerial",((0.025*0.112*inputs!$C$7/3.3)*(3*60*284*((F140/1000)^0.77))*MAX(inputs!$H$14:$H$16))/F140,((0.0083*0.112*inputs!$C$7/1)*(3*60*284*((F140/1000)^0.77))*MAX(inputs!$H$14:$H$16))/F140))*(inputs!E$75*3.4/inputs!$E$73)</f>
        <v>2.6953655188713309E-2</v>
      </c>
      <c r="T140" s="63">
        <f>IF((((inputs!$P$12/(V140/MAX(K140:S140)))^(1/inputs!$O$12))-1)/inputs!$N$12&lt;0, 0, IF((((inputs!$P$12/(V140/MAX(K140:S140)))^(1/inputs!$O$12))-1)/inputs!$N$12&gt;inputs!$H$17, inputs!$H$17, (((inputs!$P$12/(V140/MAX(K140:S140)))^(1/inputs!$O$12))-1)/inputs!$N$12))</f>
        <v>186.06483556466296</v>
      </c>
      <c r="U140" s="63">
        <f>IF((((inputs!$P$12/(X140/MAX(K140:S140)))^(1/inputs!$O$12))-1)/inputs!$N$12&lt;0, 0, IF((((inputs!$P$12/(X140/MAX(K140:S140)))^(1/inputs!$O$12))-1)/inputs!$N$12&gt;inputs!$H$17, inputs!$H$17, (((inputs!$P$12/(X140/MAX(K140:S140)))^(1/inputs!$O$12))-1)/inputs!$N$12))</f>
        <v>0</v>
      </c>
      <c r="V140" s="21">
        <f>inputs!$E$78*(F140/inputs!$F$78)^(inputs!$E$84-1)</f>
        <v>8.6680650573563271E-3</v>
      </c>
      <c r="W140" s="21">
        <f>inputs!$E$85*(F140/inputs!$F$85)^(inputs!$E$84-1)</f>
        <v>0.40027527637150312</v>
      </c>
      <c r="X140" s="21">
        <f>inputs!$E$80*(F140/inputs!$F$80)^(inputs!$E$84-1)</f>
        <v>1.4946988168302964</v>
      </c>
      <c r="Y140" s="21">
        <f>inputs!$E$82*(F140/inputs!$F$82)^(inputs!$E$84-1)</f>
        <v>0.68888306508463437</v>
      </c>
      <c r="Z140" s="63">
        <f t="shared" si="17"/>
        <v>300.5603711243424</v>
      </c>
      <c r="AA140" s="63">
        <f t="shared" si="18"/>
        <v>6.5087128892541308</v>
      </c>
    </row>
    <row r="141" spans="1:27" x14ac:dyDescent="0.25">
      <c r="A141" s="103" t="s">
        <v>315</v>
      </c>
      <c r="B141" s="20" t="s">
        <v>316</v>
      </c>
      <c r="C141" s="20" t="s">
        <v>73</v>
      </c>
      <c r="D141" s="104" t="s">
        <v>236</v>
      </c>
      <c r="E141" s="15">
        <v>125</v>
      </c>
      <c r="F141" s="15">
        <v>834</v>
      </c>
      <c r="G141" s="21" t="s">
        <v>456</v>
      </c>
      <c r="H141" s="20">
        <v>0.68</v>
      </c>
      <c r="I141" s="48">
        <f>MAX('Min rate concentrations'!$J$3:$J$368)</f>
        <v>114.4108103430513</v>
      </c>
      <c r="J141" s="48">
        <f>MAX('Min rate concentrations'!AB:AB)</f>
        <v>40.520495329830666</v>
      </c>
      <c r="K141" s="59">
        <f t="shared" si="14"/>
        <v>20.161053973229016</v>
      </c>
      <c r="L141" s="59">
        <f t="shared" si="19"/>
        <v>7.1403732821852772</v>
      </c>
      <c r="M141" s="59">
        <f>IF((((1.18*F141^0.874)/3.7-(0.301*F141^0.751)/(1-H141)*H141)*(MAX('Min rate concentrations'!$P$3:$P$368)))/F141&gt;0, (((1.18*F141^0.874)/3.7-(0.301*F141^0.751)/(1-H141)*H141)*(MAX('Min rate concentrations'!$P$3:$P$368)))/F141, 0)</f>
        <v>2.441979543069957E-3</v>
      </c>
      <c r="N141" s="59">
        <f>IF((((1.18*F141^0.874)/3.7-(0.301*F141^0.751)/(1-H141)*H141)*(MAX('Min rate concentrations'!$Q$3:$Q$368)))/F141&gt;0, (((1.18*F141^0.874)/3.7-(0.301*F141^0.751)/(1-H141)*H141)*(MAX('Min rate concentrations'!$Q$3:$Q$368)))/F141, 0)</f>
        <v>9.2991893116862942E-3</v>
      </c>
      <c r="O141" s="59">
        <f>((MAX('Min rate concentrations'!$F$3:$F$368))*0.62*6.01*8*(10*F141^0.667)*0.079*0.1/F141)*inputs!$E$80/(10^(0.84+0.62*LOG10(inputs!$E$80)))</f>
        <v>2.6052768505689619</v>
      </c>
      <c r="P141" s="59">
        <f>((MAX('Min rate concentrations'!Y:Y))*0.62*6.01*8*(10*F141^0.667)*0.079*0.1/F141)*inputs!$E$80/(10^(0.84+0.62*LOG10(inputs!$E$80)))</f>
        <v>0.86842561685632025</v>
      </c>
      <c r="Q141" s="59">
        <f>(inputs!$C$7*11.2*(10*F141^0.667)*0.5/F141)*inputs!$E$80/(10^(0.84+0.62*LOG10(inputs!$E$80)))</f>
        <v>0.45890722923601862</v>
      </c>
      <c r="R141" s="59">
        <f>(60*284*((F141/1000)^0.77)*3*24*(MAX('Min rate concentrations'!$R$3:$R$368))/F141)*(inputs!$E$73*3.4/inputs!$E$75)</f>
        <v>4.887281037611906E-3</v>
      </c>
      <c r="S141" s="59">
        <f>(IF(inputs!$C$6="aerial",((0.025*0.112*inputs!$C$7/3.3)*(3*60*284*((F141/1000)^0.77))*MAX(inputs!$H$14:$H$16))/F141,((0.0083*0.112*inputs!$C$7/1)*(3*60*284*((F141/1000)^0.77))*MAX(inputs!$H$14:$H$16))/F141))*(inputs!E$75*3.4/inputs!$E$73)</f>
        <v>2.6953655188713309E-2</v>
      </c>
      <c r="T141" s="63">
        <f>IF((((inputs!$P$12/(V141/MAX(K141:S141)))^(1/inputs!$O$12))-1)/inputs!$N$12&lt;0, 0, IF((((inputs!$P$12/(V141/MAX(K141:S141)))^(1/inputs!$O$12))-1)/inputs!$N$12&gt;inputs!$H$17, inputs!$H$17, (((inputs!$P$12/(V141/MAX(K141:S141)))^(1/inputs!$O$12))-1)/inputs!$N$12))</f>
        <v>464.66981539611555</v>
      </c>
      <c r="U141" s="63">
        <f>IF((((inputs!$P$12/(X141/MAX(K141:S141)))^(1/inputs!$O$12))-1)/inputs!$N$12&lt;0, 0, IF((((inputs!$P$12/(X141/MAX(K141:S141)))^(1/inputs!$O$12))-1)/inputs!$N$12&gt;inputs!$H$17, inputs!$H$17, (((inputs!$P$12/(X141/MAX(K141:S141)))^(1/inputs!$O$12))-1)/inputs!$N$12))</f>
        <v>32.221361008153423</v>
      </c>
      <c r="V141" s="21">
        <f>inputs!$E$78*(F141/inputs!$F$78)^(inputs!$E$84-1)</f>
        <v>8.6680650573563271E-3</v>
      </c>
      <c r="W141" s="21">
        <f>inputs!$E$85*(F141/inputs!$F$85)^(inputs!$E$84-1)</f>
        <v>0.40027527637150312</v>
      </c>
      <c r="X141" s="21">
        <f>inputs!$E$80*(F141/inputs!$F$80)^(inputs!$E$84-1)</f>
        <v>1.4946988168302964</v>
      </c>
      <c r="Y141" s="21">
        <f>inputs!$E$82*(F141/inputs!$F$82)^(inputs!$E$84-1)</f>
        <v>0.68888306508463437</v>
      </c>
      <c r="Z141" s="63">
        <f t="shared" si="17"/>
        <v>2325.9001680102683</v>
      </c>
      <c r="AA141" s="63">
        <f t="shared" si="18"/>
        <v>50.367972151537927</v>
      </c>
    </row>
    <row r="142" spans="1:27" x14ac:dyDescent="0.25">
      <c r="A142" s="103" t="s">
        <v>315</v>
      </c>
      <c r="B142" s="20" t="s">
        <v>316</v>
      </c>
      <c r="C142" s="20" t="s">
        <v>73</v>
      </c>
      <c r="D142" s="104" t="s">
        <v>236</v>
      </c>
      <c r="E142" s="15">
        <v>125</v>
      </c>
      <c r="F142" s="15">
        <v>834</v>
      </c>
      <c r="G142" s="20" t="s">
        <v>145</v>
      </c>
      <c r="H142" s="20">
        <v>0.66</v>
      </c>
      <c r="I142" s="48">
        <f>MAX('Min rate concentrations'!$M$3:$M$368)</f>
        <v>2.8488184789681945</v>
      </c>
      <c r="J142" s="48">
        <f>MAX('Min rate concentrations'!AE:AE)</f>
        <v>1.9699276716269429</v>
      </c>
      <c r="K142" s="59">
        <f t="shared" si="14"/>
        <v>0.47247845521874232</v>
      </c>
      <c r="L142" s="59">
        <f t="shared" si="19"/>
        <v>0.32671382541721539</v>
      </c>
      <c r="M142" s="59">
        <f>IF((((1.18*F142^0.874)/3.7-(0.301*F142^0.751)/(1-H142)*H142)*(MAX('Min rate concentrations'!$P$3:$P$368)))/F142&gt;0, (((1.18*F142^0.874)/3.7-(0.301*F142^0.751)/(1-H142)*H142)*(MAX('Min rate concentrations'!$P$3:$P$368)))/F142, 0)</f>
        <v>3.9465356850118261E-3</v>
      </c>
      <c r="N142" s="59">
        <f>IF((((1.18*F142^0.874)/3.7-(0.301*F142^0.751)/(1-H142)*H142)*(MAX('Min rate concentrations'!$Q$3:$Q$368)))/F142&gt;0, (((1.18*F142^0.874)/3.7-(0.301*F142^0.751)/(1-H142)*H142)*(MAX('Min rate concentrations'!$Q$3:$Q$368)))/F142, 0)</f>
        <v>1.5028619942537805E-2</v>
      </c>
      <c r="O142" s="59">
        <f>((MAX('Min rate concentrations'!$F$3:$F$368))*0.62*6.01*8*(10*F142^0.667)*0.079*0.1/F142)*inputs!$E$80/(10^(0.84+0.62*LOG10(inputs!$E$80)))</f>
        <v>2.6052768505689619</v>
      </c>
      <c r="P142" s="59">
        <f>((MAX('Min rate concentrations'!Y:Y))*0.62*6.01*8*(10*F142^0.667)*0.079*0.1/F142)*inputs!$E$80/(10^(0.84+0.62*LOG10(inputs!$E$80)))</f>
        <v>0.86842561685632025</v>
      </c>
      <c r="Q142" s="59">
        <f>(inputs!$C$7*11.2*(10*F142^0.667)*0.5/F142)*inputs!$E$80/(10^(0.84+0.62*LOG10(inputs!$E$80)))</f>
        <v>0.45890722923601862</v>
      </c>
      <c r="R142" s="59">
        <f>(60*284*((F142/1000)^0.77)*3*24*(MAX('Min rate concentrations'!$R$3:$R$368))/F142)*(inputs!$E$73*3.4/inputs!$E$75)</f>
        <v>4.887281037611906E-3</v>
      </c>
      <c r="S142" s="59">
        <f>(IF(inputs!$C$6="aerial",((0.025*0.112*inputs!$C$7/3.3)*(3*60*284*((F142/1000)^0.77))*MAX(inputs!$H$14:$H$16))/F142,((0.0083*0.112*inputs!$C$7/1)*(3*60*284*((F142/1000)^0.77))*MAX(inputs!$H$14:$H$16))/F142))*(inputs!E$75*3.4/inputs!$E$73)</f>
        <v>2.6953655188713309E-2</v>
      </c>
      <c r="T142" s="63">
        <f>IF((((inputs!$P$12/(V142/MAX(K142:S142)))^(1/inputs!$O$12))-1)/inputs!$N$12&lt;0, 0, IF((((inputs!$P$12/(V142/MAX(K142:S142)))^(1/inputs!$O$12))-1)/inputs!$N$12&gt;inputs!$H$17, inputs!$H$17, (((inputs!$P$12/(V142/MAX(K142:S142)))^(1/inputs!$O$12))-1)/inputs!$N$12))</f>
        <v>186.06483556466296</v>
      </c>
      <c r="U142" s="63">
        <f>IF((((inputs!$P$12/(X142/MAX(K142:S142)))^(1/inputs!$O$12))-1)/inputs!$N$12&lt;0, 0, IF((((inputs!$P$12/(X142/MAX(K142:S142)))^(1/inputs!$O$12))-1)/inputs!$N$12&gt;inputs!$H$17, inputs!$H$17, (((inputs!$P$12/(X142/MAX(K142:S142)))^(1/inputs!$O$12))-1)/inputs!$N$12))</f>
        <v>0</v>
      </c>
      <c r="V142" s="21">
        <f>inputs!$E$78*(F142/inputs!$F$78)^(inputs!$E$84-1)</f>
        <v>8.6680650573563271E-3</v>
      </c>
      <c r="W142" s="21">
        <f>inputs!$E$85*(F142/inputs!$F$85)^(inputs!$E$84-1)</f>
        <v>0.40027527637150312</v>
      </c>
      <c r="X142" s="21">
        <f>inputs!$E$80*(F142/inputs!$F$80)^(inputs!$E$84-1)</f>
        <v>1.4946988168302964</v>
      </c>
      <c r="Y142" s="21">
        <f>inputs!$E$82*(F142/inputs!$F$82)^(inputs!$E$84-1)</f>
        <v>0.68888306508463437</v>
      </c>
      <c r="Z142" s="63">
        <f t="shared" si="17"/>
        <v>300.5603711243424</v>
      </c>
      <c r="AA142" s="63">
        <f t="shared" si="18"/>
        <v>6.5087128892541308</v>
      </c>
    </row>
    <row r="143" spans="1:27" x14ac:dyDescent="0.25">
      <c r="A143" s="103" t="s">
        <v>315</v>
      </c>
      <c r="B143" s="20" t="s">
        <v>316</v>
      </c>
      <c r="C143" s="20" t="s">
        <v>73</v>
      </c>
      <c r="D143" s="104" t="s">
        <v>236</v>
      </c>
      <c r="E143" s="15">
        <v>125</v>
      </c>
      <c r="F143" s="15">
        <v>834</v>
      </c>
      <c r="G143" s="20" t="s">
        <v>146</v>
      </c>
      <c r="H143" s="20">
        <v>0.84</v>
      </c>
      <c r="I143" s="48">
        <f>MAX('Min rate concentrations'!$I$3:$I$368)</f>
        <v>9.4775690500787988</v>
      </c>
      <c r="J143" s="48" t="s">
        <v>13</v>
      </c>
      <c r="K143" s="59">
        <f t="shared" si="14"/>
        <v>3.3402050135072487</v>
      </c>
      <c r="L143" s="48" t="s">
        <v>13</v>
      </c>
      <c r="M143" s="59">
        <f>IF((((1.18*F143^0.874)/3.7-(0.301*F143^0.751)/(1-H143)*H143)*(MAX('Min rate concentrations'!$P$3:$P$368)))/F143&gt;0, (((1.18*F143^0.874)/3.7-(0.301*F143^0.751)/(1-H143)*H143)*(MAX('Min rate concentrations'!$P$3:$P$368)))/F143, 0)</f>
        <v>0</v>
      </c>
      <c r="N143" s="59">
        <f>IF((((1.18*F143^0.874)/3.7-(0.301*F143^0.751)/(1-H143)*H143)*(MAX('Min rate concentrations'!$Q$3:$Q$368)))/F143&gt;0, (((1.18*F143^0.874)/3.7-(0.301*F143^0.751)/(1-H143)*H143)*(MAX('Min rate concentrations'!$Q$3:$Q$368)))/F143, 0)</f>
        <v>0</v>
      </c>
      <c r="O143" s="59">
        <f>((MAX('Min rate concentrations'!$F$3:$F$368))*0.62*6.01*8*(10*F143^0.667)*0.079*0.1/F143)*inputs!$E$80/(10^(0.84+0.62*LOG10(inputs!$E$80)))</f>
        <v>2.6052768505689619</v>
      </c>
      <c r="P143" s="59">
        <f>((MAX('Min rate concentrations'!Y:Y))*0.62*6.01*8*(10*F143^0.667)*0.079*0.1/F143)*inputs!$E$80/(10^(0.84+0.62*LOG10(inputs!$E$80)))</f>
        <v>0.86842561685632025</v>
      </c>
      <c r="Q143" s="59">
        <f>(inputs!$C$7*11.2*(10*F143^0.667)*0.5/F143)*inputs!$E$80/(10^(0.84+0.62*LOG10(inputs!$E$80)))</f>
        <v>0.45890722923601862</v>
      </c>
      <c r="R143" s="59">
        <f>(60*284*((F143/1000)^0.77)*3*24*(MAX('Min rate concentrations'!$R$3:$R$368))/F143)*(inputs!$E$73*3.4/inputs!$E$75)</f>
        <v>4.887281037611906E-3</v>
      </c>
      <c r="S143" s="59">
        <f>(IF(inputs!$C$6="aerial",((0.025*0.112*inputs!$C$7/3.3)*(3*60*284*((F143/1000)^0.77))*MAX(inputs!$H$14:$H$16))/F143,((0.0083*0.112*inputs!$C$7/1)*(3*60*284*((F143/1000)^0.77))*MAX(inputs!$H$14:$H$16))/F143))*(inputs!E$75*3.4/inputs!$E$73)</f>
        <v>2.6953655188713309E-2</v>
      </c>
      <c r="T143" s="63">
        <f>IF((((inputs!$P$12/(V143/MAX(K143:S143)))^(1/inputs!$O$12))-1)/inputs!$N$12&lt;0, 0, IF((((inputs!$P$12/(V143/MAX(K143:S143)))^(1/inputs!$O$12))-1)/inputs!$N$12&gt;inputs!$H$17, inputs!$H$17, (((inputs!$P$12/(V143/MAX(K143:S143)))^(1/inputs!$O$12))-1)/inputs!$N$12))</f>
        <v>208.8838666258977</v>
      </c>
      <c r="U143" s="63">
        <f>IF((((inputs!$P$12/(X143/MAX(K143:S143)))^(1/inputs!$O$12))-1)/inputs!$N$12&lt;0, 0, IF((((inputs!$P$12/(X143/MAX(K143:S143)))^(1/inputs!$O$12))-1)/inputs!$N$12&gt;inputs!$H$17, inputs!$H$17, (((inputs!$P$12/(X143/MAX(K143:S143)))^(1/inputs!$O$12))-1)/inputs!$N$12))</f>
        <v>0.73234065000779902</v>
      </c>
      <c r="V143" s="21">
        <f>inputs!$E$78*(F143/inputs!$F$78)^(inputs!$E$84-1)</f>
        <v>8.6680650573563271E-3</v>
      </c>
      <c r="W143" s="21">
        <f>inputs!$E$85*(F143/inputs!$F$85)^(inputs!$E$84-1)</f>
        <v>0.40027527637150312</v>
      </c>
      <c r="X143" s="21">
        <f>inputs!$E$80*(F143/inputs!$F$80)^(inputs!$E$84-1)</f>
        <v>1.4946988168302964</v>
      </c>
      <c r="Y143" s="21">
        <f>inputs!$E$82*(F143/inputs!$F$82)^(inputs!$E$84-1)</f>
        <v>0.68888306508463437</v>
      </c>
      <c r="Z143" s="63">
        <f t="shared" si="17"/>
        <v>385.34609412887562</v>
      </c>
      <c r="AA143" s="63">
        <f t="shared" si="18"/>
        <v>8.3447697389312161</v>
      </c>
    </row>
    <row r="144" spans="1:27" x14ac:dyDescent="0.25">
      <c r="A144" s="103" t="s">
        <v>255</v>
      </c>
      <c r="B144" s="20" t="s">
        <v>257</v>
      </c>
      <c r="C144" s="20" t="s">
        <v>73</v>
      </c>
      <c r="D144" s="104" t="s">
        <v>236</v>
      </c>
      <c r="E144" s="15">
        <v>66</v>
      </c>
      <c r="F144" s="15">
        <v>8500</v>
      </c>
      <c r="G144" s="20" t="s">
        <v>218</v>
      </c>
      <c r="H144" s="20">
        <v>0.68</v>
      </c>
      <c r="I144" s="48">
        <f>MAX('Min rate concentrations'!$K$3:$K$368)</f>
        <v>18.333393099490852</v>
      </c>
      <c r="J144" s="48">
        <f>MAX('Min rate concentrations'!AC:AC)</f>
        <v>6.4930767227363431</v>
      </c>
      <c r="K144" s="59">
        <f t="shared" si="14"/>
        <v>1.8123165454295707</v>
      </c>
      <c r="L144" s="59">
        <f t="shared" ref="L144:L167" si="20">((0.301*F144^0.751)/(1-H144))*J144/F144</f>
        <v>0.64186210983963954</v>
      </c>
      <c r="M144" s="59">
        <f>IF((((1.18*F144^0.874)/3.7-(0.301*F144^0.751)/(1-H144)*H144)*(MAX('Min rate concentrations'!$P$3:$P$368)))/F144&gt;0, (((1.18*F144^0.874)/3.7-(0.301*F144^0.751)/(1-H144)*H144)*(MAX('Min rate concentrations'!$P$3:$P$368)))/F144, 0)</f>
        <v>5.0473031003550823E-3</v>
      </c>
      <c r="N144" s="59">
        <f>IF((((1.18*F144^0.874)/3.7-(0.301*F144^0.751)/(1-H144)*H144)*(MAX('Min rate concentrations'!$Q$3:$Q$368)))/F144&gt;0, (((1.18*F144^0.874)/3.7-(0.301*F144^0.751)/(1-H144)*H144)*(MAX('Min rate concentrations'!$Q$3:$Q$368)))/F144, 0)</f>
        <v>1.9220401406253088E-2</v>
      </c>
      <c r="O144" s="59">
        <f>((MAX('Min rate concentrations'!$F$3:$F$368))*0.62*6.01*8*(10*F144^0.667)*0.079*0.1/F144)*inputs!$E$80/(10^(0.84+0.62*LOG10(inputs!$E$80)))</f>
        <v>1.2025570068385982</v>
      </c>
      <c r="P144" s="59">
        <f>((MAX('Min rate concentrations'!Y:Y))*0.62*6.01*8*(10*F144^0.667)*0.079*0.1/F144)*inputs!$E$80/(10^(0.84+0.62*LOG10(inputs!$E$80)))</f>
        <v>0.40085233561286593</v>
      </c>
      <c r="Q144" s="59">
        <f>(inputs!$C$7*11.2*(10*F144^0.667)*0.5/F144)*inputs!$E$80/(10^(0.84+0.62*LOG10(inputs!$E$80)))</f>
        <v>0.21182474480059221</v>
      </c>
      <c r="R144" s="59">
        <f>(60*284*((F144/1000)^0.77)*3*24*(MAX('Min rate concentrations'!$R$3:$R$368))/F144)*(inputs!$E$73*3.4/inputs!$E$75)</f>
        <v>2.8652937475357309E-3</v>
      </c>
      <c r="S144" s="59">
        <f>(IF(inputs!$C$6="aerial",((0.025*0.112*inputs!$C$7/3.3)*(3*60*284*((F144/1000)^0.77))*MAX(inputs!$H$14:$H$16))/F144,((0.0083*0.112*inputs!$C$7/1)*(3*60*284*((F144/1000)^0.77))*MAX(inputs!$H$14:$H$16))/F144))*(inputs!E$75*3.4/inputs!$E$73)</f>
        <v>1.5802271056462831E-2</v>
      </c>
      <c r="T144" s="63">
        <f>IF((((inputs!$P$12/(V144/MAX(K144:S144)))^(1/inputs!$O$12))-1)/inputs!$N$12&lt;0, 0, IF((((inputs!$P$12/(V144/MAX(K144:S144)))^(1/inputs!$O$12))-1)/inputs!$N$12&gt;inputs!$H$17, inputs!$H$17, (((inputs!$P$12/(V144/MAX(K144:S144)))^(1/inputs!$O$12))-1)/inputs!$N$12))</f>
        <v>234.03029016523709</v>
      </c>
      <c r="U144" s="63">
        <f>IF((((inputs!$P$12/(X144/MAX(K144:S144)))^(1/inputs!$O$12))-1)/inputs!$N$12&lt;0, 0, IF((((inputs!$P$12/(X144/MAX(K144:S144)))^(1/inputs!$O$12))-1)/inputs!$N$12&gt;inputs!$H$17, inputs!$H$17, (((inputs!$P$12/(X144/MAX(K144:S144)))^(1/inputs!$O$12))-1)/inputs!$N$12))</f>
        <v>3.8280394034844671</v>
      </c>
      <c r="V144" s="21">
        <f>inputs!$E$78*(F144/inputs!$F$78)^(inputs!$E$84-1)</f>
        <v>3.6717119117145279E-3</v>
      </c>
      <c r="W144" s="21">
        <f>inputs!$E$85*(F144/inputs!$F$85)^(inputs!$E$84-1)</f>
        <v>0.16955289219602543</v>
      </c>
      <c r="X144" s="21">
        <f>inputs!$E$80*(F144/inputs!$F$80)^(inputs!$E$84-1)</f>
        <v>0.63314054680794307</v>
      </c>
      <c r="Y144" s="21">
        <f>inputs!$E$82*(F144/inputs!$F$82)^(inputs!$E$84-1)</f>
        <v>0.29180447298362827</v>
      </c>
      <c r="Z144" s="63">
        <f t="shared" si="17"/>
        <v>493.58898219857849</v>
      </c>
      <c r="AA144" s="63">
        <f t="shared" si="18"/>
        <v>10.688797589688383</v>
      </c>
    </row>
    <row r="145" spans="1:27" ht="26.4" x14ac:dyDescent="0.25">
      <c r="A145" s="103" t="s">
        <v>255</v>
      </c>
      <c r="B145" s="20" t="s">
        <v>256</v>
      </c>
      <c r="C145" s="20" t="s">
        <v>73</v>
      </c>
      <c r="D145" s="104" t="s">
        <v>236</v>
      </c>
      <c r="E145" s="15">
        <v>1737</v>
      </c>
      <c r="F145" s="15">
        <v>8500</v>
      </c>
      <c r="G145" s="20" t="s">
        <v>218</v>
      </c>
      <c r="H145" s="20">
        <v>0.68</v>
      </c>
      <c r="I145" s="48">
        <f>MAX('Min rate concentrations'!$K$3:$K$368)</f>
        <v>18.333393099490852</v>
      </c>
      <c r="J145" s="48">
        <f>MAX('Min rate concentrations'!AC:AC)</f>
        <v>6.4930767227363431</v>
      </c>
      <c r="K145" s="59">
        <f t="shared" si="14"/>
        <v>1.8123165454295707</v>
      </c>
      <c r="L145" s="59">
        <f t="shared" si="20"/>
        <v>0.64186210983963954</v>
      </c>
      <c r="M145" s="59">
        <f>IF((((1.18*F145^0.874)/3.7-(0.301*F145^0.751)/(1-H145)*H145)*(MAX('Min rate concentrations'!$P$3:$P$368)))/F145&gt;0, (((1.18*F145^0.874)/3.7-(0.301*F145^0.751)/(1-H145)*H145)*(MAX('Min rate concentrations'!$P$3:$P$368)))/F145, 0)</f>
        <v>5.0473031003550823E-3</v>
      </c>
      <c r="N145" s="59">
        <f>IF((((1.18*F145^0.874)/3.7-(0.301*F145^0.751)/(1-H145)*H145)*(MAX('Min rate concentrations'!$Q$3:$Q$368)))/F145&gt;0, (((1.18*F145^0.874)/3.7-(0.301*F145^0.751)/(1-H145)*H145)*(MAX('Min rate concentrations'!$Q$3:$Q$368)))/F145, 0)</f>
        <v>1.9220401406253088E-2</v>
      </c>
      <c r="O145" s="59">
        <f>((MAX('Min rate concentrations'!$F$3:$F$368))*0.62*6.01*8*(10*F145^0.667)*0.079*0.1/F145)*inputs!$E$80/(10^(0.84+0.62*LOG10(inputs!$E$80)))</f>
        <v>1.2025570068385982</v>
      </c>
      <c r="P145" s="59">
        <f>((MAX('Min rate concentrations'!Y:Y))*0.62*6.01*8*(10*F145^0.667)*0.079*0.1/F145)*inputs!$E$80/(10^(0.84+0.62*LOG10(inputs!$E$80)))</f>
        <v>0.40085233561286593</v>
      </c>
      <c r="Q145" s="59">
        <f>(inputs!$C$7*11.2*(10*F145^0.667)*0.5/F145)*inputs!$E$80/(10^(0.84+0.62*LOG10(inputs!$E$80)))</f>
        <v>0.21182474480059221</v>
      </c>
      <c r="R145" s="59">
        <f>(60*284*((F145/1000)^0.77)*3*24*(MAX('Min rate concentrations'!$R$3:$R$368))/F145)*(inputs!$E$73*3.4/inputs!$E$75)</f>
        <v>2.8652937475357309E-3</v>
      </c>
      <c r="S145" s="59">
        <f>(IF(inputs!$C$6="aerial",((0.025*0.112*inputs!$C$7/3.3)*(3*60*284*((F145/1000)^0.77))*MAX(inputs!$H$14:$H$16))/F145,((0.0083*0.112*inputs!$C$7/1)*(3*60*284*((F145/1000)^0.77))*MAX(inputs!$H$14:$H$16))/F145))*(inputs!E$75*3.4/inputs!$E$73)</f>
        <v>1.5802271056462831E-2</v>
      </c>
      <c r="T145" s="63">
        <f>IF((((inputs!$P$12/(V145/MAX(K145:S145)))^(1/inputs!$O$12))-1)/inputs!$N$12&lt;0, 0, IF((((inputs!$P$12/(V145/MAX(K145:S145)))^(1/inputs!$O$12))-1)/inputs!$N$12&gt;inputs!$H$17, inputs!$H$17, (((inputs!$P$12/(V145/MAX(K145:S145)))^(1/inputs!$O$12))-1)/inputs!$N$12))</f>
        <v>234.03029016523709</v>
      </c>
      <c r="U145" s="63">
        <f>IF((((inputs!$P$12/(X145/MAX(K145:S145)))^(1/inputs!$O$12))-1)/inputs!$N$12&lt;0, 0, IF((((inputs!$P$12/(X145/MAX(K145:S145)))^(1/inputs!$O$12))-1)/inputs!$N$12&gt;inputs!$H$17, inputs!$H$17, (((inputs!$P$12/(X145/MAX(K145:S145)))^(1/inputs!$O$12))-1)/inputs!$N$12))</f>
        <v>3.8280394034844671</v>
      </c>
      <c r="V145" s="21">
        <f>inputs!$E$78*(F145/inputs!$F$78)^(inputs!$E$84-1)</f>
        <v>3.6717119117145279E-3</v>
      </c>
      <c r="W145" s="21">
        <f>inputs!$E$85*(F145/inputs!$F$85)^(inputs!$E$84-1)</f>
        <v>0.16955289219602543</v>
      </c>
      <c r="X145" s="21">
        <f>inputs!$E$80*(F145/inputs!$F$80)^(inputs!$E$84-1)</f>
        <v>0.63314054680794307</v>
      </c>
      <c r="Y145" s="21">
        <f>inputs!$E$82*(F145/inputs!$F$82)^(inputs!$E$84-1)</f>
        <v>0.29180447298362827</v>
      </c>
      <c r="Z145" s="63">
        <f t="shared" si="17"/>
        <v>493.58898219857849</v>
      </c>
      <c r="AA145" s="63">
        <f t="shared" si="18"/>
        <v>10.688797589688383</v>
      </c>
    </row>
    <row r="146" spans="1:27" x14ac:dyDescent="0.25">
      <c r="A146" s="103" t="s">
        <v>234</v>
      </c>
      <c r="B146" s="20" t="s">
        <v>237</v>
      </c>
      <c r="C146" s="20" t="s">
        <v>73</v>
      </c>
      <c r="D146" s="104" t="s">
        <v>236</v>
      </c>
      <c r="E146" s="15">
        <v>126</v>
      </c>
      <c r="F146" s="15">
        <v>325</v>
      </c>
      <c r="G146" s="20" t="s">
        <v>142</v>
      </c>
      <c r="H146" s="20">
        <v>0.69</v>
      </c>
      <c r="I146" s="48">
        <f>MAX('Min rate concentrations'!$H$3:$H$368)</f>
        <v>47</v>
      </c>
      <c r="J146" s="48">
        <f>MAX('Min rate concentrations'!AA:AA)</f>
        <v>32.5</v>
      </c>
      <c r="K146" s="59">
        <f t="shared" si="14"/>
        <v>10.81044826679137</v>
      </c>
      <c r="L146" s="59">
        <f t="shared" si="20"/>
        <v>7.4753099717174383</v>
      </c>
      <c r="M146" s="59">
        <f>IF((((1.18*F146^0.874)/3.7-(0.301*F146^0.751)/(1-H146)*H146)*(MAX('Min rate concentrations'!$P$3:$P$368)))/F146&gt;0, (((1.18*F146^0.874)/3.7-(0.301*F146^0.751)/(1-H146)*H146)*(MAX('Min rate concentrations'!$P$3:$P$368)))/F146, 0)</f>
        <v>0</v>
      </c>
      <c r="N146" s="59">
        <f>IF((((1.18*F146^0.874)/3.7-(0.301*F146^0.751)/(1-H146)*H146)*(MAX('Min rate concentrations'!$Q$3:$Q$368)))/F146&gt;0, (((1.18*F146^0.874)/3.7-(0.301*F146^0.751)/(1-H146)*H146)*(MAX('Min rate concentrations'!$Q$3:$Q$368)))/F146, 0)</f>
        <v>0</v>
      </c>
      <c r="O146" s="59">
        <f>((MAX('Min rate concentrations'!$F$3:$F$368))*0.62*6.01*8*(10*F146^0.667)*0.079*0.1/F146)*inputs!$E$80/(10^(0.84+0.62*LOG10(inputs!$E$80)))</f>
        <v>3.5657017664851791</v>
      </c>
      <c r="P146" s="59">
        <f>((MAX('Min rate concentrations'!Y:Y))*0.62*6.01*8*(10*F146^0.667)*0.079*0.1/F146)*inputs!$E$80/(10^(0.84+0.62*LOG10(inputs!$E$80)))</f>
        <v>1.1885672554950597</v>
      </c>
      <c r="Q146" s="59">
        <f>(inputs!$C$7*11.2*(10*F146^0.667)*0.5/F146)*inputs!$E$80/(10^(0.84+0.62*LOG10(inputs!$E$80)))</f>
        <v>0.62808154825554785</v>
      </c>
      <c r="R146" s="59">
        <f>(60*284*((F146/1000)^0.77)*3*24*(MAX('Min rate concentrations'!$R$3:$R$368))/F146)*(inputs!$E$73*3.4/inputs!$E$75)</f>
        <v>6.0701906577764137E-3</v>
      </c>
      <c r="S146" s="59">
        <f>(IF(inputs!$C$6="aerial",((0.025*0.112*inputs!$C$7/3.3)*(3*60*284*((F146/1000)^0.77))*MAX(inputs!$H$14:$H$16))/F146,((0.0083*0.112*inputs!$C$7/1)*(3*60*284*((F146/1000)^0.77))*MAX(inputs!$H$14:$H$16))/F146))*(inputs!E$75*3.4/inputs!$E$73)</f>
        <v>3.3477474419887597E-2</v>
      </c>
      <c r="T146" s="63">
        <f>IF((((inputs!$P$12/(V146/MAX(K146:S146)))^(1/inputs!$O$12))-1)/inputs!$N$12&lt;0, 0, IF((((inputs!$P$12/(V146/MAX(K146:S146)))^(1/inputs!$O$12))-1)/inputs!$N$12&gt;inputs!$H$17, inputs!$H$17, (((inputs!$P$12/(V146/MAX(K146:S146)))^(1/inputs!$O$12))-1)/inputs!$N$12))</f>
        <v>303.63603428504001</v>
      </c>
      <c r="U146" s="63">
        <f>IF((((inputs!$P$12/(X146/MAX(K146:S146)))^(1/inputs!$O$12))-1)/inputs!$N$12&lt;0, 0, IF((((inputs!$P$12/(X146/MAX(K146:S146)))^(1/inputs!$O$12))-1)/inputs!$N$12&gt;inputs!$H$17, inputs!$H$17, (((inputs!$P$12/(X146/MAX(K146:S146)))^(1/inputs!$O$12))-1)/inputs!$N$12))</f>
        <v>12.396988183393164</v>
      </c>
      <c r="V146" s="21">
        <f>inputs!$E$78*(F146/inputs!$F$78)^(inputs!$E$84-1)</f>
        <v>1.2284479428588334E-2</v>
      </c>
      <c r="W146" s="21">
        <f>inputs!$E$85*(F146/inputs!$F$85)^(inputs!$E$84-1)</f>
        <v>0.56727463001505529</v>
      </c>
      <c r="X146" s="21">
        <f>inputs!$E$80*(F146/inputs!$F$80)^(inputs!$E$84-1)</f>
        <v>2.1183039981574847</v>
      </c>
      <c r="Y146" s="21">
        <f>inputs!$E$82*(F146/inputs!$F$82)^(inputs!$E$84-1)</f>
        <v>0.97629283879833606</v>
      </c>
      <c r="Z146" s="63">
        <f t="shared" si="17"/>
        <v>880.00865886375198</v>
      </c>
      <c r="AA146" s="63">
        <f t="shared" si="18"/>
        <v>19.056816037241898</v>
      </c>
    </row>
    <row r="147" spans="1:27" x14ac:dyDescent="0.25">
      <c r="A147" s="103" t="s">
        <v>234</v>
      </c>
      <c r="B147" s="20" t="s">
        <v>237</v>
      </c>
      <c r="C147" s="20" t="s">
        <v>73</v>
      </c>
      <c r="D147" s="104" t="s">
        <v>236</v>
      </c>
      <c r="E147" s="15">
        <v>126</v>
      </c>
      <c r="F147" s="15">
        <v>325</v>
      </c>
      <c r="G147" s="20" t="s">
        <v>138</v>
      </c>
      <c r="H147" s="20">
        <v>0.68</v>
      </c>
      <c r="I147" s="48">
        <f>MAX('Min rate concentrations'!$L$3:$L$368)</f>
        <v>58.421240152220811</v>
      </c>
      <c r="J147" s="48">
        <f>MAX('Min rate concentrations'!AD:AD)</f>
        <v>40.397666062705881</v>
      </c>
      <c r="K147" s="59">
        <f t="shared" ref="K147:K178" si="21">((0.301*F147^0.751)/(1-H147))*I147/F147</f>
        <v>13.017522356894098</v>
      </c>
      <c r="L147" s="59">
        <f t="shared" si="20"/>
        <v>9.0014782255118746</v>
      </c>
      <c r="M147" s="59">
        <f>IF((((1.18*F147^0.874)/3.7-(0.301*F147^0.751)/(1-H147)*H147)*(MAX('Min rate concentrations'!$P$3:$P$368)))/F147&gt;0, (((1.18*F147^0.874)/3.7-(0.301*F147^0.751)/(1-H147)*H147)*(MAX('Min rate concentrations'!$P$3:$P$368)))/F147, 0)</f>
        <v>3.4276726679947157E-4</v>
      </c>
      <c r="N147" s="59">
        <f>IF((((1.18*F147^0.874)/3.7-(0.301*F147^0.751)/(1-H147)*H147)*(MAX('Min rate concentrations'!$Q$3:$Q$368)))/F147&gt;0, (((1.18*F147^0.874)/3.7-(0.301*F147^0.751)/(1-H147)*H147)*(MAX('Min rate concentrations'!$Q$3:$Q$368)))/F147, 0)</f>
        <v>1.3052761694352395E-3</v>
      </c>
      <c r="O147" s="59">
        <f>((MAX('Min rate concentrations'!$F$3:$F$368))*0.62*6.01*8*(10*F147^0.667)*0.079*0.1/F147)*inputs!$E$80/(10^(0.84+0.62*LOG10(inputs!$E$80)))</f>
        <v>3.5657017664851791</v>
      </c>
      <c r="P147" s="59">
        <f>((MAX('Min rate concentrations'!Y:Y))*0.62*6.01*8*(10*F147^0.667)*0.079*0.1/F147)*inputs!$E$80/(10^(0.84+0.62*LOG10(inputs!$E$80)))</f>
        <v>1.1885672554950597</v>
      </c>
      <c r="Q147" s="59">
        <f>(inputs!$C$7*11.2*(10*F147^0.667)*0.5/F147)*inputs!$E$80/(10^(0.84+0.62*LOG10(inputs!$E$80)))</f>
        <v>0.62808154825554785</v>
      </c>
      <c r="R147" s="59">
        <f>(60*284*((F147/1000)^0.77)*3*24*(MAX('Min rate concentrations'!$R$3:$R$368))/F147)*(inputs!$E$73*3.4/inputs!$E$75)</f>
        <v>6.0701906577764137E-3</v>
      </c>
      <c r="S147" s="59">
        <f>(IF(inputs!$C$6="aerial",((0.025*0.112*inputs!$C$7/3.3)*(3*60*284*((F147/1000)^0.77))*MAX(inputs!$H$14:$H$16))/F147,((0.0083*0.112*inputs!$C$7/1)*(3*60*284*((F147/1000)^0.77))*MAX(inputs!$H$14:$H$16))/F147))*(inputs!E$75*3.4/inputs!$E$73)</f>
        <v>3.3477474419887597E-2</v>
      </c>
      <c r="T147" s="63">
        <f>IF((((inputs!$P$12/(V147/MAX(K147:S147)))^(1/inputs!$O$12))-1)/inputs!$N$12&lt;0, 0, IF((((inputs!$P$12/(V147/MAX(K147:S147)))^(1/inputs!$O$12))-1)/inputs!$N$12&gt;inputs!$H$17, inputs!$H$17, (((inputs!$P$12/(V147/MAX(K147:S147)))^(1/inputs!$O$12))-1)/inputs!$N$12))</f>
        <v>329.70558530175123</v>
      </c>
      <c r="U147" s="63">
        <f>IF((((inputs!$P$12/(X147/MAX(K147:S147)))^(1/inputs!$O$12))-1)/inputs!$N$12&lt;0, 0, IF((((inputs!$P$12/(X147/MAX(K147:S147)))^(1/inputs!$O$12))-1)/inputs!$N$12&gt;inputs!$H$17, inputs!$H$17, (((inputs!$P$12/(X147/MAX(K147:S147)))^(1/inputs!$O$12))-1)/inputs!$N$12))</f>
        <v>15.606330317469459</v>
      </c>
      <c r="V147" s="21">
        <f>inputs!$E$78*(F147/inputs!$F$78)^(inputs!$E$84-1)</f>
        <v>1.2284479428588334E-2</v>
      </c>
      <c r="W147" s="21">
        <f>inputs!$E$85*(F147/inputs!$F$85)^(inputs!$E$84-1)</f>
        <v>0.56727463001505529</v>
      </c>
      <c r="X147" s="21">
        <f>inputs!$E$80*(F147/inputs!$F$80)^(inputs!$E$84-1)</f>
        <v>2.1183039981574847</v>
      </c>
      <c r="Y147" s="21">
        <f>inputs!$E$82*(F147/inputs!$F$82)^(inputs!$E$84-1)</f>
        <v>0.97629283879833606</v>
      </c>
      <c r="Z147" s="63">
        <f t="shared" si="17"/>
        <v>1059.672282620282</v>
      </c>
      <c r="AA147" s="63">
        <f t="shared" si="18"/>
        <v>22.947478466556166</v>
      </c>
    </row>
    <row r="148" spans="1:27" x14ac:dyDescent="0.25">
      <c r="A148" s="103" t="s">
        <v>234</v>
      </c>
      <c r="B148" s="20" t="s">
        <v>237</v>
      </c>
      <c r="C148" s="20" t="s">
        <v>73</v>
      </c>
      <c r="D148" s="104" t="s">
        <v>236</v>
      </c>
      <c r="E148" s="15">
        <v>126</v>
      </c>
      <c r="F148" s="15">
        <v>325</v>
      </c>
      <c r="G148" s="21" t="s">
        <v>456</v>
      </c>
      <c r="H148" s="20">
        <v>0.68</v>
      </c>
      <c r="I148" s="48">
        <f>MAX('Min rate concentrations'!$J$3:$J$368)</f>
        <v>114.4108103430513</v>
      </c>
      <c r="J148" s="48">
        <f>MAX('Min rate concentrations'!AB:AB)</f>
        <v>40.520495329830666</v>
      </c>
      <c r="K148" s="59">
        <f t="shared" si="21"/>
        <v>25.493215783000203</v>
      </c>
      <c r="L148" s="59">
        <f t="shared" si="20"/>
        <v>9.0288472564792386</v>
      </c>
      <c r="M148" s="59">
        <f>IF((((1.18*F148^0.874)/3.7-(0.301*F148^0.751)/(1-H148)*H148)*(MAX('Min rate concentrations'!$P$3:$P$368)))/F148&gt;0, (((1.18*F148^0.874)/3.7-(0.301*F148^0.751)/(1-H148)*H148)*(MAX('Min rate concentrations'!$P$3:$P$368)))/F148, 0)</f>
        <v>3.4276726679947157E-4</v>
      </c>
      <c r="N148" s="59">
        <f>IF((((1.18*F148^0.874)/3.7-(0.301*F148^0.751)/(1-H148)*H148)*(MAX('Min rate concentrations'!$Q$3:$Q$368)))/F148&gt;0, (((1.18*F148^0.874)/3.7-(0.301*F148^0.751)/(1-H148)*H148)*(MAX('Min rate concentrations'!$Q$3:$Q$368)))/F148, 0)</f>
        <v>1.3052761694352395E-3</v>
      </c>
      <c r="O148" s="59">
        <f>((MAX('Min rate concentrations'!$F$3:$F$368))*0.62*6.01*8*(10*F148^0.667)*0.079*0.1/F148)*inputs!$E$80/(10^(0.84+0.62*LOG10(inputs!$E$80)))</f>
        <v>3.5657017664851791</v>
      </c>
      <c r="P148" s="59">
        <f>((MAX('Min rate concentrations'!Y:Y))*0.62*6.01*8*(10*F148^0.667)*0.079*0.1/F148)*inputs!$E$80/(10^(0.84+0.62*LOG10(inputs!$E$80)))</f>
        <v>1.1885672554950597</v>
      </c>
      <c r="Q148" s="59">
        <f>(inputs!$C$7*11.2*(10*F148^0.667)*0.5/F148)*inputs!$E$80/(10^(0.84+0.62*LOG10(inputs!$E$80)))</f>
        <v>0.62808154825554785</v>
      </c>
      <c r="R148" s="59">
        <f>(60*284*((F148/1000)^0.77)*3*24*(MAX('Min rate concentrations'!$R$3:$R$368))/F148)*(inputs!$E$73*3.4/inputs!$E$75)</f>
        <v>6.0701906577764137E-3</v>
      </c>
      <c r="S148" s="59">
        <f>(IF(inputs!$C$6="aerial",((0.025*0.112*inputs!$C$7/3.3)*(3*60*284*((F148/1000)^0.77))*MAX(inputs!$H$14:$H$16))/F148,((0.0083*0.112*inputs!$C$7/1)*(3*60*284*((F148/1000)^0.77))*MAX(inputs!$H$14:$H$16))/F148))*(inputs!E$75*3.4/inputs!$E$73)</f>
        <v>3.3477474419887597E-2</v>
      </c>
      <c r="T148" s="63">
        <f>IF((((inputs!$P$12/(V148/MAX(K148:S148)))^(1/inputs!$O$12))-1)/inputs!$N$12&lt;0, 0, IF((((inputs!$P$12/(V148/MAX(K148:S148)))^(1/inputs!$O$12))-1)/inputs!$N$12&gt;inputs!$H$17, inputs!$H$17, (((inputs!$P$12/(V148/MAX(K148:S148)))^(1/inputs!$O$12))-1)/inputs!$N$12))</f>
        <v>442.31908257806884</v>
      </c>
      <c r="U148" s="63">
        <f>IF((((inputs!$P$12/(X148/MAX(K148:S148)))^(1/inputs!$O$12))-1)/inputs!$N$12&lt;0, 0, IF((((inputs!$P$12/(X148/MAX(K148:S148)))^(1/inputs!$O$12))-1)/inputs!$N$12&gt;inputs!$H$17, inputs!$H$17, (((inputs!$P$12/(X148/MAX(K148:S148)))^(1/inputs!$O$12))-1)/inputs!$N$12))</f>
        <v>29.469831128929286</v>
      </c>
      <c r="V148" s="21">
        <f>inputs!$E$78*(F148/inputs!$F$78)^(inputs!$E$84-1)</f>
        <v>1.2284479428588334E-2</v>
      </c>
      <c r="W148" s="21">
        <f>inputs!$E$85*(F148/inputs!$F$85)^(inputs!$E$84-1)</f>
        <v>0.56727463001505529</v>
      </c>
      <c r="X148" s="21">
        <f>inputs!$E$80*(F148/inputs!$F$80)^(inputs!$E$84-1)</f>
        <v>2.1183039981574847</v>
      </c>
      <c r="Y148" s="21">
        <f>inputs!$E$82*(F148/inputs!$F$82)^(inputs!$E$84-1)</f>
        <v>0.97629283879833606</v>
      </c>
      <c r="Z148" s="63">
        <f t="shared" si="17"/>
        <v>2075.2377771639726</v>
      </c>
      <c r="AA148" s="63">
        <f t="shared" si="18"/>
        <v>44.939812983217003</v>
      </c>
    </row>
    <row r="149" spans="1:27" x14ac:dyDescent="0.25">
      <c r="A149" s="103" t="s">
        <v>234</v>
      </c>
      <c r="B149" s="20" t="s">
        <v>237</v>
      </c>
      <c r="C149" s="20" t="s">
        <v>73</v>
      </c>
      <c r="D149" s="104" t="s">
        <v>236</v>
      </c>
      <c r="E149" s="15">
        <v>126</v>
      </c>
      <c r="F149" s="15">
        <v>325</v>
      </c>
      <c r="G149" s="20" t="s">
        <v>145</v>
      </c>
      <c r="H149" s="20">
        <v>0.66</v>
      </c>
      <c r="I149" s="48">
        <f>MAX('Min rate concentrations'!$M$3:$M$368)</f>
        <v>2.8488184789681945</v>
      </c>
      <c r="J149" s="48">
        <f>MAX('Min rate concentrations'!AE:AE)</f>
        <v>1.9699276716269429</v>
      </c>
      <c r="K149" s="59">
        <f t="shared" si="21"/>
        <v>0.59743876623236147</v>
      </c>
      <c r="L149" s="59">
        <f t="shared" si="20"/>
        <v>0.41312255111812235</v>
      </c>
      <c r="M149" s="59">
        <f>IF((((1.18*F149^0.874)/3.7-(0.301*F149^0.751)/(1-H149)*H149)*(MAX('Min rate concentrations'!$P$3:$P$368)))/F149&gt;0, (((1.18*F149^0.874)/3.7-(0.301*F149^0.751)/(1-H149)*H149)*(MAX('Min rate concentrations'!$P$3:$P$368)))/F149, 0)</f>
        <v>2.2452458988736399E-3</v>
      </c>
      <c r="N149" s="59">
        <f>IF((((1.18*F149^0.874)/3.7-(0.301*F149^0.751)/(1-H149)*H149)*(MAX('Min rate concentrations'!$Q$3:$Q$368)))/F149&gt;0, (((1.18*F149^0.874)/3.7-(0.301*F149^0.751)/(1-H149)*H149)*(MAX('Min rate concentrations'!$Q$3:$Q$368)))/F149, 0)</f>
        <v>8.5500170237564933E-3</v>
      </c>
      <c r="O149" s="59">
        <f>((MAX('Min rate concentrations'!$F$3:$F$368))*0.62*6.01*8*(10*F149^0.667)*0.079*0.1/F149)*inputs!$E$80/(10^(0.84+0.62*LOG10(inputs!$E$80)))</f>
        <v>3.5657017664851791</v>
      </c>
      <c r="P149" s="59">
        <f>((MAX('Min rate concentrations'!Y:Y))*0.62*6.01*8*(10*F149^0.667)*0.079*0.1/F149)*inputs!$E$80/(10^(0.84+0.62*LOG10(inputs!$E$80)))</f>
        <v>1.1885672554950597</v>
      </c>
      <c r="Q149" s="59">
        <f>(inputs!$C$7*11.2*(10*F149^0.667)*0.5/F149)*inputs!$E$80/(10^(0.84+0.62*LOG10(inputs!$E$80)))</f>
        <v>0.62808154825554785</v>
      </c>
      <c r="R149" s="59">
        <f>(60*284*((F149/1000)^0.77)*3*24*(MAX('Min rate concentrations'!$R$3:$R$368))/F149)*(inputs!$E$73*3.4/inputs!$E$75)</f>
        <v>6.0701906577764137E-3</v>
      </c>
      <c r="S149" s="59">
        <f>(IF(inputs!$C$6="aerial",((0.025*0.112*inputs!$C$7/3.3)*(3*60*284*((F149/1000)^0.77))*MAX(inputs!$H$14:$H$16))/F149,((0.0083*0.112*inputs!$C$7/1)*(3*60*284*((F149/1000)^0.77))*MAX(inputs!$H$14:$H$16))/F149))*(inputs!E$75*3.4/inputs!$E$73)</f>
        <v>3.3477474419887597E-2</v>
      </c>
      <c r="T149" s="63">
        <f>IF((((inputs!$P$12/(V149/MAX(K149:S149)))^(1/inputs!$O$12))-1)/inputs!$N$12&lt;0, 0, IF((((inputs!$P$12/(V149/MAX(K149:S149)))^(1/inputs!$O$12))-1)/inputs!$N$12&gt;inputs!$H$17, inputs!$H$17, (((inputs!$P$12/(V149/MAX(K149:S149)))^(1/inputs!$O$12))-1)/inputs!$N$12))</f>
        <v>183.04338686309455</v>
      </c>
      <c r="U149" s="63">
        <f>IF((((inputs!$P$12/(X149/MAX(K149:S149)))^(1/inputs!$O$12))-1)/inputs!$N$12&lt;0, 0, IF((((inputs!$P$12/(X149/MAX(K149:S149)))^(1/inputs!$O$12))-1)/inputs!$N$12&gt;inputs!$H$17, inputs!$H$17, (((inputs!$P$12/(X149/MAX(K149:S149)))^(1/inputs!$O$12))-1)/inputs!$N$12))</f>
        <v>0</v>
      </c>
      <c r="V149" s="21">
        <f>inputs!$E$78*(F149/inputs!$F$78)^(inputs!$E$84-1)</f>
        <v>1.2284479428588334E-2</v>
      </c>
      <c r="W149" s="21">
        <f>inputs!$E$85*(F149/inputs!$F$85)^(inputs!$E$84-1)</f>
        <v>0.56727463001505529</v>
      </c>
      <c r="X149" s="21">
        <f>inputs!$E$80*(F149/inputs!$F$80)^(inputs!$E$84-1)</f>
        <v>2.1183039981574847</v>
      </c>
      <c r="Y149" s="21">
        <f>inputs!$E$82*(F149/inputs!$F$82)^(inputs!$E$84-1)</f>
        <v>0.97629283879833606</v>
      </c>
      <c r="Z149" s="63">
        <f t="shared" si="17"/>
        <v>290.2607137089675</v>
      </c>
      <c r="AA149" s="63">
        <f t="shared" si="18"/>
        <v>6.2856711332049988</v>
      </c>
    </row>
    <row r="150" spans="1:27" x14ac:dyDescent="0.25">
      <c r="A150" s="103" t="s">
        <v>234</v>
      </c>
      <c r="B150" s="20" t="s">
        <v>235</v>
      </c>
      <c r="C150" s="20" t="s">
        <v>73</v>
      </c>
      <c r="D150" s="104" t="s">
        <v>236</v>
      </c>
      <c r="E150" s="15">
        <v>9122</v>
      </c>
      <c r="F150" s="15">
        <v>325</v>
      </c>
      <c r="G150" s="20" t="s">
        <v>142</v>
      </c>
      <c r="H150" s="20">
        <v>0.69</v>
      </c>
      <c r="I150" s="48">
        <f>MAX('Min rate concentrations'!$H$3:$H$368)</f>
        <v>47</v>
      </c>
      <c r="J150" s="48">
        <f>MAX('Min rate concentrations'!AA:AA)</f>
        <v>32.5</v>
      </c>
      <c r="K150" s="59">
        <f t="shared" si="21"/>
        <v>10.81044826679137</v>
      </c>
      <c r="L150" s="59">
        <f t="shared" si="20"/>
        <v>7.4753099717174383</v>
      </c>
      <c r="M150" s="59">
        <f>IF((((1.18*F150^0.874)/3.7-(0.301*F150^0.751)/(1-H150)*H150)*(MAX('Min rate concentrations'!$P$3:$P$368)))/F150&gt;0, (((1.18*F150^0.874)/3.7-(0.301*F150^0.751)/(1-H150)*H150)*(MAX('Min rate concentrations'!$P$3:$P$368)))/F150, 0)</f>
        <v>0</v>
      </c>
      <c r="N150" s="59">
        <f>IF((((1.18*F150^0.874)/3.7-(0.301*F150^0.751)/(1-H150)*H150)*(MAX('Min rate concentrations'!$Q$3:$Q$368)))/F150&gt;0, (((1.18*F150^0.874)/3.7-(0.301*F150^0.751)/(1-H150)*H150)*(MAX('Min rate concentrations'!$Q$3:$Q$368)))/F150, 0)</f>
        <v>0</v>
      </c>
      <c r="O150" s="59">
        <f>((MAX('Min rate concentrations'!$F$3:$F$368))*0.62*6.01*8*(10*F150^0.667)*0.079*0.1/F150)*inputs!$E$80/(10^(0.84+0.62*LOG10(inputs!$E$80)))</f>
        <v>3.5657017664851791</v>
      </c>
      <c r="P150" s="59">
        <f>((MAX('Min rate concentrations'!Y:Y))*0.62*6.01*8*(10*F150^0.667)*0.079*0.1/F150)*inputs!$E$80/(10^(0.84+0.62*LOG10(inputs!$E$80)))</f>
        <v>1.1885672554950597</v>
      </c>
      <c r="Q150" s="59">
        <f>(inputs!$C$7*11.2*(10*F150^0.667)*0.5/F150)*inputs!$E$80/(10^(0.84+0.62*LOG10(inputs!$E$80)))</f>
        <v>0.62808154825554785</v>
      </c>
      <c r="R150" s="59">
        <f>(60*284*((F150/1000)^0.77)*3*24*(MAX('Min rate concentrations'!$R$3:$R$368))/F150)*(inputs!$E$73*3.4/inputs!$E$75)</f>
        <v>6.0701906577764137E-3</v>
      </c>
      <c r="S150" s="59">
        <f>(IF(inputs!$C$6="aerial",((0.025*0.112*inputs!$C$7/3.3)*(3*60*284*((F150/1000)^0.77))*MAX(inputs!$H$14:$H$16))/F150,((0.0083*0.112*inputs!$C$7/1)*(3*60*284*((F150/1000)^0.77))*MAX(inputs!$H$14:$H$16))/F150))*(inputs!E$75*3.4/inputs!$E$73)</f>
        <v>3.3477474419887597E-2</v>
      </c>
      <c r="T150" s="63">
        <f>IF((((inputs!$P$12/(V150/MAX(K150:S150)))^(1/inputs!$O$12))-1)/inputs!$N$12&lt;0, 0, IF((((inputs!$P$12/(V150/MAX(K150:S150)))^(1/inputs!$O$12))-1)/inputs!$N$12&gt;inputs!$H$17, inputs!$H$17, (((inputs!$P$12/(V150/MAX(K150:S150)))^(1/inputs!$O$12))-1)/inputs!$N$12))</f>
        <v>303.63603428504001</v>
      </c>
      <c r="U150" s="63">
        <f>IF((((inputs!$P$12/(X150/MAX(K150:S150)))^(1/inputs!$O$12))-1)/inputs!$N$12&lt;0, 0, IF((((inputs!$P$12/(X150/MAX(K150:S150)))^(1/inputs!$O$12))-1)/inputs!$N$12&gt;inputs!$H$17, inputs!$H$17, (((inputs!$P$12/(X150/MAX(K150:S150)))^(1/inputs!$O$12))-1)/inputs!$N$12))</f>
        <v>12.396988183393164</v>
      </c>
      <c r="V150" s="21">
        <f>inputs!$E$78*(F150/inputs!$F$78)^(inputs!$E$84-1)</f>
        <v>1.2284479428588334E-2</v>
      </c>
      <c r="W150" s="21">
        <f>inputs!$E$85*(F150/inputs!$F$85)^(inputs!$E$84-1)</f>
        <v>0.56727463001505529</v>
      </c>
      <c r="X150" s="21">
        <f>inputs!$E$80*(F150/inputs!$F$80)^(inputs!$E$84-1)</f>
        <v>2.1183039981574847</v>
      </c>
      <c r="Y150" s="21">
        <f>inputs!$E$82*(F150/inputs!$F$82)^(inputs!$E$84-1)</f>
        <v>0.97629283879833606</v>
      </c>
      <c r="Z150" s="63">
        <f t="shared" si="17"/>
        <v>880.00865886375198</v>
      </c>
      <c r="AA150" s="63">
        <f t="shared" si="18"/>
        <v>19.056816037241898</v>
      </c>
    </row>
    <row r="151" spans="1:27" x14ac:dyDescent="0.25">
      <c r="A151" s="103" t="s">
        <v>234</v>
      </c>
      <c r="B151" s="20" t="s">
        <v>235</v>
      </c>
      <c r="C151" s="20" t="s">
        <v>73</v>
      </c>
      <c r="D151" s="104" t="s">
        <v>236</v>
      </c>
      <c r="E151" s="15">
        <v>9122</v>
      </c>
      <c r="F151" s="15">
        <v>325</v>
      </c>
      <c r="G151" s="20" t="s">
        <v>138</v>
      </c>
      <c r="H151" s="20">
        <v>0.68</v>
      </c>
      <c r="I151" s="48">
        <f>MAX('Min rate concentrations'!$L$3:$L$368)</f>
        <v>58.421240152220811</v>
      </c>
      <c r="J151" s="48">
        <f>MAX('Min rate concentrations'!AD:AD)</f>
        <v>40.397666062705881</v>
      </c>
      <c r="K151" s="59">
        <f t="shared" si="21"/>
        <v>13.017522356894098</v>
      </c>
      <c r="L151" s="59">
        <f t="shared" si="20"/>
        <v>9.0014782255118746</v>
      </c>
      <c r="M151" s="59">
        <f>IF((((1.18*F151^0.874)/3.7-(0.301*F151^0.751)/(1-H151)*H151)*(MAX('Min rate concentrations'!$P$3:$P$368)))/F151&gt;0, (((1.18*F151^0.874)/3.7-(0.301*F151^0.751)/(1-H151)*H151)*(MAX('Min rate concentrations'!$P$3:$P$368)))/F151, 0)</f>
        <v>3.4276726679947157E-4</v>
      </c>
      <c r="N151" s="59">
        <f>IF((((1.18*F151^0.874)/3.7-(0.301*F151^0.751)/(1-H151)*H151)*(MAX('Min rate concentrations'!$Q$3:$Q$368)))/F151&gt;0, (((1.18*F151^0.874)/3.7-(0.301*F151^0.751)/(1-H151)*H151)*(MAX('Min rate concentrations'!$Q$3:$Q$368)))/F151, 0)</f>
        <v>1.3052761694352395E-3</v>
      </c>
      <c r="O151" s="59">
        <f>((MAX('Min rate concentrations'!$F$3:$F$368))*0.62*6.01*8*(10*F151^0.667)*0.079*0.1/F151)*inputs!$E$80/(10^(0.84+0.62*LOG10(inputs!$E$80)))</f>
        <v>3.5657017664851791</v>
      </c>
      <c r="P151" s="59">
        <f>((MAX('Min rate concentrations'!Y:Y))*0.62*6.01*8*(10*F151^0.667)*0.079*0.1/F151)*inputs!$E$80/(10^(0.84+0.62*LOG10(inputs!$E$80)))</f>
        <v>1.1885672554950597</v>
      </c>
      <c r="Q151" s="59">
        <f>(inputs!$C$7*11.2*(10*F151^0.667)*0.5/F151)*inputs!$E$80/(10^(0.84+0.62*LOG10(inputs!$E$80)))</f>
        <v>0.62808154825554785</v>
      </c>
      <c r="R151" s="59">
        <f>(60*284*((F151/1000)^0.77)*3*24*(MAX('Min rate concentrations'!$R$3:$R$368))/F151)*(inputs!$E$73*3.4/inputs!$E$75)</f>
        <v>6.0701906577764137E-3</v>
      </c>
      <c r="S151" s="59">
        <f>(IF(inputs!$C$6="aerial",((0.025*0.112*inputs!$C$7/3.3)*(3*60*284*((F151/1000)^0.77))*MAX(inputs!$H$14:$H$16))/F151,((0.0083*0.112*inputs!$C$7/1)*(3*60*284*((F151/1000)^0.77))*MAX(inputs!$H$14:$H$16))/F151))*(inputs!E$75*3.4/inputs!$E$73)</f>
        <v>3.3477474419887597E-2</v>
      </c>
      <c r="T151" s="63">
        <f>IF((((inputs!$P$12/(V151/MAX(K151:S151)))^(1/inputs!$O$12))-1)/inputs!$N$12&lt;0, 0, IF((((inputs!$P$12/(V151/MAX(K151:S151)))^(1/inputs!$O$12))-1)/inputs!$N$12&gt;inputs!$H$17, inputs!$H$17, (((inputs!$P$12/(V151/MAX(K151:S151)))^(1/inputs!$O$12))-1)/inputs!$N$12))</f>
        <v>329.70558530175123</v>
      </c>
      <c r="U151" s="63">
        <f>IF((((inputs!$P$12/(X151/MAX(K151:S151)))^(1/inputs!$O$12))-1)/inputs!$N$12&lt;0, 0, IF((((inputs!$P$12/(X151/MAX(K151:S151)))^(1/inputs!$O$12))-1)/inputs!$N$12&gt;inputs!$H$17, inputs!$H$17, (((inputs!$P$12/(X151/MAX(K151:S151)))^(1/inputs!$O$12))-1)/inputs!$N$12))</f>
        <v>15.606330317469459</v>
      </c>
      <c r="V151" s="21">
        <f>inputs!$E$78*(F151/inputs!$F$78)^(inputs!$E$84-1)</f>
        <v>1.2284479428588334E-2</v>
      </c>
      <c r="W151" s="21">
        <f>inputs!$E$85*(F151/inputs!$F$85)^(inputs!$E$84-1)</f>
        <v>0.56727463001505529</v>
      </c>
      <c r="X151" s="21">
        <f>inputs!$E$80*(F151/inputs!$F$80)^(inputs!$E$84-1)</f>
        <v>2.1183039981574847</v>
      </c>
      <c r="Y151" s="21">
        <f>inputs!$E$82*(F151/inputs!$F$82)^(inputs!$E$84-1)</f>
        <v>0.97629283879833606</v>
      </c>
      <c r="Z151" s="63">
        <f t="shared" si="17"/>
        <v>1059.672282620282</v>
      </c>
      <c r="AA151" s="63">
        <f t="shared" si="18"/>
        <v>22.947478466556166</v>
      </c>
    </row>
    <row r="152" spans="1:27" x14ac:dyDescent="0.25">
      <c r="A152" s="103" t="s">
        <v>234</v>
      </c>
      <c r="B152" s="20" t="s">
        <v>235</v>
      </c>
      <c r="C152" s="20" t="s">
        <v>73</v>
      </c>
      <c r="D152" s="104" t="s">
        <v>236</v>
      </c>
      <c r="E152" s="15">
        <v>9122</v>
      </c>
      <c r="F152" s="15">
        <v>325</v>
      </c>
      <c r="G152" s="21" t="s">
        <v>456</v>
      </c>
      <c r="H152" s="20">
        <v>0.68</v>
      </c>
      <c r="I152" s="48">
        <f>MAX('Min rate concentrations'!$J$3:$J$368)</f>
        <v>114.4108103430513</v>
      </c>
      <c r="J152" s="48">
        <f>MAX('Min rate concentrations'!AB:AB)</f>
        <v>40.520495329830666</v>
      </c>
      <c r="K152" s="59">
        <f t="shared" si="21"/>
        <v>25.493215783000203</v>
      </c>
      <c r="L152" s="59">
        <f t="shared" si="20"/>
        <v>9.0288472564792386</v>
      </c>
      <c r="M152" s="59">
        <f>IF((((1.18*F152^0.874)/3.7-(0.301*F152^0.751)/(1-H152)*H152)*(MAX('Min rate concentrations'!$P$3:$P$368)))/F152&gt;0, (((1.18*F152^0.874)/3.7-(0.301*F152^0.751)/(1-H152)*H152)*(MAX('Min rate concentrations'!$P$3:$P$368)))/F152, 0)</f>
        <v>3.4276726679947157E-4</v>
      </c>
      <c r="N152" s="59">
        <f>IF((((1.18*F152^0.874)/3.7-(0.301*F152^0.751)/(1-H152)*H152)*(MAX('Min rate concentrations'!$Q$3:$Q$368)))/F152&gt;0, (((1.18*F152^0.874)/3.7-(0.301*F152^0.751)/(1-H152)*H152)*(MAX('Min rate concentrations'!$Q$3:$Q$368)))/F152, 0)</f>
        <v>1.3052761694352395E-3</v>
      </c>
      <c r="O152" s="59">
        <f>((MAX('Min rate concentrations'!$F$3:$F$368))*0.62*6.01*8*(10*F152^0.667)*0.079*0.1/F152)*inputs!$E$80/(10^(0.84+0.62*LOG10(inputs!$E$80)))</f>
        <v>3.5657017664851791</v>
      </c>
      <c r="P152" s="59">
        <f>((MAX('Min rate concentrations'!Y:Y))*0.62*6.01*8*(10*F152^0.667)*0.079*0.1/F152)*inputs!$E$80/(10^(0.84+0.62*LOG10(inputs!$E$80)))</f>
        <v>1.1885672554950597</v>
      </c>
      <c r="Q152" s="59">
        <f>(inputs!$C$7*11.2*(10*F152^0.667)*0.5/F152)*inputs!$E$80/(10^(0.84+0.62*LOG10(inputs!$E$80)))</f>
        <v>0.62808154825554785</v>
      </c>
      <c r="R152" s="59">
        <f>(60*284*((F152/1000)^0.77)*3*24*(MAX('Min rate concentrations'!$R$3:$R$368))/F152)*(inputs!$E$73*3.4/inputs!$E$75)</f>
        <v>6.0701906577764137E-3</v>
      </c>
      <c r="S152" s="59">
        <f>(IF(inputs!$C$6="aerial",((0.025*0.112*inputs!$C$7/3.3)*(3*60*284*((F152/1000)^0.77))*MAX(inputs!$H$14:$H$16))/F152,((0.0083*0.112*inputs!$C$7/1)*(3*60*284*((F152/1000)^0.77))*MAX(inputs!$H$14:$H$16))/F152))*(inputs!E$75*3.4/inputs!$E$73)</f>
        <v>3.3477474419887597E-2</v>
      </c>
      <c r="T152" s="63">
        <f>IF((((inputs!$P$12/(V152/MAX(K152:S152)))^(1/inputs!$O$12))-1)/inputs!$N$12&lt;0, 0, IF((((inputs!$P$12/(V152/MAX(K152:S152)))^(1/inputs!$O$12))-1)/inputs!$N$12&gt;inputs!$H$17, inputs!$H$17, (((inputs!$P$12/(V152/MAX(K152:S152)))^(1/inputs!$O$12))-1)/inputs!$N$12))</f>
        <v>442.31908257806884</v>
      </c>
      <c r="U152" s="63">
        <f>IF((((inputs!$P$12/(X152/MAX(K152:S152)))^(1/inputs!$O$12))-1)/inputs!$N$12&lt;0, 0, IF((((inputs!$P$12/(X152/MAX(K152:S152)))^(1/inputs!$O$12))-1)/inputs!$N$12&gt;inputs!$H$17, inputs!$H$17, (((inputs!$P$12/(X152/MAX(K152:S152)))^(1/inputs!$O$12))-1)/inputs!$N$12))</f>
        <v>29.469831128929286</v>
      </c>
      <c r="V152" s="21">
        <f>inputs!$E$78*(F152/inputs!$F$78)^(inputs!$E$84-1)</f>
        <v>1.2284479428588334E-2</v>
      </c>
      <c r="W152" s="21">
        <f>inputs!$E$85*(F152/inputs!$F$85)^(inputs!$E$84-1)</f>
        <v>0.56727463001505529</v>
      </c>
      <c r="X152" s="21">
        <f>inputs!$E$80*(F152/inputs!$F$80)^(inputs!$E$84-1)</f>
        <v>2.1183039981574847</v>
      </c>
      <c r="Y152" s="21">
        <f>inputs!$E$82*(F152/inputs!$F$82)^(inputs!$E$84-1)</f>
        <v>0.97629283879833606</v>
      </c>
      <c r="Z152" s="63">
        <f t="shared" si="17"/>
        <v>2075.2377771639726</v>
      </c>
      <c r="AA152" s="63">
        <f t="shared" si="18"/>
        <v>44.939812983217003</v>
      </c>
    </row>
    <row r="153" spans="1:27" x14ac:dyDescent="0.25">
      <c r="A153" s="103" t="s">
        <v>234</v>
      </c>
      <c r="B153" s="20" t="s">
        <v>235</v>
      </c>
      <c r="C153" s="20" t="s">
        <v>73</v>
      </c>
      <c r="D153" s="104" t="s">
        <v>236</v>
      </c>
      <c r="E153" s="15">
        <v>9122</v>
      </c>
      <c r="F153" s="15">
        <v>325</v>
      </c>
      <c r="G153" s="20" t="s">
        <v>145</v>
      </c>
      <c r="H153" s="20">
        <v>0.66</v>
      </c>
      <c r="I153" s="48">
        <f>MAX('Min rate concentrations'!$M$3:$M$368)</f>
        <v>2.8488184789681945</v>
      </c>
      <c r="J153" s="48">
        <f>MAX('Min rate concentrations'!AE:AE)</f>
        <v>1.9699276716269429</v>
      </c>
      <c r="K153" s="59">
        <f t="shared" si="21"/>
        <v>0.59743876623236147</v>
      </c>
      <c r="L153" s="59">
        <f t="shared" si="20"/>
        <v>0.41312255111812235</v>
      </c>
      <c r="M153" s="59">
        <f>IF((((1.18*F153^0.874)/3.7-(0.301*F153^0.751)/(1-H153)*H153)*(MAX('Min rate concentrations'!$P$3:$P$368)))/F153&gt;0, (((1.18*F153^0.874)/3.7-(0.301*F153^0.751)/(1-H153)*H153)*(MAX('Min rate concentrations'!$P$3:$P$368)))/F153, 0)</f>
        <v>2.2452458988736399E-3</v>
      </c>
      <c r="N153" s="59">
        <f>IF((((1.18*F153^0.874)/3.7-(0.301*F153^0.751)/(1-H153)*H153)*(MAX('Min rate concentrations'!$Q$3:$Q$368)))/F153&gt;0, (((1.18*F153^0.874)/3.7-(0.301*F153^0.751)/(1-H153)*H153)*(MAX('Min rate concentrations'!$Q$3:$Q$368)))/F153, 0)</f>
        <v>8.5500170237564933E-3</v>
      </c>
      <c r="O153" s="59">
        <f>((MAX('Min rate concentrations'!$F$3:$F$368))*0.62*6.01*8*(10*F153^0.667)*0.079*0.1/F153)*inputs!$E$80/(10^(0.84+0.62*LOG10(inputs!$E$80)))</f>
        <v>3.5657017664851791</v>
      </c>
      <c r="P153" s="59">
        <f>((MAX('Min rate concentrations'!Y:Y))*0.62*6.01*8*(10*F153^0.667)*0.079*0.1/F153)*inputs!$E$80/(10^(0.84+0.62*LOG10(inputs!$E$80)))</f>
        <v>1.1885672554950597</v>
      </c>
      <c r="Q153" s="59">
        <f>(inputs!$C$7*11.2*(10*F153^0.667)*0.5/F153)*inputs!$E$80/(10^(0.84+0.62*LOG10(inputs!$E$80)))</f>
        <v>0.62808154825554785</v>
      </c>
      <c r="R153" s="59">
        <f>(60*284*((F153/1000)^0.77)*3*24*(MAX('Min rate concentrations'!$R$3:$R$368))/F153)*(inputs!$E$73*3.4/inputs!$E$75)</f>
        <v>6.0701906577764137E-3</v>
      </c>
      <c r="S153" s="59">
        <f>(IF(inputs!$C$6="aerial",((0.025*0.112*inputs!$C$7/3.3)*(3*60*284*((F153/1000)^0.77))*MAX(inputs!$H$14:$H$16))/F153,((0.0083*0.112*inputs!$C$7/1)*(3*60*284*((F153/1000)^0.77))*MAX(inputs!$H$14:$H$16))/F153))*(inputs!E$75*3.4/inputs!$E$73)</f>
        <v>3.3477474419887597E-2</v>
      </c>
      <c r="T153" s="63">
        <f>IF((((inputs!$P$12/(V153/MAX(K153:S153)))^(1/inputs!$O$12))-1)/inputs!$N$12&lt;0, 0, IF((((inputs!$P$12/(V153/MAX(K153:S153)))^(1/inputs!$O$12))-1)/inputs!$N$12&gt;inputs!$H$17, inputs!$H$17, (((inputs!$P$12/(V153/MAX(K153:S153)))^(1/inputs!$O$12))-1)/inputs!$N$12))</f>
        <v>183.04338686309455</v>
      </c>
      <c r="U153" s="63">
        <f>IF((((inputs!$P$12/(X153/MAX(K153:S153)))^(1/inputs!$O$12))-1)/inputs!$N$12&lt;0, 0, IF((((inputs!$P$12/(X153/MAX(K153:S153)))^(1/inputs!$O$12))-1)/inputs!$N$12&gt;inputs!$H$17, inputs!$H$17, (((inputs!$P$12/(X153/MAX(K153:S153)))^(1/inputs!$O$12))-1)/inputs!$N$12))</f>
        <v>0</v>
      </c>
      <c r="V153" s="21">
        <f>inputs!$E$78*(F153/inputs!$F$78)^(inputs!$E$84-1)</f>
        <v>1.2284479428588334E-2</v>
      </c>
      <c r="W153" s="21">
        <f>inputs!$E$85*(F153/inputs!$F$85)^(inputs!$E$84-1)</f>
        <v>0.56727463001505529</v>
      </c>
      <c r="X153" s="21">
        <f>inputs!$E$80*(F153/inputs!$F$80)^(inputs!$E$84-1)</f>
        <v>2.1183039981574847</v>
      </c>
      <c r="Y153" s="21">
        <f>inputs!$E$82*(F153/inputs!$F$82)^(inputs!$E$84-1)</f>
        <v>0.97629283879833606</v>
      </c>
      <c r="Z153" s="63">
        <f t="shared" si="17"/>
        <v>290.2607137089675</v>
      </c>
      <c r="AA153" s="63">
        <f t="shared" si="18"/>
        <v>6.2856711332049988</v>
      </c>
    </row>
    <row r="154" spans="1:27" x14ac:dyDescent="0.25">
      <c r="A154" s="103" t="s">
        <v>364</v>
      </c>
      <c r="B154" s="20" t="s">
        <v>365</v>
      </c>
      <c r="C154" s="20" t="s">
        <v>73</v>
      </c>
      <c r="D154" s="104" t="s">
        <v>204</v>
      </c>
      <c r="E154" s="15">
        <v>83</v>
      </c>
      <c r="F154" s="15">
        <v>737</v>
      </c>
      <c r="G154" s="20" t="s">
        <v>142</v>
      </c>
      <c r="H154" s="20">
        <v>0.69</v>
      </c>
      <c r="I154" s="48">
        <f>MAX('Min rate concentrations'!$H$3:$H$368)</f>
        <v>47</v>
      </c>
      <c r="J154" s="48">
        <f>MAX('Min rate concentrations'!AA:AA)</f>
        <v>32.5</v>
      </c>
      <c r="K154" s="59">
        <f t="shared" si="21"/>
        <v>8.8166429867928429</v>
      </c>
      <c r="L154" s="59">
        <f t="shared" si="20"/>
        <v>6.0966148312929231</v>
      </c>
      <c r="M154" s="59">
        <f>IF((((1.18*F154^0.874)/3.7-(0.301*F154^0.751)/(1-H154)*H154)*(MAX('Min rate concentrations'!$P$3:$P$368)))/F154&gt;0, (((1.18*F154^0.874)/3.7-(0.301*F154^0.751)/(1-H154)*H154)*(MAX('Min rate concentrations'!$P$3:$P$368)))/F154, 0)</f>
        <v>1.3587240233977156E-3</v>
      </c>
      <c r="N154" s="59">
        <f>IF((((1.18*F154^0.874)/3.7-(0.301*F154^0.751)/(1-H154)*H154)*(MAX('Min rate concentrations'!$Q$3:$Q$368)))/F154&gt;0, (((1.18*F154^0.874)/3.7-(0.301*F154^0.751)/(1-H154)*H154)*(MAX('Min rate concentrations'!$Q$3:$Q$368)))/F154, 0)</f>
        <v>5.1740940876299013E-3</v>
      </c>
      <c r="O154" s="59">
        <f>((MAX('Min rate concentrations'!$F$3:$F$368))*0.62*6.01*8*(10*F154^0.667)*0.079*0.1/F154)*inputs!$E$80/(10^(0.84+0.62*LOG10(inputs!$E$80)))</f>
        <v>2.7147853814040959</v>
      </c>
      <c r="P154" s="59">
        <f>((MAX('Min rate concentrations'!Y:Y))*0.62*6.01*8*(10*F154^0.667)*0.079*0.1/F154)*inputs!$E$80/(10^(0.84+0.62*LOG10(inputs!$E$80)))</f>
        <v>0.90492846046803177</v>
      </c>
      <c r="Q154" s="59">
        <f>(inputs!$C$7*11.2*(10*F154^0.667)*0.5/F154)*inputs!$E$80/(10^(0.84+0.62*LOG10(inputs!$E$80)))</f>
        <v>0.47819664043709076</v>
      </c>
      <c r="R154" s="59">
        <f>(60*284*((F154/1000)^0.77)*3*24*(MAX('Min rate concentrations'!$R$3:$R$368))/F154)*(inputs!$E$73*3.4/inputs!$E$75)</f>
        <v>5.0282629734401153E-3</v>
      </c>
      <c r="S154" s="59">
        <f>(IF(inputs!$C$6="aerial",((0.025*0.112*inputs!$C$7/3.3)*(3*60*284*((F154/1000)^0.77))*MAX(inputs!$H$14:$H$16))/F154,((0.0083*0.112*inputs!$C$7/1)*(3*60*284*((F154/1000)^0.77))*MAX(inputs!$H$14:$H$16))/F154))*(inputs!E$75*3.4/inputs!$E$73)</f>
        <v>2.7731179226497652E-2</v>
      </c>
      <c r="T154" s="63">
        <f>IF((((inputs!$P$12/(V154/MAX(K154:S154)))^(1/inputs!$O$12))-1)/inputs!$N$12&lt;0, 0, IF((((inputs!$P$12/(V154/MAX(K154:S154)))^(1/inputs!$O$12))-1)/inputs!$N$12&gt;inputs!$H$17, inputs!$H$17, (((inputs!$P$12/(V154/MAX(K154:S154)))^(1/inputs!$O$12))-1)/inputs!$N$12))</f>
        <v>317.29248756029716</v>
      </c>
      <c r="U154" s="63">
        <f>IF((((inputs!$P$12/(X154/MAX(K154:S154)))^(1/inputs!$O$12))-1)/inputs!$N$12&lt;0, 0, IF((((inputs!$P$12/(X154/MAX(K154:S154)))^(1/inputs!$O$12))-1)/inputs!$N$12&gt;inputs!$H$17, inputs!$H$17, (((inputs!$P$12/(X154/MAX(K154:S154)))^(1/inputs!$O$12))-1)/inputs!$N$12))</f>
        <v>14.078192085609656</v>
      </c>
      <c r="V154" s="21">
        <f>inputs!$E$78*(F154/inputs!$F$78)^(inputs!$E$84-1)</f>
        <v>9.0738298335181038E-3</v>
      </c>
      <c r="W154" s="21">
        <f>inputs!$E$85*(F154/inputs!$F$85)^(inputs!$E$84-1)</f>
        <v>0.41901274625033585</v>
      </c>
      <c r="X154" s="21">
        <f>inputs!$E$80*(F154/inputs!$F$80)^(inputs!$E$84-1)</f>
        <v>1.5646678499221403</v>
      </c>
      <c r="Y154" s="21">
        <f>inputs!$E$82*(F154/inputs!$F$82)^(inputs!$E$84-1)</f>
        <v>0.72113068676907044</v>
      </c>
      <c r="Z154" s="63">
        <f t="shared" si="17"/>
        <v>971.65619683816089</v>
      </c>
      <c r="AA154" s="63">
        <f t="shared" si="18"/>
        <v>21.041467272037135</v>
      </c>
    </row>
    <row r="155" spans="1:27" x14ac:dyDescent="0.25">
      <c r="A155" s="103" t="s">
        <v>364</v>
      </c>
      <c r="B155" s="20" t="s">
        <v>365</v>
      </c>
      <c r="C155" s="20" t="s">
        <v>73</v>
      </c>
      <c r="D155" s="104" t="s">
        <v>204</v>
      </c>
      <c r="E155" s="15">
        <v>83</v>
      </c>
      <c r="F155" s="15">
        <v>737</v>
      </c>
      <c r="G155" s="20" t="s">
        <v>169</v>
      </c>
      <c r="H155" s="20">
        <v>0.79</v>
      </c>
      <c r="I155" s="48">
        <f>MAX('Min rate concentrations'!$D$3:$D$368)</f>
        <v>120</v>
      </c>
      <c r="J155" s="48">
        <f>MAX('Min rate concentrations'!W:W)</f>
        <v>42.5</v>
      </c>
      <c r="K155" s="59">
        <f t="shared" si="21"/>
        <v>33.229900618915288</v>
      </c>
      <c r="L155" s="59">
        <f t="shared" si="20"/>
        <v>11.768923135865831</v>
      </c>
      <c r="M155" s="59">
        <f>IF((((1.18*F155^0.874)/3.7-(0.301*F155^0.751)/(1-H155)*H155)*(MAX('Min rate concentrations'!$P$3:$P$368)))/F155&gt;0, (((1.18*F155^0.874)/3.7-(0.301*F155^0.751)/(1-H155)*H155)*(MAX('Min rate concentrations'!$P$3:$P$368)))/F155, 0)</f>
        <v>0</v>
      </c>
      <c r="N155" s="59">
        <f>IF((((1.18*F155^0.874)/3.7-(0.301*F155^0.751)/(1-H155)*H155)*(MAX('Min rate concentrations'!$Q$3:$Q$368)))/F155&gt;0, (((1.18*F155^0.874)/3.7-(0.301*F155^0.751)/(1-H155)*H155)*(MAX('Min rate concentrations'!$Q$3:$Q$368)))/F155, 0)</f>
        <v>0</v>
      </c>
      <c r="O155" s="59">
        <f>((MAX('Min rate concentrations'!$F$3:$F$368))*0.62*6.01*8*(10*F155^0.667)*0.079*0.1/F155)*inputs!$E$80/(10^(0.84+0.62*LOG10(inputs!$E$80)))</f>
        <v>2.7147853814040959</v>
      </c>
      <c r="P155" s="59">
        <f>((MAX('Min rate concentrations'!Y:Y))*0.62*6.01*8*(10*F155^0.667)*0.079*0.1/F155)*inputs!$E$80/(10^(0.84+0.62*LOG10(inputs!$E$80)))</f>
        <v>0.90492846046803177</v>
      </c>
      <c r="Q155" s="59">
        <f>(inputs!$C$7*11.2*(10*F155^0.667)*0.5/F155)*inputs!$E$80/(10^(0.84+0.62*LOG10(inputs!$E$80)))</f>
        <v>0.47819664043709076</v>
      </c>
      <c r="R155" s="59">
        <f>(60*284*((F155/1000)^0.77)*3*24*(MAX('Min rate concentrations'!$R$3:$R$368))/F155)*(inputs!$E$73*3.4/inputs!$E$75)</f>
        <v>5.0282629734401153E-3</v>
      </c>
      <c r="S155" s="59">
        <f>(IF(inputs!$C$6="aerial",((0.025*0.112*inputs!$C$7/3.3)*(3*60*284*((F155/1000)^0.77))*MAX(inputs!$H$14:$H$16))/F155,((0.0083*0.112*inputs!$C$7/1)*(3*60*284*((F155/1000)^0.77))*MAX(inputs!$H$14:$H$16))/F155))*(inputs!E$75*3.4/inputs!$E$73)</f>
        <v>2.7731179226497652E-2</v>
      </c>
      <c r="T155" s="63">
        <f>IF((((inputs!$P$12/(V155/MAX(K155:S155)))^(1/inputs!$O$12))-1)/inputs!$N$12&lt;0, 0, IF((((inputs!$P$12/(V155/MAX(K155:S155)))^(1/inputs!$O$12))-1)/inputs!$N$12&gt;inputs!$H$17, inputs!$H$17, (((inputs!$P$12/(V155/MAX(K155:S155)))^(1/inputs!$O$12))-1)/inputs!$N$12))</f>
        <v>564.67363269935686</v>
      </c>
      <c r="U155" s="63">
        <f>IF((((inputs!$P$12/(X155/MAX(K155:S155)))^(1/inputs!$O$12))-1)/inputs!$N$12&lt;0, 0, IF((((inputs!$P$12/(X155/MAX(K155:S155)))^(1/inputs!$O$12))-1)/inputs!$N$12&gt;inputs!$H$17, inputs!$H$17, (((inputs!$P$12/(X155/MAX(K155:S155)))^(1/inputs!$O$12))-1)/inputs!$N$12))</f>
        <v>44.532522954671911</v>
      </c>
      <c r="V155" s="21">
        <f>inputs!$E$78*(F155/inputs!$F$78)^(inputs!$E$84-1)</f>
        <v>9.0738298335181038E-3</v>
      </c>
      <c r="W155" s="21">
        <f>inputs!$E$85*(F155/inputs!$F$85)^(inputs!$E$84-1)</f>
        <v>0.41901274625033585</v>
      </c>
      <c r="X155" s="21">
        <f>inputs!$E$80*(F155/inputs!$F$80)^(inputs!$E$84-1)</f>
        <v>1.5646678499221403</v>
      </c>
      <c r="Y155" s="21">
        <f>inputs!$E$82*(F155/inputs!$F$82)^(inputs!$E$84-1)</f>
        <v>0.72113068676907044</v>
      </c>
      <c r="Z155" s="63">
        <f t="shared" si="17"/>
        <v>3662.1692525207295</v>
      </c>
      <c r="AA155" s="63">
        <f t="shared" si="18"/>
        <v>79.305226192480418</v>
      </c>
    </row>
    <row r="156" spans="1:27" x14ac:dyDescent="0.25">
      <c r="A156" s="103" t="s">
        <v>364</v>
      </c>
      <c r="B156" s="20" t="s">
        <v>365</v>
      </c>
      <c r="C156" s="20" t="s">
        <v>73</v>
      </c>
      <c r="D156" s="104" t="s">
        <v>204</v>
      </c>
      <c r="E156" s="15">
        <v>83</v>
      </c>
      <c r="F156" s="15">
        <v>737</v>
      </c>
      <c r="G156" s="20" t="s">
        <v>158</v>
      </c>
      <c r="H156" s="20">
        <v>0.85</v>
      </c>
      <c r="I156" s="48">
        <f>MAX('Min rate concentrations'!$F$3:$F$368)</f>
        <v>67.5</v>
      </c>
      <c r="J156" s="48">
        <f>MAX('Min rate concentrations'!Y:Y)</f>
        <v>22.5</v>
      </c>
      <c r="K156" s="59">
        <f t="shared" si="21"/>
        <v>26.168546737395779</v>
      </c>
      <c r="L156" s="59">
        <f t="shared" si="20"/>
        <v>8.7228489124652597</v>
      </c>
      <c r="M156" s="59">
        <f>IF((((1.18*F156^0.874)/3.7-(0.301*F156^0.751)/(1-H156)*H156)*(MAX('Min rate concentrations'!$P$3:$P$368)))/F156&gt;0, (((1.18*F156^0.874)/3.7-(0.301*F156^0.751)/(1-H156)*H156)*(MAX('Min rate concentrations'!$P$3:$P$368)))/F156, 0)</f>
        <v>0</v>
      </c>
      <c r="N156" s="59">
        <f>IF((((1.18*F156^0.874)/3.7-(0.301*F156^0.751)/(1-H156)*H156)*(MAX('Min rate concentrations'!$Q$3:$Q$368)))/F156&gt;0, (((1.18*F156^0.874)/3.7-(0.301*F156^0.751)/(1-H156)*H156)*(MAX('Min rate concentrations'!$Q$3:$Q$368)))/F156, 0)</f>
        <v>0</v>
      </c>
      <c r="O156" s="59">
        <f>((MAX('Min rate concentrations'!$F$3:$F$368))*0.62*6.01*8*(10*F156^0.667)*0.079*0.1/F156)*inputs!$E$80/(10^(0.84+0.62*LOG10(inputs!$E$80)))</f>
        <v>2.7147853814040959</v>
      </c>
      <c r="P156" s="59">
        <f>((MAX('Min rate concentrations'!Y:Y))*0.62*6.01*8*(10*F156^0.667)*0.079*0.1/F156)*inputs!$E$80/(10^(0.84+0.62*LOG10(inputs!$E$80)))</f>
        <v>0.90492846046803177</v>
      </c>
      <c r="Q156" s="59">
        <f>(inputs!$C$7*11.2*(10*F156^0.667)*0.5/F156)*inputs!$E$80/(10^(0.84+0.62*LOG10(inputs!$E$80)))</f>
        <v>0.47819664043709076</v>
      </c>
      <c r="R156" s="59">
        <f>(60*284*((F156/1000)^0.77)*3*24*(MAX('Min rate concentrations'!$R$3:$R$368))/F156)*(inputs!$E$73*3.4/inputs!$E$75)</f>
        <v>5.0282629734401153E-3</v>
      </c>
      <c r="S156" s="59">
        <f>(IF(inputs!$C$6="aerial",((0.025*0.112*inputs!$C$7/3.3)*(3*60*284*((F156/1000)^0.77))*MAX(inputs!$H$14:$H$16))/F156,((0.0083*0.112*inputs!$C$7/1)*(3*60*284*((F156/1000)^0.77))*MAX(inputs!$H$14:$H$16))/F156))*(inputs!E$75*3.4/inputs!$E$73)</f>
        <v>2.7731179226497652E-2</v>
      </c>
      <c r="T156" s="63">
        <f>IF((((inputs!$P$12/(V156/MAX(K156:S156)))^(1/inputs!$O$12))-1)/inputs!$N$12&lt;0, 0, IF((((inputs!$P$12/(V156/MAX(K156:S156)))^(1/inputs!$O$12))-1)/inputs!$N$12&gt;inputs!$H$17, inputs!$H$17, (((inputs!$P$12/(V156/MAX(K156:S156)))^(1/inputs!$O$12))-1)/inputs!$N$12))</f>
        <v>509.74995140226605</v>
      </c>
      <c r="U156" s="63">
        <f>IF((((inputs!$P$12/(X156/MAX(K156:S156)))^(1/inputs!$O$12))-1)/inputs!$N$12&lt;0, 0, IF((((inputs!$P$12/(X156/MAX(K156:S156)))^(1/inputs!$O$12))-1)/inputs!$N$12&gt;inputs!$H$17, inputs!$H$17, (((inputs!$P$12/(X156/MAX(K156:S156)))^(1/inputs!$O$12))-1)/inputs!$N$12))</f>
        <v>37.77103770959279</v>
      </c>
      <c r="V156" s="21">
        <f>inputs!$E$78*(F156/inputs!$F$78)^(inputs!$E$84-1)</f>
        <v>9.0738298335181038E-3</v>
      </c>
      <c r="W156" s="21">
        <f>inputs!$E$85*(F156/inputs!$F$85)^(inputs!$E$84-1)</f>
        <v>0.41901274625033585</v>
      </c>
      <c r="X156" s="21">
        <f>inputs!$E$80*(F156/inputs!$F$80)^(inputs!$E$84-1)</f>
        <v>1.5646678499221403</v>
      </c>
      <c r="Y156" s="21">
        <f>inputs!$E$82*(F156/inputs!$F$82)^(inputs!$E$84-1)</f>
        <v>0.72113068676907044</v>
      </c>
      <c r="Z156" s="63">
        <f t="shared" si="17"/>
        <v>2883.9582863600731</v>
      </c>
      <c r="AA156" s="63">
        <f t="shared" si="18"/>
        <v>62.452865626578308</v>
      </c>
    </row>
    <row r="157" spans="1:27" x14ac:dyDescent="0.25">
      <c r="A157" s="103" t="s">
        <v>205</v>
      </c>
      <c r="B157" s="20" t="s">
        <v>206</v>
      </c>
      <c r="C157" s="20" t="s">
        <v>73</v>
      </c>
      <c r="D157" s="104" t="s">
        <v>204</v>
      </c>
      <c r="E157" s="15">
        <v>4120</v>
      </c>
      <c r="F157" s="15">
        <v>1300</v>
      </c>
      <c r="G157" s="20" t="s">
        <v>142</v>
      </c>
      <c r="H157" s="20">
        <v>0.69</v>
      </c>
      <c r="I157" s="48">
        <f>MAX('Min rate concentrations'!$H$3:$H$368)</f>
        <v>47</v>
      </c>
      <c r="J157" s="48">
        <f>MAX('Min rate concentrations'!AA:AA)</f>
        <v>32.5</v>
      </c>
      <c r="K157" s="59">
        <f t="shared" si="21"/>
        <v>7.6547456557594611</v>
      </c>
      <c r="L157" s="59">
        <f t="shared" si="20"/>
        <v>5.2931751874932447</v>
      </c>
      <c r="M157" s="59">
        <f>IF((((1.18*F157^0.874)/3.7-(0.301*F157^0.751)/(1-H157)*H157)*(MAX('Min rate concentrations'!$P$3:$P$368)))/F157&gt;0, (((1.18*F157^0.874)/3.7-(0.301*F157^0.751)/(1-H157)*H157)*(MAX('Min rate concentrations'!$P$3:$P$368)))/F157, 0)</f>
        <v>2.4442841161908947E-3</v>
      </c>
      <c r="N157" s="59">
        <f>IF((((1.18*F157^0.874)/3.7-(0.301*F157^0.751)/(1-H157)*H157)*(MAX('Min rate concentrations'!$Q$3:$Q$368)))/F157&gt;0, (((1.18*F157^0.874)/3.7-(0.301*F157^0.751)/(1-H157)*H157)*(MAX('Min rate concentrations'!$Q$3:$Q$368)))/F157, 0)</f>
        <v>9.3079652499594191E-3</v>
      </c>
      <c r="O157" s="59">
        <f>((MAX('Min rate concentrations'!$F$3:$F$368))*0.62*6.01*8*(10*F157^0.667)*0.079*0.1/F157)*inputs!$E$80/(10^(0.84+0.62*LOG10(inputs!$E$80)))</f>
        <v>2.2472895850140056</v>
      </c>
      <c r="P157" s="59">
        <f>((MAX('Min rate concentrations'!Y:Y))*0.62*6.01*8*(10*F157^0.667)*0.079*0.1/F157)*inputs!$E$80/(10^(0.84+0.62*LOG10(inputs!$E$80)))</f>
        <v>0.74909652833800178</v>
      </c>
      <c r="Q157" s="59">
        <f>(inputs!$C$7*11.2*(10*F157^0.667)*0.5/F157)*inputs!$E$80/(10^(0.84+0.62*LOG10(inputs!$E$80)))</f>
        <v>0.39584946088340528</v>
      </c>
      <c r="R157" s="59">
        <f>(60*284*((F157/1000)^0.77)*3*24*(MAX('Min rate concentrations'!$R$3:$R$368))/F157)*(inputs!$E$73*3.4/inputs!$E$75)</f>
        <v>4.4129451956507028E-3</v>
      </c>
      <c r="S157" s="59">
        <f>(IF(inputs!$C$6="aerial",((0.025*0.112*inputs!$C$7/3.3)*(3*60*284*((F157/1000)^0.77))*MAX(inputs!$H$14:$H$16))/F157,((0.0083*0.112*inputs!$C$7/1)*(3*60*284*((F157/1000)^0.77))*MAX(inputs!$H$14:$H$16))/F157))*(inputs!E$75*3.4/inputs!$E$73)</f>
        <v>2.4337663877905136E-2</v>
      </c>
      <c r="T157" s="63">
        <f>IF((((inputs!$P$12/(V157/MAX(K157:S157)))^(1/inputs!$O$12))-1)/inputs!$N$12&lt;0, 0, IF((((inputs!$P$12/(V157/MAX(K157:S157)))^(1/inputs!$O$12))-1)/inputs!$N$12&gt;inputs!$H$17, inputs!$H$17, (((inputs!$P$12/(V157/MAX(K157:S157)))^(1/inputs!$O$12))-1)/inputs!$N$12))</f>
        <v>327.08670817446807</v>
      </c>
      <c r="U157" s="63">
        <f>IF((((inputs!$P$12/(X157/MAX(K157:S157)))^(1/inputs!$O$12))-1)/inputs!$N$12&lt;0, 0, IF((((inputs!$P$12/(X157/MAX(K157:S157)))^(1/inputs!$O$12))-1)/inputs!$N$12&gt;inputs!$H$17, inputs!$H$17, (((inputs!$P$12/(X157/MAX(K157:S157)))^(1/inputs!$O$12))-1)/inputs!$N$12))</f>
        <v>15.283928420207351</v>
      </c>
      <c r="V157" s="21">
        <f>inputs!$E$78*(F157/inputs!$F$78)^(inputs!$E$84-1)</f>
        <v>7.3552012565319168E-3</v>
      </c>
      <c r="W157" s="21">
        <f>inputs!$E$85*(F157/inputs!$F$85)^(inputs!$E$84-1)</f>
        <v>0.33964964455680513</v>
      </c>
      <c r="X157" s="21">
        <f>inputs!$E$80*(F157/inputs!$F$80)^(inputs!$E$84-1)</f>
        <v>1.2683119638513609</v>
      </c>
      <c r="Y157" s="21">
        <f>inputs!$E$82*(F157/inputs!$F$82)^(inputs!$E$84-1)</f>
        <v>0.58454494196648399</v>
      </c>
      <c r="Z157" s="63">
        <f t="shared" si="17"/>
        <v>1040.7255204555454</v>
      </c>
      <c r="AA157" s="63">
        <f t="shared" si="18"/>
        <v>22.537181411592009</v>
      </c>
    </row>
    <row r="158" spans="1:27" x14ac:dyDescent="0.25">
      <c r="A158" s="103" t="s">
        <v>205</v>
      </c>
      <c r="B158" s="20" t="s">
        <v>206</v>
      </c>
      <c r="C158" s="20" t="s">
        <v>73</v>
      </c>
      <c r="D158" s="104" t="s">
        <v>204</v>
      </c>
      <c r="E158" s="15">
        <v>4120</v>
      </c>
      <c r="F158" s="15">
        <v>1300</v>
      </c>
      <c r="G158" s="20" t="s">
        <v>152</v>
      </c>
      <c r="H158" s="20">
        <v>0.77</v>
      </c>
      <c r="I158" s="48">
        <f>MAX('Min rate concentrations'!$G$3:$G$368)</f>
        <v>7.5</v>
      </c>
      <c r="J158" s="48">
        <f>MAX('Min rate concentrations'!Z:Z)</f>
        <v>3.5</v>
      </c>
      <c r="K158" s="59">
        <f t="shared" si="21"/>
        <v>1.646372215507933</v>
      </c>
      <c r="L158" s="59">
        <f t="shared" si="20"/>
        <v>0.76830703390370203</v>
      </c>
      <c r="M158" s="59">
        <f>IF((((1.18*F158^0.874)/3.7-(0.301*F158^0.751)/(1-H158)*H158)*(MAX('Min rate concentrations'!$P$3:$P$368)))/F158&gt;0, (((1.18*F158^0.874)/3.7-(0.301*F158^0.751)/(1-H158)*H158)*(MAX('Min rate concentrations'!$P$3:$P$368)))/F158, 0)</f>
        <v>0</v>
      </c>
      <c r="N158" s="59">
        <f>IF((((1.18*F158^0.874)/3.7-(0.301*F158^0.751)/(1-H158)*H158)*(MAX('Min rate concentrations'!$Q$3:$Q$368)))/F158&gt;0, (((1.18*F158^0.874)/3.7-(0.301*F158^0.751)/(1-H158)*H158)*(MAX('Min rate concentrations'!$Q$3:$Q$368)))/F158, 0)</f>
        <v>0</v>
      </c>
      <c r="O158" s="59">
        <f>((MAX('Min rate concentrations'!$F$3:$F$368))*0.62*6.01*8*(10*F158^0.667)*0.079*0.1/F158)*inputs!$E$80/(10^(0.84+0.62*LOG10(inputs!$E$80)))</f>
        <v>2.2472895850140056</v>
      </c>
      <c r="P158" s="59">
        <f>((MAX('Min rate concentrations'!Y:Y))*0.62*6.01*8*(10*F158^0.667)*0.079*0.1/F158)*inputs!$E$80/(10^(0.84+0.62*LOG10(inputs!$E$80)))</f>
        <v>0.74909652833800178</v>
      </c>
      <c r="Q158" s="59">
        <f>(inputs!$C$7*11.2*(10*F158^0.667)*0.5/F158)*inputs!$E$80/(10^(0.84+0.62*LOG10(inputs!$E$80)))</f>
        <v>0.39584946088340528</v>
      </c>
      <c r="R158" s="59">
        <f>(60*284*((F158/1000)^0.77)*3*24*(MAX('Min rate concentrations'!$R$3:$R$368))/F158)*(inputs!$E$73*3.4/inputs!$E$75)</f>
        <v>4.4129451956507028E-3</v>
      </c>
      <c r="S158" s="59">
        <f>(IF(inputs!$C$6="aerial",((0.025*0.112*inputs!$C$7/3.3)*(3*60*284*((F158/1000)^0.77))*MAX(inputs!$H$14:$H$16))/F158,((0.0083*0.112*inputs!$C$7/1)*(3*60*284*((F158/1000)^0.77))*MAX(inputs!$H$14:$H$16))/F158))*(inputs!E$75*3.4/inputs!$E$73)</f>
        <v>2.4337663877905136E-2</v>
      </c>
      <c r="T158" s="63">
        <f>IF((((inputs!$P$12/(V158/MAX(K158:S158)))^(1/inputs!$O$12))-1)/inputs!$N$12&lt;0, 0, IF((((inputs!$P$12/(V158/MAX(K158:S158)))^(1/inputs!$O$12))-1)/inputs!$N$12&gt;inputs!$H$17, inputs!$H$17, (((inputs!$P$12/(V158/MAX(K158:S158)))^(1/inputs!$O$12))-1)/inputs!$N$12))</f>
        <v>187.50288951104042</v>
      </c>
      <c r="U158" s="63">
        <f>IF((((inputs!$P$12/(X158/MAX(K158:S158)))^(1/inputs!$O$12))-1)/inputs!$N$12&lt;0, 0, IF((((inputs!$P$12/(X158/MAX(K158:S158)))^(1/inputs!$O$12))-1)/inputs!$N$12&gt;inputs!$H$17, inputs!$H$17, (((inputs!$P$12/(X158/MAX(K158:S158)))^(1/inputs!$O$12))-1)/inputs!$N$12))</f>
        <v>0</v>
      </c>
      <c r="V158" s="21">
        <f>inputs!$E$78*(F158/inputs!$F$78)^(inputs!$E$84-1)</f>
        <v>7.3552012565319168E-3</v>
      </c>
      <c r="W158" s="21">
        <f>inputs!$E$85*(F158/inputs!$F$85)^(inputs!$E$84-1)</f>
        <v>0.33964964455680513</v>
      </c>
      <c r="X158" s="21">
        <f>inputs!$E$80*(F158/inputs!$F$80)^(inputs!$E$84-1)</f>
        <v>1.2683119638513609</v>
      </c>
      <c r="Y158" s="21">
        <f>inputs!$E$82*(F158/inputs!$F$82)^(inputs!$E$84-1)</f>
        <v>0.58454494196648399</v>
      </c>
      <c r="Z158" s="63">
        <f t="shared" si="17"/>
        <v>305.53747023825628</v>
      </c>
      <c r="AA158" s="63">
        <f t="shared" si="18"/>
        <v>6.6164932630693647</v>
      </c>
    </row>
    <row r="159" spans="1:27" x14ac:dyDescent="0.25">
      <c r="A159" s="103" t="s">
        <v>205</v>
      </c>
      <c r="B159" s="20" t="s">
        <v>206</v>
      </c>
      <c r="C159" s="20" t="s">
        <v>73</v>
      </c>
      <c r="D159" s="104" t="s">
        <v>204</v>
      </c>
      <c r="E159" s="15">
        <v>4120</v>
      </c>
      <c r="F159" s="15">
        <v>1300</v>
      </c>
      <c r="G159" s="20" t="s">
        <v>158</v>
      </c>
      <c r="H159" s="20">
        <v>0.85</v>
      </c>
      <c r="I159" s="48">
        <f>MAX('Min rate concentrations'!$F$3:$F$368)</f>
        <v>67.5</v>
      </c>
      <c r="J159" s="48">
        <f>MAX('Min rate concentrations'!Y:Y)</f>
        <v>22.5</v>
      </c>
      <c r="K159" s="59">
        <f t="shared" si="21"/>
        <v>22.71993657400947</v>
      </c>
      <c r="L159" s="59">
        <f t="shared" si="20"/>
        <v>7.5733121913364894</v>
      </c>
      <c r="M159" s="59">
        <f>IF((((1.18*F159^0.874)/3.7-(0.301*F159^0.751)/(1-H159)*H159)*(MAX('Min rate concentrations'!$P$3:$P$368)))/F159&gt;0, (((1.18*F159^0.874)/3.7-(0.301*F159^0.751)/(1-H159)*H159)*(MAX('Min rate concentrations'!$P$3:$P$368)))/F159, 0)</f>
        <v>0</v>
      </c>
      <c r="N159" s="59">
        <f>IF((((1.18*F159^0.874)/3.7-(0.301*F159^0.751)/(1-H159)*H159)*(MAX('Min rate concentrations'!$Q$3:$Q$368)))/F159&gt;0, (((1.18*F159^0.874)/3.7-(0.301*F159^0.751)/(1-H159)*H159)*(MAX('Min rate concentrations'!$Q$3:$Q$368)))/F159, 0)</f>
        <v>0</v>
      </c>
      <c r="O159" s="59">
        <f>((MAX('Min rate concentrations'!$F$3:$F$368))*0.62*6.01*8*(10*F159^0.667)*0.079*0.1/F159)*inputs!$E$80/(10^(0.84+0.62*LOG10(inputs!$E$80)))</f>
        <v>2.2472895850140056</v>
      </c>
      <c r="P159" s="59">
        <f>((MAX('Min rate concentrations'!Y:Y))*0.62*6.01*8*(10*F159^0.667)*0.079*0.1/F159)*inputs!$E$80/(10^(0.84+0.62*LOG10(inputs!$E$80)))</f>
        <v>0.74909652833800178</v>
      </c>
      <c r="Q159" s="59">
        <f>(inputs!$C$7*11.2*(10*F159^0.667)*0.5/F159)*inputs!$E$80/(10^(0.84+0.62*LOG10(inputs!$E$80)))</f>
        <v>0.39584946088340528</v>
      </c>
      <c r="R159" s="59">
        <f>(60*284*((F159/1000)^0.77)*3*24*(MAX('Min rate concentrations'!$R$3:$R$368))/F159)*(inputs!$E$73*3.4/inputs!$E$75)</f>
        <v>4.4129451956507028E-3</v>
      </c>
      <c r="S159" s="59">
        <f>(IF(inputs!$C$6="aerial",((0.025*0.112*inputs!$C$7/3.3)*(3*60*284*((F159/1000)^0.77))*MAX(inputs!$H$14:$H$16))/F159,((0.0083*0.112*inputs!$C$7/1)*(3*60*284*((F159/1000)^0.77))*MAX(inputs!$H$14:$H$16))/F159))*(inputs!E$75*3.4/inputs!$E$73)</f>
        <v>2.4337663877905136E-2</v>
      </c>
      <c r="T159" s="63">
        <f>IF((((inputs!$P$12/(V159/MAX(K159:S159)))^(1/inputs!$O$12))-1)/inputs!$N$12&lt;0, 0, IF((((inputs!$P$12/(V159/MAX(K159:S159)))^(1/inputs!$O$12))-1)/inputs!$N$12&gt;inputs!$H$17, inputs!$H$17, (((inputs!$P$12/(V159/MAX(K159:S159)))^(1/inputs!$O$12))-1)/inputs!$N$12))</f>
        <v>524.99549119024334</v>
      </c>
      <c r="U159" s="63">
        <f>IF((((inputs!$P$12/(X159/MAX(K159:S159)))^(1/inputs!$O$12))-1)/inputs!$N$12&lt;0, 0, IF((((inputs!$P$12/(X159/MAX(K159:S159)))^(1/inputs!$O$12))-1)/inputs!$N$12&gt;inputs!$H$17, inputs!$H$17, (((inputs!$P$12/(X159/MAX(K159:S159)))^(1/inputs!$O$12))-1)/inputs!$N$12))</f>
        <v>39.647869158163843</v>
      </c>
      <c r="V159" s="21">
        <f>inputs!$E$78*(F159/inputs!$F$78)^(inputs!$E$84-1)</f>
        <v>7.3552012565319168E-3</v>
      </c>
      <c r="W159" s="21">
        <f>inputs!$E$85*(F159/inputs!$F$85)^(inputs!$E$84-1)</f>
        <v>0.33964964455680513</v>
      </c>
      <c r="X159" s="21">
        <f>inputs!$E$80*(F159/inputs!$F$80)^(inputs!$E$84-1)</f>
        <v>1.2683119638513609</v>
      </c>
      <c r="Y159" s="21">
        <f>inputs!$E$82*(F159/inputs!$F$82)^(inputs!$E$84-1)</f>
        <v>0.58454494196648399</v>
      </c>
      <c r="Z159" s="63">
        <f t="shared" si="17"/>
        <v>3088.9619170967794</v>
      </c>
      <c r="AA159" s="63">
        <f t="shared" si="18"/>
        <v>66.892272487597566</v>
      </c>
    </row>
    <row r="160" spans="1:27" x14ac:dyDescent="0.25">
      <c r="A160" s="103" t="s">
        <v>205</v>
      </c>
      <c r="B160" s="20" t="s">
        <v>207</v>
      </c>
      <c r="C160" s="20" t="s">
        <v>73</v>
      </c>
      <c r="D160" s="104" t="s">
        <v>204</v>
      </c>
      <c r="E160" s="15">
        <v>8741</v>
      </c>
      <c r="F160" s="15">
        <v>1200</v>
      </c>
      <c r="G160" s="20" t="s">
        <v>142</v>
      </c>
      <c r="H160" s="20">
        <v>0.69</v>
      </c>
      <c r="I160" s="48">
        <f>MAX('Min rate concentrations'!$H$3:$H$368)</f>
        <v>47</v>
      </c>
      <c r="J160" s="48">
        <f>MAX('Min rate concentrations'!AA:AA)</f>
        <v>32.5</v>
      </c>
      <c r="K160" s="59">
        <f t="shared" si="21"/>
        <v>7.8088400904264885</v>
      </c>
      <c r="L160" s="59">
        <f t="shared" si="20"/>
        <v>5.3997298497629966</v>
      </c>
      <c r="M160" s="59">
        <f>IF((((1.18*F160^0.874)/3.7-(0.301*F160^0.751)/(1-H160)*H160)*(MAX('Min rate concentrations'!$P$3:$P$368)))/F160&gt;0, (((1.18*F160^0.874)/3.7-(0.301*F160^0.751)/(1-H160)*H160)*(MAX('Min rate concentrations'!$P$3:$P$368)))/F160, 0)</f>
        <v>2.3060408366313298E-3</v>
      </c>
      <c r="N160" s="59">
        <f>IF((((1.18*F160^0.874)/3.7-(0.301*F160^0.751)/(1-H160)*H160)*(MAX('Min rate concentrations'!$Q$3:$Q$368)))/F160&gt;0, (((1.18*F160^0.874)/3.7-(0.301*F160^0.751)/(1-H160)*H160)*(MAX('Min rate concentrations'!$Q$3:$Q$368)))/F160, 0)</f>
        <v>8.7815274133522282E-3</v>
      </c>
      <c r="O160" s="59">
        <f>((MAX('Min rate concentrations'!$F$3:$F$368))*0.62*6.01*8*(10*F160^0.667)*0.079*0.1/F160)*inputs!$E$80/(10^(0.84+0.62*LOG10(inputs!$E$80)))</f>
        <v>2.3079947705268498</v>
      </c>
      <c r="P160" s="59">
        <f>((MAX('Min rate concentrations'!Y:Y))*0.62*6.01*8*(10*F160^0.667)*0.079*0.1/F160)*inputs!$E$80/(10^(0.84+0.62*LOG10(inputs!$E$80)))</f>
        <v>0.76933159017561659</v>
      </c>
      <c r="Q160" s="59">
        <f>(inputs!$C$7*11.2*(10*F160^0.667)*0.5/F160)*inputs!$E$80/(10^(0.84+0.62*LOG10(inputs!$E$80)))</f>
        <v>0.40654239299074496</v>
      </c>
      <c r="R160" s="59">
        <f>(60*284*((F160/1000)^0.77)*3*24*(MAX('Min rate concentrations'!$R$3:$R$368))/F160)*(inputs!$E$73*3.4/inputs!$E$75)</f>
        <v>4.4949391660243799E-3</v>
      </c>
      <c r="S160" s="59">
        <f>(IF(inputs!$C$6="aerial",((0.025*0.112*inputs!$C$7/3.3)*(3*60*284*((F160/1000)^0.77))*MAX(inputs!$H$14:$H$16))/F160,((0.0083*0.112*inputs!$C$7/1)*(3*60*284*((F160/1000)^0.77))*MAX(inputs!$H$14:$H$16))/F160))*(inputs!E$75*3.4/inputs!$E$73)</f>
        <v>2.478986566208688E-2</v>
      </c>
      <c r="T160" s="63">
        <f>IF((((inputs!$P$12/(V160/MAX(K160:S160)))^(1/inputs!$O$12))-1)/inputs!$N$12&lt;0, 0, IF((((inputs!$P$12/(V160/MAX(K160:S160)))^(1/inputs!$O$12))-1)/inputs!$N$12&gt;inputs!$H$17, inputs!$H$17, (((inputs!$P$12/(V160/MAX(K160:S160)))^(1/inputs!$O$12))-1)/inputs!$N$12))</f>
        <v>325.68873938180502</v>
      </c>
      <c r="U160" s="63">
        <f>IF((((inputs!$P$12/(X160/MAX(K160:S160)))^(1/inputs!$O$12))-1)/inputs!$N$12&lt;0, 0, IF((((inputs!$P$12/(X160/MAX(K160:S160)))^(1/inputs!$O$12))-1)/inputs!$N$12&gt;inputs!$H$17, inputs!$H$17, (((inputs!$P$12/(X160/MAX(K160:S160)))^(1/inputs!$O$12))-1)/inputs!$N$12))</f>
        <v>15.111828787745679</v>
      </c>
      <c r="V160" s="21">
        <f>inputs!$E$78*(F160/inputs!$F$78)^(inputs!$E$84-1)</f>
        <v>7.5762891273526475E-3</v>
      </c>
      <c r="W160" s="21">
        <f>inputs!$E$85*(F160/inputs!$F$85)^(inputs!$E$84-1)</f>
        <v>0.34985907515170483</v>
      </c>
      <c r="X160" s="21">
        <f>inputs!$E$80*(F160/inputs!$F$80)^(inputs!$E$84-1)</f>
        <v>1.3064357869588976</v>
      </c>
      <c r="Y160" s="21">
        <f>inputs!$E$82*(F160/inputs!$F$82)^(inputs!$E$84-1)</f>
        <v>0.60211560959486832</v>
      </c>
      <c r="Z160" s="63">
        <f t="shared" si="17"/>
        <v>1030.6945734468163</v>
      </c>
      <c r="AA160" s="63">
        <f t="shared" si="18"/>
        <v>22.319958649180226</v>
      </c>
    </row>
    <row r="161" spans="1:27" x14ac:dyDescent="0.25">
      <c r="A161" s="103" t="s">
        <v>205</v>
      </c>
      <c r="B161" s="20" t="s">
        <v>207</v>
      </c>
      <c r="C161" s="20" t="s">
        <v>73</v>
      </c>
      <c r="D161" s="104" t="s">
        <v>204</v>
      </c>
      <c r="E161" s="15">
        <v>8741</v>
      </c>
      <c r="F161" s="15">
        <v>1200</v>
      </c>
      <c r="G161" s="20" t="s">
        <v>152</v>
      </c>
      <c r="H161" s="20">
        <v>0.77</v>
      </c>
      <c r="I161" s="48">
        <f>MAX('Min rate concentrations'!$G$3:$G$368)</f>
        <v>7.5</v>
      </c>
      <c r="J161" s="48">
        <f>MAX('Min rate concentrations'!Z:Z)</f>
        <v>3.5</v>
      </c>
      <c r="K161" s="59">
        <f t="shared" si="21"/>
        <v>1.6795146355450128</v>
      </c>
      <c r="L161" s="59">
        <f t="shared" si="20"/>
        <v>0.7837734965876727</v>
      </c>
      <c r="M161" s="59">
        <f>IF((((1.18*F161^0.874)/3.7-(0.301*F161^0.751)/(1-H161)*H161)*(MAX('Min rate concentrations'!$P$3:$P$368)))/F161&gt;0, (((1.18*F161^0.874)/3.7-(0.301*F161^0.751)/(1-H161)*H161)*(MAX('Min rate concentrations'!$P$3:$P$368)))/F161, 0)</f>
        <v>0</v>
      </c>
      <c r="N161" s="59">
        <f>IF((((1.18*F161^0.874)/3.7-(0.301*F161^0.751)/(1-H161)*H161)*(MAX('Min rate concentrations'!$Q$3:$Q$368)))/F161&gt;0, (((1.18*F161^0.874)/3.7-(0.301*F161^0.751)/(1-H161)*H161)*(MAX('Min rate concentrations'!$Q$3:$Q$368)))/F161, 0)</f>
        <v>0</v>
      </c>
      <c r="O161" s="59">
        <f>((MAX('Min rate concentrations'!$F$3:$F$368))*0.62*6.01*8*(10*F161^0.667)*0.079*0.1/F161)*inputs!$E$80/(10^(0.84+0.62*LOG10(inputs!$E$80)))</f>
        <v>2.3079947705268498</v>
      </c>
      <c r="P161" s="59">
        <f>((MAX('Min rate concentrations'!Y:Y))*0.62*6.01*8*(10*F161^0.667)*0.079*0.1/F161)*inputs!$E$80/(10^(0.84+0.62*LOG10(inputs!$E$80)))</f>
        <v>0.76933159017561659</v>
      </c>
      <c r="Q161" s="59">
        <f>(inputs!$C$7*11.2*(10*F161^0.667)*0.5/F161)*inputs!$E$80/(10^(0.84+0.62*LOG10(inputs!$E$80)))</f>
        <v>0.40654239299074496</v>
      </c>
      <c r="R161" s="59">
        <f>(60*284*((F161/1000)^0.77)*3*24*(MAX('Min rate concentrations'!$R$3:$R$368))/F161)*(inputs!$E$73*3.4/inputs!$E$75)</f>
        <v>4.4949391660243799E-3</v>
      </c>
      <c r="S161" s="59">
        <f>(IF(inputs!$C$6="aerial",((0.025*0.112*inputs!$C$7/3.3)*(3*60*284*((F161/1000)^0.77))*MAX(inputs!$H$14:$H$16))/F161,((0.0083*0.112*inputs!$C$7/1)*(3*60*284*((F161/1000)^0.77))*MAX(inputs!$H$14:$H$16))/F161))*(inputs!E$75*3.4/inputs!$E$73)</f>
        <v>2.478986566208688E-2</v>
      </c>
      <c r="T161" s="63">
        <f>IF((((inputs!$P$12/(V161/MAX(K161:S161)))^(1/inputs!$O$12))-1)/inputs!$N$12&lt;0, 0, IF((((inputs!$P$12/(V161/MAX(K161:S161)))^(1/inputs!$O$12))-1)/inputs!$N$12&gt;inputs!$H$17, inputs!$H$17, (((inputs!$P$12/(V161/MAX(K161:S161)))^(1/inputs!$O$12))-1)/inputs!$N$12))</f>
        <v>187.24286542114322</v>
      </c>
      <c r="U161" s="63">
        <f>IF((((inputs!$P$12/(X161/MAX(K161:S161)))^(1/inputs!$O$12))-1)/inputs!$N$12&lt;0, 0, IF((((inputs!$P$12/(X161/MAX(K161:S161)))^(1/inputs!$O$12))-1)/inputs!$N$12&gt;inputs!$H$17, inputs!$H$17, (((inputs!$P$12/(X161/MAX(K161:S161)))^(1/inputs!$O$12))-1)/inputs!$N$12))</f>
        <v>0</v>
      </c>
      <c r="V161" s="21">
        <f>inputs!$E$78*(F161/inputs!$F$78)^(inputs!$E$84-1)</f>
        <v>7.5762891273526475E-3</v>
      </c>
      <c r="W161" s="21">
        <f>inputs!$E$85*(F161/inputs!$F$85)^(inputs!$E$84-1)</f>
        <v>0.34985907515170483</v>
      </c>
      <c r="X161" s="21">
        <f>inputs!$E$80*(F161/inputs!$F$80)^(inputs!$E$84-1)</f>
        <v>1.3064357869588976</v>
      </c>
      <c r="Y161" s="21">
        <f>inputs!$E$82*(F161/inputs!$F$82)^(inputs!$E$84-1)</f>
        <v>0.60211560959486832</v>
      </c>
      <c r="Z161" s="63">
        <f t="shared" si="17"/>
        <v>304.63393512719904</v>
      </c>
      <c r="AA161" s="63">
        <f t="shared" si="18"/>
        <v>6.5969269756002875</v>
      </c>
    </row>
    <row r="162" spans="1:27" x14ac:dyDescent="0.25">
      <c r="A162" s="103" t="s">
        <v>205</v>
      </c>
      <c r="B162" s="20" t="s">
        <v>207</v>
      </c>
      <c r="C162" s="20" t="s">
        <v>73</v>
      </c>
      <c r="D162" s="104" t="s">
        <v>204</v>
      </c>
      <c r="E162" s="15">
        <v>8741</v>
      </c>
      <c r="F162" s="15">
        <v>1200</v>
      </c>
      <c r="G162" s="20" t="s">
        <v>158</v>
      </c>
      <c r="H162" s="20">
        <v>0.85</v>
      </c>
      <c r="I162" s="48">
        <f>MAX('Min rate concentrations'!$F$3:$F$368)</f>
        <v>67.5</v>
      </c>
      <c r="J162" s="48">
        <f>MAX('Min rate concentrations'!Y:Y)</f>
        <v>22.5</v>
      </c>
      <c r="K162" s="59">
        <f t="shared" si="21"/>
        <v>23.177301970521174</v>
      </c>
      <c r="L162" s="59">
        <f t="shared" si="20"/>
        <v>7.7257673235070587</v>
      </c>
      <c r="M162" s="59">
        <f>IF((((1.18*F162^0.874)/3.7-(0.301*F162^0.751)/(1-H162)*H162)*(MAX('Min rate concentrations'!$P$3:$P$368)))/F162&gt;0, (((1.18*F162^0.874)/3.7-(0.301*F162^0.751)/(1-H162)*H162)*(MAX('Min rate concentrations'!$P$3:$P$368)))/F162, 0)</f>
        <v>0</v>
      </c>
      <c r="N162" s="59">
        <f>IF((((1.18*F162^0.874)/3.7-(0.301*F162^0.751)/(1-H162)*H162)*(MAX('Min rate concentrations'!$Q$3:$Q$368)))/F162&gt;0, (((1.18*F162^0.874)/3.7-(0.301*F162^0.751)/(1-H162)*H162)*(MAX('Min rate concentrations'!$Q$3:$Q$368)))/F162, 0)</f>
        <v>0</v>
      </c>
      <c r="O162" s="59">
        <f>((MAX('Min rate concentrations'!$F$3:$F$368))*0.62*6.01*8*(10*F162^0.667)*0.079*0.1/F162)*inputs!$E$80/(10^(0.84+0.62*LOG10(inputs!$E$80)))</f>
        <v>2.3079947705268498</v>
      </c>
      <c r="P162" s="59">
        <f>((MAX('Min rate concentrations'!Y:Y))*0.62*6.01*8*(10*F162^0.667)*0.079*0.1/F162)*inputs!$E$80/(10^(0.84+0.62*LOG10(inputs!$E$80)))</f>
        <v>0.76933159017561659</v>
      </c>
      <c r="Q162" s="59">
        <f>(inputs!$C$7*11.2*(10*F162^0.667)*0.5/F162)*inputs!$E$80/(10^(0.84+0.62*LOG10(inputs!$E$80)))</f>
        <v>0.40654239299074496</v>
      </c>
      <c r="R162" s="59">
        <f>(60*284*((F162/1000)^0.77)*3*24*(MAX('Min rate concentrations'!$R$3:$R$368))/F162)*(inputs!$E$73*3.4/inputs!$E$75)</f>
        <v>4.4949391660243799E-3</v>
      </c>
      <c r="S162" s="59">
        <f>(IF(inputs!$C$6="aerial",((0.025*0.112*inputs!$C$7/3.3)*(3*60*284*((F162/1000)^0.77))*MAX(inputs!$H$14:$H$16))/F162,((0.0083*0.112*inputs!$C$7/1)*(3*60*284*((F162/1000)^0.77))*MAX(inputs!$H$14:$H$16))/F162))*(inputs!E$75*3.4/inputs!$E$73)</f>
        <v>2.478986566208688E-2</v>
      </c>
      <c r="T162" s="63">
        <f>IF((((inputs!$P$12/(V162/MAX(K162:S162)))^(1/inputs!$O$12))-1)/inputs!$N$12&lt;0, 0, IF((((inputs!$P$12/(V162/MAX(K162:S162)))^(1/inputs!$O$12))-1)/inputs!$N$12&gt;inputs!$H$17, inputs!$H$17, (((inputs!$P$12/(V162/MAX(K162:S162)))^(1/inputs!$O$12))-1)/inputs!$N$12))</f>
        <v>522.81943352414805</v>
      </c>
      <c r="U162" s="63">
        <f>IF((((inputs!$P$12/(X162/MAX(K162:S162)))^(1/inputs!$O$12))-1)/inputs!$N$12&lt;0, 0, IF((((inputs!$P$12/(X162/MAX(K162:S162)))^(1/inputs!$O$12))-1)/inputs!$N$12&gt;inputs!$H$17, inputs!$H$17, (((inputs!$P$12/(X162/MAX(K162:S162)))^(1/inputs!$O$12))-1)/inputs!$N$12))</f>
        <v>39.379981400929282</v>
      </c>
      <c r="V162" s="21">
        <f>inputs!$E$78*(F162/inputs!$F$78)^(inputs!$E$84-1)</f>
        <v>7.5762891273526475E-3</v>
      </c>
      <c r="W162" s="21">
        <f>inputs!$E$85*(F162/inputs!$F$85)^(inputs!$E$84-1)</f>
        <v>0.34985907515170483</v>
      </c>
      <c r="X162" s="21">
        <f>inputs!$E$80*(F162/inputs!$F$80)^(inputs!$E$84-1)</f>
        <v>1.3064357869588976</v>
      </c>
      <c r="Y162" s="21">
        <f>inputs!$E$82*(F162/inputs!$F$82)^(inputs!$E$84-1)</f>
        <v>0.60211560959486832</v>
      </c>
      <c r="Z162" s="63">
        <f t="shared" si="17"/>
        <v>3059.1892126772527</v>
      </c>
      <c r="AA162" s="63">
        <f t="shared" si="18"/>
        <v>66.247536841715771</v>
      </c>
    </row>
    <row r="163" spans="1:27" x14ac:dyDescent="0.25">
      <c r="A163" s="103" t="s">
        <v>202</v>
      </c>
      <c r="B163" s="20" t="s">
        <v>203</v>
      </c>
      <c r="C163" s="20" t="s">
        <v>73</v>
      </c>
      <c r="D163" s="104" t="s">
        <v>204</v>
      </c>
      <c r="E163" s="15">
        <v>4064</v>
      </c>
      <c r="F163" s="15">
        <v>1100</v>
      </c>
      <c r="G163" s="20" t="s">
        <v>142</v>
      </c>
      <c r="H163" s="20">
        <v>0.69</v>
      </c>
      <c r="I163" s="48">
        <f>MAX('Min rate concentrations'!$H$3:$H$368)</f>
        <v>47</v>
      </c>
      <c r="J163" s="48">
        <f>MAX('Min rate concentrations'!AA:AA)</f>
        <v>32.5</v>
      </c>
      <c r="K163" s="59">
        <f t="shared" si="21"/>
        <v>7.9798711901155714</v>
      </c>
      <c r="L163" s="59">
        <f t="shared" si="20"/>
        <v>5.5179960357182143</v>
      </c>
      <c r="M163" s="59">
        <f>IF((((1.18*F163^0.874)/3.7-(0.301*F163^0.751)/(1-H163)*H163)*(MAX('Min rate concentrations'!$P$3:$P$368)))/F163&gt;0, (((1.18*F163^0.874)/3.7-(0.301*F163^0.751)/(1-H163)*H163)*(MAX('Min rate concentrations'!$P$3:$P$368)))/F163, 0)</f>
        <v>2.1504458392740734E-3</v>
      </c>
      <c r="N163" s="59">
        <f>IF((((1.18*F163^0.874)/3.7-(0.301*F163^0.751)/(1-H163)*H163)*(MAX('Min rate concentrations'!$Q$3:$Q$368)))/F163&gt;0, (((1.18*F163^0.874)/3.7-(0.301*F163^0.751)/(1-H163)*H163)*(MAX('Min rate concentrations'!$Q$3:$Q$368)))/F163, 0)</f>
        <v>8.1890133030343929E-3</v>
      </c>
      <c r="O163" s="59">
        <f>((MAX('Min rate concentrations'!$F$3:$F$368))*0.62*6.01*8*(10*F163^0.667)*0.079*0.1/F163)*inputs!$E$80/(10^(0.84+0.62*LOG10(inputs!$E$80)))</f>
        <v>2.375846681375851</v>
      </c>
      <c r="P163" s="59">
        <f>((MAX('Min rate concentrations'!Y:Y))*0.62*6.01*8*(10*F163^0.667)*0.079*0.1/F163)*inputs!$E$80/(10^(0.84+0.62*LOG10(inputs!$E$80)))</f>
        <v>0.79194889379195033</v>
      </c>
      <c r="Q163" s="59">
        <f>(inputs!$C$7*11.2*(10*F163^0.667)*0.5/F163)*inputs!$E$80/(10^(0.84+0.62*LOG10(inputs!$E$80)))</f>
        <v>0.41849418705796076</v>
      </c>
      <c r="R163" s="59">
        <f>(60*284*((F163/1000)^0.77)*3*24*(MAX('Min rate concentrations'!$R$3:$R$368))/F163)*(inputs!$E$73*3.4/inputs!$E$75)</f>
        <v>4.5858008178599353E-3</v>
      </c>
      <c r="S163" s="59">
        <f>(IF(inputs!$C$6="aerial",((0.025*0.112*inputs!$C$7/3.3)*(3*60*284*((F163/1000)^0.77))*MAX(inputs!$H$14:$H$16))/F163,((0.0083*0.112*inputs!$C$7/1)*(3*60*284*((F163/1000)^0.77))*MAX(inputs!$H$14:$H$16))/F163))*(inputs!E$75*3.4/inputs!$E$73)</f>
        <v>2.5290973254346219E-2</v>
      </c>
      <c r="T163" s="63">
        <f>IF((((inputs!$P$12/(V163/MAX(K163:S163)))^(1/inputs!$O$12))-1)/inputs!$N$12&lt;0, 0, IF((((inputs!$P$12/(V163/MAX(K163:S163)))^(1/inputs!$O$12))-1)/inputs!$N$12&gt;inputs!$H$17, inputs!$H$17, (((inputs!$P$12/(V163/MAX(K163:S163)))^(1/inputs!$O$12))-1)/inputs!$N$12))</f>
        <v>324.17529485471744</v>
      </c>
      <c r="U163" s="63">
        <f>IF((((inputs!$P$12/(X163/MAX(K163:S163)))^(1/inputs!$O$12))-1)/inputs!$N$12&lt;0, 0, IF((((inputs!$P$12/(X163/MAX(K163:S163)))^(1/inputs!$O$12))-1)/inputs!$N$12&gt;inputs!$H$17, inputs!$H$17, (((inputs!$P$12/(X163/MAX(K163:S163)))^(1/inputs!$O$12))-1)/inputs!$N$12))</f>
        <v>14.925513293272589</v>
      </c>
      <c r="V163" s="21">
        <f>inputs!$E$78*(F163/inputs!$F$78)^(inputs!$E$84-1)</f>
        <v>7.8241705298388586E-3</v>
      </c>
      <c r="W163" s="21">
        <f>inputs!$E$85*(F163/inputs!$F$85)^(inputs!$E$84-1)</f>
        <v>0.36130578168089961</v>
      </c>
      <c r="X163" s="21">
        <f>inputs!$E$80*(F163/inputs!$F$80)^(inputs!$E$84-1)</f>
        <v>1.3491798176691818</v>
      </c>
      <c r="Y163" s="21">
        <f>inputs!$E$82*(F163/inputs!$F$82)^(inputs!$E$84-1)</f>
        <v>0.62181565789771986</v>
      </c>
      <c r="Z163" s="63">
        <f t="shared" si="17"/>
        <v>1019.8999574054426</v>
      </c>
      <c r="AA163" s="63">
        <f t="shared" si="18"/>
        <v>22.086198435549218</v>
      </c>
    </row>
    <row r="164" spans="1:27" x14ac:dyDescent="0.25">
      <c r="A164" s="103" t="s">
        <v>202</v>
      </c>
      <c r="B164" s="20" t="s">
        <v>203</v>
      </c>
      <c r="C164" s="20" t="s">
        <v>73</v>
      </c>
      <c r="D164" s="104" t="s">
        <v>204</v>
      </c>
      <c r="E164" s="15">
        <v>4064</v>
      </c>
      <c r="F164" s="15">
        <v>1100</v>
      </c>
      <c r="G164" s="20" t="s">
        <v>177</v>
      </c>
      <c r="H164" s="20">
        <v>0.85</v>
      </c>
      <c r="I164" s="48">
        <f>MAX('Min rate concentrations'!$F$3:$F$368)</f>
        <v>67.5</v>
      </c>
      <c r="J164" s="48">
        <f>MAX('Min rate concentrations'!Y:Y)</f>
        <v>22.5</v>
      </c>
      <c r="K164" s="59">
        <f t="shared" si="21"/>
        <v>23.684936830236648</v>
      </c>
      <c r="L164" s="59">
        <f t="shared" si="20"/>
        <v>7.8949789434122151</v>
      </c>
      <c r="M164" s="59">
        <f>IF((((1.18*F164^0.874)/3.7-(0.301*F164^0.751)/(1-H164)*H164)*(MAX('Min rate concentrations'!$P$3:$P$368)))/F164&gt;0, (((1.18*F164^0.874)/3.7-(0.301*F164^0.751)/(1-H164)*H164)*(MAX('Min rate concentrations'!$P$3:$P$368)))/F164, 0)</f>
        <v>0</v>
      </c>
      <c r="N164" s="59">
        <f>IF((((1.18*F164^0.874)/3.7-(0.301*F164^0.751)/(1-H164)*H164)*(MAX('Min rate concentrations'!$Q$3:$Q$368)))/F164&gt;0, (((1.18*F164^0.874)/3.7-(0.301*F164^0.751)/(1-H164)*H164)*(MAX('Min rate concentrations'!$Q$3:$Q$368)))/F164, 0)</f>
        <v>0</v>
      </c>
      <c r="O164" s="59">
        <f>((MAX('Min rate concentrations'!$F$3:$F$368))*0.62*6.01*8*(10*F164^0.667)*0.079*0.1/F164)*inputs!$E$80/(10^(0.84+0.62*LOG10(inputs!$E$80)))</f>
        <v>2.375846681375851</v>
      </c>
      <c r="P164" s="59">
        <f>((MAX('Min rate concentrations'!Y:Y))*0.62*6.01*8*(10*F164^0.667)*0.079*0.1/F164)*inputs!$E$80/(10^(0.84+0.62*LOG10(inputs!$E$80)))</f>
        <v>0.79194889379195033</v>
      </c>
      <c r="Q164" s="59">
        <f>(inputs!$C$7*11.2*(10*F164^0.667)*0.5/F164)*inputs!$E$80/(10^(0.84+0.62*LOG10(inputs!$E$80)))</f>
        <v>0.41849418705796076</v>
      </c>
      <c r="R164" s="59">
        <f>(60*284*((F164/1000)^0.77)*3*24*(MAX('Min rate concentrations'!$R$3:$R$368))/F164)*(inputs!$E$73*3.4/inputs!$E$75)</f>
        <v>4.5858008178599353E-3</v>
      </c>
      <c r="S164" s="59">
        <f>(IF(inputs!$C$6="aerial",((0.025*0.112*inputs!$C$7/3.3)*(3*60*284*((F164/1000)^0.77))*MAX(inputs!$H$14:$H$16))/F164,((0.0083*0.112*inputs!$C$7/1)*(3*60*284*((F164/1000)^0.77))*MAX(inputs!$H$14:$H$16))/F164))*(inputs!E$75*3.4/inputs!$E$73)</f>
        <v>2.5290973254346219E-2</v>
      </c>
      <c r="T164" s="63">
        <f>IF((((inputs!$P$12/(V164/MAX(K164:S164)))^(1/inputs!$O$12))-1)/inputs!$N$12&lt;0, 0, IF((((inputs!$P$12/(V164/MAX(K164:S164)))^(1/inputs!$O$12))-1)/inputs!$N$12&gt;inputs!$H$17, inputs!$H$17, (((inputs!$P$12/(V164/MAX(K164:S164)))^(1/inputs!$O$12))-1)/inputs!$N$12))</f>
        <v>520.4636280278711</v>
      </c>
      <c r="U164" s="63">
        <f>IF((((inputs!$P$12/(X164/MAX(K164:S164)))^(1/inputs!$O$12))-1)/inputs!$N$12&lt;0, 0, IF((((inputs!$P$12/(X164/MAX(K164:S164)))^(1/inputs!$O$12))-1)/inputs!$N$12&gt;inputs!$H$17, inputs!$H$17, (((inputs!$P$12/(X164/MAX(K164:S164)))^(1/inputs!$O$12))-1)/inputs!$N$12))</f>
        <v>39.089965441926239</v>
      </c>
      <c r="V164" s="21">
        <f>inputs!$E$78*(F164/inputs!$F$78)^(inputs!$E$84-1)</f>
        <v>7.8241705298388586E-3</v>
      </c>
      <c r="W164" s="21">
        <f>inputs!$E$85*(F164/inputs!$F$85)^(inputs!$E$84-1)</f>
        <v>0.36130578168089961</v>
      </c>
      <c r="X164" s="21">
        <f>inputs!$E$80*(F164/inputs!$F$80)^(inputs!$E$84-1)</f>
        <v>1.3491798176691818</v>
      </c>
      <c r="Y164" s="21">
        <f>inputs!$E$82*(F164/inputs!$F$82)^(inputs!$E$84-1)</f>
        <v>0.62181565789771986</v>
      </c>
      <c r="Z164" s="63">
        <f t="shared" si="17"/>
        <v>3027.1498735757291</v>
      </c>
      <c r="AA164" s="63">
        <f t="shared" si="18"/>
        <v>65.553716633172684</v>
      </c>
    </row>
    <row r="165" spans="1:27" x14ac:dyDescent="0.25">
      <c r="A165" s="103" t="s">
        <v>366</v>
      </c>
      <c r="B165" s="20" t="s">
        <v>367</v>
      </c>
      <c r="C165" s="20" t="s">
        <v>73</v>
      </c>
      <c r="D165" s="104" t="s">
        <v>204</v>
      </c>
      <c r="E165" s="15">
        <v>2691</v>
      </c>
      <c r="F165" s="15">
        <v>628</v>
      </c>
      <c r="G165" s="20" t="s">
        <v>142</v>
      </c>
      <c r="H165" s="20">
        <v>0.69</v>
      </c>
      <c r="I165" s="48">
        <f>MAX('Min rate concentrations'!$H$3:$H$368)</f>
        <v>47</v>
      </c>
      <c r="J165" s="48">
        <f>MAX('Min rate concentrations'!AA:AA)</f>
        <v>32.5</v>
      </c>
      <c r="K165" s="59">
        <f t="shared" si="21"/>
        <v>9.1750979306973637</v>
      </c>
      <c r="L165" s="59">
        <f t="shared" si="20"/>
        <v>6.344482611652432</v>
      </c>
      <c r="M165" s="59">
        <f>IF((((1.18*F165^0.874)/3.7-(0.301*F165^0.751)/(1-H165)*H165)*(MAX('Min rate concentrations'!$P$3:$P$368)))/F165&gt;0, (((1.18*F165^0.874)/3.7-(0.301*F165^0.751)/(1-H165)*H165)*(MAX('Min rate concentrations'!$P$3:$P$368)))/F165, 0)</f>
        <v>1.0052837484046009E-3</v>
      </c>
      <c r="N165" s="59">
        <f>IF((((1.18*F165^0.874)/3.7-(0.301*F165^0.751)/(1-H165)*H165)*(MAX('Min rate concentrations'!$Q$3:$Q$368)))/F165&gt;0, (((1.18*F165^0.874)/3.7-(0.301*F165^0.751)/(1-H165)*H165)*(MAX('Min rate concentrations'!$Q$3:$Q$368)))/F165, 0)</f>
        <v>3.8281745295145539E-3</v>
      </c>
      <c r="O165" s="59">
        <f>((MAX('Min rate concentrations'!$F$3:$F$368))*0.62*6.01*8*(10*F165^0.667)*0.079*0.1/F165)*inputs!$E$80/(10^(0.84+0.62*LOG10(inputs!$E$80)))</f>
        <v>2.86339731921688</v>
      </c>
      <c r="P165" s="59">
        <f>((MAX('Min rate concentrations'!Y:Y))*0.62*6.01*8*(10*F165^0.667)*0.079*0.1/F165)*inputs!$E$80/(10^(0.84+0.62*LOG10(inputs!$E$80)))</f>
        <v>0.95446577307229319</v>
      </c>
      <c r="Q165" s="59">
        <f>(inputs!$C$7*11.2*(10*F165^0.667)*0.5/F165)*inputs!$E$80/(10^(0.84+0.62*LOG10(inputs!$E$80)))</f>
        <v>0.50437393234300321</v>
      </c>
      <c r="R165" s="59">
        <f>(60*284*((F165/1000)^0.77)*3*24*(MAX('Min rate concentrations'!$R$3:$R$368))/F165)*(inputs!$E$73*3.4/inputs!$E$75)</f>
        <v>5.2168072042871987E-3</v>
      </c>
      <c r="S165" s="59">
        <f>(IF(inputs!$C$6="aerial",((0.025*0.112*inputs!$C$7/3.3)*(3*60*284*((F165/1000)^0.77))*MAX(inputs!$H$14:$H$16))/F165,((0.0083*0.112*inputs!$C$7/1)*(3*60*284*((F165/1000)^0.77))*MAX(inputs!$H$14:$H$16))/F165))*(inputs!E$75*3.4/inputs!$E$73)</f>
        <v>2.8771012243458075E-2</v>
      </c>
      <c r="T165" s="63">
        <f>IF((((inputs!$P$12/(V165/MAX(K165:S165)))^(1/inputs!$O$12))-1)/inputs!$N$12&lt;0, 0, IF((((inputs!$P$12/(V165/MAX(K165:S165)))^(1/inputs!$O$12))-1)/inputs!$N$12&gt;inputs!$H$17, inputs!$H$17, (((inputs!$P$12/(V165/MAX(K165:S165)))^(1/inputs!$O$12))-1)/inputs!$N$12))</f>
        <v>314.57954412574855</v>
      </c>
      <c r="U165" s="63">
        <f>IF((((inputs!$P$12/(X165/MAX(K165:S165)))^(1/inputs!$O$12))-1)/inputs!$N$12&lt;0, 0, IF((((inputs!$P$12/(X165/MAX(K165:S165)))^(1/inputs!$O$12))-1)/inputs!$N$12&gt;inputs!$H$17, inputs!$H$17, (((inputs!$P$12/(X165/MAX(K165:S165)))^(1/inputs!$O$12))-1)/inputs!$N$12))</f>
        <v>13.74420997497486</v>
      </c>
      <c r="V165" s="21">
        <f>inputs!$E$78*(F165/inputs!$F$78)^(inputs!$E$84-1)</f>
        <v>9.6273892813238914E-3</v>
      </c>
      <c r="W165" s="21">
        <f>inputs!$E$85*(F165/inputs!$F$85)^(inputs!$E$84-1)</f>
        <v>0.4445751018040095</v>
      </c>
      <c r="X165" s="21">
        <f>inputs!$E$80*(F165/inputs!$F$80)^(inputs!$E$84-1)</f>
        <v>1.6601222155972506</v>
      </c>
      <c r="Y165" s="21">
        <f>inputs!$E$82*(F165/inputs!$F$82)^(inputs!$E$84-1)</f>
        <v>0.7651240955157409</v>
      </c>
      <c r="Z165" s="63">
        <f t="shared" si="17"/>
        <v>953.02035293161725</v>
      </c>
      <c r="AA165" s="63">
        <f t="shared" si="18"/>
        <v>20.637903232696544</v>
      </c>
    </row>
    <row r="166" spans="1:27" x14ac:dyDescent="0.25">
      <c r="A166" s="103" t="s">
        <v>366</v>
      </c>
      <c r="B166" s="20" t="s">
        <v>367</v>
      </c>
      <c r="C166" s="20" t="s">
        <v>73</v>
      </c>
      <c r="D166" s="104" t="s">
        <v>204</v>
      </c>
      <c r="E166" s="15">
        <v>2691</v>
      </c>
      <c r="F166" s="15">
        <v>628</v>
      </c>
      <c r="G166" s="20" t="s">
        <v>169</v>
      </c>
      <c r="H166" s="20">
        <v>0.79</v>
      </c>
      <c r="I166" s="48">
        <f>MAX('Min rate concentrations'!$D$3:$D$368)</f>
        <v>120</v>
      </c>
      <c r="J166" s="48">
        <f>MAX('Min rate concentrations'!W:W)</f>
        <v>42.5</v>
      </c>
      <c r="K166" s="59">
        <f t="shared" si="21"/>
        <v>34.58091621296272</v>
      </c>
      <c r="L166" s="59">
        <f t="shared" si="20"/>
        <v>12.247407825424297</v>
      </c>
      <c r="M166" s="59">
        <f>IF((((1.18*F166^0.874)/3.7-(0.301*F166^0.751)/(1-H166)*H166)*(MAX('Min rate concentrations'!$P$3:$P$368)))/F166&gt;0, (((1.18*F166^0.874)/3.7-(0.301*F166^0.751)/(1-H166)*H166)*(MAX('Min rate concentrations'!$P$3:$P$368)))/F166, 0)</f>
        <v>0</v>
      </c>
      <c r="N166" s="59">
        <f>IF((((1.18*F166^0.874)/3.7-(0.301*F166^0.751)/(1-H166)*H166)*(MAX('Min rate concentrations'!$Q$3:$Q$368)))/F166&gt;0, (((1.18*F166^0.874)/3.7-(0.301*F166^0.751)/(1-H166)*H166)*(MAX('Min rate concentrations'!$Q$3:$Q$368)))/F166, 0)</f>
        <v>0</v>
      </c>
      <c r="O166" s="59">
        <f>((MAX('Min rate concentrations'!$F$3:$F$368))*0.62*6.01*8*(10*F166^0.667)*0.079*0.1/F166)*inputs!$E$80/(10^(0.84+0.62*LOG10(inputs!$E$80)))</f>
        <v>2.86339731921688</v>
      </c>
      <c r="P166" s="59">
        <f>((MAX('Min rate concentrations'!Y:Y))*0.62*6.01*8*(10*F166^0.667)*0.079*0.1/F166)*inputs!$E$80/(10^(0.84+0.62*LOG10(inputs!$E$80)))</f>
        <v>0.95446577307229319</v>
      </c>
      <c r="Q166" s="59">
        <f>(inputs!$C$7*11.2*(10*F166^0.667)*0.5/F166)*inputs!$E$80/(10^(0.84+0.62*LOG10(inputs!$E$80)))</f>
        <v>0.50437393234300321</v>
      </c>
      <c r="R166" s="59">
        <f>(60*284*((F166/1000)^0.77)*3*24*(MAX('Min rate concentrations'!$R$3:$R$368))/F166)*(inputs!$E$73*3.4/inputs!$E$75)</f>
        <v>5.2168072042871987E-3</v>
      </c>
      <c r="S166" s="59">
        <f>(IF(inputs!$C$6="aerial",((0.025*0.112*inputs!$C$7/3.3)*(3*60*284*((F166/1000)^0.77))*MAX(inputs!$H$14:$H$16))/F166,((0.0083*0.112*inputs!$C$7/1)*(3*60*284*((F166/1000)^0.77))*MAX(inputs!$H$14:$H$16))/F166))*(inputs!E$75*3.4/inputs!$E$73)</f>
        <v>2.8771012243458075E-2</v>
      </c>
      <c r="T166" s="63">
        <f>IF((((inputs!$P$12/(V166/MAX(K166:S166)))^(1/inputs!$O$12))-1)/inputs!$N$12&lt;0, 0, IF((((inputs!$P$12/(V166/MAX(K166:S166)))^(1/inputs!$O$12))-1)/inputs!$N$12&gt;inputs!$H$17, inputs!$H$17, (((inputs!$P$12/(V166/MAX(K166:S166)))^(1/inputs!$O$12))-1)/inputs!$N$12))</f>
        <v>560.01978415137989</v>
      </c>
      <c r="U166" s="63">
        <f>IF((((inputs!$P$12/(X166/MAX(K166:S166)))^(1/inputs!$O$12))-1)/inputs!$N$12&lt;0, 0, IF((((inputs!$P$12/(X166/MAX(K166:S166)))^(1/inputs!$O$12))-1)/inputs!$N$12&gt;inputs!$H$17, inputs!$H$17, (((inputs!$P$12/(X166/MAX(K166:S166)))^(1/inputs!$O$12))-1)/inputs!$N$12))</f>
        <v>43.959601993315196</v>
      </c>
      <c r="V166" s="21">
        <f>inputs!$E$78*(F166/inputs!$F$78)^(inputs!$E$84-1)</f>
        <v>9.6273892813238914E-3</v>
      </c>
      <c r="W166" s="21">
        <f>inputs!$E$85*(F166/inputs!$F$85)^(inputs!$E$84-1)</f>
        <v>0.4445751018040095</v>
      </c>
      <c r="X166" s="21">
        <f>inputs!$E$80*(F166/inputs!$F$80)^(inputs!$E$84-1)</f>
        <v>1.6601222155972506</v>
      </c>
      <c r="Y166" s="21">
        <f>inputs!$E$82*(F166/inputs!$F$82)^(inputs!$E$84-1)</f>
        <v>0.7651240955157409</v>
      </c>
      <c r="Z166" s="63">
        <f t="shared" si="17"/>
        <v>3591.9308134808684</v>
      </c>
      <c r="AA166" s="63">
        <f t="shared" si="18"/>
        <v>77.784194554844149</v>
      </c>
    </row>
    <row r="167" spans="1:27" x14ac:dyDescent="0.25">
      <c r="A167" s="103" t="s">
        <v>366</v>
      </c>
      <c r="B167" s="20" t="s">
        <v>367</v>
      </c>
      <c r="C167" s="20" t="s">
        <v>73</v>
      </c>
      <c r="D167" s="104" t="s">
        <v>204</v>
      </c>
      <c r="E167" s="15">
        <v>2691</v>
      </c>
      <c r="F167" s="15">
        <v>628</v>
      </c>
      <c r="G167" s="20" t="s">
        <v>158</v>
      </c>
      <c r="H167" s="20">
        <v>0.85</v>
      </c>
      <c r="I167" s="48">
        <f>MAX('Min rate concentrations'!$F$3:$F$368)</f>
        <v>67.5</v>
      </c>
      <c r="J167" s="48">
        <f>MAX('Min rate concentrations'!Y:Y)</f>
        <v>22.5</v>
      </c>
      <c r="K167" s="59">
        <f t="shared" si="21"/>
        <v>27.232471517708134</v>
      </c>
      <c r="L167" s="59">
        <f t="shared" si="20"/>
        <v>9.0774905059027109</v>
      </c>
      <c r="M167" s="59">
        <f>IF((((1.18*F167^0.874)/3.7-(0.301*F167^0.751)/(1-H167)*H167)*(MAX('Min rate concentrations'!$P$3:$P$368)))/F167&gt;0, (((1.18*F167^0.874)/3.7-(0.301*F167^0.751)/(1-H167)*H167)*(MAX('Min rate concentrations'!$P$3:$P$368)))/F167, 0)</f>
        <v>0</v>
      </c>
      <c r="N167" s="59">
        <f>IF((((1.18*F167^0.874)/3.7-(0.301*F167^0.751)/(1-H167)*H167)*(MAX('Min rate concentrations'!$Q$3:$Q$368)))/F167&gt;0, (((1.18*F167^0.874)/3.7-(0.301*F167^0.751)/(1-H167)*H167)*(MAX('Min rate concentrations'!$Q$3:$Q$368)))/F167, 0)</f>
        <v>0</v>
      </c>
      <c r="O167" s="59">
        <f>((MAX('Min rate concentrations'!$F$3:$F$368))*0.62*6.01*8*(10*F167^0.667)*0.079*0.1/F167)*inputs!$E$80/(10^(0.84+0.62*LOG10(inputs!$E$80)))</f>
        <v>2.86339731921688</v>
      </c>
      <c r="P167" s="59">
        <f>((MAX('Min rate concentrations'!Y:Y))*0.62*6.01*8*(10*F167^0.667)*0.079*0.1/F167)*inputs!$E$80/(10^(0.84+0.62*LOG10(inputs!$E$80)))</f>
        <v>0.95446577307229319</v>
      </c>
      <c r="Q167" s="59">
        <f>(inputs!$C$7*11.2*(10*F167^0.667)*0.5/F167)*inputs!$E$80/(10^(0.84+0.62*LOG10(inputs!$E$80)))</f>
        <v>0.50437393234300321</v>
      </c>
      <c r="R167" s="59">
        <f>(60*284*((F167/1000)^0.77)*3*24*(MAX('Min rate concentrations'!$R$3:$R$368))/F167)*(inputs!$E$73*3.4/inputs!$E$75)</f>
        <v>5.2168072042871987E-3</v>
      </c>
      <c r="S167" s="59">
        <f>(IF(inputs!$C$6="aerial",((0.025*0.112*inputs!$C$7/3.3)*(3*60*284*((F167/1000)^0.77))*MAX(inputs!$H$14:$H$16))/F167,((0.0083*0.112*inputs!$C$7/1)*(3*60*284*((F167/1000)^0.77))*MAX(inputs!$H$14:$H$16))/F167))*(inputs!E$75*3.4/inputs!$E$73)</f>
        <v>2.8771012243458075E-2</v>
      </c>
      <c r="T167" s="63">
        <f>IF((((inputs!$P$12/(V167/MAX(K167:S167)))^(1/inputs!$O$12))-1)/inputs!$N$12&lt;0, 0, IF((((inputs!$P$12/(V167/MAX(K167:S167)))^(1/inputs!$O$12))-1)/inputs!$N$12&gt;inputs!$H$17, inputs!$H$17, (((inputs!$P$12/(V167/MAX(K167:S167)))^(1/inputs!$O$12))-1)/inputs!$N$12))</f>
        <v>505.52702354478038</v>
      </c>
      <c r="U167" s="63">
        <f>IF((((inputs!$P$12/(X167/MAX(K167:S167)))^(1/inputs!$O$12))-1)/inputs!$N$12&lt;0, 0, IF((((inputs!$P$12/(X167/MAX(K167:S167)))^(1/inputs!$O$12))-1)/inputs!$N$12&gt;inputs!$H$17, inputs!$H$17, (((inputs!$P$12/(X167/MAX(K167:S167)))^(1/inputs!$O$12))-1)/inputs!$N$12))</f>
        <v>37.251166067250132</v>
      </c>
      <c r="V167" s="21">
        <f>inputs!$E$78*(F167/inputs!$F$78)^(inputs!$E$84-1)</f>
        <v>9.6273892813238914E-3</v>
      </c>
      <c r="W167" s="21">
        <f>inputs!$E$85*(F167/inputs!$F$85)^(inputs!$E$84-1)</f>
        <v>0.4445751018040095</v>
      </c>
      <c r="X167" s="21">
        <f>inputs!$E$80*(F167/inputs!$F$80)^(inputs!$E$84-1)</f>
        <v>1.6601222155972506</v>
      </c>
      <c r="Y167" s="21">
        <f>inputs!$E$82*(F167/inputs!$F$82)^(inputs!$E$84-1)</f>
        <v>0.7651240955157409</v>
      </c>
      <c r="Z167" s="63">
        <f t="shared" si="17"/>
        <v>2828.6455156161833</v>
      </c>
      <c r="AA167" s="63">
        <f t="shared" si="18"/>
        <v>61.255053211939753</v>
      </c>
    </row>
    <row r="168" spans="1:27" x14ac:dyDescent="0.25">
      <c r="A168" s="103" t="s">
        <v>366</v>
      </c>
      <c r="B168" s="20" t="s">
        <v>367</v>
      </c>
      <c r="C168" s="20" t="s">
        <v>73</v>
      </c>
      <c r="D168" s="104" t="s">
        <v>204</v>
      </c>
      <c r="E168" s="15">
        <v>2691</v>
      </c>
      <c r="F168" s="15">
        <v>628</v>
      </c>
      <c r="G168" s="20" t="s">
        <v>154</v>
      </c>
      <c r="H168" s="20">
        <v>9.2999999999999999E-2</v>
      </c>
      <c r="I168" s="48">
        <f>MAX('Min rate concentrations'!$G$3:$G$368)</f>
        <v>7.5</v>
      </c>
      <c r="J168" s="48">
        <f>MAX('Min rate concentrations'!Z:Z)</f>
        <v>3.5</v>
      </c>
      <c r="K168" s="59">
        <f t="shared" si="21"/>
        <v>0.50041292755803268</v>
      </c>
      <c r="L168" s="59"/>
      <c r="M168" s="59">
        <f>IF((((1.18*F168^0.874)/3.7-(0.301*F168^0.751)/(1-H168)*H168)*(MAX('Min rate concentrations'!$P$3:$P$368)))/F168&gt;0, (((1.18*F168^0.874)/3.7-(0.301*F168^0.751)/(1-H168)*H168)*(MAX('Min rate concentrations'!$P$3:$P$368)))/F168, 0)</f>
        <v>1.9655807964379143E-2</v>
      </c>
      <c r="N168" s="59">
        <f>IF((((1.18*F168^0.874)/3.7-(0.301*F168^0.751)/(1-H168)*H168)*(MAX('Min rate concentrations'!$Q$3:$Q$368)))/F168&gt;0, (((1.18*F168^0.874)/3.7-(0.301*F168^0.751)/(1-H168)*H168)*(MAX('Min rate concentrations'!$Q$3:$Q$368)))/F168, 0)</f>
        <v>7.4850372868040249E-2</v>
      </c>
      <c r="O168" s="59">
        <f>((MAX('Min rate concentrations'!$F$3:$F$368))*0.62*6.01*8*(10*F168^0.667)*0.079*0.1/F168)*inputs!$E$80/(10^(0.84+0.62*LOG10(inputs!$E$80)))</f>
        <v>2.86339731921688</v>
      </c>
      <c r="P168" s="59">
        <f>((MAX('Min rate concentrations'!Y:Y))*0.62*6.01*8*(10*F168^0.667)*0.079*0.1/F168)*inputs!$E$80/(10^(0.84+0.62*LOG10(inputs!$E$80)))</f>
        <v>0.95446577307229319</v>
      </c>
      <c r="Q168" s="59">
        <f>(inputs!$C$7*11.2*(10*F168^0.667)*0.5/F168)*inputs!$E$80/(10^(0.84+0.62*LOG10(inputs!$E$80)))</f>
        <v>0.50437393234300321</v>
      </c>
      <c r="R168" s="59">
        <f>(60*284*((F168/1000)^0.77)*3*24*(MAX('Min rate concentrations'!$R$3:$R$368))/F168)*(inputs!$E$73*3.4/inputs!$E$75)</f>
        <v>5.2168072042871987E-3</v>
      </c>
      <c r="S168" s="59">
        <f>(IF(inputs!$C$6="aerial",((0.025*0.112*inputs!$C$7/3.3)*(3*60*284*((F168/1000)^0.77))*MAX(inputs!$H$14:$H$16))/F168,((0.0083*0.112*inputs!$C$7/1)*(3*60*284*((F168/1000)^0.77))*MAX(inputs!$H$14:$H$16))/F168))*(inputs!E$75*3.4/inputs!$E$73)</f>
        <v>2.8771012243458075E-2</v>
      </c>
      <c r="T168" s="63">
        <f>IF((((inputs!$P$12/(V168/MAX(K168:S168)))^(1/inputs!$O$12))-1)/inputs!$N$12&lt;0, 0, IF((((inputs!$P$12/(V168/MAX(K168:S168)))^(1/inputs!$O$12))-1)/inputs!$N$12&gt;inputs!$H$17, inputs!$H$17, (((inputs!$P$12/(V168/MAX(K168:S168)))^(1/inputs!$O$12))-1)/inputs!$N$12))</f>
        <v>185.15077611581995</v>
      </c>
      <c r="U168" s="63">
        <f>IF((((inputs!$P$12/(X168/MAX(K168:S168)))^(1/inputs!$O$12))-1)/inputs!$N$12&lt;0, 0, IF((((inputs!$P$12/(X168/MAX(K168:S168)))^(1/inputs!$O$12))-1)/inputs!$N$12&gt;inputs!$H$17, inputs!$H$17, (((inputs!$P$12/(X168/MAX(K168:S168)))^(1/inputs!$O$12))-1)/inputs!$N$12))</f>
        <v>0</v>
      </c>
      <c r="V168" s="21">
        <f>inputs!$E$78*(F168/inputs!$F$78)^(inputs!$E$84-1)</f>
        <v>9.6273892813238914E-3</v>
      </c>
      <c r="W168" s="21">
        <f>inputs!$E$85*(F168/inputs!$F$85)^(inputs!$E$84-1)</f>
        <v>0.4445751018040095</v>
      </c>
      <c r="X168" s="21">
        <f>inputs!$E$80*(F168/inputs!$F$80)^(inputs!$E$84-1)</f>
        <v>1.6601222155972506</v>
      </c>
      <c r="Y168" s="21">
        <f>inputs!$E$82*(F168/inputs!$F$82)^(inputs!$E$84-1)</f>
        <v>0.7651240955157409</v>
      </c>
      <c r="Z168" s="63">
        <f t="shared" si="17"/>
        <v>297.42199422345635</v>
      </c>
      <c r="AA168" s="63">
        <f t="shared" si="18"/>
        <v>6.4407505224599957</v>
      </c>
    </row>
    <row r="169" spans="1:27" x14ac:dyDescent="0.25">
      <c r="A169" s="103" t="s">
        <v>219</v>
      </c>
      <c r="B169" s="20" t="s">
        <v>220</v>
      </c>
      <c r="C169" s="20" t="s">
        <v>73</v>
      </c>
      <c r="D169" s="104" t="s">
        <v>204</v>
      </c>
      <c r="E169" s="15">
        <v>89</v>
      </c>
      <c r="F169" s="15">
        <v>178</v>
      </c>
      <c r="G169" s="20" t="s">
        <v>142</v>
      </c>
      <c r="H169" s="20">
        <v>0.69</v>
      </c>
      <c r="I169" s="48">
        <f>MAX('Min rate concentrations'!$H$3:$H$368)</f>
        <v>47</v>
      </c>
      <c r="J169" s="48">
        <f>MAX('Min rate concentrations'!AA:AA)</f>
        <v>32.5</v>
      </c>
      <c r="K169" s="59">
        <f t="shared" si="21"/>
        <v>12.558798114705798</v>
      </c>
      <c r="L169" s="59">
        <f>((0.301*F169^0.751)/(1-H169))*J169/F169</f>
        <v>8.6842752920837967</v>
      </c>
      <c r="M169" s="59">
        <f>IF((((1.18*F169^0.874)/3.7-(0.301*F169^0.751)/(1-H169)*H169)*(MAX('Min rate concentrations'!$P$3:$P$368)))/F169&gt;0, (((1.18*F169^0.874)/3.7-(0.301*F169^0.751)/(1-H169)*H169)*(MAX('Min rate concentrations'!$P$3:$P$368)))/F169, 0)</f>
        <v>0</v>
      </c>
      <c r="N169" s="59">
        <f>IF((((1.18*F169^0.874)/3.7-(0.301*F169^0.751)/(1-H169)*H169)*(MAX('Min rate concentrations'!$Q$3:$Q$368)))/F169&gt;0, (((1.18*F169^0.874)/3.7-(0.301*F169^0.751)/(1-H169)*H169)*(MAX('Min rate concentrations'!$Q$3:$Q$368)))/F169, 0)</f>
        <v>0</v>
      </c>
      <c r="O169" s="59">
        <f>((MAX('Min rate concentrations'!$F$3:$F$368))*0.62*6.01*8*(10*F169^0.667)*0.079*0.1/F169)*inputs!$E$80/(10^(0.84+0.62*LOG10(inputs!$E$80)))</f>
        <v>4.3572483550812766</v>
      </c>
      <c r="P169" s="59">
        <f>((MAX('Min rate concentrations'!Y:Y))*0.62*6.01*8*(10*F169^0.667)*0.079*0.1/F169)*inputs!$E$80/(10^(0.84+0.62*LOG10(inputs!$E$80)))</f>
        <v>1.4524161183604249</v>
      </c>
      <c r="Q169" s="59">
        <f>(inputs!$C$7*11.2*(10*F169^0.667)*0.5/F169)*inputs!$E$80/(10^(0.84+0.62*LOG10(inputs!$E$80)))</f>
        <v>0.76750874644545564</v>
      </c>
      <c r="R169" s="59">
        <f>(60*284*((F169/1000)^0.77)*3*24*(MAX('Min rate concentrations'!$R$3:$R$368))/F169)*(inputs!$E$73*3.4/inputs!$E$75)</f>
        <v>6.9717034323258939E-3</v>
      </c>
      <c r="S169" s="59">
        <f>(IF(inputs!$C$6="aerial",((0.025*0.112*inputs!$C$7/3.3)*(3*60*284*((F169/1000)^0.77))*MAX(inputs!$H$14:$H$16))/F169,((0.0083*0.112*inputs!$C$7/1)*(3*60*284*((F169/1000)^0.77))*MAX(inputs!$H$14:$H$16))/F169))*(inputs!E$75*3.4/inputs!$E$73)</f>
        <v>3.844937275894858E-2</v>
      </c>
      <c r="T169" s="63">
        <f>IF((((inputs!$P$12/(V169/MAX(K169:S169)))^(1/inputs!$O$12))-1)/inputs!$N$12&lt;0, 0, IF((((inputs!$P$12/(V169/MAX(K169:S169)))^(1/inputs!$O$12))-1)/inputs!$N$12&gt;inputs!$H$17, inputs!$H$17, (((inputs!$P$12/(V169/MAX(K169:S169)))^(1/inputs!$O$12))-1)/inputs!$N$12))</f>
        <v>293.93967049643192</v>
      </c>
      <c r="U169" s="63">
        <f>IF((((inputs!$P$12/(X169/MAX(K169:S169)))^(1/inputs!$O$12))-1)/inputs!$N$12&lt;0, 0, IF((((inputs!$P$12/(X169/MAX(K169:S169)))^(1/inputs!$O$12))-1)/inputs!$N$12&gt;inputs!$H$17, inputs!$H$17, (((inputs!$P$12/(X169/MAX(K169:S169)))^(1/inputs!$O$12))-1)/inputs!$N$12))</f>
        <v>11.203298701201359</v>
      </c>
      <c r="V169" s="21">
        <f>inputs!$E$78*(F169/inputs!$F$78)^(inputs!$E$84-1)</f>
        <v>1.5349640205447362E-2</v>
      </c>
      <c r="W169" s="21">
        <f>inputs!$E$85*(F169/inputs!$F$85)^(inputs!$E$84-1)</f>
        <v>0.70881810816870583</v>
      </c>
      <c r="X169" s="21">
        <f>inputs!$E$80*(F169/inputs!$F$80)^(inputs!$E$84-1)</f>
        <v>2.6468524292375721</v>
      </c>
      <c r="Y169" s="21">
        <f>inputs!$E$82*(F169/inputs!$F$82)^(inputs!$E$84-1)</f>
        <v>1.2198924584329218</v>
      </c>
      <c r="Z169" s="63">
        <f t="shared" si="17"/>
        <v>818.18192130971681</v>
      </c>
      <c r="AA169" s="63">
        <f t="shared" si="18"/>
        <v>17.717941979716858</v>
      </c>
    </row>
    <row r="170" spans="1:27" x14ac:dyDescent="0.25">
      <c r="A170" s="103" t="s">
        <v>219</v>
      </c>
      <c r="B170" s="20" t="s">
        <v>220</v>
      </c>
      <c r="C170" s="20" t="s">
        <v>73</v>
      </c>
      <c r="D170" s="104" t="s">
        <v>204</v>
      </c>
      <c r="E170" s="15">
        <v>89</v>
      </c>
      <c r="F170" s="15">
        <v>178</v>
      </c>
      <c r="G170" s="20" t="s">
        <v>152</v>
      </c>
      <c r="H170" s="20">
        <v>0.77</v>
      </c>
      <c r="I170" s="48">
        <f>MAX('Min rate concentrations'!$G$3:$G$368)</f>
        <v>7.5</v>
      </c>
      <c r="J170" s="48">
        <f>MAX('Min rate concentrations'!Z:Z)</f>
        <v>3.5</v>
      </c>
      <c r="K170" s="59">
        <f t="shared" si="21"/>
        <v>2.7011291042267329</v>
      </c>
      <c r="L170" s="59">
        <f>((0.301*F170^0.751)/(1-H170))*J170/F170</f>
        <v>1.2605269153058087</v>
      </c>
      <c r="M170" s="59">
        <f>IF((((1.18*F170^0.874)/3.7-(0.301*F170^0.751)/(1-H170)*H170)*(MAX('Min rate concentrations'!$P$3:$P$368)))/F170&gt;0, (((1.18*F170^0.874)/3.7-(0.301*F170^0.751)/(1-H170)*H170)*(MAX('Min rate concentrations'!$P$3:$P$368)))/F170, 0)</f>
        <v>0</v>
      </c>
      <c r="N170" s="59">
        <f>IF((((1.18*F170^0.874)/3.7-(0.301*F170^0.751)/(1-H170)*H170)*(MAX('Min rate concentrations'!$Q$3:$Q$368)))/F170&gt;0, (((1.18*F170^0.874)/3.7-(0.301*F170^0.751)/(1-H170)*H170)*(MAX('Min rate concentrations'!$Q$3:$Q$368)))/F170, 0)</f>
        <v>0</v>
      </c>
      <c r="O170" s="59">
        <f>((MAX('Min rate concentrations'!$F$3:$F$368))*0.62*6.01*8*(10*F170^0.667)*0.079*0.1/F170)*inputs!$E$80/(10^(0.84+0.62*LOG10(inputs!$E$80)))</f>
        <v>4.3572483550812766</v>
      </c>
      <c r="P170" s="59">
        <f>((MAX('Min rate concentrations'!Y:Y))*0.62*6.01*8*(10*F170^0.667)*0.079*0.1/F170)*inputs!$E$80/(10^(0.84+0.62*LOG10(inputs!$E$80)))</f>
        <v>1.4524161183604249</v>
      </c>
      <c r="Q170" s="59">
        <f>(inputs!$C$7*11.2*(10*F170^0.667)*0.5/F170)*inputs!$E$80/(10^(0.84+0.62*LOG10(inputs!$E$80)))</f>
        <v>0.76750874644545564</v>
      </c>
      <c r="R170" s="59">
        <f>(60*284*((F170/1000)^0.77)*3*24*(MAX('Min rate concentrations'!$R$3:$R$368))/F170)*(inputs!$E$73*3.4/inputs!$E$75)</f>
        <v>6.9717034323258939E-3</v>
      </c>
      <c r="S170" s="59">
        <f>(IF(inputs!$C$6="aerial",((0.025*0.112*inputs!$C$7/3.3)*(3*60*284*((F170/1000)^0.77))*MAX(inputs!$H$14:$H$16))/F170,((0.0083*0.112*inputs!$C$7/1)*(3*60*284*((F170/1000)^0.77))*MAX(inputs!$H$14:$H$16))/F170))*(inputs!E$75*3.4/inputs!$E$73)</f>
        <v>3.844937275894858E-2</v>
      </c>
      <c r="T170" s="63">
        <f>IF((((inputs!$P$12/(V170/MAX(K170:S170)))^(1/inputs!$O$12))-1)/inputs!$N$12&lt;0, 0, IF((((inputs!$P$12/(V170/MAX(K170:S170)))^(1/inputs!$O$12))-1)/inputs!$N$12&gt;inputs!$H$17, inputs!$H$17, (((inputs!$P$12/(V170/MAX(K170:S170)))^(1/inputs!$O$12))-1)/inputs!$N$12))</f>
        <v>181.13549643618043</v>
      </c>
      <c r="U170" s="63">
        <f>IF((((inputs!$P$12/(X170/MAX(K170:S170)))^(1/inputs!$O$12))-1)/inputs!$N$12&lt;0, 0, IF((((inputs!$P$12/(X170/MAX(K170:S170)))^(1/inputs!$O$12))-1)/inputs!$N$12&gt;inputs!$H$17, inputs!$H$17, (((inputs!$P$12/(X170/MAX(K170:S170)))^(1/inputs!$O$12))-1)/inputs!$N$12))</f>
        <v>0</v>
      </c>
      <c r="V170" s="21">
        <f>inputs!$E$78*(F170/inputs!$F$78)^(inputs!$E$84-1)</f>
        <v>1.5349640205447362E-2</v>
      </c>
      <c r="W170" s="21">
        <f>inputs!$E$85*(F170/inputs!$F$85)^(inputs!$E$84-1)</f>
        <v>0.70881810816870583</v>
      </c>
      <c r="X170" s="21">
        <f>inputs!$E$80*(F170/inputs!$F$80)^(inputs!$E$84-1)</f>
        <v>2.6468524292375721</v>
      </c>
      <c r="Y170" s="21">
        <f>inputs!$E$82*(F170/inputs!$F$82)^(inputs!$E$84-1)</f>
        <v>1.2198924584329218</v>
      </c>
      <c r="Z170" s="63">
        <f t="shared" si="17"/>
        <v>283.86648134820473</v>
      </c>
      <c r="AA170" s="63">
        <f t="shared" si="18"/>
        <v>6.1472023709137629</v>
      </c>
    </row>
    <row r="171" spans="1:27" x14ac:dyDescent="0.25">
      <c r="A171" s="103" t="s">
        <v>219</v>
      </c>
      <c r="B171" s="20" t="s">
        <v>220</v>
      </c>
      <c r="C171" s="20" t="s">
        <v>73</v>
      </c>
      <c r="D171" s="104" t="s">
        <v>204</v>
      </c>
      <c r="E171" s="15">
        <v>89</v>
      </c>
      <c r="F171" s="15">
        <v>178</v>
      </c>
      <c r="G171" s="20" t="s">
        <v>169</v>
      </c>
      <c r="H171" s="20">
        <v>0.79</v>
      </c>
      <c r="I171" s="48">
        <f>MAX('Min rate concentrations'!$D$3:$D$368)</f>
        <v>120</v>
      </c>
      <c r="J171" s="48">
        <f>MAX('Min rate concentrations'!W:W)</f>
        <v>42.5</v>
      </c>
      <c r="K171" s="59">
        <f t="shared" si="21"/>
        <v>47.334071921687517</v>
      </c>
      <c r="L171" s="59">
        <f>((0.301*F171^0.751)/(1-H171))*J171/F171</f>
        <v>16.76415047226433</v>
      </c>
      <c r="M171" s="59">
        <f>IF((((1.18*F171^0.874)/3.7-(0.301*F171^0.751)/(1-H171)*H171)*(MAX('Min rate concentrations'!$P$3:$P$368)))/F171&gt;0, (((1.18*F171^0.874)/3.7-(0.301*F171^0.751)/(1-H171)*H171)*(MAX('Min rate concentrations'!$P$3:$P$368)))/F171, 0)</f>
        <v>0</v>
      </c>
      <c r="N171" s="59">
        <f>IF((((1.18*F171^0.874)/3.7-(0.301*F171^0.751)/(1-H171)*H171)*(MAX('Min rate concentrations'!$Q$3:$Q$368)))/F171&gt;0, (((1.18*F171^0.874)/3.7-(0.301*F171^0.751)/(1-H171)*H171)*(MAX('Min rate concentrations'!$Q$3:$Q$368)))/F171, 0)</f>
        <v>0</v>
      </c>
      <c r="O171" s="59">
        <f>((MAX('Min rate concentrations'!$F$3:$F$368))*0.62*6.01*8*(10*F171^0.667)*0.079*0.1/F171)*inputs!$E$80/(10^(0.84+0.62*LOG10(inputs!$E$80)))</f>
        <v>4.3572483550812766</v>
      </c>
      <c r="P171" s="59">
        <f>((MAX('Min rate concentrations'!Y:Y))*0.62*6.01*8*(10*F171^0.667)*0.079*0.1/F171)*inputs!$E$80/(10^(0.84+0.62*LOG10(inputs!$E$80)))</f>
        <v>1.4524161183604249</v>
      </c>
      <c r="Q171" s="59">
        <f>(inputs!$C$7*11.2*(10*F171^0.667)*0.5/F171)*inputs!$E$80/(10^(0.84+0.62*LOG10(inputs!$E$80)))</f>
        <v>0.76750874644545564</v>
      </c>
      <c r="R171" s="59">
        <f>(60*284*((F171/1000)^0.77)*3*24*(MAX('Min rate concentrations'!$R$3:$R$368))/F171)*(inputs!$E$73*3.4/inputs!$E$75)</f>
        <v>6.9717034323258939E-3</v>
      </c>
      <c r="S171" s="59">
        <f>(IF(inputs!$C$6="aerial",((0.025*0.112*inputs!$C$7/3.3)*(3*60*284*((F171/1000)^0.77))*MAX(inputs!$H$14:$H$16))/F171,((0.0083*0.112*inputs!$C$7/1)*(3*60*284*((F171/1000)^0.77))*MAX(inputs!$H$14:$H$16))/F171))*(inputs!E$75*3.4/inputs!$E$73)</f>
        <v>3.844937275894858E-2</v>
      </c>
      <c r="T171" s="63">
        <f>IF((((inputs!$P$12/(V171/MAX(K171:S171)))^(1/inputs!$O$12))-1)/inputs!$N$12&lt;0, 0, IF((((inputs!$P$12/(V171/MAX(K171:S171)))^(1/inputs!$O$12))-1)/inputs!$N$12&gt;inputs!$H$17, inputs!$H$17, (((inputs!$P$12/(V171/MAX(K171:S171)))^(1/inputs!$O$12))-1)/inputs!$N$12))</f>
        <v>524.61364751875203</v>
      </c>
      <c r="U171" s="63">
        <f>IF((((inputs!$P$12/(X171/MAX(K171:S171)))^(1/inputs!$O$12))-1)/inputs!$N$12&lt;0, 0, IF((((inputs!$P$12/(X171/MAX(K171:S171)))^(1/inputs!$O$12))-1)/inputs!$N$12&gt;inputs!$H$17, inputs!$H$17, (((inputs!$P$12/(X171/MAX(K171:S171)))^(1/inputs!$O$12))-1)/inputs!$N$12))</f>
        <v>39.600861559806638</v>
      </c>
      <c r="V171" s="21">
        <f>inputs!$E$78*(F171/inputs!$F$78)^(inputs!$E$84-1)</f>
        <v>1.5349640205447362E-2</v>
      </c>
      <c r="W171" s="21">
        <f>inputs!$E$85*(F171/inputs!$F$85)^(inputs!$E$84-1)</f>
        <v>0.70881810816870583</v>
      </c>
      <c r="X171" s="21">
        <f>inputs!$E$80*(F171/inputs!$F$80)^(inputs!$E$84-1)</f>
        <v>2.6468524292375721</v>
      </c>
      <c r="Y171" s="21">
        <f>inputs!$E$82*(F171/inputs!$F$82)^(inputs!$E$84-1)</f>
        <v>1.2198924584329218</v>
      </c>
      <c r="Z171" s="63">
        <f t="shared" si="17"/>
        <v>3083.7251745411822</v>
      </c>
      <c r="AA171" s="63">
        <f t="shared" si="18"/>
        <v>66.778869467625867</v>
      </c>
    </row>
    <row r="172" spans="1:27" x14ac:dyDescent="0.25">
      <c r="A172" s="103" t="s">
        <v>219</v>
      </c>
      <c r="B172" s="20" t="s">
        <v>220</v>
      </c>
      <c r="C172" s="20" t="s">
        <v>73</v>
      </c>
      <c r="D172" s="104" t="s">
        <v>204</v>
      </c>
      <c r="E172" s="15">
        <v>89</v>
      </c>
      <c r="F172" s="15">
        <v>178</v>
      </c>
      <c r="G172" s="20" t="s">
        <v>177</v>
      </c>
      <c r="H172" s="20">
        <v>0.85</v>
      </c>
      <c r="I172" s="48">
        <f>MAX('Min rate concentrations'!$F$3:$F$368)</f>
        <v>67.5</v>
      </c>
      <c r="J172" s="48">
        <f>MAX('Min rate concentrations'!Y:Y)</f>
        <v>22.5</v>
      </c>
      <c r="K172" s="59">
        <f t="shared" si="21"/>
        <v>37.275581638328902</v>
      </c>
      <c r="L172" s="59">
        <f>((0.301*F172^0.751)/(1-H172))*J172/F172</f>
        <v>12.425193879442968</v>
      </c>
      <c r="M172" s="59">
        <f>IF((((1.18*F172^0.874)/3.7-(0.301*F172^0.751)/(1-H172)*H172)*(MAX('Min rate concentrations'!$P$3:$P$368)))/F172&gt;0, (((1.18*F172^0.874)/3.7-(0.301*F172^0.751)/(1-H172)*H172)*(MAX('Min rate concentrations'!$P$3:$P$368)))/F172, 0)</f>
        <v>0</v>
      </c>
      <c r="N172" s="59">
        <f>IF((((1.18*F172^0.874)/3.7-(0.301*F172^0.751)/(1-H172)*H172)*(MAX('Min rate concentrations'!$Q$3:$Q$368)))/F172&gt;0, (((1.18*F172^0.874)/3.7-(0.301*F172^0.751)/(1-H172)*H172)*(MAX('Min rate concentrations'!$Q$3:$Q$368)))/F172, 0)</f>
        <v>0</v>
      </c>
      <c r="O172" s="59">
        <f>((MAX('Min rate concentrations'!$F$3:$F$368))*0.62*6.01*8*(10*F172^0.667)*0.079*0.1/F172)*inputs!$E$80/(10^(0.84+0.62*LOG10(inputs!$E$80)))</f>
        <v>4.3572483550812766</v>
      </c>
      <c r="P172" s="59">
        <f>((MAX('Min rate concentrations'!Y:Y))*0.62*6.01*8*(10*F172^0.667)*0.079*0.1/F172)*inputs!$E$80/(10^(0.84+0.62*LOG10(inputs!$E$80)))</f>
        <v>1.4524161183604249</v>
      </c>
      <c r="Q172" s="59">
        <f>(inputs!$C$7*11.2*(10*F172^0.667)*0.5/F172)*inputs!$E$80/(10^(0.84+0.62*LOG10(inputs!$E$80)))</f>
        <v>0.76750874644545564</v>
      </c>
      <c r="R172" s="59">
        <f>(60*284*((F172/1000)^0.77)*3*24*(MAX('Min rate concentrations'!$R$3:$R$368))/F172)*(inputs!$E$73*3.4/inputs!$E$75)</f>
        <v>6.9717034323258939E-3</v>
      </c>
      <c r="S172" s="59">
        <f>(IF(inputs!$C$6="aerial",((0.025*0.112*inputs!$C$7/3.3)*(3*60*284*((F172/1000)^0.77))*MAX(inputs!$H$14:$H$16))/F172,((0.0083*0.112*inputs!$C$7/1)*(3*60*284*((F172/1000)^0.77))*MAX(inputs!$H$14:$H$16))/F172))*(inputs!E$75*3.4/inputs!$E$73)</f>
        <v>3.844937275894858E-2</v>
      </c>
      <c r="T172" s="63">
        <f>IF((((inputs!$P$12/(V172/MAX(K172:S172)))^(1/inputs!$O$12))-1)/inputs!$N$12&lt;0, 0, IF((((inputs!$P$12/(V172/MAX(K172:S172)))^(1/inputs!$O$12))-1)/inputs!$N$12&gt;inputs!$H$17, inputs!$H$17, (((inputs!$P$12/(V172/MAX(K172:S172)))^(1/inputs!$O$12))-1)/inputs!$N$12))</f>
        <v>473.39929975435609</v>
      </c>
      <c r="U172" s="63">
        <f>IF((((inputs!$P$12/(X172/MAX(K172:S172)))^(1/inputs!$O$12))-1)/inputs!$N$12&lt;0, 0, IF((((inputs!$P$12/(X172/MAX(K172:S172)))^(1/inputs!$O$12))-1)/inputs!$N$12&gt;inputs!$H$17, inputs!$H$17, (((inputs!$P$12/(X172/MAX(K172:S172)))^(1/inputs!$O$12))-1)/inputs!$N$12))</f>
        <v>33.296020941563938</v>
      </c>
      <c r="V172" s="21">
        <f>inputs!$E$78*(F172/inputs!$F$78)^(inputs!$E$84-1)</f>
        <v>1.5349640205447362E-2</v>
      </c>
      <c r="W172" s="21">
        <f>inputs!$E$85*(F172/inputs!$F$85)^(inputs!$E$84-1)</f>
        <v>0.70881810816870583</v>
      </c>
      <c r="X172" s="21">
        <f>inputs!$E$80*(F172/inputs!$F$80)^(inputs!$E$84-1)</f>
        <v>2.6468524292375721</v>
      </c>
      <c r="Y172" s="21">
        <f>inputs!$E$82*(F172/inputs!$F$82)^(inputs!$E$84-1)</f>
        <v>1.2198924584329218</v>
      </c>
      <c r="Z172" s="63">
        <f t="shared" si="17"/>
        <v>2428.4335749511802</v>
      </c>
      <c r="AA172" s="63">
        <f t="shared" si="18"/>
        <v>52.588359705755344</v>
      </c>
    </row>
    <row r="173" spans="1:27" x14ac:dyDescent="0.25">
      <c r="A173" s="103" t="s">
        <v>219</v>
      </c>
      <c r="B173" s="20" t="s">
        <v>220</v>
      </c>
      <c r="C173" s="20" t="s">
        <v>73</v>
      </c>
      <c r="D173" s="104" t="s">
        <v>204</v>
      </c>
      <c r="E173" s="15">
        <v>89</v>
      </c>
      <c r="F173" s="15">
        <v>178</v>
      </c>
      <c r="G173" s="20" t="s">
        <v>154</v>
      </c>
      <c r="H173" s="20">
        <v>9.2999999999999999E-2</v>
      </c>
      <c r="I173" s="48">
        <f>MAX('Min rate concentrations'!$G$3:$G$368)</f>
        <v>7.5</v>
      </c>
      <c r="J173" s="48">
        <f>MAX('Min rate concentrations'!Z:Z)</f>
        <v>3.5</v>
      </c>
      <c r="K173" s="59">
        <f t="shared" si="21"/>
        <v>0.68496107383919347</v>
      </c>
      <c r="L173" s="59"/>
      <c r="M173" s="59">
        <f>IF((((1.18*F173^0.874)/3.7-(0.301*F173^0.751)/(1-H173)*H173)*(MAX('Min rate concentrations'!$P$3:$P$368)))/F173&gt;0, (((1.18*F173^0.874)/3.7-(0.301*F173^0.751)/(1-H173)*H173)*(MAX('Min rate concentrations'!$P$3:$P$368)))/F173, 0)</f>
        <v>2.2862825213924104E-2</v>
      </c>
      <c r="N173" s="59">
        <f>IF((((1.18*F173^0.874)/3.7-(0.301*F173^0.751)/(1-H173)*H173)*(MAX('Min rate concentrations'!$Q$3:$Q$368)))/F173&gt;0, (((1.18*F173^0.874)/3.7-(0.301*F173^0.751)/(1-H173)*H173)*(MAX('Min rate concentrations'!$Q$3:$Q$368)))/F173, 0)</f>
        <v>8.7062866872748501E-2</v>
      </c>
      <c r="O173" s="59">
        <f>((MAX('Min rate concentrations'!$F$3:$F$368))*0.62*6.01*8*(10*F173^0.667)*0.079*0.1/F173)*inputs!$E$80/(10^(0.84+0.62*LOG10(inputs!$E$80)))</f>
        <v>4.3572483550812766</v>
      </c>
      <c r="P173" s="59">
        <f>((MAX('Min rate concentrations'!Y:Y))*0.62*6.01*8*(10*F173^0.667)*0.079*0.1/F173)*inputs!$E$80/(10^(0.84+0.62*LOG10(inputs!$E$80)))</f>
        <v>1.4524161183604249</v>
      </c>
      <c r="Q173" s="59">
        <f>(inputs!$C$7*11.2*(10*F173^0.667)*0.5/F173)*inputs!$E$80/(10^(0.84+0.62*LOG10(inputs!$E$80)))</f>
        <v>0.76750874644545564</v>
      </c>
      <c r="R173" s="59">
        <f>(60*284*((F173/1000)^0.77)*3*24*(MAX('Min rate concentrations'!$R$3:$R$368))/F173)*(inputs!$E$73*3.4/inputs!$E$75)</f>
        <v>6.9717034323258939E-3</v>
      </c>
      <c r="S173" s="59">
        <f>(IF(inputs!$C$6="aerial",((0.025*0.112*inputs!$C$7/3.3)*(3*60*284*((F173/1000)^0.77))*MAX(inputs!$H$14:$H$16))/F173,((0.0083*0.112*inputs!$C$7/1)*(3*60*284*((F173/1000)^0.77))*MAX(inputs!$H$14:$H$16))/F173))*(inputs!E$75*3.4/inputs!$E$73)</f>
        <v>3.844937275894858E-2</v>
      </c>
      <c r="T173" s="63">
        <f>IF((((inputs!$P$12/(V173/MAX(K173:S173)))^(1/inputs!$O$12))-1)/inputs!$N$12&lt;0, 0, IF((((inputs!$P$12/(V173/MAX(K173:S173)))^(1/inputs!$O$12))-1)/inputs!$N$12&gt;inputs!$H$17, inputs!$H$17, (((inputs!$P$12/(V173/MAX(K173:S173)))^(1/inputs!$O$12))-1)/inputs!$N$12))</f>
        <v>181.13549643618043</v>
      </c>
      <c r="U173" s="63">
        <f>IF((((inputs!$P$12/(X173/MAX(K173:S173)))^(1/inputs!$O$12))-1)/inputs!$N$12&lt;0, 0, IF((((inputs!$P$12/(X173/MAX(K173:S173)))^(1/inputs!$O$12))-1)/inputs!$N$12&gt;inputs!$H$17, inputs!$H$17, (((inputs!$P$12/(X173/MAX(K173:S173)))^(1/inputs!$O$12))-1)/inputs!$N$12))</f>
        <v>0</v>
      </c>
      <c r="V173" s="21">
        <f>inputs!$E$78*(F173/inputs!$F$78)^(inputs!$E$84-1)</f>
        <v>1.5349640205447362E-2</v>
      </c>
      <c r="W173" s="21">
        <f>inputs!$E$85*(F173/inputs!$F$85)^(inputs!$E$84-1)</f>
        <v>0.70881810816870583</v>
      </c>
      <c r="X173" s="21">
        <f>inputs!$E$80*(F173/inputs!$F$80)^(inputs!$E$84-1)</f>
        <v>2.6468524292375721</v>
      </c>
      <c r="Y173" s="21">
        <f>inputs!$E$82*(F173/inputs!$F$82)^(inputs!$E$84-1)</f>
        <v>1.2198924584329218</v>
      </c>
      <c r="Z173" s="63">
        <f t="shared" si="17"/>
        <v>283.86648134820473</v>
      </c>
      <c r="AA173" s="63">
        <f t="shared" si="18"/>
        <v>6.1472023709137629</v>
      </c>
    </row>
    <row r="174" spans="1:27" x14ac:dyDescent="0.25">
      <c r="A174" s="103" t="s">
        <v>277</v>
      </c>
      <c r="B174" s="20" t="s">
        <v>278</v>
      </c>
      <c r="C174" s="20" t="s">
        <v>73</v>
      </c>
      <c r="D174" s="104" t="s">
        <v>204</v>
      </c>
      <c r="E174" s="15">
        <v>87</v>
      </c>
      <c r="F174" s="15">
        <v>350</v>
      </c>
      <c r="G174" s="20" t="s">
        <v>142</v>
      </c>
      <c r="H174" s="20">
        <v>0.69</v>
      </c>
      <c r="I174" s="48">
        <f>MAX('Min rate concentrations'!$H$3:$H$368)</f>
        <v>47</v>
      </c>
      <c r="J174" s="48">
        <f>MAX('Min rate concentrations'!AA:AA)</f>
        <v>32.5</v>
      </c>
      <c r="K174" s="59">
        <f t="shared" si="21"/>
        <v>10.612793565718203</v>
      </c>
      <c r="L174" s="59">
        <f>((0.301*F174^0.751)/(1-H174))*J174/F174</f>
        <v>7.3386338486349283</v>
      </c>
      <c r="M174" s="59">
        <f>IF((((1.18*F174^0.874)/3.7-(0.301*F174^0.751)/(1-H174)*H174)*(MAX('Min rate concentrations'!$P$3:$P$368)))/F174&gt;0, (((1.18*F174^0.874)/3.7-(0.301*F174^0.751)/(1-H174)*H174)*(MAX('Min rate concentrations'!$P$3:$P$368)))/F174, 0)</f>
        <v>0</v>
      </c>
      <c r="N174" s="59">
        <f>IF((((1.18*F174^0.874)/3.7-(0.301*F174^0.751)/(1-H174)*H174)*(MAX('Min rate concentrations'!$Q$3:$Q$368)))/F174&gt;0, (((1.18*F174^0.874)/3.7-(0.301*F174^0.751)/(1-H174)*H174)*(MAX('Min rate concentrations'!$Q$3:$Q$368)))/F174, 0)</f>
        <v>0</v>
      </c>
      <c r="O174" s="59">
        <f>((MAX('Min rate concentrations'!$F$3:$F$368))*0.62*6.01*8*(10*F174^0.667)*0.079*0.1/F174)*inputs!$E$80/(10^(0.84+0.62*LOG10(inputs!$E$80)))</f>
        <v>3.4787844218896322</v>
      </c>
      <c r="P174" s="59">
        <f>((MAX('Min rate concentrations'!Y:Y))*0.62*6.01*8*(10*F174^0.667)*0.079*0.1/F174)*inputs!$E$80/(10^(0.84+0.62*LOG10(inputs!$E$80)))</f>
        <v>1.1595948072965439</v>
      </c>
      <c r="Q174" s="59">
        <f>(inputs!$C$7*11.2*(10*F174^0.667)*0.5/F174)*inputs!$E$80/(10^(0.84+0.62*LOG10(inputs!$E$80)))</f>
        <v>0.61277146795748505</v>
      </c>
      <c r="R174" s="59">
        <f>(60*284*((F174/1000)^0.77)*3*24*(MAX('Min rate concentrations'!$R$3:$R$368))/F174)*(inputs!$E$73*3.4/inputs!$E$75)</f>
        <v>5.9676020546692611E-3</v>
      </c>
      <c r="S174" s="59">
        <f>(IF(inputs!$C$6="aerial",((0.025*0.112*inputs!$C$7/3.3)*(3*60*284*((F174/1000)^0.77))*MAX(inputs!$H$14:$H$16))/F174,((0.0083*0.112*inputs!$C$7/1)*(3*60*284*((F174/1000)^0.77))*MAX(inputs!$H$14:$H$16))/F174))*(inputs!E$75*3.4/inputs!$E$73)</f>
        <v>3.2911691970881327E-2</v>
      </c>
      <c r="T174" s="63">
        <f>IF((((inputs!$P$12/(V174/MAX(K174:S174)))^(1/inputs!$O$12))-1)/inputs!$N$12&lt;0, 0, IF((((inputs!$P$12/(V174/MAX(K174:S174)))^(1/inputs!$O$12))-1)/inputs!$N$12&gt;inputs!$H$17, inputs!$H$17, (((inputs!$P$12/(V174/MAX(K174:S174)))^(1/inputs!$O$12))-1)/inputs!$N$12))</f>
        <v>304.84958409093122</v>
      </c>
      <c r="U174" s="63">
        <f>IF((((inputs!$P$12/(X174/MAX(K174:S174)))^(1/inputs!$O$12))-1)/inputs!$N$12&lt;0, 0, IF((((inputs!$P$12/(X174/MAX(K174:S174)))^(1/inputs!$O$12))-1)/inputs!$N$12&gt;inputs!$H$17, inputs!$H$17, (((inputs!$P$12/(X174/MAX(K174:S174)))^(1/inputs!$O$12))-1)/inputs!$N$12))</f>
        <v>12.546384562385283</v>
      </c>
      <c r="V174" s="21">
        <f>inputs!$E$78*(F174/inputs!$F$78)^(inputs!$E$84-1)</f>
        <v>1.1952215764623077E-2</v>
      </c>
      <c r="W174" s="21">
        <f>inputs!$E$85*(F174/inputs!$F$85)^(inputs!$E$84-1)</f>
        <v>0.55193130609652619</v>
      </c>
      <c r="X174" s="21">
        <f>inputs!$E$80*(F174/inputs!$F$80)^(inputs!$E$84-1)</f>
        <v>2.0610093075756355</v>
      </c>
      <c r="Y174" s="21">
        <f>inputs!$E$82*(F174/inputs!$F$82)^(inputs!$E$84-1)</f>
        <v>0.94988662129372869</v>
      </c>
      <c r="Z174" s="63">
        <f t="shared" si="17"/>
        <v>887.93523934956227</v>
      </c>
      <c r="AA174" s="63">
        <f t="shared" si="18"/>
        <v>19.228468196116697</v>
      </c>
    </row>
    <row r="175" spans="1:27" x14ac:dyDescent="0.25">
      <c r="A175" s="103" t="s">
        <v>277</v>
      </c>
      <c r="B175" s="20" t="s">
        <v>278</v>
      </c>
      <c r="C175" s="20" t="s">
        <v>73</v>
      </c>
      <c r="D175" s="104" t="s">
        <v>204</v>
      </c>
      <c r="E175" s="15">
        <v>87</v>
      </c>
      <c r="F175" s="15">
        <v>350</v>
      </c>
      <c r="G175" s="20" t="s">
        <v>154</v>
      </c>
      <c r="H175" s="20">
        <v>9.2999999999999999E-2</v>
      </c>
      <c r="I175" s="48">
        <f>MAX('Min rate concentrations'!$G$3:$G$368)</f>
        <v>7.5</v>
      </c>
      <c r="J175" s="48">
        <f>MAX('Min rate concentrations'!Z:Z)</f>
        <v>3.5</v>
      </c>
      <c r="K175" s="59">
        <f t="shared" si="21"/>
        <v>0.57882533111953904</v>
      </c>
      <c r="L175" s="59"/>
      <c r="M175" s="59">
        <f>IF((((1.18*F175^0.874)/3.7-(0.301*F175^0.751)/(1-H175)*H175)*(MAX('Min rate concentrations'!$P$3:$P$368)))/F175&gt;0, (((1.18*F175^0.874)/3.7-(0.301*F175^0.751)/(1-H175)*H175)*(MAX('Min rate concentrations'!$P$3:$P$368)))/F175, 0)</f>
        <v>2.1086041203965643E-2</v>
      </c>
      <c r="N175" s="59">
        <f>IF((((1.18*F175^0.874)/3.7-(0.301*F175^0.751)/(1-H175)*H175)*(MAX('Min rate concentrations'!$Q$3:$Q$368)))/F175&gt;0, (((1.18*F175^0.874)/3.7-(0.301*F175^0.751)/(1-H175)*H175)*(MAX('Min rate concentrations'!$Q$3:$Q$368)))/F175, 0)</f>
        <v>8.0296777893227742E-2</v>
      </c>
      <c r="O175" s="59">
        <f>((MAX('Min rate concentrations'!$F$3:$F$368))*0.62*6.01*8*(10*F175^0.667)*0.079*0.1/F175)*inputs!$E$80/(10^(0.84+0.62*LOG10(inputs!$E$80)))</f>
        <v>3.4787844218896322</v>
      </c>
      <c r="P175" s="59">
        <f>((MAX('Min rate concentrations'!Y:Y))*0.62*6.01*8*(10*F175^0.667)*0.079*0.1/F175)*inputs!$E$80/(10^(0.84+0.62*LOG10(inputs!$E$80)))</f>
        <v>1.1595948072965439</v>
      </c>
      <c r="Q175" s="59">
        <f>(inputs!$C$7*11.2*(10*F175^0.667)*0.5/F175)*inputs!$E$80/(10^(0.84+0.62*LOG10(inputs!$E$80)))</f>
        <v>0.61277146795748505</v>
      </c>
      <c r="R175" s="59">
        <f>(60*284*((F175/1000)^0.77)*3*24*(MAX('Min rate concentrations'!$R$3:$R$368))/F175)*(inputs!$E$73*3.4/inputs!$E$75)</f>
        <v>5.9676020546692611E-3</v>
      </c>
      <c r="S175" s="59">
        <f>(IF(inputs!$C$6="aerial",((0.025*0.112*inputs!$C$7/3.3)*(3*60*284*((F175/1000)^0.77))*MAX(inputs!$H$14:$H$16))/F175,((0.0083*0.112*inputs!$C$7/1)*(3*60*284*((F175/1000)^0.77))*MAX(inputs!$H$14:$H$16))/F175))*(inputs!E$75*3.4/inputs!$E$73)</f>
        <v>3.2911691970881327E-2</v>
      </c>
      <c r="T175" s="63">
        <f>IF((((inputs!$P$12/(V175/MAX(K175:S175)))^(1/inputs!$O$12))-1)/inputs!$N$12&lt;0, 0, IF((((inputs!$P$12/(V175/MAX(K175:S175)))^(1/inputs!$O$12))-1)/inputs!$N$12&gt;inputs!$H$17, inputs!$H$17, (((inputs!$P$12/(V175/MAX(K175:S175)))^(1/inputs!$O$12))-1)/inputs!$N$12))</f>
        <v>183.27943466330836</v>
      </c>
      <c r="U175" s="63">
        <f>IF((((inputs!$P$12/(X175/MAX(K175:S175)))^(1/inputs!$O$12))-1)/inputs!$N$12&lt;0, 0, IF((((inputs!$P$12/(X175/MAX(K175:S175)))^(1/inputs!$O$12))-1)/inputs!$N$12&gt;inputs!$H$17, inputs!$H$17, (((inputs!$P$12/(X175/MAX(K175:S175)))^(1/inputs!$O$12))-1)/inputs!$N$12))</f>
        <v>0</v>
      </c>
      <c r="V175" s="21">
        <f>inputs!$E$78*(F175/inputs!$F$78)^(inputs!$E$84-1)</f>
        <v>1.1952215764623077E-2</v>
      </c>
      <c r="W175" s="21">
        <f>inputs!$E$85*(F175/inputs!$F$85)^(inputs!$E$84-1)</f>
        <v>0.55193130609652619</v>
      </c>
      <c r="X175" s="21">
        <f>inputs!$E$80*(F175/inputs!$F$80)^(inputs!$E$84-1)</f>
        <v>2.0610093075756355</v>
      </c>
      <c r="Y175" s="21">
        <f>inputs!$E$82*(F175/inputs!$F$82)^(inputs!$E$84-1)</f>
        <v>0.94988662129372869</v>
      </c>
      <c r="Z175" s="63">
        <f t="shared" si="17"/>
        <v>291.05769929173783</v>
      </c>
      <c r="AA175" s="63">
        <f t="shared" si="18"/>
        <v>6.3029300629691667</v>
      </c>
    </row>
    <row r="176" spans="1:27" x14ac:dyDescent="0.25">
      <c r="A176" s="103" t="s">
        <v>331</v>
      </c>
      <c r="B176" s="20" t="s">
        <v>332</v>
      </c>
      <c r="C176" s="20" t="s">
        <v>73</v>
      </c>
      <c r="D176" s="104" t="s">
        <v>240</v>
      </c>
      <c r="E176" s="15">
        <v>102</v>
      </c>
      <c r="F176" s="15">
        <v>248</v>
      </c>
      <c r="G176" s="20" t="s">
        <v>142</v>
      </c>
      <c r="H176" s="20">
        <v>0.69</v>
      </c>
      <c r="I176" s="48">
        <f>MAX('Min rate concentrations'!$H$3:$H$368)</f>
        <v>47</v>
      </c>
      <c r="J176" s="48">
        <f>MAX('Min rate concentrations'!AA:AA)</f>
        <v>32.5</v>
      </c>
      <c r="K176" s="59">
        <f t="shared" si="21"/>
        <v>11.563363847519902</v>
      </c>
      <c r="L176" s="59">
        <f>((0.301*F176^0.751)/(1-H176))*J176/F176</f>
        <v>7.9959430860509961</v>
      </c>
      <c r="M176" s="59">
        <f>IF((((1.18*F176^0.874)/3.7-(0.301*F176^0.751)/(1-H176)*H176)*(MAX('Min rate concentrations'!$P$3:$P$368)))/F176&gt;0, (((1.18*F176^0.874)/3.7-(0.301*F176^0.751)/(1-H176)*H176)*(MAX('Min rate concentrations'!$P$3:$P$368)))/F176, 0)</f>
        <v>0</v>
      </c>
      <c r="N176" s="59">
        <f>IF((((1.18*F176^0.874)/3.7-(0.301*F176^0.751)/(1-H176)*H176)*(MAX('Min rate concentrations'!$Q$3:$Q$368)))/F176&gt;0, (((1.18*F176^0.874)/3.7-(0.301*F176^0.751)/(1-H176)*H176)*(MAX('Min rate concentrations'!$Q$3:$Q$368)))/F176, 0)</f>
        <v>0</v>
      </c>
      <c r="O176" s="59">
        <f>((MAX('Min rate concentrations'!$F$3:$F$368))*0.62*6.01*8*(10*F176^0.667)*0.079*0.1/F176)*inputs!$E$80/(10^(0.84+0.62*LOG10(inputs!$E$80)))</f>
        <v>3.9016630943260915</v>
      </c>
      <c r="P176" s="59">
        <f>((MAX('Min rate concentrations'!Y:Y))*0.62*6.01*8*(10*F176^0.667)*0.079*0.1/F176)*inputs!$E$80/(10^(0.84+0.62*LOG10(inputs!$E$80)))</f>
        <v>1.3005543647753635</v>
      </c>
      <c r="Q176" s="59">
        <f>(inputs!$C$7*11.2*(10*F176^0.667)*0.5/F176)*inputs!$E$80/(10^(0.84+0.62*LOG10(inputs!$E$80)))</f>
        <v>0.68725955156688756</v>
      </c>
      <c r="R176" s="59">
        <f>(60*284*((F176/1000)^0.77)*3*24*(MAX('Min rate concentrations'!$R$3:$R$368))/F176)*(inputs!$E$73*3.4/inputs!$E$75)</f>
        <v>6.4596891325728401E-3</v>
      </c>
      <c r="S176" s="59">
        <f>(IF(inputs!$C$6="aerial",((0.025*0.112*inputs!$C$7/3.3)*(3*60*284*((F176/1000)^0.77))*MAX(inputs!$H$14:$H$16))/F176,((0.0083*0.112*inputs!$C$7/1)*(3*60*284*((F176/1000)^0.77))*MAX(inputs!$H$14:$H$16))/F176))*(inputs!E$75*3.4/inputs!$E$73)</f>
        <v>3.5625582438517628E-2</v>
      </c>
      <c r="T176" s="63">
        <f>IF((((inputs!$P$12/(V176/MAX(K176:S176)))^(1/inputs!$O$12))-1)/inputs!$N$12&lt;0, 0, IF((((inputs!$P$12/(V176/MAX(K176:S176)))^(1/inputs!$O$12))-1)/inputs!$N$12&gt;inputs!$H$17, inputs!$H$17, (((inputs!$P$12/(V176/MAX(K176:S176)))^(1/inputs!$O$12))-1)/inputs!$N$12))</f>
        <v>299.24552481818472</v>
      </c>
      <c r="U176" s="63">
        <f>IF((((inputs!$P$12/(X176/MAX(K176:S176)))^(1/inputs!$O$12))-1)/inputs!$N$12&lt;0, 0, IF((((inputs!$P$12/(X176/MAX(K176:S176)))^(1/inputs!$O$12))-1)/inputs!$N$12&gt;inputs!$H$17, inputs!$H$17, (((inputs!$P$12/(X176/MAX(K176:S176)))^(1/inputs!$O$12))-1)/inputs!$N$12))</f>
        <v>11.856486085255488</v>
      </c>
      <c r="V176" s="21">
        <f>inputs!$E$78*(F176/inputs!$F$78)^(inputs!$E$84-1)</f>
        <v>1.3577083190374073E-2</v>
      </c>
      <c r="W176" s="21">
        <f>inputs!$E$85*(F176/inputs!$F$85)^(inputs!$E$84-1)</f>
        <v>0.62696469054921478</v>
      </c>
      <c r="X176" s="21">
        <f>inputs!$E$80*(F176/inputs!$F$80)^(inputs!$E$84-1)</f>
        <v>2.3411972621774475</v>
      </c>
      <c r="Y176" s="21">
        <f>inputs!$E$82*(F176/inputs!$F$82)^(inputs!$E$84-1)</f>
        <v>1.0790208219718342</v>
      </c>
      <c r="Z176" s="63">
        <f t="shared" si="17"/>
        <v>851.68247740561355</v>
      </c>
      <c r="AA176" s="63">
        <f t="shared" si="18"/>
        <v>18.443405221736668</v>
      </c>
    </row>
    <row r="177" spans="1:27" x14ac:dyDescent="0.25">
      <c r="A177" s="103" t="s">
        <v>331</v>
      </c>
      <c r="B177" s="20" t="s">
        <v>332</v>
      </c>
      <c r="C177" s="20" t="s">
        <v>73</v>
      </c>
      <c r="D177" s="104" t="s">
        <v>240</v>
      </c>
      <c r="E177" s="15">
        <v>102</v>
      </c>
      <c r="F177" s="15">
        <v>248</v>
      </c>
      <c r="G177" s="20" t="s">
        <v>195</v>
      </c>
      <c r="H177" s="20">
        <v>0.82</v>
      </c>
      <c r="I177" s="48">
        <f>inputs!$C$65*(inputs!$C$62/1000)</f>
        <v>0.82000000000000006</v>
      </c>
      <c r="J177" s="48">
        <f>inputs!$C$65*(inputs!$C$61/1000)</f>
        <v>0.25</v>
      </c>
      <c r="K177" s="59">
        <f t="shared" si="21"/>
        <v>0.34744764657678001</v>
      </c>
      <c r="L177" s="59">
        <f>((0.301*F177^0.751)/(1-H177))*J177/F177</f>
        <v>0.10592916054170122</v>
      </c>
      <c r="M177" s="59">
        <f>IF((((1.18*F177^0.874)/3.7-(0.301*F177^0.751)/(1-H177)*H177)*(MAX('Min rate concentrations'!$P$3:$P$368)))/F177&gt;0, (((1.18*F177^0.874)/3.7-(0.301*F177^0.751)/(1-H177)*H177)*(MAX('Min rate concentrations'!$P$3:$P$368)))/F177, 0)</f>
        <v>0</v>
      </c>
      <c r="N177" s="59">
        <f>IF((((1.18*F177^0.874)/3.7-(0.301*F177^0.751)/(1-H177)*H177)*(MAX('Min rate concentrations'!$Q$3:$Q$368)))/F177&gt;0, (((1.18*F177^0.874)/3.7-(0.301*F177^0.751)/(1-H177)*H177)*(MAX('Min rate concentrations'!$Q$3:$Q$368)))/F177, 0)</f>
        <v>0</v>
      </c>
      <c r="O177" s="59">
        <f>((MAX('Min rate concentrations'!$F$3:$F$368))*0.62*6.01*8*(10*F177^0.667)*0.079*0.1/F177)*inputs!$E$80/(10^(0.84+0.62*LOG10(inputs!$E$80)))</f>
        <v>3.9016630943260915</v>
      </c>
      <c r="P177" s="59">
        <f>((MAX('Min rate concentrations'!Y:Y))*0.62*6.01*8*(10*F177^0.667)*0.079*0.1/F177)*inputs!$E$80/(10^(0.84+0.62*LOG10(inputs!$E$80)))</f>
        <v>1.3005543647753635</v>
      </c>
      <c r="Q177" s="59">
        <f>(inputs!$C$7*11.2*(10*F177^0.667)*0.5/F177)*inputs!$E$80/(10^(0.84+0.62*LOG10(inputs!$E$80)))</f>
        <v>0.68725955156688756</v>
      </c>
      <c r="R177" s="59">
        <f>(60*284*((F177/1000)^0.77)*3*24*(MAX('Min rate concentrations'!$R$3:$R$368))/F177)*(inputs!$E$73*3.4/inputs!$E$75)</f>
        <v>6.4596891325728401E-3</v>
      </c>
      <c r="S177" s="59">
        <f>(IF(inputs!$C$6="aerial",((0.025*0.112*inputs!$C$7/3.3)*(3*60*284*((F177/1000)^0.77))*MAX(inputs!$H$14:$H$16))/F177,((0.0083*0.112*inputs!$C$7/1)*(3*60*284*((F177/1000)^0.77))*MAX(inputs!$H$14:$H$16))/F177))*(inputs!E$75*3.4/inputs!$E$73)</f>
        <v>3.5625582438517628E-2</v>
      </c>
      <c r="T177" s="63">
        <f>IF((((inputs!$P$12/(V177/MAX(K177:S177)))^(1/inputs!$O$12))-1)/inputs!$N$12&lt;0, 0, IF((((inputs!$P$12/(V177/MAX(K177:S177)))^(1/inputs!$O$12))-1)/inputs!$N$12&gt;inputs!$H$17, inputs!$H$17, (((inputs!$P$12/(V177/MAX(K177:S177)))^(1/inputs!$O$12))-1)/inputs!$N$12))</f>
        <v>182.18435264435053</v>
      </c>
      <c r="U177" s="63">
        <f>IF((((inputs!$P$12/(X177/MAX(K177:S177)))^(1/inputs!$O$12))-1)/inputs!$N$12&lt;0, 0, IF((((inputs!$P$12/(X177/MAX(K177:S177)))^(1/inputs!$O$12))-1)/inputs!$N$12&gt;inputs!$H$17, inputs!$H$17, (((inputs!$P$12/(X177/MAX(K177:S177)))^(1/inputs!$O$12))-1)/inputs!$N$12))</f>
        <v>0</v>
      </c>
      <c r="V177" s="21">
        <f>inputs!$E$78*(F177/inputs!$F$78)^(inputs!$E$84-1)</f>
        <v>1.3577083190374073E-2</v>
      </c>
      <c r="W177" s="21">
        <f>inputs!$E$85*(F177/inputs!$F$85)^(inputs!$E$84-1)</f>
        <v>0.62696469054921478</v>
      </c>
      <c r="X177" s="21">
        <f>inputs!$E$80*(F177/inputs!$F$80)^(inputs!$E$84-1)</f>
        <v>2.3411972621774475</v>
      </c>
      <c r="Y177" s="21">
        <f>inputs!$E$82*(F177/inputs!$F$82)^(inputs!$E$84-1)</f>
        <v>1.0790208219718342</v>
      </c>
      <c r="Z177" s="63">
        <f t="shared" si="17"/>
        <v>287.37122985976151</v>
      </c>
      <c r="AA177" s="63">
        <f t="shared" si="18"/>
        <v>6.2230986100800569</v>
      </c>
    </row>
    <row r="178" spans="1:27" x14ac:dyDescent="0.25">
      <c r="A178" s="103" t="s">
        <v>335</v>
      </c>
      <c r="B178" s="20" t="s">
        <v>337</v>
      </c>
      <c r="C178" s="20" t="s">
        <v>73</v>
      </c>
      <c r="D178" s="104" t="s">
        <v>240</v>
      </c>
      <c r="E178" s="15">
        <v>121</v>
      </c>
      <c r="F178" s="15">
        <v>67</v>
      </c>
      <c r="G178" s="20" t="s">
        <v>218</v>
      </c>
      <c r="H178" s="20">
        <v>0.68</v>
      </c>
      <c r="I178" s="48">
        <f>MAX('Min rate concentrations'!$K$3:$K$368)</f>
        <v>18.333393099490852</v>
      </c>
      <c r="J178" s="48">
        <f>MAX('Min rate concentrations'!AC:AC)</f>
        <v>6.4930767227363431</v>
      </c>
      <c r="K178" s="59">
        <f t="shared" si="21"/>
        <v>6.0529451984954177</v>
      </c>
      <c r="L178" s="59">
        <f>((0.301*F178^0.751)/(1-H178))*J178/F178</f>
        <v>2.1437514244671272</v>
      </c>
      <c r="M178" s="59">
        <f>IF((((1.18*F178^0.874)/3.7-(0.301*F178^0.751)/(1-H178)*H178)*(MAX('Min rate concentrations'!$P$3:$P$368)))/F178&gt;0, (((1.18*F178^0.874)/3.7-(0.301*F178^0.751)/(1-H178)*H178)*(MAX('Min rate concentrations'!$P$3:$P$368)))/F178, 0)</f>
        <v>0</v>
      </c>
      <c r="N178" s="59">
        <f>IF((((1.18*F178^0.874)/3.7-(0.301*F178^0.751)/(1-H178)*H178)*(MAX('Min rate concentrations'!$Q$3:$Q$368)))/F178&gt;0, (((1.18*F178^0.874)/3.7-(0.301*F178^0.751)/(1-H178)*H178)*(MAX('Min rate concentrations'!$Q$3:$Q$368)))/F178, 0)</f>
        <v>0</v>
      </c>
      <c r="O178" s="59">
        <f>((MAX('Min rate concentrations'!$F$3:$F$368))*0.62*6.01*8*(10*F178^0.667)*0.079*0.1/F178)*inputs!$E$80/(10^(0.84+0.62*LOG10(inputs!$E$80)))</f>
        <v>6.0328046994945614</v>
      </c>
      <c r="P178" s="59">
        <f>((MAX('Min rate concentrations'!Y:Y))*0.62*6.01*8*(10*F178^0.667)*0.079*0.1/F178)*inputs!$E$80/(10^(0.84+0.62*LOG10(inputs!$E$80)))</f>
        <v>2.0109348998315202</v>
      </c>
      <c r="Q178" s="59">
        <f>(inputs!$C$7*11.2*(10*F178^0.667)*0.5/F178)*inputs!$E$80/(10^(0.84+0.62*LOG10(inputs!$E$80)))</f>
        <v>1.0626500936215184</v>
      </c>
      <c r="R178" s="59">
        <f>(60*284*((F178/1000)^0.77)*3*24*(MAX('Min rate concentrations'!$R$3:$R$368))/F178)*(inputs!$E$73*3.4/inputs!$E$75)</f>
        <v>8.728473553725434E-3</v>
      </c>
      <c r="S178" s="59">
        <f>(IF(inputs!$C$6="aerial",((0.025*0.112*inputs!$C$7/3.3)*(3*60*284*((F178/1000)^0.77))*MAX(inputs!$H$14:$H$16))/F178,((0.0083*0.112*inputs!$C$7/1)*(3*60*284*((F178/1000)^0.77))*MAX(inputs!$H$14:$H$16))/F178))*(inputs!E$75*3.4/inputs!$E$73)</f>
        <v>4.8138067911452996E-2</v>
      </c>
      <c r="T178" s="63">
        <f>IF((((inputs!$P$12/(V178/MAX(K178:S178)))^(1/inputs!$O$12))-1)/inputs!$N$12&lt;0, 0, IF((((inputs!$P$12/(V178/MAX(K178:S178)))^(1/inputs!$O$12))-1)/inputs!$N$12&gt;inputs!$H$17, inputs!$H$17, (((inputs!$P$12/(V178/MAX(K178:S178)))^(1/inputs!$O$12))-1)/inputs!$N$12))</f>
        <v>178.3558352818344</v>
      </c>
      <c r="U178" s="63">
        <f>IF((((inputs!$P$12/(X178/MAX(K178:S178)))^(1/inputs!$O$12))-1)/inputs!$N$12&lt;0, 0, IF((((inputs!$P$12/(X178/MAX(K178:S178)))^(1/inputs!$O$12))-1)/inputs!$N$12&gt;inputs!$H$17, inputs!$H$17, (((inputs!$P$12/(X178/MAX(K178:S178)))^(1/inputs!$O$12))-1)/inputs!$N$12))</f>
        <v>0</v>
      </c>
      <c r="V178" s="21">
        <f>inputs!$E$78*(F178/inputs!$F$78)^(inputs!$E$84-1)</f>
        <v>2.2034638199583647E-2</v>
      </c>
      <c r="W178" s="21">
        <f>inputs!$E$85*(F178/inputs!$F$85)^(inputs!$E$84-1)</f>
        <v>1.017519000690843</v>
      </c>
      <c r="X178" s="21">
        <f>inputs!$E$80*(F178/inputs!$F$80)^(inputs!$E$84-1)</f>
        <v>3.7995962684025146</v>
      </c>
      <c r="Y178" s="21">
        <f>inputs!$E$82*(F178/inputs!$F$82)^(inputs!$E$84-1)</f>
        <v>1.751173877966911</v>
      </c>
      <c r="Z178" s="63">
        <f t="shared" si="17"/>
        <v>274.70136535347291</v>
      </c>
      <c r="AA178" s="63">
        <f t="shared" si="18"/>
        <v>5.9487294039578424</v>
      </c>
    </row>
    <row r="179" spans="1:27" x14ac:dyDescent="0.25">
      <c r="A179" s="103" t="s">
        <v>335</v>
      </c>
      <c r="B179" s="20" t="s">
        <v>337</v>
      </c>
      <c r="C179" s="20" t="s">
        <v>73</v>
      </c>
      <c r="D179" s="104" t="s">
        <v>240</v>
      </c>
      <c r="E179" s="15">
        <v>121</v>
      </c>
      <c r="F179" s="15">
        <v>67</v>
      </c>
      <c r="G179" s="20" t="s">
        <v>177</v>
      </c>
      <c r="H179" s="20">
        <v>0.85</v>
      </c>
      <c r="I179" s="48">
        <f>MAX('Min rate concentrations'!$F$3:$F$368)</f>
        <v>67.5</v>
      </c>
      <c r="J179" s="48">
        <f>MAX('Min rate concentrations'!Y:Y)</f>
        <v>22.5</v>
      </c>
      <c r="K179" s="59">
        <f t="shared" ref="K179:K187" si="22">((0.301*F179^0.751)/(1-H179))*I179/F179</f>
        <v>47.542978206666298</v>
      </c>
      <c r="L179" s="59">
        <f>((0.301*F179^0.751)/(1-H179))*J179/F179</f>
        <v>15.847659402222099</v>
      </c>
      <c r="M179" s="59">
        <f>IF((((1.18*F179^0.874)/3.7-(0.301*F179^0.751)/(1-H179)*H179)*(MAX('Min rate concentrations'!$P$3:$P$368)))/F179&gt;0, (((1.18*F179^0.874)/3.7-(0.301*F179^0.751)/(1-H179)*H179)*(MAX('Min rate concentrations'!$P$3:$P$368)))/F179, 0)</f>
        <v>0</v>
      </c>
      <c r="N179" s="59">
        <f>IF((((1.18*F179^0.874)/3.7-(0.301*F179^0.751)/(1-H179)*H179)*(MAX('Min rate concentrations'!$Q$3:$Q$368)))/F179&gt;0, (((1.18*F179^0.874)/3.7-(0.301*F179^0.751)/(1-H179)*H179)*(MAX('Min rate concentrations'!$Q$3:$Q$368)))/F179, 0)</f>
        <v>0</v>
      </c>
      <c r="O179" s="59">
        <f>((MAX('Min rate concentrations'!$F$3:$F$368))*0.62*6.01*8*(10*F179^0.667)*0.079*0.1/F179)*inputs!$E$80/(10^(0.84+0.62*LOG10(inputs!$E$80)))</f>
        <v>6.0328046994945614</v>
      </c>
      <c r="P179" s="59">
        <f>((MAX('Min rate concentrations'!Y:Y))*0.62*6.01*8*(10*F179^0.667)*0.079*0.1/F179)*inputs!$E$80/(10^(0.84+0.62*LOG10(inputs!$E$80)))</f>
        <v>2.0109348998315202</v>
      </c>
      <c r="Q179" s="59">
        <f>(inputs!$C$7*11.2*(10*F179^0.667)*0.5/F179)*inputs!$E$80/(10^(0.84+0.62*LOG10(inputs!$E$80)))</f>
        <v>1.0626500936215184</v>
      </c>
      <c r="R179" s="59">
        <f>(60*284*((F179/1000)^0.77)*3*24*(MAX('Min rate concentrations'!$R$3:$R$368))/F179)*(inputs!$E$73*3.4/inputs!$E$75)</f>
        <v>8.728473553725434E-3</v>
      </c>
      <c r="S179" s="59">
        <f>(IF(inputs!$C$6="aerial",((0.025*0.112*inputs!$C$7/3.3)*(3*60*284*((F179/1000)^0.77))*MAX(inputs!$H$14:$H$16))/F179,((0.0083*0.112*inputs!$C$7/1)*(3*60*284*((F179/1000)^0.77))*MAX(inputs!$H$14:$H$16))/F179))*(inputs!E$75*3.4/inputs!$E$73)</f>
        <v>4.8138067911452996E-2</v>
      </c>
      <c r="T179" s="63">
        <f>IF((((inputs!$P$12/(V179/MAX(K179:S179)))^(1/inputs!$O$12))-1)/inputs!$N$12&lt;0, 0, IF((((inputs!$P$12/(V179/MAX(K179:S179)))^(1/inputs!$O$12))-1)/inputs!$N$12&gt;inputs!$H$17, inputs!$H$17, (((inputs!$P$12/(V179/MAX(K179:S179)))^(1/inputs!$O$12))-1)/inputs!$N$12))</f>
        <v>449.83577767440596</v>
      </c>
      <c r="U179" s="63">
        <f>IF((((inputs!$P$12/(X179/MAX(K179:S179)))^(1/inputs!$O$12))-1)/inputs!$N$12&lt;0, 0, IF((((inputs!$P$12/(X179/MAX(K179:S179)))^(1/inputs!$O$12))-1)/inputs!$N$12&gt;inputs!$H$17, inputs!$H$17, (((inputs!$P$12/(X179/MAX(K179:S179)))^(1/inputs!$O$12))-1)/inputs!$N$12))</f>
        <v>30.395188311575623</v>
      </c>
      <c r="V179" s="21">
        <f>inputs!$E$78*(F179/inputs!$F$78)^(inputs!$E$84-1)</f>
        <v>2.2034638199583647E-2</v>
      </c>
      <c r="W179" s="21">
        <f>inputs!$E$85*(F179/inputs!$F$85)^(inputs!$E$84-1)</f>
        <v>1.017519000690843</v>
      </c>
      <c r="X179" s="21">
        <f>inputs!$E$80*(F179/inputs!$F$80)^(inputs!$E$84-1)</f>
        <v>3.7995962684025146</v>
      </c>
      <c r="Y179" s="21">
        <f>inputs!$E$82*(F179/inputs!$F$82)^(inputs!$E$84-1)</f>
        <v>1.751173877966911</v>
      </c>
      <c r="Z179" s="63">
        <f t="shared" si="17"/>
        <v>2157.6473267241863</v>
      </c>
      <c r="AA179" s="63">
        <f t="shared" si="18"/>
        <v>46.724413179888593</v>
      </c>
    </row>
    <row r="180" spans="1:27" x14ac:dyDescent="0.25">
      <c r="A180" s="103" t="s">
        <v>335</v>
      </c>
      <c r="B180" s="20" t="s">
        <v>337</v>
      </c>
      <c r="C180" s="20" t="s">
        <v>73</v>
      </c>
      <c r="D180" s="104" t="s">
        <v>240</v>
      </c>
      <c r="E180" s="15">
        <v>121</v>
      </c>
      <c r="F180" s="15">
        <v>67</v>
      </c>
      <c r="G180" s="20" t="s">
        <v>145</v>
      </c>
      <c r="H180" s="20">
        <v>0.66</v>
      </c>
      <c r="I180" s="48">
        <f>MAX('Min rate concentrations'!$M$3:$M$368)</f>
        <v>2.8488184789681945</v>
      </c>
      <c r="J180" s="48">
        <f>MAX('Min rate concentrations'!AE:AE)</f>
        <v>1.9699276716269429</v>
      </c>
      <c r="K180" s="59">
        <f t="shared" si="22"/>
        <v>0.8852373520283211</v>
      </c>
      <c r="L180" s="59">
        <f>((0.301*F180^0.751)/(1-H180))*J180/F180</f>
        <v>0.61213221150894548</v>
      </c>
      <c r="M180" s="59">
        <f>IF((((1.18*F180^0.874)/3.7-(0.301*F180^0.751)/(1-H180)*H180)*(MAX('Min rate concentrations'!$P$3:$P$368)))/F180&gt;0, (((1.18*F180^0.874)/3.7-(0.301*F180^0.751)/(1-H180)*H180)*(MAX('Min rate concentrations'!$P$3:$P$368)))/F180, 0)</f>
        <v>0</v>
      </c>
      <c r="N180" s="59">
        <f>IF((((1.18*F180^0.874)/3.7-(0.301*F180^0.751)/(1-H180)*H180)*(MAX('Min rate concentrations'!$Q$3:$Q$368)))/F180&gt;0, (((1.18*F180^0.874)/3.7-(0.301*F180^0.751)/(1-H180)*H180)*(MAX('Min rate concentrations'!$Q$3:$Q$368)))/F180, 0)</f>
        <v>0</v>
      </c>
      <c r="O180" s="59">
        <f>((MAX('Min rate concentrations'!$F$3:$F$368))*0.62*6.01*8*(10*F180^0.667)*0.079*0.1/F180)*inputs!$E$80/(10^(0.84+0.62*LOG10(inputs!$E$80)))</f>
        <v>6.0328046994945614</v>
      </c>
      <c r="P180" s="59">
        <f>((MAX('Min rate concentrations'!Y:Y))*0.62*6.01*8*(10*F180^0.667)*0.079*0.1/F180)*inputs!$E$80/(10^(0.84+0.62*LOG10(inputs!$E$80)))</f>
        <v>2.0109348998315202</v>
      </c>
      <c r="Q180" s="59">
        <f>(inputs!$C$7*11.2*(10*F180^0.667)*0.5/F180)*inputs!$E$80/(10^(0.84+0.62*LOG10(inputs!$E$80)))</f>
        <v>1.0626500936215184</v>
      </c>
      <c r="R180" s="59">
        <f>(60*284*((F180/1000)^0.77)*3*24*(MAX('Min rate concentrations'!$R$3:$R$368))/F180)*(inputs!$E$73*3.4/inputs!$E$75)</f>
        <v>8.728473553725434E-3</v>
      </c>
      <c r="S180" s="59">
        <f>(IF(inputs!$C$6="aerial",((0.025*0.112*inputs!$C$7/3.3)*(3*60*284*((F180/1000)^0.77))*MAX(inputs!$H$14:$H$16))/F180,((0.0083*0.112*inputs!$C$7/1)*(3*60*284*((F180/1000)^0.77))*MAX(inputs!$H$14:$H$16))/F180))*(inputs!E$75*3.4/inputs!$E$73)</f>
        <v>4.8138067911452996E-2</v>
      </c>
      <c r="T180" s="63">
        <f>IF((((inputs!$P$12/(V180/MAX(K180:S180)))^(1/inputs!$O$12))-1)/inputs!$N$12&lt;0, 0, IF((((inputs!$P$12/(V180/MAX(K180:S180)))^(1/inputs!$O$12))-1)/inputs!$N$12&gt;inputs!$H$17, inputs!$H$17, (((inputs!$P$12/(V180/MAX(K180:S180)))^(1/inputs!$O$12))-1)/inputs!$N$12))</f>
        <v>178.07562010840292</v>
      </c>
      <c r="U180" s="63">
        <f>IF((((inputs!$P$12/(X180/MAX(K180:S180)))^(1/inputs!$O$12))-1)/inputs!$N$12&lt;0, 0, IF((((inputs!$P$12/(X180/MAX(K180:S180)))^(1/inputs!$O$12))-1)/inputs!$N$12&gt;inputs!$H$17, inputs!$H$17, (((inputs!$P$12/(X180/MAX(K180:S180)))^(1/inputs!$O$12))-1)/inputs!$N$12))</f>
        <v>0</v>
      </c>
      <c r="V180" s="21">
        <f>inputs!$E$78*(F180/inputs!$F$78)^(inputs!$E$84-1)</f>
        <v>2.2034638199583647E-2</v>
      </c>
      <c r="W180" s="21">
        <f>inputs!$E$85*(F180/inputs!$F$85)^(inputs!$E$84-1)</f>
        <v>1.017519000690843</v>
      </c>
      <c r="X180" s="21">
        <f>inputs!$E$80*(F180/inputs!$F$80)^(inputs!$E$84-1)</f>
        <v>3.7995962684025146</v>
      </c>
      <c r="Y180" s="21">
        <f>inputs!$E$82*(F180/inputs!$F$82)^(inputs!$E$84-1)</f>
        <v>1.751173877966911</v>
      </c>
      <c r="Z180" s="63">
        <f t="shared" si="17"/>
        <v>273.78732724590657</v>
      </c>
      <c r="AA180" s="63">
        <f t="shared" si="18"/>
        <v>5.9289356713718346</v>
      </c>
    </row>
    <row r="181" spans="1:27" x14ac:dyDescent="0.25">
      <c r="A181" s="103" t="s">
        <v>335</v>
      </c>
      <c r="B181" s="20" t="s">
        <v>337</v>
      </c>
      <c r="C181" s="20" t="s">
        <v>73</v>
      </c>
      <c r="D181" s="104" t="s">
        <v>240</v>
      </c>
      <c r="E181" s="15">
        <v>121</v>
      </c>
      <c r="F181" s="15">
        <v>67</v>
      </c>
      <c r="G181" s="20" t="s">
        <v>154</v>
      </c>
      <c r="H181" s="20">
        <v>9.2999999999999999E-2</v>
      </c>
      <c r="I181" s="48">
        <f>MAX('Min rate concentrations'!$G$3:$G$368)</f>
        <v>7.5</v>
      </c>
      <c r="J181" s="48">
        <f>MAX('Min rate concentrations'!Z:Z)</f>
        <v>3.5</v>
      </c>
      <c r="K181" s="59">
        <f t="shared" si="22"/>
        <v>0.87363061754256344</v>
      </c>
      <c r="L181" s="59"/>
      <c r="M181" s="59">
        <f>IF((((1.18*F181^0.874)/3.7-(0.301*F181^0.751)/(1-H181)*H181)*(MAX('Min rate concentrations'!$P$3:$P$368)))/F181&gt;0, (((1.18*F181^0.874)/3.7-(0.301*F181^0.751)/(1-H181)*H181)*(MAX('Min rate concentrations'!$P$3:$P$368)))/F181, 0)</f>
        <v>2.5680087092316079E-2</v>
      </c>
      <c r="N181" s="59">
        <f>IF((((1.18*F181^0.874)/3.7-(0.301*F181^0.751)/(1-H181)*H181)*(MAX('Min rate concentrations'!$Q$3:$Q$368)))/F181&gt;0, (((1.18*F181^0.874)/3.7-(0.301*F181^0.751)/(1-H181)*H181)*(MAX('Min rate concentrations'!$Q$3:$Q$368)))/F181, 0)</f>
        <v>9.7791151481893324E-2</v>
      </c>
      <c r="O181" s="59">
        <f>((MAX('Min rate concentrations'!$F$3:$F$368))*0.62*6.01*8*(10*F181^0.667)*0.079*0.1/F181)*inputs!$E$80/(10^(0.84+0.62*LOG10(inputs!$E$80)))</f>
        <v>6.0328046994945614</v>
      </c>
      <c r="P181" s="59">
        <f>((MAX('Min rate concentrations'!Y:Y))*0.62*6.01*8*(10*F181^0.667)*0.079*0.1/F181)*inputs!$E$80/(10^(0.84+0.62*LOG10(inputs!$E$80)))</f>
        <v>2.0109348998315202</v>
      </c>
      <c r="Q181" s="59">
        <f>(inputs!$C$7*11.2*(10*F181^0.667)*0.5/F181)*inputs!$E$80/(10^(0.84+0.62*LOG10(inputs!$E$80)))</f>
        <v>1.0626500936215184</v>
      </c>
      <c r="R181" s="59">
        <f>(60*284*((F181/1000)^0.77)*3*24*(MAX('Min rate concentrations'!$R$3:$R$368))/F181)*(inputs!$E$73*3.4/inputs!$E$75)</f>
        <v>8.728473553725434E-3</v>
      </c>
      <c r="S181" s="59">
        <f>(IF(inputs!$C$6="aerial",((0.025*0.112*inputs!$C$7/3.3)*(3*60*284*((F181/1000)^0.77))*MAX(inputs!$H$14:$H$16))/F181,((0.0083*0.112*inputs!$C$7/1)*(3*60*284*((F181/1000)^0.77))*MAX(inputs!$H$14:$H$16))/F181))*(inputs!E$75*3.4/inputs!$E$73)</f>
        <v>4.8138067911452996E-2</v>
      </c>
      <c r="T181" s="63">
        <f>IF((((inputs!$P$12/(V181/MAX(K181:S181)))^(1/inputs!$O$12))-1)/inputs!$N$12&lt;0, 0, IF((((inputs!$P$12/(V181/MAX(K181:S181)))^(1/inputs!$O$12))-1)/inputs!$N$12&gt;inputs!$H$17, inputs!$H$17, (((inputs!$P$12/(V181/MAX(K181:S181)))^(1/inputs!$O$12))-1)/inputs!$N$12))</f>
        <v>178.07562010840292</v>
      </c>
      <c r="U181" s="63">
        <f>IF((((inputs!$P$12/(X181/MAX(K181:S181)))^(1/inputs!$O$12))-1)/inputs!$N$12&lt;0, 0, IF((((inputs!$P$12/(X181/MAX(K181:S181)))^(1/inputs!$O$12))-1)/inputs!$N$12&gt;inputs!$H$17, inputs!$H$17, (((inputs!$P$12/(X181/MAX(K181:S181)))^(1/inputs!$O$12))-1)/inputs!$N$12))</f>
        <v>0</v>
      </c>
      <c r="V181" s="21">
        <f>inputs!$E$78*(F181/inputs!$F$78)^(inputs!$E$84-1)</f>
        <v>2.2034638199583647E-2</v>
      </c>
      <c r="W181" s="21">
        <f>inputs!$E$85*(F181/inputs!$F$85)^(inputs!$E$84-1)</f>
        <v>1.017519000690843</v>
      </c>
      <c r="X181" s="21">
        <f>inputs!$E$80*(F181/inputs!$F$80)^(inputs!$E$84-1)</f>
        <v>3.7995962684025146</v>
      </c>
      <c r="Y181" s="21">
        <f>inputs!$E$82*(F181/inputs!$F$82)^(inputs!$E$84-1)</f>
        <v>1.751173877966911</v>
      </c>
      <c r="Z181" s="63">
        <f t="shared" si="17"/>
        <v>273.78732724590657</v>
      </c>
      <c r="AA181" s="63">
        <f t="shared" si="18"/>
        <v>5.9289356713718346</v>
      </c>
    </row>
    <row r="182" spans="1:27" x14ac:dyDescent="0.25">
      <c r="A182" s="103" t="s">
        <v>335</v>
      </c>
      <c r="B182" s="20" t="s">
        <v>337</v>
      </c>
      <c r="C182" s="20" t="s">
        <v>73</v>
      </c>
      <c r="D182" s="104" t="s">
        <v>240</v>
      </c>
      <c r="E182" s="15">
        <v>121</v>
      </c>
      <c r="F182" s="15">
        <v>67</v>
      </c>
      <c r="G182" s="20" t="s">
        <v>146</v>
      </c>
      <c r="H182" s="20">
        <v>0.84</v>
      </c>
      <c r="I182" s="48">
        <f>MAX('Min rate concentrations'!$I$3:$I$368)</f>
        <v>9.4775690500787988</v>
      </c>
      <c r="J182" s="48" t="s">
        <v>13</v>
      </c>
      <c r="K182" s="59">
        <f t="shared" si="22"/>
        <v>6.2582202611121023</v>
      </c>
      <c r="L182" s="48" t="s">
        <v>13</v>
      </c>
      <c r="M182" s="59">
        <f>IF((((1.18*F182^0.874)/3.7-(0.301*F182^0.751)/(1-H182)*H182)*(MAX('Min rate concentrations'!$P$3:$P$368)))/F182&gt;0, (((1.18*F182^0.874)/3.7-(0.301*F182^0.751)/(1-H182)*H182)*(MAX('Min rate concentrations'!$P$3:$P$368)))/F182, 0)</f>
        <v>0</v>
      </c>
      <c r="N182" s="59">
        <f>IF((((1.18*F182^0.874)/3.7-(0.301*F182^0.751)/(1-H182)*H182)*(MAX('Min rate concentrations'!$Q$3:$Q$368)))/F182&gt;0, (((1.18*F182^0.874)/3.7-(0.301*F182^0.751)/(1-H182)*H182)*(MAX('Min rate concentrations'!$Q$3:$Q$368)))/F182, 0)</f>
        <v>0</v>
      </c>
      <c r="O182" s="59">
        <f>((MAX('Min rate concentrations'!$F$3:$F$368))*0.62*6.01*8*(10*F182^0.667)*0.079*0.1/F182)*inputs!$E$80/(10^(0.84+0.62*LOG10(inputs!$E$80)))</f>
        <v>6.0328046994945614</v>
      </c>
      <c r="P182" s="59">
        <f>((MAX('Min rate concentrations'!Y:Y))*0.62*6.01*8*(10*F182^0.667)*0.079*0.1/F182)*inputs!$E$80/(10^(0.84+0.62*LOG10(inputs!$E$80)))</f>
        <v>2.0109348998315202</v>
      </c>
      <c r="Q182" s="59">
        <f>(inputs!$C$7*11.2*(10*F182^0.667)*0.5/F182)*inputs!$E$80/(10^(0.84+0.62*LOG10(inputs!$E$80)))</f>
        <v>1.0626500936215184</v>
      </c>
      <c r="R182" s="59">
        <f>(60*284*((F182/1000)^0.77)*3*24*(MAX('Min rate concentrations'!$R$3:$R$368))/F182)*(inputs!$E$73*3.4/inputs!$E$75)</f>
        <v>8.728473553725434E-3</v>
      </c>
      <c r="S182" s="59">
        <f>(IF(inputs!$C$6="aerial",((0.025*0.112*inputs!$C$7/3.3)*(3*60*284*((F182/1000)^0.77))*MAX(inputs!$H$14:$H$16))/F182,((0.0083*0.112*inputs!$C$7/1)*(3*60*284*((F182/1000)^0.77))*MAX(inputs!$H$14:$H$16))/F182))*(inputs!E$75*3.4/inputs!$E$73)</f>
        <v>4.8138067911452996E-2</v>
      </c>
      <c r="T182" s="63">
        <f>IF((((inputs!$P$12/(V182/MAX(K182:S182)))^(1/inputs!$O$12))-1)/inputs!$N$12&lt;0, 0, IF((((inputs!$P$12/(V182/MAX(K182:S182)))^(1/inputs!$O$12))-1)/inputs!$N$12&gt;inputs!$H$17, inputs!$H$17, (((inputs!$P$12/(V182/MAX(K182:S182)))^(1/inputs!$O$12))-1)/inputs!$N$12))</f>
        <v>181.18081390530844</v>
      </c>
      <c r="U182" s="63">
        <f>IF((((inputs!$P$12/(X182/MAX(K182:S182)))^(1/inputs!$O$12))-1)/inputs!$N$12&lt;0, 0, IF((((inputs!$P$12/(X182/MAX(K182:S182)))^(1/inputs!$O$12))-1)/inputs!$N$12&gt;inputs!$H$17, inputs!$H$17, (((inputs!$P$12/(X182/MAX(K182:S182)))^(1/inputs!$O$12))-1)/inputs!$N$12))</f>
        <v>0</v>
      </c>
      <c r="V182" s="21">
        <f>inputs!$E$78*(F182/inputs!$F$78)^(inputs!$E$84-1)</f>
        <v>2.2034638199583647E-2</v>
      </c>
      <c r="W182" s="21">
        <f>inputs!$E$85*(F182/inputs!$F$85)^(inputs!$E$84-1)</f>
        <v>1.017519000690843</v>
      </c>
      <c r="X182" s="21">
        <f>inputs!$E$80*(F182/inputs!$F$80)^(inputs!$E$84-1)</f>
        <v>3.7995962684025146</v>
      </c>
      <c r="Y182" s="21">
        <f>inputs!$E$82*(F182/inputs!$F$82)^(inputs!$E$84-1)</f>
        <v>1.751173877966911</v>
      </c>
      <c r="Z182" s="63">
        <f t="shared" si="17"/>
        <v>284.01738228814457</v>
      </c>
      <c r="AA182" s="63">
        <f t="shared" si="18"/>
        <v>6.1504701699556401</v>
      </c>
    </row>
    <row r="183" spans="1:27" x14ac:dyDescent="0.25">
      <c r="A183" s="103" t="s">
        <v>335</v>
      </c>
      <c r="B183" s="20" t="s">
        <v>336</v>
      </c>
      <c r="C183" s="20" t="s">
        <v>73</v>
      </c>
      <c r="D183" s="104" t="s">
        <v>240</v>
      </c>
      <c r="E183" s="15">
        <v>4889</v>
      </c>
      <c r="F183" s="15">
        <v>67</v>
      </c>
      <c r="G183" s="20" t="s">
        <v>218</v>
      </c>
      <c r="H183" s="20">
        <v>0.68</v>
      </c>
      <c r="I183" s="48">
        <f>MAX('Min rate concentrations'!$K$3:$K$368)</f>
        <v>18.333393099490852</v>
      </c>
      <c r="J183" s="48">
        <f>MAX('Min rate concentrations'!AC:AC)</f>
        <v>6.4930767227363431</v>
      </c>
      <c r="K183" s="59">
        <f t="shared" si="22"/>
        <v>6.0529451984954177</v>
      </c>
      <c r="L183" s="59">
        <f>((0.301*F183^0.751)/(1-H183))*J183/F183</f>
        <v>2.1437514244671272</v>
      </c>
      <c r="M183" s="59">
        <f>IF((((1.18*F183^0.874)/3.7-(0.301*F183^0.751)/(1-H183)*H183)*(MAX('Min rate concentrations'!$P$3:$P$368)))/F183&gt;0, (((1.18*F183^0.874)/3.7-(0.301*F183^0.751)/(1-H183)*H183)*(MAX('Min rate concentrations'!$P$3:$P$368)))/F183, 0)</f>
        <v>0</v>
      </c>
      <c r="N183" s="59">
        <f>IF((((1.18*F183^0.874)/3.7-(0.301*F183^0.751)/(1-H183)*H183)*(MAX('Min rate concentrations'!$Q$3:$Q$368)))/F183&gt;0, (((1.18*F183^0.874)/3.7-(0.301*F183^0.751)/(1-H183)*H183)*(MAX('Min rate concentrations'!$Q$3:$Q$368)))/F183, 0)</f>
        <v>0</v>
      </c>
      <c r="O183" s="59">
        <f>((MAX('Min rate concentrations'!$F$3:$F$368))*0.62*6.01*8*(10*F183^0.667)*0.079*0.1/F183)*inputs!$E$80/(10^(0.84+0.62*LOG10(inputs!$E$80)))</f>
        <v>6.0328046994945614</v>
      </c>
      <c r="P183" s="59">
        <f>((MAX('Min rate concentrations'!Y:Y))*0.62*6.01*8*(10*F183^0.667)*0.079*0.1/F183)*inputs!$E$80/(10^(0.84+0.62*LOG10(inputs!$E$80)))</f>
        <v>2.0109348998315202</v>
      </c>
      <c r="Q183" s="59">
        <f>(inputs!$C$7*11.2*(10*F183^0.667)*0.5/F183)*inputs!$E$80/(10^(0.84+0.62*LOG10(inputs!$E$80)))</f>
        <v>1.0626500936215184</v>
      </c>
      <c r="R183" s="59">
        <f>(60*284*((F183/1000)^0.77)*3*24*(MAX('Min rate concentrations'!$R$3:$R$368))/F183)*(inputs!$E$73*3.4/inputs!$E$75)</f>
        <v>8.728473553725434E-3</v>
      </c>
      <c r="S183" s="59">
        <f>(IF(inputs!$C$6="aerial",((0.025*0.112*inputs!$C$7/3.3)*(3*60*284*((F183/1000)^0.77))*MAX(inputs!$H$14:$H$16))/F183,((0.0083*0.112*inputs!$C$7/1)*(3*60*284*((F183/1000)^0.77))*MAX(inputs!$H$14:$H$16))/F183))*(inputs!E$75*3.4/inputs!$E$73)</f>
        <v>4.8138067911452996E-2</v>
      </c>
      <c r="T183" s="63">
        <f>IF((((inputs!$P$12/(V183/MAX(K183:S183)))^(1/inputs!$O$12))-1)/inputs!$N$12&lt;0, 0, IF((((inputs!$P$12/(V183/MAX(K183:S183)))^(1/inputs!$O$12))-1)/inputs!$N$12&gt;inputs!$H$17, inputs!$H$17, (((inputs!$P$12/(V183/MAX(K183:S183)))^(1/inputs!$O$12))-1)/inputs!$N$12))</f>
        <v>178.3558352818344</v>
      </c>
      <c r="U183" s="63">
        <f>IF((((inputs!$P$12/(X183/MAX(K183:S183)))^(1/inputs!$O$12))-1)/inputs!$N$12&lt;0, 0, IF((((inputs!$P$12/(X183/MAX(K183:S183)))^(1/inputs!$O$12))-1)/inputs!$N$12&gt;inputs!$H$17, inputs!$H$17, (((inputs!$P$12/(X183/MAX(K183:S183)))^(1/inputs!$O$12))-1)/inputs!$N$12))</f>
        <v>0</v>
      </c>
      <c r="V183" s="21">
        <f>inputs!$E$78*(F183/inputs!$F$78)^(inputs!$E$84-1)</f>
        <v>2.2034638199583647E-2</v>
      </c>
      <c r="W183" s="21">
        <f>inputs!$E$85*(F183/inputs!$F$85)^(inputs!$E$84-1)</f>
        <v>1.017519000690843</v>
      </c>
      <c r="X183" s="21">
        <f>inputs!$E$80*(F183/inputs!$F$80)^(inputs!$E$84-1)</f>
        <v>3.7995962684025146</v>
      </c>
      <c r="Y183" s="21">
        <f>inputs!$E$82*(F183/inputs!$F$82)^(inputs!$E$84-1)</f>
        <v>1.751173877966911</v>
      </c>
      <c r="Z183" s="63">
        <f t="shared" si="17"/>
        <v>274.70136535347291</v>
      </c>
      <c r="AA183" s="63">
        <f t="shared" si="18"/>
        <v>5.9487294039578424</v>
      </c>
    </row>
    <row r="184" spans="1:27" x14ac:dyDescent="0.25">
      <c r="A184" s="103" t="s">
        <v>335</v>
      </c>
      <c r="B184" s="20" t="s">
        <v>336</v>
      </c>
      <c r="C184" s="20" t="s">
        <v>73</v>
      </c>
      <c r="D184" s="104" t="s">
        <v>240</v>
      </c>
      <c r="E184" s="15">
        <v>4889</v>
      </c>
      <c r="F184" s="15">
        <v>67</v>
      </c>
      <c r="G184" s="20" t="s">
        <v>177</v>
      </c>
      <c r="H184" s="20">
        <v>0.85</v>
      </c>
      <c r="I184" s="48">
        <f>MAX('Min rate concentrations'!$F$3:$F$368)</f>
        <v>67.5</v>
      </c>
      <c r="J184" s="48">
        <f>MAX('Min rate concentrations'!Y:Y)</f>
        <v>22.5</v>
      </c>
      <c r="K184" s="59">
        <f t="shared" si="22"/>
        <v>47.542978206666298</v>
      </c>
      <c r="L184" s="59">
        <f>((0.301*F184^0.751)/(1-H184))*J184/F184</f>
        <v>15.847659402222099</v>
      </c>
      <c r="M184" s="59">
        <f>IF((((1.18*F184^0.874)/3.7-(0.301*F184^0.751)/(1-H184)*H184)*(MAX('Min rate concentrations'!$P$3:$P$368)))/F184&gt;0, (((1.18*F184^0.874)/3.7-(0.301*F184^0.751)/(1-H184)*H184)*(MAX('Min rate concentrations'!$P$3:$P$368)))/F184, 0)</f>
        <v>0</v>
      </c>
      <c r="N184" s="59">
        <f>IF((((1.18*F184^0.874)/3.7-(0.301*F184^0.751)/(1-H184)*H184)*(MAX('Min rate concentrations'!$Q$3:$Q$368)))/F184&gt;0, (((1.18*F184^0.874)/3.7-(0.301*F184^0.751)/(1-H184)*H184)*(MAX('Min rate concentrations'!$Q$3:$Q$368)))/F184, 0)</f>
        <v>0</v>
      </c>
      <c r="O184" s="59">
        <f>((MAX('Min rate concentrations'!$F$3:$F$368))*0.62*6.01*8*(10*F184^0.667)*0.079*0.1/F184)*inputs!$E$80/(10^(0.84+0.62*LOG10(inputs!$E$80)))</f>
        <v>6.0328046994945614</v>
      </c>
      <c r="P184" s="59">
        <f>((MAX('Min rate concentrations'!Y:Y))*0.62*6.01*8*(10*F184^0.667)*0.079*0.1/F184)*inputs!$E$80/(10^(0.84+0.62*LOG10(inputs!$E$80)))</f>
        <v>2.0109348998315202</v>
      </c>
      <c r="Q184" s="59">
        <f>(inputs!$C$7*11.2*(10*F184^0.667)*0.5/F184)*inputs!$E$80/(10^(0.84+0.62*LOG10(inputs!$E$80)))</f>
        <v>1.0626500936215184</v>
      </c>
      <c r="R184" s="59">
        <f>(60*284*((F184/1000)^0.77)*3*24*(MAX('Min rate concentrations'!$R$3:$R$368))/F184)*(inputs!$E$73*3.4/inputs!$E$75)</f>
        <v>8.728473553725434E-3</v>
      </c>
      <c r="S184" s="59">
        <f>(IF(inputs!$C$6="aerial",((0.025*0.112*inputs!$C$7/3.3)*(3*60*284*((F184/1000)^0.77))*MAX(inputs!$H$14:$H$16))/F184,((0.0083*0.112*inputs!$C$7/1)*(3*60*284*((F184/1000)^0.77))*MAX(inputs!$H$14:$H$16))/F184))*(inputs!E$75*3.4/inputs!$E$73)</f>
        <v>4.8138067911452996E-2</v>
      </c>
      <c r="T184" s="63">
        <f>IF((((inputs!$P$12/(V184/MAX(K184:S184)))^(1/inputs!$O$12))-1)/inputs!$N$12&lt;0, 0, IF((((inputs!$P$12/(V184/MAX(K184:S184)))^(1/inputs!$O$12))-1)/inputs!$N$12&gt;inputs!$H$17, inputs!$H$17, (((inputs!$P$12/(V184/MAX(K184:S184)))^(1/inputs!$O$12))-1)/inputs!$N$12))</f>
        <v>449.83577767440596</v>
      </c>
      <c r="U184" s="63">
        <f>IF((((inputs!$P$12/(X184/MAX(K184:S184)))^(1/inputs!$O$12))-1)/inputs!$N$12&lt;0, 0, IF((((inputs!$P$12/(X184/MAX(K184:S184)))^(1/inputs!$O$12))-1)/inputs!$N$12&gt;inputs!$H$17, inputs!$H$17, (((inputs!$P$12/(X184/MAX(K184:S184)))^(1/inputs!$O$12))-1)/inputs!$N$12))</f>
        <v>30.395188311575623</v>
      </c>
      <c r="V184" s="21">
        <f>inputs!$E$78*(F184/inputs!$F$78)^(inputs!$E$84-1)</f>
        <v>2.2034638199583647E-2</v>
      </c>
      <c r="W184" s="21">
        <f>inputs!$E$85*(F184/inputs!$F$85)^(inputs!$E$84-1)</f>
        <v>1.017519000690843</v>
      </c>
      <c r="X184" s="21">
        <f>inputs!$E$80*(F184/inputs!$F$80)^(inputs!$E$84-1)</f>
        <v>3.7995962684025146</v>
      </c>
      <c r="Y184" s="21">
        <f>inputs!$E$82*(F184/inputs!$F$82)^(inputs!$E$84-1)</f>
        <v>1.751173877966911</v>
      </c>
      <c r="Z184" s="63">
        <f t="shared" si="17"/>
        <v>2157.6473267241863</v>
      </c>
      <c r="AA184" s="63">
        <f t="shared" si="18"/>
        <v>46.724413179888593</v>
      </c>
    </row>
    <row r="185" spans="1:27" x14ac:dyDescent="0.25">
      <c r="A185" s="103" t="s">
        <v>335</v>
      </c>
      <c r="B185" s="20" t="s">
        <v>336</v>
      </c>
      <c r="C185" s="20" t="s">
        <v>73</v>
      </c>
      <c r="D185" s="104" t="s">
        <v>240</v>
      </c>
      <c r="E185" s="15">
        <v>4889</v>
      </c>
      <c r="F185" s="15">
        <v>67</v>
      </c>
      <c r="G185" s="20" t="s">
        <v>145</v>
      </c>
      <c r="H185" s="20">
        <v>0.66</v>
      </c>
      <c r="I185" s="48">
        <f>MAX('Min rate concentrations'!$M$3:$M$368)</f>
        <v>2.8488184789681945</v>
      </c>
      <c r="J185" s="48">
        <f>MAX('Min rate concentrations'!AE:AE)</f>
        <v>1.9699276716269429</v>
      </c>
      <c r="K185" s="59">
        <f t="shared" si="22"/>
        <v>0.8852373520283211</v>
      </c>
      <c r="L185" s="59">
        <f>((0.301*F185^0.751)/(1-H185))*J185/F185</f>
        <v>0.61213221150894548</v>
      </c>
      <c r="M185" s="59">
        <f>IF((((1.18*F185^0.874)/3.7-(0.301*F185^0.751)/(1-H185)*H185)*(MAX('Min rate concentrations'!$P$3:$P$368)))/F185&gt;0, (((1.18*F185^0.874)/3.7-(0.301*F185^0.751)/(1-H185)*H185)*(MAX('Min rate concentrations'!$P$3:$P$368)))/F185, 0)</f>
        <v>0</v>
      </c>
      <c r="N185" s="59">
        <f>IF((((1.18*F185^0.874)/3.7-(0.301*F185^0.751)/(1-H185)*H185)*(MAX('Min rate concentrations'!$Q$3:$Q$368)))/F185&gt;0, (((1.18*F185^0.874)/3.7-(0.301*F185^0.751)/(1-H185)*H185)*(MAX('Min rate concentrations'!$Q$3:$Q$368)))/F185, 0)</f>
        <v>0</v>
      </c>
      <c r="O185" s="59">
        <f>((MAX('Min rate concentrations'!$F$3:$F$368))*0.62*6.01*8*(10*F185^0.667)*0.079*0.1/F185)*inputs!$E$80/(10^(0.84+0.62*LOG10(inputs!$E$80)))</f>
        <v>6.0328046994945614</v>
      </c>
      <c r="P185" s="59">
        <f>((MAX('Min rate concentrations'!Y:Y))*0.62*6.01*8*(10*F185^0.667)*0.079*0.1/F185)*inputs!$E$80/(10^(0.84+0.62*LOG10(inputs!$E$80)))</f>
        <v>2.0109348998315202</v>
      </c>
      <c r="Q185" s="59">
        <f>(inputs!$C$7*11.2*(10*F185^0.667)*0.5/F185)*inputs!$E$80/(10^(0.84+0.62*LOG10(inputs!$E$80)))</f>
        <v>1.0626500936215184</v>
      </c>
      <c r="R185" s="59">
        <f>(60*284*((F185/1000)^0.77)*3*24*(MAX('Min rate concentrations'!$R$3:$R$368))/F185)*(inputs!$E$73*3.4/inputs!$E$75)</f>
        <v>8.728473553725434E-3</v>
      </c>
      <c r="S185" s="59">
        <f>(IF(inputs!$C$6="aerial",((0.025*0.112*inputs!$C$7/3.3)*(3*60*284*((F185/1000)^0.77))*MAX(inputs!$H$14:$H$16))/F185,((0.0083*0.112*inputs!$C$7/1)*(3*60*284*((F185/1000)^0.77))*MAX(inputs!$H$14:$H$16))/F185))*(inputs!E$75*3.4/inputs!$E$73)</f>
        <v>4.8138067911452996E-2</v>
      </c>
      <c r="T185" s="63">
        <f>IF((((inputs!$P$12/(V185/MAX(K185:S185)))^(1/inputs!$O$12))-1)/inputs!$N$12&lt;0, 0, IF((((inputs!$P$12/(V185/MAX(K185:S185)))^(1/inputs!$O$12))-1)/inputs!$N$12&gt;inputs!$H$17, inputs!$H$17, (((inputs!$P$12/(V185/MAX(K185:S185)))^(1/inputs!$O$12))-1)/inputs!$N$12))</f>
        <v>178.07562010840292</v>
      </c>
      <c r="U185" s="63">
        <f>IF((((inputs!$P$12/(X185/MAX(K185:S185)))^(1/inputs!$O$12))-1)/inputs!$N$12&lt;0, 0, IF((((inputs!$P$12/(X185/MAX(K185:S185)))^(1/inputs!$O$12))-1)/inputs!$N$12&gt;inputs!$H$17, inputs!$H$17, (((inputs!$P$12/(X185/MAX(K185:S185)))^(1/inputs!$O$12))-1)/inputs!$N$12))</f>
        <v>0</v>
      </c>
      <c r="V185" s="21">
        <f>inputs!$E$78*(F185/inputs!$F$78)^(inputs!$E$84-1)</f>
        <v>2.2034638199583647E-2</v>
      </c>
      <c r="W185" s="21">
        <f>inputs!$E$85*(F185/inputs!$F$85)^(inputs!$E$84-1)</f>
        <v>1.017519000690843</v>
      </c>
      <c r="X185" s="21">
        <f>inputs!$E$80*(F185/inputs!$F$80)^(inputs!$E$84-1)</f>
        <v>3.7995962684025146</v>
      </c>
      <c r="Y185" s="21">
        <f>inputs!$E$82*(F185/inputs!$F$82)^(inputs!$E$84-1)</f>
        <v>1.751173877966911</v>
      </c>
      <c r="Z185" s="63">
        <f t="shared" si="17"/>
        <v>273.78732724590657</v>
      </c>
      <c r="AA185" s="63">
        <f t="shared" si="18"/>
        <v>5.9289356713718346</v>
      </c>
    </row>
    <row r="186" spans="1:27" x14ac:dyDescent="0.25">
      <c r="A186" s="103" t="s">
        <v>335</v>
      </c>
      <c r="B186" s="20" t="s">
        <v>336</v>
      </c>
      <c r="C186" s="20" t="s">
        <v>73</v>
      </c>
      <c r="D186" s="104" t="s">
        <v>240</v>
      </c>
      <c r="E186" s="15">
        <v>4889</v>
      </c>
      <c r="F186" s="15">
        <v>67</v>
      </c>
      <c r="G186" s="20" t="s">
        <v>154</v>
      </c>
      <c r="H186" s="20">
        <v>9.2999999999999999E-2</v>
      </c>
      <c r="I186" s="48">
        <f>MAX('Min rate concentrations'!$G$3:$G$368)</f>
        <v>7.5</v>
      </c>
      <c r="J186" s="48">
        <f>MAX('Min rate concentrations'!Z:Z)</f>
        <v>3.5</v>
      </c>
      <c r="K186" s="59">
        <f t="shared" si="22"/>
        <v>0.87363061754256344</v>
      </c>
      <c r="L186" s="59"/>
      <c r="M186" s="59">
        <f>IF((((1.18*F186^0.874)/3.7-(0.301*F186^0.751)/(1-H186)*H186)*(MAX('Min rate concentrations'!$P$3:$P$368)))/F186&gt;0, (((1.18*F186^0.874)/3.7-(0.301*F186^0.751)/(1-H186)*H186)*(MAX('Min rate concentrations'!$P$3:$P$368)))/F186, 0)</f>
        <v>2.5680087092316079E-2</v>
      </c>
      <c r="N186" s="59">
        <f>IF((((1.18*F186^0.874)/3.7-(0.301*F186^0.751)/(1-H186)*H186)*(MAX('Min rate concentrations'!$Q$3:$Q$368)))/F186&gt;0, (((1.18*F186^0.874)/3.7-(0.301*F186^0.751)/(1-H186)*H186)*(MAX('Min rate concentrations'!$Q$3:$Q$368)))/F186, 0)</f>
        <v>9.7791151481893324E-2</v>
      </c>
      <c r="O186" s="59">
        <f>((MAX('Min rate concentrations'!$F$3:$F$368))*0.62*6.01*8*(10*F186^0.667)*0.079*0.1/F186)*inputs!$E$80/(10^(0.84+0.62*LOG10(inputs!$E$80)))</f>
        <v>6.0328046994945614</v>
      </c>
      <c r="P186" s="59">
        <f>((MAX('Min rate concentrations'!Y:Y))*0.62*6.01*8*(10*F186^0.667)*0.079*0.1/F186)*inputs!$E$80/(10^(0.84+0.62*LOG10(inputs!$E$80)))</f>
        <v>2.0109348998315202</v>
      </c>
      <c r="Q186" s="59">
        <f>(inputs!$C$7*11.2*(10*F186^0.667)*0.5/F186)*inputs!$E$80/(10^(0.84+0.62*LOG10(inputs!$E$80)))</f>
        <v>1.0626500936215184</v>
      </c>
      <c r="R186" s="59">
        <f>(60*284*((F186/1000)^0.77)*3*24*(MAX('Min rate concentrations'!$R$3:$R$368))/F186)*(inputs!$E$73*3.4/inputs!$E$75)</f>
        <v>8.728473553725434E-3</v>
      </c>
      <c r="S186" s="59">
        <f>(IF(inputs!$C$6="aerial",((0.025*0.112*inputs!$C$7/3.3)*(3*60*284*((F186/1000)^0.77))*MAX(inputs!$H$14:$H$16))/F186,((0.0083*0.112*inputs!$C$7/1)*(3*60*284*((F186/1000)^0.77))*MAX(inputs!$H$14:$H$16))/F186))*(inputs!E$75*3.4/inputs!$E$73)</f>
        <v>4.8138067911452996E-2</v>
      </c>
      <c r="T186" s="63">
        <f>IF((((inputs!$P$12/(V186/MAX(K186:S186)))^(1/inputs!$O$12))-1)/inputs!$N$12&lt;0, 0, IF((((inputs!$P$12/(V186/MAX(K186:S186)))^(1/inputs!$O$12))-1)/inputs!$N$12&gt;inputs!$H$17, inputs!$H$17, (((inputs!$P$12/(V186/MAX(K186:S186)))^(1/inputs!$O$12))-1)/inputs!$N$12))</f>
        <v>178.07562010840292</v>
      </c>
      <c r="U186" s="63">
        <f>IF((((inputs!$P$12/(X186/MAX(K186:S186)))^(1/inputs!$O$12))-1)/inputs!$N$12&lt;0, 0, IF((((inputs!$P$12/(X186/MAX(K186:S186)))^(1/inputs!$O$12))-1)/inputs!$N$12&gt;inputs!$H$17, inputs!$H$17, (((inputs!$P$12/(X186/MAX(K186:S186)))^(1/inputs!$O$12))-1)/inputs!$N$12))</f>
        <v>0</v>
      </c>
      <c r="V186" s="21">
        <f>inputs!$E$78*(F186/inputs!$F$78)^(inputs!$E$84-1)</f>
        <v>2.2034638199583647E-2</v>
      </c>
      <c r="W186" s="21">
        <f>inputs!$E$85*(F186/inputs!$F$85)^(inputs!$E$84-1)</f>
        <v>1.017519000690843</v>
      </c>
      <c r="X186" s="21">
        <f>inputs!$E$80*(F186/inputs!$F$80)^(inputs!$E$84-1)</f>
        <v>3.7995962684025146</v>
      </c>
      <c r="Y186" s="21">
        <f>inputs!$E$82*(F186/inputs!$F$82)^(inputs!$E$84-1)</f>
        <v>1.751173877966911</v>
      </c>
      <c r="Z186" s="63">
        <f t="shared" si="17"/>
        <v>273.78732724590657</v>
      </c>
      <c r="AA186" s="63">
        <f t="shared" si="18"/>
        <v>5.9289356713718346</v>
      </c>
    </row>
    <row r="187" spans="1:27" x14ac:dyDescent="0.25">
      <c r="A187" s="103" t="s">
        <v>335</v>
      </c>
      <c r="B187" s="20" t="s">
        <v>336</v>
      </c>
      <c r="C187" s="20" t="s">
        <v>73</v>
      </c>
      <c r="D187" s="104" t="s">
        <v>240</v>
      </c>
      <c r="E187" s="15">
        <v>4889</v>
      </c>
      <c r="F187" s="15">
        <v>67</v>
      </c>
      <c r="G187" s="20" t="s">
        <v>146</v>
      </c>
      <c r="H187" s="20">
        <v>0.84</v>
      </c>
      <c r="I187" s="48">
        <f>MAX('Min rate concentrations'!$I$3:$I$368)</f>
        <v>9.4775690500787988</v>
      </c>
      <c r="J187" s="48" t="s">
        <v>13</v>
      </c>
      <c r="K187" s="59">
        <f t="shared" si="22"/>
        <v>6.2582202611121023</v>
      </c>
      <c r="L187" s="48" t="s">
        <v>13</v>
      </c>
      <c r="M187" s="59">
        <f>IF((((1.18*F187^0.874)/3.7-(0.301*F187^0.751)/(1-H187)*H187)*(MAX('Min rate concentrations'!$P$3:$P$368)))/F187&gt;0, (((1.18*F187^0.874)/3.7-(0.301*F187^0.751)/(1-H187)*H187)*(MAX('Min rate concentrations'!$P$3:$P$368)))/F187, 0)</f>
        <v>0</v>
      </c>
      <c r="N187" s="59">
        <f>IF((((1.18*F187^0.874)/3.7-(0.301*F187^0.751)/(1-H187)*H187)*(MAX('Min rate concentrations'!$Q$3:$Q$368)))/F187&gt;0, (((1.18*F187^0.874)/3.7-(0.301*F187^0.751)/(1-H187)*H187)*(MAX('Min rate concentrations'!$Q$3:$Q$368)))/F187, 0)</f>
        <v>0</v>
      </c>
      <c r="O187" s="59">
        <f>((MAX('Min rate concentrations'!$F$3:$F$368))*0.62*6.01*8*(10*F187^0.667)*0.079*0.1/F187)*inputs!$E$80/(10^(0.84+0.62*LOG10(inputs!$E$80)))</f>
        <v>6.0328046994945614</v>
      </c>
      <c r="P187" s="59">
        <f>((MAX('Min rate concentrations'!Y:Y))*0.62*6.01*8*(10*F187^0.667)*0.079*0.1/F187)*inputs!$E$80/(10^(0.84+0.62*LOG10(inputs!$E$80)))</f>
        <v>2.0109348998315202</v>
      </c>
      <c r="Q187" s="59">
        <f>(inputs!$C$7*11.2*(10*F187^0.667)*0.5/F187)*inputs!$E$80/(10^(0.84+0.62*LOG10(inputs!$E$80)))</f>
        <v>1.0626500936215184</v>
      </c>
      <c r="R187" s="59">
        <f>(60*284*((F187/1000)^0.77)*3*24*(MAX('Min rate concentrations'!$R$3:$R$368))/F187)*(inputs!$E$73*3.4/inputs!$E$75)</f>
        <v>8.728473553725434E-3</v>
      </c>
      <c r="S187" s="59">
        <f>(IF(inputs!$C$6="aerial",((0.025*0.112*inputs!$C$7/3.3)*(3*60*284*((F187/1000)^0.77))*MAX(inputs!$H$14:$H$16))/F187,((0.0083*0.112*inputs!$C$7/1)*(3*60*284*((F187/1000)^0.77))*MAX(inputs!$H$14:$H$16))/F187))*(inputs!E$75*3.4/inputs!$E$73)</f>
        <v>4.8138067911452996E-2</v>
      </c>
      <c r="T187" s="63">
        <f>IF((((inputs!$P$12/(V187/MAX(K187:S187)))^(1/inputs!$O$12))-1)/inputs!$N$12&lt;0, 0, IF((((inputs!$P$12/(V187/MAX(K187:S187)))^(1/inputs!$O$12))-1)/inputs!$N$12&gt;inputs!$H$17, inputs!$H$17, (((inputs!$P$12/(V187/MAX(K187:S187)))^(1/inputs!$O$12))-1)/inputs!$N$12))</f>
        <v>181.18081390530844</v>
      </c>
      <c r="U187" s="63">
        <f>IF((((inputs!$P$12/(X187/MAX(K187:S187)))^(1/inputs!$O$12))-1)/inputs!$N$12&lt;0, 0, IF((((inputs!$P$12/(X187/MAX(K187:S187)))^(1/inputs!$O$12))-1)/inputs!$N$12&gt;inputs!$H$17, inputs!$H$17, (((inputs!$P$12/(X187/MAX(K187:S187)))^(1/inputs!$O$12))-1)/inputs!$N$12))</f>
        <v>0</v>
      </c>
      <c r="V187" s="21">
        <f>inputs!$E$78*(F187/inputs!$F$78)^(inputs!$E$84-1)</f>
        <v>2.2034638199583647E-2</v>
      </c>
      <c r="W187" s="21">
        <f>inputs!$E$85*(F187/inputs!$F$85)^(inputs!$E$84-1)</f>
        <v>1.017519000690843</v>
      </c>
      <c r="X187" s="21">
        <f>inputs!$E$80*(F187/inputs!$F$80)^(inputs!$E$84-1)</f>
        <v>3.7995962684025146</v>
      </c>
      <c r="Y187" s="21">
        <f>inputs!$E$82*(F187/inputs!$F$82)^(inputs!$E$84-1)</f>
        <v>1.751173877966911</v>
      </c>
      <c r="Z187" s="63">
        <f t="shared" si="17"/>
        <v>284.01738228814457</v>
      </c>
      <c r="AA187" s="63">
        <f t="shared" si="18"/>
        <v>6.1504701699556401</v>
      </c>
    </row>
    <row r="188" spans="1:27" x14ac:dyDescent="0.25">
      <c r="A188" s="103" t="s">
        <v>246</v>
      </c>
      <c r="B188" s="20" t="s">
        <v>247</v>
      </c>
      <c r="C188" s="20" t="s">
        <v>73</v>
      </c>
      <c r="D188" s="104" t="s">
        <v>240</v>
      </c>
      <c r="E188" s="15">
        <v>76</v>
      </c>
      <c r="F188" s="15">
        <v>334</v>
      </c>
      <c r="G188" s="20" t="s">
        <v>173</v>
      </c>
      <c r="H188" s="20">
        <v>0.8</v>
      </c>
      <c r="I188" s="48">
        <f>inputs!$C$65*inputs!$C$60/1000</f>
        <v>2.8</v>
      </c>
      <c r="J188" s="48">
        <f>inputs!$C$65*inputs!$C$59/1000</f>
        <v>2.8</v>
      </c>
      <c r="K188" s="59">
        <f>(((0.301*F188^0.751)/(1-H188)))*I188/F188</f>
        <v>0.99147475589165435</v>
      </c>
      <c r="L188" s="59"/>
      <c r="M188" s="59">
        <f>IF((((1.18*F188^0.874)/3.7-(0.301*F188^0.751)/(1-H188)*H188)*(MAX('Min rate concentrations'!$P$3:$P$368)))/F188&gt;0, (((1.18*F188^0.874)/3.7-(0.301*F188^0.751)/(1-H188)*H188)*(MAX('Min rate concentrations'!$P$3:$P$368)))/F188, 0)</f>
        <v>0</v>
      </c>
      <c r="N188" s="59">
        <f>IF((((1.18*F188^0.874)/3.7-(0.301*F188^0.751)/(1-H188)*H188)*(MAX('Min rate concentrations'!$Q$3:$Q$368)))/F188&gt;0, (((1.18*F188^0.874)/3.7-(0.301*F188^0.751)/(1-H188)*H188)*(MAX('Min rate concentrations'!$Q$3:$Q$368)))/F188, 0)</f>
        <v>0</v>
      </c>
      <c r="O188" s="59">
        <f>((MAX('Min rate concentrations'!$F$3:$F$368))*0.62*6.01*8*(10*F188^0.667)*0.079*0.1/F188)*inputs!$E$80/(10^(0.84+0.62*LOG10(inputs!$E$80)))</f>
        <v>3.5334146222857528</v>
      </c>
      <c r="P188" s="59">
        <f>((MAX('Min rate concentrations'!Y:Y))*0.62*6.01*8*(10*F188^0.667)*0.079*0.1/F188)*inputs!$E$80/(10^(0.84+0.62*LOG10(inputs!$E$80)))</f>
        <v>1.1778048740952511</v>
      </c>
      <c r="Q188" s="59">
        <f>(inputs!$C$7*11.2*(10*F188^0.667)*0.5/F188)*inputs!$E$80/(10^(0.84+0.62*LOG10(inputs!$E$80)))</f>
        <v>0.62239432008965578</v>
      </c>
      <c r="R188" s="59">
        <f>(60*284*((F188/1000)^0.77)*3*24*(MAX('Min rate concentrations'!$R$3:$R$368))/F188)*(inputs!$E$73*3.4/inputs!$E$75)</f>
        <v>6.0321734060342453E-3</v>
      </c>
      <c r="S188" s="59">
        <f>(IF(inputs!$C$6="aerial",((0.025*0.112*inputs!$C$7/3.3)*(3*60*284*((F188/1000)^0.77))*MAX(inputs!$H$14:$H$16))/F188,((0.0083*0.112*inputs!$C$7/1)*(3*60*284*((F188/1000)^0.77))*MAX(inputs!$H$14:$H$16))/F188))*(inputs!E$75*3.4/inputs!$E$73)</f>
        <v>3.3267806940813868E-2</v>
      </c>
      <c r="T188" s="63">
        <f>IF((((inputs!$P$12/(V188/MAX(K188:S188)))^(1/inputs!$O$12))-1)/inputs!$N$12&lt;0, 0, IF((((inputs!$P$12/(V188/MAX(K188:S188)))^(1/inputs!$O$12))-1)/inputs!$N$12&gt;inputs!$H$17, inputs!$H$17, (((inputs!$P$12/(V188/MAX(K188:S188)))^(1/inputs!$O$12))-1)/inputs!$N$12))</f>
        <v>183.13036221408444</v>
      </c>
      <c r="U188" s="63">
        <f>IF((((inputs!$P$12/(X188/MAX(K188:S188)))^(1/inputs!$O$12))-1)/inputs!$N$12&lt;0, 0, IF((((inputs!$P$12/(X188/MAX(K188:S188)))^(1/inputs!$O$12))-1)/inputs!$N$12&gt;inputs!$H$17, inputs!$H$17, (((inputs!$P$12/(X188/MAX(K188:S188)))^(1/inputs!$O$12))-1)/inputs!$N$12))</f>
        <v>0</v>
      </c>
      <c r="V188" s="21">
        <f>inputs!$E$78*(F188/inputs!$F$78)^(inputs!$E$84-1)</f>
        <v>1.2160947350059152E-2</v>
      </c>
      <c r="W188" s="21">
        <f>inputs!$E$85*(F188/inputs!$F$85)^(inputs!$E$84-1)</f>
        <v>0.56157014619463785</v>
      </c>
      <c r="X188" s="21">
        <f>inputs!$E$80*(F188/inputs!$F$80)^(inputs!$E$84-1)</f>
        <v>2.0970024446508626</v>
      </c>
      <c r="Y188" s="21">
        <f>inputs!$E$82*(F188/inputs!$F$82)^(inputs!$E$84-1)</f>
        <v>0.96647528939943783</v>
      </c>
      <c r="Z188" s="63">
        <f t="shared" si="17"/>
        <v>290.55422415495991</v>
      </c>
      <c r="AA188" s="63">
        <f t="shared" si="18"/>
        <v>6.2920271781347257</v>
      </c>
    </row>
    <row r="189" spans="1:27" x14ac:dyDescent="0.25">
      <c r="A189" s="103" t="s">
        <v>246</v>
      </c>
      <c r="B189" s="20" t="s">
        <v>247</v>
      </c>
      <c r="C189" s="20" t="s">
        <v>73</v>
      </c>
      <c r="D189" s="104" t="s">
        <v>240</v>
      </c>
      <c r="E189" s="15">
        <v>76</v>
      </c>
      <c r="F189" s="15">
        <v>334</v>
      </c>
      <c r="G189" s="20" t="s">
        <v>164</v>
      </c>
      <c r="H189" s="20">
        <v>0.78</v>
      </c>
      <c r="I189" s="48">
        <f>inputs!$C$65*(inputs!$C$62/1000)</f>
        <v>0.82000000000000006</v>
      </c>
      <c r="J189" s="48">
        <f>inputs!$C$65*(inputs!$C$61/1000)</f>
        <v>0.25</v>
      </c>
      <c r="K189" s="59">
        <f t="shared" ref="K189:K220" si="23">((0.301*F189^0.751)/(1-H189))*I189/F189</f>
        <v>0.2639640583867392</v>
      </c>
      <c r="L189" s="59">
        <f>((0.301*F189^0.751)/(1-H189))*J189/F189</f>
        <v>8.0476847069127791E-2</v>
      </c>
      <c r="M189" s="59">
        <f>IF((((1.18*F189^0.874)/3.7-(0.301*F189^0.751)/(1-H189)*H189)*(MAX('Min rate concentrations'!$P$3:$P$368)))/F189&gt;0, (((1.18*F189^0.874)/3.7-(0.301*F189^0.751)/(1-H189)*H189)*(MAX('Min rate concentrations'!$P$3:$P$368)))/F189, 0)</f>
        <v>0</v>
      </c>
      <c r="N189" s="59">
        <f>IF((((1.18*F189^0.874)/3.7-(0.301*F189^0.751)/(1-H189)*H189)*(MAX('Min rate concentrations'!$Q$3:$Q$368)))/F189&gt;0, (((1.18*F189^0.874)/3.7-(0.301*F189^0.751)/(1-H189)*H189)*(MAX('Min rate concentrations'!$Q$3:$Q$368)))/F189, 0)</f>
        <v>0</v>
      </c>
      <c r="O189" s="59">
        <f>((MAX('Min rate concentrations'!$F$3:$F$368))*0.62*6.01*8*(10*F189^0.667)*0.079*0.1/F189)*inputs!$E$80/(10^(0.84+0.62*LOG10(inputs!$E$80)))</f>
        <v>3.5334146222857528</v>
      </c>
      <c r="P189" s="59">
        <f>((MAX('Min rate concentrations'!Y:Y))*0.62*6.01*8*(10*F189^0.667)*0.079*0.1/F189)*inputs!$E$80/(10^(0.84+0.62*LOG10(inputs!$E$80)))</f>
        <v>1.1778048740952511</v>
      </c>
      <c r="Q189" s="59">
        <f>(inputs!$C$7*11.2*(10*F189^0.667)*0.5/F189)*inputs!$E$80/(10^(0.84+0.62*LOG10(inputs!$E$80)))</f>
        <v>0.62239432008965578</v>
      </c>
      <c r="R189" s="59">
        <f>(60*284*((F189/1000)^0.77)*3*24*(MAX('Min rate concentrations'!$R$3:$R$368))/F189)*(inputs!$E$73*3.4/inputs!$E$75)</f>
        <v>6.0321734060342453E-3</v>
      </c>
      <c r="S189" s="59">
        <f>(IF(inputs!$C$6="aerial",((0.025*0.112*inputs!$C$7/3.3)*(3*60*284*((F189/1000)^0.77))*MAX(inputs!$H$14:$H$16))/F189,((0.0083*0.112*inputs!$C$7/1)*(3*60*284*((F189/1000)^0.77))*MAX(inputs!$H$14:$H$16))/F189))*(inputs!E$75*3.4/inputs!$E$73)</f>
        <v>3.3267806940813868E-2</v>
      </c>
      <c r="T189" s="63">
        <f>IF((((inputs!$P$12/(V189/MAX(K189:S189)))^(1/inputs!$O$12))-1)/inputs!$N$12&lt;0, 0, IF((((inputs!$P$12/(V189/MAX(K189:S189)))^(1/inputs!$O$12))-1)/inputs!$N$12&gt;inputs!$H$17, inputs!$H$17, (((inputs!$P$12/(V189/MAX(K189:S189)))^(1/inputs!$O$12))-1)/inputs!$N$12))</f>
        <v>183.13036221408444</v>
      </c>
      <c r="U189" s="63">
        <f>IF((((inputs!$P$12/(X189/MAX(K189:S189)))^(1/inputs!$O$12))-1)/inputs!$N$12&lt;0, 0, IF((((inputs!$P$12/(X189/MAX(K189:S189)))^(1/inputs!$O$12))-1)/inputs!$N$12&gt;inputs!$H$17, inputs!$H$17, (((inputs!$P$12/(X189/MAX(K189:S189)))^(1/inputs!$O$12))-1)/inputs!$N$12))</f>
        <v>0</v>
      </c>
      <c r="V189" s="21">
        <f>inputs!$E$78*(F189/inputs!$F$78)^(inputs!$E$84-1)</f>
        <v>1.2160947350059152E-2</v>
      </c>
      <c r="W189" s="21">
        <f>inputs!$E$85*(F189/inputs!$F$85)^(inputs!$E$84-1)</f>
        <v>0.56157014619463785</v>
      </c>
      <c r="X189" s="21">
        <f>inputs!$E$80*(F189/inputs!$F$80)^(inputs!$E$84-1)</f>
        <v>2.0970024446508626</v>
      </c>
      <c r="Y189" s="21">
        <f>inputs!$E$82*(F189/inputs!$F$82)^(inputs!$E$84-1)</f>
        <v>0.96647528939943783</v>
      </c>
      <c r="Z189" s="63">
        <f t="shared" si="17"/>
        <v>290.55422415495991</v>
      </c>
      <c r="AA189" s="63">
        <f t="shared" si="18"/>
        <v>6.2920271781347257</v>
      </c>
    </row>
    <row r="190" spans="1:27" x14ac:dyDescent="0.25">
      <c r="A190" s="103" t="s">
        <v>246</v>
      </c>
      <c r="B190" s="20" t="s">
        <v>247</v>
      </c>
      <c r="C190" s="20" t="s">
        <v>73</v>
      </c>
      <c r="D190" s="104" t="s">
        <v>240</v>
      </c>
      <c r="E190" s="15">
        <v>76</v>
      </c>
      <c r="F190" s="15">
        <v>334</v>
      </c>
      <c r="G190" s="20" t="s">
        <v>195</v>
      </c>
      <c r="H190" s="20">
        <v>0.82</v>
      </c>
      <c r="I190" s="48">
        <f>inputs!$C$65*(inputs!$C$62/1000)</f>
        <v>0.82000000000000006</v>
      </c>
      <c r="J190" s="48">
        <f>inputs!$C$65*(inputs!$C$61/1000)</f>
        <v>0.25</v>
      </c>
      <c r="K190" s="59">
        <f t="shared" si="23"/>
        <v>0.32262273802823666</v>
      </c>
      <c r="L190" s="59">
        <f>((0.301*F190^0.751)/(1-H190))*J190/F190</f>
        <v>9.8360590862267269E-2</v>
      </c>
      <c r="M190" s="59">
        <f>IF((((1.18*F190^0.874)/3.7-(0.301*F190^0.751)/(1-H190)*H190)*(MAX('Min rate concentrations'!$P$3:$P$368)))/F190&gt;0, (((1.18*F190^0.874)/3.7-(0.301*F190^0.751)/(1-H190)*H190)*(MAX('Min rate concentrations'!$P$3:$P$368)))/F190, 0)</f>
        <v>0</v>
      </c>
      <c r="N190" s="59">
        <f>IF((((1.18*F190^0.874)/3.7-(0.301*F190^0.751)/(1-H190)*H190)*(MAX('Min rate concentrations'!$Q$3:$Q$368)))/F190&gt;0, (((1.18*F190^0.874)/3.7-(0.301*F190^0.751)/(1-H190)*H190)*(MAX('Min rate concentrations'!$Q$3:$Q$368)))/F190, 0)</f>
        <v>0</v>
      </c>
      <c r="O190" s="59">
        <f>((MAX('Min rate concentrations'!$F$3:$F$368))*0.62*6.01*8*(10*F190^0.667)*0.079*0.1/F190)*inputs!$E$80/(10^(0.84+0.62*LOG10(inputs!$E$80)))</f>
        <v>3.5334146222857528</v>
      </c>
      <c r="P190" s="59">
        <f>((MAX('Min rate concentrations'!Y:Y))*0.62*6.01*8*(10*F190^0.667)*0.079*0.1/F190)*inputs!$E$80/(10^(0.84+0.62*LOG10(inputs!$E$80)))</f>
        <v>1.1778048740952511</v>
      </c>
      <c r="Q190" s="59">
        <f>(inputs!$C$7*11.2*(10*F190^0.667)*0.5/F190)*inputs!$E$80/(10^(0.84+0.62*LOG10(inputs!$E$80)))</f>
        <v>0.62239432008965578</v>
      </c>
      <c r="R190" s="59">
        <f>(60*284*((F190/1000)^0.77)*3*24*(MAX('Min rate concentrations'!$R$3:$R$368))/F190)*(inputs!$E$73*3.4/inputs!$E$75)</f>
        <v>6.0321734060342453E-3</v>
      </c>
      <c r="S190" s="59">
        <f>(IF(inputs!$C$6="aerial",((0.025*0.112*inputs!$C$7/3.3)*(3*60*284*((F190/1000)^0.77))*MAX(inputs!$H$14:$H$16))/F190,((0.0083*0.112*inputs!$C$7/1)*(3*60*284*((F190/1000)^0.77))*MAX(inputs!$H$14:$H$16))/F190))*(inputs!E$75*3.4/inputs!$E$73)</f>
        <v>3.3267806940813868E-2</v>
      </c>
      <c r="T190" s="63">
        <f>IF((((inputs!$P$12/(V190/MAX(K190:S190)))^(1/inputs!$O$12))-1)/inputs!$N$12&lt;0, 0, IF((((inputs!$P$12/(V190/MAX(K190:S190)))^(1/inputs!$O$12))-1)/inputs!$N$12&gt;inputs!$H$17, inputs!$H$17, (((inputs!$P$12/(V190/MAX(K190:S190)))^(1/inputs!$O$12))-1)/inputs!$N$12))</f>
        <v>183.13036221408444</v>
      </c>
      <c r="U190" s="63">
        <f>IF((((inputs!$P$12/(X190/MAX(K190:S190)))^(1/inputs!$O$12))-1)/inputs!$N$12&lt;0, 0, IF((((inputs!$P$12/(X190/MAX(K190:S190)))^(1/inputs!$O$12))-1)/inputs!$N$12&gt;inputs!$H$17, inputs!$H$17, (((inputs!$P$12/(X190/MAX(K190:S190)))^(1/inputs!$O$12))-1)/inputs!$N$12))</f>
        <v>0</v>
      </c>
      <c r="V190" s="21">
        <f>inputs!$E$78*(F190/inputs!$F$78)^(inputs!$E$84-1)</f>
        <v>1.2160947350059152E-2</v>
      </c>
      <c r="W190" s="21">
        <f>inputs!$E$85*(F190/inputs!$F$85)^(inputs!$E$84-1)</f>
        <v>0.56157014619463785</v>
      </c>
      <c r="X190" s="21">
        <f>inputs!$E$80*(F190/inputs!$F$80)^(inputs!$E$84-1)</f>
        <v>2.0970024446508626</v>
      </c>
      <c r="Y190" s="21">
        <f>inputs!$E$82*(F190/inputs!$F$82)^(inputs!$E$84-1)</f>
        <v>0.96647528939943783</v>
      </c>
      <c r="Z190" s="63">
        <f t="shared" si="17"/>
        <v>290.55422415495991</v>
      </c>
      <c r="AA190" s="63">
        <f t="shared" si="18"/>
        <v>6.2920271781347257</v>
      </c>
    </row>
    <row r="191" spans="1:27" x14ac:dyDescent="0.25">
      <c r="A191" s="103" t="s">
        <v>246</v>
      </c>
      <c r="B191" s="20" t="s">
        <v>247</v>
      </c>
      <c r="C191" s="20" t="s">
        <v>73</v>
      </c>
      <c r="D191" s="104" t="s">
        <v>240</v>
      </c>
      <c r="E191" s="15">
        <v>76</v>
      </c>
      <c r="F191" s="15">
        <v>334</v>
      </c>
      <c r="G191" s="20" t="s">
        <v>152</v>
      </c>
      <c r="H191" s="20">
        <v>0.77</v>
      </c>
      <c r="I191" s="48">
        <f>MAX('Min rate concentrations'!$G$3:$G$368)</f>
        <v>7.5</v>
      </c>
      <c r="J191" s="48">
        <f>MAX('Min rate concentrations'!Z:Z)</f>
        <v>3.5</v>
      </c>
      <c r="K191" s="59">
        <f t="shared" si="23"/>
        <v>2.3093356115488843</v>
      </c>
      <c r="L191" s="59">
        <f>((0.301*F191^0.751)/(1-H191))*J191/F191</f>
        <v>1.077689952056146</v>
      </c>
      <c r="M191" s="59">
        <f>IF((((1.18*F191^0.874)/3.7-(0.301*F191^0.751)/(1-H191)*H191)*(MAX('Min rate concentrations'!$P$3:$P$368)))/F191&gt;0, (((1.18*F191^0.874)/3.7-(0.301*F191^0.751)/(1-H191)*H191)*(MAX('Min rate concentrations'!$P$3:$P$368)))/F191, 0)</f>
        <v>0</v>
      </c>
      <c r="N191" s="59">
        <f>IF((((1.18*F191^0.874)/3.7-(0.301*F191^0.751)/(1-H191)*H191)*(MAX('Min rate concentrations'!$Q$3:$Q$368)))/F191&gt;0, (((1.18*F191^0.874)/3.7-(0.301*F191^0.751)/(1-H191)*H191)*(MAX('Min rate concentrations'!$Q$3:$Q$368)))/F191, 0)</f>
        <v>0</v>
      </c>
      <c r="O191" s="59">
        <f>((MAX('Min rate concentrations'!$F$3:$F$368))*0.62*6.01*8*(10*F191^0.667)*0.079*0.1/F191)*inputs!$E$80/(10^(0.84+0.62*LOG10(inputs!$E$80)))</f>
        <v>3.5334146222857528</v>
      </c>
      <c r="P191" s="59">
        <f>((MAX('Min rate concentrations'!Y:Y))*0.62*6.01*8*(10*F191^0.667)*0.079*0.1/F191)*inputs!$E$80/(10^(0.84+0.62*LOG10(inputs!$E$80)))</f>
        <v>1.1778048740952511</v>
      </c>
      <c r="Q191" s="59">
        <f>(inputs!$C$7*11.2*(10*F191^0.667)*0.5/F191)*inputs!$E$80/(10^(0.84+0.62*LOG10(inputs!$E$80)))</f>
        <v>0.62239432008965578</v>
      </c>
      <c r="R191" s="59">
        <f>(60*284*((F191/1000)^0.77)*3*24*(MAX('Min rate concentrations'!$R$3:$R$368))/F191)*(inputs!$E$73*3.4/inputs!$E$75)</f>
        <v>6.0321734060342453E-3</v>
      </c>
      <c r="S191" s="59">
        <f>(IF(inputs!$C$6="aerial",((0.025*0.112*inputs!$C$7/3.3)*(3*60*284*((F191/1000)^0.77))*MAX(inputs!$H$14:$H$16))/F191,((0.0083*0.112*inputs!$C$7/1)*(3*60*284*((F191/1000)^0.77))*MAX(inputs!$H$14:$H$16))/F191))*(inputs!E$75*3.4/inputs!$E$73)</f>
        <v>3.3267806940813868E-2</v>
      </c>
      <c r="T191" s="63">
        <f>IF((((inputs!$P$12/(V191/MAX(K191:S191)))^(1/inputs!$O$12))-1)/inputs!$N$12&lt;0, 0, IF((((inputs!$P$12/(V191/MAX(K191:S191)))^(1/inputs!$O$12))-1)/inputs!$N$12&gt;inputs!$H$17, inputs!$H$17, (((inputs!$P$12/(V191/MAX(K191:S191)))^(1/inputs!$O$12))-1)/inputs!$N$12))</f>
        <v>183.13036221408444</v>
      </c>
      <c r="U191" s="63">
        <f>IF((((inputs!$P$12/(X191/MAX(K191:S191)))^(1/inputs!$O$12))-1)/inputs!$N$12&lt;0, 0, IF((((inputs!$P$12/(X191/MAX(K191:S191)))^(1/inputs!$O$12))-1)/inputs!$N$12&gt;inputs!$H$17, inputs!$H$17, (((inputs!$P$12/(X191/MAX(K191:S191)))^(1/inputs!$O$12))-1)/inputs!$N$12))</f>
        <v>0</v>
      </c>
      <c r="V191" s="21">
        <f>inputs!$E$78*(F191/inputs!$F$78)^(inputs!$E$84-1)</f>
        <v>1.2160947350059152E-2</v>
      </c>
      <c r="W191" s="21">
        <f>inputs!$E$85*(F191/inputs!$F$85)^(inputs!$E$84-1)</f>
        <v>0.56157014619463785</v>
      </c>
      <c r="X191" s="21">
        <f>inputs!$E$80*(F191/inputs!$F$80)^(inputs!$E$84-1)</f>
        <v>2.0970024446508626</v>
      </c>
      <c r="Y191" s="21">
        <f>inputs!$E$82*(F191/inputs!$F$82)^(inputs!$E$84-1)</f>
        <v>0.96647528939943783</v>
      </c>
      <c r="Z191" s="63">
        <f t="shared" si="17"/>
        <v>290.55422415495991</v>
      </c>
      <c r="AA191" s="63">
        <f t="shared" si="18"/>
        <v>6.2920271781347257</v>
      </c>
    </row>
    <row r="192" spans="1:27" x14ac:dyDescent="0.25">
      <c r="A192" s="103" t="s">
        <v>246</v>
      </c>
      <c r="B192" s="20" t="s">
        <v>247</v>
      </c>
      <c r="C192" s="20" t="s">
        <v>73</v>
      </c>
      <c r="D192" s="104" t="s">
        <v>240</v>
      </c>
      <c r="E192" s="15">
        <v>76</v>
      </c>
      <c r="F192" s="15">
        <v>334</v>
      </c>
      <c r="G192" s="20" t="s">
        <v>169</v>
      </c>
      <c r="H192" s="20">
        <v>0.79</v>
      </c>
      <c r="I192" s="48">
        <f>MAX('Min rate concentrations'!$D$3:$D$368)</f>
        <v>120</v>
      </c>
      <c r="J192" s="48">
        <f>MAX('Min rate concentrations'!W:W)</f>
        <v>42.5</v>
      </c>
      <c r="K192" s="59">
        <f t="shared" si="23"/>
        <v>40.468357383332837</v>
      </c>
      <c r="L192" s="59">
        <f>((0.301*F192^0.751)/(1-H192))*J192/F192</f>
        <v>14.332543239930377</v>
      </c>
      <c r="M192" s="59">
        <f>IF((((1.18*F192^0.874)/3.7-(0.301*F192^0.751)/(1-H192)*H192)*(MAX('Min rate concentrations'!$P$3:$P$368)))/F192&gt;0, (((1.18*F192^0.874)/3.7-(0.301*F192^0.751)/(1-H192)*H192)*(MAX('Min rate concentrations'!$P$3:$P$368)))/F192, 0)</f>
        <v>0</v>
      </c>
      <c r="N192" s="59">
        <f>IF((((1.18*F192^0.874)/3.7-(0.301*F192^0.751)/(1-H192)*H192)*(MAX('Min rate concentrations'!$Q$3:$Q$368)))/F192&gt;0, (((1.18*F192^0.874)/3.7-(0.301*F192^0.751)/(1-H192)*H192)*(MAX('Min rate concentrations'!$Q$3:$Q$368)))/F192, 0)</f>
        <v>0</v>
      </c>
      <c r="O192" s="59">
        <f>((MAX('Min rate concentrations'!$F$3:$F$368))*0.62*6.01*8*(10*F192^0.667)*0.079*0.1/F192)*inputs!$E$80/(10^(0.84+0.62*LOG10(inputs!$E$80)))</f>
        <v>3.5334146222857528</v>
      </c>
      <c r="P192" s="59">
        <f>((MAX('Min rate concentrations'!Y:Y))*0.62*6.01*8*(10*F192^0.667)*0.079*0.1/F192)*inputs!$E$80/(10^(0.84+0.62*LOG10(inputs!$E$80)))</f>
        <v>1.1778048740952511</v>
      </c>
      <c r="Q192" s="59">
        <f>(inputs!$C$7*11.2*(10*F192^0.667)*0.5/F192)*inputs!$E$80/(10^(0.84+0.62*LOG10(inputs!$E$80)))</f>
        <v>0.62239432008965578</v>
      </c>
      <c r="R192" s="59">
        <f>(60*284*((F192/1000)^0.77)*3*24*(MAX('Min rate concentrations'!$R$3:$R$368))/F192)*(inputs!$E$73*3.4/inputs!$E$75)</f>
        <v>6.0321734060342453E-3</v>
      </c>
      <c r="S192" s="59">
        <f>(IF(inputs!$C$6="aerial",((0.025*0.112*inputs!$C$7/3.3)*(3*60*284*((F192/1000)^0.77))*MAX(inputs!$H$14:$H$16))/F192,((0.0083*0.112*inputs!$C$7/1)*(3*60*284*((F192/1000)^0.77))*MAX(inputs!$H$14:$H$16))/F192))*(inputs!E$75*3.4/inputs!$E$73)</f>
        <v>3.3267806940813868E-2</v>
      </c>
      <c r="T192" s="63">
        <f>IF((((inputs!$P$12/(V192/MAX(K192:S192)))^(1/inputs!$O$12))-1)/inputs!$N$12&lt;0, 0, IF((((inputs!$P$12/(V192/MAX(K192:S192)))^(1/inputs!$O$12))-1)/inputs!$N$12&gt;inputs!$H$17, inputs!$H$17, (((inputs!$P$12/(V192/MAX(K192:S192)))^(1/inputs!$O$12))-1)/inputs!$N$12))</f>
        <v>542.01346336066513</v>
      </c>
      <c r="U192" s="63">
        <f>IF((((inputs!$P$12/(X192/MAX(K192:S192)))^(1/inputs!$O$12))-1)/inputs!$N$12&lt;0, 0, IF((((inputs!$P$12/(X192/MAX(K192:S192)))^(1/inputs!$O$12))-1)/inputs!$N$12&gt;inputs!$H$17, inputs!$H$17, (((inputs!$P$12/(X192/MAX(K192:S192)))^(1/inputs!$O$12))-1)/inputs!$N$12))</f>
        <v>41.742899298424511</v>
      </c>
      <c r="V192" s="21">
        <f>inputs!$E$78*(F192/inputs!$F$78)^(inputs!$E$84-1)</f>
        <v>1.2160947350059152E-2</v>
      </c>
      <c r="W192" s="21">
        <f>inputs!$E$85*(F192/inputs!$F$85)^(inputs!$E$84-1)</f>
        <v>0.56157014619463785</v>
      </c>
      <c r="X192" s="21">
        <f>inputs!$E$80*(F192/inputs!$F$80)^(inputs!$E$84-1)</f>
        <v>2.0970024446508626</v>
      </c>
      <c r="Y192" s="21">
        <f>inputs!$E$82*(F192/inputs!$F$82)^(inputs!$E$84-1)</f>
        <v>0.96647528939943783</v>
      </c>
      <c r="Z192" s="63">
        <f t="shared" si="17"/>
        <v>3327.7306626227596</v>
      </c>
      <c r="AA192" s="63">
        <f t="shared" si="18"/>
        <v>72.062871677844981</v>
      </c>
    </row>
    <row r="193" spans="1:27" x14ac:dyDescent="0.25">
      <c r="A193" s="103" t="s">
        <v>246</v>
      </c>
      <c r="B193" s="20" t="s">
        <v>247</v>
      </c>
      <c r="C193" s="20" t="s">
        <v>73</v>
      </c>
      <c r="D193" s="104" t="s">
        <v>240</v>
      </c>
      <c r="E193" s="15">
        <v>76</v>
      </c>
      <c r="F193" s="15">
        <v>334</v>
      </c>
      <c r="G193" s="20" t="s">
        <v>158</v>
      </c>
      <c r="H193" s="20">
        <v>0.85</v>
      </c>
      <c r="I193" s="48">
        <f>MAX('Min rate concentrations'!$F$3:$F$368)</f>
        <v>67.5</v>
      </c>
      <c r="J193" s="48">
        <f>MAX('Min rate concentrations'!Y:Y)</f>
        <v>22.5</v>
      </c>
      <c r="K193" s="59">
        <f t="shared" si="23"/>
        <v>31.868831439374592</v>
      </c>
      <c r="L193" s="59">
        <f>((0.301*F193^0.751)/(1-H193))*J193/F193</f>
        <v>10.622943813124865</v>
      </c>
      <c r="M193" s="59">
        <f>IF((((1.18*F193^0.874)/3.7-(0.301*F193^0.751)/(1-H193)*H193)*(MAX('Min rate concentrations'!$P$3:$P$368)))/F193&gt;0, (((1.18*F193^0.874)/3.7-(0.301*F193^0.751)/(1-H193)*H193)*(MAX('Min rate concentrations'!$P$3:$P$368)))/F193, 0)</f>
        <v>0</v>
      </c>
      <c r="N193" s="59">
        <f>IF((((1.18*F193^0.874)/3.7-(0.301*F193^0.751)/(1-H193)*H193)*(MAX('Min rate concentrations'!$Q$3:$Q$368)))/F193&gt;0, (((1.18*F193^0.874)/3.7-(0.301*F193^0.751)/(1-H193)*H193)*(MAX('Min rate concentrations'!$Q$3:$Q$368)))/F193, 0)</f>
        <v>0</v>
      </c>
      <c r="O193" s="59">
        <f>((MAX('Min rate concentrations'!$F$3:$F$368))*0.62*6.01*8*(10*F193^0.667)*0.079*0.1/F193)*inputs!$E$80/(10^(0.84+0.62*LOG10(inputs!$E$80)))</f>
        <v>3.5334146222857528</v>
      </c>
      <c r="P193" s="59">
        <f>((MAX('Min rate concentrations'!Y:Y))*0.62*6.01*8*(10*F193^0.667)*0.079*0.1/F193)*inputs!$E$80/(10^(0.84+0.62*LOG10(inputs!$E$80)))</f>
        <v>1.1778048740952511</v>
      </c>
      <c r="Q193" s="59">
        <f>(inputs!$C$7*11.2*(10*F193^0.667)*0.5/F193)*inputs!$E$80/(10^(0.84+0.62*LOG10(inputs!$E$80)))</f>
        <v>0.62239432008965578</v>
      </c>
      <c r="R193" s="59">
        <f>(60*284*((F193/1000)^0.77)*3*24*(MAX('Min rate concentrations'!$R$3:$R$368))/F193)*(inputs!$E$73*3.4/inputs!$E$75)</f>
        <v>6.0321734060342453E-3</v>
      </c>
      <c r="S193" s="59">
        <f>(IF(inputs!$C$6="aerial",((0.025*0.112*inputs!$C$7/3.3)*(3*60*284*((F193/1000)^0.77))*MAX(inputs!$H$14:$H$16))/F193,((0.0083*0.112*inputs!$C$7/1)*(3*60*284*((F193/1000)^0.77))*MAX(inputs!$H$14:$H$16))/F193))*(inputs!E$75*3.4/inputs!$E$73)</f>
        <v>3.3267806940813868E-2</v>
      </c>
      <c r="T193" s="63">
        <f>IF((((inputs!$P$12/(V193/MAX(K193:S193)))^(1/inputs!$O$12))-1)/inputs!$N$12&lt;0, 0, IF((((inputs!$P$12/(V193/MAX(K193:S193)))^(1/inputs!$O$12))-1)/inputs!$N$12&gt;inputs!$H$17, inputs!$H$17, (((inputs!$P$12/(V193/MAX(K193:S193)))^(1/inputs!$O$12))-1)/inputs!$N$12))</f>
        <v>489.18798868061657</v>
      </c>
      <c r="U193" s="63">
        <f>IF((((inputs!$P$12/(X193/MAX(K193:S193)))^(1/inputs!$O$12))-1)/inputs!$N$12&lt;0, 0, IF((((inputs!$P$12/(X193/MAX(K193:S193)))^(1/inputs!$O$12))-1)/inputs!$N$12&gt;inputs!$H$17, inputs!$H$17, (((inputs!$P$12/(X193/MAX(K193:S193)))^(1/inputs!$O$12))-1)/inputs!$N$12))</f>
        <v>35.239717807704416</v>
      </c>
      <c r="V193" s="21">
        <f>inputs!$E$78*(F193/inputs!$F$78)^(inputs!$E$84-1)</f>
        <v>1.2160947350059152E-2</v>
      </c>
      <c r="W193" s="21">
        <f>inputs!$E$85*(F193/inputs!$F$85)^(inputs!$E$84-1)</f>
        <v>0.56157014619463785</v>
      </c>
      <c r="X193" s="21">
        <f>inputs!$E$80*(F193/inputs!$F$80)^(inputs!$E$84-1)</f>
        <v>2.0970024446508626</v>
      </c>
      <c r="Y193" s="21">
        <f>inputs!$E$82*(F193/inputs!$F$82)^(inputs!$E$84-1)</f>
        <v>0.96647528939943783</v>
      </c>
      <c r="Z193" s="63">
        <f t="shared" si="17"/>
        <v>2620.587896815422</v>
      </c>
      <c r="AA193" s="63">
        <f t="shared" si="18"/>
        <v>56.749511446302897</v>
      </c>
    </row>
    <row r="194" spans="1:27" x14ac:dyDescent="0.25">
      <c r="A194" s="103" t="s">
        <v>246</v>
      </c>
      <c r="B194" s="20" t="s">
        <v>247</v>
      </c>
      <c r="C194" s="20" t="s">
        <v>73</v>
      </c>
      <c r="D194" s="104" t="s">
        <v>240</v>
      </c>
      <c r="E194" s="15">
        <v>76</v>
      </c>
      <c r="F194" s="15">
        <v>334</v>
      </c>
      <c r="G194" s="20" t="s">
        <v>154</v>
      </c>
      <c r="H194" s="20">
        <v>9.2999999999999999E-2</v>
      </c>
      <c r="I194" s="48">
        <f>MAX('Min rate concentrations'!$G$3:$G$368)</f>
        <v>7.5</v>
      </c>
      <c r="J194" s="48">
        <f>MAX('Min rate concentrations'!Z:Z)</f>
        <v>3.5</v>
      </c>
      <c r="K194" s="59">
        <f t="shared" si="23"/>
        <v>0.58560880998483278</v>
      </c>
      <c r="L194" s="59"/>
      <c r="M194" s="59">
        <f>IF((((1.18*F194^0.874)/3.7-(0.301*F194^0.751)/(1-H194)*H194)*(MAX('Min rate concentrations'!$P$3:$P$368)))/F194&gt;0, (((1.18*F194^0.874)/3.7-(0.301*F194^0.751)/(1-H194)*H194)*(MAX('Min rate concentrations'!$P$3:$P$368)))/F194, 0)</f>
        <v>2.1204678945656048E-2</v>
      </c>
      <c r="N194" s="59">
        <f>IF((((1.18*F194^0.874)/3.7-(0.301*F194^0.751)/(1-H194)*H194)*(MAX('Min rate concentrations'!$Q$3:$Q$368)))/F194&gt;0, (((1.18*F194^0.874)/3.7-(0.301*F194^0.751)/(1-H194)*H194)*(MAX('Min rate concentrations'!$Q$3:$Q$368)))/F194, 0)</f>
        <v>8.0748556788190567E-2</v>
      </c>
      <c r="O194" s="59">
        <f>((MAX('Min rate concentrations'!$F$3:$F$368))*0.62*6.01*8*(10*F194^0.667)*0.079*0.1/F194)*inputs!$E$80/(10^(0.84+0.62*LOG10(inputs!$E$80)))</f>
        <v>3.5334146222857528</v>
      </c>
      <c r="P194" s="59">
        <f>((MAX('Min rate concentrations'!Y:Y))*0.62*6.01*8*(10*F194^0.667)*0.079*0.1/F194)*inputs!$E$80/(10^(0.84+0.62*LOG10(inputs!$E$80)))</f>
        <v>1.1778048740952511</v>
      </c>
      <c r="Q194" s="59">
        <f>(inputs!$C$7*11.2*(10*F194^0.667)*0.5/F194)*inputs!$E$80/(10^(0.84+0.62*LOG10(inputs!$E$80)))</f>
        <v>0.62239432008965578</v>
      </c>
      <c r="R194" s="59">
        <f>(60*284*((F194/1000)^0.77)*3*24*(MAX('Min rate concentrations'!$R$3:$R$368))/F194)*(inputs!$E$73*3.4/inputs!$E$75)</f>
        <v>6.0321734060342453E-3</v>
      </c>
      <c r="S194" s="59">
        <f>(IF(inputs!$C$6="aerial",((0.025*0.112*inputs!$C$7/3.3)*(3*60*284*((F194/1000)^0.77))*MAX(inputs!$H$14:$H$16))/F194,((0.0083*0.112*inputs!$C$7/1)*(3*60*284*((F194/1000)^0.77))*MAX(inputs!$H$14:$H$16))/F194))*(inputs!E$75*3.4/inputs!$E$73)</f>
        <v>3.3267806940813868E-2</v>
      </c>
      <c r="T194" s="63">
        <f>IF((((inputs!$P$12/(V194/MAX(K194:S194)))^(1/inputs!$O$12))-1)/inputs!$N$12&lt;0, 0, IF((((inputs!$P$12/(V194/MAX(K194:S194)))^(1/inputs!$O$12))-1)/inputs!$N$12&gt;inputs!$H$17, inputs!$H$17, (((inputs!$P$12/(V194/MAX(K194:S194)))^(1/inputs!$O$12))-1)/inputs!$N$12))</f>
        <v>183.13036221408444</v>
      </c>
      <c r="U194" s="63">
        <f>IF((((inputs!$P$12/(X194/MAX(K194:S194)))^(1/inputs!$O$12))-1)/inputs!$N$12&lt;0, 0, IF((((inputs!$P$12/(X194/MAX(K194:S194)))^(1/inputs!$O$12))-1)/inputs!$N$12&gt;inputs!$H$17, inputs!$H$17, (((inputs!$P$12/(X194/MAX(K194:S194)))^(1/inputs!$O$12))-1)/inputs!$N$12))</f>
        <v>0</v>
      </c>
      <c r="V194" s="21">
        <f>inputs!$E$78*(F194/inputs!$F$78)^(inputs!$E$84-1)</f>
        <v>1.2160947350059152E-2</v>
      </c>
      <c r="W194" s="21">
        <f>inputs!$E$85*(F194/inputs!$F$85)^(inputs!$E$84-1)</f>
        <v>0.56157014619463785</v>
      </c>
      <c r="X194" s="21">
        <f>inputs!$E$80*(F194/inputs!$F$80)^(inputs!$E$84-1)</f>
        <v>2.0970024446508626</v>
      </c>
      <c r="Y194" s="21">
        <f>inputs!$E$82*(F194/inputs!$F$82)^(inputs!$E$84-1)</f>
        <v>0.96647528939943783</v>
      </c>
      <c r="Z194" s="63">
        <f t="shared" ref="Z194:Z257" si="24">MAX(K194:S194)/V194</f>
        <v>290.55422415495991</v>
      </c>
      <c r="AA194" s="63">
        <f t="shared" ref="AA194:AA257" si="25">MAX(K194:S194)/W194</f>
        <v>6.2920271781347257</v>
      </c>
    </row>
    <row r="195" spans="1:27" x14ac:dyDescent="0.25">
      <c r="A195" s="103" t="s">
        <v>238</v>
      </c>
      <c r="B195" s="20" t="s">
        <v>239</v>
      </c>
      <c r="C195" s="20" t="s">
        <v>73</v>
      </c>
      <c r="D195" s="104" t="s">
        <v>240</v>
      </c>
      <c r="E195" s="15">
        <v>108</v>
      </c>
      <c r="F195" s="15">
        <v>427</v>
      </c>
      <c r="G195" s="20" t="s">
        <v>241</v>
      </c>
      <c r="H195" s="20">
        <v>0.8</v>
      </c>
      <c r="I195" s="48">
        <f>inputs!$C$65*inputs!$C$60/1000</f>
        <v>2.8</v>
      </c>
      <c r="J195" s="48">
        <f>inputs!$C$65*inputs!$C$59/1000</f>
        <v>2.8</v>
      </c>
      <c r="K195" s="59">
        <f t="shared" si="23"/>
        <v>0.93264848778352294</v>
      </c>
      <c r="L195" s="59">
        <f t="shared" ref="L195:L213" si="26">((0.301*F195^0.751)/(1-H195))*J195/F195</f>
        <v>0.93264848778352294</v>
      </c>
      <c r="M195" s="59">
        <f>IF((((1.18*F195^0.874)/3.7-(0.301*F195^0.751)/(1-H195)*H195)*(MAX('Min rate concentrations'!$P$3:$P$368)))/F195&gt;0, (((1.18*F195^0.874)/3.7-(0.301*F195^0.751)/(1-H195)*H195)*(MAX('Min rate concentrations'!$P$3:$P$368)))/F195, 0)</f>
        <v>0</v>
      </c>
      <c r="N195" s="59">
        <f>IF((((1.18*F195^0.874)/3.7-(0.301*F195^0.751)/(1-H195)*H195)*(MAX('Min rate concentrations'!$Q$3:$Q$368)))/F195&gt;0, (((1.18*F195^0.874)/3.7-(0.301*F195^0.751)/(1-H195)*H195)*(MAX('Min rate concentrations'!$Q$3:$Q$368)))/F195, 0)</f>
        <v>0</v>
      </c>
      <c r="O195" s="59">
        <f>((MAX('Min rate concentrations'!$F$3:$F$368))*0.62*6.01*8*(10*F195^0.667)*0.079*0.1/F195)*inputs!$E$80/(10^(0.84+0.62*LOG10(inputs!$E$80)))</f>
        <v>3.2558897687108388</v>
      </c>
      <c r="P195" s="59">
        <f>((MAX('Min rate concentrations'!Y:Y))*0.62*6.01*8*(10*F195^0.667)*0.079*0.1/F195)*inputs!$E$80/(10^(0.84+0.62*LOG10(inputs!$E$80)))</f>
        <v>1.0852965895702797</v>
      </c>
      <c r="Q195" s="59">
        <f>(inputs!$C$7*11.2*(10*F195^0.667)*0.5/F195)*inputs!$E$80/(10^(0.84+0.62*LOG10(inputs!$E$80)))</f>
        <v>0.57350962610007761</v>
      </c>
      <c r="R195" s="59">
        <f>(60*284*((F195/1000)^0.77)*3*24*(MAX('Min rate concentrations'!$R$3:$R$368))/F195)*(inputs!$E$73*3.4/inputs!$E$75)</f>
        <v>5.7008169168628825E-3</v>
      </c>
      <c r="S195" s="59">
        <f>(IF(inputs!$C$6="aerial",((0.025*0.112*inputs!$C$7/3.3)*(3*60*284*((F195/1000)^0.77))*MAX(inputs!$H$14:$H$16))/F195,((0.0083*0.112*inputs!$C$7/1)*(3*60*284*((F195/1000)^0.77))*MAX(inputs!$H$14:$H$16))/F195))*(inputs!E$75*3.4/inputs!$E$73)</f>
        <v>3.1440355545051354E-2</v>
      </c>
      <c r="T195" s="63">
        <f>IF((((inputs!$P$12/(V195/MAX(K195:S195)))^(1/inputs!$O$12))-1)/inputs!$N$12&lt;0, 0, IF((((inputs!$P$12/(V195/MAX(K195:S195)))^(1/inputs!$O$12))-1)/inputs!$N$12&gt;inputs!$H$17, inputs!$H$17, (((inputs!$P$12/(V195/MAX(K195:S195)))^(1/inputs!$O$12))-1)/inputs!$N$12))</f>
        <v>183.9141144091675</v>
      </c>
      <c r="U195" s="63">
        <f>IF((((inputs!$P$12/(X195/MAX(K195:S195)))^(1/inputs!$O$12))-1)/inputs!$N$12&lt;0, 0, IF((((inputs!$P$12/(X195/MAX(K195:S195)))^(1/inputs!$O$12))-1)/inputs!$N$12&gt;inputs!$H$17, inputs!$H$17, (((inputs!$P$12/(X195/MAX(K195:S195)))^(1/inputs!$O$12))-1)/inputs!$N$12))</f>
        <v>0</v>
      </c>
      <c r="V195" s="21">
        <f>inputs!$E$78*(F195/inputs!$F$78)^(inputs!$E$84-1)</f>
        <v>1.1104404851702795E-2</v>
      </c>
      <c r="W195" s="21">
        <f>inputs!$E$85*(F195/inputs!$F$85)^(inputs!$E$84-1)</f>
        <v>0.51278095994263584</v>
      </c>
      <c r="X195" s="21">
        <f>inputs!$E$80*(F195/inputs!$F$80)^(inputs!$E$84-1)</f>
        <v>1.9148149770009817</v>
      </c>
      <c r="Y195" s="21">
        <f>inputs!$E$82*(F195/inputs!$F$82)^(inputs!$E$84-1)</f>
        <v>0.88250796453006419</v>
      </c>
      <c r="Z195" s="63">
        <f t="shared" si="24"/>
        <v>293.20704821128413</v>
      </c>
      <c r="AA195" s="63">
        <f t="shared" si="25"/>
        <v>6.3494747719866025</v>
      </c>
    </row>
    <row r="196" spans="1:27" x14ac:dyDescent="0.25">
      <c r="A196" s="103" t="s">
        <v>238</v>
      </c>
      <c r="B196" s="20" t="s">
        <v>239</v>
      </c>
      <c r="C196" s="20" t="s">
        <v>73</v>
      </c>
      <c r="D196" s="104" t="s">
        <v>240</v>
      </c>
      <c r="E196" s="15">
        <v>108</v>
      </c>
      <c r="F196" s="15">
        <v>427</v>
      </c>
      <c r="G196" s="20" t="s">
        <v>142</v>
      </c>
      <c r="H196" s="20">
        <v>0.69</v>
      </c>
      <c r="I196" s="48">
        <f>MAX('Min rate concentrations'!$H$3:$H$368)</f>
        <v>47</v>
      </c>
      <c r="J196" s="48">
        <f>MAX('Min rate concentrations'!AA:AA)</f>
        <v>32.5</v>
      </c>
      <c r="K196" s="59">
        <f t="shared" si="23"/>
        <v>10.100110351572711</v>
      </c>
      <c r="L196" s="59">
        <f t="shared" si="26"/>
        <v>6.9841188601300654</v>
      </c>
      <c r="M196" s="59">
        <f>IF((((1.18*F196^0.874)/3.7-(0.301*F196^0.751)/(1-H196)*H196)*(MAX('Min rate concentrations'!$P$3:$P$368)))/F196&gt;0, (((1.18*F196^0.874)/3.7-(0.301*F196^0.751)/(1-H196)*H196)*(MAX('Min rate concentrations'!$P$3:$P$368)))/F196, 0)</f>
        <v>5.8011024734473995E-5</v>
      </c>
      <c r="N196" s="59">
        <f>IF((((1.18*F196^0.874)/3.7-(0.301*F196^0.751)/(1-H196)*H196)*(MAX('Min rate concentrations'!$Q$3:$Q$368)))/F196&gt;0, (((1.18*F196^0.874)/3.7-(0.301*F196^0.751)/(1-H196)*H196)*(MAX('Min rate concentrations'!$Q$3:$Q$368)))/F196, 0)</f>
        <v>2.2090909921899192E-4</v>
      </c>
      <c r="O196" s="59">
        <f>((MAX('Min rate concentrations'!$F$3:$F$368))*0.62*6.01*8*(10*F196^0.667)*0.079*0.1/F196)*inputs!$E$80/(10^(0.84+0.62*LOG10(inputs!$E$80)))</f>
        <v>3.2558897687108388</v>
      </c>
      <c r="P196" s="59">
        <f>((MAX('Min rate concentrations'!Y:Y))*0.62*6.01*8*(10*F196^0.667)*0.079*0.1/F196)*inputs!$E$80/(10^(0.84+0.62*LOG10(inputs!$E$80)))</f>
        <v>1.0852965895702797</v>
      </c>
      <c r="Q196" s="59">
        <f>(inputs!$C$7*11.2*(10*F196^0.667)*0.5/F196)*inputs!$E$80/(10^(0.84+0.62*LOG10(inputs!$E$80)))</f>
        <v>0.57350962610007761</v>
      </c>
      <c r="R196" s="59">
        <f>(60*284*((F196/1000)^0.77)*3*24*(MAX('Min rate concentrations'!$R$3:$R$368))/F196)*(inputs!$E$73*3.4/inputs!$E$75)</f>
        <v>5.7008169168628825E-3</v>
      </c>
      <c r="S196" s="59">
        <f>(IF(inputs!$C$6="aerial",((0.025*0.112*inputs!$C$7/3.3)*(3*60*284*((F196/1000)^0.77))*MAX(inputs!$H$14:$H$16))/F196,((0.0083*0.112*inputs!$C$7/1)*(3*60*284*((F196/1000)^0.77))*MAX(inputs!$H$14:$H$16))/F196))*(inputs!E$75*3.4/inputs!$E$73)</f>
        <v>3.1440355545051354E-2</v>
      </c>
      <c r="T196" s="63">
        <f>IF((((inputs!$P$12/(V196/MAX(K196:S196)))^(1/inputs!$O$12))-1)/inputs!$N$12&lt;0, 0, IF((((inputs!$P$12/(V196/MAX(K196:S196)))^(1/inputs!$O$12))-1)/inputs!$N$12&gt;inputs!$H$17, inputs!$H$17, (((inputs!$P$12/(V196/MAX(K196:S196)))^(1/inputs!$O$12))-1)/inputs!$N$12))</f>
        <v>308.12780882615135</v>
      </c>
      <c r="U196" s="63">
        <f>IF((((inputs!$P$12/(X196/MAX(K196:S196)))^(1/inputs!$O$12))-1)/inputs!$N$12&lt;0, 0, IF((((inputs!$P$12/(X196/MAX(K196:S196)))^(1/inputs!$O$12))-1)/inputs!$N$12&gt;inputs!$H$17, inputs!$H$17, (((inputs!$P$12/(X196/MAX(K196:S196)))^(1/inputs!$O$12))-1)/inputs!$N$12))</f>
        <v>12.949956712936284</v>
      </c>
      <c r="V196" s="21">
        <f>inputs!$E$78*(F196/inputs!$F$78)^(inputs!$E$84-1)</f>
        <v>1.1104404851702795E-2</v>
      </c>
      <c r="W196" s="21">
        <f>inputs!$E$85*(F196/inputs!$F$85)^(inputs!$E$84-1)</f>
        <v>0.51278095994263584</v>
      </c>
      <c r="X196" s="21">
        <f>inputs!$E$80*(F196/inputs!$F$80)^(inputs!$E$84-1)</f>
        <v>1.9148149770009817</v>
      </c>
      <c r="Y196" s="21">
        <f>inputs!$E$82*(F196/inputs!$F$82)^(inputs!$E$84-1)</f>
        <v>0.88250796453006419</v>
      </c>
      <c r="Z196" s="63">
        <f t="shared" si="24"/>
        <v>909.55890806015771</v>
      </c>
      <c r="AA196" s="63">
        <f t="shared" si="25"/>
        <v>19.69673435749759</v>
      </c>
    </row>
    <row r="197" spans="1:27" x14ac:dyDescent="0.25">
      <c r="A197" s="103" t="s">
        <v>238</v>
      </c>
      <c r="B197" s="20" t="s">
        <v>239</v>
      </c>
      <c r="C197" s="20" t="s">
        <v>73</v>
      </c>
      <c r="D197" s="104" t="s">
        <v>240</v>
      </c>
      <c r="E197" s="15">
        <v>108</v>
      </c>
      <c r="F197" s="15">
        <v>427</v>
      </c>
      <c r="G197" s="20" t="s">
        <v>164</v>
      </c>
      <c r="H197" s="20">
        <v>0.78</v>
      </c>
      <c r="I197" s="48">
        <f>inputs!$C$65*(inputs!$C$62/1000)</f>
        <v>0.82000000000000006</v>
      </c>
      <c r="J197" s="48">
        <f>inputs!$C$65*(inputs!$C$61/1000)</f>
        <v>0.25</v>
      </c>
      <c r="K197" s="59">
        <f t="shared" si="23"/>
        <v>0.24830251947483406</v>
      </c>
      <c r="L197" s="59">
        <f t="shared" si="26"/>
        <v>7.5701987644766475E-2</v>
      </c>
      <c r="M197" s="59">
        <f>IF((((1.18*F197^0.874)/3.7-(0.301*F197^0.751)/(1-H197)*H197)*(MAX('Min rate concentrations'!$P$3:$P$368)))/F197&gt;0, (((1.18*F197^0.874)/3.7-(0.301*F197^0.751)/(1-H197)*H197)*(MAX('Min rate concentrations'!$P$3:$P$368)))/F197, 0)</f>
        <v>0</v>
      </c>
      <c r="N197" s="59">
        <f>IF((((1.18*F197^0.874)/3.7-(0.301*F197^0.751)/(1-H197)*H197)*(MAX('Min rate concentrations'!$Q$3:$Q$368)))/F197&gt;0, (((1.18*F197^0.874)/3.7-(0.301*F197^0.751)/(1-H197)*H197)*(MAX('Min rate concentrations'!$Q$3:$Q$368)))/F197, 0)</f>
        <v>0</v>
      </c>
      <c r="O197" s="59">
        <f>((MAX('Min rate concentrations'!$F$3:$F$368))*0.62*6.01*8*(10*F197^0.667)*0.079*0.1/F197)*inputs!$E$80/(10^(0.84+0.62*LOG10(inputs!$E$80)))</f>
        <v>3.2558897687108388</v>
      </c>
      <c r="P197" s="59">
        <f>((MAX('Min rate concentrations'!Y:Y))*0.62*6.01*8*(10*F197^0.667)*0.079*0.1/F197)*inputs!$E$80/(10^(0.84+0.62*LOG10(inputs!$E$80)))</f>
        <v>1.0852965895702797</v>
      </c>
      <c r="Q197" s="59">
        <f>(inputs!$C$7*11.2*(10*F197^0.667)*0.5/F197)*inputs!$E$80/(10^(0.84+0.62*LOG10(inputs!$E$80)))</f>
        <v>0.57350962610007761</v>
      </c>
      <c r="R197" s="59">
        <f>(60*284*((F197/1000)^0.77)*3*24*(MAX('Min rate concentrations'!$R$3:$R$368))/F197)*(inputs!$E$73*3.4/inputs!$E$75)</f>
        <v>5.7008169168628825E-3</v>
      </c>
      <c r="S197" s="59">
        <f>(IF(inputs!$C$6="aerial",((0.025*0.112*inputs!$C$7/3.3)*(3*60*284*((F197/1000)^0.77))*MAX(inputs!$H$14:$H$16))/F197,((0.0083*0.112*inputs!$C$7/1)*(3*60*284*((F197/1000)^0.77))*MAX(inputs!$H$14:$H$16))/F197))*(inputs!E$75*3.4/inputs!$E$73)</f>
        <v>3.1440355545051354E-2</v>
      </c>
      <c r="T197" s="63">
        <f>IF((((inputs!$P$12/(V197/MAX(K197:S197)))^(1/inputs!$O$12))-1)/inputs!$N$12&lt;0, 0, IF((((inputs!$P$12/(V197/MAX(K197:S197)))^(1/inputs!$O$12))-1)/inputs!$N$12&gt;inputs!$H$17, inputs!$H$17, (((inputs!$P$12/(V197/MAX(K197:S197)))^(1/inputs!$O$12))-1)/inputs!$N$12))</f>
        <v>183.9141144091675</v>
      </c>
      <c r="U197" s="63">
        <f>IF((((inputs!$P$12/(X197/MAX(K197:S197)))^(1/inputs!$O$12))-1)/inputs!$N$12&lt;0, 0, IF((((inputs!$P$12/(X197/MAX(K197:S197)))^(1/inputs!$O$12))-1)/inputs!$N$12&gt;inputs!$H$17, inputs!$H$17, (((inputs!$P$12/(X197/MAX(K197:S197)))^(1/inputs!$O$12))-1)/inputs!$N$12))</f>
        <v>0</v>
      </c>
      <c r="V197" s="21">
        <f>inputs!$E$78*(F197/inputs!$F$78)^(inputs!$E$84-1)</f>
        <v>1.1104404851702795E-2</v>
      </c>
      <c r="W197" s="21">
        <f>inputs!$E$85*(F197/inputs!$F$85)^(inputs!$E$84-1)</f>
        <v>0.51278095994263584</v>
      </c>
      <c r="X197" s="21">
        <f>inputs!$E$80*(F197/inputs!$F$80)^(inputs!$E$84-1)</f>
        <v>1.9148149770009817</v>
      </c>
      <c r="Y197" s="21">
        <f>inputs!$E$82*(F197/inputs!$F$82)^(inputs!$E$84-1)</f>
        <v>0.88250796453006419</v>
      </c>
      <c r="Z197" s="63">
        <f t="shared" si="24"/>
        <v>293.20704821128413</v>
      </c>
      <c r="AA197" s="63">
        <f t="shared" si="25"/>
        <v>6.3494747719866025</v>
      </c>
    </row>
    <row r="198" spans="1:27" x14ac:dyDescent="0.25">
      <c r="A198" s="103" t="s">
        <v>238</v>
      </c>
      <c r="B198" s="20" t="s">
        <v>239</v>
      </c>
      <c r="C198" s="20" t="s">
        <v>73</v>
      </c>
      <c r="D198" s="104" t="s">
        <v>240</v>
      </c>
      <c r="E198" s="15">
        <v>108</v>
      </c>
      <c r="F198" s="15">
        <v>427</v>
      </c>
      <c r="G198" s="49" t="s">
        <v>186</v>
      </c>
      <c r="H198" s="49">
        <v>0.75</v>
      </c>
      <c r="I198" s="48">
        <f>inputs!$C$65*inputs!$C$64/1000</f>
        <v>2.13</v>
      </c>
      <c r="J198" s="48">
        <f>inputs!$C$65*inputs!$C$63/1000</f>
        <v>0.88</v>
      </c>
      <c r="K198" s="59">
        <f t="shared" si="23"/>
        <v>0.56758322256540095</v>
      </c>
      <c r="L198" s="59">
        <f t="shared" si="26"/>
        <v>0.23449447692842859</v>
      </c>
      <c r="M198" s="59">
        <f>IF((((1.18*F198^0.874)/3.7-(0.301*F198^0.751)/(1-H198)*H198)*(MAX('Min rate concentrations'!$P$3:$P$368)))/F198&gt;0, (((1.18*F198^0.874)/3.7-(0.301*F198^0.751)/(1-H198)*H198)*(MAX('Min rate concentrations'!$P$3:$P$368)))/F198, 0)</f>
        <v>0</v>
      </c>
      <c r="N198" s="59">
        <f>IF((((1.18*F198^0.874)/3.7-(0.301*F198^0.751)/(1-H198)*H198)*(MAX('Min rate concentrations'!$Q$3:$Q$368)))/F198&gt;0, (((1.18*F198^0.874)/3.7-(0.301*F198^0.751)/(1-H198)*H198)*(MAX('Min rate concentrations'!$Q$3:$Q$368)))/F198, 0)</f>
        <v>0</v>
      </c>
      <c r="O198" s="59">
        <f>((MAX('Min rate concentrations'!$F$3:$F$368))*0.62*6.01*8*(10*F198^0.667)*0.079*0.1/F198)*inputs!$E$80/(10^(0.84+0.62*LOG10(inputs!$E$80)))</f>
        <v>3.2558897687108388</v>
      </c>
      <c r="P198" s="59">
        <f>((MAX('Min rate concentrations'!Y:Y))*0.62*6.01*8*(10*F198^0.667)*0.079*0.1/F198)*inputs!$E$80/(10^(0.84+0.62*LOG10(inputs!$E$80)))</f>
        <v>1.0852965895702797</v>
      </c>
      <c r="Q198" s="59">
        <f>(inputs!$C$7*11.2*(10*F198^0.667)*0.5/F198)*inputs!$E$80/(10^(0.84+0.62*LOG10(inputs!$E$80)))</f>
        <v>0.57350962610007761</v>
      </c>
      <c r="R198" s="59">
        <f>(60*284*((F198/1000)^0.77)*3*24*(MAX('Min rate concentrations'!$R$3:$R$368))/F198)*(inputs!$E$73*3.4/inputs!$E$75)</f>
        <v>5.7008169168628825E-3</v>
      </c>
      <c r="S198" s="59">
        <f>(IF(inputs!$C$6="aerial",((0.025*0.112*inputs!$C$7/3.3)*(3*60*284*((F198/1000)^0.77))*MAX(inputs!$H$14:$H$16))/F198,((0.0083*0.112*inputs!$C$7/1)*(3*60*284*((F198/1000)^0.77))*MAX(inputs!$H$14:$H$16))/F198))*(inputs!E$75*3.4/inputs!$E$73)</f>
        <v>3.1440355545051354E-2</v>
      </c>
      <c r="T198" s="63">
        <f>IF((((inputs!$P$12/(V198/MAX(K198:S198)))^(1/inputs!$O$12))-1)/inputs!$N$12&lt;0, 0, IF((((inputs!$P$12/(V198/MAX(K198:S198)))^(1/inputs!$O$12))-1)/inputs!$N$12&gt;inputs!$H$17, inputs!$H$17, (((inputs!$P$12/(V198/MAX(K198:S198)))^(1/inputs!$O$12))-1)/inputs!$N$12))</f>
        <v>183.9141144091675</v>
      </c>
      <c r="U198" s="63">
        <f>IF((((inputs!$P$12/(X198/MAX(K198:S198)))^(1/inputs!$O$12))-1)/inputs!$N$12&lt;0, 0, IF((((inputs!$P$12/(X198/MAX(K198:S198)))^(1/inputs!$O$12))-1)/inputs!$N$12&gt;inputs!$H$17, inputs!$H$17, (((inputs!$P$12/(X198/MAX(K198:S198)))^(1/inputs!$O$12))-1)/inputs!$N$12))</f>
        <v>0</v>
      </c>
      <c r="V198" s="21">
        <f>inputs!$E$78*(F198/inputs!$F$78)^(inputs!$E$84-1)</f>
        <v>1.1104404851702795E-2</v>
      </c>
      <c r="W198" s="21">
        <f>inputs!$E$85*(F198/inputs!$F$85)^(inputs!$E$84-1)</f>
        <v>0.51278095994263584</v>
      </c>
      <c r="X198" s="21">
        <f>inputs!$E$80*(F198/inputs!$F$80)^(inputs!$E$84-1)</f>
        <v>1.9148149770009817</v>
      </c>
      <c r="Y198" s="21">
        <f>inputs!$E$82*(F198/inputs!$F$82)^(inputs!$E$84-1)</f>
        <v>0.88250796453006419</v>
      </c>
      <c r="Z198" s="63">
        <f t="shared" si="24"/>
        <v>293.20704821128413</v>
      </c>
      <c r="AA198" s="63">
        <f t="shared" si="25"/>
        <v>6.3494747719866025</v>
      </c>
    </row>
    <row r="199" spans="1:27" x14ac:dyDescent="0.25">
      <c r="A199" s="114" t="s">
        <v>329</v>
      </c>
      <c r="B199" s="48" t="s">
        <v>330</v>
      </c>
      <c r="C199" s="20" t="s">
        <v>73</v>
      </c>
      <c r="D199" s="48" t="s">
        <v>240</v>
      </c>
      <c r="E199" s="15">
        <v>103</v>
      </c>
      <c r="F199" s="15">
        <v>250</v>
      </c>
      <c r="G199" s="20" t="s">
        <v>164</v>
      </c>
      <c r="H199" s="20">
        <v>0.78</v>
      </c>
      <c r="I199" s="48">
        <f>inputs!$C$65*(inputs!$C$62/1000)</f>
        <v>0.82000000000000006</v>
      </c>
      <c r="J199" s="48">
        <f>inputs!$C$65*(inputs!$C$61/1000)</f>
        <v>0.25</v>
      </c>
      <c r="K199" s="59">
        <f t="shared" si="23"/>
        <v>0.28370736162603805</v>
      </c>
      <c r="L199" s="59">
        <f t="shared" si="26"/>
        <v>8.6496146837206703E-2</v>
      </c>
      <c r="M199" s="59">
        <f>IF((((1.18*F199^0.874)/3.7-(0.301*F199^0.751)/(1-H199)*H199)*(MAX('Min rate concentrations'!$P$3:$P$368)))/F199&gt;0, (((1.18*F199^0.874)/3.7-(0.301*F199^0.751)/(1-H199)*H199)*(MAX('Min rate concentrations'!$P$3:$P$368)))/F199, 0)</f>
        <v>0</v>
      </c>
      <c r="N199" s="59">
        <f>IF((((1.18*F199^0.874)/3.7-(0.301*F199^0.751)/(1-H199)*H199)*(MAX('Min rate concentrations'!$Q$3:$Q$368)))/F199&gt;0, (((1.18*F199^0.874)/3.7-(0.301*F199^0.751)/(1-H199)*H199)*(MAX('Min rate concentrations'!$Q$3:$Q$368)))/F199, 0)</f>
        <v>0</v>
      </c>
      <c r="O199" s="59">
        <f>((MAX('Min rate concentrations'!$F$3:$F$368))*0.62*6.01*8*(10*F199^0.667)*0.079*0.1/F199)*inputs!$E$80/(10^(0.84+0.62*LOG10(inputs!$E$80)))</f>
        <v>3.8912412086332915</v>
      </c>
      <c r="P199" s="59">
        <f>((MAX('Min rate concentrations'!Y:Y))*0.62*6.01*8*(10*F199^0.667)*0.079*0.1/F199)*inputs!$E$80/(10^(0.84+0.62*LOG10(inputs!$E$80)))</f>
        <v>1.2970804028777638</v>
      </c>
      <c r="Q199" s="59">
        <f>(inputs!$C$7*11.2*(10*F199^0.667)*0.5/F199)*inputs!$E$80/(10^(0.84+0.62*LOG10(inputs!$E$80)))</f>
        <v>0.68542378555773842</v>
      </c>
      <c r="R199" s="59">
        <f>(60*284*((F199/1000)^0.77)*3*24*(MAX('Min rate concentrations'!$R$3:$R$368))/F199)*(inputs!$E$73*3.4/inputs!$E$75)</f>
        <v>6.4477665224641637E-3</v>
      </c>
      <c r="S199" s="59">
        <f>(IF(inputs!$C$6="aerial",((0.025*0.112*inputs!$C$7/3.3)*(3*60*284*((F199/1000)^0.77))*MAX(inputs!$H$14:$H$16))/F199,((0.0083*0.112*inputs!$C$7/1)*(3*60*284*((F199/1000)^0.77))*MAX(inputs!$H$14:$H$16))/F199))*(inputs!E$75*3.4/inputs!$E$73)</f>
        <v>3.5559828511263269E-2</v>
      </c>
      <c r="T199" s="63">
        <f>IF((((inputs!$P$12/(V199/MAX(K199:S199)))^(1/inputs!$O$12))-1)/inputs!$N$12&lt;0, 0, IF((((inputs!$P$12/(V199/MAX(K199:S199)))^(1/inputs!$O$12))-1)/inputs!$N$12&gt;inputs!$H$17, inputs!$H$17, (((inputs!$P$12/(V199/MAX(K199:S199)))^(1/inputs!$O$12))-1)/inputs!$N$12))</f>
        <v>182.20982005585023</v>
      </c>
      <c r="U199" s="63">
        <f>IF((((inputs!$P$12/(X199/MAX(K199:S199)))^(1/inputs!$O$12))-1)/inputs!$N$12&lt;0, 0, IF((((inputs!$P$12/(X199/MAX(K199:S199)))^(1/inputs!$O$12))-1)/inputs!$N$12&gt;inputs!$H$17, inputs!$H$17, (((inputs!$P$12/(X199/MAX(K199:S199)))^(1/inputs!$O$12))-1)/inputs!$N$12))</f>
        <v>0</v>
      </c>
      <c r="V199" s="21">
        <f>inputs!$E$78*(F199/inputs!$F$78)^(inputs!$E$84-1)</f>
        <v>1.3536793307417524E-2</v>
      </c>
      <c r="W199" s="21">
        <f>inputs!$E$85*(F199/inputs!$F$85)^(inputs!$E$84-1)</f>
        <v>0.62510417797475948</v>
      </c>
      <c r="X199" s="21">
        <f>inputs!$E$80*(F199/inputs!$F$80)^(inputs!$E$84-1)</f>
        <v>2.334249778513342</v>
      </c>
      <c r="Y199" s="21">
        <f>inputs!$E$82*(F199/inputs!$F$82)^(inputs!$E$84-1)</f>
        <v>1.0758188365368664</v>
      </c>
      <c r="Z199" s="63">
        <f t="shared" si="24"/>
        <v>287.45664650882088</v>
      </c>
      <c r="AA199" s="63">
        <f t="shared" si="25"/>
        <v>6.2249483297972974</v>
      </c>
    </row>
    <row r="200" spans="1:27" x14ac:dyDescent="0.25">
      <c r="A200" s="103" t="s">
        <v>244</v>
      </c>
      <c r="B200" s="20" t="s">
        <v>245</v>
      </c>
      <c r="C200" s="20" t="s">
        <v>73</v>
      </c>
      <c r="D200" s="104" t="s">
        <v>240</v>
      </c>
      <c r="E200" s="15">
        <v>120</v>
      </c>
      <c r="F200" s="15">
        <v>334</v>
      </c>
      <c r="G200" s="20" t="s">
        <v>241</v>
      </c>
      <c r="H200" s="20">
        <v>0.8</v>
      </c>
      <c r="I200" s="48">
        <f>inputs!$C$65*inputs!$C$60/1000</f>
        <v>2.8</v>
      </c>
      <c r="J200" s="48">
        <f>inputs!$C$65*inputs!$C$59/1000</f>
        <v>2.8</v>
      </c>
      <c r="K200" s="59">
        <f t="shared" si="23"/>
        <v>0.99147475589165435</v>
      </c>
      <c r="L200" s="59">
        <f t="shared" si="26"/>
        <v>0.99147475589165435</v>
      </c>
      <c r="M200" s="59">
        <f>IF((((1.18*F200^0.874)/3.7-(0.301*F200^0.751)/(1-H200)*H200)*(MAX('Min rate concentrations'!$P$3:$P$368)))/F200&gt;0, (((1.18*F200^0.874)/3.7-(0.301*F200^0.751)/(1-H200)*H200)*(MAX('Min rate concentrations'!$P$3:$P$368)))/F200, 0)</f>
        <v>0</v>
      </c>
      <c r="N200" s="59">
        <f>IF((((1.18*F200^0.874)/3.7-(0.301*F200^0.751)/(1-H200)*H200)*(MAX('Min rate concentrations'!$Q$3:$Q$368)))/F200&gt;0, (((1.18*F200^0.874)/3.7-(0.301*F200^0.751)/(1-H200)*H200)*(MAX('Min rate concentrations'!$Q$3:$Q$368)))/F200, 0)</f>
        <v>0</v>
      </c>
      <c r="O200" s="59">
        <f>((MAX('Min rate concentrations'!$F$3:$F$368))*0.62*6.01*8*(10*F200^0.667)*0.079*0.1/F200)*inputs!$E$80/(10^(0.84+0.62*LOG10(inputs!$E$80)))</f>
        <v>3.5334146222857528</v>
      </c>
      <c r="P200" s="59">
        <f>((MAX('Min rate concentrations'!Y:Y))*0.62*6.01*8*(10*F200^0.667)*0.079*0.1/F200)*inputs!$E$80/(10^(0.84+0.62*LOG10(inputs!$E$80)))</f>
        <v>1.1778048740952511</v>
      </c>
      <c r="Q200" s="59">
        <f>(inputs!$C$7*11.2*(10*F200^0.667)*0.5/F200)*inputs!$E$80/(10^(0.84+0.62*LOG10(inputs!$E$80)))</f>
        <v>0.62239432008965578</v>
      </c>
      <c r="R200" s="59">
        <f>(60*284*((F200/1000)^0.77)*3*24*(MAX('Min rate concentrations'!$R$3:$R$368))/F200)*(inputs!$E$73*3.4/inputs!$E$75)</f>
        <v>6.0321734060342453E-3</v>
      </c>
      <c r="S200" s="59">
        <f>(IF(inputs!$C$6="aerial",((0.025*0.112*inputs!$C$7/3.3)*(3*60*284*((F200/1000)^0.77))*MAX(inputs!$H$14:$H$16))/F200,((0.0083*0.112*inputs!$C$7/1)*(3*60*284*((F200/1000)^0.77))*MAX(inputs!$H$14:$H$16))/F200))*(inputs!E$75*3.4/inputs!$E$73)</f>
        <v>3.3267806940813868E-2</v>
      </c>
      <c r="T200" s="63">
        <f>IF((((inputs!$P$12/(V200/MAX(K200:S200)))^(1/inputs!$O$12))-1)/inputs!$N$12&lt;0, 0, IF((((inputs!$P$12/(V200/MAX(K200:S200)))^(1/inputs!$O$12))-1)/inputs!$N$12&gt;inputs!$H$17, inputs!$H$17, (((inputs!$P$12/(V200/MAX(K200:S200)))^(1/inputs!$O$12))-1)/inputs!$N$12))</f>
        <v>183.13036221408444</v>
      </c>
      <c r="U200" s="63">
        <f>IF((((inputs!$P$12/(X200/MAX(K200:S200)))^(1/inputs!$O$12))-1)/inputs!$N$12&lt;0, 0, IF((((inputs!$P$12/(X200/MAX(K200:S200)))^(1/inputs!$O$12))-1)/inputs!$N$12&gt;inputs!$H$17, inputs!$H$17, (((inputs!$P$12/(X200/MAX(K200:S200)))^(1/inputs!$O$12))-1)/inputs!$N$12))</f>
        <v>0</v>
      </c>
      <c r="V200" s="21">
        <f>inputs!$E$78*(F200/inputs!$F$78)^(inputs!$E$84-1)</f>
        <v>1.2160947350059152E-2</v>
      </c>
      <c r="W200" s="21">
        <f>inputs!$E$85*(F200/inputs!$F$85)^(inputs!$E$84-1)</f>
        <v>0.56157014619463785</v>
      </c>
      <c r="X200" s="21">
        <f>inputs!$E$80*(F200/inputs!$F$80)^(inputs!$E$84-1)</f>
        <v>2.0970024446508626</v>
      </c>
      <c r="Y200" s="21">
        <f>inputs!$E$82*(F200/inputs!$F$82)^(inputs!$E$84-1)</f>
        <v>0.96647528939943783</v>
      </c>
      <c r="Z200" s="63">
        <f t="shared" si="24"/>
        <v>290.55422415495991</v>
      </c>
      <c r="AA200" s="63">
        <f t="shared" si="25"/>
        <v>6.2920271781347257</v>
      </c>
    </row>
    <row r="201" spans="1:27" x14ac:dyDescent="0.25">
      <c r="A201" s="103" t="s">
        <v>244</v>
      </c>
      <c r="B201" s="20" t="s">
        <v>245</v>
      </c>
      <c r="C201" s="20" t="s">
        <v>73</v>
      </c>
      <c r="D201" s="104" t="s">
        <v>240</v>
      </c>
      <c r="E201" s="15">
        <v>120</v>
      </c>
      <c r="F201" s="15">
        <v>334</v>
      </c>
      <c r="G201" s="20" t="s">
        <v>142</v>
      </c>
      <c r="H201" s="20">
        <v>0.69</v>
      </c>
      <c r="I201" s="48">
        <f>MAX('Min rate concentrations'!$H$3:$H$368)</f>
        <v>47</v>
      </c>
      <c r="J201" s="48">
        <f>MAX('Min rate concentrations'!AA:AA)</f>
        <v>32.5</v>
      </c>
      <c r="K201" s="59">
        <f t="shared" si="23"/>
        <v>10.73716901541653</v>
      </c>
      <c r="L201" s="59">
        <f t="shared" si="26"/>
        <v>7.4246381489582385</v>
      </c>
      <c r="M201" s="59">
        <f>IF((((1.18*F201^0.874)/3.7-(0.301*F201^0.751)/(1-H201)*H201)*(MAX('Min rate concentrations'!$P$3:$P$368)))/F201&gt;0, (((1.18*F201^0.874)/3.7-(0.301*F201^0.751)/(1-H201)*H201)*(MAX('Min rate concentrations'!$P$3:$P$368)))/F201, 0)</f>
        <v>0</v>
      </c>
      <c r="N201" s="59">
        <f>IF((((1.18*F201^0.874)/3.7-(0.301*F201^0.751)/(1-H201)*H201)*(MAX('Min rate concentrations'!$Q$3:$Q$368)))/F201&gt;0, (((1.18*F201^0.874)/3.7-(0.301*F201^0.751)/(1-H201)*H201)*(MAX('Min rate concentrations'!$Q$3:$Q$368)))/F201, 0)</f>
        <v>0</v>
      </c>
      <c r="O201" s="59">
        <f>((MAX('Min rate concentrations'!$F$3:$F$368))*0.62*6.01*8*(10*F201^0.667)*0.079*0.1/F201)*inputs!$E$80/(10^(0.84+0.62*LOG10(inputs!$E$80)))</f>
        <v>3.5334146222857528</v>
      </c>
      <c r="P201" s="59">
        <f>((MAX('Min rate concentrations'!Y:Y))*0.62*6.01*8*(10*F201^0.667)*0.079*0.1/F201)*inputs!$E$80/(10^(0.84+0.62*LOG10(inputs!$E$80)))</f>
        <v>1.1778048740952511</v>
      </c>
      <c r="Q201" s="59">
        <f>(inputs!$C$7*11.2*(10*F201^0.667)*0.5/F201)*inputs!$E$80/(10^(0.84+0.62*LOG10(inputs!$E$80)))</f>
        <v>0.62239432008965578</v>
      </c>
      <c r="R201" s="59">
        <f>(60*284*((F201/1000)^0.77)*3*24*(MAX('Min rate concentrations'!$R$3:$R$368))/F201)*(inputs!$E$73*3.4/inputs!$E$75)</f>
        <v>6.0321734060342453E-3</v>
      </c>
      <c r="S201" s="59">
        <f>(IF(inputs!$C$6="aerial",((0.025*0.112*inputs!$C$7/3.3)*(3*60*284*((F201/1000)^0.77))*MAX(inputs!$H$14:$H$16))/F201,((0.0083*0.112*inputs!$C$7/1)*(3*60*284*((F201/1000)^0.77))*MAX(inputs!$H$14:$H$16))/F201))*(inputs!E$75*3.4/inputs!$E$73)</f>
        <v>3.3267806940813868E-2</v>
      </c>
      <c r="T201" s="63">
        <f>IF((((inputs!$P$12/(V201/MAX(K201:S201)))^(1/inputs!$O$12))-1)/inputs!$N$12&lt;0, 0, IF((((inputs!$P$12/(V201/MAX(K201:S201)))^(1/inputs!$O$12))-1)/inputs!$N$12&gt;inputs!$H$17, inputs!$H$17, (((inputs!$P$12/(V201/MAX(K201:S201)))^(1/inputs!$O$12))-1)/inputs!$N$12))</f>
        <v>304.08282742645167</v>
      </c>
      <c r="U201" s="63">
        <f>IF((((inputs!$P$12/(X201/MAX(K201:S201)))^(1/inputs!$O$12))-1)/inputs!$N$12&lt;0, 0, IF((((inputs!$P$12/(X201/MAX(K201:S201)))^(1/inputs!$O$12))-1)/inputs!$N$12&gt;inputs!$H$17, inputs!$H$17, (((inputs!$P$12/(X201/MAX(K201:S201)))^(1/inputs!$O$12))-1)/inputs!$N$12))</f>
        <v>12.451991510954501</v>
      </c>
      <c r="V201" s="21">
        <f>inputs!$E$78*(F201/inputs!$F$78)^(inputs!$E$84-1)</f>
        <v>1.2160947350059152E-2</v>
      </c>
      <c r="W201" s="21">
        <f>inputs!$E$85*(F201/inputs!$F$85)^(inputs!$E$84-1)</f>
        <v>0.56157014619463785</v>
      </c>
      <c r="X201" s="21">
        <f>inputs!$E$80*(F201/inputs!$F$80)^(inputs!$E$84-1)</f>
        <v>2.0970024446508626</v>
      </c>
      <c r="Y201" s="21">
        <f>inputs!$E$82*(F201/inputs!$F$82)^(inputs!$E$84-1)</f>
        <v>0.96647528939943783</v>
      </c>
      <c r="Z201" s="63">
        <f t="shared" si="24"/>
        <v>882.92208709910278</v>
      </c>
      <c r="AA201" s="63">
        <f t="shared" si="25"/>
        <v>19.119907082266927</v>
      </c>
    </row>
    <row r="202" spans="1:27" x14ac:dyDescent="0.25">
      <c r="A202" s="103" t="s">
        <v>244</v>
      </c>
      <c r="B202" s="20" t="s">
        <v>245</v>
      </c>
      <c r="C202" s="20" t="s">
        <v>73</v>
      </c>
      <c r="D202" s="104" t="s">
        <v>240</v>
      </c>
      <c r="E202" s="15">
        <v>120</v>
      </c>
      <c r="F202" s="15">
        <v>334</v>
      </c>
      <c r="G202" s="20" t="s">
        <v>164</v>
      </c>
      <c r="H202" s="20">
        <v>0.78</v>
      </c>
      <c r="I202" s="48">
        <f>inputs!$C$65*(inputs!$C$62/1000)</f>
        <v>0.82000000000000006</v>
      </c>
      <c r="J202" s="48">
        <f>inputs!$C$65*(inputs!$C$61/1000)</f>
        <v>0.25</v>
      </c>
      <c r="K202" s="59">
        <f t="shared" si="23"/>
        <v>0.2639640583867392</v>
      </c>
      <c r="L202" s="59">
        <f t="shared" si="26"/>
        <v>8.0476847069127791E-2</v>
      </c>
      <c r="M202" s="59">
        <f>IF((((1.18*F202^0.874)/3.7-(0.301*F202^0.751)/(1-H202)*H202)*(MAX('Min rate concentrations'!$P$3:$P$368)))/F202&gt;0, (((1.18*F202^0.874)/3.7-(0.301*F202^0.751)/(1-H202)*H202)*(MAX('Min rate concentrations'!$P$3:$P$368)))/F202, 0)</f>
        <v>0</v>
      </c>
      <c r="N202" s="59">
        <f>IF((((1.18*F202^0.874)/3.7-(0.301*F202^0.751)/(1-H202)*H202)*(MAX('Min rate concentrations'!$Q$3:$Q$368)))/F202&gt;0, (((1.18*F202^0.874)/3.7-(0.301*F202^0.751)/(1-H202)*H202)*(MAX('Min rate concentrations'!$Q$3:$Q$368)))/F202, 0)</f>
        <v>0</v>
      </c>
      <c r="O202" s="59">
        <f>((MAX('Min rate concentrations'!$F$3:$F$368))*0.62*6.01*8*(10*F202^0.667)*0.079*0.1/F202)*inputs!$E$80/(10^(0.84+0.62*LOG10(inputs!$E$80)))</f>
        <v>3.5334146222857528</v>
      </c>
      <c r="P202" s="59">
        <f>((MAX('Min rate concentrations'!Y:Y))*0.62*6.01*8*(10*F202^0.667)*0.079*0.1/F202)*inputs!$E$80/(10^(0.84+0.62*LOG10(inputs!$E$80)))</f>
        <v>1.1778048740952511</v>
      </c>
      <c r="Q202" s="59">
        <f>(inputs!$C$7*11.2*(10*F202^0.667)*0.5/F202)*inputs!$E$80/(10^(0.84+0.62*LOG10(inputs!$E$80)))</f>
        <v>0.62239432008965578</v>
      </c>
      <c r="R202" s="59">
        <f>(60*284*((F202/1000)^0.77)*3*24*(MAX('Min rate concentrations'!$R$3:$R$368))/F202)*(inputs!$E$73*3.4/inputs!$E$75)</f>
        <v>6.0321734060342453E-3</v>
      </c>
      <c r="S202" s="59">
        <f>(IF(inputs!$C$6="aerial",((0.025*0.112*inputs!$C$7/3.3)*(3*60*284*((F202/1000)^0.77))*MAX(inputs!$H$14:$H$16))/F202,((0.0083*0.112*inputs!$C$7/1)*(3*60*284*((F202/1000)^0.77))*MAX(inputs!$H$14:$H$16))/F202))*(inputs!E$75*3.4/inputs!$E$73)</f>
        <v>3.3267806940813868E-2</v>
      </c>
      <c r="T202" s="63">
        <f>IF((((inputs!$P$12/(V202/MAX(K202:S202)))^(1/inputs!$O$12))-1)/inputs!$N$12&lt;0, 0, IF((((inputs!$P$12/(V202/MAX(K202:S202)))^(1/inputs!$O$12))-1)/inputs!$N$12&gt;inputs!$H$17, inputs!$H$17, (((inputs!$P$12/(V202/MAX(K202:S202)))^(1/inputs!$O$12))-1)/inputs!$N$12))</f>
        <v>183.13036221408444</v>
      </c>
      <c r="U202" s="63">
        <f>IF((((inputs!$P$12/(X202/MAX(K202:S202)))^(1/inputs!$O$12))-1)/inputs!$N$12&lt;0, 0, IF((((inputs!$P$12/(X202/MAX(K202:S202)))^(1/inputs!$O$12))-1)/inputs!$N$12&gt;inputs!$H$17, inputs!$H$17, (((inputs!$P$12/(X202/MAX(K202:S202)))^(1/inputs!$O$12))-1)/inputs!$N$12))</f>
        <v>0</v>
      </c>
      <c r="V202" s="21">
        <f>inputs!$E$78*(F202/inputs!$F$78)^(inputs!$E$84-1)</f>
        <v>1.2160947350059152E-2</v>
      </c>
      <c r="W202" s="21">
        <f>inputs!$E$85*(F202/inputs!$F$85)^(inputs!$E$84-1)</f>
        <v>0.56157014619463785</v>
      </c>
      <c r="X202" s="21">
        <f>inputs!$E$80*(F202/inputs!$F$80)^(inputs!$E$84-1)</f>
        <v>2.0970024446508626</v>
      </c>
      <c r="Y202" s="21">
        <f>inputs!$E$82*(F202/inputs!$F$82)^(inputs!$E$84-1)</f>
        <v>0.96647528939943783</v>
      </c>
      <c r="Z202" s="63">
        <f t="shared" si="24"/>
        <v>290.55422415495991</v>
      </c>
      <c r="AA202" s="63">
        <f t="shared" si="25"/>
        <v>6.2920271781347257</v>
      </c>
    </row>
    <row r="203" spans="1:27" x14ac:dyDescent="0.25">
      <c r="A203" s="103" t="s">
        <v>244</v>
      </c>
      <c r="B203" s="20" t="s">
        <v>245</v>
      </c>
      <c r="C203" s="20" t="s">
        <v>73</v>
      </c>
      <c r="D203" s="104" t="s">
        <v>240</v>
      </c>
      <c r="E203" s="15">
        <v>120</v>
      </c>
      <c r="F203" s="15">
        <v>334</v>
      </c>
      <c r="G203" s="20" t="s">
        <v>169</v>
      </c>
      <c r="H203" s="20">
        <v>0.79</v>
      </c>
      <c r="I203" s="48">
        <f>MAX('Min rate concentrations'!$D$3:$D$368)</f>
        <v>120</v>
      </c>
      <c r="J203" s="48">
        <f>MAX('Min rate concentrations'!W:W)</f>
        <v>42.5</v>
      </c>
      <c r="K203" s="59">
        <f t="shared" si="23"/>
        <v>40.468357383332837</v>
      </c>
      <c r="L203" s="59">
        <f t="shared" si="26"/>
        <v>14.332543239930377</v>
      </c>
      <c r="M203" s="59">
        <f>IF((((1.18*F203^0.874)/3.7-(0.301*F203^0.751)/(1-H203)*H203)*(MAX('Min rate concentrations'!$P$3:$P$368)))/F203&gt;0, (((1.18*F203^0.874)/3.7-(0.301*F203^0.751)/(1-H203)*H203)*(MAX('Min rate concentrations'!$P$3:$P$368)))/F203, 0)</f>
        <v>0</v>
      </c>
      <c r="N203" s="59">
        <f>IF((((1.18*F203^0.874)/3.7-(0.301*F203^0.751)/(1-H203)*H203)*(MAX('Min rate concentrations'!$Q$3:$Q$368)))/F203&gt;0, (((1.18*F203^0.874)/3.7-(0.301*F203^0.751)/(1-H203)*H203)*(MAX('Min rate concentrations'!$Q$3:$Q$368)))/F203, 0)</f>
        <v>0</v>
      </c>
      <c r="O203" s="59">
        <f>((MAX('Min rate concentrations'!$F$3:$F$368))*0.62*6.01*8*(10*F203^0.667)*0.079*0.1/F203)*inputs!$E$80/(10^(0.84+0.62*LOG10(inputs!$E$80)))</f>
        <v>3.5334146222857528</v>
      </c>
      <c r="P203" s="59">
        <f>((MAX('Min rate concentrations'!Y:Y))*0.62*6.01*8*(10*F203^0.667)*0.079*0.1/F203)*inputs!$E$80/(10^(0.84+0.62*LOG10(inputs!$E$80)))</f>
        <v>1.1778048740952511</v>
      </c>
      <c r="Q203" s="59">
        <f>(inputs!$C$7*11.2*(10*F203^0.667)*0.5/F203)*inputs!$E$80/(10^(0.84+0.62*LOG10(inputs!$E$80)))</f>
        <v>0.62239432008965578</v>
      </c>
      <c r="R203" s="59">
        <f>(60*284*((F203/1000)^0.77)*3*24*(MAX('Min rate concentrations'!$R$3:$R$368))/F203)*(inputs!$E$73*3.4/inputs!$E$75)</f>
        <v>6.0321734060342453E-3</v>
      </c>
      <c r="S203" s="59">
        <f>(IF(inputs!$C$6="aerial",((0.025*0.112*inputs!$C$7/3.3)*(3*60*284*((F203/1000)^0.77))*MAX(inputs!$H$14:$H$16))/F203,((0.0083*0.112*inputs!$C$7/1)*(3*60*284*((F203/1000)^0.77))*MAX(inputs!$H$14:$H$16))/F203))*(inputs!E$75*3.4/inputs!$E$73)</f>
        <v>3.3267806940813868E-2</v>
      </c>
      <c r="T203" s="63">
        <f>IF((((inputs!$P$12/(V203/MAX(K203:S203)))^(1/inputs!$O$12))-1)/inputs!$N$12&lt;0, 0, IF((((inputs!$P$12/(V203/MAX(K203:S203)))^(1/inputs!$O$12))-1)/inputs!$N$12&gt;inputs!$H$17, inputs!$H$17, (((inputs!$P$12/(V203/MAX(K203:S203)))^(1/inputs!$O$12))-1)/inputs!$N$12))</f>
        <v>542.01346336066513</v>
      </c>
      <c r="U203" s="63">
        <f>IF((((inputs!$P$12/(X203/MAX(K203:S203)))^(1/inputs!$O$12))-1)/inputs!$N$12&lt;0, 0, IF((((inputs!$P$12/(X203/MAX(K203:S203)))^(1/inputs!$O$12))-1)/inputs!$N$12&gt;inputs!$H$17, inputs!$H$17, (((inputs!$P$12/(X203/MAX(K203:S203)))^(1/inputs!$O$12))-1)/inputs!$N$12))</f>
        <v>41.742899298424511</v>
      </c>
      <c r="V203" s="21">
        <f>inputs!$E$78*(F203/inputs!$F$78)^(inputs!$E$84-1)</f>
        <v>1.2160947350059152E-2</v>
      </c>
      <c r="W203" s="21">
        <f>inputs!$E$85*(F203/inputs!$F$85)^(inputs!$E$84-1)</f>
        <v>0.56157014619463785</v>
      </c>
      <c r="X203" s="21">
        <f>inputs!$E$80*(F203/inputs!$F$80)^(inputs!$E$84-1)</f>
        <v>2.0970024446508626</v>
      </c>
      <c r="Y203" s="21">
        <f>inputs!$E$82*(F203/inputs!$F$82)^(inputs!$E$84-1)</f>
        <v>0.96647528939943783</v>
      </c>
      <c r="Z203" s="63">
        <f t="shared" si="24"/>
        <v>3327.7306626227596</v>
      </c>
      <c r="AA203" s="63">
        <f t="shared" si="25"/>
        <v>72.062871677844981</v>
      </c>
    </row>
    <row r="204" spans="1:27" x14ac:dyDescent="0.25">
      <c r="A204" s="103" t="s">
        <v>244</v>
      </c>
      <c r="B204" s="20" t="s">
        <v>245</v>
      </c>
      <c r="C204" s="20" t="s">
        <v>73</v>
      </c>
      <c r="D204" s="104" t="s">
        <v>240</v>
      </c>
      <c r="E204" s="15">
        <v>120</v>
      </c>
      <c r="F204" s="15">
        <v>334</v>
      </c>
      <c r="G204" s="20" t="s">
        <v>158</v>
      </c>
      <c r="H204" s="20">
        <v>0.85</v>
      </c>
      <c r="I204" s="48">
        <f>MAX('Min rate concentrations'!$F$3:$F$368)</f>
        <v>67.5</v>
      </c>
      <c r="J204" s="48">
        <f>MAX('Min rate concentrations'!Y:Y)</f>
        <v>22.5</v>
      </c>
      <c r="K204" s="59">
        <f t="shared" si="23"/>
        <v>31.868831439374592</v>
      </c>
      <c r="L204" s="59">
        <f t="shared" si="26"/>
        <v>10.622943813124865</v>
      </c>
      <c r="M204" s="59">
        <f>IF((((1.18*F204^0.874)/3.7-(0.301*F204^0.751)/(1-H204)*H204)*(MAX('Min rate concentrations'!$P$3:$P$368)))/F204&gt;0, (((1.18*F204^0.874)/3.7-(0.301*F204^0.751)/(1-H204)*H204)*(MAX('Min rate concentrations'!$P$3:$P$368)))/F204, 0)</f>
        <v>0</v>
      </c>
      <c r="N204" s="59">
        <f>IF((((1.18*F204^0.874)/3.7-(0.301*F204^0.751)/(1-H204)*H204)*(MAX('Min rate concentrations'!$Q$3:$Q$368)))/F204&gt;0, (((1.18*F204^0.874)/3.7-(0.301*F204^0.751)/(1-H204)*H204)*(MAX('Min rate concentrations'!$Q$3:$Q$368)))/F204, 0)</f>
        <v>0</v>
      </c>
      <c r="O204" s="59">
        <f>((MAX('Min rate concentrations'!$F$3:$F$368))*0.62*6.01*8*(10*F204^0.667)*0.079*0.1/F204)*inputs!$E$80/(10^(0.84+0.62*LOG10(inputs!$E$80)))</f>
        <v>3.5334146222857528</v>
      </c>
      <c r="P204" s="59">
        <f>((MAX('Min rate concentrations'!Y:Y))*0.62*6.01*8*(10*F204^0.667)*0.079*0.1/F204)*inputs!$E$80/(10^(0.84+0.62*LOG10(inputs!$E$80)))</f>
        <v>1.1778048740952511</v>
      </c>
      <c r="Q204" s="59">
        <f>(inputs!$C$7*11.2*(10*F204^0.667)*0.5/F204)*inputs!$E$80/(10^(0.84+0.62*LOG10(inputs!$E$80)))</f>
        <v>0.62239432008965578</v>
      </c>
      <c r="R204" s="59">
        <f>(60*284*((F204/1000)^0.77)*3*24*(MAX('Min rate concentrations'!$R$3:$R$368))/F204)*(inputs!$E$73*3.4/inputs!$E$75)</f>
        <v>6.0321734060342453E-3</v>
      </c>
      <c r="S204" s="59">
        <f>(IF(inputs!$C$6="aerial",((0.025*0.112*inputs!$C$7/3.3)*(3*60*284*((F204/1000)^0.77))*MAX(inputs!$H$14:$H$16))/F204,((0.0083*0.112*inputs!$C$7/1)*(3*60*284*((F204/1000)^0.77))*MAX(inputs!$H$14:$H$16))/F204))*(inputs!E$75*3.4/inputs!$E$73)</f>
        <v>3.3267806940813868E-2</v>
      </c>
      <c r="T204" s="63">
        <f>IF((((inputs!$P$12/(V204/MAX(K204:S204)))^(1/inputs!$O$12))-1)/inputs!$N$12&lt;0, 0, IF((((inputs!$P$12/(V204/MAX(K204:S204)))^(1/inputs!$O$12))-1)/inputs!$N$12&gt;inputs!$H$17, inputs!$H$17, (((inputs!$P$12/(V204/MAX(K204:S204)))^(1/inputs!$O$12))-1)/inputs!$N$12))</f>
        <v>489.18798868061657</v>
      </c>
      <c r="U204" s="63">
        <f>IF((((inputs!$P$12/(X204/MAX(K204:S204)))^(1/inputs!$O$12))-1)/inputs!$N$12&lt;0, 0, IF((((inputs!$P$12/(X204/MAX(K204:S204)))^(1/inputs!$O$12))-1)/inputs!$N$12&gt;inputs!$H$17, inputs!$H$17, (((inputs!$P$12/(X204/MAX(K204:S204)))^(1/inputs!$O$12))-1)/inputs!$N$12))</f>
        <v>35.239717807704416</v>
      </c>
      <c r="V204" s="21">
        <f>inputs!$E$78*(F204/inputs!$F$78)^(inputs!$E$84-1)</f>
        <v>1.2160947350059152E-2</v>
      </c>
      <c r="W204" s="21">
        <f>inputs!$E$85*(F204/inputs!$F$85)^(inputs!$E$84-1)</f>
        <v>0.56157014619463785</v>
      </c>
      <c r="X204" s="21">
        <f>inputs!$E$80*(F204/inputs!$F$80)^(inputs!$E$84-1)</f>
        <v>2.0970024446508626</v>
      </c>
      <c r="Y204" s="21">
        <f>inputs!$E$82*(F204/inputs!$F$82)^(inputs!$E$84-1)</f>
        <v>0.96647528939943783</v>
      </c>
      <c r="Z204" s="63">
        <f t="shared" si="24"/>
        <v>2620.587896815422</v>
      </c>
      <c r="AA204" s="63">
        <f t="shared" si="25"/>
        <v>56.749511446302897</v>
      </c>
    </row>
    <row r="205" spans="1:27" x14ac:dyDescent="0.25">
      <c r="A205" s="103" t="s">
        <v>253</v>
      </c>
      <c r="B205" s="20" t="s">
        <v>254</v>
      </c>
      <c r="C205" s="20" t="s">
        <v>73</v>
      </c>
      <c r="D205" s="104" t="s">
        <v>240</v>
      </c>
      <c r="E205" s="15">
        <v>110</v>
      </c>
      <c r="F205" s="15">
        <v>2450</v>
      </c>
      <c r="G205" s="20" t="s">
        <v>182</v>
      </c>
      <c r="H205" s="20">
        <v>0.85</v>
      </c>
      <c r="I205" s="48">
        <f>MAX('Min rate concentrations'!$M$3:$M$368)</f>
        <v>2.8488184789681945</v>
      </c>
      <c r="J205" s="48">
        <f>MAX('Min rate concentrations'!AE:AE)</f>
        <v>1.9699276716269429</v>
      </c>
      <c r="K205" s="59">
        <f t="shared" si="23"/>
        <v>0.81891279976706011</v>
      </c>
      <c r="L205" s="59">
        <f t="shared" si="26"/>
        <v>0.56626948920062659</v>
      </c>
      <c r="M205" s="59">
        <f>IF((((1.18*F205^0.874)/3.7-(0.301*F205^0.751)/(1-H205)*H205)*(MAX('Min rate concentrations'!$P$3:$P$368)))/F205&gt;0, (((1.18*F205^0.874)/3.7-(0.301*F205^0.751)/(1-H205)*H205)*(MAX('Min rate concentrations'!$P$3:$P$368)))/F205, 0)</f>
        <v>0</v>
      </c>
      <c r="N205" s="59">
        <f>IF((((1.18*F205^0.874)/3.7-(0.301*F205^0.751)/(1-H205)*H205)*(MAX('Min rate concentrations'!$Q$3:$Q$368)))/F205&gt;0, (((1.18*F205^0.874)/3.7-(0.301*F205^0.751)/(1-H205)*H205)*(MAX('Min rate concentrations'!$Q$3:$Q$368)))/F205, 0)</f>
        <v>0</v>
      </c>
      <c r="O205" s="59">
        <f>((MAX('Min rate concentrations'!$F$3:$F$368))*0.62*6.01*8*(10*F205^0.667)*0.079*0.1/F205)*inputs!$E$80/(10^(0.84+0.62*LOG10(inputs!$E$80)))</f>
        <v>1.8197422115943209</v>
      </c>
      <c r="P205" s="59">
        <f>((MAX('Min rate concentrations'!Y:Y))*0.62*6.01*8*(10*F205^0.667)*0.079*0.1/F205)*inputs!$E$80/(10^(0.84+0.62*LOG10(inputs!$E$80)))</f>
        <v>0.60658073719810679</v>
      </c>
      <c r="Q205" s="59">
        <f>(inputs!$C$7*11.2*(10*F205^0.667)*0.5/F205)*inputs!$E$80/(10^(0.84+0.62*LOG10(inputs!$E$80)))</f>
        <v>0.32053900761610038</v>
      </c>
      <c r="R205" s="59">
        <f>(60*284*((F205/1000)^0.77)*3*24*(MAX('Min rate concentrations'!$R$3:$R$368))/F205)*(inputs!$E$73*3.4/inputs!$E$75)</f>
        <v>3.8144094143286534E-3</v>
      </c>
      <c r="S205" s="59">
        <f>(IF(inputs!$C$6="aerial",((0.025*0.112*inputs!$C$7/3.3)*(3*60*284*((F205/1000)^0.77))*MAX(inputs!$H$14:$H$16))/F205,((0.0083*0.112*inputs!$C$7/1)*(3*60*284*((F205/1000)^0.77))*MAX(inputs!$H$14:$H$16))/F205))*(inputs!E$75*3.4/inputs!$E$73)</f>
        <v>2.1036702270887626E-2</v>
      </c>
      <c r="T205" s="63">
        <f>IF((((inputs!$P$12/(V205/MAX(K205:S205)))^(1/inputs!$O$12))-1)/inputs!$N$12&lt;0, 0, IF((((inputs!$P$12/(V205/MAX(K205:S205)))^(1/inputs!$O$12))-1)/inputs!$N$12&gt;inputs!$H$17, inputs!$H$17, (((inputs!$P$12/(V205/MAX(K205:S205)))^(1/inputs!$O$12))-1)/inputs!$N$12))</f>
        <v>189.57267785912933</v>
      </c>
      <c r="U205" s="63">
        <f>IF((((inputs!$P$12/(X205/MAX(K205:S205)))^(1/inputs!$O$12))-1)/inputs!$N$12&lt;0, 0, IF((((inputs!$P$12/(X205/MAX(K205:S205)))^(1/inputs!$O$12))-1)/inputs!$N$12&gt;inputs!$H$17, inputs!$H$17, (((inputs!$P$12/(X205/MAX(K205:S205)))^(1/inputs!$O$12))-1)/inputs!$N$12))</f>
        <v>0</v>
      </c>
      <c r="V205" s="21">
        <f>inputs!$E$78*(F205/inputs!$F$78)^(inputs!$E$84-1)</f>
        <v>5.8178450431225284E-3</v>
      </c>
      <c r="W205" s="21">
        <f>inputs!$E$85*(F205/inputs!$F$85)^(inputs!$E$84-1)</f>
        <v>0.26865736668025103</v>
      </c>
      <c r="X205" s="21">
        <f>inputs!$E$80*(F205/inputs!$F$80)^(inputs!$E$84-1)</f>
        <v>1.0032142173503045</v>
      </c>
      <c r="Y205" s="21">
        <f>inputs!$E$82*(F205/inputs!$F$82)^(inputs!$E$84-1)</f>
        <v>0.46236557974289572</v>
      </c>
      <c r="Z205" s="63">
        <f t="shared" si="24"/>
        <v>312.78629769376545</v>
      </c>
      <c r="AA205" s="63">
        <f t="shared" si="25"/>
        <v>6.7734685040672291</v>
      </c>
    </row>
    <row r="206" spans="1:27" x14ac:dyDescent="0.25">
      <c r="A206" s="103" t="s">
        <v>253</v>
      </c>
      <c r="B206" s="20" t="s">
        <v>254</v>
      </c>
      <c r="C206" s="20" t="s">
        <v>73</v>
      </c>
      <c r="D206" s="104" t="s">
        <v>240</v>
      </c>
      <c r="E206" s="15">
        <v>110</v>
      </c>
      <c r="F206" s="15">
        <v>2450</v>
      </c>
      <c r="G206" s="20" t="s">
        <v>142</v>
      </c>
      <c r="H206" s="20">
        <v>0.69</v>
      </c>
      <c r="I206" s="48">
        <f>MAX('Min rate concentrations'!$H$3:$H$368)</f>
        <v>47</v>
      </c>
      <c r="J206" s="48">
        <f>MAX('Min rate concentrations'!AA:AA)</f>
        <v>32.5</v>
      </c>
      <c r="K206" s="59">
        <f t="shared" si="23"/>
        <v>6.5373284386879842</v>
      </c>
      <c r="L206" s="59">
        <f t="shared" si="26"/>
        <v>4.5204930693055214</v>
      </c>
      <c r="M206" s="59">
        <f>IF((((1.18*F206^0.874)/3.7-(0.301*F206^0.751)/(1-H206)*H206)*(MAX('Min rate concentrations'!$P$3:$P$368)))/F206&gt;0, (((1.18*F206^0.874)/3.7-(0.301*F206^0.751)/(1-H206)*H206)*(MAX('Min rate concentrations'!$P$3:$P$368)))/F206, 0)</f>
        <v>3.3859848777881433E-3</v>
      </c>
      <c r="N206" s="59">
        <f>IF((((1.18*F206^0.874)/3.7-(0.301*F206^0.751)/(1-H206)*H206)*(MAX('Min rate concentrations'!$Q$3:$Q$368)))/F206&gt;0, (((1.18*F206^0.874)/3.7-(0.301*F206^0.751)/(1-H206)*H206)*(MAX('Min rate concentrations'!$Q$3:$Q$368)))/F206, 0)</f>
        <v>1.2894012349290551E-2</v>
      </c>
      <c r="O206" s="59">
        <f>((MAX('Min rate concentrations'!$F$3:$F$368))*0.62*6.01*8*(10*F206^0.667)*0.079*0.1/F206)*inputs!$E$80/(10^(0.84+0.62*LOG10(inputs!$E$80)))</f>
        <v>1.8197422115943209</v>
      </c>
      <c r="P206" s="59">
        <f>((MAX('Min rate concentrations'!Y:Y))*0.62*6.01*8*(10*F206^0.667)*0.079*0.1/F206)*inputs!$E$80/(10^(0.84+0.62*LOG10(inputs!$E$80)))</f>
        <v>0.60658073719810679</v>
      </c>
      <c r="Q206" s="59">
        <f>(inputs!$C$7*11.2*(10*F206^0.667)*0.5/F206)*inputs!$E$80/(10^(0.84+0.62*LOG10(inputs!$E$80)))</f>
        <v>0.32053900761610038</v>
      </c>
      <c r="R206" s="59">
        <f>(60*284*((F206/1000)^0.77)*3*24*(MAX('Min rate concentrations'!$R$3:$R$368))/F206)*(inputs!$E$73*3.4/inputs!$E$75)</f>
        <v>3.8144094143286534E-3</v>
      </c>
      <c r="S206" s="59">
        <f>(IF(inputs!$C$6="aerial",((0.025*0.112*inputs!$C$7/3.3)*(3*60*284*((F206/1000)^0.77))*MAX(inputs!$H$14:$H$16))/F206,((0.0083*0.112*inputs!$C$7/1)*(3*60*284*((F206/1000)^0.77))*MAX(inputs!$H$14:$H$16))/F206))*(inputs!E$75*3.4/inputs!$E$73)</f>
        <v>2.1036702270887626E-2</v>
      </c>
      <c r="T206" s="63">
        <f>IF((((inputs!$P$12/(V206/MAX(K206:S206)))^(1/inputs!$O$12))-1)/inputs!$N$12&lt;0, 0, IF((((inputs!$P$12/(V206/MAX(K206:S206)))^(1/inputs!$O$12))-1)/inputs!$N$12&gt;inputs!$H$17, inputs!$H$17, (((inputs!$P$12/(V206/MAX(K206:S206)))^(1/inputs!$O$12))-1)/inputs!$N$12))</f>
        <v>338.35144289567626</v>
      </c>
      <c r="U206" s="63">
        <f>IF((((inputs!$P$12/(X206/MAX(K206:S206)))^(1/inputs!$O$12))-1)/inputs!$N$12&lt;0, 0, IF((((inputs!$P$12/(X206/MAX(K206:S206)))^(1/inputs!$O$12))-1)/inputs!$N$12&gt;inputs!$H$17, inputs!$H$17, (((inputs!$P$12/(X206/MAX(K206:S206)))^(1/inputs!$O$12))-1)/inputs!$N$12))</f>
        <v>16.670695217487097</v>
      </c>
      <c r="V206" s="21">
        <f>inputs!$E$78*(F206/inputs!$F$78)^(inputs!$E$84-1)</f>
        <v>5.8178450431225284E-3</v>
      </c>
      <c r="W206" s="21">
        <f>inputs!$E$85*(F206/inputs!$F$85)^(inputs!$E$84-1)</f>
        <v>0.26865736668025103</v>
      </c>
      <c r="X206" s="21">
        <f>inputs!$E$80*(F206/inputs!$F$80)^(inputs!$E$84-1)</f>
        <v>1.0032142173503045</v>
      </c>
      <c r="Y206" s="21">
        <f>inputs!$E$82*(F206/inputs!$F$82)^(inputs!$E$84-1)</f>
        <v>0.46236557974289572</v>
      </c>
      <c r="Z206" s="63">
        <f t="shared" si="24"/>
        <v>1123.6683669352765</v>
      </c>
      <c r="AA206" s="63">
        <f t="shared" si="25"/>
        <v>24.333330291547679</v>
      </c>
    </row>
    <row r="207" spans="1:27" x14ac:dyDescent="0.25">
      <c r="A207" s="103" t="s">
        <v>253</v>
      </c>
      <c r="B207" s="20" t="s">
        <v>254</v>
      </c>
      <c r="C207" s="20" t="s">
        <v>73</v>
      </c>
      <c r="D207" s="104" t="s">
        <v>240</v>
      </c>
      <c r="E207" s="15">
        <v>110</v>
      </c>
      <c r="F207" s="15">
        <v>2450</v>
      </c>
      <c r="G207" s="20" t="s">
        <v>164</v>
      </c>
      <c r="H207" s="20">
        <v>0.78</v>
      </c>
      <c r="I207" s="48">
        <f>inputs!$C$65*(inputs!$C$62/1000)</f>
        <v>0.82000000000000006</v>
      </c>
      <c r="J207" s="48">
        <f>inputs!$C$65*(inputs!$C$61/1000)</f>
        <v>0.25</v>
      </c>
      <c r="K207" s="59">
        <f t="shared" si="23"/>
        <v>0.16071459275768726</v>
      </c>
      <c r="L207" s="59">
        <f t="shared" si="26"/>
        <v>4.8998351450514406E-2</v>
      </c>
      <c r="M207" s="59">
        <f>IF((((1.18*F207^0.874)/3.7-(0.301*F207^0.751)/(1-H207)*H207)*(MAX('Min rate concentrations'!$P$3:$P$368)))/F207&gt;0, (((1.18*F207^0.874)/3.7-(0.301*F207^0.751)/(1-H207)*H207)*(MAX('Min rate concentrations'!$P$3:$P$368)))/F207, 0)</f>
        <v>0</v>
      </c>
      <c r="N207" s="59">
        <f>IF((((1.18*F207^0.874)/3.7-(0.301*F207^0.751)/(1-H207)*H207)*(MAX('Min rate concentrations'!$Q$3:$Q$368)))/F207&gt;0, (((1.18*F207^0.874)/3.7-(0.301*F207^0.751)/(1-H207)*H207)*(MAX('Min rate concentrations'!$Q$3:$Q$368)))/F207, 0)</f>
        <v>0</v>
      </c>
      <c r="O207" s="59">
        <f>((MAX('Min rate concentrations'!$F$3:$F$368))*0.62*6.01*8*(10*F207^0.667)*0.079*0.1/F207)*inputs!$E$80/(10^(0.84+0.62*LOG10(inputs!$E$80)))</f>
        <v>1.8197422115943209</v>
      </c>
      <c r="P207" s="59">
        <f>((MAX('Min rate concentrations'!Y:Y))*0.62*6.01*8*(10*F207^0.667)*0.079*0.1/F207)*inputs!$E$80/(10^(0.84+0.62*LOG10(inputs!$E$80)))</f>
        <v>0.60658073719810679</v>
      </c>
      <c r="Q207" s="59">
        <f>(inputs!$C$7*11.2*(10*F207^0.667)*0.5/F207)*inputs!$E$80/(10^(0.84+0.62*LOG10(inputs!$E$80)))</f>
        <v>0.32053900761610038</v>
      </c>
      <c r="R207" s="59">
        <f>(60*284*((F207/1000)^0.77)*3*24*(MAX('Min rate concentrations'!$R$3:$R$368))/F207)*(inputs!$E$73*3.4/inputs!$E$75)</f>
        <v>3.8144094143286534E-3</v>
      </c>
      <c r="S207" s="59">
        <f>(IF(inputs!$C$6="aerial",((0.025*0.112*inputs!$C$7/3.3)*(3*60*284*((F207/1000)^0.77))*MAX(inputs!$H$14:$H$16))/F207,((0.0083*0.112*inputs!$C$7/1)*(3*60*284*((F207/1000)^0.77))*MAX(inputs!$H$14:$H$16))/F207))*(inputs!E$75*3.4/inputs!$E$73)</f>
        <v>2.1036702270887626E-2</v>
      </c>
      <c r="T207" s="63">
        <f>IF((((inputs!$P$12/(V207/MAX(K207:S207)))^(1/inputs!$O$12))-1)/inputs!$N$12&lt;0, 0, IF((((inputs!$P$12/(V207/MAX(K207:S207)))^(1/inputs!$O$12))-1)/inputs!$N$12&gt;inputs!$H$17, inputs!$H$17, (((inputs!$P$12/(V207/MAX(K207:S207)))^(1/inputs!$O$12))-1)/inputs!$N$12))</f>
        <v>189.57267785912933</v>
      </c>
      <c r="U207" s="63">
        <f>IF((((inputs!$P$12/(X207/MAX(K207:S207)))^(1/inputs!$O$12))-1)/inputs!$N$12&lt;0, 0, IF((((inputs!$P$12/(X207/MAX(K207:S207)))^(1/inputs!$O$12))-1)/inputs!$N$12&gt;inputs!$H$17, inputs!$H$17, (((inputs!$P$12/(X207/MAX(K207:S207)))^(1/inputs!$O$12))-1)/inputs!$N$12))</f>
        <v>0</v>
      </c>
      <c r="V207" s="21">
        <f>inputs!$E$78*(F207/inputs!$F$78)^(inputs!$E$84-1)</f>
        <v>5.8178450431225284E-3</v>
      </c>
      <c r="W207" s="21">
        <f>inputs!$E$85*(F207/inputs!$F$85)^(inputs!$E$84-1)</f>
        <v>0.26865736668025103</v>
      </c>
      <c r="X207" s="21">
        <f>inputs!$E$80*(F207/inputs!$F$80)^(inputs!$E$84-1)</f>
        <v>1.0032142173503045</v>
      </c>
      <c r="Y207" s="21">
        <f>inputs!$E$82*(F207/inputs!$F$82)^(inputs!$E$84-1)</f>
        <v>0.46236557974289572</v>
      </c>
      <c r="Z207" s="63">
        <f t="shared" si="24"/>
        <v>312.78629769376545</v>
      </c>
      <c r="AA207" s="63">
        <f t="shared" si="25"/>
        <v>6.7734685040672291</v>
      </c>
    </row>
    <row r="208" spans="1:27" x14ac:dyDescent="0.25">
      <c r="A208" s="103" t="s">
        <v>253</v>
      </c>
      <c r="B208" s="20" t="s">
        <v>254</v>
      </c>
      <c r="C208" s="20" t="s">
        <v>73</v>
      </c>
      <c r="D208" s="104" t="s">
        <v>240</v>
      </c>
      <c r="E208" s="15">
        <v>110</v>
      </c>
      <c r="F208" s="15">
        <v>2450</v>
      </c>
      <c r="G208" s="20" t="s">
        <v>138</v>
      </c>
      <c r="H208" s="20">
        <v>0.68</v>
      </c>
      <c r="I208" s="48">
        <f>MAX('Min rate concentrations'!$L$3:$L$368)</f>
        <v>58.421240152220811</v>
      </c>
      <c r="J208" s="48">
        <f>MAX('Min rate concentrations'!AD:AD)</f>
        <v>40.397666062705881</v>
      </c>
      <c r="K208" s="59">
        <f t="shared" si="23"/>
        <v>7.8719972571719019</v>
      </c>
      <c r="L208" s="59">
        <f t="shared" si="26"/>
        <v>5.4434023586826985</v>
      </c>
      <c r="M208" s="59">
        <f>IF((((1.18*F208^0.874)/3.7-(0.301*F208^0.751)/(1-H208)*H208)*(MAX('Min rate concentrations'!$P$3:$P$368)))/F208&gt;0, (((1.18*F208^0.874)/3.7-(0.301*F208^0.751)/(1-H208)*H208)*(MAX('Min rate concentrations'!$P$3:$P$368)))/F208, 0)</f>
        <v>4.0168893661450353E-3</v>
      </c>
      <c r="N208" s="59">
        <f>IF((((1.18*F208^0.874)/3.7-(0.301*F208^0.751)/(1-H208)*H208)*(MAX('Min rate concentrations'!$Q$3:$Q$368)))/F208&gt;0, (((1.18*F208^0.874)/3.7-(0.301*F208^0.751)/(1-H208)*H208)*(MAX('Min rate concentrations'!$Q$3:$Q$368)))/F208, 0)</f>
        <v>1.5296530540514908E-2</v>
      </c>
      <c r="O208" s="59">
        <f>((MAX('Min rate concentrations'!$F$3:$F$368))*0.62*6.01*8*(10*F208^0.667)*0.079*0.1/F208)*inputs!$E$80/(10^(0.84+0.62*LOG10(inputs!$E$80)))</f>
        <v>1.8197422115943209</v>
      </c>
      <c r="P208" s="59">
        <f>((MAX('Min rate concentrations'!Y:Y))*0.62*6.01*8*(10*F208^0.667)*0.079*0.1/F208)*inputs!$E$80/(10^(0.84+0.62*LOG10(inputs!$E$80)))</f>
        <v>0.60658073719810679</v>
      </c>
      <c r="Q208" s="59">
        <f>(inputs!$C$7*11.2*(10*F208^0.667)*0.5/F208)*inputs!$E$80/(10^(0.84+0.62*LOG10(inputs!$E$80)))</f>
        <v>0.32053900761610038</v>
      </c>
      <c r="R208" s="59">
        <f>(60*284*((F208/1000)^0.77)*3*24*(MAX('Min rate concentrations'!$R$3:$R$368))/F208)*(inputs!$E$73*3.4/inputs!$E$75)</f>
        <v>3.8144094143286534E-3</v>
      </c>
      <c r="S208" s="59">
        <f>(IF(inputs!$C$6="aerial",((0.025*0.112*inputs!$C$7/3.3)*(3*60*284*((F208/1000)^0.77))*MAX(inputs!$H$14:$H$16))/F208,((0.0083*0.112*inputs!$C$7/1)*(3*60*284*((F208/1000)^0.77))*MAX(inputs!$H$14:$H$16))/F208))*(inputs!E$75*3.4/inputs!$E$73)</f>
        <v>2.1036702270887626E-2</v>
      </c>
      <c r="T208" s="63">
        <f>IF((((inputs!$P$12/(V208/MAX(K208:S208)))^(1/inputs!$O$12))-1)/inputs!$N$12&lt;0, 0, IF((((inputs!$P$12/(V208/MAX(K208:S208)))^(1/inputs!$O$12))-1)/inputs!$N$12&gt;inputs!$H$17, inputs!$H$17, (((inputs!$P$12/(V208/MAX(K208:S208)))^(1/inputs!$O$12))-1)/inputs!$N$12))</f>
        <v>367.14590838696739</v>
      </c>
      <c r="U208" s="63">
        <f>IF((((inputs!$P$12/(X208/MAX(K208:S208)))^(1/inputs!$O$12))-1)/inputs!$N$12&lt;0, 0, IF((((inputs!$P$12/(X208/MAX(K208:S208)))^(1/inputs!$O$12))-1)/inputs!$N$12&gt;inputs!$H$17, inputs!$H$17, (((inputs!$P$12/(X208/MAX(K208:S208)))^(1/inputs!$O$12))-1)/inputs!$N$12))</f>
        <v>20.215493180066812</v>
      </c>
      <c r="V208" s="21">
        <f>inputs!$E$78*(F208/inputs!$F$78)^(inputs!$E$84-1)</f>
        <v>5.8178450431225284E-3</v>
      </c>
      <c r="W208" s="21">
        <f>inputs!$E$85*(F208/inputs!$F$85)^(inputs!$E$84-1)</f>
        <v>0.26865736668025103</v>
      </c>
      <c r="X208" s="21">
        <f>inputs!$E$80*(F208/inputs!$F$80)^(inputs!$E$84-1)</f>
        <v>1.0032142173503045</v>
      </c>
      <c r="Y208" s="21">
        <f>inputs!$E$82*(F208/inputs!$F$82)^(inputs!$E$84-1)</f>
        <v>0.46236557974289572</v>
      </c>
      <c r="Z208" s="63">
        <f t="shared" si="24"/>
        <v>1353.0778490701907</v>
      </c>
      <c r="AA208" s="63">
        <f t="shared" si="25"/>
        <v>29.3012522025534</v>
      </c>
    </row>
    <row r="209" spans="1:27" x14ac:dyDescent="0.25">
      <c r="A209" s="103" t="s">
        <v>253</v>
      </c>
      <c r="B209" s="20" t="s">
        <v>254</v>
      </c>
      <c r="C209" s="20" t="s">
        <v>73</v>
      </c>
      <c r="D209" s="104" t="s">
        <v>240</v>
      </c>
      <c r="E209" s="15">
        <v>110</v>
      </c>
      <c r="F209" s="15">
        <v>2450</v>
      </c>
      <c r="G209" s="20" t="s">
        <v>152</v>
      </c>
      <c r="H209" s="20">
        <v>0.77</v>
      </c>
      <c r="I209" s="48">
        <f>MAX('Min rate concentrations'!$G$3:$G$368)</f>
        <v>7.5</v>
      </c>
      <c r="J209" s="48">
        <f>MAX('Min rate concentrations'!Z:Z)</f>
        <v>3.5</v>
      </c>
      <c r="K209" s="59">
        <f t="shared" si="23"/>
        <v>1.4060396503191088</v>
      </c>
      <c r="L209" s="59">
        <f t="shared" si="26"/>
        <v>0.6561518368155842</v>
      </c>
      <c r="M209" s="59">
        <f>IF((((1.18*F209^0.874)/3.7-(0.301*F209^0.751)/(1-H209)*H209)*(MAX('Min rate concentrations'!$P$3:$P$368)))/F209&gt;0, (((1.18*F209^0.874)/3.7-(0.301*F209^0.751)/(1-H209)*H209)*(MAX('Min rate concentrations'!$P$3:$P$368)))/F209, 0)</f>
        <v>0</v>
      </c>
      <c r="N209" s="59">
        <f>IF((((1.18*F209^0.874)/3.7-(0.301*F209^0.751)/(1-H209)*H209)*(MAX('Min rate concentrations'!$Q$3:$Q$368)))/F209&gt;0, (((1.18*F209^0.874)/3.7-(0.301*F209^0.751)/(1-H209)*H209)*(MAX('Min rate concentrations'!$Q$3:$Q$368)))/F209, 0)</f>
        <v>0</v>
      </c>
      <c r="O209" s="59">
        <f>((MAX('Min rate concentrations'!$F$3:$F$368))*0.62*6.01*8*(10*F209^0.667)*0.079*0.1/F209)*inputs!$E$80/(10^(0.84+0.62*LOG10(inputs!$E$80)))</f>
        <v>1.8197422115943209</v>
      </c>
      <c r="P209" s="59">
        <f>((MAX('Min rate concentrations'!Y:Y))*0.62*6.01*8*(10*F209^0.667)*0.079*0.1/F209)*inputs!$E$80/(10^(0.84+0.62*LOG10(inputs!$E$80)))</f>
        <v>0.60658073719810679</v>
      </c>
      <c r="Q209" s="59">
        <f>(inputs!$C$7*11.2*(10*F209^0.667)*0.5/F209)*inputs!$E$80/(10^(0.84+0.62*LOG10(inputs!$E$80)))</f>
        <v>0.32053900761610038</v>
      </c>
      <c r="R209" s="59">
        <f>(60*284*((F209/1000)^0.77)*3*24*(MAX('Min rate concentrations'!$R$3:$R$368))/F209)*(inputs!$E$73*3.4/inputs!$E$75)</f>
        <v>3.8144094143286534E-3</v>
      </c>
      <c r="S209" s="59">
        <f>(IF(inputs!$C$6="aerial",((0.025*0.112*inputs!$C$7/3.3)*(3*60*284*((F209/1000)^0.77))*MAX(inputs!$H$14:$H$16))/F209,((0.0083*0.112*inputs!$C$7/1)*(3*60*284*((F209/1000)^0.77))*MAX(inputs!$H$14:$H$16))/F209))*(inputs!E$75*3.4/inputs!$E$73)</f>
        <v>2.1036702270887626E-2</v>
      </c>
      <c r="T209" s="63">
        <f>IF((((inputs!$P$12/(V209/MAX(K209:S209)))^(1/inputs!$O$12))-1)/inputs!$N$12&lt;0, 0, IF((((inputs!$P$12/(V209/MAX(K209:S209)))^(1/inputs!$O$12))-1)/inputs!$N$12&gt;inputs!$H$17, inputs!$H$17, (((inputs!$P$12/(V209/MAX(K209:S209)))^(1/inputs!$O$12))-1)/inputs!$N$12))</f>
        <v>189.57267785912933</v>
      </c>
      <c r="U209" s="63">
        <f>IF((((inputs!$P$12/(X209/MAX(K209:S209)))^(1/inputs!$O$12))-1)/inputs!$N$12&lt;0, 0, IF((((inputs!$P$12/(X209/MAX(K209:S209)))^(1/inputs!$O$12))-1)/inputs!$N$12&gt;inputs!$H$17, inputs!$H$17, (((inputs!$P$12/(X209/MAX(K209:S209)))^(1/inputs!$O$12))-1)/inputs!$N$12))</f>
        <v>0</v>
      </c>
      <c r="V209" s="21">
        <f>inputs!$E$78*(F209/inputs!$F$78)^(inputs!$E$84-1)</f>
        <v>5.8178450431225284E-3</v>
      </c>
      <c r="W209" s="21">
        <f>inputs!$E$85*(F209/inputs!$F$85)^(inputs!$E$84-1)</f>
        <v>0.26865736668025103</v>
      </c>
      <c r="X209" s="21">
        <f>inputs!$E$80*(F209/inputs!$F$80)^(inputs!$E$84-1)</f>
        <v>1.0032142173503045</v>
      </c>
      <c r="Y209" s="21">
        <f>inputs!$E$82*(F209/inputs!$F$82)^(inputs!$E$84-1)</f>
        <v>0.46236557974289572</v>
      </c>
      <c r="Z209" s="63">
        <f t="shared" si="24"/>
        <v>312.78629769376545</v>
      </c>
      <c r="AA209" s="63">
        <f t="shared" si="25"/>
        <v>6.7734685040672291</v>
      </c>
    </row>
    <row r="210" spans="1:27" x14ac:dyDescent="0.25">
      <c r="A210" s="103" t="s">
        <v>253</v>
      </c>
      <c r="B210" s="20" t="s">
        <v>254</v>
      </c>
      <c r="C210" s="20" t="s">
        <v>73</v>
      </c>
      <c r="D210" s="104" t="s">
        <v>240</v>
      </c>
      <c r="E210" s="15">
        <v>110</v>
      </c>
      <c r="F210" s="15">
        <v>2450</v>
      </c>
      <c r="G210" s="20" t="s">
        <v>169</v>
      </c>
      <c r="H210" s="20">
        <v>0.79</v>
      </c>
      <c r="I210" s="48">
        <f>MAX('Min rate concentrations'!$D$3:$D$368)</f>
        <v>120</v>
      </c>
      <c r="J210" s="48">
        <f>MAX('Min rate concentrations'!W:W)</f>
        <v>42.5</v>
      </c>
      <c r="K210" s="59">
        <f t="shared" si="23"/>
        <v>24.639171015115817</v>
      </c>
      <c r="L210" s="59">
        <f t="shared" si="26"/>
        <v>8.726373067853519</v>
      </c>
      <c r="M210" s="59">
        <f>IF((((1.18*F210^0.874)/3.7-(0.301*F210^0.751)/(1-H210)*H210)*(MAX('Min rate concentrations'!$P$3:$P$368)))/F210&gt;0, (((1.18*F210^0.874)/3.7-(0.301*F210^0.751)/(1-H210)*H210)*(MAX('Min rate concentrations'!$P$3:$P$368)))/F210, 0)</f>
        <v>0</v>
      </c>
      <c r="N210" s="59">
        <f>IF((((1.18*F210^0.874)/3.7-(0.301*F210^0.751)/(1-H210)*H210)*(MAX('Min rate concentrations'!$Q$3:$Q$368)))/F210&gt;0, (((1.18*F210^0.874)/3.7-(0.301*F210^0.751)/(1-H210)*H210)*(MAX('Min rate concentrations'!$Q$3:$Q$368)))/F210, 0)</f>
        <v>0</v>
      </c>
      <c r="O210" s="59">
        <f>((MAX('Min rate concentrations'!$F$3:$F$368))*0.62*6.01*8*(10*F210^0.667)*0.079*0.1/F210)*inputs!$E$80/(10^(0.84+0.62*LOG10(inputs!$E$80)))</f>
        <v>1.8197422115943209</v>
      </c>
      <c r="P210" s="59">
        <f>((MAX('Min rate concentrations'!Y:Y))*0.62*6.01*8*(10*F210^0.667)*0.079*0.1/F210)*inputs!$E$80/(10^(0.84+0.62*LOG10(inputs!$E$80)))</f>
        <v>0.60658073719810679</v>
      </c>
      <c r="Q210" s="59">
        <f>(inputs!$C$7*11.2*(10*F210^0.667)*0.5/F210)*inputs!$E$80/(10^(0.84+0.62*LOG10(inputs!$E$80)))</f>
        <v>0.32053900761610038</v>
      </c>
      <c r="R210" s="59">
        <f>(60*284*((F210/1000)^0.77)*3*24*(MAX('Min rate concentrations'!$R$3:$R$368))/F210)*(inputs!$E$73*3.4/inputs!$E$75)</f>
        <v>3.8144094143286534E-3</v>
      </c>
      <c r="S210" s="59">
        <f>(IF(inputs!$C$6="aerial",((0.025*0.112*inputs!$C$7/3.3)*(3*60*284*((F210/1000)^0.77))*MAX(inputs!$H$14:$H$16))/F210,((0.0083*0.112*inputs!$C$7/1)*(3*60*284*((F210/1000)^0.77))*MAX(inputs!$H$14:$H$16))/F210))*(inputs!E$75*3.4/inputs!$E$73)</f>
        <v>2.1036702270887626E-2</v>
      </c>
      <c r="T210" s="63">
        <f>IF((((inputs!$P$12/(V210/MAX(K210:S210)))^(1/inputs!$O$12))-1)/inputs!$N$12&lt;0, 0, IF((((inputs!$P$12/(V210/MAX(K210:S210)))^(1/inputs!$O$12))-1)/inputs!$N$12&gt;inputs!$H$17, inputs!$H$17, (((inputs!$P$12/(V210/MAX(K210:S210)))^(1/inputs!$O$12))-1)/inputs!$N$12))</f>
        <v>600.79867219018865</v>
      </c>
      <c r="U210" s="63">
        <f>IF((((inputs!$P$12/(X210/MAX(K210:S210)))^(1/inputs!$O$12))-1)/inputs!$N$12&lt;0, 0, IF((((inputs!$P$12/(X210/MAX(K210:S210)))^(1/inputs!$O$12))-1)/inputs!$N$12&gt;inputs!$H$17, inputs!$H$17, (((inputs!$P$12/(X210/MAX(K210:S210)))^(1/inputs!$O$12))-1)/inputs!$N$12))</f>
        <v>48.979765304905598</v>
      </c>
      <c r="V210" s="21">
        <f>inputs!$E$78*(F210/inputs!$F$78)^(inputs!$E$84-1)</f>
        <v>5.8178450431225284E-3</v>
      </c>
      <c r="W210" s="21">
        <f>inputs!$E$85*(F210/inputs!$F$85)^(inputs!$E$84-1)</f>
        <v>0.26865736668025103</v>
      </c>
      <c r="X210" s="21">
        <f>inputs!$E$80*(F210/inputs!$F$80)^(inputs!$E$84-1)</f>
        <v>1.0032142173503045</v>
      </c>
      <c r="Y210" s="21">
        <f>inputs!$E$82*(F210/inputs!$F$82)^(inputs!$E$84-1)</f>
        <v>0.46236557974289572</v>
      </c>
      <c r="Z210" s="63">
        <f t="shared" si="24"/>
        <v>4235.1026595736876</v>
      </c>
      <c r="AA210" s="63">
        <f t="shared" si="25"/>
        <v>91.712247907352989</v>
      </c>
    </row>
    <row r="211" spans="1:27" x14ac:dyDescent="0.25">
      <c r="A211" s="103" t="s">
        <v>253</v>
      </c>
      <c r="B211" s="20" t="s">
        <v>254</v>
      </c>
      <c r="C211" s="20" t="s">
        <v>73</v>
      </c>
      <c r="D211" s="104" t="s">
        <v>240</v>
      </c>
      <c r="E211" s="15">
        <v>110</v>
      </c>
      <c r="F211" s="15">
        <v>2450</v>
      </c>
      <c r="G211" s="20" t="s">
        <v>158</v>
      </c>
      <c r="H211" s="20">
        <v>0.85</v>
      </c>
      <c r="I211" s="48">
        <f>MAX('Min rate concentrations'!$F$3:$F$368)</f>
        <v>67.5</v>
      </c>
      <c r="J211" s="48">
        <f>MAX('Min rate concentrations'!Y:Y)</f>
        <v>22.5</v>
      </c>
      <c r="K211" s="59">
        <f t="shared" si="23"/>
        <v>19.403347174403699</v>
      </c>
      <c r="L211" s="59">
        <f t="shared" si="26"/>
        <v>6.4677823914678987</v>
      </c>
      <c r="M211" s="59">
        <f>IF((((1.18*F211^0.874)/3.7-(0.301*F211^0.751)/(1-H211)*H211)*(MAX('Min rate concentrations'!$P$3:$P$368)))/F211&gt;0, (((1.18*F211^0.874)/3.7-(0.301*F211^0.751)/(1-H211)*H211)*(MAX('Min rate concentrations'!$P$3:$P$368)))/F211, 0)</f>
        <v>0</v>
      </c>
      <c r="N211" s="59">
        <f>IF((((1.18*F211^0.874)/3.7-(0.301*F211^0.751)/(1-H211)*H211)*(MAX('Min rate concentrations'!$Q$3:$Q$368)))/F211&gt;0, (((1.18*F211^0.874)/3.7-(0.301*F211^0.751)/(1-H211)*H211)*(MAX('Min rate concentrations'!$Q$3:$Q$368)))/F211, 0)</f>
        <v>0</v>
      </c>
      <c r="O211" s="59">
        <f>((MAX('Min rate concentrations'!$F$3:$F$368))*0.62*6.01*8*(10*F211^0.667)*0.079*0.1/F211)*inputs!$E$80/(10^(0.84+0.62*LOG10(inputs!$E$80)))</f>
        <v>1.8197422115943209</v>
      </c>
      <c r="P211" s="59">
        <f>((MAX('Min rate concentrations'!Y:Y))*0.62*6.01*8*(10*F211^0.667)*0.079*0.1/F211)*inputs!$E$80/(10^(0.84+0.62*LOG10(inputs!$E$80)))</f>
        <v>0.60658073719810679</v>
      </c>
      <c r="Q211" s="59">
        <f>(inputs!$C$7*11.2*(10*F211^0.667)*0.5/F211)*inputs!$E$80/(10^(0.84+0.62*LOG10(inputs!$E$80)))</f>
        <v>0.32053900761610038</v>
      </c>
      <c r="R211" s="59">
        <f>(60*284*((F211/1000)^0.77)*3*24*(MAX('Min rate concentrations'!$R$3:$R$368))/F211)*(inputs!$E$73*3.4/inputs!$E$75)</f>
        <v>3.8144094143286534E-3</v>
      </c>
      <c r="S211" s="59">
        <f>(IF(inputs!$C$6="aerial",((0.025*0.112*inputs!$C$7/3.3)*(3*60*284*((F211/1000)^0.77))*MAX(inputs!$H$14:$H$16))/F211,((0.0083*0.112*inputs!$C$7/1)*(3*60*284*((F211/1000)^0.77))*MAX(inputs!$H$14:$H$16))/F211))*(inputs!E$75*3.4/inputs!$E$73)</f>
        <v>2.1036702270887626E-2</v>
      </c>
      <c r="T211" s="63">
        <f>IF((((inputs!$P$12/(V211/MAX(K211:S211)))^(1/inputs!$O$12))-1)/inputs!$N$12&lt;0, 0, IF((((inputs!$P$12/(V211/MAX(K211:S211)))^(1/inputs!$O$12))-1)/inputs!$N$12&gt;inputs!$H$17, inputs!$H$17, (((inputs!$P$12/(V211/MAX(K211:S211)))^(1/inputs!$O$12))-1)/inputs!$N$12))</f>
        <v>542.53001161392103</v>
      </c>
      <c r="U211" s="63">
        <f>IF((((inputs!$P$12/(X211/MAX(K211:S211)))^(1/inputs!$O$12))-1)/inputs!$N$12&lt;0, 0, IF((((inputs!$P$12/(X211/MAX(K211:S211)))^(1/inputs!$O$12))-1)/inputs!$N$12&gt;inputs!$H$17, inputs!$H$17, (((inputs!$P$12/(X211/MAX(K211:S211)))^(1/inputs!$O$12))-1)/inputs!$N$12))</f>
        <v>41.806489962966225</v>
      </c>
      <c r="V211" s="21">
        <f>inputs!$E$78*(F211/inputs!$F$78)^(inputs!$E$84-1)</f>
        <v>5.8178450431225284E-3</v>
      </c>
      <c r="W211" s="21">
        <f>inputs!$E$85*(F211/inputs!$F$85)^(inputs!$E$84-1)</f>
        <v>0.26865736668025103</v>
      </c>
      <c r="X211" s="21">
        <f>inputs!$E$80*(F211/inputs!$F$80)^(inputs!$E$84-1)</f>
        <v>1.0032142173503045</v>
      </c>
      <c r="Y211" s="21">
        <f>inputs!$E$82*(F211/inputs!$F$82)^(inputs!$E$84-1)</f>
        <v>0.46236557974289572</v>
      </c>
      <c r="Z211" s="63">
        <f t="shared" si="24"/>
        <v>3335.1433444142781</v>
      </c>
      <c r="AA211" s="63">
        <f t="shared" si="25"/>
        <v>72.223395227040456</v>
      </c>
    </row>
    <row r="212" spans="1:27" x14ac:dyDescent="0.25">
      <c r="A212" s="103" t="s">
        <v>253</v>
      </c>
      <c r="B212" s="20" t="s">
        <v>254</v>
      </c>
      <c r="C212" s="20" t="s">
        <v>73</v>
      </c>
      <c r="D212" s="104" t="s">
        <v>240</v>
      </c>
      <c r="E212" s="15">
        <v>110</v>
      </c>
      <c r="F212" s="15">
        <v>2450</v>
      </c>
      <c r="G212" s="21" t="s">
        <v>456</v>
      </c>
      <c r="H212" s="20">
        <v>0.68</v>
      </c>
      <c r="I212" s="48">
        <f>MAX('Min rate concentrations'!$J$3:$J$368)</f>
        <v>114.4108103430513</v>
      </c>
      <c r="J212" s="48">
        <f>MAX('Min rate concentrations'!AB:AB)</f>
        <v>40.520495329830666</v>
      </c>
      <c r="K212" s="59">
        <f t="shared" si="23"/>
        <v>15.416338011049184</v>
      </c>
      <c r="L212" s="59">
        <f t="shared" si="26"/>
        <v>5.459953045579919</v>
      </c>
      <c r="M212" s="59">
        <f>IF((((1.18*F212^0.874)/3.7-(0.301*F212^0.751)/(1-H212)*H212)*(MAX('Min rate concentrations'!$P$3:$P$368)))/F212&gt;0, (((1.18*F212^0.874)/3.7-(0.301*F212^0.751)/(1-H212)*H212)*(MAX('Min rate concentrations'!$P$3:$P$368)))/F212, 0)</f>
        <v>4.0168893661450353E-3</v>
      </c>
      <c r="N212" s="59">
        <f>IF((((1.18*F212^0.874)/3.7-(0.301*F212^0.751)/(1-H212)*H212)*(MAX('Min rate concentrations'!$Q$3:$Q$368)))/F212&gt;0, (((1.18*F212^0.874)/3.7-(0.301*F212^0.751)/(1-H212)*H212)*(MAX('Min rate concentrations'!$Q$3:$Q$368)))/F212, 0)</f>
        <v>1.5296530540514908E-2</v>
      </c>
      <c r="O212" s="59">
        <f>((MAX('Min rate concentrations'!$F$3:$F$368))*0.62*6.01*8*(10*F212^0.667)*0.079*0.1/F212)*inputs!$E$80/(10^(0.84+0.62*LOG10(inputs!$E$80)))</f>
        <v>1.8197422115943209</v>
      </c>
      <c r="P212" s="59">
        <f>((MAX('Min rate concentrations'!Y:Y))*0.62*6.01*8*(10*F212^0.667)*0.079*0.1/F212)*inputs!$E$80/(10^(0.84+0.62*LOG10(inputs!$E$80)))</f>
        <v>0.60658073719810679</v>
      </c>
      <c r="Q212" s="59">
        <f>(inputs!$C$7*11.2*(10*F212^0.667)*0.5/F212)*inputs!$E$80/(10^(0.84+0.62*LOG10(inputs!$E$80)))</f>
        <v>0.32053900761610038</v>
      </c>
      <c r="R212" s="59">
        <f>(60*284*((F212/1000)^0.77)*3*24*(MAX('Min rate concentrations'!$R$3:$R$368))/F212)*(inputs!$E$73*3.4/inputs!$E$75)</f>
        <v>3.8144094143286534E-3</v>
      </c>
      <c r="S212" s="59">
        <f>(IF(inputs!$C$6="aerial",((0.025*0.112*inputs!$C$7/3.3)*(3*60*284*((F212/1000)^0.77))*MAX(inputs!$H$14:$H$16))/F212,((0.0083*0.112*inputs!$C$7/1)*(3*60*284*((F212/1000)^0.77))*MAX(inputs!$H$14:$H$16))/F212))*(inputs!E$75*3.4/inputs!$E$73)</f>
        <v>2.1036702270887626E-2</v>
      </c>
      <c r="T212" s="63">
        <f>IF((((inputs!$P$12/(V212/MAX(K212:S212)))^(1/inputs!$O$12))-1)/inputs!$N$12&lt;0, 0, IF((((inputs!$P$12/(V212/MAX(K212:S212)))^(1/inputs!$O$12))-1)/inputs!$N$12&gt;inputs!$H$17, inputs!$H$17, (((inputs!$P$12/(V212/MAX(K212:S212)))^(1/inputs!$O$12))-1)/inputs!$N$12))</f>
        <v>491.53030837521038</v>
      </c>
      <c r="U212" s="63">
        <f>IF((((inputs!$P$12/(X212/MAX(K212:S212)))^(1/inputs!$O$12))-1)/inputs!$N$12&lt;0, 0, IF((((inputs!$P$12/(X212/MAX(K212:S212)))^(1/inputs!$O$12))-1)/inputs!$N$12&gt;inputs!$H$17, inputs!$H$17, (((inputs!$P$12/(X212/MAX(K212:S212)))^(1/inputs!$O$12))-1)/inputs!$N$12))</f>
        <v>35.528073571197147</v>
      </c>
      <c r="V212" s="21">
        <f>inputs!$E$78*(F212/inputs!$F$78)^(inputs!$E$84-1)</f>
        <v>5.8178450431225284E-3</v>
      </c>
      <c r="W212" s="21">
        <f>inputs!$E$85*(F212/inputs!$F$85)^(inputs!$E$84-1)</f>
        <v>0.26865736668025103</v>
      </c>
      <c r="X212" s="21">
        <f>inputs!$E$80*(F212/inputs!$F$80)^(inputs!$E$84-1)</f>
        <v>1.0032142173503045</v>
      </c>
      <c r="Y212" s="21">
        <f>inputs!$E$82*(F212/inputs!$F$82)^(inputs!$E$84-1)</f>
        <v>0.46236557974289572</v>
      </c>
      <c r="Z212" s="63">
        <f t="shared" si="24"/>
        <v>2649.8364766991103</v>
      </c>
      <c r="AA212" s="63">
        <f t="shared" si="25"/>
        <v>57.382897039251141</v>
      </c>
    </row>
    <row r="213" spans="1:27" x14ac:dyDescent="0.25">
      <c r="A213" s="103" t="s">
        <v>253</v>
      </c>
      <c r="B213" s="20" t="s">
        <v>254</v>
      </c>
      <c r="C213" s="20" t="s">
        <v>73</v>
      </c>
      <c r="D213" s="104" t="s">
        <v>240</v>
      </c>
      <c r="E213" s="15">
        <v>110</v>
      </c>
      <c r="F213" s="15">
        <v>2450</v>
      </c>
      <c r="G213" s="20" t="s">
        <v>145</v>
      </c>
      <c r="H213" s="20">
        <v>0.66</v>
      </c>
      <c r="I213" s="48">
        <f>MAX('Min rate concentrations'!$M$3:$M$368)</f>
        <v>2.8488184789681945</v>
      </c>
      <c r="J213" s="48">
        <f>MAX('Min rate concentrations'!AE:AE)</f>
        <v>1.9699276716269429</v>
      </c>
      <c r="K213" s="59">
        <f t="shared" si="23"/>
        <v>0.36128505872076194</v>
      </c>
      <c r="L213" s="59">
        <f t="shared" si="26"/>
        <v>0.24982477464733535</v>
      </c>
      <c r="M213" s="59">
        <f>IF((((1.18*F213^0.874)/3.7-(0.301*F213^0.751)/(1-H213)*H213)*(MAX('Min rate concentrations'!$P$3:$P$368)))/F213&gt;0, (((1.18*F213^0.874)/3.7-(0.301*F213^0.751)/(1-H213)*H213)*(MAX('Min rate concentrations'!$P$3:$P$368)))/F213, 0)</f>
        <v>5.1673622566781978E-3</v>
      </c>
      <c r="N213" s="59">
        <f>IF((((1.18*F213^0.874)/3.7-(0.301*F213^0.751)/(1-H213)*H213)*(MAX('Min rate concentrations'!$Q$3:$Q$368)))/F213&gt;0, (((1.18*F213^0.874)/3.7-(0.301*F213^0.751)/(1-H213)*H213)*(MAX('Min rate concentrations'!$Q$3:$Q$368)))/F213, 0)</f>
        <v>1.9677593124512296E-2</v>
      </c>
      <c r="O213" s="59">
        <f>((MAX('Min rate concentrations'!$F$3:$F$368))*0.62*6.01*8*(10*F213^0.667)*0.079*0.1/F213)*inputs!$E$80/(10^(0.84+0.62*LOG10(inputs!$E$80)))</f>
        <v>1.8197422115943209</v>
      </c>
      <c r="P213" s="59">
        <f>((MAX('Min rate concentrations'!Y:Y))*0.62*6.01*8*(10*F213^0.667)*0.079*0.1/F213)*inputs!$E$80/(10^(0.84+0.62*LOG10(inputs!$E$80)))</f>
        <v>0.60658073719810679</v>
      </c>
      <c r="Q213" s="59">
        <f>(inputs!$C$7*11.2*(10*F213^0.667)*0.5/F213)*inputs!$E$80/(10^(0.84+0.62*LOG10(inputs!$E$80)))</f>
        <v>0.32053900761610038</v>
      </c>
      <c r="R213" s="59">
        <f>(60*284*((F213/1000)^0.77)*3*24*(MAX('Min rate concentrations'!$R$3:$R$368))/F213)*(inputs!$E$73*3.4/inputs!$E$75)</f>
        <v>3.8144094143286534E-3</v>
      </c>
      <c r="S213" s="59">
        <f>(IF(inputs!$C$6="aerial",((0.025*0.112*inputs!$C$7/3.3)*(3*60*284*((F213/1000)^0.77))*MAX(inputs!$H$14:$H$16))/F213,((0.0083*0.112*inputs!$C$7/1)*(3*60*284*((F213/1000)^0.77))*MAX(inputs!$H$14:$H$16))/F213))*(inputs!E$75*3.4/inputs!$E$73)</f>
        <v>2.1036702270887626E-2</v>
      </c>
      <c r="T213" s="63">
        <f>IF((((inputs!$P$12/(V213/MAX(K213:S213)))^(1/inputs!$O$12))-1)/inputs!$N$12&lt;0, 0, IF((((inputs!$P$12/(V213/MAX(K213:S213)))^(1/inputs!$O$12))-1)/inputs!$N$12&gt;inputs!$H$17, inputs!$H$17, (((inputs!$P$12/(V213/MAX(K213:S213)))^(1/inputs!$O$12))-1)/inputs!$N$12))</f>
        <v>189.57267785912933</v>
      </c>
      <c r="U213" s="63">
        <f>IF((((inputs!$P$12/(X213/MAX(K213:S213)))^(1/inputs!$O$12))-1)/inputs!$N$12&lt;0, 0, IF((((inputs!$P$12/(X213/MAX(K213:S213)))^(1/inputs!$O$12))-1)/inputs!$N$12&gt;inputs!$H$17, inputs!$H$17, (((inputs!$P$12/(X213/MAX(K213:S213)))^(1/inputs!$O$12))-1)/inputs!$N$12))</f>
        <v>0</v>
      </c>
      <c r="V213" s="21">
        <f>inputs!$E$78*(F213/inputs!$F$78)^(inputs!$E$84-1)</f>
        <v>5.8178450431225284E-3</v>
      </c>
      <c r="W213" s="21">
        <f>inputs!$E$85*(F213/inputs!$F$85)^(inputs!$E$84-1)</f>
        <v>0.26865736668025103</v>
      </c>
      <c r="X213" s="21">
        <f>inputs!$E$80*(F213/inputs!$F$80)^(inputs!$E$84-1)</f>
        <v>1.0032142173503045</v>
      </c>
      <c r="Y213" s="21">
        <f>inputs!$E$82*(F213/inputs!$F$82)^(inputs!$E$84-1)</f>
        <v>0.46236557974289572</v>
      </c>
      <c r="Z213" s="63">
        <f t="shared" si="24"/>
        <v>312.78629769376545</v>
      </c>
      <c r="AA213" s="63">
        <f t="shared" si="25"/>
        <v>6.7734685040672291</v>
      </c>
    </row>
    <row r="214" spans="1:27" x14ac:dyDescent="0.25">
      <c r="A214" s="103" t="s">
        <v>253</v>
      </c>
      <c r="B214" s="20" t="s">
        <v>254</v>
      </c>
      <c r="C214" s="20" t="s">
        <v>73</v>
      </c>
      <c r="D214" s="104" t="s">
        <v>240</v>
      </c>
      <c r="E214" s="15">
        <v>110</v>
      </c>
      <c r="F214" s="15">
        <v>2450</v>
      </c>
      <c r="G214" s="20" t="s">
        <v>154</v>
      </c>
      <c r="H214" s="20">
        <v>9.2999999999999999E-2</v>
      </c>
      <c r="I214" s="48">
        <f>MAX('Min rate concentrations'!$G$3:$G$368)</f>
        <v>7.5</v>
      </c>
      <c r="J214" s="48">
        <f>MAX('Min rate concentrations'!Z:Z)</f>
        <v>3.5</v>
      </c>
      <c r="K214" s="59">
        <f t="shared" si="23"/>
        <v>0.35654809214266264</v>
      </c>
      <c r="L214" s="59"/>
      <c r="M214" s="59">
        <f>IF((((1.18*F214^0.874)/3.7-(0.301*F214^0.751)/(1-H214)*H214)*(MAX('Min rate concentrations'!$P$3:$P$368)))/F214&gt;0, (((1.18*F214^0.874)/3.7-(0.301*F214^0.751)/(1-H214)*H214)*(MAX('Min rate concentrations'!$P$3:$P$368)))/F214, 0)</f>
        <v>1.6674628037181897E-2</v>
      </c>
      <c r="N214" s="59">
        <f>IF((((1.18*F214^0.874)/3.7-(0.301*F214^0.751)/(1-H214)*H214)*(MAX('Min rate concentrations'!$Q$3:$Q$368)))/F214&gt;0, (((1.18*F214^0.874)/3.7-(0.301*F214^0.751)/(1-H214)*H214)*(MAX('Min rate concentrations'!$Q$3:$Q$368)))/F214, 0)</f>
        <v>6.3497879521451986E-2</v>
      </c>
      <c r="O214" s="59">
        <f>((MAX('Min rate concentrations'!$F$3:$F$368))*0.62*6.01*8*(10*F214^0.667)*0.079*0.1/F214)*inputs!$E$80/(10^(0.84+0.62*LOG10(inputs!$E$80)))</f>
        <v>1.8197422115943209</v>
      </c>
      <c r="P214" s="59">
        <f>((MAX('Min rate concentrations'!Y:Y))*0.62*6.01*8*(10*F214^0.667)*0.079*0.1/F214)*inputs!$E$80/(10^(0.84+0.62*LOG10(inputs!$E$80)))</f>
        <v>0.60658073719810679</v>
      </c>
      <c r="Q214" s="59">
        <f>(inputs!$C$7*11.2*(10*F214^0.667)*0.5/F214)*inputs!$E$80/(10^(0.84+0.62*LOG10(inputs!$E$80)))</f>
        <v>0.32053900761610038</v>
      </c>
      <c r="R214" s="59">
        <f>(60*284*((F214/1000)^0.77)*3*24*(MAX('Min rate concentrations'!$R$3:$R$368))/F214)*(inputs!$E$73*3.4/inputs!$E$75)</f>
        <v>3.8144094143286534E-3</v>
      </c>
      <c r="S214" s="59">
        <f>(IF(inputs!$C$6="aerial",((0.025*0.112*inputs!$C$7/3.3)*(3*60*284*((F214/1000)^0.77))*MAX(inputs!$H$14:$H$16))/F214,((0.0083*0.112*inputs!$C$7/1)*(3*60*284*((F214/1000)^0.77))*MAX(inputs!$H$14:$H$16))/F214))*(inputs!E$75*3.4/inputs!$E$73)</f>
        <v>2.1036702270887626E-2</v>
      </c>
      <c r="T214" s="63">
        <f>IF((((inputs!$P$12/(V214/MAX(K214:S214)))^(1/inputs!$O$12))-1)/inputs!$N$12&lt;0, 0, IF((((inputs!$P$12/(V214/MAX(K214:S214)))^(1/inputs!$O$12))-1)/inputs!$N$12&gt;inputs!$H$17, inputs!$H$17, (((inputs!$P$12/(V214/MAX(K214:S214)))^(1/inputs!$O$12))-1)/inputs!$N$12))</f>
        <v>189.57267785912933</v>
      </c>
      <c r="U214" s="63">
        <f>IF((((inputs!$P$12/(X214/MAX(K214:S214)))^(1/inputs!$O$12))-1)/inputs!$N$12&lt;0, 0, IF((((inputs!$P$12/(X214/MAX(K214:S214)))^(1/inputs!$O$12))-1)/inputs!$N$12&gt;inputs!$H$17, inputs!$H$17, (((inputs!$P$12/(X214/MAX(K214:S214)))^(1/inputs!$O$12))-1)/inputs!$N$12))</f>
        <v>0</v>
      </c>
      <c r="V214" s="21">
        <f>inputs!$E$78*(F214/inputs!$F$78)^(inputs!$E$84-1)</f>
        <v>5.8178450431225284E-3</v>
      </c>
      <c r="W214" s="21">
        <f>inputs!$E$85*(F214/inputs!$F$85)^(inputs!$E$84-1)</f>
        <v>0.26865736668025103</v>
      </c>
      <c r="X214" s="21">
        <f>inputs!$E$80*(F214/inputs!$F$80)^(inputs!$E$84-1)</f>
        <v>1.0032142173503045</v>
      </c>
      <c r="Y214" s="21">
        <f>inputs!$E$82*(F214/inputs!$F$82)^(inputs!$E$84-1)</f>
        <v>0.46236557974289572</v>
      </c>
      <c r="Z214" s="63">
        <f t="shared" si="24"/>
        <v>312.78629769376545</v>
      </c>
      <c r="AA214" s="63">
        <f t="shared" si="25"/>
        <v>6.7734685040672291</v>
      </c>
    </row>
    <row r="215" spans="1:27" x14ac:dyDescent="0.25">
      <c r="A215" s="103" t="s">
        <v>253</v>
      </c>
      <c r="B215" s="20" t="s">
        <v>254</v>
      </c>
      <c r="C215" s="20" t="s">
        <v>73</v>
      </c>
      <c r="D215" s="104" t="s">
        <v>240</v>
      </c>
      <c r="E215" s="15">
        <v>110</v>
      </c>
      <c r="F215" s="15">
        <v>2450</v>
      </c>
      <c r="G215" s="20" t="s">
        <v>146</v>
      </c>
      <c r="H215" s="20">
        <v>0.84</v>
      </c>
      <c r="I215" s="48">
        <f>MAX('Min rate concentrations'!$I$3:$I$368)</f>
        <v>9.4775690500787988</v>
      </c>
      <c r="J215" s="48" t="s">
        <v>13</v>
      </c>
      <c r="K215" s="59">
        <f t="shared" si="23"/>
        <v>2.5541189256675332</v>
      </c>
      <c r="L215" s="48" t="s">
        <v>13</v>
      </c>
      <c r="M215" s="59">
        <f>IF((((1.18*F215^0.874)/3.7-(0.301*F215^0.751)/(1-H215)*H215)*(MAX('Min rate concentrations'!$P$3:$P$368)))/F215&gt;0, (((1.18*F215^0.874)/3.7-(0.301*F215^0.751)/(1-H215)*H215)*(MAX('Min rate concentrations'!$P$3:$P$368)))/F215, 0)</f>
        <v>0</v>
      </c>
      <c r="N215" s="59">
        <f>IF((((1.18*F215^0.874)/3.7-(0.301*F215^0.751)/(1-H215)*H215)*(MAX('Min rate concentrations'!$Q$3:$Q$368)))/F215&gt;0, (((1.18*F215^0.874)/3.7-(0.301*F215^0.751)/(1-H215)*H215)*(MAX('Min rate concentrations'!$Q$3:$Q$368)))/F215, 0)</f>
        <v>0</v>
      </c>
      <c r="O215" s="59">
        <f>((MAX('Min rate concentrations'!$F$3:$F$368))*0.62*6.01*8*(10*F215^0.667)*0.079*0.1/F215)*inputs!$E$80/(10^(0.84+0.62*LOG10(inputs!$E$80)))</f>
        <v>1.8197422115943209</v>
      </c>
      <c r="P215" s="59">
        <f>((MAX('Min rate concentrations'!Y:Y))*0.62*6.01*8*(10*F215^0.667)*0.079*0.1/F215)*inputs!$E$80/(10^(0.84+0.62*LOG10(inputs!$E$80)))</f>
        <v>0.60658073719810679</v>
      </c>
      <c r="Q215" s="59">
        <f>(inputs!$C$7*11.2*(10*F215^0.667)*0.5/F215)*inputs!$E$80/(10^(0.84+0.62*LOG10(inputs!$E$80)))</f>
        <v>0.32053900761610038</v>
      </c>
      <c r="R215" s="59">
        <f>(60*284*((F215/1000)^0.77)*3*24*(MAX('Min rate concentrations'!$R$3:$R$368))/F215)*(inputs!$E$73*3.4/inputs!$E$75)</f>
        <v>3.8144094143286534E-3</v>
      </c>
      <c r="S215" s="59">
        <f>(IF(inputs!$C$6="aerial",((0.025*0.112*inputs!$C$7/3.3)*(3*60*284*((F215/1000)^0.77))*MAX(inputs!$H$14:$H$16))/F215,((0.0083*0.112*inputs!$C$7/1)*(3*60*284*((F215/1000)^0.77))*MAX(inputs!$H$14:$H$16))/F215))*(inputs!E$75*3.4/inputs!$E$73)</f>
        <v>2.1036702270887626E-2</v>
      </c>
      <c r="T215" s="63">
        <f>IF((((inputs!$P$12/(V215/MAX(K215:S215)))^(1/inputs!$O$12))-1)/inputs!$N$12&lt;0, 0, IF((((inputs!$P$12/(V215/MAX(K215:S215)))^(1/inputs!$O$12))-1)/inputs!$N$12&gt;inputs!$H$17, inputs!$H$17, (((inputs!$P$12/(V215/MAX(K215:S215)))^(1/inputs!$O$12))-1)/inputs!$N$12))</f>
        <v>221.81269674502983</v>
      </c>
      <c r="U215" s="63">
        <f>IF((((inputs!$P$12/(X215/MAX(K215:S215)))^(1/inputs!$O$12))-1)/inputs!$N$12&lt;0, 0, IF((((inputs!$P$12/(X215/MAX(K215:S215)))^(1/inputs!$O$12))-1)/inputs!$N$12&gt;inputs!$H$17, inputs!$H$17, (((inputs!$P$12/(X215/MAX(K215:S215)))^(1/inputs!$O$12))-1)/inputs!$N$12))</f>
        <v>2.3239691064797601</v>
      </c>
      <c r="V215" s="21">
        <f>inputs!$E$78*(F215/inputs!$F$78)^(inputs!$E$84-1)</f>
        <v>5.8178450431225284E-3</v>
      </c>
      <c r="W215" s="21">
        <f>inputs!$E$85*(F215/inputs!$F$85)^(inputs!$E$84-1)</f>
        <v>0.26865736668025103</v>
      </c>
      <c r="X215" s="21">
        <f>inputs!$E$80*(F215/inputs!$F$80)^(inputs!$E$84-1)</f>
        <v>1.0032142173503045</v>
      </c>
      <c r="Y215" s="21">
        <f>inputs!$E$82*(F215/inputs!$F$82)^(inputs!$E$84-1)</f>
        <v>0.46236557974289572</v>
      </c>
      <c r="Z215" s="63">
        <f t="shared" si="24"/>
        <v>439.01460192495909</v>
      </c>
      <c r="AA215" s="63">
        <f t="shared" si="25"/>
        <v>9.5069752124362132</v>
      </c>
    </row>
    <row r="216" spans="1:27" x14ac:dyDescent="0.25">
      <c r="A216" s="103" t="s">
        <v>319</v>
      </c>
      <c r="B216" s="20" t="s">
        <v>320</v>
      </c>
      <c r="C216" s="20" t="s">
        <v>73</v>
      </c>
      <c r="D216" s="104" t="s">
        <v>240</v>
      </c>
      <c r="E216" s="15">
        <v>1353</v>
      </c>
      <c r="F216" s="15">
        <v>44</v>
      </c>
      <c r="G216" s="20" t="s">
        <v>241</v>
      </c>
      <c r="H216" s="20">
        <v>0.8</v>
      </c>
      <c r="I216" s="48">
        <f>inputs!$C$65*inputs!$C$60/1000</f>
        <v>2.8</v>
      </c>
      <c r="J216" s="48">
        <f>inputs!$C$65*inputs!$C$59/1000</f>
        <v>2.8</v>
      </c>
      <c r="K216" s="59">
        <f t="shared" si="23"/>
        <v>1.6423844133920851</v>
      </c>
      <c r="L216" s="59">
        <f>((0.301*F216^0.751)/(1-H216))*J216/F216</f>
        <v>1.6423844133920851</v>
      </c>
      <c r="M216" s="59">
        <f>IF((((1.18*F216^0.874)/3.7-(0.301*F216^0.751)/(1-H216)*H216)*(MAX('Min rate concentrations'!$P$3:$P$368)))/F216&gt;0, (((1.18*F216^0.874)/3.7-(0.301*F216^0.751)/(1-H216)*H216)*(MAX('Min rate concentrations'!$P$3:$P$368)))/F216, 0)</f>
        <v>0</v>
      </c>
      <c r="N216" s="59">
        <f>IF((((1.18*F216^0.874)/3.7-(0.301*F216^0.751)/(1-H216)*H216)*(MAX('Min rate concentrations'!$Q$3:$Q$368)))/F216&gt;0, (((1.18*F216^0.874)/3.7-(0.301*F216^0.751)/(1-H216)*H216)*(MAX('Min rate concentrations'!$Q$3:$Q$368)))/F216, 0)</f>
        <v>0</v>
      </c>
      <c r="O216" s="59">
        <f>((MAX('Min rate concentrations'!$F$3:$F$368))*0.62*6.01*8*(10*F216^0.667)*0.079*0.1/F216)*inputs!$E$80/(10^(0.84+0.62*LOG10(inputs!$E$80)))</f>
        <v>6.9395679744374057</v>
      </c>
      <c r="P216" s="59">
        <f>((MAX('Min rate concentrations'!Y:Y))*0.62*6.01*8*(10*F216^0.667)*0.079*0.1/F216)*inputs!$E$80/(10^(0.84+0.62*LOG10(inputs!$E$80)))</f>
        <v>2.3131893248124684</v>
      </c>
      <c r="Q216" s="59">
        <f>(inputs!$C$7*11.2*(10*F216^0.667)*0.5/F216)*inputs!$E$80/(10^(0.84+0.62*LOG10(inputs!$E$80)))</f>
        <v>1.2223721676829078</v>
      </c>
      <c r="R216" s="59">
        <f>(60*284*((F216/1000)^0.77)*3*24*(MAX('Min rate concentrations'!$R$3:$R$368))/F216)*(inputs!$E$73*3.4/inputs!$E$75)</f>
        <v>9.6148251193539491E-3</v>
      </c>
      <c r="S216" s="59">
        <f>(IF(inputs!$C$6="aerial",((0.025*0.112*inputs!$C$7/3.3)*(3*60*284*((F216/1000)^0.77))*MAX(inputs!$H$14:$H$16))/F216,((0.0083*0.112*inputs!$C$7/1)*(3*60*284*((F216/1000)^0.77))*MAX(inputs!$H$14:$H$16))/F216))*(inputs!E$75*3.4/inputs!$E$73)</f>
        <v>5.3026351251835829E-2</v>
      </c>
      <c r="T216" s="63">
        <f>IF((((inputs!$P$12/(V216/MAX(K216:S216)))^(1/inputs!$O$12))-1)/inputs!$N$12&lt;0, 0, IF((((inputs!$P$12/(V216/MAX(K216:S216)))^(1/inputs!$O$12))-1)/inputs!$N$12&gt;inputs!$H$17, inputs!$H$17, (((inputs!$P$12/(V216/MAX(K216:S216)))^(1/inputs!$O$12))-1)/inputs!$N$12))</f>
        <v>176.77255055899121</v>
      </c>
      <c r="U216" s="63">
        <f>IF((((inputs!$P$12/(X216/MAX(K216:S216)))^(1/inputs!$O$12))-1)/inputs!$N$12&lt;0, 0, IF((((inputs!$P$12/(X216/MAX(K216:S216)))^(1/inputs!$O$12))-1)/inputs!$N$12&gt;inputs!$H$17, inputs!$H$17, (((inputs!$P$12/(X216/MAX(K216:S216)))^(1/inputs!$O$12))-1)/inputs!$N$12))</f>
        <v>0</v>
      </c>
      <c r="V216" s="21">
        <f>inputs!$E$78*(F216/inputs!$F$78)^(inputs!$E$84-1)</f>
        <v>2.5744004973284332E-2</v>
      </c>
      <c r="W216" s="21">
        <f>inputs!$E$85*(F216/inputs!$F$85)^(inputs!$E$84-1)</f>
        <v>1.1888107250470454</v>
      </c>
      <c r="X216" s="21">
        <f>inputs!$E$80*(F216/inputs!$F$80)^(inputs!$E$84-1)</f>
        <v>4.4392299226440306</v>
      </c>
      <c r="Y216" s="21">
        <f>inputs!$E$82*(F216/inputs!$F$82)^(inputs!$E$84-1)</f>
        <v>2.0459709215610178</v>
      </c>
      <c r="Z216" s="63">
        <f t="shared" si="24"/>
        <v>269.5605435766073</v>
      </c>
      <c r="AA216" s="63">
        <f t="shared" si="25"/>
        <v>5.8374035733592349</v>
      </c>
    </row>
    <row r="217" spans="1:27" x14ac:dyDescent="0.25">
      <c r="A217" s="103" t="s">
        <v>319</v>
      </c>
      <c r="B217" s="20" t="s">
        <v>320</v>
      </c>
      <c r="C217" s="20" t="s">
        <v>73</v>
      </c>
      <c r="D217" s="104" t="s">
        <v>240</v>
      </c>
      <c r="E217" s="15">
        <v>1353</v>
      </c>
      <c r="F217" s="15">
        <v>44</v>
      </c>
      <c r="G217" s="20" t="s">
        <v>142</v>
      </c>
      <c r="H217" s="20">
        <v>0.69</v>
      </c>
      <c r="I217" s="48">
        <f>MAX('Min rate concentrations'!$H$3:$H$368)</f>
        <v>47</v>
      </c>
      <c r="J217" s="48">
        <f>MAX('Min rate concentrations'!AA:AA)</f>
        <v>32.5</v>
      </c>
      <c r="K217" s="59">
        <f t="shared" si="23"/>
        <v>17.786190651941929</v>
      </c>
      <c r="L217" s="59">
        <f>((0.301*F217^0.751)/(1-H217))*J217/F217</f>
        <v>12.298961621023675</v>
      </c>
      <c r="M217" s="59">
        <f>IF((((1.18*F217^0.874)/3.7-(0.301*F217^0.751)/(1-H217)*H217)*(MAX('Min rate concentrations'!$P$3:$P$368)))/F217&gt;0, (((1.18*F217^0.874)/3.7-(0.301*F217^0.751)/(1-H217)*H217)*(MAX('Min rate concentrations'!$P$3:$P$368)))/F217, 0)</f>
        <v>0</v>
      </c>
      <c r="N217" s="59">
        <f>IF((((1.18*F217^0.874)/3.7-(0.301*F217^0.751)/(1-H217)*H217)*(MAX('Min rate concentrations'!$Q$3:$Q$368)))/F217&gt;0, (((1.18*F217^0.874)/3.7-(0.301*F217^0.751)/(1-H217)*H217)*(MAX('Min rate concentrations'!$Q$3:$Q$368)))/F217, 0)</f>
        <v>0</v>
      </c>
      <c r="O217" s="59">
        <f>((MAX('Min rate concentrations'!$F$3:$F$368))*0.62*6.01*8*(10*F217^0.667)*0.079*0.1/F217)*inputs!$E$80/(10^(0.84+0.62*LOG10(inputs!$E$80)))</f>
        <v>6.9395679744374057</v>
      </c>
      <c r="P217" s="59">
        <f>((MAX('Min rate concentrations'!Y:Y))*0.62*6.01*8*(10*F217^0.667)*0.079*0.1/F217)*inputs!$E$80/(10^(0.84+0.62*LOG10(inputs!$E$80)))</f>
        <v>2.3131893248124684</v>
      </c>
      <c r="Q217" s="59">
        <f>(inputs!$C$7*11.2*(10*F217^0.667)*0.5/F217)*inputs!$E$80/(10^(0.84+0.62*LOG10(inputs!$E$80)))</f>
        <v>1.2223721676829078</v>
      </c>
      <c r="R217" s="59">
        <f>(60*284*((F217/1000)^0.77)*3*24*(MAX('Min rate concentrations'!$R$3:$R$368))/F217)*(inputs!$E$73*3.4/inputs!$E$75)</f>
        <v>9.6148251193539491E-3</v>
      </c>
      <c r="S217" s="59">
        <f>(IF(inputs!$C$6="aerial",((0.025*0.112*inputs!$C$7/3.3)*(3*60*284*((F217/1000)^0.77))*MAX(inputs!$H$14:$H$16))/F217,((0.0083*0.112*inputs!$C$7/1)*(3*60*284*((F217/1000)^0.77))*MAX(inputs!$H$14:$H$16))/F217))*(inputs!E$75*3.4/inputs!$E$73)</f>
        <v>5.3026351251835829E-2</v>
      </c>
      <c r="T217" s="63">
        <f>IF((((inputs!$P$12/(V217/MAX(K217:S217)))^(1/inputs!$O$12))-1)/inputs!$N$12&lt;0, 0, IF((((inputs!$P$12/(V217/MAX(K217:S217)))^(1/inputs!$O$12))-1)/inputs!$N$12&gt;inputs!$H$17, inputs!$H$17, (((inputs!$P$12/(V217/MAX(K217:S217)))^(1/inputs!$O$12))-1)/inputs!$N$12))</f>
        <v>272.50764627063182</v>
      </c>
      <c r="U217" s="63">
        <f>IF((((inputs!$P$12/(X217/MAX(K217:S217)))^(1/inputs!$O$12))-1)/inputs!$N$12&lt;0, 0, IF((((inputs!$P$12/(X217/MAX(K217:S217)))^(1/inputs!$O$12))-1)/inputs!$N$12&gt;inputs!$H$17, inputs!$H$17, (((inputs!$P$12/(X217/MAX(K217:S217)))^(1/inputs!$O$12))-1)/inputs!$N$12))</f>
        <v>8.5648682072387796</v>
      </c>
      <c r="V217" s="21">
        <f>inputs!$E$78*(F217/inputs!$F$78)^(inputs!$E$84-1)</f>
        <v>2.5744004973284332E-2</v>
      </c>
      <c r="W217" s="21">
        <f>inputs!$E$85*(F217/inputs!$F$85)^(inputs!$E$84-1)</f>
        <v>1.1888107250470454</v>
      </c>
      <c r="X217" s="21">
        <f>inputs!$E$80*(F217/inputs!$F$80)^(inputs!$E$84-1)</f>
        <v>4.4392299226440306</v>
      </c>
      <c r="Y217" s="21">
        <f>inputs!$E$82*(F217/inputs!$F$82)^(inputs!$E$84-1)</f>
        <v>2.0459709215610178</v>
      </c>
      <c r="Z217" s="63">
        <f t="shared" si="24"/>
        <v>690.88670043372929</v>
      </c>
      <c r="AA217" s="63">
        <f t="shared" si="25"/>
        <v>14.961330914337156</v>
      </c>
    </row>
    <row r="218" spans="1:27" x14ac:dyDescent="0.25">
      <c r="A218" s="103" t="s">
        <v>319</v>
      </c>
      <c r="B218" s="20" t="s">
        <v>320</v>
      </c>
      <c r="C218" s="20" t="s">
        <v>73</v>
      </c>
      <c r="D218" s="104" t="s">
        <v>240</v>
      </c>
      <c r="E218" s="15">
        <v>1353</v>
      </c>
      <c r="F218" s="15">
        <v>44</v>
      </c>
      <c r="G218" s="20" t="s">
        <v>164</v>
      </c>
      <c r="H218" s="20">
        <v>0.78</v>
      </c>
      <c r="I218" s="48">
        <f>inputs!$C$65*(inputs!$C$62/1000)</f>
        <v>0.82000000000000006</v>
      </c>
      <c r="J218" s="48">
        <f>inputs!$C$65*(inputs!$C$61/1000)</f>
        <v>0.25</v>
      </c>
      <c r="K218" s="59">
        <f t="shared" si="23"/>
        <v>0.43725818798100968</v>
      </c>
      <c r="L218" s="59">
        <f>((0.301*F218^0.751)/(1-H218))*J218/F218</f>
        <v>0.13331042316494199</v>
      </c>
      <c r="M218" s="59">
        <f>IF((((1.18*F218^0.874)/3.7-(0.301*F218^0.751)/(1-H218)*H218)*(MAX('Min rate concentrations'!$P$3:$P$368)))/F218&gt;0, (((1.18*F218^0.874)/3.7-(0.301*F218^0.751)/(1-H218)*H218)*(MAX('Min rate concentrations'!$P$3:$P$368)))/F218, 0)</f>
        <v>0</v>
      </c>
      <c r="N218" s="59">
        <f>IF((((1.18*F218^0.874)/3.7-(0.301*F218^0.751)/(1-H218)*H218)*(MAX('Min rate concentrations'!$Q$3:$Q$368)))/F218&gt;0, (((1.18*F218^0.874)/3.7-(0.301*F218^0.751)/(1-H218)*H218)*(MAX('Min rate concentrations'!$Q$3:$Q$368)))/F218, 0)</f>
        <v>0</v>
      </c>
      <c r="O218" s="59">
        <f>((MAX('Min rate concentrations'!$F$3:$F$368))*0.62*6.01*8*(10*F218^0.667)*0.079*0.1/F218)*inputs!$E$80/(10^(0.84+0.62*LOG10(inputs!$E$80)))</f>
        <v>6.9395679744374057</v>
      </c>
      <c r="P218" s="59">
        <f>((MAX('Min rate concentrations'!Y:Y))*0.62*6.01*8*(10*F218^0.667)*0.079*0.1/F218)*inputs!$E$80/(10^(0.84+0.62*LOG10(inputs!$E$80)))</f>
        <v>2.3131893248124684</v>
      </c>
      <c r="Q218" s="59">
        <f>(inputs!$C$7*11.2*(10*F218^0.667)*0.5/F218)*inputs!$E$80/(10^(0.84+0.62*LOG10(inputs!$E$80)))</f>
        <v>1.2223721676829078</v>
      </c>
      <c r="R218" s="59">
        <f>(60*284*((F218/1000)^0.77)*3*24*(MAX('Min rate concentrations'!$R$3:$R$368))/F218)*(inputs!$E$73*3.4/inputs!$E$75)</f>
        <v>9.6148251193539491E-3</v>
      </c>
      <c r="S218" s="59">
        <f>(IF(inputs!$C$6="aerial",((0.025*0.112*inputs!$C$7/3.3)*(3*60*284*((F218/1000)^0.77))*MAX(inputs!$H$14:$H$16))/F218,((0.0083*0.112*inputs!$C$7/1)*(3*60*284*((F218/1000)^0.77))*MAX(inputs!$H$14:$H$16))/F218))*(inputs!E$75*3.4/inputs!$E$73)</f>
        <v>5.3026351251835829E-2</v>
      </c>
      <c r="T218" s="63">
        <f>IF((((inputs!$P$12/(V218/MAX(K218:S218)))^(1/inputs!$O$12))-1)/inputs!$N$12&lt;0, 0, IF((((inputs!$P$12/(V218/MAX(K218:S218)))^(1/inputs!$O$12))-1)/inputs!$N$12&gt;inputs!$H$17, inputs!$H$17, (((inputs!$P$12/(V218/MAX(K218:S218)))^(1/inputs!$O$12))-1)/inputs!$N$12))</f>
        <v>176.77255055899121</v>
      </c>
      <c r="U218" s="63">
        <f>IF((((inputs!$P$12/(X218/MAX(K218:S218)))^(1/inputs!$O$12))-1)/inputs!$N$12&lt;0, 0, IF((((inputs!$P$12/(X218/MAX(K218:S218)))^(1/inputs!$O$12))-1)/inputs!$N$12&gt;inputs!$H$17, inputs!$H$17, (((inputs!$P$12/(X218/MAX(K218:S218)))^(1/inputs!$O$12))-1)/inputs!$N$12))</f>
        <v>0</v>
      </c>
      <c r="V218" s="21">
        <f>inputs!$E$78*(F218/inputs!$F$78)^(inputs!$E$84-1)</f>
        <v>2.5744004973284332E-2</v>
      </c>
      <c r="W218" s="21">
        <f>inputs!$E$85*(F218/inputs!$F$85)^(inputs!$E$84-1)</f>
        <v>1.1888107250470454</v>
      </c>
      <c r="X218" s="21">
        <f>inputs!$E$80*(F218/inputs!$F$80)^(inputs!$E$84-1)</f>
        <v>4.4392299226440306</v>
      </c>
      <c r="Y218" s="21">
        <f>inputs!$E$82*(F218/inputs!$F$82)^(inputs!$E$84-1)</f>
        <v>2.0459709215610178</v>
      </c>
      <c r="Z218" s="63">
        <f t="shared" si="24"/>
        <v>269.5605435766073</v>
      </c>
      <c r="AA218" s="63">
        <f t="shared" si="25"/>
        <v>5.8374035733592349</v>
      </c>
    </row>
    <row r="219" spans="1:27" x14ac:dyDescent="0.25">
      <c r="A219" s="103" t="s">
        <v>319</v>
      </c>
      <c r="B219" s="20" t="s">
        <v>320</v>
      </c>
      <c r="C219" s="20" t="s">
        <v>73</v>
      </c>
      <c r="D219" s="104" t="s">
        <v>240</v>
      </c>
      <c r="E219" s="15">
        <v>1353</v>
      </c>
      <c r="F219" s="15">
        <v>44</v>
      </c>
      <c r="G219" s="20" t="s">
        <v>152</v>
      </c>
      <c r="H219" s="20">
        <v>0.77</v>
      </c>
      <c r="I219" s="48">
        <f>MAX('Min rate concentrations'!$G$3:$G$368)</f>
        <v>7.5</v>
      </c>
      <c r="J219" s="48">
        <f>MAX('Min rate concentrations'!Z:Z)</f>
        <v>3.5</v>
      </c>
      <c r="K219" s="59">
        <f t="shared" si="23"/>
        <v>3.8254295342983351</v>
      </c>
      <c r="L219" s="59">
        <f>((0.301*F219^0.751)/(1-H219))*J219/F219</f>
        <v>1.7852004493392228</v>
      </c>
      <c r="M219" s="59">
        <f>IF((((1.18*F219^0.874)/3.7-(0.301*F219^0.751)/(1-H219)*H219)*(MAX('Min rate concentrations'!$P$3:$P$368)))/F219&gt;0, (((1.18*F219^0.874)/3.7-(0.301*F219^0.751)/(1-H219)*H219)*(MAX('Min rate concentrations'!$P$3:$P$368)))/F219, 0)</f>
        <v>0</v>
      </c>
      <c r="N219" s="59">
        <f>IF((((1.18*F219^0.874)/3.7-(0.301*F219^0.751)/(1-H219)*H219)*(MAX('Min rate concentrations'!$Q$3:$Q$368)))/F219&gt;0, (((1.18*F219^0.874)/3.7-(0.301*F219^0.751)/(1-H219)*H219)*(MAX('Min rate concentrations'!$Q$3:$Q$368)))/F219, 0)</f>
        <v>0</v>
      </c>
      <c r="O219" s="59">
        <f>((MAX('Min rate concentrations'!$F$3:$F$368))*0.62*6.01*8*(10*F219^0.667)*0.079*0.1/F219)*inputs!$E$80/(10^(0.84+0.62*LOG10(inputs!$E$80)))</f>
        <v>6.9395679744374057</v>
      </c>
      <c r="P219" s="59">
        <f>((MAX('Min rate concentrations'!Y:Y))*0.62*6.01*8*(10*F219^0.667)*0.079*0.1/F219)*inputs!$E$80/(10^(0.84+0.62*LOG10(inputs!$E$80)))</f>
        <v>2.3131893248124684</v>
      </c>
      <c r="Q219" s="59">
        <f>(inputs!$C$7*11.2*(10*F219^0.667)*0.5/F219)*inputs!$E$80/(10^(0.84+0.62*LOG10(inputs!$E$80)))</f>
        <v>1.2223721676829078</v>
      </c>
      <c r="R219" s="59">
        <f>(60*284*((F219/1000)^0.77)*3*24*(MAX('Min rate concentrations'!$R$3:$R$368))/F219)*(inputs!$E$73*3.4/inputs!$E$75)</f>
        <v>9.6148251193539491E-3</v>
      </c>
      <c r="S219" s="59">
        <f>(IF(inputs!$C$6="aerial",((0.025*0.112*inputs!$C$7/3.3)*(3*60*284*((F219/1000)^0.77))*MAX(inputs!$H$14:$H$16))/F219,((0.0083*0.112*inputs!$C$7/1)*(3*60*284*((F219/1000)^0.77))*MAX(inputs!$H$14:$H$16))/F219))*(inputs!E$75*3.4/inputs!$E$73)</f>
        <v>5.3026351251835829E-2</v>
      </c>
      <c r="T219" s="63">
        <f>IF((((inputs!$P$12/(V219/MAX(K219:S219)))^(1/inputs!$O$12))-1)/inputs!$N$12&lt;0, 0, IF((((inputs!$P$12/(V219/MAX(K219:S219)))^(1/inputs!$O$12))-1)/inputs!$N$12&gt;inputs!$H$17, inputs!$H$17, (((inputs!$P$12/(V219/MAX(K219:S219)))^(1/inputs!$O$12))-1)/inputs!$N$12))</f>
        <v>176.77255055899121</v>
      </c>
      <c r="U219" s="63">
        <f>IF((((inputs!$P$12/(X219/MAX(K219:S219)))^(1/inputs!$O$12))-1)/inputs!$N$12&lt;0, 0, IF((((inputs!$P$12/(X219/MAX(K219:S219)))^(1/inputs!$O$12))-1)/inputs!$N$12&gt;inputs!$H$17, inputs!$H$17, (((inputs!$P$12/(X219/MAX(K219:S219)))^(1/inputs!$O$12))-1)/inputs!$N$12))</f>
        <v>0</v>
      </c>
      <c r="V219" s="21">
        <f>inputs!$E$78*(F219/inputs!$F$78)^(inputs!$E$84-1)</f>
        <v>2.5744004973284332E-2</v>
      </c>
      <c r="W219" s="21">
        <f>inputs!$E$85*(F219/inputs!$F$85)^(inputs!$E$84-1)</f>
        <v>1.1888107250470454</v>
      </c>
      <c r="X219" s="21">
        <f>inputs!$E$80*(F219/inputs!$F$80)^(inputs!$E$84-1)</f>
        <v>4.4392299226440306</v>
      </c>
      <c r="Y219" s="21">
        <f>inputs!$E$82*(F219/inputs!$F$82)^(inputs!$E$84-1)</f>
        <v>2.0459709215610178</v>
      </c>
      <c r="Z219" s="63">
        <f t="shared" si="24"/>
        <v>269.5605435766073</v>
      </c>
      <c r="AA219" s="63">
        <f t="shared" si="25"/>
        <v>5.8374035733592349</v>
      </c>
    </row>
    <row r="220" spans="1:27" x14ac:dyDescent="0.25">
      <c r="A220" s="103" t="s">
        <v>319</v>
      </c>
      <c r="B220" s="20" t="s">
        <v>320</v>
      </c>
      <c r="C220" s="20" t="s">
        <v>73</v>
      </c>
      <c r="D220" s="104" t="s">
        <v>240</v>
      </c>
      <c r="E220" s="15">
        <v>1353</v>
      </c>
      <c r="F220" s="15">
        <v>44</v>
      </c>
      <c r="G220" s="20" t="s">
        <v>154</v>
      </c>
      <c r="H220" s="20">
        <v>9.2999999999999999E-2</v>
      </c>
      <c r="I220" s="48">
        <f>MAX('Min rate concentrations'!$G$3:$G$368)</f>
        <v>7.5</v>
      </c>
      <c r="J220" s="48">
        <f>MAX('Min rate concentrations'!Z:Z)</f>
        <v>3.5</v>
      </c>
      <c r="K220" s="59">
        <f t="shared" si="23"/>
        <v>0.97006482126639115</v>
      </c>
      <c r="L220" s="59"/>
      <c r="M220" s="59">
        <f>IF((((1.18*F220^0.874)/3.7-(0.301*F220^0.751)/(1-H220)*H220)*(MAX('Min rate concentrations'!$P$3:$P$368)))/F220&gt;0, (((1.18*F220^0.874)/3.7-(0.301*F220^0.751)/(1-H220)*H220)*(MAX('Min rate concentrations'!$P$3:$P$368)))/F220, 0)</f>
        <v>2.6989386422423347E-2</v>
      </c>
      <c r="N220" s="59">
        <f>IF((((1.18*F220^0.874)/3.7-(0.301*F220^0.751)/(1-H220)*H220)*(MAX('Min rate concentrations'!$Q$3:$Q$368)))/F220&gt;0, (((1.18*F220^0.874)/3.7-(0.301*F220^0.751)/(1-H220)*H220)*(MAX('Min rate concentrations'!$Q$3:$Q$368)))/F220, 0)</f>
        <v>0.10277703368180115</v>
      </c>
      <c r="O220" s="59">
        <f>((MAX('Min rate concentrations'!$F$3:$F$368))*0.62*6.01*8*(10*F220^0.667)*0.079*0.1/F220)*inputs!$E$80/(10^(0.84+0.62*LOG10(inputs!$E$80)))</f>
        <v>6.9395679744374057</v>
      </c>
      <c r="P220" s="59">
        <f>((MAX('Min rate concentrations'!Y:Y))*0.62*6.01*8*(10*F220^0.667)*0.079*0.1/F220)*inputs!$E$80/(10^(0.84+0.62*LOG10(inputs!$E$80)))</f>
        <v>2.3131893248124684</v>
      </c>
      <c r="Q220" s="59">
        <f>(inputs!$C$7*11.2*(10*F220^0.667)*0.5/F220)*inputs!$E$80/(10^(0.84+0.62*LOG10(inputs!$E$80)))</f>
        <v>1.2223721676829078</v>
      </c>
      <c r="R220" s="59">
        <f>(60*284*((F220/1000)^0.77)*3*24*(MAX('Min rate concentrations'!$R$3:$R$368))/F220)*(inputs!$E$73*3.4/inputs!$E$75)</f>
        <v>9.6148251193539491E-3</v>
      </c>
      <c r="S220" s="59">
        <f>(IF(inputs!$C$6="aerial",((0.025*0.112*inputs!$C$7/3.3)*(3*60*284*((F220/1000)^0.77))*MAX(inputs!$H$14:$H$16))/F220,((0.0083*0.112*inputs!$C$7/1)*(3*60*284*((F220/1000)^0.77))*MAX(inputs!$H$14:$H$16))/F220))*(inputs!E$75*3.4/inputs!$E$73)</f>
        <v>5.3026351251835829E-2</v>
      </c>
      <c r="T220" s="63">
        <f>IF((((inputs!$P$12/(V220/MAX(K220:S220)))^(1/inputs!$O$12))-1)/inputs!$N$12&lt;0, 0, IF((((inputs!$P$12/(V220/MAX(K220:S220)))^(1/inputs!$O$12))-1)/inputs!$N$12&gt;inputs!$H$17, inputs!$H$17, (((inputs!$P$12/(V220/MAX(K220:S220)))^(1/inputs!$O$12))-1)/inputs!$N$12))</f>
        <v>176.77255055899121</v>
      </c>
      <c r="U220" s="63">
        <f>IF((((inputs!$P$12/(X220/MAX(K220:S220)))^(1/inputs!$O$12))-1)/inputs!$N$12&lt;0, 0, IF((((inputs!$P$12/(X220/MAX(K220:S220)))^(1/inputs!$O$12))-1)/inputs!$N$12&gt;inputs!$H$17, inputs!$H$17, (((inputs!$P$12/(X220/MAX(K220:S220)))^(1/inputs!$O$12))-1)/inputs!$N$12))</f>
        <v>0</v>
      </c>
      <c r="V220" s="21">
        <f>inputs!$E$78*(F220/inputs!$F$78)^(inputs!$E$84-1)</f>
        <v>2.5744004973284332E-2</v>
      </c>
      <c r="W220" s="21">
        <f>inputs!$E$85*(F220/inputs!$F$85)^(inputs!$E$84-1)</f>
        <v>1.1888107250470454</v>
      </c>
      <c r="X220" s="21">
        <f>inputs!$E$80*(F220/inputs!$F$80)^(inputs!$E$84-1)</f>
        <v>4.4392299226440306</v>
      </c>
      <c r="Y220" s="21">
        <f>inputs!$E$82*(F220/inputs!$F$82)^(inputs!$E$84-1)</f>
        <v>2.0459709215610178</v>
      </c>
      <c r="Z220" s="63">
        <f t="shared" si="24"/>
        <v>269.5605435766073</v>
      </c>
      <c r="AA220" s="63">
        <f t="shared" si="25"/>
        <v>5.8374035733592349</v>
      </c>
    </row>
    <row r="221" spans="1:27" x14ac:dyDescent="0.25">
      <c r="A221" s="103" t="s">
        <v>319</v>
      </c>
      <c r="B221" s="20" t="s">
        <v>320</v>
      </c>
      <c r="C221" s="20" t="s">
        <v>73</v>
      </c>
      <c r="D221" s="104" t="s">
        <v>240</v>
      </c>
      <c r="E221" s="15">
        <v>1353</v>
      </c>
      <c r="F221" s="15">
        <v>44</v>
      </c>
      <c r="G221" s="20" t="s">
        <v>146</v>
      </c>
      <c r="H221" s="20">
        <v>0.84</v>
      </c>
      <c r="I221" s="48">
        <f>MAX('Min rate concentrations'!$I$3:$I$368)</f>
        <v>9.4775690500787988</v>
      </c>
      <c r="J221" s="48" t="s">
        <v>13</v>
      </c>
      <c r="K221" s="59">
        <f t="shared" ref="K221:K256" si="27">((0.301*F221^0.751)/(1-H221))*I221/F221</f>
        <v>6.9490230735252876</v>
      </c>
      <c r="L221" s="48" t="s">
        <v>13</v>
      </c>
      <c r="M221" s="59">
        <f>IF((((1.18*F221^0.874)/3.7-(0.301*F221^0.751)/(1-H221)*H221)*(MAX('Min rate concentrations'!$P$3:$P$368)))/F221&gt;0, (((1.18*F221^0.874)/3.7-(0.301*F221^0.751)/(1-H221)*H221)*(MAX('Min rate concentrations'!$P$3:$P$368)))/F221, 0)</f>
        <v>0</v>
      </c>
      <c r="N221" s="59">
        <f>IF((((1.18*F221^0.874)/3.7-(0.301*F221^0.751)/(1-H221)*H221)*(MAX('Min rate concentrations'!$Q$3:$Q$368)))/F221&gt;0, (((1.18*F221^0.874)/3.7-(0.301*F221^0.751)/(1-H221)*H221)*(MAX('Min rate concentrations'!$Q$3:$Q$368)))/F221, 0)</f>
        <v>0</v>
      </c>
      <c r="O221" s="59">
        <f>((MAX('Min rate concentrations'!$F$3:$F$368))*0.62*6.01*8*(10*F221^0.667)*0.079*0.1/F221)*inputs!$E$80/(10^(0.84+0.62*LOG10(inputs!$E$80)))</f>
        <v>6.9395679744374057</v>
      </c>
      <c r="P221" s="59">
        <f>((MAX('Min rate concentrations'!Y:Y))*0.62*6.01*8*(10*F221^0.667)*0.079*0.1/F221)*inputs!$E$80/(10^(0.84+0.62*LOG10(inputs!$E$80)))</f>
        <v>2.3131893248124684</v>
      </c>
      <c r="Q221" s="59">
        <f>(inputs!$C$7*11.2*(10*F221^0.667)*0.5/F221)*inputs!$E$80/(10^(0.84+0.62*LOG10(inputs!$E$80)))</f>
        <v>1.2223721676829078</v>
      </c>
      <c r="R221" s="59">
        <f>(60*284*((F221/1000)^0.77)*3*24*(MAX('Min rate concentrations'!$R$3:$R$368))/F221)*(inputs!$E$73*3.4/inputs!$E$75)</f>
        <v>9.6148251193539491E-3</v>
      </c>
      <c r="S221" s="59">
        <f>(IF(inputs!$C$6="aerial",((0.025*0.112*inputs!$C$7/3.3)*(3*60*284*((F221/1000)^0.77))*MAX(inputs!$H$14:$H$16))/F221,((0.0083*0.112*inputs!$C$7/1)*(3*60*284*((F221/1000)^0.77))*MAX(inputs!$H$14:$H$16))/F221))*(inputs!E$75*3.4/inputs!$E$73)</f>
        <v>5.3026351251835829E-2</v>
      </c>
      <c r="T221" s="63">
        <f>IF((((inputs!$P$12/(V221/MAX(K221:S221)))^(1/inputs!$O$12))-1)/inputs!$N$12&lt;0, 0, IF((((inputs!$P$12/(V221/MAX(K221:S221)))^(1/inputs!$O$12))-1)/inputs!$N$12&gt;inputs!$H$17, inputs!$H$17, (((inputs!$P$12/(V221/MAX(K221:S221)))^(1/inputs!$O$12))-1)/inputs!$N$12))</f>
        <v>176.88625570547995</v>
      </c>
      <c r="U221" s="63">
        <f>IF((((inputs!$P$12/(X221/MAX(K221:S221)))^(1/inputs!$O$12))-1)/inputs!$N$12&lt;0, 0, IF((((inputs!$P$12/(X221/MAX(K221:S221)))^(1/inputs!$O$12))-1)/inputs!$N$12&gt;inputs!$H$17, inputs!$H$17, (((inputs!$P$12/(X221/MAX(K221:S221)))^(1/inputs!$O$12))-1)/inputs!$N$12))</f>
        <v>0</v>
      </c>
      <c r="V221" s="21">
        <f>inputs!$E$78*(F221/inputs!$F$78)^(inputs!$E$84-1)</f>
        <v>2.5744004973284332E-2</v>
      </c>
      <c r="W221" s="21">
        <f>inputs!$E$85*(F221/inputs!$F$85)^(inputs!$E$84-1)</f>
        <v>1.1888107250470454</v>
      </c>
      <c r="X221" s="21">
        <f>inputs!$E$80*(F221/inputs!$F$80)^(inputs!$E$84-1)</f>
        <v>4.4392299226440306</v>
      </c>
      <c r="Y221" s="21">
        <f>inputs!$E$82*(F221/inputs!$F$82)^(inputs!$E$84-1)</f>
        <v>2.0459709215610178</v>
      </c>
      <c r="Z221" s="63">
        <f t="shared" si="24"/>
        <v>269.92781739813171</v>
      </c>
      <c r="AA221" s="63">
        <f t="shared" si="25"/>
        <v>5.845356983341726</v>
      </c>
    </row>
    <row r="222" spans="1:27" x14ac:dyDescent="0.25">
      <c r="A222" s="103" t="s">
        <v>248</v>
      </c>
      <c r="B222" s="20" t="s">
        <v>252</v>
      </c>
      <c r="C222" s="20" t="s">
        <v>73</v>
      </c>
      <c r="D222" s="104" t="s">
        <v>240</v>
      </c>
      <c r="E222" s="15">
        <v>67</v>
      </c>
      <c r="F222" s="15">
        <v>5400</v>
      </c>
      <c r="G222" s="20" t="s">
        <v>182</v>
      </c>
      <c r="H222" s="20">
        <v>0.85</v>
      </c>
      <c r="I222" s="48">
        <f>MAX('Min rate concentrations'!$M$3:$M$368)</f>
        <v>2.8488184789681945</v>
      </c>
      <c r="J222" s="48">
        <f>MAX('Min rate concentrations'!AE:AE)</f>
        <v>1.9699276716269429</v>
      </c>
      <c r="K222" s="59">
        <f t="shared" si="27"/>
        <v>0.67262649152049014</v>
      </c>
      <c r="L222" s="59">
        <f t="shared" ref="L222:L228" si="28">((0.301*F222^0.751)/(1-H222))*J222/F222</f>
        <v>0.4651140632854453</v>
      </c>
      <c r="M222" s="59">
        <f>IF((((1.18*F222^0.874)/3.7-(0.301*F222^0.751)/(1-H222)*H222)*(MAX('Min rate concentrations'!$P$3:$P$368)))/F222&gt;0, (((1.18*F222^0.874)/3.7-(0.301*F222^0.751)/(1-H222)*H222)*(MAX('Min rate concentrations'!$P$3:$P$368)))/F222, 0)</f>
        <v>0</v>
      </c>
      <c r="N222" s="59">
        <f>IF((((1.18*F222^0.874)/3.7-(0.301*F222^0.751)/(1-H222)*H222)*(MAX('Min rate concentrations'!$Q$3:$Q$368)))/F222&gt;0, (((1.18*F222^0.874)/3.7-(0.301*F222^0.751)/(1-H222)*H222)*(MAX('Min rate concentrations'!$Q$3:$Q$368)))/F222, 0)</f>
        <v>0</v>
      </c>
      <c r="O222" s="59">
        <f>((MAX('Min rate concentrations'!$F$3:$F$368))*0.62*6.01*8*(10*F222^0.667)*0.079*0.1/F222)*inputs!$E$80/(10^(0.84+0.62*LOG10(inputs!$E$80)))</f>
        <v>1.3986693351125064</v>
      </c>
      <c r="P222" s="59">
        <f>((MAX('Min rate concentrations'!Y:Y))*0.62*6.01*8*(10*F222^0.667)*0.079*0.1/F222)*inputs!$E$80/(10^(0.84+0.62*LOG10(inputs!$E$80)))</f>
        <v>0.46622311170416869</v>
      </c>
      <c r="Q222" s="59">
        <f>(inputs!$C$7*11.2*(10*F222^0.667)*0.5/F222)*inputs!$E$80/(10^(0.84+0.62*LOG10(inputs!$E$80)))</f>
        <v>0.24636900644693105</v>
      </c>
      <c r="R222" s="59">
        <f>(60*284*((F222/1000)^0.77)*3*24*(MAX('Min rate concentrations'!$R$3:$R$368))/F222)*(inputs!$E$73*3.4/inputs!$E$75)</f>
        <v>3.1804234009272744E-3</v>
      </c>
      <c r="S222" s="59">
        <f>(IF(inputs!$C$6="aerial",((0.025*0.112*inputs!$C$7/3.3)*(3*60*284*((F222/1000)^0.77))*MAX(inputs!$H$14:$H$16))/F222,((0.0083*0.112*inputs!$C$7/1)*(3*60*284*((F222/1000)^0.77))*MAX(inputs!$H$14:$H$16))/F222))*(inputs!E$75*3.4/inputs!$E$73)</f>
        <v>1.7540230455950281E-2</v>
      </c>
      <c r="T222" s="63">
        <f>IF((((inputs!$P$12/(V222/MAX(K222:S222)))^(1/inputs!$O$12))-1)/inputs!$N$12&lt;0, 0, IF((((inputs!$P$12/(V222/MAX(K222:S222)))^(1/inputs!$O$12))-1)/inputs!$N$12&gt;inputs!$H$17, inputs!$H$17, (((inputs!$P$12/(V222/MAX(K222:S222)))^(1/inputs!$O$12))-1)/inputs!$N$12))</f>
        <v>192.1817040904908</v>
      </c>
      <c r="U222" s="63">
        <f>IF((((inputs!$P$12/(X222/MAX(K222:S222)))^(1/inputs!$O$12))-1)/inputs!$N$12&lt;0, 0, IF((((inputs!$P$12/(X222/MAX(K222:S222)))^(1/inputs!$O$12))-1)/inputs!$N$12&gt;inputs!$H$17, inputs!$H$17, (((inputs!$P$12/(X222/MAX(K222:S222)))^(1/inputs!$O$12))-1)/inputs!$N$12))</f>
        <v>0</v>
      </c>
      <c r="V222" s="21">
        <f>inputs!$E$78*(F222/inputs!$F$78)^(inputs!$E$84-1)</f>
        <v>4.3427808073074944E-3</v>
      </c>
      <c r="W222" s="21">
        <f>inputs!$E$85*(F222/inputs!$F$85)^(inputs!$E$84-1)</f>
        <v>0.20054161757711042</v>
      </c>
      <c r="X222" s="21">
        <f>inputs!$E$80*(F222/inputs!$F$80)^(inputs!$E$84-1)</f>
        <v>0.74885793905376674</v>
      </c>
      <c r="Y222" s="21">
        <f>inputs!$E$82*(F222/inputs!$F$82)^(inputs!$E$84-1)</f>
        <v>0.34513679047549034</v>
      </c>
      <c r="Z222" s="63">
        <f t="shared" si="24"/>
        <v>322.06767902239011</v>
      </c>
      <c r="AA222" s="63">
        <f t="shared" si="25"/>
        <v>6.9744592270215575</v>
      </c>
    </row>
    <row r="223" spans="1:27" x14ac:dyDescent="0.25">
      <c r="A223" s="103" t="s">
        <v>248</v>
      </c>
      <c r="B223" s="20" t="s">
        <v>252</v>
      </c>
      <c r="C223" s="20" t="s">
        <v>73</v>
      </c>
      <c r="D223" s="104" t="s">
        <v>240</v>
      </c>
      <c r="E223" s="15">
        <v>67</v>
      </c>
      <c r="F223" s="15">
        <v>5400</v>
      </c>
      <c r="G223" s="20" t="s">
        <v>142</v>
      </c>
      <c r="H223" s="20">
        <v>0.69</v>
      </c>
      <c r="I223" s="48">
        <f>MAX('Min rate concentrations'!$H$3:$H$368)</f>
        <v>47</v>
      </c>
      <c r="J223" s="48">
        <f>MAX('Min rate concentrations'!AA:AA)</f>
        <v>32.5</v>
      </c>
      <c r="K223" s="59">
        <f t="shared" si="27"/>
        <v>5.3695342078944188</v>
      </c>
      <c r="L223" s="59">
        <f t="shared" si="28"/>
        <v>3.7129757820546514</v>
      </c>
      <c r="M223" s="59">
        <f>IF((((1.18*F223^0.874)/3.7-(0.301*F223^0.751)/(1-H223)*H223)*(MAX('Min rate concentrations'!$P$3:$P$368)))/F223&gt;0, (((1.18*F223^0.874)/3.7-(0.301*F223^0.751)/(1-H223)*H223)*(MAX('Min rate concentrations'!$P$3:$P$368)))/F223, 0)</f>
        <v>4.2331595632441824E-3</v>
      </c>
      <c r="N223" s="59">
        <f>IF((((1.18*F223^0.874)/3.7-(0.301*F223^0.751)/(1-H223)*H223)*(MAX('Min rate concentrations'!$Q$3:$Q$368)))/F223&gt;0, (((1.18*F223^0.874)/3.7-(0.301*F223^0.751)/(1-H223)*H223)*(MAX('Min rate concentrations'!$Q$3:$Q$368)))/F223, 0)</f>
        <v>1.6120099071630596E-2</v>
      </c>
      <c r="O223" s="59">
        <f>((MAX('Min rate concentrations'!$F$3:$F$368))*0.62*6.01*8*(10*F223^0.667)*0.079*0.1/F223)*inputs!$E$80/(10^(0.84+0.62*LOG10(inputs!$E$80)))</f>
        <v>1.3986693351125064</v>
      </c>
      <c r="P223" s="59">
        <f>((MAX('Min rate concentrations'!Y:Y))*0.62*6.01*8*(10*F223^0.667)*0.079*0.1/F223)*inputs!$E$80/(10^(0.84+0.62*LOG10(inputs!$E$80)))</f>
        <v>0.46622311170416869</v>
      </c>
      <c r="Q223" s="59">
        <f>(inputs!$C$7*11.2*(10*F223^0.667)*0.5/F223)*inputs!$E$80/(10^(0.84+0.62*LOG10(inputs!$E$80)))</f>
        <v>0.24636900644693105</v>
      </c>
      <c r="R223" s="59">
        <f>(60*284*((F223/1000)^0.77)*3*24*(MAX('Min rate concentrations'!$R$3:$R$368))/F223)*(inputs!$E$73*3.4/inputs!$E$75)</f>
        <v>3.1804234009272744E-3</v>
      </c>
      <c r="S223" s="59">
        <f>(IF(inputs!$C$6="aerial",((0.025*0.112*inputs!$C$7/3.3)*(3*60*284*((F223/1000)^0.77))*MAX(inputs!$H$14:$H$16))/F223,((0.0083*0.112*inputs!$C$7/1)*(3*60*284*((F223/1000)^0.77))*MAX(inputs!$H$14:$H$16))/F223))*(inputs!E$75*3.4/inputs!$E$73)</f>
        <v>1.7540230455950281E-2</v>
      </c>
      <c r="T223" s="63">
        <f>IF((((inputs!$P$12/(V223/MAX(K223:S223)))^(1/inputs!$O$12))-1)/inputs!$N$12&lt;0, 0, IF((((inputs!$P$12/(V223/MAX(K223:S223)))^(1/inputs!$O$12))-1)/inputs!$N$12&gt;inputs!$H$17, inputs!$H$17, (((inputs!$P$12/(V223/MAX(K223:S223)))^(1/inputs!$O$12))-1)/inputs!$N$12))</f>
        <v>352.90091572576898</v>
      </c>
      <c r="U223" s="63">
        <f>IF((((inputs!$P$12/(X223/MAX(K223:S223)))^(1/inputs!$O$12))-1)/inputs!$N$12&lt;0, 0, IF((((inputs!$P$12/(X223/MAX(K223:S223)))^(1/inputs!$O$12))-1)/inputs!$N$12&gt;inputs!$H$17, inputs!$H$17, (((inputs!$P$12/(X223/MAX(K223:S223)))^(1/inputs!$O$12))-1)/inputs!$N$12))</f>
        <v>18.461836006689119</v>
      </c>
      <c r="V223" s="21">
        <f>inputs!$E$78*(F223/inputs!$F$78)^(inputs!$E$84-1)</f>
        <v>4.3427808073074944E-3</v>
      </c>
      <c r="W223" s="21">
        <f>inputs!$E$85*(F223/inputs!$F$85)^(inputs!$E$84-1)</f>
        <v>0.20054161757711042</v>
      </c>
      <c r="X223" s="21">
        <f>inputs!$E$80*(F223/inputs!$F$80)^(inputs!$E$84-1)</f>
        <v>0.74885793905376674</v>
      </c>
      <c r="Y223" s="21">
        <f>inputs!$E$82*(F223/inputs!$F$82)^(inputs!$E$84-1)</f>
        <v>0.34513679047549034</v>
      </c>
      <c r="Z223" s="63">
        <f t="shared" si="24"/>
        <v>1236.4276361494531</v>
      </c>
      <c r="AA223" s="63">
        <f t="shared" si="25"/>
        <v>26.775161548847958</v>
      </c>
    </row>
    <row r="224" spans="1:27" x14ac:dyDescent="0.25">
      <c r="A224" s="103" t="s">
        <v>248</v>
      </c>
      <c r="B224" s="20" t="s">
        <v>252</v>
      </c>
      <c r="C224" s="20" t="s">
        <v>73</v>
      </c>
      <c r="D224" s="104" t="s">
        <v>240</v>
      </c>
      <c r="E224" s="15">
        <v>67</v>
      </c>
      <c r="F224" s="15">
        <v>5400</v>
      </c>
      <c r="G224" s="20" t="s">
        <v>164</v>
      </c>
      <c r="H224" s="20">
        <v>0.78</v>
      </c>
      <c r="I224" s="48">
        <f>inputs!$C$65*(inputs!$C$62/1000)</f>
        <v>0.82000000000000006</v>
      </c>
      <c r="J224" s="48">
        <f>inputs!$C$65*(inputs!$C$61/1000)</f>
        <v>0.25</v>
      </c>
      <c r="K224" s="59">
        <f t="shared" si="27"/>
        <v>0.13200537675500598</v>
      </c>
      <c r="L224" s="59">
        <f t="shared" si="28"/>
        <v>4.0245541693599382E-2</v>
      </c>
      <c r="M224" s="59">
        <f>IF((((1.18*F224^0.874)/3.7-(0.301*F224^0.751)/(1-H224)*H224)*(MAX('Min rate concentrations'!$P$3:$P$368)))/F224&gt;0, (((1.18*F224^0.874)/3.7-(0.301*F224^0.751)/(1-H224)*H224)*(MAX('Min rate concentrations'!$P$3:$P$368)))/F224, 0)</f>
        <v>0</v>
      </c>
      <c r="N224" s="59">
        <f>IF((((1.18*F224^0.874)/3.7-(0.301*F224^0.751)/(1-H224)*H224)*(MAX('Min rate concentrations'!$Q$3:$Q$368)))/F224&gt;0, (((1.18*F224^0.874)/3.7-(0.301*F224^0.751)/(1-H224)*H224)*(MAX('Min rate concentrations'!$Q$3:$Q$368)))/F224, 0)</f>
        <v>0</v>
      </c>
      <c r="O224" s="59">
        <f>((MAX('Min rate concentrations'!$F$3:$F$368))*0.62*6.01*8*(10*F224^0.667)*0.079*0.1/F224)*inputs!$E$80/(10^(0.84+0.62*LOG10(inputs!$E$80)))</f>
        <v>1.3986693351125064</v>
      </c>
      <c r="P224" s="59">
        <f>((MAX('Min rate concentrations'!Y:Y))*0.62*6.01*8*(10*F224^0.667)*0.079*0.1/F224)*inputs!$E$80/(10^(0.84+0.62*LOG10(inputs!$E$80)))</f>
        <v>0.46622311170416869</v>
      </c>
      <c r="Q224" s="59">
        <f>(inputs!$C$7*11.2*(10*F224^0.667)*0.5/F224)*inputs!$E$80/(10^(0.84+0.62*LOG10(inputs!$E$80)))</f>
        <v>0.24636900644693105</v>
      </c>
      <c r="R224" s="59">
        <f>(60*284*((F224/1000)^0.77)*3*24*(MAX('Min rate concentrations'!$R$3:$R$368))/F224)*(inputs!$E$73*3.4/inputs!$E$75)</f>
        <v>3.1804234009272744E-3</v>
      </c>
      <c r="S224" s="59">
        <f>(IF(inputs!$C$6="aerial",((0.025*0.112*inputs!$C$7/3.3)*(3*60*284*((F224/1000)^0.77))*MAX(inputs!$H$14:$H$16))/F224,((0.0083*0.112*inputs!$C$7/1)*(3*60*284*((F224/1000)^0.77))*MAX(inputs!$H$14:$H$16))/F224))*(inputs!E$75*3.4/inputs!$E$73)</f>
        <v>1.7540230455950281E-2</v>
      </c>
      <c r="T224" s="63">
        <f>IF((((inputs!$P$12/(V224/MAX(K224:S224)))^(1/inputs!$O$12))-1)/inputs!$N$12&lt;0, 0, IF((((inputs!$P$12/(V224/MAX(K224:S224)))^(1/inputs!$O$12))-1)/inputs!$N$12&gt;inputs!$H$17, inputs!$H$17, (((inputs!$P$12/(V224/MAX(K224:S224)))^(1/inputs!$O$12))-1)/inputs!$N$12))</f>
        <v>192.1817040904908</v>
      </c>
      <c r="U224" s="63">
        <f>IF((((inputs!$P$12/(X224/MAX(K224:S224)))^(1/inputs!$O$12))-1)/inputs!$N$12&lt;0, 0, IF((((inputs!$P$12/(X224/MAX(K224:S224)))^(1/inputs!$O$12))-1)/inputs!$N$12&gt;inputs!$H$17, inputs!$H$17, (((inputs!$P$12/(X224/MAX(K224:S224)))^(1/inputs!$O$12))-1)/inputs!$N$12))</f>
        <v>0</v>
      </c>
      <c r="V224" s="21">
        <f>inputs!$E$78*(F224/inputs!$F$78)^(inputs!$E$84-1)</f>
        <v>4.3427808073074944E-3</v>
      </c>
      <c r="W224" s="21">
        <f>inputs!$E$85*(F224/inputs!$F$85)^(inputs!$E$84-1)</f>
        <v>0.20054161757711042</v>
      </c>
      <c r="X224" s="21">
        <f>inputs!$E$80*(F224/inputs!$F$80)^(inputs!$E$84-1)</f>
        <v>0.74885793905376674</v>
      </c>
      <c r="Y224" s="21">
        <f>inputs!$E$82*(F224/inputs!$F$82)^(inputs!$E$84-1)</f>
        <v>0.34513679047549034</v>
      </c>
      <c r="Z224" s="63">
        <f t="shared" si="24"/>
        <v>322.06767902239011</v>
      </c>
      <c r="AA224" s="63">
        <f t="shared" si="25"/>
        <v>6.9744592270215575</v>
      </c>
    </row>
    <row r="225" spans="1:27" x14ac:dyDescent="0.25">
      <c r="A225" s="103" t="s">
        <v>248</v>
      </c>
      <c r="B225" s="20" t="s">
        <v>252</v>
      </c>
      <c r="C225" s="20" t="s">
        <v>73</v>
      </c>
      <c r="D225" s="104" t="s">
        <v>240</v>
      </c>
      <c r="E225" s="15">
        <v>67</v>
      </c>
      <c r="F225" s="15">
        <v>5400</v>
      </c>
      <c r="G225" s="20" t="s">
        <v>138</v>
      </c>
      <c r="H225" s="20">
        <v>0.68</v>
      </c>
      <c r="I225" s="48">
        <f>MAX('Min rate concentrations'!$L$3:$L$368)</f>
        <v>58.421240152220811</v>
      </c>
      <c r="J225" s="48">
        <f>MAX('Min rate concentrations'!AD:AD)</f>
        <v>40.397666062705881</v>
      </c>
      <c r="K225" s="59">
        <f t="shared" si="27"/>
        <v>6.4657847549294578</v>
      </c>
      <c r="L225" s="59">
        <f t="shared" si="28"/>
        <v>4.4710213730895187</v>
      </c>
      <c r="M225" s="59">
        <f>IF((((1.18*F225^0.874)/3.7-(0.301*F225^0.751)/(1-H225)*H225)*(MAX('Min rate concentrations'!$P$3:$P$368)))/F225&gt;0, (((1.18*F225^0.874)/3.7-(0.301*F225^0.751)/(1-H225)*H225)*(MAX('Min rate concentrations'!$P$3:$P$368)))/F225, 0)</f>
        <v>4.7513625667980845E-3</v>
      </c>
      <c r="N225" s="59">
        <f>IF((((1.18*F225^0.874)/3.7-(0.301*F225^0.751)/(1-H225)*H225)*(MAX('Min rate concentrations'!$Q$3:$Q$368)))/F225&gt;0, (((1.18*F225^0.874)/3.7-(0.301*F225^0.751)/(1-H225)*H225)*(MAX('Min rate concentrations'!$Q$3:$Q$368)))/F225, 0)</f>
        <v>1.809344395308447E-2</v>
      </c>
      <c r="O225" s="59">
        <f>((MAX('Min rate concentrations'!$F$3:$F$368))*0.62*6.01*8*(10*F225^0.667)*0.079*0.1/F225)*inputs!$E$80/(10^(0.84+0.62*LOG10(inputs!$E$80)))</f>
        <v>1.3986693351125064</v>
      </c>
      <c r="P225" s="59">
        <f>((MAX('Min rate concentrations'!Y:Y))*0.62*6.01*8*(10*F225^0.667)*0.079*0.1/F225)*inputs!$E$80/(10^(0.84+0.62*LOG10(inputs!$E$80)))</f>
        <v>0.46622311170416869</v>
      </c>
      <c r="Q225" s="59">
        <f>(inputs!$C$7*11.2*(10*F225^0.667)*0.5/F225)*inputs!$E$80/(10^(0.84+0.62*LOG10(inputs!$E$80)))</f>
        <v>0.24636900644693105</v>
      </c>
      <c r="R225" s="59">
        <f>(60*284*((F225/1000)^0.77)*3*24*(MAX('Min rate concentrations'!$R$3:$R$368))/F225)*(inputs!$E$73*3.4/inputs!$E$75)</f>
        <v>3.1804234009272744E-3</v>
      </c>
      <c r="S225" s="59">
        <f>(IF(inputs!$C$6="aerial",((0.025*0.112*inputs!$C$7/3.3)*(3*60*284*((F225/1000)^0.77))*MAX(inputs!$H$14:$H$16))/F225,((0.0083*0.112*inputs!$C$7/1)*(3*60*284*((F225/1000)^0.77))*MAX(inputs!$H$14:$H$16))/F225))*(inputs!E$75*3.4/inputs!$E$73)</f>
        <v>1.7540230455950281E-2</v>
      </c>
      <c r="T225" s="63">
        <f>IF((((inputs!$P$12/(V225/MAX(K225:S225)))^(1/inputs!$O$12))-1)/inputs!$N$12&lt;0, 0, IF((((inputs!$P$12/(V225/MAX(K225:S225)))^(1/inputs!$O$12))-1)/inputs!$N$12&gt;inputs!$H$17, inputs!$H$17, (((inputs!$P$12/(V225/MAX(K225:S225)))^(1/inputs!$O$12))-1)/inputs!$N$12))</f>
        <v>382.83741211051409</v>
      </c>
      <c r="U225" s="63">
        <f>IF((((inputs!$P$12/(X225/MAX(K225:S225)))^(1/inputs!$O$12))-1)/inputs!$N$12&lt;0, 0, IF((((inputs!$P$12/(X225/MAX(K225:S225)))^(1/inputs!$O$12))-1)/inputs!$N$12&gt;inputs!$H$17, inputs!$H$17, (((inputs!$P$12/(X225/MAX(K225:S225)))^(1/inputs!$O$12))-1)/inputs!$N$12))</f>
        <v>22.147225875221842</v>
      </c>
      <c r="V225" s="21">
        <f>inputs!$E$78*(F225/inputs!$F$78)^(inputs!$E$84-1)</f>
        <v>4.3427808073074944E-3</v>
      </c>
      <c r="W225" s="21">
        <f>inputs!$E$85*(F225/inputs!$F$85)^(inputs!$E$84-1)</f>
        <v>0.20054161757711042</v>
      </c>
      <c r="X225" s="21">
        <f>inputs!$E$80*(F225/inputs!$F$80)^(inputs!$E$84-1)</f>
        <v>0.74885793905376674</v>
      </c>
      <c r="Y225" s="21">
        <f>inputs!$E$82*(F225/inputs!$F$82)^(inputs!$E$84-1)</f>
        <v>0.34513679047549034</v>
      </c>
      <c r="Z225" s="63">
        <f t="shared" si="24"/>
        <v>1488.8581859921724</v>
      </c>
      <c r="AA225" s="63">
        <f t="shared" si="25"/>
        <v>32.241610659409851</v>
      </c>
    </row>
    <row r="226" spans="1:27" x14ac:dyDescent="0.25">
      <c r="A226" s="103" t="s">
        <v>248</v>
      </c>
      <c r="B226" s="20" t="s">
        <v>252</v>
      </c>
      <c r="C226" s="20" t="s">
        <v>73</v>
      </c>
      <c r="D226" s="104" t="s">
        <v>240</v>
      </c>
      <c r="E226" s="15">
        <v>67</v>
      </c>
      <c r="F226" s="15">
        <v>5400</v>
      </c>
      <c r="G226" s="49" t="s">
        <v>186</v>
      </c>
      <c r="H226" s="49">
        <v>0.75</v>
      </c>
      <c r="I226" s="48">
        <f>inputs!$C$65*inputs!$C$64/1000</f>
        <v>2.13</v>
      </c>
      <c r="J226" s="48">
        <f>inputs!$C$65*inputs!$C$63/1000</f>
        <v>0.88</v>
      </c>
      <c r="K226" s="59">
        <f t="shared" si="27"/>
        <v>0.30174497340193063</v>
      </c>
      <c r="L226" s="59">
        <f t="shared" si="28"/>
        <v>0.12466458995009343</v>
      </c>
      <c r="M226" s="59">
        <f>IF((((1.18*F226^0.874)/3.7-(0.301*F226^0.751)/(1-H226)*H226)*(MAX('Min rate concentrations'!$P$3:$P$368)))/F226&gt;0, (((1.18*F226^0.874)/3.7-(0.301*F226^0.751)/(1-H226)*H226)*(MAX('Min rate concentrations'!$P$3:$P$368)))/F226, 0)</f>
        <v>2.5336049595018251E-4</v>
      </c>
      <c r="N226" s="59">
        <f>IF((((1.18*F226^0.874)/3.7-(0.301*F226^0.751)/(1-H226)*H226)*(MAX('Min rate concentrations'!$Q$3:$Q$368)))/F226&gt;0, (((1.18*F226^0.874)/3.7-(0.301*F226^0.751)/(1-H226)*H226)*(MAX('Min rate concentrations'!$Q$3:$Q$368)))/F226, 0)</f>
        <v>9.6481038206468704E-4</v>
      </c>
      <c r="O226" s="59">
        <f>((MAX('Min rate concentrations'!$F$3:$F$368))*0.62*6.01*8*(10*F226^0.667)*0.079*0.1/F226)*inputs!$E$80/(10^(0.84+0.62*LOG10(inputs!$E$80)))</f>
        <v>1.3986693351125064</v>
      </c>
      <c r="P226" s="59">
        <f>((MAX('Min rate concentrations'!Y:Y))*0.62*6.01*8*(10*F226^0.667)*0.079*0.1/F226)*inputs!$E$80/(10^(0.84+0.62*LOG10(inputs!$E$80)))</f>
        <v>0.46622311170416869</v>
      </c>
      <c r="Q226" s="59">
        <f>(inputs!$C$7*11.2*(10*F226^0.667)*0.5/F226)*inputs!$E$80/(10^(0.84+0.62*LOG10(inputs!$E$80)))</f>
        <v>0.24636900644693105</v>
      </c>
      <c r="R226" s="59">
        <f>(60*284*((F226/1000)^0.77)*3*24*(MAX('Min rate concentrations'!$R$3:$R$368))/F226)*(inputs!$E$73*3.4/inputs!$E$75)</f>
        <v>3.1804234009272744E-3</v>
      </c>
      <c r="S226" s="59">
        <f>(IF(inputs!$C$6="aerial",((0.025*0.112*inputs!$C$7/3.3)*(3*60*284*((F226/1000)^0.77))*MAX(inputs!$H$14:$H$16))/F226,((0.0083*0.112*inputs!$C$7/1)*(3*60*284*((F226/1000)^0.77))*MAX(inputs!$H$14:$H$16))/F226))*(inputs!E$75*3.4/inputs!$E$73)</f>
        <v>1.7540230455950281E-2</v>
      </c>
      <c r="T226" s="63">
        <f>IF((((inputs!$P$12/(V226/MAX(K226:S226)))^(1/inputs!$O$12))-1)/inputs!$N$12&lt;0, 0, IF((((inputs!$P$12/(V226/MAX(K226:S226)))^(1/inputs!$O$12))-1)/inputs!$N$12&gt;inputs!$H$17, inputs!$H$17, (((inputs!$P$12/(V226/MAX(K226:S226)))^(1/inputs!$O$12))-1)/inputs!$N$12))</f>
        <v>192.1817040904908</v>
      </c>
      <c r="U226" s="63">
        <f>IF((((inputs!$P$12/(X226/MAX(K226:S226)))^(1/inputs!$O$12))-1)/inputs!$N$12&lt;0, 0, IF((((inputs!$P$12/(X226/MAX(K226:S226)))^(1/inputs!$O$12))-1)/inputs!$N$12&gt;inputs!$H$17, inputs!$H$17, (((inputs!$P$12/(X226/MAX(K226:S226)))^(1/inputs!$O$12))-1)/inputs!$N$12))</f>
        <v>0</v>
      </c>
      <c r="V226" s="21">
        <f>inputs!$E$78*(F226/inputs!$F$78)^(inputs!$E$84-1)</f>
        <v>4.3427808073074944E-3</v>
      </c>
      <c r="W226" s="21">
        <f>inputs!$E$85*(F226/inputs!$F$85)^(inputs!$E$84-1)</f>
        <v>0.20054161757711042</v>
      </c>
      <c r="X226" s="21">
        <f>inputs!$E$80*(F226/inputs!$F$80)^(inputs!$E$84-1)</f>
        <v>0.74885793905376674</v>
      </c>
      <c r="Y226" s="21">
        <f>inputs!$E$82*(F226/inputs!$F$82)^(inputs!$E$84-1)</f>
        <v>0.34513679047549034</v>
      </c>
      <c r="Z226" s="63">
        <f t="shared" si="24"/>
        <v>322.06767902239011</v>
      </c>
      <c r="AA226" s="63">
        <f t="shared" si="25"/>
        <v>6.9744592270215575</v>
      </c>
    </row>
    <row r="227" spans="1:27" x14ac:dyDescent="0.25">
      <c r="A227" s="103" t="s">
        <v>248</v>
      </c>
      <c r="B227" s="20" t="s">
        <v>252</v>
      </c>
      <c r="C227" s="20" t="s">
        <v>73</v>
      </c>
      <c r="D227" s="104" t="s">
        <v>240</v>
      </c>
      <c r="E227" s="15">
        <v>67</v>
      </c>
      <c r="F227" s="15">
        <v>5400</v>
      </c>
      <c r="G227" s="20" t="s">
        <v>152</v>
      </c>
      <c r="H227" s="20">
        <v>0.77</v>
      </c>
      <c r="I227" s="48">
        <f>MAX('Min rate concentrations'!$G$3:$G$368)</f>
        <v>7.5</v>
      </c>
      <c r="J227" s="48">
        <f>MAX('Min rate concentrations'!Z:Z)</f>
        <v>3.5</v>
      </c>
      <c r="K227" s="59">
        <f t="shared" si="27"/>
        <v>1.1548720659902432</v>
      </c>
      <c r="L227" s="59">
        <f t="shared" si="28"/>
        <v>0.53894029746211347</v>
      </c>
      <c r="M227" s="59">
        <f>IF((((1.18*F227^0.874)/3.7-(0.301*F227^0.751)/(1-H227)*H227)*(MAX('Min rate concentrations'!$P$3:$P$368)))/F227&gt;0, (((1.18*F227^0.874)/3.7-(0.301*F227^0.751)/(1-H227)*H227)*(MAX('Min rate concentrations'!$P$3:$P$368)))/F227, 0)</f>
        <v>0</v>
      </c>
      <c r="N227" s="59">
        <f>IF((((1.18*F227^0.874)/3.7-(0.301*F227^0.751)/(1-H227)*H227)*(MAX('Min rate concentrations'!$Q$3:$Q$368)))/F227&gt;0, (((1.18*F227^0.874)/3.7-(0.301*F227^0.751)/(1-H227)*H227)*(MAX('Min rate concentrations'!$Q$3:$Q$368)))/F227, 0)</f>
        <v>0</v>
      </c>
      <c r="O227" s="59">
        <f>((MAX('Min rate concentrations'!$F$3:$F$368))*0.62*6.01*8*(10*F227^0.667)*0.079*0.1/F227)*inputs!$E$80/(10^(0.84+0.62*LOG10(inputs!$E$80)))</f>
        <v>1.3986693351125064</v>
      </c>
      <c r="P227" s="59">
        <f>((MAX('Min rate concentrations'!Y:Y))*0.62*6.01*8*(10*F227^0.667)*0.079*0.1/F227)*inputs!$E$80/(10^(0.84+0.62*LOG10(inputs!$E$80)))</f>
        <v>0.46622311170416869</v>
      </c>
      <c r="Q227" s="59">
        <f>(inputs!$C$7*11.2*(10*F227^0.667)*0.5/F227)*inputs!$E$80/(10^(0.84+0.62*LOG10(inputs!$E$80)))</f>
        <v>0.24636900644693105</v>
      </c>
      <c r="R227" s="59">
        <f>(60*284*((F227/1000)^0.77)*3*24*(MAX('Min rate concentrations'!$R$3:$R$368))/F227)*(inputs!$E$73*3.4/inputs!$E$75)</f>
        <v>3.1804234009272744E-3</v>
      </c>
      <c r="S227" s="59">
        <f>(IF(inputs!$C$6="aerial",((0.025*0.112*inputs!$C$7/3.3)*(3*60*284*((F227/1000)^0.77))*MAX(inputs!$H$14:$H$16))/F227,((0.0083*0.112*inputs!$C$7/1)*(3*60*284*((F227/1000)^0.77))*MAX(inputs!$H$14:$H$16))/F227))*(inputs!E$75*3.4/inputs!$E$73)</f>
        <v>1.7540230455950281E-2</v>
      </c>
      <c r="T227" s="63">
        <f>IF((((inputs!$P$12/(V227/MAX(K227:S227)))^(1/inputs!$O$12))-1)/inputs!$N$12&lt;0, 0, IF((((inputs!$P$12/(V227/MAX(K227:S227)))^(1/inputs!$O$12))-1)/inputs!$N$12&gt;inputs!$H$17, inputs!$H$17, (((inputs!$P$12/(V227/MAX(K227:S227)))^(1/inputs!$O$12))-1)/inputs!$N$12))</f>
        <v>192.1817040904908</v>
      </c>
      <c r="U227" s="63">
        <f>IF((((inputs!$P$12/(X227/MAX(K227:S227)))^(1/inputs!$O$12))-1)/inputs!$N$12&lt;0, 0, IF((((inputs!$P$12/(X227/MAX(K227:S227)))^(1/inputs!$O$12))-1)/inputs!$N$12&gt;inputs!$H$17, inputs!$H$17, (((inputs!$P$12/(X227/MAX(K227:S227)))^(1/inputs!$O$12))-1)/inputs!$N$12))</f>
        <v>0</v>
      </c>
      <c r="V227" s="21">
        <f>inputs!$E$78*(F227/inputs!$F$78)^(inputs!$E$84-1)</f>
        <v>4.3427808073074944E-3</v>
      </c>
      <c r="W227" s="21">
        <f>inputs!$E$85*(F227/inputs!$F$85)^(inputs!$E$84-1)</f>
        <v>0.20054161757711042</v>
      </c>
      <c r="X227" s="21">
        <f>inputs!$E$80*(F227/inputs!$F$80)^(inputs!$E$84-1)</f>
        <v>0.74885793905376674</v>
      </c>
      <c r="Y227" s="21">
        <f>inputs!$E$82*(F227/inputs!$F$82)^(inputs!$E$84-1)</f>
        <v>0.34513679047549034</v>
      </c>
      <c r="Z227" s="63">
        <f t="shared" si="24"/>
        <v>322.06767902239011</v>
      </c>
      <c r="AA227" s="63">
        <f t="shared" si="25"/>
        <v>6.9744592270215575</v>
      </c>
    </row>
    <row r="228" spans="1:27" x14ac:dyDescent="0.25">
      <c r="A228" s="103" t="s">
        <v>248</v>
      </c>
      <c r="B228" s="20" t="s">
        <v>252</v>
      </c>
      <c r="C228" s="20" t="s">
        <v>73</v>
      </c>
      <c r="D228" s="104" t="s">
        <v>240</v>
      </c>
      <c r="E228" s="15">
        <v>67</v>
      </c>
      <c r="F228" s="15">
        <v>5400</v>
      </c>
      <c r="G228" s="21" t="s">
        <v>456</v>
      </c>
      <c r="H228" s="20">
        <v>0.68</v>
      </c>
      <c r="I228" s="48">
        <f>MAX('Min rate concentrations'!$J$3:$J$368)</f>
        <v>114.4108103430513</v>
      </c>
      <c r="J228" s="48">
        <f>MAX('Min rate concentrations'!AB:AB)</f>
        <v>40.520495329830666</v>
      </c>
      <c r="K228" s="59">
        <f t="shared" si="27"/>
        <v>12.662443854114347</v>
      </c>
      <c r="L228" s="59">
        <f t="shared" si="28"/>
        <v>4.4846155316654972</v>
      </c>
      <c r="M228" s="59">
        <f>IF((((1.18*F228^0.874)/3.7-(0.301*F228^0.751)/(1-H228)*H228)*(MAX('Min rate concentrations'!$P$3:$P$368)))/F228&gt;0, (((1.18*F228^0.874)/3.7-(0.301*F228^0.751)/(1-H228)*H228)*(MAX('Min rate concentrations'!$P$3:$P$368)))/F228, 0)</f>
        <v>4.7513625667980845E-3</v>
      </c>
      <c r="N228" s="59">
        <f>IF((((1.18*F228^0.874)/3.7-(0.301*F228^0.751)/(1-H228)*H228)*(MAX('Min rate concentrations'!$Q$3:$Q$368)))/F228&gt;0, (((1.18*F228^0.874)/3.7-(0.301*F228^0.751)/(1-H228)*H228)*(MAX('Min rate concentrations'!$Q$3:$Q$368)))/F228, 0)</f>
        <v>1.809344395308447E-2</v>
      </c>
      <c r="O228" s="59">
        <f>((MAX('Min rate concentrations'!$F$3:$F$368))*0.62*6.01*8*(10*F228^0.667)*0.079*0.1/F228)*inputs!$E$80/(10^(0.84+0.62*LOG10(inputs!$E$80)))</f>
        <v>1.3986693351125064</v>
      </c>
      <c r="P228" s="59">
        <f>((MAX('Min rate concentrations'!Y:Y))*0.62*6.01*8*(10*F228^0.667)*0.079*0.1/F228)*inputs!$E$80/(10^(0.84+0.62*LOG10(inputs!$E$80)))</f>
        <v>0.46622311170416869</v>
      </c>
      <c r="Q228" s="59">
        <f>(inputs!$C$7*11.2*(10*F228^0.667)*0.5/F228)*inputs!$E$80/(10^(0.84+0.62*LOG10(inputs!$E$80)))</f>
        <v>0.24636900644693105</v>
      </c>
      <c r="R228" s="59">
        <f>(60*284*((F228/1000)^0.77)*3*24*(MAX('Min rate concentrations'!$R$3:$R$368))/F228)*(inputs!$E$73*3.4/inputs!$E$75)</f>
        <v>3.1804234009272744E-3</v>
      </c>
      <c r="S228" s="59">
        <f>(IF(inputs!$C$6="aerial",((0.025*0.112*inputs!$C$7/3.3)*(3*60*284*((F228/1000)^0.77))*MAX(inputs!$H$14:$H$16))/F228,((0.0083*0.112*inputs!$C$7/1)*(3*60*284*((F228/1000)^0.77))*MAX(inputs!$H$14:$H$16))/F228))*(inputs!E$75*3.4/inputs!$E$73)</f>
        <v>1.7540230455950281E-2</v>
      </c>
      <c r="T228" s="63">
        <f>IF((((inputs!$P$12/(V228/MAX(K228:S228)))^(1/inputs!$O$12))-1)/inputs!$N$12&lt;0, 0, IF((((inputs!$P$12/(V228/MAX(K228:S228)))^(1/inputs!$O$12))-1)/inputs!$N$12&gt;inputs!$H$17, inputs!$H$17, (((inputs!$P$12/(V228/MAX(K228:S228)))^(1/inputs!$O$12))-1)/inputs!$N$12))</f>
        <v>512.15508052470773</v>
      </c>
      <c r="U228" s="63">
        <f>IF((((inputs!$P$12/(X228/MAX(K228:S228)))^(1/inputs!$O$12))-1)/inputs!$N$12&lt;0, 0, IF((((inputs!$P$12/(X228/MAX(K228:S228)))^(1/inputs!$O$12))-1)/inputs!$N$12&gt;inputs!$H$17, inputs!$H$17, (((inputs!$P$12/(X228/MAX(K228:S228)))^(1/inputs!$O$12))-1)/inputs!$N$12))</f>
        <v>38.067125748301152</v>
      </c>
      <c r="V228" s="21">
        <f>inputs!$E$78*(F228/inputs!$F$78)^(inputs!$E$84-1)</f>
        <v>4.3427808073074944E-3</v>
      </c>
      <c r="W228" s="21">
        <f>inputs!$E$85*(F228/inputs!$F$85)^(inputs!$E$84-1)</f>
        <v>0.20054161757711042</v>
      </c>
      <c r="X228" s="21">
        <f>inputs!$E$80*(F228/inputs!$F$80)^(inputs!$E$84-1)</f>
        <v>0.74885793905376674</v>
      </c>
      <c r="Y228" s="21">
        <f>inputs!$E$82*(F228/inputs!$F$82)^(inputs!$E$84-1)</f>
        <v>0.34513679047549034</v>
      </c>
      <c r="Z228" s="63">
        <f t="shared" si="24"/>
        <v>2915.7455593447298</v>
      </c>
      <c r="AA228" s="63">
        <f t="shared" si="25"/>
        <v>63.141227277901557</v>
      </c>
    </row>
    <row r="229" spans="1:27" x14ac:dyDescent="0.25">
      <c r="A229" s="103" t="s">
        <v>248</v>
      </c>
      <c r="B229" s="20" t="s">
        <v>252</v>
      </c>
      <c r="C229" s="20" t="s">
        <v>73</v>
      </c>
      <c r="D229" s="104" t="s">
        <v>240</v>
      </c>
      <c r="E229" s="15">
        <v>67</v>
      </c>
      <c r="F229" s="15">
        <v>5400</v>
      </c>
      <c r="G229" s="20" t="s">
        <v>154</v>
      </c>
      <c r="H229" s="20">
        <v>9.2999999999999999E-2</v>
      </c>
      <c r="I229" s="48">
        <f>MAX('Min rate concentrations'!$G$3:$G$368)</f>
        <v>7.5</v>
      </c>
      <c r="J229" s="48">
        <f>MAX('Min rate concentrations'!Z:Z)</f>
        <v>3.5</v>
      </c>
      <c r="K229" s="59">
        <f t="shared" si="27"/>
        <v>0.29285620196003953</v>
      </c>
      <c r="L229" s="59"/>
      <c r="M229" s="59">
        <f>IF((((1.18*F229^0.874)/3.7-(0.301*F229^0.751)/(1-H229)*H229)*(MAX('Min rate concentrations'!$P$3:$P$368)))/F229&gt;0, (((1.18*F229^0.874)/3.7-(0.301*F229^0.751)/(1-H229)*H229)*(MAX('Min rate concentrations'!$P$3:$P$368)))/F229, 0)</f>
        <v>1.5147988868529531E-2</v>
      </c>
      <c r="N229" s="59">
        <f>IF((((1.18*F229^0.874)/3.7-(0.301*F229^0.751)/(1-H229)*H229)*(MAX('Min rate concentrations'!$Q$3:$Q$368)))/F229&gt;0, (((1.18*F229^0.874)/3.7-(0.301*F229^0.751)/(1-H229)*H229)*(MAX('Min rate concentrations'!$Q$3:$Q$368)))/F229, 0)</f>
        <v>5.7684355538328659E-2</v>
      </c>
      <c r="O229" s="59">
        <f>((MAX('Min rate concentrations'!$F$3:$F$368))*0.62*6.01*8*(10*F229^0.667)*0.079*0.1/F229)*inputs!$E$80/(10^(0.84+0.62*LOG10(inputs!$E$80)))</f>
        <v>1.3986693351125064</v>
      </c>
      <c r="P229" s="59">
        <f>((MAX('Min rate concentrations'!Y:Y))*0.62*6.01*8*(10*F229^0.667)*0.079*0.1/F229)*inputs!$E$80/(10^(0.84+0.62*LOG10(inputs!$E$80)))</f>
        <v>0.46622311170416869</v>
      </c>
      <c r="Q229" s="59">
        <f>(inputs!$C$7*11.2*(10*F229^0.667)*0.5/F229)*inputs!$E$80/(10^(0.84+0.62*LOG10(inputs!$E$80)))</f>
        <v>0.24636900644693105</v>
      </c>
      <c r="R229" s="59">
        <f>(60*284*((F229/1000)^0.77)*3*24*(MAX('Min rate concentrations'!$R$3:$R$368))/F229)*(inputs!$E$73*3.4/inputs!$E$75)</f>
        <v>3.1804234009272744E-3</v>
      </c>
      <c r="S229" s="59">
        <f>(IF(inputs!$C$6="aerial",((0.025*0.112*inputs!$C$7/3.3)*(3*60*284*((F229/1000)^0.77))*MAX(inputs!$H$14:$H$16))/F229,((0.0083*0.112*inputs!$C$7/1)*(3*60*284*((F229/1000)^0.77))*MAX(inputs!$H$14:$H$16))/F229))*(inputs!E$75*3.4/inputs!$E$73)</f>
        <v>1.7540230455950281E-2</v>
      </c>
      <c r="T229" s="63">
        <f>IF((((inputs!$P$12/(V229/MAX(K229:S229)))^(1/inputs!$O$12))-1)/inputs!$N$12&lt;0, 0, IF((((inputs!$P$12/(V229/MAX(K229:S229)))^(1/inputs!$O$12))-1)/inputs!$N$12&gt;inputs!$H$17, inputs!$H$17, (((inputs!$P$12/(V229/MAX(K229:S229)))^(1/inputs!$O$12))-1)/inputs!$N$12))</f>
        <v>192.1817040904908</v>
      </c>
      <c r="U229" s="63">
        <f>IF((((inputs!$P$12/(X229/MAX(K229:S229)))^(1/inputs!$O$12))-1)/inputs!$N$12&lt;0, 0, IF((((inputs!$P$12/(X229/MAX(K229:S229)))^(1/inputs!$O$12))-1)/inputs!$N$12&gt;inputs!$H$17, inputs!$H$17, (((inputs!$P$12/(X229/MAX(K229:S229)))^(1/inputs!$O$12))-1)/inputs!$N$12))</f>
        <v>0</v>
      </c>
      <c r="V229" s="21">
        <f>inputs!$E$78*(F229/inputs!$F$78)^(inputs!$E$84-1)</f>
        <v>4.3427808073074944E-3</v>
      </c>
      <c r="W229" s="21">
        <f>inputs!$E$85*(F229/inputs!$F$85)^(inputs!$E$84-1)</f>
        <v>0.20054161757711042</v>
      </c>
      <c r="X229" s="21">
        <f>inputs!$E$80*(F229/inputs!$F$80)^(inputs!$E$84-1)</f>
        <v>0.74885793905376674</v>
      </c>
      <c r="Y229" s="21">
        <f>inputs!$E$82*(F229/inputs!$F$82)^(inputs!$E$84-1)</f>
        <v>0.34513679047549034</v>
      </c>
      <c r="Z229" s="63">
        <f t="shared" si="24"/>
        <v>322.06767902239011</v>
      </c>
      <c r="AA229" s="63">
        <f t="shared" si="25"/>
        <v>6.9744592270215575</v>
      </c>
    </row>
    <row r="230" spans="1:27" ht="39.6" x14ac:dyDescent="0.25">
      <c r="A230" s="103" t="s">
        <v>248</v>
      </c>
      <c r="B230" s="20" t="s">
        <v>249</v>
      </c>
      <c r="C230" s="20" t="s">
        <v>73</v>
      </c>
      <c r="D230" s="104" t="s">
        <v>240</v>
      </c>
      <c r="E230" s="15">
        <v>7342</v>
      </c>
      <c r="F230" s="15">
        <v>5400</v>
      </c>
      <c r="G230" s="20" t="s">
        <v>182</v>
      </c>
      <c r="H230" s="20">
        <v>0.85</v>
      </c>
      <c r="I230" s="48">
        <f>MAX('Min rate concentrations'!$M$3:$M$368)</f>
        <v>2.8488184789681945</v>
      </c>
      <c r="J230" s="48">
        <f>MAX('Min rate concentrations'!AE:AE)</f>
        <v>1.9699276716269429</v>
      </c>
      <c r="K230" s="59">
        <f t="shared" si="27"/>
        <v>0.67262649152049014</v>
      </c>
      <c r="L230" s="59">
        <f t="shared" ref="L230:L236" si="29">((0.301*F230^0.751)/(1-H230))*J230/F230</f>
        <v>0.4651140632854453</v>
      </c>
      <c r="M230" s="59">
        <f>IF((((1.18*F230^0.874)/3.7-(0.301*F230^0.751)/(1-H230)*H230)*(MAX('Min rate concentrations'!$P$3:$P$368)))/F230&gt;0, (((1.18*F230^0.874)/3.7-(0.301*F230^0.751)/(1-H230)*H230)*(MAX('Min rate concentrations'!$P$3:$P$368)))/F230, 0)</f>
        <v>0</v>
      </c>
      <c r="N230" s="59">
        <f>IF((((1.18*F230^0.874)/3.7-(0.301*F230^0.751)/(1-H230)*H230)*(MAX('Min rate concentrations'!$Q$3:$Q$368)))/F230&gt;0, (((1.18*F230^0.874)/3.7-(0.301*F230^0.751)/(1-H230)*H230)*(MAX('Min rate concentrations'!$Q$3:$Q$368)))/F230, 0)</f>
        <v>0</v>
      </c>
      <c r="O230" s="59">
        <f>((MAX('Min rate concentrations'!$F$3:$F$368))*0.62*6.01*8*(10*F230^0.667)*0.079*0.1/F230)*inputs!$E$80/(10^(0.84+0.62*LOG10(inputs!$E$80)))</f>
        <v>1.3986693351125064</v>
      </c>
      <c r="P230" s="59">
        <f>((MAX('Min rate concentrations'!Y:Y))*0.62*6.01*8*(10*F230^0.667)*0.079*0.1/F230)*inputs!$E$80/(10^(0.84+0.62*LOG10(inputs!$E$80)))</f>
        <v>0.46622311170416869</v>
      </c>
      <c r="Q230" s="59">
        <f>(inputs!$C$7*11.2*(10*F230^0.667)*0.5/F230)*inputs!$E$80/(10^(0.84+0.62*LOG10(inputs!$E$80)))</f>
        <v>0.24636900644693105</v>
      </c>
      <c r="R230" s="59">
        <f>(60*284*((F230/1000)^0.77)*3*24*(MAX('Min rate concentrations'!$R$3:$R$368))/F230)*(inputs!$E$73*3.4/inputs!$E$75)</f>
        <v>3.1804234009272744E-3</v>
      </c>
      <c r="S230" s="59">
        <f>(IF(inputs!$C$6="aerial",((0.025*0.112*inputs!$C$7/3.3)*(3*60*284*((F230/1000)^0.77))*MAX(inputs!$H$14:$H$16))/F230,((0.0083*0.112*inputs!$C$7/1)*(3*60*284*((F230/1000)^0.77))*MAX(inputs!$H$14:$H$16))/F230))*(inputs!E$75*3.4/inputs!$E$73)</f>
        <v>1.7540230455950281E-2</v>
      </c>
      <c r="T230" s="63">
        <f>IF((((inputs!$P$12/(V230/MAX(K230:S230)))^(1/inputs!$O$12))-1)/inputs!$N$12&lt;0, 0, IF((((inputs!$P$12/(V230/MAX(K230:S230)))^(1/inputs!$O$12))-1)/inputs!$N$12&gt;inputs!$H$17, inputs!$H$17, (((inputs!$P$12/(V230/MAX(K230:S230)))^(1/inputs!$O$12))-1)/inputs!$N$12))</f>
        <v>192.1817040904908</v>
      </c>
      <c r="U230" s="63">
        <f>IF((((inputs!$P$12/(X230/MAX(K230:S230)))^(1/inputs!$O$12))-1)/inputs!$N$12&lt;0, 0, IF((((inputs!$P$12/(X230/MAX(K230:S230)))^(1/inputs!$O$12))-1)/inputs!$N$12&gt;inputs!$H$17, inputs!$H$17, (((inputs!$P$12/(X230/MAX(K230:S230)))^(1/inputs!$O$12))-1)/inputs!$N$12))</f>
        <v>0</v>
      </c>
      <c r="V230" s="21">
        <f>inputs!$E$78*(F230/inputs!$F$78)^(inputs!$E$84-1)</f>
        <v>4.3427808073074944E-3</v>
      </c>
      <c r="W230" s="21">
        <f>inputs!$E$85*(F230/inputs!$F$85)^(inputs!$E$84-1)</f>
        <v>0.20054161757711042</v>
      </c>
      <c r="X230" s="21">
        <f>inputs!$E$80*(F230/inputs!$F$80)^(inputs!$E$84-1)</f>
        <v>0.74885793905376674</v>
      </c>
      <c r="Y230" s="21">
        <f>inputs!$E$82*(F230/inputs!$F$82)^(inputs!$E$84-1)</f>
        <v>0.34513679047549034</v>
      </c>
      <c r="Z230" s="63">
        <f t="shared" si="24"/>
        <v>322.06767902239011</v>
      </c>
      <c r="AA230" s="63">
        <f t="shared" si="25"/>
        <v>6.9744592270215575</v>
      </c>
    </row>
    <row r="231" spans="1:27" ht="39.6" x14ac:dyDescent="0.25">
      <c r="A231" s="103" t="s">
        <v>248</v>
      </c>
      <c r="B231" s="20" t="s">
        <v>249</v>
      </c>
      <c r="C231" s="20" t="s">
        <v>73</v>
      </c>
      <c r="D231" s="104" t="s">
        <v>240</v>
      </c>
      <c r="E231" s="15">
        <v>7342</v>
      </c>
      <c r="F231" s="15">
        <v>5400</v>
      </c>
      <c r="G231" s="20" t="s">
        <v>142</v>
      </c>
      <c r="H231" s="20">
        <v>0.69</v>
      </c>
      <c r="I231" s="48">
        <f>MAX('Min rate concentrations'!$H$3:$H$368)</f>
        <v>47</v>
      </c>
      <c r="J231" s="48">
        <f>MAX('Min rate concentrations'!AA:AA)</f>
        <v>32.5</v>
      </c>
      <c r="K231" s="59">
        <f t="shared" si="27"/>
        <v>5.3695342078944188</v>
      </c>
      <c r="L231" s="59">
        <f t="shared" si="29"/>
        <v>3.7129757820546514</v>
      </c>
      <c r="M231" s="59">
        <f>IF((((1.18*F231^0.874)/3.7-(0.301*F231^0.751)/(1-H231)*H231)*(MAX('Min rate concentrations'!$P$3:$P$368)))/F231&gt;0, (((1.18*F231^0.874)/3.7-(0.301*F231^0.751)/(1-H231)*H231)*(MAX('Min rate concentrations'!$P$3:$P$368)))/F231, 0)</f>
        <v>4.2331595632441824E-3</v>
      </c>
      <c r="N231" s="59">
        <f>IF((((1.18*F231^0.874)/3.7-(0.301*F231^0.751)/(1-H231)*H231)*(MAX('Min rate concentrations'!$Q$3:$Q$368)))/F231&gt;0, (((1.18*F231^0.874)/3.7-(0.301*F231^0.751)/(1-H231)*H231)*(MAX('Min rate concentrations'!$Q$3:$Q$368)))/F231, 0)</f>
        <v>1.6120099071630596E-2</v>
      </c>
      <c r="O231" s="59">
        <f>((MAX('Min rate concentrations'!$F$3:$F$368))*0.62*6.01*8*(10*F231^0.667)*0.079*0.1/F231)*inputs!$E$80/(10^(0.84+0.62*LOG10(inputs!$E$80)))</f>
        <v>1.3986693351125064</v>
      </c>
      <c r="P231" s="59">
        <f>((MAX('Min rate concentrations'!Y:Y))*0.62*6.01*8*(10*F231^0.667)*0.079*0.1/F231)*inputs!$E$80/(10^(0.84+0.62*LOG10(inputs!$E$80)))</f>
        <v>0.46622311170416869</v>
      </c>
      <c r="Q231" s="59">
        <f>(inputs!$C$7*11.2*(10*F231^0.667)*0.5/F231)*inputs!$E$80/(10^(0.84+0.62*LOG10(inputs!$E$80)))</f>
        <v>0.24636900644693105</v>
      </c>
      <c r="R231" s="59">
        <f>(60*284*((F231/1000)^0.77)*3*24*(MAX('Min rate concentrations'!$R$3:$R$368))/F231)*(inputs!$E$73*3.4/inputs!$E$75)</f>
        <v>3.1804234009272744E-3</v>
      </c>
      <c r="S231" s="59">
        <f>(IF(inputs!$C$6="aerial",((0.025*0.112*inputs!$C$7/3.3)*(3*60*284*((F231/1000)^0.77))*MAX(inputs!$H$14:$H$16))/F231,((0.0083*0.112*inputs!$C$7/1)*(3*60*284*((F231/1000)^0.77))*MAX(inputs!$H$14:$H$16))/F231))*(inputs!E$75*3.4/inputs!$E$73)</f>
        <v>1.7540230455950281E-2</v>
      </c>
      <c r="T231" s="63">
        <f>IF((((inputs!$P$12/(V231/MAX(K231:S231)))^(1/inputs!$O$12))-1)/inputs!$N$12&lt;0, 0, IF((((inputs!$P$12/(V231/MAX(K231:S231)))^(1/inputs!$O$12))-1)/inputs!$N$12&gt;inputs!$H$17, inputs!$H$17, (((inputs!$P$12/(V231/MAX(K231:S231)))^(1/inputs!$O$12))-1)/inputs!$N$12))</f>
        <v>352.90091572576898</v>
      </c>
      <c r="U231" s="63">
        <f>IF((((inputs!$P$12/(X231/MAX(K231:S231)))^(1/inputs!$O$12))-1)/inputs!$N$12&lt;0, 0, IF((((inputs!$P$12/(X231/MAX(K231:S231)))^(1/inputs!$O$12))-1)/inputs!$N$12&gt;inputs!$H$17, inputs!$H$17, (((inputs!$P$12/(X231/MAX(K231:S231)))^(1/inputs!$O$12))-1)/inputs!$N$12))</f>
        <v>18.461836006689119</v>
      </c>
      <c r="V231" s="21">
        <f>inputs!$E$78*(F231/inputs!$F$78)^(inputs!$E$84-1)</f>
        <v>4.3427808073074944E-3</v>
      </c>
      <c r="W231" s="21">
        <f>inputs!$E$85*(F231/inputs!$F$85)^(inputs!$E$84-1)</f>
        <v>0.20054161757711042</v>
      </c>
      <c r="X231" s="21">
        <f>inputs!$E$80*(F231/inputs!$F$80)^(inputs!$E$84-1)</f>
        <v>0.74885793905376674</v>
      </c>
      <c r="Y231" s="21">
        <f>inputs!$E$82*(F231/inputs!$F$82)^(inputs!$E$84-1)</f>
        <v>0.34513679047549034</v>
      </c>
      <c r="Z231" s="63">
        <f t="shared" si="24"/>
        <v>1236.4276361494531</v>
      </c>
      <c r="AA231" s="63">
        <f t="shared" si="25"/>
        <v>26.775161548847958</v>
      </c>
    </row>
    <row r="232" spans="1:27" ht="39.6" x14ac:dyDescent="0.25">
      <c r="A232" s="103" t="s">
        <v>248</v>
      </c>
      <c r="B232" s="20" t="s">
        <v>249</v>
      </c>
      <c r="C232" s="20" t="s">
        <v>73</v>
      </c>
      <c r="D232" s="104" t="s">
        <v>240</v>
      </c>
      <c r="E232" s="15">
        <v>7342</v>
      </c>
      <c r="F232" s="15">
        <v>5400</v>
      </c>
      <c r="G232" s="20" t="s">
        <v>164</v>
      </c>
      <c r="H232" s="20">
        <v>0.78</v>
      </c>
      <c r="I232" s="48">
        <f>inputs!$C$65*(inputs!$C$62/1000)</f>
        <v>0.82000000000000006</v>
      </c>
      <c r="J232" s="48">
        <f>inputs!$C$65*(inputs!$C$61/1000)</f>
        <v>0.25</v>
      </c>
      <c r="K232" s="59">
        <f t="shared" si="27"/>
        <v>0.13200537675500598</v>
      </c>
      <c r="L232" s="59">
        <f t="shared" si="29"/>
        <v>4.0245541693599382E-2</v>
      </c>
      <c r="M232" s="59">
        <f>IF((((1.18*F232^0.874)/3.7-(0.301*F232^0.751)/(1-H232)*H232)*(MAX('Min rate concentrations'!$P$3:$P$368)))/F232&gt;0, (((1.18*F232^0.874)/3.7-(0.301*F232^0.751)/(1-H232)*H232)*(MAX('Min rate concentrations'!$P$3:$P$368)))/F232, 0)</f>
        <v>0</v>
      </c>
      <c r="N232" s="59">
        <f>IF((((1.18*F232^0.874)/3.7-(0.301*F232^0.751)/(1-H232)*H232)*(MAX('Min rate concentrations'!$Q$3:$Q$368)))/F232&gt;0, (((1.18*F232^0.874)/3.7-(0.301*F232^0.751)/(1-H232)*H232)*(MAX('Min rate concentrations'!$Q$3:$Q$368)))/F232, 0)</f>
        <v>0</v>
      </c>
      <c r="O232" s="59">
        <f>((MAX('Min rate concentrations'!$F$3:$F$368))*0.62*6.01*8*(10*F232^0.667)*0.079*0.1/F232)*inputs!$E$80/(10^(0.84+0.62*LOG10(inputs!$E$80)))</f>
        <v>1.3986693351125064</v>
      </c>
      <c r="P232" s="59">
        <f>((MAX('Min rate concentrations'!Y:Y))*0.62*6.01*8*(10*F232^0.667)*0.079*0.1/F232)*inputs!$E$80/(10^(0.84+0.62*LOG10(inputs!$E$80)))</f>
        <v>0.46622311170416869</v>
      </c>
      <c r="Q232" s="59">
        <f>(inputs!$C$7*11.2*(10*F232^0.667)*0.5/F232)*inputs!$E$80/(10^(0.84+0.62*LOG10(inputs!$E$80)))</f>
        <v>0.24636900644693105</v>
      </c>
      <c r="R232" s="59">
        <f>(60*284*((F232/1000)^0.77)*3*24*(MAX('Min rate concentrations'!$R$3:$R$368))/F232)*(inputs!$E$73*3.4/inputs!$E$75)</f>
        <v>3.1804234009272744E-3</v>
      </c>
      <c r="S232" s="59">
        <f>(IF(inputs!$C$6="aerial",((0.025*0.112*inputs!$C$7/3.3)*(3*60*284*((F232/1000)^0.77))*MAX(inputs!$H$14:$H$16))/F232,((0.0083*0.112*inputs!$C$7/1)*(3*60*284*((F232/1000)^0.77))*MAX(inputs!$H$14:$H$16))/F232))*(inputs!E$75*3.4/inputs!$E$73)</f>
        <v>1.7540230455950281E-2</v>
      </c>
      <c r="T232" s="63">
        <f>IF((((inputs!$P$12/(V232/MAX(K232:S232)))^(1/inputs!$O$12))-1)/inputs!$N$12&lt;0, 0, IF((((inputs!$P$12/(V232/MAX(K232:S232)))^(1/inputs!$O$12))-1)/inputs!$N$12&gt;inputs!$H$17, inputs!$H$17, (((inputs!$P$12/(V232/MAX(K232:S232)))^(1/inputs!$O$12))-1)/inputs!$N$12))</f>
        <v>192.1817040904908</v>
      </c>
      <c r="U232" s="63">
        <f>IF((((inputs!$P$12/(X232/MAX(K232:S232)))^(1/inputs!$O$12))-1)/inputs!$N$12&lt;0, 0, IF((((inputs!$P$12/(X232/MAX(K232:S232)))^(1/inputs!$O$12))-1)/inputs!$N$12&gt;inputs!$H$17, inputs!$H$17, (((inputs!$P$12/(X232/MAX(K232:S232)))^(1/inputs!$O$12))-1)/inputs!$N$12))</f>
        <v>0</v>
      </c>
      <c r="V232" s="21">
        <f>inputs!$E$78*(F232/inputs!$F$78)^(inputs!$E$84-1)</f>
        <v>4.3427808073074944E-3</v>
      </c>
      <c r="W232" s="21">
        <f>inputs!$E$85*(F232/inputs!$F$85)^(inputs!$E$84-1)</f>
        <v>0.20054161757711042</v>
      </c>
      <c r="X232" s="21">
        <f>inputs!$E$80*(F232/inputs!$F$80)^(inputs!$E$84-1)</f>
        <v>0.74885793905376674</v>
      </c>
      <c r="Y232" s="21">
        <f>inputs!$E$82*(F232/inputs!$F$82)^(inputs!$E$84-1)</f>
        <v>0.34513679047549034</v>
      </c>
      <c r="Z232" s="63">
        <f t="shared" si="24"/>
        <v>322.06767902239011</v>
      </c>
      <c r="AA232" s="63">
        <f t="shared" si="25"/>
        <v>6.9744592270215575</v>
      </c>
    </row>
    <row r="233" spans="1:27" ht="39.6" x14ac:dyDescent="0.25">
      <c r="A233" s="103" t="s">
        <v>248</v>
      </c>
      <c r="B233" s="20" t="s">
        <v>249</v>
      </c>
      <c r="C233" s="20" t="s">
        <v>73</v>
      </c>
      <c r="D233" s="104" t="s">
        <v>240</v>
      </c>
      <c r="E233" s="15">
        <v>7342</v>
      </c>
      <c r="F233" s="15">
        <v>5400</v>
      </c>
      <c r="G233" s="20" t="s">
        <v>138</v>
      </c>
      <c r="H233" s="20">
        <v>0.68</v>
      </c>
      <c r="I233" s="48">
        <f>MAX('Min rate concentrations'!$L$3:$L$368)</f>
        <v>58.421240152220811</v>
      </c>
      <c r="J233" s="48">
        <f>MAX('Min rate concentrations'!AD:AD)</f>
        <v>40.397666062705881</v>
      </c>
      <c r="K233" s="59">
        <f t="shared" si="27"/>
        <v>6.4657847549294578</v>
      </c>
      <c r="L233" s="59">
        <f t="shared" si="29"/>
        <v>4.4710213730895187</v>
      </c>
      <c r="M233" s="59">
        <f>IF((((1.18*F233^0.874)/3.7-(0.301*F233^0.751)/(1-H233)*H233)*(MAX('Min rate concentrations'!$P$3:$P$368)))/F233&gt;0, (((1.18*F233^0.874)/3.7-(0.301*F233^0.751)/(1-H233)*H233)*(MAX('Min rate concentrations'!$P$3:$P$368)))/F233, 0)</f>
        <v>4.7513625667980845E-3</v>
      </c>
      <c r="N233" s="59">
        <f>IF((((1.18*F233^0.874)/3.7-(0.301*F233^0.751)/(1-H233)*H233)*(MAX('Min rate concentrations'!$Q$3:$Q$368)))/F233&gt;0, (((1.18*F233^0.874)/3.7-(0.301*F233^0.751)/(1-H233)*H233)*(MAX('Min rate concentrations'!$Q$3:$Q$368)))/F233, 0)</f>
        <v>1.809344395308447E-2</v>
      </c>
      <c r="O233" s="59">
        <f>((MAX('Min rate concentrations'!$F$3:$F$368))*0.62*6.01*8*(10*F233^0.667)*0.079*0.1/F233)*inputs!$E$80/(10^(0.84+0.62*LOG10(inputs!$E$80)))</f>
        <v>1.3986693351125064</v>
      </c>
      <c r="P233" s="59">
        <f>((MAX('Min rate concentrations'!Y:Y))*0.62*6.01*8*(10*F233^0.667)*0.079*0.1/F233)*inputs!$E$80/(10^(0.84+0.62*LOG10(inputs!$E$80)))</f>
        <v>0.46622311170416869</v>
      </c>
      <c r="Q233" s="59">
        <f>(inputs!$C$7*11.2*(10*F233^0.667)*0.5/F233)*inputs!$E$80/(10^(0.84+0.62*LOG10(inputs!$E$80)))</f>
        <v>0.24636900644693105</v>
      </c>
      <c r="R233" s="59">
        <f>(60*284*((F233/1000)^0.77)*3*24*(MAX('Min rate concentrations'!$R$3:$R$368))/F233)*(inputs!$E$73*3.4/inputs!$E$75)</f>
        <v>3.1804234009272744E-3</v>
      </c>
      <c r="S233" s="59">
        <f>(IF(inputs!$C$6="aerial",((0.025*0.112*inputs!$C$7/3.3)*(3*60*284*((F233/1000)^0.77))*MAX(inputs!$H$14:$H$16))/F233,((0.0083*0.112*inputs!$C$7/1)*(3*60*284*((F233/1000)^0.77))*MAX(inputs!$H$14:$H$16))/F233))*(inputs!E$75*3.4/inputs!$E$73)</f>
        <v>1.7540230455950281E-2</v>
      </c>
      <c r="T233" s="63">
        <f>IF((((inputs!$P$12/(V233/MAX(K233:S233)))^(1/inputs!$O$12))-1)/inputs!$N$12&lt;0, 0, IF((((inputs!$P$12/(V233/MAX(K233:S233)))^(1/inputs!$O$12))-1)/inputs!$N$12&gt;inputs!$H$17, inputs!$H$17, (((inputs!$P$12/(V233/MAX(K233:S233)))^(1/inputs!$O$12))-1)/inputs!$N$12))</f>
        <v>382.83741211051409</v>
      </c>
      <c r="U233" s="63">
        <f>IF((((inputs!$P$12/(X233/MAX(K233:S233)))^(1/inputs!$O$12))-1)/inputs!$N$12&lt;0, 0, IF((((inputs!$P$12/(X233/MAX(K233:S233)))^(1/inputs!$O$12))-1)/inputs!$N$12&gt;inputs!$H$17, inputs!$H$17, (((inputs!$P$12/(X233/MAX(K233:S233)))^(1/inputs!$O$12))-1)/inputs!$N$12))</f>
        <v>22.147225875221842</v>
      </c>
      <c r="V233" s="21">
        <f>inputs!$E$78*(F233/inputs!$F$78)^(inputs!$E$84-1)</f>
        <v>4.3427808073074944E-3</v>
      </c>
      <c r="W233" s="21">
        <f>inputs!$E$85*(F233/inputs!$F$85)^(inputs!$E$84-1)</f>
        <v>0.20054161757711042</v>
      </c>
      <c r="X233" s="21">
        <f>inputs!$E$80*(F233/inputs!$F$80)^(inputs!$E$84-1)</f>
        <v>0.74885793905376674</v>
      </c>
      <c r="Y233" s="21">
        <f>inputs!$E$82*(F233/inputs!$F$82)^(inputs!$E$84-1)</f>
        <v>0.34513679047549034</v>
      </c>
      <c r="Z233" s="63">
        <f t="shared" si="24"/>
        <v>1488.8581859921724</v>
      </c>
      <c r="AA233" s="63">
        <f t="shared" si="25"/>
        <v>32.241610659409851</v>
      </c>
    </row>
    <row r="234" spans="1:27" ht="39.6" x14ac:dyDescent="0.25">
      <c r="A234" s="103" t="s">
        <v>248</v>
      </c>
      <c r="B234" s="20" t="s">
        <v>249</v>
      </c>
      <c r="C234" s="20" t="s">
        <v>73</v>
      </c>
      <c r="D234" s="104" t="s">
        <v>240</v>
      </c>
      <c r="E234" s="15">
        <v>7342</v>
      </c>
      <c r="F234" s="15">
        <v>5400</v>
      </c>
      <c r="G234" s="49" t="s">
        <v>186</v>
      </c>
      <c r="H234" s="49">
        <v>0.75</v>
      </c>
      <c r="I234" s="48">
        <f>inputs!$C$65*inputs!$C$64/1000</f>
        <v>2.13</v>
      </c>
      <c r="J234" s="48">
        <f>inputs!$C$65*inputs!$C$63/1000</f>
        <v>0.88</v>
      </c>
      <c r="K234" s="59">
        <f t="shared" si="27"/>
        <v>0.30174497340193063</v>
      </c>
      <c r="L234" s="59">
        <f t="shared" si="29"/>
        <v>0.12466458995009343</v>
      </c>
      <c r="M234" s="59">
        <f>IF((((1.18*F234^0.874)/3.7-(0.301*F234^0.751)/(1-H234)*H234)*(MAX('Min rate concentrations'!$P$3:$P$368)))/F234&gt;0, (((1.18*F234^0.874)/3.7-(0.301*F234^0.751)/(1-H234)*H234)*(MAX('Min rate concentrations'!$P$3:$P$368)))/F234, 0)</f>
        <v>2.5336049595018251E-4</v>
      </c>
      <c r="N234" s="59">
        <f>IF((((1.18*F234^0.874)/3.7-(0.301*F234^0.751)/(1-H234)*H234)*(MAX('Min rate concentrations'!$Q$3:$Q$368)))/F234&gt;0, (((1.18*F234^0.874)/3.7-(0.301*F234^0.751)/(1-H234)*H234)*(MAX('Min rate concentrations'!$Q$3:$Q$368)))/F234, 0)</f>
        <v>9.6481038206468704E-4</v>
      </c>
      <c r="O234" s="59">
        <f>((MAX('Min rate concentrations'!$F$3:$F$368))*0.62*6.01*8*(10*F234^0.667)*0.079*0.1/F234)*inputs!$E$80/(10^(0.84+0.62*LOG10(inputs!$E$80)))</f>
        <v>1.3986693351125064</v>
      </c>
      <c r="P234" s="59">
        <f>((MAX('Min rate concentrations'!Y:Y))*0.62*6.01*8*(10*F234^0.667)*0.079*0.1/F234)*inputs!$E$80/(10^(0.84+0.62*LOG10(inputs!$E$80)))</f>
        <v>0.46622311170416869</v>
      </c>
      <c r="Q234" s="59">
        <f>(inputs!$C$7*11.2*(10*F234^0.667)*0.5/F234)*inputs!$E$80/(10^(0.84+0.62*LOG10(inputs!$E$80)))</f>
        <v>0.24636900644693105</v>
      </c>
      <c r="R234" s="59">
        <f>(60*284*((F234/1000)^0.77)*3*24*(MAX('Min rate concentrations'!$R$3:$R$368))/F234)*(inputs!$E$73*3.4/inputs!$E$75)</f>
        <v>3.1804234009272744E-3</v>
      </c>
      <c r="S234" s="59">
        <f>(IF(inputs!$C$6="aerial",((0.025*0.112*inputs!$C$7/3.3)*(3*60*284*((F234/1000)^0.77))*MAX(inputs!$H$14:$H$16))/F234,((0.0083*0.112*inputs!$C$7/1)*(3*60*284*((F234/1000)^0.77))*MAX(inputs!$H$14:$H$16))/F234))*(inputs!E$75*3.4/inputs!$E$73)</f>
        <v>1.7540230455950281E-2</v>
      </c>
      <c r="T234" s="63">
        <f>IF((((inputs!$P$12/(V234/MAX(K234:S234)))^(1/inputs!$O$12))-1)/inputs!$N$12&lt;0, 0, IF((((inputs!$P$12/(V234/MAX(K234:S234)))^(1/inputs!$O$12))-1)/inputs!$N$12&gt;inputs!$H$17, inputs!$H$17, (((inputs!$P$12/(V234/MAX(K234:S234)))^(1/inputs!$O$12))-1)/inputs!$N$12))</f>
        <v>192.1817040904908</v>
      </c>
      <c r="U234" s="63">
        <f>IF((((inputs!$P$12/(X234/MAX(K234:S234)))^(1/inputs!$O$12))-1)/inputs!$N$12&lt;0, 0, IF((((inputs!$P$12/(X234/MAX(K234:S234)))^(1/inputs!$O$12))-1)/inputs!$N$12&gt;inputs!$H$17, inputs!$H$17, (((inputs!$P$12/(X234/MAX(K234:S234)))^(1/inputs!$O$12))-1)/inputs!$N$12))</f>
        <v>0</v>
      </c>
      <c r="V234" s="21">
        <f>inputs!$E$78*(F234/inputs!$F$78)^(inputs!$E$84-1)</f>
        <v>4.3427808073074944E-3</v>
      </c>
      <c r="W234" s="21">
        <f>inputs!$E$85*(F234/inputs!$F$85)^(inputs!$E$84-1)</f>
        <v>0.20054161757711042</v>
      </c>
      <c r="X234" s="21">
        <f>inputs!$E$80*(F234/inputs!$F$80)^(inputs!$E$84-1)</f>
        <v>0.74885793905376674</v>
      </c>
      <c r="Y234" s="21">
        <f>inputs!$E$82*(F234/inputs!$F$82)^(inputs!$E$84-1)</f>
        <v>0.34513679047549034</v>
      </c>
      <c r="Z234" s="63">
        <f t="shared" si="24"/>
        <v>322.06767902239011</v>
      </c>
      <c r="AA234" s="63">
        <f t="shared" si="25"/>
        <v>6.9744592270215575</v>
      </c>
    </row>
    <row r="235" spans="1:27" ht="39.6" x14ac:dyDescent="0.25">
      <c r="A235" s="103" t="s">
        <v>248</v>
      </c>
      <c r="B235" s="20" t="s">
        <v>249</v>
      </c>
      <c r="C235" s="20" t="s">
        <v>73</v>
      </c>
      <c r="D235" s="104" t="s">
        <v>240</v>
      </c>
      <c r="E235" s="15">
        <v>7342</v>
      </c>
      <c r="F235" s="15">
        <v>5400</v>
      </c>
      <c r="G235" s="20" t="s">
        <v>152</v>
      </c>
      <c r="H235" s="20">
        <v>0.77</v>
      </c>
      <c r="I235" s="48">
        <f>MAX('Min rate concentrations'!$G$3:$G$368)</f>
        <v>7.5</v>
      </c>
      <c r="J235" s="48">
        <f>MAX('Min rate concentrations'!Z:Z)</f>
        <v>3.5</v>
      </c>
      <c r="K235" s="59">
        <f t="shared" si="27"/>
        <v>1.1548720659902432</v>
      </c>
      <c r="L235" s="59">
        <f t="shared" si="29"/>
        <v>0.53894029746211347</v>
      </c>
      <c r="M235" s="59">
        <f>IF((((1.18*F235^0.874)/3.7-(0.301*F235^0.751)/(1-H235)*H235)*(MAX('Min rate concentrations'!$P$3:$P$368)))/F235&gt;0, (((1.18*F235^0.874)/3.7-(0.301*F235^0.751)/(1-H235)*H235)*(MAX('Min rate concentrations'!$P$3:$P$368)))/F235, 0)</f>
        <v>0</v>
      </c>
      <c r="N235" s="59">
        <f>IF((((1.18*F235^0.874)/3.7-(0.301*F235^0.751)/(1-H235)*H235)*(MAX('Min rate concentrations'!$Q$3:$Q$368)))/F235&gt;0, (((1.18*F235^0.874)/3.7-(0.301*F235^0.751)/(1-H235)*H235)*(MAX('Min rate concentrations'!$Q$3:$Q$368)))/F235, 0)</f>
        <v>0</v>
      </c>
      <c r="O235" s="59">
        <f>((MAX('Min rate concentrations'!$F$3:$F$368))*0.62*6.01*8*(10*F235^0.667)*0.079*0.1/F235)*inputs!$E$80/(10^(0.84+0.62*LOG10(inputs!$E$80)))</f>
        <v>1.3986693351125064</v>
      </c>
      <c r="P235" s="59">
        <f>((MAX('Min rate concentrations'!Y:Y))*0.62*6.01*8*(10*F235^0.667)*0.079*0.1/F235)*inputs!$E$80/(10^(0.84+0.62*LOG10(inputs!$E$80)))</f>
        <v>0.46622311170416869</v>
      </c>
      <c r="Q235" s="59">
        <f>(inputs!$C$7*11.2*(10*F235^0.667)*0.5/F235)*inputs!$E$80/(10^(0.84+0.62*LOG10(inputs!$E$80)))</f>
        <v>0.24636900644693105</v>
      </c>
      <c r="R235" s="59">
        <f>(60*284*((F235/1000)^0.77)*3*24*(MAX('Min rate concentrations'!$R$3:$R$368))/F235)*(inputs!$E$73*3.4/inputs!$E$75)</f>
        <v>3.1804234009272744E-3</v>
      </c>
      <c r="S235" s="59">
        <f>(IF(inputs!$C$6="aerial",((0.025*0.112*inputs!$C$7/3.3)*(3*60*284*((F235/1000)^0.77))*MAX(inputs!$H$14:$H$16))/F235,((0.0083*0.112*inputs!$C$7/1)*(3*60*284*((F235/1000)^0.77))*MAX(inputs!$H$14:$H$16))/F235))*(inputs!E$75*3.4/inputs!$E$73)</f>
        <v>1.7540230455950281E-2</v>
      </c>
      <c r="T235" s="63">
        <f>IF((((inputs!$P$12/(V235/MAX(K235:S235)))^(1/inputs!$O$12))-1)/inputs!$N$12&lt;0, 0, IF((((inputs!$P$12/(V235/MAX(K235:S235)))^(1/inputs!$O$12))-1)/inputs!$N$12&gt;inputs!$H$17, inputs!$H$17, (((inputs!$P$12/(V235/MAX(K235:S235)))^(1/inputs!$O$12))-1)/inputs!$N$12))</f>
        <v>192.1817040904908</v>
      </c>
      <c r="U235" s="63">
        <f>IF((((inputs!$P$12/(X235/MAX(K235:S235)))^(1/inputs!$O$12))-1)/inputs!$N$12&lt;0, 0, IF((((inputs!$P$12/(X235/MAX(K235:S235)))^(1/inputs!$O$12))-1)/inputs!$N$12&gt;inputs!$H$17, inputs!$H$17, (((inputs!$P$12/(X235/MAX(K235:S235)))^(1/inputs!$O$12))-1)/inputs!$N$12))</f>
        <v>0</v>
      </c>
      <c r="V235" s="21">
        <f>inputs!$E$78*(F235/inputs!$F$78)^(inputs!$E$84-1)</f>
        <v>4.3427808073074944E-3</v>
      </c>
      <c r="W235" s="21">
        <f>inputs!$E$85*(F235/inputs!$F$85)^(inputs!$E$84-1)</f>
        <v>0.20054161757711042</v>
      </c>
      <c r="X235" s="21">
        <f>inputs!$E$80*(F235/inputs!$F$80)^(inputs!$E$84-1)</f>
        <v>0.74885793905376674</v>
      </c>
      <c r="Y235" s="21">
        <f>inputs!$E$82*(F235/inputs!$F$82)^(inputs!$E$84-1)</f>
        <v>0.34513679047549034</v>
      </c>
      <c r="Z235" s="63">
        <f t="shared" si="24"/>
        <v>322.06767902239011</v>
      </c>
      <c r="AA235" s="63">
        <f t="shared" si="25"/>
        <v>6.9744592270215575</v>
      </c>
    </row>
    <row r="236" spans="1:27" ht="39.6" x14ac:dyDescent="0.25">
      <c r="A236" s="103" t="s">
        <v>248</v>
      </c>
      <c r="B236" s="20" t="s">
        <v>249</v>
      </c>
      <c r="C236" s="20" t="s">
        <v>73</v>
      </c>
      <c r="D236" s="104" t="s">
        <v>240</v>
      </c>
      <c r="E236" s="15">
        <v>7342</v>
      </c>
      <c r="F236" s="15">
        <v>5400</v>
      </c>
      <c r="G236" s="21" t="s">
        <v>456</v>
      </c>
      <c r="H236" s="20">
        <v>0.68</v>
      </c>
      <c r="I236" s="48">
        <f>MAX('Min rate concentrations'!$J$3:$J$368)</f>
        <v>114.4108103430513</v>
      </c>
      <c r="J236" s="48">
        <f>MAX('Min rate concentrations'!AB:AB)</f>
        <v>40.520495329830666</v>
      </c>
      <c r="K236" s="59">
        <f t="shared" si="27"/>
        <v>12.662443854114347</v>
      </c>
      <c r="L236" s="59">
        <f t="shared" si="29"/>
        <v>4.4846155316654972</v>
      </c>
      <c r="M236" s="59">
        <f>IF((((1.18*F236^0.874)/3.7-(0.301*F236^0.751)/(1-H236)*H236)*(MAX('Min rate concentrations'!$P$3:$P$368)))/F236&gt;0, (((1.18*F236^0.874)/3.7-(0.301*F236^0.751)/(1-H236)*H236)*(MAX('Min rate concentrations'!$P$3:$P$368)))/F236, 0)</f>
        <v>4.7513625667980845E-3</v>
      </c>
      <c r="N236" s="59">
        <f>IF((((1.18*F236^0.874)/3.7-(0.301*F236^0.751)/(1-H236)*H236)*(MAX('Min rate concentrations'!$Q$3:$Q$368)))/F236&gt;0, (((1.18*F236^0.874)/3.7-(0.301*F236^0.751)/(1-H236)*H236)*(MAX('Min rate concentrations'!$Q$3:$Q$368)))/F236, 0)</f>
        <v>1.809344395308447E-2</v>
      </c>
      <c r="O236" s="59">
        <f>((MAX('Min rate concentrations'!$F$3:$F$368))*0.62*6.01*8*(10*F236^0.667)*0.079*0.1/F236)*inputs!$E$80/(10^(0.84+0.62*LOG10(inputs!$E$80)))</f>
        <v>1.3986693351125064</v>
      </c>
      <c r="P236" s="59">
        <f>((MAX('Min rate concentrations'!Y:Y))*0.62*6.01*8*(10*F236^0.667)*0.079*0.1/F236)*inputs!$E$80/(10^(0.84+0.62*LOG10(inputs!$E$80)))</f>
        <v>0.46622311170416869</v>
      </c>
      <c r="Q236" s="59">
        <f>(inputs!$C$7*11.2*(10*F236^0.667)*0.5/F236)*inputs!$E$80/(10^(0.84+0.62*LOG10(inputs!$E$80)))</f>
        <v>0.24636900644693105</v>
      </c>
      <c r="R236" s="59">
        <f>(60*284*((F236/1000)^0.77)*3*24*(MAX('Min rate concentrations'!$R$3:$R$368))/F236)*(inputs!$E$73*3.4/inputs!$E$75)</f>
        <v>3.1804234009272744E-3</v>
      </c>
      <c r="S236" s="59">
        <f>(IF(inputs!$C$6="aerial",((0.025*0.112*inputs!$C$7/3.3)*(3*60*284*((F236/1000)^0.77))*MAX(inputs!$H$14:$H$16))/F236,((0.0083*0.112*inputs!$C$7/1)*(3*60*284*((F236/1000)^0.77))*MAX(inputs!$H$14:$H$16))/F236))*(inputs!E$75*3.4/inputs!$E$73)</f>
        <v>1.7540230455950281E-2</v>
      </c>
      <c r="T236" s="63">
        <f>IF((((inputs!$P$12/(V236/MAX(K236:S236)))^(1/inputs!$O$12))-1)/inputs!$N$12&lt;0, 0, IF((((inputs!$P$12/(V236/MAX(K236:S236)))^(1/inputs!$O$12))-1)/inputs!$N$12&gt;inputs!$H$17, inputs!$H$17, (((inputs!$P$12/(V236/MAX(K236:S236)))^(1/inputs!$O$12))-1)/inputs!$N$12))</f>
        <v>512.15508052470773</v>
      </c>
      <c r="U236" s="63">
        <f>IF((((inputs!$P$12/(X236/MAX(K236:S236)))^(1/inputs!$O$12))-1)/inputs!$N$12&lt;0, 0, IF((((inputs!$P$12/(X236/MAX(K236:S236)))^(1/inputs!$O$12))-1)/inputs!$N$12&gt;inputs!$H$17, inputs!$H$17, (((inputs!$P$12/(X236/MAX(K236:S236)))^(1/inputs!$O$12))-1)/inputs!$N$12))</f>
        <v>38.067125748301152</v>
      </c>
      <c r="V236" s="21">
        <f>inputs!$E$78*(F236/inputs!$F$78)^(inputs!$E$84-1)</f>
        <v>4.3427808073074944E-3</v>
      </c>
      <c r="W236" s="21">
        <f>inputs!$E$85*(F236/inputs!$F$85)^(inputs!$E$84-1)</f>
        <v>0.20054161757711042</v>
      </c>
      <c r="X236" s="21">
        <f>inputs!$E$80*(F236/inputs!$F$80)^(inputs!$E$84-1)</f>
        <v>0.74885793905376674</v>
      </c>
      <c r="Y236" s="21">
        <f>inputs!$E$82*(F236/inputs!$F$82)^(inputs!$E$84-1)</f>
        <v>0.34513679047549034</v>
      </c>
      <c r="Z236" s="63">
        <f t="shared" si="24"/>
        <v>2915.7455593447298</v>
      </c>
      <c r="AA236" s="63">
        <f t="shared" si="25"/>
        <v>63.141227277901557</v>
      </c>
    </row>
    <row r="237" spans="1:27" ht="39.6" x14ac:dyDescent="0.25">
      <c r="A237" s="103" t="s">
        <v>248</v>
      </c>
      <c r="B237" s="20" t="s">
        <v>249</v>
      </c>
      <c r="C237" s="20" t="s">
        <v>73</v>
      </c>
      <c r="D237" s="104" t="s">
        <v>240</v>
      </c>
      <c r="E237" s="15">
        <v>7342</v>
      </c>
      <c r="F237" s="15">
        <v>5400</v>
      </c>
      <c r="G237" s="20" t="s">
        <v>154</v>
      </c>
      <c r="H237" s="20">
        <v>9.2999999999999999E-2</v>
      </c>
      <c r="I237" s="48">
        <f>MAX('Min rate concentrations'!$G$3:$G$368)</f>
        <v>7.5</v>
      </c>
      <c r="J237" s="48">
        <f>MAX('Min rate concentrations'!Z:Z)</f>
        <v>3.5</v>
      </c>
      <c r="K237" s="59">
        <f t="shared" si="27"/>
        <v>0.29285620196003953</v>
      </c>
      <c r="L237" s="59"/>
      <c r="M237" s="59">
        <f>IF((((1.18*F237^0.874)/3.7-(0.301*F237^0.751)/(1-H237)*H237)*(MAX('Min rate concentrations'!$P$3:$P$368)))/F237&gt;0, (((1.18*F237^0.874)/3.7-(0.301*F237^0.751)/(1-H237)*H237)*(MAX('Min rate concentrations'!$P$3:$P$368)))/F237, 0)</f>
        <v>1.5147988868529531E-2</v>
      </c>
      <c r="N237" s="59">
        <f>IF((((1.18*F237^0.874)/3.7-(0.301*F237^0.751)/(1-H237)*H237)*(MAX('Min rate concentrations'!$Q$3:$Q$368)))/F237&gt;0, (((1.18*F237^0.874)/3.7-(0.301*F237^0.751)/(1-H237)*H237)*(MAX('Min rate concentrations'!$Q$3:$Q$368)))/F237, 0)</f>
        <v>5.7684355538328659E-2</v>
      </c>
      <c r="O237" s="59">
        <f>((MAX('Min rate concentrations'!$F$3:$F$368))*0.62*6.01*8*(10*F237^0.667)*0.079*0.1/F237)*inputs!$E$80/(10^(0.84+0.62*LOG10(inputs!$E$80)))</f>
        <v>1.3986693351125064</v>
      </c>
      <c r="P237" s="59">
        <f>((MAX('Min rate concentrations'!Y:Y))*0.62*6.01*8*(10*F237^0.667)*0.079*0.1/F237)*inputs!$E$80/(10^(0.84+0.62*LOG10(inputs!$E$80)))</f>
        <v>0.46622311170416869</v>
      </c>
      <c r="Q237" s="59">
        <f>(inputs!$C$7*11.2*(10*F237^0.667)*0.5/F237)*inputs!$E$80/(10^(0.84+0.62*LOG10(inputs!$E$80)))</f>
        <v>0.24636900644693105</v>
      </c>
      <c r="R237" s="59">
        <f>(60*284*((F237/1000)^0.77)*3*24*(MAX('Min rate concentrations'!$R$3:$R$368))/F237)*(inputs!$E$73*3.4/inputs!$E$75)</f>
        <v>3.1804234009272744E-3</v>
      </c>
      <c r="S237" s="59">
        <f>(IF(inputs!$C$6="aerial",((0.025*0.112*inputs!$C$7/3.3)*(3*60*284*((F237/1000)^0.77))*MAX(inputs!$H$14:$H$16))/F237,((0.0083*0.112*inputs!$C$7/1)*(3*60*284*((F237/1000)^0.77))*MAX(inputs!$H$14:$H$16))/F237))*(inputs!E$75*3.4/inputs!$E$73)</f>
        <v>1.7540230455950281E-2</v>
      </c>
      <c r="T237" s="63">
        <f>IF((((inputs!$P$12/(V237/MAX(K237:S237)))^(1/inputs!$O$12))-1)/inputs!$N$12&lt;0, 0, IF((((inputs!$P$12/(V237/MAX(K237:S237)))^(1/inputs!$O$12))-1)/inputs!$N$12&gt;inputs!$H$17, inputs!$H$17, (((inputs!$P$12/(V237/MAX(K237:S237)))^(1/inputs!$O$12))-1)/inputs!$N$12))</f>
        <v>192.1817040904908</v>
      </c>
      <c r="U237" s="63">
        <f>IF((((inputs!$P$12/(X237/MAX(K237:S237)))^(1/inputs!$O$12))-1)/inputs!$N$12&lt;0, 0, IF((((inputs!$P$12/(X237/MAX(K237:S237)))^(1/inputs!$O$12))-1)/inputs!$N$12&gt;inputs!$H$17, inputs!$H$17, (((inputs!$P$12/(X237/MAX(K237:S237)))^(1/inputs!$O$12))-1)/inputs!$N$12))</f>
        <v>0</v>
      </c>
      <c r="V237" s="21">
        <f>inputs!$E$78*(F237/inputs!$F$78)^(inputs!$E$84-1)</f>
        <v>4.3427808073074944E-3</v>
      </c>
      <c r="W237" s="21">
        <f>inputs!$E$85*(F237/inputs!$F$85)^(inputs!$E$84-1)</f>
        <v>0.20054161757711042</v>
      </c>
      <c r="X237" s="21">
        <f>inputs!$E$80*(F237/inputs!$F$80)^(inputs!$E$84-1)</f>
        <v>0.74885793905376674</v>
      </c>
      <c r="Y237" s="21">
        <f>inputs!$E$82*(F237/inputs!$F$82)^(inputs!$E$84-1)</f>
        <v>0.34513679047549034</v>
      </c>
      <c r="Z237" s="63">
        <f t="shared" si="24"/>
        <v>322.06767902239011</v>
      </c>
      <c r="AA237" s="63">
        <f t="shared" si="25"/>
        <v>6.9744592270215575</v>
      </c>
    </row>
    <row r="238" spans="1:27" ht="26.4" x14ac:dyDescent="0.25">
      <c r="A238" s="103" t="s">
        <v>248</v>
      </c>
      <c r="B238" s="20" t="s">
        <v>251</v>
      </c>
      <c r="C238" s="20" t="s">
        <v>73</v>
      </c>
      <c r="D238" s="104" t="s">
        <v>240</v>
      </c>
      <c r="E238" s="15">
        <v>4679</v>
      </c>
      <c r="F238" s="15">
        <v>5400</v>
      </c>
      <c r="G238" s="20" t="s">
        <v>182</v>
      </c>
      <c r="H238" s="20">
        <v>0.85</v>
      </c>
      <c r="I238" s="48">
        <f>MAX('Min rate concentrations'!$M$3:$M$368)</f>
        <v>2.8488184789681945</v>
      </c>
      <c r="J238" s="48">
        <f>MAX('Min rate concentrations'!AE:AE)</f>
        <v>1.9699276716269429</v>
      </c>
      <c r="K238" s="59">
        <f t="shared" si="27"/>
        <v>0.67262649152049014</v>
      </c>
      <c r="L238" s="59">
        <f t="shared" ref="L238:L244" si="30">((0.301*F238^0.751)/(1-H238))*J238/F238</f>
        <v>0.4651140632854453</v>
      </c>
      <c r="M238" s="59">
        <f>IF((((1.18*F238^0.874)/3.7-(0.301*F238^0.751)/(1-H238)*H238)*(MAX('Min rate concentrations'!$P$3:$P$368)))/F238&gt;0, (((1.18*F238^0.874)/3.7-(0.301*F238^0.751)/(1-H238)*H238)*(MAX('Min rate concentrations'!$P$3:$P$368)))/F238, 0)</f>
        <v>0</v>
      </c>
      <c r="N238" s="59">
        <f>IF((((1.18*F238^0.874)/3.7-(0.301*F238^0.751)/(1-H238)*H238)*(MAX('Min rate concentrations'!$Q$3:$Q$368)))/F238&gt;0, (((1.18*F238^0.874)/3.7-(0.301*F238^0.751)/(1-H238)*H238)*(MAX('Min rate concentrations'!$Q$3:$Q$368)))/F238, 0)</f>
        <v>0</v>
      </c>
      <c r="O238" s="59">
        <f>((MAX('Min rate concentrations'!$F$3:$F$368))*0.62*6.01*8*(10*F238^0.667)*0.079*0.1/F238)*inputs!$E$80/(10^(0.84+0.62*LOG10(inputs!$E$80)))</f>
        <v>1.3986693351125064</v>
      </c>
      <c r="P238" s="59">
        <f>((MAX('Min rate concentrations'!Y:Y))*0.62*6.01*8*(10*F238^0.667)*0.079*0.1/F238)*inputs!$E$80/(10^(0.84+0.62*LOG10(inputs!$E$80)))</f>
        <v>0.46622311170416869</v>
      </c>
      <c r="Q238" s="59">
        <f>(inputs!$C$7*11.2*(10*F238^0.667)*0.5/F238)*inputs!$E$80/(10^(0.84+0.62*LOG10(inputs!$E$80)))</f>
        <v>0.24636900644693105</v>
      </c>
      <c r="R238" s="59">
        <f>(60*284*((F238/1000)^0.77)*3*24*(MAX('Min rate concentrations'!$R$3:$R$368))/F238)*(inputs!$E$73*3.4/inputs!$E$75)</f>
        <v>3.1804234009272744E-3</v>
      </c>
      <c r="S238" s="59">
        <f>(IF(inputs!$C$6="aerial",((0.025*0.112*inputs!$C$7/3.3)*(3*60*284*((F238/1000)^0.77))*MAX(inputs!$H$14:$H$16))/F238,((0.0083*0.112*inputs!$C$7/1)*(3*60*284*((F238/1000)^0.77))*MAX(inputs!$H$14:$H$16))/F238))*(inputs!E$75*3.4/inputs!$E$73)</f>
        <v>1.7540230455950281E-2</v>
      </c>
      <c r="T238" s="63">
        <f>IF((((inputs!$P$12/(V238/MAX(K238:S238)))^(1/inputs!$O$12))-1)/inputs!$N$12&lt;0, 0, IF((((inputs!$P$12/(V238/MAX(K238:S238)))^(1/inputs!$O$12))-1)/inputs!$N$12&gt;inputs!$H$17, inputs!$H$17, (((inputs!$P$12/(V238/MAX(K238:S238)))^(1/inputs!$O$12))-1)/inputs!$N$12))</f>
        <v>192.1817040904908</v>
      </c>
      <c r="U238" s="63">
        <f>IF((((inputs!$P$12/(X238/MAX(K238:S238)))^(1/inputs!$O$12))-1)/inputs!$N$12&lt;0, 0, IF((((inputs!$P$12/(X238/MAX(K238:S238)))^(1/inputs!$O$12))-1)/inputs!$N$12&gt;inputs!$H$17, inputs!$H$17, (((inputs!$P$12/(X238/MAX(K238:S238)))^(1/inputs!$O$12))-1)/inputs!$N$12))</f>
        <v>0</v>
      </c>
      <c r="V238" s="21">
        <f>inputs!$E$78*(F238/inputs!$F$78)^(inputs!$E$84-1)</f>
        <v>4.3427808073074944E-3</v>
      </c>
      <c r="W238" s="21">
        <f>inputs!$E$85*(F238/inputs!$F$85)^(inputs!$E$84-1)</f>
        <v>0.20054161757711042</v>
      </c>
      <c r="X238" s="21">
        <f>inputs!$E$80*(F238/inputs!$F$80)^(inputs!$E$84-1)</f>
        <v>0.74885793905376674</v>
      </c>
      <c r="Y238" s="21">
        <f>inputs!$E$82*(F238/inputs!$F$82)^(inputs!$E$84-1)</f>
        <v>0.34513679047549034</v>
      </c>
      <c r="Z238" s="63">
        <f t="shared" si="24"/>
        <v>322.06767902239011</v>
      </c>
      <c r="AA238" s="63">
        <f t="shared" si="25"/>
        <v>6.9744592270215575</v>
      </c>
    </row>
    <row r="239" spans="1:27" ht="26.4" x14ac:dyDescent="0.25">
      <c r="A239" s="103" t="s">
        <v>248</v>
      </c>
      <c r="B239" s="20" t="s">
        <v>251</v>
      </c>
      <c r="C239" s="20" t="s">
        <v>73</v>
      </c>
      <c r="D239" s="104" t="s">
        <v>240</v>
      </c>
      <c r="E239" s="15">
        <v>4679</v>
      </c>
      <c r="F239" s="15">
        <v>5400</v>
      </c>
      <c r="G239" s="20" t="s">
        <v>142</v>
      </c>
      <c r="H239" s="20">
        <v>0.69</v>
      </c>
      <c r="I239" s="48">
        <f>MAX('Min rate concentrations'!$H$3:$H$368)</f>
        <v>47</v>
      </c>
      <c r="J239" s="48">
        <f>MAX('Min rate concentrations'!AA:AA)</f>
        <v>32.5</v>
      </c>
      <c r="K239" s="59">
        <f t="shared" si="27"/>
        <v>5.3695342078944188</v>
      </c>
      <c r="L239" s="59">
        <f t="shared" si="30"/>
        <v>3.7129757820546514</v>
      </c>
      <c r="M239" s="59">
        <f>IF((((1.18*F239^0.874)/3.7-(0.301*F239^0.751)/(1-H239)*H239)*(MAX('Min rate concentrations'!$P$3:$P$368)))/F239&gt;0, (((1.18*F239^0.874)/3.7-(0.301*F239^0.751)/(1-H239)*H239)*(MAX('Min rate concentrations'!$P$3:$P$368)))/F239, 0)</f>
        <v>4.2331595632441824E-3</v>
      </c>
      <c r="N239" s="59">
        <f>IF((((1.18*F239^0.874)/3.7-(0.301*F239^0.751)/(1-H239)*H239)*(MAX('Min rate concentrations'!$Q$3:$Q$368)))/F239&gt;0, (((1.18*F239^0.874)/3.7-(0.301*F239^0.751)/(1-H239)*H239)*(MAX('Min rate concentrations'!$Q$3:$Q$368)))/F239, 0)</f>
        <v>1.6120099071630596E-2</v>
      </c>
      <c r="O239" s="59">
        <f>((MAX('Min rate concentrations'!$F$3:$F$368))*0.62*6.01*8*(10*F239^0.667)*0.079*0.1/F239)*inputs!$E$80/(10^(0.84+0.62*LOG10(inputs!$E$80)))</f>
        <v>1.3986693351125064</v>
      </c>
      <c r="P239" s="59">
        <f>((MAX('Min rate concentrations'!Y:Y))*0.62*6.01*8*(10*F239^0.667)*0.079*0.1/F239)*inputs!$E$80/(10^(0.84+0.62*LOG10(inputs!$E$80)))</f>
        <v>0.46622311170416869</v>
      </c>
      <c r="Q239" s="59">
        <f>(inputs!$C$7*11.2*(10*F239^0.667)*0.5/F239)*inputs!$E$80/(10^(0.84+0.62*LOG10(inputs!$E$80)))</f>
        <v>0.24636900644693105</v>
      </c>
      <c r="R239" s="59">
        <f>(60*284*((F239/1000)^0.77)*3*24*(MAX('Min rate concentrations'!$R$3:$R$368))/F239)*(inputs!$E$73*3.4/inputs!$E$75)</f>
        <v>3.1804234009272744E-3</v>
      </c>
      <c r="S239" s="59">
        <f>(IF(inputs!$C$6="aerial",((0.025*0.112*inputs!$C$7/3.3)*(3*60*284*((F239/1000)^0.77))*MAX(inputs!$H$14:$H$16))/F239,((0.0083*0.112*inputs!$C$7/1)*(3*60*284*((F239/1000)^0.77))*MAX(inputs!$H$14:$H$16))/F239))*(inputs!E$75*3.4/inputs!$E$73)</f>
        <v>1.7540230455950281E-2</v>
      </c>
      <c r="T239" s="63">
        <f>IF((((inputs!$P$12/(V239/MAX(K239:S239)))^(1/inputs!$O$12))-1)/inputs!$N$12&lt;0, 0, IF((((inputs!$P$12/(V239/MAX(K239:S239)))^(1/inputs!$O$12))-1)/inputs!$N$12&gt;inputs!$H$17, inputs!$H$17, (((inputs!$P$12/(V239/MAX(K239:S239)))^(1/inputs!$O$12))-1)/inputs!$N$12))</f>
        <v>352.90091572576898</v>
      </c>
      <c r="U239" s="63">
        <f>IF((((inputs!$P$12/(X239/MAX(K239:S239)))^(1/inputs!$O$12))-1)/inputs!$N$12&lt;0, 0, IF((((inputs!$P$12/(X239/MAX(K239:S239)))^(1/inputs!$O$12))-1)/inputs!$N$12&gt;inputs!$H$17, inputs!$H$17, (((inputs!$P$12/(X239/MAX(K239:S239)))^(1/inputs!$O$12))-1)/inputs!$N$12))</f>
        <v>18.461836006689119</v>
      </c>
      <c r="V239" s="21">
        <f>inputs!$E$78*(F239/inputs!$F$78)^(inputs!$E$84-1)</f>
        <v>4.3427808073074944E-3</v>
      </c>
      <c r="W239" s="21">
        <f>inputs!$E$85*(F239/inputs!$F$85)^(inputs!$E$84-1)</f>
        <v>0.20054161757711042</v>
      </c>
      <c r="X239" s="21">
        <f>inputs!$E$80*(F239/inputs!$F$80)^(inputs!$E$84-1)</f>
        <v>0.74885793905376674</v>
      </c>
      <c r="Y239" s="21">
        <f>inputs!$E$82*(F239/inputs!$F$82)^(inputs!$E$84-1)</f>
        <v>0.34513679047549034</v>
      </c>
      <c r="Z239" s="63">
        <f t="shared" si="24"/>
        <v>1236.4276361494531</v>
      </c>
      <c r="AA239" s="63">
        <f t="shared" si="25"/>
        <v>26.775161548847958</v>
      </c>
    </row>
    <row r="240" spans="1:27" ht="26.4" x14ac:dyDescent="0.25">
      <c r="A240" s="103" t="s">
        <v>248</v>
      </c>
      <c r="B240" s="20" t="s">
        <v>251</v>
      </c>
      <c r="C240" s="20" t="s">
        <v>73</v>
      </c>
      <c r="D240" s="104" t="s">
        <v>240</v>
      </c>
      <c r="E240" s="15">
        <v>4679</v>
      </c>
      <c r="F240" s="15">
        <v>5400</v>
      </c>
      <c r="G240" s="20" t="s">
        <v>164</v>
      </c>
      <c r="H240" s="20">
        <v>0.78</v>
      </c>
      <c r="I240" s="48">
        <f>inputs!$C$65*(inputs!$C$62/1000)</f>
        <v>0.82000000000000006</v>
      </c>
      <c r="J240" s="48">
        <f>inputs!$C$65*(inputs!$C$61/1000)</f>
        <v>0.25</v>
      </c>
      <c r="K240" s="59">
        <f t="shared" si="27"/>
        <v>0.13200537675500598</v>
      </c>
      <c r="L240" s="59">
        <f t="shared" si="30"/>
        <v>4.0245541693599382E-2</v>
      </c>
      <c r="M240" s="59">
        <f>IF((((1.18*F240^0.874)/3.7-(0.301*F240^0.751)/(1-H240)*H240)*(MAX('Min rate concentrations'!$P$3:$P$368)))/F240&gt;0, (((1.18*F240^0.874)/3.7-(0.301*F240^0.751)/(1-H240)*H240)*(MAX('Min rate concentrations'!$P$3:$P$368)))/F240, 0)</f>
        <v>0</v>
      </c>
      <c r="N240" s="59">
        <f>IF((((1.18*F240^0.874)/3.7-(0.301*F240^0.751)/(1-H240)*H240)*(MAX('Min rate concentrations'!$Q$3:$Q$368)))/F240&gt;0, (((1.18*F240^0.874)/3.7-(0.301*F240^0.751)/(1-H240)*H240)*(MAX('Min rate concentrations'!$Q$3:$Q$368)))/F240, 0)</f>
        <v>0</v>
      </c>
      <c r="O240" s="59">
        <f>((MAX('Min rate concentrations'!$F$3:$F$368))*0.62*6.01*8*(10*F240^0.667)*0.079*0.1/F240)*inputs!$E$80/(10^(0.84+0.62*LOG10(inputs!$E$80)))</f>
        <v>1.3986693351125064</v>
      </c>
      <c r="P240" s="59">
        <f>((MAX('Min rate concentrations'!Y:Y))*0.62*6.01*8*(10*F240^0.667)*0.079*0.1/F240)*inputs!$E$80/(10^(0.84+0.62*LOG10(inputs!$E$80)))</f>
        <v>0.46622311170416869</v>
      </c>
      <c r="Q240" s="59">
        <f>(inputs!$C$7*11.2*(10*F240^0.667)*0.5/F240)*inputs!$E$80/(10^(0.84+0.62*LOG10(inputs!$E$80)))</f>
        <v>0.24636900644693105</v>
      </c>
      <c r="R240" s="59">
        <f>(60*284*((F240/1000)^0.77)*3*24*(MAX('Min rate concentrations'!$R$3:$R$368))/F240)*(inputs!$E$73*3.4/inputs!$E$75)</f>
        <v>3.1804234009272744E-3</v>
      </c>
      <c r="S240" s="59">
        <f>(IF(inputs!$C$6="aerial",((0.025*0.112*inputs!$C$7/3.3)*(3*60*284*((F240/1000)^0.77))*MAX(inputs!$H$14:$H$16))/F240,((0.0083*0.112*inputs!$C$7/1)*(3*60*284*((F240/1000)^0.77))*MAX(inputs!$H$14:$H$16))/F240))*(inputs!E$75*3.4/inputs!$E$73)</f>
        <v>1.7540230455950281E-2</v>
      </c>
      <c r="T240" s="63">
        <f>IF((((inputs!$P$12/(V240/MAX(K240:S240)))^(1/inputs!$O$12))-1)/inputs!$N$12&lt;0, 0, IF((((inputs!$P$12/(V240/MAX(K240:S240)))^(1/inputs!$O$12))-1)/inputs!$N$12&gt;inputs!$H$17, inputs!$H$17, (((inputs!$P$12/(V240/MAX(K240:S240)))^(1/inputs!$O$12))-1)/inputs!$N$12))</f>
        <v>192.1817040904908</v>
      </c>
      <c r="U240" s="63">
        <f>IF((((inputs!$P$12/(X240/MAX(K240:S240)))^(1/inputs!$O$12))-1)/inputs!$N$12&lt;0, 0, IF((((inputs!$P$12/(X240/MAX(K240:S240)))^(1/inputs!$O$12))-1)/inputs!$N$12&gt;inputs!$H$17, inputs!$H$17, (((inputs!$P$12/(X240/MAX(K240:S240)))^(1/inputs!$O$12))-1)/inputs!$N$12))</f>
        <v>0</v>
      </c>
      <c r="V240" s="21">
        <f>inputs!$E$78*(F240/inputs!$F$78)^(inputs!$E$84-1)</f>
        <v>4.3427808073074944E-3</v>
      </c>
      <c r="W240" s="21">
        <f>inputs!$E$85*(F240/inputs!$F$85)^(inputs!$E$84-1)</f>
        <v>0.20054161757711042</v>
      </c>
      <c r="X240" s="21">
        <f>inputs!$E$80*(F240/inputs!$F$80)^(inputs!$E$84-1)</f>
        <v>0.74885793905376674</v>
      </c>
      <c r="Y240" s="21">
        <f>inputs!$E$82*(F240/inputs!$F$82)^(inputs!$E$84-1)</f>
        <v>0.34513679047549034</v>
      </c>
      <c r="Z240" s="63">
        <f t="shared" si="24"/>
        <v>322.06767902239011</v>
      </c>
      <c r="AA240" s="63">
        <f t="shared" si="25"/>
        <v>6.9744592270215575</v>
      </c>
    </row>
    <row r="241" spans="1:476" ht="26.4" x14ac:dyDescent="0.25">
      <c r="A241" s="103" t="s">
        <v>248</v>
      </c>
      <c r="B241" s="20" t="s">
        <v>251</v>
      </c>
      <c r="C241" s="20" t="s">
        <v>73</v>
      </c>
      <c r="D241" s="104" t="s">
        <v>240</v>
      </c>
      <c r="E241" s="15">
        <v>4679</v>
      </c>
      <c r="F241" s="15">
        <v>5400</v>
      </c>
      <c r="G241" s="20" t="s">
        <v>138</v>
      </c>
      <c r="H241" s="20">
        <v>0.68</v>
      </c>
      <c r="I241" s="48">
        <f>MAX('Min rate concentrations'!$L$3:$L$368)</f>
        <v>58.421240152220811</v>
      </c>
      <c r="J241" s="48">
        <f>MAX('Min rate concentrations'!AD:AD)</f>
        <v>40.397666062705881</v>
      </c>
      <c r="K241" s="59">
        <f t="shared" si="27"/>
        <v>6.4657847549294578</v>
      </c>
      <c r="L241" s="59">
        <f t="shared" si="30"/>
        <v>4.4710213730895187</v>
      </c>
      <c r="M241" s="59">
        <f>IF((((1.18*F241^0.874)/3.7-(0.301*F241^0.751)/(1-H241)*H241)*(MAX('Min rate concentrations'!$P$3:$P$368)))/F241&gt;0, (((1.18*F241^0.874)/3.7-(0.301*F241^0.751)/(1-H241)*H241)*(MAX('Min rate concentrations'!$P$3:$P$368)))/F241, 0)</f>
        <v>4.7513625667980845E-3</v>
      </c>
      <c r="N241" s="59">
        <f>IF((((1.18*F241^0.874)/3.7-(0.301*F241^0.751)/(1-H241)*H241)*(MAX('Min rate concentrations'!$Q$3:$Q$368)))/F241&gt;0, (((1.18*F241^0.874)/3.7-(0.301*F241^0.751)/(1-H241)*H241)*(MAX('Min rate concentrations'!$Q$3:$Q$368)))/F241, 0)</f>
        <v>1.809344395308447E-2</v>
      </c>
      <c r="O241" s="59">
        <f>((MAX('Min rate concentrations'!$F$3:$F$368))*0.62*6.01*8*(10*F241^0.667)*0.079*0.1/F241)*inputs!$E$80/(10^(0.84+0.62*LOG10(inputs!$E$80)))</f>
        <v>1.3986693351125064</v>
      </c>
      <c r="P241" s="59">
        <f>((MAX('Min rate concentrations'!Y:Y))*0.62*6.01*8*(10*F241^0.667)*0.079*0.1/F241)*inputs!$E$80/(10^(0.84+0.62*LOG10(inputs!$E$80)))</f>
        <v>0.46622311170416869</v>
      </c>
      <c r="Q241" s="59">
        <f>(inputs!$C$7*11.2*(10*F241^0.667)*0.5/F241)*inputs!$E$80/(10^(0.84+0.62*LOG10(inputs!$E$80)))</f>
        <v>0.24636900644693105</v>
      </c>
      <c r="R241" s="59">
        <f>(60*284*((F241/1000)^0.77)*3*24*(MAX('Min rate concentrations'!$R$3:$R$368))/F241)*(inputs!$E$73*3.4/inputs!$E$75)</f>
        <v>3.1804234009272744E-3</v>
      </c>
      <c r="S241" s="59">
        <f>(IF(inputs!$C$6="aerial",((0.025*0.112*inputs!$C$7/3.3)*(3*60*284*((F241/1000)^0.77))*MAX(inputs!$H$14:$H$16))/F241,((0.0083*0.112*inputs!$C$7/1)*(3*60*284*((F241/1000)^0.77))*MAX(inputs!$H$14:$H$16))/F241))*(inputs!E$75*3.4/inputs!$E$73)</f>
        <v>1.7540230455950281E-2</v>
      </c>
      <c r="T241" s="63">
        <f>IF((((inputs!$P$12/(V241/MAX(K241:S241)))^(1/inputs!$O$12))-1)/inputs!$N$12&lt;0, 0, IF((((inputs!$P$12/(V241/MAX(K241:S241)))^(1/inputs!$O$12))-1)/inputs!$N$12&gt;inputs!$H$17, inputs!$H$17, (((inputs!$P$12/(V241/MAX(K241:S241)))^(1/inputs!$O$12))-1)/inputs!$N$12))</f>
        <v>382.83741211051409</v>
      </c>
      <c r="U241" s="63">
        <f>IF((((inputs!$P$12/(X241/MAX(K241:S241)))^(1/inputs!$O$12))-1)/inputs!$N$12&lt;0, 0, IF((((inputs!$P$12/(X241/MAX(K241:S241)))^(1/inputs!$O$12))-1)/inputs!$N$12&gt;inputs!$H$17, inputs!$H$17, (((inputs!$P$12/(X241/MAX(K241:S241)))^(1/inputs!$O$12))-1)/inputs!$N$12))</f>
        <v>22.147225875221842</v>
      </c>
      <c r="V241" s="21">
        <f>inputs!$E$78*(F241/inputs!$F$78)^(inputs!$E$84-1)</f>
        <v>4.3427808073074944E-3</v>
      </c>
      <c r="W241" s="21">
        <f>inputs!$E$85*(F241/inputs!$F$85)^(inputs!$E$84-1)</f>
        <v>0.20054161757711042</v>
      </c>
      <c r="X241" s="21">
        <f>inputs!$E$80*(F241/inputs!$F$80)^(inputs!$E$84-1)</f>
        <v>0.74885793905376674</v>
      </c>
      <c r="Y241" s="21">
        <f>inputs!$E$82*(F241/inputs!$F$82)^(inputs!$E$84-1)</f>
        <v>0.34513679047549034</v>
      </c>
      <c r="Z241" s="63">
        <f t="shared" si="24"/>
        <v>1488.8581859921724</v>
      </c>
      <c r="AA241" s="63">
        <f t="shared" si="25"/>
        <v>32.241610659409851</v>
      </c>
    </row>
    <row r="242" spans="1:476" ht="26.4" x14ac:dyDescent="0.25">
      <c r="A242" s="103" t="s">
        <v>248</v>
      </c>
      <c r="B242" s="20" t="s">
        <v>251</v>
      </c>
      <c r="C242" s="20" t="s">
        <v>73</v>
      </c>
      <c r="D242" s="104" t="s">
        <v>240</v>
      </c>
      <c r="E242" s="15">
        <v>4679</v>
      </c>
      <c r="F242" s="15">
        <v>5400</v>
      </c>
      <c r="G242" s="49" t="s">
        <v>186</v>
      </c>
      <c r="H242" s="49">
        <v>0.75</v>
      </c>
      <c r="I242" s="48">
        <f>inputs!$C$65*inputs!$C$64/1000</f>
        <v>2.13</v>
      </c>
      <c r="J242" s="48">
        <f>inputs!$C$65*inputs!$C$63/1000</f>
        <v>0.88</v>
      </c>
      <c r="K242" s="59">
        <f t="shared" si="27"/>
        <v>0.30174497340193063</v>
      </c>
      <c r="L242" s="59">
        <f t="shared" si="30"/>
        <v>0.12466458995009343</v>
      </c>
      <c r="M242" s="59">
        <f>IF((((1.18*F242^0.874)/3.7-(0.301*F242^0.751)/(1-H242)*H242)*(MAX('Min rate concentrations'!$P$3:$P$368)))/F242&gt;0, (((1.18*F242^0.874)/3.7-(0.301*F242^0.751)/(1-H242)*H242)*(MAX('Min rate concentrations'!$P$3:$P$368)))/F242, 0)</f>
        <v>2.5336049595018251E-4</v>
      </c>
      <c r="N242" s="59">
        <f>IF((((1.18*F242^0.874)/3.7-(0.301*F242^0.751)/(1-H242)*H242)*(MAX('Min rate concentrations'!$Q$3:$Q$368)))/F242&gt;0, (((1.18*F242^0.874)/3.7-(0.301*F242^0.751)/(1-H242)*H242)*(MAX('Min rate concentrations'!$Q$3:$Q$368)))/F242, 0)</f>
        <v>9.6481038206468704E-4</v>
      </c>
      <c r="O242" s="59">
        <f>((MAX('Min rate concentrations'!$F$3:$F$368))*0.62*6.01*8*(10*F242^0.667)*0.079*0.1/F242)*inputs!$E$80/(10^(0.84+0.62*LOG10(inputs!$E$80)))</f>
        <v>1.3986693351125064</v>
      </c>
      <c r="P242" s="59">
        <f>((MAX('Min rate concentrations'!Y:Y))*0.62*6.01*8*(10*F242^0.667)*0.079*0.1/F242)*inputs!$E$80/(10^(0.84+0.62*LOG10(inputs!$E$80)))</f>
        <v>0.46622311170416869</v>
      </c>
      <c r="Q242" s="59">
        <f>(inputs!$C$7*11.2*(10*F242^0.667)*0.5/F242)*inputs!$E$80/(10^(0.84+0.62*LOG10(inputs!$E$80)))</f>
        <v>0.24636900644693105</v>
      </c>
      <c r="R242" s="59">
        <f>(60*284*((F242/1000)^0.77)*3*24*(MAX('Min rate concentrations'!$R$3:$R$368))/F242)*(inputs!$E$73*3.4/inputs!$E$75)</f>
        <v>3.1804234009272744E-3</v>
      </c>
      <c r="S242" s="59">
        <f>(IF(inputs!$C$6="aerial",((0.025*0.112*inputs!$C$7/3.3)*(3*60*284*((F242/1000)^0.77))*MAX(inputs!$H$14:$H$16))/F242,((0.0083*0.112*inputs!$C$7/1)*(3*60*284*((F242/1000)^0.77))*MAX(inputs!$H$14:$H$16))/F242))*(inputs!E$75*3.4/inputs!$E$73)</f>
        <v>1.7540230455950281E-2</v>
      </c>
      <c r="T242" s="63">
        <f>IF((((inputs!$P$12/(V242/MAX(K242:S242)))^(1/inputs!$O$12))-1)/inputs!$N$12&lt;0, 0, IF((((inputs!$P$12/(V242/MAX(K242:S242)))^(1/inputs!$O$12))-1)/inputs!$N$12&gt;inputs!$H$17, inputs!$H$17, (((inputs!$P$12/(V242/MAX(K242:S242)))^(1/inputs!$O$12))-1)/inputs!$N$12))</f>
        <v>192.1817040904908</v>
      </c>
      <c r="U242" s="63">
        <f>IF((((inputs!$P$12/(X242/MAX(K242:S242)))^(1/inputs!$O$12))-1)/inputs!$N$12&lt;0, 0, IF((((inputs!$P$12/(X242/MAX(K242:S242)))^(1/inputs!$O$12))-1)/inputs!$N$12&gt;inputs!$H$17, inputs!$H$17, (((inputs!$P$12/(X242/MAX(K242:S242)))^(1/inputs!$O$12))-1)/inputs!$N$12))</f>
        <v>0</v>
      </c>
      <c r="V242" s="21">
        <f>inputs!$E$78*(F242/inputs!$F$78)^(inputs!$E$84-1)</f>
        <v>4.3427808073074944E-3</v>
      </c>
      <c r="W242" s="21">
        <f>inputs!$E$85*(F242/inputs!$F$85)^(inputs!$E$84-1)</f>
        <v>0.20054161757711042</v>
      </c>
      <c r="X242" s="21">
        <f>inputs!$E$80*(F242/inputs!$F$80)^(inputs!$E$84-1)</f>
        <v>0.74885793905376674</v>
      </c>
      <c r="Y242" s="21">
        <f>inputs!$E$82*(F242/inputs!$F$82)^(inputs!$E$84-1)</f>
        <v>0.34513679047549034</v>
      </c>
      <c r="Z242" s="63">
        <f t="shared" si="24"/>
        <v>322.06767902239011</v>
      </c>
      <c r="AA242" s="63">
        <f t="shared" si="25"/>
        <v>6.9744592270215575</v>
      </c>
    </row>
    <row r="243" spans="1:476" ht="26.4" x14ac:dyDescent="0.25">
      <c r="A243" s="103" t="s">
        <v>248</v>
      </c>
      <c r="B243" s="20" t="s">
        <v>251</v>
      </c>
      <c r="C243" s="20" t="s">
        <v>73</v>
      </c>
      <c r="D243" s="104" t="s">
        <v>240</v>
      </c>
      <c r="E243" s="15">
        <v>4679</v>
      </c>
      <c r="F243" s="15">
        <v>5400</v>
      </c>
      <c r="G243" s="20" t="s">
        <v>152</v>
      </c>
      <c r="H243" s="20">
        <v>0.77</v>
      </c>
      <c r="I243" s="48">
        <f>MAX('Min rate concentrations'!$G$3:$G$368)</f>
        <v>7.5</v>
      </c>
      <c r="J243" s="48">
        <f>MAX('Min rate concentrations'!Z:Z)</f>
        <v>3.5</v>
      </c>
      <c r="K243" s="59">
        <f t="shared" si="27"/>
        <v>1.1548720659902432</v>
      </c>
      <c r="L243" s="59">
        <f t="shared" si="30"/>
        <v>0.53894029746211347</v>
      </c>
      <c r="M243" s="59">
        <f>IF((((1.18*F243^0.874)/3.7-(0.301*F243^0.751)/(1-H243)*H243)*(MAX('Min rate concentrations'!$P$3:$P$368)))/F243&gt;0, (((1.18*F243^0.874)/3.7-(0.301*F243^0.751)/(1-H243)*H243)*(MAX('Min rate concentrations'!$P$3:$P$368)))/F243, 0)</f>
        <v>0</v>
      </c>
      <c r="N243" s="59">
        <f>IF((((1.18*F243^0.874)/3.7-(0.301*F243^0.751)/(1-H243)*H243)*(MAX('Min rate concentrations'!$Q$3:$Q$368)))/F243&gt;0, (((1.18*F243^0.874)/3.7-(0.301*F243^0.751)/(1-H243)*H243)*(MAX('Min rate concentrations'!$Q$3:$Q$368)))/F243, 0)</f>
        <v>0</v>
      </c>
      <c r="O243" s="59">
        <f>((MAX('Min rate concentrations'!$F$3:$F$368))*0.62*6.01*8*(10*F243^0.667)*0.079*0.1/F243)*inputs!$E$80/(10^(0.84+0.62*LOG10(inputs!$E$80)))</f>
        <v>1.3986693351125064</v>
      </c>
      <c r="P243" s="59">
        <f>((MAX('Min rate concentrations'!Y:Y))*0.62*6.01*8*(10*F243^0.667)*0.079*0.1/F243)*inputs!$E$80/(10^(0.84+0.62*LOG10(inputs!$E$80)))</f>
        <v>0.46622311170416869</v>
      </c>
      <c r="Q243" s="59">
        <f>(inputs!$C$7*11.2*(10*F243^0.667)*0.5/F243)*inputs!$E$80/(10^(0.84+0.62*LOG10(inputs!$E$80)))</f>
        <v>0.24636900644693105</v>
      </c>
      <c r="R243" s="59">
        <f>(60*284*((F243/1000)^0.77)*3*24*(MAX('Min rate concentrations'!$R$3:$R$368))/F243)*(inputs!$E$73*3.4/inputs!$E$75)</f>
        <v>3.1804234009272744E-3</v>
      </c>
      <c r="S243" s="59">
        <f>(IF(inputs!$C$6="aerial",((0.025*0.112*inputs!$C$7/3.3)*(3*60*284*((F243/1000)^0.77))*MAX(inputs!$H$14:$H$16))/F243,((0.0083*0.112*inputs!$C$7/1)*(3*60*284*((F243/1000)^0.77))*MAX(inputs!$H$14:$H$16))/F243))*(inputs!E$75*3.4/inputs!$E$73)</f>
        <v>1.7540230455950281E-2</v>
      </c>
      <c r="T243" s="63">
        <f>IF((((inputs!$P$12/(V243/MAX(K243:S243)))^(1/inputs!$O$12))-1)/inputs!$N$12&lt;0, 0, IF((((inputs!$P$12/(V243/MAX(K243:S243)))^(1/inputs!$O$12))-1)/inputs!$N$12&gt;inputs!$H$17, inputs!$H$17, (((inputs!$P$12/(V243/MAX(K243:S243)))^(1/inputs!$O$12))-1)/inputs!$N$12))</f>
        <v>192.1817040904908</v>
      </c>
      <c r="U243" s="63">
        <f>IF((((inputs!$P$12/(X243/MAX(K243:S243)))^(1/inputs!$O$12))-1)/inputs!$N$12&lt;0, 0, IF((((inputs!$P$12/(X243/MAX(K243:S243)))^(1/inputs!$O$12))-1)/inputs!$N$12&gt;inputs!$H$17, inputs!$H$17, (((inputs!$P$12/(X243/MAX(K243:S243)))^(1/inputs!$O$12))-1)/inputs!$N$12))</f>
        <v>0</v>
      </c>
      <c r="V243" s="21">
        <f>inputs!$E$78*(F243/inputs!$F$78)^(inputs!$E$84-1)</f>
        <v>4.3427808073074944E-3</v>
      </c>
      <c r="W243" s="21">
        <f>inputs!$E$85*(F243/inputs!$F$85)^(inputs!$E$84-1)</f>
        <v>0.20054161757711042</v>
      </c>
      <c r="X243" s="21">
        <f>inputs!$E$80*(F243/inputs!$F$80)^(inputs!$E$84-1)</f>
        <v>0.74885793905376674</v>
      </c>
      <c r="Y243" s="21">
        <f>inputs!$E$82*(F243/inputs!$F$82)^(inputs!$E$84-1)</f>
        <v>0.34513679047549034</v>
      </c>
      <c r="Z243" s="63">
        <f t="shared" si="24"/>
        <v>322.06767902239011</v>
      </c>
      <c r="AA243" s="63">
        <f t="shared" si="25"/>
        <v>6.9744592270215575</v>
      </c>
    </row>
    <row r="244" spans="1:476" ht="26.4" x14ac:dyDescent="0.25">
      <c r="A244" s="103" t="s">
        <v>248</v>
      </c>
      <c r="B244" s="20" t="s">
        <v>251</v>
      </c>
      <c r="C244" s="20" t="s">
        <v>73</v>
      </c>
      <c r="D244" s="104" t="s">
        <v>240</v>
      </c>
      <c r="E244" s="15">
        <v>4679</v>
      </c>
      <c r="F244" s="15">
        <v>5400</v>
      </c>
      <c r="G244" s="21" t="s">
        <v>456</v>
      </c>
      <c r="H244" s="20">
        <v>0.68</v>
      </c>
      <c r="I244" s="48">
        <f>MAX('Min rate concentrations'!$J$3:$J$368)</f>
        <v>114.4108103430513</v>
      </c>
      <c r="J244" s="48">
        <f>MAX('Min rate concentrations'!AB:AB)</f>
        <v>40.520495329830666</v>
      </c>
      <c r="K244" s="59">
        <f t="shared" si="27"/>
        <v>12.662443854114347</v>
      </c>
      <c r="L244" s="59">
        <f t="shared" si="30"/>
        <v>4.4846155316654972</v>
      </c>
      <c r="M244" s="59">
        <f>IF((((1.18*F244^0.874)/3.7-(0.301*F244^0.751)/(1-H244)*H244)*(MAX('Min rate concentrations'!$P$3:$P$368)))/F244&gt;0, (((1.18*F244^0.874)/3.7-(0.301*F244^0.751)/(1-H244)*H244)*(MAX('Min rate concentrations'!$P$3:$P$368)))/F244, 0)</f>
        <v>4.7513625667980845E-3</v>
      </c>
      <c r="N244" s="59">
        <f>IF((((1.18*F244^0.874)/3.7-(0.301*F244^0.751)/(1-H244)*H244)*(MAX('Min rate concentrations'!$Q$3:$Q$368)))/F244&gt;0, (((1.18*F244^0.874)/3.7-(0.301*F244^0.751)/(1-H244)*H244)*(MAX('Min rate concentrations'!$Q$3:$Q$368)))/F244, 0)</f>
        <v>1.809344395308447E-2</v>
      </c>
      <c r="O244" s="59">
        <f>((MAX('Min rate concentrations'!$F$3:$F$368))*0.62*6.01*8*(10*F244^0.667)*0.079*0.1/F244)*inputs!$E$80/(10^(0.84+0.62*LOG10(inputs!$E$80)))</f>
        <v>1.3986693351125064</v>
      </c>
      <c r="P244" s="59">
        <f>((MAX('Min rate concentrations'!Y:Y))*0.62*6.01*8*(10*F244^0.667)*0.079*0.1/F244)*inputs!$E$80/(10^(0.84+0.62*LOG10(inputs!$E$80)))</f>
        <v>0.46622311170416869</v>
      </c>
      <c r="Q244" s="59">
        <f>(inputs!$C$7*11.2*(10*F244^0.667)*0.5/F244)*inputs!$E$80/(10^(0.84+0.62*LOG10(inputs!$E$80)))</f>
        <v>0.24636900644693105</v>
      </c>
      <c r="R244" s="59">
        <f>(60*284*((F244/1000)^0.77)*3*24*(MAX('Min rate concentrations'!$R$3:$R$368))/F244)*(inputs!$E$73*3.4/inputs!$E$75)</f>
        <v>3.1804234009272744E-3</v>
      </c>
      <c r="S244" s="59">
        <f>(IF(inputs!$C$6="aerial",((0.025*0.112*inputs!$C$7/3.3)*(3*60*284*((F244/1000)^0.77))*MAX(inputs!$H$14:$H$16))/F244,((0.0083*0.112*inputs!$C$7/1)*(3*60*284*((F244/1000)^0.77))*MAX(inputs!$H$14:$H$16))/F244))*(inputs!E$75*3.4/inputs!$E$73)</f>
        <v>1.7540230455950281E-2</v>
      </c>
      <c r="T244" s="63">
        <f>IF((((inputs!$P$12/(V244/MAX(K244:S244)))^(1/inputs!$O$12))-1)/inputs!$N$12&lt;0, 0, IF((((inputs!$P$12/(V244/MAX(K244:S244)))^(1/inputs!$O$12))-1)/inputs!$N$12&gt;inputs!$H$17, inputs!$H$17, (((inputs!$P$12/(V244/MAX(K244:S244)))^(1/inputs!$O$12))-1)/inputs!$N$12))</f>
        <v>512.15508052470773</v>
      </c>
      <c r="U244" s="63">
        <f>IF((((inputs!$P$12/(X244/MAX(K244:S244)))^(1/inputs!$O$12))-1)/inputs!$N$12&lt;0, 0, IF((((inputs!$P$12/(X244/MAX(K244:S244)))^(1/inputs!$O$12))-1)/inputs!$N$12&gt;inputs!$H$17, inputs!$H$17, (((inputs!$P$12/(X244/MAX(K244:S244)))^(1/inputs!$O$12))-1)/inputs!$N$12))</f>
        <v>38.067125748301152</v>
      </c>
      <c r="V244" s="21">
        <f>inputs!$E$78*(F244/inputs!$F$78)^(inputs!$E$84-1)</f>
        <v>4.3427808073074944E-3</v>
      </c>
      <c r="W244" s="21">
        <f>inputs!$E$85*(F244/inputs!$F$85)^(inputs!$E$84-1)</f>
        <v>0.20054161757711042</v>
      </c>
      <c r="X244" s="21">
        <f>inputs!$E$80*(F244/inputs!$F$80)^(inputs!$E$84-1)</f>
        <v>0.74885793905376674</v>
      </c>
      <c r="Y244" s="21">
        <f>inputs!$E$82*(F244/inputs!$F$82)^(inputs!$E$84-1)</f>
        <v>0.34513679047549034</v>
      </c>
      <c r="Z244" s="63">
        <f t="shared" si="24"/>
        <v>2915.7455593447298</v>
      </c>
      <c r="AA244" s="63">
        <f t="shared" si="25"/>
        <v>63.141227277901557</v>
      </c>
    </row>
    <row r="245" spans="1:476" s="21" customFormat="1" ht="26.4" x14ac:dyDescent="0.25">
      <c r="A245" s="103" t="s">
        <v>248</v>
      </c>
      <c r="B245" s="20" t="s">
        <v>251</v>
      </c>
      <c r="C245" s="20" t="s">
        <v>73</v>
      </c>
      <c r="D245" s="104" t="s">
        <v>240</v>
      </c>
      <c r="E245" s="15">
        <v>4679</v>
      </c>
      <c r="F245" s="15">
        <v>5400</v>
      </c>
      <c r="G245" s="20" t="s">
        <v>154</v>
      </c>
      <c r="H245" s="20">
        <v>9.2999999999999999E-2</v>
      </c>
      <c r="I245" s="48">
        <f>MAX('Min rate concentrations'!$G$3:$G$368)</f>
        <v>7.5</v>
      </c>
      <c r="J245" s="48">
        <f>MAX('Min rate concentrations'!Z:Z)</f>
        <v>3.5</v>
      </c>
      <c r="K245" s="59">
        <f t="shared" si="27"/>
        <v>0.29285620196003953</v>
      </c>
      <c r="L245" s="59"/>
      <c r="M245" s="59">
        <f>IF((((1.18*F245^0.874)/3.7-(0.301*F245^0.751)/(1-H245)*H245)*(MAX('Min rate concentrations'!$P$3:$P$368)))/F245&gt;0, (((1.18*F245^0.874)/3.7-(0.301*F245^0.751)/(1-H245)*H245)*(MAX('Min rate concentrations'!$P$3:$P$368)))/F245, 0)</f>
        <v>1.5147988868529531E-2</v>
      </c>
      <c r="N245" s="59">
        <f>IF((((1.18*F245^0.874)/3.7-(0.301*F245^0.751)/(1-H245)*H245)*(MAX('Min rate concentrations'!$Q$3:$Q$368)))/F245&gt;0, (((1.18*F245^0.874)/3.7-(0.301*F245^0.751)/(1-H245)*H245)*(MAX('Min rate concentrations'!$Q$3:$Q$368)))/F245, 0)</f>
        <v>5.7684355538328659E-2</v>
      </c>
      <c r="O245" s="59">
        <f>((MAX('Min rate concentrations'!$F$3:$F$368))*0.62*6.01*8*(10*F245^0.667)*0.079*0.1/F245)*inputs!$E$80/(10^(0.84+0.62*LOG10(inputs!$E$80)))</f>
        <v>1.3986693351125064</v>
      </c>
      <c r="P245" s="59">
        <f>((MAX('Min rate concentrations'!Y:Y))*0.62*6.01*8*(10*F245^0.667)*0.079*0.1/F245)*inputs!$E$80/(10^(0.84+0.62*LOG10(inputs!$E$80)))</f>
        <v>0.46622311170416869</v>
      </c>
      <c r="Q245" s="59">
        <f>(inputs!$C$7*11.2*(10*F245^0.667)*0.5/F245)*inputs!$E$80/(10^(0.84+0.62*LOG10(inputs!$E$80)))</f>
        <v>0.24636900644693105</v>
      </c>
      <c r="R245" s="59">
        <f>(60*284*((F245/1000)^0.77)*3*24*(MAX('Min rate concentrations'!$R$3:$R$368))/F245)*(inputs!$E$73*3.4/inputs!$E$75)</f>
        <v>3.1804234009272744E-3</v>
      </c>
      <c r="S245" s="59">
        <f>(IF(inputs!$C$6="aerial",((0.025*0.112*inputs!$C$7/3.3)*(3*60*284*((F245/1000)^0.77))*MAX(inputs!$H$14:$H$16))/F245,((0.0083*0.112*inputs!$C$7/1)*(3*60*284*((F245/1000)^0.77))*MAX(inputs!$H$14:$H$16))/F245))*(inputs!E$75*3.4/inputs!$E$73)</f>
        <v>1.7540230455950281E-2</v>
      </c>
      <c r="T245" s="63">
        <f>IF((((inputs!$P$12/(V245/MAX(K245:S245)))^(1/inputs!$O$12))-1)/inputs!$N$12&lt;0, 0, IF((((inputs!$P$12/(V245/MAX(K245:S245)))^(1/inputs!$O$12))-1)/inputs!$N$12&gt;inputs!$H$17, inputs!$H$17, (((inputs!$P$12/(V245/MAX(K245:S245)))^(1/inputs!$O$12))-1)/inputs!$N$12))</f>
        <v>192.1817040904908</v>
      </c>
      <c r="U245" s="63">
        <f>IF((((inputs!$P$12/(X245/MAX(K245:S245)))^(1/inputs!$O$12))-1)/inputs!$N$12&lt;0, 0, IF((((inputs!$P$12/(X245/MAX(K245:S245)))^(1/inputs!$O$12))-1)/inputs!$N$12&gt;inputs!$H$17, inputs!$H$17, (((inputs!$P$12/(X245/MAX(K245:S245)))^(1/inputs!$O$12))-1)/inputs!$N$12))</f>
        <v>0</v>
      </c>
      <c r="V245" s="21">
        <f>inputs!$E$78*(F245/inputs!$F$78)^(inputs!$E$84-1)</f>
        <v>4.3427808073074944E-3</v>
      </c>
      <c r="W245" s="21">
        <f>inputs!$E$85*(F245/inputs!$F$85)^(inputs!$E$84-1)</f>
        <v>0.20054161757711042</v>
      </c>
      <c r="X245" s="21">
        <f>inputs!$E$80*(F245/inputs!$F$80)^(inputs!$E$84-1)</f>
        <v>0.74885793905376674</v>
      </c>
      <c r="Y245" s="21">
        <f>inputs!$E$82*(F245/inputs!$F$82)^(inputs!$E$84-1)</f>
        <v>0.34513679047549034</v>
      </c>
      <c r="Z245" s="63">
        <f t="shared" si="24"/>
        <v>322.06767902239011</v>
      </c>
      <c r="AA245" s="63">
        <f t="shared" si="25"/>
        <v>6.9744592270215575</v>
      </c>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c r="DD245" s="107"/>
      <c r="DE245" s="107"/>
      <c r="DF245" s="107"/>
      <c r="DG245" s="107"/>
      <c r="DH245" s="107"/>
      <c r="DI245" s="107"/>
      <c r="DJ245" s="107"/>
      <c r="DK245" s="107"/>
      <c r="DL245" s="107"/>
      <c r="DM245" s="107"/>
      <c r="DN245" s="107"/>
      <c r="DO245" s="107"/>
      <c r="DP245" s="107"/>
      <c r="DQ245" s="107"/>
      <c r="DR245" s="107"/>
      <c r="DS245" s="107"/>
      <c r="DT245" s="107"/>
      <c r="DU245" s="107"/>
      <c r="DV245" s="107"/>
      <c r="DW245" s="107"/>
      <c r="DX245" s="107"/>
      <c r="DY245" s="107"/>
      <c r="DZ245" s="107"/>
      <c r="EA245" s="107"/>
      <c r="EB245" s="107"/>
      <c r="EC245" s="107"/>
      <c r="ED245" s="107"/>
      <c r="EE245" s="107"/>
      <c r="EF245" s="107"/>
      <c r="EG245" s="107"/>
      <c r="EH245" s="107"/>
      <c r="EI245" s="107"/>
      <c r="EJ245" s="107"/>
      <c r="EK245" s="107"/>
      <c r="EL245" s="107"/>
      <c r="EM245" s="107"/>
      <c r="EN245" s="107"/>
      <c r="EO245" s="107"/>
      <c r="EP245" s="107"/>
      <c r="EQ245" s="107"/>
      <c r="ER245" s="107"/>
      <c r="ES245" s="107"/>
      <c r="ET245" s="107"/>
      <c r="EU245" s="107"/>
      <c r="EV245" s="107"/>
      <c r="EW245" s="107"/>
      <c r="EX245" s="107"/>
      <c r="EY245" s="107"/>
      <c r="EZ245" s="107"/>
      <c r="FA245" s="107"/>
      <c r="FB245" s="107"/>
      <c r="FC245" s="107"/>
      <c r="FD245" s="107"/>
      <c r="FE245" s="107"/>
      <c r="FF245" s="107"/>
      <c r="FG245" s="107"/>
      <c r="FH245" s="107"/>
      <c r="FI245" s="107"/>
      <c r="FJ245" s="107"/>
      <c r="FK245" s="107"/>
      <c r="FL245" s="107"/>
      <c r="FM245" s="107"/>
      <c r="FN245" s="107"/>
      <c r="FO245" s="107"/>
      <c r="FP245" s="107"/>
      <c r="FQ245" s="107"/>
      <c r="FR245" s="107"/>
      <c r="FS245" s="107"/>
      <c r="FT245" s="107"/>
      <c r="FU245" s="107"/>
      <c r="FV245" s="107"/>
      <c r="FW245" s="107"/>
      <c r="FX245" s="107"/>
      <c r="FY245" s="107"/>
      <c r="FZ245" s="107"/>
      <c r="GA245" s="107"/>
      <c r="GB245" s="107"/>
      <c r="GC245" s="107"/>
      <c r="GD245" s="107"/>
      <c r="GE245" s="107"/>
      <c r="GF245" s="107"/>
      <c r="GG245" s="107"/>
      <c r="GH245" s="107"/>
      <c r="GI245" s="107"/>
      <c r="GJ245" s="107"/>
      <c r="GK245" s="107"/>
      <c r="GL245" s="107"/>
      <c r="GM245" s="107"/>
      <c r="GN245" s="107"/>
      <c r="GO245" s="107"/>
      <c r="GP245" s="107"/>
      <c r="GQ245" s="107"/>
      <c r="GR245" s="107"/>
      <c r="GS245" s="107"/>
      <c r="GT245" s="107"/>
      <c r="GU245" s="107"/>
      <c r="GV245" s="107"/>
      <c r="GW245" s="107"/>
      <c r="GX245" s="107"/>
      <c r="GY245" s="107"/>
      <c r="GZ245" s="107"/>
      <c r="HA245" s="107"/>
      <c r="HB245" s="107"/>
      <c r="HC245" s="107"/>
      <c r="HD245" s="107"/>
      <c r="HE245" s="107"/>
      <c r="HF245" s="107"/>
      <c r="HG245" s="107"/>
      <c r="HH245" s="107"/>
      <c r="HI245" s="107"/>
      <c r="HJ245" s="107"/>
      <c r="HK245" s="107"/>
      <c r="HL245" s="107"/>
      <c r="HM245" s="107"/>
      <c r="HN245" s="107"/>
      <c r="HO245" s="107"/>
      <c r="HP245" s="107"/>
      <c r="HQ245" s="107"/>
      <c r="HR245" s="107"/>
      <c r="HS245" s="107"/>
      <c r="HT245" s="107"/>
      <c r="HU245" s="107"/>
      <c r="HV245" s="107"/>
      <c r="HW245" s="107"/>
      <c r="HX245" s="107"/>
      <c r="HY245" s="107"/>
      <c r="HZ245" s="107"/>
      <c r="IA245" s="107"/>
      <c r="IB245" s="107"/>
      <c r="IC245" s="107"/>
      <c r="ID245" s="107"/>
      <c r="IE245" s="107"/>
      <c r="IF245" s="107"/>
      <c r="IG245" s="107"/>
      <c r="IH245" s="107"/>
      <c r="II245" s="107"/>
      <c r="IJ245" s="107"/>
      <c r="IK245" s="107"/>
      <c r="IL245" s="107"/>
      <c r="IM245" s="107"/>
      <c r="IN245" s="107"/>
      <c r="IO245" s="107"/>
      <c r="IP245" s="107"/>
      <c r="IQ245" s="107"/>
      <c r="IR245" s="107"/>
      <c r="IS245" s="107"/>
      <c r="IT245" s="107"/>
      <c r="IU245" s="107"/>
      <c r="IV245" s="107"/>
      <c r="IW245" s="107"/>
      <c r="IX245" s="107"/>
      <c r="IY245" s="107"/>
      <c r="IZ245" s="107"/>
      <c r="JA245" s="107"/>
      <c r="JB245" s="107"/>
      <c r="JC245" s="107"/>
      <c r="JD245" s="107"/>
      <c r="JE245" s="107"/>
      <c r="JF245" s="107"/>
      <c r="JG245" s="107"/>
      <c r="JH245" s="107"/>
      <c r="JI245" s="107"/>
      <c r="JJ245" s="107"/>
      <c r="JK245" s="107"/>
      <c r="JL245" s="107"/>
      <c r="JM245" s="107"/>
      <c r="JN245" s="107"/>
      <c r="JO245" s="107"/>
      <c r="JP245" s="107"/>
      <c r="JQ245" s="107"/>
      <c r="JR245" s="107"/>
      <c r="JS245" s="107"/>
      <c r="JT245" s="107"/>
      <c r="JU245" s="107"/>
      <c r="JV245" s="107"/>
      <c r="JW245" s="107"/>
      <c r="JX245" s="107"/>
      <c r="JY245" s="107"/>
      <c r="JZ245" s="107"/>
      <c r="KA245" s="107"/>
      <c r="KB245" s="107"/>
      <c r="KC245" s="107"/>
      <c r="KD245" s="107"/>
      <c r="KE245" s="107"/>
      <c r="KF245" s="107"/>
      <c r="KG245" s="107"/>
      <c r="KH245" s="107"/>
      <c r="KI245" s="107"/>
      <c r="KJ245" s="107"/>
      <c r="KK245" s="107"/>
      <c r="KL245" s="107"/>
      <c r="KM245" s="107"/>
      <c r="KN245" s="107"/>
      <c r="KO245" s="107"/>
      <c r="KP245" s="107"/>
      <c r="KQ245" s="107"/>
      <c r="KR245" s="107"/>
      <c r="KS245" s="107"/>
      <c r="KT245" s="107"/>
      <c r="KU245" s="107"/>
      <c r="KV245" s="107"/>
      <c r="KW245" s="107"/>
      <c r="KX245" s="107"/>
      <c r="KY245" s="107"/>
      <c r="KZ245" s="107"/>
      <c r="LA245" s="107"/>
      <c r="LB245" s="107"/>
      <c r="LC245" s="107"/>
      <c r="LD245" s="107"/>
      <c r="LE245" s="107"/>
      <c r="LF245" s="107"/>
      <c r="LG245" s="107"/>
      <c r="LH245" s="107"/>
      <c r="LI245" s="107"/>
      <c r="LJ245" s="107"/>
      <c r="LK245" s="107"/>
      <c r="LL245" s="107"/>
      <c r="LM245" s="107"/>
      <c r="LN245" s="107"/>
      <c r="LO245" s="107"/>
      <c r="LP245" s="107"/>
      <c r="LQ245" s="107"/>
      <c r="LR245" s="107"/>
      <c r="LS245" s="107"/>
      <c r="LT245" s="107"/>
      <c r="LU245" s="107"/>
      <c r="LV245" s="107"/>
      <c r="LW245" s="107"/>
      <c r="LX245" s="107"/>
      <c r="LY245" s="107"/>
      <c r="LZ245" s="107"/>
      <c r="MA245" s="107"/>
      <c r="MB245" s="107"/>
      <c r="MC245" s="107"/>
      <c r="MD245" s="107"/>
      <c r="ME245" s="107"/>
      <c r="MF245" s="107"/>
      <c r="MG245" s="107"/>
      <c r="MH245" s="107"/>
      <c r="MI245" s="107"/>
      <c r="MJ245" s="107"/>
      <c r="MK245" s="107"/>
      <c r="ML245" s="107"/>
      <c r="MM245" s="107"/>
      <c r="MN245" s="107"/>
      <c r="MO245" s="107"/>
      <c r="MP245" s="107"/>
      <c r="MQ245" s="107"/>
      <c r="MR245" s="107"/>
      <c r="MS245" s="107"/>
      <c r="MT245" s="107"/>
      <c r="MU245" s="107"/>
      <c r="MV245" s="107"/>
      <c r="MW245" s="107"/>
      <c r="MX245" s="107"/>
      <c r="MY245" s="107"/>
      <c r="MZ245" s="107"/>
      <c r="NA245" s="107"/>
      <c r="NB245" s="107"/>
      <c r="NC245" s="107"/>
      <c r="ND245" s="107"/>
      <c r="NE245" s="107"/>
      <c r="NF245" s="107"/>
      <c r="NG245" s="107"/>
      <c r="NH245" s="107"/>
      <c r="NI245" s="107"/>
      <c r="NJ245" s="107"/>
      <c r="NK245" s="107"/>
      <c r="NL245" s="107"/>
      <c r="NM245" s="107"/>
      <c r="NN245" s="107"/>
      <c r="NO245" s="107"/>
      <c r="NP245" s="107"/>
      <c r="NQ245" s="107"/>
      <c r="NR245" s="107"/>
      <c r="NS245" s="107"/>
      <c r="NT245" s="107"/>
      <c r="NU245" s="107"/>
      <c r="NV245" s="107"/>
      <c r="NW245" s="107"/>
      <c r="NX245" s="107"/>
      <c r="NY245" s="107"/>
      <c r="NZ245" s="107"/>
      <c r="OA245" s="107"/>
      <c r="OB245" s="107"/>
      <c r="OC245" s="107"/>
      <c r="OD245" s="107"/>
      <c r="OE245" s="107"/>
      <c r="OF245" s="107"/>
      <c r="OG245" s="107"/>
      <c r="OH245" s="107"/>
      <c r="OI245" s="107"/>
      <c r="OJ245" s="107"/>
      <c r="OK245" s="107"/>
      <c r="OL245" s="107"/>
      <c r="OM245" s="107"/>
      <c r="ON245" s="107"/>
      <c r="OO245" s="107"/>
      <c r="OP245" s="107"/>
      <c r="OQ245" s="107"/>
      <c r="OR245" s="107"/>
      <c r="OS245" s="107"/>
      <c r="OT245" s="107"/>
      <c r="OU245" s="107"/>
      <c r="OV245" s="107"/>
      <c r="OW245" s="107"/>
      <c r="OX245" s="107"/>
      <c r="OY245" s="107"/>
      <c r="OZ245" s="107"/>
      <c r="PA245" s="107"/>
      <c r="PB245" s="107"/>
      <c r="PC245" s="107"/>
      <c r="PD245" s="107"/>
      <c r="PE245" s="107"/>
      <c r="PF245" s="107"/>
      <c r="PG245" s="107"/>
      <c r="PH245" s="107"/>
      <c r="PI245" s="107"/>
      <c r="PJ245" s="107"/>
      <c r="PK245" s="107"/>
      <c r="PL245" s="107"/>
      <c r="PM245" s="107"/>
      <c r="PN245" s="107"/>
      <c r="PO245" s="107"/>
      <c r="PP245" s="107"/>
      <c r="PQ245" s="107"/>
      <c r="PR245" s="107"/>
      <c r="PS245" s="107"/>
      <c r="PT245" s="107"/>
      <c r="PU245" s="107"/>
      <c r="PV245" s="107"/>
      <c r="PW245" s="107"/>
      <c r="PX245" s="107"/>
      <c r="PY245" s="107"/>
      <c r="PZ245" s="107"/>
      <c r="QA245" s="107"/>
      <c r="QB245" s="107"/>
      <c r="QC245" s="107"/>
      <c r="QD245" s="107"/>
      <c r="QE245" s="107"/>
      <c r="QF245" s="107"/>
      <c r="QG245" s="107"/>
      <c r="QH245" s="107"/>
      <c r="QI245" s="107"/>
      <c r="QJ245" s="107"/>
      <c r="QK245" s="107"/>
      <c r="QL245" s="107"/>
      <c r="QM245" s="107"/>
      <c r="QN245" s="107"/>
      <c r="QO245" s="107"/>
      <c r="QP245" s="107"/>
      <c r="QQ245" s="107"/>
      <c r="QR245" s="107"/>
      <c r="QS245" s="107"/>
      <c r="QT245" s="107"/>
      <c r="QU245" s="107"/>
      <c r="QV245" s="107"/>
      <c r="QW245" s="107"/>
      <c r="QX245" s="107"/>
      <c r="QY245" s="107"/>
      <c r="QZ245" s="107"/>
      <c r="RA245" s="107"/>
      <c r="RB245" s="107"/>
      <c r="RC245" s="107"/>
      <c r="RD245" s="107"/>
      <c r="RE245" s="107"/>
      <c r="RF245" s="107"/>
      <c r="RG245" s="107"/>
      <c r="RH245" s="107"/>
    </row>
    <row r="246" spans="1:476" s="21" customFormat="1" x14ac:dyDescent="0.25">
      <c r="A246" s="103" t="s">
        <v>248</v>
      </c>
      <c r="B246" s="20" t="s">
        <v>250</v>
      </c>
      <c r="C246" s="20" t="s">
        <v>73</v>
      </c>
      <c r="D246" s="104" t="s">
        <v>240</v>
      </c>
      <c r="E246" s="15">
        <v>10124</v>
      </c>
      <c r="F246" s="15">
        <v>5400</v>
      </c>
      <c r="G246" s="20" t="s">
        <v>182</v>
      </c>
      <c r="H246" s="20">
        <v>0.85</v>
      </c>
      <c r="I246" s="48">
        <f>MAX('Min rate concentrations'!$M$3:$M$368)</f>
        <v>2.8488184789681945</v>
      </c>
      <c r="J246" s="48">
        <f>MAX('Min rate concentrations'!AE:AE)</f>
        <v>1.9699276716269429</v>
      </c>
      <c r="K246" s="59">
        <f t="shared" si="27"/>
        <v>0.67262649152049014</v>
      </c>
      <c r="L246" s="59">
        <f t="shared" ref="L246:L252" si="31">((0.301*F246^0.751)/(1-H246))*J246/F246</f>
        <v>0.4651140632854453</v>
      </c>
      <c r="M246" s="59">
        <f>IF((((1.18*F246^0.874)/3.7-(0.301*F246^0.751)/(1-H246)*H246)*(MAX('Min rate concentrations'!$P$3:$P$368)))/F246&gt;0, (((1.18*F246^0.874)/3.7-(0.301*F246^0.751)/(1-H246)*H246)*(MAX('Min rate concentrations'!$P$3:$P$368)))/F246, 0)</f>
        <v>0</v>
      </c>
      <c r="N246" s="59">
        <f>IF((((1.18*F246^0.874)/3.7-(0.301*F246^0.751)/(1-H246)*H246)*(MAX('Min rate concentrations'!$Q$3:$Q$368)))/F246&gt;0, (((1.18*F246^0.874)/3.7-(0.301*F246^0.751)/(1-H246)*H246)*(MAX('Min rate concentrations'!$Q$3:$Q$368)))/F246, 0)</f>
        <v>0</v>
      </c>
      <c r="O246" s="59">
        <f>((MAX('Min rate concentrations'!$F$3:$F$368))*0.62*6.01*8*(10*F246^0.667)*0.079*0.1/F246)*inputs!$E$80/(10^(0.84+0.62*LOG10(inputs!$E$80)))</f>
        <v>1.3986693351125064</v>
      </c>
      <c r="P246" s="59">
        <f>((MAX('Min rate concentrations'!Y:Y))*0.62*6.01*8*(10*F246^0.667)*0.079*0.1/F246)*inputs!$E$80/(10^(0.84+0.62*LOG10(inputs!$E$80)))</f>
        <v>0.46622311170416869</v>
      </c>
      <c r="Q246" s="59">
        <f>(inputs!$C$7*11.2*(10*F246^0.667)*0.5/F246)*inputs!$E$80/(10^(0.84+0.62*LOG10(inputs!$E$80)))</f>
        <v>0.24636900644693105</v>
      </c>
      <c r="R246" s="59">
        <f>(60*284*((F246/1000)^0.77)*3*24*(MAX('Min rate concentrations'!$R$3:$R$368))/F246)*(inputs!$E$73*3.4/inputs!$E$75)</f>
        <v>3.1804234009272744E-3</v>
      </c>
      <c r="S246" s="59">
        <f>(IF(inputs!$C$6="aerial",((0.025*0.112*inputs!$C$7/3.3)*(3*60*284*((F246/1000)^0.77))*MAX(inputs!$H$14:$H$16))/F246,((0.0083*0.112*inputs!$C$7/1)*(3*60*284*((F246/1000)^0.77))*MAX(inputs!$H$14:$H$16))/F246))*(inputs!E$75*3.4/inputs!$E$73)</f>
        <v>1.7540230455950281E-2</v>
      </c>
      <c r="T246" s="63">
        <f>IF((((inputs!$P$12/(V246/MAX(K246:S246)))^(1/inputs!$O$12))-1)/inputs!$N$12&lt;0, 0, IF((((inputs!$P$12/(V246/MAX(K246:S246)))^(1/inputs!$O$12))-1)/inputs!$N$12&gt;inputs!$H$17, inputs!$H$17, (((inputs!$P$12/(V246/MAX(K246:S246)))^(1/inputs!$O$12))-1)/inputs!$N$12))</f>
        <v>192.1817040904908</v>
      </c>
      <c r="U246" s="63">
        <f>IF((((inputs!$P$12/(X246/MAX(K246:S246)))^(1/inputs!$O$12))-1)/inputs!$N$12&lt;0, 0, IF((((inputs!$P$12/(X246/MAX(K246:S246)))^(1/inputs!$O$12))-1)/inputs!$N$12&gt;inputs!$H$17, inputs!$H$17, (((inputs!$P$12/(X246/MAX(K246:S246)))^(1/inputs!$O$12))-1)/inputs!$N$12))</f>
        <v>0</v>
      </c>
      <c r="V246" s="21">
        <f>inputs!$E$78*(F246/inputs!$F$78)^(inputs!$E$84-1)</f>
        <v>4.3427808073074944E-3</v>
      </c>
      <c r="W246" s="21">
        <f>inputs!$E$85*(F246/inputs!$F$85)^(inputs!$E$84-1)</f>
        <v>0.20054161757711042</v>
      </c>
      <c r="X246" s="21">
        <f>inputs!$E$80*(F246/inputs!$F$80)^(inputs!$E$84-1)</f>
        <v>0.74885793905376674</v>
      </c>
      <c r="Y246" s="21">
        <f>inputs!$E$82*(F246/inputs!$F$82)^(inputs!$E$84-1)</f>
        <v>0.34513679047549034</v>
      </c>
      <c r="Z246" s="63">
        <f t="shared" si="24"/>
        <v>322.06767902239011</v>
      </c>
      <c r="AA246" s="63">
        <f t="shared" si="25"/>
        <v>6.9744592270215575</v>
      </c>
      <c r="AB246" s="115"/>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c r="CE246" s="116"/>
      <c r="CF246" s="116"/>
      <c r="CG246" s="116"/>
      <c r="CH246" s="116"/>
      <c r="CI246" s="116"/>
      <c r="CJ246" s="116"/>
      <c r="CK246" s="116"/>
      <c r="CL246" s="116"/>
      <c r="CM246" s="116"/>
      <c r="CN246" s="116"/>
      <c r="CO246" s="116"/>
      <c r="CP246" s="116"/>
      <c r="CQ246" s="116"/>
      <c r="CR246" s="116"/>
      <c r="CS246" s="116"/>
      <c r="CT246" s="116"/>
      <c r="CU246" s="116"/>
      <c r="CV246" s="116"/>
      <c r="CW246" s="116"/>
      <c r="CX246" s="116"/>
      <c r="CY246" s="116"/>
      <c r="CZ246" s="116"/>
      <c r="DA246" s="116"/>
      <c r="DB246" s="116"/>
      <c r="DC246" s="116"/>
      <c r="DD246" s="116"/>
      <c r="DE246" s="116"/>
      <c r="DF246" s="116"/>
      <c r="DG246" s="116"/>
      <c r="DH246" s="116"/>
      <c r="DI246" s="116"/>
      <c r="DJ246" s="116"/>
      <c r="DK246" s="116"/>
      <c r="DL246" s="116"/>
      <c r="DM246" s="116"/>
      <c r="DN246" s="116"/>
      <c r="DO246" s="116"/>
      <c r="DP246" s="116"/>
      <c r="DQ246" s="116"/>
      <c r="DR246" s="116"/>
      <c r="DS246" s="116"/>
      <c r="DT246" s="116"/>
      <c r="DU246" s="116"/>
      <c r="DV246" s="116"/>
      <c r="DW246" s="116"/>
      <c r="DX246" s="116"/>
      <c r="DY246" s="116"/>
      <c r="DZ246" s="116"/>
      <c r="EA246" s="116"/>
      <c r="EB246" s="116"/>
      <c r="EC246" s="116"/>
      <c r="ED246" s="116"/>
      <c r="EE246" s="116"/>
      <c r="EF246" s="116"/>
      <c r="EG246" s="116"/>
      <c r="EH246" s="116"/>
      <c r="EI246" s="116"/>
      <c r="EJ246" s="116"/>
      <c r="EK246" s="116"/>
      <c r="EL246" s="116"/>
      <c r="EM246" s="116"/>
      <c r="EN246" s="116"/>
      <c r="EO246" s="116"/>
      <c r="EP246" s="116"/>
      <c r="EQ246" s="116"/>
      <c r="ER246" s="116"/>
      <c r="ES246" s="116"/>
      <c r="ET246" s="116"/>
      <c r="EU246" s="116"/>
      <c r="EV246" s="116"/>
      <c r="EW246" s="116"/>
      <c r="EX246" s="116"/>
      <c r="EY246" s="116"/>
      <c r="EZ246" s="116"/>
      <c r="FA246" s="116"/>
      <c r="FB246" s="116"/>
      <c r="FC246" s="116"/>
      <c r="FD246" s="116"/>
      <c r="FE246" s="116"/>
      <c r="FF246" s="116"/>
      <c r="FG246" s="116"/>
      <c r="FH246" s="116"/>
      <c r="FI246" s="116"/>
      <c r="FJ246" s="116"/>
      <c r="FK246" s="116"/>
      <c r="FL246" s="116"/>
      <c r="FM246" s="116"/>
      <c r="FN246" s="116"/>
      <c r="FO246" s="116"/>
      <c r="FP246" s="116"/>
      <c r="FQ246" s="116"/>
      <c r="FR246" s="116"/>
      <c r="FS246" s="116"/>
      <c r="FT246" s="116"/>
      <c r="FU246" s="116"/>
      <c r="FV246" s="116"/>
      <c r="FW246" s="116"/>
      <c r="FX246" s="116"/>
      <c r="FY246" s="116"/>
      <c r="FZ246" s="116"/>
      <c r="GA246" s="116"/>
      <c r="GB246" s="116"/>
      <c r="GC246" s="116"/>
      <c r="GD246" s="116"/>
      <c r="GE246" s="116"/>
      <c r="GF246" s="116"/>
      <c r="GG246" s="116"/>
      <c r="GH246" s="116"/>
      <c r="GI246" s="116"/>
      <c r="GJ246" s="116"/>
      <c r="GK246" s="116"/>
      <c r="GL246" s="116"/>
      <c r="GM246" s="116"/>
      <c r="GN246" s="116"/>
      <c r="GO246" s="116"/>
      <c r="GP246" s="116"/>
      <c r="GQ246" s="116"/>
      <c r="GR246" s="116"/>
      <c r="GS246" s="116"/>
      <c r="GT246" s="116"/>
      <c r="GU246" s="116"/>
      <c r="GV246" s="116"/>
      <c r="GW246" s="116"/>
      <c r="GX246" s="116"/>
      <c r="GY246" s="116"/>
      <c r="GZ246" s="116"/>
      <c r="HA246" s="116"/>
      <c r="HB246" s="116"/>
      <c r="HC246" s="116"/>
      <c r="HD246" s="116"/>
      <c r="HE246" s="116"/>
      <c r="HF246" s="116"/>
      <c r="HG246" s="116"/>
      <c r="HH246" s="116"/>
      <c r="HI246" s="116"/>
      <c r="HJ246" s="116"/>
      <c r="HK246" s="116"/>
      <c r="HL246" s="116"/>
      <c r="HM246" s="116"/>
      <c r="HN246" s="116"/>
      <c r="HO246" s="116"/>
      <c r="HP246" s="116"/>
      <c r="HQ246" s="116"/>
      <c r="HR246" s="116"/>
      <c r="HS246" s="116"/>
      <c r="HT246" s="116"/>
      <c r="HU246" s="116"/>
      <c r="HV246" s="116"/>
      <c r="HW246" s="116"/>
      <c r="HX246" s="116"/>
      <c r="HY246" s="116"/>
      <c r="HZ246" s="116"/>
      <c r="IA246" s="116"/>
      <c r="IB246" s="116"/>
      <c r="IC246" s="116"/>
      <c r="ID246" s="116"/>
      <c r="IE246" s="116"/>
      <c r="IF246" s="116"/>
      <c r="IG246" s="116"/>
      <c r="IH246" s="116"/>
      <c r="II246" s="116"/>
      <c r="IJ246" s="116"/>
      <c r="IK246" s="116"/>
      <c r="IL246" s="116"/>
      <c r="IM246" s="116"/>
      <c r="IN246" s="116"/>
      <c r="IO246" s="116"/>
      <c r="IP246" s="116"/>
      <c r="IQ246" s="116"/>
      <c r="IR246" s="116"/>
      <c r="IS246" s="116"/>
      <c r="IT246" s="116"/>
      <c r="IU246" s="116"/>
      <c r="IV246" s="116"/>
      <c r="IW246" s="116"/>
      <c r="IX246" s="116"/>
      <c r="IY246" s="116"/>
      <c r="IZ246" s="116"/>
      <c r="JA246" s="116"/>
      <c r="JB246" s="116"/>
      <c r="JC246" s="116"/>
      <c r="JD246" s="116"/>
      <c r="JE246" s="116"/>
      <c r="JF246" s="116"/>
      <c r="JG246" s="116"/>
      <c r="JH246" s="116"/>
      <c r="JI246" s="116"/>
      <c r="JJ246" s="116"/>
      <c r="JK246" s="116"/>
      <c r="JL246" s="116"/>
      <c r="JM246" s="116"/>
      <c r="JN246" s="116"/>
      <c r="JO246" s="116"/>
      <c r="JP246" s="116"/>
      <c r="JQ246" s="116"/>
      <c r="JR246" s="116"/>
      <c r="JS246" s="116"/>
      <c r="JT246" s="116"/>
      <c r="JU246" s="116"/>
      <c r="JV246" s="116"/>
      <c r="JW246" s="116"/>
      <c r="JX246" s="116"/>
      <c r="JY246" s="116"/>
      <c r="JZ246" s="116"/>
      <c r="KA246" s="116"/>
      <c r="KB246" s="116"/>
      <c r="KC246" s="116"/>
      <c r="KD246" s="116"/>
      <c r="KE246" s="116"/>
      <c r="KF246" s="116"/>
      <c r="KG246" s="116"/>
      <c r="KH246" s="116"/>
      <c r="KI246" s="116"/>
      <c r="KJ246" s="116"/>
      <c r="KK246" s="116"/>
      <c r="KL246" s="116"/>
      <c r="KM246" s="116"/>
      <c r="KN246" s="116"/>
      <c r="KO246" s="116"/>
      <c r="KP246" s="116"/>
      <c r="KQ246" s="116"/>
      <c r="KR246" s="116"/>
      <c r="KS246" s="116"/>
      <c r="KT246" s="116"/>
      <c r="KU246" s="116"/>
      <c r="KV246" s="116"/>
      <c r="KW246" s="116"/>
      <c r="KX246" s="116"/>
      <c r="KY246" s="116"/>
      <c r="KZ246" s="116"/>
      <c r="LA246" s="116"/>
      <c r="LB246" s="116"/>
      <c r="LC246" s="116"/>
      <c r="LD246" s="116"/>
      <c r="LE246" s="116"/>
      <c r="LF246" s="116"/>
      <c r="LG246" s="116"/>
      <c r="LH246" s="116"/>
      <c r="LI246" s="116"/>
      <c r="LJ246" s="116"/>
      <c r="LK246" s="116"/>
      <c r="LL246" s="116"/>
      <c r="LM246" s="116"/>
      <c r="LN246" s="116"/>
      <c r="LO246" s="116"/>
      <c r="LP246" s="116"/>
      <c r="LQ246" s="116"/>
      <c r="LR246" s="116"/>
      <c r="LS246" s="116"/>
      <c r="LT246" s="116"/>
      <c r="LU246" s="116"/>
      <c r="LV246" s="116"/>
      <c r="LW246" s="116"/>
      <c r="LX246" s="116"/>
      <c r="LY246" s="116"/>
      <c r="LZ246" s="116"/>
      <c r="MA246" s="116"/>
      <c r="MB246" s="116"/>
      <c r="MC246" s="116"/>
      <c r="MD246" s="116"/>
      <c r="ME246" s="116"/>
      <c r="MF246" s="116"/>
      <c r="MG246" s="116"/>
      <c r="MH246" s="116"/>
      <c r="MI246" s="116"/>
      <c r="MJ246" s="116"/>
      <c r="MK246" s="116"/>
      <c r="ML246" s="116"/>
      <c r="MM246" s="116"/>
      <c r="MN246" s="116"/>
      <c r="MO246" s="116"/>
      <c r="MP246" s="116"/>
      <c r="MQ246" s="116"/>
      <c r="MR246" s="116"/>
      <c r="MS246" s="116"/>
      <c r="MT246" s="116"/>
      <c r="MU246" s="116"/>
      <c r="MV246" s="116"/>
      <c r="MW246" s="116"/>
      <c r="MX246" s="116"/>
      <c r="MY246" s="116"/>
      <c r="MZ246" s="116"/>
      <c r="NA246" s="116"/>
      <c r="NB246" s="116"/>
      <c r="NC246" s="116"/>
      <c r="ND246" s="116"/>
      <c r="NE246" s="116"/>
      <c r="NF246" s="116"/>
      <c r="NG246" s="116"/>
      <c r="NH246" s="116"/>
      <c r="NI246" s="116"/>
      <c r="NJ246" s="116"/>
      <c r="NK246" s="116"/>
      <c r="NL246" s="116"/>
      <c r="NM246" s="116"/>
      <c r="NN246" s="116"/>
      <c r="NO246" s="116"/>
      <c r="NP246" s="116"/>
      <c r="NQ246" s="116"/>
      <c r="NR246" s="116"/>
      <c r="NS246" s="116"/>
      <c r="NT246" s="116"/>
      <c r="NU246" s="116"/>
      <c r="NV246" s="116"/>
      <c r="NW246" s="116"/>
      <c r="NX246" s="116"/>
      <c r="NY246" s="116"/>
      <c r="NZ246" s="116"/>
      <c r="OA246" s="116"/>
      <c r="OB246" s="116"/>
      <c r="OC246" s="116"/>
      <c r="OD246" s="116"/>
      <c r="OE246" s="116"/>
      <c r="OF246" s="116"/>
      <c r="OG246" s="116"/>
      <c r="OH246" s="116"/>
      <c r="OI246" s="116"/>
      <c r="OJ246" s="116"/>
      <c r="OK246" s="116"/>
      <c r="OL246" s="116"/>
      <c r="OM246" s="116"/>
      <c r="ON246" s="116"/>
      <c r="OO246" s="116"/>
      <c r="OP246" s="116"/>
      <c r="OQ246" s="116"/>
      <c r="OR246" s="116"/>
      <c r="OS246" s="116"/>
      <c r="OT246" s="116"/>
      <c r="OU246" s="116"/>
      <c r="OV246" s="116"/>
      <c r="OW246" s="116"/>
      <c r="OX246" s="116"/>
      <c r="OY246" s="116"/>
      <c r="OZ246" s="116"/>
      <c r="PA246" s="116"/>
      <c r="PB246" s="116"/>
      <c r="PC246" s="116"/>
      <c r="PD246" s="116"/>
      <c r="PE246" s="116"/>
      <c r="PF246" s="116"/>
      <c r="PG246" s="116"/>
      <c r="PH246" s="116"/>
      <c r="PI246" s="116"/>
      <c r="PJ246" s="116"/>
      <c r="PK246" s="116"/>
      <c r="PL246" s="116"/>
      <c r="PM246" s="116"/>
      <c r="PN246" s="116"/>
      <c r="PO246" s="116"/>
      <c r="PP246" s="116"/>
      <c r="PQ246" s="116"/>
      <c r="PR246" s="116"/>
      <c r="PS246" s="116"/>
      <c r="PT246" s="116"/>
      <c r="PU246" s="116"/>
      <c r="PV246" s="116"/>
      <c r="PW246" s="116"/>
      <c r="PX246" s="116"/>
      <c r="PY246" s="116"/>
      <c r="PZ246" s="116"/>
      <c r="QA246" s="116"/>
      <c r="QB246" s="116"/>
      <c r="QC246" s="116"/>
      <c r="QD246" s="116"/>
      <c r="QE246" s="116"/>
      <c r="QF246" s="116"/>
      <c r="QG246" s="116"/>
      <c r="QH246" s="116"/>
      <c r="QI246" s="116"/>
      <c r="QJ246" s="116"/>
      <c r="QK246" s="116"/>
      <c r="QL246" s="116"/>
      <c r="QM246" s="116"/>
      <c r="QN246" s="116"/>
      <c r="QO246" s="116"/>
      <c r="QP246" s="116"/>
      <c r="QQ246" s="116"/>
      <c r="QR246" s="116"/>
      <c r="QS246" s="116"/>
      <c r="QT246" s="116"/>
      <c r="QU246" s="116"/>
      <c r="QV246" s="116"/>
      <c r="QW246" s="116"/>
      <c r="QX246" s="116"/>
      <c r="QY246" s="116"/>
      <c r="QZ246" s="116"/>
      <c r="RA246" s="116"/>
      <c r="RB246" s="116"/>
      <c r="RC246" s="116"/>
      <c r="RD246" s="116"/>
      <c r="RE246" s="116"/>
      <c r="RF246" s="116"/>
      <c r="RG246" s="116"/>
      <c r="RH246" s="116"/>
    </row>
    <row r="247" spans="1:476" s="21" customFormat="1" x14ac:dyDescent="0.25">
      <c r="A247" s="103" t="s">
        <v>248</v>
      </c>
      <c r="B247" s="20" t="s">
        <v>250</v>
      </c>
      <c r="C247" s="20" t="s">
        <v>73</v>
      </c>
      <c r="D247" s="104" t="s">
        <v>240</v>
      </c>
      <c r="E247" s="15">
        <v>10124</v>
      </c>
      <c r="F247" s="15">
        <v>5400</v>
      </c>
      <c r="G247" s="20" t="s">
        <v>142</v>
      </c>
      <c r="H247" s="20">
        <v>0.69</v>
      </c>
      <c r="I247" s="48">
        <f>MAX('Min rate concentrations'!$H$3:$H$368)</f>
        <v>47</v>
      </c>
      <c r="J247" s="48">
        <f>MAX('Min rate concentrations'!AA:AA)</f>
        <v>32.5</v>
      </c>
      <c r="K247" s="59">
        <f t="shared" si="27"/>
        <v>5.3695342078944188</v>
      </c>
      <c r="L247" s="59">
        <f t="shared" si="31"/>
        <v>3.7129757820546514</v>
      </c>
      <c r="M247" s="59">
        <f>IF((((1.18*F247^0.874)/3.7-(0.301*F247^0.751)/(1-H247)*H247)*(MAX('Min rate concentrations'!$P$3:$P$368)))/F247&gt;0, (((1.18*F247^0.874)/3.7-(0.301*F247^0.751)/(1-H247)*H247)*(MAX('Min rate concentrations'!$P$3:$P$368)))/F247, 0)</f>
        <v>4.2331595632441824E-3</v>
      </c>
      <c r="N247" s="59">
        <f>IF((((1.18*F247^0.874)/3.7-(0.301*F247^0.751)/(1-H247)*H247)*(MAX('Min rate concentrations'!$Q$3:$Q$368)))/F247&gt;0, (((1.18*F247^0.874)/3.7-(0.301*F247^0.751)/(1-H247)*H247)*(MAX('Min rate concentrations'!$Q$3:$Q$368)))/F247, 0)</f>
        <v>1.6120099071630596E-2</v>
      </c>
      <c r="O247" s="59">
        <f>((MAX('Min rate concentrations'!$F$3:$F$368))*0.62*6.01*8*(10*F247^0.667)*0.079*0.1/F247)*inputs!$E$80/(10^(0.84+0.62*LOG10(inputs!$E$80)))</f>
        <v>1.3986693351125064</v>
      </c>
      <c r="P247" s="59">
        <f>((MAX('Min rate concentrations'!Y:Y))*0.62*6.01*8*(10*F247^0.667)*0.079*0.1/F247)*inputs!$E$80/(10^(0.84+0.62*LOG10(inputs!$E$80)))</f>
        <v>0.46622311170416869</v>
      </c>
      <c r="Q247" s="59">
        <f>(inputs!$C$7*11.2*(10*F247^0.667)*0.5/F247)*inputs!$E$80/(10^(0.84+0.62*LOG10(inputs!$E$80)))</f>
        <v>0.24636900644693105</v>
      </c>
      <c r="R247" s="59">
        <f>(60*284*((F247/1000)^0.77)*3*24*(MAX('Min rate concentrations'!$R$3:$R$368))/F247)*(inputs!$E$73*3.4/inputs!$E$75)</f>
        <v>3.1804234009272744E-3</v>
      </c>
      <c r="S247" s="59">
        <f>(IF(inputs!$C$6="aerial",((0.025*0.112*inputs!$C$7/3.3)*(3*60*284*((F247/1000)^0.77))*MAX(inputs!$H$14:$H$16))/F247,((0.0083*0.112*inputs!$C$7/1)*(3*60*284*((F247/1000)^0.77))*MAX(inputs!$H$14:$H$16))/F247))*(inputs!E$75*3.4/inputs!$E$73)</f>
        <v>1.7540230455950281E-2</v>
      </c>
      <c r="T247" s="63">
        <f>IF((((inputs!$P$12/(V247/MAX(K247:S247)))^(1/inputs!$O$12))-1)/inputs!$N$12&lt;0, 0, IF((((inputs!$P$12/(V247/MAX(K247:S247)))^(1/inputs!$O$12))-1)/inputs!$N$12&gt;inputs!$H$17, inputs!$H$17, (((inputs!$P$12/(V247/MAX(K247:S247)))^(1/inputs!$O$12))-1)/inputs!$N$12))</f>
        <v>352.90091572576898</v>
      </c>
      <c r="U247" s="63">
        <f>IF((((inputs!$P$12/(X247/MAX(K247:S247)))^(1/inputs!$O$12))-1)/inputs!$N$12&lt;0, 0, IF((((inputs!$P$12/(X247/MAX(K247:S247)))^(1/inputs!$O$12))-1)/inputs!$N$12&gt;inputs!$H$17, inputs!$H$17, (((inputs!$P$12/(X247/MAX(K247:S247)))^(1/inputs!$O$12))-1)/inputs!$N$12))</f>
        <v>18.461836006689119</v>
      </c>
      <c r="V247" s="21">
        <f>inputs!$E$78*(F247/inputs!$F$78)^(inputs!$E$84-1)</f>
        <v>4.3427808073074944E-3</v>
      </c>
      <c r="W247" s="21">
        <f>inputs!$E$85*(F247/inputs!$F$85)^(inputs!$E$84-1)</f>
        <v>0.20054161757711042</v>
      </c>
      <c r="X247" s="21">
        <f>inputs!$E$80*(F247/inputs!$F$80)^(inputs!$E$84-1)</f>
        <v>0.74885793905376674</v>
      </c>
      <c r="Y247" s="21">
        <f>inputs!$E$82*(F247/inputs!$F$82)^(inputs!$E$84-1)</f>
        <v>0.34513679047549034</v>
      </c>
      <c r="Z247" s="63">
        <f t="shared" si="24"/>
        <v>1236.4276361494531</v>
      </c>
      <c r="AA247" s="63">
        <f t="shared" si="25"/>
        <v>26.775161548847958</v>
      </c>
      <c r="AB247" s="117"/>
    </row>
    <row r="248" spans="1:476" s="21" customFormat="1" x14ac:dyDescent="0.25">
      <c r="A248" s="103" t="s">
        <v>248</v>
      </c>
      <c r="B248" s="20" t="s">
        <v>250</v>
      </c>
      <c r="C248" s="20" t="s">
        <v>73</v>
      </c>
      <c r="D248" s="104" t="s">
        <v>240</v>
      </c>
      <c r="E248" s="15">
        <v>10124</v>
      </c>
      <c r="F248" s="15">
        <v>5400</v>
      </c>
      <c r="G248" s="20" t="s">
        <v>164</v>
      </c>
      <c r="H248" s="20">
        <v>0.78</v>
      </c>
      <c r="I248" s="48">
        <f>inputs!$C$65*(inputs!$C$62/1000)</f>
        <v>0.82000000000000006</v>
      </c>
      <c r="J248" s="48">
        <f>inputs!$C$65*(inputs!$C$61/1000)</f>
        <v>0.25</v>
      </c>
      <c r="K248" s="59">
        <f t="shared" si="27"/>
        <v>0.13200537675500598</v>
      </c>
      <c r="L248" s="59">
        <f t="shared" si="31"/>
        <v>4.0245541693599382E-2</v>
      </c>
      <c r="M248" s="59">
        <f>IF((((1.18*F248^0.874)/3.7-(0.301*F248^0.751)/(1-H248)*H248)*(MAX('Min rate concentrations'!$P$3:$P$368)))/F248&gt;0, (((1.18*F248^0.874)/3.7-(0.301*F248^0.751)/(1-H248)*H248)*(MAX('Min rate concentrations'!$P$3:$P$368)))/F248, 0)</f>
        <v>0</v>
      </c>
      <c r="N248" s="59">
        <f>IF((((1.18*F248^0.874)/3.7-(0.301*F248^0.751)/(1-H248)*H248)*(MAX('Min rate concentrations'!$Q$3:$Q$368)))/F248&gt;0, (((1.18*F248^0.874)/3.7-(0.301*F248^0.751)/(1-H248)*H248)*(MAX('Min rate concentrations'!$Q$3:$Q$368)))/F248, 0)</f>
        <v>0</v>
      </c>
      <c r="O248" s="59">
        <f>((MAX('Min rate concentrations'!$F$3:$F$368))*0.62*6.01*8*(10*F248^0.667)*0.079*0.1/F248)*inputs!$E$80/(10^(0.84+0.62*LOG10(inputs!$E$80)))</f>
        <v>1.3986693351125064</v>
      </c>
      <c r="P248" s="59">
        <f>((MAX('Min rate concentrations'!Y:Y))*0.62*6.01*8*(10*F248^0.667)*0.079*0.1/F248)*inputs!$E$80/(10^(0.84+0.62*LOG10(inputs!$E$80)))</f>
        <v>0.46622311170416869</v>
      </c>
      <c r="Q248" s="59">
        <f>(inputs!$C$7*11.2*(10*F248^0.667)*0.5/F248)*inputs!$E$80/(10^(0.84+0.62*LOG10(inputs!$E$80)))</f>
        <v>0.24636900644693105</v>
      </c>
      <c r="R248" s="59">
        <f>(60*284*((F248/1000)^0.77)*3*24*(MAX('Min rate concentrations'!$R$3:$R$368))/F248)*(inputs!$E$73*3.4/inputs!$E$75)</f>
        <v>3.1804234009272744E-3</v>
      </c>
      <c r="S248" s="59">
        <f>(IF(inputs!$C$6="aerial",((0.025*0.112*inputs!$C$7/3.3)*(3*60*284*((F248/1000)^0.77))*MAX(inputs!$H$14:$H$16))/F248,((0.0083*0.112*inputs!$C$7/1)*(3*60*284*((F248/1000)^0.77))*MAX(inputs!$H$14:$H$16))/F248))*(inputs!E$75*3.4/inputs!$E$73)</f>
        <v>1.7540230455950281E-2</v>
      </c>
      <c r="T248" s="63">
        <f>IF((((inputs!$P$12/(V248/MAX(K248:S248)))^(1/inputs!$O$12))-1)/inputs!$N$12&lt;0, 0, IF((((inputs!$P$12/(V248/MAX(K248:S248)))^(1/inputs!$O$12))-1)/inputs!$N$12&gt;inputs!$H$17, inputs!$H$17, (((inputs!$P$12/(V248/MAX(K248:S248)))^(1/inputs!$O$12))-1)/inputs!$N$12))</f>
        <v>192.1817040904908</v>
      </c>
      <c r="U248" s="63">
        <f>IF((((inputs!$P$12/(X248/MAX(K248:S248)))^(1/inputs!$O$12))-1)/inputs!$N$12&lt;0, 0, IF((((inputs!$P$12/(X248/MAX(K248:S248)))^(1/inputs!$O$12))-1)/inputs!$N$12&gt;inputs!$H$17, inputs!$H$17, (((inputs!$P$12/(X248/MAX(K248:S248)))^(1/inputs!$O$12))-1)/inputs!$N$12))</f>
        <v>0</v>
      </c>
      <c r="V248" s="21">
        <f>inputs!$E$78*(F248/inputs!$F$78)^(inputs!$E$84-1)</f>
        <v>4.3427808073074944E-3</v>
      </c>
      <c r="W248" s="21">
        <f>inputs!$E$85*(F248/inputs!$F$85)^(inputs!$E$84-1)</f>
        <v>0.20054161757711042</v>
      </c>
      <c r="X248" s="21">
        <f>inputs!$E$80*(F248/inputs!$F$80)^(inputs!$E$84-1)</f>
        <v>0.74885793905376674</v>
      </c>
      <c r="Y248" s="21">
        <f>inputs!$E$82*(F248/inputs!$F$82)^(inputs!$E$84-1)</f>
        <v>0.34513679047549034</v>
      </c>
      <c r="Z248" s="63">
        <f t="shared" si="24"/>
        <v>322.06767902239011</v>
      </c>
      <c r="AA248" s="63">
        <f t="shared" si="25"/>
        <v>6.9744592270215575</v>
      </c>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c r="FB248" s="107"/>
      <c r="FC248" s="107"/>
      <c r="FD248" s="107"/>
      <c r="FE248" s="107"/>
      <c r="FF248" s="107"/>
      <c r="FG248" s="107"/>
      <c r="FH248" s="107"/>
      <c r="FI248" s="107"/>
      <c r="FJ248" s="107"/>
      <c r="FK248" s="107"/>
      <c r="FL248" s="107"/>
      <c r="FM248" s="107"/>
      <c r="FN248" s="107"/>
      <c r="FO248" s="107"/>
      <c r="FP248" s="107"/>
      <c r="FQ248" s="107"/>
      <c r="FR248" s="107"/>
      <c r="FS248" s="107"/>
      <c r="FT248" s="107"/>
      <c r="FU248" s="107"/>
      <c r="FV248" s="107"/>
      <c r="FW248" s="107"/>
      <c r="FX248" s="107"/>
      <c r="FY248" s="107"/>
      <c r="FZ248" s="107"/>
      <c r="GA248" s="107"/>
      <c r="GB248" s="107"/>
      <c r="GC248" s="107"/>
      <c r="GD248" s="107"/>
      <c r="GE248" s="107"/>
      <c r="GF248" s="107"/>
      <c r="GG248" s="107"/>
      <c r="GH248" s="107"/>
      <c r="GI248" s="107"/>
      <c r="GJ248" s="107"/>
      <c r="GK248" s="107"/>
      <c r="GL248" s="107"/>
      <c r="GM248" s="107"/>
      <c r="GN248" s="107"/>
      <c r="GO248" s="107"/>
      <c r="GP248" s="107"/>
      <c r="GQ248" s="107"/>
      <c r="GR248" s="107"/>
      <c r="GS248" s="107"/>
      <c r="GT248" s="107"/>
      <c r="GU248" s="107"/>
      <c r="GV248" s="107"/>
      <c r="GW248" s="107"/>
      <c r="GX248" s="107"/>
      <c r="GY248" s="107"/>
      <c r="GZ248" s="107"/>
      <c r="HA248" s="107"/>
      <c r="HB248" s="107"/>
      <c r="HC248" s="107"/>
      <c r="HD248" s="107"/>
      <c r="HE248" s="107"/>
      <c r="HF248" s="107"/>
      <c r="HG248" s="107"/>
      <c r="HH248" s="107"/>
      <c r="HI248" s="107"/>
      <c r="HJ248" s="107"/>
      <c r="HK248" s="107"/>
      <c r="HL248" s="107"/>
      <c r="HM248" s="107"/>
      <c r="HN248" s="107"/>
      <c r="HO248" s="107"/>
      <c r="HP248" s="107"/>
      <c r="HQ248" s="107"/>
      <c r="HR248" s="107"/>
      <c r="HS248" s="107"/>
      <c r="HT248" s="107"/>
      <c r="HU248" s="107"/>
      <c r="HV248" s="107"/>
      <c r="HW248" s="107"/>
      <c r="HX248" s="107"/>
      <c r="HY248" s="107"/>
      <c r="HZ248" s="107"/>
      <c r="IA248" s="107"/>
      <c r="IB248" s="107"/>
      <c r="IC248" s="107"/>
      <c r="ID248" s="107"/>
      <c r="IE248" s="107"/>
      <c r="IF248" s="107"/>
      <c r="IG248" s="107"/>
      <c r="IH248" s="107"/>
      <c r="II248" s="107"/>
      <c r="IJ248" s="107"/>
      <c r="IK248" s="107"/>
      <c r="IL248" s="107"/>
      <c r="IM248" s="107"/>
      <c r="IN248" s="107"/>
      <c r="IO248" s="107"/>
      <c r="IP248" s="107"/>
      <c r="IQ248" s="107"/>
      <c r="IR248" s="107"/>
      <c r="IS248" s="107"/>
      <c r="IT248" s="107"/>
      <c r="IU248" s="107"/>
      <c r="IV248" s="107"/>
      <c r="IW248" s="107"/>
      <c r="IX248" s="107"/>
      <c r="IY248" s="107"/>
      <c r="IZ248" s="107"/>
      <c r="JA248" s="107"/>
      <c r="JB248" s="107"/>
      <c r="JC248" s="107"/>
      <c r="JD248" s="107"/>
      <c r="JE248" s="107"/>
      <c r="JF248" s="107"/>
      <c r="JG248" s="107"/>
      <c r="JH248" s="107"/>
      <c r="JI248" s="107"/>
      <c r="JJ248" s="107"/>
      <c r="JK248" s="107"/>
      <c r="JL248" s="107"/>
      <c r="JM248" s="107"/>
      <c r="JN248" s="107"/>
      <c r="JO248" s="107"/>
      <c r="JP248" s="107"/>
      <c r="JQ248" s="107"/>
      <c r="JR248" s="107"/>
      <c r="JS248" s="107"/>
      <c r="JT248" s="107"/>
      <c r="JU248" s="107"/>
      <c r="JV248" s="107"/>
      <c r="JW248" s="107"/>
      <c r="JX248" s="107"/>
      <c r="JY248" s="107"/>
      <c r="JZ248" s="107"/>
      <c r="KA248" s="107"/>
      <c r="KB248" s="107"/>
      <c r="KC248" s="107"/>
      <c r="KD248" s="107"/>
      <c r="KE248" s="107"/>
      <c r="KF248" s="107"/>
      <c r="KG248" s="107"/>
      <c r="KH248" s="107"/>
      <c r="KI248" s="107"/>
      <c r="KJ248" s="107"/>
      <c r="KK248" s="107"/>
      <c r="KL248" s="107"/>
      <c r="KM248" s="107"/>
      <c r="KN248" s="107"/>
      <c r="KO248" s="107"/>
      <c r="KP248" s="107"/>
      <c r="KQ248" s="107"/>
      <c r="KR248" s="107"/>
      <c r="KS248" s="107"/>
      <c r="KT248" s="107"/>
      <c r="KU248" s="107"/>
      <c r="KV248" s="107"/>
      <c r="KW248" s="107"/>
      <c r="KX248" s="107"/>
      <c r="KY248" s="107"/>
      <c r="KZ248" s="107"/>
      <c r="LA248" s="107"/>
      <c r="LB248" s="107"/>
      <c r="LC248" s="107"/>
      <c r="LD248" s="107"/>
      <c r="LE248" s="107"/>
      <c r="LF248" s="107"/>
      <c r="LG248" s="107"/>
      <c r="LH248" s="107"/>
      <c r="LI248" s="107"/>
      <c r="LJ248" s="107"/>
      <c r="LK248" s="107"/>
      <c r="LL248" s="107"/>
      <c r="LM248" s="107"/>
      <c r="LN248" s="107"/>
      <c r="LO248" s="107"/>
      <c r="LP248" s="107"/>
      <c r="LQ248" s="107"/>
      <c r="LR248" s="107"/>
      <c r="LS248" s="107"/>
      <c r="LT248" s="107"/>
      <c r="LU248" s="107"/>
      <c r="LV248" s="107"/>
      <c r="LW248" s="107"/>
      <c r="LX248" s="107"/>
      <c r="LY248" s="107"/>
      <c r="LZ248" s="107"/>
      <c r="MA248" s="107"/>
      <c r="MB248" s="107"/>
      <c r="MC248" s="107"/>
      <c r="MD248" s="107"/>
      <c r="ME248" s="107"/>
      <c r="MF248" s="107"/>
      <c r="MG248" s="107"/>
      <c r="MH248" s="107"/>
      <c r="MI248" s="107"/>
      <c r="MJ248" s="107"/>
      <c r="MK248" s="107"/>
      <c r="ML248" s="107"/>
      <c r="MM248" s="107"/>
      <c r="MN248" s="107"/>
      <c r="MO248" s="107"/>
      <c r="MP248" s="107"/>
      <c r="MQ248" s="107"/>
      <c r="MR248" s="107"/>
      <c r="MS248" s="107"/>
      <c r="MT248" s="107"/>
      <c r="MU248" s="107"/>
      <c r="MV248" s="107"/>
      <c r="MW248" s="107"/>
      <c r="MX248" s="107"/>
      <c r="MY248" s="107"/>
      <c r="MZ248" s="107"/>
      <c r="NA248" s="107"/>
      <c r="NB248" s="107"/>
      <c r="NC248" s="107"/>
      <c r="ND248" s="107"/>
      <c r="NE248" s="107"/>
      <c r="NF248" s="107"/>
      <c r="NG248" s="107"/>
      <c r="NH248" s="107"/>
      <c r="NI248" s="107"/>
      <c r="NJ248" s="107"/>
      <c r="NK248" s="107"/>
      <c r="NL248" s="107"/>
      <c r="NM248" s="107"/>
      <c r="NN248" s="107"/>
      <c r="NO248" s="107"/>
      <c r="NP248" s="107"/>
      <c r="NQ248" s="107"/>
      <c r="NR248" s="107"/>
      <c r="NS248" s="107"/>
      <c r="NT248" s="107"/>
      <c r="NU248" s="107"/>
      <c r="NV248" s="107"/>
      <c r="NW248" s="107"/>
      <c r="NX248" s="107"/>
      <c r="NY248" s="107"/>
      <c r="NZ248" s="107"/>
      <c r="OA248" s="107"/>
      <c r="OB248" s="107"/>
      <c r="OC248" s="107"/>
      <c r="OD248" s="107"/>
      <c r="OE248" s="107"/>
      <c r="OF248" s="107"/>
      <c r="OG248" s="107"/>
      <c r="OH248" s="107"/>
      <c r="OI248" s="107"/>
      <c r="OJ248" s="107"/>
      <c r="OK248" s="107"/>
      <c r="OL248" s="107"/>
      <c r="OM248" s="107"/>
      <c r="ON248" s="107"/>
      <c r="OO248" s="107"/>
      <c r="OP248" s="107"/>
      <c r="OQ248" s="107"/>
      <c r="OR248" s="107"/>
      <c r="OS248" s="107"/>
      <c r="OT248" s="107"/>
      <c r="OU248" s="107"/>
      <c r="OV248" s="107"/>
      <c r="OW248" s="107"/>
      <c r="OX248" s="107"/>
      <c r="OY248" s="107"/>
      <c r="OZ248" s="107"/>
      <c r="PA248" s="107"/>
      <c r="PB248" s="107"/>
      <c r="PC248" s="107"/>
      <c r="PD248" s="107"/>
      <c r="PE248" s="107"/>
      <c r="PF248" s="107"/>
      <c r="PG248" s="107"/>
      <c r="PH248" s="107"/>
      <c r="PI248" s="107"/>
      <c r="PJ248" s="107"/>
      <c r="PK248" s="107"/>
      <c r="PL248" s="107"/>
      <c r="PM248" s="107"/>
      <c r="PN248" s="107"/>
      <c r="PO248" s="107"/>
      <c r="PP248" s="107"/>
      <c r="PQ248" s="107"/>
      <c r="PR248" s="107"/>
      <c r="PS248" s="107"/>
      <c r="PT248" s="107"/>
      <c r="PU248" s="107"/>
      <c r="PV248" s="107"/>
      <c r="PW248" s="107"/>
      <c r="PX248" s="107"/>
      <c r="PY248" s="107"/>
      <c r="PZ248" s="107"/>
      <c r="QA248" s="107"/>
      <c r="QB248" s="107"/>
      <c r="QC248" s="107"/>
      <c r="QD248" s="107"/>
      <c r="QE248" s="107"/>
      <c r="QF248" s="107"/>
      <c r="QG248" s="107"/>
      <c r="QH248" s="107"/>
      <c r="QI248" s="107"/>
      <c r="QJ248" s="107"/>
      <c r="QK248" s="107"/>
      <c r="QL248" s="107"/>
      <c r="QM248" s="107"/>
      <c r="QN248" s="107"/>
      <c r="QO248" s="107"/>
      <c r="QP248" s="107"/>
      <c r="QQ248" s="107"/>
      <c r="QR248" s="107"/>
      <c r="QS248" s="107"/>
      <c r="QT248" s="107"/>
      <c r="QU248" s="107"/>
      <c r="QV248" s="107"/>
      <c r="QW248" s="107"/>
      <c r="QX248" s="107"/>
      <c r="QY248" s="107"/>
      <c r="QZ248" s="107"/>
      <c r="RA248" s="107"/>
      <c r="RB248" s="107"/>
      <c r="RC248" s="107"/>
      <c r="RD248" s="107"/>
      <c r="RE248" s="107"/>
      <c r="RF248" s="107"/>
      <c r="RG248" s="107"/>
      <c r="RH248" s="107"/>
    </row>
    <row r="249" spans="1:476" s="21" customFormat="1" x14ac:dyDescent="0.25">
      <c r="A249" s="103" t="s">
        <v>248</v>
      </c>
      <c r="B249" s="20" t="s">
        <v>250</v>
      </c>
      <c r="C249" s="20" t="s">
        <v>73</v>
      </c>
      <c r="D249" s="104" t="s">
        <v>240</v>
      </c>
      <c r="E249" s="15">
        <v>10124</v>
      </c>
      <c r="F249" s="15">
        <v>5400</v>
      </c>
      <c r="G249" s="20" t="s">
        <v>138</v>
      </c>
      <c r="H249" s="20">
        <v>0.68</v>
      </c>
      <c r="I249" s="48">
        <f>MAX('Min rate concentrations'!$L$3:$L$368)</f>
        <v>58.421240152220811</v>
      </c>
      <c r="J249" s="48">
        <f>MAX('Min rate concentrations'!AD:AD)</f>
        <v>40.397666062705881</v>
      </c>
      <c r="K249" s="59">
        <f t="shared" si="27"/>
        <v>6.4657847549294578</v>
      </c>
      <c r="L249" s="59">
        <f t="shared" si="31"/>
        <v>4.4710213730895187</v>
      </c>
      <c r="M249" s="59">
        <f>IF((((1.18*F249^0.874)/3.7-(0.301*F249^0.751)/(1-H249)*H249)*(MAX('Min rate concentrations'!$P$3:$P$368)))/F249&gt;0, (((1.18*F249^0.874)/3.7-(0.301*F249^0.751)/(1-H249)*H249)*(MAX('Min rate concentrations'!$P$3:$P$368)))/F249, 0)</f>
        <v>4.7513625667980845E-3</v>
      </c>
      <c r="N249" s="59">
        <f>IF((((1.18*F249^0.874)/3.7-(0.301*F249^0.751)/(1-H249)*H249)*(MAX('Min rate concentrations'!$Q$3:$Q$368)))/F249&gt;0, (((1.18*F249^0.874)/3.7-(0.301*F249^0.751)/(1-H249)*H249)*(MAX('Min rate concentrations'!$Q$3:$Q$368)))/F249, 0)</f>
        <v>1.809344395308447E-2</v>
      </c>
      <c r="O249" s="59">
        <f>((MAX('Min rate concentrations'!$F$3:$F$368))*0.62*6.01*8*(10*F249^0.667)*0.079*0.1/F249)*inputs!$E$80/(10^(0.84+0.62*LOG10(inputs!$E$80)))</f>
        <v>1.3986693351125064</v>
      </c>
      <c r="P249" s="59">
        <f>((MAX('Min rate concentrations'!Y:Y))*0.62*6.01*8*(10*F249^0.667)*0.079*0.1/F249)*inputs!$E$80/(10^(0.84+0.62*LOG10(inputs!$E$80)))</f>
        <v>0.46622311170416869</v>
      </c>
      <c r="Q249" s="59">
        <f>(inputs!$C$7*11.2*(10*F249^0.667)*0.5/F249)*inputs!$E$80/(10^(0.84+0.62*LOG10(inputs!$E$80)))</f>
        <v>0.24636900644693105</v>
      </c>
      <c r="R249" s="59">
        <f>(60*284*((F249/1000)^0.77)*3*24*(MAX('Min rate concentrations'!$R$3:$R$368))/F249)*(inputs!$E$73*3.4/inputs!$E$75)</f>
        <v>3.1804234009272744E-3</v>
      </c>
      <c r="S249" s="59">
        <f>(IF(inputs!$C$6="aerial",((0.025*0.112*inputs!$C$7/3.3)*(3*60*284*((F249/1000)^0.77))*MAX(inputs!$H$14:$H$16))/F249,((0.0083*0.112*inputs!$C$7/1)*(3*60*284*((F249/1000)^0.77))*MAX(inputs!$H$14:$H$16))/F249))*(inputs!E$75*3.4/inputs!$E$73)</f>
        <v>1.7540230455950281E-2</v>
      </c>
      <c r="T249" s="63">
        <f>IF((((inputs!$P$12/(V249/MAX(K249:S249)))^(1/inputs!$O$12))-1)/inputs!$N$12&lt;0, 0, IF((((inputs!$P$12/(V249/MAX(K249:S249)))^(1/inputs!$O$12))-1)/inputs!$N$12&gt;inputs!$H$17, inputs!$H$17, (((inputs!$P$12/(V249/MAX(K249:S249)))^(1/inputs!$O$12))-1)/inputs!$N$12))</f>
        <v>382.83741211051409</v>
      </c>
      <c r="U249" s="63">
        <f>IF((((inputs!$P$12/(X249/MAX(K249:S249)))^(1/inputs!$O$12))-1)/inputs!$N$12&lt;0, 0, IF((((inputs!$P$12/(X249/MAX(K249:S249)))^(1/inputs!$O$12))-1)/inputs!$N$12&gt;inputs!$H$17, inputs!$H$17, (((inputs!$P$12/(X249/MAX(K249:S249)))^(1/inputs!$O$12))-1)/inputs!$N$12))</f>
        <v>22.147225875221842</v>
      </c>
      <c r="V249" s="21">
        <f>inputs!$E$78*(F249/inputs!$F$78)^(inputs!$E$84-1)</f>
        <v>4.3427808073074944E-3</v>
      </c>
      <c r="W249" s="21">
        <f>inputs!$E$85*(F249/inputs!$F$85)^(inputs!$E$84-1)</f>
        <v>0.20054161757711042</v>
      </c>
      <c r="X249" s="21">
        <f>inputs!$E$80*(F249/inputs!$F$80)^(inputs!$E$84-1)</f>
        <v>0.74885793905376674</v>
      </c>
      <c r="Y249" s="21">
        <f>inputs!$E$82*(F249/inputs!$F$82)^(inputs!$E$84-1)</f>
        <v>0.34513679047549034</v>
      </c>
      <c r="Z249" s="63">
        <f t="shared" si="24"/>
        <v>1488.8581859921724</v>
      </c>
      <c r="AA249" s="63">
        <f t="shared" si="25"/>
        <v>32.241610659409851</v>
      </c>
      <c r="AB249" s="115"/>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c r="CE249" s="116"/>
      <c r="CF249" s="116"/>
      <c r="CG249" s="116"/>
      <c r="CH249" s="116"/>
      <c r="CI249" s="116"/>
      <c r="CJ249" s="116"/>
      <c r="CK249" s="116"/>
      <c r="CL249" s="116"/>
      <c r="CM249" s="116"/>
      <c r="CN249" s="116"/>
      <c r="CO249" s="116"/>
      <c r="CP249" s="116"/>
      <c r="CQ249" s="116"/>
      <c r="CR249" s="116"/>
      <c r="CS249" s="116"/>
      <c r="CT249" s="116"/>
      <c r="CU249" s="116"/>
      <c r="CV249" s="116"/>
      <c r="CW249" s="116"/>
      <c r="CX249" s="116"/>
      <c r="CY249" s="116"/>
      <c r="CZ249" s="116"/>
      <c r="DA249" s="116"/>
      <c r="DB249" s="116"/>
      <c r="DC249" s="116"/>
      <c r="DD249" s="116"/>
      <c r="DE249" s="116"/>
      <c r="DF249" s="116"/>
      <c r="DG249" s="116"/>
      <c r="DH249" s="116"/>
      <c r="DI249" s="116"/>
      <c r="DJ249" s="116"/>
      <c r="DK249" s="116"/>
      <c r="DL249" s="116"/>
      <c r="DM249" s="116"/>
      <c r="DN249" s="116"/>
      <c r="DO249" s="116"/>
      <c r="DP249" s="116"/>
      <c r="DQ249" s="116"/>
      <c r="DR249" s="116"/>
      <c r="DS249" s="116"/>
      <c r="DT249" s="116"/>
      <c r="DU249" s="116"/>
      <c r="DV249" s="116"/>
      <c r="DW249" s="116"/>
      <c r="DX249" s="116"/>
      <c r="DY249" s="116"/>
      <c r="DZ249" s="116"/>
      <c r="EA249" s="116"/>
      <c r="EB249" s="116"/>
      <c r="EC249" s="116"/>
      <c r="ED249" s="116"/>
      <c r="EE249" s="116"/>
      <c r="EF249" s="116"/>
      <c r="EG249" s="116"/>
      <c r="EH249" s="116"/>
      <c r="EI249" s="116"/>
      <c r="EJ249" s="116"/>
      <c r="EK249" s="116"/>
      <c r="EL249" s="116"/>
      <c r="EM249" s="116"/>
      <c r="EN249" s="116"/>
      <c r="EO249" s="116"/>
      <c r="EP249" s="116"/>
      <c r="EQ249" s="116"/>
      <c r="ER249" s="116"/>
      <c r="ES249" s="116"/>
      <c r="ET249" s="116"/>
      <c r="EU249" s="116"/>
      <c r="EV249" s="116"/>
      <c r="EW249" s="116"/>
      <c r="EX249" s="116"/>
      <c r="EY249" s="116"/>
      <c r="EZ249" s="116"/>
      <c r="FA249" s="116"/>
      <c r="FB249" s="116"/>
      <c r="FC249" s="116"/>
      <c r="FD249" s="116"/>
      <c r="FE249" s="116"/>
      <c r="FF249" s="116"/>
      <c r="FG249" s="116"/>
      <c r="FH249" s="116"/>
      <c r="FI249" s="116"/>
      <c r="FJ249" s="116"/>
      <c r="FK249" s="116"/>
      <c r="FL249" s="116"/>
      <c r="FM249" s="116"/>
      <c r="FN249" s="116"/>
      <c r="FO249" s="116"/>
      <c r="FP249" s="116"/>
      <c r="FQ249" s="116"/>
      <c r="FR249" s="116"/>
      <c r="FS249" s="116"/>
      <c r="FT249" s="116"/>
      <c r="FU249" s="116"/>
      <c r="FV249" s="116"/>
      <c r="FW249" s="116"/>
      <c r="FX249" s="116"/>
      <c r="FY249" s="116"/>
      <c r="FZ249" s="116"/>
      <c r="GA249" s="116"/>
      <c r="GB249" s="116"/>
      <c r="GC249" s="116"/>
      <c r="GD249" s="116"/>
      <c r="GE249" s="116"/>
      <c r="GF249" s="116"/>
      <c r="GG249" s="116"/>
      <c r="GH249" s="116"/>
      <c r="GI249" s="116"/>
      <c r="GJ249" s="116"/>
      <c r="GK249" s="116"/>
      <c r="GL249" s="116"/>
      <c r="GM249" s="116"/>
      <c r="GN249" s="116"/>
      <c r="GO249" s="116"/>
      <c r="GP249" s="116"/>
      <c r="GQ249" s="116"/>
      <c r="GR249" s="116"/>
      <c r="GS249" s="116"/>
      <c r="GT249" s="116"/>
      <c r="GU249" s="116"/>
      <c r="GV249" s="116"/>
      <c r="GW249" s="116"/>
      <c r="GX249" s="116"/>
      <c r="GY249" s="116"/>
      <c r="GZ249" s="116"/>
      <c r="HA249" s="116"/>
      <c r="HB249" s="116"/>
      <c r="HC249" s="116"/>
      <c r="HD249" s="116"/>
      <c r="HE249" s="116"/>
      <c r="HF249" s="116"/>
      <c r="HG249" s="116"/>
      <c r="HH249" s="116"/>
      <c r="HI249" s="116"/>
      <c r="HJ249" s="116"/>
      <c r="HK249" s="116"/>
      <c r="HL249" s="116"/>
      <c r="HM249" s="116"/>
      <c r="HN249" s="116"/>
      <c r="HO249" s="116"/>
      <c r="HP249" s="116"/>
      <c r="HQ249" s="116"/>
      <c r="HR249" s="116"/>
      <c r="HS249" s="116"/>
      <c r="HT249" s="116"/>
      <c r="HU249" s="116"/>
      <c r="HV249" s="116"/>
      <c r="HW249" s="116"/>
      <c r="HX249" s="116"/>
      <c r="HY249" s="116"/>
      <c r="HZ249" s="116"/>
      <c r="IA249" s="116"/>
      <c r="IB249" s="116"/>
      <c r="IC249" s="116"/>
      <c r="ID249" s="116"/>
      <c r="IE249" s="116"/>
      <c r="IF249" s="116"/>
      <c r="IG249" s="116"/>
      <c r="IH249" s="116"/>
      <c r="II249" s="116"/>
      <c r="IJ249" s="116"/>
      <c r="IK249" s="116"/>
      <c r="IL249" s="116"/>
      <c r="IM249" s="116"/>
      <c r="IN249" s="116"/>
      <c r="IO249" s="116"/>
      <c r="IP249" s="116"/>
      <c r="IQ249" s="116"/>
      <c r="IR249" s="116"/>
      <c r="IS249" s="116"/>
      <c r="IT249" s="116"/>
      <c r="IU249" s="116"/>
      <c r="IV249" s="116"/>
      <c r="IW249" s="116"/>
      <c r="IX249" s="116"/>
      <c r="IY249" s="116"/>
      <c r="IZ249" s="116"/>
      <c r="JA249" s="116"/>
      <c r="JB249" s="116"/>
      <c r="JC249" s="116"/>
      <c r="JD249" s="116"/>
      <c r="JE249" s="116"/>
      <c r="JF249" s="116"/>
      <c r="JG249" s="116"/>
      <c r="JH249" s="116"/>
      <c r="JI249" s="116"/>
      <c r="JJ249" s="116"/>
      <c r="JK249" s="116"/>
      <c r="JL249" s="116"/>
      <c r="JM249" s="116"/>
      <c r="JN249" s="116"/>
      <c r="JO249" s="116"/>
      <c r="JP249" s="116"/>
      <c r="JQ249" s="116"/>
      <c r="JR249" s="116"/>
      <c r="JS249" s="116"/>
      <c r="JT249" s="116"/>
      <c r="JU249" s="116"/>
      <c r="JV249" s="116"/>
      <c r="JW249" s="116"/>
      <c r="JX249" s="116"/>
      <c r="JY249" s="116"/>
      <c r="JZ249" s="116"/>
      <c r="KA249" s="116"/>
      <c r="KB249" s="116"/>
      <c r="KC249" s="116"/>
      <c r="KD249" s="116"/>
      <c r="KE249" s="116"/>
      <c r="KF249" s="116"/>
      <c r="KG249" s="116"/>
      <c r="KH249" s="116"/>
      <c r="KI249" s="116"/>
      <c r="KJ249" s="116"/>
      <c r="KK249" s="116"/>
      <c r="KL249" s="116"/>
      <c r="KM249" s="116"/>
      <c r="KN249" s="116"/>
      <c r="KO249" s="116"/>
      <c r="KP249" s="116"/>
      <c r="KQ249" s="116"/>
      <c r="KR249" s="116"/>
      <c r="KS249" s="116"/>
      <c r="KT249" s="116"/>
      <c r="KU249" s="116"/>
      <c r="KV249" s="116"/>
      <c r="KW249" s="116"/>
      <c r="KX249" s="116"/>
      <c r="KY249" s="116"/>
      <c r="KZ249" s="116"/>
      <c r="LA249" s="116"/>
      <c r="LB249" s="116"/>
      <c r="LC249" s="116"/>
      <c r="LD249" s="116"/>
      <c r="LE249" s="116"/>
      <c r="LF249" s="116"/>
      <c r="LG249" s="116"/>
      <c r="LH249" s="116"/>
      <c r="LI249" s="116"/>
      <c r="LJ249" s="116"/>
      <c r="LK249" s="116"/>
      <c r="LL249" s="116"/>
      <c r="LM249" s="116"/>
      <c r="LN249" s="116"/>
      <c r="LO249" s="116"/>
      <c r="LP249" s="116"/>
      <c r="LQ249" s="116"/>
      <c r="LR249" s="116"/>
      <c r="LS249" s="116"/>
      <c r="LT249" s="116"/>
      <c r="LU249" s="116"/>
      <c r="LV249" s="116"/>
      <c r="LW249" s="116"/>
      <c r="LX249" s="116"/>
      <c r="LY249" s="116"/>
      <c r="LZ249" s="116"/>
      <c r="MA249" s="116"/>
      <c r="MB249" s="116"/>
      <c r="MC249" s="116"/>
      <c r="MD249" s="116"/>
      <c r="ME249" s="116"/>
      <c r="MF249" s="116"/>
      <c r="MG249" s="116"/>
      <c r="MH249" s="116"/>
      <c r="MI249" s="116"/>
      <c r="MJ249" s="116"/>
      <c r="MK249" s="116"/>
      <c r="ML249" s="116"/>
      <c r="MM249" s="116"/>
      <c r="MN249" s="116"/>
      <c r="MO249" s="116"/>
      <c r="MP249" s="116"/>
      <c r="MQ249" s="116"/>
      <c r="MR249" s="116"/>
      <c r="MS249" s="116"/>
      <c r="MT249" s="116"/>
      <c r="MU249" s="116"/>
      <c r="MV249" s="116"/>
      <c r="MW249" s="116"/>
      <c r="MX249" s="116"/>
      <c r="MY249" s="116"/>
      <c r="MZ249" s="116"/>
      <c r="NA249" s="116"/>
      <c r="NB249" s="116"/>
      <c r="NC249" s="116"/>
      <c r="ND249" s="116"/>
      <c r="NE249" s="116"/>
      <c r="NF249" s="116"/>
      <c r="NG249" s="116"/>
      <c r="NH249" s="116"/>
      <c r="NI249" s="116"/>
      <c r="NJ249" s="116"/>
      <c r="NK249" s="116"/>
      <c r="NL249" s="116"/>
      <c r="NM249" s="116"/>
      <c r="NN249" s="116"/>
      <c r="NO249" s="116"/>
      <c r="NP249" s="116"/>
      <c r="NQ249" s="116"/>
      <c r="NR249" s="116"/>
      <c r="NS249" s="116"/>
      <c r="NT249" s="116"/>
      <c r="NU249" s="116"/>
      <c r="NV249" s="116"/>
      <c r="NW249" s="116"/>
      <c r="NX249" s="116"/>
      <c r="NY249" s="116"/>
      <c r="NZ249" s="116"/>
      <c r="OA249" s="116"/>
      <c r="OB249" s="116"/>
      <c r="OC249" s="116"/>
      <c r="OD249" s="116"/>
      <c r="OE249" s="116"/>
      <c r="OF249" s="116"/>
      <c r="OG249" s="116"/>
      <c r="OH249" s="116"/>
      <c r="OI249" s="116"/>
      <c r="OJ249" s="116"/>
      <c r="OK249" s="116"/>
      <c r="OL249" s="116"/>
      <c r="OM249" s="116"/>
      <c r="ON249" s="116"/>
      <c r="OO249" s="116"/>
      <c r="OP249" s="116"/>
      <c r="OQ249" s="116"/>
      <c r="OR249" s="116"/>
      <c r="OS249" s="116"/>
      <c r="OT249" s="116"/>
      <c r="OU249" s="116"/>
      <c r="OV249" s="116"/>
      <c r="OW249" s="116"/>
      <c r="OX249" s="116"/>
      <c r="OY249" s="116"/>
      <c r="OZ249" s="116"/>
      <c r="PA249" s="116"/>
      <c r="PB249" s="116"/>
      <c r="PC249" s="116"/>
      <c r="PD249" s="116"/>
      <c r="PE249" s="116"/>
      <c r="PF249" s="116"/>
      <c r="PG249" s="116"/>
      <c r="PH249" s="116"/>
      <c r="PI249" s="116"/>
      <c r="PJ249" s="116"/>
      <c r="PK249" s="116"/>
      <c r="PL249" s="116"/>
      <c r="PM249" s="116"/>
      <c r="PN249" s="116"/>
      <c r="PO249" s="116"/>
      <c r="PP249" s="116"/>
      <c r="PQ249" s="116"/>
      <c r="PR249" s="116"/>
      <c r="PS249" s="116"/>
      <c r="PT249" s="116"/>
      <c r="PU249" s="116"/>
      <c r="PV249" s="116"/>
      <c r="PW249" s="116"/>
      <c r="PX249" s="116"/>
      <c r="PY249" s="116"/>
      <c r="PZ249" s="116"/>
      <c r="QA249" s="116"/>
      <c r="QB249" s="116"/>
      <c r="QC249" s="116"/>
      <c r="QD249" s="116"/>
      <c r="QE249" s="116"/>
      <c r="QF249" s="116"/>
      <c r="QG249" s="116"/>
      <c r="QH249" s="116"/>
      <c r="QI249" s="116"/>
      <c r="QJ249" s="116"/>
      <c r="QK249" s="116"/>
      <c r="QL249" s="116"/>
      <c r="QM249" s="116"/>
      <c r="QN249" s="116"/>
      <c r="QO249" s="116"/>
      <c r="QP249" s="116"/>
      <c r="QQ249" s="116"/>
      <c r="QR249" s="116"/>
      <c r="QS249" s="116"/>
      <c r="QT249" s="116"/>
      <c r="QU249" s="116"/>
      <c r="QV249" s="116"/>
      <c r="QW249" s="116"/>
      <c r="QX249" s="116"/>
      <c r="QY249" s="116"/>
      <c r="QZ249" s="116"/>
      <c r="RA249" s="116"/>
      <c r="RB249" s="116"/>
      <c r="RC249" s="116"/>
      <c r="RD249" s="116"/>
      <c r="RE249" s="116"/>
      <c r="RF249" s="116"/>
      <c r="RG249" s="116"/>
      <c r="RH249" s="116"/>
    </row>
    <row r="250" spans="1:476" s="21" customFormat="1" x14ac:dyDescent="0.25">
      <c r="A250" s="103" t="s">
        <v>248</v>
      </c>
      <c r="B250" s="20" t="s">
        <v>250</v>
      </c>
      <c r="C250" s="20" t="s">
        <v>73</v>
      </c>
      <c r="D250" s="104" t="s">
        <v>240</v>
      </c>
      <c r="E250" s="15">
        <v>10124</v>
      </c>
      <c r="F250" s="15">
        <v>5400</v>
      </c>
      <c r="G250" s="49" t="s">
        <v>186</v>
      </c>
      <c r="H250" s="49">
        <v>0.75</v>
      </c>
      <c r="I250" s="48">
        <f>inputs!$C$65*inputs!$C$64/1000</f>
        <v>2.13</v>
      </c>
      <c r="J250" s="48">
        <f>inputs!$C$65*inputs!$C$63/1000</f>
        <v>0.88</v>
      </c>
      <c r="K250" s="59">
        <f t="shared" si="27"/>
        <v>0.30174497340193063</v>
      </c>
      <c r="L250" s="59">
        <f t="shared" si="31"/>
        <v>0.12466458995009343</v>
      </c>
      <c r="M250" s="59">
        <f>IF((((1.18*F250^0.874)/3.7-(0.301*F250^0.751)/(1-H250)*H250)*(MAX('Min rate concentrations'!$P$3:$P$368)))/F250&gt;0, (((1.18*F250^0.874)/3.7-(0.301*F250^0.751)/(1-H250)*H250)*(MAX('Min rate concentrations'!$P$3:$P$368)))/F250, 0)</f>
        <v>2.5336049595018251E-4</v>
      </c>
      <c r="N250" s="59">
        <f>IF((((1.18*F250^0.874)/3.7-(0.301*F250^0.751)/(1-H250)*H250)*(MAX('Min rate concentrations'!$Q$3:$Q$368)))/F250&gt;0, (((1.18*F250^0.874)/3.7-(0.301*F250^0.751)/(1-H250)*H250)*(MAX('Min rate concentrations'!$Q$3:$Q$368)))/F250, 0)</f>
        <v>9.6481038206468704E-4</v>
      </c>
      <c r="O250" s="59">
        <f>((MAX('Min rate concentrations'!$F$3:$F$368))*0.62*6.01*8*(10*F250^0.667)*0.079*0.1/F250)*inputs!$E$80/(10^(0.84+0.62*LOG10(inputs!$E$80)))</f>
        <v>1.3986693351125064</v>
      </c>
      <c r="P250" s="59">
        <f>((MAX('Min rate concentrations'!Y:Y))*0.62*6.01*8*(10*F250^0.667)*0.079*0.1/F250)*inputs!$E$80/(10^(0.84+0.62*LOG10(inputs!$E$80)))</f>
        <v>0.46622311170416869</v>
      </c>
      <c r="Q250" s="59">
        <f>(inputs!$C$7*11.2*(10*F250^0.667)*0.5/F250)*inputs!$E$80/(10^(0.84+0.62*LOG10(inputs!$E$80)))</f>
        <v>0.24636900644693105</v>
      </c>
      <c r="R250" s="59">
        <f>(60*284*((F250/1000)^0.77)*3*24*(MAX('Min rate concentrations'!$R$3:$R$368))/F250)*(inputs!$E$73*3.4/inputs!$E$75)</f>
        <v>3.1804234009272744E-3</v>
      </c>
      <c r="S250" s="59">
        <f>(IF(inputs!$C$6="aerial",((0.025*0.112*inputs!$C$7/3.3)*(3*60*284*((F250/1000)^0.77))*MAX(inputs!$H$14:$H$16))/F250,((0.0083*0.112*inputs!$C$7/1)*(3*60*284*((F250/1000)^0.77))*MAX(inputs!$H$14:$H$16))/F250))*(inputs!E$75*3.4/inputs!$E$73)</f>
        <v>1.7540230455950281E-2</v>
      </c>
      <c r="T250" s="63">
        <f>IF((((inputs!$P$12/(V250/MAX(K250:S250)))^(1/inputs!$O$12))-1)/inputs!$N$12&lt;0, 0, IF((((inputs!$P$12/(V250/MAX(K250:S250)))^(1/inputs!$O$12))-1)/inputs!$N$12&gt;inputs!$H$17, inputs!$H$17, (((inputs!$P$12/(V250/MAX(K250:S250)))^(1/inputs!$O$12))-1)/inputs!$N$12))</f>
        <v>192.1817040904908</v>
      </c>
      <c r="U250" s="63">
        <f>IF((((inputs!$P$12/(X250/MAX(K250:S250)))^(1/inputs!$O$12))-1)/inputs!$N$12&lt;0, 0, IF((((inputs!$P$12/(X250/MAX(K250:S250)))^(1/inputs!$O$12))-1)/inputs!$N$12&gt;inputs!$H$17, inputs!$H$17, (((inputs!$P$12/(X250/MAX(K250:S250)))^(1/inputs!$O$12))-1)/inputs!$N$12))</f>
        <v>0</v>
      </c>
      <c r="V250" s="21">
        <f>inputs!$E$78*(F250/inputs!$F$78)^(inputs!$E$84-1)</f>
        <v>4.3427808073074944E-3</v>
      </c>
      <c r="W250" s="21">
        <f>inputs!$E$85*(F250/inputs!$F$85)^(inputs!$E$84-1)</f>
        <v>0.20054161757711042</v>
      </c>
      <c r="X250" s="21">
        <f>inputs!$E$80*(F250/inputs!$F$80)^(inputs!$E$84-1)</f>
        <v>0.74885793905376674</v>
      </c>
      <c r="Y250" s="21">
        <f>inputs!$E$82*(F250/inputs!$F$82)^(inputs!$E$84-1)</f>
        <v>0.34513679047549034</v>
      </c>
      <c r="Z250" s="63">
        <f t="shared" si="24"/>
        <v>322.06767902239011</v>
      </c>
      <c r="AA250" s="63">
        <f t="shared" si="25"/>
        <v>6.9744592270215575</v>
      </c>
      <c r="AB250" s="117"/>
    </row>
    <row r="251" spans="1:476" s="21" customFormat="1" x14ac:dyDescent="0.25">
      <c r="A251" s="103" t="s">
        <v>248</v>
      </c>
      <c r="B251" s="20" t="s">
        <v>250</v>
      </c>
      <c r="C251" s="20" t="s">
        <v>73</v>
      </c>
      <c r="D251" s="104" t="s">
        <v>240</v>
      </c>
      <c r="E251" s="15">
        <v>10124</v>
      </c>
      <c r="F251" s="15">
        <v>5400</v>
      </c>
      <c r="G251" s="20" t="s">
        <v>152</v>
      </c>
      <c r="H251" s="20">
        <v>0.77</v>
      </c>
      <c r="I251" s="48">
        <f>MAX('Min rate concentrations'!$G$3:$G$368)</f>
        <v>7.5</v>
      </c>
      <c r="J251" s="48">
        <f>MAX('Min rate concentrations'!Z:Z)</f>
        <v>3.5</v>
      </c>
      <c r="K251" s="59">
        <f t="shared" si="27"/>
        <v>1.1548720659902432</v>
      </c>
      <c r="L251" s="59">
        <f t="shared" si="31"/>
        <v>0.53894029746211347</v>
      </c>
      <c r="M251" s="59">
        <f>IF((((1.18*F251^0.874)/3.7-(0.301*F251^0.751)/(1-H251)*H251)*(MAX('Min rate concentrations'!$P$3:$P$368)))/F251&gt;0, (((1.18*F251^0.874)/3.7-(0.301*F251^0.751)/(1-H251)*H251)*(MAX('Min rate concentrations'!$P$3:$P$368)))/F251, 0)</f>
        <v>0</v>
      </c>
      <c r="N251" s="59">
        <f>IF((((1.18*F251^0.874)/3.7-(0.301*F251^0.751)/(1-H251)*H251)*(MAX('Min rate concentrations'!$Q$3:$Q$368)))/F251&gt;0, (((1.18*F251^0.874)/3.7-(0.301*F251^0.751)/(1-H251)*H251)*(MAX('Min rate concentrations'!$Q$3:$Q$368)))/F251, 0)</f>
        <v>0</v>
      </c>
      <c r="O251" s="59">
        <f>((MAX('Min rate concentrations'!$F$3:$F$368))*0.62*6.01*8*(10*F251^0.667)*0.079*0.1/F251)*inputs!$E$80/(10^(0.84+0.62*LOG10(inputs!$E$80)))</f>
        <v>1.3986693351125064</v>
      </c>
      <c r="P251" s="59">
        <f>((MAX('Min rate concentrations'!Y:Y))*0.62*6.01*8*(10*F251^0.667)*0.079*0.1/F251)*inputs!$E$80/(10^(0.84+0.62*LOG10(inputs!$E$80)))</f>
        <v>0.46622311170416869</v>
      </c>
      <c r="Q251" s="59">
        <f>(inputs!$C$7*11.2*(10*F251^0.667)*0.5/F251)*inputs!$E$80/(10^(0.84+0.62*LOG10(inputs!$E$80)))</f>
        <v>0.24636900644693105</v>
      </c>
      <c r="R251" s="59">
        <f>(60*284*((F251/1000)^0.77)*3*24*(MAX('Min rate concentrations'!$R$3:$R$368))/F251)*(inputs!$E$73*3.4/inputs!$E$75)</f>
        <v>3.1804234009272744E-3</v>
      </c>
      <c r="S251" s="59">
        <f>(IF(inputs!$C$6="aerial",((0.025*0.112*inputs!$C$7/3.3)*(3*60*284*((F251/1000)^0.77))*MAX(inputs!$H$14:$H$16))/F251,((0.0083*0.112*inputs!$C$7/1)*(3*60*284*((F251/1000)^0.77))*MAX(inputs!$H$14:$H$16))/F251))*(inputs!E$75*3.4/inputs!$E$73)</f>
        <v>1.7540230455950281E-2</v>
      </c>
      <c r="T251" s="63">
        <f>IF((((inputs!$P$12/(V251/MAX(K251:S251)))^(1/inputs!$O$12))-1)/inputs!$N$12&lt;0, 0, IF((((inputs!$P$12/(V251/MAX(K251:S251)))^(1/inputs!$O$12))-1)/inputs!$N$12&gt;inputs!$H$17, inputs!$H$17, (((inputs!$P$12/(V251/MAX(K251:S251)))^(1/inputs!$O$12))-1)/inputs!$N$12))</f>
        <v>192.1817040904908</v>
      </c>
      <c r="U251" s="63">
        <f>IF((((inputs!$P$12/(X251/MAX(K251:S251)))^(1/inputs!$O$12))-1)/inputs!$N$12&lt;0, 0, IF((((inputs!$P$12/(X251/MAX(K251:S251)))^(1/inputs!$O$12))-1)/inputs!$N$12&gt;inputs!$H$17, inputs!$H$17, (((inputs!$P$12/(X251/MAX(K251:S251)))^(1/inputs!$O$12))-1)/inputs!$N$12))</f>
        <v>0</v>
      </c>
      <c r="V251" s="21">
        <f>inputs!$E$78*(F251/inputs!$F$78)^(inputs!$E$84-1)</f>
        <v>4.3427808073074944E-3</v>
      </c>
      <c r="W251" s="21">
        <f>inputs!$E$85*(F251/inputs!$F$85)^(inputs!$E$84-1)</f>
        <v>0.20054161757711042</v>
      </c>
      <c r="X251" s="21">
        <f>inputs!$E$80*(F251/inputs!$F$80)^(inputs!$E$84-1)</f>
        <v>0.74885793905376674</v>
      </c>
      <c r="Y251" s="21">
        <f>inputs!$E$82*(F251/inputs!$F$82)^(inputs!$E$84-1)</f>
        <v>0.34513679047549034</v>
      </c>
      <c r="Z251" s="63">
        <f t="shared" si="24"/>
        <v>322.06767902239011</v>
      </c>
      <c r="AA251" s="63">
        <f t="shared" si="25"/>
        <v>6.9744592270215575</v>
      </c>
      <c r="AB251" s="117"/>
    </row>
    <row r="252" spans="1:476" s="21" customFormat="1" x14ac:dyDescent="0.25">
      <c r="A252" s="103" t="s">
        <v>248</v>
      </c>
      <c r="B252" s="20" t="s">
        <v>250</v>
      </c>
      <c r="C252" s="20" t="s">
        <v>73</v>
      </c>
      <c r="D252" s="104" t="s">
        <v>240</v>
      </c>
      <c r="E252" s="15">
        <v>10124</v>
      </c>
      <c r="F252" s="15">
        <v>5400</v>
      </c>
      <c r="G252" s="21" t="s">
        <v>456</v>
      </c>
      <c r="H252" s="20">
        <v>0.68</v>
      </c>
      <c r="I252" s="48">
        <f>MAX('Min rate concentrations'!$J$3:$J$368)</f>
        <v>114.4108103430513</v>
      </c>
      <c r="J252" s="48">
        <f>MAX('Min rate concentrations'!AB:AB)</f>
        <v>40.520495329830666</v>
      </c>
      <c r="K252" s="59">
        <f t="shared" si="27"/>
        <v>12.662443854114347</v>
      </c>
      <c r="L252" s="59">
        <f t="shared" si="31"/>
        <v>4.4846155316654972</v>
      </c>
      <c r="M252" s="59">
        <f>IF((((1.18*F252^0.874)/3.7-(0.301*F252^0.751)/(1-H252)*H252)*(MAX('Min rate concentrations'!$P$3:$P$368)))/F252&gt;0, (((1.18*F252^0.874)/3.7-(0.301*F252^0.751)/(1-H252)*H252)*(MAX('Min rate concentrations'!$P$3:$P$368)))/F252, 0)</f>
        <v>4.7513625667980845E-3</v>
      </c>
      <c r="N252" s="59">
        <f>IF((((1.18*F252^0.874)/3.7-(0.301*F252^0.751)/(1-H252)*H252)*(MAX('Min rate concentrations'!$Q$3:$Q$368)))/F252&gt;0, (((1.18*F252^0.874)/3.7-(0.301*F252^0.751)/(1-H252)*H252)*(MAX('Min rate concentrations'!$Q$3:$Q$368)))/F252, 0)</f>
        <v>1.809344395308447E-2</v>
      </c>
      <c r="O252" s="59">
        <f>((MAX('Min rate concentrations'!$F$3:$F$368))*0.62*6.01*8*(10*F252^0.667)*0.079*0.1/F252)*inputs!$E$80/(10^(0.84+0.62*LOG10(inputs!$E$80)))</f>
        <v>1.3986693351125064</v>
      </c>
      <c r="P252" s="59">
        <f>((MAX('Min rate concentrations'!Y:Y))*0.62*6.01*8*(10*F252^0.667)*0.079*0.1/F252)*inputs!$E$80/(10^(0.84+0.62*LOG10(inputs!$E$80)))</f>
        <v>0.46622311170416869</v>
      </c>
      <c r="Q252" s="59">
        <f>(inputs!$C$7*11.2*(10*F252^0.667)*0.5/F252)*inputs!$E$80/(10^(0.84+0.62*LOG10(inputs!$E$80)))</f>
        <v>0.24636900644693105</v>
      </c>
      <c r="R252" s="59">
        <f>(60*284*((F252/1000)^0.77)*3*24*(MAX('Min rate concentrations'!$R$3:$R$368))/F252)*(inputs!$E$73*3.4/inputs!$E$75)</f>
        <v>3.1804234009272744E-3</v>
      </c>
      <c r="S252" s="59">
        <f>(IF(inputs!$C$6="aerial",((0.025*0.112*inputs!$C$7/3.3)*(3*60*284*((F252/1000)^0.77))*MAX(inputs!$H$14:$H$16))/F252,((0.0083*0.112*inputs!$C$7/1)*(3*60*284*((F252/1000)^0.77))*MAX(inputs!$H$14:$H$16))/F252))*(inputs!E$75*3.4/inputs!$E$73)</f>
        <v>1.7540230455950281E-2</v>
      </c>
      <c r="T252" s="63">
        <f>IF((((inputs!$P$12/(V252/MAX(K252:S252)))^(1/inputs!$O$12))-1)/inputs!$N$12&lt;0, 0, IF((((inputs!$P$12/(V252/MAX(K252:S252)))^(1/inputs!$O$12))-1)/inputs!$N$12&gt;inputs!$H$17, inputs!$H$17, (((inputs!$P$12/(V252/MAX(K252:S252)))^(1/inputs!$O$12))-1)/inputs!$N$12))</f>
        <v>512.15508052470773</v>
      </c>
      <c r="U252" s="63">
        <f>IF((((inputs!$P$12/(X252/MAX(K252:S252)))^(1/inputs!$O$12))-1)/inputs!$N$12&lt;0, 0, IF((((inputs!$P$12/(X252/MAX(K252:S252)))^(1/inputs!$O$12))-1)/inputs!$N$12&gt;inputs!$H$17, inputs!$H$17, (((inputs!$P$12/(X252/MAX(K252:S252)))^(1/inputs!$O$12))-1)/inputs!$N$12))</f>
        <v>38.067125748301152</v>
      </c>
      <c r="V252" s="21">
        <f>inputs!$E$78*(F252/inputs!$F$78)^(inputs!$E$84-1)</f>
        <v>4.3427808073074944E-3</v>
      </c>
      <c r="W252" s="21">
        <f>inputs!$E$85*(F252/inputs!$F$85)^(inputs!$E$84-1)</f>
        <v>0.20054161757711042</v>
      </c>
      <c r="X252" s="21">
        <f>inputs!$E$80*(F252/inputs!$F$80)^(inputs!$E$84-1)</f>
        <v>0.74885793905376674</v>
      </c>
      <c r="Y252" s="21">
        <f>inputs!$E$82*(F252/inputs!$F$82)^(inputs!$E$84-1)</f>
        <v>0.34513679047549034</v>
      </c>
      <c r="Z252" s="63">
        <f t="shared" si="24"/>
        <v>2915.7455593447298</v>
      </c>
      <c r="AA252" s="63">
        <f t="shared" si="25"/>
        <v>63.141227277901557</v>
      </c>
      <c r="AB252" s="117"/>
    </row>
    <row r="253" spans="1:476" x14ac:dyDescent="0.25">
      <c r="A253" s="103" t="s">
        <v>248</v>
      </c>
      <c r="B253" s="20" t="s">
        <v>250</v>
      </c>
      <c r="C253" s="20" t="s">
        <v>73</v>
      </c>
      <c r="D253" s="104" t="s">
        <v>240</v>
      </c>
      <c r="E253" s="15">
        <v>10124</v>
      </c>
      <c r="F253" s="15">
        <v>5400</v>
      </c>
      <c r="G253" s="20" t="s">
        <v>154</v>
      </c>
      <c r="H253" s="20">
        <v>9.2999999999999999E-2</v>
      </c>
      <c r="I253" s="48">
        <f>MAX('Min rate concentrations'!$G$3:$G$368)</f>
        <v>7.5</v>
      </c>
      <c r="J253" s="48">
        <f>MAX('Min rate concentrations'!Z:Z)</f>
        <v>3.5</v>
      </c>
      <c r="K253" s="59">
        <f t="shared" si="27"/>
        <v>0.29285620196003953</v>
      </c>
      <c r="L253" s="59"/>
      <c r="M253" s="59">
        <f>IF((((1.18*F253^0.874)/3.7-(0.301*F253^0.751)/(1-H253)*H253)*(MAX('Min rate concentrations'!$P$3:$P$368)))/F253&gt;0, (((1.18*F253^0.874)/3.7-(0.301*F253^0.751)/(1-H253)*H253)*(MAX('Min rate concentrations'!$P$3:$P$368)))/F253, 0)</f>
        <v>1.5147988868529531E-2</v>
      </c>
      <c r="N253" s="59">
        <f>IF((((1.18*F253^0.874)/3.7-(0.301*F253^0.751)/(1-H253)*H253)*(MAX('Min rate concentrations'!$Q$3:$Q$368)))/F253&gt;0, (((1.18*F253^0.874)/3.7-(0.301*F253^0.751)/(1-H253)*H253)*(MAX('Min rate concentrations'!$Q$3:$Q$368)))/F253, 0)</f>
        <v>5.7684355538328659E-2</v>
      </c>
      <c r="O253" s="59">
        <f>((MAX('Min rate concentrations'!$F$3:$F$368))*0.62*6.01*8*(10*F253^0.667)*0.079*0.1/F253)*inputs!$E$80/(10^(0.84+0.62*LOG10(inputs!$E$80)))</f>
        <v>1.3986693351125064</v>
      </c>
      <c r="P253" s="59">
        <f>((MAX('Min rate concentrations'!Y:Y))*0.62*6.01*8*(10*F253^0.667)*0.079*0.1/F253)*inputs!$E$80/(10^(0.84+0.62*LOG10(inputs!$E$80)))</f>
        <v>0.46622311170416869</v>
      </c>
      <c r="Q253" s="59">
        <f>(inputs!$C$7*11.2*(10*F253^0.667)*0.5/F253)*inputs!$E$80/(10^(0.84+0.62*LOG10(inputs!$E$80)))</f>
        <v>0.24636900644693105</v>
      </c>
      <c r="R253" s="59">
        <f>(60*284*((F253/1000)^0.77)*3*24*(MAX('Min rate concentrations'!$R$3:$R$368))/F253)*(inputs!$E$73*3.4/inputs!$E$75)</f>
        <v>3.1804234009272744E-3</v>
      </c>
      <c r="S253" s="59">
        <f>(IF(inputs!$C$6="aerial",((0.025*0.112*inputs!$C$7/3.3)*(3*60*284*((F253/1000)^0.77))*MAX(inputs!$H$14:$H$16))/F253,((0.0083*0.112*inputs!$C$7/1)*(3*60*284*((F253/1000)^0.77))*MAX(inputs!$H$14:$H$16))/F253))*(inputs!E$75*3.4/inputs!$E$73)</f>
        <v>1.7540230455950281E-2</v>
      </c>
      <c r="T253" s="63">
        <f>IF((((inputs!$P$12/(V253/MAX(K253:S253)))^(1/inputs!$O$12))-1)/inputs!$N$12&lt;0, 0, IF((((inputs!$P$12/(V253/MAX(K253:S253)))^(1/inputs!$O$12))-1)/inputs!$N$12&gt;inputs!$H$17, inputs!$H$17, (((inputs!$P$12/(V253/MAX(K253:S253)))^(1/inputs!$O$12))-1)/inputs!$N$12))</f>
        <v>192.1817040904908</v>
      </c>
      <c r="U253" s="63">
        <f>IF((((inputs!$P$12/(X253/MAX(K253:S253)))^(1/inputs!$O$12))-1)/inputs!$N$12&lt;0, 0, IF((((inputs!$P$12/(X253/MAX(K253:S253)))^(1/inputs!$O$12))-1)/inputs!$N$12&gt;inputs!$H$17, inputs!$H$17, (((inputs!$P$12/(X253/MAX(K253:S253)))^(1/inputs!$O$12))-1)/inputs!$N$12))</f>
        <v>0</v>
      </c>
      <c r="V253" s="21">
        <f>inputs!$E$78*(F253/inputs!$F$78)^(inputs!$E$84-1)</f>
        <v>4.3427808073074944E-3</v>
      </c>
      <c r="W253" s="21">
        <f>inputs!$E$85*(F253/inputs!$F$85)^(inputs!$E$84-1)</f>
        <v>0.20054161757711042</v>
      </c>
      <c r="X253" s="21">
        <f>inputs!$E$80*(F253/inputs!$F$80)^(inputs!$E$84-1)</f>
        <v>0.74885793905376674</v>
      </c>
      <c r="Y253" s="21">
        <f>inputs!$E$82*(F253/inputs!$F$82)^(inputs!$E$84-1)</f>
        <v>0.34513679047549034</v>
      </c>
      <c r="Z253" s="63">
        <f t="shared" si="24"/>
        <v>322.06767902239011</v>
      </c>
      <c r="AA253" s="63">
        <f t="shared" si="25"/>
        <v>6.9744592270215575</v>
      </c>
    </row>
    <row r="254" spans="1:476" x14ac:dyDescent="0.25">
      <c r="A254" s="114" t="s">
        <v>333</v>
      </c>
      <c r="B254" s="20" t="s">
        <v>334</v>
      </c>
      <c r="C254" s="20" t="s">
        <v>73</v>
      </c>
      <c r="D254" s="104" t="s">
        <v>240</v>
      </c>
      <c r="E254" s="15">
        <v>84</v>
      </c>
      <c r="F254" s="15">
        <v>226</v>
      </c>
      <c r="G254" s="20" t="s">
        <v>164</v>
      </c>
      <c r="H254" s="20">
        <v>0.78</v>
      </c>
      <c r="I254" s="48">
        <f>inputs!$C$65*(inputs!$C$62/1000)</f>
        <v>0.82000000000000006</v>
      </c>
      <c r="J254" s="48">
        <f>inputs!$C$65*(inputs!$C$61/1000)</f>
        <v>0.25</v>
      </c>
      <c r="K254" s="59">
        <f t="shared" si="27"/>
        <v>0.29092742686046924</v>
      </c>
      <c r="L254" s="59">
        <f>((0.301*F254^0.751)/(1-H254))*J254/F254</f>
        <v>8.8697386237947942E-2</v>
      </c>
      <c r="M254" s="59">
        <f>IF((((1.18*F254^0.874)/3.7-(0.301*F254^0.751)/(1-H254)*H254)*(MAX('Min rate concentrations'!$P$3:$P$368)))/F254&gt;0, (((1.18*F254^0.874)/3.7-(0.301*F254^0.751)/(1-H254)*H254)*(MAX('Min rate concentrations'!$P$3:$P$368)))/F254, 0)</f>
        <v>0</v>
      </c>
      <c r="N254" s="59">
        <f>IF((((1.18*F254^0.874)/3.7-(0.301*F254^0.751)/(1-H254)*H254)*(MAX('Min rate concentrations'!$Q$3:$Q$368)))/F254&gt;0, (((1.18*F254^0.874)/3.7-(0.301*F254^0.751)/(1-H254)*H254)*(MAX('Min rate concentrations'!$Q$3:$Q$368)))/F254, 0)</f>
        <v>0</v>
      </c>
      <c r="O254" s="59">
        <f>((MAX('Min rate concentrations'!$F$3:$F$368))*0.62*6.01*8*(10*F254^0.667)*0.079*0.1/F254)*inputs!$E$80/(10^(0.84+0.62*LOG10(inputs!$E$80)))</f>
        <v>4.0242417756161926</v>
      </c>
      <c r="P254" s="59">
        <f>((MAX('Min rate concentrations'!Y:Y))*0.62*6.01*8*(10*F254^0.667)*0.079*0.1/F254)*inputs!$E$80/(10^(0.84+0.62*LOG10(inputs!$E$80)))</f>
        <v>1.3414139252053972</v>
      </c>
      <c r="Q254" s="59">
        <f>(inputs!$C$7*11.2*(10*F254^0.667)*0.5/F254)*inputs!$E$80/(10^(0.84+0.62*LOG10(inputs!$E$80)))</f>
        <v>0.70885120812421676</v>
      </c>
      <c r="R254" s="59">
        <f>(60*284*((F254/1000)^0.77)*3*24*(MAX('Min rate concentrations'!$R$3:$R$368))/F254)*(inputs!$E$73*3.4/inputs!$E$75)</f>
        <v>6.5991889593153517E-3</v>
      </c>
      <c r="S254" s="59">
        <f>(IF(inputs!$C$6="aerial",((0.025*0.112*inputs!$C$7/3.3)*(3*60*284*((F254/1000)^0.77))*MAX(inputs!$H$14:$H$16))/F254,((0.0083*0.112*inputs!$C$7/1)*(3*60*284*((F254/1000)^0.77))*MAX(inputs!$H$14:$H$16))/F254))*(inputs!E$75*3.4/inputs!$E$73)</f>
        <v>3.6394932553636072E-2</v>
      </c>
      <c r="T254" s="63">
        <f>IF((((inputs!$P$12/(V254/MAX(K254:S254)))^(1/inputs!$O$12))-1)/inputs!$N$12&lt;0, 0, IF((((inputs!$P$12/(V254/MAX(K254:S254)))^(1/inputs!$O$12))-1)/inputs!$N$12&gt;inputs!$H$17, inputs!$H$17, (((inputs!$P$12/(V254/MAX(K254:S254)))^(1/inputs!$O$12))-1)/inputs!$N$12))</f>
        <v>181.89004026989369</v>
      </c>
      <c r="U254" s="63">
        <f>IF((((inputs!$P$12/(X254/MAX(K254:S254)))^(1/inputs!$O$12))-1)/inputs!$N$12&lt;0, 0, IF((((inputs!$P$12/(X254/MAX(K254:S254)))^(1/inputs!$O$12))-1)/inputs!$N$12&gt;inputs!$H$17, inputs!$H$17, (((inputs!$P$12/(X254/MAX(K254:S254)))^(1/inputs!$O$12))-1)/inputs!$N$12))</f>
        <v>0</v>
      </c>
      <c r="V254" s="21">
        <f>inputs!$E$78*(F254/inputs!$F$78)^(inputs!$E$84-1)</f>
        <v>1.4051849136397839E-2</v>
      </c>
      <c r="W254" s="21">
        <f>inputs!$E$85*(F254/inputs!$F$85)^(inputs!$E$84-1)</f>
        <v>0.6488885073409637</v>
      </c>
      <c r="X254" s="21">
        <f>inputs!$E$80*(F254/inputs!$F$80)^(inputs!$E$84-1)</f>
        <v>2.4230646793111932</v>
      </c>
      <c r="Y254" s="21">
        <f>inputs!$E$82*(F254/inputs!$F$82)^(inputs!$E$84-1)</f>
        <v>1.1167522208400387</v>
      </c>
      <c r="Z254" s="63">
        <f t="shared" si="24"/>
        <v>286.38521069745832</v>
      </c>
      <c r="AA254" s="63">
        <f t="shared" si="25"/>
        <v>6.2017461090609549</v>
      </c>
    </row>
    <row r="255" spans="1:476" x14ac:dyDescent="0.25">
      <c r="A255" s="114" t="s">
        <v>333</v>
      </c>
      <c r="B255" s="20" t="s">
        <v>334</v>
      </c>
      <c r="C255" s="20" t="s">
        <v>73</v>
      </c>
      <c r="D255" s="104" t="s">
        <v>240</v>
      </c>
      <c r="E255" s="15">
        <v>84</v>
      </c>
      <c r="F255" s="15">
        <v>226</v>
      </c>
      <c r="G255" s="20" t="s">
        <v>195</v>
      </c>
      <c r="H255" s="20">
        <v>0.82</v>
      </c>
      <c r="I255" s="48">
        <f>inputs!$C$65*(inputs!$C$62/1000)</f>
        <v>0.82000000000000006</v>
      </c>
      <c r="J255" s="48">
        <f>inputs!$C$65*(inputs!$C$61/1000)</f>
        <v>0.25</v>
      </c>
      <c r="K255" s="59">
        <f t="shared" si="27"/>
        <v>0.35557796616279558</v>
      </c>
      <c r="L255" s="59">
        <f>((0.301*F255^0.751)/(1-H255))*J255/F255</f>
        <v>0.10840791651304743</v>
      </c>
      <c r="M255" s="59">
        <f>IF((((1.18*F255^0.874)/3.7-(0.301*F255^0.751)/(1-H255)*H255)*(MAX('Min rate concentrations'!$P$3:$P$368)))/F255&gt;0, (((1.18*F255^0.874)/3.7-(0.301*F255^0.751)/(1-H255)*H255)*(MAX('Min rate concentrations'!$P$3:$P$368)))/F255, 0)</f>
        <v>0</v>
      </c>
      <c r="N255" s="59">
        <f>IF((((1.18*F255^0.874)/3.7-(0.301*F255^0.751)/(1-H255)*H255)*(MAX('Min rate concentrations'!$Q$3:$Q$368)))/F255&gt;0, (((1.18*F255^0.874)/3.7-(0.301*F255^0.751)/(1-H255)*H255)*(MAX('Min rate concentrations'!$Q$3:$Q$368)))/F255, 0)</f>
        <v>0</v>
      </c>
      <c r="O255" s="59">
        <f>((MAX('Min rate concentrations'!$F$3:$F$368))*0.62*6.01*8*(10*F255^0.667)*0.079*0.1/F255)*inputs!$E$80/(10^(0.84+0.62*LOG10(inputs!$E$80)))</f>
        <v>4.0242417756161926</v>
      </c>
      <c r="P255" s="59">
        <f>((MAX('Min rate concentrations'!Y:Y))*0.62*6.01*8*(10*F255^0.667)*0.079*0.1/F255)*inputs!$E$80/(10^(0.84+0.62*LOG10(inputs!$E$80)))</f>
        <v>1.3414139252053972</v>
      </c>
      <c r="Q255" s="59">
        <f>(inputs!$C$7*11.2*(10*F255^0.667)*0.5/F255)*inputs!$E$80/(10^(0.84+0.62*LOG10(inputs!$E$80)))</f>
        <v>0.70885120812421676</v>
      </c>
      <c r="R255" s="59">
        <f>(60*284*((F255/1000)^0.77)*3*24*(MAX('Min rate concentrations'!$R$3:$R$368))/F255)*(inputs!$E$73*3.4/inputs!$E$75)</f>
        <v>6.5991889593153517E-3</v>
      </c>
      <c r="S255" s="59">
        <f>(IF(inputs!$C$6="aerial",((0.025*0.112*inputs!$C$7/3.3)*(3*60*284*((F255/1000)^0.77))*MAX(inputs!$H$14:$H$16))/F255,((0.0083*0.112*inputs!$C$7/1)*(3*60*284*((F255/1000)^0.77))*MAX(inputs!$H$14:$H$16))/F255))*(inputs!E$75*3.4/inputs!$E$73)</f>
        <v>3.6394932553636072E-2</v>
      </c>
      <c r="T255" s="63">
        <f>IF((((inputs!$P$12/(V255/MAX(K255:S255)))^(1/inputs!$O$12))-1)/inputs!$N$12&lt;0, 0, IF((((inputs!$P$12/(V255/MAX(K255:S255)))^(1/inputs!$O$12))-1)/inputs!$N$12&gt;inputs!$H$17, inputs!$H$17, (((inputs!$P$12/(V255/MAX(K255:S255)))^(1/inputs!$O$12))-1)/inputs!$N$12))</f>
        <v>181.89004026989369</v>
      </c>
      <c r="U255" s="63">
        <f>IF((((inputs!$P$12/(X255/MAX(K255:S255)))^(1/inputs!$O$12))-1)/inputs!$N$12&lt;0, 0, IF((((inputs!$P$12/(X255/MAX(K255:S255)))^(1/inputs!$O$12))-1)/inputs!$N$12&gt;inputs!$H$17, inputs!$H$17, (((inputs!$P$12/(X255/MAX(K255:S255)))^(1/inputs!$O$12))-1)/inputs!$N$12))</f>
        <v>0</v>
      </c>
      <c r="V255" s="21">
        <f>inputs!$E$78*(F255/inputs!$F$78)^(inputs!$E$84-1)</f>
        <v>1.4051849136397839E-2</v>
      </c>
      <c r="W255" s="21">
        <f>inputs!$E$85*(F255/inputs!$F$85)^(inputs!$E$84-1)</f>
        <v>0.6488885073409637</v>
      </c>
      <c r="X255" s="21">
        <f>inputs!$E$80*(F255/inputs!$F$80)^(inputs!$E$84-1)</f>
        <v>2.4230646793111932</v>
      </c>
      <c r="Y255" s="21">
        <f>inputs!$E$82*(F255/inputs!$F$82)^(inputs!$E$84-1)</f>
        <v>1.1167522208400387</v>
      </c>
      <c r="Z255" s="63">
        <f t="shared" si="24"/>
        <v>286.38521069745832</v>
      </c>
      <c r="AA255" s="63">
        <f t="shared" si="25"/>
        <v>6.2017461090609549</v>
      </c>
    </row>
    <row r="256" spans="1:476" x14ac:dyDescent="0.25">
      <c r="A256" s="114" t="s">
        <v>333</v>
      </c>
      <c r="B256" s="20" t="s">
        <v>334</v>
      </c>
      <c r="C256" s="20" t="s">
        <v>73</v>
      </c>
      <c r="D256" s="104" t="s">
        <v>240</v>
      </c>
      <c r="E256" s="15">
        <v>84</v>
      </c>
      <c r="F256" s="15">
        <v>226</v>
      </c>
      <c r="G256" s="20" t="s">
        <v>186</v>
      </c>
      <c r="H256" s="49">
        <v>0.75</v>
      </c>
      <c r="I256" s="48">
        <f>inputs!$C$65*inputs!$C$64/1000</f>
        <v>2.13</v>
      </c>
      <c r="J256" s="48">
        <f>inputs!$C$65*inputs!$C$63/1000</f>
        <v>0.88</v>
      </c>
      <c r="K256" s="59">
        <f t="shared" si="27"/>
        <v>0.66501752305763828</v>
      </c>
      <c r="L256" s="59">
        <f>((0.301*F256^0.751)/(1-H256))*J256/F256</f>
        <v>0.2747490236106675</v>
      </c>
      <c r="M256" s="59">
        <f>IF((((1.18*F256^0.874)/3.7-(0.301*F256^0.751)/(1-H256)*H256)*(MAX('Min rate concentrations'!$P$3:$P$368)))/F256&gt;0, (((1.18*F256^0.874)/3.7-(0.301*F256^0.751)/(1-H256)*H256)*(MAX('Min rate concentrations'!$P$3:$P$368)))/F256, 0)</f>
        <v>0</v>
      </c>
      <c r="N256" s="59">
        <f>IF((((1.18*F256^0.874)/3.7-(0.301*F256^0.751)/(1-H256)*H256)*(MAX('Min rate concentrations'!$Q$3:$Q$368)))/F256&gt;0, (((1.18*F256^0.874)/3.7-(0.301*F256^0.751)/(1-H256)*H256)*(MAX('Min rate concentrations'!$Q$3:$Q$368)))/F256, 0)</f>
        <v>0</v>
      </c>
      <c r="O256" s="59">
        <f>((MAX('Min rate concentrations'!$F$3:$F$368))*0.62*6.01*8*(10*F256^0.667)*0.079*0.1/F256)*inputs!$E$80/(10^(0.84+0.62*LOG10(inputs!$E$80)))</f>
        <v>4.0242417756161926</v>
      </c>
      <c r="P256" s="59">
        <f>((MAX('Min rate concentrations'!Y:Y))*0.62*6.01*8*(10*F256^0.667)*0.079*0.1/F256)*inputs!$E$80/(10^(0.84+0.62*LOG10(inputs!$E$80)))</f>
        <v>1.3414139252053972</v>
      </c>
      <c r="Q256" s="59">
        <f>(inputs!$C$7*11.2*(10*F256^0.667)*0.5/F256)*inputs!$E$80/(10^(0.84+0.62*LOG10(inputs!$E$80)))</f>
        <v>0.70885120812421676</v>
      </c>
      <c r="R256" s="59">
        <f>(60*284*((F256/1000)^0.77)*3*24*(MAX('Min rate concentrations'!$R$3:$R$368))/F256)*(inputs!$E$73*3.4/inputs!$E$75)</f>
        <v>6.5991889593153517E-3</v>
      </c>
      <c r="S256" s="59">
        <f>(IF(inputs!$C$6="aerial",((0.025*0.112*inputs!$C$7/3.3)*(3*60*284*((F256/1000)^0.77))*MAX(inputs!$H$14:$H$16))/F256,((0.0083*0.112*inputs!$C$7/1)*(3*60*284*((F256/1000)^0.77))*MAX(inputs!$H$14:$H$16))/F256))*(inputs!E$75*3.4/inputs!$E$73)</f>
        <v>3.6394932553636072E-2</v>
      </c>
      <c r="T256" s="63">
        <f>IF((((inputs!$P$12/(V256/MAX(K256:S256)))^(1/inputs!$O$12))-1)/inputs!$N$12&lt;0, 0, IF((((inputs!$P$12/(V256/MAX(K256:S256)))^(1/inputs!$O$12))-1)/inputs!$N$12&gt;inputs!$H$17, inputs!$H$17, (((inputs!$P$12/(V256/MAX(K256:S256)))^(1/inputs!$O$12))-1)/inputs!$N$12))</f>
        <v>181.89004026989369</v>
      </c>
      <c r="U256" s="63">
        <f>IF((((inputs!$P$12/(X256/MAX(K256:S256)))^(1/inputs!$O$12))-1)/inputs!$N$12&lt;0, 0, IF((((inputs!$P$12/(X256/MAX(K256:S256)))^(1/inputs!$O$12))-1)/inputs!$N$12&gt;inputs!$H$17, inputs!$H$17, (((inputs!$P$12/(X256/MAX(K256:S256)))^(1/inputs!$O$12))-1)/inputs!$N$12))</f>
        <v>0</v>
      </c>
      <c r="V256" s="21">
        <f>inputs!$E$78*(F256/inputs!$F$78)^(inputs!$E$84-1)</f>
        <v>1.4051849136397839E-2</v>
      </c>
      <c r="W256" s="21">
        <f>inputs!$E$85*(F256/inputs!$F$85)^(inputs!$E$84-1)</f>
        <v>0.6488885073409637</v>
      </c>
      <c r="X256" s="21">
        <f>inputs!$E$80*(F256/inputs!$F$80)^(inputs!$E$84-1)</f>
        <v>2.4230646793111932</v>
      </c>
      <c r="Y256" s="21">
        <f>inputs!$E$82*(F256/inputs!$F$82)^(inputs!$E$84-1)</f>
        <v>1.1167522208400387</v>
      </c>
      <c r="Z256" s="63">
        <f t="shared" si="24"/>
        <v>286.38521069745832</v>
      </c>
      <c r="AA256" s="63">
        <f t="shared" si="25"/>
        <v>6.2017461090609549</v>
      </c>
    </row>
    <row r="257" spans="1:27" x14ac:dyDescent="0.25">
      <c r="A257" s="103" t="s">
        <v>323</v>
      </c>
      <c r="B257" s="20" t="s">
        <v>324</v>
      </c>
      <c r="C257" s="20" t="s">
        <v>73</v>
      </c>
      <c r="D257" s="104" t="s">
        <v>141</v>
      </c>
      <c r="E257" s="15">
        <v>78</v>
      </c>
      <c r="F257" s="15">
        <v>20</v>
      </c>
      <c r="G257" s="20" t="s">
        <v>142</v>
      </c>
      <c r="H257" s="20">
        <v>0.69</v>
      </c>
      <c r="I257" s="48">
        <f>MAX('Min rate concentrations'!$H$3:$H$368)</f>
        <v>47</v>
      </c>
      <c r="J257" s="48">
        <f>MAX('Min rate concentrations'!AA:AA)</f>
        <v>32.5</v>
      </c>
      <c r="K257" s="59">
        <f t="shared" ref="K257:K288" si="32">((0.398*F257^0.85)/(1-H257))*I257/F257</f>
        <v>38.500355248394953</v>
      </c>
      <c r="L257" s="59">
        <f>((0.398*F257^0.85)/(1-H257))*J257/F257</f>
        <v>26.622586076017786</v>
      </c>
      <c r="M257" s="59">
        <f>IF((((1.18*F257^0.874)-(0.398*F257^0.85)/(1-H257)*H257)*(MAX('Min rate concentrations'!$P$3:$P$368)))/F257&gt;0, (((1.18*F257^0.874)-(0.398*F257^0.85)/(1-H257)*H257)*(MAX('Min rate concentrations'!$P$3:$P$368)))/F257, 0)</f>
        <v>3.5385482091505556E-2</v>
      </c>
      <c r="N257" s="59">
        <f>IF((((1.18*F257^0.874)-(0.398*F257^0.85)/(1-H257)*H257)*(MAX('Min rate concentrations'!$Q$3:$Q$368)))/F257&gt;0, (((1.18*F257^0.874)-(0.398*F257^0.85)/(1-H257)*H257)*(MAX('Min rate concentrations'!$Q$3:$Q$368)))/F257, 0)</f>
        <v>0.13474981712603498</v>
      </c>
      <c r="O257" s="59">
        <f>((MAX('Min rate concentrations'!$F$3:$F$368))*0.62*6.01*8*(10*F257^0.667)*0.079*0.1/F257)*inputs!$E$80/(10^(0.84+0.62*LOG10(inputs!$E$80)))</f>
        <v>9.0231709788796604</v>
      </c>
      <c r="P257" s="59">
        <f>((MAX('Min rate concentrations'!Y:Y))*0.62*6.01*8*(10*F257^0.667)*0.079*0.1/F257)*inputs!$E$80/(10^(0.84+0.62*LOG10(inputs!$E$80)))</f>
        <v>3.0077236596265537</v>
      </c>
      <c r="Q257" s="59">
        <f>(inputs!$C$7*11.2*(10*F257^0.667)*0.5/F257)*inputs!$E$80/(10^(0.84+0.62*LOG10(inputs!$E$80)))</f>
        <v>1.5893890094391379</v>
      </c>
      <c r="R257" s="59">
        <f>(60*284*((F257/1000)^0.77)*3*24*(MAX('Min rate concentrations'!$R$3:$R$368))/F257)*(inputs!$E$73*3.4/inputs!$E$75)</f>
        <v>1.1526530558946087E-2</v>
      </c>
      <c r="S257" s="59">
        <f>(IF(inputs!$C$6="aerial",((0.025*0.112*inputs!$C$7/3.3)*(3*60*284*((F257/1000)^0.77))*MAX(inputs!$H$14:$H$16))/F257,((0.0083*0.112*inputs!$C$7/1)*(3*60*284*((F257/1000)^0.77))*MAX(inputs!$H$14:$H$16))/F257))*(inputs!E$75*3.4/inputs!$E$73)</f>
        <v>6.3569524203136399E-2</v>
      </c>
      <c r="T257" s="63">
        <f>IF((((inputs!$P$12/(V257/MAX(K257:S257)))^(1/inputs!$O$12))-1)/inputs!$N$12&lt;0, 0, IF((((inputs!$P$12/(V257/MAX(K257:S257)))^(1/inputs!$O$12))-1)/inputs!$N$12&gt;inputs!$H$17, inputs!$H$17, (((inputs!$P$12/(V257/MAX(K257:S257)))^(1/inputs!$O$12))-1)/inputs!$N$12))</f>
        <v>337.4778010012177</v>
      </c>
      <c r="U257" s="63">
        <f>IF((((inputs!$P$12/(X257/MAX(K257:S257)))^(1/inputs!$O$12))-1)/inputs!$N$12&lt;0, 0, IF((((inputs!$P$12/(X257/MAX(K257:S257)))^(1/inputs!$O$12))-1)/inputs!$N$12&gt;inputs!$H$17, inputs!$H$17, (((inputs!$P$12/(X257/MAX(K257:S257)))^(1/inputs!$O$12))-1)/inputs!$N$12))</f>
        <v>16.563143854589342</v>
      </c>
      <c r="V257" s="21">
        <f>inputs!$E$78*(F257/inputs!$F$78)^(inputs!$E$84-1)</f>
        <v>3.4464541288703368E-2</v>
      </c>
      <c r="W257" s="21">
        <f>inputs!$E$85*(F257/inputs!$F$85)^(inputs!$E$84-1)</f>
        <v>1.5915090274553441</v>
      </c>
      <c r="X257" s="21">
        <f>inputs!$E$80*(F257/inputs!$F$80)^(inputs!$E$84-1)</f>
        <v>5.9429767480927405</v>
      </c>
      <c r="Y257" s="21">
        <f>inputs!$E$82*(F257/inputs!$F$82)^(inputs!$E$84-1)</f>
        <v>2.739024070839057</v>
      </c>
      <c r="Z257" s="63">
        <f t="shared" si="24"/>
        <v>1117.1004693166894</v>
      </c>
      <c r="AA257" s="63">
        <f t="shared" si="25"/>
        <v>24.191100762999117</v>
      </c>
    </row>
    <row r="258" spans="1:27" x14ac:dyDescent="0.25">
      <c r="A258" s="103" t="s">
        <v>323</v>
      </c>
      <c r="B258" s="20" t="s">
        <v>324</v>
      </c>
      <c r="C258" s="20" t="s">
        <v>73</v>
      </c>
      <c r="D258" s="104" t="s">
        <v>141</v>
      </c>
      <c r="E258" s="15">
        <v>78</v>
      </c>
      <c r="F258" s="15">
        <v>20</v>
      </c>
      <c r="G258" s="20" t="s">
        <v>152</v>
      </c>
      <c r="H258" s="20">
        <v>0.77</v>
      </c>
      <c r="I258" s="48">
        <f>MAX('Min rate concentrations'!$G$3:$G$368)</f>
        <v>7.5</v>
      </c>
      <c r="J258" s="48">
        <f>MAX('Min rate concentrations'!Z:Z)</f>
        <v>3.5</v>
      </c>
      <c r="K258" s="59">
        <f t="shared" si="32"/>
        <v>8.2806036958851319</v>
      </c>
      <c r="L258" s="59">
        <f>((0.398*F258^0.85)/(1-H258))*J258/F258</f>
        <v>3.8642817247463954</v>
      </c>
      <c r="M258" s="59">
        <f>IF((((1.18*F258^0.874)-(0.398*F258^0.85)/(1-H258)*H258)*(MAX('Min rate concentrations'!$P$3:$P$368)))/F258&gt;0, (((1.18*F258^0.874)-(0.398*F258^0.85)/(1-H258)*H258)*(MAX('Min rate concentrations'!$P$3:$P$368)))/F258, 0)</f>
        <v>0</v>
      </c>
      <c r="N258" s="59">
        <f>IF((((1.18*F258^0.874)-(0.398*F258^0.85)/(1-H258)*H258)*(MAX('Min rate concentrations'!$Q$3:$Q$368)))/F258&gt;0, (((1.18*F258^0.874)-(0.398*F258^0.85)/(1-H258)*H258)*(MAX('Min rate concentrations'!$Q$3:$Q$368)))/F258, 0)</f>
        <v>0</v>
      </c>
      <c r="O258" s="59">
        <f>((MAX('Min rate concentrations'!$F$3:$F$368))*0.62*6.01*8*(10*F258^0.667)*0.079*0.1/F258)*inputs!$E$80/(10^(0.84+0.62*LOG10(inputs!$E$80)))</f>
        <v>9.0231709788796604</v>
      </c>
      <c r="P258" s="59">
        <f>((MAX('Min rate concentrations'!Y:Y))*0.62*6.01*8*(10*F258^0.667)*0.079*0.1/F258)*inputs!$E$80/(10^(0.84+0.62*LOG10(inputs!$E$80)))</f>
        <v>3.0077236596265537</v>
      </c>
      <c r="Q258" s="59">
        <f>(inputs!$C$7*11.2*(10*F258^0.667)*0.5/F258)*inputs!$E$80/(10^(0.84+0.62*LOG10(inputs!$E$80)))</f>
        <v>1.5893890094391379</v>
      </c>
      <c r="R258" s="59">
        <f>(60*284*((F258/1000)^0.77)*3*24*(MAX('Min rate concentrations'!$R$3:$R$368))/F258)*(inputs!$E$73*3.4/inputs!$E$75)</f>
        <v>1.1526530558946087E-2</v>
      </c>
      <c r="S258" s="59">
        <f>(IF(inputs!$C$6="aerial",((0.025*0.112*inputs!$C$7/3.3)*(3*60*284*((F258/1000)^0.77))*MAX(inputs!$H$14:$H$16))/F258,((0.0083*0.112*inputs!$C$7/1)*(3*60*284*((F258/1000)^0.77))*MAX(inputs!$H$14:$H$16))/F258))*(inputs!E$75*3.4/inputs!$E$73)</f>
        <v>6.3569524203136399E-2</v>
      </c>
      <c r="T258" s="63">
        <f>IF((((inputs!$P$12/(V258/MAX(K258:S258)))^(1/inputs!$O$12))-1)/inputs!$N$12&lt;0, 0, IF((((inputs!$P$12/(V258/MAX(K258:S258)))^(1/inputs!$O$12))-1)/inputs!$N$12&gt;inputs!$H$17, inputs!$H$17, (((inputs!$P$12/(V258/MAX(K258:S258)))^(1/inputs!$O$12))-1)/inputs!$N$12))</f>
        <v>174.35136658097272</v>
      </c>
      <c r="U258" s="63">
        <f>IF((((inputs!$P$12/(X258/MAX(K258:S258)))^(1/inputs!$O$12))-1)/inputs!$N$12&lt;0, 0, IF((((inputs!$P$12/(X258/MAX(K258:S258)))^(1/inputs!$O$12))-1)/inputs!$N$12&gt;inputs!$H$17, inputs!$H$17, (((inputs!$P$12/(X258/MAX(K258:S258)))^(1/inputs!$O$12))-1)/inputs!$N$12))</f>
        <v>0</v>
      </c>
      <c r="V258" s="21">
        <f>inputs!$E$78*(F258/inputs!$F$78)^(inputs!$E$84-1)</f>
        <v>3.4464541288703368E-2</v>
      </c>
      <c r="W258" s="21">
        <f>inputs!$E$85*(F258/inputs!$F$85)^(inputs!$E$84-1)</f>
        <v>1.5915090274553441</v>
      </c>
      <c r="X258" s="21">
        <f>inputs!$E$80*(F258/inputs!$F$80)^(inputs!$E$84-1)</f>
        <v>5.9429767480927405</v>
      </c>
      <c r="Y258" s="21">
        <f>inputs!$E$82*(F258/inputs!$F$82)^(inputs!$E$84-1)</f>
        <v>2.739024070839057</v>
      </c>
      <c r="Z258" s="63">
        <f t="shared" ref="Z258:Z321" si="33">MAX(K258:S258)/V258</f>
        <v>261.81027344290334</v>
      </c>
      <c r="AA258" s="63">
        <f t="shared" ref="AA258:AA321" si="34">MAX(K258:S258)/W258</f>
        <v>5.6695694609453549</v>
      </c>
    </row>
    <row r="259" spans="1:27" x14ac:dyDescent="0.25">
      <c r="A259" s="103" t="s">
        <v>323</v>
      </c>
      <c r="B259" s="20" t="s">
        <v>324</v>
      </c>
      <c r="C259" s="20" t="s">
        <v>73</v>
      </c>
      <c r="D259" s="104" t="s">
        <v>141</v>
      </c>
      <c r="E259" s="15">
        <v>78</v>
      </c>
      <c r="F259" s="15">
        <v>20</v>
      </c>
      <c r="G259" s="20" t="s">
        <v>177</v>
      </c>
      <c r="H259" s="20">
        <v>0.85</v>
      </c>
      <c r="I259" s="48">
        <f>MAX('Min rate concentrations'!$F$3:$F$368)</f>
        <v>67.5</v>
      </c>
      <c r="J259" s="48">
        <f>MAX('Min rate concentrations'!Y:Y)</f>
        <v>22.5</v>
      </c>
      <c r="K259" s="59">
        <f t="shared" si="32"/>
        <v>114.2723310032148</v>
      </c>
      <c r="L259" s="59">
        <f>((0.398*F259^0.85)/(1-H259))*J259/F259</f>
        <v>38.090777001071601</v>
      </c>
      <c r="M259" s="59">
        <f>IF((((1.18*F259^0.874)-(0.398*F259^0.85)/(1-H259)*H259)*(MAX('Min rate concentrations'!$P$3:$P$368)))/F259&gt;0, (((1.18*F259^0.874)-(0.398*F259^0.85)/(1-H259)*H259)*(MAX('Min rate concentrations'!$P$3:$P$368)))/F259, 0)</f>
        <v>0</v>
      </c>
      <c r="N259" s="59">
        <f>IF((((1.18*F259^0.874)-(0.398*F259^0.85)/(1-H259)*H259)*(MAX('Min rate concentrations'!$Q$3:$Q$368)))/F259&gt;0, (((1.18*F259^0.874)-(0.398*F259^0.85)/(1-H259)*H259)*(MAX('Min rate concentrations'!$Q$3:$Q$368)))/F259, 0)</f>
        <v>0</v>
      </c>
      <c r="O259" s="59">
        <f>((MAX('Min rate concentrations'!$F$3:$F$368))*0.62*6.01*8*(10*F259^0.667)*0.079*0.1/F259)*inputs!$E$80/(10^(0.84+0.62*LOG10(inputs!$E$80)))</f>
        <v>9.0231709788796604</v>
      </c>
      <c r="P259" s="59">
        <f>((MAX('Min rate concentrations'!Y:Y))*0.62*6.01*8*(10*F259^0.667)*0.079*0.1/F259)*inputs!$E$80/(10^(0.84+0.62*LOG10(inputs!$E$80)))</f>
        <v>3.0077236596265537</v>
      </c>
      <c r="Q259" s="59">
        <f>(inputs!$C$7*11.2*(10*F259^0.667)*0.5/F259)*inputs!$E$80/(10^(0.84+0.62*LOG10(inputs!$E$80)))</f>
        <v>1.5893890094391379</v>
      </c>
      <c r="R259" s="59">
        <f>(60*284*((F259/1000)^0.77)*3*24*(MAX('Min rate concentrations'!$R$3:$R$368))/F259)*(inputs!$E$73*3.4/inputs!$E$75)</f>
        <v>1.1526530558946087E-2</v>
      </c>
      <c r="S259" s="59">
        <f>(IF(inputs!$C$6="aerial",((0.025*0.112*inputs!$C$7/3.3)*(3*60*284*((F259/1000)^0.77))*MAX(inputs!$H$14:$H$16))/F259,((0.0083*0.112*inputs!$C$7/1)*(3*60*284*((F259/1000)^0.77))*MAX(inputs!$H$14:$H$16))/F259))*(inputs!E$75*3.4/inputs!$E$73)</f>
        <v>6.3569524203136399E-2</v>
      </c>
      <c r="T259" s="63">
        <f>IF((((inputs!$P$12/(V259/MAX(K259:S259)))^(1/inputs!$O$12))-1)/inputs!$N$12&lt;0, 0, IF((((inputs!$P$12/(V259/MAX(K259:S259)))^(1/inputs!$O$12))-1)/inputs!$N$12&gt;inputs!$H$17, inputs!$H$17, (((inputs!$P$12/(V259/MAX(K259:S259)))^(1/inputs!$O$12))-1)/inputs!$N$12))</f>
        <v>541.17011348755659</v>
      </c>
      <c r="U259" s="63">
        <f>IF((((inputs!$P$12/(X259/MAX(K259:S259)))^(1/inputs!$O$12))-1)/inputs!$N$12&lt;0, 0, IF((((inputs!$P$12/(X259/MAX(K259:S259)))^(1/inputs!$O$12))-1)/inputs!$N$12&gt;inputs!$H$17, inputs!$H$17, (((inputs!$P$12/(X259/MAX(K259:S259)))^(1/inputs!$O$12))-1)/inputs!$N$12))</f>
        <v>41.639077092978759</v>
      </c>
      <c r="V259" s="21">
        <f>inputs!$E$78*(F259/inputs!$F$78)^(inputs!$E$84-1)</f>
        <v>3.4464541288703368E-2</v>
      </c>
      <c r="W259" s="21">
        <f>inputs!$E$85*(F259/inputs!$F$85)^(inputs!$E$84-1)</f>
        <v>1.5915090274553441</v>
      </c>
      <c r="X259" s="21">
        <f>inputs!$E$80*(F259/inputs!$F$80)^(inputs!$E$84-1)</f>
        <v>5.9429767480927405</v>
      </c>
      <c r="Y259" s="21">
        <f>inputs!$E$82*(F259/inputs!$F$82)^(inputs!$E$84-1)</f>
        <v>2.739024070839057</v>
      </c>
      <c r="Z259" s="63">
        <f t="shared" si="33"/>
        <v>3315.6492653123014</v>
      </c>
      <c r="AA259" s="63">
        <f t="shared" si="34"/>
        <v>71.801245881667583</v>
      </c>
    </row>
    <row r="260" spans="1:27" x14ac:dyDescent="0.25">
      <c r="A260" s="103" t="s">
        <v>323</v>
      </c>
      <c r="B260" s="20" t="s">
        <v>324</v>
      </c>
      <c r="C260" s="20" t="s">
        <v>73</v>
      </c>
      <c r="D260" s="104" t="s">
        <v>141</v>
      </c>
      <c r="E260" s="15">
        <v>78</v>
      </c>
      <c r="F260" s="15">
        <v>20</v>
      </c>
      <c r="G260" s="20" t="s">
        <v>153</v>
      </c>
      <c r="H260" s="20">
        <v>0.7</v>
      </c>
      <c r="I260" s="48">
        <f>MAX('Min rate concentrations'!$E$3:$E$368)</f>
        <v>55</v>
      </c>
      <c r="J260" s="48">
        <f>MAX('Min rate concentrations'!X:X)</f>
        <v>18</v>
      </c>
      <c r="K260" s="59">
        <f t="shared" si="32"/>
        <v>46.555394112420842</v>
      </c>
      <c r="L260" s="59"/>
      <c r="M260" s="59">
        <f>IF((((1.18*F260^0.874)-(0.398*F260^0.85)/(1-H260)*H260)*(MAX('Min rate concentrations'!$P$3:$P$368)))/F260&gt;0, (((1.18*F260^0.874)-(0.398*F260^0.85)/(1-H260)*H260)*(MAX('Min rate concentrations'!$P$3:$P$368)))/F260, 0)</f>
        <v>3.1422183683828014E-2</v>
      </c>
      <c r="N260" s="59">
        <f>IF((((1.18*F260^0.874)-(0.398*F260^0.85)/(1-H260)*H260)*(MAX('Min rate concentrations'!$Q$3:$Q$368)))/F260&gt;0, (((1.18*F260^0.874)-(0.398*F260^0.85)/(1-H260)*H260)*(MAX('Min rate concentrations'!$Q$3:$Q$368)))/F260, 0)</f>
        <v>0.11965736383489681</v>
      </c>
      <c r="O260" s="59">
        <f>((MAX('Min rate concentrations'!$F$3:$F$368))*0.62*6.01*8*(10*F260^0.667)*0.079*0.1/F260)*inputs!$E$80/(10^(0.84+0.62*LOG10(inputs!$E$80)))</f>
        <v>9.0231709788796604</v>
      </c>
      <c r="P260" s="59">
        <f>((MAX('Min rate concentrations'!Y:Y))*0.62*6.01*8*(10*F260^0.667)*0.079*0.1/F260)*inputs!$E$80/(10^(0.84+0.62*LOG10(inputs!$E$80)))</f>
        <v>3.0077236596265537</v>
      </c>
      <c r="Q260" s="59">
        <f>(inputs!$C$7*11.2*(10*F260^0.667)*0.5/F260)*inputs!$E$80/(10^(0.84+0.62*LOG10(inputs!$E$80)))</f>
        <v>1.5893890094391379</v>
      </c>
      <c r="R260" s="59">
        <f>(60*284*((F260/1000)^0.77)*3*24*(MAX('Min rate concentrations'!$R$3:$R$368))/F260)*(inputs!$E$73*3.4/inputs!$E$75)</f>
        <v>1.1526530558946087E-2</v>
      </c>
      <c r="S260" s="59">
        <f>(IF(inputs!$C$6="aerial",((0.025*0.112*inputs!$C$7/3.3)*(3*60*284*((F260/1000)^0.77))*MAX(inputs!$H$14:$H$16))/F260,((0.0083*0.112*inputs!$C$7/1)*(3*60*284*((F260/1000)^0.77))*MAX(inputs!$H$14:$H$16))/F260))*(inputs!E$75*3.4/inputs!$E$73)</f>
        <v>6.3569524203136399E-2</v>
      </c>
      <c r="T260" s="63">
        <f>IF((((inputs!$P$12/(V260/MAX(K260:S260)))^(1/inputs!$O$12))-1)/inputs!$N$12&lt;0, 0, IF((((inputs!$P$12/(V260/MAX(K260:S260)))^(1/inputs!$O$12))-1)/inputs!$N$12&gt;inputs!$H$17, inputs!$H$17, (((inputs!$P$12/(V260/MAX(K260:S260)))^(1/inputs!$O$12))-1)/inputs!$N$12))</f>
        <v>366.87726174845704</v>
      </c>
      <c r="U260" s="63">
        <f>IF((((inputs!$P$12/(X260/MAX(K260:S260)))^(1/inputs!$O$12))-1)/inputs!$N$12&lt;0, 0, IF((((inputs!$P$12/(X260/MAX(K260:S260)))^(1/inputs!$O$12))-1)/inputs!$N$12&gt;inputs!$H$17, inputs!$H$17, (((inputs!$P$12/(X260/MAX(K260:S260)))^(1/inputs!$O$12))-1)/inputs!$N$12))</f>
        <v>20.182420919804379</v>
      </c>
      <c r="V260" s="21">
        <f>inputs!$E$78*(F260/inputs!$F$78)^(inputs!$E$84-1)</f>
        <v>3.4464541288703368E-2</v>
      </c>
      <c r="W260" s="21">
        <f>inputs!$E$85*(F260/inputs!$F$85)^(inputs!$E$84-1)</f>
        <v>1.5915090274553441</v>
      </c>
      <c r="X260" s="21">
        <f>inputs!$E$80*(F260/inputs!$F$80)^(inputs!$E$84-1)</f>
        <v>5.9429767480927405</v>
      </c>
      <c r="Y260" s="21">
        <f>inputs!$E$82*(F260/inputs!$F$82)^(inputs!$E$84-1)</f>
        <v>2.739024070839057</v>
      </c>
      <c r="Z260" s="63">
        <f t="shared" si="33"/>
        <v>1350.8200710531598</v>
      </c>
      <c r="AA260" s="63">
        <f t="shared" si="34"/>
        <v>29.252359433271977</v>
      </c>
    </row>
    <row r="261" spans="1:27" x14ac:dyDescent="0.25">
      <c r="A261" s="103" t="s">
        <v>271</v>
      </c>
      <c r="B261" s="20" t="s">
        <v>272</v>
      </c>
      <c r="C261" s="20" t="s">
        <v>73</v>
      </c>
      <c r="D261" s="104" t="s">
        <v>141</v>
      </c>
      <c r="E261" s="15">
        <v>6522</v>
      </c>
      <c r="F261" s="15">
        <v>9.5</v>
      </c>
      <c r="G261" s="20" t="s">
        <v>142</v>
      </c>
      <c r="H261" s="20">
        <v>0.69</v>
      </c>
      <c r="I261" s="48">
        <f>MAX('Min rate concentrations'!$H$3:$H$368)</f>
        <v>47</v>
      </c>
      <c r="J261" s="48">
        <f>MAX('Min rate concentrations'!AA:AA)</f>
        <v>32.5</v>
      </c>
      <c r="K261" s="59">
        <f t="shared" si="32"/>
        <v>43.048764863736743</v>
      </c>
      <c r="L261" s="59">
        <f>((0.398*F261^0.85)/(1-H261))*J261/F261</f>
        <v>29.767762937690296</v>
      </c>
      <c r="M261" s="59">
        <f>IF((((1.18*F261^0.874)-(0.398*F261^0.85)/(1-H261)*H261)*(MAX('Min rate concentrations'!$P$3:$P$368)))/F261&gt;0, (((1.18*F261^0.874)-(0.398*F261^0.85)/(1-H261)*H261)*(MAX('Min rate concentrations'!$P$3:$P$368)))/F261, 0)</f>
        <v>3.7240882610083827E-2</v>
      </c>
      <c r="N261" s="59">
        <f>IF((((1.18*F261^0.874)-(0.398*F261^0.85)/(1-H261)*H261)*(MAX('Min rate concentrations'!$Q$3:$Q$368)))/F261&gt;0, (((1.18*F261^0.874)-(0.398*F261^0.85)/(1-H261)*H261)*(MAX('Min rate concentrations'!$Q$3:$Q$368)))/F261, 0)</f>
        <v>0.14181528199457749</v>
      </c>
      <c r="O261" s="59">
        <f>((MAX('Min rate concentrations'!$F$3:$F$368))*0.62*6.01*8*(10*F261^0.667)*0.079*0.1/F261)*inputs!$E$80/(10^(0.84+0.62*LOG10(inputs!$E$80)))</f>
        <v>11.561660562671129</v>
      </c>
      <c r="P261" s="59">
        <f>((MAX('Min rate concentrations'!Y:Y))*0.62*6.01*8*(10*F261^0.667)*0.079*0.1/F261)*inputs!$E$80/(10^(0.84+0.62*LOG10(inputs!$E$80)))</f>
        <v>3.8538868542237084</v>
      </c>
      <c r="Q261" s="59">
        <f>(inputs!$C$7*11.2*(10*F261^0.667)*0.5/F261)*inputs!$E$80/(10^(0.84+0.62*LOG10(inputs!$E$80)))</f>
        <v>2.0365319766396599</v>
      </c>
      <c r="R261" s="59">
        <f>(60*284*((F261/1000)^0.77)*3*24*(MAX('Min rate concentrations'!$R$3:$R$368))/F261)*(inputs!$E$73*3.4/inputs!$E$75)</f>
        <v>1.3679148863553574E-2</v>
      </c>
      <c r="S261" s="59">
        <f>(IF(inputs!$C$6="aerial",((0.025*0.112*inputs!$C$7/3.3)*(3*60*284*((F261/1000)^0.77))*MAX(inputs!$H$14:$H$16))/F261,((0.0083*0.112*inputs!$C$7/1)*(3*60*284*((F261/1000)^0.77))*MAX(inputs!$H$14:$H$16))/F261))*(inputs!E$75*3.4/inputs!$E$73)</f>
        <v>7.5441346406275742E-2</v>
      </c>
      <c r="T261" s="63">
        <f>IF((((inputs!$P$12/(V261/MAX(K261:S261)))^(1/inputs!$O$12))-1)/inputs!$N$12&lt;0, 0, IF((((inputs!$P$12/(V261/MAX(K261:S261)))^(1/inputs!$O$12))-1)/inputs!$N$12&gt;inputs!$H$17, inputs!$H$17, (((inputs!$P$12/(V261/MAX(K261:S261)))^(1/inputs!$O$12))-1)/inputs!$N$12))</f>
        <v>313.89350244164149</v>
      </c>
      <c r="U261" s="63">
        <f>IF((((inputs!$P$12/(X261/MAX(K261:S261)))^(1/inputs!$O$12))-1)/inputs!$N$12&lt;0, 0, IF((((inputs!$P$12/(X261/MAX(K261:S261)))^(1/inputs!$O$12))-1)/inputs!$N$12&gt;inputs!$H$17, inputs!$H$17, (((inputs!$P$12/(X261/MAX(K261:S261)))^(1/inputs!$O$12))-1)/inputs!$N$12))</f>
        <v>13.659753496183734</v>
      </c>
      <c r="V261" s="21">
        <f>inputs!$E$78*(F261/inputs!$F$78)^(inputs!$E$84-1)</f>
        <v>4.5393729669291928E-2</v>
      </c>
      <c r="W261" s="21">
        <f>inputs!$E$85*(F261/inputs!$F$85)^(inputs!$E$84-1)</f>
        <v>2.0961988135389915</v>
      </c>
      <c r="X261" s="21">
        <f>inputs!$E$80*(F261/inputs!$F$80)^(inputs!$E$84-1)</f>
        <v>7.8275778480253475</v>
      </c>
      <c r="Y261" s="21">
        <f>inputs!$E$82*(F261/inputs!$F$82)^(inputs!$E$84-1)</f>
        <v>3.6076069368753059</v>
      </c>
      <c r="Z261" s="63">
        <f t="shared" si="33"/>
        <v>948.34165814003347</v>
      </c>
      <c r="AA261" s="63">
        <f t="shared" si="34"/>
        <v>20.536584881974026</v>
      </c>
    </row>
    <row r="262" spans="1:27" x14ac:dyDescent="0.25">
      <c r="A262" s="103" t="s">
        <v>261</v>
      </c>
      <c r="B262" s="20" t="s">
        <v>262</v>
      </c>
      <c r="C262" s="20" t="s">
        <v>73</v>
      </c>
      <c r="D262" s="104" t="s">
        <v>141</v>
      </c>
      <c r="E262" s="15">
        <v>65</v>
      </c>
      <c r="F262" s="15">
        <v>28</v>
      </c>
      <c r="G262" s="20" t="s">
        <v>142</v>
      </c>
      <c r="H262" s="20">
        <v>0.69</v>
      </c>
      <c r="I262" s="48">
        <f>MAX('Min rate concentrations'!$H$3:$H$368)</f>
        <v>47</v>
      </c>
      <c r="J262" s="48">
        <f>MAX('Min rate concentrations'!AA:AA)</f>
        <v>32.5</v>
      </c>
      <c r="K262" s="59">
        <f t="shared" si="32"/>
        <v>36.605431571482818</v>
      </c>
      <c r="L262" s="59">
        <f>((0.398*F262^0.85)/(1-H262))*J262/F262</f>
        <v>25.312266512195567</v>
      </c>
      <c r="M262" s="59">
        <f>IF((((1.18*F262^0.874)-(0.398*F262^0.85)/(1-H262)*H262)*(MAX('Min rate concentrations'!$P$3:$P$368)))/F262&gt;0, (((1.18*F262^0.874)-(0.398*F262^0.85)/(1-H262)*H262)*(MAX('Min rate concentrations'!$P$3:$P$368)))/F262, 0)</f>
        <v>3.4549098196835923E-2</v>
      </c>
      <c r="N262" s="59">
        <f>IF((((1.18*F262^0.874)-(0.398*F262^0.85)/(1-H262)*H262)*(MAX('Min rate concentrations'!$Q$3:$Q$368)))/F262&gt;0, (((1.18*F262^0.874)-(0.398*F262^0.85)/(1-H262)*H262)*(MAX('Min rate concentrations'!$Q$3:$Q$368)))/F262, 0)</f>
        <v>0.13156482231481698</v>
      </c>
      <c r="O262" s="59">
        <f>((MAX('Min rate concentrations'!$F$3:$F$368))*0.62*6.01*8*(10*F262^0.667)*0.079*0.1/F262)*inputs!$E$80/(10^(0.84+0.62*LOG10(inputs!$E$80)))</f>
        <v>8.0667491307736423</v>
      </c>
      <c r="P262" s="59">
        <f>((MAX('Min rate concentrations'!Y:Y))*0.62*6.01*8*(10*F262^0.667)*0.079*0.1/F262)*inputs!$E$80/(10^(0.84+0.62*LOG10(inputs!$E$80)))</f>
        <v>2.688916376924547</v>
      </c>
      <c r="Q262" s="59">
        <f>(inputs!$C$7*11.2*(10*F262^0.667)*0.5/F262)*inputs!$E$80/(10^(0.84+0.62*LOG10(inputs!$E$80)))</f>
        <v>1.4209198119335935</v>
      </c>
      <c r="R262" s="59">
        <f>(60*284*((F262/1000)^0.77)*3*24*(MAX('Min rate concentrations'!$R$3:$R$368))/F262)*(inputs!$E$73*3.4/inputs!$E$75)</f>
        <v>1.0668151088772147E-2</v>
      </c>
      <c r="S262" s="59">
        <f>(IF(inputs!$C$6="aerial",((0.025*0.112*inputs!$C$7/3.3)*(3*60*284*((F262/1000)^0.77))*MAX(inputs!$H$14:$H$16))/F262,((0.0083*0.112*inputs!$C$7/1)*(3*60*284*((F262/1000)^0.77))*MAX(inputs!$H$14:$H$16))/F262))*(inputs!E$75*3.4/inputs!$E$73)</f>
        <v>5.8835508687743815E-2</v>
      </c>
      <c r="T262" s="63">
        <f>IF((((inputs!$P$12/(V262/MAX(K262:S262)))^(1/inputs!$O$12))-1)/inputs!$N$12&lt;0, 0, IF((((inputs!$P$12/(V262/MAX(K262:S262)))^(1/inputs!$O$12))-1)/inputs!$N$12&gt;inputs!$H$17, inputs!$H$17, (((inputs!$P$12/(V262/MAX(K262:S262)))^(1/inputs!$O$12))-1)/inputs!$N$12))</f>
        <v>348.66396684061988</v>
      </c>
      <c r="U262" s="63">
        <f>IF((((inputs!$P$12/(X262/MAX(K262:S262)))^(1/inputs!$O$12))-1)/inputs!$N$12&lt;0, 0, IF((((inputs!$P$12/(X262/MAX(K262:S262)))^(1/inputs!$O$12))-1)/inputs!$N$12&gt;inputs!$H$17, inputs!$H$17, (((inputs!$P$12/(X262/MAX(K262:S262)))^(1/inputs!$O$12))-1)/inputs!$N$12))</f>
        <v>17.940238278814178</v>
      </c>
      <c r="V262" s="21">
        <f>inputs!$E$78*(F262/inputs!$F$78)^(inputs!$E$84-1)</f>
        <v>3.0430222605646665E-2</v>
      </c>
      <c r="W262" s="21">
        <f>inputs!$E$85*(F262/inputs!$F$85)^(inputs!$E$84-1)</f>
        <v>1.405211622539033</v>
      </c>
      <c r="X262" s="21">
        <f>inputs!$E$80*(F262/inputs!$F$80)^(inputs!$E$84-1)</f>
        <v>5.2473092234052494</v>
      </c>
      <c r="Y262" s="21">
        <f>inputs!$E$82*(F262/inputs!$F$82)^(inputs!$E$84-1)</f>
        <v>2.4184019018171825</v>
      </c>
      <c r="Z262" s="63">
        <f t="shared" si="33"/>
        <v>1202.930127914683</v>
      </c>
      <c r="AA262" s="63">
        <f t="shared" si="34"/>
        <v>26.049764309052332</v>
      </c>
    </row>
    <row r="263" spans="1:27" x14ac:dyDescent="0.25">
      <c r="A263" s="103" t="s">
        <v>261</v>
      </c>
      <c r="B263" s="20" t="s">
        <v>262</v>
      </c>
      <c r="C263" s="20" t="s">
        <v>73</v>
      </c>
      <c r="D263" s="104" t="s">
        <v>141</v>
      </c>
      <c r="E263" s="15">
        <v>65</v>
      </c>
      <c r="F263" s="15">
        <v>28</v>
      </c>
      <c r="G263" s="20" t="s">
        <v>153</v>
      </c>
      <c r="H263" s="20">
        <v>0.7</v>
      </c>
      <c r="I263" s="48">
        <f>MAX('Min rate concentrations'!$E$3:$E$368)</f>
        <v>55</v>
      </c>
      <c r="J263" s="48">
        <f>MAX('Min rate concentrations'!X:X)</f>
        <v>18</v>
      </c>
      <c r="K263" s="59">
        <f t="shared" si="32"/>
        <v>44.264014772608661</v>
      </c>
      <c r="L263" s="59"/>
      <c r="M263" s="59">
        <f>IF((((1.18*F263^0.874)-(0.398*F263^0.85)/(1-H263)*H263)*(MAX('Min rate concentrations'!$P$3:$P$368)))/F263&gt;0, (((1.18*F263^0.874)-(0.398*F263^0.85)/(1-H263)*H263)*(MAX('Min rate concentrations'!$P$3:$P$368)))/F263, 0)</f>
        <v>3.078086676822708E-2</v>
      </c>
      <c r="N263" s="59">
        <f>IF((((1.18*F263^0.874)-(0.398*F263^0.85)/(1-H263)*H263)*(MAX('Min rate concentrations'!$Q$3:$Q$368)))/F263&gt;0, (((1.18*F263^0.874)-(0.398*F263^0.85)/(1-H263)*H263)*(MAX('Min rate concentrations'!$Q$3:$Q$368)))/F263, 0)</f>
        <v>0.11721519456124987</v>
      </c>
      <c r="O263" s="59">
        <f>((MAX('Min rate concentrations'!$F$3:$F$368))*0.62*6.01*8*(10*F263^0.667)*0.079*0.1/F263)*inputs!$E$80/(10^(0.84+0.62*LOG10(inputs!$E$80)))</f>
        <v>8.0667491307736423</v>
      </c>
      <c r="P263" s="59">
        <f>((MAX('Min rate concentrations'!Y:Y))*0.62*6.01*8*(10*F263^0.667)*0.079*0.1/F263)*inputs!$E$80/(10^(0.84+0.62*LOG10(inputs!$E$80)))</f>
        <v>2.688916376924547</v>
      </c>
      <c r="Q263" s="59">
        <f>(inputs!$C$7*11.2*(10*F263^0.667)*0.5/F263)*inputs!$E$80/(10^(0.84+0.62*LOG10(inputs!$E$80)))</f>
        <v>1.4209198119335935</v>
      </c>
      <c r="R263" s="59">
        <f>(60*284*((F263/1000)^0.77)*3*24*(MAX('Min rate concentrations'!$R$3:$R$368))/F263)*(inputs!$E$73*3.4/inputs!$E$75)</f>
        <v>1.0668151088772147E-2</v>
      </c>
      <c r="S263" s="59">
        <f>(IF(inputs!$C$6="aerial",((0.025*0.112*inputs!$C$7/3.3)*(3*60*284*((F263/1000)^0.77))*MAX(inputs!$H$14:$H$16))/F263,((0.0083*0.112*inputs!$C$7/1)*(3*60*284*((F263/1000)^0.77))*MAX(inputs!$H$14:$H$16))/F263))*(inputs!E$75*3.4/inputs!$E$73)</f>
        <v>5.8835508687743815E-2</v>
      </c>
      <c r="T263" s="63">
        <f>IF((((inputs!$P$12/(V263/MAX(K263:S263)))^(1/inputs!$O$12))-1)/inputs!$N$12&lt;0, 0, IF((((inputs!$P$12/(V263/MAX(K263:S263)))^(1/inputs!$O$12))-1)/inputs!$N$12&gt;inputs!$H$17, inputs!$H$17, (((inputs!$P$12/(V263/MAX(K263:S263)))^(1/inputs!$O$12))-1)/inputs!$N$12))</f>
        <v>378.96205095583338</v>
      </c>
      <c r="U263" s="63">
        <f>IF((((inputs!$P$12/(X263/MAX(K263:S263)))^(1/inputs!$O$12))-1)/inputs!$N$12&lt;0, 0, IF((((inputs!$P$12/(X263/MAX(K263:S263)))^(1/inputs!$O$12))-1)/inputs!$N$12&gt;inputs!$H$17, inputs!$H$17, (((inputs!$P$12/(X263/MAX(K263:S263)))^(1/inputs!$O$12))-1)/inputs!$N$12))</f>
        <v>21.670142099191068</v>
      </c>
      <c r="V263" s="21">
        <f>inputs!$E$78*(F263/inputs!$F$78)^(inputs!$E$84-1)</f>
        <v>3.0430222605646665E-2</v>
      </c>
      <c r="W263" s="21">
        <f>inputs!$E$85*(F263/inputs!$F$85)^(inputs!$E$84-1)</f>
        <v>1.405211622539033</v>
      </c>
      <c r="X263" s="21">
        <f>inputs!$E$80*(F263/inputs!$F$80)^(inputs!$E$84-1)</f>
        <v>5.2473092234052494</v>
      </c>
      <c r="Y263" s="21">
        <f>inputs!$E$82*(F263/inputs!$F$82)^(inputs!$E$84-1)</f>
        <v>2.4184019018171825</v>
      </c>
      <c r="Z263" s="63">
        <f t="shared" si="33"/>
        <v>1454.6069986486061</v>
      </c>
      <c r="AA263" s="63">
        <f t="shared" si="34"/>
        <v>31.499892302790233</v>
      </c>
    </row>
    <row r="264" spans="1:27" x14ac:dyDescent="0.25">
      <c r="A264" s="103" t="s">
        <v>297</v>
      </c>
      <c r="B264" s="20" t="s">
        <v>298</v>
      </c>
      <c r="C264" s="20" t="s">
        <v>73</v>
      </c>
      <c r="D264" s="104" t="s">
        <v>141</v>
      </c>
      <c r="E264" s="15">
        <v>4136</v>
      </c>
      <c r="F264" s="15">
        <v>11.5</v>
      </c>
      <c r="G264" s="20" t="s">
        <v>142</v>
      </c>
      <c r="H264" s="20">
        <v>0.69</v>
      </c>
      <c r="I264" s="48">
        <f>MAX('Min rate concentrations'!$H$3:$H$368)</f>
        <v>47</v>
      </c>
      <c r="J264" s="48">
        <f>MAX('Min rate concentrations'!AA:AA)</f>
        <v>32.5</v>
      </c>
      <c r="K264" s="59">
        <f t="shared" si="32"/>
        <v>41.832571317082817</v>
      </c>
      <c r="L264" s="59">
        <f>((0.398*F264^0.85)/(1-H264))*J264/F264</f>
        <v>28.92677803840833</v>
      </c>
      <c r="M264" s="59">
        <f>IF((((1.18*F264^0.874)-(0.398*F264^0.85)/(1-H264)*H264)*(MAX('Min rate concentrations'!$P$3:$P$368)))/F264&gt;0, (((1.18*F264^0.874)-(0.398*F264^0.85)/(1-H264)*H264)*(MAX('Min rate concentrations'!$P$3:$P$368)))/F264, 0)</f>
        <v>3.6764767479370179E-2</v>
      </c>
      <c r="N264" s="59">
        <f>IF((((1.18*F264^0.874)-(0.398*F264^0.85)/(1-H264)*H264)*(MAX('Min rate concentrations'!$Q$3:$Q$368)))/F264&gt;0, (((1.18*F264^0.874)-(0.398*F264^0.85)/(1-H264)*H264)*(MAX('Min rate concentrations'!$Q$3:$Q$368)))/F264, 0)</f>
        <v>0.14000220999435162</v>
      </c>
      <c r="O264" s="59">
        <f>((MAX('Min rate concentrations'!$F$3:$F$368))*0.62*6.01*8*(10*F264^0.667)*0.079*0.1/F264)*inputs!$E$80/(10^(0.84+0.62*LOG10(inputs!$E$80)))</f>
        <v>10.849002132214297</v>
      </c>
      <c r="P264" s="59">
        <f>((MAX('Min rate concentrations'!Y:Y))*0.62*6.01*8*(10*F264^0.667)*0.079*0.1/F264)*inputs!$E$80/(10^(0.84+0.62*LOG10(inputs!$E$80)))</f>
        <v>3.6163340440714316</v>
      </c>
      <c r="Q264" s="59">
        <f>(inputs!$C$7*11.2*(10*F264^0.667)*0.5/F264)*inputs!$E$80/(10^(0.84+0.62*LOG10(inputs!$E$80)))</f>
        <v>1.9110005554238256</v>
      </c>
      <c r="R264" s="59">
        <f>(60*284*((F264/1000)^0.77)*3*24*(MAX('Min rate concentrations'!$R$3:$R$368))/F264)*(inputs!$E$73*3.4/inputs!$E$75)</f>
        <v>1.309106567809051E-2</v>
      </c>
      <c r="S264" s="59">
        <f>(IF(inputs!$C$6="aerial",((0.025*0.112*inputs!$C$7/3.3)*(3*60*284*((F264/1000)^0.77))*MAX(inputs!$H$14:$H$16))/F264,((0.0083*0.112*inputs!$C$7/1)*(3*60*284*((F264/1000)^0.77))*MAX(inputs!$H$14:$H$16))/F264))*(inputs!E$75*3.4/inputs!$E$73)</f>
        <v>7.2198031507610352E-2</v>
      </c>
      <c r="T264" s="63">
        <f>IF((((inputs!$P$12/(V264/MAX(K264:S264)))^(1/inputs!$O$12))-1)/inputs!$N$12&lt;0, 0, IF((((inputs!$P$12/(V264/MAX(K264:S264)))^(1/inputs!$O$12))-1)/inputs!$N$12&gt;inputs!$H$17, inputs!$H$17, (((inputs!$P$12/(V264/MAX(K264:S264)))^(1/inputs!$O$12))-1)/inputs!$N$12))</f>
        <v>319.79720199479164</v>
      </c>
      <c r="U264" s="63">
        <f>IF((((inputs!$P$12/(X264/MAX(K264:S264)))^(1/inputs!$O$12))-1)/inputs!$N$12&lt;0, 0, IF((((inputs!$P$12/(X264/MAX(K264:S264)))^(1/inputs!$O$12))-1)/inputs!$N$12&gt;inputs!$H$17, inputs!$H$17, (((inputs!$P$12/(X264/MAX(K264:S264)))^(1/inputs!$O$12))-1)/inputs!$N$12))</f>
        <v>14.38653976537211</v>
      </c>
      <c r="V264" s="21">
        <f>inputs!$E$78*(F264/inputs!$F$78)^(inputs!$E$84-1)</f>
        <v>4.2295620435803684E-2</v>
      </c>
      <c r="W264" s="21">
        <f>inputs!$E$85*(F264/inputs!$F$85)^(inputs!$E$84-1)</f>
        <v>1.9531338363545885</v>
      </c>
      <c r="X264" s="21">
        <f>inputs!$E$80*(F264/inputs!$F$80)^(inputs!$E$84-1)</f>
        <v>7.2933478699316909</v>
      </c>
      <c r="Y264" s="21">
        <f>inputs!$E$82*(F264/inputs!$F$82)^(inputs!$E$84-1)</f>
        <v>3.3613887820033455</v>
      </c>
      <c r="Z264" s="63">
        <f t="shared" si="33"/>
        <v>989.05207882164336</v>
      </c>
      <c r="AA264" s="63">
        <f t="shared" si="34"/>
        <v>21.41817961392799</v>
      </c>
    </row>
    <row r="265" spans="1:27" x14ac:dyDescent="0.25">
      <c r="A265" s="103" t="s">
        <v>297</v>
      </c>
      <c r="B265" s="20" t="s">
        <v>298</v>
      </c>
      <c r="C265" s="20" t="s">
        <v>73</v>
      </c>
      <c r="D265" s="104" t="s">
        <v>141</v>
      </c>
      <c r="E265" s="15">
        <v>4136</v>
      </c>
      <c r="F265" s="15">
        <v>11.5</v>
      </c>
      <c r="G265" s="20" t="s">
        <v>152</v>
      </c>
      <c r="H265" s="20">
        <v>0.77</v>
      </c>
      <c r="I265" s="48">
        <f>MAX('Min rate concentrations'!$G$3:$G$368)</f>
        <v>7.5</v>
      </c>
      <c r="J265" s="48">
        <f>MAX('Min rate concentrations'!Z:Z)</f>
        <v>3.5</v>
      </c>
      <c r="K265" s="59">
        <f t="shared" si="32"/>
        <v>8.99729216579256</v>
      </c>
      <c r="L265" s="59">
        <f>((0.398*F265^0.85)/(1-H265))*J265/F265</f>
        <v>4.1987363440365275</v>
      </c>
      <c r="M265" s="59">
        <f>IF((((1.18*F265^0.874)-(0.398*F265^0.85)/(1-H265)*H265)*(MAX('Min rate concentrations'!$P$3:$P$368)))/F265&gt;0, (((1.18*F265^0.874)-(0.398*F265^0.85)/(1-H265)*H265)*(MAX('Min rate concentrations'!$P$3:$P$368)))/F265, 0)</f>
        <v>0</v>
      </c>
      <c r="N265" s="59">
        <f>IF((((1.18*F265^0.874)-(0.398*F265^0.85)/(1-H265)*H265)*(MAX('Min rate concentrations'!$Q$3:$Q$368)))/F265&gt;0, (((1.18*F265^0.874)-(0.398*F265^0.85)/(1-H265)*H265)*(MAX('Min rate concentrations'!$Q$3:$Q$368)))/F265, 0)</f>
        <v>0</v>
      </c>
      <c r="O265" s="59">
        <f>((MAX('Min rate concentrations'!$F$3:$F$368))*0.62*6.01*8*(10*F265^0.667)*0.079*0.1/F265)*inputs!$E$80/(10^(0.84+0.62*LOG10(inputs!$E$80)))</f>
        <v>10.849002132214297</v>
      </c>
      <c r="P265" s="59">
        <f>((MAX('Min rate concentrations'!Y:Y))*0.62*6.01*8*(10*F265^0.667)*0.079*0.1/F265)*inputs!$E$80/(10^(0.84+0.62*LOG10(inputs!$E$80)))</f>
        <v>3.6163340440714316</v>
      </c>
      <c r="Q265" s="59">
        <f>(inputs!$C$7*11.2*(10*F265^0.667)*0.5/F265)*inputs!$E$80/(10^(0.84+0.62*LOG10(inputs!$E$80)))</f>
        <v>1.9110005554238256</v>
      </c>
      <c r="R265" s="59">
        <f>(60*284*((F265/1000)^0.77)*3*24*(MAX('Min rate concentrations'!$R$3:$R$368))/F265)*(inputs!$E$73*3.4/inputs!$E$75)</f>
        <v>1.309106567809051E-2</v>
      </c>
      <c r="S265" s="59">
        <f>(IF(inputs!$C$6="aerial",((0.025*0.112*inputs!$C$7/3.3)*(3*60*284*((F265/1000)^0.77))*MAX(inputs!$H$14:$H$16))/F265,((0.0083*0.112*inputs!$C$7/1)*(3*60*284*((F265/1000)^0.77))*MAX(inputs!$H$14:$H$16))/F265))*(inputs!E$75*3.4/inputs!$E$73)</f>
        <v>7.2198031507610352E-2</v>
      </c>
      <c r="T265" s="63">
        <f>IF((((inputs!$P$12/(V265/MAX(K265:S265)))^(1/inputs!$O$12))-1)/inputs!$N$12&lt;0, 0, IF((((inputs!$P$12/(V265/MAX(K265:S265)))^(1/inputs!$O$12))-1)/inputs!$N$12&gt;inputs!$H$17, inputs!$H$17, (((inputs!$P$12/(V265/MAX(K265:S265)))^(1/inputs!$O$12))-1)/inputs!$N$12))</f>
        <v>172.66911534741368</v>
      </c>
      <c r="U265" s="63">
        <f>IF((((inputs!$P$12/(X265/MAX(K265:S265)))^(1/inputs!$O$12))-1)/inputs!$N$12&lt;0, 0, IF((((inputs!$P$12/(X265/MAX(K265:S265)))^(1/inputs!$O$12))-1)/inputs!$N$12&gt;inputs!$H$17, inputs!$H$17, (((inputs!$P$12/(X265/MAX(K265:S265)))^(1/inputs!$O$12))-1)/inputs!$N$12))</f>
        <v>0</v>
      </c>
      <c r="V265" s="21">
        <f>inputs!$E$78*(F265/inputs!$F$78)^(inputs!$E$84-1)</f>
        <v>4.2295620435803684E-2</v>
      </c>
      <c r="W265" s="21">
        <f>inputs!$E$85*(F265/inputs!$F$85)^(inputs!$E$84-1)</f>
        <v>1.9531338363545885</v>
      </c>
      <c r="X265" s="21">
        <f>inputs!$E$80*(F265/inputs!$F$80)^(inputs!$E$84-1)</f>
        <v>7.2933478699316909</v>
      </c>
      <c r="Y265" s="21">
        <f>inputs!$E$82*(F265/inputs!$F$82)^(inputs!$E$84-1)</f>
        <v>3.3613887820033455</v>
      </c>
      <c r="Z265" s="63">
        <f t="shared" si="33"/>
        <v>256.50414913952898</v>
      </c>
      <c r="AA265" s="63">
        <f t="shared" si="34"/>
        <v>5.5546639612077646</v>
      </c>
    </row>
    <row r="266" spans="1:27" x14ac:dyDescent="0.25">
      <c r="A266" s="103" t="s">
        <v>297</v>
      </c>
      <c r="B266" s="20" t="s">
        <v>298</v>
      </c>
      <c r="C266" s="20" t="s">
        <v>73</v>
      </c>
      <c r="D266" s="104" t="s">
        <v>141</v>
      </c>
      <c r="E266" s="15">
        <v>4136</v>
      </c>
      <c r="F266" s="15">
        <v>11.5</v>
      </c>
      <c r="G266" s="20" t="s">
        <v>153</v>
      </c>
      <c r="H266" s="20">
        <v>0.7</v>
      </c>
      <c r="I266" s="48">
        <f>MAX('Min rate concentrations'!$E$3:$E$368)</f>
        <v>55</v>
      </c>
      <c r="J266" s="48">
        <f>MAX('Min rate concentrations'!X:X)</f>
        <v>18</v>
      </c>
      <c r="K266" s="59">
        <f t="shared" si="32"/>
        <v>50.584775954344828</v>
      </c>
      <c r="L266" s="59"/>
      <c r="M266" s="59">
        <f>IF((((1.18*F266^0.874)-(0.398*F266^0.85)/(1-H266)*H266)*(MAX('Min rate concentrations'!$P$3:$P$368)))/F266&gt;0, (((1.18*F266^0.874)-(0.398*F266^0.85)/(1-H266)*H266)*(MAX('Min rate concentrations'!$P$3:$P$368)))/F266, 0)</f>
        <v>3.2458444531948454E-2</v>
      </c>
      <c r="N266" s="59">
        <f>IF((((1.18*F266^0.874)-(0.398*F266^0.85)/(1-H266)*H266)*(MAX('Min rate concentrations'!$Q$3:$Q$368)))/F266&gt;0, (((1.18*F266^0.874)-(0.398*F266^0.85)/(1-H266)*H266)*(MAX('Min rate concentrations'!$Q$3:$Q$368)))/F266, 0)</f>
        <v>0.12360350082458103</v>
      </c>
      <c r="O266" s="59">
        <f>((MAX('Min rate concentrations'!$F$3:$F$368))*0.62*6.01*8*(10*F266^0.667)*0.079*0.1/F266)*inputs!$E$80/(10^(0.84+0.62*LOG10(inputs!$E$80)))</f>
        <v>10.849002132214297</v>
      </c>
      <c r="P266" s="59">
        <f>((MAX('Min rate concentrations'!Y:Y))*0.62*6.01*8*(10*F266^0.667)*0.079*0.1/F266)*inputs!$E$80/(10^(0.84+0.62*LOG10(inputs!$E$80)))</f>
        <v>3.6163340440714316</v>
      </c>
      <c r="Q266" s="59">
        <f>(inputs!$C$7*11.2*(10*F266^0.667)*0.5/F266)*inputs!$E$80/(10^(0.84+0.62*LOG10(inputs!$E$80)))</f>
        <v>1.9110005554238256</v>
      </c>
      <c r="R266" s="59">
        <f>(60*284*((F266/1000)^0.77)*3*24*(MAX('Min rate concentrations'!$R$3:$R$368))/F266)*(inputs!$E$73*3.4/inputs!$E$75)</f>
        <v>1.309106567809051E-2</v>
      </c>
      <c r="S266" s="59">
        <f>(IF(inputs!$C$6="aerial",((0.025*0.112*inputs!$C$7/3.3)*(3*60*284*((F266/1000)^0.77))*MAX(inputs!$H$14:$H$16))/F266,((0.0083*0.112*inputs!$C$7/1)*(3*60*284*((F266/1000)^0.77))*MAX(inputs!$H$14:$H$16))/F266))*(inputs!E$75*3.4/inputs!$E$73)</f>
        <v>7.2198031507610352E-2</v>
      </c>
      <c r="T266" s="63">
        <f>IF((((inputs!$P$12/(V266/MAX(K266:S266)))^(1/inputs!$O$12))-1)/inputs!$N$12&lt;0, 0, IF((((inputs!$P$12/(V266/MAX(K266:S266)))^(1/inputs!$O$12))-1)/inputs!$N$12&gt;inputs!$H$17, inputs!$H$17, (((inputs!$P$12/(V266/MAX(K266:S266)))^(1/inputs!$O$12))-1)/inputs!$N$12))</f>
        <v>347.77631910909548</v>
      </c>
      <c r="U266" s="63">
        <f>IF((((inputs!$P$12/(X266/MAX(K266:S266)))^(1/inputs!$O$12))-1)/inputs!$N$12&lt;0, 0, IF((((inputs!$P$12/(X266/MAX(K266:S266)))^(1/inputs!$O$12))-1)/inputs!$N$12&gt;inputs!$H$17, inputs!$H$17, (((inputs!$P$12/(X266/MAX(K266:S266)))^(1/inputs!$O$12))-1)/inputs!$N$12))</f>
        <v>17.830962700451789</v>
      </c>
      <c r="V266" s="21">
        <f>inputs!$E$78*(F266/inputs!$F$78)^(inputs!$E$84-1)</f>
        <v>4.2295620435803684E-2</v>
      </c>
      <c r="W266" s="21">
        <f>inputs!$E$85*(F266/inputs!$F$85)^(inputs!$E$84-1)</f>
        <v>1.9531338363545885</v>
      </c>
      <c r="X266" s="21">
        <f>inputs!$E$80*(F266/inputs!$F$80)^(inputs!$E$84-1)</f>
        <v>7.2933478699316909</v>
      </c>
      <c r="Y266" s="21">
        <f>inputs!$E$82*(F266/inputs!$F$82)^(inputs!$E$84-1)</f>
        <v>3.3613887820033455</v>
      </c>
      <c r="Z266" s="63">
        <f t="shared" si="33"/>
        <v>1195.9814144616328</v>
      </c>
      <c r="AA266" s="63">
        <f t="shared" si="34"/>
        <v>25.899288114714345</v>
      </c>
    </row>
    <row r="267" spans="1:27" x14ac:dyDescent="0.25">
      <c r="A267" s="103" t="s">
        <v>368</v>
      </c>
      <c r="B267" s="20" t="s">
        <v>369</v>
      </c>
      <c r="C267" s="20" t="s">
        <v>73</v>
      </c>
      <c r="D267" s="104" t="s">
        <v>141</v>
      </c>
      <c r="E267" s="15">
        <v>93</v>
      </c>
      <c r="F267" s="15">
        <v>5.0999999999999996</v>
      </c>
      <c r="G267" s="20" t="s">
        <v>142</v>
      </c>
      <c r="H267" s="20">
        <v>0.69</v>
      </c>
      <c r="I267" s="48">
        <f>MAX('Min rate concentrations'!$H$3:$H$368)</f>
        <v>47</v>
      </c>
      <c r="J267" s="48">
        <f>MAX('Min rate concentrations'!AA:AA)</f>
        <v>32.5</v>
      </c>
      <c r="K267" s="59">
        <f t="shared" si="32"/>
        <v>47.25891099077343</v>
      </c>
      <c r="L267" s="59">
        <f>((0.398*F267^0.85)/(1-H267))*J267/F267</f>
        <v>32.679034195747583</v>
      </c>
      <c r="M267" s="59">
        <f>IF((((1.18*F267^0.874)-(0.398*F267^0.85)/(1-H267)*H267)*(MAX('Min rate concentrations'!$P$3:$P$368)))/F267&gt;0, (((1.18*F267^0.874)-(0.398*F267^0.85)/(1-H267)*H267)*(MAX('Min rate concentrations'!$P$3:$P$368)))/F267, 0)</f>
        <v>3.8784938264384575E-2</v>
      </c>
      <c r="N267" s="59">
        <f>IF((((1.18*F267^0.874)-(0.398*F267^0.85)/(1-H267)*H267)*(MAX('Min rate concentrations'!$Q$3:$Q$368)))/F267&gt;0, (((1.18*F267^0.874)-(0.398*F267^0.85)/(1-H267)*H267)*(MAX('Min rate concentrations'!$Q$3:$Q$368)))/F267, 0)</f>
        <v>0.14769512889086697</v>
      </c>
      <c r="O267" s="59">
        <f>((MAX('Min rate concentrations'!$F$3:$F$368))*0.62*6.01*8*(10*F267^0.667)*0.079*0.1/F267)*inputs!$E$80/(10^(0.84+0.62*LOG10(inputs!$E$80)))</f>
        <v>14.222675674289524</v>
      </c>
      <c r="P267" s="59">
        <f>((MAX('Min rate concentrations'!Y:Y))*0.62*6.01*8*(10*F267^0.667)*0.079*0.1/F267)*inputs!$E$80/(10^(0.84+0.62*LOG10(inputs!$E$80)))</f>
        <v>4.7408918914298415</v>
      </c>
      <c r="Q267" s="59">
        <f>(inputs!$C$7*11.2*(10*F267^0.667)*0.5/F267)*inputs!$E$80/(10^(0.84+0.62*LOG10(inputs!$E$80)))</f>
        <v>2.5052572376656759</v>
      </c>
      <c r="R267" s="59">
        <f>(60*284*((F267/1000)^0.77)*3*24*(MAX('Min rate concentrations'!$R$3:$R$368))/F267)*(inputs!$E$73*3.4/inputs!$E$75)</f>
        <v>1.5783174731515144E-2</v>
      </c>
      <c r="S267" s="59">
        <f>(IF(inputs!$C$6="aerial",((0.025*0.112*inputs!$C$7/3.3)*(3*60*284*((F267/1000)^0.77))*MAX(inputs!$H$14:$H$16))/F267,((0.0083*0.112*inputs!$C$7/1)*(3*60*284*((F267/1000)^0.77))*MAX(inputs!$H$14:$H$16))/F267))*(inputs!E$75*3.4/inputs!$E$73)</f>
        <v>8.7045178335875689E-2</v>
      </c>
      <c r="T267" s="63">
        <f>IF((((inputs!$P$12/(V267/MAX(K267:S267)))^(1/inputs!$O$12))-1)/inputs!$N$12&lt;0, 0, IF((((inputs!$P$12/(V267/MAX(K267:S267)))^(1/inputs!$O$12))-1)/inputs!$N$12&gt;inputs!$H$17, inputs!$H$17, (((inputs!$P$12/(V267/MAX(K267:S267)))^(1/inputs!$O$12))-1)/inputs!$N$12))</f>
        <v>295.3563510364408</v>
      </c>
      <c r="U267" s="63">
        <f>IF((((inputs!$P$12/(X267/MAX(K267:S267)))^(1/inputs!$O$12))-1)/inputs!$N$12&lt;0, 0, IF((((inputs!$P$12/(X267/MAX(K267:S267)))^(1/inputs!$O$12))-1)/inputs!$N$12&gt;inputs!$H$17, inputs!$H$17, (((inputs!$P$12/(X267/MAX(K267:S267)))^(1/inputs!$O$12))-1)/inputs!$N$12))</f>
        <v>11.377701879248473</v>
      </c>
      <c r="V267" s="21">
        <f>inputs!$E$78*(F267/inputs!$F$78)^(inputs!$E$84-1)</f>
        <v>5.7141631454811805E-2</v>
      </c>
      <c r="W267" s="21">
        <f>inputs!$E$85*(F267/inputs!$F$85)^(inputs!$E$84-1)</f>
        <v>2.6386952764599139</v>
      </c>
      <c r="X267" s="21">
        <f>inputs!$E$80*(F267/inputs!$F$80)^(inputs!$E$84-1)</f>
        <v>9.8533557791857547</v>
      </c>
      <c r="Y267" s="21">
        <f>inputs!$E$82*(F267/inputs!$F$82)^(inputs!$E$84-1)</f>
        <v>4.5412559735139908</v>
      </c>
      <c r="Z267" s="63">
        <f t="shared" si="33"/>
        <v>827.04868215298097</v>
      </c>
      <c r="AA267" s="63">
        <f t="shared" si="34"/>
        <v>17.909953988387855</v>
      </c>
    </row>
    <row r="268" spans="1:27" x14ac:dyDescent="0.25">
      <c r="A268" s="103" t="s">
        <v>370</v>
      </c>
      <c r="B268" s="20" t="s">
        <v>371</v>
      </c>
      <c r="C268" s="20" t="s">
        <v>73</v>
      </c>
      <c r="D268" s="104" t="s">
        <v>141</v>
      </c>
      <c r="E268" s="15">
        <v>138</v>
      </c>
      <c r="F268" s="15">
        <v>9</v>
      </c>
      <c r="G268" s="20" t="s">
        <v>142</v>
      </c>
      <c r="H268" s="20">
        <v>0.69</v>
      </c>
      <c r="I268" s="48">
        <f>MAX('Min rate concentrations'!$H$3:$H$368)</f>
        <v>47</v>
      </c>
      <c r="J268" s="48">
        <f>MAX('Min rate concentrations'!AA:AA)</f>
        <v>32.5</v>
      </c>
      <c r="K268" s="59">
        <f t="shared" si="32"/>
        <v>43.399313495919074</v>
      </c>
      <c r="L268" s="59">
        <f>((0.398*F268^0.85)/(1-H268))*J268/F268</f>
        <v>30.010163587603611</v>
      </c>
      <c r="M268" s="59">
        <f>IF((((1.18*F268^0.874)-(0.398*F268^0.85)/(1-H268)*H268)*(MAX('Min rate concentrations'!$P$3:$P$368)))/F268&gt;0, (((1.18*F268^0.874)-(0.398*F268^0.85)/(1-H268)*H268)*(MAX('Min rate concentrations'!$P$3:$P$368)))/F268, 0)</f>
        <v>3.7375526395555858E-2</v>
      </c>
      <c r="N268" s="59">
        <f>IF((((1.18*F268^0.874)-(0.398*F268^0.85)/(1-H268)*H268)*(MAX('Min rate concentrations'!$Q$3:$Q$368)))/F268&gt;0, (((1.18*F268^0.874)-(0.398*F268^0.85)/(1-H268)*H268)*(MAX('Min rate concentrations'!$Q$3:$Q$368)))/F268, 0)</f>
        <v>0.14232801276429247</v>
      </c>
      <c r="O268" s="59">
        <f>((MAX('Min rate concentrations'!$F$3:$F$368))*0.62*6.01*8*(10*F268^0.667)*0.079*0.1/F268)*inputs!$E$80/(10^(0.84+0.62*LOG10(inputs!$E$80)))</f>
        <v>11.771706345585295</v>
      </c>
      <c r="P268" s="59">
        <f>((MAX('Min rate concentrations'!Y:Y))*0.62*6.01*8*(10*F268^0.667)*0.079*0.1/F268)*inputs!$E$80/(10^(0.84+0.62*LOG10(inputs!$E$80)))</f>
        <v>3.923902115195097</v>
      </c>
      <c r="Q268" s="59">
        <f>(inputs!$C$7*11.2*(10*F268^0.667)*0.5/F268)*inputs!$E$80/(10^(0.84+0.62*LOG10(inputs!$E$80)))</f>
        <v>2.0735305506026531</v>
      </c>
      <c r="R268" s="59">
        <f>(60*284*((F268/1000)^0.77)*3*24*(MAX('Min rate concentrations'!$R$3:$R$368))/F268)*(inputs!$E$73*3.4/inputs!$E$75)</f>
        <v>1.3850317458672915E-2</v>
      </c>
      <c r="S268" s="59">
        <f>(IF(inputs!$C$6="aerial",((0.025*0.112*inputs!$C$7/3.3)*(3*60*284*((F268/1000)^0.77))*MAX(inputs!$H$14:$H$16))/F268,((0.0083*0.112*inputs!$C$7/1)*(3*60*284*((F268/1000)^0.77))*MAX(inputs!$H$14:$H$16))/F268))*(inputs!E$75*3.4/inputs!$E$73)</f>
        <v>7.6385351724667955E-2</v>
      </c>
      <c r="T268" s="63">
        <f>IF((((inputs!$P$12/(V268/MAX(K268:S268)))^(1/inputs!$O$12))-1)/inputs!$N$12&lt;0, 0, IF((((inputs!$P$12/(V268/MAX(K268:S268)))^(1/inputs!$O$12))-1)/inputs!$N$12&gt;inputs!$H$17, inputs!$H$17, (((inputs!$P$12/(V268/MAX(K268:S268)))^(1/inputs!$O$12))-1)/inputs!$N$12))</f>
        <v>312.24104007368601</v>
      </c>
      <c r="U268" s="63">
        <f>IF((((inputs!$P$12/(X268/MAX(K268:S268)))^(1/inputs!$O$12))-1)/inputs!$N$12&lt;0, 0, IF((((inputs!$P$12/(X268/MAX(K268:S268)))^(1/inputs!$O$12))-1)/inputs!$N$12&gt;inputs!$H$17, inputs!$H$17, (((inputs!$P$12/(X268/MAX(K268:S268)))^(1/inputs!$O$12))-1)/inputs!$N$12))</f>
        <v>13.456323943482374</v>
      </c>
      <c r="V268" s="21">
        <f>inputs!$E$78*(F268/inputs!$F$78)^(inputs!$E$84-1)</f>
        <v>4.6310969457897193E-2</v>
      </c>
      <c r="W268" s="21">
        <f>inputs!$E$85*(F268/inputs!$F$85)^(inputs!$E$84-1)</f>
        <v>2.138555257272801</v>
      </c>
      <c r="X268" s="21">
        <f>inputs!$E$80*(F268/inputs!$F$80)^(inputs!$E$84-1)</f>
        <v>7.9857443151326102</v>
      </c>
      <c r="Y268" s="21">
        <f>inputs!$E$82*(F268/inputs!$F$82)^(inputs!$E$84-1)</f>
        <v>3.680503362180251</v>
      </c>
      <c r="Z268" s="63">
        <f t="shared" si="33"/>
        <v>937.12815784119573</v>
      </c>
      <c r="AA268" s="63">
        <f t="shared" si="34"/>
        <v>20.293753620967539</v>
      </c>
    </row>
    <row r="269" spans="1:27" x14ac:dyDescent="0.25">
      <c r="A269" s="103" t="s">
        <v>162</v>
      </c>
      <c r="B269" s="20" t="s">
        <v>163</v>
      </c>
      <c r="C269" s="20" t="s">
        <v>73</v>
      </c>
      <c r="D269" s="104" t="s">
        <v>141</v>
      </c>
      <c r="E269" s="15">
        <v>85</v>
      </c>
      <c r="F269" s="15">
        <v>19.8</v>
      </c>
      <c r="G269" s="20" t="s">
        <v>142</v>
      </c>
      <c r="H269" s="20">
        <v>0.69</v>
      </c>
      <c r="I269" s="48">
        <f>MAX('Min rate concentrations'!$H$3:$H$368)</f>
        <v>47</v>
      </c>
      <c r="J269" s="48">
        <f>MAX('Min rate concentrations'!AA:AA)</f>
        <v>32.5</v>
      </c>
      <c r="K269" s="59">
        <f t="shared" si="32"/>
        <v>38.558440245532616</v>
      </c>
      <c r="L269" s="59">
        <f>((0.398*F269^0.85)/(1-H269))*J269/F269</f>
        <v>26.662751233612983</v>
      </c>
      <c r="M269" s="59">
        <f>IF((((1.18*F269^0.874)-(0.398*F269^0.85)/(1-H269)*H269)*(MAX('Min rate concentrations'!$P$3:$P$368)))/F269&gt;0, (((1.18*F269^0.874)-(0.398*F269^0.85)/(1-H269)*H269)*(MAX('Min rate concentrations'!$P$3:$P$368)))/F269, 0)</f>
        <v>3.5410504368202207E-2</v>
      </c>
      <c r="N269" s="59">
        <f>IF((((1.18*F269^0.874)-(0.398*F269^0.85)/(1-H269)*H269)*(MAX('Min rate concentrations'!$Q$3:$Q$368)))/F269&gt;0, (((1.18*F269^0.874)-(0.398*F269^0.85)/(1-H269)*H269)*(MAX('Min rate concentrations'!$Q$3:$Q$368)))/F269, 0)</f>
        <v>0.13484510330018493</v>
      </c>
      <c r="O269" s="59">
        <f>((MAX('Min rate concentrations'!$F$3:$F$368))*0.62*6.01*8*(10*F269^0.667)*0.079*0.1/F269)*inputs!$E$80/(10^(0.84+0.62*LOG10(inputs!$E$80)))</f>
        <v>9.0534199730357106</v>
      </c>
      <c r="P269" s="59">
        <f>((MAX('Min rate concentrations'!Y:Y))*0.62*6.01*8*(10*F269^0.667)*0.079*0.1/F269)*inputs!$E$80/(10^(0.84+0.62*LOG10(inputs!$E$80)))</f>
        <v>3.01780665767857</v>
      </c>
      <c r="Q269" s="59">
        <f>(inputs!$C$7*11.2*(10*F269^0.667)*0.5/F269)*inputs!$E$80/(10^(0.84+0.62*LOG10(inputs!$E$80)))</f>
        <v>1.5947172270879835</v>
      </c>
      <c r="R269" s="59">
        <f>(60*284*((F269/1000)^0.77)*3*24*(MAX('Min rate concentrations'!$R$3:$R$368))/F269)*(inputs!$E$73*3.4/inputs!$E$75)</f>
        <v>1.1553205843827736E-2</v>
      </c>
      <c r="S269" s="59">
        <f>(IF(inputs!$C$6="aerial",((0.025*0.112*inputs!$C$7/3.3)*(3*60*284*((F269/1000)^0.77))*MAX(inputs!$H$14:$H$16))/F269,((0.0083*0.112*inputs!$C$7/1)*(3*60*284*((F269/1000)^0.77))*MAX(inputs!$H$14:$H$16))/F269))*(inputs!E$75*3.4/inputs!$E$73)</f>
        <v>6.3716640038143105E-2</v>
      </c>
      <c r="T269" s="63">
        <f>IF((((inputs!$P$12/(V269/MAX(K269:S269)))^(1/inputs!$O$12))-1)/inputs!$N$12&lt;0, 0, IF((((inputs!$P$12/(V269/MAX(K269:S269)))^(1/inputs!$O$12))-1)/inputs!$N$12&gt;inputs!$H$17, inputs!$H$17, (((inputs!$P$12/(V269/MAX(K269:S269)))^(1/inputs!$O$12))-1)/inputs!$N$12))</f>
        <v>337.14882590851443</v>
      </c>
      <c r="U269" s="63">
        <f>IF((((inputs!$P$12/(X269/MAX(K269:S269)))^(1/inputs!$O$12))-1)/inputs!$N$12&lt;0, 0, IF((((inputs!$P$12/(X269/MAX(K269:S269)))^(1/inputs!$O$12))-1)/inputs!$N$12&gt;inputs!$H$17, inputs!$H$17, (((inputs!$P$12/(X269/MAX(K269:S269)))^(1/inputs!$O$12))-1)/inputs!$N$12))</f>
        <v>16.522644744136787</v>
      </c>
      <c r="V269" s="21">
        <f>inputs!$E$78*(F269/inputs!$F$78)^(inputs!$E$84-1)</f>
        <v>3.4592940554601485E-2</v>
      </c>
      <c r="W269" s="21">
        <f>inputs!$E$85*(F269/inputs!$F$85)^(inputs!$E$84-1)</f>
        <v>1.5974382690223126</v>
      </c>
      <c r="X269" s="21">
        <f>inputs!$E$80*(F269/inputs!$F$80)^(inputs!$E$84-1)</f>
        <v>5.9651175868554702</v>
      </c>
      <c r="Y269" s="21">
        <f>inputs!$E$82*(F269/inputs!$F$82)^(inputs!$E$84-1)</f>
        <v>2.7492284335499075</v>
      </c>
      <c r="Z269" s="63">
        <f t="shared" si="33"/>
        <v>1114.6332062945614</v>
      </c>
      <c r="AA269" s="63">
        <f t="shared" si="34"/>
        <v>24.137671541531127</v>
      </c>
    </row>
    <row r="270" spans="1:27" x14ac:dyDescent="0.25">
      <c r="A270" s="103" t="s">
        <v>162</v>
      </c>
      <c r="B270" s="20" t="s">
        <v>163</v>
      </c>
      <c r="C270" s="20" t="s">
        <v>73</v>
      </c>
      <c r="D270" s="104" t="s">
        <v>141</v>
      </c>
      <c r="E270" s="15">
        <v>85</v>
      </c>
      <c r="F270" s="15">
        <v>19.8</v>
      </c>
      <c r="G270" s="20" t="s">
        <v>164</v>
      </c>
      <c r="H270" s="20">
        <v>0.78</v>
      </c>
      <c r="I270" s="48">
        <f>inputs!$C$65*(inputs!$C$62/1000)</f>
        <v>0.82000000000000006</v>
      </c>
      <c r="J270" s="48">
        <f>inputs!$C$65*(inputs!$C$61/1000)</f>
        <v>0.25</v>
      </c>
      <c r="K270" s="59">
        <f t="shared" si="32"/>
        <v>0.94792606483698205</v>
      </c>
      <c r="L270" s="59">
        <f>((0.398*F270^0.85)/(1-H270))*J270/F270</f>
        <v>0.28900184903566528</v>
      </c>
      <c r="M270" s="59">
        <f>IF((((1.18*F270^0.874)-(0.398*F270^0.85)/(1-H270)*H270)*(MAX('Min rate concentrations'!$P$3:$P$368)))/F270&gt;0, (((1.18*F270^0.874)-(0.398*F270^0.85)/(1-H270)*H270)*(MAX('Min rate concentrations'!$P$3:$P$368)))/F270, 0)</f>
        <v>0</v>
      </c>
      <c r="N270" s="59">
        <f>IF((((1.18*F270^0.874)-(0.398*F270^0.85)/(1-H270)*H270)*(MAX('Min rate concentrations'!$Q$3:$Q$368)))/F270&gt;0, (((1.18*F270^0.874)-(0.398*F270^0.85)/(1-H270)*H270)*(MAX('Min rate concentrations'!$Q$3:$Q$368)))/F270, 0)</f>
        <v>0</v>
      </c>
      <c r="O270" s="59">
        <f>((MAX('Min rate concentrations'!$F$3:$F$368))*0.62*6.01*8*(10*F270^0.667)*0.079*0.1/F270)*inputs!$E$80/(10^(0.84+0.62*LOG10(inputs!$E$80)))</f>
        <v>9.0534199730357106</v>
      </c>
      <c r="P270" s="59">
        <f>((MAX('Min rate concentrations'!Y:Y))*0.62*6.01*8*(10*F270^0.667)*0.079*0.1/F270)*inputs!$E$80/(10^(0.84+0.62*LOG10(inputs!$E$80)))</f>
        <v>3.01780665767857</v>
      </c>
      <c r="Q270" s="59">
        <f>(inputs!$C$7*11.2*(10*F270^0.667)*0.5/F270)*inputs!$E$80/(10^(0.84+0.62*LOG10(inputs!$E$80)))</f>
        <v>1.5947172270879835</v>
      </c>
      <c r="R270" s="59">
        <f>(60*284*((F270/1000)^0.77)*3*24*(MAX('Min rate concentrations'!$R$3:$R$368))/F270)*(inputs!$E$73*3.4/inputs!$E$75)</f>
        <v>1.1553205843827736E-2</v>
      </c>
      <c r="S270" s="59">
        <f>(IF(inputs!$C$6="aerial",((0.025*0.112*inputs!$C$7/3.3)*(3*60*284*((F270/1000)^0.77))*MAX(inputs!$H$14:$H$16))/F270,((0.0083*0.112*inputs!$C$7/1)*(3*60*284*((F270/1000)^0.77))*MAX(inputs!$H$14:$H$16))/F270))*(inputs!E$75*3.4/inputs!$E$73)</f>
        <v>6.3716640038143105E-2</v>
      </c>
      <c r="T270" s="63">
        <f>IF((((inputs!$P$12/(V270/MAX(K270:S270)))^(1/inputs!$O$12))-1)/inputs!$N$12&lt;0, 0, IF((((inputs!$P$12/(V270/MAX(K270:S270)))^(1/inputs!$O$12))-1)/inputs!$N$12&gt;inputs!$H$17, inputs!$H$17, (((inputs!$P$12/(V270/MAX(K270:S270)))^(1/inputs!$O$12))-1)/inputs!$N$12))</f>
        <v>174.32068920793239</v>
      </c>
      <c r="U270" s="63">
        <f>IF((((inputs!$P$12/(X270/MAX(K270:S270)))^(1/inputs!$O$12))-1)/inputs!$N$12&lt;0, 0, IF((((inputs!$P$12/(X270/MAX(K270:S270)))^(1/inputs!$O$12))-1)/inputs!$N$12&gt;inputs!$H$17, inputs!$H$17, (((inputs!$P$12/(X270/MAX(K270:S270)))^(1/inputs!$O$12))-1)/inputs!$N$12))</f>
        <v>0</v>
      </c>
      <c r="V270" s="21">
        <f>inputs!$E$78*(F270/inputs!$F$78)^(inputs!$E$84-1)</f>
        <v>3.4592940554601485E-2</v>
      </c>
      <c r="W270" s="21">
        <f>inputs!$E$85*(F270/inputs!$F$85)^(inputs!$E$84-1)</f>
        <v>1.5974382690223126</v>
      </c>
      <c r="X270" s="21">
        <f>inputs!$E$80*(F270/inputs!$F$80)^(inputs!$E$84-1)</f>
        <v>5.9651175868554702</v>
      </c>
      <c r="Y270" s="21">
        <f>inputs!$E$82*(F270/inputs!$F$82)^(inputs!$E$84-1)</f>
        <v>2.7492284335499075</v>
      </c>
      <c r="Z270" s="63">
        <f t="shared" si="33"/>
        <v>261.712934138854</v>
      </c>
      <c r="AA270" s="63">
        <f t="shared" si="34"/>
        <v>5.6674615530381134</v>
      </c>
    </row>
    <row r="271" spans="1:27" x14ac:dyDescent="0.25">
      <c r="A271" s="103" t="s">
        <v>162</v>
      </c>
      <c r="B271" s="20" t="s">
        <v>163</v>
      </c>
      <c r="C271" s="20" t="s">
        <v>73</v>
      </c>
      <c r="D271" s="104" t="s">
        <v>141</v>
      </c>
      <c r="E271" s="15">
        <v>85</v>
      </c>
      <c r="F271" s="15">
        <v>19.8</v>
      </c>
      <c r="G271" s="20" t="s">
        <v>154</v>
      </c>
      <c r="H271" s="20">
        <v>9.2999999999999999E-2</v>
      </c>
      <c r="I271" s="48">
        <f>MAX('Min rate concentrations'!$G$3:$G$368)</f>
        <v>7.5</v>
      </c>
      <c r="J271" s="48">
        <f>MAX('Min rate concentrations'!Z:Z)</f>
        <v>3.5</v>
      </c>
      <c r="K271" s="59">
        <f t="shared" si="32"/>
        <v>2.1029903016928229</v>
      </c>
      <c r="L271" s="59"/>
      <c r="M271" s="59">
        <f>IF((((1.18*F271^0.874)-(0.398*F271^0.85)/(1-H271)*H271)*(MAX('Min rate concentrations'!$P$3:$P$368)))/F271&gt;0, (((1.18*F271^0.874)-(0.398*F271^0.85)/(1-H271)*H271)*(MAX('Min rate concentrations'!$P$3:$P$368)))/F271, 0)</f>
        <v>0.1137895177543683</v>
      </c>
      <c r="N271" s="59">
        <f>IF((((1.18*F271^0.874)-(0.398*F271^0.85)/(1-H271)*H271)*(MAX('Min rate concentrations'!$Q$3:$Q$368)))/F271&gt;0, (((1.18*F271^0.874)-(0.398*F271^0.85)/(1-H271)*H271)*(MAX('Min rate concentrations'!$Q$3:$Q$368)))/F271, 0)</f>
        <v>0.43331659771117331</v>
      </c>
      <c r="O271" s="59">
        <f>((MAX('Min rate concentrations'!$F$3:$F$368))*0.62*6.01*8*(10*F271^0.667)*0.079*0.1/F271)*inputs!$E$80/(10^(0.84+0.62*LOG10(inputs!$E$80)))</f>
        <v>9.0534199730357106</v>
      </c>
      <c r="P271" s="59">
        <f>((MAX('Min rate concentrations'!Y:Y))*0.62*6.01*8*(10*F271^0.667)*0.079*0.1/F271)*inputs!$E$80/(10^(0.84+0.62*LOG10(inputs!$E$80)))</f>
        <v>3.01780665767857</v>
      </c>
      <c r="Q271" s="59">
        <f>(inputs!$C$7*11.2*(10*F271^0.667)*0.5/F271)*inputs!$E$80/(10^(0.84+0.62*LOG10(inputs!$E$80)))</f>
        <v>1.5947172270879835</v>
      </c>
      <c r="R271" s="59">
        <f>(60*284*((F271/1000)^0.77)*3*24*(MAX('Min rate concentrations'!$R$3:$R$368))/F271)*(inputs!$E$73*3.4/inputs!$E$75)</f>
        <v>1.1553205843827736E-2</v>
      </c>
      <c r="S271" s="59">
        <f>(IF(inputs!$C$6="aerial",((0.025*0.112*inputs!$C$7/3.3)*(3*60*284*((F271/1000)^0.77))*MAX(inputs!$H$14:$H$16))/F271,((0.0083*0.112*inputs!$C$7/1)*(3*60*284*((F271/1000)^0.77))*MAX(inputs!$H$14:$H$16))/F271))*(inputs!E$75*3.4/inputs!$E$73)</f>
        <v>6.3716640038143105E-2</v>
      </c>
      <c r="T271" s="63">
        <f>IF((((inputs!$P$12/(V271/MAX(K271:S271)))^(1/inputs!$O$12))-1)/inputs!$N$12&lt;0, 0, IF((((inputs!$P$12/(V271/MAX(K271:S271)))^(1/inputs!$O$12))-1)/inputs!$N$12&gt;inputs!$H$17, inputs!$H$17, (((inputs!$P$12/(V271/MAX(K271:S271)))^(1/inputs!$O$12))-1)/inputs!$N$12))</f>
        <v>174.32068920793239</v>
      </c>
      <c r="U271" s="63">
        <f>IF((((inputs!$P$12/(X271/MAX(K271:S271)))^(1/inputs!$O$12))-1)/inputs!$N$12&lt;0, 0, IF((((inputs!$P$12/(X271/MAX(K271:S271)))^(1/inputs!$O$12))-1)/inputs!$N$12&gt;inputs!$H$17, inputs!$H$17, (((inputs!$P$12/(X271/MAX(K271:S271)))^(1/inputs!$O$12))-1)/inputs!$N$12))</f>
        <v>0</v>
      </c>
      <c r="V271" s="21">
        <f>inputs!$E$78*(F271/inputs!$F$78)^(inputs!$E$84-1)</f>
        <v>3.4592940554601485E-2</v>
      </c>
      <c r="W271" s="21">
        <f>inputs!$E$85*(F271/inputs!$F$85)^(inputs!$E$84-1)</f>
        <v>1.5974382690223126</v>
      </c>
      <c r="X271" s="21">
        <f>inputs!$E$80*(F271/inputs!$F$80)^(inputs!$E$84-1)</f>
        <v>5.9651175868554702</v>
      </c>
      <c r="Y271" s="21">
        <f>inputs!$E$82*(F271/inputs!$F$82)^(inputs!$E$84-1)</f>
        <v>2.7492284335499075</v>
      </c>
      <c r="Z271" s="63">
        <f t="shared" si="33"/>
        <v>261.712934138854</v>
      </c>
      <c r="AA271" s="63">
        <f t="shared" si="34"/>
        <v>5.6674615530381134</v>
      </c>
    </row>
    <row r="272" spans="1:27" x14ac:dyDescent="0.25">
      <c r="A272" s="103" t="s">
        <v>313</v>
      </c>
      <c r="B272" s="20" t="s">
        <v>314</v>
      </c>
      <c r="C272" s="20" t="s">
        <v>73</v>
      </c>
      <c r="D272" s="104" t="s">
        <v>141</v>
      </c>
      <c r="E272" s="15">
        <v>145</v>
      </c>
      <c r="F272" s="15">
        <v>6</v>
      </c>
      <c r="G272" s="20" t="s">
        <v>142</v>
      </c>
      <c r="H272" s="20">
        <v>0.69</v>
      </c>
      <c r="I272" s="48">
        <f>MAX('Min rate concentrations'!$H$3:$H$368)</f>
        <v>47</v>
      </c>
      <c r="J272" s="48">
        <f>MAX('Min rate concentrations'!AA:AA)</f>
        <v>32.5</v>
      </c>
      <c r="K272" s="59">
        <f t="shared" si="32"/>
        <v>46.120769921264973</v>
      </c>
      <c r="L272" s="59">
        <f>((0.398*F272^0.85)/(1-H272))*J272/F272</f>
        <v>31.892021754066203</v>
      </c>
      <c r="M272" s="59">
        <f>IF((((1.18*F272^0.874)-(0.398*F272^0.85)/(1-H272)*H272)*(MAX('Min rate concentrations'!$P$3:$P$368)))/F272&gt;0, (((1.18*F272^0.874)-(0.398*F272^0.85)/(1-H272)*H272)*(MAX('Min rate concentrations'!$P$3:$P$368)))/F272, 0)</f>
        <v>3.8382880355548828E-2</v>
      </c>
      <c r="N272" s="59">
        <f>IF((((1.18*F272^0.874)-(0.398*F272^0.85)/(1-H272)*H272)*(MAX('Min rate concentrations'!$Q$3:$Q$368)))/F272&gt;0, (((1.18*F272^0.874)-(0.398*F272^0.85)/(1-H272)*H272)*(MAX('Min rate concentrations'!$Q$3:$Q$368)))/F272, 0)</f>
        <v>0.14616407077077148</v>
      </c>
      <c r="O272" s="59">
        <f>((MAX('Min rate concentrations'!$F$3:$F$368))*0.62*6.01*8*(10*F272^0.667)*0.079*0.1/F272)*inputs!$E$80/(10^(0.84+0.62*LOG10(inputs!$E$80)))</f>
        <v>13.473418789480668</v>
      </c>
      <c r="P272" s="59">
        <f>((MAX('Min rate concentrations'!Y:Y))*0.62*6.01*8*(10*F272^0.667)*0.079*0.1/F272)*inputs!$E$80/(10^(0.84+0.62*LOG10(inputs!$E$80)))</f>
        <v>4.4911395964935545</v>
      </c>
      <c r="Q272" s="59">
        <f>(inputs!$C$7*11.2*(10*F272^0.667)*0.5/F272)*inputs!$E$80/(10^(0.84+0.62*LOG10(inputs!$E$80)))</f>
        <v>2.3732791713351999</v>
      </c>
      <c r="R272" s="59">
        <f>(60*284*((F272/1000)^0.77)*3*24*(MAX('Min rate concentrations'!$R$3:$R$368))/F272)*(inputs!$E$73*3.4/inputs!$E$75)</f>
        <v>1.5204100001785939E-2</v>
      </c>
      <c r="S272" s="59">
        <f>(IF(inputs!$C$6="aerial",((0.025*0.112*inputs!$C$7/3.3)*(3*60*284*((F272/1000)^0.77))*MAX(inputs!$H$14:$H$16))/F272,((0.0083*0.112*inputs!$C$7/1)*(3*60*284*((F272/1000)^0.77))*MAX(inputs!$H$14:$H$16))/F272))*(inputs!E$75*3.4/inputs!$E$73)</f>
        <v>8.3851545624046828E-2</v>
      </c>
      <c r="T272" s="63">
        <f>IF((((inputs!$P$12/(V272/MAX(K272:S272)))^(1/inputs!$O$12))-1)/inputs!$N$12&lt;0, 0, IF((((inputs!$P$12/(V272/MAX(K272:S272)))^(1/inputs!$O$12))-1)/inputs!$N$12&gt;inputs!$H$17, inputs!$H$17, (((inputs!$P$12/(V272/MAX(K272:S272)))^(1/inputs!$O$12))-1)/inputs!$N$12))</f>
        <v>300.1002943519656</v>
      </c>
      <c r="U272" s="63">
        <f>IF((((inputs!$P$12/(X272/MAX(K272:S272)))^(1/inputs!$O$12))-1)/inputs!$N$12&lt;0, 0, IF((((inputs!$P$12/(X272/MAX(K272:S272)))^(1/inputs!$O$12))-1)/inputs!$N$12&gt;inputs!$H$17, inputs!$H$17, (((inputs!$P$12/(X272/MAX(K272:S272)))^(1/inputs!$O$12))-1)/inputs!$N$12))</f>
        <v>11.961714129955206</v>
      </c>
      <c r="V272" s="21">
        <f>inputs!$E$78*(F272/inputs!$F$78)^(inputs!$E$84-1)</f>
        <v>5.3806858710510753E-2</v>
      </c>
      <c r="W272" s="21">
        <f>inputs!$E$85*(F272/inputs!$F$85)^(inputs!$E$84-1)</f>
        <v>2.4847016143186225</v>
      </c>
      <c r="X272" s="21">
        <f>inputs!$E$80*(F272/inputs!$F$80)^(inputs!$E$84-1)</f>
        <v>9.278316154734096</v>
      </c>
      <c r="Y272" s="21">
        <f>inputs!$E$82*(F272/inputs!$F$82)^(inputs!$E$84-1)</f>
        <v>4.2762292975195386</v>
      </c>
      <c r="Z272" s="63">
        <f t="shared" si="33"/>
        <v>857.15410686585267</v>
      </c>
      <c r="AA272" s="63">
        <f t="shared" si="34"/>
        <v>18.561894778626218</v>
      </c>
    </row>
    <row r="273" spans="1:476" x14ac:dyDescent="0.25">
      <c r="A273" s="103" t="s">
        <v>313</v>
      </c>
      <c r="B273" s="20" t="s">
        <v>314</v>
      </c>
      <c r="C273" s="20" t="s">
        <v>73</v>
      </c>
      <c r="D273" s="104" t="s">
        <v>141</v>
      </c>
      <c r="E273" s="15">
        <v>145</v>
      </c>
      <c r="F273" s="15">
        <v>6</v>
      </c>
      <c r="G273" s="20" t="s">
        <v>152</v>
      </c>
      <c r="H273" s="20">
        <v>0.77</v>
      </c>
      <c r="I273" s="48">
        <f>MAX('Min rate concentrations'!$G$3:$G$368)</f>
        <v>7.5</v>
      </c>
      <c r="J273" s="48">
        <f>MAX('Min rate concentrations'!Z:Z)</f>
        <v>3.5</v>
      </c>
      <c r="K273" s="59">
        <f t="shared" si="32"/>
        <v>9.9195920505958437</v>
      </c>
      <c r="L273" s="59">
        <f>((0.398*F273^0.85)/(1-H273))*J273/F273</f>
        <v>4.6291429569447269</v>
      </c>
      <c r="M273" s="59">
        <f>IF((((1.18*F273^0.874)-(0.398*F273^0.85)/(1-H273)*H273)*(MAX('Min rate concentrations'!$P$3:$P$368)))/F273&gt;0, (((1.18*F273^0.874)-(0.398*F273^0.85)/(1-H273)*H273)*(MAX('Min rate concentrations'!$P$3:$P$368)))/F273, 0)</f>
        <v>0</v>
      </c>
      <c r="N273" s="59">
        <f>IF((((1.18*F273^0.874)-(0.398*F273^0.85)/(1-H273)*H273)*(MAX('Min rate concentrations'!$Q$3:$Q$368)))/F273&gt;0, (((1.18*F273^0.874)-(0.398*F273^0.85)/(1-H273)*H273)*(MAX('Min rate concentrations'!$Q$3:$Q$368)))/F273, 0)</f>
        <v>0</v>
      </c>
      <c r="O273" s="59">
        <f>((MAX('Min rate concentrations'!$F$3:$F$368))*0.62*6.01*8*(10*F273^0.667)*0.079*0.1/F273)*inputs!$E$80/(10^(0.84+0.62*LOG10(inputs!$E$80)))</f>
        <v>13.473418789480668</v>
      </c>
      <c r="P273" s="59">
        <f>((MAX('Min rate concentrations'!Y:Y))*0.62*6.01*8*(10*F273^0.667)*0.079*0.1/F273)*inputs!$E$80/(10^(0.84+0.62*LOG10(inputs!$E$80)))</f>
        <v>4.4911395964935545</v>
      </c>
      <c r="Q273" s="59">
        <f>(inputs!$C$7*11.2*(10*F273^0.667)*0.5/F273)*inputs!$E$80/(10^(0.84+0.62*LOG10(inputs!$E$80)))</f>
        <v>2.3732791713351999</v>
      </c>
      <c r="R273" s="59">
        <f>(60*284*((F273/1000)^0.77)*3*24*(MAX('Min rate concentrations'!$R$3:$R$368))/F273)*(inputs!$E$73*3.4/inputs!$E$75)</f>
        <v>1.5204100001785939E-2</v>
      </c>
      <c r="S273" s="59">
        <f>(IF(inputs!$C$6="aerial",((0.025*0.112*inputs!$C$7/3.3)*(3*60*284*((F273/1000)^0.77))*MAX(inputs!$H$14:$H$16))/F273,((0.0083*0.112*inputs!$C$7/1)*(3*60*284*((F273/1000)^0.77))*MAX(inputs!$H$14:$H$16))/F273))*(inputs!E$75*3.4/inputs!$E$73)</f>
        <v>8.3851545624046828E-2</v>
      </c>
      <c r="T273" s="63">
        <f>IF((((inputs!$P$12/(V273/MAX(K273:S273)))^(1/inputs!$O$12))-1)/inputs!$N$12&lt;0, 0, IF((((inputs!$P$12/(V273/MAX(K273:S273)))^(1/inputs!$O$12))-1)/inputs!$N$12&gt;inputs!$H$17, inputs!$H$17, (((inputs!$P$12/(V273/MAX(K273:S273)))^(1/inputs!$O$12))-1)/inputs!$N$12))</f>
        <v>170.70921014064217</v>
      </c>
      <c r="U273" s="63">
        <f>IF((((inputs!$P$12/(X273/MAX(K273:S273)))^(1/inputs!$O$12))-1)/inputs!$N$12&lt;0, 0, IF((((inputs!$P$12/(X273/MAX(K273:S273)))^(1/inputs!$O$12))-1)/inputs!$N$12&gt;inputs!$H$17, inputs!$H$17, (((inputs!$P$12/(X273/MAX(K273:S273)))^(1/inputs!$O$12))-1)/inputs!$N$12))</f>
        <v>0</v>
      </c>
      <c r="V273" s="21">
        <f>inputs!$E$78*(F273/inputs!$F$78)^(inputs!$E$84-1)</f>
        <v>5.3806858710510753E-2</v>
      </c>
      <c r="W273" s="21">
        <f>inputs!$E$85*(F273/inputs!$F$85)^(inputs!$E$84-1)</f>
        <v>2.4847016143186225</v>
      </c>
      <c r="X273" s="21">
        <f>inputs!$E$80*(F273/inputs!$F$80)^(inputs!$E$84-1)</f>
        <v>9.278316154734096</v>
      </c>
      <c r="Y273" s="21">
        <f>inputs!$E$82*(F273/inputs!$F$82)^(inputs!$E$84-1)</f>
        <v>4.2762292975195386</v>
      </c>
      <c r="Z273" s="63">
        <f t="shared" si="33"/>
        <v>250.40337072955236</v>
      </c>
      <c r="AA273" s="63">
        <f t="shared" si="34"/>
        <v>5.4225500204278942</v>
      </c>
    </row>
    <row r="274" spans="1:476" x14ac:dyDescent="0.25">
      <c r="A274" s="103" t="s">
        <v>313</v>
      </c>
      <c r="B274" s="20" t="s">
        <v>314</v>
      </c>
      <c r="C274" s="20" t="s">
        <v>73</v>
      </c>
      <c r="D274" s="104" t="s">
        <v>141</v>
      </c>
      <c r="E274" s="15">
        <v>145</v>
      </c>
      <c r="F274" s="15">
        <v>6</v>
      </c>
      <c r="G274" s="20" t="s">
        <v>154</v>
      </c>
      <c r="H274" s="20">
        <v>9.2999999999999999E-2</v>
      </c>
      <c r="I274" s="48">
        <f>MAX('Min rate concentrations'!$G$3:$G$368)</f>
        <v>7.5</v>
      </c>
      <c r="J274" s="48">
        <f>MAX('Min rate concentrations'!Z:Z)</f>
        <v>3.5</v>
      </c>
      <c r="K274" s="59">
        <f t="shared" si="32"/>
        <v>2.5154423061047892</v>
      </c>
      <c r="L274" s="59"/>
      <c r="M274" s="59">
        <f>IF((((1.18*F274^0.874)-(0.398*F274^0.85)/(1-H274)*H274)*(MAX('Min rate concentrations'!$P$3:$P$368)))/F274&gt;0, (((1.18*F274^0.874)-(0.398*F274^0.85)/(1-H274)*H274)*(MAX('Min rate concentrations'!$P$3:$P$368)))/F274, 0)</f>
        <v>0.132134090726615</v>
      </c>
      <c r="N274" s="59">
        <f>IF((((1.18*F274^0.874)-(0.398*F274^0.85)/(1-H274)*H274)*(MAX('Min rate concentrations'!$Q$3:$Q$368)))/F274&gt;0, (((1.18*F274^0.874)-(0.398*F274^0.85)/(1-H274)*H274)*(MAX('Min rate concentrations'!$Q$3:$Q$368)))/F274, 0)</f>
        <v>0.50317371727430749</v>
      </c>
      <c r="O274" s="59">
        <f>((MAX('Min rate concentrations'!$F$3:$F$368))*0.62*6.01*8*(10*F274^0.667)*0.079*0.1/F274)*inputs!$E$80/(10^(0.84+0.62*LOG10(inputs!$E$80)))</f>
        <v>13.473418789480668</v>
      </c>
      <c r="P274" s="59">
        <f>((MAX('Min rate concentrations'!Y:Y))*0.62*6.01*8*(10*F274^0.667)*0.079*0.1/F274)*inputs!$E$80/(10^(0.84+0.62*LOG10(inputs!$E$80)))</f>
        <v>4.4911395964935545</v>
      </c>
      <c r="Q274" s="59">
        <f>(inputs!$C$7*11.2*(10*F274^0.667)*0.5/F274)*inputs!$E$80/(10^(0.84+0.62*LOG10(inputs!$E$80)))</f>
        <v>2.3732791713351999</v>
      </c>
      <c r="R274" s="59">
        <f>(60*284*((F274/1000)^0.77)*3*24*(MAX('Min rate concentrations'!$R$3:$R$368))/F274)*(inputs!$E$73*3.4/inputs!$E$75)</f>
        <v>1.5204100001785939E-2</v>
      </c>
      <c r="S274" s="59">
        <f>(IF(inputs!$C$6="aerial",((0.025*0.112*inputs!$C$7/3.3)*(3*60*284*((F274/1000)^0.77))*MAX(inputs!$H$14:$H$16))/F274,((0.0083*0.112*inputs!$C$7/1)*(3*60*284*((F274/1000)^0.77))*MAX(inputs!$H$14:$H$16))/F274))*(inputs!E$75*3.4/inputs!$E$73)</f>
        <v>8.3851545624046828E-2</v>
      </c>
      <c r="T274" s="63">
        <f>IF((((inputs!$P$12/(V274/MAX(K274:S274)))^(1/inputs!$O$12))-1)/inputs!$N$12&lt;0, 0, IF((((inputs!$P$12/(V274/MAX(K274:S274)))^(1/inputs!$O$12))-1)/inputs!$N$12&gt;inputs!$H$17, inputs!$H$17, (((inputs!$P$12/(V274/MAX(K274:S274)))^(1/inputs!$O$12))-1)/inputs!$N$12))</f>
        <v>170.70921014064217</v>
      </c>
      <c r="U274" s="63">
        <f>IF((((inputs!$P$12/(X274/MAX(K274:S274)))^(1/inputs!$O$12))-1)/inputs!$N$12&lt;0, 0, IF((((inputs!$P$12/(X274/MAX(K274:S274)))^(1/inputs!$O$12))-1)/inputs!$N$12&gt;inputs!$H$17, inputs!$H$17, (((inputs!$P$12/(X274/MAX(K274:S274)))^(1/inputs!$O$12))-1)/inputs!$N$12))</f>
        <v>0</v>
      </c>
      <c r="V274" s="21">
        <f>inputs!$E$78*(F274/inputs!$F$78)^(inputs!$E$84-1)</f>
        <v>5.3806858710510753E-2</v>
      </c>
      <c r="W274" s="21">
        <f>inputs!$E$85*(F274/inputs!$F$85)^(inputs!$E$84-1)</f>
        <v>2.4847016143186225</v>
      </c>
      <c r="X274" s="21">
        <f>inputs!$E$80*(F274/inputs!$F$80)^(inputs!$E$84-1)</f>
        <v>9.278316154734096</v>
      </c>
      <c r="Y274" s="21">
        <f>inputs!$E$82*(F274/inputs!$F$82)^(inputs!$E$84-1)</f>
        <v>4.2762292975195386</v>
      </c>
      <c r="Z274" s="63">
        <f t="shared" si="33"/>
        <v>250.40337072955236</v>
      </c>
      <c r="AA274" s="63">
        <f t="shared" si="34"/>
        <v>5.4225500204278942</v>
      </c>
    </row>
    <row r="275" spans="1:476" x14ac:dyDescent="0.25">
      <c r="A275" s="103" t="s">
        <v>301</v>
      </c>
      <c r="B275" s="20" t="s">
        <v>302</v>
      </c>
      <c r="C275" s="20" t="s">
        <v>73</v>
      </c>
      <c r="D275" s="104" t="s">
        <v>141</v>
      </c>
      <c r="E275" s="15">
        <v>74</v>
      </c>
      <c r="F275" s="15">
        <v>24</v>
      </c>
      <c r="G275" s="20" t="s">
        <v>142</v>
      </c>
      <c r="H275" s="20">
        <v>0.69</v>
      </c>
      <c r="I275" s="48">
        <f>MAX('Min rate concentrations'!$H$3:$H$368)</f>
        <v>47</v>
      </c>
      <c r="J275" s="48">
        <f>MAX('Min rate concentrations'!AA:AA)</f>
        <v>32.5</v>
      </c>
      <c r="K275" s="59">
        <f t="shared" si="32"/>
        <v>37.461705890342067</v>
      </c>
      <c r="L275" s="59">
        <f>((0.398*F275^0.85)/(1-H275))*J275/F275</f>
        <v>25.904371094385471</v>
      </c>
      <c r="M275" s="59">
        <f>IF((((1.18*F275^0.874)-(0.398*F275^0.85)/(1-H275)*H275)*(MAX('Min rate concentrations'!$P$3:$P$368)))/F275&gt;0, (((1.18*F275^0.874)-(0.398*F275^0.85)/(1-H275)*H275)*(MAX('Min rate concentrations'!$P$3:$P$368)))/F275, 0)</f>
        <v>3.4931920372444844E-2</v>
      </c>
      <c r="N275" s="59">
        <f>IF((((1.18*F275^0.874)-(0.398*F275^0.85)/(1-H275)*H275)*(MAX('Min rate concentrations'!$Q$3:$Q$368)))/F275&gt;0, (((1.18*F275^0.874)-(0.398*F275^0.85)/(1-H275)*H275)*(MAX('Min rate concentrations'!$Q$3:$Q$368)))/F275, 0)</f>
        <v>0.13302262972921633</v>
      </c>
      <c r="O275" s="59">
        <f>((MAX('Min rate concentrations'!$F$3:$F$368))*0.62*6.01*8*(10*F275^0.667)*0.079*0.1/F275)*inputs!$E$80/(10^(0.84+0.62*LOG10(inputs!$E$80)))</f>
        <v>8.4916450401791508</v>
      </c>
      <c r="P275" s="59">
        <f>((MAX('Min rate concentrations'!Y:Y))*0.62*6.01*8*(10*F275^0.667)*0.079*0.1/F275)*inputs!$E$80/(10^(0.84+0.62*LOG10(inputs!$E$80)))</f>
        <v>2.830548346726383</v>
      </c>
      <c r="Q275" s="59">
        <f>(inputs!$C$7*11.2*(10*F275^0.667)*0.5/F275)*inputs!$E$80/(10^(0.84+0.62*LOG10(inputs!$E$80)))</f>
        <v>1.4957632223206383</v>
      </c>
      <c r="R275" s="59">
        <f>(60*284*((F275/1000)^0.77)*3*24*(MAX('Min rate concentrations'!$R$3:$R$368))/F275)*(inputs!$E$73*3.4/inputs!$E$75)</f>
        <v>1.1053171776593219E-2</v>
      </c>
      <c r="S275" s="59">
        <f>(IF(inputs!$C$6="aerial",((0.025*0.112*inputs!$C$7/3.3)*(3*60*284*((F275/1000)^0.77))*MAX(inputs!$H$14:$H$16))/F275,((0.0083*0.112*inputs!$C$7/1)*(3*60*284*((F275/1000)^0.77))*MAX(inputs!$H$14:$H$16))/F275))*(inputs!E$75*3.4/inputs!$E$73)</f>
        <v>6.0958921436097102E-2</v>
      </c>
      <c r="T275" s="63">
        <f>IF((((inputs!$P$12/(V275/MAX(K275:S275)))^(1/inputs!$O$12))-1)/inputs!$N$12&lt;0, 0, IF((((inputs!$P$12/(V275/MAX(K275:S275)))^(1/inputs!$O$12))-1)/inputs!$N$12&gt;inputs!$H$17, inputs!$H$17, (((inputs!$P$12/(V275/MAX(K275:S275)))^(1/inputs!$O$12))-1)/inputs!$N$12))</f>
        <v>343.4973394342324</v>
      </c>
      <c r="U275" s="63">
        <f>IF((((inputs!$P$12/(X275/MAX(K275:S275)))^(1/inputs!$O$12))-1)/inputs!$N$12&lt;0, 0, IF((((inputs!$P$12/(X275/MAX(K275:S275)))^(1/inputs!$O$12))-1)/inputs!$N$12&gt;inputs!$H$17, inputs!$H$17, (((inputs!$P$12/(X275/MAX(K275:S275)))^(1/inputs!$O$12))-1)/inputs!$N$12))</f>
        <v>17.304190691505784</v>
      </c>
      <c r="V275" s="21">
        <f>inputs!$E$78*(F275/inputs!$F$78)^(inputs!$E$84-1)</f>
        <v>3.2216283734138068E-2</v>
      </c>
      <c r="W275" s="21">
        <f>inputs!$E$85*(F275/inputs!$F$85)^(inputs!$E$84-1)</f>
        <v>1.4876886352394121</v>
      </c>
      <c r="X275" s="21">
        <f>inputs!$E$80*(F275/inputs!$F$80)^(inputs!$E$84-1)</f>
        <v>5.5552930050079308</v>
      </c>
      <c r="Y275" s="21">
        <f>inputs!$E$82*(F275/inputs!$F$82)^(inputs!$E$84-1)</f>
        <v>2.5603467599236045</v>
      </c>
      <c r="Z275" s="63">
        <f t="shared" si="33"/>
        <v>1162.8189706637602</v>
      </c>
      <c r="AA275" s="63">
        <f t="shared" si="34"/>
        <v>25.18114678231268</v>
      </c>
    </row>
    <row r="276" spans="1:476" x14ac:dyDescent="0.25">
      <c r="A276" s="103" t="s">
        <v>301</v>
      </c>
      <c r="B276" s="20" t="s">
        <v>302</v>
      </c>
      <c r="C276" s="20" t="s">
        <v>73</v>
      </c>
      <c r="D276" s="104" t="s">
        <v>141</v>
      </c>
      <c r="E276" s="15">
        <v>74</v>
      </c>
      <c r="F276" s="15">
        <v>24</v>
      </c>
      <c r="G276" s="20" t="s">
        <v>153</v>
      </c>
      <c r="H276" s="20">
        <v>0.7</v>
      </c>
      <c r="I276" s="48">
        <f>MAX('Min rate concentrations'!$E$3:$E$368)</f>
        <v>55</v>
      </c>
      <c r="J276" s="48">
        <f>MAX('Min rate concentrations'!X:X)</f>
        <v>18</v>
      </c>
      <c r="K276" s="59">
        <f t="shared" si="32"/>
        <v>45.299438683002286</v>
      </c>
      <c r="L276" s="59"/>
      <c r="M276" s="59">
        <f>IF((((1.18*F276^0.874)-(0.398*F276^0.85)/(1-H276)*H276)*(MAX('Min rate concentrations'!$P$3:$P$368)))/F276&gt;0, (((1.18*F276^0.874)-(0.398*F276^0.85)/(1-H276)*H276)*(MAX('Min rate concentrations'!$P$3:$P$368)))/F276, 0)</f>
        <v>3.1075542467717154E-2</v>
      </c>
      <c r="N276" s="59">
        <f>IF((((1.18*F276^0.874)-(0.398*F276^0.85)/(1-H276)*H276)*(MAX('Min rate concentrations'!$Q$3:$Q$368)))/F276&gt;0, (((1.18*F276^0.874)-(0.398*F276^0.85)/(1-H276)*H276)*(MAX('Min rate concentrations'!$Q$3:$Q$368)))/F276, 0)</f>
        <v>0.11833733545832997</v>
      </c>
      <c r="O276" s="59">
        <f>((MAX('Min rate concentrations'!$F$3:$F$368))*0.62*6.01*8*(10*F276^0.667)*0.079*0.1/F276)*inputs!$E$80/(10^(0.84+0.62*LOG10(inputs!$E$80)))</f>
        <v>8.4916450401791508</v>
      </c>
      <c r="P276" s="59">
        <f>((MAX('Min rate concentrations'!Y:Y))*0.62*6.01*8*(10*F276^0.667)*0.079*0.1/F276)*inputs!$E$80/(10^(0.84+0.62*LOG10(inputs!$E$80)))</f>
        <v>2.830548346726383</v>
      </c>
      <c r="Q276" s="59">
        <f>(inputs!$C$7*11.2*(10*F276^0.667)*0.5/F276)*inputs!$E$80/(10^(0.84+0.62*LOG10(inputs!$E$80)))</f>
        <v>1.4957632223206383</v>
      </c>
      <c r="R276" s="59">
        <f>(60*284*((F276/1000)^0.77)*3*24*(MAX('Min rate concentrations'!$R$3:$R$368))/F276)*(inputs!$E$73*3.4/inputs!$E$75)</f>
        <v>1.1053171776593219E-2</v>
      </c>
      <c r="S276" s="59">
        <f>(IF(inputs!$C$6="aerial",((0.025*0.112*inputs!$C$7/3.3)*(3*60*284*((F276/1000)^0.77))*MAX(inputs!$H$14:$H$16))/F276,((0.0083*0.112*inputs!$C$7/1)*(3*60*284*((F276/1000)^0.77))*MAX(inputs!$H$14:$H$16))/F276))*(inputs!E$75*3.4/inputs!$E$73)</f>
        <v>6.0958921436097102E-2</v>
      </c>
      <c r="T276" s="63">
        <f>IF((((inputs!$P$12/(V276/MAX(K276:S276)))^(1/inputs!$O$12))-1)/inputs!$N$12&lt;0, 0, IF((((inputs!$P$12/(V276/MAX(K276:S276)))^(1/inputs!$O$12))-1)/inputs!$N$12&gt;inputs!$H$17, inputs!$H$17, (((inputs!$P$12/(V276/MAX(K276:S276)))^(1/inputs!$O$12))-1)/inputs!$N$12))</f>
        <v>373.3803705109292</v>
      </c>
      <c r="U276" s="63">
        <f>IF((((inputs!$P$12/(X276/MAX(K276:S276)))^(1/inputs!$O$12))-1)/inputs!$N$12&lt;0, 0, IF((((inputs!$P$12/(X276/MAX(K276:S276)))^(1/inputs!$O$12))-1)/inputs!$N$12&gt;inputs!$H$17, inputs!$H$17, (((inputs!$P$12/(X276/MAX(K276:S276)))^(1/inputs!$O$12))-1)/inputs!$N$12))</f>
        <v>20.982998610632432</v>
      </c>
      <c r="V276" s="21">
        <f>inputs!$E$78*(F276/inputs!$F$78)^(inputs!$E$84-1)</f>
        <v>3.2216283734138068E-2</v>
      </c>
      <c r="W276" s="21">
        <f>inputs!$E$85*(F276/inputs!$F$85)^(inputs!$E$84-1)</f>
        <v>1.4876886352394121</v>
      </c>
      <c r="X276" s="21">
        <f>inputs!$E$80*(F276/inputs!$F$80)^(inputs!$E$84-1)</f>
        <v>5.5552930050079308</v>
      </c>
      <c r="Y276" s="21">
        <f>inputs!$E$82*(F276/inputs!$F$82)^(inputs!$E$84-1)</f>
        <v>2.5603467599236045</v>
      </c>
      <c r="Z276" s="63">
        <f t="shared" si="33"/>
        <v>1406.1037907671709</v>
      </c>
      <c r="AA276" s="63">
        <f t="shared" si="34"/>
        <v>30.449542740314271</v>
      </c>
    </row>
    <row r="277" spans="1:476" x14ac:dyDescent="0.25">
      <c r="A277" s="103" t="s">
        <v>226</v>
      </c>
      <c r="B277" s="20" t="s">
        <v>227</v>
      </c>
      <c r="C277" s="20" t="s">
        <v>73</v>
      </c>
      <c r="D277" s="104" t="s">
        <v>141</v>
      </c>
      <c r="E277" s="15">
        <v>4237</v>
      </c>
      <c r="F277" s="15">
        <v>6.9</v>
      </c>
      <c r="G277" s="20" t="s">
        <v>142</v>
      </c>
      <c r="H277" s="20">
        <v>0.69</v>
      </c>
      <c r="I277" s="48">
        <f>MAX('Min rate concentrations'!$H$3:$H$368)</f>
        <v>47</v>
      </c>
      <c r="J277" s="48">
        <f>MAX('Min rate concentrations'!AA:AA)</f>
        <v>32.5</v>
      </c>
      <c r="K277" s="59">
        <f t="shared" si="32"/>
        <v>45.163945281884608</v>
      </c>
      <c r="L277" s="59">
        <f>((0.398*F277^0.85)/(1-H277))*J277/F277</f>
        <v>31.230387694920211</v>
      </c>
      <c r="M277" s="59">
        <f>IF((((1.18*F277^0.874)-(0.398*F277^0.85)/(1-H277)*H277)*(MAX('Min rate concentrations'!$P$3:$P$368)))/F277&gt;0, (((1.18*F277^0.874)-(0.398*F277^0.85)/(1-H277)*H277)*(MAX('Min rate concentrations'!$P$3:$P$368)))/F277, 0)</f>
        <v>3.8036231916170622E-2</v>
      </c>
      <c r="N277" s="59">
        <f>IF((((1.18*F277^0.874)-(0.398*F277^0.85)/(1-H277)*H277)*(MAX('Min rate concentrations'!$Q$3:$Q$368)))/F277&gt;0, (((1.18*F277^0.874)-(0.398*F277^0.85)/(1-H277)*H277)*(MAX('Min rate concentrations'!$Q$3:$Q$368)))/F277, 0)</f>
        <v>0.1448440148876145</v>
      </c>
      <c r="O277" s="59">
        <f>((MAX('Min rate concentrations'!$F$3:$F$368))*0.62*6.01*8*(10*F277^0.667)*0.079*0.1/F277)*inputs!$E$80/(10^(0.84+0.62*LOG10(inputs!$E$80)))</f>
        <v>12.860724299202847</v>
      </c>
      <c r="P277" s="59">
        <f>((MAX('Min rate concentrations'!Y:Y))*0.62*6.01*8*(10*F277^0.667)*0.079*0.1/F277)*inputs!$E$80/(10^(0.84+0.62*LOG10(inputs!$E$80)))</f>
        <v>4.2869080997342826</v>
      </c>
      <c r="Q277" s="59">
        <f>(inputs!$C$7*11.2*(10*F277^0.667)*0.5/F277)*inputs!$E$80/(10^(0.84+0.62*LOG10(inputs!$E$80)))</f>
        <v>2.2653559266941694</v>
      </c>
      <c r="R277" s="59">
        <f>(60*284*((F277/1000)^0.77)*3*24*(MAX('Min rate concentrations'!$R$3:$R$368))/F277)*(inputs!$E$73*3.4/inputs!$E$75)</f>
        <v>1.4723132283948972E-2</v>
      </c>
      <c r="S277" s="59">
        <f>(IF(inputs!$C$6="aerial",((0.025*0.112*inputs!$C$7/3.3)*(3*60*284*((F277/1000)^0.77))*MAX(inputs!$H$14:$H$16))/F277,((0.0083*0.112*inputs!$C$7/1)*(3*60*284*((F277/1000)^0.77))*MAX(inputs!$H$14:$H$16))/F277))*(inputs!E$75*3.4/inputs!$E$73)</f>
        <v>8.1198979110332567E-2</v>
      </c>
      <c r="T277" s="63">
        <f>IF((((inputs!$P$12/(V277/MAX(K277:S277)))^(1/inputs!$O$12))-1)/inputs!$N$12&lt;0, 0, IF((((inputs!$P$12/(V277/MAX(K277:S277)))^(1/inputs!$O$12))-1)/inputs!$N$12&gt;inputs!$H$17, inputs!$H$17, (((inputs!$P$12/(V277/MAX(K277:S277)))^(1/inputs!$O$12))-1)/inputs!$N$12))</f>
        <v>304.23549899843994</v>
      </c>
      <c r="U277" s="63">
        <f>IF((((inputs!$P$12/(X277/MAX(K277:S277)))^(1/inputs!$O$12))-1)/inputs!$N$12&lt;0, 0, IF((((inputs!$P$12/(X277/MAX(K277:S277)))^(1/inputs!$O$12))-1)/inputs!$N$12&gt;inputs!$H$17, inputs!$H$17, (((inputs!$P$12/(X277/MAX(K277:S277)))^(1/inputs!$O$12))-1)/inputs!$N$12))</f>
        <v>12.470786437968917</v>
      </c>
      <c r="V277" s="21">
        <f>inputs!$E$78*(F277/inputs!$F$78)^(inputs!$E$84-1)</f>
        <v>5.1095121638162447E-2</v>
      </c>
      <c r="W277" s="21">
        <f>inputs!$E$85*(F277/inputs!$F$85)^(inputs!$E$84-1)</f>
        <v>2.3594785917756753</v>
      </c>
      <c r="X277" s="21">
        <f>inputs!$E$80*(F277/inputs!$F$80)^(inputs!$E$84-1)</f>
        <v>8.8107111971370138</v>
      </c>
      <c r="Y277" s="21">
        <f>inputs!$E$82*(F277/inputs!$F$82)^(inputs!$E$84-1)</f>
        <v>4.060717561769752</v>
      </c>
      <c r="Z277" s="63">
        <f t="shared" si="33"/>
        <v>883.91893069008961</v>
      </c>
      <c r="AA277" s="63">
        <f t="shared" si="34"/>
        <v>19.141493989100162</v>
      </c>
    </row>
    <row r="278" spans="1:476" ht="26.4" x14ac:dyDescent="0.25">
      <c r="A278" s="103" t="s">
        <v>165</v>
      </c>
      <c r="B278" s="20" t="s">
        <v>166</v>
      </c>
      <c r="C278" s="20" t="s">
        <v>73</v>
      </c>
      <c r="D278" s="104" t="s">
        <v>141</v>
      </c>
      <c r="E278" s="15">
        <v>133</v>
      </c>
      <c r="F278" s="15">
        <v>13.4</v>
      </c>
      <c r="G278" s="20" t="s">
        <v>142</v>
      </c>
      <c r="H278" s="20">
        <v>0.69</v>
      </c>
      <c r="I278" s="48">
        <f>MAX('Min rate concentrations'!$H$3:$H$368)</f>
        <v>47</v>
      </c>
      <c r="J278" s="48">
        <f>MAX('Min rate concentrations'!AA:AA)</f>
        <v>32.5</v>
      </c>
      <c r="K278" s="59">
        <f t="shared" si="32"/>
        <v>40.88401287866418</v>
      </c>
      <c r="L278" s="59">
        <f>((0.398*F278^0.85)/(1-H278))*J278/F278</f>
        <v>28.270859969289056</v>
      </c>
      <c r="M278" s="59">
        <f>IF((((1.18*F278^0.874)-(0.398*F278^0.85)/(1-H278)*H278)*(MAX('Min rate concentrations'!$P$3:$P$368)))/F278&gt;0, (((1.18*F278^0.874)-(0.398*F278^0.85)/(1-H278)*H278)*(MAX('Min rate concentrations'!$P$3:$P$368)))/F278, 0)</f>
        <v>3.6383521284715184E-2</v>
      </c>
      <c r="N278" s="59">
        <f>IF((((1.18*F278^0.874)-(0.398*F278^0.85)/(1-H278)*H278)*(MAX('Min rate concentrations'!$Q$3:$Q$368)))/F278&gt;0, (((1.18*F278^0.874)-(0.398*F278^0.85)/(1-H278)*H278)*(MAX('Min rate concentrations'!$Q$3:$Q$368)))/F278, 0)</f>
        <v>0.13855040400010493</v>
      </c>
      <c r="O278" s="59">
        <f>((MAX('Min rate concentrations'!$F$3:$F$368))*0.62*6.01*8*(10*F278^0.667)*0.079*0.1/F278)*inputs!$E$80/(10^(0.84+0.62*LOG10(inputs!$E$80)))</f>
        <v>10.310418117210569</v>
      </c>
      <c r="P278" s="59">
        <f>((MAX('Min rate concentrations'!Y:Y))*0.62*6.01*8*(10*F278^0.667)*0.079*0.1/F278)*inputs!$E$80/(10^(0.84+0.62*LOG10(inputs!$E$80)))</f>
        <v>3.4368060390701891</v>
      </c>
      <c r="Q278" s="59">
        <f>(inputs!$C$7*11.2*(10*F278^0.667)*0.5/F278)*inputs!$E$80/(10^(0.84+0.62*LOG10(inputs!$E$80)))</f>
        <v>1.8161315214544824</v>
      </c>
      <c r="R278" s="59">
        <f>(60*284*((F278/1000)^0.77)*3*24*(MAX('Min rate concentrations'!$R$3:$R$368))/F278)*(inputs!$E$73*3.4/inputs!$E$75)</f>
        <v>1.2638670784838437E-2</v>
      </c>
      <c r="S278" s="59">
        <f>(IF(inputs!$C$6="aerial",((0.025*0.112*inputs!$C$7/3.3)*(3*60*284*((F278/1000)^0.77))*MAX(inputs!$H$14:$H$16))/F278,((0.0083*0.112*inputs!$C$7/1)*(3*60*284*((F278/1000)^0.77))*MAX(inputs!$H$14:$H$16))/F278))*(inputs!E$75*3.4/inputs!$E$73)</f>
        <v>6.9703045876947811E-2</v>
      </c>
      <c r="T278" s="63">
        <f>IF((((inputs!$P$12/(V278/MAX(K278:S278)))^(1/inputs!$O$12))-1)/inputs!$N$12&lt;0, 0, IF((((inputs!$P$12/(V278/MAX(K278:S278)))^(1/inputs!$O$12))-1)/inputs!$N$12&gt;inputs!$H$17, inputs!$H$17, (((inputs!$P$12/(V278/MAX(K278:S278)))^(1/inputs!$O$12))-1)/inputs!$N$12))</f>
        <v>324.59537746210856</v>
      </c>
      <c r="U278" s="63">
        <f>IF((((inputs!$P$12/(X278/MAX(K278:S278)))^(1/inputs!$O$12))-1)/inputs!$N$12&lt;0, 0, IF((((inputs!$P$12/(X278/MAX(K278:S278)))^(1/inputs!$O$12))-1)/inputs!$N$12&gt;inputs!$H$17, inputs!$H$17, (((inputs!$P$12/(X278/MAX(K278:S278)))^(1/inputs!$O$12))-1)/inputs!$N$12))</f>
        <v>14.977228369256416</v>
      </c>
      <c r="V278" s="21">
        <f>inputs!$E$78*(F278/inputs!$F$78)^(inputs!$E$84-1)</f>
        <v>3.9969142000589E-2</v>
      </c>
      <c r="W278" s="21">
        <f>inputs!$E$85*(F278/inputs!$F$85)^(inputs!$E$84-1)</f>
        <v>1.845701347965776</v>
      </c>
      <c r="X278" s="21">
        <f>inputs!$E$80*(F278/inputs!$F$80)^(inputs!$E$84-1)</f>
        <v>6.8921759196190369</v>
      </c>
      <c r="Y278" s="21">
        <f>inputs!$E$82*(F278/inputs!$F$82)^(inputs!$E$84-1)</f>
        <v>3.1764949695204945</v>
      </c>
      <c r="Z278" s="63">
        <f t="shared" si="33"/>
        <v>1022.8894300023177</v>
      </c>
      <c r="AA278" s="63">
        <f t="shared" si="34"/>
        <v>22.150936240971024</v>
      </c>
    </row>
    <row r="279" spans="1:476" ht="26.4" x14ac:dyDescent="0.25">
      <c r="A279" s="103" t="s">
        <v>165</v>
      </c>
      <c r="B279" s="20" t="s">
        <v>166</v>
      </c>
      <c r="C279" s="20" t="s">
        <v>73</v>
      </c>
      <c r="D279" s="104" t="s">
        <v>141</v>
      </c>
      <c r="E279" s="15">
        <v>133</v>
      </c>
      <c r="F279" s="15">
        <v>13.4</v>
      </c>
      <c r="G279" s="20" t="s">
        <v>154</v>
      </c>
      <c r="H279" s="20">
        <v>9.2999999999999999E-2</v>
      </c>
      <c r="I279" s="48">
        <f>MAX('Min rate concentrations'!$G$3:$G$368)</f>
        <v>7.5</v>
      </c>
      <c r="J279" s="48">
        <f>MAX('Min rate concentrations'!Z:Z)</f>
        <v>3.5</v>
      </c>
      <c r="K279" s="59">
        <f t="shared" si="32"/>
        <v>2.2298278154048705</v>
      </c>
      <c r="L279" s="59"/>
      <c r="M279" s="59">
        <f>IF((((1.18*F279^0.874)-(0.398*F279^0.85)/(1-H279)*H279)*(MAX('Min rate concentrations'!$P$3:$P$368)))/F279&gt;0, (((1.18*F279^0.874)-(0.398*F279^0.85)/(1-H279)*H279)*(MAX('Min rate concentrations'!$P$3:$P$368)))/F279, 0)</f>
        <v>0.11948980287421165</v>
      </c>
      <c r="N279" s="59">
        <f>IF((((1.18*F279^0.874)-(0.398*F279^0.85)/(1-H279)*H279)*(MAX('Min rate concentrations'!$Q$3:$Q$368)))/F279&gt;0, (((1.18*F279^0.874)-(0.398*F279^0.85)/(1-H279)*H279)*(MAX('Min rate concentrations'!$Q$3:$Q$368)))/F279, 0)</f>
        <v>0.45502358973346202</v>
      </c>
      <c r="O279" s="59">
        <f>((MAX('Min rate concentrations'!$F$3:$F$368))*0.62*6.01*8*(10*F279^0.667)*0.079*0.1/F279)*inputs!$E$80/(10^(0.84+0.62*LOG10(inputs!$E$80)))</f>
        <v>10.310418117210569</v>
      </c>
      <c r="P279" s="59">
        <f>((MAX('Min rate concentrations'!Y:Y))*0.62*6.01*8*(10*F279^0.667)*0.079*0.1/F279)*inputs!$E$80/(10^(0.84+0.62*LOG10(inputs!$E$80)))</f>
        <v>3.4368060390701891</v>
      </c>
      <c r="Q279" s="59">
        <f>(inputs!$C$7*11.2*(10*F279^0.667)*0.5/F279)*inputs!$E$80/(10^(0.84+0.62*LOG10(inputs!$E$80)))</f>
        <v>1.8161315214544824</v>
      </c>
      <c r="R279" s="59">
        <f>(60*284*((F279/1000)^0.77)*3*24*(MAX('Min rate concentrations'!$R$3:$R$368))/F279)*(inputs!$E$73*3.4/inputs!$E$75)</f>
        <v>1.2638670784838437E-2</v>
      </c>
      <c r="S279" s="59">
        <f>(IF(inputs!$C$6="aerial",((0.025*0.112*inputs!$C$7/3.3)*(3*60*284*((F279/1000)^0.77))*MAX(inputs!$H$14:$H$16))/F279,((0.0083*0.112*inputs!$C$7/1)*(3*60*284*((F279/1000)^0.77))*MAX(inputs!$H$14:$H$16))/F279))*(inputs!E$75*3.4/inputs!$E$73)</f>
        <v>6.9703045876947811E-2</v>
      </c>
      <c r="T279" s="63">
        <f>IF((((inputs!$P$12/(V279/MAX(K279:S279)))^(1/inputs!$O$12))-1)/inputs!$N$12&lt;0, 0, IF((((inputs!$P$12/(V279/MAX(K279:S279)))^(1/inputs!$O$12))-1)/inputs!$N$12&gt;inputs!$H$17, inputs!$H$17, (((inputs!$P$12/(V279/MAX(K279:S279)))^(1/inputs!$O$12))-1)/inputs!$N$12))</f>
        <v>173.1325437876047</v>
      </c>
      <c r="U279" s="63">
        <f>IF((((inputs!$P$12/(X279/MAX(K279:S279)))^(1/inputs!$O$12))-1)/inputs!$N$12&lt;0, 0, IF((((inputs!$P$12/(X279/MAX(K279:S279)))^(1/inputs!$O$12))-1)/inputs!$N$12&gt;inputs!$H$17, inputs!$H$17, (((inputs!$P$12/(X279/MAX(K279:S279)))^(1/inputs!$O$12))-1)/inputs!$N$12))</f>
        <v>0</v>
      </c>
      <c r="V279" s="21">
        <f>inputs!$E$78*(F279/inputs!$F$78)^(inputs!$E$84-1)</f>
        <v>3.9969142000589E-2</v>
      </c>
      <c r="W279" s="21">
        <f>inputs!$E$85*(F279/inputs!$F$85)^(inputs!$E$84-1)</f>
        <v>1.845701347965776</v>
      </c>
      <c r="X279" s="21">
        <f>inputs!$E$80*(F279/inputs!$F$80)^(inputs!$E$84-1)</f>
        <v>6.8921759196190369</v>
      </c>
      <c r="Y279" s="21">
        <f>inputs!$E$82*(F279/inputs!$F$82)^(inputs!$E$84-1)</f>
        <v>3.1764949695204945</v>
      </c>
      <c r="Z279" s="63">
        <f t="shared" si="33"/>
        <v>257.95945574860303</v>
      </c>
      <c r="AA279" s="63">
        <f t="shared" si="34"/>
        <v>5.5861790037560022</v>
      </c>
    </row>
    <row r="280" spans="1:476" x14ac:dyDescent="0.25">
      <c r="A280" s="103" t="s">
        <v>180</v>
      </c>
      <c r="B280" s="20" t="s">
        <v>181</v>
      </c>
      <c r="C280" s="20" t="s">
        <v>73</v>
      </c>
      <c r="D280" s="104" t="s">
        <v>141</v>
      </c>
      <c r="E280" s="15">
        <v>140</v>
      </c>
      <c r="F280" s="15">
        <v>59</v>
      </c>
      <c r="G280" s="20" t="s">
        <v>182</v>
      </c>
      <c r="H280" s="20">
        <v>0.85</v>
      </c>
      <c r="I280" s="48">
        <f>MAX('Min rate concentrations'!$M$3:$M$368)</f>
        <v>2.8488184789681945</v>
      </c>
      <c r="J280" s="48">
        <f>MAX('Min rate concentrations'!AE:AE)</f>
        <v>1.9699276716269429</v>
      </c>
      <c r="K280" s="59">
        <f t="shared" si="32"/>
        <v>4.1004242097158379</v>
      </c>
      <c r="L280" s="59">
        <f t="shared" ref="L280:L285" si="35">((0.398*F280^0.85)/(1-H280))*J280/F280</f>
        <v>2.8353997194843559</v>
      </c>
      <c r="M280" s="59">
        <f>IF((((1.18*F280^0.874)-(0.398*F280^0.85)/(1-H280)*H280)*(MAX('Min rate concentrations'!$P$3:$P$368)))/F280&gt;0, (((1.18*F280^0.874)-(0.398*F280^0.85)/(1-H280)*H280)*(MAX('Min rate concentrations'!$P$3:$P$368)))/F280, 0)</f>
        <v>0</v>
      </c>
      <c r="N280" s="59">
        <f>IF((((1.18*F280^0.874)-(0.398*F280^0.85)/(1-H280)*H280)*(MAX('Min rate concentrations'!$Q$3:$Q$368)))/F280&gt;0, (((1.18*F280^0.874)-(0.398*F280^0.85)/(1-H280)*H280)*(MAX('Min rate concentrations'!$Q$3:$Q$368)))/F280, 0)</f>
        <v>0</v>
      </c>
      <c r="O280" s="59">
        <f>((MAX('Min rate concentrations'!$F$3:$F$368))*0.62*6.01*8*(10*F280^0.667)*0.079*0.1/F280)*inputs!$E$80/(10^(0.84+0.62*LOG10(inputs!$E$80)))</f>
        <v>6.293735038820282</v>
      </c>
      <c r="P280" s="59">
        <f>((MAX('Min rate concentrations'!Y:Y))*0.62*6.01*8*(10*F280^0.667)*0.079*0.1/F280)*inputs!$E$80/(10^(0.84+0.62*LOG10(inputs!$E$80)))</f>
        <v>2.0979116796067601</v>
      </c>
      <c r="Q280" s="59">
        <f>(inputs!$C$7*11.2*(10*F280^0.667)*0.5/F280)*inputs!$E$80/(10^(0.84+0.62*LOG10(inputs!$E$80)))</f>
        <v>1.1086117421954231</v>
      </c>
      <c r="R280" s="59">
        <f>(60*284*((F280/1000)^0.77)*3*24*(MAX('Min rate concentrations'!$R$3:$R$368))/F280)*(inputs!$E$73*3.4/inputs!$E$75)</f>
        <v>8.9875132225665025E-3</v>
      </c>
      <c r="S280" s="59">
        <f>(IF(inputs!$C$6="aerial",((0.025*0.112*inputs!$C$7/3.3)*(3*60*284*((F280/1000)^0.77))*MAX(inputs!$H$14:$H$16))/F280,((0.0083*0.112*inputs!$C$7/1)*(3*60*284*((F280/1000)^0.77))*MAX(inputs!$H$14:$H$16))/F280))*(inputs!E$75*3.4/inputs!$E$73)</f>
        <v>4.9566687600070769E-2</v>
      </c>
      <c r="T280" s="63">
        <f>IF((((inputs!$P$12/(V280/MAX(K280:S280)))^(1/inputs!$O$12))-1)/inputs!$N$12&lt;0, 0, IF((((inputs!$P$12/(V280/MAX(K280:S280)))^(1/inputs!$O$12))-1)/inputs!$N$12&gt;inputs!$H$17, inputs!$H$17, (((inputs!$P$12/(V280/MAX(K280:S280)))^(1/inputs!$O$12))-1)/inputs!$N$12))</f>
        <v>177.68071702402852</v>
      </c>
      <c r="U280" s="63">
        <f>IF((((inputs!$P$12/(X280/MAX(K280:S280)))^(1/inputs!$O$12))-1)/inputs!$N$12&lt;0, 0, IF((((inputs!$P$12/(X280/MAX(K280:S280)))^(1/inputs!$O$12))-1)/inputs!$N$12&gt;inputs!$H$17, inputs!$H$17, (((inputs!$P$12/(X280/MAX(K280:S280)))^(1/inputs!$O$12))-1)/inputs!$N$12))</f>
        <v>0</v>
      </c>
      <c r="V280" s="21">
        <f>inputs!$E$78*(F280/inputs!$F$78)^(inputs!$E$84-1)</f>
        <v>2.3096084332340623E-2</v>
      </c>
      <c r="W280" s="21">
        <f>inputs!$E$85*(F280/inputs!$F$85)^(inputs!$E$84-1)</f>
        <v>1.066534627746178</v>
      </c>
      <c r="X280" s="21">
        <f>inputs!$E$80*(F280/inputs!$F$80)^(inputs!$E$84-1)</f>
        <v>3.9826293061407916</v>
      </c>
      <c r="Y280" s="21">
        <f>inputs!$E$82*(F280/inputs!$F$82)^(inputs!$E$84-1)</f>
        <v>1.8355309127281232</v>
      </c>
      <c r="Z280" s="63">
        <f t="shared" si="33"/>
        <v>272.50225398629107</v>
      </c>
      <c r="AA280" s="63">
        <f t="shared" si="34"/>
        <v>5.9011070762140436</v>
      </c>
    </row>
    <row r="281" spans="1:476" x14ac:dyDescent="0.25">
      <c r="A281" s="103" t="s">
        <v>180</v>
      </c>
      <c r="B281" s="20" t="s">
        <v>181</v>
      </c>
      <c r="C281" s="20" t="s">
        <v>73</v>
      </c>
      <c r="D281" s="104" t="s">
        <v>141</v>
      </c>
      <c r="E281" s="15">
        <v>140</v>
      </c>
      <c r="F281" s="15">
        <v>59</v>
      </c>
      <c r="G281" s="20" t="s">
        <v>142</v>
      </c>
      <c r="H281" s="20">
        <v>0.69</v>
      </c>
      <c r="I281" s="48">
        <f>MAX('Min rate concentrations'!$H$3:$H$368)</f>
        <v>47</v>
      </c>
      <c r="J281" s="48">
        <f>MAX('Min rate concentrations'!AA:AA)</f>
        <v>32.5</v>
      </c>
      <c r="K281" s="59">
        <f t="shared" si="32"/>
        <v>32.733423881620809</v>
      </c>
      <c r="L281" s="59">
        <f t="shared" si="35"/>
        <v>22.634814386227159</v>
      </c>
      <c r="M281" s="59">
        <f>IF((((1.18*F281^0.874)-(0.398*F281^0.85)/(1-H281)*H281)*(MAX('Min rate concentrations'!$P$3:$P$368)))/F281&gt;0, (((1.18*F281^0.874)-(0.398*F281^0.85)/(1-H281)*H281)*(MAX('Min rate concentrations'!$P$3:$P$368)))/F281, 0)</f>
        <v>3.2711159114511834E-2</v>
      </c>
      <c r="N281" s="59">
        <f>IF((((1.18*F281^0.874)-(0.398*F281^0.85)/(1-H281)*H281)*(MAX('Min rate concentrations'!$Q$3:$Q$368)))/F281&gt;0, (((1.18*F281^0.874)-(0.398*F281^0.85)/(1-H281)*H281)*(MAX('Min rate concentrations'!$Q$3:$Q$368)))/F281, 0)</f>
        <v>0.12456585153376278</v>
      </c>
      <c r="O281" s="59">
        <f>((MAX('Min rate concentrations'!$F$3:$F$368))*0.62*6.01*8*(10*F281^0.667)*0.079*0.1/F281)*inputs!$E$80/(10^(0.84+0.62*LOG10(inputs!$E$80)))</f>
        <v>6.293735038820282</v>
      </c>
      <c r="P281" s="59">
        <f>((MAX('Min rate concentrations'!Y:Y))*0.62*6.01*8*(10*F281^0.667)*0.079*0.1/F281)*inputs!$E$80/(10^(0.84+0.62*LOG10(inputs!$E$80)))</f>
        <v>2.0979116796067601</v>
      </c>
      <c r="Q281" s="59">
        <f>(inputs!$C$7*11.2*(10*F281^0.667)*0.5/F281)*inputs!$E$80/(10^(0.84+0.62*LOG10(inputs!$E$80)))</f>
        <v>1.1086117421954231</v>
      </c>
      <c r="R281" s="59">
        <f>(60*284*((F281/1000)^0.77)*3*24*(MAX('Min rate concentrations'!$R$3:$R$368))/F281)*(inputs!$E$73*3.4/inputs!$E$75)</f>
        <v>8.9875132225665025E-3</v>
      </c>
      <c r="S281" s="59">
        <f>(IF(inputs!$C$6="aerial",((0.025*0.112*inputs!$C$7/3.3)*(3*60*284*((F281/1000)^0.77))*MAX(inputs!$H$14:$H$16))/F281,((0.0083*0.112*inputs!$C$7/1)*(3*60*284*((F281/1000)^0.77))*MAX(inputs!$H$14:$H$16))/F281))*(inputs!E$75*3.4/inputs!$E$73)</f>
        <v>4.9566687600070769E-2</v>
      </c>
      <c r="T281" s="63">
        <f>IF((((inputs!$P$12/(V281/MAX(K281:S281)))^(1/inputs!$O$12))-1)/inputs!$N$12&lt;0, 0, IF((((inputs!$P$12/(V281/MAX(K281:S281)))^(1/inputs!$O$12))-1)/inputs!$N$12&gt;inputs!$H$17, inputs!$H$17, (((inputs!$P$12/(V281/MAX(K281:S281)))^(1/inputs!$O$12))-1)/inputs!$N$12))</f>
        <v>374.67554356161696</v>
      </c>
      <c r="U281" s="63">
        <f>IF((((inputs!$P$12/(X281/MAX(K281:S281)))^(1/inputs!$O$12))-1)/inputs!$N$12&lt;0, 0, IF((((inputs!$P$12/(X281/MAX(K281:S281)))^(1/inputs!$O$12))-1)/inputs!$N$12&gt;inputs!$H$17, inputs!$H$17, (((inputs!$P$12/(X281/MAX(K281:S281)))^(1/inputs!$O$12))-1)/inputs!$N$12))</f>
        <v>21.142443375900086</v>
      </c>
      <c r="V281" s="21">
        <f>inputs!$E$78*(F281/inputs!$F$78)^(inputs!$E$84-1)</f>
        <v>2.3096084332340623E-2</v>
      </c>
      <c r="W281" s="21">
        <f>inputs!$E$85*(F281/inputs!$F$85)^(inputs!$E$84-1)</f>
        <v>1.066534627746178</v>
      </c>
      <c r="X281" s="21">
        <f>inputs!$E$80*(F281/inputs!$F$80)^(inputs!$E$84-1)</f>
        <v>3.9826293061407916</v>
      </c>
      <c r="Y281" s="21">
        <f>inputs!$E$82*(F281/inputs!$F$82)^(inputs!$E$84-1)</f>
        <v>1.8355309127281232</v>
      </c>
      <c r="Z281" s="63">
        <f t="shared" si="33"/>
        <v>1417.2715777533494</v>
      </c>
      <c r="AA281" s="63">
        <f t="shared" si="34"/>
        <v>30.691384067663819</v>
      </c>
    </row>
    <row r="282" spans="1:476" x14ac:dyDescent="0.25">
      <c r="A282" s="103" t="s">
        <v>180</v>
      </c>
      <c r="B282" s="20" t="s">
        <v>181</v>
      </c>
      <c r="C282" s="20" t="s">
        <v>73</v>
      </c>
      <c r="D282" s="104" t="s">
        <v>141</v>
      </c>
      <c r="E282" s="15">
        <v>140</v>
      </c>
      <c r="F282" s="15">
        <v>59</v>
      </c>
      <c r="G282" s="20" t="s">
        <v>138</v>
      </c>
      <c r="H282" s="20">
        <v>0.68</v>
      </c>
      <c r="I282" s="48">
        <f>MAX('Min rate concentrations'!$L$3:$L$368)</f>
        <v>58.421240152220811</v>
      </c>
      <c r="J282" s="48">
        <f>MAX('Min rate concentrations'!AD:AD)</f>
        <v>40.397666062705881</v>
      </c>
      <c r="K282" s="59">
        <f t="shared" si="32"/>
        <v>39.416318979634909</v>
      </c>
      <c r="L282" s="59">
        <f t="shared" si="35"/>
        <v>27.255965251875207</v>
      </c>
      <c r="M282" s="59">
        <f>IF((((1.18*F282^0.874)-(0.398*F282^0.85)/(1-H282)*H282)*(MAX('Min rate concentrations'!$P$3:$P$368)))/F282&gt;0, (((1.18*F282^0.874)-(0.398*F282^0.85)/(1-H282)*H282)*(MAX('Min rate concentrations'!$P$3:$P$368)))/F282, 0)</f>
        <v>3.5870196363426303E-2</v>
      </c>
      <c r="N282" s="59">
        <f>IF((((1.18*F282^0.874)-(0.398*F282^0.85)/(1-H282)*H282)*(MAX('Min rate concentrations'!$Q$3:$Q$368)))/F282&gt;0, (((1.18*F282^0.874)-(0.398*F282^0.85)/(1-H282)*H282)*(MAX('Min rate concentrations'!$Q$3:$Q$368)))/F282, 0)</f>
        <v>0.13659563511802381</v>
      </c>
      <c r="O282" s="59">
        <f>((MAX('Min rate concentrations'!$F$3:$F$368))*0.62*6.01*8*(10*F282^0.667)*0.079*0.1/F282)*inputs!$E$80/(10^(0.84+0.62*LOG10(inputs!$E$80)))</f>
        <v>6.293735038820282</v>
      </c>
      <c r="P282" s="59">
        <f>((MAX('Min rate concentrations'!Y:Y))*0.62*6.01*8*(10*F282^0.667)*0.079*0.1/F282)*inputs!$E$80/(10^(0.84+0.62*LOG10(inputs!$E$80)))</f>
        <v>2.0979116796067601</v>
      </c>
      <c r="Q282" s="59">
        <f>(inputs!$C$7*11.2*(10*F282^0.667)*0.5/F282)*inputs!$E$80/(10^(0.84+0.62*LOG10(inputs!$E$80)))</f>
        <v>1.1086117421954231</v>
      </c>
      <c r="R282" s="59">
        <f>(60*284*((F282/1000)^0.77)*3*24*(MAX('Min rate concentrations'!$R$3:$R$368))/F282)*(inputs!$E$73*3.4/inputs!$E$75)</f>
        <v>8.9875132225665025E-3</v>
      </c>
      <c r="S282" s="59">
        <f>(IF(inputs!$C$6="aerial",((0.025*0.112*inputs!$C$7/3.3)*(3*60*284*((F282/1000)^0.77))*MAX(inputs!$H$14:$H$16))/F282,((0.0083*0.112*inputs!$C$7/1)*(3*60*284*((F282/1000)^0.77))*MAX(inputs!$H$14:$H$16))/F282))*(inputs!E$75*3.4/inputs!$E$73)</f>
        <v>4.9566687600070769E-2</v>
      </c>
      <c r="T282" s="63">
        <f>IF((((inputs!$P$12/(V282/MAX(K282:S282)))^(1/inputs!$O$12))-1)/inputs!$N$12&lt;0, 0, IF((((inputs!$P$12/(V282/MAX(K282:S282)))^(1/inputs!$O$12))-1)/inputs!$N$12&gt;inputs!$H$17, inputs!$H$17, (((inputs!$P$12/(V282/MAX(K282:S282)))^(1/inputs!$O$12))-1)/inputs!$N$12))</f>
        <v>406.32119449597366</v>
      </c>
      <c r="U282" s="63">
        <f>IF((((inputs!$P$12/(X282/MAX(K282:S282)))^(1/inputs!$O$12))-1)/inputs!$N$12&lt;0, 0, IF((((inputs!$P$12/(X282/MAX(K282:S282)))^(1/inputs!$O$12))-1)/inputs!$N$12&gt;inputs!$H$17, inputs!$H$17, (((inputs!$P$12/(X282/MAX(K282:S282)))^(1/inputs!$O$12))-1)/inputs!$N$12))</f>
        <v>25.038241997011635</v>
      </c>
      <c r="V282" s="21">
        <f>inputs!$E$78*(F282/inputs!$F$78)^(inputs!$E$84-1)</f>
        <v>2.3096084332340623E-2</v>
      </c>
      <c r="W282" s="21">
        <f>inputs!$E$85*(F282/inputs!$F$85)^(inputs!$E$84-1)</f>
        <v>1.066534627746178</v>
      </c>
      <c r="X282" s="21">
        <f>inputs!$E$80*(F282/inputs!$F$80)^(inputs!$E$84-1)</f>
        <v>3.9826293061407916</v>
      </c>
      <c r="Y282" s="21">
        <f>inputs!$E$82*(F282/inputs!$F$82)^(inputs!$E$84-1)</f>
        <v>1.8355309127281232</v>
      </c>
      <c r="Z282" s="63">
        <f t="shared" si="33"/>
        <v>1706.6234437168921</v>
      </c>
      <c r="AA282" s="63">
        <f t="shared" si="34"/>
        <v>36.957373866922865</v>
      </c>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c r="FB282" s="107"/>
      <c r="FC282" s="107"/>
      <c r="FD282" s="107"/>
      <c r="FE282" s="107"/>
      <c r="FF282" s="107"/>
      <c r="FG282" s="107"/>
      <c r="FH282" s="107"/>
      <c r="FI282" s="107"/>
      <c r="FJ282" s="107"/>
      <c r="FK282" s="107"/>
      <c r="FL282" s="107"/>
      <c r="FM282" s="107"/>
      <c r="FN282" s="107"/>
      <c r="FO282" s="107"/>
      <c r="FP282" s="107"/>
      <c r="FQ282" s="107"/>
      <c r="FR282" s="107"/>
      <c r="FS282" s="107"/>
      <c r="FT282" s="107"/>
      <c r="FU282" s="107"/>
      <c r="FV282" s="107"/>
      <c r="FW282" s="107"/>
      <c r="FX282" s="107"/>
      <c r="FY282" s="107"/>
      <c r="FZ282" s="107"/>
      <c r="GA282" s="107"/>
      <c r="GB282" s="107"/>
      <c r="GC282" s="107"/>
      <c r="GD282" s="107"/>
      <c r="GE282" s="107"/>
      <c r="GF282" s="107"/>
      <c r="GG282" s="107"/>
      <c r="GH282" s="107"/>
      <c r="GI282" s="107"/>
      <c r="GJ282" s="107"/>
      <c r="GK282" s="107"/>
      <c r="GL282" s="107"/>
      <c r="GM282" s="107"/>
      <c r="GN282" s="107"/>
      <c r="GO282" s="107"/>
      <c r="GP282" s="107"/>
      <c r="GQ282" s="107"/>
      <c r="GR282" s="107"/>
      <c r="GS282" s="107"/>
      <c r="GT282" s="107"/>
      <c r="GU282" s="107"/>
      <c r="GV282" s="107"/>
      <c r="GW282" s="107"/>
      <c r="GX282" s="107"/>
      <c r="GY282" s="107"/>
      <c r="GZ282" s="107"/>
      <c r="HA282" s="107"/>
      <c r="HB282" s="107"/>
      <c r="HC282" s="107"/>
      <c r="HD282" s="107"/>
      <c r="HE282" s="107"/>
      <c r="HF282" s="107"/>
      <c r="HG282" s="107"/>
      <c r="HH282" s="107"/>
      <c r="HI282" s="107"/>
      <c r="HJ282" s="107"/>
      <c r="HK282" s="107"/>
      <c r="HL282" s="107"/>
      <c r="HM282" s="107"/>
      <c r="HN282" s="107"/>
      <c r="HO282" s="107"/>
      <c r="HP282" s="107"/>
      <c r="HQ282" s="107"/>
      <c r="HR282" s="107"/>
      <c r="HS282" s="107"/>
      <c r="HT282" s="107"/>
      <c r="HU282" s="107"/>
      <c r="HV282" s="107"/>
      <c r="HW282" s="107"/>
      <c r="HX282" s="107"/>
      <c r="HY282" s="107"/>
      <c r="HZ282" s="107"/>
      <c r="IA282" s="107"/>
      <c r="IB282" s="107"/>
      <c r="IC282" s="107"/>
      <c r="ID282" s="107"/>
      <c r="IE282" s="107"/>
      <c r="IF282" s="107"/>
      <c r="IG282" s="107"/>
      <c r="IH282" s="107"/>
      <c r="II282" s="107"/>
      <c r="IJ282" s="107"/>
      <c r="IK282" s="107"/>
      <c r="IL282" s="107"/>
      <c r="IM282" s="107"/>
      <c r="IN282" s="107"/>
      <c r="IO282" s="107"/>
      <c r="IP282" s="107"/>
      <c r="IQ282" s="107"/>
      <c r="IR282" s="107"/>
      <c r="IS282" s="107"/>
      <c r="IT282" s="107"/>
      <c r="IU282" s="107"/>
      <c r="IV282" s="107"/>
      <c r="IW282" s="107"/>
      <c r="IX282" s="107"/>
      <c r="IY282" s="107"/>
      <c r="IZ282" s="107"/>
      <c r="JA282" s="107"/>
      <c r="JB282" s="107"/>
      <c r="JC282" s="107"/>
      <c r="JD282" s="107"/>
      <c r="JE282" s="107"/>
      <c r="JF282" s="107"/>
      <c r="JG282" s="107"/>
      <c r="JH282" s="107"/>
      <c r="JI282" s="107"/>
      <c r="JJ282" s="107"/>
      <c r="JK282" s="107"/>
      <c r="JL282" s="107"/>
      <c r="JM282" s="107"/>
      <c r="JN282" s="107"/>
      <c r="JO282" s="107"/>
      <c r="JP282" s="107"/>
      <c r="JQ282" s="107"/>
      <c r="JR282" s="107"/>
      <c r="JS282" s="107"/>
      <c r="JT282" s="107"/>
      <c r="JU282" s="107"/>
      <c r="JV282" s="107"/>
      <c r="JW282" s="107"/>
      <c r="JX282" s="107"/>
      <c r="JY282" s="107"/>
      <c r="JZ282" s="107"/>
      <c r="KA282" s="107"/>
      <c r="KB282" s="107"/>
      <c r="KC282" s="107"/>
      <c r="KD282" s="107"/>
      <c r="KE282" s="107"/>
      <c r="KF282" s="107"/>
      <c r="KG282" s="107"/>
      <c r="KH282" s="107"/>
      <c r="KI282" s="107"/>
      <c r="KJ282" s="107"/>
      <c r="KK282" s="107"/>
      <c r="KL282" s="107"/>
      <c r="KM282" s="107"/>
      <c r="KN282" s="107"/>
      <c r="KO282" s="107"/>
      <c r="KP282" s="107"/>
      <c r="KQ282" s="107"/>
      <c r="KR282" s="107"/>
      <c r="KS282" s="107"/>
      <c r="KT282" s="107"/>
      <c r="KU282" s="107"/>
      <c r="KV282" s="107"/>
      <c r="KW282" s="107"/>
      <c r="KX282" s="107"/>
      <c r="KY282" s="107"/>
      <c r="KZ282" s="107"/>
      <c r="LA282" s="107"/>
      <c r="LB282" s="107"/>
      <c r="LC282" s="107"/>
      <c r="LD282" s="107"/>
      <c r="LE282" s="107"/>
      <c r="LF282" s="107"/>
      <c r="LG282" s="107"/>
      <c r="LH282" s="107"/>
      <c r="LI282" s="107"/>
      <c r="LJ282" s="107"/>
      <c r="LK282" s="107"/>
      <c r="LL282" s="107"/>
      <c r="LM282" s="107"/>
      <c r="LN282" s="107"/>
      <c r="LO282" s="107"/>
      <c r="LP282" s="107"/>
      <c r="LQ282" s="107"/>
      <c r="LR282" s="107"/>
      <c r="LS282" s="107"/>
      <c r="LT282" s="107"/>
      <c r="LU282" s="107"/>
      <c r="LV282" s="107"/>
      <c r="LW282" s="107"/>
      <c r="LX282" s="107"/>
      <c r="LY282" s="107"/>
      <c r="LZ282" s="107"/>
      <c r="MA282" s="107"/>
      <c r="MB282" s="107"/>
      <c r="MC282" s="107"/>
      <c r="MD282" s="107"/>
      <c r="ME282" s="107"/>
      <c r="MF282" s="107"/>
      <c r="MG282" s="107"/>
      <c r="MH282" s="107"/>
      <c r="MI282" s="107"/>
      <c r="MJ282" s="107"/>
      <c r="MK282" s="107"/>
      <c r="ML282" s="107"/>
      <c r="MM282" s="107"/>
      <c r="MN282" s="107"/>
      <c r="MO282" s="107"/>
      <c r="MP282" s="107"/>
      <c r="MQ282" s="107"/>
      <c r="MR282" s="107"/>
      <c r="MS282" s="107"/>
      <c r="MT282" s="107"/>
      <c r="MU282" s="107"/>
      <c r="MV282" s="107"/>
      <c r="MW282" s="107"/>
      <c r="MX282" s="107"/>
      <c r="MY282" s="107"/>
      <c r="MZ282" s="107"/>
      <c r="NA282" s="107"/>
      <c r="NB282" s="107"/>
      <c r="NC282" s="107"/>
      <c r="ND282" s="107"/>
      <c r="NE282" s="107"/>
      <c r="NF282" s="107"/>
      <c r="NG282" s="107"/>
      <c r="NH282" s="107"/>
      <c r="NI282" s="107"/>
      <c r="NJ282" s="107"/>
      <c r="NK282" s="107"/>
      <c r="NL282" s="107"/>
      <c r="NM282" s="107"/>
      <c r="NN282" s="107"/>
      <c r="NO282" s="107"/>
      <c r="NP282" s="107"/>
      <c r="NQ282" s="107"/>
      <c r="NR282" s="107"/>
      <c r="NS282" s="107"/>
      <c r="NT282" s="107"/>
      <c r="NU282" s="107"/>
      <c r="NV282" s="107"/>
      <c r="NW282" s="107"/>
      <c r="NX282" s="107"/>
      <c r="NY282" s="107"/>
      <c r="NZ282" s="107"/>
      <c r="OA282" s="107"/>
      <c r="OB282" s="107"/>
      <c r="OC282" s="107"/>
      <c r="OD282" s="107"/>
      <c r="OE282" s="107"/>
      <c r="OF282" s="107"/>
      <c r="OG282" s="107"/>
      <c r="OH282" s="107"/>
      <c r="OI282" s="107"/>
      <c r="OJ282" s="107"/>
      <c r="OK282" s="107"/>
      <c r="OL282" s="107"/>
      <c r="OM282" s="107"/>
      <c r="ON282" s="107"/>
      <c r="OO282" s="107"/>
      <c r="OP282" s="107"/>
      <c r="OQ282" s="107"/>
      <c r="OR282" s="107"/>
      <c r="OS282" s="107"/>
      <c r="OT282" s="107"/>
      <c r="OU282" s="107"/>
      <c r="OV282" s="107"/>
      <c r="OW282" s="107"/>
      <c r="OX282" s="107"/>
      <c r="OY282" s="107"/>
      <c r="OZ282" s="107"/>
      <c r="PA282" s="107"/>
      <c r="PB282" s="107"/>
      <c r="PC282" s="107"/>
      <c r="PD282" s="107"/>
      <c r="PE282" s="107"/>
      <c r="PF282" s="107"/>
      <c r="PG282" s="107"/>
      <c r="PH282" s="107"/>
      <c r="PI282" s="107"/>
      <c r="PJ282" s="107"/>
      <c r="PK282" s="107"/>
      <c r="PL282" s="107"/>
      <c r="PM282" s="107"/>
      <c r="PN282" s="107"/>
      <c r="PO282" s="107"/>
      <c r="PP282" s="107"/>
      <c r="PQ282" s="107"/>
      <c r="PR282" s="107"/>
      <c r="PS282" s="107"/>
      <c r="PT282" s="107"/>
      <c r="PU282" s="107"/>
      <c r="PV282" s="107"/>
      <c r="PW282" s="107"/>
      <c r="PX282" s="107"/>
      <c r="PY282" s="107"/>
      <c r="PZ282" s="107"/>
      <c r="QA282" s="107"/>
      <c r="QB282" s="107"/>
      <c r="QC282" s="107"/>
      <c r="QD282" s="107"/>
      <c r="QE282" s="107"/>
      <c r="QF282" s="107"/>
      <c r="QG282" s="107"/>
      <c r="QH282" s="107"/>
      <c r="QI282" s="107"/>
      <c r="QJ282" s="107"/>
      <c r="QK282" s="107"/>
      <c r="QL282" s="107"/>
      <c r="QM282" s="107"/>
      <c r="QN282" s="107"/>
      <c r="QO282" s="107"/>
      <c r="QP282" s="107"/>
      <c r="QQ282" s="107"/>
      <c r="QR282" s="107"/>
      <c r="QS282" s="107"/>
      <c r="QT282" s="107"/>
      <c r="QU282" s="107"/>
      <c r="QV282" s="107"/>
      <c r="QW282" s="107"/>
      <c r="QX282" s="107"/>
      <c r="QY282" s="107"/>
      <c r="QZ282" s="107"/>
      <c r="RA282" s="107"/>
      <c r="RB282" s="107"/>
      <c r="RC282" s="107"/>
      <c r="RD282" s="107"/>
      <c r="RE282" s="107"/>
      <c r="RF282" s="107"/>
      <c r="RG282" s="107"/>
      <c r="RH282" s="107"/>
    </row>
    <row r="283" spans="1:476" x14ac:dyDescent="0.25">
      <c r="A283" s="103" t="s">
        <v>180</v>
      </c>
      <c r="B283" s="20" t="s">
        <v>181</v>
      </c>
      <c r="C283" s="20" t="s">
        <v>73</v>
      </c>
      <c r="D283" s="104" t="s">
        <v>141</v>
      </c>
      <c r="E283" s="15">
        <v>140</v>
      </c>
      <c r="F283" s="15">
        <v>59</v>
      </c>
      <c r="G283" s="20" t="s">
        <v>152</v>
      </c>
      <c r="H283" s="20">
        <v>0.77</v>
      </c>
      <c r="I283" s="48">
        <f>MAX('Min rate concentrations'!$G$3:$G$368)</f>
        <v>7.5</v>
      </c>
      <c r="J283" s="48">
        <f>MAX('Min rate concentrations'!Z:Z)</f>
        <v>3.5</v>
      </c>
      <c r="K283" s="59">
        <f t="shared" si="32"/>
        <v>7.0402599930405563</v>
      </c>
      <c r="L283" s="59">
        <f t="shared" si="35"/>
        <v>3.2854546634189261</v>
      </c>
      <c r="M283" s="59">
        <f>IF((((1.18*F283^0.874)-(0.398*F283^0.85)/(1-H283)*H283)*(MAX('Min rate concentrations'!$P$3:$P$368)))/F283&gt;0, (((1.18*F283^0.874)-(0.398*F283^0.85)/(1-H283)*H283)*(MAX('Min rate concentrations'!$P$3:$P$368)))/F283, 0)</f>
        <v>0</v>
      </c>
      <c r="N283" s="59">
        <f>IF((((1.18*F283^0.874)-(0.398*F283^0.85)/(1-H283)*H283)*(MAX('Min rate concentrations'!$Q$3:$Q$368)))/F283&gt;0, (((1.18*F283^0.874)-(0.398*F283^0.85)/(1-H283)*H283)*(MAX('Min rate concentrations'!$Q$3:$Q$368)))/F283, 0)</f>
        <v>0</v>
      </c>
      <c r="O283" s="59">
        <f>((MAX('Min rate concentrations'!$F$3:$F$368))*0.62*6.01*8*(10*F283^0.667)*0.079*0.1/F283)*inputs!$E$80/(10^(0.84+0.62*LOG10(inputs!$E$80)))</f>
        <v>6.293735038820282</v>
      </c>
      <c r="P283" s="59">
        <f>((MAX('Min rate concentrations'!Y:Y))*0.62*6.01*8*(10*F283^0.667)*0.079*0.1/F283)*inputs!$E$80/(10^(0.84+0.62*LOG10(inputs!$E$80)))</f>
        <v>2.0979116796067601</v>
      </c>
      <c r="Q283" s="59">
        <f>(inputs!$C$7*11.2*(10*F283^0.667)*0.5/F283)*inputs!$E$80/(10^(0.84+0.62*LOG10(inputs!$E$80)))</f>
        <v>1.1086117421954231</v>
      </c>
      <c r="R283" s="59">
        <f>(60*284*((F283/1000)^0.77)*3*24*(MAX('Min rate concentrations'!$R$3:$R$368))/F283)*(inputs!$E$73*3.4/inputs!$E$75)</f>
        <v>8.9875132225665025E-3</v>
      </c>
      <c r="S283" s="59">
        <f>(IF(inputs!$C$6="aerial",((0.025*0.112*inputs!$C$7/3.3)*(3*60*284*((F283/1000)^0.77))*MAX(inputs!$H$14:$H$16))/F283,((0.0083*0.112*inputs!$C$7/1)*(3*60*284*((F283/1000)^0.77))*MAX(inputs!$H$14:$H$16))/F283))*(inputs!E$75*3.4/inputs!$E$73)</f>
        <v>4.9566687600070769E-2</v>
      </c>
      <c r="T283" s="63">
        <f>IF((((inputs!$P$12/(V283/MAX(K283:S283)))^(1/inputs!$O$12))-1)/inputs!$N$12&lt;0, 0, IF((((inputs!$P$12/(V283/MAX(K283:S283)))^(1/inputs!$O$12))-1)/inputs!$N$12&gt;inputs!$H$17, inputs!$H$17, (((inputs!$P$12/(V283/MAX(K283:S283)))^(1/inputs!$O$12))-1)/inputs!$N$12))</f>
        <v>187.29784039422145</v>
      </c>
      <c r="U283" s="63">
        <f>IF((((inputs!$P$12/(X283/MAX(K283:S283)))^(1/inputs!$O$12))-1)/inputs!$N$12&lt;0, 0, IF((((inputs!$P$12/(X283/MAX(K283:S283)))^(1/inputs!$O$12))-1)/inputs!$N$12&gt;inputs!$H$17, inputs!$H$17, (((inputs!$P$12/(X283/MAX(K283:S283)))^(1/inputs!$O$12))-1)/inputs!$N$12))</f>
        <v>0</v>
      </c>
      <c r="V283" s="21">
        <f>inputs!$E$78*(F283/inputs!$F$78)^(inputs!$E$84-1)</f>
        <v>2.3096084332340623E-2</v>
      </c>
      <c r="W283" s="21">
        <f>inputs!$E$85*(F283/inputs!$F$85)^(inputs!$E$84-1)</f>
        <v>1.066534627746178</v>
      </c>
      <c r="X283" s="21">
        <f>inputs!$E$80*(F283/inputs!$F$80)^(inputs!$E$84-1)</f>
        <v>3.9826293061407916</v>
      </c>
      <c r="Y283" s="21">
        <f>inputs!$E$82*(F283/inputs!$F$82)^(inputs!$E$84-1)</f>
        <v>1.8355309127281232</v>
      </c>
      <c r="Z283" s="63">
        <f t="shared" si="33"/>
        <v>304.82483055287133</v>
      </c>
      <c r="AA283" s="63">
        <f t="shared" si="34"/>
        <v>6.6010608656168737</v>
      </c>
    </row>
    <row r="284" spans="1:476" x14ac:dyDescent="0.25">
      <c r="A284" s="103" t="s">
        <v>180</v>
      </c>
      <c r="B284" s="20" t="s">
        <v>181</v>
      </c>
      <c r="C284" s="20" t="s">
        <v>73</v>
      </c>
      <c r="D284" s="104" t="s">
        <v>141</v>
      </c>
      <c r="E284" s="15">
        <v>140</v>
      </c>
      <c r="F284" s="15">
        <v>59</v>
      </c>
      <c r="G284" s="21" t="s">
        <v>456</v>
      </c>
      <c r="H284" s="20">
        <v>0.68</v>
      </c>
      <c r="I284" s="48">
        <f>MAX('Min rate concentrations'!$J$3:$J$368)</f>
        <v>114.4108103430513</v>
      </c>
      <c r="J284" s="48">
        <f>MAX('Min rate concentrations'!AB:AB)</f>
        <v>40.520495329830666</v>
      </c>
      <c r="K284" s="59">
        <f t="shared" si="32"/>
        <v>77.192010704497079</v>
      </c>
      <c r="L284" s="59">
        <f t="shared" si="35"/>
        <v>27.338837124509382</v>
      </c>
      <c r="M284" s="59">
        <f>IF((((1.18*F284^0.874)-(0.398*F284^0.85)/(1-H284)*H284)*(MAX('Min rate concentrations'!$P$3:$P$368)))/F284&gt;0, (((1.18*F284^0.874)-(0.398*F284^0.85)/(1-H284)*H284)*(MAX('Min rate concentrations'!$P$3:$P$368)))/F284, 0)</f>
        <v>3.5870196363426303E-2</v>
      </c>
      <c r="N284" s="59">
        <f>IF((((1.18*F284^0.874)-(0.398*F284^0.85)/(1-H284)*H284)*(MAX('Min rate concentrations'!$Q$3:$Q$368)))/F284&gt;0, (((1.18*F284^0.874)-(0.398*F284^0.85)/(1-H284)*H284)*(MAX('Min rate concentrations'!$Q$3:$Q$368)))/F284, 0)</f>
        <v>0.13659563511802381</v>
      </c>
      <c r="O284" s="59">
        <f>((MAX('Min rate concentrations'!$F$3:$F$368))*0.62*6.01*8*(10*F284^0.667)*0.079*0.1/F284)*inputs!$E$80/(10^(0.84+0.62*LOG10(inputs!$E$80)))</f>
        <v>6.293735038820282</v>
      </c>
      <c r="P284" s="59">
        <f>((MAX('Min rate concentrations'!Y:Y))*0.62*6.01*8*(10*F284^0.667)*0.079*0.1/F284)*inputs!$E$80/(10^(0.84+0.62*LOG10(inputs!$E$80)))</f>
        <v>2.0979116796067601</v>
      </c>
      <c r="Q284" s="59">
        <f>(inputs!$C$7*11.2*(10*F284^0.667)*0.5/F284)*inputs!$E$80/(10^(0.84+0.62*LOG10(inputs!$E$80)))</f>
        <v>1.1086117421954231</v>
      </c>
      <c r="R284" s="59">
        <f>(60*284*((F284/1000)^0.77)*3*24*(MAX('Min rate concentrations'!$R$3:$R$368))/F284)*(inputs!$E$73*3.4/inputs!$E$75)</f>
        <v>8.9875132225665025E-3</v>
      </c>
      <c r="S284" s="59">
        <f>(IF(inputs!$C$6="aerial",((0.025*0.112*inputs!$C$7/3.3)*(3*60*284*((F284/1000)^0.77))*MAX(inputs!$H$14:$H$16))/F284,((0.0083*0.112*inputs!$C$7/1)*(3*60*284*((F284/1000)^0.77))*MAX(inputs!$H$14:$H$16))/F284))*(inputs!E$75*3.4/inputs!$E$73)</f>
        <v>4.9566687600070769E-2</v>
      </c>
      <c r="T284" s="63">
        <f>IF((((inputs!$P$12/(V284/MAX(K284:S284)))^(1/inputs!$O$12))-1)/inputs!$N$12&lt;0, 0, IF((((inputs!$P$12/(V284/MAX(K284:S284)))^(1/inputs!$O$12))-1)/inputs!$N$12&gt;inputs!$H$17, inputs!$H$17, (((inputs!$P$12/(V284/MAX(K284:S284)))^(1/inputs!$O$12))-1)/inputs!$N$12))</f>
        <v>543.02195405332066</v>
      </c>
      <c r="U284" s="63">
        <f>IF((((inputs!$P$12/(X284/MAX(K284:S284)))^(1/inputs!$O$12))-1)/inputs!$N$12&lt;0, 0, IF((((inputs!$P$12/(X284/MAX(K284:S284)))^(1/inputs!$O$12))-1)/inputs!$N$12&gt;inputs!$H$17, inputs!$H$17, (((inputs!$P$12/(X284/MAX(K284:S284)))^(1/inputs!$O$12))-1)/inputs!$N$12))</f>
        <v>41.867051481547591</v>
      </c>
      <c r="V284" s="21">
        <f>inputs!$E$78*(F284/inputs!$F$78)^(inputs!$E$84-1)</f>
        <v>2.3096084332340623E-2</v>
      </c>
      <c r="W284" s="21">
        <f>inputs!$E$85*(F284/inputs!$F$85)^(inputs!$E$84-1)</f>
        <v>1.066534627746178</v>
      </c>
      <c r="X284" s="21">
        <f>inputs!$E$80*(F284/inputs!$F$80)^(inputs!$E$84-1)</f>
        <v>3.9826293061407916</v>
      </c>
      <c r="Y284" s="21">
        <f>inputs!$E$82*(F284/inputs!$F$82)^(inputs!$E$84-1)</f>
        <v>1.8355309127281232</v>
      </c>
      <c r="Z284" s="63">
        <f t="shared" si="33"/>
        <v>3342.212021472742</v>
      </c>
      <c r="AA284" s="63">
        <f t="shared" si="34"/>
        <v>72.376469264407064</v>
      </c>
    </row>
    <row r="285" spans="1:476" x14ac:dyDescent="0.25">
      <c r="A285" s="103" t="s">
        <v>180</v>
      </c>
      <c r="B285" s="20" t="s">
        <v>181</v>
      </c>
      <c r="C285" s="20" t="s">
        <v>73</v>
      </c>
      <c r="D285" s="104" t="s">
        <v>141</v>
      </c>
      <c r="E285" s="15">
        <v>140</v>
      </c>
      <c r="F285" s="15">
        <v>59</v>
      </c>
      <c r="G285" s="20" t="s">
        <v>145</v>
      </c>
      <c r="H285" s="20">
        <v>0.66</v>
      </c>
      <c r="I285" s="48">
        <f>MAX('Min rate concentrations'!$M$3:$M$368)</f>
        <v>2.8488184789681945</v>
      </c>
      <c r="J285" s="48">
        <f>MAX('Min rate concentrations'!AE:AE)</f>
        <v>1.9699276716269429</v>
      </c>
      <c r="K285" s="59">
        <f t="shared" si="32"/>
        <v>1.8090106807569875</v>
      </c>
      <c r="L285" s="59">
        <f t="shared" si="35"/>
        <v>1.2509116409489809</v>
      </c>
      <c r="M285" s="59">
        <f>IF((((1.18*F285^0.874)-(0.398*F285^0.85)/(1-H285)*H285)*(MAX('Min rate concentrations'!$P$3:$P$368)))/F285&gt;0, (((1.18*F285^0.874)-(0.398*F285^0.85)/(1-H285)*H285)*(MAX('Min rate concentrations'!$P$3:$P$368)))/F285, 0)</f>
        <v>4.1630793699682145E-2</v>
      </c>
      <c r="N285" s="59">
        <f>IF((((1.18*F285^0.874)-(0.398*F285^0.85)/(1-H285)*H285)*(MAX('Min rate concentrations'!$Q$3:$Q$368)))/F285&gt;0, (((1.18*F285^0.874)-(0.398*F285^0.85)/(1-H285)*H285)*(MAX('Min rate concentrations'!$Q$3:$Q$368)))/F285, 0)</f>
        <v>0.15853229930108831</v>
      </c>
      <c r="O285" s="59">
        <f>((MAX('Min rate concentrations'!$F$3:$F$368))*0.62*6.01*8*(10*F285^0.667)*0.079*0.1/F285)*inputs!$E$80/(10^(0.84+0.62*LOG10(inputs!$E$80)))</f>
        <v>6.293735038820282</v>
      </c>
      <c r="P285" s="59">
        <f>((MAX('Min rate concentrations'!Y:Y))*0.62*6.01*8*(10*F285^0.667)*0.079*0.1/F285)*inputs!$E$80/(10^(0.84+0.62*LOG10(inputs!$E$80)))</f>
        <v>2.0979116796067601</v>
      </c>
      <c r="Q285" s="59">
        <f>(inputs!$C$7*11.2*(10*F285^0.667)*0.5/F285)*inputs!$E$80/(10^(0.84+0.62*LOG10(inputs!$E$80)))</f>
        <v>1.1086117421954231</v>
      </c>
      <c r="R285" s="59">
        <f>(60*284*((F285/1000)^0.77)*3*24*(MAX('Min rate concentrations'!$R$3:$R$368))/F285)*(inputs!$E$73*3.4/inputs!$E$75)</f>
        <v>8.9875132225665025E-3</v>
      </c>
      <c r="S285" s="59">
        <f>(IF(inputs!$C$6="aerial",((0.025*0.112*inputs!$C$7/3.3)*(3*60*284*((F285/1000)^0.77))*MAX(inputs!$H$14:$H$16))/F285,((0.0083*0.112*inputs!$C$7/1)*(3*60*284*((F285/1000)^0.77))*MAX(inputs!$H$14:$H$16))/F285))*(inputs!E$75*3.4/inputs!$E$73)</f>
        <v>4.9566687600070769E-2</v>
      </c>
      <c r="T285" s="63">
        <f>IF((((inputs!$P$12/(V285/MAX(K285:S285)))^(1/inputs!$O$12))-1)/inputs!$N$12&lt;0, 0, IF((((inputs!$P$12/(V285/MAX(K285:S285)))^(1/inputs!$O$12))-1)/inputs!$N$12&gt;inputs!$H$17, inputs!$H$17, (((inputs!$P$12/(V285/MAX(K285:S285)))^(1/inputs!$O$12))-1)/inputs!$N$12))</f>
        <v>177.68071702402852</v>
      </c>
      <c r="U285" s="63">
        <f>IF((((inputs!$P$12/(X285/MAX(K285:S285)))^(1/inputs!$O$12))-1)/inputs!$N$12&lt;0, 0, IF((((inputs!$P$12/(X285/MAX(K285:S285)))^(1/inputs!$O$12))-1)/inputs!$N$12&gt;inputs!$H$17, inputs!$H$17, (((inputs!$P$12/(X285/MAX(K285:S285)))^(1/inputs!$O$12))-1)/inputs!$N$12))</f>
        <v>0</v>
      </c>
      <c r="V285" s="21">
        <f>inputs!$E$78*(F285/inputs!$F$78)^(inputs!$E$84-1)</f>
        <v>2.3096084332340623E-2</v>
      </c>
      <c r="W285" s="21">
        <f>inputs!$E$85*(F285/inputs!$F$85)^(inputs!$E$84-1)</f>
        <v>1.066534627746178</v>
      </c>
      <c r="X285" s="21">
        <f>inputs!$E$80*(F285/inputs!$F$80)^(inputs!$E$84-1)</f>
        <v>3.9826293061407916</v>
      </c>
      <c r="Y285" s="21">
        <f>inputs!$E$82*(F285/inputs!$F$82)^(inputs!$E$84-1)</f>
        <v>1.8355309127281232</v>
      </c>
      <c r="Z285" s="63">
        <f t="shared" si="33"/>
        <v>272.50225398629107</v>
      </c>
      <c r="AA285" s="63">
        <f t="shared" si="34"/>
        <v>5.9011070762140436</v>
      </c>
    </row>
    <row r="286" spans="1:476" x14ac:dyDescent="0.25">
      <c r="A286" s="103" t="s">
        <v>180</v>
      </c>
      <c r="B286" s="20" t="s">
        <v>181</v>
      </c>
      <c r="C286" s="20" t="s">
        <v>73</v>
      </c>
      <c r="D286" s="104" t="s">
        <v>141</v>
      </c>
      <c r="E286" s="15">
        <v>140</v>
      </c>
      <c r="F286" s="15">
        <v>59</v>
      </c>
      <c r="G286" s="20" t="s">
        <v>154</v>
      </c>
      <c r="H286" s="20">
        <v>9.2999999999999999E-2</v>
      </c>
      <c r="I286" s="48">
        <f>MAX('Min rate concentrations'!$G$3:$G$368)</f>
        <v>7.5</v>
      </c>
      <c r="J286" s="48">
        <f>MAX('Min rate concentrations'!Z:Z)</f>
        <v>3.5</v>
      </c>
      <c r="K286" s="59">
        <f t="shared" si="32"/>
        <v>1.785291949723625</v>
      </c>
      <c r="L286" s="59"/>
      <c r="M286" s="59">
        <f>IF((((1.18*F286^0.874)-(0.398*F286^0.85)/(1-H286)*H286)*(MAX('Min rate concentrations'!$P$3:$P$368)))/F286&gt;0, (((1.18*F286^0.874)-(0.398*F286^0.85)/(1-H286)*H286)*(MAX('Min rate concentrations'!$P$3:$P$368)))/F286, 0)</f>
        <v>9.9249469592199255E-2</v>
      </c>
      <c r="N286" s="59">
        <f>IF((((1.18*F286^0.874)-(0.398*F286^0.85)/(1-H286)*H286)*(MAX('Min rate concentrations'!$Q$3:$Q$368)))/F286&gt;0, (((1.18*F286^0.874)-(0.398*F286^0.85)/(1-H286)*H286)*(MAX('Min rate concentrations'!$Q$3:$Q$368)))/F286, 0)</f>
        <v>0.37794731304834395</v>
      </c>
      <c r="O286" s="59">
        <f>((MAX('Min rate concentrations'!$F$3:$F$368))*0.62*6.01*8*(10*F286^0.667)*0.079*0.1/F286)*inputs!$E$80/(10^(0.84+0.62*LOG10(inputs!$E$80)))</f>
        <v>6.293735038820282</v>
      </c>
      <c r="P286" s="59">
        <f>((MAX('Min rate concentrations'!Y:Y))*0.62*6.01*8*(10*F286^0.667)*0.079*0.1/F286)*inputs!$E$80/(10^(0.84+0.62*LOG10(inputs!$E$80)))</f>
        <v>2.0979116796067601</v>
      </c>
      <c r="Q286" s="59">
        <f>(inputs!$C$7*11.2*(10*F286^0.667)*0.5/F286)*inputs!$E$80/(10^(0.84+0.62*LOG10(inputs!$E$80)))</f>
        <v>1.1086117421954231</v>
      </c>
      <c r="R286" s="59">
        <f>(60*284*((F286/1000)^0.77)*3*24*(MAX('Min rate concentrations'!$R$3:$R$368))/F286)*(inputs!$E$73*3.4/inputs!$E$75)</f>
        <v>8.9875132225665025E-3</v>
      </c>
      <c r="S286" s="59">
        <f>(IF(inputs!$C$6="aerial",((0.025*0.112*inputs!$C$7/3.3)*(3*60*284*((F286/1000)^0.77))*MAX(inputs!$H$14:$H$16))/F286,((0.0083*0.112*inputs!$C$7/1)*(3*60*284*((F286/1000)^0.77))*MAX(inputs!$H$14:$H$16))/F286))*(inputs!E$75*3.4/inputs!$E$73)</f>
        <v>4.9566687600070769E-2</v>
      </c>
      <c r="T286" s="63">
        <f>IF((((inputs!$P$12/(V286/MAX(K286:S286)))^(1/inputs!$O$12))-1)/inputs!$N$12&lt;0, 0, IF((((inputs!$P$12/(V286/MAX(K286:S286)))^(1/inputs!$O$12))-1)/inputs!$N$12&gt;inputs!$H$17, inputs!$H$17, (((inputs!$P$12/(V286/MAX(K286:S286)))^(1/inputs!$O$12))-1)/inputs!$N$12))</f>
        <v>177.68071702402852</v>
      </c>
      <c r="U286" s="63">
        <f>IF((((inputs!$P$12/(X286/MAX(K286:S286)))^(1/inputs!$O$12))-1)/inputs!$N$12&lt;0, 0, IF((((inputs!$P$12/(X286/MAX(K286:S286)))^(1/inputs!$O$12))-1)/inputs!$N$12&gt;inputs!$H$17, inputs!$H$17, (((inputs!$P$12/(X286/MAX(K286:S286)))^(1/inputs!$O$12))-1)/inputs!$N$12))</f>
        <v>0</v>
      </c>
      <c r="V286" s="21">
        <f>inputs!$E$78*(F286/inputs!$F$78)^(inputs!$E$84-1)</f>
        <v>2.3096084332340623E-2</v>
      </c>
      <c r="W286" s="21">
        <f>inputs!$E$85*(F286/inputs!$F$85)^(inputs!$E$84-1)</f>
        <v>1.066534627746178</v>
      </c>
      <c r="X286" s="21">
        <f>inputs!$E$80*(F286/inputs!$F$80)^(inputs!$E$84-1)</f>
        <v>3.9826293061407916</v>
      </c>
      <c r="Y286" s="21">
        <f>inputs!$E$82*(F286/inputs!$F$82)^(inputs!$E$84-1)</f>
        <v>1.8355309127281232</v>
      </c>
      <c r="Z286" s="63">
        <f t="shared" si="33"/>
        <v>272.50225398629107</v>
      </c>
      <c r="AA286" s="63">
        <f t="shared" si="34"/>
        <v>5.9011070762140436</v>
      </c>
    </row>
    <row r="287" spans="1:476" x14ac:dyDescent="0.25">
      <c r="A287" s="103" t="s">
        <v>228</v>
      </c>
      <c r="B287" s="20" t="s">
        <v>229</v>
      </c>
      <c r="C287" s="20" t="s">
        <v>73</v>
      </c>
      <c r="D287" s="104" t="s">
        <v>141</v>
      </c>
      <c r="E287" s="15">
        <v>139</v>
      </c>
      <c r="F287" s="15">
        <v>9.4</v>
      </c>
      <c r="G287" s="20" t="s">
        <v>142</v>
      </c>
      <c r="H287" s="20">
        <v>0.69</v>
      </c>
      <c r="I287" s="48">
        <f>MAX('Min rate concentrations'!$H$3:$H$368)</f>
        <v>47</v>
      </c>
      <c r="J287" s="48">
        <f>MAX('Min rate concentrations'!AA:AA)</f>
        <v>32.5</v>
      </c>
      <c r="K287" s="59">
        <f t="shared" si="32"/>
        <v>43.117151135153009</v>
      </c>
      <c r="L287" s="59">
        <f>((0.398*F287^0.85)/(1-H287))*J287/F287</f>
        <v>29.815051316861119</v>
      </c>
      <c r="M287" s="59">
        <f>IF((((1.18*F287^0.874)-(0.398*F287^0.85)/(1-H287)*H287)*(MAX('Min rate concentrations'!$P$3:$P$368)))/F287&gt;0, (((1.18*F287^0.874)-(0.398*F287^0.85)/(1-H287)*H287)*(MAX('Min rate concentrations'!$P$3:$P$368)))/F287, 0)</f>
        <v>3.7267239303106339E-2</v>
      </c>
      <c r="N287" s="59">
        <f>IF((((1.18*F287^0.874)-(0.398*F287^0.85)/(1-H287)*H287)*(MAX('Min rate concentrations'!$Q$3:$Q$368)))/F287&gt;0, (((1.18*F287^0.874)-(0.398*F287^0.85)/(1-H287)*H287)*(MAX('Min rate concentrations'!$Q$3:$Q$368)))/F287, 0)</f>
        <v>0.14191564969779674</v>
      </c>
      <c r="O287" s="59">
        <f>((MAX('Min rate concentrations'!$F$3:$F$368))*0.62*6.01*8*(10*F287^0.667)*0.079*0.1/F287)*inputs!$E$80/(10^(0.84+0.62*LOG10(inputs!$E$80)))</f>
        <v>11.60247390010945</v>
      </c>
      <c r="P287" s="59">
        <f>((MAX('Min rate concentrations'!Y:Y))*0.62*6.01*8*(10*F287^0.667)*0.079*0.1/F287)*inputs!$E$80/(10^(0.84+0.62*LOG10(inputs!$E$80)))</f>
        <v>3.8674913000364826</v>
      </c>
      <c r="Q287" s="59">
        <f>(inputs!$C$7*11.2*(10*F287^0.667)*0.5/F287)*inputs!$E$80/(10^(0.84+0.62*LOG10(inputs!$E$80)))</f>
        <v>2.0437210535301276</v>
      </c>
      <c r="R287" s="59">
        <f>(60*284*((F287/1000)^0.77)*3*24*(MAX('Min rate concentrations'!$R$3:$R$368))/F287)*(inputs!$E$73*3.4/inputs!$E$75)</f>
        <v>1.3712482889923307E-2</v>
      </c>
      <c r="S287" s="59">
        <f>(IF(inputs!$C$6="aerial",((0.025*0.112*inputs!$C$7/3.3)*(3*60*284*((F287/1000)^0.77))*MAX(inputs!$H$14:$H$16))/F287,((0.0083*0.112*inputs!$C$7/1)*(3*60*284*((F287/1000)^0.77))*MAX(inputs!$H$14:$H$16))/F287))*(inputs!E$75*3.4/inputs!$E$73)</f>
        <v>7.5625185609691045E-2</v>
      </c>
      <c r="T287" s="63">
        <f>IF((((inputs!$P$12/(V287/MAX(K287:S287)))^(1/inputs!$O$12))-1)/inputs!$N$12&lt;0, 0, IF((((inputs!$P$12/(V287/MAX(K287:S287)))^(1/inputs!$O$12))-1)/inputs!$N$12&gt;inputs!$H$17, inputs!$H$17, (((inputs!$P$12/(V287/MAX(K287:S287)))^(1/inputs!$O$12))-1)/inputs!$N$12))</f>
        <v>313.56945073558489</v>
      </c>
      <c r="U287" s="63">
        <f>IF((((inputs!$P$12/(X287/MAX(K287:S287)))^(1/inputs!$O$12))-1)/inputs!$N$12&lt;0, 0, IF((((inputs!$P$12/(X287/MAX(K287:S287)))^(1/inputs!$O$12))-1)/inputs!$N$12&gt;inputs!$H$17, inputs!$H$17, (((inputs!$P$12/(X287/MAX(K287:S287)))^(1/inputs!$O$12))-1)/inputs!$N$12))</f>
        <v>13.619860488697718</v>
      </c>
      <c r="V287" s="21">
        <f>inputs!$E$78*(F287/inputs!$F$78)^(inputs!$E$84-1)</f>
        <v>4.5571811793226592E-2</v>
      </c>
      <c r="W287" s="21">
        <f>inputs!$E$85*(F287/inputs!$F$85)^(inputs!$E$84-1)</f>
        <v>2.1044223179662316</v>
      </c>
      <c r="X287" s="21">
        <f>inputs!$E$80*(F287/inputs!$F$80)^(inputs!$E$84-1)</f>
        <v>7.8582858708865606</v>
      </c>
      <c r="Y287" s="21">
        <f>inputs!$E$82*(F287/inputs!$F$82)^(inputs!$E$84-1)</f>
        <v>3.6217597793564291</v>
      </c>
      <c r="Z287" s="63">
        <f t="shared" si="33"/>
        <v>946.13642597289879</v>
      </c>
      <c r="AA287" s="63">
        <f t="shared" si="34"/>
        <v>20.48883000671773</v>
      </c>
    </row>
    <row r="288" spans="1:476" x14ac:dyDescent="0.25">
      <c r="A288" s="103" t="s">
        <v>273</v>
      </c>
      <c r="B288" s="20" t="s">
        <v>274</v>
      </c>
      <c r="C288" s="20" t="s">
        <v>73</v>
      </c>
      <c r="D288" s="104" t="s">
        <v>141</v>
      </c>
      <c r="E288" s="15">
        <v>97</v>
      </c>
      <c r="F288" s="15">
        <v>10</v>
      </c>
      <c r="G288" s="20" t="s">
        <v>142</v>
      </c>
      <c r="H288" s="20">
        <v>0.69</v>
      </c>
      <c r="I288" s="48">
        <f>MAX('Min rate concentrations'!$H$3:$H$368)</f>
        <v>47</v>
      </c>
      <c r="J288" s="48">
        <f>MAX('Min rate concentrations'!AA:AA)</f>
        <v>32.5</v>
      </c>
      <c r="K288" s="59">
        <f t="shared" si="32"/>
        <v>42.718818847386075</v>
      </c>
      <c r="L288" s="59">
        <f>((0.398*F288^0.85)/(1-H288))*J288/F288</f>
        <v>29.539608777447818</v>
      </c>
      <c r="M288" s="59">
        <f>IF((((1.18*F288^0.874)-(0.398*F288^0.85)/(1-H288)*H288)*(MAX('Min rate concentrations'!$P$3:$P$368)))/F288&gt;0, (((1.18*F288^0.874)-(0.398*F288^0.85)/(1-H288)*H288)*(MAX('Min rate concentrations'!$P$3:$P$368)))/F288, 0)</f>
        <v>3.7113102292412867E-2</v>
      </c>
      <c r="N288" s="59">
        <f>IF((((1.18*F288^0.874)-(0.398*F288^0.85)/(1-H288)*H288)*(MAX('Min rate concentrations'!$Q$3:$Q$368)))/F288&gt;0, (((1.18*F288^0.874)-(0.398*F288^0.85)/(1-H288)*H288)*(MAX('Min rate concentrations'!$Q$3:$Q$368)))/F288, 0)</f>
        <v>0.1413286876790347</v>
      </c>
      <c r="O288" s="59">
        <f>((MAX('Min rate concentrations'!$F$3:$F$368))*0.62*6.01*8*(10*F288^0.667)*0.079*0.1/F288)*inputs!$E$80/(10^(0.84+0.62*LOG10(inputs!$E$80)))</f>
        <v>11.365856679188141</v>
      </c>
      <c r="P288" s="59">
        <f>((MAX('Min rate concentrations'!Y:Y))*0.62*6.01*8*(10*F288^0.667)*0.079*0.1/F288)*inputs!$E$80/(10^(0.84+0.62*LOG10(inputs!$E$80)))</f>
        <v>3.788618893062714</v>
      </c>
      <c r="Q288" s="59">
        <f>(inputs!$C$7*11.2*(10*F288^0.667)*0.5/F288)*inputs!$E$80/(10^(0.84+0.62*LOG10(inputs!$E$80)))</f>
        <v>2.0020420460884383</v>
      </c>
      <c r="R288" s="59">
        <f>(60*284*((F288/1000)^0.77)*3*24*(MAX('Min rate concentrations'!$R$3:$R$368))/F288)*(inputs!$E$73*3.4/inputs!$E$75)</f>
        <v>1.3518717882921229E-2</v>
      </c>
      <c r="S288" s="59">
        <f>(IF(inputs!$C$6="aerial",((0.025*0.112*inputs!$C$7/3.3)*(3*60*284*((F288/1000)^0.77))*MAX(inputs!$H$14:$H$16))/F288,((0.0083*0.112*inputs!$C$7/1)*(3*60*284*((F288/1000)^0.77))*MAX(inputs!$H$14:$H$16))/F288))*(inputs!E$75*3.4/inputs!$E$73)</f>
        <v>7.4556559691480159E-2</v>
      </c>
      <c r="T288" s="63">
        <f>IF((((inputs!$P$12/(V288/MAX(K288:S288)))^(1/inputs!$O$12))-1)/inputs!$N$12&lt;0, 0, IF((((inputs!$P$12/(V288/MAX(K288:S288)))^(1/inputs!$O$12))-1)/inputs!$N$12&gt;inputs!$H$17, inputs!$H$17, (((inputs!$P$12/(V288/MAX(K288:S288)))^(1/inputs!$O$12))-1)/inputs!$N$12))</f>
        <v>315.46859221038483</v>
      </c>
      <c r="U288" s="63">
        <f>IF((((inputs!$P$12/(X288/MAX(K288:S288)))^(1/inputs!$O$12))-1)/inputs!$N$12&lt;0, 0, IF((((inputs!$P$12/(X288/MAX(K288:S288)))^(1/inputs!$O$12))-1)/inputs!$N$12&gt;inputs!$H$17, inputs!$H$17, (((inputs!$P$12/(X288/MAX(K288:S288)))^(1/inputs!$O$12))-1)/inputs!$N$12))</f>
        <v>13.853657946495886</v>
      </c>
      <c r="V288" s="21">
        <f>inputs!$E$78*(F288/inputs!$F$78)^(inputs!$E$84-1)</f>
        <v>4.4540347491078519E-2</v>
      </c>
      <c r="W288" s="21">
        <f>inputs!$E$85*(F288/inputs!$F$85)^(inputs!$E$84-1)</f>
        <v>2.0567911966170365</v>
      </c>
      <c r="X288" s="21">
        <f>inputs!$E$80*(F288/inputs!$F$80)^(inputs!$E$84-1)</f>
        <v>7.6804228228104519</v>
      </c>
      <c r="Y288" s="21">
        <f>inputs!$E$82*(F288/inputs!$F$82)^(inputs!$E$84-1)</f>
        <v>3.5397855111330823</v>
      </c>
      <c r="Z288" s="63">
        <f t="shared" si="33"/>
        <v>959.10385198370318</v>
      </c>
      <c r="AA288" s="63">
        <f t="shared" si="34"/>
        <v>20.769642984494013</v>
      </c>
    </row>
    <row r="289" spans="1:27" x14ac:dyDescent="0.25">
      <c r="A289" s="103" t="s">
        <v>273</v>
      </c>
      <c r="B289" s="20" t="s">
        <v>274</v>
      </c>
      <c r="C289" s="20" t="s">
        <v>73</v>
      </c>
      <c r="D289" s="104" t="s">
        <v>141</v>
      </c>
      <c r="E289" s="15">
        <v>97</v>
      </c>
      <c r="F289" s="15">
        <v>10</v>
      </c>
      <c r="G289" s="20" t="s">
        <v>152</v>
      </c>
      <c r="H289" s="20">
        <v>0.77</v>
      </c>
      <c r="I289" s="48">
        <f>MAX('Min rate concentrations'!$G$3:$G$368)</f>
        <v>7.5</v>
      </c>
      <c r="J289" s="48">
        <f>MAX('Min rate concentrations'!Z:Z)</f>
        <v>3.5</v>
      </c>
      <c r="K289" s="59">
        <f t="shared" ref="K289:K320" si="36">((0.398*F289^0.85)/(1-H289))*I289/F289</f>
        <v>9.1879050712463144</v>
      </c>
      <c r="L289" s="59">
        <f>((0.398*F289^0.85)/(1-H289))*J289/F289</f>
        <v>4.2876890332482791</v>
      </c>
      <c r="M289" s="59">
        <f>IF((((1.18*F289^0.874)-(0.398*F289^0.85)/(1-H289)*H289)*(MAX('Min rate concentrations'!$P$3:$P$368)))/F289&gt;0, (((1.18*F289^0.874)-(0.398*F289^0.85)/(1-H289)*H289)*(MAX('Min rate concentrations'!$P$3:$P$368)))/F289, 0)</f>
        <v>0</v>
      </c>
      <c r="N289" s="59">
        <f>IF((((1.18*F289^0.874)-(0.398*F289^0.85)/(1-H289)*H289)*(MAX('Min rate concentrations'!$Q$3:$Q$368)))/F289&gt;0, (((1.18*F289^0.874)-(0.398*F289^0.85)/(1-H289)*H289)*(MAX('Min rate concentrations'!$Q$3:$Q$368)))/F289, 0)</f>
        <v>0</v>
      </c>
      <c r="O289" s="59">
        <f>((MAX('Min rate concentrations'!$F$3:$F$368))*0.62*6.01*8*(10*F289^0.667)*0.079*0.1/F289)*inputs!$E$80/(10^(0.84+0.62*LOG10(inputs!$E$80)))</f>
        <v>11.365856679188141</v>
      </c>
      <c r="P289" s="59">
        <f>((MAX('Min rate concentrations'!Y:Y))*0.62*6.01*8*(10*F289^0.667)*0.079*0.1/F289)*inputs!$E$80/(10^(0.84+0.62*LOG10(inputs!$E$80)))</f>
        <v>3.788618893062714</v>
      </c>
      <c r="Q289" s="59">
        <f>(inputs!$C$7*11.2*(10*F289^0.667)*0.5/F289)*inputs!$E$80/(10^(0.84+0.62*LOG10(inputs!$E$80)))</f>
        <v>2.0020420460884383</v>
      </c>
      <c r="R289" s="59">
        <f>(60*284*((F289/1000)^0.77)*3*24*(MAX('Min rate concentrations'!$R$3:$R$368))/F289)*(inputs!$E$73*3.4/inputs!$E$75)</f>
        <v>1.3518717882921229E-2</v>
      </c>
      <c r="S289" s="59">
        <f>(IF(inputs!$C$6="aerial",((0.025*0.112*inputs!$C$7/3.3)*(3*60*284*((F289/1000)^0.77))*MAX(inputs!$H$14:$H$16))/F289,((0.0083*0.112*inputs!$C$7/1)*(3*60*284*((F289/1000)^0.77))*MAX(inputs!$H$14:$H$16))/F289))*(inputs!E$75*3.4/inputs!$E$73)</f>
        <v>7.4556559691480159E-2</v>
      </c>
      <c r="T289" s="63">
        <f>IF((((inputs!$P$12/(V289/MAX(K289:S289)))^(1/inputs!$O$12))-1)/inputs!$N$12&lt;0, 0, IF((((inputs!$P$12/(V289/MAX(K289:S289)))^(1/inputs!$O$12))-1)/inputs!$N$12&gt;inputs!$H$17, inputs!$H$17, (((inputs!$P$12/(V289/MAX(K289:S289)))^(1/inputs!$O$12))-1)/inputs!$N$12))</f>
        <v>172.24646044995569</v>
      </c>
      <c r="U289" s="63">
        <f>IF((((inputs!$P$12/(X289/MAX(K289:S289)))^(1/inputs!$O$12))-1)/inputs!$N$12&lt;0, 0, IF((((inputs!$P$12/(X289/MAX(K289:S289)))^(1/inputs!$O$12))-1)/inputs!$N$12&gt;inputs!$H$17, inputs!$H$17, (((inputs!$P$12/(X289/MAX(K289:S289)))^(1/inputs!$O$12))-1)/inputs!$N$12))</f>
        <v>0</v>
      </c>
      <c r="V289" s="21">
        <f>inputs!$E$78*(F289/inputs!$F$78)^(inputs!$E$84-1)</f>
        <v>4.4540347491078519E-2</v>
      </c>
      <c r="W289" s="21">
        <f>inputs!$E$85*(F289/inputs!$F$85)^(inputs!$E$84-1)</f>
        <v>2.0567911966170365</v>
      </c>
      <c r="X289" s="21">
        <f>inputs!$E$80*(F289/inputs!$F$80)^(inputs!$E$84-1)</f>
        <v>7.6804228228104519</v>
      </c>
      <c r="Y289" s="21">
        <f>inputs!$E$82*(F289/inputs!$F$82)^(inputs!$E$84-1)</f>
        <v>3.5397855111330823</v>
      </c>
      <c r="Z289" s="63">
        <f t="shared" si="33"/>
        <v>255.18114068294449</v>
      </c>
      <c r="AA289" s="63">
        <f t="shared" si="34"/>
        <v>5.5260138695082146</v>
      </c>
    </row>
    <row r="290" spans="1:27" x14ac:dyDescent="0.25">
      <c r="A290" s="103" t="s">
        <v>273</v>
      </c>
      <c r="B290" s="20" t="s">
        <v>274</v>
      </c>
      <c r="C290" s="20" t="s">
        <v>73</v>
      </c>
      <c r="D290" s="104" t="s">
        <v>141</v>
      </c>
      <c r="E290" s="15">
        <v>97</v>
      </c>
      <c r="F290" s="15">
        <v>10</v>
      </c>
      <c r="G290" s="20" t="s">
        <v>177</v>
      </c>
      <c r="H290" s="20">
        <v>0.85</v>
      </c>
      <c r="I290" s="48">
        <f>MAX('Min rate concentrations'!$F$3:$F$368)</f>
        <v>67.5</v>
      </c>
      <c r="J290" s="48">
        <f>MAX('Min rate concentrations'!Y:Y)</f>
        <v>22.5</v>
      </c>
      <c r="K290" s="59">
        <f t="shared" si="36"/>
        <v>126.7930899831991</v>
      </c>
      <c r="L290" s="59">
        <f>((0.398*F290^0.85)/(1-H290))*J290/F290</f>
        <v>42.26436332773303</v>
      </c>
      <c r="M290" s="59">
        <f>IF((((1.18*F290^0.874)-(0.398*F290^0.85)/(1-H290)*H290)*(MAX('Min rate concentrations'!$P$3:$P$368)))/F290&gt;0, (((1.18*F290^0.874)-(0.398*F290^0.85)/(1-H290)*H290)*(MAX('Min rate concentrations'!$P$3:$P$368)))/F290, 0)</f>
        <v>0</v>
      </c>
      <c r="N290" s="59">
        <f>IF((((1.18*F290^0.874)-(0.398*F290^0.85)/(1-H290)*H290)*(MAX('Min rate concentrations'!$Q$3:$Q$368)))/F290&gt;0, (((1.18*F290^0.874)-(0.398*F290^0.85)/(1-H290)*H290)*(MAX('Min rate concentrations'!$Q$3:$Q$368)))/F290, 0)</f>
        <v>0</v>
      </c>
      <c r="O290" s="59">
        <f>((MAX('Min rate concentrations'!$F$3:$F$368))*0.62*6.01*8*(10*F290^0.667)*0.079*0.1/F290)*inputs!$E$80/(10^(0.84+0.62*LOG10(inputs!$E$80)))</f>
        <v>11.365856679188141</v>
      </c>
      <c r="P290" s="59">
        <f>((MAX('Min rate concentrations'!Y:Y))*0.62*6.01*8*(10*F290^0.667)*0.079*0.1/F290)*inputs!$E$80/(10^(0.84+0.62*LOG10(inputs!$E$80)))</f>
        <v>3.788618893062714</v>
      </c>
      <c r="Q290" s="59">
        <f>(inputs!$C$7*11.2*(10*F290^0.667)*0.5/F290)*inputs!$E$80/(10^(0.84+0.62*LOG10(inputs!$E$80)))</f>
        <v>2.0020420460884383</v>
      </c>
      <c r="R290" s="59">
        <f>(60*284*((F290/1000)^0.77)*3*24*(MAX('Min rate concentrations'!$R$3:$R$368))/F290)*(inputs!$E$73*3.4/inputs!$E$75)</f>
        <v>1.3518717882921229E-2</v>
      </c>
      <c r="S290" s="59">
        <f>(IF(inputs!$C$6="aerial",((0.025*0.112*inputs!$C$7/3.3)*(3*60*284*((F290/1000)^0.77))*MAX(inputs!$H$14:$H$16))/F290,((0.0083*0.112*inputs!$C$7/1)*(3*60*284*((F290/1000)^0.77))*MAX(inputs!$H$14:$H$16))/F290))*(inputs!E$75*3.4/inputs!$E$73)</f>
        <v>7.4556559691480159E-2</v>
      </c>
      <c r="T290" s="63">
        <f>IF((((inputs!$P$12/(V290/MAX(K290:S290)))^(1/inputs!$O$12))-1)/inputs!$N$12&lt;0, 0, IF((((inputs!$P$12/(V290/MAX(K290:S290)))^(1/inputs!$O$12))-1)/inputs!$N$12&gt;inputs!$H$17, inputs!$H$17, (((inputs!$P$12/(V290/MAX(K290:S290)))^(1/inputs!$O$12))-1)/inputs!$N$12))</f>
        <v>506.91090272023371</v>
      </c>
      <c r="U290" s="63">
        <f>IF((((inputs!$P$12/(X290/MAX(K290:S290)))^(1/inputs!$O$12))-1)/inputs!$N$12&lt;0, 0, IF((((inputs!$P$12/(X290/MAX(K290:S290)))^(1/inputs!$O$12))-1)/inputs!$N$12&gt;inputs!$H$17, inputs!$H$17, (((inputs!$P$12/(X290/MAX(K290:S290)))^(1/inputs!$O$12))-1)/inputs!$N$12))</f>
        <v>37.42153117033174</v>
      </c>
      <c r="V290" s="21">
        <f>inputs!$E$78*(F290/inputs!$F$78)^(inputs!$E$84-1)</f>
        <v>4.4540347491078519E-2</v>
      </c>
      <c r="W290" s="21">
        <f>inputs!$E$85*(F290/inputs!$F$85)^(inputs!$E$84-1)</f>
        <v>2.0567911966170365</v>
      </c>
      <c r="X290" s="21">
        <f>inputs!$E$80*(F290/inputs!$F$80)^(inputs!$E$84-1)</f>
        <v>7.6804228228104519</v>
      </c>
      <c r="Y290" s="21">
        <f>inputs!$E$82*(F290/inputs!$F$82)^(inputs!$E$84-1)</f>
        <v>3.5397855111330823</v>
      </c>
      <c r="Z290" s="63">
        <f t="shared" si="33"/>
        <v>2846.7018585473743</v>
      </c>
      <c r="AA290" s="63">
        <f t="shared" si="34"/>
        <v>61.646068007168395</v>
      </c>
    </row>
    <row r="291" spans="1:27" x14ac:dyDescent="0.25">
      <c r="A291" s="103" t="s">
        <v>273</v>
      </c>
      <c r="B291" s="20" t="s">
        <v>274</v>
      </c>
      <c r="C291" s="20" t="s">
        <v>73</v>
      </c>
      <c r="D291" s="104" t="s">
        <v>141</v>
      </c>
      <c r="E291" s="15">
        <v>97</v>
      </c>
      <c r="F291" s="15">
        <v>10</v>
      </c>
      <c r="G291" s="20" t="s">
        <v>153</v>
      </c>
      <c r="H291" s="20">
        <v>0.7</v>
      </c>
      <c r="I291" s="48">
        <f>MAX('Min rate concentrations'!$E$3:$E$368)</f>
        <v>55</v>
      </c>
      <c r="J291" s="48">
        <f>MAX('Min rate concentrations'!X:X)</f>
        <v>18</v>
      </c>
      <c r="K291" s="59">
        <f t="shared" si="36"/>
        <v>51.656444067229266</v>
      </c>
      <c r="L291" s="59"/>
      <c r="M291" s="59">
        <f>IF((((1.18*F291^0.874)-(0.398*F291^0.85)/(1-H291)*H291)*(MAX('Min rate concentrations'!$P$3:$P$368)))/F291&gt;0, (((1.18*F291^0.874)-(0.398*F291^0.85)/(1-H291)*H291)*(MAX('Min rate concentrations'!$P$3:$P$368)))/F291, 0)</f>
        <v>3.2715547370558776E-2</v>
      </c>
      <c r="N291" s="59">
        <f>IF((((1.18*F291^0.874)-(0.398*F291^0.85)/(1-H291)*H291)*(MAX('Min rate concentrations'!$Q$3:$Q$368)))/F291&gt;0, (((1.18*F291^0.874)-(0.398*F291^0.85)/(1-H291)*H291)*(MAX('Min rate concentrations'!$Q$3:$Q$368)))/F291, 0)</f>
        <v>0.12458256224857792</v>
      </c>
      <c r="O291" s="59">
        <f>((MAX('Min rate concentrations'!$F$3:$F$368))*0.62*6.01*8*(10*F291^0.667)*0.079*0.1/F291)*inputs!$E$80/(10^(0.84+0.62*LOG10(inputs!$E$80)))</f>
        <v>11.365856679188141</v>
      </c>
      <c r="P291" s="59">
        <f>((MAX('Min rate concentrations'!Y:Y))*0.62*6.01*8*(10*F291^0.667)*0.079*0.1/F291)*inputs!$E$80/(10^(0.84+0.62*LOG10(inputs!$E$80)))</f>
        <v>3.788618893062714</v>
      </c>
      <c r="Q291" s="59">
        <f>(inputs!$C$7*11.2*(10*F291^0.667)*0.5/F291)*inputs!$E$80/(10^(0.84+0.62*LOG10(inputs!$E$80)))</f>
        <v>2.0020420460884383</v>
      </c>
      <c r="R291" s="59">
        <f>(60*284*((F291/1000)^0.77)*3*24*(MAX('Min rate concentrations'!$R$3:$R$368))/F291)*(inputs!$E$73*3.4/inputs!$E$75)</f>
        <v>1.3518717882921229E-2</v>
      </c>
      <c r="S291" s="59">
        <f>(IF(inputs!$C$6="aerial",((0.025*0.112*inputs!$C$7/3.3)*(3*60*284*((F291/1000)^0.77))*MAX(inputs!$H$14:$H$16))/F291,((0.0083*0.112*inputs!$C$7/1)*(3*60*284*((F291/1000)^0.77))*MAX(inputs!$H$14:$H$16))/F291))*(inputs!E$75*3.4/inputs!$E$73)</f>
        <v>7.4556559691480159E-2</v>
      </c>
      <c r="T291" s="63">
        <f>IF((((inputs!$P$12/(V291/MAX(K291:S291)))^(1/inputs!$O$12))-1)/inputs!$N$12&lt;0, 0, IF((((inputs!$P$12/(V291/MAX(K291:S291)))^(1/inputs!$O$12))-1)/inputs!$N$12&gt;inputs!$H$17, inputs!$H$17, (((inputs!$P$12/(V291/MAX(K291:S291)))^(1/inputs!$O$12))-1)/inputs!$N$12))</f>
        <v>343.09997713843677</v>
      </c>
      <c r="U291" s="63">
        <f>IF((((inputs!$P$12/(X291/MAX(K291:S291)))^(1/inputs!$O$12))-1)/inputs!$N$12&lt;0, 0, IF((((inputs!$P$12/(X291/MAX(K291:S291)))^(1/inputs!$O$12))-1)/inputs!$N$12&gt;inputs!$H$17, inputs!$H$17, (((inputs!$P$12/(X291/MAX(K291:S291)))^(1/inputs!$O$12))-1)/inputs!$N$12))</f>
        <v>17.255272643106206</v>
      </c>
      <c r="V291" s="21">
        <f>inputs!$E$78*(F291/inputs!$F$78)^(inputs!$E$84-1)</f>
        <v>4.4540347491078519E-2</v>
      </c>
      <c r="W291" s="21">
        <f>inputs!$E$85*(F291/inputs!$F$85)^(inputs!$E$84-1)</f>
        <v>2.0567911966170365</v>
      </c>
      <c r="X291" s="21">
        <f>inputs!$E$80*(F291/inputs!$F$80)^(inputs!$E$84-1)</f>
        <v>7.6804228228104519</v>
      </c>
      <c r="Y291" s="21">
        <f>inputs!$E$82*(F291/inputs!$F$82)^(inputs!$E$84-1)</f>
        <v>3.5397855111330823</v>
      </c>
      <c r="Z291" s="63">
        <f t="shared" si="33"/>
        <v>1159.767423852634</v>
      </c>
      <c r="AA291" s="63">
        <f t="shared" si="34"/>
        <v>25.1150647436612</v>
      </c>
    </row>
    <row r="292" spans="1:27" x14ac:dyDescent="0.25">
      <c r="A292" s="103" t="s">
        <v>299</v>
      </c>
      <c r="B292" s="20" t="s">
        <v>300</v>
      </c>
      <c r="C292" s="20" t="s">
        <v>73</v>
      </c>
      <c r="D292" s="104" t="s">
        <v>141</v>
      </c>
      <c r="E292" s="15">
        <v>112</v>
      </c>
      <c r="F292" s="15">
        <v>13.7</v>
      </c>
      <c r="G292" s="20" t="s">
        <v>142</v>
      </c>
      <c r="H292" s="20">
        <v>0.69</v>
      </c>
      <c r="I292" s="48">
        <f>MAX('Min rate concentrations'!$H$3:$H$368)</f>
        <v>47</v>
      </c>
      <c r="J292" s="48">
        <f>MAX('Min rate concentrations'!AA:AA)</f>
        <v>32.5</v>
      </c>
      <c r="K292" s="59">
        <f t="shared" si="36"/>
        <v>40.748455396584667</v>
      </c>
      <c r="L292" s="59">
        <f>((0.398*F292^0.85)/(1-H292))*J292/F292</f>
        <v>28.177123412531948</v>
      </c>
      <c r="M292" s="59">
        <f>IF((((1.18*F292^0.874)-(0.398*F292^0.85)/(1-H292)*H292)*(MAX('Min rate concentrations'!$P$3:$P$368)))/F292&gt;0, (((1.18*F292^0.874)-(0.398*F292^0.85)/(1-H292)*H292)*(MAX('Min rate concentrations'!$P$3:$P$368)))/F292, 0)</f>
        <v>3.632831364273037E-2</v>
      </c>
      <c r="N292" s="59">
        <f>IF((((1.18*F292^0.874)-(0.398*F292^0.85)/(1-H292)*H292)*(MAX('Min rate concentrations'!$Q$3:$Q$368)))/F292&gt;0, (((1.18*F292^0.874)-(0.398*F292^0.85)/(1-H292)*H292)*(MAX('Min rate concentrations'!$Q$3:$Q$368)))/F292, 0)</f>
        <v>0.13834017033302712</v>
      </c>
      <c r="O292" s="59">
        <f>((MAX('Min rate concentrations'!$F$3:$F$368))*0.62*6.01*8*(10*F292^0.667)*0.079*0.1/F292)*inputs!$E$80/(10^(0.84+0.62*LOG10(inputs!$E$80)))</f>
        <v>10.234679011962578</v>
      </c>
      <c r="P292" s="59">
        <f>((MAX('Min rate concentrations'!Y:Y))*0.62*6.01*8*(10*F292^0.667)*0.079*0.1/F292)*inputs!$E$80/(10^(0.84+0.62*LOG10(inputs!$E$80)))</f>
        <v>3.4115596706541922</v>
      </c>
      <c r="Q292" s="59">
        <f>(inputs!$C$7*11.2*(10*F292^0.667)*0.5/F292)*inputs!$E$80/(10^(0.84+0.62*LOG10(inputs!$E$80)))</f>
        <v>1.8027904352944526</v>
      </c>
      <c r="R292" s="59">
        <f>(60*284*((F292/1000)^0.77)*3*24*(MAX('Min rate concentrations'!$R$3:$R$368))/F292)*(inputs!$E$73*3.4/inputs!$E$75)</f>
        <v>1.2574472475029172E-2</v>
      </c>
      <c r="S292" s="59">
        <f>(IF(inputs!$C$6="aerial",((0.025*0.112*inputs!$C$7/3.3)*(3*60*284*((F292/1000)^0.77))*MAX(inputs!$H$14:$H$16))/F292,((0.0083*0.112*inputs!$C$7/1)*(3*60*284*((F292/1000)^0.77))*MAX(inputs!$H$14:$H$16))/F292))*(inputs!E$75*3.4/inputs!$E$73)</f>
        <v>6.9348988254114105E-2</v>
      </c>
      <c r="T292" s="63">
        <f>IF((((inputs!$P$12/(V292/MAX(K292:S292)))^(1/inputs!$O$12))-1)/inputs!$N$12&lt;0, 0, IF((((inputs!$P$12/(V292/MAX(K292:S292)))^(1/inputs!$O$12))-1)/inputs!$N$12&gt;inputs!$H$17, inputs!$H$17, (((inputs!$P$12/(V292/MAX(K292:S292)))^(1/inputs!$O$12))-1)/inputs!$N$12))</f>
        <v>325.29561366601257</v>
      </c>
      <c r="U292" s="63">
        <f>IF((((inputs!$P$12/(X292/MAX(K292:S292)))^(1/inputs!$O$12))-1)/inputs!$N$12&lt;0, 0, IF((((inputs!$P$12/(X292/MAX(K292:S292)))^(1/inputs!$O$12))-1)/inputs!$N$12&gt;inputs!$H$17, inputs!$H$17, (((inputs!$P$12/(X292/MAX(K292:S292)))^(1/inputs!$O$12))-1)/inputs!$N$12))</f>
        <v>15.063432291662071</v>
      </c>
      <c r="V292" s="21">
        <f>inputs!$E$78*(F292/inputs!$F$78)^(inputs!$E$84-1)</f>
        <v>3.9643043690778076E-2</v>
      </c>
      <c r="W292" s="21">
        <f>inputs!$E$85*(F292/inputs!$F$85)^(inputs!$E$84-1)</f>
        <v>1.8306427287445148</v>
      </c>
      <c r="X292" s="21">
        <f>inputs!$E$80*(F292/inputs!$F$80)^(inputs!$E$84-1)</f>
        <v>6.8359443668307822</v>
      </c>
      <c r="Y292" s="21">
        <f>inputs!$E$82*(F292/inputs!$F$82)^(inputs!$E$84-1)</f>
        <v>3.1505787354249946</v>
      </c>
      <c r="Z292" s="63">
        <f t="shared" si="33"/>
        <v>1027.8841280308588</v>
      </c>
      <c r="AA292" s="63">
        <f t="shared" si="34"/>
        <v>22.259097723852776</v>
      </c>
    </row>
    <row r="293" spans="1:27" x14ac:dyDescent="0.25">
      <c r="A293" s="103" t="s">
        <v>311</v>
      </c>
      <c r="B293" s="20" t="s">
        <v>312</v>
      </c>
      <c r="C293" s="20" t="s">
        <v>73</v>
      </c>
      <c r="D293" s="104" t="s">
        <v>141</v>
      </c>
      <c r="E293" s="15">
        <v>137</v>
      </c>
      <c r="F293" s="15">
        <v>46.3</v>
      </c>
      <c r="G293" s="20" t="s">
        <v>142</v>
      </c>
      <c r="H293" s="20">
        <v>0.69</v>
      </c>
      <c r="I293" s="48">
        <f>MAX('Min rate concentrations'!$H$3:$H$368)</f>
        <v>47</v>
      </c>
      <c r="J293" s="48">
        <f>MAX('Min rate concentrations'!AA:AA)</f>
        <v>32.5</v>
      </c>
      <c r="K293" s="59">
        <f t="shared" si="36"/>
        <v>33.945490427252281</v>
      </c>
      <c r="L293" s="59">
        <f>((0.398*F293^0.85)/(1-H293))*J293/F293</f>
        <v>23.472945508206362</v>
      </c>
      <c r="M293" s="59">
        <f>IF((((1.18*F293^0.874)-(0.398*F293^0.85)/(1-H293)*H293)*(MAX('Min rate concentrations'!$P$3:$P$368)))/F293&gt;0, (((1.18*F293^0.874)-(0.398*F293^0.85)/(1-H293)*H293)*(MAX('Min rate concentrations'!$P$3:$P$368)))/F293, 0)</f>
        <v>3.3306048138348809E-2</v>
      </c>
      <c r="N293" s="59">
        <f>IF((((1.18*F293^0.874)-(0.398*F293^0.85)/(1-H293)*H293)*(MAX('Min rate concentrations'!$Q$3:$Q$368)))/F293&gt;0, (((1.18*F293^0.874)-(0.398*F293^0.85)/(1-H293)*H293)*(MAX('Min rate concentrations'!$Q$3:$Q$368)))/F293, 0)</f>
        <v>0.12683122090092369</v>
      </c>
      <c r="O293" s="59">
        <f>((MAX('Min rate concentrations'!$F$3:$F$368))*0.62*6.01*8*(10*F293^0.667)*0.079*0.1/F293)*inputs!$E$80/(10^(0.84+0.62*LOG10(inputs!$E$80)))</f>
        <v>6.8228167249242624</v>
      </c>
      <c r="P293" s="59">
        <f>((MAX('Min rate concentrations'!Y:Y))*0.62*6.01*8*(10*F293^0.667)*0.079*0.1/F293)*inputs!$E$80/(10^(0.84+0.62*LOG10(inputs!$E$80)))</f>
        <v>2.2742722416414205</v>
      </c>
      <c r="Q293" s="59">
        <f>(inputs!$C$7*11.2*(10*F293^0.667)*0.5/F293)*inputs!$E$80/(10^(0.84+0.62*LOG10(inputs!$E$80)))</f>
        <v>1.2018069857475524</v>
      </c>
      <c r="R293" s="59">
        <f>(60*284*((F293/1000)^0.77)*3*24*(MAX('Min rate concentrations'!$R$3:$R$368))/F293)*(inputs!$E$73*3.4/inputs!$E$75)</f>
        <v>9.5028063030988905E-3</v>
      </c>
      <c r="S293" s="59">
        <f>(IF(inputs!$C$6="aerial",((0.025*0.112*inputs!$C$7/3.3)*(3*60*284*((F293/1000)^0.77))*MAX(inputs!$H$14:$H$16))/F293,((0.0083*0.112*inputs!$C$7/1)*(3*60*284*((F293/1000)^0.77))*MAX(inputs!$H$14:$H$16))/F293))*(inputs!E$75*3.4/inputs!$E$73)</f>
        <v>5.2408560597942515E-2</v>
      </c>
      <c r="T293" s="63">
        <f>IF((((inputs!$P$12/(V293/MAX(K293:S293)))^(1/inputs!$O$12))-1)/inputs!$N$12&lt;0, 0, IF((((inputs!$P$12/(V293/MAX(K293:S293)))^(1/inputs!$O$12))-1)/inputs!$N$12&gt;inputs!$H$17, inputs!$H$17, (((inputs!$P$12/(V293/MAX(K293:S293)))^(1/inputs!$O$12))-1)/inputs!$N$12))</f>
        <v>366.02504065172548</v>
      </c>
      <c r="U293" s="63">
        <f>IF((((inputs!$P$12/(X293/MAX(K293:S293)))^(1/inputs!$O$12))-1)/inputs!$N$12&lt;0, 0, IF((((inputs!$P$12/(X293/MAX(K293:S293)))^(1/inputs!$O$12))-1)/inputs!$N$12&gt;inputs!$H$17, inputs!$H$17, (((inputs!$P$12/(X293/MAX(K293:S293)))^(1/inputs!$O$12))-1)/inputs!$N$12))</f>
        <v>20.077506605340872</v>
      </c>
      <c r="V293" s="21">
        <f>inputs!$E$78*(F293/inputs!$F$78)^(inputs!$E$84-1)</f>
        <v>2.526321594050698E-2</v>
      </c>
      <c r="W293" s="21">
        <f>inputs!$E$85*(F293/inputs!$F$85)^(inputs!$E$84-1)</f>
        <v>1.1666087732045156</v>
      </c>
      <c r="X293" s="21">
        <f>inputs!$E$80*(F293/inputs!$F$80)^(inputs!$E$84-1)</f>
        <v>4.3563238999409126</v>
      </c>
      <c r="Y293" s="21">
        <f>inputs!$E$82*(F293/inputs!$F$82)^(inputs!$E$84-1)</f>
        <v>2.0077608457981864</v>
      </c>
      <c r="Z293" s="63">
        <f t="shared" si="33"/>
        <v>1343.6725754627369</v>
      </c>
      <c r="AA293" s="63">
        <f t="shared" si="34"/>
        <v>29.097578560127435</v>
      </c>
    </row>
    <row r="294" spans="1:27" x14ac:dyDescent="0.25">
      <c r="A294" s="103" t="s">
        <v>311</v>
      </c>
      <c r="B294" s="20" t="s">
        <v>312</v>
      </c>
      <c r="C294" s="20" t="s">
        <v>73</v>
      </c>
      <c r="D294" s="104" t="s">
        <v>141</v>
      </c>
      <c r="E294" s="15">
        <v>137</v>
      </c>
      <c r="F294" s="15">
        <v>46.3</v>
      </c>
      <c r="G294" s="20" t="s">
        <v>152</v>
      </c>
      <c r="H294" s="20">
        <v>0.77</v>
      </c>
      <c r="I294" s="48">
        <f>MAX('Min rate concentrations'!$G$3:$G$368)</f>
        <v>7.5</v>
      </c>
      <c r="J294" s="48">
        <f>MAX('Min rate concentrations'!Z:Z)</f>
        <v>3.5</v>
      </c>
      <c r="K294" s="59">
        <f t="shared" si="36"/>
        <v>7.3009496062314128</v>
      </c>
      <c r="L294" s="59">
        <f>((0.398*F294^0.85)/(1-H294))*J294/F294</f>
        <v>3.4071098162413258</v>
      </c>
      <c r="M294" s="59">
        <f>IF((((1.18*F294^0.874)-(0.398*F294^0.85)/(1-H294)*H294)*(MAX('Min rate concentrations'!$P$3:$P$368)))/F294&gt;0, (((1.18*F294^0.874)-(0.398*F294^0.85)/(1-H294)*H294)*(MAX('Min rate concentrations'!$P$3:$P$368)))/F294, 0)</f>
        <v>0</v>
      </c>
      <c r="N294" s="59">
        <f>IF((((1.18*F294^0.874)-(0.398*F294^0.85)/(1-H294)*H294)*(MAX('Min rate concentrations'!$Q$3:$Q$368)))/F294&gt;0, (((1.18*F294^0.874)-(0.398*F294^0.85)/(1-H294)*H294)*(MAX('Min rate concentrations'!$Q$3:$Q$368)))/F294, 0)</f>
        <v>0</v>
      </c>
      <c r="O294" s="59">
        <f>((MAX('Min rate concentrations'!$F$3:$F$368))*0.62*6.01*8*(10*F294^0.667)*0.079*0.1/F294)*inputs!$E$80/(10^(0.84+0.62*LOG10(inputs!$E$80)))</f>
        <v>6.8228167249242624</v>
      </c>
      <c r="P294" s="59">
        <f>((MAX('Min rate concentrations'!Y:Y))*0.62*6.01*8*(10*F294^0.667)*0.079*0.1/F294)*inputs!$E$80/(10^(0.84+0.62*LOG10(inputs!$E$80)))</f>
        <v>2.2742722416414205</v>
      </c>
      <c r="Q294" s="59">
        <f>(inputs!$C$7*11.2*(10*F294^0.667)*0.5/F294)*inputs!$E$80/(10^(0.84+0.62*LOG10(inputs!$E$80)))</f>
        <v>1.2018069857475524</v>
      </c>
      <c r="R294" s="59">
        <f>(60*284*((F294/1000)^0.77)*3*24*(MAX('Min rate concentrations'!$R$3:$R$368))/F294)*(inputs!$E$73*3.4/inputs!$E$75)</f>
        <v>9.5028063030988905E-3</v>
      </c>
      <c r="S294" s="59">
        <f>(IF(inputs!$C$6="aerial",((0.025*0.112*inputs!$C$7/3.3)*(3*60*284*((F294/1000)^0.77))*MAX(inputs!$H$14:$H$16))/F294,((0.0083*0.112*inputs!$C$7/1)*(3*60*284*((F294/1000)^0.77))*MAX(inputs!$H$14:$H$16))/F294))*(inputs!E$75*3.4/inputs!$E$73)</f>
        <v>5.2408560597942515E-2</v>
      </c>
      <c r="T294" s="63">
        <f>IF((((inputs!$P$12/(V294/MAX(K294:S294)))^(1/inputs!$O$12))-1)/inputs!$N$12&lt;0, 0, IF((((inputs!$P$12/(V294/MAX(K294:S294)))^(1/inputs!$O$12))-1)/inputs!$N$12&gt;inputs!$H$17, inputs!$H$17, (((inputs!$P$12/(V294/MAX(K294:S294)))^(1/inputs!$O$12))-1)/inputs!$N$12))</f>
        <v>182.66779825495007</v>
      </c>
      <c r="U294" s="63">
        <f>IF((((inputs!$P$12/(X294/MAX(K294:S294)))^(1/inputs!$O$12))-1)/inputs!$N$12&lt;0, 0, IF((((inputs!$P$12/(X294/MAX(K294:S294)))^(1/inputs!$O$12))-1)/inputs!$N$12&gt;inputs!$H$17, inputs!$H$17, (((inputs!$P$12/(X294/MAX(K294:S294)))^(1/inputs!$O$12))-1)/inputs!$N$12))</f>
        <v>0</v>
      </c>
      <c r="V294" s="21">
        <f>inputs!$E$78*(F294/inputs!$F$78)^(inputs!$E$84-1)</f>
        <v>2.526321594050698E-2</v>
      </c>
      <c r="W294" s="21">
        <f>inputs!$E$85*(F294/inputs!$F$85)^(inputs!$E$84-1)</f>
        <v>1.1666087732045156</v>
      </c>
      <c r="X294" s="21">
        <f>inputs!$E$80*(F294/inputs!$F$80)^(inputs!$E$84-1)</f>
        <v>4.3563238999409126</v>
      </c>
      <c r="Y294" s="21">
        <f>inputs!$E$82*(F294/inputs!$F$82)^(inputs!$E$84-1)</f>
        <v>2.0077608457981864</v>
      </c>
      <c r="Z294" s="63">
        <f t="shared" si="33"/>
        <v>288.99525790479777</v>
      </c>
      <c r="AA294" s="63">
        <f t="shared" si="34"/>
        <v>6.2582673591393432</v>
      </c>
    </row>
    <row r="295" spans="1:27" x14ac:dyDescent="0.25">
      <c r="A295" s="103" t="s">
        <v>311</v>
      </c>
      <c r="B295" s="20" t="s">
        <v>312</v>
      </c>
      <c r="C295" s="20" t="s">
        <v>73</v>
      </c>
      <c r="D295" s="104" t="s">
        <v>141</v>
      </c>
      <c r="E295" s="15">
        <v>137</v>
      </c>
      <c r="F295" s="15">
        <v>46.3</v>
      </c>
      <c r="G295" s="20" t="s">
        <v>154</v>
      </c>
      <c r="H295" s="20">
        <v>9.2999999999999999E-2</v>
      </c>
      <c r="I295" s="48">
        <f>MAX('Min rate concentrations'!$G$3:$G$368)</f>
        <v>7.5</v>
      </c>
      <c r="J295" s="48">
        <f>MAX('Min rate concentrations'!Z:Z)</f>
        <v>3.5</v>
      </c>
      <c r="K295" s="59">
        <f t="shared" si="36"/>
        <v>1.8513984668503032</v>
      </c>
      <c r="L295" s="59"/>
      <c r="M295" s="59">
        <f>IF((((1.18*F295^0.874)-(0.398*F295^0.85)/(1-H295)*H295)*(MAX('Min rate concentrations'!$P$3:$P$368)))/F295&gt;0, (((1.18*F295^0.874)-(0.398*F295^0.85)/(1-H295)*H295)*(MAX('Min rate concentrations'!$P$3:$P$368)))/F295, 0)</f>
        <v>0.1023081662648941</v>
      </c>
      <c r="N295" s="59">
        <f>IF((((1.18*F295^0.874)-(0.398*F295^0.85)/(1-H295)*H295)*(MAX('Min rate concentrations'!$Q$3:$Q$368)))/F295&gt;0, (((1.18*F295^0.874)-(0.398*F295^0.85)/(1-H295)*H295)*(MAX('Min rate concentrations'!$Q$3:$Q$368)))/F295, 0)</f>
        <v>0.38959499432689249</v>
      </c>
      <c r="O295" s="59">
        <f>((MAX('Min rate concentrations'!$F$3:$F$368))*0.62*6.01*8*(10*F295^0.667)*0.079*0.1/F295)*inputs!$E$80/(10^(0.84+0.62*LOG10(inputs!$E$80)))</f>
        <v>6.8228167249242624</v>
      </c>
      <c r="P295" s="59">
        <f>((MAX('Min rate concentrations'!Y:Y))*0.62*6.01*8*(10*F295^0.667)*0.079*0.1/F295)*inputs!$E$80/(10^(0.84+0.62*LOG10(inputs!$E$80)))</f>
        <v>2.2742722416414205</v>
      </c>
      <c r="Q295" s="59">
        <f>(inputs!$C$7*11.2*(10*F295^0.667)*0.5/F295)*inputs!$E$80/(10^(0.84+0.62*LOG10(inputs!$E$80)))</f>
        <v>1.2018069857475524</v>
      </c>
      <c r="R295" s="59">
        <f>(60*284*((F295/1000)^0.77)*3*24*(MAX('Min rate concentrations'!$R$3:$R$368))/F295)*(inputs!$E$73*3.4/inputs!$E$75)</f>
        <v>9.5028063030988905E-3</v>
      </c>
      <c r="S295" s="59">
        <f>(IF(inputs!$C$6="aerial",((0.025*0.112*inputs!$C$7/3.3)*(3*60*284*((F295/1000)^0.77))*MAX(inputs!$H$14:$H$16))/F295,((0.0083*0.112*inputs!$C$7/1)*(3*60*284*((F295/1000)^0.77))*MAX(inputs!$H$14:$H$16))/F295))*(inputs!E$75*3.4/inputs!$E$73)</f>
        <v>5.2408560597942515E-2</v>
      </c>
      <c r="T295" s="63">
        <f>IF((((inputs!$P$12/(V295/MAX(K295:S295)))^(1/inputs!$O$12))-1)/inputs!$N$12&lt;0, 0, IF((((inputs!$P$12/(V295/MAX(K295:S295)))^(1/inputs!$O$12))-1)/inputs!$N$12&gt;inputs!$H$17, inputs!$H$17, (((inputs!$P$12/(V295/MAX(K295:S295)))^(1/inputs!$O$12))-1)/inputs!$N$12))</f>
        <v>176.93000473018395</v>
      </c>
      <c r="U295" s="63">
        <f>IF((((inputs!$P$12/(X295/MAX(K295:S295)))^(1/inputs!$O$12))-1)/inputs!$N$12&lt;0, 0, IF((((inputs!$P$12/(X295/MAX(K295:S295)))^(1/inputs!$O$12))-1)/inputs!$N$12&gt;inputs!$H$17, inputs!$H$17, (((inputs!$P$12/(X295/MAX(K295:S295)))^(1/inputs!$O$12))-1)/inputs!$N$12))</f>
        <v>0</v>
      </c>
      <c r="V295" s="21">
        <f>inputs!$E$78*(F295/inputs!$F$78)^(inputs!$E$84-1)</f>
        <v>2.526321594050698E-2</v>
      </c>
      <c r="W295" s="21">
        <f>inputs!$E$85*(F295/inputs!$F$85)^(inputs!$E$84-1)</f>
        <v>1.1666087732045156</v>
      </c>
      <c r="X295" s="21">
        <f>inputs!$E$80*(F295/inputs!$F$80)^(inputs!$E$84-1)</f>
        <v>4.3563238999409126</v>
      </c>
      <c r="Y295" s="21">
        <f>inputs!$E$82*(F295/inputs!$F$82)^(inputs!$E$84-1)</f>
        <v>2.0077608457981864</v>
      </c>
      <c r="Z295" s="63">
        <f t="shared" si="33"/>
        <v>270.06920817173454</v>
      </c>
      <c r="AA295" s="63">
        <f t="shared" si="34"/>
        <v>5.8484188372618808</v>
      </c>
    </row>
    <row r="296" spans="1:27" x14ac:dyDescent="0.25">
      <c r="A296" s="103" t="s">
        <v>281</v>
      </c>
      <c r="B296" s="20" t="s">
        <v>282</v>
      </c>
      <c r="C296" s="20" t="s">
        <v>73</v>
      </c>
      <c r="D296" s="104" t="s">
        <v>141</v>
      </c>
      <c r="E296" s="15">
        <v>77</v>
      </c>
      <c r="F296" s="15">
        <v>38</v>
      </c>
      <c r="G296" s="20" t="s">
        <v>142</v>
      </c>
      <c r="H296" s="20">
        <v>0.69</v>
      </c>
      <c r="I296" s="48">
        <f>MAX('Min rate concentrations'!$H$3:$H$368)</f>
        <v>47</v>
      </c>
      <c r="J296" s="48">
        <f>MAX('Min rate concentrations'!AA:AA)</f>
        <v>32.5</v>
      </c>
      <c r="K296" s="59">
        <f t="shared" si="36"/>
        <v>34.966462420746268</v>
      </c>
      <c r="L296" s="59">
        <f>((0.398*F296^0.85)/(1-H296))*J296/F296</f>
        <v>24.178936780303268</v>
      </c>
      <c r="M296" s="59">
        <f>IF((((1.18*F296^0.874)-(0.398*F296^0.85)/(1-H296)*H296)*(MAX('Min rate concentrations'!$P$3:$P$368)))/F296&gt;0, (((1.18*F296^0.874)-(0.398*F296^0.85)/(1-H296)*H296)*(MAX('Min rate concentrations'!$P$3:$P$368)))/F296, 0)</f>
        <v>3.3793067293856574E-2</v>
      </c>
      <c r="N296" s="59">
        <f>IF((((1.18*F296^0.874)-(0.398*F296^0.85)/(1-H296)*H296)*(MAX('Min rate concentrations'!$Q$3:$Q$368)))/F296&gt;0, (((1.18*F296^0.874)-(0.398*F296^0.85)/(1-H296)*H296)*(MAX('Min rate concentrations'!$Q$3:$Q$368)))/F296, 0)</f>
        <v>0.12868581601345716</v>
      </c>
      <c r="O296" s="59">
        <f>((MAX('Min rate concentrations'!$F$3:$F$368))*0.62*6.01*8*(10*F296^0.667)*0.079*0.1/F296)*inputs!$E$80/(10^(0.84+0.62*LOG10(inputs!$E$80)))</f>
        <v>7.2867561757891046</v>
      </c>
      <c r="P296" s="59">
        <f>((MAX('Min rate concentrations'!Y:Y))*0.62*6.01*8*(10*F296^0.667)*0.079*0.1/F296)*inputs!$E$80/(10^(0.84+0.62*LOG10(inputs!$E$80)))</f>
        <v>2.4289187252630344</v>
      </c>
      <c r="Q296" s="59">
        <f>(inputs!$C$7*11.2*(10*F296^0.667)*0.5/F296)*inputs!$E$80/(10^(0.84+0.62*LOG10(inputs!$E$80)))</f>
        <v>1.2835277318107468</v>
      </c>
      <c r="R296" s="59">
        <f>(60*284*((F296/1000)^0.77)*3*24*(MAX('Min rate concentrations'!$R$3:$R$368))/F296)*(inputs!$E$73*3.4/inputs!$E$75)</f>
        <v>9.9445532539701315E-3</v>
      </c>
      <c r="S296" s="59">
        <f>(IF(inputs!$C$6="aerial",((0.025*0.112*inputs!$C$7/3.3)*(3*60*284*((F296/1000)^0.77))*MAX(inputs!$H$14:$H$16))/F296,((0.0083*0.112*inputs!$C$7/1)*(3*60*284*((F296/1000)^0.77))*MAX(inputs!$H$14:$H$16))/F296))*(inputs!E$75*3.4/inputs!$E$73)</f>
        <v>5.4844822172183165E-2</v>
      </c>
      <c r="T296" s="63">
        <f>IF((((inputs!$P$12/(V296/MAX(K296:S296)))^(1/inputs!$O$12))-1)/inputs!$N$12&lt;0, 0, IF((((inputs!$P$12/(V296/MAX(K296:S296)))^(1/inputs!$O$12))-1)/inputs!$N$12&gt;inputs!$H$17, inputs!$H$17, (((inputs!$P$12/(V296/MAX(K296:S296)))^(1/inputs!$O$12))-1)/inputs!$N$12))</f>
        <v>359.11222160158525</v>
      </c>
      <c r="U296" s="63">
        <f>IF((((inputs!$P$12/(X296/MAX(K296:S296)))^(1/inputs!$O$12))-1)/inputs!$N$12&lt;0, 0, IF((((inputs!$P$12/(X296/MAX(K296:S296)))^(1/inputs!$O$12))-1)/inputs!$N$12&gt;inputs!$H$17, inputs!$H$17, (((inputs!$P$12/(X296/MAX(K296:S296)))^(1/inputs!$O$12))-1)/inputs!$N$12))</f>
        <v>19.226490742864453</v>
      </c>
      <c r="V296" s="21">
        <f>inputs!$E$78*(F296/inputs!$F$78)^(inputs!$E$84-1)</f>
        <v>2.717901230110276E-2</v>
      </c>
      <c r="W296" s="21">
        <f>inputs!$E$85*(F296/inputs!$F$85)^(inputs!$E$84-1)</f>
        <v>1.2550767199302031</v>
      </c>
      <c r="X296" s="21">
        <f>inputs!$E$80*(F296/inputs!$F$80)^(inputs!$E$84-1)</f>
        <v>4.6866788908786061</v>
      </c>
      <c r="Y296" s="21">
        <f>inputs!$E$82*(F296/inputs!$F$82)^(inputs!$E$84-1)</f>
        <v>2.1600162407718511</v>
      </c>
      <c r="Z296" s="63">
        <f t="shared" si="33"/>
        <v>1286.5243973316699</v>
      </c>
      <c r="AA296" s="63">
        <f t="shared" si="34"/>
        <v>27.860019921882394</v>
      </c>
    </row>
    <row r="297" spans="1:27" x14ac:dyDescent="0.25">
      <c r="A297" s="103" t="s">
        <v>281</v>
      </c>
      <c r="B297" s="20" t="s">
        <v>282</v>
      </c>
      <c r="C297" s="20" t="s">
        <v>73</v>
      </c>
      <c r="D297" s="104" t="s">
        <v>141</v>
      </c>
      <c r="E297" s="15">
        <v>77</v>
      </c>
      <c r="F297" s="15">
        <v>38</v>
      </c>
      <c r="G297" s="20" t="s">
        <v>152</v>
      </c>
      <c r="H297" s="20">
        <v>0.77</v>
      </c>
      <c r="I297" s="48">
        <f>MAX('Min rate concentrations'!$G$3:$G$368)</f>
        <v>7.5</v>
      </c>
      <c r="J297" s="48">
        <f>MAX('Min rate concentrations'!Z:Z)</f>
        <v>3.5</v>
      </c>
      <c r="K297" s="59">
        <f t="shared" si="36"/>
        <v>7.5205388647766043</v>
      </c>
      <c r="L297" s="59">
        <f>((0.398*F297^0.85)/(1-H297))*J297/F297</f>
        <v>3.5095848035624155</v>
      </c>
      <c r="M297" s="59">
        <f>IF((((1.18*F297^0.874)-(0.398*F297^0.85)/(1-H297)*H297)*(MAX('Min rate concentrations'!$P$3:$P$368)))/F297&gt;0, (((1.18*F297^0.874)-(0.398*F297^0.85)/(1-H297)*H297)*(MAX('Min rate concentrations'!$P$3:$P$368)))/F297, 0)</f>
        <v>0</v>
      </c>
      <c r="N297" s="59">
        <f>IF((((1.18*F297^0.874)-(0.398*F297^0.85)/(1-H297)*H297)*(MAX('Min rate concentrations'!$Q$3:$Q$368)))/F297&gt;0, (((1.18*F297^0.874)-(0.398*F297^0.85)/(1-H297)*H297)*(MAX('Min rate concentrations'!$Q$3:$Q$368)))/F297, 0)</f>
        <v>0</v>
      </c>
      <c r="O297" s="59">
        <f>((MAX('Min rate concentrations'!$F$3:$F$368))*0.62*6.01*8*(10*F297^0.667)*0.079*0.1/F297)*inputs!$E$80/(10^(0.84+0.62*LOG10(inputs!$E$80)))</f>
        <v>7.2867561757891046</v>
      </c>
      <c r="P297" s="59">
        <f>((MAX('Min rate concentrations'!Y:Y))*0.62*6.01*8*(10*F297^0.667)*0.079*0.1/F297)*inputs!$E$80/(10^(0.84+0.62*LOG10(inputs!$E$80)))</f>
        <v>2.4289187252630344</v>
      </c>
      <c r="Q297" s="59">
        <f>(inputs!$C$7*11.2*(10*F297^0.667)*0.5/F297)*inputs!$E$80/(10^(0.84+0.62*LOG10(inputs!$E$80)))</f>
        <v>1.2835277318107468</v>
      </c>
      <c r="R297" s="59">
        <f>(60*284*((F297/1000)^0.77)*3*24*(MAX('Min rate concentrations'!$R$3:$R$368))/F297)*(inputs!$E$73*3.4/inputs!$E$75)</f>
        <v>9.9445532539701315E-3</v>
      </c>
      <c r="S297" s="59">
        <f>(IF(inputs!$C$6="aerial",((0.025*0.112*inputs!$C$7/3.3)*(3*60*284*((F297/1000)^0.77))*MAX(inputs!$H$14:$H$16))/F297,((0.0083*0.112*inputs!$C$7/1)*(3*60*284*((F297/1000)^0.77))*MAX(inputs!$H$14:$H$16))/F297))*(inputs!E$75*3.4/inputs!$E$73)</f>
        <v>5.4844822172183165E-2</v>
      </c>
      <c r="T297" s="63">
        <f>IF((((inputs!$P$12/(V297/MAX(K297:S297)))^(1/inputs!$O$12))-1)/inputs!$N$12&lt;0, 0, IF((((inputs!$P$12/(V297/MAX(K297:S297)))^(1/inputs!$O$12))-1)/inputs!$N$12&gt;inputs!$H$17, inputs!$H$17, (((inputs!$P$12/(V297/MAX(K297:S297)))^(1/inputs!$O$12))-1)/inputs!$N$12))</f>
        <v>178.96782337063368</v>
      </c>
      <c r="U297" s="63">
        <f>IF((((inputs!$P$12/(X297/MAX(K297:S297)))^(1/inputs!$O$12))-1)/inputs!$N$12&lt;0, 0, IF((((inputs!$P$12/(X297/MAX(K297:S297)))^(1/inputs!$O$12))-1)/inputs!$N$12&gt;inputs!$H$17, inputs!$H$17, (((inputs!$P$12/(X297/MAX(K297:S297)))^(1/inputs!$O$12))-1)/inputs!$N$12))</f>
        <v>0</v>
      </c>
      <c r="V297" s="21">
        <f>inputs!$E$78*(F297/inputs!$F$78)^(inputs!$E$84-1)</f>
        <v>2.717901230110276E-2</v>
      </c>
      <c r="W297" s="21">
        <f>inputs!$E$85*(F297/inputs!$F$85)^(inputs!$E$84-1)</f>
        <v>1.2550767199302031</v>
      </c>
      <c r="X297" s="21">
        <f>inputs!$E$80*(F297/inputs!$F$80)^(inputs!$E$84-1)</f>
        <v>4.6866788908786061</v>
      </c>
      <c r="Y297" s="21">
        <f>inputs!$E$82*(F297/inputs!$F$82)^(inputs!$E$84-1)</f>
        <v>2.1600162407718511</v>
      </c>
      <c r="Z297" s="63">
        <f t="shared" si="33"/>
        <v>276.70390599409188</v>
      </c>
      <c r="AA297" s="63">
        <f t="shared" si="34"/>
        <v>5.9920949415704516</v>
      </c>
    </row>
    <row r="298" spans="1:27" x14ac:dyDescent="0.25">
      <c r="A298" s="103" t="s">
        <v>281</v>
      </c>
      <c r="B298" s="20" t="s">
        <v>282</v>
      </c>
      <c r="C298" s="20" t="s">
        <v>73</v>
      </c>
      <c r="D298" s="104" t="s">
        <v>141</v>
      </c>
      <c r="E298" s="15">
        <v>77</v>
      </c>
      <c r="F298" s="15">
        <v>38</v>
      </c>
      <c r="G298" s="20" t="s">
        <v>153</v>
      </c>
      <c r="H298" s="20">
        <v>0.7</v>
      </c>
      <c r="I298" s="48">
        <f>MAX('Min rate concentrations'!$E$3:$E$368)</f>
        <v>55</v>
      </c>
      <c r="J298" s="48">
        <f>MAX('Min rate concentrations'!X:X)</f>
        <v>18</v>
      </c>
      <c r="K298" s="59">
        <f t="shared" si="36"/>
        <v>42.282140728632896</v>
      </c>
      <c r="L298" s="59"/>
      <c r="M298" s="59">
        <f>IF((((1.18*F298^0.874)-(0.398*F298^0.85)/(1-H298)*H298)*(MAX('Min rate concentrations'!$P$3:$P$368)))/F298&gt;0, (((1.18*F298^0.874)-(0.398*F298^0.85)/(1-H298)*H298)*(MAX('Min rate concentrations'!$P$3:$P$368)))/F298, 0)</f>
        <v>3.0193554407802418E-2</v>
      </c>
      <c r="N298" s="59">
        <f>IF((((1.18*F298^0.874)-(0.398*F298^0.85)/(1-H298)*H298)*(MAX('Min rate concentrations'!$Q$3:$Q$368)))/F298&gt;0, (((1.18*F298^0.874)-(0.398*F298^0.85)/(1-H298)*H298)*(MAX('Min rate concentrations'!$Q$3:$Q$368)))/F298, 0)</f>
        <v>0.11497867753546993</v>
      </c>
      <c r="O298" s="59">
        <f>((MAX('Min rate concentrations'!$F$3:$F$368))*0.62*6.01*8*(10*F298^0.667)*0.079*0.1/F298)*inputs!$E$80/(10^(0.84+0.62*LOG10(inputs!$E$80)))</f>
        <v>7.2867561757891046</v>
      </c>
      <c r="P298" s="59">
        <f>((MAX('Min rate concentrations'!Y:Y))*0.62*6.01*8*(10*F298^0.667)*0.079*0.1/F298)*inputs!$E$80/(10^(0.84+0.62*LOG10(inputs!$E$80)))</f>
        <v>2.4289187252630344</v>
      </c>
      <c r="Q298" s="59">
        <f>(inputs!$C$7*11.2*(10*F298^0.667)*0.5/F298)*inputs!$E$80/(10^(0.84+0.62*LOG10(inputs!$E$80)))</f>
        <v>1.2835277318107468</v>
      </c>
      <c r="R298" s="59">
        <f>(60*284*((F298/1000)^0.77)*3*24*(MAX('Min rate concentrations'!$R$3:$R$368))/F298)*(inputs!$E$73*3.4/inputs!$E$75)</f>
        <v>9.9445532539701315E-3</v>
      </c>
      <c r="S298" s="59">
        <f>(IF(inputs!$C$6="aerial",((0.025*0.112*inputs!$C$7/3.3)*(3*60*284*((F298/1000)^0.77))*MAX(inputs!$H$14:$H$16))/F298,((0.0083*0.112*inputs!$C$7/1)*(3*60*284*((F298/1000)^0.77))*MAX(inputs!$H$14:$H$16))/F298))*(inputs!E$75*3.4/inputs!$E$73)</f>
        <v>5.4844822172183165E-2</v>
      </c>
      <c r="T298" s="63">
        <f>IF((((inputs!$P$12/(V298/MAX(K298:S298)))^(1/inputs!$O$12))-1)/inputs!$N$12&lt;0, 0, IF((((inputs!$P$12/(V298/MAX(K298:S298)))^(1/inputs!$O$12))-1)/inputs!$N$12&gt;inputs!$H$17, inputs!$H$17, (((inputs!$P$12/(V298/MAX(K298:S298)))^(1/inputs!$O$12))-1)/inputs!$N$12))</f>
        <v>390.249650137179</v>
      </c>
      <c r="U298" s="63">
        <f>IF((((inputs!$P$12/(X298/MAX(K298:S298)))^(1/inputs!$O$12))-1)/inputs!$N$12&lt;0, 0, IF((((inputs!$P$12/(X298/MAX(K298:S298)))^(1/inputs!$O$12))-1)/inputs!$N$12&gt;inputs!$H$17, inputs!$H$17, (((inputs!$P$12/(X298/MAX(K298:S298)))^(1/inputs!$O$12))-1)/inputs!$N$12))</f>
        <v>23.059723669738087</v>
      </c>
      <c r="V298" s="21">
        <f>inputs!$E$78*(F298/inputs!$F$78)^(inputs!$E$84-1)</f>
        <v>2.717901230110276E-2</v>
      </c>
      <c r="W298" s="21">
        <f>inputs!$E$85*(F298/inputs!$F$85)^(inputs!$E$84-1)</f>
        <v>1.2550767199302031</v>
      </c>
      <c r="X298" s="21">
        <f>inputs!$E$80*(F298/inputs!$F$80)^(inputs!$E$84-1)</f>
        <v>4.6866788908786061</v>
      </c>
      <c r="Y298" s="21">
        <f>inputs!$E$82*(F298/inputs!$F$82)^(inputs!$E$84-1)</f>
        <v>2.1600162407718511</v>
      </c>
      <c r="Z298" s="63">
        <f t="shared" si="33"/>
        <v>1555.6908492556715</v>
      </c>
      <c r="AA298" s="63">
        <f t="shared" si="34"/>
        <v>33.688889338162753</v>
      </c>
    </row>
    <row r="299" spans="1:27" x14ac:dyDescent="0.25">
      <c r="A299" s="103" t="s">
        <v>281</v>
      </c>
      <c r="B299" s="20" t="s">
        <v>282</v>
      </c>
      <c r="C299" s="20" t="s">
        <v>73</v>
      </c>
      <c r="D299" s="104" t="s">
        <v>141</v>
      </c>
      <c r="E299" s="15">
        <v>77</v>
      </c>
      <c r="F299" s="15">
        <v>38</v>
      </c>
      <c r="G299" s="20" t="s">
        <v>146</v>
      </c>
      <c r="H299" s="20">
        <v>0.84</v>
      </c>
      <c r="I299" s="48">
        <f>MAX('Min rate concentrations'!$I$3:$I$368)</f>
        <v>9.4775690500787988</v>
      </c>
      <c r="J299" s="48" t="s">
        <v>13</v>
      </c>
      <c r="K299" s="59">
        <f t="shared" si="36"/>
        <v>13.661315057071613</v>
      </c>
      <c r="L299" s="48" t="s">
        <v>13</v>
      </c>
      <c r="M299" s="59">
        <f>IF((((1.18*F299^0.874)-(0.398*F299^0.85)/(1-H299)*H299)*(MAX('Min rate concentrations'!$P$3:$P$368)))/F299&gt;0, (((1.18*F299^0.874)-(0.398*F299^0.85)/(1-H299)*H299)*(MAX('Min rate concentrations'!$P$3:$P$368)))/F299, 0)</f>
        <v>0</v>
      </c>
      <c r="N299" s="59">
        <f>IF((((1.18*F299^0.874)-(0.398*F299^0.85)/(1-H299)*H299)*(MAX('Min rate concentrations'!$Q$3:$Q$368)))/F299&gt;0, (((1.18*F299^0.874)-(0.398*F299^0.85)/(1-H299)*H299)*(MAX('Min rate concentrations'!$Q$3:$Q$368)))/F299, 0)</f>
        <v>0</v>
      </c>
      <c r="O299" s="59">
        <f>((MAX('Min rate concentrations'!$F$3:$F$368))*0.62*6.01*8*(10*F299^0.667)*0.079*0.1/F299)*inputs!$E$80/(10^(0.84+0.62*LOG10(inputs!$E$80)))</f>
        <v>7.2867561757891046</v>
      </c>
      <c r="P299" s="59">
        <f>((MAX('Min rate concentrations'!Y:Y))*0.62*6.01*8*(10*F299^0.667)*0.079*0.1/F299)*inputs!$E$80/(10^(0.84+0.62*LOG10(inputs!$E$80)))</f>
        <v>2.4289187252630344</v>
      </c>
      <c r="Q299" s="59">
        <f>(inputs!$C$7*11.2*(10*F299^0.667)*0.5/F299)*inputs!$E$80/(10^(0.84+0.62*LOG10(inputs!$E$80)))</f>
        <v>1.2835277318107468</v>
      </c>
      <c r="R299" s="59">
        <f>(60*284*((F299/1000)^0.77)*3*24*(MAX('Min rate concentrations'!$R$3:$R$368))/F299)*(inputs!$E$73*3.4/inputs!$E$75)</f>
        <v>9.9445532539701315E-3</v>
      </c>
      <c r="S299" s="59">
        <f>(IF(inputs!$C$6="aerial",((0.025*0.112*inputs!$C$7/3.3)*(3*60*284*((F299/1000)^0.77))*MAX(inputs!$H$14:$H$16))/F299,((0.0083*0.112*inputs!$C$7/1)*(3*60*284*((F299/1000)^0.77))*MAX(inputs!$H$14:$H$16))/F299))*(inputs!E$75*3.4/inputs!$E$73)</f>
        <v>5.4844822172183165E-2</v>
      </c>
      <c r="T299" s="63">
        <f>IF((((inputs!$P$12/(V299/MAX(K299:S299)))^(1/inputs!$O$12))-1)/inputs!$N$12&lt;0, 0, IF((((inputs!$P$12/(V299/MAX(K299:S299)))^(1/inputs!$O$12))-1)/inputs!$N$12&gt;inputs!$H$17, inputs!$H$17, (((inputs!$P$12/(V299/MAX(K299:S299)))^(1/inputs!$O$12))-1)/inputs!$N$12))</f>
        <v>235.97816028562079</v>
      </c>
      <c r="U299" s="63">
        <f>IF((((inputs!$P$12/(X299/MAX(K299:S299)))^(1/inputs!$O$12))-1)/inputs!$N$12&lt;0, 0, IF((((inputs!$P$12/(X299/MAX(K299:S299)))^(1/inputs!$O$12))-1)/inputs!$N$12&gt;inputs!$H$17, inputs!$H$17, (((inputs!$P$12/(X299/MAX(K299:S299)))^(1/inputs!$O$12))-1)/inputs!$N$12))</f>
        <v>4.0678356947611611</v>
      </c>
      <c r="V299" s="21">
        <f>inputs!$E$78*(F299/inputs!$F$78)^(inputs!$E$84-1)</f>
        <v>2.717901230110276E-2</v>
      </c>
      <c r="W299" s="21">
        <f>inputs!$E$85*(F299/inputs!$F$85)^(inputs!$E$84-1)</f>
        <v>1.2550767199302031</v>
      </c>
      <c r="X299" s="21">
        <f>inputs!$E$80*(F299/inputs!$F$80)^(inputs!$E$84-1)</f>
        <v>4.6866788908786061</v>
      </c>
      <c r="Y299" s="21">
        <f>inputs!$E$82*(F299/inputs!$F$82)^(inputs!$E$84-1)</f>
        <v>2.1600162407718511</v>
      </c>
      <c r="Z299" s="63">
        <f t="shared" si="33"/>
        <v>502.64207196805751</v>
      </c>
      <c r="AA299" s="63">
        <f t="shared" si="34"/>
        <v>10.884844599644348</v>
      </c>
    </row>
    <row r="300" spans="1:27" x14ac:dyDescent="0.25">
      <c r="A300" s="103" t="s">
        <v>263</v>
      </c>
      <c r="B300" s="20" t="s">
        <v>264</v>
      </c>
      <c r="C300" s="20" t="s">
        <v>73</v>
      </c>
      <c r="D300" s="104" t="s">
        <v>141</v>
      </c>
      <c r="E300" s="15">
        <v>64</v>
      </c>
      <c r="F300" s="15">
        <v>34</v>
      </c>
      <c r="G300" s="20" t="s">
        <v>142</v>
      </c>
      <c r="H300" s="20">
        <v>0.69</v>
      </c>
      <c r="I300" s="48">
        <f>MAX('Min rate concentrations'!$H$3:$H$368)</f>
        <v>47</v>
      </c>
      <c r="J300" s="48">
        <f>MAX('Min rate concentrations'!AA:AA)</f>
        <v>32.5</v>
      </c>
      <c r="K300" s="59">
        <f t="shared" si="36"/>
        <v>35.554731115881189</v>
      </c>
      <c r="L300" s="59">
        <f>((0.398*F300^0.85)/(1-H300))*J300/F300</f>
        <v>24.585718324811459</v>
      </c>
      <c r="M300" s="59">
        <f>IF((((1.18*F300^0.874)-(0.398*F300^0.85)/(1-H300)*H300)*(MAX('Min rate concentrations'!$P$3:$P$368)))/F300&gt;0, (((1.18*F300^0.874)-(0.398*F300^0.85)/(1-H300)*H300)*(MAX('Min rate concentrations'!$P$3:$P$368)))/F300, 0)</f>
        <v>3.4068017549819939E-2</v>
      </c>
      <c r="N300" s="59">
        <f>IF((((1.18*F300^0.874)-(0.398*F300^0.85)/(1-H300)*H300)*(MAX('Min rate concentrations'!$Q$3:$Q$368)))/F300&gt;0, (((1.18*F300^0.874)-(0.398*F300^0.85)/(1-H300)*H300)*(MAX('Min rate concentrations'!$Q$3:$Q$368)))/F300, 0)</f>
        <v>0.12973284136170624</v>
      </c>
      <c r="O300" s="59">
        <f>((MAX('Min rate concentrations'!$F$3:$F$368))*0.62*6.01*8*(10*F300^0.667)*0.079*0.1/F300)*inputs!$E$80/(10^(0.84+0.62*LOG10(inputs!$E$80)))</f>
        <v>7.561704399544027</v>
      </c>
      <c r="P300" s="59">
        <f>((MAX('Min rate concentrations'!Y:Y))*0.62*6.01*8*(10*F300^0.667)*0.079*0.1/F300)*inputs!$E$80/(10^(0.84+0.62*LOG10(inputs!$E$80)))</f>
        <v>2.5205681331813428</v>
      </c>
      <c r="Q300" s="59">
        <f>(inputs!$C$7*11.2*(10*F300^0.667)*0.5/F300)*inputs!$E$80/(10^(0.84+0.62*LOG10(inputs!$E$80)))</f>
        <v>1.3319585646104095</v>
      </c>
      <c r="R300" s="59">
        <f>(60*284*((F300/1000)^0.77)*3*24*(MAX('Min rate concentrations'!$R$3:$R$368))/F300)*(inputs!$E$73*3.4/inputs!$E$75)</f>
        <v>1.0202235732169293E-2</v>
      </c>
      <c r="S300" s="59">
        <f>(IF(inputs!$C$6="aerial",((0.025*0.112*inputs!$C$7/3.3)*(3*60*284*((F300/1000)^0.77))*MAX(inputs!$H$14:$H$16))/F300,((0.0083*0.112*inputs!$C$7/1)*(3*60*284*((F300/1000)^0.77))*MAX(inputs!$H$14:$H$16))/F300))*(inputs!E$75*3.4/inputs!$E$73)</f>
        <v>5.6265956871027333E-2</v>
      </c>
      <c r="T300" s="63">
        <f>IF((((inputs!$P$12/(V300/MAX(K300:S300)))^(1/inputs!$O$12))-1)/inputs!$N$12&lt;0, 0, IF((((inputs!$P$12/(V300/MAX(K300:S300)))^(1/inputs!$O$12))-1)/inputs!$N$12&gt;inputs!$H$17, inputs!$H$17, (((inputs!$P$12/(V300/MAX(K300:S300)))^(1/inputs!$O$12))-1)/inputs!$N$12))</f>
        <v>355.27367705898001</v>
      </c>
      <c r="U300" s="63">
        <f>IF((((inputs!$P$12/(X300/MAX(K300:S300)))^(1/inputs!$O$12))-1)/inputs!$N$12&lt;0, 0, IF((((inputs!$P$12/(X300/MAX(K300:S300)))^(1/inputs!$O$12))-1)/inputs!$N$12&gt;inputs!$H$17, inputs!$H$17, (((inputs!$P$12/(X300/MAX(K300:S300)))^(1/inputs!$O$12))-1)/inputs!$N$12))</f>
        <v>18.753939346554844</v>
      </c>
      <c r="V300" s="21">
        <f>inputs!$E$78*(F300/inputs!$F$78)^(inputs!$E$84-1)</f>
        <v>2.832085768556198E-2</v>
      </c>
      <c r="W300" s="21">
        <f>inputs!$E$85*(F300/inputs!$F$85)^(inputs!$E$84-1)</f>
        <v>1.3078050363207285</v>
      </c>
      <c r="X300" s="21">
        <f>inputs!$E$80*(F300/inputs!$F$80)^(inputs!$E$84-1)</f>
        <v>4.883575768539429</v>
      </c>
      <c r="Y300" s="21">
        <f>inputs!$E$82*(F300/inputs!$F$82)^(inputs!$E$84-1)</f>
        <v>2.2507629002736103</v>
      </c>
      <c r="Z300" s="63">
        <f t="shared" si="33"/>
        <v>1255.4256481436666</v>
      </c>
      <c r="AA300" s="63">
        <f t="shared" si="34"/>
        <v>27.186568432178511</v>
      </c>
    </row>
    <row r="301" spans="1:27" x14ac:dyDescent="0.25">
      <c r="A301" s="103" t="s">
        <v>263</v>
      </c>
      <c r="B301" s="20" t="s">
        <v>264</v>
      </c>
      <c r="C301" s="20" t="s">
        <v>73</v>
      </c>
      <c r="D301" s="104" t="s">
        <v>141</v>
      </c>
      <c r="E301" s="15">
        <v>64</v>
      </c>
      <c r="F301" s="15">
        <v>34</v>
      </c>
      <c r="G301" s="20" t="s">
        <v>153</v>
      </c>
      <c r="H301" s="20">
        <v>0.7</v>
      </c>
      <c r="I301" s="48">
        <f>MAX('Min rate concentrations'!$E$3:$E$368)</f>
        <v>55</v>
      </c>
      <c r="J301" s="48">
        <f>MAX('Min rate concentrations'!X:X)</f>
        <v>18</v>
      </c>
      <c r="K301" s="59">
        <f t="shared" si="36"/>
        <v>42.993486916721579</v>
      </c>
      <c r="L301" s="59"/>
      <c r="M301" s="59">
        <f>IF((((1.18*F301^0.874)-(0.398*F301^0.85)/(1-H301)*H301)*(MAX('Min rate concentrations'!$P$3:$P$368)))/F301&gt;0, (((1.18*F301^0.874)-(0.398*F301^0.85)/(1-H301)*H301)*(MAX('Min rate concentrations'!$P$3:$P$368)))/F301, 0)</f>
        <v>3.0407947186628943E-2</v>
      </c>
      <c r="N301" s="59">
        <f>IF((((1.18*F301^0.874)-(0.398*F301^0.85)/(1-H301)*H301)*(MAX('Min rate concentrations'!$Q$3:$Q$368)))/F301&gt;0, (((1.18*F301^0.874)-(0.398*F301^0.85)/(1-H301)*H301)*(MAX('Min rate concentrations'!$Q$3:$Q$368)))/F301, 0)</f>
        <v>0.11579509675692663</v>
      </c>
      <c r="O301" s="59">
        <f>((MAX('Min rate concentrations'!$F$3:$F$368))*0.62*6.01*8*(10*F301^0.667)*0.079*0.1/F301)*inputs!$E$80/(10^(0.84+0.62*LOG10(inputs!$E$80)))</f>
        <v>7.561704399544027</v>
      </c>
      <c r="P301" s="59">
        <f>((MAX('Min rate concentrations'!Y:Y))*0.62*6.01*8*(10*F301^0.667)*0.079*0.1/F301)*inputs!$E$80/(10^(0.84+0.62*LOG10(inputs!$E$80)))</f>
        <v>2.5205681331813428</v>
      </c>
      <c r="Q301" s="59">
        <f>(inputs!$C$7*11.2*(10*F301^0.667)*0.5/F301)*inputs!$E$80/(10^(0.84+0.62*LOG10(inputs!$E$80)))</f>
        <v>1.3319585646104095</v>
      </c>
      <c r="R301" s="59">
        <f>(60*284*((F301/1000)^0.77)*3*24*(MAX('Min rate concentrations'!$R$3:$R$368))/F301)*(inputs!$E$73*3.4/inputs!$E$75)</f>
        <v>1.0202235732169293E-2</v>
      </c>
      <c r="S301" s="59">
        <f>(IF(inputs!$C$6="aerial",((0.025*0.112*inputs!$C$7/3.3)*(3*60*284*((F301/1000)^0.77))*MAX(inputs!$H$14:$H$16))/F301,((0.0083*0.112*inputs!$C$7/1)*(3*60*284*((F301/1000)^0.77))*MAX(inputs!$H$14:$H$16))/F301))*(inputs!E$75*3.4/inputs!$E$73)</f>
        <v>5.6265956871027333E-2</v>
      </c>
      <c r="T301" s="63">
        <f>IF((((inputs!$P$12/(V301/MAX(K301:S301)))^(1/inputs!$O$12))-1)/inputs!$N$12&lt;0, 0, IF((((inputs!$P$12/(V301/MAX(K301:S301)))^(1/inputs!$O$12))-1)/inputs!$N$12&gt;inputs!$H$17, inputs!$H$17, (((inputs!$P$12/(V301/MAX(K301:S301)))^(1/inputs!$O$12))-1)/inputs!$N$12))</f>
        <v>386.10274204315522</v>
      </c>
      <c r="U301" s="63">
        <f>IF((((inputs!$P$12/(X301/MAX(K301:S301)))^(1/inputs!$O$12))-1)/inputs!$N$12&lt;0, 0, IF((((inputs!$P$12/(X301/MAX(K301:S301)))^(1/inputs!$O$12))-1)/inputs!$N$12&gt;inputs!$H$17, inputs!$H$17, (((inputs!$P$12/(X301/MAX(K301:S301)))^(1/inputs!$O$12))-1)/inputs!$N$12))</f>
        <v>22.549210586342028</v>
      </c>
      <c r="V301" s="21">
        <f>inputs!$E$78*(F301/inputs!$F$78)^(inputs!$E$84-1)</f>
        <v>2.832085768556198E-2</v>
      </c>
      <c r="W301" s="21">
        <f>inputs!$E$85*(F301/inputs!$F$85)^(inputs!$E$84-1)</f>
        <v>1.3078050363207285</v>
      </c>
      <c r="X301" s="21">
        <f>inputs!$E$80*(F301/inputs!$F$80)^(inputs!$E$84-1)</f>
        <v>4.883575768539429</v>
      </c>
      <c r="Y301" s="21">
        <f>inputs!$E$82*(F301/inputs!$F$82)^(inputs!$E$84-1)</f>
        <v>2.2507629002736103</v>
      </c>
      <c r="Z301" s="63">
        <f t="shared" si="33"/>
        <v>1518.0856241737245</v>
      </c>
      <c r="AA301" s="63">
        <f t="shared" si="34"/>
        <v>32.87453842330806</v>
      </c>
    </row>
    <row r="302" spans="1:27" x14ac:dyDescent="0.25">
      <c r="A302" s="103" t="s">
        <v>868</v>
      </c>
      <c r="B302" s="20" t="s">
        <v>870</v>
      </c>
      <c r="C302" s="20" t="s">
        <v>73</v>
      </c>
      <c r="D302" s="104" t="s">
        <v>141</v>
      </c>
      <c r="E302" s="15">
        <v>100</v>
      </c>
      <c r="F302" s="15">
        <v>23</v>
      </c>
      <c r="G302" s="20" t="s">
        <v>142</v>
      </c>
      <c r="H302" s="20">
        <v>0.69</v>
      </c>
      <c r="I302" s="48">
        <f>MAX('Min rate concentrations'!$H$3:$H$368)</f>
        <v>47</v>
      </c>
      <c r="J302" s="48">
        <f>MAX('Min rate concentrations'!AA:AA)</f>
        <v>32.5</v>
      </c>
      <c r="K302" s="59">
        <f t="shared" si="36"/>
        <v>37.701624251721434</v>
      </c>
      <c r="L302" s="59">
        <f t="shared" ref="L302:L307" si="37">((0.398*F302^0.85)/(1-H302))*J302/F302</f>
        <v>26.070272088956312</v>
      </c>
      <c r="M302" s="59">
        <f>IF((((1.18*F302^0.874)-(0.398*F302^0.85)/(1-H302)*H302)*(MAX('Min rate concentrations'!$P$3:$P$368)))/F302&gt;0, (((1.18*F302^0.874)-(0.398*F302^0.85)/(1-H302)*H302)*(MAX('Min rate concentrations'!$P$3:$P$368)))/F302, 0)</f>
        <v>3.5037728275873266E-2</v>
      </c>
      <c r="N302" s="59">
        <f>IF((((1.18*F302^0.874)-(0.398*F302^0.85)/(1-H302)*H302)*(MAX('Min rate concentrations'!$Q$3:$Q$368)))/F302&gt;0, (((1.18*F302^0.874)-(0.398*F302^0.85)/(1-H302)*H302)*(MAX('Min rate concentrations'!$Q$3:$Q$368)))/F302, 0)</f>
        <v>0.13342555191070868</v>
      </c>
      <c r="O302" s="59">
        <f>((MAX('Min rate concentrations'!$F$3:$F$368))*0.62*6.01*8*(10*F302^0.667)*0.079*0.1/F302)*inputs!$E$80/(10^(0.84+0.62*LOG10(inputs!$E$80)))</f>
        <v>8.6128484594081662</v>
      </c>
      <c r="P302" s="59">
        <f>((MAX('Min rate concentrations'!Y:Y))*0.62*6.01*8*(10*F302^0.667)*0.079*0.1/F302)*inputs!$E$80/(10^(0.84+0.62*LOG10(inputs!$E$80)))</f>
        <v>2.8709494864693892</v>
      </c>
      <c r="Q302" s="59">
        <f>(inputs!$C$7*11.2*(10*F302^0.667)*0.5/F302)*inputs!$E$80/(10^(0.84+0.62*LOG10(inputs!$E$80)))</f>
        <v>1.517112632952438</v>
      </c>
      <c r="R302" s="59">
        <f>(60*284*((F302/1000)^0.77)*3*24*(MAX('Min rate concentrations'!$R$3:$R$368))/F302)*(inputs!$E$73*3.4/inputs!$E$75)</f>
        <v>1.1161899367565913E-2</v>
      </c>
      <c r="S302" s="59">
        <f>(IF(inputs!$C$6="aerial",((0.025*0.112*inputs!$C$7/3.3)*(3*60*284*((F302/1000)^0.77))*MAX(inputs!$H$14:$H$16))/F302,((0.0083*0.112*inputs!$C$7/1)*(3*60*284*((F302/1000)^0.77))*MAX(inputs!$H$14:$H$16))/F302))*(inputs!E$75*3.4/inputs!$E$73)</f>
        <v>6.1558560780350866E-2</v>
      </c>
      <c r="T302" s="63">
        <f>IF((((inputs!$P$12/(V302/MAX(K302:S302)))^(1/inputs!$O$12))-1)/inputs!$N$12&lt;0, 0, IF((((inputs!$P$12/(V302/MAX(K302:S302)))^(1/inputs!$O$12))-1)/inputs!$N$12&gt;inputs!$H$17, inputs!$H$17, (((inputs!$P$12/(V302/MAX(K302:S302)))^(1/inputs!$O$12))-1)/inputs!$N$12))</f>
        <v>342.08338967432087</v>
      </c>
      <c r="U302" s="63">
        <f>IF((((inputs!$P$12/(X302/MAX(K302:S302)))^(1/inputs!$O$12))-1)/inputs!$N$12&lt;0, 0, IF((((inputs!$P$12/(X302/MAX(K302:S302)))^(1/inputs!$O$12))-1)/inputs!$N$12&gt;inputs!$H$17, inputs!$H$17, (((inputs!$P$12/(X302/MAX(K302:S302)))^(1/inputs!$O$12))-1)/inputs!$N$12))</f>
        <v>17.130123691385879</v>
      </c>
      <c r="V302" s="21">
        <f>inputs!$E$78*(F302/inputs!$F$78)^(inputs!$E$84-1)</f>
        <v>3.2727610783302954E-2</v>
      </c>
      <c r="W302" s="21">
        <f>inputs!$E$85*(F302/inputs!$F$85)^(inputs!$E$84-1)</f>
        <v>1.5113007764227557</v>
      </c>
      <c r="X302" s="21">
        <f>inputs!$E$80*(F302/inputs!$F$80)^(inputs!$E$84-1)</f>
        <v>5.6434649246166195</v>
      </c>
      <c r="Y302" s="21">
        <f>inputs!$E$82*(F302/inputs!$F$82)^(inputs!$E$84-1)</f>
        <v>2.6009838043572349</v>
      </c>
      <c r="Z302" s="63">
        <f t="shared" si="33"/>
        <v>1151.9821749700143</v>
      </c>
      <c r="AA302" s="63">
        <f t="shared" si="34"/>
        <v>24.946473157355918</v>
      </c>
    </row>
    <row r="303" spans="1:27" x14ac:dyDescent="0.25">
      <c r="A303" s="103" t="s">
        <v>868</v>
      </c>
      <c r="B303" s="20" t="s">
        <v>870</v>
      </c>
      <c r="C303" s="20" t="s">
        <v>73</v>
      </c>
      <c r="D303" s="104" t="s">
        <v>141</v>
      </c>
      <c r="E303" s="15">
        <v>100</v>
      </c>
      <c r="F303" s="15">
        <v>23</v>
      </c>
      <c r="G303" s="20" t="s">
        <v>153</v>
      </c>
      <c r="H303" s="20">
        <v>0.7</v>
      </c>
      <c r="I303" s="48">
        <f>MAX('Min rate concentrations'!$E$3:$E$368)</f>
        <v>55</v>
      </c>
      <c r="J303" s="48">
        <f>MAX('Min rate concentrations'!X:X)</f>
        <v>18</v>
      </c>
      <c r="K303" s="59">
        <f t="shared" si="36"/>
        <v>45.589552729918474</v>
      </c>
      <c r="L303" s="59">
        <f t="shared" si="37"/>
        <v>14.920217257064229</v>
      </c>
      <c r="M303" s="59">
        <f>IF((((1.18*F303^0.874)-(0.398*F303^0.85)/(1-H303)*H303)*(MAX('Min rate concentrations'!$P$3:$P$368)))/F303&gt;0, (((1.18*F303^0.874)-(0.398*F303^0.85)/(1-H303)*H303)*(MAX('Min rate concentrations'!$P$3:$P$368)))/F303, 0)</f>
        <v>3.1156652727357802E-2</v>
      </c>
      <c r="N303" s="59">
        <f>IF((((1.18*F303^0.874)-(0.398*F303^0.85)/(1-H303)*H303)*(MAX('Min rate concentrations'!$Q$3:$Q$368)))/F303&gt;0, (((1.18*F303^0.874)-(0.398*F303^0.85)/(1-H303)*H303)*(MAX('Min rate concentrations'!$Q$3:$Q$368)))/F303, 0)</f>
        <v>0.1186462076852325</v>
      </c>
      <c r="O303" s="59">
        <f>((MAX('Min rate concentrations'!$F$3:$F$368))*0.62*6.01*8*(10*F303^0.667)*0.079*0.1/F303)*inputs!$E$80/(10^(0.84+0.62*LOG10(inputs!$E$80)))</f>
        <v>8.6128484594081662</v>
      </c>
      <c r="P303" s="59">
        <f>((MAX('Min rate concentrations'!Y:Y))*0.62*6.01*8*(10*F303^0.667)*0.079*0.1/F303)*inputs!$E$80/(10^(0.84+0.62*LOG10(inputs!$E$80)))</f>
        <v>2.8709494864693892</v>
      </c>
      <c r="Q303" s="59">
        <f>(inputs!$C$7*11.2*(10*F303^0.667)*0.5/F303)*inputs!$E$80/(10^(0.84+0.62*LOG10(inputs!$E$80)))</f>
        <v>1.517112632952438</v>
      </c>
      <c r="R303" s="59">
        <f>(60*284*((F303/1000)^0.77)*3*24*(MAX('Min rate concentrations'!$R$3:$R$368))/F303)*(inputs!$E$73*3.4/inputs!$E$75)</f>
        <v>1.1161899367565913E-2</v>
      </c>
      <c r="S303" s="59">
        <f>(IF(inputs!$C$6="aerial",((0.025*0.112*inputs!$C$7/3.3)*(3*60*284*((F303/1000)^0.77))*MAX(inputs!$H$14:$H$16))/F303,((0.0083*0.112*inputs!$C$7/1)*(3*60*284*((F303/1000)^0.77))*MAX(inputs!$H$14:$H$16))/F303))*(inputs!E$75*3.4/inputs!$E$73)</f>
        <v>6.1558560780350866E-2</v>
      </c>
      <c r="T303" s="63">
        <f>IF((((inputs!$P$12/(V303/MAX(K303:S303)))^(1/inputs!$O$12))-1)/inputs!$N$12&lt;0, 0, IF((((inputs!$P$12/(V303/MAX(K303:S303)))^(1/inputs!$O$12))-1)/inputs!$N$12&gt;inputs!$H$17, inputs!$H$17, (((inputs!$P$12/(V303/MAX(K303:S303)))^(1/inputs!$O$12))-1)/inputs!$N$12))</f>
        <v>371.85283327934576</v>
      </c>
      <c r="U303" s="63">
        <f>IF((((inputs!$P$12/(X303/MAX(K303:S303)))^(1/inputs!$O$12))-1)/inputs!$N$12&lt;0, 0, IF((((inputs!$P$12/(X303/MAX(K303:S303)))^(1/inputs!$O$12))-1)/inputs!$N$12&gt;inputs!$H$17, inputs!$H$17, (((inputs!$P$12/(X303/MAX(K303:S303)))^(1/inputs!$O$12))-1)/inputs!$N$12))</f>
        <v>20.794948206712988</v>
      </c>
      <c r="V303" s="21">
        <f>inputs!$E$78*(F303/inputs!$F$78)^(inputs!$E$84-1)</f>
        <v>3.2727610783302954E-2</v>
      </c>
      <c r="W303" s="21">
        <f>inputs!$E$85*(F303/inputs!$F$85)^(inputs!$E$84-1)</f>
        <v>1.5113007764227557</v>
      </c>
      <c r="X303" s="21">
        <f>inputs!$E$80*(F303/inputs!$F$80)^(inputs!$E$84-1)</f>
        <v>5.6434649246166195</v>
      </c>
      <c r="Y303" s="21">
        <f>inputs!$E$82*(F303/inputs!$F$82)^(inputs!$E$84-1)</f>
        <v>2.6009838043572349</v>
      </c>
      <c r="Z303" s="63">
        <f t="shared" si="33"/>
        <v>1392.9997222155139</v>
      </c>
      <c r="AA303" s="63">
        <f t="shared" si="34"/>
        <v>30.165770732831096</v>
      </c>
    </row>
    <row r="304" spans="1:27" ht="26.4" x14ac:dyDescent="0.25">
      <c r="A304" s="103" t="s">
        <v>340</v>
      </c>
      <c r="B304" s="20" t="s">
        <v>341</v>
      </c>
      <c r="C304" s="20" t="s">
        <v>73</v>
      </c>
      <c r="D304" s="104" t="s">
        <v>141</v>
      </c>
      <c r="E304" s="15">
        <v>94</v>
      </c>
      <c r="F304" s="15">
        <v>12.3</v>
      </c>
      <c r="G304" s="20" t="s">
        <v>142</v>
      </c>
      <c r="H304" s="20">
        <v>0.69</v>
      </c>
      <c r="I304" s="48">
        <f>MAX('Min rate concentrations'!$H$3:$H$368)</f>
        <v>47</v>
      </c>
      <c r="J304" s="48">
        <f>MAX('Min rate concentrations'!AA:AA)</f>
        <v>32.5</v>
      </c>
      <c r="K304" s="59">
        <f t="shared" si="36"/>
        <v>41.412692673451787</v>
      </c>
      <c r="L304" s="59">
        <f t="shared" si="37"/>
        <v>28.636436423131553</v>
      </c>
      <c r="M304" s="59">
        <f>IF((((1.18*F304^0.874)-(0.398*F304^0.85)/(1-H304)*H304)*(MAX('Min rate concentrations'!$P$3:$P$368)))/F304&gt;0, (((1.18*F304^0.874)-(0.398*F304^0.85)/(1-H304)*H304)*(MAX('Min rate concentrations'!$P$3:$P$368)))/F304, 0)</f>
        <v>3.6597096171804525E-2</v>
      </c>
      <c r="N304" s="59">
        <f>IF((((1.18*F304^0.874)-(0.398*F304^0.85)/(1-H304)*H304)*(MAX('Min rate concentrations'!$Q$3:$Q$368)))/F304&gt;0, (((1.18*F304^0.874)-(0.398*F304^0.85)/(1-H304)*H304)*(MAX('Min rate concentrations'!$Q$3:$Q$368)))/F304, 0)</f>
        <v>0.13936370864587974</v>
      </c>
      <c r="O304" s="59">
        <f>((MAX('Min rate concentrations'!$F$3:$F$368))*0.62*6.01*8*(10*F304^0.667)*0.079*0.1/F304)*inputs!$E$80/(10^(0.84+0.62*LOG10(inputs!$E$80)))</f>
        <v>10.608739205390751</v>
      </c>
      <c r="P304" s="59">
        <f>((MAX('Min rate concentrations'!Y:Y))*0.62*6.01*8*(10*F304^0.667)*0.079*0.1/F304)*inputs!$E$80/(10^(0.84+0.62*LOG10(inputs!$E$80)))</f>
        <v>3.5362464017969164</v>
      </c>
      <c r="Q304" s="59">
        <f>(inputs!$C$7*11.2*(10*F304^0.667)*0.5/F304)*inputs!$E$80/(10^(0.84+0.62*LOG10(inputs!$E$80)))</f>
        <v>1.8686793740827141</v>
      </c>
      <c r="R304" s="59">
        <f>(60*284*((F304/1000)^0.77)*3*24*(MAX('Min rate concentrations'!$R$3:$R$368))/F304)*(inputs!$E$73*3.4/inputs!$E$75)</f>
        <v>1.289013095099613E-2</v>
      </c>
      <c r="S304" s="59">
        <f>(IF(inputs!$C$6="aerial",((0.025*0.112*inputs!$C$7/3.3)*(3*60*284*((F304/1000)^0.77))*MAX(inputs!$H$14:$H$16))/F304,((0.0083*0.112*inputs!$C$7/1)*(3*60*284*((F304/1000)^0.77))*MAX(inputs!$H$14:$H$16))/F304))*(inputs!E$75*3.4/inputs!$E$73)</f>
        <v>7.1089864142594952E-2</v>
      </c>
      <c r="T304" s="63">
        <f>IF((((inputs!$P$12/(V304/MAX(K304:S304)))^(1/inputs!$O$12))-1)/inputs!$N$12&lt;0, 0, IF((((inputs!$P$12/(V304/MAX(K304:S304)))^(1/inputs!$O$12))-1)/inputs!$N$12&gt;inputs!$H$17, inputs!$H$17, (((inputs!$P$12/(V304/MAX(K304:S304)))^(1/inputs!$O$12))-1)/inputs!$N$12))</f>
        <v>321.8994620619701</v>
      </c>
      <c r="U304" s="63">
        <f>IF((((inputs!$P$12/(X304/MAX(K304:S304)))^(1/inputs!$O$12))-1)/inputs!$N$12&lt;0, 0, IF((((inputs!$P$12/(X304/MAX(K304:S304)))^(1/inputs!$O$12))-1)/inputs!$N$12&gt;inputs!$H$17, inputs!$H$17, (((inputs!$P$12/(X304/MAX(K304:S304)))^(1/inputs!$O$12))-1)/inputs!$N$12))</f>
        <v>14.645342527493233</v>
      </c>
      <c r="V304" s="21">
        <f>inputs!$E$78*(F304/inputs!$F$78)^(inputs!$E$84-1)</f>
        <v>4.1256151168588752E-2</v>
      </c>
      <c r="W304" s="21">
        <f>inputs!$E$85*(F304/inputs!$F$85)^(inputs!$E$84-1)</f>
        <v>1.9051330604650447</v>
      </c>
      <c r="X304" s="21">
        <f>inputs!$E$80*(F304/inputs!$F$80)^(inputs!$E$84-1)</f>
        <v>7.1141044662935213</v>
      </c>
      <c r="Y304" s="21">
        <f>inputs!$E$82*(F304/inputs!$F$82)^(inputs!$E$84-1)</f>
        <v>3.2787783297141586</v>
      </c>
      <c r="Z304" s="63">
        <f t="shared" si="33"/>
        <v>1003.7943797574171</v>
      </c>
      <c r="AA304" s="63">
        <f t="shared" si="34"/>
        <v>21.737427969121963</v>
      </c>
    </row>
    <row r="305" spans="1:27" ht="26.4" x14ac:dyDescent="0.25">
      <c r="A305" s="103" t="s">
        <v>340</v>
      </c>
      <c r="B305" s="20" t="s">
        <v>341</v>
      </c>
      <c r="C305" s="20" t="s">
        <v>73</v>
      </c>
      <c r="D305" s="104" t="s">
        <v>141</v>
      </c>
      <c r="E305" s="15">
        <v>94</v>
      </c>
      <c r="F305" s="15">
        <v>12.3</v>
      </c>
      <c r="G305" s="20" t="s">
        <v>152</v>
      </c>
      <c r="H305" s="20">
        <v>0.77</v>
      </c>
      <c r="I305" s="48">
        <f>MAX('Min rate concentrations'!$G$3:$G$368)</f>
        <v>7.5</v>
      </c>
      <c r="J305" s="48">
        <f>MAX('Min rate concentrations'!Z:Z)</f>
        <v>3.5</v>
      </c>
      <c r="K305" s="59">
        <f t="shared" si="36"/>
        <v>8.9069852419773756</v>
      </c>
      <c r="L305" s="59">
        <f t="shared" si="37"/>
        <v>4.1565931129227751</v>
      </c>
      <c r="M305" s="59">
        <f>IF((((1.18*F305^0.874)-(0.398*F305^0.85)/(1-H305)*H305)*(MAX('Min rate concentrations'!$P$3:$P$368)))/F305&gt;0, (((1.18*F305^0.874)-(0.398*F305^0.85)/(1-H305)*H305)*(MAX('Min rate concentrations'!$P$3:$P$368)))/F305, 0)</f>
        <v>0</v>
      </c>
      <c r="N305" s="59">
        <f>IF((((1.18*F305^0.874)-(0.398*F305^0.85)/(1-H305)*H305)*(MAX('Min rate concentrations'!$Q$3:$Q$368)))/F305&gt;0, (((1.18*F305^0.874)-(0.398*F305^0.85)/(1-H305)*H305)*(MAX('Min rate concentrations'!$Q$3:$Q$368)))/F305, 0)</f>
        <v>0</v>
      </c>
      <c r="O305" s="59">
        <f>((MAX('Min rate concentrations'!$F$3:$F$368))*0.62*6.01*8*(10*F305^0.667)*0.079*0.1/F305)*inputs!$E$80/(10^(0.84+0.62*LOG10(inputs!$E$80)))</f>
        <v>10.608739205390751</v>
      </c>
      <c r="P305" s="59">
        <f>((MAX('Min rate concentrations'!Y:Y))*0.62*6.01*8*(10*F305^0.667)*0.079*0.1/F305)*inputs!$E$80/(10^(0.84+0.62*LOG10(inputs!$E$80)))</f>
        <v>3.5362464017969164</v>
      </c>
      <c r="Q305" s="59">
        <f>(inputs!$C$7*11.2*(10*F305^0.667)*0.5/F305)*inputs!$E$80/(10^(0.84+0.62*LOG10(inputs!$E$80)))</f>
        <v>1.8686793740827141</v>
      </c>
      <c r="R305" s="59">
        <f>(60*284*((F305/1000)^0.77)*3*24*(MAX('Min rate concentrations'!$R$3:$R$368))/F305)*(inputs!$E$73*3.4/inputs!$E$75)</f>
        <v>1.289013095099613E-2</v>
      </c>
      <c r="S305" s="59">
        <f>(IF(inputs!$C$6="aerial",((0.025*0.112*inputs!$C$7/3.3)*(3*60*284*((F305/1000)^0.77))*MAX(inputs!$H$14:$H$16))/F305,((0.0083*0.112*inputs!$C$7/1)*(3*60*284*((F305/1000)^0.77))*MAX(inputs!$H$14:$H$16))/F305))*(inputs!E$75*3.4/inputs!$E$73)</f>
        <v>7.1089864142594952E-2</v>
      </c>
      <c r="T305" s="63">
        <f>IF((((inputs!$P$12/(V305/MAX(K305:S305)))^(1/inputs!$O$12))-1)/inputs!$N$12&lt;0, 0, IF((((inputs!$P$12/(V305/MAX(K305:S305)))^(1/inputs!$O$12))-1)/inputs!$N$12&gt;inputs!$H$17, inputs!$H$17, (((inputs!$P$12/(V305/MAX(K305:S305)))^(1/inputs!$O$12))-1)/inputs!$N$12))</f>
        <v>172.87281021545024</v>
      </c>
      <c r="U305" s="63">
        <f>IF((((inputs!$P$12/(X305/MAX(K305:S305)))^(1/inputs!$O$12))-1)/inputs!$N$12&lt;0, 0, IF((((inputs!$P$12/(X305/MAX(K305:S305)))^(1/inputs!$O$12))-1)/inputs!$N$12&gt;inputs!$H$17, inputs!$H$17, (((inputs!$P$12/(X305/MAX(K305:S305)))^(1/inputs!$O$12))-1)/inputs!$N$12))</f>
        <v>0</v>
      </c>
      <c r="V305" s="21">
        <f>inputs!$E$78*(F305/inputs!$F$78)^(inputs!$E$84-1)</f>
        <v>4.1256151168588752E-2</v>
      </c>
      <c r="W305" s="21">
        <f>inputs!$E$85*(F305/inputs!$F$85)^(inputs!$E$84-1)</f>
        <v>1.9051330604650447</v>
      </c>
      <c r="X305" s="21">
        <f>inputs!$E$80*(F305/inputs!$F$80)^(inputs!$E$84-1)</f>
        <v>7.1141044662935213</v>
      </c>
      <c r="Y305" s="21">
        <f>inputs!$E$82*(F305/inputs!$F$82)^(inputs!$E$84-1)</f>
        <v>3.2787783297141586</v>
      </c>
      <c r="Z305" s="63">
        <f t="shared" si="33"/>
        <v>257.14321149443384</v>
      </c>
      <c r="AA305" s="63">
        <f t="shared" si="34"/>
        <v>5.5685030224614067</v>
      </c>
    </row>
    <row r="306" spans="1:27" x14ac:dyDescent="0.25">
      <c r="A306" s="103" t="s">
        <v>285</v>
      </c>
      <c r="B306" s="20" t="s">
        <v>286</v>
      </c>
      <c r="C306" s="20" t="s">
        <v>73</v>
      </c>
      <c r="D306" s="104" t="s">
        <v>141</v>
      </c>
      <c r="E306" s="15">
        <v>105</v>
      </c>
      <c r="F306" s="15">
        <v>50</v>
      </c>
      <c r="G306" s="20" t="s">
        <v>142</v>
      </c>
      <c r="H306" s="20">
        <v>0.69</v>
      </c>
      <c r="I306" s="48">
        <f>MAX('Min rate concentrations'!$H$3:$H$368)</f>
        <v>47</v>
      </c>
      <c r="J306" s="48">
        <f>MAX('Min rate concentrations'!AA:AA)</f>
        <v>32.5</v>
      </c>
      <c r="K306" s="59">
        <f t="shared" si="36"/>
        <v>33.55627427836972</v>
      </c>
      <c r="L306" s="59">
        <f t="shared" si="37"/>
        <v>23.2038066818514</v>
      </c>
      <c r="M306" s="59">
        <f>IF((((1.18*F306^0.874)-(0.398*F306^0.85)/(1-H306)*H306)*(MAX('Min rate concentrations'!$P$3:$P$368)))/F306&gt;0, (((1.18*F306^0.874)-(0.398*F306^0.85)/(1-H306)*H306)*(MAX('Min rate concentrations'!$P$3:$P$368)))/F306, 0)</f>
        <v>3.3117028524937038E-2</v>
      </c>
      <c r="N306" s="59">
        <f>IF((((1.18*F306^0.874)-(0.398*F306^0.85)/(1-H306)*H306)*(MAX('Min rate concentrations'!$Q$3:$Q$368)))/F306&gt;0, (((1.18*F306^0.874)-(0.398*F306^0.85)/(1-H306)*H306)*(MAX('Min rate concentrations'!$Q$3:$Q$368)))/F306, 0)</f>
        <v>0.1261114240567093</v>
      </c>
      <c r="O306" s="59">
        <f>((MAX('Min rate concentrations'!$F$3:$F$368))*0.62*6.01*8*(10*F306^0.667)*0.079*0.1/F306)*inputs!$E$80/(10^(0.84+0.62*LOG10(inputs!$E$80)))</f>
        <v>6.6503601317129331</v>
      </c>
      <c r="P306" s="59">
        <f>((MAX('Min rate concentrations'!Y:Y))*0.62*6.01*8*(10*F306^0.667)*0.079*0.1/F306)*inputs!$E$80/(10^(0.84+0.62*LOG10(inputs!$E$80)))</f>
        <v>2.2167867105709775</v>
      </c>
      <c r="Q306" s="59">
        <f>(inputs!$C$7*11.2*(10*F306^0.667)*0.5/F306)*inputs!$E$80/(10^(0.84+0.62*LOG10(inputs!$E$80)))</f>
        <v>1.171429570258365</v>
      </c>
      <c r="R306" s="59">
        <f>(60*284*((F306/1000)^0.77)*3*24*(MAX('Min rate concentrations'!$R$3:$R$368))/F306)*(inputs!$E$73*3.4/inputs!$E$75)</f>
        <v>9.3362485288330452E-3</v>
      </c>
      <c r="S306" s="59">
        <f>(IF(inputs!$C$6="aerial",((0.025*0.112*inputs!$C$7/3.3)*(3*60*284*((F306/1000)^0.77))*MAX(inputs!$H$14:$H$16))/F306,((0.0083*0.112*inputs!$C$7/1)*(3*60*284*((F306/1000)^0.77))*MAX(inputs!$H$14:$H$16))/F306))*(inputs!E$75*3.4/inputs!$E$73)</f>
        <v>5.1489984239838318E-2</v>
      </c>
      <c r="T306" s="63">
        <f>IF((((inputs!$P$12/(V306/MAX(K306:S306)))^(1/inputs!$O$12))-1)/inputs!$N$12&lt;0, 0, IF((((inputs!$P$12/(V306/MAX(K306:S306)))^(1/inputs!$O$12))-1)/inputs!$N$12&gt;inputs!$H$17, inputs!$H$17, (((inputs!$P$12/(V306/MAX(K306:S306)))^(1/inputs!$O$12))-1)/inputs!$N$12))</f>
        <v>368.74844662252764</v>
      </c>
      <c r="U306" s="63">
        <f>IF((((inputs!$P$12/(X306/MAX(K306:S306)))^(1/inputs!$O$12))-1)/inputs!$N$12&lt;0, 0, IF((((inputs!$P$12/(X306/MAX(K306:S306)))^(1/inputs!$O$12))-1)/inputs!$N$12&gt;inputs!$H$17, inputs!$H$17, (((inputs!$P$12/(X306/MAX(K306:S306)))^(1/inputs!$O$12))-1)/inputs!$N$12))</f>
        <v>20.41277672659028</v>
      </c>
      <c r="V306" s="21">
        <f>inputs!$E$78*(F306/inputs!$F$78)^(inputs!$E$84-1)</f>
        <v>2.4554703782112351E-2</v>
      </c>
      <c r="W306" s="21">
        <f>inputs!$E$85*(F306/inputs!$F$85)^(inputs!$E$84-1)</f>
        <v>1.1338909869237934</v>
      </c>
      <c r="X306" s="21">
        <f>inputs!$E$80*(F306/inputs!$F$80)^(inputs!$E$84-1)</f>
        <v>4.2341498878799877</v>
      </c>
      <c r="Y306" s="21">
        <f>inputs!$E$82*(F306/inputs!$F$82)^(inputs!$E$84-1)</f>
        <v>1.9514527742626133</v>
      </c>
      <c r="Z306" s="63">
        <f t="shared" si="33"/>
        <v>1366.5925101818923</v>
      </c>
      <c r="AA306" s="63">
        <f t="shared" si="34"/>
        <v>29.593915698551161</v>
      </c>
    </row>
    <row r="307" spans="1:27" x14ac:dyDescent="0.25">
      <c r="A307" s="103" t="s">
        <v>285</v>
      </c>
      <c r="B307" s="20" t="s">
        <v>286</v>
      </c>
      <c r="C307" s="20" t="s">
        <v>73</v>
      </c>
      <c r="D307" s="104" t="s">
        <v>141</v>
      </c>
      <c r="E307" s="15">
        <v>105</v>
      </c>
      <c r="F307" s="15">
        <v>50</v>
      </c>
      <c r="G307" s="20" t="s">
        <v>152</v>
      </c>
      <c r="H307" s="20">
        <v>0.77</v>
      </c>
      <c r="I307" s="48">
        <f>MAX('Min rate concentrations'!$G$3:$G$368)</f>
        <v>7.5</v>
      </c>
      <c r="J307" s="48">
        <f>MAX('Min rate concentrations'!Z:Z)</f>
        <v>3.5</v>
      </c>
      <c r="K307" s="59">
        <f t="shared" si="36"/>
        <v>7.2172375298066251</v>
      </c>
      <c r="L307" s="59">
        <f t="shared" si="37"/>
        <v>3.3680441805764252</v>
      </c>
      <c r="M307" s="59">
        <f>IF((((1.18*F307^0.874)-(0.398*F307^0.85)/(1-H307)*H307)*(MAX('Min rate concentrations'!$P$3:$P$368)))/F307&gt;0, (((1.18*F307^0.874)-(0.398*F307^0.85)/(1-H307)*H307)*(MAX('Min rate concentrations'!$P$3:$P$368)))/F307, 0)</f>
        <v>0</v>
      </c>
      <c r="N307" s="59">
        <f>IF((((1.18*F307^0.874)-(0.398*F307^0.85)/(1-H307)*H307)*(MAX('Min rate concentrations'!$Q$3:$Q$368)))/F307&gt;0, (((1.18*F307^0.874)-(0.398*F307^0.85)/(1-H307)*H307)*(MAX('Min rate concentrations'!$Q$3:$Q$368)))/F307, 0)</f>
        <v>0</v>
      </c>
      <c r="O307" s="59">
        <f>((MAX('Min rate concentrations'!$F$3:$F$368))*0.62*6.01*8*(10*F307^0.667)*0.079*0.1/F307)*inputs!$E$80/(10^(0.84+0.62*LOG10(inputs!$E$80)))</f>
        <v>6.6503601317129331</v>
      </c>
      <c r="P307" s="59">
        <f>((MAX('Min rate concentrations'!Y:Y))*0.62*6.01*8*(10*F307^0.667)*0.079*0.1/F307)*inputs!$E$80/(10^(0.84+0.62*LOG10(inputs!$E$80)))</f>
        <v>2.2167867105709775</v>
      </c>
      <c r="Q307" s="59">
        <f>(inputs!$C$7*11.2*(10*F307^0.667)*0.5/F307)*inputs!$E$80/(10^(0.84+0.62*LOG10(inputs!$E$80)))</f>
        <v>1.171429570258365</v>
      </c>
      <c r="R307" s="59">
        <f>(60*284*((F307/1000)^0.77)*3*24*(MAX('Min rate concentrations'!$R$3:$R$368))/F307)*(inputs!$E$73*3.4/inputs!$E$75)</f>
        <v>9.3362485288330452E-3</v>
      </c>
      <c r="S307" s="59">
        <f>(IF(inputs!$C$6="aerial",((0.025*0.112*inputs!$C$7/3.3)*(3*60*284*((F307/1000)^0.77))*MAX(inputs!$H$14:$H$16))/F307,((0.0083*0.112*inputs!$C$7/1)*(3*60*284*((F307/1000)^0.77))*MAX(inputs!$H$14:$H$16))/F307))*(inputs!E$75*3.4/inputs!$E$73)</f>
        <v>5.1489984239838318E-2</v>
      </c>
      <c r="T307" s="63">
        <f>IF((((inputs!$P$12/(V307/MAX(K307:S307)))^(1/inputs!$O$12))-1)/inputs!$N$12&lt;0, 0, IF((((inputs!$P$12/(V307/MAX(K307:S307)))^(1/inputs!$O$12))-1)/inputs!$N$12&gt;inputs!$H$17, inputs!$H$17, (((inputs!$P$12/(V307/MAX(K307:S307)))^(1/inputs!$O$12))-1)/inputs!$N$12))</f>
        <v>184.12545736893506</v>
      </c>
      <c r="U307" s="63">
        <f>IF((((inputs!$P$12/(X307/MAX(K307:S307)))^(1/inputs!$O$12))-1)/inputs!$N$12&lt;0, 0, IF((((inputs!$P$12/(X307/MAX(K307:S307)))^(1/inputs!$O$12))-1)/inputs!$N$12&gt;inputs!$H$17, inputs!$H$17, (((inputs!$P$12/(X307/MAX(K307:S307)))^(1/inputs!$O$12))-1)/inputs!$N$12))</f>
        <v>0</v>
      </c>
      <c r="V307" s="21">
        <f>inputs!$E$78*(F307/inputs!$F$78)^(inputs!$E$84-1)</f>
        <v>2.4554703782112351E-2</v>
      </c>
      <c r="W307" s="21">
        <f>inputs!$E$85*(F307/inputs!$F$85)^(inputs!$E$84-1)</f>
        <v>1.1338909869237934</v>
      </c>
      <c r="X307" s="21">
        <f>inputs!$E$80*(F307/inputs!$F$80)^(inputs!$E$84-1)</f>
        <v>4.2341498878799877</v>
      </c>
      <c r="Y307" s="21">
        <f>inputs!$E$82*(F307/inputs!$F$82)^(inputs!$E$84-1)</f>
        <v>1.9514527742626133</v>
      </c>
      <c r="Z307" s="63">
        <f t="shared" si="33"/>
        <v>293.9248460844496</v>
      </c>
      <c r="AA307" s="63">
        <f t="shared" si="34"/>
        <v>6.3650188713350104</v>
      </c>
    </row>
    <row r="308" spans="1:27" x14ac:dyDescent="0.25">
      <c r="A308" s="103" t="s">
        <v>285</v>
      </c>
      <c r="B308" s="20" t="s">
        <v>286</v>
      </c>
      <c r="C308" s="20" t="s">
        <v>73</v>
      </c>
      <c r="D308" s="104" t="s">
        <v>141</v>
      </c>
      <c r="E308" s="15">
        <v>105</v>
      </c>
      <c r="F308" s="15">
        <v>50</v>
      </c>
      <c r="G308" s="20" t="s">
        <v>146</v>
      </c>
      <c r="H308" s="20">
        <v>0.84</v>
      </c>
      <c r="I308" s="48">
        <f>MAX('Min rate concentrations'!$I$3:$I$368)</f>
        <v>9.4775690500787988</v>
      </c>
      <c r="J308" s="48" t="s">
        <v>13</v>
      </c>
      <c r="K308" s="59">
        <f t="shared" si="36"/>
        <v>13.110357849249462</v>
      </c>
      <c r="L308" s="48" t="s">
        <v>13</v>
      </c>
      <c r="M308" s="59">
        <f>IF((((1.18*F308^0.874)-(0.398*F308^0.85)/(1-H308)*H308)*(MAX('Min rate concentrations'!$P$3:$P$368)))/F308&gt;0, (((1.18*F308^0.874)-(0.398*F308^0.85)/(1-H308)*H308)*(MAX('Min rate concentrations'!$P$3:$P$368)))/F308, 0)</f>
        <v>0</v>
      </c>
      <c r="N308" s="59">
        <f>IF((((1.18*F308^0.874)-(0.398*F308^0.85)/(1-H308)*H308)*(MAX('Min rate concentrations'!$Q$3:$Q$368)))/F308&gt;0, (((1.18*F308^0.874)-(0.398*F308^0.85)/(1-H308)*H308)*(MAX('Min rate concentrations'!$Q$3:$Q$368)))/F308, 0)</f>
        <v>0</v>
      </c>
      <c r="O308" s="59">
        <f>((MAX('Min rate concentrations'!$F$3:$F$368))*0.62*6.01*8*(10*F308^0.667)*0.079*0.1/F308)*inputs!$E$80/(10^(0.84+0.62*LOG10(inputs!$E$80)))</f>
        <v>6.6503601317129331</v>
      </c>
      <c r="P308" s="59">
        <f>((MAX('Min rate concentrations'!Y:Y))*0.62*6.01*8*(10*F308^0.667)*0.079*0.1/F308)*inputs!$E$80/(10^(0.84+0.62*LOG10(inputs!$E$80)))</f>
        <v>2.2167867105709775</v>
      </c>
      <c r="Q308" s="59">
        <f>(inputs!$C$7*11.2*(10*F308^0.667)*0.5/F308)*inputs!$E$80/(10^(0.84+0.62*LOG10(inputs!$E$80)))</f>
        <v>1.171429570258365</v>
      </c>
      <c r="R308" s="59">
        <f>(60*284*((F308/1000)^0.77)*3*24*(MAX('Min rate concentrations'!$R$3:$R$368))/F308)*(inputs!$E$73*3.4/inputs!$E$75)</f>
        <v>9.3362485288330452E-3</v>
      </c>
      <c r="S308" s="59">
        <f>(IF(inputs!$C$6="aerial",((0.025*0.112*inputs!$C$7/3.3)*(3*60*284*((F308/1000)^0.77))*MAX(inputs!$H$14:$H$16))/F308,((0.0083*0.112*inputs!$C$7/1)*(3*60*284*((F308/1000)^0.77))*MAX(inputs!$H$14:$H$16))/F308))*(inputs!E$75*3.4/inputs!$E$73)</f>
        <v>5.1489984239838318E-2</v>
      </c>
      <c r="T308" s="63">
        <f>IF((((inputs!$P$12/(V308/MAX(K308:S308)))^(1/inputs!$O$12))-1)/inputs!$N$12&lt;0, 0, IF((((inputs!$P$12/(V308/MAX(K308:S308)))^(1/inputs!$O$12))-1)/inputs!$N$12&gt;inputs!$H$17, inputs!$H$17, (((inputs!$P$12/(V308/MAX(K308:S308)))^(1/inputs!$O$12))-1)/inputs!$N$12))</f>
        <v>242.55313495958328</v>
      </c>
      <c r="U308" s="63">
        <f>IF((((inputs!$P$12/(X308/MAX(K308:S308)))^(1/inputs!$O$12))-1)/inputs!$N$12&lt;0, 0, IF((((inputs!$P$12/(X308/MAX(K308:S308)))^(1/inputs!$O$12))-1)/inputs!$N$12&gt;inputs!$H$17, inputs!$H$17, (((inputs!$P$12/(X308/MAX(K308:S308)))^(1/inputs!$O$12))-1)/inputs!$N$12))</f>
        <v>4.8772605766129971</v>
      </c>
      <c r="V308" s="21">
        <f>inputs!$E$78*(F308/inputs!$F$78)^(inputs!$E$84-1)</f>
        <v>2.4554703782112351E-2</v>
      </c>
      <c r="W308" s="21">
        <f>inputs!$E$85*(F308/inputs!$F$85)^(inputs!$E$84-1)</f>
        <v>1.1338909869237934</v>
      </c>
      <c r="X308" s="21">
        <f>inputs!$E$80*(F308/inputs!$F$80)^(inputs!$E$84-1)</f>
        <v>4.2341498878799877</v>
      </c>
      <c r="Y308" s="21">
        <f>inputs!$E$82*(F308/inputs!$F$82)^(inputs!$E$84-1)</f>
        <v>1.9514527742626133</v>
      </c>
      <c r="Z308" s="63">
        <f t="shared" si="33"/>
        <v>533.92449632400439</v>
      </c>
      <c r="AA308" s="63">
        <f t="shared" si="34"/>
        <v>11.562273622808666</v>
      </c>
    </row>
    <row r="309" spans="1:27" x14ac:dyDescent="0.25">
      <c r="A309" s="103" t="s">
        <v>359</v>
      </c>
      <c r="B309" s="20" t="s">
        <v>360</v>
      </c>
      <c r="C309" s="20" t="s">
        <v>73</v>
      </c>
      <c r="D309" s="104" t="s">
        <v>141</v>
      </c>
      <c r="E309" s="15">
        <v>71</v>
      </c>
      <c r="F309" s="15">
        <v>19</v>
      </c>
      <c r="G309" s="20" t="s">
        <v>142</v>
      </c>
      <c r="H309" s="20">
        <v>0.69</v>
      </c>
      <c r="I309" s="48">
        <f>MAX('Min rate concentrations'!$H$3:$H$368)</f>
        <v>47</v>
      </c>
      <c r="J309" s="48">
        <f>MAX('Min rate concentrations'!AA:AA)</f>
        <v>32.5</v>
      </c>
      <c r="K309" s="59">
        <f t="shared" si="36"/>
        <v>38.797719248267576</v>
      </c>
      <c r="L309" s="59">
        <f>((0.398*F309^0.85)/(1-H309))*J309/F309</f>
        <v>26.828210118482897</v>
      </c>
      <c r="M309" s="59">
        <f>IF((((1.18*F309^0.874)-(0.398*F309^0.85)/(1-H309)*H309)*(MAX('Min rate concentrations'!$P$3:$P$368)))/F309&gt;0, (((1.18*F309^0.874)-(0.398*F309^0.85)/(1-H309)*H309)*(MAX('Min rate concentrations'!$P$3:$P$368)))/F309, 0)</f>
        <v>3.5513205272359995E-2</v>
      </c>
      <c r="N309" s="59">
        <f>IF((((1.18*F309^0.874)-(0.398*F309^0.85)/(1-H309)*H309)*(MAX('Min rate concentrations'!$Q$3:$Q$368)))/F309&gt;0, (((1.18*F309^0.874)-(0.398*F309^0.85)/(1-H309)*H309)*(MAX('Min rate concentrations'!$Q$3:$Q$368)))/F309, 0)</f>
        <v>0.1352361938615104</v>
      </c>
      <c r="O309" s="59">
        <f>((MAX('Min rate concentrations'!$F$3:$F$368))*0.62*6.01*8*(10*F309^0.667)*0.079*0.1/F309)*inputs!$E$80/(10^(0.84+0.62*LOG10(inputs!$E$80)))</f>
        <v>9.178616535590816</v>
      </c>
      <c r="P309" s="59">
        <f>((MAX('Min rate concentrations'!Y:Y))*0.62*6.01*8*(10*F309^0.667)*0.079*0.1/F309)*inputs!$E$80/(10^(0.84+0.62*LOG10(inputs!$E$80)))</f>
        <v>3.0595388451969381</v>
      </c>
      <c r="Q309" s="59">
        <f>(inputs!$C$7*11.2*(10*F309^0.667)*0.5/F309)*inputs!$E$80/(10^(0.84+0.62*LOG10(inputs!$E$80)))</f>
        <v>1.6167700110827015</v>
      </c>
      <c r="R309" s="59">
        <f>(60*284*((F309/1000)^0.77)*3*24*(MAX('Min rate concentrations'!$R$3:$R$368))/F309)*(inputs!$E$73*3.4/inputs!$E$75)</f>
        <v>1.1663319610753771E-2</v>
      </c>
      <c r="S309" s="59">
        <f>(IF(inputs!$C$6="aerial",((0.025*0.112*inputs!$C$7/3.3)*(3*60*284*((F309/1000)^0.77))*MAX(inputs!$H$14:$H$16))/F309,((0.0083*0.112*inputs!$C$7/1)*(3*60*284*((F309/1000)^0.77))*MAX(inputs!$H$14:$H$16))/F309))*(inputs!E$75*3.4/inputs!$E$73)</f>
        <v>6.4323924227943863E-2</v>
      </c>
      <c r="T309" s="63">
        <f>IF((((inputs!$P$12/(V309/MAX(K309:S309)))^(1/inputs!$O$12))-1)/inputs!$N$12&lt;0, 0, IF((((inputs!$P$12/(V309/MAX(K309:S309)))^(1/inputs!$O$12))-1)/inputs!$N$12&gt;inputs!$H$17, inputs!$H$17, (((inputs!$P$12/(V309/MAX(K309:S309)))^(1/inputs!$O$12))-1)/inputs!$N$12))</f>
        <v>335.80192445901332</v>
      </c>
      <c r="U309" s="63">
        <f>IF((((inputs!$P$12/(X309/MAX(K309:S309)))^(1/inputs!$O$12))-1)/inputs!$N$12&lt;0, 0, IF((((inputs!$P$12/(X309/MAX(K309:S309)))^(1/inputs!$O$12))-1)/inputs!$N$12&gt;inputs!$H$17, inputs!$H$17, (((inputs!$P$12/(X309/MAX(K309:S309)))^(1/inputs!$O$12))-1)/inputs!$N$12))</f>
        <v>16.356831855009482</v>
      </c>
      <c r="V309" s="21">
        <f>inputs!$E$78*(F309/inputs!$F$78)^(inputs!$E$84-1)</f>
        <v>3.5124873481261372E-2</v>
      </c>
      <c r="W309" s="21">
        <f>inputs!$E$85*(F309/inputs!$F$85)^(inputs!$E$84-1)</f>
        <v>1.6220019516690172</v>
      </c>
      <c r="X309" s="21">
        <f>inputs!$E$80*(F309/inputs!$F$80)^(inputs!$E$84-1)</f>
        <v>6.0568427309159505</v>
      </c>
      <c r="Y309" s="21">
        <f>inputs!$E$82*(F309/inputs!$F$82)^(inputs!$E$84-1)</f>
        <v>2.7915031029844566</v>
      </c>
      <c r="Z309" s="63">
        <f t="shared" si="33"/>
        <v>1104.5653806828832</v>
      </c>
      <c r="AA309" s="63">
        <f t="shared" si="34"/>
        <v>23.91965016339547</v>
      </c>
    </row>
    <row r="310" spans="1:27" x14ac:dyDescent="0.25">
      <c r="A310" s="103" t="s">
        <v>359</v>
      </c>
      <c r="B310" s="20" t="s">
        <v>360</v>
      </c>
      <c r="C310" s="20" t="s">
        <v>73</v>
      </c>
      <c r="D310" s="104" t="s">
        <v>141</v>
      </c>
      <c r="E310" s="15">
        <v>71</v>
      </c>
      <c r="F310" s="15">
        <v>19</v>
      </c>
      <c r="G310" s="20" t="s">
        <v>218</v>
      </c>
      <c r="H310" s="20">
        <v>0.68</v>
      </c>
      <c r="I310" s="48">
        <f>MAX('Min rate concentrations'!$K$3:$K$368)</f>
        <v>18.333393099490852</v>
      </c>
      <c r="J310" s="48">
        <f>MAX('Min rate concentrations'!AC:AC)</f>
        <v>6.4930767227363431</v>
      </c>
      <c r="K310" s="59">
        <f t="shared" si="36"/>
        <v>14.660976721148502</v>
      </c>
      <c r="L310" s="59">
        <f>((0.398*F310^0.85)/(1-H310))*J310/F310</f>
        <v>5.1924292554067604</v>
      </c>
      <c r="M310" s="59">
        <f>IF((((1.18*F310^0.874)-(0.398*F310^0.85)/(1-H310)*H310)*(MAX('Min rate concentrations'!$P$3:$P$368)))/F310&gt;0, (((1.18*F310^0.874)-(0.398*F310^0.85)/(1-H310)*H310)*(MAX('Min rate concentrations'!$P$3:$P$368)))/F310, 0)</f>
        <v>3.9257495534247913E-2</v>
      </c>
      <c r="N310" s="59">
        <f>IF((((1.18*F310^0.874)-(0.398*F310^0.85)/(1-H310)*H310)*(MAX('Min rate concentrations'!$Q$3:$Q$368)))/F310&gt;0, (((1.18*F310^0.874)-(0.398*F310^0.85)/(1-H310)*H310)*(MAX('Min rate concentrations'!$Q$3:$Q$368)))/F310, 0)</f>
        <v>0.149494652365805</v>
      </c>
      <c r="O310" s="59">
        <f>((MAX('Min rate concentrations'!$F$3:$F$368))*0.62*6.01*8*(10*F310^0.667)*0.079*0.1/F310)*inputs!$E$80/(10^(0.84+0.62*LOG10(inputs!$E$80)))</f>
        <v>9.178616535590816</v>
      </c>
      <c r="P310" s="59">
        <f>((MAX('Min rate concentrations'!Y:Y))*0.62*6.01*8*(10*F310^0.667)*0.079*0.1/F310)*inputs!$E$80/(10^(0.84+0.62*LOG10(inputs!$E$80)))</f>
        <v>3.0595388451969381</v>
      </c>
      <c r="Q310" s="59">
        <f>(inputs!$C$7*11.2*(10*F310^0.667)*0.5/F310)*inputs!$E$80/(10^(0.84+0.62*LOG10(inputs!$E$80)))</f>
        <v>1.6167700110827015</v>
      </c>
      <c r="R310" s="59">
        <f>(60*284*((F310/1000)^0.77)*3*24*(MAX('Min rate concentrations'!$R$3:$R$368))/F310)*(inputs!$E$73*3.4/inputs!$E$75)</f>
        <v>1.1663319610753771E-2</v>
      </c>
      <c r="S310" s="59">
        <f>(IF(inputs!$C$6="aerial",((0.025*0.112*inputs!$C$7/3.3)*(3*60*284*((F310/1000)^0.77))*MAX(inputs!$H$14:$H$16))/F310,((0.0083*0.112*inputs!$C$7/1)*(3*60*284*((F310/1000)^0.77))*MAX(inputs!$H$14:$H$16))/F310))*(inputs!E$75*3.4/inputs!$E$73)</f>
        <v>6.4323924227943863E-2</v>
      </c>
      <c r="T310" s="63">
        <f>IF((((inputs!$P$12/(V310/MAX(K310:S310)))^(1/inputs!$O$12))-1)/inputs!$N$12&lt;0, 0, IF((((inputs!$P$12/(V310/MAX(K310:S310)))^(1/inputs!$O$12))-1)/inputs!$N$12&gt;inputs!$H$17, inputs!$H$17, (((inputs!$P$12/(V310/MAX(K310:S310)))^(1/inputs!$O$12))-1)/inputs!$N$12))</f>
        <v>216.72412309626833</v>
      </c>
      <c r="U310" s="63">
        <f>IF((((inputs!$P$12/(X310/MAX(K310:S310)))^(1/inputs!$O$12))-1)/inputs!$N$12&lt;0, 0, IF((((inputs!$P$12/(X310/MAX(K310:S310)))^(1/inputs!$O$12))-1)/inputs!$N$12&gt;inputs!$H$17, inputs!$H$17, (((inputs!$P$12/(X310/MAX(K310:S310)))^(1/inputs!$O$12))-1)/inputs!$N$12))</f>
        <v>1.6975304768749793</v>
      </c>
      <c r="V310" s="21">
        <f>inputs!$E$78*(F310/inputs!$F$78)^(inputs!$E$84-1)</f>
        <v>3.5124873481261372E-2</v>
      </c>
      <c r="W310" s="21">
        <f>inputs!$E$85*(F310/inputs!$F$85)^(inputs!$E$84-1)</f>
        <v>1.6220019516690172</v>
      </c>
      <c r="X310" s="21">
        <f>inputs!$E$80*(F310/inputs!$F$80)^(inputs!$E$84-1)</f>
        <v>6.0568427309159505</v>
      </c>
      <c r="Y310" s="21">
        <f>inputs!$E$82*(F310/inputs!$F$82)^(inputs!$E$84-1)</f>
        <v>2.7915031029844566</v>
      </c>
      <c r="Z310" s="63">
        <f t="shared" si="33"/>
        <v>417.39585849241359</v>
      </c>
      <c r="AA310" s="63">
        <f t="shared" si="34"/>
        <v>9.038815709230537</v>
      </c>
    </row>
    <row r="311" spans="1:27" x14ac:dyDescent="0.25">
      <c r="A311" s="103" t="s">
        <v>359</v>
      </c>
      <c r="B311" s="20" t="s">
        <v>360</v>
      </c>
      <c r="C311" s="20" t="s">
        <v>73</v>
      </c>
      <c r="D311" s="104" t="s">
        <v>141</v>
      </c>
      <c r="E311" s="15">
        <v>71</v>
      </c>
      <c r="F311" s="15">
        <v>19</v>
      </c>
      <c r="G311" s="20" t="s">
        <v>169</v>
      </c>
      <c r="H311" s="20">
        <v>0.79</v>
      </c>
      <c r="I311" s="48">
        <f>MAX('Min rate concentrations'!$D$3:$D$368)</f>
        <v>120</v>
      </c>
      <c r="J311" s="48">
        <f>MAX('Min rate concentrations'!W:W)</f>
        <v>42.5</v>
      </c>
      <c r="K311" s="59">
        <f t="shared" si="36"/>
        <v>146.22848592052219</v>
      </c>
      <c r="L311" s="59">
        <f>((0.398*F311^0.85)/(1-H311))*J311/F311</f>
        <v>51.789255430184951</v>
      </c>
      <c r="M311" s="59">
        <f>IF((((1.18*F311^0.874)-(0.398*F311^0.85)/(1-H311)*H311)*(MAX('Min rate concentrations'!$P$3:$P$368)))/F311&gt;0, (((1.18*F311^0.874)-(0.398*F311^0.85)/(1-H311)*H311)*(MAX('Min rate concentrations'!$P$3:$P$368)))/F311, 0)</f>
        <v>0</v>
      </c>
      <c r="N311" s="59">
        <f>IF((((1.18*F311^0.874)-(0.398*F311^0.85)/(1-H311)*H311)*(MAX('Min rate concentrations'!$Q$3:$Q$368)))/F311&gt;0, (((1.18*F311^0.874)-(0.398*F311^0.85)/(1-H311)*H311)*(MAX('Min rate concentrations'!$Q$3:$Q$368)))/F311, 0)</f>
        <v>0</v>
      </c>
      <c r="O311" s="59">
        <f>((MAX('Min rate concentrations'!$F$3:$F$368))*0.62*6.01*8*(10*F311^0.667)*0.079*0.1/F311)*inputs!$E$80/(10^(0.84+0.62*LOG10(inputs!$E$80)))</f>
        <v>9.178616535590816</v>
      </c>
      <c r="P311" s="59">
        <f>((MAX('Min rate concentrations'!Y:Y))*0.62*6.01*8*(10*F311^0.667)*0.079*0.1/F311)*inputs!$E$80/(10^(0.84+0.62*LOG10(inputs!$E$80)))</f>
        <v>3.0595388451969381</v>
      </c>
      <c r="Q311" s="59">
        <f>(inputs!$C$7*11.2*(10*F311^0.667)*0.5/F311)*inputs!$E$80/(10^(0.84+0.62*LOG10(inputs!$E$80)))</f>
        <v>1.6167700110827015</v>
      </c>
      <c r="R311" s="59">
        <f>(60*284*((F311/1000)^0.77)*3*24*(MAX('Min rate concentrations'!$R$3:$R$368))/F311)*(inputs!$E$73*3.4/inputs!$E$75)</f>
        <v>1.1663319610753771E-2</v>
      </c>
      <c r="S311" s="59">
        <f>(IF(inputs!$C$6="aerial",((0.025*0.112*inputs!$C$7/3.3)*(3*60*284*((F311/1000)^0.77))*MAX(inputs!$H$14:$H$16))/F311,((0.0083*0.112*inputs!$C$7/1)*(3*60*284*((F311/1000)^0.77))*MAX(inputs!$H$14:$H$16))/F311))*(inputs!E$75*3.4/inputs!$E$73)</f>
        <v>6.4323924227943863E-2</v>
      </c>
      <c r="T311" s="63">
        <f>IF((((inputs!$P$12/(V311/MAX(K311:S311)))^(1/inputs!$O$12))-1)/inputs!$N$12&lt;0, 0, IF((((inputs!$P$12/(V311/MAX(K311:S311)))^(1/inputs!$O$12))-1)/inputs!$N$12&gt;inputs!$H$17, inputs!$H$17, (((inputs!$P$12/(V311/MAX(K311:S311)))^(1/inputs!$O$12))-1)/inputs!$N$12))</f>
        <v>596.425166822032</v>
      </c>
      <c r="U311" s="63">
        <f>IF((((inputs!$P$12/(X311/MAX(K311:S311)))^(1/inputs!$O$12))-1)/inputs!$N$12&lt;0, 0, IF((((inputs!$P$12/(X311/MAX(K311:S311)))^(1/inputs!$O$12))-1)/inputs!$N$12&gt;inputs!$H$17, inputs!$H$17, (((inputs!$P$12/(X311/MAX(K311:S311)))^(1/inputs!$O$12))-1)/inputs!$N$12))</f>
        <v>48.441356528987797</v>
      </c>
      <c r="V311" s="21">
        <f>inputs!$E$78*(F311/inputs!$F$78)^(inputs!$E$84-1)</f>
        <v>3.5124873481261372E-2</v>
      </c>
      <c r="W311" s="21">
        <f>inputs!$E$85*(F311/inputs!$F$85)^(inputs!$E$84-1)</f>
        <v>1.6220019516690172</v>
      </c>
      <c r="X311" s="21">
        <f>inputs!$E$80*(F311/inputs!$F$80)^(inputs!$E$84-1)</f>
        <v>6.0568427309159505</v>
      </c>
      <c r="Y311" s="21">
        <f>inputs!$E$82*(F311/inputs!$F$82)^(inputs!$E$84-1)</f>
        <v>2.7915031029844566</v>
      </c>
      <c r="Z311" s="63">
        <f t="shared" si="33"/>
        <v>4163.1035624522046</v>
      </c>
      <c r="AA311" s="63">
        <f t="shared" si="34"/>
        <v>90.153088761733699</v>
      </c>
    </row>
    <row r="312" spans="1:27" x14ac:dyDescent="0.25">
      <c r="A312" s="103" t="s">
        <v>359</v>
      </c>
      <c r="B312" s="20" t="s">
        <v>360</v>
      </c>
      <c r="C312" s="20" t="s">
        <v>73</v>
      </c>
      <c r="D312" s="104" t="s">
        <v>141</v>
      </c>
      <c r="E312" s="15">
        <v>71</v>
      </c>
      <c r="F312" s="15">
        <v>19</v>
      </c>
      <c r="G312" s="20" t="s">
        <v>158</v>
      </c>
      <c r="H312" s="20">
        <v>0.85</v>
      </c>
      <c r="I312" s="48">
        <f>MAX('Min rate concentrations'!$F$3:$F$368)</f>
        <v>67.5</v>
      </c>
      <c r="J312" s="48">
        <f>MAX('Min rate concentrations'!Y:Y)</f>
        <v>22.5</v>
      </c>
      <c r="K312" s="59">
        <f t="shared" si="36"/>
        <v>115.15493266241121</v>
      </c>
      <c r="L312" s="59">
        <f>((0.398*F312^0.85)/(1-H312))*J312/F312</f>
        <v>38.384977554137073</v>
      </c>
      <c r="M312" s="59">
        <f>IF((((1.18*F312^0.874)-(0.398*F312^0.85)/(1-H312)*H312)*(MAX('Min rate concentrations'!$P$3:$P$368)))/F312&gt;0, (((1.18*F312^0.874)-(0.398*F312^0.85)/(1-H312)*H312)*(MAX('Min rate concentrations'!$P$3:$P$368)))/F312, 0)</f>
        <v>0</v>
      </c>
      <c r="N312" s="59">
        <f>IF((((1.18*F312^0.874)-(0.398*F312^0.85)/(1-H312)*H312)*(MAX('Min rate concentrations'!$Q$3:$Q$368)))/F312&gt;0, (((1.18*F312^0.874)-(0.398*F312^0.85)/(1-H312)*H312)*(MAX('Min rate concentrations'!$Q$3:$Q$368)))/F312, 0)</f>
        <v>0</v>
      </c>
      <c r="O312" s="59">
        <f>((MAX('Min rate concentrations'!$F$3:$F$368))*0.62*6.01*8*(10*F312^0.667)*0.079*0.1/F312)*inputs!$E$80/(10^(0.84+0.62*LOG10(inputs!$E$80)))</f>
        <v>9.178616535590816</v>
      </c>
      <c r="P312" s="59">
        <f>((MAX('Min rate concentrations'!Y:Y))*0.62*6.01*8*(10*F312^0.667)*0.079*0.1/F312)*inputs!$E$80/(10^(0.84+0.62*LOG10(inputs!$E$80)))</f>
        <v>3.0595388451969381</v>
      </c>
      <c r="Q312" s="59">
        <f>(inputs!$C$7*11.2*(10*F312^0.667)*0.5/F312)*inputs!$E$80/(10^(0.84+0.62*LOG10(inputs!$E$80)))</f>
        <v>1.6167700110827015</v>
      </c>
      <c r="R312" s="59">
        <f>(60*284*((F312/1000)^0.77)*3*24*(MAX('Min rate concentrations'!$R$3:$R$368))/F312)*(inputs!$E$73*3.4/inputs!$E$75)</f>
        <v>1.1663319610753771E-2</v>
      </c>
      <c r="S312" s="59">
        <f>(IF(inputs!$C$6="aerial",((0.025*0.112*inputs!$C$7/3.3)*(3*60*284*((F312/1000)^0.77))*MAX(inputs!$H$14:$H$16))/F312,((0.0083*0.112*inputs!$C$7/1)*(3*60*284*((F312/1000)^0.77))*MAX(inputs!$H$14:$H$16))/F312))*(inputs!E$75*3.4/inputs!$E$73)</f>
        <v>6.4323924227943863E-2</v>
      </c>
      <c r="T312" s="63">
        <f>IF((((inputs!$P$12/(V312/MAX(K312:S312)))^(1/inputs!$O$12))-1)/inputs!$N$12&lt;0, 0, IF((((inputs!$P$12/(V312/MAX(K312:S312)))^(1/inputs!$O$12))-1)/inputs!$N$12&gt;inputs!$H$17, inputs!$H$17, (((inputs!$P$12/(V312/MAX(K312:S312)))^(1/inputs!$O$12))-1)/inputs!$N$12))</f>
        <v>538.56146870504597</v>
      </c>
      <c r="U312" s="63">
        <f>IF((((inputs!$P$12/(X312/MAX(K312:S312)))^(1/inputs!$O$12))-1)/inputs!$N$12&lt;0, 0, IF((((inputs!$P$12/(X312/MAX(K312:S312)))^(1/inputs!$O$12))-1)/inputs!$N$12&gt;inputs!$H$17, inputs!$H$17, (((inputs!$P$12/(X312/MAX(K312:S312)))^(1/inputs!$O$12))-1)/inputs!$N$12))</f>
        <v>41.317934868167015</v>
      </c>
      <c r="V312" s="21">
        <f>inputs!$E$78*(F312/inputs!$F$78)^(inputs!$E$84-1)</f>
        <v>3.5124873481261372E-2</v>
      </c>
      <c r="W312" s="21">
        <f>inputs!$E$85*(F312/inputs!$F$85)^(inputs!$E$84-1)</f>
        <v>1.6220019516690172</v>
      </c>
      <c r="X312" s="21">
        <f>inputs!$E$80*(F312/inputs!$F$80)^(inputs!$E$84-1)</f>
        <v>6.0568427309159505</v>
      </c>
      <c r="Y312" s="21">
        <f>inputs!$E$82*(F312/inputs!$F$82)^(inputs!$E$84-1)</f>
        <v>2.7915031029844566</v>
      </c>
      <c r="Z312" s="63">
        <f t="shared" si="33"/>
        <v>3278.4440554311109</v>
      </c>
      <c r="AA312" s="63">
        <f t="shared" si="34"/>
        <v>70.995557399865277</v>
      </c>
    </row>
    <row r="313" spans="1:27" x14ac:dyDescent="0.25">
      <c r="A313" s="103" t="s">
        <v>359</v>
      </c>
      <c r="B313" s="20" t="s">
        <v>360</v>
      </c>
      <c r="C313" s="20" t="s">
        <v>73</v>
      </c>
      <c r="D313" s="104" t="s">
        <v>141</v>
      </c>
      <c r="E313" s="15">
        <v>71</v>
      </c>
      <c r="F313" s="15">
        <v>19</v>
      </c>
      <c r="G313" s="20" t="s">
        <v>154</v>
      </c>
      <c r="H313" s="20">
        <v>9.2999999999999999E-2</v>
      </c>
      <c r="I313" s="48">
        <f>MAX('Min rate concentrations'!$G$3:$G$368)</f>
        <v>7.5</v>
      </c>
      <c r="J313" s="48">
        <f>MAX('Min rate concentrations'!Z:Z)</f>
        <v>3.5</v>
      </c>
      <c r="K313" s="59">
        <f t="shared" si="36"/>
        <v>2.1160406589932235</v>
      </c>
      <c r="L313" s="59"/>
      <c r="M313" s="59">
        <f>IF((((1.18*F313^0.874)-(0.398*F313^0.85)/(1-H313)*H313)*(MAX('Min rate concentrations'!$P$3:$P$368)))/F313&gt;0, (((1.18*F313^0.874)-(0.398*F313^0.85)/(1-H313)*H313)*(MAX('Min rate concentrations'!$P$3:$P$368)))/F313, 0)</f>
        <v>0.11437860898030691</v>
      </c>
      <c r="N313" s="59">
        <f>IF((((1.18*F313^0.874)-(0.398*F313^0.85)/(1-H313)*H313)*(MAX('Min rate concentrations'!$Q$3:$Q$368)))/F313&gt;0, (((1.18*F313^0.874)-(0.398*F313^0.85)/(1-H313)*H313)*(MAX('Min rate concentrations'!$Q$3:$Q$368)))/F313, 0)</f>
        <v>0.43555988875241181</v>
      </c>
      <c r="O313" s="59">
        <f>((MAX('Min rate concentrations'!$F$3:$F$368))*0.62*6.01*8*(10*F313^0.667)*0.079*0.1/F313)*inputs!$E$80/(10^(0.84+0.62*LOG10(inputs!$E$80)))</f>
        <v>9.178616535590816</v>
      </c>
      <c r="P313" s="59">
        <f>((MAX('Min rate concentrations'!Y:Y))*0.62*6.01*8*(10*F313^0.667)*0.079*0.1/F313)*inputs!$E$80/(10^(0.84+0.62*LOG10(inputs!$E$80)))</f>
        <v>3.0595388451969381</v>
      </c>
      <c r="Q313" s="59">
        <f>(inputs!$C$7*11.2*(10*F313^0.667)*0.5/F313)*inputs!$E$80/(10^(0.84+0.62*LOG10(inputs!$E$80)))</f>
        <v>1.6167700110827015</v>
      </c>
      <c r="R313" s="59">
        <f>(60*284*((F313/1000)^0.77)*3*24*(MAX('Min rate concentrations'!$R$3:$R$368))/F313)*(inputs!$E$73*3.4/inputs!$E$75)</f>
        <v>1.1663319610753771E-2</v>
      </c>
      <c r="S313" s="59">
        <f>(IF(inputs!$C$6="aerial",((0.025*0.112*inputs!$C$7/3.3)*(3*60*284*((F313/1000)^0.77))*MAX(inputs!$H$14:$H$16))/F313,((0.0083*0.112*inputs!$C$7/1)*(3*60*284*((F313/1000)^0.77))*MAX(inputs!$H$14:$H$16))/F313))*(inputs!E$75*3.4/inputs!$E$73)</f>
        <v>6.4323924227943863E-2</v>
      </c>
      <c r="T313" s="63">
        <f>IF((((inputs!$P$12/(V313/MAX(K313:S313)))^(1/inputs!$O$12))-1)/inputs!$N$12&lt;0, 0, IF((((inputs!$P$12/(V313/MAX(K313:S313)))^(1/inputs!$O$12))-1)/inputs!$N$12&gt;inputs!$H$17, inputs!$H$17, (((inputs!$P$12/(V313/MAX(K313:S313)))^(1/inputs!$O$12))-1)/inputs!$N$12))</f>
        <v>174.19484889502183</v>
      </c>
      <c r="U313" s="63">
        <f>IF((((inputs!$P$12/(X313/MAX(K313:S313)))^(1/inputs!$O$12))-1)/inputs!$N$12&lt;0, 0, IF((((inputs!$P$12/(X313/MAX(K313:S313)))^(1/inputs!$O$12))-1)/inputs!$N$12&gt;inputs!$H$17, inputs!$H$17, (((inputs!$P$12/(X313/MAX(K313:S313)))^(1/inputs!$O$12))-1)/inputs!$N$12))</f>
        <v>0</v>
      </c>
      <c r="V313" s="21">
        <f>inputs!$E$78*(F313/inputs!$F$78)^(inputs!$E$84-1)</f>
        <v>3.5124873481261372E-2</v>
      </c>
      <c r="W313" s="21">
        <f>inputs!$E$85*(F313/inputs!$F$85)^(inputs!$E$84-1)</f>
        <v>1.6220019516690172</v>
      </c>
      <c r="X313" s="21">
        <f>inputs!$E$80*(F313/inputs!$F$80)^(inputs!$E$84-1)</f>
        <v>6.0568427309159505</v>
      </c>
      <c r="Y313" s="21">
        <f>inputs!$E$82*(F313/inputs!$F$82)^(inputs!$E$84-1)</f>
        <v>2.7915031029844566</v>
      </c>
      <c r="Z313" s="63">
        <f t="shared" si="33"/>
        <v>261.3138675214725</v>
      </c>
      <c r="AA313" s="63">
        <f t="shared" si="34"/>
        <v>5.6588196618050608</v>
      </c>
    </row>
    <row r="314" spans="1:27" x14ac:dyDescent="0.25">
      <c r="A314" s="103" t="s">
        <v>372</v>
      </c>
      <c r="B314" s="20" t="s">
        <v>373</v>
      </c>
      <c r="C314" s="20" t="s">
        <v>73</v>
      </c>
      <c r="D314" s="104" t="s">
        <v>141</v>
      </c>
      <c r="E314" s="15">
        <v>123</v>
      </c>
      <c r="F314" s="15">
        <v>7.4</v>
      </c>
      <c r="G314" s="20" t="s">
        <v>142</v>
      </c>
      <c r="H314" s="20">
        <v>0.69</v>
      </c>
      <c r="I314" s="48">
        <f>MAX('Min rate concentrations'!$H$3:$H$368)</f>
        <v>47</v>
      </c>
      <c r="J314" s="48">
        <f>MAX('Min rate concentrations'!AA:AA)</f>
        <v>32.5</v>
      </c>
      <c r="K314" s="59">
        <f t="shared" si="36"/>
        <v>44.692482443747174</v>
      </c>
      <c r="L314" s="59">
        <f t="shared" ref="L314:L320" si="38">((0.398*F314^0.85)/(1-H314))*J314/F314</f>
        <v>30.904376157910285</v>
      </c>
      <c r="M314" s="59">
        <f>IF((((1.18*F314^0.874)-(0.398*F314^0.85)/(1-H314)*H314)*(MAX('Min rate concentrations'!$P$3:$P$368)))/F314&gt;0, (((1.18*F314^0.874)-(0.398*F314^0.85)/(1-H314)*H314)*(MAX('Min rate concentrations'!$P$3:$P$368)))/F314, 0)</f>
        <v>3.7862458761111453E-2</v>
      </c>
      <c r="N314" s="59">
        <f>IF((((1.18*F314^0.874)-(0.398*F314^0.85)/(1-H314)*H314)*(MAX('Min rate concentrations'!$Q$3:$Q$368)))/F314&gt;0, (((1.18*F314^0.874)-(0.398*F314^0.85)/(1-H314)*H314)*(MAX('Min rate concentrations'!$Q$3:$Q$368)))/F314, 0)</f>
        <v>0.14418227737602476</v>
      </c>
      <c r="O314" s="59">
        <f>((MAX('Min rate concentrations'!$F$3:$F$368))*0.62*6.01*8*(10*F314^0.667)*0.079*0.1/F314)*inputs!$E$80/(10^(0.84+0.62*LOG10(inputs!$E$80)))</f>
        <v>12.564581065863228</v>
      </c>
      <c r="P314" s="59">
        <f>((MAX('Min rate concentrations'!Y:Y))*0.62*6.01*8*(10*F314^0.667)*0.079*0.1/F314)*inputs!$E$80/(10^(0.84+0.62*LOG10(inputs!$E$80)))</f>
        <v>4.1881936886210749</v>
      </c>
      <c r="Q314" s="59">
        <f>(inputs!$C$7*11.2*(10*F314^0.667)*0.5/F314)*inputs!$E$80/(10^(0.84+0.62*LOG10(inputs!$E$80)))</f>
        <v>2.2131916929240805</v>
      </c>
      <c r="R314" s="59">
        <f>(60*284*((F314/1000)^0.77)*3*24*(MAX('Min rate concentrations'!$R$3:$R$368))/F314)*(inputs!$E$73*3.4/inputs!$E$75)</f>
        <v>1.4488125839437095E-2</v>
      </c>
      <c r="S314" s="59">
        <f>(IF(inputs!$C$6="aerial",((0.025*0.112*inputs!$C$7/3.3)*(3*60*284*((F314/1000)^0.77))*MAX(inputs!$H$14:$H$16))/F314,((0.0083*0.112*inputs!$C$7/1)*(3*60*284*((F314/1000)^0.77))*MAX(inputs!$H$14:$H$16))/F314))*(inputs!E$75*3.4/inputs!$E$73)</f>
        <v>7.9902904130450952E-2</v>
      </c>
      <c r="T314" s="63">
        <f>IF((((inputs!$P$12/(V314/MAX(K314:S314)))^(1/inputs!$O$12))-1)/inputs!$N$12&lt;0, 0, IF((((inputs!$P$12/(V314/MAX(K314:S314)))^(1/inputs!$O$12))-1)/inputs!$N$12&gt;inputs!$H$17, inputs!$H$17, (((inputs!$P$12/(V314/MAX(K314:S314)))^(1/inputs!$O$12))-1)/inputs!$N$12))</f>
        <v>306.32490106780875</v>
      </c>
      <c r="U314" s="63">
        <f>IF((((inputs!$P$12/(X314/MAX(K314:S314)))^(1/inputs!$O$12))-1)/inputs!$N$12&lt;0, 0, IF((((inputs!$P$12/(X314/MAX(K314:S314)))^(1/inputs!$O$12))-1)/inputs!$N$12&gt;inputs!$H$17, inputs!$H$17, (((inputs!$P$12/(X314/MAX(K314:S314)))^(1/inputs!$O$12))-1)/inputs!$N$12))</f>
        <v>12.728006291581003</v>
      </c>
      <c r="V314" s="21">
        <f>inputs!$E$78*(F314/inputs!$F$78)^(inputs!$E$84-1)</f>
        <v>4.9789511425584437E-2</v>
      </c>
      <c r="W314" s="21">
        <f>inputs!$E$85*(F314/inputs!$F$85)^(inputs!$E$84-1)</f>
        <v>2.2991879173039136</v>
      </c>
      <c r="X314" s="21">
        <f>inputs!$E$80*(F314/inputs!$F$80)^(inputs!$E$84-1)</f>
        <v>8.5855751342361319</v>
      </c>
      <c r="Y314" s="21">
        <f>inputs!$E$82*(F314/inputs!$F$82)^(inputs!$E$84-1)</f>
        <v>3.9569559080332892</v>
      </c>
      <c r="Z314" s="63">
        <f t="shared" si="33"/>
        <v>897.6284595711428</v>
      </c>
      <c r="AA314" s="63">
        <f t="shared" si="34"/>
        <v>19.43837739724847</v>
      </c>
    </row>
    <row r="315" spans="1:27" x14ac:dyDescent="0.25">
      <c r="A315" s="103" t="s">
        <v>224</v>
      </c>
      <c r="B315" s="20" t="s">
        <v>225</v>
      </c>
      <c r="C315" s="20" t="s">
        <v>73</v>
      </c>
      <c r="D315" s="104" t="s">
        <v>141</v>
      </c>
      <c r="E315" s="15">
        <v>118</v>
      </c>
      <c r="F315" s="15">
        <v>240</v>
      </c>
      <c r="G315" s="20" t="s">
        <v>142</v>
      </c>
      <c r="H315" s="20">
        <v>0.69</v>
      </c>
      <c r="I315" s="48">
        <f>MAX('Min rate concentrations'!$H$3:$H$368)</f>
        <v>47</v>
      </c>
      <c r="J315" s="48">
        <f>MAX('Min rate concentrations'!AA:AA)</f>
        <v>32.5</v>
      </c>
      <c r="K315" s="59">
        <f t="shared" si="36"/>
        <v>26.520856760906092</v>
      </c>
      <c r="L315" s="59">
        <f t="shared" si="38"/>
        <v>18.338890313392508</v>
      </c>
      <c r="M315" s="59">
        <f>IF((((1.18*F315^0.874)-(0.398*F315^0.85)/(1-H315)*H315)*(MAX('Min rate concentrations'!$P$3:$P$368)))/F315&gt;0, (((1.18*F315^0.874)-(0.398*F315^0.85)/(1-H315)*H315)*(MAX('Min rate concentrations'!$P$3:$P$368)))/F315, 0)</f>
        <v>2.9345936914395521E-2</v>
      </c>
      <c r="N315" s="59">
        <f>IF((((1.18*F315^0.874)-(0.398*F315^0.85)/(1-H315)*H315)*(MAX('Min rate concentrations'!$Q$3:$Q$368)))/F315&gt;0, (((1.18*F315^0.874)-(0.398*F315^0.85)/(1-H315)*H315)*(MAX('Min rate concentrations'!$Q$3:$Q$368)))/F315, 0)</f>
        <v>0.11175090457666022</v>
      </c>
      <c r="O315" s="59">
        <f>((MAX('Min rate concentrations'!$F$3:$F$368))*0.62*6.01*8*(10*F315^0.667)*0.079*0.1/F315)*inputs!$E$80/(10^(0.84+0.62*LOG10(inputs!$E$80)))</f>
        <v>3.9444988329327137</v>
      </c>
      <c r="P315" s="59">
        <f>((MAX('Min rate concentrations'!Y:Y))*0.62*6.01*8*(10*F315^0.667)*0.079*0.1/F315)*inputs!$E$80/(10^(0.84+0.62*LOG10(inputs!$E$80)))</f>
        <v>1.3148329443109041</v>
      </c>
      <c r="Q315" s="59">
        <f>(inputs!$C$7*11.2*(10*F315^0.667)*0.5/F315)*inputs!$E$80/(10^(0.84+0.62*LOG10(inputs!$E$80)))</f>
        <v>0.6948048648843379</v>
      </c>
      <c r="R315" s="59">
        <f>(60*284*((F315/1000)^0.77)*3*24*(MAX('Min rate concentrations'!$R$3:$R$368))/F315)*(inputs!$E$73*3.4/inputs!$E$75)</f>
        <v>6.5085900722023828E-3</v>
      </c>
      <c r="S315" s="59">
        <f>(IF(inputs!$C$6="aerial",((0.025*0.112*inputs!$C$7/3.3)*(3*60*284*((F315/1000)^0.77))*MAX(inputs!$H$14:$H$16))/F315,((0.0083*0.112*inputs!$C$7/1)*(3*60*284*((F315/1000)^0.77))*MAX(inputs!$H$14:$H$16))/F315))*(inputs!E$75*3.4/inputs!$E$73)</f>
        <v>3.5895274124965591E-2</v>
      </c>
      <c r="T315" s="63">
        <f>IF((((inputs!$P$12/(V315/MAX(K315:S315)))^(1/inputs!$O$12))-1)/inputs!$N$12&lt;0, 0, IF((((inputs!$P$12/(V315/MAX(K315:S315)))^(1/inputs!$O$12))-1)/inputs!$N$12&gt;inputs!$H$17, inputs!$H$17, (((inputs!$P$12/(V315/MAX(K315:S315)))^(1/inputs!$O$12))-1)/inputs!$N$12))</f>
        <v>428.60869780639291</v>
      </c>
      <c r="U315" s="63">
        <f>IF((((inputs!$P$12/(X315/MAX(K315:S315)))^(1/inputs!$O$12))-1)/inputs!$N$12&lt;0, 0, IF((((inputs!$P$12/(X315/MAX(K315:S315)))^(1/inputs!$O$12))-1)/inputs!$N$12&gt;inputs!$H$17, inputs!$H$17, (((inputs!$P$12/(X315/MAX(K315:S315)))^(1/inputs!$O$12))-1)/inputs!$N$12))</f>
        <v>27.781987886292256</v>
      </c>
      <c r="V315" s="21">
        <f>inputs!$E$78*(F315/inputs!$F$78)^(inputs!$E$84-1)</f>
        <v>1.3742806812884194E-2</v>
      </c>
      <c r="W315" s="21">
        <f>inputs!$E$85*(F315/inputs!$F$85)^(inputs!$E$84-1)</f>
        <v>0.63461750214702672</v>
      </c>
      <c r="X315" s="21">
        <f>inputs!$E$80*(F315/inputs!$F$80)^(inputs!$E$84-1)</f>
        <v>2.3697742168781373</v>
      </c>
      <c r="Y315" s="21">
        <f>inputs!$E$82*(F315/inputs!$F$82)^(inputs!$E$84-1)</f>
        <v>1.0921914888134281</v>
      </c>
      <c r="Z315" s="63">
        <f t="shared" si="33"/>
        <v>1929.799139433597</v>
      </c>
      <c r="AA315" s="63">
        <f t="shared" si="34"/>
        <v>41.790301514189565</v>
      </c>
    </row>
    <row r="316" spans="1:27" x14ac:dyDescent="0.25">
      <c r="A316" s="103" t="s">
        <v>224</v>
      </c>
      <c r="B316" s="20" t="s">
        <v>225</v>
      </c>
      <c r="C316" s="20" t="s">
        <v>73</v>
      </c>
      <c r="D316" s="104" t="s">
        <v>141</v>
      </c>
      <c r="E316" s="15">
        <v>118</v>
      </c>
      <c r="F316" s="15">
        <v>240</v>
      </c>
      <c r="G316" s="20" t="s">
        <v>152</v>
      </c>
      <c r="H316" s="20">
        <v>0.77</v>
      </c>
      <c r="I316" s="48">
        <f>MAX('Min rate concentrations'!$G$3:$G$368)</f>
        <v>7.5</v>
      </c>
      <c r="J316" s="48">
        <f>MAX('Min rate concentrations'!Z:Z)</f>
        <v>3.5</v>
      </c>
      <c r="K316" s="59">
        <f t="shared" si="36"/>
        <v>5.7040695623595443</v>
      </c>
      <c r="L316" s="59">
        <f t="shared" si="38"/>
        <v>2.6618991291011209</v>
      </c>
      <c r="M316" s="59">
        <f>IF((((1.18*F316^0.874)-(0.398*F316^0.85)/(1-H316)*H316)*(MAX('Min rate concentrations'!$P$3:$P$368)))/F316&gt;0, (((1.18*F316^0.874)-(0.398*F316^0.85)/(1-H316)*H316)*(MAX('Min rate concentrations'!$P$3:$P$368)))/F316, 0)</f>
        <v>8.578692902831502E-4</v>
      </c>
      <c r="N316" s="59">
        <f>IF((((1.18*F316^0.874)-(0.398*F316^0.85)/(1-H316)*H316)*(MAX('Min rate concentrations'!$Q$3:$Q$368)))/F316&gt;0, (((1.18*F316^0.874)-(0.398*F316^0.85)/(1-H316)*H316)*(MAX('Min rate concentrations'!$Q$3:$Q$368)))/F316, 0)</f>
        <v>3.2668123521608222E-3</v>
      </c>
      <c r="O316" s="59">
        <f>((MAX('Min rate concentrations'!$F$3:$F$368))*0.62*6.01*8*(10*F316^0.667)*0.079*0.1/F316)*inputs!$E$80/(10^(0.84+0.62*LOG10(inputs!$E$80)))</f>
        <v>3.9444988329327137</v>
      </c>
      <c r="P316" s="59">
        <f>((MAX('Min rate concentrations'!Y:Y))*0.62*6.01*8*(10*F316^0.667)*0.079*0.1/F316)*inputs!$E$80/(10^(0.84+0.62*LOG10(inputs!$E$80)))</f>
        <v>1.3148329443109041</v>
      </c>
      <c r="Q316" s="59">
        <f>(inputs!$C$7*11.2*(10*F316^0.667)*0.5/F316)*inputs!$E$80/(10^(0.84+0.62*LOG10(inputs!$E$80)))</f>
        <v>0.6948048648843379</v>
      </c>
      <c r="R316" s="59">
        <f>(60*284*((F316/1000)^0.77)*3*24*(MAX('Min rate concentrations'!$R$3:$R$368))/F316)*(inputs!$E$73*3.4/inputs!$E$75)</f>
        <v>6.5085900722023828E-3</v>
      </c>
      <c r="S316" s="59">
        <f>(IF(inputs!$C$6="aerial",((0.025*0.112*inputs!$C$7/3.3)*(3*60*284*((F316/1000)^0.77))*MAX(inputs!$H$14:$H$16))/F316,((0.0083*0.112*inputs!$C$7/1)*(3*60*284*((F316/1000)^0.77))*MAX(inputs!$H$14:$H$16))/F316))*(inputs!E$75*3.4/inputs!$E$73)</f>
        <v>3.5895274124965591E-2</v>
      </c>
      <c r="T316" s="63">
        <f>IF((((inputs!$P$12/(V316/MAX(K316:S316)))^(1/inputs!$O$12))-1)/inputs!$N$12&lt;0, 0, IF((((inputs!$P$12/(V316/MAX(K316:S316)))^(1/inputs!$O$12))-1)/inputs!$N$12&gt;inputs!$H$17, inputs!$H$17, (((inputs!$P$12/(V316/MAX(K316:S316)))^(1/inputs!$O$12))-1)/inputs!$N$12))</f>
        <v>216.16469119564562</v>
      </c>
      <c r="U316" s="63">
        <f>IF((((inputs!$P$12/(X316/MAX(K316:S316)))^(1/inputs!$O$12))-1)/inputs!$N$12&lt;0, 0, IF((((inputs!$P$12/(X316/MAX(K316:S316)))^(1/inputs!$O$12))-1)/inputs!$N$12&gt;inputs!$H$17, inputs!$H$17, (((inputs!$P$12/(X316/MAX(K316:S316)))^(1/inputs!$O$12))-1)/inputs!$N$12))</f>
        <v>1.6286605385832302</v>
      </c>
      <c r="V316" s="21">
        <f>inputs!$E$78*(F316/inputs!$F$78)^(inputs!$E$84-1)</f>
        <v>1.3742806812884194E-2</v>
      </c>
      <c r="W316" s="21">
        <f>inputs!$E$85*(F316/inputs!$F$85)^(inputs!$E$84-1)</f>
        <v>0.63461750214702672</v>
      </c>
      <c r="X316" s="21">
        <f>inputs!$E$80*(F316/inputs!$F$80)^(inputs!$E$84-1)</f>
        <v>2.3697742168781373</v>
      </c>
      <c r="Y316" s="21">
        <f>inputs!$E$82*(F316/inputs!$F$82)^(inputs!$E$84-1)</f>
        <v>1.0921914888134281</v>
      </c>
      <c r="Z316" s="63">
        <f t="shared" si="33"/>
        <v>415.05855681619926</v>
      </c>
      <c r="AA316" s="63">
        <f t="shared" si="34"/>
        <v>8.9882008344579791</v>
      </c>
    </row>
    <row r="317" spans="1:27" x14ac:dyDescent="0.25">
      <c r="A317" s="103" t="s">
        <v>224</v>
      </c>
      <c r="B317" s="20" t="s">
        <v>225</v>
      </c>
      <c r="C317" s="20" t="s">
        <v>73</v>
      </c>
      <c r="D317" s="104" t="s">
        <v>141</v>
      </c>
      <c r="E317" s="15">
        <v>118</v>
      </c>
      <c r="F317" s="15">
        <v>240</v>
      </c>
      <c r="G317" s="20" t="s">
        <v>169</v>
      </c>
      <c r="H317" s="20">
        <v>0.79</v>
      </c>
      <c r="I317" s="48">
        <f>MAX('Min rate concentrations'!$D$3:$D$368)</f>
        <v>120</v>
      </c>
      <c r="J317" s="48">
        <f>MAX('Min rate concentrations'!W:W)</f>
        <v>42.5</v>
      </c>
      <c r="K317" s="59">
        <f t="shared" si="36"/>
        <v>99.957028521348221</v>
      </c>
      <c r="L317" s="59">
        <f t="shared" si="38"/>
        <v>35.401447601310828</v>
      </c>
      <c r="M317" s="59">
        <f>IF((((1.18*F317^0.874)-(0.398*F317^0.85)/(1-H317)*H317)*(MAX('Min rate concentrations'!$P$3:$P$368)))/F317&gt;0, (((1.18*F317^0.874)-(0.398*F317^0.85)/(1-H317)*H317)*(MAX('Min rate concentrations'!$P$3:$P$368)))/F317, 0)</f>
        <v>0</v>
      </c>
      <c r="N317" s="59">
        <f>IF((((1.18*F317^0.874)-(0.398*F317^0.85)/(1-H317)*H317)*(MAX('Min rate concentrations'!$Q$3:$Q$368)))/F317&gt;0, (((1.18*F317^0.874)-(0.398*F317^0.85)/(1-H317)*H317)*(MAX('Min rate concentrations'!$Q$3:$Q$368)))/F317, 0)</f>
        <v>0</v>
      </c>
      <c r="O317" s="59">
        <f>((MAX('Min rate concentrations'!$F$3:$F$368))*0.62*6.01*8*(10*F317^0.667)*0.079*0.1/F317)*inputs!$E$80/(10^(0.84+0.62*LOG10(inputs!$E$80)))</f>
        <v>3.9444988329327137</v>
      </c>
      <c r="P317" s="59">
        <f>((MAX('Min rate concentrations'!Y:Y))*0.62*6.01*8*(10*F317^0.667)*0.079*0.1/F317)*inputs!$E$80/(10^(0.84+0.62*LOG10(inputs!$E$80)))</f>
        <v>1.3148329443109041</v>
      </c>
      <c r="Q317" s="59">
        <f>(inputs!$C$7*11.2*(10*F317^0.667)*0.5/F317)*inputs!$E$80/(10^(0.84+0.62*LOG10(inputs!$E$80)))</f>
        <v>0.6948048648843379</v>
      </c>
      <c r="R317" s="59">
        <f>(60*284*((F317/1000)^0.77)*3*24*(MAX('Min rate concentrations'!$R$3:$R$368))/F317)*(inputs!$E$73*3.4/inputs!$E$75)</f>
        <v>6.5085900722023828E-3</v>
      </c>
      <c r="S317" s="59">
        <f>(IF(inputs!$C$6="aerial",((0.025*0.112*inputs!$C$7/3.3)*(3*60*284*((F317/1000)^0.77))*MAX(inputs!$H$14:$H$16))/F317,((0.0083*0.112*inputs!$C$7/1)*(3*60*284*((F317/1000)^0.77))*MAX(inputs!$H$14:$H$16))/F317))*(inputs!E$75*3.4/inputs!$E$73)</f>
        <v>3.5895274124965591E-2</v>
      </c>
      <c r="T317" s="63">
        <f>IF((((inputs!$P$12/(V317/MAX(K317:S317)))^(1/inputs!$O$12))-1)/inputs!$N$12&lt;0, 0, IF((((inputs!$P$12/(V317/MAX(K317:S317)))^(1/inputs!$O$12))-1)/inputs!$N$12&gt;inputs!$H$17, inputs!$H$17, (((inputs!$P$12/(V317/MAX(K317:S317)))^(1/inputs!$O$12))-1)/inputs!$N$12))</f>
        <v>755.62814241115336</v>
      </c>
      <c r="U317" s="63">
        <f>IF((((inputs!$P$12/(X317/MAX(K317:S317)))^(1/inputs!$O$12))-1)/inputs!$N$12&lt;0, 0, IF((((inputs!$P$12/(X317/MAX(K317:S317)))^(1/inputs!$O$12))-1)/inputs!$N$12&gt;inputs!$H$17, inputs!$H$17, (((inputs!$P$12/(X317/MAX(K317:S317)))^(1/inputs!$O$12))-1)/inputs!$N$12))</f>
        <v>68.040344524636922</v>
      </c>
      <c r="V317" s="21">
        <f>inputs!$E$78*(F317/inputs!$F$78)^(inputs!$E$84-1)</f>
        <v>1.3742806812884194E-2</v>
      </c>
      <c r="W317" s="21">
        <f>inputs!$E$85*(F317/inputs!$F$85)^(inputs!$E$84-1)</f>
        <v>0.63461750214702672</v>
      </c>
      <c r="X317" s="21">
        <f>inputs!$E$80*(F317/inputs!$F$80)^(inputs!$E$84-1)</f>
        <v>2.3697742168781373</v>
      </c>
      <c r="Y317" s="21">
        <f>inputs!$E$82*(F317/inputs!$F$82)^(inputs!$E$84-1)</f>
        <v>1.0921914888134281</v>
      </c>
      <c r="Z317" s="63">
        <f t="shared" si="33"/>
        <v>7273.4070908743497</v>
      </c>
      <c r="AA317" s="63">
        <f t="shared" si="34"/>
        <v>157.50751938478749</v>
      </c>
    </row>
    <row r="318" spans="1:27" x14ac:dyDescent="0.25">
      <c r="A318" s="103" t="s">
        <v>224</v>
      </c>
      <c r="B318" s="20" t="s">
        <v>225</v>
      </c>
      <c r="C318" s="20" t="s">
        <v>73</v>
      </c>
      <c r="D318" s="104" t="s">
        <v>141</v>
      </c>
      <c r="E318" s="15">
        <v>118</v>
      </c>
      <c r="F318" s="15">
        <v>240</v>
      </c>
      <c r="G318" s="20" t="s">
        <v>177</v>
      </c>
      <c r="H318" s="20">
        <v>0.85</v>
      </c>
      <c r="I318" s="48">
        <f>MAX('Min rate concentrations'!$F$3:$F$368)</f>
        <v>67.5</v>
      </c>
      <c r="J318" s="48">
        <f>MAX('Min rate concentrations'!Y:Y)</f>
        <v>22.5</v>
      </c>
      <c r="K318" s="59">
        <f t="shared" si="36"/>
        <v>78.716159960561697</v>
      </c>
      <c r="L318" s="59">
        <f t="shared" si="38"/>
        <v>26.238719986853898</v>
      </c>
      <c r="M318" s="59">
        <f>IF((((1.18*F318^0.874)-(0.398*F318^0.85)/(1-H318)*H318)*(MAX('Min rate concentrations'!$P$3:$P$368)))/F318&gt;0, (((1.18*F318^0.874)-(0.398*F318^0.85)/(1-H318)*H318)*(MAX('Min rate concentrations'!$P$3:$P$368)))/F318, 0)</f>
        <v>0</v>
      </c>
      <c r="N318" s="59">
        <f>IF((((1.18*F318^0.874)-(0.398*F318^0.85)/(1-H318)*H318)*(MAX('Min rate concentrations'!$Q$3:$Q$368)))/F318&gt;0, (((1.18*F318^0.874)-(0.398*F318^0.85)/(1-H318)*H318)*(MAX('Min rate concentrations'!$Q$3:$Q$368)))/F318, 0)</f>
        <v>0</v>
      </c>
      <c r="O318" s="59">
        <f>((MAX('Min rate concentrations'!$F$3:$F$368))*0.62*6.01*8*(10*F318^0.667)*0.079*0.1/F318)*inputs!$E$80/(10^(0.84+0.62*LOG10(inputs!$E$80)))</f>
        <v>3.9444988329327137</v>
      </c>
      <c r="P318" s="59">
        <f>((MAX('Min rate concentrations'!Y:Y))*0.62*6.01*8*(10*F318^0.667)*0.079*0.1/F318)*inputs!$E$80/(10^(0.84+0.62*LOG10(inputs!$E$80)))</f>
        <v>1.3148329443109041</v>
      </c>
      <c r="Q318" s="59">
        <f>(inputs!$C$7*11.2*(10*F318^0.667)*0.5/F318)*inputs!$E$80/(10^(0.84+0.62*LOG10(inputs!$E$80)))</f>
        <v>0.6948048648843379</v>
      </c>
      <c r="R318" s="59">
        <f>(60*284*((F318/1000)^0.77)*3*24*(MAX('Min rate concentrations'!$R$3:$R$368))/F318)*(inputs!$E$73*3.4/inputs!$E$75)</f>
        <v>6.5085900722023828E-3</v>
      </c>
      <c r="S318" s="59">
        <f>(IF(inputs!$C$6="aerial",((0.025*0.112*inputs!$C$7/3.3)*(3*60*284*((F318/1000)^0.77))*MAX(inputs!$H$14:$H$16))/F318,((0.0083*0.112*inputs!$C$7/1)*(3*60*284*((F318/1000)^0.77))*MAX(inputs!$H$14:$H$16))/F318))*(inputs!E$75*3.4/inputs!$E$73)</f>
        <v>3.5895274124965591E-2</v>
      </c>
      <c r="T318" s="63">
        <f>IF((((inputs!$P$12/(V318/MAX(K318:S318)))^(1/inputs!$O$12))-1)/inputs!$N$12&lt;0, 0, IF((((inputs!$P$12/(V318/MAX(K318:S318)))^(1/inputs!$O$12))-1)/inputs!$N$12&gt;inputs!$H$17, inputs!$H$17, (((inputs!$P$12/(V318/MAX(K318:S318)))^(1/inputs!$O$12))-1)/inputs!$N$12))</f>
        <v>683.02312741161882</v>
      </c>
      <c r="U318" s="63">
        <f>IF((((inputs!$P$12/(X318/MAX(K318:S318)))^(1/inputs!$O$12))-1)/inputs!$N$12&lt;0, 0, IF((((inputs!$P$12/(X318/MAX(K318:S318)))^(1/inputs!$O$12))-1)/inputs!$N$12&gt;inputs!$H$17, inputs!$H$17, (((inputs!$P$12/(X318/MAX(K318:S318)))^(1/inputs!$O$12))-1)/inputs!$N$12))</f>
        <v>59.102164744176619</v>
      </c>
      <c r="V318" s="21">
        <f>inputs!$E$78*(F318/inputs!$F$78)^(inputs!$E$84-1)</f>
        <v>1.3742806812884194E-2</v>
      </c>
      <c r="W318" s="21">
        <f>inputs!$E$85*(F318/inputs!$F$85)^(inputs!$E$84-1)</f>
        <v>0.63461750214702672</v>
      </c>
      <c r="X318" s="21">
        <f>inputs!$E$80*(F318/inputs!$F$80)^(inputs!$E$84-1)</f>
        <v>2.3697742168781373</v>
      </c>
      <c r="Y318" s="21">
        <f>inputs!$E$82*(F318/inputs!$F$82)^(inputs!$E$84-1)</f>
        <v>1.0921914888134281</v>
      </c>
      <c r="Z318" s="63">
        <f t="shared" si="33"/>
        <v>5727.8080840635484</v>
      </c>
      <c r="AA318" s="63">
        <f t="shared" si="34"/>
        <v>124.0371715155201</v>
      </c>
    </row>
    <row r="319" spans="1:27" x14ac:dyDescent="0.25">
      <c r="A319" s="103" t="s">
        <v>224</v>
      </c>
      <c r="B319" s="20" t="s">
        <v>225</v>
      </c>
      <c r="C319" s="20" t="s">
        <v>73</v>
      </c>
      <c r="D319" s="104" t="s">
        <v>141</v>
      </c>
      <c r="E319" s="15">
        <v>118</v>
      </c>
      <c r="F319" s="15">
        <v>240</v>
      </c>
      <c r="G319" s="21" t="s">
        <v>456</v>
      </c>
      <c r="H319" s="20">
        <v>0.68</v>
      </c>
      <c r="I319" s="48">
        <f>MAX('Min rate concentrations'!$J$3:$J$368)</f>
        <v>114.4108103430513</v>
      </c>
      <c r="J319" s="48">
        <f>MAX('Min rate concentrations'!AB:AB)</f>
        <v>40.520495329830666</v>
      </c>
      <c r="K319" s="59">
        <f t="shared" si="36"/>
        <v>62.541525334591078</v>
      </c>
      <c r="L319" s="59">
        <f t="shared" si="38"/>
        <v>22.150123556001006</v>
      </c>
      <c r="M319" s="59">
        <f>IF((((1.18*F319^0.874)-(0.398*F319^0.85)/(1-H319)*H319)*(MAX('Min rate concentrations'!$P$3:$P$368)))/F319&gt;0, (((1.18*F319^0.874)-(0.398*F319^0.85)/(1-H319)*H319)*(MAX('Min rate concentrations'!$P$3:$P$368)))/F319, 0)</f>
        <v>3.1905411739999341E-2</v>
      </c>
      <c r="N319" s="59">
        <f>IF((((1.18*F319^0.874)-(0.398*F319^0.85)/(1-H319)*H319)*(MAX('Min rate concentrations'!$Q$3:$Q$368)))/F319&gt;0, (((1.18*F319^0.874)-(0.398*F319^0.85)/(1-H319)*H319)*(MAX('Min rate concentrations'!$Q$3:$Q$368)))/F319, 0)</f>
        <v>0.12149752223745498</v>
      </c>
      <c r="O319" s="59">
        <f>((MAX('Min rate concentrations'!$F$3:$F$368))*0.62*6.01*8*(10*F319^0.667)*0.079*0.1/F319)*inputs!$E$80/(10^(0.84+0.62*LOG10(inputs!$E$80)))</f>
        <v>3.9444988329327137</v>
      </c>
      <c r="P319" s="59">
        <f>((MAX('Min rate concentrations'!Y:Y))*0.62*6.01*8*(10*F319^0.667)*0.079*0.1/F319)*inputs!$E$80/(10^(0.84+0.62*LOG10(inputs!$E$80)))</f>
        <v>1.3148329443109041</v>
      </c>
      <c r="Q319" s="59">
        <f>(inputs!$C$7*11.2*(10*F319^0.667)*0.5/F319)*inputs!$E$80/(10^(0.84+0.62*LOG10(inputs!$E$80)))</f>
        <v>0.6948048648843379</v>
      </c>
      <c r="R319" s="59">
        <f>(60*284*((F319/1000)^0.77)*3*24*(MAX('Min rate concentrations'!$R$3:$R$368))/F319)*(inputs!$E$73*3.4/inputs!$E$75)</f>
        <v>6.5085900722023828E-3</v>
      </c>
      <c r="S319" s="59">
        <f>(IF(inputs!$C$6="aerial",((0.025*0.112*inputs!$C$7/3.3)*(3*60*284*((F319/1000)^0.77))*MAX(inputs!$H$14:$H$16))/F319,((0.0083*0.112*inputs!$C$7/1)*(3*60*284*((F319/1000)^0.77))*MAX(inputs!$H$14:$H$16))/F319))*(inputs!E$75*3.4/inputs!$E$73)</f>
        <v>3.5895274124965591E-2</v>
      </c>
      <c r="T319" s="63">
        <f>IF((((inputs!$P$12/(V319/MAX(K319:S319)))^(1/inputs!$O$12))-1)/inputs!$N$12&lt;0, 0, IF((((inputs!$P$12/(V319/MAX(K319:S319)))^(1/inputs!$O$12))-1)/inputs!$N$12&gt;inputs!$H$17, inputs!$H$17, (((inputs!$P$12/(V319/MAX(K319:S319)))^(1/inputs!$O$12))-1)/inputs!$N$12))</f>
        <v>619.4755156766322</v>
      </c>
      <c r="U319" s="63">
        <f>IF((((inputs!$P$12/(X319/MAX(K319:S319)))^(1/inputs!$O$12))-1)/inputs!$N$12&lt;0, 0, IF((((inputs!$P$12/(X319/MAX(K319:S319)))^(1/inputs!$O$12))-1)/inputs!$N$12&gt;inputs!$H$17, inputs!$H$17, (((inputs!$P$12/(X319/MAX(K319:S319)))^(1/inputs!$O$12))-1)/inputs!$N$12))</f>
        <v>51.2790139837251</v>
      </c>
      <c r="V319" s="21">
        <f>inputs!$E$78*(F319/inputs!$F$78)^(inputs!$E$84-1)</f>
        <v>1.3742806812884194E-2</v>
      </c>
      <c r="W319" s="21">
        <f>inputs!$E$85*(F319/inputs!$F$85)^(inputs!$E$84-1)</f>
        <v>0.63461750214702672</v>
      </c>
      <c r="X319" s="21">
        <f>inputs!$E$80*(F319/inputs!$F$80)^(inputs!$E$84-1)</f>
        <v>2.3697742168781373</v>
      </c>
      <c r="Y319" s="21">
        <f>inputs!$E$82*(F319/inputs!$F$82)^(inputs!$E$84-1)</f>
        <v>1.0921914888134281</v>
      </c>
      <c r="Z319" s="63">
        <f t="shared" si="33"/>
        <v>4550.8553082443814</v>
      </c>
      <c r="AA319" s="63">
        <f t="shared" si="34"/>
        <v>98.549953512157629</v>
      </c>
    </row>
    <row r="320" spans="1:27" x14ac:dyDescent="0.25">
      <c r="A320" s="103" t="s">
        <v>224</v>
      </c>
      <c r="B320" s="20" t="s">
        <v>225</v>
      </c>
      <c r="C320" s="20" t="s">
        <v>73</v>
      </c>
      <c r="D320" s="104" t="s">
        <v>141</v>
      </c>
      <c r="E320" s="15">
        <v>118</v>
      </c>
      <c r="F320" s="15">
        <v>240</v>
      </c>
      <c r="G320" s="20" t="s">
        <v>145</v>
      </c>
      <c r="H320" s="20">
        <v>0.66</v>
      </c>
      <c r="I320" s="48">
        <f>MAX('Min rate concentrations'!$M$3:$M$368)</f>
        <v>2.8488184789681945</v>
      </c>
      <c r="J320" s="48">
        <f>MAX('Min rate concentrations'!AE:AE)</f>
        <v>1.9699276716269429</v>
      </c>
      <c r="K320" s="59">
        <f t="shared" si="36"/>
        <v>1.4656735365298335</v>
      </c>
      <c r="L320" s="59">
        <f t="shared" si="38"/>
        <v>1.0134976582387145</v>
      </c>
      <c r="M320" s="59">
        <f>IF((((1.18*F320^0.874)-(0.398*F320^0.85)/(1-H320)*H320)*(MAX('Min rate concentrations'!$P$3:$P$368)))/F320&gt;0, (((1.18*F320^0.874)-(0.398*F320^0.85)/(1-H320)*H320)*(MAX('Min rate concentrations'!$P$3:$P$368)))/F320, 0)</f>
        <v>3.6572689363159293E-2</v>
      </c>
      <c r="N320" s="59">
        <f>IF((((1.18*F320^0.874)-(0.398*F320^0.85)/(1-H320)*H320)*(MAX('Min rate concentrations'!$Q$3:$Q$368)))/F320&gt;0, (((1.18*F320^0.874)-(0.398*F320^0.85)/(1-H320)*H320)*(MAX('Min rate concentrations'!$Q$3:$Q$368)))/F320, 0)</f>
        <v>0.13927076620713974</v>
      </c>
      <c r="O320" s="59">
        <f>((MAX('Min rate concentrations'!$F$3:$F$368))*0.62*6.01*8*(10*F320^0.667)*0.079*0.1/F320)*inputs!$E$80/(10^(0.84+0.62*LOG10(inputs!$E$80)))</f>
        <v>3.9444988329327137</v>
      </c>
      <c r="P320" s="59">
        <f>((MAX('Min rate concentrations'!Y:Y))*0.62*6.01*8*(10*F320^0.667)*0.079*0.1/F320)*inputs!$E$80/(10^(0.84+0.62*LOG10(inputs!$E$80)))</f>
        <v>1.3148329443109041</v>
      </c>
      <c r="Q320" s="59">
        <f>(inputs!$C$7*11.2*(10*F320^0.667)*0.5/F320)*inputs!$E$80/(10^(0.84+0.62*LOG10(inputs!$E$80)))</f>
        <v>0.6948048648843379</v>
      </c>
      <c r="R320" s="59">
        <f>(60*284*((F320/1000)^0.77)*3*24*(MAX('Min rate concentrations'!$R$3:$R$368))/F320)*(inputs!$E$73*3.4/inputs!$E$75)</f>
        <v>6.5085900722023828E-3</v>
      </c>
      <c r="S320" s="59">
        <f>(IF(inputs!$C$6="aerial",((0.025*0.112*inputs!$C$7/3.3)*(3*60*284*((F320/1000)^0.77))*MAX(inputs!$H$14:$H$16))/F320,((0.0083*0.112*inputs!$C$7/1)*(3*60*284*((F320/1000)^0.77))*MAX(inputs!$H$14:$H$16))/F320))*(inputs!E$75*3.4/inputs!$E$73)</f>
        <v>3.5895274124965591E-2</v>
      </c>
      <c r="T320" s="63">
        <f>IF((((inputs!$P$12/(V320/MAX(K320:S320)))^(1/inputs!$O$12))-1)/inputs!$N$12&lt;0, 0, IF((((inputs!$P$12/(V320/MAX(K320:S320)))^(1/inputs!$O$12))-1)/inputs!$N$12&gt;inputs!$H$17, inputs!$H$17, (((inputs!$P$12/(V320/MAX(K320:S320)))^(1/inputs!$O$12))-1)/inputs!$N$12))</f>
        <v>182.08041867965892</v>
      </c>
      <c r="U320" s="63">
        <f>IF((((inputs!$P$12/(X320/MAX(K320:S320)))^(1/inputs!$O$12))-1)/inputs!$N$12&lt;0, 0, IF((((inputs!$P$12/(X320/MAX(K320:S320)))^(1/inputs!$O$12))-1)/inputs!$N$12&gt;inputs!$H$17, inputs!$H$17, (((inputs!$P$12/(X320/MAX(K320:S320)))^(1/inputs!$O$12))-1)/inputs!$N$12))</f>
        <v>0</v>
      </c>
      <c r="V320" s="21">
        <f>inputs!$E$78*(F320/inputs!$F$78)^(inputs!$E$84-1)</f>
        <v>1.3742806812884194E-2</v>
      </c>
      <c r="W320" s="21">
        <f>inputs!$E$85*(F320/inputs!$F$85)^(inputs!$E$84-1)</f>
        <v>0.63461750214702672</v>
      </c>
      <c r="X320" s="21">
        <f>inputs!$E$80*(F320/inputs!$F$80)^(inputs!$E$84-1)</f>
        <v>2.3697742168781373</v>
      </c>
      <c r="Y320" s="21">
        <f>inputs!$E$82*(F320/inputs!$F$82)^(inputs!$E$84-1)</f>
        <v>1.0921914888134281</v>
      </c>
      <c r="Z320" s="63">
        <f t="shared" si="33"/>
        <v>287.0227957533869</v>
      </c>
      <c r="AA320" s="63">
        <f t="shared" si="34"/>
        <v>6.2155531790216232</v>
      </c>
    </row>
    <row r="321" spans="1:27" x14ac:dyDescent="0.25">
      <c r="A321" s="103" t="s">
        <v>224</v>
      </c>
      <c r="B321" s="20" t="s">
        <v>225</v>
      </c>
      <c r="C321" s="20" t="s">
        <v>73</v>
      </c>
      <c r="D321" s="104" t="s">
        <v>141</v>
      </c>
      <c r="E321" s="15">
        <v>118</v>
      </c>
      <c r="F321" s="15">
        <v>240</v>
      </c>
      <c r="G321" s="20" t="s">
        <v>154</v>
      </c>
      <c r="H321" s="20">
        <v>9.2999999999999999E-2</v>
      </c>
      <c r="I321" s="48">
        <f>MAX('Min rate concentrations'!$G$3:$G$368)</f>
        <v>7.5</v>
      </c>
      <c r="J321" s="48">
        <f>MAX('Min rate concentrations'!Z:Z)</f>
        <v>3.5</v>
      </c>
      <c r="K321" s="59">
        <f t="shared" ref="K321:K352" si="39">((0.398*F321^0.85)/(1-H321))*I321/F321</f>
        <v>1.4464564491099174</v>
      </c>
      <c r="L321" s="59"/>
      <c r="M321" s="59">
        <f>IF((((1.18*F321^0.874)-(0.398*F321^0.85)/(1-H321)*H321)*(MAX('Min rate concentrations'!$P$3:$P$368)))/F321&gt;0, (((1.18*F321^0.874)-(0.398*F321^0.85)/(1-H321)*H321)*(MAX('Min rate concentrations'!$P$3:$P$368)))/F321, 0)</f>
        <v>8.325575727639753E-2</v>
      </c>
      <c r="N321" s="59">
        <f>IF((((1.18*F321^0.874)-(0.398*F321^0.85)/(1-H321)*H321)*(MAX('Min rate concentrations'!$Q$3:$Q$368)))/F321&gt;0, (((1.18*F321^0.874)-(0.398*F321^0.85)/(1-H321)*H321)*(MAX('Min rate concentrations'!$Q$3:$Q$368)))/F321, 0)</f>
        <v>0.31704239718065691</v>
      </c>
      <c r="O321" s="59">
        <f>((MAX('Min rate concentrations'!$F$3:$F$368))*0.62*6.01*8*(10*F321^0.667)*0.079*0.1/F321)*inputs!$E$80/(10^(0.84+0.62*LOG10(inputs!$E$80)))</f>
        <v>3.9444988329327137</v>
      </c>
      <c r="P321" s="59">
        <f>((MAX('Min rate concentrations'!Y:Y))*0.62*6.01*8*(10*F321^0.667)*0.079*0.1/F321)*inputs!$E$80/(10^(0.84+0.62*LOG10(inputs!$E$80)))</f>
        <v>1.3148329443109041</v>
      </c>
      <c r="Q321" s="59">
        <f>(inputs!$C$7*11.2*(10*F321^0.667)*0.5/F321)*inputs!$E$80/(10^(0.84+0.62*LOG10(inputs!$E$80)))</f>
        <v>0.6948048648843379</v>
      </c>
      <c r="R321" s="59">
        <f>(60*284*((F321/1000)^0.77)*3*24*(MAX('Min rate concentrations'!$R$3:$R$368))/F321)*(inputs!$E$73*3.4/inputs!$E$75)</f>
        <v>6.5085900722023828E-3</v>
      </c>
      <c r="S321" s="59">
        <f>(IF(inputs!$C$6="aerial",((0.025*0.112*inputs!$C$7/3.3)*(3*60*284*((F321/1000)^0.77))*MAX(inputs!$H$14:$H$16))/F321,((0.0083*0.112*inputs!$C$7/1)*(3*60*284*((F321/1000)^0.77))*MAX(inputs!$H$14:$H$16))/F321))*(inputs!E$75*3.4/inputs!$E$73)</f>
        <v>3.5895274124965591E-2</v>
      </c>
      <c r="T321" s="63">
        <f>IF((((inputs!$P$12/(V321/MAX(K321:S321)))^(1/inputs!$O$12))-1)/inputs!$N$12&lt;0, 0, IF((((inputs!$P$12/(V321/MAX(K321:S321)))^(1/inputs!$O$12))-1)/inputs!$N$12&gt;inputs!$H$17, inputs!$H$17, (((inputs!$P$12/(V321/MAX(K321:S321)))^(1/inputs!$O$12))-1)/inputs!$N$12))</f>
        <v>182.08041867965892</v>
      </c>
      <c r="U321" s="63">
        <f>IF((((inputs!$P$12/(X321/MAX(K321:S321)))^(1/inputs!$O$12))-1)/inputs!$N$12&lt;0, 0, IF((((inputs!$P$12/(X321/MAX(K321:S321)))^(1/inputs!$O$12))-1)/inputs!$N$12&gt;inputs!$H$17, inputs!$H$17, (((inputs!$P$12/(X321/MAX(K321:S321)))^(1/inputs!$O$12))-1)/inputs!$N$12))</f>
        <v>0</v>
      </c>
      <c r="V321" s="21">
        <f>inputs!$E$78*(F321/inputs!$F$78)^(inputs!$E$84-1)</f>
        <v>1.3742806812884194E-2</v>
      </c>
      <c r="W321" s="21">
        <f>inputs!$E$85*(F321/inputs!$F$85)^(inputs!$E$84-1)</f>
        <v>0.63461750214702672</v>
      </c>
      <c r="X321" s="21">
        <f>inputs!$E$80*(F321/inputs!$F$80)^(inputs!$E$84-1)</f>
        <v>2.3697742168781373</v>
      </c>
      <c r="Y321" s="21">
        <f>inputs!$E$82*(F321/inputs!$F$82)^(inputs!$E$84-1)</f>
        <v>1.0921914888134281</v>
      </c>
      <c r="Z321" s="63">
        <f t="shared" si="33"/>
        <v>287.0227957533869</v>
      </c>
      <c r="AA321" s="63">
        <f t="shared" si="34"/>
        <v>6.2155531790216232</v>
      </c>
    </row>
    <row r="322" spans="1:27" x14ac:dyDescent="0.25">
      <c r="A322" s="103" t="s">
        <v>275</v>
      </c>
      <c r="B322" s="20" t="s">
        <v>276</v>
      </c>
      <c r="C322" s="20" t="s">
        <v>73</v>
      </c>
      <c r="D322" s="104" t="s">
        <v>141</v>
      </c>
      <c r="E322" s="15">
        <v>98</v>
      </c>
      <c r="F322" s="15">
        <v>10</v>
      </c>
      <c r="G322" s="20" t="s">
        <v>142</v>
      </c>
      <c r="H322" s="20">
        <v>0.69</v>
      </c>
      <c r="I322" s="48">
        <f>MAX('Min rate concentrations'!$H$3:$H$368)</f>
        <v>47</v>
      </c>
      <c r="J322" s="48">
        <f>MAX('Min rate concentrations'!AA:AA)</f>
        <v>32.5</v>
      </c>
      <c r="K322" s="59">
        <f t="shared" si="39"/>
        <v>42.718818847386075</v>
      </c>
      <c r="L322" s="59">
        <f>((0.398*F322^0.85)/(1-H322))*J322/F322</f>
        <v>29.539608777447818</v>
      </c>
      <c r="M322" s="59">
        <f>IF((((1.18*F322^0.874)-(0.398*F322^0.85)/(1-H322)*H322)*(MAX('Min rate concentrations'!$P$3:$P$368)))/F322&gt;0, (((1.18*F322^0.874)-(0.398*F322^0.85)/(1-H322)*H322)*(MAX('Min rate concentrations'!$P$3:$P$368)))/F322, 0)</f>
        <v>3.7113102292412867E-2</v>
      </c>
      <c r="N322" s="59">
        <f>IF((((1.18*F322^0.874)-(0.398*F322^0.85)/(1-H322)*H322)*(MAX('Min rate concentrations'!$Q$3:$Q$368)))/F322&gt;0, (((1.18*F322^0.874)-(0.398*F322^0.85)/(1-H322)*H322)*(MAX('Min rate concentrations'!$Q$3:$Q$368)))/F322, 0)</f>
        <v>0.1413286876790347</v>
      </c>
      <c r="O322" s="59">
        <f>((MAX('Min rate concentrations'!$F$3:$F$368))*0.62*6.01*8*(10*F322^0.667)*0.079*0.1/F322)*inputs!$E$80/(10^(0.84+0.62*LOG10(inputs!$E$80)))</f>
        <v>11.365856679188141</v>
      </c>
      <c r="P322" s="59">
        <f>((MAX('Min rate concentrations'!Y:Y))*0.62*6.01*8*(10*F322^0.667)*0.079*0.1/F322)*inputs!$E$80/(10^(0.84+0.62*LOG10(inputs!$E$80)))</f>
        <v>3.788618893062714</v>
      </c>
      <c r="Q322" s="59">
        <f>(inputs!$C$7*11.2*(10*F322^0.667)*0.5/F322)*inputs!$E$80/(10^(0.84+0.62*LOG10(inputs!$E$80)))</f>
        <v>2.0020420460884383</v>
      </c>
      <c r="R322" s="59">
        <f>(60*284*((F322/1000)^0.77)*3*24*(MAX('Min rate concentrations'!$R$3:$R$368))/F322)*(inputs!$E$73*3.4/inputs!$E$75)</f>
        <v>1.3518717882921229E-2</v>
      </c>
      <c r="S322" s="59">
        <f>(IF(inputs!$C$6="aerial",((0.025*0.112*inputs!$C$7/3.3)*(3*60*284*((F322/1000)^0.77))*MAX(inputs!$H$14:$H$16))/F322,((0.0083*0.112*inputs!$C$7/1)*(3*60*284*((F322/1000)^0.77))*MAX(inputs!$H$14:$H$16))/F322))*(inputs!E$75*3.4/inputs!$E$73)</f>
        <v>7.4556559691480159E-2</v>
      </c>
      <c r="T322" s="63">
        <f>IF((((inputs!$P$12/(V322/MAX(K322:S322)))^(1/inputs!$O$12))-1)/inputs!$N$12&lt;0, 0, IF((((inputs!$P$12/(V322/MAX(K322:S322)))^(1/inputs!$O$12))-1)/inputs!$N$12&gt;inputs!$H$17, inputs!$H$17, (((inputs!$P$12/(V322/MAX(K322:S322)))^(1/inputs!$O$12))-1)/inputs!$N$12))</f>
        <v>315.46859221038483</v>
      </c>
      <c r="U322" s="63">
        <f>IF((((inputs!$P$12/(X322/MAX(K322:S322)))^(1/inputs!$O$12))-1)/inputs!$N$12&lt;0, 0, IF((((inputs!$P$12/(X322/MAX(K322:S322)))^(1/inputs!$O$12))-1)/inputs!$N$12&gt;inputs!$H$17, inputs!$H$17, (((inputs!$P$12/(X322/MAX(K322:S322)))^(1/inputs!$O$12))-1)/inputs!$N$12))</f>
        <v>13.853657946495886</v>
      </c>
      <c r="V322" s="21">
        <f>inputs!$E$78*(F322/inputs!$F$78)^(inputs!$E$84-1)</f>
        <v>4.4540347491078519E-2</v>
      </c>
      <c r="W322" s="21">
        <f>inputs!$E$85*(F322/inputs!$F$85)^(inputs!$E$84-1)</f>
        <v>2.0567911966170365</v>
      </c>
      <c r="X322" s="21">
        <f>inputs!$E$80*(F322/inputs!$F$80)^(inputs!$E$84-1)</f>
        <v>7.6804228228104519</v>
      </c>
      <c r="Y322" s="21">
        <f>inputs!$E$82*(F322/inputs!$F$82)^(inputs!$E$84-1)</f>
        <v>3.5397855111330823</v>
      </c>
      <c r="Z322" s="63">
        <f t="shared" ref="Z322:Z385" si="40">MAX(K322:S322)/V322</f>
        <v>959.10385198370318</v>
      </c>
      <c r="AA322" s="63">
        <f t="shared" ref="AA322:AA385" si="41">MAX(K322:S322)/W322</f>
        <v>20.769642984494013</v>
      </c>
    </row>
    <row r="323" spans="1:27" x14ac:dyDescent="0.25">
      <c r="A323" s="103" t="s">
        <v>275</v>
      </c>
      <c r="B323" s="20" t="s">
        <v>276</v>
      </c>
      <c r="C323" s="20" t="s">
        <v>73</v>
      </c>
      <c r="D323" s="104" t="s">
        <v>141</v>
      </c>
      <c r="E323" s="15">
        <v>98</v>
      </c>
      <c r="F323" s="15">
        <v>10</v>
      </c>
      <c r="G323" s="20" t="s">
        <v>153</v>
      </c>
      <c r="H323" s="20">
        <v>0.7</v>
      </c>
      <c r="I323" s="48">
        <f>MAX('Min rate concentrations'!$E$3:$E$368)</f>
        <v>55</v>
      </c>
      <c r="J323" s="48">
        <f>MAX('Min rate concentrations'!X:X)</f>
        <v>18</v>
      </c>
      <c r="K323" s="59">
        <f t="shared" si="39"/>
        <v>51.656444067229266</v>
      </c>
      <c r="L323" s="59"/>
      <c r="M323" s="59">
        <f>IF((((1.18*F323^0.874)-(0.398*F323^0.85)/(1-H323)*H323)*(MAX('Min rate concentrations'!$P$3:$P$368)))/F323&gt;0, (((1.18*F323^0.874)-(0.398*F323^0.85)/(1-H323)*H323)*(MAX('Min rate concentrations'!$P$3:$P$368)))/F323, 0)</f>
        <v>3.2715547370558776E-2</v>
      </c>
      <c r="N323" s="59">
        <f>IF((((1.18*F323^0.874)-(0.398*F323^0.85)/(1-H323)*H323)*(MAX('Min rate concentrations'!$Q$3:$Q$368)))/F323&gt;0, (((1.18*F323^0.874)-(0.398*F323^0.85)/(1-H323)*H323)*(MAX('Min rate concentrations'!$Q$3:$Q$368)))/F323, 0)</f>
        <v>0.12458256224857792</v>
      </c>
      <c r="O323" s="59">
        <f>((MAX('Min rate concentrations'!$F$3:$F$368))*0.62*6.01*8*(10*F323^0.667)*0.079*0.1/F323)*inputs!$E$80/(10^(0.84+0.62*LOG10(inputs!$E$80)))</f>
        <v>11.365856679188141</v>
      </c>
      <c r="P323" s="59">
        <f>((MAX('Min rate concentrations'!Y:Y))*0.62*6.01*8*(10*F323^0.667)*0.079*0.1/F323)*inputs!$E$80/(10^(0.84+0.62*LOG10(inputs!$E$80)))</f>
        <v>3.788618893062714</v>
      </c>
      <c r="Q323" s="59">
        <f>(inputs!$C$7*11.2*(10*F323^0.667)*0.5/F323)*inputs!$E$80/(10^(0.84+0.62*LOG10(inputs!$E$80)))</f>
        <v>2.0020420460884383</v>
      </c>
      <c r="R323" s="59">
        <f>(60*284*((F323/1000)^0.77)*3*24*(MAX('Min rate concentrations'!$R$3:$R$368))/F323)*(inputs!$E$73*3.4/inputs!$E$75)</f>
        <v>1.3518717882921229E-2</v>
      </c>
      <c r="S323" s="59">
        <f>(IF(inputs!$C$6="aerial",((0.025*0.112*inputs!$C$7/3.3)*(3*60*284*((F323/1000)^0.77))*MAX(inputs!$H$14:$H$16))/F323,((0.0083*0.112*inputs!$C$7/1)*(3*60*284*((F323/1000)^0.77))*MAX(inputs!$H$14:$H$16))/F323))*(inputs!E$75*3.4/inputs!$E$73)</f>
        <v>7.4556559691480159E-2</v>
      </c>
      <c r="T323" s="63">
        <f>IF((((inputs!$P$12/(V323/MAX(K323:S323)))^(1/inputs!$O$12))-1)/inputs!$N$12&lt;0, 0, IF((((inputs!$P$12/(V323/MAX(K323:S323)))^(1/inputs!$O$12))-1)/inputs!$N$12&gt;inputs!$H$17, inputs!$H$17, (((inputs!$P$12/(V323/MAX(K323:S323)))^(1/inputs!$O$12))-1)/inputs!$N$12))</f>
        <v>343.09997713843677</v>
      </c>
      <c r="U323" s="63">
        <f>IF((((inputs!$P$12/(X323/MAX(K323:S323)))^(1/inputs!$O$12))-1)/inputs!$N$12&lt;0, 0, IF((((inputs!$P$12/(X323/MAX(K323:S323)))^(1/inputs!$O$12))-1)/inputs!$N$12&gt;inputs!$H$17, inputs!$H$17, (((inputs!$P$12/(X323/MAX(K323:S323)))^(1/inputs!$O$12))-1)/inputs!$N$12))</f>
        <v>17.255272643106206</v>
      </c>
      <c r="V323" s="21">
        <f>inputs!$E$78*(F323/inputs!$F$78)^(inputs!$E$84-1)</f>
        <v>4.4540347491078519E-2</v>
      </c>
      <c r="W323" s="21">
        <f>inputs!$E$85*(F323/inputs!$F$85)^(inputs!$E$84-1)</f>
        <v>2.0567911966170365</v>
      </c>
      <c r="X323" s="21">
        <f>inputs!$E$80*(F323/inputs!$F$80)^(inputs!$E$84-1)</f>
        <v>7.6804228228104519</v>
      </c>
      <c r="Y323" s="21">
        <f>inputs!$E$82*(F323/inputs!$F$82)^(inputs!$E$84-1)</f>
        <v>3.5397855111330823</v>
      </c>
      <c r="Z323" s="63">
        <f t="shared" si="40"/>
        <v>1159.767423852634</v>
      </c>
      <c r="AA323" s="63">
        <f t="shared" si="41"/>
        <v>25.1150647436612</v>
      </c>
    </row>
    <row r="324" spans="1:27" x14ac:dyDescent="0.25">
      <c r="A324" s="103" t="s">
        <v>867</v>
      </c>
      <c r="B324" s="20" t="s">
        <v>869</v>
      </c>
      <c r="C324" s="20" t="s">
        <v>73</v>
      </c>
      <c r="D324" s="104" t="s">
        <v>141</v>
      </c>
      <c r="E324" s="15">
        <v>11333</v>
      </c>
      <c r="F324" s="15">
        <v>23</v>
      </c>
      <c r="G324" s="20" t="s">
        <v>142</v>
      </c>
      <c r="H324" s="20">
        <v>0.69</v>
      </c>
      <c r="I324" s="48">
        <f>MAX('Min rate concentrations'!$H$3:$H$368)</f>
        <v>47</v>
      </c>
      <c r="J324" s="48">
        <f>MAX('Min rate concentrations'!AA:AA)</f>
        <v>32.5</v>
      </c>
      <c r="K324" s="59">
        <f t="shared" si="39"/>
        <v>37.701624251721434</v>
      </c>
      <c r="L324" s="59">
        <f t="shared" ref="L324:L331" si="42">((0.398*F324^0.85)/(1-H324))*J324/F324</f>
        <v>26.070272088956312</v>
      </c>
      <c r="M324" s="59">
        <f>IF((((1.18*F324^0.874)-(0.398*F324^0.85)/(1-H324)*H324)*(MAX('Min rate concentrations'!$P$3:$P$368)))/F324&gt;0, (((1.18*F324^0.874)-(0.398*F324^0.85)/(1-H324)*H324)*(MAX('Min rate concentrations'!$P$3:$P$368)))/F324, 0)</f>
        <v>3.5037728275873266E-2</v>
      </c>
      <c r="N324" s="59">
        <f>IF((((1.18*F324^0.874)-(0.398*F324^0.85)/(1-H324)*H324)*(MAX('Min rate concentrations'!$Q$3:$Q$368)))/F324&gt;0, (((1.18*F324^0.874)-(0.398*F324^0.85)/(1-H324)*H324)*(MAX('Min rate concentrations'!$Q$3:$Q$368)))/F324, 0)</f>
        <v>0.13342555191070868</v>
      </c>
      <c r="O324" s="59">
        <f>((MAX('Min rate concentrations'!$F$3:$F$368))*0.62*6.01*8*(10*F324^0.667)*0.079*0.1/F324)*inputs!$E$80/(10^(0.84+0.62*LOG10(inputs!$E$80)))</f>
        <v>8.6128484594081662</v>
      </c>
      <c r="P324" s="59">
        <f>((MAX('Min rate concentrations'!Y:Y))*0.62*6.01*8*(10*F324^0.667)*0.079*0.1/F324)*inputs!$E$80/(10^(0.84+0.62*LOG10(inputs!$E$80)))</f>
        <v>2.8709494864693892</v>
      </c>
      <c r="Q324" s="59">
        <f>(inputs!$C$7*11.2*(10*F324^0.667)*0.5/F324)*inputs!$E$80/(10^(0.84+0.62*LOG10(inputs!$E$80)))</f>
        <v>1.517112632952438</v>
      </c>
      <c r="R324" s="59">
        <f>(60*284*((F324/1000)^0.77)*3*24*(MAX('Min rate concentrations'!$R$3:$R$368))/F324)*(inputs!$E$73*3.4/inputs!$E$75)</f>
        <v>1.1161899367565913E-2</v>
      </c>
      <c r="S324" s="59">
        <f>(IF(inputs!$C$6="aerial",((0.025*0.112*inputs!$C$7/3.3)*(3*60*284*((F324/1000)^0.77))*MAX(inputs!$H$14:$H$16))/F324,((0.0083*0.112*inputs!$C$7/1)*(3*60*284*((F324/1000)^0.77))*MAX(inputs!$H$14:$H$16))/F324))*(inputs!E$75*3.4/inputs!$E$73)</f>
        <v>6.1558560780350866E-2</v>
      </c>
      <c r="T324" s="63">
        <f>IF((((inputs!$P$12/(V324/MAX(K324:S324)))^(1/inputs!$O$12))-1)/inputs!$N$12&lt;0, 0, IF((((inputs!$P$12/(V324/MAX(K324:S324)))^(1/inputs!$O$12))-1)/inputs!$N$12&gt;inputs!$H$17, inputs!$H$17, (((inputs!$P$12/(V324/MAX(K324:S324)))^(1/inputs!$O$12))-1)/inputs!$N$12))</f>
        <v>342.08338967432087</v>
      </c>
      <c r="U324" s="63">
        <f>IF((((inputs!$P$12/(X324/MAX(K324:S324)))^(1/inputs!$O$12))-1)/inputs!$N$12&lt;0, 0, IF((((inputs!$P$12/(X324/MAX(K324:S324)))^(1/inputs!$O$12))-1)/inputs!$N$12&gt;inputs!$H$17, inputs!$H$17, (((inputs!$P$12/(X324/MAX(K324:S324)))^(1/inputs!$O$12))-1)/inputs!$N$12))</f>
        <v>17.130123691385879</v>
      </c>
      <c r="V324" s="21">
        <f>inputs!$E$78*(F324/inputs!$F$78)^(inputs!$E$84-1)</f>
        <v>3.2727610783302954E-2</v>
      </c>
      <c r="W324" s="21">
        <f>inputs!$E$85*(F324/inputs!$F$85)^(inputs!$E$84-1)</f>
        <v>1.5113007764227557</v>
      </c>
      <c r="X324" s="21">
        <f>inputs!$E$80*(F324/inputs!$F$80)^(inputs!$E$84-1)</f>
        <v>5.6434649246166195</v>
      </c>
      <c r="Y324" s="21">
        <f>inputs!$E$82*(F324/inputs!$F$82)^(inputs!$E$84-1)</f>
        <v>2.6009838043572349</v>
      </c>
      <c r="Z324" s="63">
        <f t="shared" si="40"/>
        <v>1151.9821749700143</v>
      </c>
      <c r="AA324" s="63">
        <f t="shared" si="41"/>
        <v>24.946473157355918</v>
      </c>
    </row>
    <row r="325" spans="1:27" x14ac:dyDescent="0.25">
      <c r="A325" s="103" t="s">
        <v>867</v>
      </c>
      <c r="B325" s="20" t="s">
        <v>869</v>
      </c>
      <c r="C325" s="20" t="s">
        <v>73</v>
      </c>
      <c r="D325" s="104" t="s">
        <v>141</v>
      </c>
      <c r="E325" s="15">
        <v>11333</v>
      </c>
      <c r="F325" s="15">
        <v>23</v>
      </c>
      <c r="G325" s="20" t="s">
        <v>153</v>
      </c>
      <c r="H325" s="20">
        <v>0.7</v>
      </c>
      <c r="I325" s="48">
        <f>MAX('Min rate concentrations'!$E$3:$E$368)</f>
        <v>55</v>
      </c>
      <c r="J325" s="48">
        <f>MAX('Min rate concentrations'!X:X)</f>
        <v>18</v>
      </c>
      <c r="K325" s="59">
        <f t="shared" si="39"/>
        <v>45.589552729918474</v>
      </c>
      <c r="L325" s="59">
        <f t="shared" si="42"/>
        <v>14.920217257064229</v>
      </c>
      <c r="M325" s="59">
        <f>IF((((1.18*F325^0.874)-(0.398*F325^0.85)/(1-H325)*H325)*(MAX('Min rate concentrations'!$P$3:$P$368)))/F325&gt;0, (((1.18*F325^0.874)-(0.398*F325^0.85)/(1-H325)*H325)*(MAX('Min rate concentrations'!$P$3:$P$368)))/F325, 0)</f>
        <v>3.1156652727357802E-2</v>
      </c>
      <c r="N325" s="59">
        <f>IF((((1.18*F325^0.874)-(0.398*F325^0.85)/(1-H325)*H325)*(MAX('Min rate concentrations'!$Q$3:$Q$368)))/F325&gt;0, (((1.18*F325^0.874)-(0.398*F325^0.85)/(1-H325)*H325)*(MAX('Min rate concentrations'!$Q$3:$Q$368)))/F325, 0)</f>
        <v>0.1186462076852325</v>
      </c>
      <c r="O325" s="59">
        <f>((MAX('Min rate concentrations'!$F$3:$F$368))*0.62*6.01*8*(10*F325^0.667)*0.079*0.1/F325)*inputs!$E$80/(10^(0.84+0.62*LOG10(inputs!$E$80)))</f>
        <v>8.6128484594081662</v>
      </c>
      <c r="P325" s="59">
        <f>((MAX('Min rate concentrations'!Y:Y))*0.62*6.01*8*(10*F325^0.667)*0.079*0.1/F325)*inputs!$E$80/(10^(0.84+0.62*LOG10(inputs!$E$80)))</f>
        <v>2.8709494864693892</v>
      </c>
      <c r="Q325" s="59">
        <f>(inputs!$C$7*11.2*(10*F325^0.667)*0.5/F325)*inputs!$E$80/(10^(0.84+0.62*LOG10(inputs!$E$80)))</f>
        <v>1.517112632952438</v>
      </c>
      <c r="R325" s="59">
        <f>(60*284*((F325/1000)^0.77)*3*24*(MAX('Min rate concentrations'!$R$3:$R$368))/F325)*(inputs!$E$73*3.4/inputs!$E$75)</f>
        <v>1.1161899367565913E-2</v>
      </c>
      <c r="S325" s="59">
        <f>(IF(inputs!$C$6="aerial",((0.025*0.112*inputs!$C$7/3.3)*(3*60*284*((F325/1000)^0.77))*MAX(inputs!$H$14:$H$16))/F325,((0.0083*0.112*inputs!$C$7/1)*(3*60*284*((F325/1000)^0.77))*MAX(inputs!$H$14:$H$16))/F325))*(inputs!E$75*3.4/inputs!$E$73)</f>
        <v>6.1558560780350866E-2</v>
      </c>
      <c r="T325" s="63">
        <f>IF((((inputs!$P$12/(V325/MAX(K325:S325)))^(1/inputs!$O$12))-1)/inputs!$N$12&lt;0, 0, IF((((inputs!$P$12/(V325/MAX(K325:S325)))^(1/inputs!$O$12))-1)/inputs!$N$12&gt;inputs!$H$17, inputs!$H$17, (((inputs!$P$12/(V325/MAX(K325:S325)))^(1/inputs!$O$12))-1)/inputs!$N$12))</f>
        <v>371.85283327934576</v>
      </c>
      <c r="U325" s="63">
        <f>IF((((inputs!$P$12/(X325/MAX(K325:S325)))^(1/inputs!$O$12))-1)/inputs!$N$12&lt;0, 0, IF((((inputs!$P$12/(X325/MAX(K325:S325)))^(1/inputs!$O$12))-1)/inputs!$N$12&gt;inputs!$H$17, inputs!$H$17, (((inputs!$P$12/(X325/MAX(K325:S325)))^(1/inputs!$O$12))-1)/inputs!$N$12))</f>
        <v>20.794948206712988</v>
      </c>
      <c r="V325" s="21">
        <f>inputs!$E$78*(F325/inputs!$F$78)^(inputs!$E$84-1)</f>
        <v>3.2727610783302954E-2</v>
      </c>
      <c r="W325" s="21">
        <f>inputs!$E$85*(F325/inputs!$F$85)^(inputs!$E$84-1)</f>
        <v>1.5113007764227557</v>
      </c>
      <c r="X325" s="21">
        <f>inputs!$E$80*(F325/inputs!$F$80)^(inputs!$E$84-1)</f>
        <v>5.6434649246166195</v>
      </c>
      <c r="Y325" s="21">
        <f>inputs!$E$82*(F325/inputs!$F$82)^(inputs!$E$84-1)</f>
        <v>2.6009838043572349</v>
      </c>
      <c r="Z325" s="63">
        <f t="shared" si="40"/>
        <v>1392.9997222155139</v>
      </c>
      <c r="AA325" s="63">
        <f t="shared" si="41"/>
        <v>30.165770732831096</v>
      </c>
    </row>
    <row r="326" spans="1:27" x14ac:dyDescent="0.25">
      <c r="A326" s="103" t="s">
        <v>321</v>
      </c>
      <c r="B326" s="20" t="s">
        <v>322</v>
      </c>
      <c r="C326" s="20" t="s">
        <v>73</v>
      </c>
      <c r="D326" s="104" t="s">
        <v>141</v>
      </c>
      <c r="E326" s="15">
        <v>81</v>
      </c>
      <c r="F326" s="15">
        <v>20</v>
      </c>
      <c r="G326" s="20" t="s">
        <v>142</v>
      </c>
      <c r="H326" s="20">
        <v>0.69</v>
      </c>
      <c r="I326" s="48">
        <f>MAX('Min rate concentrations'!$H$3:$H$368)</f>
        <v>47</v>
      </c>
      <c r="J326" s="48">
        <f>MAX('Min rate concentrations'!AA:AA)</f>
        <v>32.5</v>
      </c>
      <c r="K326" s="59">
        <f t="shared" si="39"/>
        <v>38.500355248394953</v>
      </c>
      <c r="L326" s="59">
        <f t="shared" si="42"/>
        <v>26.622586076017786</v>
      </c>
      <c r="M326" s="59">
        <f>IF((((1.18*F326^0.874)-(0.398*F326^0.85)/(1-H326)*H326)*(MAX('Min rate concentrations'!$P$3:$P$368)))/F326&gt;0, (((1.18*F326^0.874)-(0.398*F326^0.85)/(1-H326)*H326)*(MAX('Min rate concentrations'!$P$3:$P$368)))/F326, 0)</f>
        <v>3.5385482091505556E-2</v>
      </c>
      <c r="N326" s="59">
        <f>IF((((1.18*F326^0.874)-(0.398*F326^0.85)/(1-H326)*H326)*(MAX('Min rate concentrations'!$Q$3:$Q$368)))/F326&gt;0, (((1.18*F326^0.874)-(0.398*F326^0.85)/(1-H326)*H326)*(MAX('Min rate concentrations'!$Q$3:$Q$368)))/F326, 0)</f>
        <v>0.13474981712603498</v>
      </c>
      <c r="O326" s="59">
        <f>((MAX('Min rate concentrations'!$F$3:$F$368))*0.62*6.01*8*(10*F326^0.667)*0.079*0.1/F326)*inputs!$E$80/(10^(0.84+0.62*LOG10(inputs!$E$80)))</f>
        <v>9.0231709788796604</v>
      </c>
      <c r="P326" s="59">
        <f>((MAX('Min rate concentrations'!Y:Y))*0.62*6.01*8*(10*F326^0.667)*0.079*0.1/F326)*inputs!$E$80/(10^(0.84+0.62*LOG10(inputs!$E$80)))</f>
        <v>3.0077236596265537</v>
      </c>
      <c r="Q326" s="59">
        <f>(inputs!$C$7*11.2*(10*F326^0.667)*0.5/F326)*inputs!$E$80/(10^(0.84+0.62*LOG10(inputs!$E$80)))</f>
        <v>1.5893890094391379</v>
      </c>
      <c r="R326" s="59">
        <f>(60*284*((F326/1000)^0.77)*3*24*(MAX('Min rate concentrations'!$R$3:$R$368))/F326)*(inputs!$E$73*3.4/inputs!$E$75)</f>
        <v>1.1526530558946087E-2</v>
      </c>
      <c r="S326" s="59">
        <f>(IF(inputs!$C$6="aerial",((0.025*0.112*inputs!$C$7/3.3)*(3*60*284*((F326/1000)^0.77))*MAX(inputs!$H$14:$H$16))/F326,((0.0083*0.112*inputs!$C$7/1)*(3*60*284*((F326/1000)^0.77))*MAX(inputs!$H$14:$H$16))/F326))*(inputs!E$75*3.4/inputs!$E$73)</f>
        <v>6.3569524203136399E-2</v>
      </c>
      <c r="T326" s="63">
        <f>IF((((inputs!$P$12/(V326/MAX(K326:S326)))^(1/inputs!$O$12))-1)/inputs!$N$12&lt;0, 0, IF((((inputs!$P$12/(V326/MAX(K326:S326)))^(1/inputs!$O$12))-1)/inputs!$N$12&gt;inputs!$H$17, inputs!$H$17, (((inputs!$P$12/(V326/MAX(K326:S326)))^(1/inputs!$O$12))-1)/inputs!$N$12))</f>
        <v>337.4778010012177</v>
      </c>
      <c r="U326" s="63">
        <f>IF((((inputs!$P$12/(X326/MAX(K326:S326)))^(1/inputs!$O$12))-1)/inputs!$N$12&lt;0, 0, IF((((inputs!$P$12/(X326/MAX(K326:S326)))^(1/inputs!$O$12))-1)/inputs!$N$12&gt;inputs!$H$17, inputs!$H$17, (((inputs!$P$12/(X326/MAX(K326:S326)))^(1/inputs!$O$12))-1)/inputs!$N$12))</f>
        <v>16.563143854589342</v>
      </c>
      <c r="V326" s="21">
        <f>inputs!$E$78*(F326/inputs!$F$78)^(inputs!$E$84-1)</f>
        <v>3.4464541288703368E-2</v>
      </c>
      <c r="W326" s="21">
        <f>inputs!$E$85*(F326/inputs!$F$85)^(inputs!$E$84-1)</f>
        <v>1.5915090274553441</v>
      </c>
      <c r="X326" s="21">
        <f>inputs!$E$80*(F326/inputs!$F$80)^(inputs!$E$84-1)</f>
        <v>5.9429767480927405</v>
      </c>
      <c r="Y326" s="21">
        <f>inputs!$E$82*(F326/inputs!$F$82)^(inputs!$E$84-1)</f>
        <v>2.739024070839057</v>
      </c>
      <c r="Z326" s="63">
        <f t="shared" si="40"/>
        <v>1117.1004693166894</v>
      </c>
      <c r="AA326" s="63">
        <f t="shared" si="41"/>
        <v>24.191100762999117</v>
      </c>
    </row>
    <row r="327" spans="1:27" x14ac:dyDescent="0.25">
      <c r="A327" s="103" t="s">
        <v>303</v>
      </c>
      <c r="B327" s="20" t="s">
        <v>304</v>
      </c>
      <c r="C327" s="20" t="s">
        <v>73</v>
      </c>
      <c r="D327" s="104" t="s">
        <v>141</v>
      </c>
      <c r="E327" s="15">
        <v>109</v>
      </c>
      <c r="F327" s="15">
        <v>14</v>
      </c>
      <c r="G327" s="20" t="s">
        <v>142</v>
      </c>
      <c r="H327" s="20">
        <v>0.69</v>
      </c>
      <c r="I327" s="48">
        <f>MAX('Min rate concentrations'!$H$3:$H$368)</f>
        <v>47</v>
      </c>
      <c r="J327" s="48">
        <f>MAX('Min rate concentrations'!AA:AA)</f>
        <v>32.5</v>
      </c>
      <c r="K327" s="59">
        <f t="shared" si="39"/>
        <v>40.616269383585824</v>
      </c>
      <c r="L327" s="59">
        <f t="shared" si="42"/>
        <v>28.085718190777431</v>
      </c>
      <c r="M327" s="59">
        <f>IF((((1.18*F327^0.874)-(0.398*F327^0.85)/(1-H327)*H327)*(MAX('Min rate concentrations'!$P$3:$P$368)))/F327&gt;0, (((1.18*F327^0.874)-(0.398*F327^0.85)/(1-H327)*H327)*(MAX('Min rate concentrations'!$P$3:$P$368)))/F327, 0)</f>
        <v>3.6274302675177221E-2</v>
      </c>
      <c r="N327" s="59">
        <f>IF((((1.18*F327^0.874)-(0.398*F327^0.85)/(1-H327)*H327)*(MAX('Min rate concentrations'!$Q$3:$Q$368)))/F327&gt;0, (((1.18*F327^0.874)-(0.398*F327^0.85)/(1-H327)*H327)*(MAX('Min rate concentrations'!$Q$3:$Q$368)))/F327, 0)</f>
        <v>0.13813449366648442</v>
      </c>
      <c r="O327" s="59">
        <f>((MAX('Min rate concentrations'!$F$3:$F$368))*0.62*6.01*8*(10*F327^0.667)*0.079*0.1/F327)*inputs!$E$80/(10^(0.84+0.62*LOG10(inputs!$E$80)))</f>
        <v>10.161119045837104</v>
      </c>
      <c r="P327" s="59">
        <f>((MAX('Min rate concentrations'!Y:Y))*0.62*6.01*8*(10*F327^0.667)*0.079*0.1/F327)*inputs!$E$80/(10^(0.84+0.62*LOG10(inputs!$E$80)))</f>
        <v>3.3870396819457014</v>
      </c>
      <c r="Q327" s="59">
        <f>(inputs!$C$7*11.2*(10*F327^0.667)*0.5/F327)*inputs!$E$80/(10^(0.84+0.62*LOG10(inputs!$E$80)))</f>
        <v>1.7898331942127752</v>
      </c>
      <c r="R327" s="59">
        <f>(60*284*((F327/1000)^0.77)*3*24*(MAX('Min rate concentrations'!$R$3:$R$368))/F327)*(inputs!$E$73*3.4/inputs!$E$75)</f>
        <v>1.2511980440598092E-2</v>
      </c>
      <c r="S327" s="59">
        <f>(IF(inputs!$C$6="aerial",((0.025*0.112*inputs!$C$7/3.3)*(3*60*284*((F327/1000)^0.77))*MAX(inputs!$H$14:$H$16))/F327,((0.0083*0.112*inputs!$C$7/1)*(3*60*284*((F327/1000)^0.77))*MAX(inputs!$H$14:$H$16))/F327))*(inputs!E$75*3.4/inputs!$E$73)</f>
        <v>6.9004340844821765E-2</v>
      </c>
      <c r="T327" s="63">
        <f>IF((((inputs!$P$12/(V327/MAX(K327:S327)))^(1/inputs!$O$12))-1)/inputs!$N$12&lt;0, 0, IF((((inputs!$P$12/(V327/MAX(K327:S327)))^(1/inputs!$O$12))-1)/inputs!$N$12&gt;inputs!$H$17, inputs!$H$17, (((inputs!$P$12/(V327/MAX(K327:S327)))^(1/inputs!$O$12))-1)/inputs!$N$12))</f>
        <v>325.98202498505117</v>
      </c>
      <c r="U327" s="63">
        <f>IF((((inputs!$P$12/(X327/MAX(K327:S327)))^(1/inputs!$O$12))-1)/inputs!$N$12&lt;0, 0, IF((((inputs!$P$12/(X327/MAX(K327:S327)))^(1/inputs!$O$12))-1)/inputs!$N$12&gt;inputs!$H$17, inputs!$H$17, (((inputs!$P$12/(X327/MAX(K327:S327)))^(1/inputs!$O$12))-1)/inputs!$N$12))</f>
        <v>15.147934275071194</v>
      </c>
      <c r="V327" s="21">
        <f>inputs!$E$78*(F327/inputs!$F$78)^(inputs!$E$84-1)</f>
        <v>3.9326584321336476E-2</v>
      </c>
      <c r="W327" s="21">
        <f>inputs!$E$85*(F327/inputs!$F$85)^(inputs!$E$84-1)</f>
        <v>1.8160292180330224</v>
      </c>
      <c r="X327" s="21">
        <f>inputs!$E$80*(F327/inputs!$F$80)^(inputs!$E$84-1)</f>
        <v>6.7813749280979954</v>
      </c>
      <c r="Y327" s="21">
        <f>inputs!$E$82*(F327/inputs!$F$82)^(inputs!$E$84-1)</f>
        <v>3.1254285434325308</v>
      </c>
      <c r="Z327" s="63">
        <f t="shared" si="40"/>
        <v>1032.7942302771928</v>
      </c>
      <c r="AA327" s="63">
        <f t="shared" si="41"/>
        <v>22.365427263102141</v>
      </c>
    </row>
    <row r="328" spans="1:27" x14ac:dyDescent="0.25">
      <c r="A328" s="103" t="s">
        <v>283</v>
      </c>
      <c r="B328" s="20" t="s">
        <v>284</v>
      </c>
      <c r="C328" s="20" t="s">
        <v>73</v>
      </c>
      <c r="D328" s="104" t="s">
        <v>141</v>
      </c>
      <c r="E328" s="15">
        <v>106</v>
      </c>
      <c r="F328" s="15">
        <v>50</v>
      </c>
      <c r="G328" s="20" t="s">
        <v>142</v>
      </c>
      <c r="H328" s="20">
        <v>0.69</v>
      </c>
      <c r="I328" s="48">
        <f>MAX('Min rate concentrations'!$H$3:$H$368)</f>
        <v>47</v>
      </c>
      <c r="J328" s="48">
        <f>MAX('Min rate concentrations'!AA:AA)</f>
        <v>32.5</v>
      </c>
      <c r="K328" s="59">
        <f t="shared" si="39"/>
        <v>33.55627427836972</v>
      </c>
      <c r="L328" s="59">
        <f t="shared" si="42"/>
        <v>23.2038066818514</v>
      </c>
      <c r="M328" s="59">
        <f>IF((((1.18*F328^0.874)-(0.398*F328^0.85)/(1-H328)*H328)*(MAX('Min rate concentrations'!$P$3:$P$368)))/F328&gt;0, (((1.18*F328^0.874)-(0.398*F328^0.85)/(1-H328)*H328)*(MAX('Min rate concentrations'!$P$3:$P$368)))/F328, 0)</f>
        <v>3.3117028524937038E-2</v>
      </c>
      <c r="N328" s="59">
        <f>IF((((1.18*F328^0.874)-(0.398*F328^0.85)/(1-H328)*H328)*(MAX('Min rate concentrations'!$Q$3:$Q$368)))/F328&gt;0, (((1.18*F328^0.874)-(0.398*F328^0.85)/(1-H328)*H328)*(MAX('Min rate concentrations'!$Q$3:$Q$368)))/F328, 0)</f>
        <v>0.1261114240567093</v>
      </c>
      <c r="O328" s="59">
        <f>((MAX('Min rate concentrations'!$F$3:$F$368))*0.62*6.01*8*(10*F328^0.667)*0.079*0.1/F328)*inputs!$E$80/(10^(0.84+0.62*LOG10(inputs!$E$80)))</f>
        <v>6.6503601317129331</v>
      </c>
      <c r="P328" s="59">
        <f>((MAX('Min rate concentrations'!Y:Y))*0.62*6.01*8*(10*F328^0.667)*0.079*0.1/F328)*inputs!$E$80/(10^(0.84+0.62*LOG10(inputs!$E$80)))</f>
        <v>2.2167867105709775</v>
      </c>
      <c r="Q328" s="59">
        <f>(inputs!$C$7*11.2*(10*F328^0.667)*0.5/F328)*inputs!$E$80/(10^(0.84+0.62*LOG10(inputs!$E$80)))</f>
        <v>1.171429570258365</v>
      </c>
      <c r="R328" s="59">
        <f>(60*284*((F328/1000)^0.77)*3*24*(MAX('Min rate concentrations'!$R$3:$R$368))/F328)*(inputs!$E$73*3.4/inputs!$E$75)</f>
        <v>9.3362485288330452E-3</v>
      </c>
      <c r="S328" s="59">
        <f>(IF(inputs!$C$6="aerial",((0.025*0.112*inputs!$C$7/3.3)*(3*60*284*((F328/1000)^0.77))*MAX(inputs!$H$14:$H$16))/F328,((0.0083*0.112*inputs!$C$7/1)*(3*60*284*((F328/1000)^0.77))*MAX(inputs!$H$14:$H$16))/F328))*(inputs!E$75*3.4/inputs!$E$73)</f>
        <v>5.1489984239838318E-2</v>
      </c>
      <c r="T328" s="63">
        <f>IF((((inputs!$P$12/(V328/MAX(K328:S328)))^(1/inputs!$O$12))-1)/inputs!$N$12&lt;0, 0, IF((((inputs!$P$12/(V328/MAX(K328:S328)))^(1/inputs!$O$12))-1)/inputs!$N$12&gt;inputs!$H$17, inputs!$H$17, (((inputs!$P$12/(V328/MAX(K328:S328)))^(1/inputs!$O$12))-1)/inputs!$N$12))</f>
        <v>368.74844662252764</v>
      </c>
      <c r="U328" s="63">
        <f>IF((((inputs!$P$12/(X328/MAX(K328:S328)))^(1/inputs!$O$12))-1)/inputs!$N$12&lt;0, 0, IF((((inputs!$P$12/(X328/MAX(K328:S328)))^(1/inputs!$O$12))-1)/inputs!$N$12&gt;inputs!$H$17, inputs!$H$17, (((inputs!$P$12/(X328/MAX(K328:S328)))^(1/inputs!$O$12))-1)/inputs!$N$12))</f>
        <v>20.41277672659028</v>
      </c>
      <c r="V328" s="21">
        <f>inputs!$E$78*(F328/inputs!$F$78)^(inputs!$E$84-1)</f>
        <v>2.4554703782112351E-2</v>
      </c>
      <c r="W328" s="21">
        <f>inputs!$E$85*(F328/inputs!$F$85)^(inputs!$E$84-1)</f>
        <v>1.1338909869237934</v>
      </c>
      <c r="X328" s="21">
        <f>inputs!$E$80*(F328/inputs!$F$80)^(inputs!$E$84-1)</f>
        <v>4.2341498878799877</v>
      </c>
      <c r="Y328" s="21">
        <f>inputs!$E$82*(F328/inputs!$F$82)^(inputs!$E$84-1)</f>
        <v>1.9514527742626133</v>
      </c>
      <c r="Z328" s="63">
        <f t="shared" si="40"/>
        <v>1366.5925101818923</v>
      </c>
      <c r="AA328" s="63">
        <f t="shared" si="41"/>
        <v>29.593915698551161</v>
      </c>
    </row>
    <row r="329" spans="1:27" x14ac:dyDescent="0.25">
      <c r="A329" s="103" t="s">
        <v>283</v>
      </c>
      <c r="B329" s="20" t="s">
        <v>284</v>
      </c>
      <c r="C329" s="20" t="s">
        <v>73</v>
      </c>
      <c r="D329" s="104" t="s">
        <v>141</v>
      </c>
      <c r="E329" s="15">
        <v>106</v>
      </c>
      <c r="F329" s="15">
        <v>50</v>
      </c>
      <c r="G329" s="20" t="s">
        <v>152</v>
      </c>
      <c r="H329" s="20">
        <v>0.77</v>
      </c>
      <c r="I329" s="48">
        <f>MAX('Min rate concentrations'!$G$3:$G$368)</f>
        <v>7.5</v>
      </c>
      <c r="J329" s="48">
        <f>MAX('Min rate concentrations'!Z:Z)</f>
        <v>3.5</v>
      </c>
      <c r="K329" s="59">
        <f t="shared" si="39"/>
        <v>7.2172375298066251</v>
      </c>
      <c r="L329" s="59">
        <f t="shared" si="42"/>
        <v>3.3680441805764252</v>
      </c>
      <c r="M329" s="59">
        <f>IF((((1.18*F329^0.874)-(0.398*F329^0.85)/(1-H329)*H329)*(MAX('Min rate concentrations'!$P$3:$P$368)))/F329&gt;0, (((1.18*F329^0.874)-(0.398*F329^0.85)/(1-H329)*H329)*(MAX('Min rate concentrations'!$P$3:$P$368)))/F329, 0)</f>
        <v>0</v>
      </c>
      <c r="N329" s="59">
        <f>IF((((1.18*F329^0.874)-(0.398*F329^0.85)/(1-H329)*H329)*(MAX('Min rate concentrations'!$Q$3:$Q$368)))/F329&gt;0, (((1.18*F329^0.874)-(0.398*F329^0.85)/(1-H329)*H329)*(MAX('Min rate concentrations'!$Q$3:$Q$368)))/F329, 0)</f>
        <v>0</v>
      </c>
      <c r="O329" s="59">
        <f>((MAX('Min rate concentrations'!$F$3:$F$368))*0.62*6.01*8*(10*F329^0.667)*0.079*0.1/F329)*inputs!$E$80/(10^(0.84+0.62*LOG10(inputs!$E$80)))</f>
        <v>6.6503601317129331</v>
      </c>
      <c r="P329" s="59">
        <f>((MAX('Min rate concentrations'!Y:Y))*0.62*6.01*8*(10*F329^0.667)*0.079*0.1/F329)*inputs!$E$80/(10^(0.84+0.62*LOG10(inputs!$E$80)))</f>
        <v>2.2167867105709775</v>
      </c>
      <c r="Q329" s="59">
        <f>(inputs!$C$7*11.2*(10*F329^0.667)*0.5/F329)*inputs!$E$80/(10^(0.84+0.62*LOG10(inputs!$E$80)))</f>
        <v>1.171429570258365</v>
      </c>
      <c r="R329" s="59">
        <f>(60*284*((F329/1000)^0.77)*3*24*(MAX('Min rate concentrations'!$R$3:$R$368))/F329)*(inputs!$E$73*3.4/inputs!$E$75)</f>
        <v>9.3362485288330452E-3</v>
      </c>
      <c r="S329" s="59">
        <f>(IF(inputs!$C$6="aerial",((0.025*0.112*inputs!$C$7/3.3)*(3*60*284*((F329/1000)^0.77))*MAX(inputs!$H$14:$H$16))/F329,((0.0083*0.112*inputs!$C$7/1)*(3*60*284*((F329/1000)^0.77))*MAX(inputs!$H$14:$H$16))/F329))*(inputs!E$75*3.4/inputs!$E$73)</f>
        <v>5.1489984239838318E-2</v>
      </c>
      <c r="T329" s="63">
        <f>IF((((inputs!$P$12/(V329/MAX(K329:S329)))^(1/inputs!$O$12))-1)/inputs!$N$12&lt;0, 0, IF((((inputs!$P$12/(V329/MAX(K329:S329)))^(1/inputs!$O$12))-1)/inputs!$N$12&gt;inputs!$H$17, inputs!$H$17, (((inputs!$P$12/(V329/MAX(K329:S329)))^(1/inputs!$O$12))-1)/inputs!$N$12))</f>
        <v>184.12545736893506</v>
      </c>
      <c r="U329" s="63">
        <f>IF((((inputs!$P$12/(X329/MAX(K329:S329)))^(1/inputs!$O$12))-1)/inputs!$N$12&lt;0, 0, IF((((inputs!$P$12/(X329/MAX(K329:S329)))^(1/inputs!$O$12))-1)/inputs!$N$12&gt;inputs!$H$17, inputs!$H$17, (((inputs!$P$12/(X329/MAX(K329:S329)))^(1/inputs!$O$12))-1)/inputs!$N$12))</f>
        <v>0</v>
      </c>
      <c r="V329" s="21">
        <f>inputs!$E$78*(F329/inputs!$F$78)^(inputs!$E$84-1)</f>
        <v>2.4554703782112351E-2</v>
      </c>
      <c r="W329" s="21">
        <f>inputs!$E$85*(F329/inputs!$F$85)^(inputs!$E$84-1)</f>
        <v>1.1338909869237934</v>
      </c>
      <c r="X329" s="21">
        <f>inputs!$E$80*(F329/inputs!$F$80)^(inputs!$E$84-1)</f>
        <v>4.2341498878799877</v>
      </c>
      <c r="Y329" s="21">
        <f>inputs!$E$82*(F329/inputs!$F$82)^(inputs!$E$84-1)</f>
        <v>1.9514527742626133</v>
      </c>
      <c r="Z329" s="63">
        <f t="shared" si="40"/>
        <v>293.9248460844496</v>
      </c>
      <c r="AA329" s="63">
        <f t="shared" si="41"/>
        <v>6.3650188713350104</v>
      </c>
    </row>
    <row r="330" spans="1:27" x14ac:dyDescent="0.25">
      <c r="A330" s="103" t="s">
        <v>143</v>
      </c>
      <c r="B330" s="20" t="s">
        <v>144</v>
      </c>
      <c r="C330" s="20" t="s">
        <v>73</v>
      </c>
      <c r="D330" s="104" t="s">
        <v>141</v>
      </c>
      <c r="E330" s="15">
        <v>1222</v>
      </c>
      <c r="F330" s="15">
        <v>34.4</v>
      </c>
      <c r="G330" s="20" t="s">
        <v>142</v>
      </c>
      <c r="H330" s="20">
        <v>0.69</v>
      </c>
      <c r="I330" s="48">
        <f>MAX('Min rate concentrations'!$H$3:$H$368)</f>
        <v>47</v>
      </c>
      <c r="J330" s="48">
        <f>MAX('Min rate concentrations'!AA:AA)</f>
        <v>32.5</v>
      </c>
      <c r="K330" s="59">
        <f t="shared" si="39"/>
        <v>35.492408369230752</v>
      </c>
      <c r="L330" s="59">
        <f t="shared" si="42"/>
        <v>24.542622808510629</v>
      </c>
      <c r="M330" s="59">
        <f>IF((((1.18*F330^0.874)-(0.398*F330^0.85)/(1-H330)*H330)*(MAX('Min rate concentrations'!$P$3:$P$368)))/F330&gt;0, (((1.18*F330^0.874)-(0.398*F330^0.85)/(1-H330)*H330)*(MAX('Min rate concentrations'!$P$3:$P$368)))/F330, 0)</f>
        <v>3.4039081333141437E-2</v>
      </c>
      <c r="N330" s="59">
        <f>IF((((1.18*F330^0.874)-(0.398*F330^0.85)/(1-H330)*H330)*(MAX('Min rate concentrations'!$Q$3:$Q$368)))/F330&gt;0, (((1.18*F330^0.874)-(0.398*F330^0.85)/(1-H330)*H330)*(MAX('Min rate concentrations'!$Q$3:$Q$368)))/F330, 0)</f>
        <v>0.1296226506938028</v>
      </c>
      <c r="O330" s="59">
        <f>((MAX('Min rate concentrations'!$F$3:$F$368))*0.62*6.01*8*(10*F330^0.667)*0.079*0.1/F330)*inputs!$E$80/(10^(0.84+0.62*LOG10(inputs!$E$80)))</f>
        <v>7.5323104936713383</v>
      </c>
      <c r="P330" s="59">
        <f>((MAX('Min rate concentrations'!Y:Y))*0.62*6.01*8*(10*F330^0.667)*0.079*0.1/F330)*inputs!$E$80/(10^(0.84+0.62*LOG10(inputs!$E$80)))</f>
        <v>2.5107701645571132</v>
      </c>
      <c r="Q330" s="59">
        <f>(inputs!$C$7*11.2*(10*F330^0.667)*0.5/F330)*inputs!$E$80/(10^(0.84+0.62*LOG10(inputs!$E$80)))</f>
        <v>1.3267809667295878</v>
      </c>
      <c r="R330" s="59">
        <f>(60*284*((F330/1000)^0.77)*3*24*(MAX('Min rate concentrations'!$R$3:$R$368))/F330)*(inputs!$E$73*3.4/inputs!$E$75)</f>
        <v>1.017482769013257E-2</v>
      </c>
      <c r="S330" s="59">
        <f>(IF(inputs!$C$6="aerial",((0.025*0.112*inputs!$C$7/3.3)*(3*60*284*((F330/1000)^0.77))*MAX(inputs!$H$14:$H$16))/F330,((0.0083*0.112*inputs!$C$7/1)*(3*60*284*((F330/1000)^0.77))*MAX(inputs!$H$14:$H$16))/F330))*(inputs!E$75*3.4/inputs!$E$73)</f>
        <v>5.6114799835291024E-2</v>
      </c>
      <c r="T330" s="63">
        <f>IF((((inputs!$P$12/(V330/MAX(K330:S330)))^(1/inputs!$O$12))-1)/inputs!$N$12&lt;0, 0, IF((((inputs!$P$12/(V330/MAX(K330:S330)))^(1/inputs!$O$12))-1)/inputs!$N$12&gt;inputs!$H$17, inputs!$H$17, (((inputs!$P$12/(V330/MAX(K330:S330)))^(1/inputs!$O$12))-1)/inputs!$N$12))</f>
        <v>355.67552784392723</v>
      </c>
      <c r="U330" s="63">
        <f>IF((((inputs!$P$12/(X330/MAX(K330:S330)))^(1/inputs!$O$12))-1)/inputs!$N$12&lt;0, 0, IF((((inputs!$P$12/(X330/MAX(K330:S330)))^(1/inputs!$O$12))-1)/inputs!$N$12&gt;inputs!$H$17, inputs!$H$17, (((inputs!$P$12/(X330/MAX(K330:S330)))^(1/inputs!$O$12))-1)/inputs!$N$12))</f>
        <v>18.803409959029768</v>
      </c>
      <c r="V330" s="21">
        <f>inputs!$E$78*(F330/inputs!$F$78)^(inputs!$E$84-1)</f>
        <v>2.8198562998950707E-2</v>
      </c>
      <c r="W330" s="21">
        <f>inputs!$E$85*(F330/inputs!$F$85)^(inputs!$E$84-1)</f>
        <v>1.3021576929796042</v>
      </c>
      <c r="X330" s="21">
        <f>inputs!$E$80*(F330/inputs!$F$80)^(inputs!$E$84-1)</f>
        <v>4.8624875877086478</v>
      </c>
      <c r="Y330" s="21">
        <f>inputs!$E$82*(F330/inputs!$F$82)^(inputs!$E$84-1)</f>
        <v>2.2410436909692404</v>
      </c>
      <c r="Z330" s="63">
        <f t="shared" si="40"/>
        <v>1258.6601796180698</v>
      </c>
      <c r="AA330" s="63">
        <f t="shared" si="41"/>
        <v>27.256613051232556</v>
      </c>
    </row>
    <row r="331" spans="1:27" x14ac:dyDescent="0.25">
      <c r="A331" s="103" t="s">
        <v>143</v>
      </c>
      <c r="B331" s="20" t="s">
        <v>144</v>
      </c>
      <c r="C331" s="20" t="s">
        <v>73</v>
      </c>
      <c r="D331" s="104" t="s">
        <v>141</v>
      </c>
      <c r="E331" s="15">
        <v>1222</v>
      </c>
      <c r="F331" s="15">
        <v>34.4</v>
      </c>
      <c r="G331" s="20" t="s">
        <v>145</v>
      </c>
      <c r="H331" s="20">
        <v>0.66</v>
      </c>
      <c r="I331" s="48">
        <f>MAX('Min rate concentrations'!$M$3:$M$368)</f>
        <v>2.8488184789681945</v>
      </c>
      <c r="J331" s="48">
        <f>MAX('Min rate concentrations'!AE:AE)</f>
        <v>1.9699276716269429</v>
      </c>
      <c r="K331" s="59">
        <f t="shared" si="39"/>
        <v>1.961485790729568</v>
      </c>
      <c r="L331" s="59">
        <f t="shared" si="42"/>
        <v>1.356346557419382</v>
      </c>
      <c r="M331" s="59">
        <f>IF((((1.18*F331^0.874)-(0.398*F331^0.85)/(1-H331)*H331)*(MAX('Min rate concentrations'!$P$3:$P$368)))/F331&gt;0, (((1.18*F331^0.874)-(0.398*F331^0.85)/(1-H331)*H331)*(MAX('Min rate concentrations'!$P$3:$P$368)))/F331, 0)</f>
        <v>4.371052035968738E-2</v>
      </c>
      <c r="N331" s="59">
        <f>IF((((1.18*F331^0.874)-(0.398*F331^0.85)/(1-H331)*H331)*(MAX('Min rate concentrations'!$Q$3:$Q$368)))/F331&gt;0, (((1.18*F331^0.874)-(0.398*F331^0.85)/(1-H331)*H331)*(MAX('Min rate concentrations'!$Q$3:$Q$368)))/F331, 0)</f>
        <v>0.16645201016960628</v>
      </c>
      <c r="O331" s="59">
        <f>((MAX('Min rate concentrations'!$F$3:$F$368))*0.62*6.01*8*(10*F331^0.667)*0.079*0.1/F331)*inputs!$E$80/(10^(0.84+0.62*LOG10(inputs!$E$80)))</f>
        <v>7.5323104936713383</v>
      </c>
      <c r="P331" s="59">
        <f>((MAX('Min rate concentrations'!Y:Y))*0.62*6.01*8*(10*F331^0.667)*0.079*0.1/F331)*inputs!$E$80/(10^(0.84+0.62*LOG10(inputs!$E$80)))</f>
        <v>2.5107701645571132</v>
      </c>
      <c r="Q331" s="59">
        <f>(inputs!$C$7*11.2*(10*F331^0.667)*0.5/F331)*inputs!$E$80/(10^(0.84+0.62*LOG10(inputs!$E$80)))</f>
        <v>1.3267809667295878</v>
      </c>
      <c r="R331" s="59">
        <f>(60*284*((F331/1000)^0.77)*3*24*(MAX('Min rate concentrations'!$R$3:$R$368))/F331)*(inputs!$E$73*3.4/inputs!$E$75)</f>
        <v>1.017482769013257E-2</v>
      </c>
      <c r="S331" s="59">
        <f>(IF(inputs!$C$6="aerial",((0.025*0.112*inputs!$C$7/3.3)*(3*60*284*((F331/1000)^0.77))*MAX(inputs!$H$14:$H$16))/F331,((0.0083*0.112*inputs!$C$7/1)*(3*60*284*((F331/1000)^0.77))*MAX(inputs!$H$14:$H$16))/F331))*(inputs!E$75*3.4/inputs!$E$73)</f>
        <v>5.6114799835291024E-2</v>
      </c>
      <c r="T331" s="63">
        <f>IF((((inputs!$P$12/(V331/MAX(K331:S331)))^(1/inputs!$O$12))-1)/inputs!$N$12&lt;0, 0, IF((((inputs!$P$12/(V331/MAX(K331:S331)))^(1/inputs!$O$12))-1)/inputs!$N$12&gt;inputs!$H$17, inputs!$H$17, (((inputs!$P$12/(V331/MAX(K331:S331)))^(1/inputs!$O$12))-1)/inputs!$N$12))</f>
        <v>176.01364190168397</v>
      </c>
      <c r="U331" s="63">
        <f>IF((((inputs!$P$12/(X331/MAX(K331:S331)))^(1/inputs!$O$12))-1)/inputs!$N$12&lt;0, 0, IF((((inputs!$P$12/(X331/MAX(K331:S331)))^(1/inputs!$O$12))-1)/inputs!$N$12&gt;inputs!$H$17, inputs!$H$17, (((inputs!$P$12/(X331/MAX(K331:S331)))^(1/inputs!$O$12))-1)/inputs!$N$12))</f>
        <v>0</v>
      </c>
      <c r="V331" s="21">
        <f>inputs!$E$78*(F331/inputs!$F$78)^(inputs!$E$84-1)</f>
        <v>2.8198562998950707E-2</v>
      </c>
      <c r="W331" s="21">
        <f>inputs!$E$85*(F331/inputs!$F$85)^(inputs!$E$84-1)</f>
        <v>1.3021576929796042</v>
      </c>
      <c r="X331" s="21">
        <f>inputs!$E$80*(F331/inputs!$F$80)^(inputs!$E$84-1)</f>
        <v>4.8624875877086478</v>
      </c>
      <c r="Y331" s="21">
        <f>inputs!$E$82*(F331/inputs!$F$82)^(inputs!$E$84-1)</f>
        <v>2.2410436909692404</v>
      </c>
      <c r="Z331" s="63">
        <f t="shared" si="40"/>
        <v>267.11682059655391</v>
      </c>
      <c r="AA331" s="63">
        <f t="shared" si="41"/>
        <v>5.7844841176154826</v>
      </c>
    </row>
    <row r="332" spans="1:27" x14ac:dyDescent="0.25">
      <c r="A332" s="103" t="s">
        <v>143</v>
      </c>
      <c r="B332" s="20" t="s">
        <v>144</v>
      </c>
      <c r="C332" s="20" t="s">
        <v>73</v>
      </c>
      <c r="D332" s="104" t="s">
        <v>141</v>
      </c>
      <c r="E332" s="15">
        <v>1222</v>
      </c>
      <c r="F332" s="15">
        <v>34.4</v>
      </c>
      <c r="G332" s="20" t="s">
        <v>146</v>
      </c>
      <c r="H332" s="20">
        <v>0.84</v>
      </c>
      <c r="I332" s="48">
        <f>MAX('Min rate concentrations'!$I$3:$I$368)</f>
        <v>9.4775690500787988</v>
      </c>
      <c r="J332" s="48" t="s">
        <v>13</v>
      </c>
      <c r="K332" s="59">
        <f t="shared" si="39"/>
        <v>13.866800908593552</v>
      </c>
      <c r="L332" s="48" t="s">
        <v>13</v>
      </c>
      <c r="M332" s="59">
        <f>IF((((1.18*F332^0.874)-(0.398*F332^0.85)/(1-H332)*H332)*(MAX('Min rate concentrations'!$P$3:$P$368)))/F332&gt;0, (((1.18*F332^0.874)-(0.398*F332^0.85)/(1-H332)*H332)*(MAX('Min rate concentrations'!$P$3:$P$368)))/F332, 0)</f>
        <v>0</v>
      </c>
      <c r="N332" s="59">
        <f>IF((((1.18*F332^0.874)-(0.398*F332^0.85)/(1-H332)*H332)*(MAX('Min rate concentrations'!$Q$3:$Q$368)))/F332&gt;0, (((1.18*F332^0.874)-(0.398*F332^0.85)/(1-H332)*H332)*(MAX('Min rate concentrations'!$Q$3:$Q$368)))/F332, 0)</f>
        <v>0</v>
      </c>
      <c r="O332" s="59">
        <f>((MAX('Min rate concentrations'!$F$3:$F$368))*0.62*6.01*8*(10*F332^0.667)*0.079*0.1/F332)*inputs!$E$80/(10^(0.84+0.62*LOG10(inputs!$E$80)))</f>
        <v>7.5323104936713383</v>
      </c>
      <c r="P332" s="59">
        <f>((MAX('Min rate concentrations'!Y:Y))*0.62*6.01*8*(10*F332^0.667)*0.079*0.1/F332)*inputs!$E$80/(10^(0.84+0.62*LOG10(inputs!$E$80)))</f>
        <v>2.5107701645571132</v>
      </c>
      <c r="Q332" s="59">
        <f>(inputs!$C$7*11.2*(10*F332^0.667)*0.5/F332)*inputs!$E$80/(10^(0.84+0.62*LOG10(inputs!$E$80)))</f>
        <v>1.3267809667295878</v>
      </c>
      <c r="R332" s="59">
        <f>(60*284*((F332/1000)^0.77)*3*24*(MAX('Min rate concentrations'!$R$3:$R$368))/F332)*(inputs!$E$73*3.4/inputs!$E$75)</f>
        <v>1.017482769013257E-2</v>
      </c>
      <c r="S332" s="59">
        <f>(IF(inputs!$C$6="aerial",((0.025*0.112*inputs!$C$7/3.3)*(3*60*284*((F332/1000)^0.77))*MAX(inputs!$H$14:$H$16))/F332,((0.0083*0.112*inputs!$C$7/1)*(3*60*284*((F332/1000)^0.77))*MAX(inputs!$H$14:$H$16))/F332))*(inputs!E$75*3.4/inputs!$E$73)</f>
        <v>5.6114799835291024E-2</v>
      </c>
      <c r="T332" s="63">
        <f>IF((((inputs!$P$12/(V332/MAX(K332:S332)))^(1/inputs!$O$12))-1)/inputs!$N$12&lt;0, 0, IF((((inputs!$P$12/(V332/MAX(K332:S332)))^(1/inputs!$O$12))-1)/inputs!$N$12&gt;inputs!$H$17, inputs!$H$17, (((inputs!$P$12/(V332/MAX(K332:S332)))^(1/inputs!$O$12))-1)/inputs!$N$12))</f>
        <v>233.63324053025431</v>
      </c>
      <c r="U332" s="63">
        <f>IF((((inputs!$P$12/(X332/MAX(K332:S332)))^(1/inputs!$O$12))-1)/inputs!$N$12&lt;0, 0, IF((((inputs!$P$12/(X332/MAX(K332:S332)))^(1/inputs!$O$12))-1)/inputs!$N$12&gt;inputs!$H$17, inputs!$H$17, (((inputs!$P$12/(X332/MAX(K332:S332)))^(1/inputs!$O$12))-1)/inputs!$N$12))</f>
        <v>3.7791598457946192</v>
      </c>
      <c r="V332" s="21">
        <f>inputs!$E$78*(F332/inputs!$F$78)^(inputs!$E$84-1)</f>
        <v>2.8198562998950707E-2</v>
      </c>
      <c r="W332" s="21">
        <f>inputs!$E$85*(F332/inputs!$F$85)^(inputs!$E$84-1)</f>
        <v>1.3021576929796042</v>
      </c>
      <c r="X332" s="21">
        <f>inputs!$E$80*(F332/inputs!$F$80)^(inputs!$E$84-1)</f>
        <v>4.8624875877086478</v>
      </c>
      <c r="Y332" s="21">
        <f>inputs!$E$82*(F332/inputs!$F$82)^(inputs!$E$84-1)</f>
        <v>2.2410436909692404</v>
      </c>
      <c r="Z332" s="63">
        <f t="shared" si="40"/>
        <v>491.75558730101062</v>
      </c>
      <c r="AA332" s="63">
        <f t="shared" si="41"/>
        <v>10.64909494706702</v>
      </c>
    </row>
    <row r="333" spans="1:27" x14ac:dyDescent="0.25">
      <c r="A333" s="103" t="s">
        <v>361</v>
      </c>
      <c r="B333" s="20" t="s">
        <v>362</v>
      </c>
      <c r="C333" s="20" t="s">
        <v>73</v>
      </c>
      <c r="D333" s="104" t="s">
        <v>141</v>
      </c>
      <c r="E333" s="15">
        <v>72</v>
      </c>
      <c r="F333" s="15">
        <v>19</v>
      </c>
      <c r="G333" s="20" t="s">
        <v>142</v>
      </c>
      <c r="H333" s="20">
        <v>0.69</v>
      </c>
      <c r="I333" s="48">
        <f>MAX('Min rate concentrations'!$H$3:$H$368)</f>
        <v>47</v>
      </c>
      <c r="J333" s="48">
        <f>MAX('Min rate concentrations'!AA:AA)</f>
        <v>32.5</v>
      </c>
      <c r="K333" s="59">
        <f t="shared" si="39"/>
        <v>38.797719248267576</v>
      </c>
      <c r="L333" s="59">
        <f>((0.398*F333^0.85)/(1-H333))*J333/F333</f>
        <v>26.828210118482897</v>
      </c>
      <c r="M333" s="59">
        <f>IF((((1.18*F333^0.874)-(0.398*F333^0.85)/(1-H333)*H333)*(MAX('Min rate concentrations'!$P$3:$P$368)))/F333&gt;0, (((1.18*F333^0.874)-(0.398*F333^0.85)/(1-H333)*H333)*(MAX('Min rate concentrations'!$P$3:$P$368)))/F333, 0)</f>
        <v>3.5513205272359995E-2</v>
      </c>
      <c r="N333" s="59">
        <f>IF((((1.18*F333^0.874)-(0.398*F333^0.85)/(1-H333)*H333)*(MAX('Min rate concentrations'!$Q$3:$Q$368)))/F333&gt;0, (((1.18*F333^0.874)-(0.398*F333^0.85)/(1-H333)*H333)*(MAX('Min rate concentrations'!$Q$3:$Q$368)))/F333, 0)</f>
        <v>0.1352361938615104</v>
      </c>
      <c r="O333" s="59">
        <f>((MAX('Min rate concentrations'!$F$3:$F$368))*0.62*6.01*8*(10*F333^0.667)*0.079*0.1/F333)*inputs!$E$80/(10^(0.84+0.62*LOG10(inputs!$E$80)))</f>
        <v>9.178616535590816</v>
      </c>
      <c r="P333" s="59">
        <f>((MAX('Min rate concentrations'!Y:Y))*0.62*6.01*8*(10*F333^0.667)*0.079*0.1/F333)*inputs!$E$80/(10^(0.84+0.62*LOG10(inputs!$E$80)))</f>
        <v>3.0595388451969381</v>
      </c>
      <c r="Q333" s="59">
        <f>(inputs!$C$7*11.2*(10*F333^0.667)*0.5/F333)*inputs!$E$80/(10^(0.84+0.62*LOG10(inputs!$E$80)))</f>
        <v>1.6167700110827015</v>
      </c>
      <c r="R333" s="59">
        <f>(60*284*((F333/1000)^0.77)*3*24*(MAX('Min rate concentrations'!$R$3:$R$368))/F333)*(inputs!$E$73*3.4/inputs!$E$75)</f>
        <v>1.1663319610753771E-2</v>
      </c>
      <c r="S333" s="59">
        <f>(IF(inputs!$C$6="aerial",((0.025*0.112*inputs!$C$7/3.3)*(3*60*284*((F333/1000)^0.77))*MAX(inputs!$H$14:$H$16))/F333,((0.0083*0.112*inputs!$C$7/1)*(3*60*284*((F333/1000)^0.77))*MAX(inputs!$H$14:$H$16))/F333))*(inputs!E$75*3.4/inputs!$E$73)</f>
        <v>6.4323924227943863E-2</v>
      </c>
      <c r="T333" s="63">
        <f>IF((((inputs!$P$12/(V333/MAX(K333:S333)))^(1/inputs!$O$12))-1)/inputs!$N$12&lt;0, 0, IF((((inputs!$P$12/(V333/MAX(K333:S333)))^(1/inputs!$O$12))-1)/inputs!$N$12&gt;inputs!$H$17, inputs!$H$17, (((inputs!$P$12/(V333/MAX(K333:S333)))^(1/inputs!$O$12))-1)/inputs!$N$12))</f>
        <v>335.80192445901332</v>
      </c>
      <c r="U333" s="63">
        <f>IF((((inputs!$P$12/(X333/MAX(K333:S333)))^(1/inputs!$O$12))-1)/inputs!$N$12&lt;0, 0, IF((((inputs!$P$12/(X333/MAX(K333:S333)))^(1/inputs!$O$12))-1)/inputs!$N$12&gt;inputs!$H$17, inputs!$H$17, (((inputs!$P$12/(X333/MAX(K333:S333)))^(1/inputs!$O$12))-1)/inputs!$N$12))</f>
        <v>16.356831855009482</v>
      </c>
      <c r="V333" s="21">
        <f>inputs!$E$78*(F333/inputs!$F$78)^(inputs!$E$84-1)</f>
        <v>3.5124873481261372E-2</v>
      </c>
      <c r="W333" s="21">
        <f>inputs!$E$85*(F333/inputs!$F$85)^(inputs!$E$84-1)</f>
        <v>1.6220019516690172</v>
      </c>
      <c r="X333" s="21">
        <f>inputs!$E$80*(F333/inputs!$F$80)^(inputs!$E$84-1)</f>
        <v>6.0568427309159505</v>
      </c>
      <c r="Y333" s="21">
        <f>inputs!$E$82*(F333/inputs!$F$82)^(inputs!$E$84-1)</f>
        <v>2.7915031029844566</v>
      </c>
      <c r="Z333" s="63">
        <f t="shared" si="40"/>
        <v>1104.5653806828832</v>
      </c>
      <c r="AA333" s="63">
        <f t="shared" si="41"/>
        <v>23.91965016339547</v>
      </c>
    </row>
    <row r="334" spans="1:27" x14ac:dyDescent="0.25">
      <c r="A334" s="103" t="s">
        <v>361</v>
      </c>
      <c r="B334" s="20" t="s">
        <v>362</v>
      </c>
      <c r="C334" s="20" t="s">
        <v>73</v>
      </c>
      <c r="D334" s="104" t="s">
        <v>141</v>
      </c>
      <c r="E334" s="15">
        <v>72</v>
      </c>
      <c r="F334" s="15">
        <v>19</v>
      </c>
      <c r="G334" s="20" t="s">
        <v>363</v>
      </c>
      <c r="H334" s="20">
        <v>0.85</v>
      </c>
      <c r="I334" s="48">
        <f>MAX('Min rate concentrations'!$F$3:$F$368)</f>
        <v>67.5</v>
      </c>
      <c r="J334" s="48">
        <f>MAX('Min rate concentrations'!Y:Y)</f>
        <v>22.5</v>
      </c>
      <c r="K334" s="59">
        <f t="shared" si="39"/>
        <v>115.15493266241121</v>
      </c>
      <c r="L334" s="59"/>
      <c r="M334" s="59">
        <f>IF((((1.18*F334^0.874)-(0.398*F334^0.85)/(1-H334)*H334)*(MAX('Min rate concentrations'!$P$3:$P$368)))/F334&gt;0, (((1.18*F334^0.874)-(0.398*F334^0.85)/(1-H334)*H334)*(MAX('Min rate concentrations'!$P$3:$P$368)))/F334, 0)</f>
        <v>0</v>
      </c>
      <c r="N334" s="59">
        <f>IF((((1.18*F334^0.874)-(0.398*F334^0.85)/(1-H334)*H334)*(MAX('Min rate concentrations'!$Q$3:$Q$368)))/F334&gt;0, (((1.18*F334^0.874)-(0.398*F334^0.85)/(1-H334)*H334)*(MAX('Min rate concentrations'!$Q$3:$Q$368)))/F334, 0)</f>
        <v>0</v>
      </c>
      <c r="O334" s="59">
        <f>((MAX('Min rate concentrations'!$F$3:$F$368))*0.62*6.01*8*(10*F334^0.667)*0.079*0.1/F334)*inputs!$E$80/(10^(0.84+0.62*LOG10(inputs!$E$80)))</f>
        <v>9.178616535590816</v>
      </c>
      <c r="P334" s="59">
        <f>((MAX('Min rate concentrations'!Y:Y))*0.62*6.01*8*(10*F334^0.667)*0.079*0.1/F334)*inputs!$E$80/(10^(0.84+0.62*LOG10(inputs!$E$80)))</f>
        <v>3.0595388451969381</v>
      </c>
      <c r="Q334" s="59">
        <f>(inputs!$C$7*11.2*(10*F334^0.667)*0.5/F334)*inputs!$E$80/(10^(0.84+0.62*LOG10(inputs!$E$80)))</f>
        <v>1.6167700110827015</v>
      </c>
      <c r="R334" s="59">
        <f>(60*284*((F334/1000)^0.77)*3*24*(MAX('Min rate concentrations'!$R$3:$R$368))/F334)*(inputs!$E$73*3.4/inputs!$E$75)</f>
        <v>1.1663319610753771E-2</v>
      </c>
      <c r="S334" s="59">
        <f>(IF(inputs!$C$6="aerial",((0.025*0.112*inputs!$C$7/3.3)*(3*60*284*((F334/1000)^0.77))*MAX(inputs!$H$14:$H$16))/F334,((0.0083*0.112*inputs!$C$7/1)*(3*60*284*((F334/1000)^0.77))*MAX(inputs!$H$14:$H$16))/F334))*(inputs!E$75*3.4/inputs!$E$73)</f>
        <v>6.4323924227943863E-2</v>
      </c>
      <c r="T334" s="63">
        <f>IF((((inputs!$P$12/(V334/MAX(K334:S334)))^(1/inputs!$O$12))-1)/inputs!$N$12&lt;0, 0, IF((((inputs!$P$12/(V334/MAX(K334:S334)))^(1/inputs!$O$12))-1)/inputs!$N$12&gt;inputs!$H$17, inputs!$H$17, (((inputs!$P$12/(V334/MAX(K334:S334)))^(1/inputs!$O$12))-1)/inputs!$N$12))</f>
        <v>538.56146870504597</v>
      </c>
      <c r="U334" s="63">
        <f>IF((((inputs!$P$12/(X334/MAX(K334:S334)))^(1/inputs!$O$12))-1)/inputs!$N$12&lt;0, 0, IF((((inputs!$P$12/(X334/MAX(K334:S334)))^(1/inputs!$O$12))-1)/inputs!$N$12&gt;inputs!$H$17, inputs!$H$17, (((inputs!$P$12/(X334/MAX(K334:S334)))^(1/inputs!$O$12))-1)/inputs!$N$12))</f>
        <v>41.317934868167015</v>
      </c>
      <c r="V334" s="21">
        <f>inputs!$E$78*(F334/inputs!$F$78)^(inputs!$E$84-1)</f>
        <v>3.5124873481261372E-2</v>
      </c>
      <c r="W334" s="21">
        <f>inputs!$E$85*(F334/inputs!$F$85)^(inputs!$E$84-1)</f>
        <v>1.6220019516690172</v>
      </c>
      <c r="X334" s="21">
        <f>inputs!$E$80*(F334/inputs!$F$80)^(inputs!$E$84-1)</f>
        <v>6.0568427309159505</v>
      </c>
      <c r="Y334" s="21">
        <f>inputs!$E$82*(F334/inputs!$F$82)^(inputs!$E$84-1)</f>
        <v>2.7915031029844566</v>
      </c>
      <c r="Z334" s="63">
        <f t="shared" si="40"/>
        <v>3278.4440554311109</v>
      </c>
      <c r="AA334" s="63">
        <f t="shared" si="41"/>
        <v>70.995557399865277</v>
      </c>
    </row>
    <row r="335" spans="1:27" x14ac:dyDescent="0.25">
      <c r="A335" s="103" t="s">
        <v>361</v>
      </c>
      <c r="B335" s="20" t="s">
        <v>362</v>
      </c>
      <c r="C335" s="20" t="s">
        <v>73</v>
      </c>
      <c r="D335" s="104" t="s">
        <v>141</v>
      </c>
      <c r="E335" s="15">
        <v>72</v>
      </c>
      <c r="F335" s="15">
        <v>19</v>
      </c>
      <c r="G335" s="20" t="s">
        <v>154</v>
      </c>
      <c r="H335" s="20">
        <v>9.2999999999999999E-2</v>
      </c>
      <c r="I335" s="48">
        <f>MAX('Min rate concentrations'!$G$3:$G$368)</f>
        <v>7.5</v>
      </c>
      <c r="J335" s="48">
        <f>MAX('Min rate concentrations'!Z:Z)</f>
        <v>3.5</v>
      </c>
      <c r="K335" s="59">
        <f t="shared" si="39"/>
        <v>2.1160406589932235</v>
      </c>
      <c r="L335" s="59"/>
      <c r="M335" s="59">
        <f>IF((((1.18*F335^0.874)-(0.398*F335^0.85)/(1-H335)*H335)*(MAX('Min rate concentrations'!$P$3:$P$368)))/F335&gt;0, (((1.18*F335^0.874)-(0.398*F335^0.85)/(1-H335)*H335)*(MAX('Min rate concentrations'!$P$3:$P$368)))/F335, 0)</f>
        <v>0.11437860898030691</v>
      </c>
      <c r="N335" s="59">
        <f>IF((((1.18*F335^0.874)-(0.398*F335^0.85)/(1-H335)*H335)*(MAX('Min rate concentrations'!$Q$3:$Q$368)))/F335&gt;0, (((1.18*F335^0.874)-(0.398*F335^0.85)/(1-H335)*H335)*(MAX('Min rate concentrations'!$Q$3:$Q$368)))/F335, 0)</f>
        <v>0.43555988875241181</v>
      </c>
      <c r="O335" s="59">
        <f>((MAX('Min rate concentrations'!$F$3:$F$368))*0.62*6.01*8*(10*F335^0.667)*0.079*0.1/F335)*inputs!$E$80/(10^(0.84+0.62*LOG10(inputs!$E$80)))</f>
        <v>9.178616535590816</v>
      </c>
      <c r="P335" s="59">
        <f>((MAX('Min rate concentrations'!Y:Y))*0.62*6.01*8*(10*F335^0.667)*0.079*0.1/F335)*inputs!$E$80/(10^(0.84+0.62*LOG10(inputs!$E$80)))</f>
        <v>3.0595388451969381</v>
      </c>
      <c r="Q335" s="59">
        <f>(inputs!$C$7*11.2*(10*F335^0.667)*0.5/F335)*inputs!$E$80/(10^(0.84+0.62*LOG10(inputs!$E$80)))</f>
        <v>1.6167700110827015</v>
      </c>
      <c r="R335" s="59">
        <f>(60*284*((F335/1000)^0.77)*3*24*(MAX('Min rate concentrations'!$R$3:$R$368))/F335)*(inputs!$E$73*3.4/inputs!$E$75)</f>
        <v>1.1663319610753771E-2</v>
      </c>
      <c r="S335" s="59">
        <f>(IF(inputs!$C$6="aerial",((0.025*0.112*inputs!$C$7/3.3)*(3*60*284*((F335/1000)^0.77))*MAX(inputs!$H$14:$H$16))/F335,((0.0083*0.112*inputs!$C$7/1)*(3*60*284*((F335/1000)^0.77))*MAX(inputs!$H$14:$H$16))/F335))*(inputs!E$75*3.4/inputs!$E$73)</f>
        <v>6.4323924227943863E-2</v>
      </c>
      <c r="T335" s="63">
        <f>IF((((inputs!$P$12/(V335/MAX(K335:S335)))^(1/inputs!$O$12))-1)/inputs!$N$12&lt;0, 0, IF((((inputs!$P$12/(V335/MAX(K335:S335)))^(1/inputs!$O$12))-1)/inputs!$N$12&gt;inputs!$H$17, inputs!$H$17, (((inputs!$P$12/(V335/MAX(K335:S335)))^(1/inputs!$O$12))-1)/inputs!$N$12))</f>
        <v>174.19484889502183</v>
      </c>
      <c r="U335" s="63">
        <f>IF((((inputs!$P$12/(X335/MAX(K335:S335)))^(1/inputs!$O$12))-1)/inputs!$N$12&lt;0, 0, IF((((inputs!$P$12/(X335/MAX(K335:S335)))^(1/inputs!$O$12))-1)/inputs!$N$12&gt;inputs!$H$17, inputs!$H$17, (((inputs!$P$12/(X335/MAX(K335:S335)))^(1/inputs!$O$12))-1)/inputs!$N$12))</f>
        <v>0</v>
      </c>
      <c r="V335" s="21">
        <f>inputs!$E$78*(F335/inputs!$F$78)^(inputs!$E$84-1)</f>
        <v>3.5124873481261372E-2</v>
      </c>
      <c r="W335" s="21">
        <f>inputs!$E$85*(F335/inputs!$F$85)^(inputs!$E$84-1)</f>
        <v>1.6220019516690172</v>
      </c>
      <c r="X335" s="21">
        <f>inputs!$E$80*(F335/inputs!$F$80)^(inputs!$E$84-1)</f>
        <v>6.0568427309159505</v>
      </c>
      <c r="Y335" s="21">
        <f>inputs!$E$82*(F335/inputs!$F$82)^(inputs!$E$84-1)</f>
        <v>2.7915031029844566</v>
      </c>
      <c r="Z335" s="63">
        <f t="shared" si="40"/>
        <v>261.3138675214725</v>
      </c>
      <c r="AA335" s="63">
        <f t="shared" si="41"/>
        <v>5.6588196618050608</v>
      </c>
    </row>
    <row r="336" spans="1:27" x14ac:dyDescent="0.25">
      <c r="A336" s="103" t="s">
        <v>139</v>
      </c>
      <c r="B336" s="20" t="s">
        <v>140</v>
      </c>
      <c r="C336" s="20" t="s">
        <v>73</v>
      </c>
      <c r="D336" s="104" t="s">
        <v>141</v>
      </c>
      <c r="E336" s="15">
        <v>75</v>
      </c>
      <c r="F336" s="15">
        <v>15</v>
      </c>
      <c r="G336" s="20" t="s">
        <v>142</v>
      </c>
      <c r="H336" s="20">
        <v>0.69</v>
      </c>
      <c r="I336" s="48">
        <f>MAX('Min rate concentrations'!$H$3:$H$368)</f>
        <v>47</v>
      </c>
      <c r="J336" s="48">
        <f>MAX('Min rate concentrations'!AA:AA)</f>
        <v>32.5</v>
      </c>
      <c r="K336" s="59">
        <f t="shared" si="39"/>
        <v>40.198101950554658</v>
      </c>
      <c r="L336" s="59">
        <f t="shared" ref="L336:L341" si="43">((0.398*F336^0.85)/(1-H336))*J336/F336</f>
        <v>27.796559859426093</v>
      </c>
      <c r="M336" s="59">
        <f>IF((((1.18*F336^0.874)-(0.398*F336^0.85)/(1-H336)*H336)*(MAX('Min rate concentrations'!$P$3:$P$368)))/F336&gt;0, (((1.18*F336^0.874)-(0.398*F336^0.85)/(1-H336)*H336)*(MAX('Min rate concentrations'!$P$3:$P$368)))/F336, 0)</f>
        <v>3.610228561579551E-2</v>
      </c>
      <c r="N336" s="59">
        <f>IF((((1.18*F336^0.874)-(0.398*F336^0.85)/(1-H336)*H336)*(MAX('Min rate concentrations'!$Q$3:$Q$368)))/F336&gt;0, (((1.18*F336^0.874)-(0.398*F336^0.85)/(1-H336)*H336)*(MAX('Min rate concentrations'!$Q$3:$Q$368)))/F336, 0)</f>
        <v>0.13747944346159238</v>
      </c>
      <c r="O336" s="59">
        <f>((MAX('Min rate concentrations'!$F$3:$F$368))*0.62*6.01*8*(10*F336^0.667)*0.079*0.1/F336)*inputs!$E$80/(10^(0.84+0.62*LOG10(inputs!$E$80)))</f>
        <v>9.9303324036711853</v>
      </c>
      <c r="P336" s="59">
        <f>((MAX('Min rate concentrations'!Y:Y))*0.62*6.01*8*(10*F336^0.667)*0.079*0.1/F336)*inputs!$E$80/(10^(0.84+0.62*LOG10(inputs!$E$80)))</f>
        <v>3.3101108012237277</v>
      </c>
      <c r="Q336" s="59">
        <f>(inputs!$C$7*11.2*(10*F336^0.667)*0.5/F336)*inputs!$E$80/(10^(0.84+0.62*LOG10(inputs!$E$80)))</f>
        <v>1.7491812157184676</v>
      </c>
      <c r="R336" s="59">
        <f>(60*284*((F336/1000)^0.77)*3*24*(MAX('Min rate concentrations'!$R$3:$R$368))/F336)*(inputs!$E$73*3.4/inputs!$E$75)</f>
        <v>1.2315002814418724E-2</v>
      </c>
      <c r="S336" s="59">
        <f>(IF(inputs!$C$6="aerial",((0.025*0.112*inputs!$C$7/3.3)*(3*60*284*((F336/1000)^0.77))*MAX(inputs!$H$14:$H$16))/F336,((0.0083*0.112*inputs!$C$7/1)*(3*60*284*((F336/1000)^0.77))*MAX(inputs!$H$14:$H$16))/F336))*(inputs!E$75*3.4/inputs!$E$73)</f>
        <v>6.7917997134470234E-2</v>
      </c>
      <c r="T336" s="63">
        <f>IF((((inputs!$P$12/(V336/MAX(K336:S336)))^(1/inputs!$O$12))-1)/inputs!$N$12&lt;0, 0, IF((((inputs!$P$12/(V336/MAX(K336:S336)))^(1/inputs!$O$12))-1)/inputs!$N$12&gt;inputs!$H$17, inputs!$H$17, (((inputs!$P$12/(V336/MAX(K336:S336)))^(1/inputs!$O$12))-1)/inputs!$N$12))</f>
        <v>328.17716535581303</v>
      </c>
      <c r="U336" s="63">
        <f>IF((((inputs!$P$12/(X336/MAX(K336:S336)))^(1/inputs!$O$12))-1)/inputs!$N$12&lt;0, 0, IF((((inputs!$P$12/(X336/MAX(K336:S336)))^(1/inputs!$O$12))-1)/inputs!$N$12&gt;inputs!$H$17, inputs!$H$17, (((inputs!$P$12/(X336/MAX(K336:S336)))^(1/inputs!$O$12))-1)/inputs!$N$12))</f>
        <v>15.418171245304473</v>
      </c>
      <c r="V336" s="21">
        <f>inputs!$E$78*(F336/inputs!$F$78)^(inputs!$E$84-1)</f>
        <v>3.8335385520294862E-2</v>
      </c>
      <c r="W336" s="21">
        <f>inputs!$E$85*(F336/inputs!$F$85)^(inputs!$E$84-1)</f>
        <v>1.7702574833493601</v>
      </c>
      <c r="X336" s="21">
        <f>inputs!$E$80*(F336/inputs!$F$80)^(inputs!$E$84-1)</f>
        <v>6.6104551593425471</v>
      </c>
      <c r="Y336" s="21">
        <f>inputs!$E$82*(F336/inputs!$F$82)^(inputs!$E$84-1)</f>
        <v>3.0466543229286969</v>
      </c>
      <c r="Z336" s="63">
        <f t="shared" si="40"/>
        <v>1048.5900012476377</v>
      </c>
      <c r="AA336" s="63">
        <f t="shared" si="41"/>
        <v>22.707488785472666</v>
      </c>
    </row>
    <row r="337" spans="1:27" x14ac:dyDescent="0.25">
      <c r="A337" s="103" t="s">
        <v>305</v>
      </c>
      <c r="B337" s="20" t="s">
        <v>306</v>
      </c>
      <c r="C337" s="20" t="s">
        <v>73</v>
      </c>
      <c r="D337" s="104" t="s">
        <v>141</v>
      </c>
      <c r="E337" s="15">
        <v>99</v>
      </c>
      <c r="F337" s="15">
        <v>14</v>
      </c>
      <c r="G337" s="20" t="s">
        <v>142</v>
      </c>
      <c r="H337" s="20">
        <v>0.69</v>
      </c>
      <c r="I337" s="48">
        <f>MAX('Min rate concentrations'!$H$3:$H$368)</f>
        <v>47</v>
      </c>
      <c r="J337" s="48">
        <f>MAX('Min rate concentrations'!AA:AA)</f>
        <v>32.5</v>
      </c>
      <c r="K337" s="59">
        <f t="shared" si="39"/>
        <v>40.616269383585824</v>
      </c>
      <c r="L337" s="59">
        <f t="shared" si="43"/>
        <v>28.085718190777431</v>
      </c>
      <c r="M337" s="59">
        <f>IF((((1.18*F337^0.874)-(0.398*F337^0.85)/(1-H337)*H337)*(MAX('Min rate concentrations'!$P$3:$P$368)))/F337&gt;0, (((1.18*F337^0.874)-(0.398*F337^0.85)/(1-H337)*H337)*(MAX('Min rate concentrations'!$P$3:$P$368)))/F337, 0)</f>
        <v>3.6274302675177221E-2</v>
      </c>
      <c r="N337" s="59">
        <f>IF((((1.18*F337^0.874)-(0.398*F337^0.85)/(1-H337)*H337)*(MAX('Min rate concentrations'!$Q$3:$Q$368)))/F337&gt;0, (((1.18*F337^0.874)-(0.398*F337^0.85)/(1-H337)*H337)*(MAX('Min rate concentrations'!$Q$3:$Q$368)))/F337, 0)</f>
        <v>0.13813449366648442</v>
      </c>
      <c r="O337" s="59">
        <f>((MAX('Min rate concentrations'!$F$3:$F$368))*0.62*6.01*8*(10*F337^0.667)*0.079*0.1/F337)*inputs!$E$80/(10^(0.84+0.62*LOG10(inputs!$E$80)))</f>
        <v>10.161119045837104</v>
      </c>
      <c r="P337" s="59">
        <f>((MAX('Min rate concentrations'!Y:Y))*0.62*6.01*8*(10*F337^0.667)*0.079*0.1/F337)*inputs!$E$80/(10^(0.84+0.62*LOG10(inputs!$E$80)))</f>
        <v>3.3870396819457014</v>
      </c>
      <c r="Q337" s="59">
        <f>(inputs!$C$7*11.2*(10*F337^0.667)*0.5/F337)*inputs!$E$80/(10^(0.84+0.62*LOG10(inputs!$E$80)))</f>
        <v>1.7898331942127752</v>
      </c>
      <c r="R337" s="59">
        <f>(60*284*((F337/1000)^0.77)*3*24*(MAX('Min rate concentrations'!$R$3:$R$368))/F337)*(inputs!$E$73*3.4/inputs!$E$75)</f>
        <v>1.2511980440598092E-2</v>
      </c>
      <c r="S337" s="59">
        <f>(IF(inputs!$C$6="aerial",((0.025*0.112*inputs!$C$7/3.3)*(3*60*284*((F337/1000)^0.77))*MAX(inputs!$H$14:$H$16))/F337,((0.0083*0.112*inputs!$C$7/1)*(3*60*284*((F337/1000)^0.77))*MAX(inputs!$H$14:$H$16))/F337))*(inputs!E$75*3.4/inputs!$E$73)</f>
        <v>6.9004340844821765E-2</v>
      </c>
      <c r="T337" s="63">
        <f>IF((((inputs!$P$12/(V337/MAX(K337:S337)))^(1/inputs!$O$12))-1)/inputs!$N$12&lt;0, 0, IF((((inputs!$P$12/(V337/MAX(K337:S337)))^(1/inputs!$O$12))-1)/inputs!$N$12&gt;inputs!$H$17, inputs!$H$17, (((inputs!$P$12/(V337/MAX(K337:S337)))^(1/inputs!$O$12))-1)/inputs!$N$12))</f>
        <v>325.98202498505117</v>
      </c>
      <c r="U337" s="63">
        <f>IF((((inputs!$P$12/(X337/MAX(K337:S337)))^(1/inputs!$O$12))-1)/inputs!$N$12&lt;0, 0, IF((((inputs!$P$12/(X337/MAX(K337:S337)))^(1/inputs!$O$12))-1)/inputs!$N$12&gt;inputs!$H$17, inputs!$H$17, (((inputs!$P$12/(X337/MAX(K337:S337)))^(1/inputs!$O$12))-1)/inputs!$N$12))</f>
        <v>15.147934275071194</v>
      </c>
      <c r="V337" s="21">
        <f>inputs!$E$78*(F337/inputs!$F$78)^(inputs!$E$84-1)</f>
        <v>3.9326584321336476E-2</v>
      </c>
      <c r="W337" s="21">
        <f>inputs!$E$85*(F337/inputs!$F$85)^(inputs!$E$84-1)</f>
        <v>1.8160292180330224</v>
      </c>
      <c r="X337" s="21">
        <f>inputs!$E$80*(F337/inputs!$F$80)^(inputs!$E$84-1)</f>
        <v>6.7813749280979954</v>
      </c>
      <c r="Y337" s="21">
        <f>inputs!$E$82*(F337/inputs!$F$82)^(inputs!$E$84-1)</f>
        <v>3.1254285434325308</v>
      </c>
      <c r="Z337" s="63">
        <f t="shared" si="40"/>
        <v>1032.7942302771928</v>
      </c>
      <c r="AA337" s="63">
        <f t="shared" si="41"/>
        <v>22.365427263102141</v>
      </c>
    </row>
    <row r="338" spans="1:27" x14ac:dyDescent="0.25">
      <c r="A338" s="103" t="s">
        <v>213</v>
      </c>
      <c r="B338" s="20" t="s">
        <v>214</v>
      </c>
      <c r="C338" s="20" t="s">
        <v>73</v>
      </c>
      <c r="D338" s="104" t="s">
        <v>141</v>
      </c>
      <c r="E338" s="15">
        <v>150</v>
      </c>
      <c r="F338" s="15">
        <v>12.5</v>
      </c>
      <c r="G338" s="20" t="s">
        <v>142</v>
      </c>
      <c r="H338" s="20">
        <v>0.69</v>
      </c>
      <c r="I338" s="48">
        <f>MAX('Min rate concentrations'!$H$3:$H$368)</f>
        <v>47</v>
      </c>
      <c r="J338" s="48">
        <f>MAX('Min rate concentrations'!AA:AA)</f>
        <v>32.5</v>
      </c>
      <c r="K338" s="59">
        <f t="shared" si="39"/>
        <v>41.31261961048461</v>
      </c>
      <c r="L338" s="59">
        <f t="shared" si="43"/>
        <v>28.567236964696804</v>
      </c>
      <c r="M338" s="59">
        <f>IF((((1.18*F338^0.874)-(0.398*F338^0.85)/(1-H338)*H338)*(MAX('Min rate concentrations'!$P$3:$P$368)))/F338&gt;0, (((1.18*F338^0.874)-(0.398*F338^0.85)/(1-H338)*H338)*(MAX('Min rate concentrations'!$P$3:$P$368)))/F338, 0)</f>
        <v>3.6556879937515711E-2</v>
      </c>
      <c r="N338" s="59">
        <f>IF((((1.18*F338^0.874)-(0.398*F338^0.85)/(1-H338)*H338)*(MAX('Min rate concentrations'!$Q$3:$Q$368)))/F338&gt;0, (((1.18*F338^0.874)-(0.398*F338^0.85)/(1-H338)*H338)*(MAX('Min rate concentrations'!$Q$3:$Q$368)))/F338, 0)</f>
        <v>0.13921056306482188</v>
      </c>
      <c r="O338" s="59">
        <f>((MAX('Min rate concentrations'!$F$3:$F$368))*0.62*6.01*8*(10*F338^0.667)*0.079*0.1/F338)*inputs!$E$80/(10^(0.84+0.62*LOG10(inputs!$E$80)))</f>
        <v>10.551911523793949</v>
      </c>
      <c r="P338" s="59">
        <f>((MAX('Min rate concentrations'!Y:Y))*0.62*6.01*8*(10*F338^0.667)*0.079*0.1/F338)*inputs!$E$80/(10^(0.84+0.62*LOG10(inputs!$E$80)))</f>
        <v>3.51730384126465</v>
      </c>
      <c r="Q338" s="59">
        <f>(inputs!$C$7*11.2*(10*F338^0.667)*0.5/F338)*inputs!$E$80/(10^(0.84+0.62*LOG10(inputs!$E$80)))</f>
        <v>1.8586694460016355</v>
      </c>
      <c r="R338" s="59">
        <f>(60*284*((F338/1000)^0.77)*3*24*(MAX('Min rate concentrations'!$R$3:$R$368))/F338)*(inputs!$E$73*3.4/inputs!$E$75)</f>
        <v>1.2842400275955514E-2</v>
      </c>
      <c r="S338" s="59">
        <f>(IF(inputs!$C$6="aerial",((0.025*0.112*inputs!$C$7/3.3)*(3*60*284*((F338/1000)^0.77))*MAX(inputs!$H$14:$H$16))/F338,((0.0083*0.112*inputs!$C$7/1)*(3*60*284*((F338/1000)^0.77))*MAX(inputs!$H$14:$H$16))/F338))*(inputs!E$75*3.4/inputs!$E$73)</f>
        <v>7.0826626537253967E-2</v>
      </c>
      <c r="T338" s="63">
        <f>IF((((inputs!$P$12/(V338/MAX(K338:S338)))^(1/inputs!$O$12))-1)/inputs!$N$12&lt;0, 0, IF((((inputs!$P$12/(V338/MAX(K338:S338)))^(1/inputs!$O$12))-1)/inputs!$N$12&gt;inputs!$H$17, inputs!$H$17, (((inputs!$P$12/(V338/MAX(K338:S338)))^(1/inputs!$O$12))-1)/inputs!$N$12))</f>
        <v>322.40553957956456</v>
      </c>
      <c r="U338" s="63">
        <f>IF((((inputs!$P$12/(X338/MAX(K338:S338)))^(1/inputs!$O$12))-1)/inputs!$N$12&lt;0, 0, IF((((inputs!$P$12/(X338/MAX(K338:S338)))^(1/inputs!$O$12))-1)/inputs!$N$12&gt;inputs!$H$17, inputs!$H$17, (((inputs!$P$12/(X338/MAX(K338:S338)))^(1/inputs!$O$12))-1)/inputs!$N$12))</f>
        <v>14.707644172016503</v>
      </c>
      <c r="V338" s="21">
        <f>inputs!$E$78*(F338/inputs!$F$78)^(inputs!$E$84-1)</f>
        <v>4.1010672987168234E-2</v>
      </c>
      <c r="W338" s="21">
        <f>inputs!$E$85*(F338/inputs!$F$85)^(inputs!$E$84-1)</f>
        <v>1.8937973302575419</v>
      </c>
      <c r="X338" s="21">
        <f>inputs!$E$80*(F338/inputs!$F$80)^(inputs!$E$84-1)</f>
        <v>7.0717748408351246</v>
      </c>
      <c r="Y338" s="21">
        <f>inputs!$E$82*(F338/inputs!$F$82)^(inputs!$E$84-1)</f>
        <v>3.2592692742433704</v>
      </c>
      <c r="Z338" s="63">
        <f t="shared" si="40"/>
        <v>1007.36263517087</v>
      </c>
      <c r="AA338" s="63">
        <f t="shared" si="41"/>
        <v>21.814699466740937</v>
      </c>
    </row>
    <row r="339" spans="1:27" x14ac:dyDescent="0.25">
      <c r="A339" s="103" t="s">
        <v>269</v>
      </c>
      <c r="B339" s="20" t="s">
        <v>270</v>
      </c>
      <c r="C339" s="20" t="s">
        <v>73</v>
      </c>
      <c r="D339" s="104" t="s">
        <v>141</v>
      </c>
      <c r="E339" s="15">
        <v>79</v>
      </c>
      <c r="F339" s="15">
        <v>38</v>
      </c>
      <c r="G339" s="20" t="s">
        <v>142</v>
      </c>
      <c r="H339" s="20">
        <v>0.69</v>
      </c>
      <c r="I339" s="48">
        <f>MAX('Min rate concentrations'!$H$3:$H$368)</f>
        <v>47</v>
      </c>
      <c r="J339" s="48">
        <f>MAX('Min rate concentrations'!AA:AA)</f>
        <v>32.5</v>
      </c>
      <c r="K339" s="59">
        <f t="shared" si="39"/>
        <v>34.966462420746268</v>
      </c>
      <c r="L339" s="59">
        <f t="shared" si="43"/>
        <v>24.178936780303268</v>
      </c>
      <c r="M339" s="59">
        <f>IF((((1.18*F339^0.874)-(0.398*F339^0.85)/(1-H339)*H339)*(MAX('Min rate concentrations'!$P$3:$P$368)))/F339&gt;0, (((1.18*F339^0.874)-(0.398*F339^0.85)/(1-H339)*H339)*(MAX('Min rate concentrations'!$P$3:$P$368)))/F339, 0)</f>
        <v>3.3793067293856574E-2</v>
      </c>
      <c r="N339" s="59">
        <f>IF((((1.18*F339^0.874)-(0.398*F339^0.85)/(1-H339)*H339)*(MAX('Min rate concentrations'!$Q$3:$Q$368)))/F339&gt;0, (((1.18*F339^0.874)-(0.398*F339^0.85)/(1-H339)*H339)*(MAX('Min rate concentrations'!$Q$3:$Q$368)))/F339, 0)</f>
        <v>0.12868581601345716</v>
      </c>
      <c r="O339" s="59">
        <f>((MAX('Min rate concentrations'!$F$3:$F$368))*0.62*6.01*8*(10*F339^0.667)*0.079*0.1/F339)*inputs!$E$80/(10^(0.84+0.62*LOG10(inputs!$E$80)))</f>
        <v>7.2867561757891046</v>
      </c>
      <c r="P339" s="59">
        <f>((MAX('Min rate concentrations'!Y:Y))*0.62*6.01*8*(10*F339^0.667)*0.079*0.1/F339)*inputs!$E$80/(10^(0.84+0.62*LOG10(inputs!$E$80)))</f>
        <v>2.4289187252630344</v>
      </c>
      <c r="Q339" s="59">
        <f>(inputs!$C$7*11.2*(10*F339^0.667)*0.5/F339)*inputs!$E$80/(10^(0.84+0.62*LOG10(inputs!$E$80)))</f>
        <v>1.2835277318107468</v>
      </c>
      <c r="R339" s="59">
        <f>(60*284*((F339/1000)^0.77)*3*24*(MAX('Min rate concentrations'!$R$3:$R$368))/F339)*(inputs!$E$73*3.4/inputs!$E$75)</f>
        <v>9.9445532539701315E-3</v>
      </c>
      <c r="S339" s="59">
        <f>(IF(inputs!$C$6="aerial",((0.025*0.112*inputs!$C$7/3.3)*(3*60*284*((F339/1000)^0.77))*MAX(inputs!$H$14:$H$16))/F339,((0.0083*0.112*inputs!$C$7/1)*(3*60*284*((F339/1000)^0.77))*MAX(inputs!$H$14:$H$16))/F339))*(inputs!E$75*3.4/inputs!$E$73)</f>
        <v>5.4844822172183165E-2</v>
      </c>
      <c r="T339" s="63">
        <f>IF((((inputs!$P$12/(V339/MAX(K339:S339)))^(1/inputs!$O$12))-1)/inputs!$N$12&lt;0, 0, IF((((inputs!$P$12/(V339/MAX(K339:S339)))^(1/inputs!$O$12))-1)/inputs!$N$12&gt;inputs!$H$17, inputs!$H$17, (((inputs!$P$12/(V339/MAX(K339:S339)))^(1/inputs!$O$12))-1)/inputs!$N$12))</f>
        <v>359.11222160158525</v>
      </c>
      <c r="U339" s="63">
        <f>IF((((inputs!$P$12/(X339/MAX(K339:S339)))^(1/inputs!$O$12))-1)/inputs!$N$12&lt;0, 0, IF((((inputs!$P$12/(X339/MAX(K339:S339)))^(1/inputs!$O$12))-1)/inputs!$N$12&gt;inputs!$H$17, inputs!$H$17, (((inputs!$P$12/(X339/MAX(K339:S339)))^(1/inputs!$O$12))-1)/inputs!$N$12))</f>
        <v>19.226490742864453</v>
      </c>
      <c r="V339" s="21">
        <f>inputs!$E$78*(F339/inputs!$F$78)^(inputs!$E$84-1)</f>
        <v>2.717901230110276E-2</v>
      </c>
      <c r="W339" s="21">
        <f>inputs!$E$85*(F339/inputs!$F$85)^(inputs!$E$84-1)</f>
        <v>1.2550767199302031</v>
      </c>
      <c r="X339" s="21">
        <f>inputs!$E$80*(F339/inputs!$F$80)^(inputs!$E$84-1)</f>
        <v>4.6866788908786061</v>
      </c>
      <c r="Y339" s="21">
        <f>inputs!$E$82*(F339/inputs!$F$82)^(inputs!$E$84-1)</f>
        <v>2.1600162407718511</v>
      </c>
      <c r="Z339" s="63">
        <f t="shared" si="40"/>
        <v>1286.5243973316699</v>
      </c>
      <c r="AA339" s="63">
        <f t="shared" si="41"/>
        <v>27.860019921882394</v>
      </c>
    </row>
    <row r="340" spans="1:27" x14ac:dyDescent="0.25">
      <c r="A340" s="103" t="s">
        <v>269</v>
      </c>
      <c r="B340" s="20" t="s">
        <v>270</v>
      </c>
      <c r="C340" s="20" t="s">
        <v>73</v>
      </c>
      <c r="D340" s="104" t="s">
        <v>141</v>
      </c>
      <c r="E340" s="15">
        <v>79</v>
      </c>
      <c r="F340" s="15">
        <v>38</v>
      </c>
      <c r="G340" s="20" t="s">
        <v>152</v>
      </c>
      <c r="H340" s="20">
        <v>0.77</v>
      </c>
      <c r="I340" s="48">
        <f>MAX('Min rate concentrations'!$G$3:$G$368)</f>
        <v>7.5</v>
      </c>
      <c r="J340" s="48">
        <f>MAX('Min rate concentrations'!Z:Z)</f>
        <v>3.5</v>
      </c>
      <c r="K340" s="59">
        <f t="shared" si="39"/>
        <v>7.5205388647766043</v>
      </c>
      <c r="L340" s="59">
        <f t="shared" si="43"/>
        <v>3.5095848035624155</v>
      </c>
      <c r="M340" s="59">
        <f>IF((((1.18*F340^0.874)-(0.398*F340^0.85)/(1-H340)*H340)*(MAX('Min rate concentrations'!$P$3:$P$368)))/F340&gt;0, (((1.18*F340^0.874)-(0.398*F340^0.85)/(1-H340)*H340)*(MAX('Min rate concentrations'!$P$3:$P$368)))/F340, 0)</f>
        <v>0</v>
      </c>
      <c r="N340" s="59">
        <f>IF((((1.18*F340^0.874)-(0.398*F340^0.85)/(1-H340)*H340)*(MAX('Min rate concentrations'!$Q$3:$Q$368)))/F340&gt;0, (((1.18*F340^0.874)-(0.398*F340^0.85)/(1-H340)*H340)*(MAX('Min rate concentrations'!$Q$3:$Q$368)))/F340, 0)</f>
        <v>0</v>
      </c>
      <c r="O340" s="59">
        <f>((MAX('Min rate concentrations'!$F$3:$F$368))*0.62*6.01*8*(10*F340^0.667)*0.079*0.1/F340)*inputs!$E$80/(10^(0.84+0.62*LOG10(inputs!$E$80)))</f>
        <v>7.2867561757891046</v>
      </c>
      <c r="P340" s="59">
        <f>((MAX('Min rate concentrations'!Y:Y))*0.62*6.01*8*(10*F340^0.667)*0.079*0.1/F340)*inputs!$E$80/(10^(0.84+0.62*LOG10(inputs!$E$80)))</f>
        <v>2.4289187252630344</v>
      </c>
      <c r="Q340" s="59">
        <f>(inputs!$C$7*11.2*(10*F340^0.667)*0.5/F340)*inputs!$E$80/(10^(0.84+0.62*LOG10(inputs!$E$80)))</f>
        <v>1.2835277318107468</v>
      </c>
      <c r="R340" s="59">
        <f>(60*284*((F340/1000)^0.77)*3*24*(MAX('Min rate concentrations'!$R$3:$R$368))/F340)*(inputs!$E$73*3.4/inputs!$E$75)</f>
        <v>9.9445532539701315E-3</v>
      </c>
      <c r="S340" s="59">
        <f>(IF(inputs!$C$6="aerial",((0.025*0.112*inputs!$C$7/3.3)*(3*60*284*((F340/1000)^0.77))*MAX(inputs!$H$14:$H$16))/F340,((0.0083*0.112*inputs!$C$7/1)*(3*60*284*((F340/1000)^0.77))*MAX(inputs!$H$14:$H$16))/F340))*(inputs!E$75*3.4/inputs!$E$73)</f>
        <v>5.4844822172183165E-2</v>
      </c>
      <c r="T340" s="63">
        <f>IF((((inputs!$P$12/(V340/MAX(K340:S340)))^(1/inputs!$O$12))-1)/inputs!$N$12&lt;0, 0, IF((((inputs!$P$12/(V340/MAX(K340:S340)))^(1/inputs!$O$12))-1)/inputs!$N$12&gt;inputs!$H$17, inputs!$H$17, (((inputs!$P$12/(V340/MAX(K340:S340)))^(1/inputs!$O$12))-1)/inputs!$N$12))</f>
        <v>178.96782337063368</v>
      </c>
      <c r="U340" s="63">
        <f>IF((((inputs!$P$12/(X340/MAX(K340:S340)))^(1/inputs!$O$12))-1)/inputs!$N$12&lt;0, 0, IF((((inputs!$P$12/(X340/MAX(K340:S340)))^(1/inputs!$O$12))-1)/inputs!$N$12&gt;inputs!$H$17, inputs!$H$17, (((inputs!$P$12/(X340/MAX(K340:S340)))^(1/inputs!$O$12))-1)/inputs!$N$12))</f>
        <v>0</v>
      </c>
      <c r="V340" s="21">
        <f>inputs!$E$78*(F340/inputs!$F$78)^(inputs!$E$84-1)</f>
        <v>2.717901230110276E-2</v>
      </c>
      <c r="W340" s="21">
        <f>inputs!$E$85*(F340/inputs!$F$85)^(inputs!$E$84-1)</f>
        <v>1.2550767199302031</v>
      </c>
      <c r="X340" s="21">
        <f>inputs!$E$80*(F340/inputs!$F$80)^(inputs!$E$84-1)</f>
        <v>4.6866788908786061</v>
      </c>
      <c r="Y340" s="21">
        <f>inputs!$E$82*(F340/inputs!$F$82)^(inputs!$E$84-1)</f>
        <v>2.1600162407718511</v>
      </c>
      <c r="Z340" s="63">
        <f t="shared" si="40"/>
        <v>276.70390599409188</v>
      </c>
      <c r="AA340" s="63">
        <f t="shared" si="41"/>
        <v>5.9920949415704516</v>
      </c>
    </row>
    <row r="341" spans="1:27" x14ac:dyDescent="0.25">
      <c r="A341" s="103" t="s">
        <v>269</v>
      </c>
      <c r="B341" s="20" t="s">
        <v>270</v>
      </c>
      <c r="C341" s="20" t="s">
        <v>73</v>
      </c>
      <c r="D341" s="104" t="s">
        <v>141</v>
      </c>
      <c r="E341" s="15">
        <v>79</v>
      </c>
      <c r="F341" s="15">
        <v>38</v>
      </c>
      <c r="G341" s="20" t="s">
        <v>158</v>
      </c>
      <c r="H341" s="20">
        <v>0.85</v>
      </c>
      <c r="I341" s="48">
        <f>MAX('Min rate concentrations'!$F$3:$F$368)</f>
        <v>67.5</v>
      </c>
      <c r="J341" s="48">
        <f>MAX('Min rate concentrations'!Y:Y)</f>
        <v>22.5</v>
      </c>
      <c r="K341" s="59">
        <f t="shared" si="39"/>
        <v>103.78343633391711</v>
      </c>
      <c r="L341" s="59">
        <f t="shared" si="43"/>
        <v>34.59447877797237</v>
      </c>
      <c r="M341" s="59">
        <f>IF((((1.18*F341^0.874)-(0.398*F341^0.85)/(1-H341)*H341)*(MAX('Min rate concentrations'!$P$3:$P$368)))/F341&gt;0, (((1.18*F341^0.874)-(0.398*F341^0.85)/(1-H341)*H341)*(MAX('Min rate concentrations'!$P$3:$P$368)))/F341, 0)</f>
        <v>0</v>
      </c>
      <c r="N341" s="59">
        <f>IF((((1.18*F341^0.874)-(0.398*F341^0.85)/(1-H341)*H341)*(MAX('Min rate concentrations'!$Q$3:$Q$368)))/F341&gt;0, (((1.18*F341^0.874)-(0.398*F341^0.85)/(1-H341)*H341)*(MAX('Min rate concentrations'!$Q$3:$Q$368)))/F341, 0)</f>
        <v>0</v>
      </c>
      <c r="O341" s="59">
        <f>((MAX('Min rate concentrations'!$F$3:$F$368))*0.62*6.01*8*(10*F341^0.667)*0.079*0.1/F341)*inputs!$E$80/(10^(0.84+0.62*LOG10(inputs!$E$80)))</f>
        <v>7.2867561757891046</v>
      </c>
      <c r="P341" s="59">
        <f>((MAX('Min rate concentrations'!Y:Y))*0.62*6.01*8*(10*F341^0.667)*0.079*0.1/F341)*inputs!$E$80/(10^(0.84+0.62*LOG10(inputs!$E$80)))</f>
        <v>2.4289187252630344</v>
      </c>
      <c r="Q341" s="59">
        <f>(inputs!$C$7*11.2*(10*F341^0.667)*0.5/F341)*inputs!$E$80/(10^(0.84+0.62*LOG10(inputs!$E$80)))</f>
        <v>1.2835277318107468</v>
      </c>
      <c r="R341" s="59">
        <f>(60*284*((F341/1000)^0.77)*3*24*(MAX('Min rate concentrations'!$R$3:$R$368))/F341)*(inputs!$E$73*3.4/inputs!$E$75)</f>
        <v>9.9445532539701315E-3</v>
      </c>
      <c r="S341" s="59">
        <f>(IF(inputs!$C$6="aerial",((0.025*0.112*inputs!$C$7/3.3)*(3*60*284*((F341/1000)^0.77))*MAX(inputs!$H$14:$H$16))/F341,((0.0083*0.112*inputs!$C$7/1)*(3*60*284*((F341/1000)^0.77))*MAX(inputs!$H$14:$H$16))/F341))*(inputs!E$75*3.4/inputs!$E$73)</f>
        <v>5.4844822172183165E-2</v>
      </c>
      <c r="T341" s="63">
        <f>IF((((inputs!$P$12/(V341/MAX(K341:S341)))^(1/inputs!$O$12))-1)/inputs!$N$12&lt;0, 0, IF((((inputs!$P$12/(V341/MAX(K341:S341)))^(1/inputs!$O$12))-1)/inputs!$N$12&gt;inputs!$H$17, inputs!$H$17, (((inputs!$P$12/(V341/MAX(K341:S341)))^(1/inputs!$O$12))-1)/inputs!$N$12))</f>
        <v>574.84593446870883</v>
      </c>
      <c r="U341" s="63">
        <f>IF((((inputs!$P$12/(X341/MAX(K341:S341)))^(1/inputs!$O$12))-1)/inputs!$N$12&lt;0, 0, IF((((inputs!$P$12/(X341/MAX(K341:S341)))^(1/inputs!$O$12))-1)/inputs!$N$12&gt;inputs!$H$17, inputs!$H$17, (((inputs!$P$12/(X341/MAX(K341:S341)))^(1/inputs!$O$12))-1)/inputs!$N$12))</f>
        <v>45.784803695832096</v>
      </c>
      <c r="V341" s="21">
        <f>inputs!$E$78*(F341/inputs!$F$78)^(inputs!$E$84-1)</f>
        <v>2.717901230110276E-2</v>
      </c>
      <c r="W341" s="21">
        <f>inputs!$E$85*(F341/inputs!$F$85)^(inputs!$E$84-1)</f>
        <v>1.2550767199302031</v>
      </c>
      <c r="X341" s="21">
        <f>inputs!$E$80*(F341/inputs!$F$80)^(inputs!$E$84-1)</f>
        <v>4.6866788908786061</v>
      </c>
      <c r="Y341" s="21">
        <f>inputs!$E$82*(F341/inputs!$F$82)^(inputs!$E$84-1)</f>
        <v>2.1600162407718511</v>
      </c>
      <c r="Z341" s="63">
        <f t="shared" si="40"/>
        <v>3818.5139027184664</v>
      </c>
      <c r="AA341" s="63">
        <f t="shared" si="41"/>
        <v>82.69091019367221</v>
      </c>
    </row>
    <row r="342" spans="1:27" x14ac:dyDescent="0.25">
      <c r="A342" s="103" t="s">
        <v>269</v>
      </c>
      <c r="B342" s="20" t="s">
        <v>270</v>
      </c>
      <c r="C342" s="20" t="s">
        <v>73</v>
      </c>
      <c r="D342" s="104" t="s">
        <v>141</v>
      </c>
      <c r="E342" s="15">
        <v>79</v>
      </c>
      <c r="F342" s="15">
        <v>38</v>
      </c>
      <c r="G342" s="20" t="s">
        <v>154</v>
      </c>
      <c r="H342" s="20">
        <v>9.2999999999999999E-2</v>
      </c>
      <c r="I342" s="48">
        <f>MAX('Min rate concentrations'!$G$3:$G$368)</f>
        <v>7.5</v>
      </c>
      <c r="J342" s="48">
        <f>MAX('Min rate concentrations'!Z:Z)</f>
        <v>3.5</v>
      </c>
      <c r="K342" s="59">
        <f t="shared" si="39"/>
        <v>1.9070826228209687</v>
      </c>
      <c r="L342" s="59"/>
      <c r="M342" s="59">
        <f>IF((((1.18*F342^0.874)-(0.398*F342^0.85)/(1-H342)*H342)*(MAX('Min rate concentrations'!$P$3:$P$368)))/F342&gt;0, (((1.18*F342^0.874)-(0.398*F342^0.85)/(1-H342)*H342)*(MAX('Min rate concentrations'!$P$3:$P$368)))/F342, 0)</f>
        <v>0.10487054886963364</v>
      </c>
      <c r="N342" s="59">
        <f>IF((((1.18*F342^0.874)-(0.398*F342^0.85)/(1-H342)*H342)*(MAX('Min rate concentrations'!$Q$3:$Q$368)))/F342&gt;0, (((1.18*F342^0.874)-(0.398*F342^0.85)/(1-H342)*H342)*(MAX('Min rate concentrations'!$Q$3:$Q$368)))/F342, 0)</f>
        <v>0.39935268496687593</v>
      </c>
      <c r="O342" s="59">
        <f>((MAX('Min rate concentrations'!$F$3:$F$368))*0.62*6.01*8*(10*F342^0.667)*0.079*0.1/F342)*inputs!$E$80/(10^(0.84+0.62*LOG10(inputs!$E$80)))</f>
        <v>7.2867561757891046</v>
      </c>
      <c r="P342" s="59">
        <f>((MAX('Min rate concentrations'!Y:Y))*0.62*6.01*8*(10*F342^0.667)*0.079*0.1/F342)*inputs!$E$80/(10^(0.84+0.62*LOG10(inputs!$E$80)))</f>
        <v>2.4289187252630344</v>
      </c>
      <c r="Q342" s="59">
        <f>(inputs!$C$7*11.2*(10*F342^0.667)*0.5/F342)*inputs!$E$80/(10^(0.84+0.62*LOG10(inputs!$E$80)))</f>
        <v>1.2835277318107468</v>
      </c>
      <c r="R342" s="59">
        <f>(60*284*((F342/1000)^0.77)*3*24*(MAX('Min rate concentrations'!$R$3:$R$368))/F342)*(inputs!$E$73*3.4/inputs!$E$75)</f>
        <v>9.9445532539701315E-3</v>
      </c>
      <c r="S342" s="59">
        <f>(IF(inputs!$C$6="aerial",((0.025*0.112*inputs!$C$7/3.3)*(3*60*284*((F342/1000)^0.77))*MAX(inputs!$H$14:$H$16))/F342,((0.0083*0.112*inputs!$C$7/1)*(3*60*284*((F342/1000)^0.77))*MAX(inputs!$H$14:$H$16))/F342))*(inputs!E$75*3.4/inputs!$E$73)</f>
        <v>5.4844822172183165E-2</v>
      </c>
      <c r="T342" s="63">
        <f>IF((((inputs!$P$12/(V342/MAX(K342:S342)))^(1/inputs!$O$12))-1)/inputs!$N$12&lt;0, 0, IF((((inputs!$P$12/(V342/MAX(K342:S342)))^(1/inputs!$O$12))-1)/inputs!$N$12&gt;inputs!$H$17, inputs!$H$17, (((inputs!$P$12/(V342/MAX(K342:S342)))^(1/inputs!$O$12))-1)/inputs!$N$12))</f>
        <v>176.32018566525784</v>
      </c>
      <c r="U342" s="63">
        <f>IF((((inputs!$P$12/(X342/MAX(K342:S342)))^(1/inputs!$O$12))-1)/inputs!$N$12&lt;0, 0, IF((((inputs!$P$12/(X342/MAX(K342:S342)))^(1/inputs!$O$12))-1)/inputs!$N$12&gt;inputs!$H$17, inputs!$H$17, (((inputs!$P$12/(X342/MAX(K342:S342)))^(1/inputs!$O$12))-1)/inputs!$N$12))</f>
        <v>0</v>
      </c>
      <c r="V342" s="21">
        <f>inputs!$E$78*(F342/inputs!$F$78)^(inputs!$E$84-1)</f>
        <v>2.717901230110276E-2</v>
      </c>
      <c r="W342" s="21">
        <f>inputs!$E$85*(F342/inputs!$F$85)^(inputs!$E$84-1)</f>
        <v>1.2550767199302031</v>
      </c>
      <c r="X342" s="21">
        <f>inputs!$E$80*(F342/inputs!$F$80)^(inputs!$E$84-1)</f>
        <v>4.6866788908786061</v>
      </c>
      <c r="Y342" s="21">
        <f>inputs!$E$82*(F342/inputs!$F$82)^(inputs!$E$84-1)</f>
        <v>2.1600162407718511</v>
      </c>
      <c r="Z342" s="63">
        <f t="shared" si="40"/>
        <v>268.10231715055562</v>
      </c>
      <c r="AA342" s="63">
        <f t="shared" si="41"/>
        <v>5.8058253014161023</v>
      </c>
    </row>
    <row r="343" spans="1:27" x14ac:dyDescent="0.25">
      <c r="A343" s="103" t="s">
        <v>279</v>
      </c>
      <c r="B343" s="20" t="s">
        <v>280</v>
      </c>
      <c r="C343" s="20" t="s">
        <v>73</v>
      </c>
      <c r="D343" s="104" t="s">
        <v>141</v>
      </c>
      <c r="E343" s="15">
        <v>113</v>
      </c>
      <c r="F343" s="15">
        <v>26</v>
      </c>
      <c r="G343" s="20" t="s">
        <v>142</v>
      </c>
      <c r="H343" s="20">
        <v>0.69</v>
      </c>
      <c r="I343" s="48">
        <f>MAX('Min rate concentrations'!$H$3:$H$368)</f>
        <v>47</v>
      </c>
      <c r="J343" s="48">
        <f>MAX('Min rate concentrations'!AA:AA)</f>
        <v>32.5</v>
      </c>
      <c r="K343" s="59">
        <f t="shared" si="39"/>
        <v>37.014614783827987</v>
      </c>
      <c r="L343" s="59">
        <f>((0.398*F343^0.85)/(1-H343))*J343/F343</f>
        <v>25.595212350519354</v>
      </c>
      <c r="M343" s="59">
        <f>IF((((1.18*F343^0.874)-(0.398*F343^0.85)/(1-H343)*H343)*(MAX('Min rate concentrations'!$P$3:$P$368)))/F343&gt;0, (((1.18*F343^0.874)-(0.398*F343^0.85)/(1-H343)*H343)*(MAX('Min rate concentrations'!$P$3:$P$368)))/F343, 0)</f>
        <v>3.4733054396412999E-2</v>
      </c>
      <c r="N343" s="59">
        <f>IF((((1.18*F343^0.874)-(0.398*F343^0.85)/(1-H343)*H343)*(MAX('Min rate concentrations'!$Q$3:$Q$368)))/F343&gt;0, (((1.18*F343^0.874)-(0.398*F343^0.85)/(1-H343)*H343)*(MAX('Min rate concentrations'!$Q$3:$Q$368)))/F343, 0)</f>
        <v>0.13226533740708304</v>
      </c>
      <c r="O343" s="59">
        <f>((MAX('Min rate concentrations'!$F$3:$F$368))*0.62*6.01*8*(10*F343^0.667)*0.079*0.1/F343)*inputs!$E$80/(10^(0.84+0.62*LOG10(inputs!$E$80)))</f>
        <v>8.2682966625935173</v>
      </c>
      <c r="P343" s="59">
        <f>((MAX('Min rate concentrations'!Y:Y))*0.62*6.01*8*(10*F343^0.667)*0.079*0.1/F343)*inputs!$E$80/(10^(0.84+0.62*LOG10(inputs!$E$80)))</f>
        <v>2.7560988875311723</v>
      </c>
      <c r="Q343" s="59">
        <f>(inputs!$C$7*11.2*(10*F343^0.667)*0.5/F343)*inputs!$E$80/(10^(0.84+0.62*LOG10(inputs!$E$80)))</f>
        <v>1.4564214590489923</v>
      </c>
      <c r="R343" s="59">
        <f>(60*284*((F343/1000)^0.77)*3*24*(MAX('Min rate concentrations'!$R$3:$R$368))/F343)*(inputs!$E$73*3.4/inputs!$E$75)</f>
        <v>1.0851546480741495E-2</v>
      </c>
      <c r="S343" s="59">
        <f>(IF(inputs!$C$6="aerial",((0.025*0.112*inputs!$C$7/3.3)*(3*60*284*((F343/1000)^0.77))*MAX(inputs!$H$14:$H$16))/F343,((0.0083*0.112*inputs!$C$7/1)*(3*60*284*((F343/1000)^0.77))*MAX(inputs!$H$14:$H$16))/F343))*(inputs!E$75*3.4/inputs!$E$73)</f>
        <v>5.9846945541957575E-2</v>
      </c>
      <c r="T343" s="63">
        <f>IF((((inputs!$P$12/(V343/MAX(K343:S343)))^(1/inputs!$O$12))-1)/inputs!$N$12&lt;0, 0, IF((((inputs!$P$12/(V343/MAX(K343:S343)))^(1/inputs!$O$12))-1)/inputs!$N$12&gt;inputs!$H$17, inputs!$H$17, (((inputs!$P$12/(V343/MAX(K343:S343)))^(1/inputs!$O$12))-1)/inputs!$N$12))</f>
        <v>346.17121371406256</v>
      </c>
      <c r="U343" s="63">
        <f>IF((((inputs!$P$12/(X343/MAX(K343:S343)))^(1/inputs!$O$12))-1)/inputs!$N$12&lt;0, 0, IF((((inputs!$P$12/(X343/MAX(K343:S343)))^(1/inputs!$O$12))-1)/inputs!$N$12&gt;inputs!$H$17, inputs!$H$17, (((inputs!$P$12/(X343/MAX(K343:S343)))^(1/inputs!$O$12))-1)/inputs!$N$12))</f>
        <v>17.633363118832211</v>
      </c>
      <c r="V343" s="21">
        <f>inputs!$E$78*(F343/inputs!$F$78)^(inputs!$E$84-1)</f>
        <v>3.1276162593456898E-2</v>
      </c>
      <c r="W343" s="21">
        <f>inputs!$E$85*(F343/inputs!$F$85)^(inputs!$E$84-1)</f>
        <v>1.444275572817888</v>
      </c>
      <c r="X343" s="21">
        <f>inputs!$E$80*(F343/inputs!$F$80)^(inputs!$E$84-1)</f>
        <v>5.3931809364718601</v>
      </c>
      <c r="Y343" s="21">
        <f>inputs!$E$82*(F343/inputs!$F$82)^(inputs!$E$84-1)</f>
        <v>2.4856318692694694</v>
      </c>
      <c r="Z343" s="63">
        <f t="shared" si="40"/>
        <v>1183.4768627137012</v>
      </c>
      <c r="AA343" s="63">
        <f t="shared" si="41"/>
        <v>25.628498799304449</v>
      </c>
    </row>
    <row r="344" spans="1:27" x14ac:dyDescent="0.25">
      <c r="A344" s="103" t="s">
        <v>279</v>
      </c>
      <c r="B344" s="20" t="s">
        <v>280</v>
      </c>
      <c r="C344" s="20" t="s">
        <v>73</v>
      </c>
      <c r="D344" s="104" t="s">
        <v>141</v>
      </c>
      <c r="E344" s="15">
        <v>113</v>
      </c>
      <c r="F344" s="15">
        <v>26</v>
      </c>
      <c r="G344" s="20" t="s">
        <v>146</v>
      </c>
      <c r="H344" s="20">
        <v>0.84</v>
      </c>
      <c r="I344" s="48">
        <f>MAX('Min rate concentrations'!$I$3:$I$368)</f>
        <v>9.4775690500787988</v>
      </c>
      <c r="J344" s="48" t="s">
        <v>13</v>
      </c>
      <c r="K344" s="59">
        <f t="shared" si="39"/>
        <v>14.461523393284198</v>
      </c>
      <c r="L344" s="48" t="s">
        <v>13</v>
      </c>
      <c r="M344" s="59">
        <f>IF((((1.18*F344^0.874)-(0.398*F344^0.85)/(1-H344)*H344)*(MAX('Min rate concentrations'!$P$3:$P$368)))/F344&gt;0, (((1.18*F344^0.874)-(0.398*F344^0.85)/(1-H344)*H344)*(MAX('Min rate concentrations'!$P$3:$P$368)))/F344, 0)</f>
        <v>0</v>
      </c>
      <c r="N344" s="59">
        <f>IF((((1.18*F344^0.874)-(0.398*F344^0.85)/(1-H344)*H344)*(MAX('Min rate concentrations'!$Q$3:$Q$368)))/F344&gt;0, (((1.18*F344^0.874)-(0.398*F344^0.85)/(1-H344)*H344)*(MAX('Min rate concentrations'!$Q$3:$Q$368)))/F344, 0)</f>
        <v>0</v>
      </c>
      <c r="O344" s="59">
        <f>((MAX('Min rate concentrations'!$F$3:$F$368))*0.62*6.01*8*(10*F344^0.667)*0.079*0.1/F344)*inputs!$E$80/(10^(0.84+0.62*LOG10(inputs!$E$80)))</f>
        <v>8.2682966625935173</v>
      </c>
      <c r="P344" s="59">
        <f>((MAX('Min rate concentrations'!Y:Y))*0.62*6.01*8*(10*F344^0.667)*0.079*0.1/F344)*inputs!$E$80/(10^(0.84+0.62*LOG10(inputs!$E$80)))</f>
        <v>2.7560988875311723</v>
      </c>
      <c r="Q344" s="59">
        <f>(inputs!$C$7*11.2*(10*F344^0.667)*0.5/F344)*inputs!$E$80/(10^(0.84+0.62*LOG10(inputs!$E$80)))</f>
        <v>1.4564214590489923</v>
      </c>
      <c r="R344" s="59">
        <f>(60*284*((F344/1000)^0.77)*3*24*(MAX('Min rate concentrations'!$R$3:$R$368))/F344)*(inputs!$E$73*3.4/inputs!$E$75)</f>
        <v>1.0851546480741495E-2</v>
      </c>
      <c r="S344" s="59">
        <f>(IF(inputs!$C$6="aerial",((0.025*0.112*inputs!$C$7/3.3)*(3*60*284*((F344/1000)^0.77))*MAX(inputs!$H$14:$H$16))/F344,((0.0083*0.112*inputs!$C$7/1)*(3*60*284*((F344/1000)^0.77))*MAX(inputs!$H$14:$H$16))/F344))*(inputs!E$75*3.4/inputs!$E$73)</f>
        <v>5.9846945541957575E-2</v>
      </c>
      <c r="T344" s="63">
        <f>IF((((inputs!$P$12/(V344/MAX(K344:S344)))^(1/inputs!$O$12))-1)/inputs!$N$12&lt;0, 0, IF((((inputs!$P$12/(V344/MAX(K344:S344)))^(1/inputs!$O$12))-1)/inputs!$N$12&gt;inputs!$H$17, inputs!$H$17, (((inputs!$P$12/(V344/MAX(K344:S344)))^(1/inputs!$O$12))-1)/inputs!$N$12))</f>
        <v>227.14827109861122</v>
      </c>
      <c r="U344" s="63">
        <f>IF((((inputs!$P$12/(X344/MAX(K344:S344)))^(1/inputs!$O$12))-1)/inputs!$N$12&lt;0, 0, IF((((inputs!$P$12/(X344/MAX(K344:S344)))^(1/inputs!$O$12))-1)/inputs!$N$12&gt;inputs!$H$17, inputs!$H$17, (((inputs!$P$12/(X344/MAX(K344:S344)))^(1/inputs!$O$12))-1)/inputs!$N$12))</f>
        <v>2.9808152321176329</v>
      </c>
      <c r="V344" s="21">
        <f>inputs!$E$78*(F344/inputs!$F$78)^(inputs!$E$84-1)</f>
        <v>3.1276162593456898E-2</v>
      </c>
      <c r="W344" s="21">
        <f>inputs!$E$85*(F344/inputs!$F$85)^(inputs!$E$84-1)</f>
        <v>1.444275572817888</v>
      </c>
      <c r="X344" s="21">
        <f>inputs!$E$80*(F344/inputs!$F$80)^(inputs!$E$84-1)</f>
        <v>5.3931809364718601</v>
      </c>
      <c r="Y344" s="21">
        <f>inputs!$E$82*(F344/inputs!$F$82)^(inputs!$E$84-1)</f>
        <v>2.4856318692694694</v>
      </c>
      <c r="Z344" s="63">
        <f t="shared" si="40"/>
        <v>462.38164129219638</v>
      </c>
      <c r="AA344" s="63">
        <f t="shared" si="41"/>
        <v>10.012994518122813</v>
      </c>
    </row>
    <row r="345" spans="1:27" x14ac:dyDescent="0.25">
      <c r="A345" s="103" t="s">
        <v>374</v>
      </c>
      <c r="B345" s="20" t="s">
        <v>375</v>
      </c>
      <c r="C345" s="20" t="s">
        <v>73</v>
      </c>
      <c r="D345" s="104" t="s">
        <v>141</v>
      </c>
      <c r="E345" s="15">
        <v>1241</v>
      </c>
      <c r="F345" s="15">
        <v>9.1999999999999993</v>
      </c>
      <c r="G345" s="20" t="s">
        <v>142</v>
      </c>
      <c r="H345" s="20">
        <v>0.69</v>
      </c>
      <c r="I345" s="48">
        <f>MAX('Min rate concentrations'!$H$3:$H$368)</f>
        <v>47</v>
      </c>
      <c r="J345" s="48">
        <f>MAX('Min rate concentrations'!AA:AA)</f>
        <v>32.5</v>
      </c>
      <c r="K345" s="59">
        <f t="shared" si="39"/>
        <v>43.256468673830902</v>
      </c>
      <c r="L345" s="59">
        <f>((0.398*F345^0.85)/(1-H345))*J345/F345</f>
        <v>29.911387912755412</v>
      </c>
      <c r="M345" s="59">
        <f>IF((((1.18*F345^0.874)-(0.398*F345^0.85)/(1-H345)*H345)*(MAX('Min rate concentrations'!$P$3:$P$368)))/F345&gt;0, (((1.18*F345^0.874)-(0.398*F345^0.85)/(1-H345)*H345)*(MAX('Min rate concentrations'!$P$3:$P$368)))/F345, 0)</f>
        <v>3.7320798557174135E-2</v>
      </c>
      <c r="N345" s="59">
        <f>IF((((1.18*F345^0.874)-(0.398*F345^0.85)/(1-H345)*H345)*(MAX('Min rate concentrations'!$Q$3:$Q$368)))/F345&gt;0, (((1.18*F345^0.874)-(0.398*F345^0.85)/(1-H345)*H345)*(MAX('Min rate concentrations'!$Q$3:$Q$368)))/F345, 0)</f>
        <v>0.14211960621511591</v>
      </c>
      <c r="O345" s="59">
        <f>((MAX('Min rate concentrations'!$F$3:$F$368))*0.62*6.01*8*(10*F345^0.667)*0.079*0.1/F345)*inputs!$E$80/(10^(0.84+0.62*LOG10(inputs!$E$80)))</f>
        <v>11.685864032208896</v>
      </c>
      <c r="P345" s="59">
        <f>((MAX('Min rate concentrations'!Y:Y))*0.62*6.01*8*(10*F345^0.667)*0.079*0.1/F345)*inputs!$E$80/(10^(0.84+0.62*LOG10(inputs!$E$80)))</f>
        <v>3.8952880107362988</v>
      </c>
      <c r="Q345" s="59">
        <f>(inputs!$C$7*11.2*(10*F345^0.667)*0.5/F345)*inputs!$E$80/(10^(0.84+0.62*LOG10(inputs!$E$80)))</f>
        <v>2.0584098319833757</v>
      </c>
      <c r="R345" s="59">
        <f>(60*284*((F345/1000)^0.77)*3*24*(MAX('Min rate concentrations'!$R$3:$R$368))/F345)*(inputs!$E$73*3.4/inputs!$E$75)</f>
        <v>1.3780478717848651E-2</v>
      </c>
      <c r="S345" s="59">
        <f>(IF(inputs!$C$6="aerial",((0.025*0.112*inputs!$C$7/3.3)*(3*60*284*((F345/1000)^0.77))*MAX(inputs!$H$14:$H$16))/F345,((0.0083*0.112*inputs!$C$7/1)*(3*60*284*((F345/1000)^0.77))*MAX(inputs!$H$14:$H$16))/F345))*(inputs!E$75*3.4/inputs!$E$73)</f>
        <v>7.6000186778248019E-2</v>
      </c>
      <c r="T345" s="63">
        <f>IF((((inputs!$P$12/(V345/MAX(K345:S345)))^(1/inputs!$O$12))-1)/inputs!$N$12&lt;0, 0, IF((((inputs!$P$12/(V345/MAX(K345:S345)))^(1/inputs!$O$12))-1)/inputs!$N$12&gt;inputs!$H$17, inputs!$H$17, (((inputs!$P$12/(V345/MAX(K345:S345)))^(1/inputs!$O$12))-1)/inputs!$N$12))</f>
        <v>312.9118195417667</v>
      </c>
      <c r="U345" s="63">
        <f>IF((((inputs!$P$12/(X345/MAX(K345:S345)))^(1/inputs!$O$12))-1)/inputs!$N$12&lt;0, 0, IF((((inputs!$P$12/(X345/MAX(K345:S345)))^(1/inputs!$O$12))-1)/inputs!$N$12&gt;inputs!$H$17, inputs!$H$17, (((inputs!$P$12/(X345/MAX(K345:S345)))^(1/inputs!$O$12))-1)/inputs!$N$12))</f>
        <v>13.538901537864582</v>
      </c>
      <c r="V345" s="21">
        <f>inputs!$E$78*(F345/inputs!$F$78)^(inputs!$E$84-1)</f>
        <v>4.5935886791004306E-2</v>
      </c>
      <c r="W345" s="21">
        <f>inputs!$E$85*(F345/inputs!$F$85)^(inputs!$E$84-1)</f>
        <v>2.1212346306785999</v>
      </c>
      <c r="X345" s="21">
        <f>inputs!$E$80*(F345/inputs!$F$80)^(inputs!$E$84-1)</f>
        <v>7.9210660259517338</v>
      </c>
      <c r="Y345" s="21">
        <f>inputs!$E$82*(F345/inputs!$F$82)^(inputs!$E$84-1)</f>
        <v>3.6506941607587633</v>
      </c>
      <c r="Z345" s="63">
        <f t="shared" si="40"/>
        <v>941.67048239725898</v>
      </c>
      <c r="AA345" s="63">
        <f t="shared" si="41"/>
        <v>20.392118838825866</v>
      </c>
    </row>
    <row r="346" spans="1:27" x14ac:dyDescent="0.25">
      <c r="A346" s="103" t="s">
        <v>374</v>
      </c>
      <c r="B346" s="20" t="s">
        <v>375</v>
      </c>
      <c r="C346" s="20" t="s">
        <v>73</v>
      </c>
      <c r="D346" s="104" t="s">
        <v>141</v>
      </c>
      <c r="E346" s="15">
        <v>1241</v>
      </c>
      <c r="F346" s="15">
        <v>9.1999999999999993</v>
      </c>
      <c r="G346" s="20" t="s">
        <v>152</v>
      </c>
      <c r="H346" s="20">
        <v>0.77</v>
      </c>
      <c r="I346" s="48">
        <f>MAX('Min rate concentrations'!$G$3:$G$368)</f>
        <v>7.5</v>
      </c>
      <c r="J346" s="48">
        <f>MAX('Min rate concentrations'!Z:Z)</f>
        <v>3.5</v>
      </c>
      <c r="K346" s="59">
        <f t="shared" si="39"/>
        <v>9.3035420598202467</v>
      </c>
      <c r="L346" s="59">
        <f>((0.398*F346^0.85)/(1-H346))*J346/F346</f>
        <v>4.3416529612494488</v>
      </c>
      <c r="M346" s="59">
        <f>IF((((1.18*F346^0.874)-(0.398*F346^0.85)/(1-H346)*H346)*(MAX('Min rate concentrations'!$P$3:$P$368)))/F346&gt;0, (((1.18*F346^0.874)-(0.398*F346^0.85)/(1-H346)*H346)*(MAX('Min rate concentrations'!$P$3:$P$368)))/F346, 0)</f>
        <v>0</v>
      </c>
      <c r="N346" s="59">
        <f>IF((((1.18*F346^0.874)-(0.398*F346^0.85)/(1-H346)*H346)*(MAX('Min rate concentrations'!$Q$3:$Q$368)))/F346&gt;0, (((1.18*F346^0.874)-(0.398*F346^0.85)/(1-H346)*H346)*(MAX('Min rate concentrations'!$Q$3:$Q$368)))/F346, 0)</f>
        <v>0</v>
      </c>
      <c r="O346" s="59">
        <f>((MAX('Min rate concentrations'!$F$3:$F$368))*0.62*6.01*8*(10*F346^0.667)*0.079*0.1/F346)*inputs!$E$80/(10^(0.84+0.62*LOG10(inputs!$E$80)))</f>
        <v>11.685864032208896</v>
      </c>
      <c r="P346" s="59">
        <f>((MAX('Min rate concentrations'!Y:Y))*0.62*6.01*8*(10*F346^0.667)*0.079*0.1/F346)*inputs!$E$80/(10^(0.84+0.62*LOG10(inputs!$E$80)))</f>
        <v>3.8952880107362988</v>
      </c>
      <c r="Q346" s="59">
        <f>(inputs!$C$7*11.2*(10*F346^0.667)*0.5/F346)*inputs!$E$80/(10^(0.84+0.62*LOG10(inputs!$E$80)))</f>
        <v>2.0584098319833757</v>
      </c>
      <c r="R346" s="59">
        <f>(60*284*((F346/1000)^0.77)*3*24*(MAX('Min rate concentrations'!$R$3:$R$368))/F346)*(inputs!$E$73*3.4/inputs!$E$75)</f>
        <v>1.3780478717848651E-2</v>
      </c>
      <c r="S346" s="59">
        <f>(IF(inputs!$C$6="aerial",((0.025*0.112*inputs!$C$7/3.3)*(3*60*284*((F346/1000)^0.77))*MAX(inputs!$H$14:$H$16))/F346,((0.0083*0.112*inputs!$C$7/1)*(3*60*284*((F346/1000)^0.77))*MAX(inputs!$H$14:$H$16))/F346))*(inputs!E$75*3.4/inputs!$E$73)</f>
        <v>7.6000186778248019E-2</v>
      </c>
      <c r="T346" s="63">
        <f>IF((((inputs!$P$12/(V346/MAX(K346:S346)))^(1/inputs!$O$12))-1)/inputs!$N$12&lt;0, 0, IF((((inputs!$P$12/(V346/MAX(K346:S346)))^(1/inputs!$O$12))-1)/inputs!$N$12&gt;inputs!$H$17, inputs!$H$17, (((inputs!$P$12/(V346/MAX(K346:S346)))^(1/inputs!$O$12))-1)/inputs!$N$12))</f>
        <v>171.99472870421067</v>
      </c>
      <c r="U346" s="63">
        <f>IF((((inputs!$P$12/(X346/MAX(K346:S346)))^(1/inputs!$O$12))-1)/inputs!$N$12&lt;0, 0, IF((((inputs!$P$12/(X346/MAX(K346:S346)))^(1/inputs!$O$12))-1)/inputs!$N$12&gt;inputs!$H$17, inputs!$H$17, (((inputs!$P$12/(X346/MAX(K346:S346)))^(1/inputs!$O$12))-1)/inputs!$N$12))</f>
        <v>0</v>
      </c>
      <c r="V346" s="21">
        <f>inputs!$E$78*(F346/inputs!$F$78)^(inputs!$E$84-1)</f>
        <v>4.5935886791004306E-2</v>
      </c>
      <c r="W346" s="21">
        <f>inputs!$E$85*(F346/inputs!$F$85)^(inputs!$E$84-1)</f>
        <v>2.1212346306785999</v>
      </c>
      <c r="X346" s="21">
        <f>inputs!$E$80*(F346/inputs!$F$80)^(inputs!$E$84-1)</f>
        <v>7.9210660259517338</v>
      </c>
      <c r="Y346" s="21">
        <f>inputs!$E$82*(F346/inputs!$F$82)^(inputs!$E$84-1)</f>
        <v>3.6506941607587633</v>
      </c>
      <c r="Z346" s="63">
        <f t="shared" si="40"/>
        <v>254.39508951631595</v>
      </c>
      <c r="AA346" s="63">
        <f t="shared" si="41"/>
        <v>5.5089917273651592</v>
      </c>
    </row>
    <row r="347" spans="1:27" x14ac:dyDescent="0.25">
      <c r="A347" s="103" t="s">
        <v>374</v>
      </c>
      <c r="B347" s="20" t="s">
        <v>375</v>
      </c>
      <c r="C347" s="20" t="s">
        <v>73</v>
      </c>
      <c r="D347" s="104" t="s">
        <v>141</v>
      </c>
      <c r="E347" s="15">
        <v>1241</v>
      </c>
      <c r="F347" s="15">
        <v>9.1999999999999993</v>
      </c>
      <c r="G347" s="20" t="s">
        <v>153</v>
      </c>
      <c r="H347" s="20">
        <v>0.7</v>
      </c>
      <c r="I347" s="48">
        <f>MAX('Min rate concentrations'!$E$3:$E$368)</f>
        <v>55</v>
      </c>
      <c r="J347" s="48">
        <f>MAX('Min rate concentrations'!X:X)</f>
        <v>18</v>
      </c>
      <c r="K347" s="59">
        <f t="shared" si="39"/>
        <v>52.306580914100493</v>
      </c>
      <c r="L347" s="59"/>
      <c r="M347" s="59">
        <f>IF((((1.18*F347^0.874)-(0.398*F347^0.85)/(1-H347)*H347)*(MAX('Min rate concentrations'!$P$3:$P$368)))/F347&gt;0, (((1.18*F347^0.874)-(0.398*F347^0.85)/(1-H347)*H347)*(MAX('Min rate concentrations'!$P$3:$P$368)))/F347, 0)</f>
        <v>3.2867896958976676E-2</v>
      </c>
      <c r="N347" s="59">
        <f>IF((((1.18*F347^0.874)-(0.398*F347^0.85)/(1-H347)*H347)*(MAX('Min rate concentrations'!$Q$3:$Q$368)))/F347&gt;0, (((1.18*F347^0.874)-(0.398*F347^0.85)/(1-H347)*H347)*(MAX('Min rate concentrations'!$Q$3:$Q$368)))/F347, 0)</f>
        <v>0.12516271766727341</v>
      </c>
      <c r="O347" s="59">
        <f>((MAX('Min rate concentrations'!$F$3:$F$368))*0.62*6.01*8*(10*F347^0.667)*0.079*0.1/F347)*inputs!$E$80/(10^(0.84+0.62*LOG10(inputs!$E$80)))</f>
        <v>11.685864032208896</v>
      </c>
      <c r="P347" s="59">
        <f>((MAX('Min rate concentrations'!Y:Y))*0.62*6.01*8*(10*F347^0.667)*0.079*0.1/F347)*inputs!$E$80/(10^(0.84+0.62*LOG10(inputs!$E$80)))</f>
        <v>3.8952880107362988</v>
      </c>
      <c r="Q347" s="59">
        <f>(inputs!$C$7*11.2*(10*F347^0.667)*0.5/F347)*inputs!$E$80/(10^(0.84+0.62*LOG10(inputs!$E$80)))</f>
        <v>2.0584098319833757</v>
      </c>
      <c r="R347" s="59">
        <f>(60*284*((F347/1000)^0.77)*3*24*(MAX('Min rate concentrations'!$R$3:$R$368))/F347)*(inputs!$E$73*3.4/inputs!$E$75)</f>
        <v>1.3780478717848651E-2</v>
      </c>
      <c r="S347" s="59">
        <f>(IF(inputs!$C$6="aerial",((0.025*0.112*inputs!$C$7/3.3)*(3*60*284*((F347/1000)^0.77))*MAX(inputs!$H$14:$H$16))/F347,((0.0083*0.112*inputs!$C$7/1)*(3*60*284*((F347/1000)^0.77))*MAX(inputs!$H$14:$H$16))/F347))*(inputs!E$75*3.4/inputs!$E$73)</f>
        <v>7.6000186778248019E-2</v>
      </c>
      <c r="T347" s="63">
        <f>IF((((inputs!$P$12/(V347/MAX(K347:S347)))^(1/inputs!$O$12))-1)/inputs!$N$12&lt;0, 0, IF((((inputs!$P$12/(V347/MAX(K347:S347)))^(1/inputs!$O$12))-1)/inputs!$N$12&gt;inputs!$H$17, inputs!$H$17, (((inputs!$P$12/(V347/MAX(K347:S347)))^(1/inputs!$O$12))-1)/inputs!$N$12))</f>
        <v>340.33781008360955</v>
      </c>
      <c r="U347" s="63">
        <f>IF((((inputs!$P$12/(X347/MAX(K347:S347)))^(1/inputs!$O$12))-1)/inputs!$N$12&lt;0, 0, IF((((inputs!$P$12/(X347/MAX(K347:S347)))^(1/inputs!$O$12))-1)/inputs!$N$12&gt;inputs!$H$17, inputs!$H$17, (((inputs!$P$12/(X347/MAX(K347:S347)))^(1/inputs!$O$12))-1)/inputs!$N$12))</f>
        <v>16.915230764182731</v>
      </c>
      <c r="V347" s="21">
        <f>inputs!$E$78*(F347/inputs!$F$78)^(inputs!$E$84-1)</f>
        <v>4.5935886791004306E-2</v>
      </c>
      <c r="W347" s="21">
        <f>inputs!$E$85*(F347/inputs!$F$85)^(inputs!$E$84-1)</f>
        <v>2.1212346306785999</v>
      </c>
      <c r="X347" s="21">
        <f>inputs!$E$80*(F347/inputs!$F$80)^(inputs!$E$84-1)</f>
        <v>7.9210660259517338</v>
      </c>
      <c r="Y347" s="21">
        <f>inputs!$E$82*(F347/inputs!$F$82)^(inputs!$E$84-1)</f>
        <v>3.6506941607587633</v>
      </c>
      <c r="Z347" s="63">
        <f t="shared" si="40"/>
        <v>1138.6866471541325</v>
      </c>
      <c r="AA347" s="63">
        <f t="shared" si="41"/>
        <v>24.658555049785889</v>
      </c>
    </row>
    <row r="348" spans="1:27" x14ac:dyDescent="0.25">
      <c r="A348" s="103" t="s">
        <v>374</v>
      </c>
      <c r="B348" s="20" t="s">
        <v>375</v>
      </c>
      <c r="C348" s="20" t="s">
        <v>73</v>
      </c>
      <c r="D348" s="104" t="s">
        <v>141</v>
      </c>
      <c r="E348" s="15">
        <v>1241</v>
      </c>
      <c r="F348" s="15">
        <v>9.1999999999999993</v>
      </c>
      <c r="G348" s="20" t="s">
        <v>154</v>
      </c>
      <c r="H348" s="20">
        <v>9.2999999999999999E-2</v>
      </c>
      <c r="I348" s="48">
        <f>MAX('Min rate concentrations'!$G$3:$G$368)</f>
        <v>7.5</v>
      </c>
      <c r="J348" s="48">
        <f>MAX('Min rate concentrations'!Z:Z)</f>
        <v>3.5</v>
      </c>
      <c r="K348" s="59">
        <f t="shared" si="39"/>
        <v>2.3592223525453768</v>
      </c>
      <c r="L348" s="59"/>
      <c r="M348" s="59">
        <f>IF((((1.18*F348^0.874)-(0.398*F348^0.85)/(1-H348)*H348)*(MAX('Min rate concentrations'!$P$3:$P$368)))/F348&gt;0, (((1.18*F348^0.874)-(0.398*F348^0.85)/(1-H348)*H348)*(MAX('Min rate concentrations'!$P$3:$P$368)))/F348, 0)</f>
        <v>0.1252496492999704</v>
      </c>
      <c r="N348" s="59">
        <f>IF((((1.18*F348^0.874)-(0.398*F348^0.85)/(1-H348)*H348)*(MAX('Min rate concentrations'!$Q$3:$Q$368)))/F348&gt;0, (((1.18*F348^0.874)-(0.398*F348^0.85)/(1-H348)*H348)*(MAX('Min rate concentrations'!$Q$3:$Q$368)))/F348, 0)</f>
        <v>0.47695739440900586</v>
      </c>
      <c r="O348" s="59">
        <f>((MAX('Min rate concentrations'!$F$3:$F$368))*0.62*6.01*8*(10*F348^0.667)*0.079*0.1/F348)*inputs!$E$80/(10^(0.84+0.62*LOG10(inputs!$E$80)))</f>
        <v>11.685864032208896</v>
      </c>
      <c r="P348" s="59">
        <f>((MAX('Min rate concentrations'!Y:Y))*0.62*6.01*8*(10*F348^0.667)*0.079*0.1/F348)*inputs!$E$80/(10^(0.84+0.62*LOG10(inputs!$E$80)))</f>
        <v>3.8952880107362988</v>
      </c>
      <c r="Q348" s="59">
        <f>(inputs!$C$7*11.2*(10*F348^0.667)*0.5/F348)*inputs!$E$80/(10^(0.84+0.62*LOG10(inputs!$E$80)))</f>
        <v>2.0584098319833757</v>
      </c>
      <c r="R348" s="59">
        <f>(60*284*((F348/1000)^0.77)*3*24*(MAX('Min rate concentrations'!$R$3:$R$368))/F348)*(inputs!$E$73*3.4/inputs!$E$75)</f>
        <v>1.3780478717848651E-2</v>
      </c>
      <c r="S348" s="59">
        <f>(IF(inputs!$C$6="aerial",((0.025*0.112*inputs!$C$7/3.3)*(3*60*284*((F348/1000)^0.77))*MAX(inputs!$H$14:$H$16))/F348,((0.0083*0.112*inputs!$C$7/1)*(3*60*284*((F348/1000)^0.77))*MAX(inputs!$H$14:$H$16))/F348))*(inputs!E$75*3.4/inputs!$E$73)</f>
        <v>7.6000186778248019E-2</v>
      </c>
      <c r="T348" s="63">
        <f>IF((((inputs!$P$12/(V348/MAX(K348:S348)))^(1/inputs!$O$12))-1)/inputs!$N$12&lt;0, 0, IF((((inputs!$P$12/(V348/MAX(K348:S348)))^(1/inputs!$O$12))-1)/inputs!$N$12&gt;inputs!$H$17, inputs!$H$17, (((inputs!$P$12/(V348/MAX(K348:S348)))^(1/inputs!$O$12))-1)/inputs!$N$12))</f>
        <v>171.99472870421067</v>
      </c>
      <c r="U348" s="63">
        <f>IF((((inputs!$P$12/(X348/MAX(K348:S348)))^(1/inputs!$O$12))-1)/inputs!$N$12&lt;0, 0, IF((((inputs!$P$12/(X348/MAX(K348:S348)))^(1/inputs!$O$12))-1)/inputs!$N$12&gt;inputs!$H$17, inputs!$H$17, (((inputs!$P$12/(X348/MAX(K348:S348)))^(1/inputs!$O$12))-1)/inputs!$N$12))</f>
        <v>0</v>
      </c>
      <c r="V348" s="21">
        <f>inputs!$E$78*(F348/inputs!$F$78)^(inputs!$E$84-1)</f>
        <v>4.5935886791004306E-2</v>
      </c>
      <c r="W348" s="21">
        <f>inputs!$E$85*(F348/inputs!$F$85)^(inputs!$E$84-1)</f>
        <v>2.1212346306785999</v>
      </c>
      <c r="X348" s="21">
        <f>inputs!$E$80*(F348/inputs!$F$80)^(inputs!$E$84-1)</f>
        <v>7.9210660259517338</v>
      </c>
      <c r="Y348" s="21">
        <f>inputs!$E$82*(F348/inputs!$F$82)^(inputs!$E$84-1)</f>
        <v>3.6506941607587633</v>
      </c>
      <c r="Z348" s="63">
        <f t="shared" si="40"/>
        <v>254.39508951631595</v>
      </c>
      <c r="AA348" s="63">
        <f t="shared" si="41"/>
        <v>5.5089917273651592</v>
      </c>
    </row>
    <row r="349" spans="1:27" x14ac:dyDescent="0.25">
      <c r="A349" s="103" t="s">
        <v>267</v>
      </c>
      <c r="B349" s="20" t="s">
        <v>268</v>
      </c>
      <c r="C349" s="20" t="s">
        <v>73</v>
      </c>
      <c r="D349" s="104" t="s">
        <v>141</v>
      </c>
      <c r="E349" s="15">
        <v>115</v>
      </c>
      <c r="F349" s="15">
        <v>45</v>
      </c>
      <c r="G349" s="20" t="s">
        <v>142</v>
      </c>
      <c r="H349" s="20">
        <v>0.69</v>
      </c>
      <c r="I349" s="48">
        <f>MAX('Min rate concentrations'!$H$3:$H$368)</f>
        <v>47</v>
      </c>
      <c r="J349" s="48">
        <f>MAX('Min rate concentrations'!AA:AA)</f>
        <v>32.5</v>
      </c>
      <c r="K349" s="59">
        <f t="shared" si="39"/>
        <v>34.090813052784689</v>
      </c>
      <c r="L349" s="59">
        <f t="shared" ref="L349:L356" si="44">((0.398*F349^0.85)/(1-H349))*J349/F349</f>
        <v>23.573434557776647</v>
      </c>
      <c r="M349" s="59">
        <f>IF((((1.18*F349^0.874)-(0.398*F349^0.85)/(1-H349)*H349)*(MAX('Min rate concentrations'!$P$3:$P$368)))/F349&gt;0, (((1.18*F349^0.874)-(0.398*F349^0.85)/(1-H349)*H349)*(MAX('Min rate concentrations'!$P$3:$P$368)))/F349, 0)</f>
        <v>3.3376142961267348E-2</v>
      </c>
      <c r="N349" s="59">
        <f>IF((((1.18*F349^0.874)-(0.398*F349^0.85)/(1-H349)*H349)*(MAX('Min rate concentrations'!$Q$3:$Q$368)))/F349&gt;0, (((1.18*F349^0.874)-(0.398*F349^0.85)/(1-H349)*H349)*(MAX('Min rate concentrations'!$Q$3:$Q$368)))/F349, 0)</f>
        <v>0.12709814575291045</v>
      </c>
      <c r="O349" s="59">
        <f>((MAX('Min rate concentrations'!$F$3:$F$368))*0.62*6.01*8*(10*F349^0.667)*0.079*0.1/F349)*inputs!$E$80/(10^(0.84+0.62*LOG10(inputs!$E$80)))</f>
        <v>6.887829819837612</v>
      </c>
      <c r="P349" s="59">
        <f>((MAX('Min rate concentrations'!Y:Y))*0.62*6.01*8*(10*F349^0.667)*0.079*0.1/F349)*inputs!$E$80/(10^(0.84+0.62*LOG10(inputs!$E$80)))</f>
        <v>2.2959432732792031</v>
      </c>
      <c r="Q349" s="59">
        <f>(inputs!$C$7*11.2*(10*F349^0.667)*0.5/F349)*inputs!$E$80/(10^(0.84+0.62*LOG10(inputs!$E$80)))</f>
        <v>1.2132587357771998</v>
      </c>
      <c r="R349" s="59">
        <f>(60*284*((F349/1000)^0.77)*3*24*(MAX('Min rate concentrations'!$R$3:$R$368))/F349)*(inputs!$E$73*3.4/inputs!$E$75)</f>
        <v>9.5652566402593849E-3</v>
      </c>
      <c r="S349" s="59">
        <f>(IF(inputs!$C$6="aerial",((0.025*0.112*inputs!$C$7/3.3)*(3*60*284*((F349/1000)^0.77))*MAX(inputs!$H$14:$H$16))/F349,((0.0083*0.112*inputs!$C$7/1)*(3*60*284*((F349/1000)^0.77))*MAX(inputs!$H$14:$H$16))/F349))*(inputs!E$75*3.4/inputs!$E$73)</f>
        <v>5.2752978044225761E-2</v>
      </c>
      <c r="T349" s="63">
        <f>IF((((inputs!$P$12/(V349/MAX(K349:S349)))^(1/inputs!$O$12))-1)/inputs!$N$12&lt;0, 0, IF((((inputs!$P$12/(V349/MAX(K349:S349)))^(1/inputs!$O$12))-1)/inputs!$N$12&gt;inputs!$H$17, inputs!$H$17, (((inputs!$P$12/(V349/MAX(K349:S349)))^(1/inputs!$O$12))-1)/inputs!$N$12))</f>
        <v>365.02094042856248</v>
      </c>
      <c r="U349" s="63">
        <f>IF((((inputs!$P$12/(X349/MAX(K349:S349)))^(1/inputs!$O$12))-1)/inputs!$N$12&lt;0, 0, IF((((inputs!$P$12/(X349/MAX(K349:S349)))^(1/inputs!$O$12))-1)/inputs!$N$12&gt;inputs!$H$17, inputs!$H$17, (((inputs!$P$12/(X349/MAX(K349:S349)))^(1/inputs!$O$12))-1)/inputs!$N$12))</f>
        <v>19.953894919394855</v>
      </c>
      <c r="V349" s="21">
        <f>inputs!$E$78*(F349/inputs!$F$78)^(inputs!$E$84-1)</f>
        <v>2.5530832177025353E-2</v>
      </c>
      <c r="W349" s="21">
        <f>inputs!$E$85*(F349/inputs!$F$85)^(inputs!$E$84-1)</f>
        <v>1.1789667980145604</v>
      </c>
      <c r="X349" s="21">
        <f>inputs!$E$80*(F349/inputs!$F$80)^(inputs!$E$84-1)</f>
        <v>4.4024709546113323</v>
      </c>
      <c r="Y349" s="21">
        <f>inputs!$E$82*(F349/inputs!$F$82)^(inputs!$E$84-1)</f>
        <v>2.0290292940688568</v>
      </c>
      <c r="Z349" s="63">
        <f t="shared" si="40"/>
        <v>1335.2801356573987</v>
      </c>
      <c r="AA349" s="63">
        <f t="shared" si="41"/>
        <v>28.915838096709201</v>
      </c>
    </row>
    <row r="350" spans="1:27" x14ac:dyDescent="0.25">
      <c r="A350" s="103" t="s">
        <v>267</v>
      </c>
      <c r="B350" s="20" t="s">
        <v>268</v>
      </c>
      <c r="C350" s="20" t="s">
        <v>73</v>
      </c>
      <c r="D350" s="104" t="s">
        <v>141</v>
      </c>
      <c r="E350" s="15">
        <v>115</v>
      </c>
      <c r="F350" s="15">
        <v>45</v>
      </c>
      <c r="G350" s="20" t="s">
        <v>138</v>
      </c>
      <c r="H350" s="20">
        <v>0.68</v>
      </c>
      <c r="I350" s="48">
        <f>MAX('Min rate concentrations'!$L$3:$L$368)</f>
        <v>58.421240152220811</v>
      </c>
      <c r="J350" s="48">
        <f>MAX('Min rate concentrations'!AD:AD)</f>
        <v>40.397666062705881</v>
      </c>
      <c r="K350" s="59">
        <f t="shared" si="39"/>
        <v>41.050834352777365</v>
      </c>
      <c r="L350" s="59">
        <f t="shared" si="44"/>
        <v>28.386215243941798</v>
      </c>
      <c r="M350" s="59">
        <f>IF((((1.18*F350^0.874)-(0.398*F350^0.85)/(1-H350)*H350)*(MAX('Min rate concentrations'!$P$3:$P$368)))/F350&gt;0, (((1.18*F350^0.874)-(0.398*F350^0.85)/(1-H350)*H350)*(MAX('Min rate concentrations'!$P$3:$P$368)))/F350, 0)</f>
        <v>3.6666179123356533E-2</v>
      </c>
      <c r="N350" s="59">
        <f>IF((((1.18*F350^0.874)-(0.398*F350^0.85)/(1-H350)*H350)*(MAX('Min rate concentrations'!$Q$3:$Q$368)))/F350&gt;0, (((1.18*F350^0.874)-(0.398*F350^0.85)/(1-H350)*H350)*(MAX('Min rate concentrations'!$Q$3:$Q$368)))/F350, 0)</f>
        <v>0.13962678023733319</v>
      </c>
      <c r="O350" s="59">
        <f>((MAX('Min rate concentrations'!$F$3:$F$368))*0.62*6.01*8*(10*F350^0.667)*0.079*0.1/F350)*inputs!$E$80/(10^(0.84+0.62*LOG10(inputs!$E$80)))</f>
        <v>6.887829819837612</v>
      </c>
      <c r="P350" s="59">
        <f>((MAX('Min rate concentrations'!Y:Y))*0.62*6.01*8*(10*F350^0.667)*0.079*0.1/F350)*inputs!$E$80/(10^(0.84+0.62*LOG10(inputs!$E$80)))</f>
        <v>2.2959432732792031</v>
      </c>
      <c r="Q350" s="59">
        <f>(inputs!$C$7*11.2*(10*F350^0.667)*0.5/F350)*inputs!$E$80/(10^(0.84+0.62*LOG10(inputs!$E$80)))</f>
        <v>1.2132587357771998</v>
      </c>
      <c r="R350" s="59">
        <f>(60*284*((F350/1000)^0.77)*3*24*(MAX('Min rate concentrations'!$R$3:$R$368))/F350)*(inputs!$E$73*3.4/inputs!$E$75)</f>
        <v>9.5652566402593849E-3</v>
      </c>
      <c r="S350" s="59">
        <f>(IF(inputs!$C$6="aerial",((0.025*0.112*inputs!$C$7/3.3)*(3*60*284*((F350/1000)^0.77))*MAX(inputs!$H$14:$H$16))/F350,((0.0083*0.112*inputs!$C$7/1)*(3*60*284*((F350/1000)^0.77))*MAX(inputs!$H$14:$H$16))/F350))*(inputs!E$75*3.4/inputs!$E$73)</f>
        <v>5.2752978044225761E-2</v>
      </c>
      <c r="T350" s="63">
        <f>IF((((inputs!$P$12/(V350/MAX(K350:S350)))^(1/inputs!$O$12))-1)/inputs!$N$12&lt;0, 0, IF((((inputs!$P$12/(V350/MAX(K350:S350)))^(1/inputs!$O$12))-1)/inputs!$N$12&gt;inputs!$H$17, inputs!$H$17, (((inputs!$P$12/(V350/MAX(K350:S350)))^(1/inputs!$O$12))-1)/inputs!$N$12))</f>
        <v>395.90877318141213</v>
      </c>
      <c r="U350" s="63">
        <f>IF((((inputs!$P$12/(X350/MAX(K350:S350)))^(1/inputs!$O$12))-1)/inputs!$N$12&lt;0, 0, IF((((inputs!$P$12/(X350/MAX(K350:S350)))^(1/inputs!$O$12))-1)/inputs!$N$12&gt;inputs!$H$17, inputs!$H$17, (((inputs!$P$12/(X350/MAX(K350:S350)))^(1/inputs!$O$12))-1)/inputs!$N$12))</f>
        <v>23.756400878184735</v>
      </c>
      <c r="V350" s="21">
        <f>inputs!$E$78*(F350/inputs!$F$78)^(inputs!$E$84-1)</f>
        <v>2.5530832177025353E-2</v>
      </c>
      <c r="W350" s="21">
        <f>inputs!$E$85*(F350/inputs!$F$85)^(inputs!$E$84-1)</f>
        <v>1.1789667980145604</v>
      </c>
      <c r="X350" s="21">
        <f>inputs!$E$80*(F350/inputs!$F$80)^(inputs!$E$84-1)</f>
        <v>4.4024709546113323</v>
      </c>
      <c r="Y350" s="21">
        <f>inputs!$E$82*(F350/inputs!$F$82)^(inputs!$E$84-1)</f>
        <v>2.0290292940688568</v>
      </c>
      <c r="Z350" s="63">
        <f t="shared" si="40"/>
        <v>1607.8925304173254</v>
      </c>
      <c r="AA350" s="63">
        <f t="shared" si="41"/>
        <v>34.819330299978795</v>
      </c>
    </row>
    <row r="351" spans="1:27" x14ac:dyDescent="0.25">
      <c r="A351" s="103" t="s">
        <v>267</v>
      </c>
      <c r="B351" s="20" t="s">
        <v>268</v>
      </c>
      <c r="C351" s="20" t="s">
        <v>73</v>
      </c>
      <c r="D351" s="104" t="s">
        <v>141</v>
      </c>
      <c r="E351" s="15">
        <v>115</v>
      </c>
      <c r="F351" s="15">
        <v>45</v>
      </c>
      <c r="G351" s="21" t="s">
        <v>456</v>
      </c>
      <c r="H351" s="20">
        <v>0.68</v>
      </c>
      <c r="I351" s="48">
        <f>MAX('Min rate concentrations'!$J$3:$J$368)</f>
        <v>114.4108103430513</v>
      </c>
      <c r="J351" s="48">
        <f>MAX('Min rate concentrations'!AB:AB)</f>
        <v>40.520495329830666</v>
      </c>
      <c r="K351" s="59">
        <f t="shared" si="39"/>
        <v>80.393007942353449</v>
      </c>
      <c r="L351" s="59">
        <f t="shared" si="44"/>
        <v>28.472523646250181</v>
      </c>
      <c r="M351" s="59">
        <f>IF((((1.18*F351^0.874)-(0.398*F351^0.85)/(1-H351)*H351)*(MAX('Min rate concentrations'!$P$3:$P$368)))/F351&gt;0, (((1.18*F351^0.874)-(0.398*F351^0.85)/(1-H351)*H351)*(MAX('Min rate concentrations'!$P$3:$P$368)))/F351, 0)</f>
        <v>3.6666179123356533E-2</v>
      </c>
      <c r="N351" s="59">
        <f>IF((((1.18*F351^0.874)-(0.398*F351^0.85)/(1-H351)*H351)*(MAX('Min rate concentrations'!$Q$3:$Q$368)))/F351&gt;0, (((1.18*F351^0.874)-(0.398*F351^0.85)/(1-H351)*H351)*(MAX('Min rate concentrations'!$Q$3:$Q$368)))/F351, 0)</f>
        <v>0.13962678023733319</v>
      </c>
      <c r="O351" s="59">
        <f>((MAX('Min rate concentrations'!$F$3:$F$368))*0.62*6.01*8*(10*F351^0.667)*0.079*0.1/F351)*inputs!$E$80/(10^(0.84+0.62*LOG10(inputs!$E$80)))</f>
        <v>6.887829819837612</v>
      </c>
      <c r="P351" s="59">
        <f>((MAX('Min rate concentrations'!Y:Y))*0.62*6.01*8*(10*F351^0.667)*0.079*0.1/F351)*inputs!$E$80/(10^(0.84+0.62*LOG10(inputs!$E$80)))</f>
        <v>2.2959432732792031</v>
      </c>
      <c r="Q351" s="59">
        <f>(inputs!$C$7*11.2*(10*F351^0.667)*0.5/F351)*inputs!$E$80/(10^(0.84+0.62*LOG10(inputs!$E$80)))</f>
        <v>1.2132587357771998</v>
      </c>
      <c r="R351" s="59">
        <f>(60*284*((F351/1000)^0.77)*3*24*(MAX('Min rate concentrations'!$R$3:$R$368))/F351)*(inputs!$E$73*3.4/inputs!$E$75)</f>
        <v>9.5652566402593849E-3</v>
      </c>
      <c r="S351" s="59">
        <f>(IF(inputs!$C$6="aerial",((0.025*0.112*inputs!$C$7/3.3)*(3*60*284*((F351/1000)^0.77))*MAX(inputs!$H$14:$H$16))/F351,((0.0083*0.112*inputs!$C$7/1)*(3*60*284*((F351/1000)^0.77))*MAX(inputs!$H$14:$H$16))/F351))*(inputs!E$75*3.4/inputs!$E$73)</f>
        <v>5.2752978044225761E-2</v>
      </c>
      <c r="T351" s="63">
        <f>IF((((inputs!$P$12/(V351/MAX(K351:S351)))^(1/inputs!$O$12))-1)/inputs!$N$12&lt;0, 0, IF((((inputs!$P$12/(V351/MAX(K351:S351)))^(1/inputs!$O$12))-1)/inputs!$N$12&gt;inputs!$H$17, inputs!$H$17, (((inputs!$P$12/(V351/MAX(K351:S351)))^(1/inputs!$O$12))-1)/inputs!$N$12))</f>
        <v>529.33596060610637</v>
      </c>
      <c r="U351" s="63">
        <f>IF((((inputs!$P$12/(X351/MAX(K351:S351)))^(1/inputs!$O$12))-1)/inputs!$N$12&lt;0, 0, IF((((inputs!$P$12/(X351/MAX(K351:S351)))^(1/inputs!$O$12))-1)/inputs!$N$12&gt;inputs!$H$17, inputs!$H$17, (((inputs!$P$12/(X351/MAX(K351:S351)))^(1/inputs!$O$12))-1)/inputs!$N$12))</f>
        <v>40.182210979742216</v>
      </c>
      <c r="V351" s="21">
        <f>inputs!$E$78*(F351/inputs!$F$78)^(inputs!$E$84-1)</f>
        <v>2.5530832177025353E-2</v>
      </c>
      <c r="W351" s="21">
        <f>inputs!$E$85*(F351/inputs!$F$85)^(inputs!$E$84-1)</f>
        <v>1.1789667980145604</v>
      </c>
      <c r="X351" s="21">
        <f>inputs!$E$80*(F351/inputs!$F$80)^(inputs!$E$84-1)</f>
        <v>4.4024709546113323</v>
      </c>
      <c r="Y351" s="21">
        <f>inputs!$E$82*(F351/inputs!$F$82)^(inputs!$E$84-1)</f>
        <v>2.0290292940688568</v>
      </c>
      <c r="Z351" s="63">
        <f t="shared" si="40"/>
        <v>3148.8596762113139</v>
      </c>
      <c r="AA351" s="63">
        <f t="shared" si="41"/>
        <v>68.189374016078602</v>
      </c>
    </row>
    <row r="352" spans="1:27" x14ac:dyDescent="0.25">
      <c r="A352" s="103" t="s">
        <v>267</v>
      </c>
      <c r="B352" s="20" t="s">
        <v>268</v>
      </c>
      <c r="C352" s="20" t="s">
        <v>73</v>
      </c>
      <c r="D352" s="104" t="s">
        <v>141</v>
      </c>
      <c r="E352" s="15">
        <v>115</v>
      </c>
      <c r="F352" s="15">
        <v>45</v>
      </c>
      <c r="G352" s="20" t="s">
        <v>145</v>
      </c>
      <c r="H352" s="20">
        <v>0.66</v>
      </c>
      <c r="I352" s="48">
        <f>MAX('Min rate concentrations'!$M$3:$M$368)</f>
        <v>2.8488184789681945</v>
      </c>
      <c r="J352" s="48">
        <f>MAX('Min rate concentrations'!AE:AE)</f>
        <v>1.9699276716269429</v>
      </c>
      <c r="K352" s="59">
        <f t="shared" si="39"/>
        <v>1.8840267107775459</v>
      </c>
      <c r="L352" s="59">
        <f t="shared" si="44"/>
        <v>1.302784427665324</v>
      </c>
      <c r="M352" s="59">
        <f>IF((((1.18*F352^0.874)-(0.398*F352^0.85)/(1-H352)*H352)*(MAX('Min rate concentrations'!$P$3:$P$368)))/F352&gt;0, (((1.18*F352^0.874)-(0.398*F352^0.85)/(1-H352)*H352)*(MAX('Min rate concentrations'!$P$3:$P$368)))/F352, 0)</f>
        <v>4.2665656830695696E-2</v>
      </c>
      <c r="N352" s="59">
        <f>IF((((1.18*F352^0.874)-(0.398*F352^0.85)/(1-H352)*H352)*(MAX('Min rate concentrations'!$Q$3:$Q$368)))/F352&gt;0, (((1.18*F352^0.874)-(0.398*F352^0.85)/(1-H352)*H352)*(MAX('Min rate concentrations'!$Q$3:$Q$368)))/F352, 0)</f>
        <v>0.16247311370892781</v>
      </c>
      <c r="O352" s="59">
        <f>((MAX('Min rate concentrations'!$F$3:$F$368))*0.62*6.01*8*(10*F352^0.667)*0.079*0.1/F352)*inputs!$E$80/(10^(0.84+0.62*LOG10(inputs!$E$80)))</f>
        <v>6.887829819837612</v>
      </c>
      <c r="P352" s="59">
        <f>((MAX('Min rate concentrations'!Y:Y))*0.62*6.01*8*(10*F352^0.667)*0.079*0.1/F352)*inputs!$E$80/(10^(0.84+0.62*LOG10(inputs!$E$80)))</f>
        <v>2.2959432732792031</v>
      </c>
      <c r="Q352" s="59">
        <f>(inputs!$C$7*11.2*(10*F352^0.667)*0.5/F352)*inputs!$E$80/(10^(0.84+0.62*LOG10(inputs!$E$80)))</f>
        <v>1.2132587357771998</v>
      </c>
      <c r="R352" s="59">
        <f>(60*284*((F352/1000)^0.77)*3*24*(MAX('Min rate concentrations'!$R$3:$R$368))/F352)*(inputs!$E$73*3.4/inputs!$E$75)</f>
        <v>9.5652566402593849E-3</v>
      </c>
      <c r="S352" s="59">
        <f>(IF(inputs!$C$6="aerial",((0.025*0.112*inputs!$C$7/3.3)*(3*60*284*((F352/1000)^0.77))*MAX(inputs!$H$14:$H$16))/F352,((0.0083*0.112*inputs!$C$7/1)*(3*60*284*((F352/1000)^0.77))*MAX(inputs!$H$14:$H$16))/F352))*(inputs!E$75*3.4/inputs!$E$73)</f>
        <v>5.2752978044225761E-2</v>
      </c>
      <c r="T352" s="63">
        <f>IF((((inputs!$P$12/(V352/MAX(K352:S352)))^(1/inputs!$O$12))-1)/inputs!$N$12&lt;0, 0, IF((((inputs!$P$12/(V352/MAX(K352:S352)))^(1/inputs!$O$12))-1)/inputs!$N$12&gt;inputs!$H$17, inputs!$H$17, (((inputs!$P$12/(V352/MAX(K352:S352)))^(1/inputs!$O$12))-1)/inputs!$N$12))</f>
        <v>176.84198186512779</v>
      </c>
      <c r="U352" s="63">
        <f>IF((((inputs!$P$12/(X352/MAX(K352:S352)))^(1/inputs!$O$12))-1)/inputs!$N$12&lt;0, 0, IF((((inputs!$P$12/(X352/MAX(K352:S352)))^(1/inputs!$O$12))-1)/inputs!$N$12&gt;inputs!$H$17, inputs!$H$17, (((inputs!$P$12/(X352/MAX(K352:S352)))^(1/inputs!$O$12))-1)/inputs!$N$12))</f>
        <v>0</v>
      </c>
      <c r="V352" s="21">
        <f>inputs!$E$78*(F352/inputs!$F$78)^(inputs!$E$84-1)</f>
        <v>2.5530832177025353E-2</v>
      </c>
      <c r="W352" s="21">
        <f>inputs!$E$85*(F352/inputs!$F$85)^(inputs!$E$84-1)</f>
        <v>1.1789667980145604</v>
      </c>
      <c r="X352" s="21">
        <f>inputs!$E$80*(F352/inputs!$F$80)^(inputs!$E$84-1)</f>
        <v>4.4024709546113323</v>
      </c>
      <c r="Y352" s="21">
        <f>inputs!$E$82*(F352/inputs!$F$82)^(inputs!$E$84-1)</f>
        <v>2.0290292940688568</v>
      </c>
      <c r="Z352" s="63">
        <f t="shared" si="40"/>
        <v>269.78477521135494</v>
      </c>
      <c r="AA352" s="63">
        <f t="shared" si="41"/>
        <v>5.8422593676404331</v>
      </c>
    </row>
    <row r="353" spans="1:27" x14ac:dyDescent="0.25">
      <c r="A353" s="103" t="s">
        <v>167</v>
      </c>
      <c r="B353" s="20" t="s">
        <v>168</v>
      </c>
      <c r="C353" s="20" t="s">
        <v>73</v>
      </c>
      <c r="D353" s="104" t="s">
        <v>141</v>
      </c>
      <c r="E353" s="15">
        <v>116</v>
      </c>
      <c r="F353" s="15">
        <v>16.8</v>
      </c>
      <c r="G353" s="20" t="s">
        <v>142</v>
      </c>
      <c r="H353" s="20">
        <v>0.69</v>
      </c>
      <c r="I353" s="48">
        <f>MAX('Min rate concentrations'!$H$3:$H$368)</f>
        <v>47</v>
      </c>
      <c r="J353" s="48">
        <f>MAX('Min rate concentrations'!AA:AA)</f>
        <v>32.5</v>
      </c>
      <c r="K353" s="59">
        <f t="shared" ref="K353:K369" si="45">((0.398*F353^0.85)/(1-H353))*I353/F353</f>
        <v>39.520537620863372</v>
      </c>
      <c r="L353" s="59">
        <f t="shared" si="44"/>
        <v>27.328031333575733</v>
      </c>
      <c r="M353" s="59">
        <f>IF((((1.18*F353^0.874)-(0.398*F353^0.85)/(1-H353)*H353)*(MAX('Min rate concentrations'!$P$3:$P$368)))/F353&gt;0, (((1.18*F353^0.874)-(0.398*F353^0.85)/(1-H353)*H353)*(MAX('Min rate concentrations'!$P$3:$P$368)))/F353, 0)</f>
        <v>3.581979427995536E-2</v>
      </c>
      <c r="N353" s="59">
        <f>IF((((1.18*F353^0.874)-(0.398*F353^0.85)/(1-H353)*H353)*(MAX('Min rate concentrations'!$Q$3:$Q$368)))/F353&gt;0, (((1.18*F353^0.874)-(0.398*F353^0.85)/(1-H353)*H353)*(MAX('Min rate concentrations'!$Q$3:$Q$368)))/F353, 0)</f>
        <v>0.13640370127597759</v>
      </c>
      <c r="O353" s="59">
        <f>((MAX('Min rate concentrations'!$F$3:$F$368))*0.62*6.01*8*(10*F353^0.667)*0.079*0.1/F353)*inputs!$E$80/(10^(0.84+0.62*LOG10(inputs!$E$80)))</f>
        <v>9.5625602518468398</v>
      </c>
      <c r="P353" s="59">
        <f>((MAX('Min rate concentrations'!Y:Y))*0.62*6.01*8*(10*F353^0.667)*0.079*0.1/F353)*inputs!$E$80/(10^(0.84+0.62*LOG10(inputs!$E$80)))</f>
        <v>3.1875200839489457</v>
      </c>
      <c r="Q353" s="59">
        <f>(inputs!$C$7*11.2*(10*F353^0.667)*0.5/F353)*inputs!$E$80/(10^(0.84+0.62*LOG10(inputs!$E$80)))</f>
        <v>1.6843998858006812</v>
      </c>
      <c r="R353" s="59">
        <f>(60*284*((F353/1000)^0.77)*3*24*(MAX('Min rate concentrations'!$R$3:$R$368))/F353)*(inputs!$E$73*3.4/inputs!$E$75)</f>
        <v>1.1998152294661531E-2</v>
      </c>
      <c r="S353" s="59">
        <f>(IF(inputs!$C$6="aerial",((0.025*0.112*inputs!$C$7/3.3)*(3*60*284*((F353/1000)^0.77))*MAX(inputs!$H$14:$H$16))/F353,((0.0083*0.112*inputs!$C$7/1)*(3*60*284*((F353/1000)^0.77))*MAX(inputs!$H$14:$H$16))/F353))*(inputs!E$75*3.4/inputs!$E$73)</f>
        <v>6.6170547051249126E-2</v>
      </c>
      <c r="T353" s="63">
        <f>IF((((inputs!$P$12/(V353/MAX(K353:S353)))^(1/inputs!$O$12))-1)/inputs!$N$12&lt;0, 0, IF((((inputs!$P$12/(V353/MAX(K353:S353)))^(1/inputs!$O$12))-1)/inputs!$N$12&gt;inputs!$H$17, inputs!$H$17, (((inputs!$P$12/(V353/MAX(K353:S353)))^(1/inputs!$O$12))-1)/inputs!$N$12))</f>
        <v>331.81247776634933</v>
      </c>
      <c r="U353" s="63">
        <f>IF((((inputs!$P$12/(X353/MAX(K353:S353)))^(1/inputs!$O$12))-1)/inputs!$N$12&lt;0, 0, IF((((inputs!$P$12/(X353/MAX(K353:S353)))^(1/inputs!$O$12))-1)/inputs!$N$12&gt;inputs!$H$17, inputs!$H$17, (((inputs!$P$12/(X353/MAX(K353:S353)))^(1/inputs!$O$12))-1)/inputs!$N$12))</f>
        <v>15.865703359769563</v>
      </c>
      <c r="V353" s="21">
        <f>inputs!$E$78*(F353/inputs!$F$78)^(inputs!$E$84-1)</f>
        <v>3.6761156580544962E-2</v>
      </c>
      <c r="W353" s="21">
        <f>inputs!$E$85*(F353/inputs!$F$85)^(inputs!$E$84-1)</f>
        <v>1.6975624908959248</v>
      </c>
      <c r="X353" s="21">
        <f>inputs!$E$80*(F353/inputs!$F$80)^(inputs!$E$84-1)</f>
        <v>6.3389991748645285</v>
      </c>
      <c r="Y353" s="21">
        <f>inputs!$E$82*(F353/inputs!$F$82)^(inputs!$E$84-1)</f>
        <v>2.921544549295942</v>
      </c>
      <c r="Z353" s="63">
        <f t="shared" si="40"/>
        <v>1075.0624108975601</v>
      </c>
      <c r="AA353" s="63">
        <f t="shared" si="41"/>
        <v>23.280755691064762</v>
      </c>
    </row>
    <row r="354" spans="1:27" x14ac:dyDescent="0.25">
      <c r="A354" s="103" t="s">
        <v>167</v>
      </c>
      <c r="B354" s="20" t="s">
        <v>168</v>
      </c>
      <c r="C354" s="20" t="s">
        <v>73</v>
      </c>
      <c r="D354" s="104" t="s">
        <v>141</v>
      </c>
      <c r="E354" s="15">
        <v>116</v>
      </c>
      <c r="F354" s="15">
        <v>16.8</v>
      </c>
      <c r="G354" s="20" t="s">
        <v>152</v>
      </c>
      <c r="H354" s="20">
        <v>0.77</v>
      </c>
      <c r="I354" s="48">
        <f>MAX('Min rate concentrations'!$G$3:$G$368)</f>
        <v>7.5</v>
      </c>
      <c r="J354" s="48">
        <f>MAX('Min rate concentrations'!Z:Z)</f>
        <v>3.5</v>
      </c>
      <c r="K354" s="59">
        <f t="shared" si="45"/>
        <v>8.5000231238212169</v>
      </c>
      <c r="L354" s="59">
        <f t="shared" si="44"/>
        <v>3.9666774577832351</v>
      </c>
      <c r="M354" s="59">
        <f>IF((((1.18*F354^0.874)-(0.398*F354^0.85)/(1-H354)*H354)*(MAX('Min rate concentrations'!$P$3:$P$368)))/F354&gt;0, (((1.18*F354^0.874)-(0.398*F354^0.85)/(1-H354)*H354)*(MAX('Min rate concentrations'!$P$3:$P$368)))/F354, 0)</f>
        <v>0</v>
      </c>
      <c r="N354" s="59">
        <f>IF((((1.18*F354^0.874)-(0.398*F354^0.85)/(1-H354)*H354)*(MAX('Min rate concentrations'!$Q$3:$Q$368)))/F354&gt;0, (((1.18*F354^0.874)-(0.398*F354^0.85)/(1-H354)*H354)*(MAX('Min rate concentrations'!$Q$3:$Q$368)))/F354, 0)</f>
        <v>0</v>
      </c>
      <c r="O354" s="59">
        <f>((MAX('Min rate concentrations'!$F$3:$F$368))*0.62*6.01*8*(10*F354^0.667)*0.079*0.1/F354)*inputs!$E$80/(10^(0.84+0.62*LOG10(inputs!$E$80)))</f>
        <v>9.5625602518468398</v>
      </c>
      <c r="P354" s="59">
        <f>((MAX('Min rate concentrations'!Y:Y))*0.62*6.01*8*(10*F354^0.667)*0.079*0.1/F354)*inputs!$E$80/(10^(0.84+0.62*LOG10(inputs!$E$80)))</f>
        <v>3.1875200839489457</v>
      </c>
      <c r="Q354" s="59">
        <f>(inputs!$C$7*11.2*(10*F354^0.667)*0.5/F354)*inputs!$E$80/(10^(0.84+0.62*LOG10(inputs!$E$80)))</f>
        <v>1.6843998858006812</v>
      </c>
      <c r="R354" s="59">
        <f>(60*284*((F354/1000)^0.77)*3*24*(MAX('Min rate concentrations'!$R$3:$R$368))/F354)*(inputs!$E$73*3.4/inputs!$E$75)</f>
        <v>1.1998152294661531E-2</v>
      </c>
      <c r="S354" s="59">
        <f>(IF(inputs!$C$6="aerial",((0.025*0.112*inputs!$C$7/3.3)*(3*60*284*((F354/1000)^0.77))*MAX(inputs!$H$14:$H$16))/F354,((0.0083*0.112*inputs!$C$7/1)*(3*60*284*((F354/1000)^0.77))*MAX(inputs!$H$14:$H$16))/F354))*(inputs!E$75*3.4/inputs!$E$73)</f>
        <v>6.6170547051249126E-2</v>
      </c>
      <c r="T354" s="63">
        <f>IF((((inputs!$P$12/(V354/MAX(K354:S354)))^(1/inputs!$O$12))-1)/inputs!$N$12&lt;0, 0, IF((((inputs!$P$12/(V354/MAX(K354:S354)))^(1/inputs!$O$12))-1)/inputs!$N$12&gt;inputs!$H$17, inputs!$H$17, (((inputs!$P$12/(V354/MAX(K354:S354)))^(1/inputs!$O$12))-1)/inputs!$N$12))</f>
        <v>173.81983242117337</v>
      </c>
      <c r="U354" s="63">
        <f>IF((((inputs!$P$12/(X354/MAX(K354:S354)))^(1/inputs!$O$12))-1)/inputs!$N$12&lt;0, 0, IF((((inputs!$P$12/(X354/MAX(K354:S354)))^(1/inputs!$O$12))-1)/inputs!$N$12&gt;inputs!$H$17, inputs!$H$17, (((inputs!$P$12/(X354/MAX(K354:S354)))^(1/inputs!$O$12))-1)/inputs!$N$12))</f>
        <v>0</v>
      </c>
      <c r="V354" s="21">
        <f>inputs!$E$78*(F354/inputs!$F$78)^(inputs!$E$84-1)</f>
        <v>3.6761156580544962E-2</v>
      </c>
      <c r="W354" s="21">
        <f>inputs!$E$85*(F354/inputs!$F$85)^(inputs!$E$84-1)</f>
        <v>1.6975624908959248</v>
      </c>
      <c r="X354" s="21">
        <f>inputs!$E$80*(F354/inputs!$F$80)^(inputs!$E$84-1)</f>
        <v>6.3389991748645285</v>
      </c>
      <c r="Y354" s="21">
        <f>inputs!$E$82*(F354/inputs!$F$82)^(inputs!$E$84-1)</f>
        <v>2.921544549295942</v>
      </c>
      <c r="Z354" s="63">
        <f t="shared" si="40"/>
        <v>260.12675174936186</v>
      </c>
      <c r="AA354" s="63">
        <f t="shared" si="41"/>
        <v>5.6331123614777763</v>
      </c>
    </row>
    <row r="355" spans="1:27" x14ac:dyDescent="0.25">
      <c r="A355" s="103" t="s">
        <v>167</v>
      </c>
      <c r="B355" s="20" t="s">
        <v>168</v>
      </c>
      <c r="C355" s="20" t="s">
        <v>73</v>
      </c>
      <c r="D355" s="104" t="s">
        <v>141</v>
      </c>
      <c r="E355" s="15">
        <v>116</v>
      </c>
      <c r="F355" s="15">
        <v>16.8</v>
      </c>
      <c r="G355" s="20" t="s">
        <v>169</v>
      </c>
      <c r="H355" s="20">
        <v>0.79</v>
      </c>
      <c r="I355" s="48">
        <f>MAX('Min rate concentrations'!$D$3:$D$368)</f>
        <v>120</v>
      </c>
      <c r="J355" s="48">
        <f>MAX('Min rate concentrations'!W:W)</f>
        <v>42.5</v>
      </c>
      <c r="K355" s="59">
        <f t="shared" si="45"/>
        <v>148.95278616981943</v>
      </c>
      <c r="L355" s="59">
        <f t="shared" si="44"/>
        <v>52.754111768477713</v>
      </c>
      <c r="M355" s="59">
        <f>IF((((1.18*F355^0.874)-(0.398*F355^0.85)/(1-H355)*H355)*(MAX('Min rate concentrations'!$P$3:$P$368)))/F355&gt;0, (((1.18*F355^0.874)-(0.398*F355^0.85)/(1-H355)*H355)*(MAX('Min rate concentrations'!$P$3:$P$368)))/F355, 0)</f>
        <v>0</v>
      </c>
      <c r="N355" s="59">
        <f>IF((((1.18*F355^0.874)-(0.398*F355^0.85)/(1-H355)*H355)*(MAX('Min rate concentrations'!$Q$3:$Q$368)))/F355&gt;0, (((1.18*F355^0.874)-(0.398*F355^0.85)/(1-H355)*H355)*(MAX('Min rate concentrations'!$Q$3:$Q$368)))/F355, 0)</f>
        <v>0</v>
      </c>
      <c r="O355" s="59">
        <f>((MAX('Min rate concentrations'!$F$3:$F$368))*0.62*6.01*8*(10*F355^0.667)*0.079*0.1/F355)*inputs!$E$80/(10^(0.84+0.62*LOG10(inputs!$E$80)))</f>
        <v>9.5625602518468398</v>
      </c>
      <c r="P355" s="59">
        <f>((MAX('Min rate concentrations'!Y:Y))*0.62*6.01*8*(10*F355^0.667)*0.079*0.1/F355)*inputs!$E$80/(10^(0.84+0.62*LOG10(inputs!$E$80)))</f>
        <v>3.1875200839489457</v>
      </c>
      <c r="Q355" s="59">
        <f>(inputs!$C$7*11.2*(10*F355^0.667)*0.5/F355)*inputs!$E$80/(10^(0.84+0.62*LOG10(inputs!$E$80)))</f>
        <v>1.6843998858006812</v>
      </c>
      <c r="R355" s="59">
        <f>(60*284*((F355/1000)^0.77)*3*24*(MAX('Min rate concentrations'!$R$3:$R$368))/F355)*(inputs!$E$73*3.4/inputs!$E$75)</f>
        <v>1.1998152294661531E-2</v>
      </c>
      <c r="S355" s="59">
        <f>(IF(inputs!$C$6="aerial",((0.025*0.112*inputs!$C$7/3.3)*(3*60*284*((F355/1000)^0.77))*MAX(inputs!$H$14:$H$16))/F355,((0.0083*0.112*inputs!$C$7/1)*(3*60*284*((F355/1000)^0.77))*MAX(inputs!$H$14:$H$16))/F355))*(inputs!E$75*3.4/inputs!$E$73)</f>
        <v>6.6170547051249126E-2</v>
      </c>
      <c r="T355" s="63">
        <f>IF((((inputs!$P$12/(V355/MAX(K355:S355)))^(1/inputs!$O$12))-1)/inputs!$N$12&lt;0, 0, IF((((inputs!$P$12/(V355/MAX(K355:S355)))^(1/inputs!$O$12))-1)/inputs!$N$12&gt;inputs!$H$17, inputs!$H$17, (((inputs!$P$12/(V355/MAX(K355:S355)))^(1/inputs!$O$12))-1)/inputs!$N$12))</f>
        <v>589.58157382210118</v>
      </c>
      <c r="U355" s="63">
        <f>IF((((inputs!$P$12/(X355/MAX(K355:S355)))^(1/inputs!$O$12))-1)/inputs!$N$12&lt;0, 0, IF((((inputs!$P$12/(X355/MAX(K355:S355)))^(1/inputs!$O$12))-1)/inputs!$N$12&gt;inputs!$H$17, inputs!$H$17, (((inputs!$P$12/(X355/MAX(K355:S355)))^(1/inputs!$O$12))-1)/inputs!$N$12))</f>
        <v>47.598862872343375</v>
      </c>
      <c r="V355" s="21">
        <f>inputs!$E$78*(F355/inputs!$F$78)^(inputs!$E$84-1)</f>
        <v>3.6761156580544962E-2</v>
      </c>
      <c r="W355" s="21">
        <f>inputs!$E$85*(F355/inputs!$F$85)^(inputs!$E$84-1)</f>
        <v>1.6975624908959248</v>
      </c>
      <c r="X355" s="21">
        <f>inputs!$E$80*(F355/inputs!$F$80)^(inputs!$E$84-1)</f>
        <v>6.3389991748645285</v>
      </c>
      <c r="Y355" s="21">
        <f>inputs!$E$82*(F355/inputs!$F$82)^(inputs!$E$84-1)</f>
        <v>2.921544549295942</v>
      </c>
      <c r="Z355" s="63">
        <f t="shared" si="40"/>
        <v>4051.9069590060026</v>
      </c>
      <c r="AA355" s="63">
        <f t="shared" si="41"/>
        <v>87.745097437447754</v>
      </c>
    </row>
    <row r="356" spans="1:27" x14ac:dyDescent="0.25">
      <c r="A356" s="103" t="s">
        <v>167</v>
      </c>
      <c r="B356" s="20" t="s">
        <v>168</v>
      </c>
      <c r="C356" s="20" t="s">
        <v>73</v>
      </c>
      <c r="D356" s="104" t="s">
        <v>141</v>
      </c>
      <c r="E356" s="15">
        <v>116</v>
      </c>
      <c r="F356" s="15">
        <v>16.8</v>
      </c>
      <c r="G356" s="20" t="s">
        <v>158</v>
      </c>
      <c r="H356" s="20">
        <v>0.85</v>
      </c>
      <c r="I356" s="48">
        <f>MAX('Min rate concentrations'!$F$3:$F$368)</f>
        <v>67.5</v>
      </c>
      <c r="J356" s="48">
        <f>MAX('Min rate concentrations'!Y:Y)</f>
        <v>22.5</v>
      </c>
      <c r="K356" s="59">
        <f t="shared" si="45"/>
        <v>117.30031910873278</v>
      </c>
      <c r="L356" s="59">
        <f t="shared" si="44"/>
        <v>39.100106369577588</v>
      </c>
      <c r="M356" s="59">
        <f>IF((((1.18*F356^0.874)-(0.398*F356^0.85)/(1-H356)*H356)*(MAX('Min rate concentrations'!$P$3:$P$368)))/F356&gt;0, (((1.18*F356^0.874)-(0.398*F356^0.85)/(1-H356)*H356)*(MAX('Min rate concentrations'!$P$3:$P$368)))/F356, 0)</f>
        <v>0</v>
      </c>
      <c r="N356" s="59">
        <f>IF((((1.18*F356^0.874)-(0.398*F356^0.85)/(1-H356)*H356)*(MAX('Min rate concentrations'!$Q$3:$Q$368)))/F356&gt;0, (((1.18*F356^0.874)-(0.398*F356^0.85)/(1-H356)*H356)*(MAX('Min rate concentrations'!$Q$3:$Q$368)))/F356, 0)</f>
        <v>0</v>
      </c>
      <c r="O356" s="59">
        <f>((MAX('Min rate concentrations'!$F$3:$F$368))*0.62*6.01*8*(10*F356^0.667)*0.079*0.1/F356)*inputs!$E$80/(10^(0.84+0.62*LOG10(inputs!$E$80)))</f>
        <v>9.5625602518468398</v>
      </c>
      <c r="P356" s="59">
        <f>((MAX('Min rate concentrations'!Y:Y))*0.62*6.01*8*(10*F356^0.667)*0.079*0.1/F356)*inputs!$E$80/(10^(0.84+0.62*LOG10(inputs!$E$80)))</f>
        <v>3.1875200839489457</v>
      </c>
      <c r="Q356" s="59">
        <f>(inputs!$C$7*11.2*(10*F356^0.667)*0.5/F356)*inputs!$E$80/(10^(0.84+0.62*LOG10(inputs!$E$80)))</f>
        <v>1.6843998858006812</v>
      </c>
      <c r="R356" s="59">
        <f>(60*284*((F356/1000)^0.77)*3*24*(MAX('Min rate concentrations'!$R$3:$R$368))/F356)*(inputs!$E$73*3.4/inputs!$E$75)</f>
        <v>1.1998152294661531E-2</v>
      </c>
      <c r="S356" s="59">
        <f>(IF(inputs!$C$6="aerial",((0.025*0.112*inputs!$C$7/3.3)*(3*60*284*((F356/1000)^0.77))*MAX(inputs!$H$14:$H$16))/F356,((0.0083*0.112*inputs!$C$7/1)*(3*60*284*((F356/1000)^0.77))*MAX(inputs!$H$14:$H$16))/F356))*(inputs!E$75*3.4/inputs!$E$73)</f>
        <v>6.6170547051249126E-2</v>
      </c>
      <c r="T356" s="63">
        <f>IF((((inputs!$P$12/(V356/MAX(K356:S356)))^(1/inputs!$O$12))-1)/inputs!$N$12&lt;0, 0, IF((((inputs!$P$12/(V356/MAX(K356:S356)))^(1/inputs!$O$12))-1)/inputs!$N$12&gt;inputs!$H$17, inputs!$H$17, (((inputs!$P$12/(V356/MAX(K356:S356)))^(1/inputs!$O$12))-1)/inputs!$N$12))</f>
        <v>532.35155464644072</v>
      </c>
      <c r="U356" s="63">
        <f>IF((((inputs!$P$12/(X356/MAX(K356:S356)))^(1/inputs!$O$12))-1)/inputs!$N$12&lt;0, 0, IF((((inputs!$P$12/(X356/MAX(K356:S356)))^(1/inputs!$O$12))-1)/inputs!$N$12&gt;inputs!$H$17, inputs!$H$17, (((inputs!$P$12/(X356/MAX(K356:S356)))^(1/inputs!$O$12))-1)/inputs!$N$12))</f>
        <v>40.553451474321861</v>
      </c>
      <c r="V356" s="21">
        <f>inputs!$E$78*(F356/inputs!$F$78)^(inputs!$E$84-1)</f>
        <v>3.6761156580544962E-2</v>
      </c>
      <c r="W356" s="21">
        <f>inputs!$E$85*(F356/inputs!$F$85)^(inputs!$E$84-1)</f>
        <v>1.6975624908959248</v>
      </c>
      <c r="X356" s="21">
        <f>inputs!$E$80*(F356/inputs!$F$80)^(inputs!$E$84-1)</f>
        <v>6.3389991748645285</v>
      </c>
      <c r="Y356" s="21">
        <f>inputs!$E$82*(F356/inputs!$F$82)^(inputs!$E$84-1)</f>
        <v>2.921544549295942</v>
      </c>
      <c r="Z356" s="63">
        <f t="shared" si="40"/>
        <v>3190.8767302172264</v>
      </c>
      <c r="AA356" s="63">
        <f t="shared" si="41"/>
        <v>69.099264231990091</v>
      </c>
    </row>
    <row r="357" spans="1:27" x14ac:dyDescent="0.25">
      <c r="A357" s="103" t="s">
        <v>167</v>
      </c>
      <c r="B357" s="20" t="s">
        <v>168</v>
      </c>
      <c r="C357" s="20" t="s">
        <v>73</v>
      </c>
      <c r="D357" s="104" t="s">
        <v>141</v>
      </c>
      <c r="E357" s="15">
        <v>116</v>
      </c>
      <c r="F357" s="15">
        <v>16.8</v>
      </c>
      <c r="G357" s="20" t="s">
        <v>154</v>
      </c>
      <c r="H357" s="20">
        <v>9.2999999999999999E-2</v>
      </c>
      <c r="I357" s="48">
        <f>MAX('Min rate concentrations'!$G$3:$G$368)</f>
        <v>7.5</v>
      </c>
      <c r="J357" s="48">
        <f>MAX('Min rate concentrations'!Z:Z)</f>
        <v>3.5</v>
      </c>
      <c r="K357" s="59">
        <f t="shared" si="45"/>
        <v>2.155463416183991</v>
      </c>
      <c r="L357" s="59"/>
      <c r="M357" s="59">
        <f>IF((((1.18*F357^0.874)-(0.398*F357^0.85)/(1-H357)*H357)*(MAX('Min rate concentrations'!$P$3:$P$368)))/F357&gt;0, (((1.18*F357^0.874)-(0.398*F357^0.85)/(1-H357)*H357)*(MAX('Min rate concentrations'!$P$3:$P$368)))/F357, 0)</f>
        <v>0.11615449473695885</v>
      </c>
      <c r="N357" s="59">
        <f>IF((((1.18*F357^0.874)-(0.398*F357^0.85)/(1-H357)*H357)*(MAX('Min rate concentrations'!$Q$3:$Q$368)))/F357&gt;0, (((1.18*F357^0.874)-(0.398*F357^0.85)/(1-H357)*H357)*(MAX('Min rate concentrations'!$Q$3:$Q$368)))/F357, 0)</f>
        <v>0.44232255713507668</v>
      </c>
      <c r="O357" s="59">
        <f>((MAX('Min rate concentrations'!$F$3:$F$368))*0.62*6.01*8*(10*F357^0.667)*0.079*0.1/F357)*inputs!$E$80/(10^(0.84+0.62*LOG10(inputs!$E$80)))</f>
        <v>9.5625602518468398</v>
      </c>
      <c r="P357" s="59">
        <f>((MAX('Min rate concentrations'!Y:Y))*0.62*6.01*8*(10*F357^0.667)*0.079*0.1/F357)*inputs!$E$80/(10^(0.84+0.62*LOG10(inputs!$E$80)))</f>
        <v>3.1875200839489457</v>
      </c>
      <c r="Q357" s="59">
        <f>(inputs!$C$7*11.2*(10*F357^0.667)*0.5/F357)*inputs!$E$80/(10^(0.84+0.62*LOG10(inputs!$E$80)))</f>
        <v>1.6843998858006812</v>
      </c>
      <c r="R357" s="59">
        <f>(60*284*((F357/1000)^0.77)*3*24*(MAX('Min rate concentrations'!$R$3:$R$368))/F357)*(inputs!$E$73*3.4/inputs!$E$75)</f>
        <v>1.1998152294661531E-2</v>
      </c>
      <c r="S357" s="59">
        <f>(IF(inputs!$C$6="aerial",((0.025*0.112*inputs!$C$7/3.3)*(3*60*284*((F357/1000)^0.77))*MAX(inputs!$H$14:$H$16))/F357,((0.0083*0.112*inputs!$C$7/1)*(3*60*284*((F357/1000)^0.77))*MAX(inputs!$H$14:$H$16))/F357))*(inputs!E$75*3.4/inputs!$E$73)</f>
        <v>6.6170547051249126E-2</v>
      </c>
      <c r="T357" s="63">
        <f>IF((((inputs!$P$12/(V357/MAX(K357:S357)))^(1/inputs!$O$12))-1)/inputs!$N$12&lt;0, 0, IF((((inputs!$P$12/(V357/MAX(K357:S357)))^(1/inputs!$O$12))-1)/inputs!$N$12&gt;inputs!$H$17, inputs!$H$17, (((inputs!$P$12/(V357/MAX(K357:S357)))^(1/inputs!$O$12))-1)/inputs!$N$12))</f>
        <v>173.81983242117337</v>
      </c>
      <c r="U357" s="63">
        <f>IF((((inputs!$P$12/(X357/MAX(K357:S357)))^(1/inputs!$O$12))-1)/inputs!$N$12&lt;0, 0, IF((((inputs!$P$12/(X357/MAX(K357:S357)))^(1/inputs!$O$12))-1)/inputs!$N$12&gt;inputs!$H$17, inputs!$H$17, (((inputs!$P$12/(X357/MAX(K357:S357)))^(1/inputs!$O$12))-1)/inputs!$N$12))</f>
        <v>0</v>
      </c>
      <c r="V357" s="21">
        <f>inputs!$E$78*(F357/inputs!$F$78)^(inputs!$E$84-1)</f>
        <v>3.6761156580544962E-2</v>
      </c>
      <c r="W357" s="21">
        <f>inputs!$E$85*(F357/inputs!$F$85)^(inputs!$E$84-1)</f>
        <v>1.6975624908959248</v>
      </c>
      <c r="X357" s="21">
        <f>inputs!$E$80*(F357/inputs!$F$80)^(inputs!$E$84-1)</f>
        <v>6.3389991748645285</v>
      </c>
      <c r="Y357" s="21">
        <f>inputs!$E$82*(F357/inputs!$F$82)^(inputs!$E$84-1)</f>
        <v>2.921544549295942</v>
      </c>
      <c r="Z357" s="63">
        <f t="shared" si="40"/>
        <v>260.12675174936186</v>
      </c>
      <c r="AA357" s="63">
        <f t="shared" si="41"/>
        <v>5.6331123614777763</v>
      </c>
    </row>
    <row r="358" spans="1:27" x14ac:dyDescent="0.25">
      <c r="A358" s="103" t="s">
        <v>287</v>
      </c>
      <c r="B358" s="20" t="s">
        <v>288</v>
      </c>
      <c r="C358" s="20" t="s">
        <v>73</v>
      </c>
      <c r="D358" s="104" t="s">
        <v>141</v>
      </c>
      <c r="E358" s="15">
        <v>86</v>
      </c>
      <c r="F358" s="15">
        <v>37</v>
      </c>
      <c r="G358" s="20" t="s">
        <v>142</v>
      </c>
      <c r="H358" s="20">
        <v>0.69</v>
      </c>
      <c r="I358" s="48">
        <f>MAX('Min rate concentrations'!$H$3:$H$368)</f>
        <v>47</v>
      </c>
      <c r="J358" s="48">
        <f>MAX('Min rate concentrations'!AA:AA)</f>
        <v>32.5</v>
      </c>
      <c r="K358" s="59">
        <f t="shared" si="45"/>
        <v>35.106616697932644</v>
      </c>
      <c r="L358" s="59">
        <f>((0.398*F358^0.85)/(1-H358))*J358/F358</f>
        <v>24.275851971974699</v>
      </c>
      <c r="M358" s="59">
        <f>IF((((1.18*F358^0.874)-(0.398*F358^0.85)/(1-H358)*H358)*(MAX('Min rate concentrations'!$P$3:$P$368)))/F358&gt;0, (((1.18*F358^0.874)-(0.398*F358^0.85)/(1-H358)*H358)*(MAX('Min rate concentrations'!$P$3:$P$368)))/F358, 0)</f>
        <v>3.3858944717242337E-2</v>
      </c>
      <c r="N358" s="59">
        <f>IF((((1.18*F358^0.874)-(0.398*F358^0.85)/(1-H358)*H358)*(MAX('Min rate concentrations'!$Q$3:$Q$368)))/F358&gt;0, (((1.18*F358^0.874)-(0.398*F358^0.85)/(1-H358)*H358)*(MAX('Min rate concentrations'!$Q$3:$Q$368)))/F358, 0)</f>
        <v>0.12893668078141513</v>
      </c>
      <c r="O358" s="59">
        <f>((MAX('Min rate concentrations'!$F$3:$F$368))*0.62*6.01*8*(10*F358^0.667)*0.079*0.1/F358)*inputs!$E$80/(10^(0.84+0.62*LOG10(inputs!$E$80)))</f>
        <v>7.3517545883800954</v>
      </c>
      <c r="P358" s="59">
        <f>((MAX('Min rate concentrations'!Y:Y))*0.62*6.01*8*(10*F358^0.667)*0.079*0.1/F358)*inputs!$E$80/(10^(0.84+0.62*LOG10(inputs!$E$80)))</f>
        <v>2.4505848627933648</v>
      </c>
      <c r="Q358" s="59">
        <f>(inputs!$C$7*11.2*(10*F358^0.667)*0.5/F358)*inputs!$E$80/(10^(0.84+0.62*LOG10(inputs!$E$80)))</f>
        <v>1.294976895618561</v>
      </c>
      <c r="R358" s="59">
        <f>(60*284*((F358/1000)^0.77)*3*24*(MAX('Min rate concentrations'!$R$3:$R$368))/F358)*(inputs!$E$73*3.4/inputs!$E$75)</f>
        <v>1.0005737579957803E-2</v>
      </c>
      <c r="S358" s="59">
        <f>(IF(inputs!$C$6="aerial",((0.025*0.112*inputs!$C$7/3.3)*(3*60*284*((F358/1000)^0.77))*MAX(inputs!$H$14:$H$16))/F358,((0.0083*0.112*inputs!$C$7/1)*(3*60*284*((F358/1000)^0.77))*MAX(inputs!$H$14:$H$16))/F358))*(inputs!E$75*3.4/inputs!$E$73)</f>
        <v>5.5182257489066709E-2</v>
      </c>
      <c r="T358" s="63">
        <f>IF((((inputs!$P$12/(V358/MAX(K358:S358)))^(1/inputs!$O$12))-1)/inputs!$N$12&lt;0, 0, IF((((inputs!$P$12/(V358/MAX(K358:S358)))^(1/inputs!$O$12))-1)/inputs!$N$12&gt;inputs!$H$17, inputs!$H$17, (((inputs!$P$12/(V358/MAX(K358:S358)))^(1/inputs!$O$12))-1)/inputs!$N$12))</f>
        <v>358.18838006864775</v>
      </c>
      <c r="U358" s="63">
        <f>IF((((inputs!$P$12/(X358/MAX(K358:S358)))^(1/inputs!$O$12))-1)/inputs!$N$12&lt;0, 0, IF((((inputs!$P$12/(X358/MAX(K358:S358)))^(1/inputs!$O$12))-1)/inputs!$N$12&gt;inputs!$H$17, inputs!$H$17, (((inputs!$P$12/(X358/MAX(K358:S358)))^(1/inputs!$O$12))-1)/inputs!$N$12))</f>
        <v>19.112759457083378</v>
      </c>
      <c r="V358" s="21">
        <f>inputs!$E$78*(F358/inputs!$F$78)^(inputs!$E$84-1)</f>
        <v>2.7448521921752091E-2</v>
      </c>
      <c r="W358" s="21">
        <f>inputs!$E$85*(F358/inputs!$F$85)^(inputs!$E$84-1)</f>
        <v>1.267522177731496</v>
      </c>
      <c r="X358" s="21">
        <f>inputs!$E$80*(F358/inputs!$F$80)^(inputs!$E$84-1)</f>
        <v>4.7331524358328005</v>
      </c>
      <c r="Y358" s="21">
        <f>inputs!$E$82*(F358/inputs!$F$82)^(inputs!$E$84-1)</f>
        <v>2.1814351632550348</v>
      </c>
      <c r="Z358" s="63">
        <f t="shared" si="40"/>
        <v>1278.9984392606493</v>
      </c>
      <c r="AA358" s="63">
        <f t="shared" si="41"/>
        <v>27.69704334543755</v>
      </c>
    </row>
    <row r="359" spans="1:27" x14ac:dyDescent="0.25">
      <c r="A359" s="103" t="s">
        <v>287</v>
      </c>
      <c r="B359" s="20" t="s">
        <v>288</v>
      </c>
      <c r="C359" s="20" t="s">
        <v>73</v>
      </c>
      <c r="D359" s="104" t="s">
        <v>141</v>
      </c>
      <c r="E359" s="15">
        <v>86</v>
      </c>
      <c r="F359" s="15">
        <v>37</v>
      </c>
      <c r="G359" s="20" t="s">
        <v>152</v>
      </c>
      <c r="H359" s="20">
        <v>0.77</v>
      </c>
      <c r="I359" s="48">
        <f>MAX('Min rate concentrations'!$G$3:$G$368)</f>
        <v>7.5</v>
      </c>
      <c r="J359" s="48">
        <f>MAX('Min rate concentrations'!Z:Z)</f>
        <v>3.5</v>
      </c>
      <c r="K359" s="59">
        <f t="shared" si="45"/>
        <v>7.5506830548282524</v>
      </c>
      <c r="L359" s="59">
        <f>((0.398*F359^0.85)/(1-H359))*J359/F359</f>
        <v>3.5236520922531849</v>
      </c>
      <c r="M359" s="59">
        <f>IF((((1.18*F359^0.874)-(0.398*F359^0.85)/(1-H359)*H359)*(MAX('Min rate concentrations'!$P$3:$P$368)))/F359&gt;0, (((1.18*F359^0.874)-(0.398*F359^0.85)/(1-H359)*H359)*(MAX('Min rate concentrations'!$P$3:$P$368)))/F359, 0)</f>
        <v>0</v>
      </c>
      <c r="N359" s="59">
        <f>IF((((1.18*F359^0.874)-(0.398*F359^0.85)/(1-H359)*H359)*(MAX('Min rate concentrations'!$Q$3:$Q$368)))/F359&gt;0, (((1.18*F359^0.874)-(0.398*F359^0.85)/(1-H359)*H359)*(MAX('Min rate concentrations'!$Q$3:$Q$368)))/F359, 0)</f>
        <v>0</v>
      </c>
      <c r="O359" s="59">
        <f>((MAX('Min rate concentrations'!$F$3:$F$368))*0.62*6.01*8*(10*F359^0.667)*0.079*0.1/F359)*inputs!$E$80/(10^(0.84+0.62*LOG10(inputs!$E$80)))</f>
        <v>7.3517545883800954</v>
      </c>
      <c r="P359" s="59">
        <f>((MAX('Min rate concentrations'!Y:Y))*0.62*6.01*8*(10*F359^0.667)*0.079*0.1/F359)*inputs!$E$80/(10^(0.84+0.62*LOG10(inputs!$E$80)))</f>
        <v>2.4505848627933648</v>
      </c>
      <c r="Q359" s="59">
        <f>(inputs!$C$7*11.2*(10*F359^0.667)*0.5/F359)*inputs!$E$80/(10^(0.84+0.62*LOG10(inputs!$E$80)))</f>
        <v>1.294976895618561</v>
      </c>
      <c r="R359" s="59">
        <f>(60*284*((F359/1000)^0.77)*3*24*(MAX('Min rate concentrations'!$R$3:$R$368))/F359)*(inputs!$E$73*3.4/inputs!$E$75)</f>
        <v>1.0005737579957803E-2</v>
      </c>
      <c r="S359" s="59">
        <f>(IF(inputs!$C$6="aerial",((0.025*0.112*inputs!$C$7/3.3)*(3*60*284*((F359/1000)^0.77))*MAX(inputs!$H$14:$H$16))/F359,((0.0083*0.112*inputs!$C$7/1)*(3*60*284*((F359/1000)^0.77))*MAX(inputs!$H$14:$H$16))/F359))*(inputs!E$75*3.4/inputs!$E$73)</f>
        <v>5.5182257489066709E-2</v>
      </c>
      <c r="T359" s="63">
        <f>IF((((inputs!$P$12/(V359/MAX(K359:S359)))^(1/inputs!$O$12))-1)/inputs!$N$12&lt;0, 0, IF((((inputs!$P$12/(V359/MAX(K359:S359)))^(1/inputs!$O$12))-1)/inputs!$N$12&gt;inputs!$H$17, inputs!$H$17, (((inputs!$P$12/(V359/MAX(K359:S359)))^(1/inputs!$O$12))-1)/inputs!$N$12))</f>
        <v>178.47335209282861</v>
      </c>
      <c r="U359" s="63">
        <f>IF((((inputs!$P$12/(X359/MAX(K359:S359)))^(1/inputs!$O$12))-1)/inputs!$N$12&lt;0, 0, IF((((inputs!$P$12/(X359/MAX(K359:S359)))^(1/inputs!$O$12))-1)/inputs!$N$12&gt;inputs!$H$17, inputs!$H$17, (((inputs!$P$12/(X359/MAX(K359:S359)))^(1/inputs!$O$12))-1)/inputs!$N$12))</f>
        <v>0</v>
      </c>
      <c r="V359" s="21">
        <f>inputs!$E$78*(F359/inputs!$F$78)^(inputs!$E$84-1)</f>
        <v>2.7448521921752091E-2</v>
      </c>
      <c r="W359" s="21">
        <f>inputs!$E$85*(F359/inputs!$F$85)^(inputs!$E$84-1)</f>
        <v>1.267522177731496</v>
      </c>
      <c r="X359" s="21">
        <f>inputs!$E$80*(F359/inputs!$F$80)^(inputs!$E$84-1)</f>
        <v>4.7331524358328005</v>
      </c>
      <c r="Y359" s="21">
        <f>inputs!$E$82*(F359/inputs!$F$82)^(inputs!$E$84-1)</f>
        <v>2.1814351632550348</v>
      </c>
      <c r="Z359" s="63">
        <f t="shared" si="40"/>
        <v>275.08523323598615</v>
      </c>
      <c r="AA359" s="63">
        <f t="shared" si="41"/>
        <v>5.957042162640362</v>
      </c>
    </row>
    <row r="360" spans="1:27" x14ac:dyDescent="0.25">
      <c r="A360" s="103" t="s">
        <v>287</v>
      </c>
      <c r="B360" s="20" t="s">
        <v>288</v>
      </c>
      <c r="C360" s="20" t="s">
        <v>73</v>
      </c>
      <c r="D360" s="104" t="s">
        <v>141</v>
      </c>
      <c r="E360" s="15">
        <v>86</v>
      </c>
      <c r="F360" s="15">
        <v>37</v>
      </c>
      <c r="G360" s="20" t="s">
        <v>146</v>
      </c>
      <c r="H360" s="20">
        <v>0.84</v>
      </c>
      <c r="I360" s="48">
        <f>MAX('Min rate concentrations'!$I$3:$I$368)</f>
        <v>9.4775690500787988</v>
      </c>
      <c r="J360" s="48" t="s">
        <v>13</v>
      </c>
      <c r="K360" s="59">
        <f t="shared" si="45"/>
        <v>13.716073005250646</v>
      </c>
      <c r="L360" s="48" t="s">
        <v>13</v>
      </c>
      <c r="M360" s="59">
        <f>IF((((1.18*F360^0.874)-(0.398*F360^0.85)/(1-H360)*H360)*(MAX('Min rate concentrations'!$P$3:$P$368)))/F360&gt;0, (((1.18*F360^0.874)-(0.398*F360^0.85)/(1-H360)*H360)*(MAX('Min rate concentrations'!$P$3:$P$368)))/F360, 0)</f>
        <v>0</v>
      </c>
      <c r="N360" s="59">
        <f>IF((((1.18*F360^0.874)-(0.398*F360^0.85)/(1-H360)*H360)*(MAX('Min rate concentrations'!$Q$3:$Q$368)))/F360&gt;0, (((1.18*F360^0.874)-(0.398*F360^0.85)/(1-H360)*H360)*(MAX('Min rate concentrations'!$Q$3:$Q$368)))/F360, 0)</f>
        <v>0</v>
      </c>
      <c r="O360" s="59">
        <f>((MAX('Min rate concentrations'!$F$3:$F$368))*0.62*6.01*8*(10*F360^0.667)*0.079*0.1/F360)*inputs!$E$80/(10^(0.84+0.62*LOG10(inputs!$E$80)))</f>
        <v>7.3517545883800954</v>
      </c>
      <c r="P360" s="59">
        <f>((MAX('Min rate concentrations'!Y:Y))*0.62*6.01*8*(10*F360^0.667)*0.079*0.1/F360)*inputs!$E$80/(10^(0.84+0.62*LOG10(inputs!$E$80)))</f>
        <v>2.4505848627933648</v>
      </c>
      <c r="Q360" s="59">
        <f>(inputs!$C$7*11.2*(10*F360^0.667)*0.5/F360)*inputs!$E$80/(10^(0.84+0.62*LOG10(inputs!$E$80)))</f>
        <v>1.294976895618561</v>
      </c>
      <c r="R360" s="59">
        <f>(60*284*((F360/1000)^0.77)*3*24*(MAX('Min rate concentrations'!$R$3:$R$368))/F360)*(inputs!$E$73*3.4/inputs!$E$75)</f>
        <v>1.0005737579957803E-2</v>
      </c>
      <c r="S360" s="59">
        <f>(IF(inputs!$C$6="aerial",((0.025*0.112*inputs!$C$7/3.3)*(3*60*284*((F360/1000)^0.77))*MAX(inputs!$H$14:$H$16))/F360,((0.0083*0.112*inputs!$C$7/1)*(3*60*284*((F360/1000)^0.77))*MAX(inputs!$H$14:$H$16))/F360))*(inputs!E$75*3.4/inputs!$E$73)</f>
        <v>5.5182257489066709E-2</v>
      </c>
      <c r="T360" s="63">
        <f>IF((((inputs!$P$12/(V360/MAX(K360:S360)))^(1/inputs!$O$12))-1)/inputs!$N$12&lt;0, 0, IF((((inputs!$P$12/(V360/MAX(K360:S360)))^(1/inputs!$O$12))-1)/inputs!$N$12&gt;inputs!$H$17, inputs!$H$17, (((inputs!$P$12/(V360/MAX(K360:S360)))^(1/inputs!$O$12))-1)/inputs!$N$12))</f>
        <v>235.34780610972541</v>
      </c>
      <c r="U360" s="63">
        <f>IF((((inputs!$P$12/(X360/MAX(K360:S360)))^(1/inputs!$O$12))-1)/inputs!$N$12&lt;0, 0, IF((((inputs!$P$12/(X360/MAX(K360:S360)))^(1/inputs!$O$12))-1)/inputs!$N$12&gt;inputs!$H$17, inputs!$H$17, (((inputs!$P$12/(X360/MAX(K360:S360)))^(1/inputs!$O$12))-1)/inputs!$N$12))</f>
        <v>3.9902347335940465</v>
      </c>
      <c r="V360" s="21">
        <f>inputs!$E$78*(F360/inputs!$F$78)^(inputs!$E$84-1)</f>
        <v>2.7448521921752091E-2</v>
      </c>
      <c r="W360" s="21">
        <f>inputs!$E$85*(F360/inputs!$F$85)^(inputs!$E$84-1)</f>
        <v>1.267522177731496</v>
      </c>
      <c r="X360" s="21">
        <f>inputs!$E$80*(F360/inputs!$F$80)^(inputs!$E$84-1)</f>
        <v>4.7331524358328005</v>
      </c>
      <c r="Y360" s="21">
        <f>inputs!$E$82*(F360/inputs!$F$82)^(inputs!$E$84-1)</f>
        <v>2.1814351632550348</v>
      </c>
      <c r="Z360" s="63">
        <f t="shared" si="40"/>
        <v>499.70169775812553</v>
      </c>
      <c r="AA360" s="63">
        <f t="shared" si="41"/>
        <v>10.821170032542163</v>
      </c>
    </row>
    <row r="361" spans="1:27" x14ac:dyDescent="0.25">
      <c r="A361" s="103" t="s">
        <v>230</v>
      </c>
      <c r="B361" s="20" t="s">
        <v>231</v>
      </c>
      <c r="C361" s="20" t="s">
        <v>73</v>
      </c>
      <c r="D361" s="104" t="s">
        <v>141</v>
      </c>
      <c r="E361" s="15">
        <v>149</v>
      </c>
      <c r="F361" s="15">
        <v>12</v>
      </c>
      <c r="G361" s="20" t="s">
        <v>142</v>
      </c>
      <c r="H361" s="20">
        <v>0.69</v>
      </c>
      <c r="I361" s="48">
        <f>MAX('Min rate concentrations'!$H$3:$H$368)</f>
        <v>47</v>
      </c>
      <c r="J361" s="48">
        <f>MAX('Min rate concentrations'!AA:AA)</f>
        <v>32.5</v>
      </c>
      <c r="K361" s="59">
        <f t="shared" si="45"/>
        <v>41.566365227507724</v>
      </c>
      <c r="L361" s="59">
        <f>((0.398*F361^0.85)/(1-H361))*J361/F361</f>
        <v>28.742699359446831</v>
      </c>
      <c r="M361" s="59">
        <f>IF((((1.18*F361^0.874)-(0.398*F361^0.85)/(1-H361)*H361)*(MAX('Min rate concentrations'!$P$3:$P$368)))/F361&gt;0, (((1.18*F361^0.874)-(0.398*F361^0.85)/(1-H361)*H361)*(MAX('Min rate concentrations'!$P$3:$P$368)))/F361, 0)</f>
        <v>3.6658661711296378E-2</v>
      </c>
      <c r="N361" s="59">
        <f>IF((((1.18*F361^0.874)-(0.398*F361^0.85)/(1-H361)*H361)*(MAX('Min rate concentrations'!$Q$3:$Q$368)))/F361&gt;0, (((1.18*F361^0.874)-(0.398*F361^0.85)/(1-H361)*H361)*(MAX('Min rate concentrations'!$Q$3:$Q$368)))/F361, 0)</f>
        <v>0.13959815352828489</v>
      </c>
      <c r="O361" s="59">
        <f>((MAX('Min rate concentrations'!$F$3:$F$368))*0.62*6.01*8*(10*F361^0.667)*0.079*0.1/F361)*inputs!$E$80/(10^(0.84+0.62*LOG10(inputs!$E$80)))</f>
        <v>10.696330671681299</v>
      </c>
      <c r="P361" s="59">
        <f>((MAX('Min rate concentrations'!Y:Y))*0.62*6.01*8*(10*F361^0.667)*0.079*0.1/F361)*inputs!$E$80/(10^(0.84+0.62*LOG10(inputs!$E$80)))</f>
        <v>3.5654435572270979</v>
      </c>
      <c r="Q361" s="59">
        <f>(inputs!$C$7*11.2*(10*F361^0.667)*0.5/F361)*inputs!$E$80/(10^(0.84+0.62*LOG10(inputs!$E$80)))</f>
        <v>1.8841081977378034</v>
      </c>
      <c r="R361" s="59">
        <f>(60*284*((F361/1000)^0.77)*3*24*(MAX('Min rate concentrations'!$R$3:$R$368))/F361)*(inputs!$E$73*3.4/inputs!$E$75)</f>
        <v>1.2963546159451948E-2</v>
      </c>
      <c r="S361" s="59">
        <f>(IF(inputs!$C$6="aerial",((0.025*0.112*inputs!$C$7/3.3)*(3*60*284*((F361/1000)^0.77))*MAX(inputs!$H$14:$H$16))/F361,((0.0083*0.112*inputs!$C$7/1)*(3*60*284*((F361/1000)^0.77))*MAX(inputs!$H$14:$H$16))/F361))*(inputs!E$75*3.4/inputs!$E$73)</f>
        <v>7.1494753527735044E-2</v>
      </c>
      <c r="T361" s="63">
        <f>IF((((inputs!$P$12/(V361/MAX(K361:S361)))^(1/inputs!$O$12))-1)/inputs!$N$12&lt;0, 0, IF((((inputs!$P$12/(V361/MAX(K361:S361)))^(1/inputs!$O$12))-1)/inputs!$N$12&gt;inputs!$H$17, inputs!$H$17, (((inputs!$P$12/(V361/MAX(K361:S361)))^(1/inputs!$O$12))-1)/inputs!$N$12))</f>
        <v>321.1261171888811</v>
      </c>
      <c r="U361" s="63">
        <f>IF((((inputs!$P$12/(X361/MAX(K361:S361)))^(1/inputs!$O$12))-1)/inputs!$N$12&lt;0, 0, IF((((inputs!$P$12/(X361/MAX(K361:S361)))^(1/inputs!$O$12))-1)/inputs!$N$12&gt;inputs!$H$17, inputs!$H$17, (((inputs!$P$12/(X361/MAX(K361:S361)))^(1/inputs!$O$12))-1)/inputs!$N$12))</f>
        <v>14.550138421991551</v>
      </c>
      <c r="V361" s="21">
        <f>inputs!$E$78*(F361/inputs!$F$78)^(inputs!$E$84-1)</f>
        <v>4.1634805476433931E-2</v>
      </c>
      <c r="W361" s="21">
        <f>inputs!$E$85*(F361/inputs!$F$85)^(inputs!$E$84-1)</f>
        <v>1.9226186188588823</v>
      </c>
      <c r="X361" s="21">
        <f>inputs!$E$80*(F361/inputs!$F$80)^(inputs!$E$84-1)</f>
        <v>7.1793986400426615</v>
      </c>
      <c r="Y361" s="21">
        <f>inputs!$E$82*(F361/inputs!$F$82)^(inputs!$E$84-1)</f>
        <v>3.308871382600802</v>
      </c>
      <c r="Z361" s="63">
        <f t="shared" si="40"/>
        <v>998.35617704603078</v>
      </c>
      <c r="AA361" s="63">
        <f t="shared" si="41"/>
        <v>21.619662277159421</v>
      </c>
    </row>
    <row r="362" spans="1:27" x14ac:dyDescent="0.25">
      <c r="A362" s="103" t="s">
        <v>178</v>
      </c>
      <c r="B362" s="20" t="s">
        <v>179</v>
      </c>
      <c r="C362" s="20" t="s">
        <v>73</v>
      </c>
      <c r="D362" s="104" t="s">
        <v>141</v>
      </c>
      <c r="E362" s="15">
        <v>9966</v>
      </c>
      <c r="F362" s="15">
        <v>18.2</v>
      </c>
      <c r="G362" s="20" t="s">
        <v>142</v>
      </c>
      <c r="H362" s="20">
        <v>0.69</v>
      </c>
      <c r="I362" s="48">
        <f>MAX('Min rate concentrations'!$H$3:$H$368)</f>
        <v>47</v>
      </c>
      <c r="J362" s="48">
        <f>MAX('Min rate concentrations'!AA:AA)</f>
        <v>32.5</v>
      </c>
      <c r="K362" s="59">
        <f t="shared" si="45"/>
        <v>39.048875146477805</v>
      </c>
      <c r="L362" s="59">
        <f>((0.398*F362^0.85)/(1-H362))*J362/F362</f>
        <v>27.001881750224012</v>
      </c>
      <c r="M362" s="59">
        <f>IF((((1.18*F362^0.874)-(0.398*F362^0.85)/(1-H362)*H362)*(MAX('Min rate concentrations'!$P$3:$P$368)))/F362&gt;0, (((1.18*F362^0.874)-(0.398*F362^0.85)/(1-H362)*H362)*(MAX('Min rate concentrations'!$P$3:$P$368)))/F362, 0)</f>
        <v>3.5620354020581682E-2</v>
      </c>
      <c r="N362" s="59">
        <f>IF((((1.18*F362^0.874)-(0.398*F362^0.85)/(1-H362)*H362)*(MAX('Min rate concentrations'!$Q$3:$Q$368)))/F362&gt;0, (((1.18*F362^0.874)-(0.398*F362^0.85)/(1-H362)*H362)*(MAX('Min rate concentrations'!$Q$3:$Q$368)))/F362, 0)</f>
        <v>0.13564422205202142</v>
      </c>
      <c r="O362" s="59">
        <f>((MAX('Min rate concentrations'!$F$3:$F$368))*0.62*6.01*8*(10*F362^0.667)*0.079*0.1/F362)*inputs!$E$80/(10^(0.84+0.62*LOG10(inputs!$E$80)))</f>
        <v>9.3110445198880516</v>
      </c>
      <c r="P362" s="59">
        <f>((MAX('Min rate concentrations'!Y:Y))*0.62*6.01*8*(10*F362^0.667)*0.079*0.1/F362)*inputs!$E$80/(10^(0.84+0.62*LOG10(inputs!$E$80)))</f>
        <v>3.1036815066293504</v>
      </c>
      <c r="Q362" s="59">
        <f>(inputs!$C$7*11.2*(10*F362^0.667)*0.5/F362)*inputs!$E$80/(10^(0.84+0.62*LOG10(inputs!$E$80)))</f>
        <v>1.6400965759097308</v>
      </c>
      <c r="R362" s="59">
        <f>(60*284*((F362/1000)^0.77)*3*24*(MAX('Min rate concentrations'!$R$3:$R$368))/F362)*(inputs!$E$73*3.4/inputs!$E$75)</f>
        <v>1.1779289233905702E-2</v>
      </c>
      <c r="S362" s="59">
        <f>(IF(inputs!$C$6="aerial",((0.025*0.112*inputs!$C$7/3.3)*(3*60*284*((F362/1000)^0.77))*MAX(inputs!$H$14:$H$16))/F362,((0.0083*0.112*inputs!$C$7/1)*(3*60*284*((F362/1000)^0.77))*MAX(inputs!$H$14:$H$16))/F362))*(inputs!E$75*3.4/inputs!$E$73)</f>
        <v>6.4963503824604335E-2</v>
      </c>
      <c r="T362" s="63">
        <f>IF((((inputs!$P$12/(V362/MAX(K362:S362)))^(1/inputs!$O$12))-1)/inputs!$N$12&lt;0, 0, IF((((inputs!$P$12/(V362/MAX(K362:S362)))^(1/inputs!$O$12))-1)/inputs!$N$12&gt;inputs!$H$17, inputs!$H$17, (((inputs!$P$12/(V362/MAX(K362:S362)))^(1/inputs!$O$12))-1)/inputs!$N$12))</f>
        <v>334.40236034707544</v>
      </c>
      <c r="U362" s="63">
        <f>IF((((inputs!$P$12/(X362/MAX(K362:S362)))^(1/inputs!$O$12))-1)/inputs!$N$12&lt;0, 0, IF((((inputs!$P$12/(X362/MAX(K362:S362)))^(1/inputs!$O$12))-1)/inputs!$N$12&gt;inputs!$H$17, inputs!$H$17, (((inputs!$P$12/(X362/MAX(K362:S362)))^(1/inputs!$O$12))-1)/inputs!$N$12))</f>
        <v>16.184535827705293</v>
      </c>
      <c r="V362" s="21">
        <f>inputs!$E$78*(F362/inputs!$F$78)^(inputs!$E$84-1)</f>
        <v>3.5688408999152169E-2</v>
      </c>
      <c r="W362" s="21">
        <f>inputs!$E$85*(F362/inputs!$F$85)^(inputs!$E$84-1)</f>
        <v>1.6480249837616827</v>
      </c>
      <c r="X362" s="21">
        <f>inputs!$E$80*(F362/inputs!$F$80)^(inputs!$E$84-1)</f>
        <v>6.1540173444265367</v>
      </c>
      <c r="Y362" s="21">
        <f>inputs!$E$82*(F362/inputs!$F$82)^(inputs!$E$84-1)</f>
        <v>2.8362893467747248</v>
      </c>
      <c r="Z362" s="63">
        <f t="shared" si="40"/>
        <v>1094.1612764919128</v>
      </c>
      <c r="AA362" s="63">
        <f t="shared" si="41"/>
        <v>23.694346585297019</v>
      </c>
    </row>
    <row r="363" spans="1:27" x14ac:dyDescent="0.25">
      <c r="A363" s="103" t="s">
        <v>178</v>
      </c>
      <c r="B363" s="20" t="s">
        <v>179</v>
      </c>
      <c r="C363" s="20" t="s">
        <v>73</v>
      </c>
      <c r="D363" s="104" t="s">
        <v>141</v>
      </c>
      <c r="E363" s="15">
        <v>9966</v>
      </c>
      <c r="F363" s="15">
        <v>18.2</v>
      </c>
      <c r="G363" s="20" t="s">
        <v>154</v>
      </c>
      <c r="H363" s="20">
        <v>9.2999999999999999E-2</v>
      </c>
      <c r="I363" s="48">
        <f>MAX('Min rate concentrations'!$G$3:$G$368)</f>
        <v>7.5</v>
      </c>
      <c r="J363" s="48">
        <f>MAX('Min rate concentrations'!Z:Z)</f>
        <v>3.5</v>
      </c>
      <c r="K363" s="59">
        <f t="shared" si="45"/>
        <v>2.1297387861681232</v>
      </c>
      <c r="L363" s="59"/>
      <c r="M363" s="59">
        <f>IF((((1.18*F363^0.874)-(0.398*F363^0.85)/(1-H363)*H363)*(MAX('Min rate concentrations'!$P$3:$P$368)))/F363&gt;0, (((1.18*F363^0.874)-(0.398*F363^0.85)/(1-H363)*H363)*(MAX('Min rate concentrations'!$P$3:$P$368)))/F363, 0)</f>
        <v>0.1149962906075165</v>
      </c>
      <c r="N363" s="59">
        <f>IF((((1.18*F363^0.874)-(0.398*F363^0.85)/(1-H363)*H363)*(MAX('Min rate concentrations'!$Q$3:$Q$368)))/F363&gt;0, (((1.18*F363^0.874)-(0.398*F363^0.85)/(1-H363)*H363)*(MAX('Min rate concentrations'!$Q$3:$Q$368)))/F363, 0)</f>
        <v>0.43791205357790058</v>
      </c>
      <c r="O363" s="59">
        <f>((MAX('Min rate concentrations'!$F$3:$F$368))*0.62*6.01*8*(10*F363^0.667)*0.079*0.1/F363)*inputs!$E$80/(10^(0.84+0.62*LOG10(inputs!$E$80)))</f>
        <v>9.3110445198880516</v>
      </c>
      <c r="P363" s="59">
        <f>((MAX('Min rate concentrations'!Y:Y))*0.62*6.01*8*(10*F363^0.667)*0.079*0.1/F363)*inputs!$E$80/(10^(0.84+0.62*LOG10(inputs!$E$80)))</f>
        <v>3.1036815066293504</v>
      </c>
      <c r="Q363" s="59">
        <f>(inputs!$C$7*11.2*(10*F363^0.667)*0.5/F363)*inputs!$E$80/(10^(0.84+0.62*LOG10(inputs!$E$80)))</f>
        <v>1.6400965759097308</v>
      </c>
      <c r="R363" s="59">
        <f>(60*284*((F363/1000)^0.77)*3*24*(MAX('Min rate concentrations'!$R$3:$R$368))/F363)*(inputs!$E$73*3.4/inputs!$E$75)</f>
        <v>1.1779289233905702E-2</v>
      </c>
      <c r="S363" s="59">
        <f>(IF(inputs!$C$6="aerial",((0.025*0.112*inputs!$C$7/3.3)*(3*60*284*((F363/1000)^0.77))*MAX(inputs!$H$14:$H$16))/F363,((0.0083*0.112*inputs!$C$7/1)*(3*60*284*((F363/1000)^0.77))*MAX(inputs!$H$14:$H$16))/F363))*(inputs!E$75*3.4/inputs!$E$73)</f>
        <v>6.4963503824604335E-2</v>
      </c>
      <c r="T363" s="63">
        <f>IF((((inputs!$P$12/(V363/MAX(K363:S363)))^(1/inputs!$O$12))-1)/inputs!$N$12&lt;0, 0, IF((((inputs!$P$12/(V363/MAX(K363:S363)))^(1/inputs!$O$12))-1)/inputs!$N$12&gt;inputs!$H$17, inputs!$H$17, (((inputs!$P$12/(V363/MAX(K363:S363)))^(1/inputs!$O$12))-1)/inputs!$N$12))</f>
        <v>174.0636776526859</v>
      </c>
      <c r="U363" s="63">
        <f>IF((((inputs!$P$12/(X363/MAX(K363:S363)))^(1/inputs!$O$12))-1)/inputs!$N$12&lt;0, 0, IF((((inputs!$P$12/(X363/MAX(K363:S363)))^(1/inputs!$O$12))-1)/inputs!$N$12&gt;inputs!$H$17, inputs!$H$17, (((inputs!$P$12/(X363/MAX(K363:S363)))^(1/inputs!$O$12))-1)/inputs!$N$12))</f>
        <v>0</v>
      </c>
      <c r="V363" s="21">
        <f>inputs!$E$78*(F363/inputs!$F$78)^(inputs!$E$84-1)</f>
        <v>3.5688408999152169E-2</v>
      </c>
      <c r="W363" s="21">
        <f>inputs!$E$85*(F363/inputs!$F$85)^(inputs!$E$84-1)</f>
        <v>1.6480249837616827</v>
      </c>
      <c r="X363" s="21">
        <f>inputs!$E$80*(F363/inputs!$F$80)^(inputs!$E$84-1)</f>
        <v>6.1540173444265367</v>
      </c>
      <c r="Y363" s="21">
        <f>inputs!$E$82*(F363/inputs!$F$82)^(inputs!$E$84-1)</f>
        <v>2.8362893467747248</v>
      </c>
      <c r="Z363" s="63">
        <f t="shared" si="40"/>
        <v>260.89827988995671</v>
      </c>
      <c r="AA363" s="63">
        <f t="shared" si="41"/>
        <v>5.6498200037205875</v>
      </c>
    </row>
    <row r="364" spans="1:27" x14ac:dyDescent="0.25">
      <c r="A364" s="103" t="s">
        <v>232</v>
      </c>
      <c r="B364" s="20" t="s">
        <v>233</v>
      </c>
      <c r="C364" s="20" t="s">
        <v>73</v>
      </c>
      <c r="D364" s="104" t="s">
        <v>141</v>
      </c>
      <c r="E364" s="15">
        <v>4296</v>
      </c>
      <c r="F364" s="15">
        <v>30.8</v>
      </c>
      <c r="G364" s="20" t="s">
        <v>142</v>
      </c>
      <c r="H364" s="20">
        <v>0.69</v>
      </c>
      <c r="I364" s="48">
        <f>MAX('Min rate concentrations'!$H$3:$H$368)</f>
        <v>47</v>
      </c>
      <c r="J364" s="48">
        <f>MAX('Min rate concentrations'!AA:AA)</f>
        <v>32.5</v>
      </c>
      <c r="K364" s="59">
        <f t="shared" si="45"/>
        <v>36.0858241725578</v>
      </c>
      <c r="L364" s="59">
        <f>((0.398*F364^0.85)/(1-H364))*J364/F364</f>
        <v>24.952963523577203</v>
      </c>
      <c r="M364" s="59">
        <f>IF((((1.18*F364^0.874)-(0.398*F364^0.85)/(1-H364)*H364)*(MAX('Min rate concentrations'!$P$3:$P$368)))/F364&gt;0, (((1.18*F364^0.874)-(0.398*F364^0.85)/(1-H364)*H364)*(MAX('Min rate concentrations'!$P$3:$P$368)))/F364, 0)</f>
        <v>3.4312771305483047E-2</v>
      </c>
      <c r="N364" s="59">
        <f>IF((((1.18*F364^0.874)-(0.398*F364^0.85)/(1-H364)*H364)*(MAX('Min rate concentrations'!$Q$3:$Q$368)))/F364&gt;0, (((1.18*F364^0.874)-(0.398*F364^0.85)/(1-H364)*H364)*(MAX('Min rate concentrations'!$Q$3:$Q$368)))/F364, 0)</f>
        <v>0.13066487681430308</v>
      </c>
      <c r="O364" s="59">
        <f>((MAX('Min rate concentrations'!$F$3:$F$368))*0.62*6.01*8*(10*F364^0.667)*0.079*0.1/F364)*inputs!$E$80/(10^(0.84+0.62*LOG10(inputs!$E$80)))</f>
        <v>7.8147445593114906</v>
      </c>
      <c r="P364" s="59">
        <f>((MAX('Min rate concentrations'!Y:Y))*0.62*6.01*8*(10*F364^0.667)*0.079*0.1/F364)*inputs!$E$80/(10^(0.84+0.62*LOG10(inputs!$E$80)))</f>
        <v>2.6049148531038302</v>
      </c>
      <c r="Q364" s="59">
        <f>(inputs!$C$7*11.2*(10*F364^0.667)*0.5/F364)*inputs!$E$80/(10^(0.84+0.62*LOG10(inputs!$E$80)))</f>
        <v>1.3765303952697754</v>
      </c>
      <c r="R364" s="59">
        <f>(60*284*((F364/1000)^0.77)*3*24*(MAX('Min rate concentrations'!$R$3:$R$368))/F364)*(inputs!$E$73*3.4/inputs!$E$75)</f>
        <v>1.0436835543697837E-2</v>
      </c>
      <c r="S364" s="59">
        <f>(IF(inputs!$C$6="aerial",((0.025*0.112*inputs!$C$7/3.3)*(3*60*284*((F364/1000)^0.77))*MAX(inputs!$H$14:$H$16))/F364,((0.0083*0.112*inputs!$C$7/1)*(3*60*284*((F364/1000)^0.77))*MAX(inputs!$H$14:$H$16))/F364))*(inputs!E$75*3.4/inputs!$E$73)</f>
        <v>5.7559789245023016E-2</v>
      </c>
      <c r="T364" s="63">
        <f>IF((((inputs!$P$12/(V364/MAX(K364:S364)))^(1/inputs!$O$12))-1)/inputs!$N$12&lt;0, 0, IF((((inputs!$P$12/(V364/MAX(K364:S364)))^(1/inputs!$O$12))-1)/inputs!$N$12&gt;inputs!$H$17, inputs!$H$17, (((inputs!$P$12/(V364/MAX(K364:S364)))^(1/inputs!$O$12))-1)/inputs!$N$12))</f>
        <v>351.89429071886457</v>
      </c>
      <c r="U364" s="63">
        <f>IF((((inputs!$P$12/(X364/MAX(K364:S364)))^(1/inputs!$O$12))-1)/inputs!$N$12&lt;0, 0, IF((((inputs!$P$12/(X364/MAX(K364:S364)))^(1/inputs!$O$12))-1)/inputs!$N$12&gt;inputs!$H$17, inputs!$H$17, (((inputs!$P$12/(X364/MAX(K364:S364)))^(1/inputs!$O$12))-1)/inputs!$N$12))</f>
        <v>18.337913502392738</v>
      </c>
      <c r="V364" s="21">
        <f>inputs!$E$78*(F364/inputs!$F$78)^(inputs!$E$84-1)</f>
        <v>2.9375809005257807E-2</v>
      </c>
      <c r="W364" s="21">
        <f>inputs!$E$85*(F364/inputs!$F$85)^(inputs!$E$84-1)</f>
        <v>1.3565207448733958</v>
      </c>
      <c r="X364" s="21">
        <f>inputs!$E$80*(F364/inputs!$F$80)^(inputs!$E$84-1)</f>
        <v>5.0654888574386288</v>
      </c>
      <c r="Y364" s="21">
        <f>inputs!$E$82*(F364/inputs!$F$82)^(inputs!$E$84-1)</f>
        <v>2.3346037683125944</v>
      </c>
      <c r="Z364" s="63">
        <f t="shared" si="40"/>
        <v>1228.4197574303062</v>
      </c>
      <c r="AA364" s="63">
        <f t="shared" si="41"/>
        <v>26.601748855617902</v>
      </c>
    </row>
    <row r="365" spans="1:27" x14ac:dyDescent="0.25">
      <c r="A365" s="103" t="s">
        <v>232</v>
      </c>
      <c r="B365" s="20" t="s">
        <v>233</v>
      </c>
      <c r="C365" s="20" t="s">
        <v>73</v>
      </c>
      <c r="D365" s="104" t="s">
        <v>141</v>
      </c>
      <c r="E365" s="15">
        <v>4296</v>
      </c>
      <c r="F365" s="15">
        <v>30.8</v>
      </c>
      <c r="G365" s="20" t="s">
        <v>154</v>
      </c>
      <c r="H365" s="20">
        <v>9.2999999999999999E-2</v>
      </c>
      <c r="I365" s="48">
        <f>MAX('Min rate concentrations'!$G$3:$G$368)</f>
        <v>7.5</v>
      </c>
      <c r="J365" s="48">
        <f>MAX('Min rate concentrations'!Z:Z)</f>
        <v>3.5</v>
      </c>
      <c r="K365" s="59">
        <f t="shared" si="45"/>
        <v>1.9681329893076753</v>
      </c>
      <c r="L365" s="59"/>
      <c r="M365" s="59">
        <f>IF((((1.18*F365^0.874)-(0.398*F365^0.85)/(1-H365)*H365)*(MAX('Min rate concentrations'!$P$3:$P$368)))/F365&gt;0, (((1.18*F365^0.874)-(0.398*F365^0.85)/(1-H365)*H365)*(MAX('Min rate concentrations'!$P$3:$P$368)))/F365, 0)</f>
        <v>0.10766561643773498</v>
      </c>
      <c r="N365" s="59">
        <f>IF((((1.18*F365^0.874)-(0.398*F365^0.85)/(1-H365)*H365)*(MAX('Min rate concentrations'!$Q$3:$Q$368)))/F365&gt;0, (((1.18*F365^0.874)-(0.398*F365^0.85)/(1-H365)*H365)*(MAX('Min rate concentrations'!$Q$3:$Q$368)))/F365, 0)</f>
        <v>0.4099964524498963</v>
      </c>
      <c r="O365" s="59">
        <f>((MAX('Min rate concentrations'!$F$3:$F$368))*0.62*6.01*8*(10*F365^0.667)*0.079*0.1/F365)*inputs!$E$80/(10^(0.84+0.62*LOG10(inputs!$E$80)))</f>
        <v>7.8147445593114906</v>
      </c>
      <c r="P365" s="59">
        <f>((MAX('Min rate concentrations'!Y:Y))*0.62*6.01*8*(10*F365^0.667)*0.079*0.1/F365)*inputs!$E$80/(10^(0.84+0.62*LOG10(inputs!$E$80)))</f>
        <v>2.6049148531038302</v>
      </c>
      <c r="Q365" s="59">
        <f>(inputs!$C$7*11.2*(10*F365^0.667)*0.5/F365)*inputs!$E$80/(10^(0.84+0.62*LOG10(inputs!$E$80)))</f>
        <v>1.3765303952697754</v>
      </c>
      <c r="R365" s="59">
        <f>(60*284*((F365/1000)^0.77)*3*24*(MAX('Min rate concentrations'!$R$3:$R$368))/F365)*(inputs!$E$73*3.4/inputs!$E$75)</f>
        <v>1.0436835543697837E-2</v>
      </c>
      <c r="S365" s="59">
        <f>(IF(inputs!$C$6="aerial",((0.025*0.112*inputs!$C$7/3.3)*(3*60*284*((F365/1000)^0.77))*MAX(inputs!$H$14:$H$16))/F365,((0.0083*0.112*inputs!$C$7/1)*(3*60*284*((F365/1000)^0.77))*MAX(inputs!$H$14:$H$16))/F365))*(inputs!E$75*3.4/inputs!$E$73)</f>
        <v>5.7559789245023016E-2</v>
      </c>
      <c r="T365" s="63">
        <f>IF((((inputs!$P$12/(V365/MAX(K365:S365)))^(1/inputs!$O$12))-1)/inputs!$N$12&lt;0, 0, IF((((inputs!$P$12/(V365/MAX(K365:S365)))^(1/inputs!$O$12))-1)/inputs!$N$12&gt;inputs!$H$17, inputs!$H$17, (((inputs!$P$12/(V365/MAX(K365:S365)))^(1/inputs!$O$12))-1)/inputs!$N$12))</f>
        <v>175.67371887190799</v>
      </c>
      <c r="U365" s="63">
        <f>IF((((inputs!$P$12/(X365/MAX(K365:S365)))^(1/inputs!$O$12))-1)/inputs!$N$12&lt;0, 0, IF((((inputs!$P$12/(X365/MAX(K365:S365)))^(1/inputs!$O$12))-1)/inputs!$N$12&gt;inputs!$H$17, inputs!$H$17, (((inputs!$P$12/(X365/MAX(K365:S365)))^(1/inputs!$O$12))-1)/inputs!$N$12))</f>
        <v>0</v>
      </c>
      <c r="V365" s="21">
        <f>inputs!$E$78*(F365/inputs!$F$78)^(inputs!$E$84-1)</f>
        <v>2.9375809005257807E-2</v>
      </c>
      <c r="W365" s="21">
        <f>inputs!$E$85*(F365/inputs!$F$85)^(inputs!$E$84-1)</f>
        <v>1.3565207448733958</v>
      </c>
      <c r="X365" s="21">
        <f>inputs!$E$80*(F365/inputs!$F$80)^(inputs!$E$84-1)</f>
        <v>5.0654888574386288</v>
      </c>
      <c r="Y365" s="21">
        <f>inputs!$E$82*(F365/inputs!$F$82)^(inputs!$E$84-1)</f>
        <v>2.3346037683125944</v>
      </c>
      <c r="Z365" s="63">
        <f t="shared" si="40"/>
        <v>266.02653080678641</v>
      </c>
      <c r="AA365" s="63">
        <f t="shared" si="41"/>
        <v>5.7608736090805905</v>
      </c>
    </row>
    <row r="366" spans="1:27" x14ac:dyDescent="0.25">
      <c r="A366" s="103" t="s">
        <v>150</v>
      </c>
      <c r="B366" s="20" t="s">
        <v>151</v>
      </c>
      <c r="C366" s="20" t="s">
        <v>73</v>
      </c>
      <c r="D366" s="104" t="s">
        <v>141</v>
      </c>
      <c r="E366" s="15">
        <v>117</v>
      </c>
      <c r="F366" s="15">
        <v>35.5</v>
      </c>
      <c r="G366" s="20" t="s">
        <v>142</v>
      </c>
      <c r="H366" s="20">
        <v>0.69</v>
      </c>
      <c r="I366" s="48">
        <f>MAX('Min rate concentrations'!$H$3:$H$368)</f>
        <v>47</v>
      </c>
      <c r="J366" s="48">
        <f>MAX('Min rate concentrations'!AA:AA)</f>
        <v>32.5</v>
      </c>
      <c r="K366" s="59">
        <f t="shared" si="45"/>
        <v>35.325228782132172</v>
      </c>
      <c r="L366" s="59">
        <f>((0.398*F366^0.85)/(1-H366))*J366/F366</f>
        <v>24.427019902538198</v>
      </c>
      <c r="M366" s="59">
        <f>IF((((1.18*F366^0.874)-(0.398*F366^0.85)/(1-H366)*H366)*(MAX('Min rate concentrations'!$P$3:$P$368)))/F366&gt;0, (((1.18*F366^0.874)-(0.398*F366^0.85)/(1-H366)*H366)*(MAX('Min rate concentrations'!$P$3:$P$368)))/F366, 0)</f>
        <v>3.396123575437944E-2</v>
      </c>
      <c r="N366" s="59">
        <f>IF((((1.18*F366^0.874)-(0.398*F366^0.85)/(1-H366)*H366)*(MAX('Min rate concentrations'!$Q$3:$Q$368)))/F366&gt;0, (((1.18*F366^0.874)-(0.398*F366^0.85)/(1-H366)*H366)*(MAX('Min rate concentrations'!$Q$3:$Q$368)))/F366, 0)</f>
        <v>0.129326210547103</v>
      </c>
      <c r="O366" s="59">
        <f>((MAX('Min rate concentrations'!$F$3:$F$368))*0.62*6.01*8*(10*F366^0.667)*0.079*0.1/F366)*inputs!$E$80/(10^(0.84+0.62*LOG10(inputs!$E$80)))</f>
        <v>7.4537725086470479</v>
      </c>
      <c r="P366" s="59">
        <f>((MAX('Min rate concentrations'!Y:Y))*0.62*6.01*8*(10*F366^0.667)*0.079*0.1/F366)*inputs!$E$80/(10^(0.84+0.62*LOG10(inputs!$E$80)))</f>
        <v>2.4845908362156819</v>
      </c>
      <c r="Q366" s="59">
        <f>(inputs!$C$7*11.2*(10*F366^0.667)*0.5/F366)*inputs!$E$80/(10^(0.84+0.62*LOG10(inputs!$E$80)))</f>
        <v>1.3129468710980974</v>
      </c>
      <c r="R366" s="59">
        <f>(60*284*((F366/1000)^0.77)*3*24*(MAX('Min rate concentrations'!$R$3:$R$368))/F366)*(inputs!$E$73*3.4/inputs!$E$75)</f>
        <v>1.0101432911106861E-2</v>
      </c>
      <c r="S366" s="59">
        <f>(IF(inputs!$C$6="aerial",((0.025*0.112*inputs!$C$7/3.3)*(3*60*284*((F366/1000)^0.77))*MAX(inputs!$H$14:$H$16))/F366,((0.0083*0.112*inputs!$C$7/1)*(3*60*284*((F366/1000)^0.77))*MAX(inputs!$H$14:$H$16))/F366))*(inputs!E$75*3.4/inputs!$E$73)</f>
        <v>5.5710023119713105E-2</v>
      </c>
      <c r="T366" s="63">
        <f>IF((((inputs!$P$12/(V366/MAX(K366:S366)))^(1/inputs!$O$12))-1)/inputs!$N$12&lt;0, 0, IF((((inputs!$P$12/(V366/MAX(K366:S366)))^(1/inputs!$O$12))-1)/inputs!$N$12&gt;inputs!$H$17, inputs!$H$17, (((inputs!$P$12/(V366/MAX(K366:S366)))^(1/inputs!$O$12))-1)/inputs!$N$12))</f>
        <v>356.75907130289494</v>
      </c>
      <c r="U366" s="63">
        <f>IF((((inputs!$P$12/(X366/MAX(K366:S366)))^(1/inputs!$O$12))-1)/inputs!$N$12&lt;0, 0, IF((((inputs!$P$12/(X366/MAX(K366:S366)))^(1/inputs!$O$12))-1)/inputs!$N$12&gt;inputs!$H$17, inputs!$H$17, (((inputs!$P$12/(X366/MAX(K366:S366)))^(1/inputs!$O$12))-1)/inputs!$N$12))</f>
        <v>18.936801657058552</v>
      </c>
      <c r="V366" s="21">
        <f>inputs!$E$78*(F366/inputs!$F$78)^(inputs!$E$84-1)</f>
        <v>2.7872062701307335E-2</v>
      </c>
      <c r="W366" s="21">
        <f>inputs!$E$85*(F366/inputs!$F$85)^(inputs!$E$84-1)</f>
        <v>1.2870805107007672</v>
      </c>
      <c r="X366" s="21">
        <f>inputs!$E$80*(F366/inputs!$F$80)^(inputs!$E$84-1)</f>
        <v>4.80618671717375</v>
      </c>
      <c r="Y366" s="21">
        <f>inputs!$E$82*(F366/inputs!$F$82)^(inputs!$E$84-1)</f>
        <v>2.215095509419688</v>
      </c>
      <c r="Z366" s="63">
        <f t="shared" si="40"/>
        <v>1267.40633302591</v>
      </c>
      <c r="AA366" s="63">
        <f t="shared" si="41"/>
        <v>27.446013274568895</v>
      </c>
    </row>
    <row r="367" spans="1:27" x14ac:dyDescent="0.25">
      <c r="A367" s="103" t="s">
        <v>150</v>
      </c>
      <c r="B367" s="20" t="s">
        <v>151</v>
      </c>
      <c r="C367" s="20" t="s">
        <v>73</v>
      </c>
      <c r="D367" s="104" t="s">
        <v>141</v>
      </c>
      <c r="E367" s="15">
        <v>117</v>
      </c>
      <c r="F367" s="15">
        <v>35.5</v>
      </c>
      <c r="G367" s="20" t="s">
        <v>152</v>
      </c>
      <c r="H367" s="20">
        <v>0.77</v>
      </c>
      <c r="I367" s="48">
        <f>MAX('Min rate concentrations'!$G$3:$G$368)</f>
        <v>7.5</v>
      </c>
      <c r="J367" s="48">
        <f>MAX('Min rate concentrations'!Z:Z)</f>
        <v>3.5</v>
      </c>
      <c r="K367" s="59">
        <f t="shared" si="45"/>
        <v>7.5977018425954954</v>
      </c>
      <c r="L367" s="59">
        <f>((0.398*F367^0.85)/(1-H367))*J367/F367</f>
        <v>3.5455941932112309</v>
      </c>
      <c r="M367" s="59">
        <f>IF((((1.18*F367^0.874)-(0.398*F367^0.85)/(1-H367)*H367)*(MAX('Min rate concentrations'!$P$3:$P$368)))/F367&gt;0, (((1.18*F367^0.874)-(0.398*F367^0.85)/(1-H367)*H367)*(MAX('Min rate concentrations'!$P$3:$P$368)))/F367, 0)</f>
        <v>0</v>
      </c>
      <c r="N367" s="59">
        <f>IF((((1.18*F367^0.874)-(0.398*F367^0.85)/(1-H367)*H367)*(MAX('Min rate concentrations'!$Q$3:$Q$368)))/F367&gt;0, (((1.18*F367^0.874)-(0.398*F367^0.85)/(1-H367)*H367)*(MAX('Min rate concentrations'!$Q$3:$Q$368)))/F367, 0)</f>
        <v>0</v>
      </c>
      <c r="O367" s="59">
        <f>((MAX('Min rate concentrations'!$F$3:$F$368))*0.62*6.01*8*(10*F367^0.667)*0.079*0.1/F367)*inputs!$E$80/(10^(0.84+0.62*LOG10(inputs!$E$80)))</f>
        <v>7.4537725086470479</v>
      </c>
      <c r="P367" s="59">
        <f>((MAX('Min rate concentrations'!Y:Y))*0.62*6.01*8*(10*F367^0.667)*0.079*0.1/F367)*inputs!$E$80/(10^(0.84+0.62*LOG10(inputs!$E$80)))</f>
        <v>2.4845908362156819</v>
      </c>
      <c r="Q367" s="59">
        <f>(inputs!$C$7*11.2*(10*F367^0.667)*0.5/F367)*inputs!$E$80/(10^(0.84+0.62*LOG10(inputs!$E$80)))</f>
        <v>1.3129468710980974</v>
      </c>
      <c r="R367" s="59">
        <f>(60*284*((F367/1000)^0.77)*3*24*(MAX('Min rate concentrations'!$R$3:$R$368))/F367)*(inputs!$E$73*3.4/inputs!$E$75)</f>
        <v>1.0101432911106861E-2</v>
      </c>
      <c r="S367" s="59">
        <f>(IF(inputs!$C$6="aerial",((0.025*0.112*inputs!$C$7/3.3)*(3*60*284*((F367/1000)^0.77))*MAX(inputs!$H$14:$H$16))/F367,((0.0083*0.112*inputs!$C$7/1)*(3*60*284*((F367/1000)^0.77))*MAX(inputs!$H$14:$H$16))/F367))*(inputs!E$75*3.4/inputs!$E$73)</f>
        <v>5.5710023119713105E-2</v>
      </c>
      <c r="T367" s="63">
        <f>IF((((inputs!$P$12/(V367/MAX(K367:S367)))^(1/inputs!$O$12))-1)/inputs!$N$12&lt;0, 0, IF((((inputs!$P$12/(V367/MAX(K367:S367)))^(1/inputs!$O$12))-1)/inputs!$N$12&gt;inputs!$H$17, inputs!$H$17, (((inputs!$P$12/(V367/MAX(K367:S367)))^(1/inputs!$O$12))-1)/inputs!$N$12))</f>
        <v>177.70833763246722</v>
      </c>
      <c r="U367" s="63">
        <f>IF((((inputs!$P$12/(X367/MAX(K367:S367)))^(1/inputs!$O$12))-1)/inputs!$N$12&lt;0, 0, IF((((inputs!$P$12/(X367/MAX(K367:S367)))^(1/inputs!$O$12))-1)/inputs!$N$12&gt;inputs!$H$17, inputs!$H$17, (((inputs!$P$12/(X367/MAX(K367:S367)))^(1/inputs!$O$12))-1)/inputs!$N$12))</f>
        <v>0</v>
      </c>
      <c r="V367" s="21">
        <f>inputs!$E$78*(F367/inputs!$F$78)^(inputs!$E$84-1)</f>
        <v>2.7872062701307335E-2</v>
      </c>
      <c r="W367" s="21">
        <f>inputs!$E$85*(F367/inputs!$F$85)^(inputs!$E$84-1)</f>
        <v>1.2870805107007672</v>
      </c>
      <c r="X367" s="21">
        <f>inputs!$E$80*(F367/inputs!$F$80)^(inputs!$E$84-1)</f>
        <v>4.80618671717375</v>
      </c>
      <c r="Y367" s="21">
        <f>inputs!$E$82*(F367/inputs!$F$82)^(inputs!$E$84-1)</f>
        <v>2.215095509419688</v>
      </c>
      <c r="Z367" s="63">
        <f t="shared" si="40"/>
        <v>272.59201889780218</v>
      </c>
      <c r="AA367" s="63">
        <f t="shared" si="41"/>
        <v>5.9030509586838749</v>
      </c>
    </row>
    <row r="368" spans="1:27" x14ac:dyDescent="0.25">
      <c r="A368" s="103" t="s">
        <v>150</v>
      </c>
      <c r="B368" s="20" t="s">
        <v>151</v>
      </c>
      <c r="C368" s="20" t="s">
        <v>73</v>
      </c>
      <c r="D368" s="104" t="s">
        <v>141</v>
      </c>
      <c r="E368" s="15">
        <v>117</v>
      </c>
      <c r="F368" s="15">
        <v>35.5</v>
      </c>
      <c r="G368" s="20" t="s">
        <v>153</v>
      </c>
      <c r="H368" s="20">
        <v>0.7</v>
      </c>
      <c r="I368" s="48">
        <f>MAX('Min rate concentrations'!$E$3:$E$368)</f>
        <v>55</v>
      </c>
      <c r="J368" s="48">
        <f>MAX('Min rate concentrations'!X:X)</f>
        <v>18</v>
      </c>
      <c r="K368" s="59">
        <f t="shared" si="45"/>
        <v>42.715968137259111</v>
      </c>
      <c r="L368" s="59"/>
      <c r="M368" s="59">
        <f>IF((((1.18*F368^0.874)-(0.398*F368^0.85)/(1-H368)*H368)*(MAX('Min rate concentrations'!$P$3:$P$368)))/F368&gt;0, (((1.18*F368^0.874)-(0.398*F368^0.85)/(1-H368)*H368)*(MAX('Min rate concentrations'!$P$3:$P$368)))/F368, 0)</f>
        <v>3.0324790789656522E-2</v>
      </c>
      <c r="N368" s="59">
        <f>IF((((1.18*F368^0.874)-(0.398*F368^0.85)/(1-H368)*H368)*(MAX('Min rate concentrations'!$Q$3:$Q$368)))/F368&gt;0, (((1.18*F368^0.874)-(0.398*F368^0.85)/(1-H368)*H368)*(MAX('Min rate concentrations'!$Q$3:$Q$368)))/F368, 0)</f>
        <v>0.11547843272912232</v>
      </c>
      <c r="O368" s="59">
        <f>((MAX('Min rate concentrations'!$F$3:$F$368))*0.62*6.01*8*(10*F368^0.667)*0.079*0.1/F368)*inputs!$E$80/(10^(0.84+0.62*LOG10(inputs!$E$80)))</f>
        <v>7.4537725086470479</v>
      </c>
      <c r="P368" s="59">
        <f>((MAX('Min rate concentrations'!Y:Y))*0.62*6.01*8*(10*F368^0.667)*0.079*0.1/F368)*inputs!$E$80/(10^(0.84+0.62*LOG10(inputs!$E$80)))</f>
        <v>2.4845908362156819</v>
      </c>
      <c r="Q368" s="59">
        <f>(inputs!$C$7*11.2*(10*F368^0.667)*0.5/F368)*inputs!$E$80/(10^(0.84+0.62*LOG10(inputs!$E$80)))</f>
        <v>1.3129468710980974</v>
      </c>
      <c r="R368" s="59">
        <f>(60*284*((F368/1000)^0.77)*3*24*(MAX('Min rate concentrations'!$R$3:$R$368))/F368)*(inputs!$E$73*3.4/inputs!$E$75)</f>
        <v>1.0101432911106861E-2</v>
      </c>
      <c r="S368" s="59">
        <f>(IF(inputs!$C$6="aerial",((0.025*0.112*inputs!$C$7/3.3)*(3*60*284*((F368/1000)^0.77))*MAX(inputs!$H$14:$H$16))/F368,((0.0083*0.112*inputs!$C$7/1)*(3*60*284*((F368/1000)^0.77))*MAX(inputs!$H$14:$H$16))/F368))*(inputs!E$75*3.4/inputs!$E$73)</f>
        <v>5.5710023119713105E-2</v>
      </c>
      <c r="T368" s="63">
        <f>IF((((inputs!$P$12/(V368/MAX(K368:S368)))^(1/inputs!$O$12))-1)/inputs!$N$12&lt;0, 0, IF((((inputs!$P$12/(V368/MAX(K368:S368)))^(1/inputs!$O$12))-1)/inputs!$N$12&gt;inputs!$H$17, inputs!$H$17, (((inputs!$P$12/(V368/MAX(K368:S368)))^(1/inputs!$O$12))-1)/inputs!$N$12))</f>
        <v>387.70746314109664</v>
      </c>
      <c r="U368" s="63">
        <f>IF((((inputs!$P$12/(X368/MAX(K368:S368)))^(1/inputs!$O$12))-1)/inputs!$N$12&lt;0, 0, IF((((inputs!$P$12/(X368/MAX(K368:S368)))^(1/inputs!$O$12))-1)/inputs!$N$12&gt;inputs!$H$17, inputs!$H$17, (((inputs!$P$12/(X368/MAX(K368:S368)))^(1/inputs!$O$12))-1)/inputs!$N$12))</f>
        <v>22.746762858330268</v>
      </c>
      <c r="V368" s="21">
        <f>inputs!$E$78*(F368/inputs!$F$78)^(inputs!$E$84-1)</f>
        <v>2.7872062701307335E-2</v>
      </c>
      <c r="W368" s="21">
        <f>inputs!$E$85*(F368/inputs!$F$85)^(inputs!$E$84-1)</f>
        <v>1.2870805107007672</v>
      </c>
      <c r="X368" s="21">
        <f>inputs!$E$80*(F368/inputs!$F$80)^(inputs!$E$84-1)</f>
        <v>4.80618671717375</v>
      </c>
      <c r="Y368" s="21">
        <f>inputs!$E$82*(F368/inputs!$F$82)^(inputs!$E$84-1)</f>
        <v>2.215095509419688</v>
      </c>
      <c r="Z368" s="63">
        <f t="shared" si="40"/>
        <v>1532.572906247643</v>
      </c>
      <c r="AA368" s="63">
        <f t="shared" si="41"/>
        <v>33.188264278822672</v>
      </c>
    </row>
    <row r="369" spans="1:27" x14ac:dyDescent="0.25">
      <c r="A369" s="103" t="s">
        <v>150</v>
      </c>
      <c r="B369" s="20" t="s">
        <v>151</v>
      </c>
      <c r="C369" s="20" t="s">
        <v>73</v>
      </c>
      <c r="D369" s="104" t="s">
        <v>141</v>
      </c>
      <c r="E369" s="15">
        <v>117</v>
      </c>
      <c r="F369" s="15">
        <v>35.5</v>
      </c>
      <c r="G369" s="20" t="s">
        <v>154</v>
      </c>
      <c r="H369" s="20">
        <v>9.2999999999999999E-2</v>
      </c>
      <c r="I369" s="48">
        <f>MAX('Min rate concentrations'!$G$3:$G$368)</f>
        <v>7.5</v>
      </c>
      <c r="J369" s="48">
        <f>MAX('Min rate concentrations'!Z:Z)</f>
        <v>3.5</v>
      </c>
      <c r="K369" s="59">
        <f t="shared" si="45"/>
        <v>1.9266498608566305</v>
      </c>
      <c r="L369" s="59"/>
      <c r="M369" s="59">
        <f>IF((((1.18*F369^0.874)-(0.398*F369^0.85)/(1-H369)*H369)*(MAX('Min rate concentrations'!$P$3:$P$368)))/F369&gt;0, (((1.18*F369^0.874)-(0.398*F369^0.85)/(1-H369)*H369)*(MAX('Min rate concentrations'!$P$3:$P$368)))/F369, 0)</f>
        <v>0.10576799354730922</v>
      </c>
      <c r="N369" s="59">
        <f>IF((((1.18*F369^0.874)-(0.398*F369^0.85)/(1-H369)*H369)*(MAX('Min rate concentrations'!$Q$3:$Q$368)))/F369&gt;0, (((1.18*F369^0.874)-(0.398*F369^0.85)/(1-H369)*H369)*(MAX('Min rate concentrations'!$Q$3:$Q$368)))/F369, 0)</f>
        <v>0.40277020252067941</v>
      </c>
      <c r="O369" s="59">
        <f>((MAX('Min rate concentrations'!$F$3:$F$368))*0.62*6.01*8*(10*F369^0.667)*0.079*0.1/F369)*inputs!$E$80/(10^(0.84+0.62*LOG10(inputs!$E$80)))</f>
        <v>7.4537725086470479</v>
      </c>
      <c r="P369" s="59">
        <f>((MAX('Min rate concentrations'!Y:Y))*0.62*6.01*8*(10*F369^0.667)*0.079*0.1/F369)*inputs!$E$80/(10^(0.84+0.62*LOG10(inputs!$E$80)))</f>
        <v>2.4845908362156819</v>
      </c>
      <c r="Q369" s="59">
        <f>(inputs!$C$7*11.2*(10*F369^0.667)*0.5/F369)*inputs!$E$80/(10^(0.84+0.62*LOG10(inputs!$E$80)))</f>
        <v>1.3129468710980974</v>
      </c>
      <c r="R369" s="59">
        <f>(60*284*((F369/1000)^0.77)*3*24*(MAX('Min rate concentrations'!$R$3:$R$368))/F369)*(inputs!$E$73*3.4/inputs!$E$75)</f>
        <v>1.0101432911106861E-2</v>
      </c>
      <c r="S369" s="59">
        <f>(IF(inputs!$C$6="aerial",((0.025*0.112*inputs!$C$7/3.3)*(3*60*284*((F369/1000)^0.77))*MAX(inputs!$H$14:$H$16))/F369,((0.0083*0.112*inputs!$C$7/1)*(3*60*284*((F369/1000)^0.77))*MAX(inputs!$H$14:$H$16))/F369))*(inputs!E$75*3.4/inputs!$E$73)</f>
        <v>5.5710023119713105E-2</v>
      </c>
      <c r="T369" s="63">
        <f>IF((((inputs!$P$12/(V369/MAX(K369:S369)))^(1/inputs!$O$12))-1)/inputs!$N$12&lt;0, 0, IF((((inputs!$P$12/(V369/MAX(K369:S369)))^(1/inputs!$O$12))-1)/inputs!$N$12&gt;inputs!$H$17, inputs!$H$17, (((inputs!$P$12/(V369/MAX(K369:S369)))^(1/inputs!$O$12))-1)/inputs!$N$12))</f>
        <v>176.11053641327092</v>
      </c>
      <c r="U369" s="63">
        <f>IF((((inputs!$P$12/(X369/MAX(K369:S369)))^(1/inputs!$O$12))-1)/inputs!$N$12&lt;0, 0, IF((((inputs!$P$12/(X369/MAX(K369:S369)))^(1/inputs!$O$12))-1)/inputs!$N$12&gt;inputs!$H$17, inputs!$H$17, (((inputs!$P$12/(X369/MAX(K369:S369)))^(1/inputs!$O$12))-1)/inputs!$N$12))</f>
        <v>0</v>
      </c>
      <c r="V369" s="21">
        <f>inputs!$E$78*(F369/inputs!$F$78)^(inputs!$E$84-1)</f>
        <v>2.7872062701307335E-2</v>
      </c>
      <c r="W369" s="21">
        <f>inputs!$E$85*(F369/inputs!$F$85)^(inputs!$E$84-1)</f>
        <v>1.2870805107007672</v>
      </c>
      <c r="X369" s="21">
        <f>inputs!$E$80*(F369/inputs!$F$80)^(inputs!$E$84-1)</f>
        <v>4.80618671717375</v>
      </c>
      <c r="Y369" s="21">
        <f>inputs!$E$82*(F369/inputs!$F$82)^(inputs!$E$84-1)</f>
        <v>2.215095509419688</v>
      </c>
      <c r="Z369" s="63">
        <f t="shared" si="40"/>
        <v>267.428090576785</v>
      </c>
      <c r="AA369" s="63">
        <f t="shared" si="41"/>
        <v>5.7912247498711231</v>
      </c>
    </row>
    <row r="370" spans="1:27" x14ac:dyDescent="0.25">
      <c r="A370" s="103" t="s">
        <v>196</v>
      </c>
      <c r="B370" s="20" t="s">
        <v>197</v>
      </c>
      <c r="C370" s="20" t="s">
        <v>73</v>
      </c>
      <c r="D370" s="104" t="s">
        <v>198</v>
      </c>
      <c r="E370" s="15">
        <v>95</v>
      </c>
      <c r="F370" s="15">
        <v>454</v>
      </c>
      <c r="G370" s="20" t="s">
        <v>142</v>
      </c>
      <c r="H370" s="20">
        <v>0.69</v>
      </c>
      <c r="I370" s="48">
        <f>MAX('Min rate concentrations'!$H$3:$H$368)</f>
        <v>47</v>
      </c>
      <c r="J370" s="48">
        <f>MAX('Min rate concentrations'!AA:AA)</f>
        <v>32.5</v>
      </c>
      <c r="K370" s="59">
        <f t="shared" ref="K370:K395" si="46">((0.301*F370^0.751)/(1-H370))*I370/F370</f>
        <v>9.947083241789656</v>
      </c>
      <c r="L370" s="59">
        <f>((0.301*F370^0.751)/(1-H370))*J370/F370</f>
        <v>6.878302241663059</v>
      </c>
      <c r="M370" s="59">
        <f>IF((((1.18*F370^0.874)/3.7-(0.301*F370^0.751)/(1-H370)*H370)*(MAX('Min rate concentrations'!$P$3:$P$368)))/F370&gt;0, (((1.18*F370^0.874)/3.7-(0.301*F370^0.751)/(1-H370)*H370)*(MAX('Min rate concentrations'!$P$3:$P$368)))/F370, 0)</f>
        <v>2.1802051890136678E-4</v>
      </c>
      <c r="N370" s="59">
        <f>IF((((1.18*F370^0.874)/3.7-(0.301*F370^0.751)/(1-H370)*H370)*(MAX('Min rate concentrations'!$Q$3:$Q$368)))/F370&gt;0, (((1.18*F370^0.874)/3.7-(0.301*F370^0.751)/(1-H370)*H370)*(MAX('Min rate concentrations'!$Q$3:$Q$368)))/F370, 0)</f>
        <v>8.3023385058627773E-4</v>
      </c>
      <c r="O370" s="59">
        <f>((MAX('Min rate concentrations'!$F$3:$F$368))*0.62*6.01*8*(10*F370^0.667)*0.079*0.1/F370)*inputs!$E$80/(10^(0.84+0.62*LOG10(inputs!$E$80)))</f>
        <v>3.1900873606517974</v>
      </c>
      <c r="P370" s="59">
        <f>((MAX('Min rate concentrations'!Y:Y))*0.62*6.01*8*(10*F370^0.667)*0.079*0.1/F370)*inputs!$E$80/(10^(0.84+0.62*LOG10(inputs!$E$80)))</f>
        <v>1.0633624535505992</v>
      </c>
      <c r="Q370" s="59">
        <f>(inputs!$C$7*11.2*(10*F370^0.667)*0.5/F370)*inputs!$E$80/(10^(0.84+0.62*LOG10(inputs!$E$80)))</f>
        <v>0.56191884228267341</v>
      </c>
      <c r="R370" s="59">
        <f>(60*284*((F370/1000)^0.77)*3*24*(MAX('Min rate concentrations'!$R$3:$R$368))/F370)*(inputs!$E$73*3.4/inputs!$E$75)</f>
        <v>5.6209880092526658E-3</v>
      </c>
      <c r="S370" s="59">
        <f>(IF(inputs!$C$6="aerial",((0.025*0.112*inputs!$C$7/3.3)*(3*60*284*((F370/1000)^0.77))*MAX(inputs!$H$14:$H$16))/F370,((0.0083*0.112*inputs!$C$7/1)*(3*60*284*((F370/1000)^0.77))*MAX(inputs!$H$14:$H$16))/F370))*(inputs!E$75*3.4/inputs!$E$73)</f>
        <v>3.1000094215027897E-2</v>
      </c>
      <c r="T370" s="63">
        <f>IF((((inputs!$P$12/(V370/MAX(K370:S370)))^(1/inputs!$O$12))-1)/inputs!$N$12&lt;0, 0, IF((((inputs!$P$12/(V370/MAX(K370:S370)))^(1/inputs!$O$12))-1)/inputs!$N$12&gt;inputs!$H$17, inputs!$H$17, (((inputs!$P$12/(V370/MAX(K370:S370)))^(1/inputs!$O$12))-1)/inputs!$N$12))</f>
        <v>309.14509679117901</v>
      </c>
      <c r="U370" s="63">
        <f>IF((((inputs!$P$12/(X370/MAX(K370:S370)))^(1/inputs!$O$12))-1)/inputs!$N$12&lt;0, 0, IF((((inputs!$P$12/(X370/MAX(K370:S370)))^(1/inputs!$O$12))-1)/inputs!$N$12&gt;inputs!$H$17, inputs!$H$17, (((inputs!$P$12/(X370/MAX(K370:S370)))^(1/inputs!$O$12))-1)/inputs!$N$12))</f>
        <v>13.075191901166379</v>
      </c>
      <c r="V370" s="21">
        <f>inputs!$E$78*(F370/inputs!$F$78)^(inputs!$E$84-1)</f>
        <v>1.0855327623785738E-2</v>
      </c>
      <c r="W370" s="21">
        <f>inputs!$E$85*(F370/inputs!$F$85)^(inputs!$E$84-1)</f>
        <v>0.50127903239794858</v>
      </c>
      <c r="X370" s="21">
        <f>inputs!$E$80*(F370/inputs!$F$80)^(inputs!$E$84-1)</f>
        <v>1.8718647412328457</v>
      </c>
      <c r="Y370" s="21">
        <f>inputs!$E$82*(F370/inputs!$F$82)^(inputs!$E$84-1)</f>
        <v>0.86271287957455089</v>
      </c>
      <c r="Z370" s="63">
        <f t="shared" si="40"/>
        <v>916.3319235058392</v>
      </c>
      <c r="AA370" s="63">
        <f t="shared" si="41"/>
        <v>19.843405765858964</v>
      </c>
    </row>
    <row r="371" spans="1:27" x14ac:dyDescent="0.25">
      <c r="A371" s="103" t="s">
        <v>196</v>
      </c>
      <c r="B371" s="20" t="s">
        <v>197</v>
      </c>
      <c r="C371" s="20" t="s">
        <v>73</v>
      </c>
      <c r="D371" s="104" t="s">
        <v>198</v>
      </c>
      <c r="E371" s="15">
        <v>95</v>
      </c>
      <c r="F371" s="15">
        <v>454</v>
      </c>
      <c r="G371" s="20" t="s">
        <v>152</v>
      </c>
      <c r="H371" s="20">
        <v>0.77</v>
      </c>
      <c r="I371" s="48">
        <f>MAX('Min rate concentrations'!$G$3:$G$368)</f>
        <v>7.5</v>
      </c>
      <c r="J371" s="48">
        <f>MAX('Min rate concentrations'!Z:Z)</f>
        <v>3.5</v>
      </c>
      <c r="K371" s="59">
        <f t="shared" si="46"/>
        <v>2.1394050450657685</v>
      </c>
      <c r="L371" s="59">
        <f>((0.301*F371^0.751)/(1-H371))*J371/F371</f>
        <v>0.99838902103069194</v>
      </c>
      <c r="M371" s="59">
        <f>IF((((1.18*F371^0.874)/3.7-(0.301*F371^0.751)/(1-H371)*H371)*(MAX('Min rate concentrations'!$P$3:$P$368)))/F371&gt;0, (((1.18*F371^0.874)/3.7-(0.301*F371^0.751)/(1-H371)*H371)*(MAX('Min rate concentrations'!$P$3:$P$368)))/F371, 0)</f>
        <v>0</v>
      </c>
      <c r="N371" s="59">
        <f>IF((((1.18*F371^0.874)/3.7-(0.301*F371^0.751)/(1-H371)*H371)*(MAX('Min rate concentrations'!$Q$3:$Q$368)))/F371&gt;0, (((1.18*F371^0.874)/3.7-(0.301*F371^0.751)/(1-H371)*H371)*(MAX('Min rate concentrations'!$Q$3:$Q$368)))/F371, 0)</f>
        <v>0</v>
      </c>
      <c r="O371" s="59">
        <f>((MAX('Min rate concentrations'!$F$3:$F$368))*0.62*6.01*8*(10*F371^0.667)*0.079*0.1/F371)*inputs!$E$80/(10^(0.84+0.62*LOG10(inputs!$E$80)))</f>
        <v>3.1900873606517974</v>
      </c>
      <c r="P371" s="59">
        <f>((MAX('Min rate concentrations'!Y:Y))*0.62*6.01*8*(10*F371^0.667)*0.079*0.1/F371)*inputs!$E$80/(10^(0.84+0.62*LOG10(inputs!$E$80)))</f>
        <v>1.0633624535505992</v>
      </c>
      <c r="Q371" s="59">
        <f>(inputs!$C$7*11.2*(10*F371^0.667)*0.5/F371)*inputs!$E$80/(10^(0.84+0.62*LOG10(inputs!$E$80)))</f>
        <v>0.56191884228267341</v>
      </c>
      <c r="R371" s="59">
        <f>(60*284*((F371/1000)^0.77)*3*24*(MAX('Min rate concentrations'!$R$3:$R$368))/F371)*(inputs!$E$73*3.4/inputs!$E$75)</f>
        <v>5.6209880092526658E-3</v>
      </c>
      <c r="S371" s="59">
        <f>(IF(inputs!$C$6="aerial",((0.025*0.112*inputs!$C$7/3.3)*(3*60*284*((F371/1000)^0.77))*MAX(inputs!$H$14:$H$16))/F371,((0.0083*0.112*inputs!$C$7/1)*(3*60*284*((F371/1000)^0.77))*MAX(inputs!$H$14:$H$16))/F371))*(inputs!E$75*3.4/inputs!$E$73)</f>
        <v>3.1000094215027897E-2</v>
      </c>
      <c r="T371" s="63">
        <f>IF((((inputs!$P$12/(V371/MAX(K371:S371)))^(1/inputs!$O$12))-1)/inputs!$N$12&lt;0, 0, IF((((inputs!$P$12/(V371/MAX(K371:S371)))^(1/inputs!$O$12))-1)/inputs!$N$12&gt;inputs!$H$17, inputs!$H$17, (((inputs!$P$12/(V371/MAX(K371:S371)))^(1/inputs!$O$12))-1)/inputs!$N$12))</f>
        <v>184.11019341036817</v>
      </c>
      <c r="U371" s="63">
        <f>IF((((inputs!$P$12/(X371/MAX(K371:S371)))^(1/inputs!$O$12))-1)/inputs!$N$12&lt;0, 0, IF((((inputs!$P$12/(X371/MAX(K371:S371)))^(1/inputs!$O$12))-1)/inputs!$N$12&gt;inputs!$H$17, inputs!$H$17, (((inputs!$P$12/(X371/MAX(K371:S371)))^(1/inputs!$O$12))-1)/inputs!$N$12))</f>
        <v>0</v>
      </c>
      <c r="V371" s="21">
        <f>inputs!$E$78*(F371/inputs!$F$78)^(inputs!$E$84-1)</f>
        <v>1.0855327623785738E-2</v>
      </c>
      <c r="W371" s="21">
        <f>inputs!$E$85*(F371/inputs!$F$85)^(inputs!$E$84-1)</f>
        <v>0.50127903239794858</v>
      </c>
      <c r="X371" s="21">
        <f>inputs!$E$80*(F371/inputs!$F$80)^(inputs!$E$84-1)</f>
        <v>1.8718647412328457</v>
      </c>
      <c r="Y371" s="21">
        <f>inputs!$E$82*(F371/inputs!$F$82)^(inputs!$E$84-1)</f>
        <v>0.86271287957455089</v>
      </c>
      <c r="Z371" s="63">
        <f t="shared" si="40"/>
        <v>293.87296921944687</v>
      </c>
      <c r="AA371" s="63">
        <f t="shared" si="41"/>
        <v>6.3638954643514678</v>
      </c>
    </row>
    <row r="372" spans="1:27" x14ac:dyDescent="0.25">
      <c r="A372" s="103" t="s">
        <v>196</v>
      </c>
      <c r="B372" s="20" t="s">
        <v>197</v>
      </c>
      <c r="C372" s="20" t="s">
        <v>73</v>
      </c>
      <c r="D372" s="104" t="s">
        <v>198</v>
      </c>
      <c r="E372" s="15">
        <v>95</v>
      </c>
      <c r="F372" s="15">
        <v>454</v>
      </c>
      <c r="G372" s="20" t="s">
        <v>154</v>
      </c>
      <c r="H372" s="20">
        <v>9.2999999999999999E-2</v>
      </c>
      <c r="I372" s="48">
        <f>MAX('Min rate concentrations'!$G$3:$G$368)</f>
        <v>7.5</v>
      </c>
      <c r="J372" s="48">
        <f>MAX('Min rate concentrations'!Z:Z)</f>
        <v>3.5</v>
      </c>
      <c r="K372" s="59">
        <f t="shared" si="46"/>
        <v>0.54251726611370077</v>
      </c>
      <c r="L372" s="59"/>
      <c r="M372" s="59">
        <f>IF((((1.18*F372^0.874)/3.7-(0.301*F372^0.751)/(1-H372)*H372)*(MAX('Min rate concentrations'!$P$3:$P$368)))/F372&gt;0, (((1.18*F372^0.874)/3.7-(0.301*F372^0.751)/(1-H372)*H372)*(MAX('Min rate concentrations'!$P$3:$P$368)))/F372, 0)</f>
        <v>2.0437784741648143E-2</v>
      </c>
      <c r="N372" s="59">
        <f>IF((((1.18*F372^0.874)/3.7-(0.301*F372^0.751)/(1-H372)*H372)*(MAX('Min rate concentrations'!$Q$3:$Q$368)))/F372&gt;0, (((1.18*F372^0.874)/3.7-(0.301*F372^0.751)/(1-H372)*H372)*(MAX('Min rate concentrations'!$Q$3:$Q$368)))/F372, 0)</f>
        <v>7.7828182452810576E-2</v>
      </c>
      <c r="O372" s="59">
        <f>((MAX('Min rate concentrations'!$F$3:$F$368))*0.62*6.01*8*(10*F372^0.667)*0.079*0.1/F372)*inputs!$E$80/(10^(0.84+0.62*LOG10(inputs!$E$80)))</f>
        <v>3.1900873606517974</v>
      </c>
      <c r="P372" s="59">
        <f>((MAX('Min rate concentrations'!Y:Y))*0.62*6.01*8*(10*F372^0.667)*0.079*0.1/F372)*inputs!$E$80/(10^(0.84+0.62*LOG10(inputs!$E$80)))</f>
        <v>1.0633624535505992</v>
      </c>
      <c r="Q372" s="59">
        <f>(inputs!$C$7*11.2*(10*F372^0.667)*0.5/F372)*inputs!$E$80/(10^(0.84+0.62*LOG10(inputs!$E$80)))</f>
        <v>0.56191884228267341</v>
      </c>
      <c r="R372" s="59">
        <f>(60*284*((F372/1000)^0.77)*3*24*(MAX('Min rate concentrations'!$R$3:$R$368))/F372)*(inputs!$E$73*3.4/inputs!$E$75)</f>
        <v>5.6209880092526658E-3</v>
      </c>
      <c r="S372" s="59">
        <f>(IF(inputs!$C$6="aerial",((0.025*0.112*inputs!$C$7/3.3)*(3*60*284*((F372/1000)^0.77))*MAX(inputs!$H$14:$H$16))/F372,((0.0083*0.112*inputs!$C$7/1)*(3*60*284*((F372/1000)^0.77))*MAX(inputs!$H$14:$H$16))/F372))*(inputs!E$75*3.4/inputs!$E$73)</f>
        <v>3.1000094215027897E-2</v>
      </c>
      <c r="T372" s="63">
        <f>IF((((inputs!$P$12/(V372/MAX(K372:S372)))^(1/inputs!$O$12))-1)/inputs!$N$12&lt;0, 0, IF((((inputs!$P$12/(V372/MAX(K372:S372)))^(1/inputs!$O$12))-1)/inputs!$N$12&gt;inputs!$H$17, inputs!$H$17, (((inputs!$P$12/(V372/MAX(K372:S372)))^(1/inputs!$O$12))-1)/inputs!$N$12))</f>
        <v>184.11019341036817</v>
      </c>
      <c r="U372" s="63">
        <f>IF((((inputs!$P$12/(X372/MAX(K372:S372)))^(1/inputs!$O$12))-1)/inputs!$N$12&lt;0, 0, IF((((inputs!$P$12/(X372/MAX(K372:S372)))^(1/inputs!$O$12))-1)/inputs!$N$12&gt;inputs!$H$17, inputs!$H$17, (((inputs!$P$12/(X372/MAX(K372:S372)))^(1/inputs!$O$12))-1)/inputs!$N$12))</f>
        <v>0</v>
      </c>
      <c r="V372" s="21">
        <f>inputs!$E$78*(F372/inputs!$F$78)^(inputs!$E$84-1)</f>
        <v>1.0855327623785738E-2</v>
      </c>
      <c r="W372" s="21">
        <f>inputs!$E$85*(F372/inputs!$F$85)^(inputs!$E$84-1)</f>
        <v>0.50127903239794858</v>
      </c>
      <c r="X372" s="21">
        <f>inputs!$E$80*(F372/inputs!$F$80)^(inputs!$E$84-1)</f>
        <v>1.8718647412328457</v>
      </c>
      <c r="Y372" s="21">
        <f>inputs!$E$82*(F372/inputs!$F$82)^(inputs!$E$84-1)</f>
        <v>0.86271287957455089</v>
      </c>
      <c r="Z372" s="63">
        <f t="shared" si="40"/>
        <v>293.87296921944687</v>
      </c>
      <c r="AA372" s="63">
        <f t="shared" si="41"/>
        <v>6.3638954643514678</v>
      </c>
    </row>
    <row r="373" spans="1:27" x14ac:dyDescent="0.25">
      <c r="A373" s="103" t="s">
        <v>309</v>
      </c>
      <c r="B373" s="20" t="s">
        <v>310</v>
      </c>
      <c r="C373" s="20" t="s">
        <v>73</v>
      </c>
      <c r="D373" s="104" t="s">
        <v>198</v>
      </c>
      <c r="E373" s="15">
        <v>107</v>
      </c>
      <c r="F373" s="15">
        <v>40</v>
      </c>
      <c r="G373" s="20" t="s">
        <v>142</v>
      </c>
      <c r="H373" s="20">
        <v>0.69</v>
      </c>
      <c r="I373" s="48">
        <f>MAX('Min rate concentrations'!$H$3:$H$368)</f>
        <v>47</v>
      </c>
      <c r="J373" s="48">
        <f>MAX('Min rate concentrations'!AA:AA)</f>
        <v>32.5</v>
      </c>
      <c r="K373" s="59">
        <f t="shared" si="46"/>
        <v>18.213345323373996</v>
      </c>
      <c r="L373" s="59">
        <f>((0.301*F373^0.751)/(1-H373))*J373/F373</f>
        <v>12.594334532120318</v>
      </c>
      <c r="M373" s="59">
        <f>IF((((1.18*F373^0.874)/3.7-(0.301*F373^0.751)/(1-H373)*H373)*(MAX('Min rate concentrations'!$P$3:$P$368)))/F373&gt;0, (((1.18*F373^0.874)/3.7-(0.301*F373^0.751)/(1-H373)*H373)*(MAX('Min rate concentrations'!$P$3:$P$368)))/F373, 0)</f>
        <v>0</v>
      </c>
      <c r="N373" s="59">
        <f>IF((((1.18*F373^0.874)/3.7-(0.301*F373^0.751)/(1-H373)*H373)*(MAX('Min rate concentrations'!$Q$3:$Q$368)))/F373&gt;0, (((1.18*F373^0.874)/3.7-(0.301*F373^0.751)/(1-H373)*H373)*(MAX('Min rate concentrations'!$Q$3:$Q$368)))/F373, 0)</f>
        <v>0</v>
      </c>
      <c r="O373" s="59">
        <f>((MAX('Min rate concentrations'!$F$3:$F$368))*0.62*6.01*8*(10*F373^0.667)*0.079*0.1/F373)*inputs!$E$80/(10^(0.84+0.62*LOG10(inputs!$E$80)))</f>
        <v>7.1633504461813917</v>
      </c>
      <c r="P373" s="59">
        <f>((MAX('Min rate concentrations'!Y:Y))*0.62*6.01*8*(10*F373^0.667)*0.079*0.1/F373)*inputs!$E$80/(10^(0.84+0.62*LOG10(inputs!$E$80)))</f>
        <v>2.3877834820604642</v>
      </c>
      <c r="Q373" s="59">
        <f>(inputs!$C$7*11.2*(10*F373^0.667)*0.5/F373)*inputs!$E$80/(10^(0.84+0.62*LOG10(inputs!$E$80)))</f>
        <v>1.2617903945931084</v>
      </c>
      <c r="R373" s="59">
        <f>(60*284*((F373/1000)^0.77)*3*24*(MAX('Min rate concentrations'!$R$3:$R$368))/F373)*(inputs!$E$73*3.4/inputs!$E$75)</f>
        <v>9.8279221355870392E-3</v>
      </c>
      <c r="S373" s="59">
        <f>(IF(inputs!$C$6="aerial",((0.025*0.112*inputs!$C$7/3.3)*(3*60*284*((F373/1000)^0.77))*MAX(inputs!$H$14:$H$16))/F373,((0.0083*0.112*inputs!$C$7/1)*(3*60*284*((F373/1000)^0.77))*MAX(inputs!$H$14:$H$16))/F373))*(inputs!E$75*3.4/inputs!$E$73)</f>
        <v>5.4201594388681704E-2</v>
      </c>
      <c r="T373" s="63">
        <f>IF((((inputs!$P$12/(V373/MAX(K373:S373)))^(1/inputs!$O$12))-1)/inputs!$N$12&lt;0, 0, IF((((inputs!$P$12/(V373/MAX(K373:S373)))^(1/inputs!$O$12))-1)/inputs!$N$12&gt;inputs!$H$17, inputs!$H$17, (((inputs!$P$12/(V373/MAX(K373:S373)))^(1/inputs!$O$12))-1)/inputs!$N$12))</f>
        <v>271.0990655166284</v>
      </c>
      <c r="U373" s="63">
        <f>IF((((inputs!$P$12/(X373/MAX(K373:S373)))^(1/inputs!$O$12))-1)/inputs!$N$12&lt;0, 0, IF((((inputs!$P$12/(X373/MAX(K373:S373)))^(1/inputs!$O$12))-1)/inputs!$N$12&gt;inputs!$H$17, inputs!$H$17, (((inputs!$P$12/(X373/MAX(K373:S373)))^(1/inputs!$O$12))-1)/inputs!$N$12))</f>
        <v>8.3914621689002526</v>
      </c>
      <c r="V373" s="21">
        <f>inputs!$E$78*(F373/inputs!$F$78)^(inputs!$E$84-1)</f>
        <v>2.6668058808446828E-2</v>
      </c>
      <c r="W373" s="21">
        <f>inputs!$E$85*(F373/inputs!$F$85)^(inputs!$E$84-1)</f>
        <v>1.2314818288982921</v>
      </c>
      <c r="X373" s="21">
        <f>inputs!$E$80*(F373/inputs!$F$80)^(inputs!$E$84-1)</f>
        <v>4.5985713863923561</v>
      </c>
      <c r="Y373" s="21">
        <f>inputs!$E$82*(F373/inputs!$F$82)^(inputs!$E$84-1)</f>
        <v>2.1194088842502481</v>
      </c>
      <c r="Z373" s="63">
        <f t="shared" si="40"/>
        <v>682.96479523305652</v>
      </c>
      <c r="AA373" s="63">
        <f t="shared" si="41"/>
        <v>14.789779999976139</v>
      </c>
    </row>
    <row r="374" spans="1:27" x14ac:dyDescent="0.25">
      <c r="A374" s="103" t="s">
        <v>309</v>
      </c>
      <c r="B374" s="20" t="s">
        <v>310</v>
      </c>
      <c r="C374" s="20" t="s">
        <v>73</v>
      </c>
      <c r="D374" s="104" t="s">
        <v>198</v>
      </c>
      <c r="E374" s="15">
        <v>107</v>
      </c>
      <c r="F374" s="15">
        <v>40</v>
      </c>
      <c r="G374" s="20" t="s">
        <v>152</v>
      </c>
      <c r="H374" s="20">
        <v>0.77</v>
      </c>
      <c r="I374" s="48">
        <f>MAX('Min rate concentrations'!$G$3:$G$368)</f>
        <v>7.5</v>
      </c>
      <c r="J374" s="48">
        <f>MAX('Min rate concentrations'!Z:Z)</f>
        <v>3.5</v>
      </c>
      <c r="K374" s="59">
        <f t="shared" si="46"/>
        <v>3.9173013762113369</v>
      </c>
      <c r="L374" s="59">
        <f>((0.301*F374^0.751)/(1-H374))*J374/F374</f>
        <v>1.8280739755652906</v>
      </c>
      <c r="M374" s="59">
        <f>IF((((1.18*F374^0.874)/3.7-(0.301*F374^0.751)/(1-H374)*H374)*(MAX('Min rate concentrations'!$P$3:$P$368)))/F374&gt;0, (((1.18*F374^0.874)/3.7-(0.301*F374^0.751)/(1-H374)*H374)*(MAX('Min rate concentrations'!$P$3:$P$368)))/F374, 0)</f>
        <v>0</v>
      </c>
      <c r="N374" s="59">
        <f>IF((((1.18*F374^0.874)/3.7-(0.301*F374^0.751)/(1-H374)*H374)*(MAX('Min rate concentrations'!$Q$3:$Q$368)))/F374&gt;0, (((1.18*F374^0.874)/3.7-(0.301*F374^0.751)/(1-H374)*H374)*(MAX('Min rate concentrations'!$Q$3:$Q$368)))/F374, 0)</f>
        <v>0</v>
      </c>
      <c r="O374" s="59">
        <f>((MAX('Min rate concentrations'!$F$3:$F$368))*0.62*6.01*8*(10*F374^0.667)*0.079*0.1/F374)*inputs!$E$80/(10^(0.84+0.62*LOG10(inputs!$E$80)))</f>
        <v>7.1633504461813917</v>
      </c>
      <c r="P374" s="59">
        <f>((MAX('Min rate concentrations'!Y:Y))*0.62*6.01*8*(10*F374^0.667)*0.079*0.1/F374)*inputs!$E$80/(10^(0.84+0.62*LOG10(inputs!$E$80)))</f>
        <v>2.3877834820604642</v>
      </c>
      <c r="Q374" s="59">
        <f>(inputs!$C$7*11.2*(10*F374^0.667)*0.5/F374)*inputs!$E$80/(10^(0.84+0.62*LOG10(inputs!$E$80)))</f>
        <v>1.2617903945931084</v>
      </c>
      <c r="R374" s="59">
        <f>(60*284*((F374/1000)^0.77)*3*24*(MAX('Min rate concentrations'!$R$3:$R$368))/F374)*(inputs!$E$73*3.4/inputs!$E$75)</f>
        <v>9.8279221355870392E-3</v>
      </c>
      <c r="S374" s="59">
        <f>(IF(inputs!$C$6="aerial",((0.025*0.112*inputs!$C$7/3.3)*(3*60*284*((F374/1000)^0.77))*MAX(inputs!$H$14:$H$16))/F374,((0.0083*0.112*inputs!$C$7/1)*(3*60*284*((F374/1000)^0.77))*MAX(inputs!$H$14:$H$16))/F374))*(inputs!E$75*3.4/inputs!$E$73)</f>
        <v>5.4201594388681704E-2</v>
      </c>
      <c r="T374" s="63">
        <f>IF((((inputs!$P$12/(V374/MAX(K374:S374)))^(1/inputs!$O$12))-1)/inputs!$N$12&lt;0, 0, IF((((inputs!$P$12/(V374/MAX(K374:S374)))^(1/inputs!$O$12))-1)/inputs!$N$12&gt;inputs!$H$17, inputs!$H$17, (((inputs!$P$12/(V374/MAX(K374:S374)))^(1/inputs!$O$12))-1)/inputs!$N$12))</f>
        <v>176.47834458264853</v>
      </c>
      <c r="U374" s="63">
        <f>IF((((inputs!$P$12/(X374/MAX(K374:S374)))^(1/inputs!$O$12))-1)/inputs!$N$12&lt;0, 0, IF((((inputs!$P$12/(X374/MAX(K374:S374)))^(1/inputs!$O$12))-1)/inputs!$N$12&gt;inputs!$H$17, inputs!$H$17, (((inputs!$P$12/(X374/MAX(K374:S374)))^(1/inputs!$O$12))-1)/inputs!$N$12))</f>
        <v>0</v>
      </c>
      <c r="V374" s="21">
        <f>inputs!$E$78*(F374/inputs!$F$78)^(inputs!$E$84-1)</f>
        <v>2.6668058808446828E-2</v>
      </c>
      <c r="W374" s="21">
        <f>inputs!$E$85*(F374/inputs!$F$85)^(inputs!$E$84-1)</f>
        <v>1.2314818288982921</v>
      </c>
      <c r="X374" s="21">
        <f>inputs!$E$80*(F374/inputs!$F$80)^(inputs!$E$84-1)</f>
        <v>4.5985713863923561</v>
      </c>
      <c r="Y374" s="21">
        <f>inputs!$E$82*(F374/inputs!$F$82)^(inputs!$E$84-1)</f>
        <v>2.1194088842502481</v>
      </c>
      <c r="Z374" s="63">
        <f t="shared" si="40"/>
        <v>268.61161877715955</v>
      </c>
      <c r="AA374" s="63">
        <f t="shared" si="41"/>
        <v>5.8168543604008081</v>
      </c>
    </row>
    <row r="375" spans="1:27" x14ac:dyDescent="0.25">
      <c r="A375" s="103" t="s">
        <v>309</v>
      </c>
      <c r="B375" s="20" t="s">
        <v>310</v>
      </c>
      <c r="C375" s="20" t="s">
        <v>73</v>
      </c>
      <c r="D375" s="104" t="s">
        <v>198</v>
      </c>
      <c r="E375" s="15">
        <v>107</v>
      </c>
      <c r="F375" s="15">
        <v>40</v>
      </c>
      <c r="G375" s="20" t="s">
        <v>154</v>
      </c>
      <c r="H375" s="20">
        <v>9.2999999999999999E-2</v>
      </c>
      <c r="I375" s="48">
        <f>MAX('Min rate concentrations'!$G$3:$G$368)</f>
        <v>7.5</v>
      </c>
      <c r="J375" s="48">
        <f>MAX('Min rate concentrations'!Z:Z)</f>
        <v>3.5</v>
      </c>
      <c r="K375" s="59">
        <f t="shared" si="46"/>
        <v>0.99336198073716342</v>
      </c>
      <c r="L375" s="59"/>
      <c r="M375" s="59">
        <f>IF((((1.18*F375^0.874)/3.7-(0.301*F375^0.751)/(1-H375)*H375)*(MAX('Min rate concentrations'!$P$3:$P$368)))/F375&gt;0, (((1.18*F375^0.874)/3.7-(0.301*F375^0.751)/(1-H375)*H375)*(MAX('Min rate concentrations'!$P$3:$P$368)))/F375, 0)</f>
        <v>2.7294620879696908E-2</v>
      </c>
      <c r="N375" s="59">
        <f>IF((((1.18*F375^0.874)/3.7-(0.301*F375^0.751)/(1-H375)*H375)*(MAX('Min rate concentrations'!$Q$3:$Q$368)))/F375&gt;0, (((1.18*F375^0.874)/3.7-(0.301*F375^0.751)/(1-H375)*H375)*(MAX('Min rate concentrations'!$Q$3:$Q$368)))/F375, 0)</f>
        <v>0.1039393828958606</v>
      </c>
      <c r="O375" s="59">
        <f>((MAX('Min rate concentrations'!$F$3:$F$368))*0.62*6.01*8*(10*F375^0.667)*0.079*0.1/F375)*inputs!$E$80/(10^(0.84+0.62*LOG10(inputs!$E$80)))</f>
        <v>7.1633504461813917</v>
      </c>
      <c r="P375" s="59">
        <f>((MAX('Min rate concentrations'!Y:Y))*0.62*6.01*8*(10*F375^0.667)*0.079*0.1/F375)*inputs!$E$80/(10^(0.84+0.62*LOG10(inputs!$E$80)))</f>
        <v>2.3877834820604642</v>
      </c>
      <c r="Q375" s="59">
        <f>(inputs!$C$7*11.2*(10*F375^0.667)*0.5/F375)*inputs!$E$80/(10^(0.84+0.62*LOG10(inputs!$E$80)))</f>
        <v>1.2617903945931084</v>
      </c>
      <c r="R375" s="59">
        <f>(60*284*((F375/1000)^0.77)*3*24*(MAX('Min rate concentrations'!$R$3:$R$368))/F375)*(inputs!$E$73*3.4/inputs!$E$75)</f>
        <v>9.8279221355870392E-3</v>
      </c>
      <c r="S375" s="59">
        <f>(IF(inputs!$C$6="aerial",((0.025*0.112*inputs!$C$7/3.3)*(3*60*284*((F375/1000)^0.77))*MAX(inputs!$H$14:$H$16))/F375,((0.0083*0.112*inputs!$C$7/1)*(3*60*284*((F375/1000)^0.77))*MAX(inputs!$H$14:$H$16))/F375))*(inputs!E$75*3.4/inputs!$E$73)</f>
        <v>5.4201594388681704E-2</v>
      </c>
      <c r="T375" s="63">
        <f>IF((((inputs!$P$12/(V375/MAX(K375:S375)))^(1/inputs!$O$12))-1)/inputs!$N$12&lt;0, 0, IF((((inputs!$P$12/(V375/MAX(K375:S375)))^(1/inputs!$O$12))-1)/inputs!$N$12&gt;inputs!$H$17, inputs!$H$17, (((inputs!$P$12/(V375/MAX(K375:S375)))^(1/inputs!$O$12))-1)/inputs!$N$12))</f>
        <v>176.47834458264853</v>
      </c>
      <c r="U375" s="63">
        <f>IF((((inputs!$P$12/(X375/MAX(K375:S375)))^(1/inputs!$O$12))-1)/inputs!$N$12&lt;0, 0, IF((((inputs!$P$12/(X375/MAX(K375:S375)))^(1/inputs!$O$12))-1)/inputs!$N$12&gt;inputs!$H$17, inputs!$H$17, (((inputs!$P$12/(X375/MAX(K375:S375)))^(1/inputs!$O$12))-1)/inputs!$N$12))</f>
        <v>0</v>
      </c>
      <c r="V375" s="21">
        <f>inputs!$E$78*(F375/inputs!$F$78)^(inputs!$E$84-1)</f>
        <v>2.6668058808446828E-2</v>
      </c>
      <c r="W375" s="21">
        <f>inputs!$E$85*(F375/inputs!$F$85)^(inputs!$E$84-1)</f>
        <v>1.2314818288982921</v>
      </c>
      <c r="X375" s="21">
        <f>inputs!$E$80*(F375/inputs!$F$80)^(inputs!$E$84-1)</f>
        <v>4.5985713863923561</v>
      </c>
      <c r="Y375" s="21">
        <f>inputs!$E$82*(F375/inputs!$F$82)^(inputs!$E$84-1)</f>
        <v>2.1194088842502481</v>
      </c>
      <c r="Z375" s="63">
        <f t="shared" si="40"/>
        <v>268.61161877715955</v>
      </c>
      <c r="AA375" s="63">
        <f t="shared" si="41"/>
        <v>5.8168543604008081</v>
      </c>
    </row>
    <row r="376" spans="1:27" x14ac:dyDescent="0.25">
      <c r="A376" s="112" t="s">
        <v>294</v>
      </c>
      <c r="B376" s="113" t="s">
        <v>295</v>
      </c>
      <c r="C376" s="20" t="s">
        <v>73</v>
      </c>
      <c r="D376" s="48" t="s">
        <v>296</v>
      </c>
      <c r="E376" s="15">
        <v>2859</v>
      </c>
      <c r="F376" s="15">
        <v>31.5</v>
      </c>
      <c r="G376" s="20" t="s">
        <v>164</v>
      </c>
      <c r="H376" s="20">
        <v>0.78</v>
      </c>
      <c r="I376" s="48">
        <f>inputs!$C$65*(inputs!$C$62/1000)</f>
        <v>0.82000000000000006</v>
      </c>
      <c r="J376" s="48">
        <f>inputs!$C$65*(inputs!$C$61/1000)</f>
        <v>0.25</v>
      </c>
      <c r="K376" s="59">
        <f t="shared" si="46"/>
        <v>0.47520208693772004</v>
      </c>
      <c r="L376" s="59">
        <f t="shared" ref="L376:L384" si="47">((0.301*F376^0.751)/(1-H376))*J376/F376</f>
        <v>0.14487868504198781</v>
      </c>
      <c r="M376" s="59">
        <f>IF((((1.18*F376^0.874)/3.7-(0.301*F376^0.751)/(1-H376)*H376)*(MAX('Min rate concentrations'!$P$3:$P$368)))/F376&gt;0, (((1.18*F376^0.874)/3.7-(0.301*F376^0.751)/(1-H376)*H376)*(MAX('Min rate concentrations'!$P$3:$P$368)))/F376, 0)</f>
        <v>0</v>
      </c>
      <c r="N376" s="59">
        <f>IF((((1.18*F376^0.874)/3.7-(0.301*F376^0.751)/(1-H376)*H376)*(MAX('Min rate concentrations'!$Q$3:$Q$368)))/F376&gt;0, (((1.18*F376^0.874)/3.7-(0.301*F376^0.751)/(1-H376)*H376)*(MAX('Min rate concentrations'!$Q$3:$Q$368)))/F376, 0)</f>
        <v>0</v>
      </c>
      <c r="O376" s="59">
        <f>((MAX('Min rate concentrations'!$F$3:$F$368))*0.62*6.01*8*(10*F376^0.667)*0.079*0.1/F376)*inputs!$E$80/(10^(0.84+0.62*LOG10(inputs!$E$80)))</f>
        <v>7.7564814997583698</v>
      </c>
      <c r="P376" s="59">
        <f>((MAX('Min rate concentrations'!Y:Y))*0.62*6.01*8*(10*F376^0.667)*0.079*0.1/F376)*inputs!$E$80/(10^(0.84+0.62*LOG10(inputs!$E$80)))</f>
        <v>2.5854938332527895</v>
      </c>
      <c r="Q376" s="59">
        <f>(inputs!$C$7*11.2*(10*F376^0.667)*0.5/F376)*inputs!$E$80/(10^(0.84+0.62*LOG10(inputs!$E$80)))</f>
        <v>1.3662676321317626</v>
      </c>
      <c r="R376" s="59">
        <f>(60*284*((F376/1000)^0.77)*3*24*(MAX('Min rate concentrations'!$R$3:$R$368))/F376)*(inputs!$E$73*3.4/inputs!$E$75)</f>
        <v>1.0383029254135714E-2</v>
      </c>
      <c r="S376" s="59">
        <f>(IF(inputs!$C$6="aerial",((0.025*0.112*inputs!$C$7/3.3)*(3*60*284*((F376/1000)^0.77))*MAX(inputs!$H$14:$H$16))/F376,((0.0083*0.112*inputs!$C$7/1)*(3*60*284*((F376/1000)^0.77))*MAX(inputs!$H$14:$H$16))/F376))*(inputs!E$75*3.4/inputs!$E$73)</f>
        <v>5.7263044252320448E-2</v>
      </c>
      <c r="T376" s="63">
        <f>IF((((inputs!$P$12/(V376/MAX(K376:S376)))^(1/inputs!$O$12))-1)/inputs!$N$12&lt;0, 0, IF((((inputs!$P$12/(V376/MAX(K376:S376)))^(1/inputs!$O$12))-1)/inputs!$N$12&gt;inputs!$H$17, inputs!$H$17, (((inputs!$P$12/(V376/MAX(K376:S376)))^(1/inputs!$O$12))-1)/inputs!$N$12))</f>
        <v>175.74277849159481</v>
      </c>
      <c r="U376" s="63">
        <f>IF((((inputs!$P$12/(X376/MAX(K376:S376)))^(1/inputs!$O$12))-1)/inputs!$N$12&lt;0, 0, IF((((inputs!$P$12/(X376/MAX(K376:S376)))^(1/inputs!$O$12))-1)/inputs!$N$12&gt;inputs!$H$17, inputs!$H$17, (((inputs!$P$12/(X376/MAX(K376:S376)))^(1/inputs!$O$12))-1)/inputs!$N$12))</f>
        <v>0</v>
      </c>
      <c r="V376" s="21">
        <f>inputs!$E$78*(F376/inputs!$F$78)^(inputs!$E$84-1)</f>
        <v>2.9132563117350352E-2</v>
      </c>
      <c r="W376" s="21">
        <f>inputs!$E$85*(F376/inputs!$F$85)^(inputs!$E$84-1)</f>
        <v>1.3452880978680808</v>
      </c>
      <c r="X376" s="21">
        <f>inputs!$E$80*(F376/inputs!$F$80)^(inputs!$E$84-1)</f>
        <v>5.0235441629251119</v>
      </c>
      <c r="Y376" s="21">
        <f>inputs!$E$82*(F376/inputs!$F$82)^(inputs!$E$84-1)</f>
        <v>2.3152721214315282</v>
      </c>
      <c r="Z376" s="63">
        <f t="shared" si="40"/>
        <v>266.24782270320992</v>
      </c>
      <c r="AA376" s="63">
        <f t="shared" si="41"/>
        <v>5.7656657425649591</v>
      </c>
    </row>
    <row r="377" spans="1:27" x14ac:dyDescent="0.25">
      <c r="A377" s="112" t="s">
        <v>294</v>
      </c>
      <c r="B377" s="113" t="s">
        <v>295</v>
      </c>
      <c r="C377" s="20" t="s">
        <v>73</v>
      </c>
      <c r="D377" s="48" t="s">
        <v>296</v>
      </c>
      <c r="E377" s="15">
        <v>2859</v>
      </c>
      <c r="F377" s="15">
        <v>31.5</v>
      </c>
      <c r="G377" s="49" t="s">
        <v>186</v>
      </c>
      <c r="H377" s="49">
        <v>0.75</v>
      </c>
      <c r="I377" s="48">
        <f>inputs!$C$65*inputs!$C$64/1000</f>
        <v>2.13</v>
      </c>
      <c r="J377" s="48">
        <f>inputs!$C$65*inputs!$C$63/1000</f>
        <v>0.88</v>
      </c>
      <c r="K377" s="59">
        <f t="shared" si="46"/>
        <v>1.0862424289708075</v>
      </c>
      <c r="L377" s="59">
        <f t="shared" si="47"/>
        <v>0.44877621478606139</v>
      </c>
      <c r="M377" s="59">
        <f>IF((((1.18*F377^0.874)/3.7-(0.301*F377^0.751)/(1-H377)*H377)*(MAX('Min rate concentrations'!$P$3:$P$368)))/F377&gt;0, (((1.18*F377^0.874)/3.7-(0.301*F377^0.751)/(1-H377)*H377)*(MAX('Min rate concentrations'!$P$3:$P$368)))/F377, 0)</f>
        <v>0</v>
      </c>
      <c r="N377" s="59">
        <f>IF((((1.18*F377^0.874)/3.7-(0.301*F377^0.751)/(1-H377)*H377)*(MAX('Min rate concentrations'!$Q$3:$Q$368)))/F377&gt;0, (((1.18*F377^0.874)/3.7-(0.301*F377^0.751)/(1-H377)*H377)*(MAX('Min rate concentrations'!$Q$3:$Q$368)))/F377, 0)</f>
        <v>0</v>
      </c>
      <c r="O377" s="59">
        <f>((MAX('Min rate concentrations'!$F$3:$F$368))*0.62*6.01*8*(10*F377^0.667)*0.079*0.1/F377)*inputs!$E$80/(10^(0.84+0.62*LOG10(inputs!$E$80)))</f>
        <v>7.7564814997583698</v>
      </c>
      <c r="P377" s="59">
        <f>((MAX('Min rate concentrations'!Y:Y))*0.62*6.01*8*(10*F377^0.667)*0.079*0.1/F377)*inputs!$E$80/(10^(0.84+0.62*LOG10(inputs!$E$80)))</f>
        <v>2.5854938332527895</v>
      </c>
      <c r="Q377" s="59">
        <f>(inputs!$C$7*11.2*(10*F377^0.667)*0.5/F377)*inputs!$E$80/(10^(0.84+0.62*LOG10(inputs!$E$80)))</f>
        <v>1.3662676321317626</v>
      </c>
      <c r="R377" s="59">
        <f>(60*284*((F377/1000)^0.77)*3*24*(MAX('Min rate concentrations'!$R$3:$R$368))/F377)*(inputs!$E$73*3.4/inputs!$E$75)</f>
        <v>1.0383029254135714E-2</v>
      </c>
      <c r="S377" s="59">
        <f>(IF(inputs!$C$6="aerial",((0.025*0.112*inputs!$C$7/3.3)*(3*60*284*((F377/1000)^0.77))*MAX(inputs!$H$14:$H$16))/F377,((0.0083*0.112*inputs!$C$7/1)*(3*60*284*((F377/1000)^0.77))*MAX(inputs!$H$14:$H$16))/F377))*(inputs!E$75*3.4/inputs!$E$73)</f>
        <v>5.7263044252320448E-2</v>
      </c>
      <c r="T377" s="63">
        <f>IF((((inputs!$P$12/(V377/MAX(K377:S377)))^(1/inputs!$O$12))-1)/inputs!$N$12&lt;0, 0, IF((((inputs!$P$12/(V377/MAX(K377:S377)))^(1/inputs!$O$12))-1)/inputs!$N$12&gt;inputs!$H$17, inputs!$H$17, (((inputs!$P$12/(V377/MAX(K377:S377)))^(1/inputs!$O$12))-1)/inputs!$N$12))</f>
        <v>175.74277849159481</v>
      </c>
      <c r="U377" s="63">
        <f>IF((((inputs!$P$12/(X377/MAX(K377:S377)))^(1/inputs!$O$12))-1)/inputs!$N$12&lt;0, 0, IF((((inputs!$P$12/(X377/MAX(K377:S377)))^(1/inputs!$O$12))-1)/inputs!$N$12&gt;inputs!$H$17, inputs!$H$17, (((inputs!$P$12/(X377/MAX(K377:S377)))^(1/inputs!$O$12))-1)/inputs!$N$12))</f>
        <v>0</v>
      </c>
      <c r="V377" s="21">
        <f>inputs!$E$78*(F377/inputs!$F$78)^(inputs!$E$84-1)</f>
        <v>2.9132563117350352E-2</v>
      </c>
      <c r="W377" s="21">
        <f>inputs!$E$85*(F377/inputs!$F$85)^(inputs!$E$84-1)</f>
        <v>1.3452880978680808</v>
      </c>
      <c r="X377" s="21">
        <f>inputs!$E$80*(F377/inputs!$F$80)^(inputs!$E$84-1)</f>
        <v>5.0235441629251119</v>
      </c>
      <c r="Y377" s="21">
        <f>inputs!$E$82*(F377/inputs!$F$82)^(inputs!$E$84-1)</f>
        <v>2.3152721214315282</v>
      </c>
      <c r="Z377" s="63">
        <f t="shared" si="40"/>
        <v>266.24782270320992</v>
      </c>
      <c r="AA377" s="63">
        <f t="shared" si="41"/>
        <v>5.7656657425649591</v>
      </c>
    </row>
    <row r="378" spans="1:27" x14ac:dyDescent="0.25">
      <c r="A378" s="114" t="s">
        <v>325</v>
      </c>
      <c r="B378" s="48" t="s">
        <v>326</v>
      </c>
      <c r="C378" s="20" t="s">
        <v>73</v>
      </c>
      <c r="D378" s="48" t="s">
        <v>296</v>
      </c>
      <c r="E378" s="15">
        <v>82</v>
      </c>
      <c r="F378" s="15">
        <v>434</v>
      </c>
      <c r="G378" s="20" t="s">
        <v>164</v>
      </c>
      <c r="H378" s="20">
        <v>0.78</v>
      </c>
      <c r="I378" s="48">
        <f>inputs!$C$65*(inputs!$C$62/1000)</f>
        <v>0.82000000000000006</v>
      </c>
      <c r="J378" s="48">
        <f>inputs!$C$65*(inputs!$C$61/1000)</f>
        <v>0.25</v>
      </c>
      <c r="K378" s="59">
        <f t="shared" si="46"/>
        <v>0.24729920743851225</v>
      </c>
      <c r="L378" s="59">
        <f t="shared" si="47"/>
        <v>7.5396099828814706E-2</v>
      </c>
      <c r="M378" s="59">
        <f>IF((((1.18*F378^0.874)/3.7-(0.301*F378^0.751)/(1-H378)*H378)*(MAX('Min rate concentrations'!$P$3:$P$368)))/F378&gt;0, (((1.18*F378^0.874)/3.7-(0.301*F378^0.751)/(1-H378)*H378)*(MAX('Min rate concentrations'!$P$3:$P$368)))/F378, 0)</f>
        <v>0</v>
      </c>
      <c r="N378" s="59">
        <f>IF((((1.18*F378^0.874)/3.7-(0.301*F378^0.751)/(1-H378)*H378)*(MAX('Min rate concentrations'!$Q$3:$Q$368)))/F378&gt;0, (((1.18*F378^0.874)/3.7-(0.301*F378^0.751)/(1-H378)*H378)*(MAX('Min rate concentrations'!$Q$3:$Q$368)))/F378, 0)</f>
        <v>0</v>
      </c>
      <c r="O378" s="59">
        <f>((MAX('Min rate concentrations'!$F$3:$F$368))*0.62*6.01*8*(10*F378^0.667)*0.079*0.1/F378)*inputs!$E$80/(10^(0.84+0.62*LOG10(inputs!$E$80)))</f>
        <v>3.2383075729380129</v>
      </c>
      <c r="P378" s="59">
        <f>((MAX('Min rate concentrations'!Y:Y))*0.62*6.01*8*(10*F378^0.667)*0.079*0.1/F378)*inputs!$E$80/(10^(0.84+0.62*LOG10(inputs!$E$80)))</f>
        <v>1.0794358576460044</v>
      </c>
      <c r="Q378" s="59">
        <f>(inputs!$C$7*11.2*(10*F378^0.667)*0.5/F378)*inputs!$E$80/(10^(0.84+0.62*LOG10(inputs!$E$80)))</f>
        <v>0.57041260524249349</v>
      </c>
      <c r="R378" s="59">
        <f>(60*284*((F378/1000)^0.77)*3*24*(MAX('Min rate concentrations'!$R$3:$R$368))/F378)*(inputs!$E$73*3.4/inputs!$E$75)</f>
        <v>5.6795361378044291E-3</v>
      </c>
      <c r="S378" s="59">
        <f>(IF(inputs!$C$6="aerial",((0.025*0.112*inputs!$C$7/3.3)*(3*60*284*((F378/1000)^0.77))*MAX(inputs!$H$14:$H$16))/F378,((0.0083*0.112*inputs!$C$7/1)*(3*60*284*((F378/1000)^0.77))*MAX(inputs!$H$14:$H$16))/F378))*(inputs!E$75*3.4/inputs!$E$73)</f>
        <v>3.1322990741088894E-2</v>
      </c>
      <c r="T378" s="63">
        <f>IF((((inputs!$P$12/(V378/MAX(K378:S378)))^(1/inputs!$O$12))-1)/inputs!$N$12&lt;0, 0, IF((((inputs!$P$12/(V378/MAX(K378:S378)))^(1/inputs!$O$12))-1)/inputs!$N$12&gt;inputs!$H$17, inputs!$H$17, (((inputs!$P$12/(V378/MAX(K378:S378)))^(1/inputs!$O$12))-1)/inputs!$N$12))</f>
        <v>183.96609777813288</v>
      </c>
      <c r="U378" s="63">
        <f>IF((((inputs!$P$12/(X378/MAX(K378:S378)))^(1/inputs!$O$12))-1)/inputs!$N$12&lt;0, 0, IF((((inputs!$P$12/(X378/MAX(K378:S378)))^(1/inputs!$O$12))-1)/inputs!$N$12&gt;inputs!$H$17, inputs!$H$17, (((inputs!$P$12/(X378/MAX(K378:S378)))^(1/inputs!$O$12))-1)/inputs!$N$12))</f>
        <v>0</v>
      </c>
      <c r="V378" s="21">
        <f>inputs!$E$78*(F378/inputs!$F$78)^(inputs!$E$84-1)</f>
        <v>1.1037796961693947E-2</v>
      </c>
      <c r="W378" s="21">
        <f>inputs!$E$85*(F378/inputs!$F$85)^(inputs!$E$84-1)</f>
        <v>0.50970513028452913</v>
      </c>
      <c r="X378" s="21">
        <f>inputs!$E$80*(F378/inputs!$F$80)^(inputs!$E$84-1)</f>
        <v>1.9033292839738745</v>
      </c>
      <c r="Y378" s="21">
        <f>inputs!$E$82*(F378/inputs!$F$82)^(inputs!$E$84-1)</f>
        <v>0.87721439011357161</v>
      </c>
      <c r="Z378" s="63">
        <f t="shared" si="40"/>
        <v>293.38350616308463</v>
      </c>
      <c r="AA378" s="63">
        <f t="shared" si="41"/>
        <v>6.3532960147572286</v>
      </c>
    </row>
    <row r="379" spans="1:27" x14ac:dyDescent="0.25">
      <c r="A379" s="114" t="s">
        <v>325</v>
      </c>
      <c r="B379" s="48" t="s">
        <v>326</v>
      </c>
      <c r="C379" s="20" t="s">
        <v>73</v>
      </c>
      <c r="D379" s="48" t="s">
        <v>296</v>
      </c>
      <c r="E379" s="15">
        <v>82</v>
      </c>
      <c r="F379" s="15">
        <v>434</v>
      </c>
      <c r="G379" s="20" t="s">
        <v>186</v>
      </c>
      <c r="H379" s="49">
        <v>0.75</v>
      </c>
      <c r="I379" s="48">
        <f>inputs!$C$65*inputs!$C$64/1000</f>
        <v>2.13</v>
      </c>
      <c r="J379" s="48">
        <f>inputs!$C$65*inputs!$C$63/1000</f>
        <v>0.88</v>
      </c>
      <c r="K379" s="59">
        <f t="shared" si="46"/>
        <v>0.56528979807652091</v>
      </c>
      <c r="L379" s="59">
        <f t="shared" si="47"/>
        <v>0.23354695882973636</v>
      </c>
      <c r="M379" s="59">
        <f>IF((((1.18*F379^0.874)/3.7-(0.301*F379^0.751)/(1-H379)*H379)*(MAX('Min rate concentrations'!$P$3:$P$368)))/F379&gt;0, (((1.18*F379^0.874)/3.7-(0.301*F379^0.751)/(1-H379)*H379)*(MAX('Min rate concentrations'!$P$3:$P$368)))/F379, 0)</f>
        <v>0</v>
      </c>
      <c r="N379" s="59">
        <f>IF((((1.18*F379^0.874)/3.7-(0.301*F379^0.751)/(1-H379)*H379)*(MAX('Min rate concentrations'!$Q$3:$Q$368)))/F379&gt;0, (((1.18*F379^0.874)/3.7-(0.301*F379^0.751)/(1-H379)*H379)*(MAX('Min rate concentrations'!$Q$3:$Q$368)))/F379, 0)</f>
        <v>0</v>
      </c>
      <c r="O379" s="59">
        <f>((MAX('Min rate concentrations'!$F$3:$F$368))*0.62*6.01*8*(10*F379^0.667)*0.079*0.1/F379)*inputs!$E$80/(10^(0.84+0.62*LOG10(inputs!$E$80)))</f>
        <v>3.2383075729380129</v>
      </c>
      <c r="P379" s="59">
        <f>((MAX('Min rate concentrations'!Y:Y))*0.62*6.01*8*(10*F379^0.667)*0.079*0.1/F379)*inputs!$E$80/(10^(0.84+0.62*LOG10(inputs!$E$80)))</f>
        <v>1.0794358576460044</v>
      </c>
      <c r="Q379" s="59">
        <f>(inputs!$C$7*11.2*(10*F379^0.667)*0.5/F379)*inputs!$E$80/(10^(0.84+0.62*LOG10(inputs!$E$80)))</f>
        <v>0.57041260524249349</v>
      </c>
      <c r="R379" s="59">
        <f>(60*284*((F379/1000)^0.77)*3*24*(MAX('Min rate concentrations'!$R$3:$R$368))/F379)*(inputs!$E$73*3.4/inputs!$E$75)</f>
        <v>5.6795361378044291E-3</v>
      </c>
      <c r="S379" s="59">
        <f>(IF(inputs!$C$6="aerial",((0.025*0.112*inputs!$C$7/3.3)*(3*60*284*((F379/1000)^0.77))*MAX(inputs!$H$14:$H$16))/F379,((0.0083*0.112*inputs!$C$7/1)*(3*60*284*((F379/1000)^0.77))*MAX(inputs!$H$14:$H$16))/F379))*(inputs!E$75*3.4/inputs!$E$73)</f>
        <v>3.1322990741088894E-2</v>
      </c>
      <c r="T379" s="63">
        <f>IF((((inputs!$P$12/(V379/MAX(K379:S379)))^(1/inputs!$O$12))-1)/inputs!$N$12&lt;0, 0, IF((((inputs!$P$12/(V379/MAX(K379:S379)))^(1/inputs!$O$12))-1)/inputs!$N$12&gt;inputs!$H$17, inputs!$H$17, (((inputs!$P$12/(V379/MAX(K379:S379)))^(1/inputs!$O$12))-1)/inputs!$N$12))</f>
        <v>183.96609777813288</v>
      </c>
      <c r="U379" s="63">
        <f>IF((((inputs!$P$12/(X379/MAX(K379:S379)))^(1/inputs!$O$12))-1)/inputs!$N$12&lt;0, 0, IF((((inputs!$P$12/(X379/MAX(K379:S379)))^(1/inputs!$O$12))-1)/inputs!$N$12&gt;inputs!$H$17, inputs!$H$17, (((inputs!$P$12/(X379/MAX(K379:S379)))^(1/inputs!$O$12))-1)/inputs!$N$12))</f>
        <v>0</v>
      </c>
      <c r="V379" s="21">
        <f>inputs!$E$78*(F379/inputs!$F$78)^(inputs!$E$84-1)</f>
        <v>1.1037796961693947E-2</v>
      </c>
      <c r="W379" s="21">
        <f>inputs!$E$85*(F379/inputs!$F$85)^(inputs!$E$84-1)</f>
        <v>0.50970513028452913</v>
      </c>
      <c r="X379" s="21">
        <f>inputs!$E$80*(F379/inputs!$F$80)^(inputs!$E$84-1)</f>
        <v>1.9033292839738745</v>
      </c>
      <c r="Y379" s="21">
        <f>inputs!$E$82*(F379/inputs!$F$82)^(inputs!$E$84-1)</f>
        <v>0.87721439011357161</v>
      </c>
      <c r="Z379" s="63">
        <f t="shared" si="40"/>
        <v>293.38350616308463</v>
      </c>
      <c r="AA379" s="63">
        <f t="shared" si="41"/>
        <v>6.3532960147572286</v>
      </c>
    </row>
    <row r="380" spans="1:27" x14ac:dyDescent="0.25">
      <c r="A380" s="114" t="s">
        <v>327</v>
      </c>
      <c r="B380" s="48" t="s">
        <v>328</v>
      </c>
      <c r="C380" s="20" t="s">
        <v>73</v>
      </c>
      <c r="D380" s="48" t="s">
        <v>296</v>
      </c>
      <c r="E380" s="15">
        <v>114</v>
      </c>
      <c r="F380" s="15">
        <v>454</v>
      </c>
      <c r="G380" s="20" t="s">
        <v>186</v>
      </c>
      <c r="H380" s="49">
        <v>0.75</v>
      </c>
      <c r="I380" s="48">
        <f>inputs!$C$65*inputs!$C$64/1000</f>
        <v>2.13</v>
      </c>
      <c r="J380" s="48">
        <f>inputs!$C$65*inputs!$C$63/1000</f>
        <v>0.88</v>
      </c>
      <c r="K380" s="59">
        <f t="shared" si="46"/>
        <v>0.55898375017478386</v>
      </c>
      <c r="L380" s="59">
        <f t="shared" si="47"/>
        <v>0.23094164326469946</v>
      </c>
      <c r="M380" s="59">
        <f>IF((((1.18*F380^0.874)/3.7-(0.301*F380^0.751)/(1-H380)*H380)*(MAX('Min rate concentrations'!$P$3:$P$368)))/F380&gt;0, (((1.18*F380^0.874)/3.7-(0.301*F380^0.751)/(1-H380)*H380)*(MAX('Min rate concentrations'!$P$3:$P$368)))/F380, 0)</f>
        <v>0</v>
      </c>
      <c r="N380" s="59">
        <f>IF((((1.18*F380^0.874)/3.7-(0.301*F380^0.751)/(1-H380)*H380)*(MAX('Min rate concentrations'!$Q$3:$Q$368)))/F380&gt;0, (((1.18*F380^0.874)/3.7-(0.301*F380^0.751)/(1-H380)*H380)*(MAX('Min rate concentrations'!$Q$3:$Q$368)))/F380, 0)</f>
        <v>0</v>
      </c>
      <c r="O380" s="59">
        <f>((MAX('Min rate concentrations'!$F$3:$F$368))*0.62*6.01*8*(10*F380^0.667)*0.079*0.1/F380)*inputs!$E$80/(10^(0.84+0.62*LOG10(inputs!$E$80)))</f>
        <v>3.1900873606517974</v>
      </c>
      <c r="P380" s="59">
        <f>((MAX('Min rate concentrations'!Y:Y))*0.62*6.01*8*(10*F380^0.667)*0.079*0.1/F380)*inputs!$E$80/(10^(0.84+0.62*LOG10(inputs!$E$80)))</f>
        <v>1.0633624535505992</v>
      </c>
      <c r="Q380" s="59">
        <f>(inputs!$C$7*11.2*(10*F380^0.667)*0.5/F380)*inputs!$E$80/(10^(0.84+0.62*LOG10(inputs!$E$80)))</f>
        <v>0.56191884228267341</v>
      </c>
      <c r="R380" s="59">
        <f>(60*284*((F380/1000)^0.77)*3*24*(MAX('Min rate concentrations'!$R$3:$R$368))/F380)*(inputs!$E$73*3.4/inputs!$E$75)</f>
        <v>5.6209880092526658E-3</v>
      </c>
      <c r="S380" s="59">
        <f>(IF(inputs!$C$6="aerial",((0.025*0.112*inputs!$C$7/3.3)*(3*60*284*((F380/1000)^0.77))*MAX(inputs!$H$14:$H$16))/F380,((0.0083*0.112*inputs!$C$7/1)*(3*60*284*((F380/1000)^0.77))*MAX(inputs!$H$14:$H$16))/F380))*(inputs!E$75*3.4/inputs!$E$73)</f>
        <v>3.1000094215027897E-2</v>
      </c>
      <c r="T380" s="63">
        <f>IF((((inputs!$P$12/(V380/MAX(K380:S380)))^(1/inputs!$O$12))-1)/inputs!$N$12&lt;0, 0, IF((((inputs!$P$12/(V380/MAX(K380:S380)))^(1/inputs!$O$12))-1)/inputs!$N$12&gt;inputs!$H$17, inputs!$H$17, (((inputs!$P$12/(V380/MAX(K380:S380)))^(1/inputs!$O$12))-1)/inputs!$N$12))</f>
        <v>184.11019341036817</v>
      </c>
      <c r="U380" s="63">
        <f>IF((((inputs!$P$12/(X380/MAX(K380:S380)))^(1/inputs!$O$12))-1)/inputs!$N$12&lt;0, 0, IF((((inputs!$P$12/(X380/MAX(K380:S380)))^(1/inputs!$O$12))-1)/inputs!$N$12&gt;inputs!$H$17, inputs!$H$17, (((inputs!$P$12/(X380/MAX(K380:S380)))^(1/inputs!$O$12))-1)/inputs!$N$12))</f>
        <v>0</v>
      </c>
      <c r="V380" s="21">
        <f>inputs!$E$78*(F380/inputs!$F$78)^(inputs!$E$84-1)</f>
        <v>1.0855327623785738E-2</v>
      </c>
      <c r="W380" s="21">
        <f>inputs!$E$85*(F380/inputs!$F$85)^(inputs!$E$84-1)</f>
        <v>0.50127903239794858</v>
      </c>
      <c r="X380" s="21">
        <f>inputs!$E$80*(F380/inputs!$F$80)^(inputs!$E$84-1)</f>
        <v>1.8718647412328457</v>
      </c>
      <c r="Y380" s="21">
        <f>inputs!$E$82*(F380/inputs!$F$82)^(inputs!$E$84-1)</f>
        <v>0.86271287957455089</v>
      </c>
      <c r="Z380" s="63">
        <f t="shared" si="40"/>
        <v>293.87296921944687</v>
      </c>
      <c r="AA380" s="63">
        <f t="shared" si="41"/>
        <v>6.3638954643514678</v>
      </c>
    </row>
    <row r="381" spans="1:27" x14ac:dyDescent="0.25">
      <c r="A381" s="114" t="s">
        <v>307</v>
      </c>
      <c r="B381" s="48" t="s">
        <v>308</v>
      </c>
      <c r="C381" s="20" t="s">
        <v>73</v>
      </c>
      <c r="D381" s="48" t="s">
        <v>296</v>
      </c>
      <c r="E381" s="15">
        <v>88</v>
      </c>
      <c r="F381" s="15">
        <v>4309</v>
      </c>
      <c r="G381" s="20" t="s">
        <v>164</v>
      </c>
      <c r="H381" s="20">
        <v>0.78</v>
      </c>
      <c r="I381" s="48">
        <f>inputs!$C$65*(inputs!$C$62/1000)</f>
        <v>0.82000000000000006</v>
      </c>
      <c r="J381" s="48">
        <f>inputs!$C$65*(inputs!$C$61/1000)</f>
        <v>0.25</v>
      </c>
      <c r="K381" s="59">
        <f t="shared" si="46"/>
        <v>0.13963616737469128</v>
      </c>
      <c r="L381" s="59">
        <f t="shared" si="47"/>
        <v>4.257200224838148E-2</v>
      </c>
      <c r="M381" s="59">
        <f>IF((((1.18*F381^0.874)/3.7-(0.301*F381^0.751)/(1-H381)*H381)*(MAX('Min rate concentrations'!$P$3:$P$368)))/F381&gt;0, (((1.18*F381^0.874)/3.7-(0.301*F381^0.751)/(1-H381)*H381)*(MAX('Min rate concentrations'!$P$3:$P$368)))/F381, 0)</f>
        <v>0</v>
      </c>
      <c r="N381" s="59">
        <f>IF((((1.18*F381^0.874)/3.7-(0.301*F381^0.751)/(1-H381)*H381)*(MAX('Min rate concentrations'!$Q$3:$Q$368)))/F381&gt;0, (((1.18*F381^0.874)/3.7-(0.301*F381^0.751)/(1-H381)*H381)*(MAX('Min rate concentrations'!$Q$3:$Q$368)))/F381, 0)</f>
        <v>0</v>
      </c>
      <c r="O381" s="59">
        <f>((MAX('Min rate concentrations'!$F$3:$F$368))*0.62*6.01*8*(10*F381^0.667)*0.079*0.1/F381)*inputs!$E$80/(10^(0.84+0.62*LOG10(inputs!$E$80)))</f>
        <v>1.5078384124968331</v>
      </c>
      <c r="P381" s="59">
        <f>((MAX('Min rate concentrations'!Y:Y))*0.62*6.01*8*(10*F381^0.667)*0.079*0.1/F381)*inputs!$E$80/(10^(0.84+0.62*LOG10(inputs!$E$80)))</f>
        <v>0.50261280416561094</v>
      </c>
      <c r="Q381" s="59">
        <f>(inputs!$C$7*11.2*(10*F381^0.667)*0.5/F381)*inputs!$E$80/(10^(0.84+0.62*LOG10(inputs!$E$80)))</f>
        <v>0.26559862452370203</v>
      </c>
      <c r="R381" s="59">
        <f>(60*284*((F381/1000)^0.77)*3*24*(MAX('Min rate concentrations'!$R$3:$R$368))/F381)*(inputs!$E$73*3.4/inputs!$E$75)</f>
        <v>3.3498773884690736E-3</v>
      </c>
      <c r="S381" s="59">
        <f>(IF(inputs!$C$6="aerial",((0.025*0.112*inputs!$C$7/3.3)*(3*60*284*((F381/1000)^0.77))*MAX(inputs!$H$14:$H$16))/F381,((0.0083*0.112*inputs!$C$7/1)*(3*60*284*((F381/1000)^0.77))*MAX(inputs!$H$14:$H$16))/F381))*(inputs!E$75*3.4/inputs!$E$73)</f>
        <v>1.8474779608209792E-2</v>
      </c>
      <c r="T381" s="63">
        <f>IF((((inputs!$P$12/(V381/MAX(K381:S381)))^(1/inputs!$O$12))-1)/inputs!$N$12&lt;0, 0, IF((((inputs!$P$12/(V381/MAX(K381:S381)))^(1/inputs!$O$12))-1)/inputs!$N$12&gt;inputs!$H$17, inputs!$H$17, (((inputs!$P$12/(V381/MAX(K381:S381)))^(1/inputs!$O$12))-1)/inputs!$N$12))</f>
        <v>191.4334631090305</v>
      </c>
      <c r="U381" s="63">
        <f>IF((((inputs!$P$12/(X381/MAX(K381:S381)))^(1/inputs!$O$12))-1)/inputs!$N$12&lt;0, 0, IF((((inputs!$P$12/(X381/MAX(K381:S381)))^(1/inputs!$O$12))-1)/inputs!$N$12&gt;inputs!$H$17, inputs!$H$17, (((inputs!$P$12/(X381/MAX(K381:S381)))^(1/inputs!$O$12))-1)/inputs!$N$12))</f>
        <v>0</v>
      </c>
      <c r="V381" s="21">
        <f>inputs!$E$78*(F381/inputs!$F$78)^(inputs!$E$84-1)</f>
        <v>4.7210032362467241E-3</v>
      </c>
      <c r="W381" s="21">
        <f>inputs!$E$85*(F381/inputs!$F$85)^(inputs!$E$84-1)</f>
        <v>0.21800723259866231</v>
      </c>
      <c r="X381" s="21">
        <f>inputs!$E$80*(F381/inputs!$F$80)^(inputs!$E$84-1)</f>
        <v>0.81407764071652378</v>
      </c>
      <c r="Y381" s="21">
        <f>inputs!$E$82*(F381/inputs!$F$82)^(inputs!$E$84-1)</f>
        <v>0.37519552035434489</v>
      </c>
      <c r="Z381" s="63">
        <f t="shared" si="40"/>
        <v>319.38940454859539</v>
      </c>
      <c r="AA381" s="63">
        <f t="shared" si="41"/>
        <v>6.9164604977701334</v>
      </c>
    </row>
    <row r="382" spans="1:27" x14ac:dyDescent="0.25">
      <c r="A382" s="114" t="s">
        <v>307</v>
      </c>
      <c r="B382" s="48" t="s">
        <v>308</v>
      </c>
      <c r="C382" s="20" t="s">
        <v>73</v>
      </c>
      <c r="D382" s="48" t="s">
        <v>296</v>
      </c>
      <c r="E382" s="15">
        <v>88</v>
      </c>
      <c r="F382" s="15">
        <v>4309</v>
      </c>
      <c r="G382" s="20" t="s">
        <v>186</v>
      </c>
      <c r="H382" s="49">
        <v>0.75</v>
      </c>
      <c r="I382" s="48">
        <f>inputs!$C$65*inputs!$C$64/1000</f>
        <v>2.13</v>
      </c>
      <c r="J382" s="48">
        <f>inputs!$C$65*inputs!$C$63/1000</f>
        <v>0.88</v>
      </c>
      <c r="K382" s="59">
        <f t="shared" si="46"/>
        <v>0.31918784405746492</v>
      </c>
      <c r="L382" s="59">
        <f t="shared" si="47"/>
        <v>0.13187103416458648</v>
      </c>
      <c r="M382" s="59">
        <f>IF((((1.18*F382^0.874)/3.7-(0.301*F382^0.751)/(1-H382)*H382)*(MAX('Min rate concentrations'!$P$3:$P$368)))/F382&gt;0, (((1.18*F382^0.874)/3.7-(0.301*F382^0.751)/(1-H382)*H382)*(MAX('Min rate concentrations'!$P$3:$P$368)))/F382, 0)</f>
        <v>0</v>
      </c>
      <c r="N382" s="59">
        <f>IF((((1.18*F382^0.874)/3.7-(0.301*F382^0.751)/(1-H382)*H382)*(MAX('Min rate concentrations'!$Q$3:$Q$368)))/F382&gt;0, (((1.18*F382^0.874)/3.7-(0.301*F382^0.751)/(1-H382)*H382)*(MAX('Min rate concentrations'!$Q$3:$Q$368)))/F382, 0)</f>
        <v>0</v>
      </c>
      <c r="O382" s="59">
        <f>((MAX('Min rate concentrations'!$F$3:$F$368))*0.62*6.01*8*(10*F382^0.667)*0.079*0.1/F382)*inputs!$E$80/(10^(0.84+0.62*LOG10(inputs!$E$80)))</f>
        <v>1.5078384124968331</v>
      </c>
      <c r="P382" s="59">
        <f>((MAX('Min rate concentrations'!Y:Y))*0.62*6.01*8*(10*F382^0.667)*0.079*0.1/F382)*inputs!$E$80/(10^(0.84+0.62*LOG10(inputs!$E$80)))</f>
        <v>0.50261280416561094</v>
      </c>
      <c r="Q382" s="59">
        <f>(inputs!$C$7*11.2*(10*F382^0.667)*0.5/F382)*inputs!$E$80/(10^(0.84+0.62*LOG10(inputs!$E$80)))</f>
        <v>0.26559862452370203</v>
      </c>
      <c r="R382" s="59">
        <f>(60*284*((F382/1000)^0.77)*3*24*(MAX('Min rate concentrations'!$R$3:$R$368))/F382)*(inputs!$E$73*3.4/inputs!$E$75)</f>
        <v>3.3498773884690736E-3</v>
      </c>
      <c r="S382" s="59">
        <f>(IF(inputs!$C$6="aerial",((0.025*0.112*inputs!$C$7/3.3)*(3*60*284*((F382/1000)^0.77))*MAX(inputs!$H$14:$H$16))/F382,((0.0083*0.112*inputs!$C$7/1)*(3*60*284*((F382/1000)^0.77))*MAX(inputs!$H$14:$H$16))/F382))*(inputs!E$75*3.4/inputs!$E$73)</f>
        <v>1.8474779608209792E-2</v>
      </c>
      <c r="T382" s="63">
        <f>IF((((inputs!$P$12/(V382/MAX(K382:S382)))^(1/inputs!$O$12))-1)/inputs!$N$12&lt;0, 0, IF((((inputs!$P$12/(V382/MAX(K382:S382)))^(1/inputs!$O$12))-1)/inputs!$N$12&gt;inputs!$H$17, inputs!$H$17, (((inputs!$P$12/(V382/MAX(K382:S382)))^(1/inputs!$O$12))-1)/inputs!$N$12))</f>
        <v>191.4334631090305</v>
      </c>
      <c r="U382" s="63">
        <f>IF((((inputs!$P$12/(X382/MAX(K382:S382)))^(1/inputs!$O$12))-1)/inputs!$N$12&lt;0, 0, IF((((inputs!$P$12/(X382/MAX(K382:S382)))^(1/inputs!$O$12))-1)/inputs!$N$12&gt;inputs!$H$17, inputs!$H$17, (((inputs!$P$12/(X382/MAX(K382:S382)))^(1/inputs!$O$12))-1)/inputs!$N$12))</f>
        <v>0</v>
      </c>
      <c r="V382" s="21">
        <f>inputs!$E$78*(F382/inputs!$F$78)^(inputs!$E$84-1)</f>
        <v>4.7210032362467241E-3</v>
      </c>
      <c r="W382" s="21">
        <f>inputs!$E$85*(F382/inputs!$F$85)^(inputs!$E$84-1)</f>
        <v>0.21800723259866231</v>
      </c>
      <c r="X382" s="21">
        <f>inputs!$E$80*(F382/inputs!$F$80)^(inputs!$E$84-1)</f>
        <v>0.81407764071652378</v>
      </c>
      <c r="Y382" s="21">
        <f>inputs!$E$82*(F382/inputs!$F$82)^(inputs!$E$84-1)</f>
        <v>0.37519552035434489</v>
      </c>
      <c r="Z382" s="63">
        <f t="shared" si="40"/>
        <v>319.38940454859539</v>
      </c>
      <c r="AA382" s="63">
        <f t="shared" si="41"/>
        <v>6.9164604977701334</v>
      </c>
    </row>
    <row r="383" spans="1:27" x14ac:dyDescent="0.25">
      <c r="A383" s="103" t="s">
        <v>159</v>
      </c>
      <c r="B383" s="20" t="s">
        <v>160</v>
      </c>
      <c r="C383" s="20" t="s">
        <v>73</v>
      </c>
      <c r="D383" s="104" t="s">
        <v>157</v>
      </c>
      <c r="E383" s="15">
        <v>80</v>
      </c>
      <c r="F383" s="15">
        <v>270</v>
      </c>
      <c r="G383" s="20" t="s">
        <v>152</v>
      </c>
      <c r="H383" s="20">
        <v>0.77</v>
      </c>
      <c r="I383" s="48">
        <f>MAX('Min rate concentrations'!$G$3:$G$368)</f>
        <v>7.5</v>
      </c>
      <c r="J383" s="48">
        <f>MAX('Min rate concentrations'!Z:Z)</f>
        <v>3.5</v>
      </c>
      <c r="K383" s="59">
        <f t="shared" si="46"/>
        <v>2.434951670703831</v>
      </c>
      <c r="L383" s="59">
        <f t="shared" si="47"/>
        <v>1.1363107796617877</v>
      </c>
      <c r="M383" s="59">
        <f>IF((((1.18*F383^0.874)/3.7-(0.301*F383^0.751)/(1-H383)*H383)*(MAX('Min rate concentrations'!$P$3:$P$368)))/F383&gt;0, (((1.18*F383^0.874)/3.7-(0.301*F383^0.751)/(1-H383)*H383)*(MAX('Min rate concentrations'!$P$3:$P$368)))/F383, 0)</f>
        <v>0</v>
      </c>
      <c r="N383" s="59">
        <f>IF((((1.18*F383^0.874)/3.7-(0.301*F383^0.751)/(1-H383)*H383)*(MAX('Min rate concentrations'!$Q$3:$Q$368)))/F383&gt;0, (((1.18*F383^0.874)/3.7-(0.301*F383^0.751)/(1-H383)*H383)*(MAX('Min rate concentrations'!$Q$3:$Q$368)))/F383, 0)</f>
        <v>0</v>
      </c>
      <c r="O383" s="59">
        <f>((MAX('Min rate concentrations'!$F$3:$F$368))*0.62*6.01*8*(10*F383^0.667)*0.079*0.1/F383)*inputs!$E$80/(10^(0.84+0.62*LOG10(inputs!$E$80)))</f>
        <v>3.7927834035080275</v>
      </c>
      <c r="P383" s="59">
        <f>((MAX('Min rate concentrations'!Y:Y))*0.62*6.01*8*(10*F383^0.667)*0.079*0.1/F383)*inputs!$E$80/(10^(0.84+0.62*LOG10(inputs!$E$80)))</f>
        <v>1.2642611345026755</v>
      </c>
      <c r="Q383" s="59">
        <f>(inputs!$C$7*11.2*(10*F383^0.667)*0.5/F383)*inputs!$E$80/(10^(0.84+0.62*LOG10(inputs!$E$80)))</f>
        <v>0.66808090756884941</v>
      </c>
      <c r="R383" s="59">
        <f>(60*284*((F383/1000)^0.77)*3*24*(MAX('Min rate concentrations'!$R$3:$R$368))/F383)*(inputs!$E$73*3.4/inputs!$E$75)</f>
        <v>6.3346385480028498E-3</v>
      </c>
      <c r="S383" s="59">
        <f>(IF(inputs!$C$6="aerial",((0.025*0.112*inputs!$C$7/3.3)*(3*60*284*((F383/1000)^0.77))*MAX(inputs!$H$14:$H$16))/F383,((0.0083*0.112*inputs!$C$7/1)*(3*60*284*((F383/1000)^0.77))*MAX(inputs!$H$14:$H$16))/F383))*(inputs!E$75*3.4/inputs!$E$73)</f>
        <v>3.4935920781717637E-2</v>
      </c>
      <c r="T383" s="63">
        <f>IF((((inputs!$P$12/(V383/MAX(K383:S383)))^(1/inputs!$O$12))-1)/inputs!$N$12&lt;0, 0, IF((((inputs!$P$12/(V383/MAX(K383:S383)))^(1/inputs!$O$12))-1)/inputs!$N$12&gt;inputs!$H$17, inputs!$H$17, (((inputs!$P$12/(V383/MAX(K383:S383)))^(1/inputs!$O$12))-1)/inputs!$N$12))</f>
        <v>182.4539946808309</v>
      </c>
      <c r="U383" s="63">
        <f>IF((((inputs!$P$12/(X383/MAX(K383:S383)))^(1/inputs!$O$12))-1)/inputs!$N$12&lt;0, 0, IF((((inputs!$P$12/(X383/MAX(K383:S383)))^(1/inputs!$O$12))-1)/inputs!$N$12&gt;inputs!$H$17, inputs!$H$17, (((inputs!$P$12/(X383/MAX(K383:S383)))^(1/inputs!$O$12))-1)/inputs!$N$12))</f>
        <v>0</v>
      </c>
      <c r="V383" s="21">
        <f>inputs!$E$78*(F383/inputs!$F$78)^(inputs!$E$84-1)</f>
        <v>1.3156761686377191E-2</v>
      </c>
      <c r="W383" s="21">
        <f>inputs!$E$85*(F383/inputs!$F$85)^(inputs!$E$84-1)</f>
        <v>0.60755501779480292</v>
      </c>
      <c r="X383" s="21">
        <f>inputs!$E$80*(F383/inputs!$F$80)^(inputs!$E$84-1)</f>
        <v>2.2687181044236309</v>
      </c>
      <c r="Y383" s="21">
        <f>inputs!$E$82*(F383/inputs!$F$82)^(inputs!$E$84-1)</f>
        <v>1.0456163234962925</v>
      </c>
      <c r="Z383" s="63">
        <f t="shared" si="40"/>
        <v>288.27636267328313</v>
      </c>
      <c r="AA383" s="63">
        <f t="shared" si="41"/>
        <v>6.2426994962109115</v>
      </c>
    </row>
    <row r="384" spans="1:27" x14ac:dyDescent="0.25">
      <c r="A384" s="103" t="s">
        <v>159</v>
      </c>
      <c r="B384" s="20" t="s">
        <v>160</v>
      </c>
      <c r="C384" s="20" t="s">
        <v>73</v>
      </c>
      <c r="D384" s="104" t="s">
        <v>157</v>
      </c>
      <c r="E384" s="15">
        <v>80</v>
      </c>
      <c r="F384" s="15">
        <v>270</v>
      </c>
      <c r="G384" s="20" t="s">
        <v>161</v>
      </c>
      <c r="H384" s="20">
        <v>0.85</v>
      </c>
      <c r="I384" s="48">
        <f>MAX('Min rate concentrations'!$F$3:$F$368)</f>
        <v>67.5</v>
      </c>
      <c r="J384" s="48">
        <f>MAX('Min rate concentrations'!Y:Y)</f>
        <v>22.5</v>
      </c>
      <c r="K384" s="59">
        <f t="shared" si="46"/>
        <v>33.602333055712855</v>
      </c>
      <c r="L384" s="59">
        <f t="shared" si="47"/>
        <v>11.200777685237618</v>
      </c>
      <c r="M384" s="59">
        <f>IF((((1.18*F384^0.874)/3.7-(0.301*F384^0.751)/(1-H384)*H384)*(MAX('Min rate concentrations'!$P$3:$P$368)))/F384&gt;0, (((1.18*F384^0.874)/3.7-(0.301*F384^0.751)/(1-H384)*H384)*(MAX('Min rate concentrations'!$P$3:$P$368)))/F384, 0)</f>
        <v>0</v>
      </c>
      <c r="N384" s="59">
        <f>IF((((1.18*F384^0.874)/3.7-(0.301*F384^0.751)/(1-H384)*H384)*(MAX('Min rate concentrations'!$Q$3:$Q$368)))/F384&gt;0, (((1.18*F384^0.874)/3.7-(0.301*F384^0.751)/(1-H384)*H384)*(MAX('Min rate concentrations'!$Q$3:$Q$368)))/F384, 0)</f>
        <v>0</v>
      </c>
      <c r="O384" s="59">
        <f>((MAX('Min rate concentrations'!$F$3:$F$368))*0.62*6.01*8*(10*F384^0.667)*0.079*0.1/F384)*inputs!$E$80/(10^(0.84+0.62*LOG10(inputs!$E$80)))</f>
        <v>3.7927834035080275</v>
      </c>
      <c r="P384" s="59">
        <f>((MAX('Min rate concentrations'!Y:Y))*0.62*6.01*8*(10*F384^0.667)*0.079*0.1/F384)*inputs!$E$80/(10^(0.84+0.62*LOG10(inputs!$E$80)))</f>
        <v>1.2642611345026755</v>
      </c>
      <c r="Q384" s="59">
        <f>(inputs!$C$7*11.2*(10*F384^0.667)*0.5/F384)*inputs!$E$80/(10^(0.84+0.62*LOG10(inputs!$E$80)))</f>
        <v>0.66808090756884941</v>
      </c>
      <c r="R384" s="59">
        <f>(60*284*((F384/1000)^0.77)*3*24*(MAX('Min rate concentrations'!$R$3:$R$368))/F384)*(inputs!$E$73*3.4/inputs!$E$75)</f>
        <v>6.3346385480028498E-3</v>
      </c>
      <c r="S384" s="59">
        <f>(IF(inputs!$C$6="aerial",((0.025*0.112*inputs!$C$7/3.3)*(3*60*284*((F384/1000)^0.77))*MAX(inputs!$H$14:$H$16))/F384,((0.0083*0.112*inputs!$C$7/1)*(3*60*284*((F384/1000)^0.77))*MAX(inputs!$H$14:$H$16))/F384))*(inputs!E$75*3.4/inputs!$E$73)</f>
        <v>3.4935920781717637E-2</v>
      </c>
      <c r="T384" s="63">
        <f>IF((((inputs!$P$12/(V384/MAX(K384:S384)))^(1/inputs!$O$12))-1)/inputs!$N$12&lt;0, 0, IF((((inputs!$P$12/(V384/MAX(K384:S384)))^(1/inputs!$O$12))-1)/inputs!$N$12&gt;inputs!$H$17, inputs!$H$17, (((inputs!$P$12/(V384/MAX(K384:S384)))^(1/inputs!$O$12))-1)/inputs!$N$12))</f>
        <v>483.79670425455447</v>
      </c>
      <c r="U384" s="63">
        <f>IF((((inputs!$P$12/(X384/MAX(K384:S384)))^(1/inputs!$O$12))-1)/inputs!$N$12&lt;0, 0, IF((((inputs!$P$12/(X384/MAX(K384:S384)))^(1/inputs!$O$12))-1)/inputs!$N$12&gt;inputs!$H$17, inputs!$H$17, (((inputs!$P$12/(X384/MAX(K384:S384)))^(1/inputs!$O$12))-1)/inputs!$N$12))</f>
        <v>34.576013386624851</v>
      </c>
      <c r="V384" s="21">
        <f>inputs!$E$78*(F384/inputs!$F$78)^(inputs!$E$84-1)</f>
        <v>1.3156761686377191E-2</v>
      </c>
      <c r="W384" s="21">
        <f>inputs!$E$85*(F384/inputs!$F$85)^(inputs!$E$84-1)</f>
        <v>0.60755501779480292</v>
      </c>
      <c r="X384" s="21">
        <f>inputs!$E$80*(F384/inputs!$F$80)^(inputs!$E$84-1)</f>
        <v>2.2687181044236309</v>
      </c>
      <c r="Y384" s="21">
        <f>inputs!$E$82*(F384/inputs!$F$82)^(inputs!$E$84-1)</f>
        <v>1.0456163234962925</v>
      </c>
      <c r="Z384" s="63">
        <f t="shared" si="40"/>
        <v>2553.9972416240898</v>
      </c>
      <c r="AA384" s="63">
        <f t="shared" si="41"/>
        <v>55.307473515199881</v>
      </c>
    </row>
    <row r="385" spans="1:27" x14ac:dyDescent="0.25">
      <c r="A385" s="103" t="s">
        <v>159</v>
      </c>
      <c r="B385" s="20" t="s">
        <v>160</v>
      </c>
      <c r="C385" s="20" t="s">
        <v>73</v>
      </c>
      <c r="D385" s="104" t="s">
        <v>157</v>
      </c>
      <c r="E385" s="15">
        <v>80</v>
      </c>
      <c r="F385" s="15">
        <v>270</v>
      </c>
      <c r="G385" s="20" t="s">
        <v>154</v>
      </c>
      <c r="H385" s="20">
        <v>9.2999999999999999E-2</v>
      </c>
      <c r="I385" s="48">
        <f>MAX('Min rate concentrations'!$G$3:$G$368)</f>
        <v>7.5</v>
      </c>
      <c r="J385" s="48">
        <f>MAX('Min rate concentrations'!Z:Z)</f>
        <v>3.5</v>
      </c>
      <c r="K385" s="59">
        <f t="shared" si="46"/>
        <v>0.61746293744419078</v>
      </c>
      <c r="L385" s="59"/>
      <c r="M385" s="59">
        <f>IF((((1.18*F385^0.874)/3.7-(0.301*F385^0.751)/(1-H385)*H385)*(MAX('Min rate concentrations'!$P$3:$P$368)))/F385&gt;0, (((1.18*F385^0.874)/3.7-(0.301*F385^0.751)/(1-H385)*H385)*(MAX('Min rate concentrations'!$P$3:$P$368)))/F385, 0)</f>
        <v>2.1752004169776802E-2</v>
      </c>
      <c r="N385" s="59">
        <f>IF((((1.18*F385^0.874)/3.7-(0.301*F385^0.751)/(1-H385)*H385)*(MAX('Min rate concentrations'!$Q$3:$Q$368)))/F385&gt;0, (((1.18*F385^0.874)/3.7-(0.301*F385^0.751)/(1-H385)*H385)*(MAX('Min rate concentrations'!$Q$3:$Q$368)))/F385, 0)</f>
        <v>8.2832800650348995E-2</v>
      </c>
      <c r="O385" s="59">
        <f>((MAX('Min rate concentrations'!$F$3:$F$368))*0.62*6.01*8*(10*F385^0.667)*0.079*0.1/F385)*inputs!$E$80/(10^(0.84+0.62*LOG10(inputs!$E$80)))</f>
        <v>3.7927834035080275</v>
      </c>
      <c r="P385" s="59">
        <f>((MAX('Min rate concentrations'!Y:Y))*0.62*6.01*8*(10*F385^0.667)*0.079*0.1/F385)*inputs!$E$80/(10^(0.84+0.62*LOG10(inputs!$E$80)))</f>
        <v>1.2642611345026755</v>
      </c>
      <c r="Q385" s="59">
        <f>(inputs!$C$7*11.2*(10*F385^0.667)*0.5/F385)*inputs!$E$80/(10^(0.84+0.62*LOG10(inputs!$E$80)))</f>
        <v>0.66808090756884941</v>
      </c>
      <c r="R385" s="59">
        <f>(60*284*((F385/1000)^0.77)*3*24*(MAX('Min rate concentrations'!$R$3:$R$368))/F385)*(inputs!$E$73*3.4/inputs!$E$75)</f>
        <v>6.3346385480028498E-3</v>
      </c>
      <c r="S385" s="59">
        <f>(IF(inputs!$C$6="aerial",((0.025*0.112*inputs!$C$7/3.3)*(3*60*284*((F385/1000)^0.77))*MAX(inputs!$H$14:$H$16))/F385,((0.0083*0.112*inputs!$C$7/1)*(3*60*284*((F385/1000)^0.77))*MAX(inputs!$H$14:$H$16))/F385))*(inputs!E$75*3.4/inputs!$E$73)</f>
        <v>3.4935920781717637E-2</v>
      </c>
      <c r="T385" s="63">
        <f>IF((((inputs!$P$12/(V385/MAX(K385:S385)))^(1/inputs!$O$12))-1)/inputs!$N$12&lt;0, 0, IF((((inputs!$P$12/(V385/MAX(K385:S385)))^(1/inputs!$O$12))-1)/inputs!$N$12&gt;inputs!$H$17, inputs!$H$17, (((inputs!$P$12/(V385/MAX(K385:S385)))^(1/inputs!$O$12))-1)/inputs!$N$12))</f>
        <v>182.4539946808309</v>
      </c>
      <c r="U385" s="63">
        <f>IF((((inputs!$P$12/(X385/MAX(K385:S385)))^(1/inputs!$O$12))-1)/inputs!$N$12&lt;0, 0, IF((((inputs!$P$12/(X385/MAX(K385:S385)))^(1/inputs!$O$12))-1)/inputs!$N$12&gt;inputs!$H$17, inputs!$H$17, (((inputs!$P$12/(X385/MAX(K385:S385)))^(1/inputs!$O$12))-1)/inputs!$N$12))</f>
        <v>0</v>
      </c>
      <c r="V385" s="21">
        <f>inputs!$E$78*(F385/inputs!$F$78)^(inputs!$E$84-1)</f>
        <v>1.3156761686377191E-2</v>
      </c>
      <c r="W385" s="21">
        <f>inputs!$E$85*(F385/inputs!$F$85)^(inputs!$E$84-1)</f>
        <v>0.60755501779480292</v>
      </c>
      <c r="X385" s="21">
        <f>inputs!$E$80*(F385/inputs!$F$80)^(inputs!$E$84-1)</f>
        <v>2.2687181044236309</v>
      </c>
      <c r="Y385" s="21">
        <f>inputs!$E$82*(F385/inputs!$F$82)^(inputs!$E$84-1)</f>
        <v>1.0456163234962925</v>
      </c>
      <c r="Z385" s="63">
        <f t="shared" si="40"/>
        <v>288.27636267328313</v>
      </c>
      <c r="AA385" s="63">
        <f t="shared" si="41"/>
        <v>6.2426994962109115</v>
      </c>
    </row>
    <row r="386" spans="1:27" x14ac:dyDescent="0.25">
      <c r="A386" s="103" t="s">
        <v>155</v>
      </c>
      <c r="B386" s="20" t="s">
        <v>156</v>
      </c>
      <c r="C386" s="20" t="s">
        <v>73</v>
      </c>
      <c r="D386" s="104" t="s">
        <v>157</v>
      </c>
      <c r="E386" s="15">
        <v>10021</v>
      </c>
      <c r="F386" s="15">
        <v>293</v>
      </c>
      <c r="G386" s="20" t="s">
        <v>152</v>
      </c>
      <c r="H386" s="20">
        <v>0.77</v>
      </c>
      <c r="I386" s="48">
        <f>MAX('Min rate concentrations'!$G$3:$G$368)</f>
        <v>7.5</v>
      </c>
      <c r="J386" s="48">
        <f>MAX('Min rate concentrations'!Z:Z)</f>
        <v>3.5</v>
      </c>
      <c r="K386" s="59">
        <f t="shared" si="46"/>
        <v>2.3858870805621608</v>
      </c>
      <c r="L386" s="59">
        <f>((0.301*F386^0.751)/(1-H386))*J386/F386</f>
        <v>1.1134139709290083</v>
      </c>
      <c r="M386" s="59">
        <f>IF((((1.18*F386^0.874)/3.7-(0.301*F386^0.751)/(1-H386)*H386)*(MAX('Min rate concentrations'!$P$3:$P$368)))/F386&gt;0, (((1.18*F386^0.874)/3.7-(0.301*F386^0.751)/(1-H386)*H386)*(MAX('Min rate concentrations'!$P$3:$P$368)))/F386, 0)</f>
        <v>0</v>
      </c>
      <c r="N386" s="59">
        <f>IF((((1.18*F386^0.874)/3.7-(0.301*F386^0.751)/(1-H386)*H386)*(MAX('Min rate concentrations'!$Q$3:$Q$368)))/F386&gt;0, (((1.18*F386^0.874)/3.7-(0.301*F386^0.751)/(1-H386)*H386)*(MAX('Min rate concentrations'!$Q$3:$Q$368)))/F386, 0)</f>
        <v>0</v>
      </c>
      <c r="O386" s="59">
        <f>((MAX('Min rate concentrations'!$F$3:$F$368))*0.62*6.01*8*(10*F386^0.667)*0.079*0.1/F386)*inputs!$E$80/(10^(0.84+0.62*LOG10(inputs!$E$80)))</f>
        <v>3.690925318180863</v>
      </c>
      <c r="P386" s="59">
        <f>((MAX('Min rate concentrations'!Y:Y))*0.62*6.01*8*(10*F386^0.667)*0.079*0.1/F386)*inputs!$E$80/(10^(0.84+0.62*LOG10(inputs!$E$80)))</f>
        <v>1.2303084393936208</v>
      </c>
      <c r="Q386" s="59">
        <f>(inputs!$C$7*11.2*(10*F386^0.667)*0.5/F386)*inputs!$E$80/(10^(0.84+0.62*LOG10(inputs!$E$80)))</f>
        <v>0.65013908626008243</v>
      </c>
      <c r="R386" s="59">
        <f>(60*284*((F386/1000)^0.77)*3*24*(MAX('Min rate concentrations'!$R$3:$R$368))/F386)*(inputs!$E$73*3.4/inputs!$E$75)</f>
        <v>6.2166433471617707E-3</v>
      </c>
      <c r="S386" s="59">
        <f>(IF(inputs!$C$6="aerial",((0.025*0.112*inputs!$C$7/3.3)*(3*60*284*((F386/1000)^0.77))*MAX(inputs!$H$14:$H$16))/F386,((0.0083*0.112*inputs!$C$7/1)*(3*60*284*((F386/1000)^0.77))*MAX(inputs!$H$14:$H$16))/F386))*(inputs!E$75*3.4/inputs!$E$73)</f>
        <v>3.4285169999653448E-2</v>
      </c>
      <c r="T386" s="63">
        <f>IF((((inputs!$P$12/(V386/MAX(K386:S386)))^(1/inputs!$O$12))-1)/inputs!$N$12&lt;0, 0, IF((((inputs!$P$12/(V386/MAX(K386:S386)))^(1/inputs!$O$12))-1)/inputs!$N$12&gt;inputs!$H$17, inputs!$H$17, (((inputs!$P$12/(V386/MAX(K386:S386)))^(1/inputs!$O$12))-1)/inputs!$N$12))</f>
        <v>182.71367525694734</v>
      </c>
      <c r="U386" s="63">
        <f>IF((((inputs!$P$12/(X386/MAX(K386:S386)))^(1/inputs!$O$12))-1)/inputs!$N$12&lt;0, 0, IF((((inputs!$P$12/(X386/MAX(K386:S386)))^(1/inputs!$O$12))-1)/inputs!$N$12&gt;inputs!$H$17, inputs!$H$17, (((inputs!$P$12/(X386/MAX(K386:S386)))^(1/inputs!$O$12))-1)/inputs!$N$12))</f>
        <v>0</v>
      </c>
      <c r="V386" s="21">
        <f>inputs!$E$78*(F386/inputs!$F$78)^(inputs!$E$84-1)</f>
        <v>1.2764757875167079E-2</v>
      </c>
      <c r="W386" s="21">
        <f>inputs!$E$85*(F386/inputs!$F$85)^(inputs!$E$84-1)</f>
        <v>0.58945300392751587</v>
      </c>
      <c r="X386" s="21">
        <f>inputs!$E$80*(F386/inputs!$F$80)^(inputs!$E$84-1)</f>
        <v>2.2011219766913568</v>
      </c>
      <c r="Y386" s="21">
        <f>inputs!$E$82*(F386/inputs!$F$82)^(inputs!$E$84-1)</f>
        <v>1.0144623363948573</v>
      </c>
      <c r="Z386" s="63">
        <f t="shared" ref="Z386:Z451" si="48">MAX(K386:S386)/V386</f>
        <v>289.14965362259579</v>
      </c>
      <c r="AA386" s="63">
        <f t="shared" ref="AA386:AA451" si="49">MAX(K386:S386)/W386</f>
        <v>6.2616108385033025</v>
      </c>
    </row>
    <row r="387" spans="1:27" x14ac:dyDescent="0.25">
      <c r="A387" s="103" t="s">
        <v>155</v>
      </c>
      <c r="B387" s="20" t="s">
        <v>156</v>
      </c>
      <c r="C387" s="20" t="s">
        <v>73</v>
      </c>
      <c r="D387" s="104" t="s">
        <v>157</v>
      </c>
      <c r="E387" s="15">
        <v>10021</v>
      </c>
      <c r="F387" s="15">
        <v>293</v>
      </c>
      <c r="G387" s="20" t="s">
        <v>158</v>
      </c>
      <c r="H387" s="20">
        <v>0.85</v>
      </c>
      <c r="I387" s="48">
        <f>MAX('Min rate concentrations'!$F$3:$F$368)</f>
        <v>67.5</v>
      </c>
      <c r="J387" s="48">
        <f>MAX('Min rate concentrations'!Y:Y)</f>
        <v>22.5</v>
      </c>
      <c r="K387" s="59">
        <f t="shared" si="46"/>
        <v>32.925241711757813</v>
      </c>
      <c r="L387" s="59">
        <f>((0.301*F387^0.751)/(1-H387))*J387/F387</f>
        <v>10.975080570585938</v>
      </c>
      <c r="M387" s="59">
        <f>IF((((1.18*F387^0.874)/3.7-(0.301*F387^0.751)/(1-H387)*H387)*(MAX('Min rate concentrations'!$P$3:$P$368)))/F387&gt;0, (((1.18*F387^0.874)/3.7-(0.301*F387^0.751)/(1-H387)*H387)*(MAX('Min rate concentrations'!$P$3:$P$368)))/F387, 0)</f>
        <v>0</v>
      </c>
      <c r="N387" s="59">
        <f>IF((((1.18*F387^0.874)/3.7-(0.301*F387^0.751)/(1-H387)*H387)*(MAX('Min rate concentrations'!$Q$3:$Q$368)))/F387&gt;0, (((1.18*F387^0.874)/3.7-(0.301*F387^0.751)/(1-H387)*H387)*(MAX('Min rate concentrations'!$Q$3:$Q$368)))/F387, 0)</f>
        <v>0</v>
      </c>
      <c r="O387" s="59">
        <f>((MAX('Min rate concentrations'!$F$3:$F$368))*0.62*6.01*8*(10*F387^0.667)*0.079*0.1/F387)*inputs!$E$80/(10^(0.84+0.62*LOG10(inputs!$E$80)))</f>
        <v>3.690925318180863</v>
      </c>
      <c r="P387" s="59">
        <f>((MAX('Min rate concentrations'!Y:Y))*0.62*6.01*8*(10*F387^0.667)*0.079*0.1/F387)*inputs!$E$80/(10^(0.84+0.62*LOG10(inputs!$E$80)))</f>
        <v>1.2303084393936208</v>
      </c>
      <c r="Q387" s="59">
        <f>(inputs!$C$7*11.2*(10*F387^0.667)*0.5/F387)*inputs!$E$80/(10^(0.84+0.62*LOG10(inputs!$E$80)))</f>
        <v>0.65013908626008243</v>
      </c>
      <c r="R387" s="59">
        <f>(60*284*((F387/1000)^0.77)*3*24*(MAX('Min rate concentrations'!$R$3:$R$368))/F387)*(inputs!$E$73*3.4/inputs!$E$75)</f>
        <v>6.2166433471617707E-3</v>
      </c>
      <c r="S387" s="59">
        <f>(IF(inputs!$C$6="aerial",((0.025*0.112*inputs!$C$7/3.3)*(3*60*284*((F387/1000)^0.77))*MAX(inputs!$H$14:$H$16))/F387,((0.0083*0.112*inputs!$C$7/1)*(3*60*284*((F387/1000)^0.77))*MAX(inputs!$H$14:$H$16))/F387))*(inputs!E$75*3.4/inputs!$E$73)</f>
        <v>3.4285169999653448E-2</v>
      </c>
      <c r="T387" s="63">
        <f>IF((((inputs!$P$12/(V387/MAX(K387:S387)))^(1/inputs!$O$12))-1)/inputs!$N$12&lt;0, 0, IF((((inputs!$P$12/(V387/MAX(K387:S387)))^(1/inputs!$O$12))-1)/inputs!$N$12&gt;inputs!$H$17, inputs!$H$17, (((inputs!$P$12/(V387/MAX(K387:S387)))^(1/inputs!$O$12))-1)/inputs!$N$12))</f>
        <v>485.8619691837921</v>
      </c>
      <c r="U387" s="63">
        <f>IF((((inputs!$P$12/(X387/MAX(K387:S387)))^(1/inputs!$O$12))-1)/inputs!$N$12&lt;0, 0, IF((((inputs!$P$12/(X387/MAX(K387:S387)))^(1/inputs!$O$12))-1)/inputs!$N$12&gt;inputs!$H$17, inputs!$H$17, (((inputs!$P$12/(X387/MAX(K387:S387)))^(1/inputs!$O$12))-1)/inputs!$N$12))</f>
        <v>34.830261791255374</v>
      </c>
      <c r="V387" s="21">
        <f>inputs!$E$78*(F387/inputs!$F$78)^(inputs!$E$84-1)</f>
        <v>1.2764757875167079E-2</v>
      </c>
      <c r="W387" s="21">
        <f>inputs!$E$85*(F387/inputs!$F$85)^(inputs!$E$84-1)</f>
        <v>0.58945300392751587</v>
      </c>
      <c r="X387" s="21">
        <f>inputs!$E$80*(F387/inputs!$F$80)^(inputs!$E$84-1)</f>
        <v>2.2011219766913568</v>
      </c>
      <c r="Y387" s="21">
        <f>inputs!$E$82*(F387/inputs!$F$82)^(inputs!$E$84-1)</f>
        <v>1.0144623363948573</v>
      </c>
      <c r="Z387" s="63">
        <f t="shared" si="48"/>
        <v>2579.386309850147</v>
      </c>
      <c r="AA387" s="63">
        <f t="shared" si="49"/>
        <v>55.857280380925125</v>
      </c>
    </row>
    <row r="388" spans="1:27" x14ac:dyDescent="0.25">
      <c r="A388" s="103" t="s">
        <v>155</v>
      </c>
      <c r="B388" s="20" t="s">
        <v>156</v>
      </c>
      <c r="C388" s="20" t="s">
        <v>73</v>
      </c>
      <c r="D388" s="104" t="s">
        <v>157</v>
      </c>
      <c r="E388" s="15">
        <v>10021</v>
      </c>
      <c r="F388" s="15">
        <v>293</v>
      </c>
      <c r="G388" s="20" t="s">
        <v>154</v>
      </c>
      <c r="H388" s="20">
        <v>9.2999999999999999E-2</v>
      </c>
      <c r="I388" s="48">
        <f>MAX('Min rate concentrations'!$G$3:$G$368)</f>
        <v>7.5</v>
      </c>
      <c r="J388" s="48">
        <f>MAX('Min rate concentrations'!Z:Z)</f>
        <v>3.5</v>
      </c>
      <c r="K388" s="59">
        <f t="shared" si="46"/>
        <v>0.60502097963538803</v>
      </c>
      <c r="L388" s="59"/>
      <c r="M388" s="59">
        <f>IF((((1.18*F388^0.874)/3.7-(0.301*F388^0.751)/(1-H388)*H388)*(MAX('Min rate concentrations'!$P$3:$P$368)))/F388&gt;0, (((1.18*F388^0.874)/3.7-(0.301*F388^0.751)/(1-H388)*H388)*(MAX('Min rate concentrations'!$P$3:$P$368)))/F388, 0)</f>
        <v>2.1540100752591215E-2</v>
      </c>
      <c r="N388" s="59">
        <f>IF((((1.18*F388^0.874)/3.7-(0.301*F388^0.751)/(1-H388)*H388)*(MAX('Min rate concentrations'!$Q$3:$Q$368)))/F388&gt;0, (((1.18*F388^0.874)/3.7-(0.301*F388^0.751)/(1-H388)*H388)*(MAX('Min rate concentrations'!$Q$3:$Q$368)))/F388, 0)</f>
        <v>8.2025861051778601E-2</v>
      </c>
      <c r="O388" s="59">
        <f>((MAX('Min rate concentrations'!$F$3:$F$368))*0.62*6.01*8*(10*F388^0.667)*0.079*0.1/F388)*inputs!$E$80/(10^(0.84+0.62*LOG10(inputs!$E$80)))</f>
        <v>3.690925318180863</v>
      </c>
      <c r="P388" s="59">
        <f>((MAX('Min rate concentrations'!Y:Y))*0.62*6.01*8*(10*F388^0.667)*0.079*0.1/F388)*inputs!$E$80/(10^(0.84+0.62*LOG10(inputs!$E$80)))</f>
        <v>1.2303084393936208</v>
      </c>
      <c r="Q388" s="59">
        <f>(inputs!$C$7*11.2*(10*F388^0.667)*0.5/F388)*inputs!$E$80/(10^(0.84+0.62*LOG10(inputs!$E$80)))</f>
        <v>0.65013908626008243</v>
      </c>
      <c r="R388" s="59">
        <f>(60*284*((F388/1000)^0.77)*3*24*(MAX('Min rate concentrations'!$R$3:$R$368))/F388)*(inputs!$E$73*3.4/inputs!$E$75)</f>
        <v>6.2166433471617707E-3</v>
      </c>
      <c r="S388" s="59">
        <f>(IF(inputs!$C$6="aerial",((0.025*0.112*inputs!$C$7/3.3)*(3*60*284*((F388/1000)^0.77))*MAX(inputs!$H$14:$H$16))/F388,((0.0083*0.112*inputs!$C$7/1)*(3*60*284*((F388/1000)^0.77))*MAX(inputs!$H$14:$H$16))/F388))*(inputs!E$75*3.4/inputs!$E$73)</f>
        <v>3.4285169999653448E-2</v>
      </c>
      <c r="T388" s="63">
        <f>IF((((inputs!$P$12/(V388/MAX(K388:S388)))^(1/inputs!$O$12))-1)/inputs!$N$12&lt;0, 0, IF((((inputs!$P$12/(V388/MAX(K388:S388)))^(1/inputs!$O$12))-1)/inputs!$N$12&gt;inputs!$H$17, inputs!$H$17, (((inputs!$P$12/(V388/MAX(K388:S388)))^(1/inputs!$O$12))-1)/inputs!$N$12))</f>
        <v>182.71367525694734</v>
      </c>
      <c r="U388" s="63">
        <f>IF((((inputs!$P$12/(X388/MAX(K388:S388)))^(1/inputs!$O$12))-1)/inputs!$N$12&lt;0, 0, IF((((inputs!$P$12/(X388/MAX(K388:S388)))^(1/inputs!$O$12))-1)/inputs!$N$12&gt;inputs!$H$17, inputs!$H$17, (((inputs!$P$12/(X388/MAX(K388:S388)))^(1/inputs!$O$12))-1)/inputs!$N$12))</f>
        <v>0</v>
      </c>
      <c r="V388" s="21">
        <f>inputs!$E$78*(F388/inputs!$F$78)^(inputs!$E$84-1)</f>
        <v>1.2764757875167079E-2</v>
      </c>
      <c r="W388" s="21">
        <f>inputs!$E$85*(F388/inputs!$F$85)^(inputs!$E$84-1)</f>
        <v>0.58945300392751587</v>
      </c>
      <c r="X388" s="21">
        <f>inputs!$E$80*(F388/inputs!$F$80)^(inputs!$E$84-1)</f>
        <v>2.2011219766913568</v>
      </c>
      <c r="Y388" s="21">
        <f>inputs!$E$82*(F388/inputs!$F$82)^(inputs!$E$84-1)</f>
        <v>1.0144623363948573</v>
      </c>
      <c r="Z388" s="63">
        <f t="shared" si="48"/>
        <v>289.14965362259579</v>
      </c>
      <c r="AA388" s="63">
        <f t="shared" si="49"/>
        <v>6.2616108385033025</v>
      </c>
    </row>
    <row r="389" spans="1:27" x14ac:dyDescent="0.25">
      <c r="A389" s="103" t="s">
        <v>355</v>
      </c>
      <c r="B389" s="20" t="s">
        <v>356</v>
      </c>
      <c r="C389" s="20" t="s">
        <v>73</v>
      </c>
      <c r="D389" s="104" t="s">
        <v>354</v>
      </c>
      <c r="E389" s="15">
        <v>129</v>
      </c>
      <c r="F389" s="15">
        <v>518</v>
      </c>
      <c r="G389" s="20" t="s">
        <v>142</v>
      </c>
      <c r="H389" s="20">
        <v>0.69</v>
      </c>
      <c r="I389" s="48">
        <f>MAX('Min rate concentrations'!$H$3:$H$368)</f>
        <v>47</v>
      </c>
      <c r="J389" s="48">
        <f>MAX('Min rate concentrations'!AA:AA)</f>
        <v>32.5</v>
      </c>
      <c r="K389" s="59">
        <f t="shared" si="46"/>
        <v>9.6257493689467086</v>
      </c>
      <c r="L389" s="59">
        <f t="shared" ref="L389:L395" si="50">((0.301*F389^0.751)/(1-H389))*J389/F389</f>
        <v>6.6561032870376176</v>
      </c>
      <c r="M389" s="59">
        <f>IF((((1.18*F389^0.874)/3.7-(0.301*F389^0.751)/(1-H389)*H389)*(MAX('Min rate concentrations'!$P$3:$P$368)))/F389&gt;0, (((1.18*F389^0.874)/3.7-(0.301*F389^0.751)/(1-H389)*H389)*(MAX('Min rate concentrations'!$P$3:$P$368)))/F389, 0)</f>
        <v>5.498574876523824E-4</v>
      </c>
      <c r="N389" s="59">
        <f>IF((((1.18*F389^0.874)/3.7-(0.301*F389^0.751)/(1-H389)*H389)*(MAX('Min rate concentrations'!$Q$3:$Q$368)))/F389&gt;0, (((1.18*F389^0.874)/3.7-(0.301*F389^0.751)/(1-H389)*H389)*(MAX('Min rate concentrations'!$Q$3:$Q$368)))/F389, 0)</f>
        <v>2.0938868577496644E-3</v>
      </c>
      <c r="O389" s="59">
        <f>((MAX('Min rate concentrations'!$F$3:$F$368))*0.62*6.01*8*(10*F389^0.667)*0.079*0.1/F389)*inputs!$E$80/(10^(0.84+0.62*LOG10(inputs!$E$80)))</f>
        <v>3.0530250338742082</v>
      </c>
      <c r="P389" s="59">
        <f>((MAX('Min rate concentrations'!Y:Y))*0.62*6.01*8*(10*F389^0.667)*0.079*0.1/F389)*inputs!$E$80/(10^(0.84+0.62*LOG10(inputs!$E$80)))</f>
        <v>1.0176750112914028</v>
      </c>
      <c r="Q389" s="59">
        <f>(inputs!$C$7*11.2*(10*F389^0.667)*0.5/F389)*inputs!$E$80/(10^(0.84+0.62*LOG10(inputs!$E$80)))</f>
        <v>0.53777595988596805</v>
      </c>
      <c r="R389" s="59">
        <f>(60*284*((F389/1000)^0.77)*3*24*(MAX('Min rate concentrations'!$R$3:$R$368))/F389)*(inputs!$E$73*3.4/inputs!$E$75)</f>
        <v>5.4530522656097919E-3</v>
      </c>
      <c r="S389" s="59">
        <f>(IF(inputs!$C$6="aerial",((0.025*0.112*inputs!$C$7/3.3)*(3*60*284*((F389/1000)^0.77))*MAX(inputs!$H$14:$H$16))/F389,((0.0083*0.112*inputs!$C$7/1)*(3*60*284*((F389/1000)^0.77))*MAX(inputs!$H$14:$H$16))/F389))*(inputs!E$75*3.4/inputs!$E$73)</f>
        <v>3.0073918271149299E-2</v>
      </c>
      <c r="T389" s="63">
        <f>IF((((inputs!$P$12/(V389/MAX(K389:S389)))^(1/inputs!$O$12))-1)/inputs!$N$12&lt;0, 0, IF((((inputs!$P$12/(V389/MAX(K389:S389)))^(1/inputs!$O$12))-1)/inputs!$N$12&gt;inputs!$H$17, inputs!$H$17, (((inputs!$P$12/(V389/MAX(K389:S389)))^(1/inputs!$O$12))-1)/inputs!$N$12))</f>
        <v>311.34360323152254</v>
      </c>
      <c r="U389" s="63">
        <f>IF((((inputs!$P$12/(X389/MAX(K389:S389)))^(1/inputs!$O$12))-1)/inputs!$N$12&lt;0, 0, IF((((inputs!$P$12/(X389/MAX(K389:S389)))^(1/inputs!$O$12))-1)/inputs!$N$12&gt;inputs!$H$17, inputs!$H$17, (((inputs!$P$12/(X389/MAX(K389:S389)))^(1/inputs!$O$12))-1)/inputs!$N$12))</f>
        <v>13.345843257858707</v>
      </c>
      <c r="V389" s="21">
        <f>inputs!$E$78*(F389/inputs!$F$78)^(inputs!$E$84-1)</f>
        <v>1.033835854431058E-2</v>
      </c>
      <c r="W389" s="21">
        <f>inputs!$E$85*(F389/inputs!$F$85)^(inputs!$E$84-1)</f>
        <v>0.47740635264840908</v>
      </c>
      <c r="X389" s="21">
        <f>inputs!$E$80*(F389/inputs!$F$80)^(inputs!$E$84-1)</f>
        <v>1.7827199244465908</v>
      </c>
      <c r="Y389" s="21">
        <f>inputs!$E$82*(F389/inputs!$F$82)^(inputs!$E$84-1)</f>
        <v>0.82162744220573558</v>
      </c>
      <c r="Z389" s="63">
        <f t="shared" si="48"/>
        <v>931.07134248540501</v>
      </c>
      <c r="AA389" s="63">
        <f t="shared" si="49"/>
        <v>20.162591711542834</v>
      </c>
    </row>
    <row r="390" spans="1:27" x14ac:dyDescent="0.25">
      <c r="A390" s="103" t="s">
        <v>355</v>
      </c>
      <c r="B390" s="20" t="s">
        <v>356</v>
      </c>
      <c r="C390" s="20" t="s">
        <v>73</v>
      </c>
      <c r="D390" s="104" t="s">
        <v>354</v>
      </c>
      <c r="E390" s="15">
        <v>129</v>
      </c>
      <c r="F390" s="15">
        <v>518</v>
      </c>
      <c r="G390" s="20" t="s">
        <v>138</v>
      </c>
      <c r="H390" s="20">
        <v>0.68</v>
      </c>
      <c r="I390" s="48">
        <f>MAX('Min rate concentrations'!$L$3:$L$368)</f>
        <v>58.421240152220811</v>
      </c>
      <c r="J390" s="48">
        <f>MAX('Min rate concentrations'!AD:AD)</f>
        <v>40.397666062705881</v>
      </c>
      <c r="K390" s="59">
        <f t="shared" si="46"/>
        <v>11.590953910490715</v>
      </c>
      <c r="L390" s="59">
        <f t="shared" si="50"/>
        <v>8.0150213210840047</v>
      </c>
      <c r="M390" s="59">
        <f>IF((((1.18*F390^0.874)/3.7-(0.301*F390^0.751)/(1-H390)*H390)*(MAX('Min rate concentrations'!$P$3:$P$368)))/F390&gt;0, (((1.18*F390^0.874)/3.7-(0.301*F390^0.751)/(1-H390)*H390)*(MAX('Min rate concentrations'!$P$3:$P$368)))/F390, 0)</f>
        <v>1.4788193009716132E-3</v>
      </c>
      <c r="N390" s="59">
        <f>IF((((1.18*F390^0.874)/3.7-(0.301*F390^0.751)/(1-H390)*H390)*(MAX('Min rate concentrations'!$Q$3:$Q$368)))/F390&gt;0, (((1.18*F390^0.874)/3.7-(0.301*F390^0.751)/(1-H390)*H390)*(MAX('Min rate concentrations'!$Q$3:$Q$368)))/F390, 0)</f>
        <v>5.6314233575529438E-3</v>
      </c>
      <c r="O390" s="59">
        <f>((MAX('Min rate concentrations'!$F$3:$F$368))*0.62*6.01*8*(10*F390^0.667)*0.079*0.1/F390)*inputs!$E$80/(10^(0.84+0.62*LOG10(inputs!$E$80)))</f>
        <v>3.0530250338742082</v>
      </c>
      <c r="P390" s="59">
        <f>((MAX('Min rate concentrations'!Y:Y))*0.62*6.01*8*(10*F390^0.667)*0.079*0.1/F390)*inputs!$E$80/(10^(0.84+0.62*LOG10(inputs!$E$80)))</f>
        <v>1.0176750112914028</v>
      </c>
      <c r="Q390" s="59">
        <f>(inputs!$C$7*11.2*(10*F390^0.667)*0.5/F390)*inputs!$E$80/(10^(0.84+0.62*LOG10(inputs!$E$80)))</f>
        <v>0.53777595988596805</v>
      </c>
      <c r="R390" s="59">
        <f>(60*284*((F390/1000)^0.77)*3*24*(MAX('Min rate concentrations'!$R$3:$R$368))/F390)*(inputs!$E$73*3.4/inputs!$E$75)</f>
        <v>5.4530522656097919E-3</v>
      </c>
      <c r="S390" s="59">
        <f>(IF(inputs!$C$6="aerial",((0.025*0.112*inputs!$C$7/3.3)*(3*60*284*((F390/1000)^0.77))*MAX(inputs!$H$14:$H$16))/F390,((0.0083*0.112*inputs!$C$7/1)*(3*60*284*((F390/1000)^0.77))*MAX(inputs!$H$14:$H$16))/F390))*(inputs!E$75*3.4/inputs!$E$73)</f>
        <v>3.0073918271149299E-2</v>
      </c>
      <c r="T390" s="63">
        <f>IF((((inputs!$P$12/(V390/MAX(K390:S390)))^(1/inputs!$O$12))-1)/inputs!$N$12&lt;0, 0, IF((((inputs!$P$12/(V390/MAX(K390:S390)))^(1/inputs!$O$12))-1)/inputs!$N$12&gt;inputs!$H$17, inputs!$H$17, (((inputs!$P$12/(V390/MAX(K390:S390)))^(1/inputs!$O$12))-1)/inputs!$N$12))</f>
        <v>338.01814399274923</v>
      </c>
      <c r="U390" s="63">
        <f>IF((((inputs!$P$12/(X390/MAX(K390:S390)))^(1/inputs!$O$12))-1)/inputs!$N$12&lt;0, 0, IF((((inputs!$P$12/(X390/MAX(K390:S390)))^(1/inputs!$O$12))-1)/inputs!$N$12&gt;inputs!$H$17, inputs!$H$17, (((inputs!$P$12/(X390/MAX(K390:S390)))^(1/inputs!$O$12))-1)/inputs!$N$12))</f>
        <v>16.6296638160748</v>
      </c>
      <c r="V390" s="21">
        <f>inputs!$E$78*(F390/inputs!$F$78)^(inputs!$E$84-1)</f>
        <v>1.033835854431058E-2</v>
      </c>
      <c r="W390" s="21">
        <f>inputs!$E$85*(F390/inputs!$F$85)^(inputs!$E$84-1)</f>
        <v>0.47740635264840908</v>
      </c>
      <c r="X390" s="21">
        <f>inputs!$E$80*(F390/inputs!$F$80)^(inputs!$E$84-1)</f>
        <v>1.7827199244465908</v>
      </c>
      <c r="Y390" s="21">
        <f>inputs!$E$82*(F390/inputs!$F$82)^(inputs!$E$84-1)</f>
        <v>0.82162744220573558</v>
      </c>
      <c r="Z390" s="63">
        <f t="shared" si="48"/>
        <v>1121.1599850025964</v>
      </c>
      <c r="AA390" s="63">
        <f t="shared" si="49"/>
        <v>24.279010629393518</v>
      </c>
    </row>
    <row r="391" spans="1:27" x14ac:dyDescent="0.25">
      <c r="A391" s="103" t="s">
        <v>355</v>
      </c>
      <c r="B391" s="20" t="s">
        <v>356</v>
      </c>
      <c r="C391" s="20" t="s">
        <v>73</v>
      </c>
      <c r="D391" s="104" t="s">
        <v>354</v>
      </c>
      <c r="E391" s="15">
        <v>129</v>
      </c>
      <c r="F391" s="15">
        <v>518</v>
      </c>
      <c r="G391" s="21" t="s">
        <v>456</v>
      </c>
      <c r="H391" s="20">
        <v>0.68</v>
      </c>
      <c r="I391" s="48">
        <f>MAX('Min rate concentrations'!$J$3:$J$368)</f>
        <v>114.4108103430513</v>
      </c>
      <c r="J391" s="48">
        <f>MAX('Min rate concentrations'!AB:AB)</f>
        <v>40.520495329830666</v>
      </c>
      <c r="K391" s="59">
        <f t="shared" si="46"/>
        <v>22.699457014141981</v>
      </c>
      <c r="L391" s="59">
        <f t="shared" si="50"/>
        <v>8.039391025841951</v>
      </c>
      <c r="M391" s="59">
        <f>IF((((1.18*F391^0.874)/3.7-(0.301*F391^0.751)/(1-H391)*H391)*(MAX('Min rate concentrations'!$P$3:$P$368)))/F391&gt;0, (((1.18*F391^0.874)/3.7-(0.301*F391^0.751)/(1-H391)*H391)*(MAX('Min rate concentrations'!$P$3:$P$368)))/F391, 0)</f>
        <v>1.4788193009716132E-3</v>
      </c>
      <c r="N391" s="59">
        <f>IF((((1.18*F391^0.874)/3.7-(0.301*F391^0.751)/(1-H391)*H391)*(MAX('Min rate concentrations'!$Q$3:$Q$368)))/F391&gt;0, (((1.18*F391^0.874)/3.7-(0.301*F391^0.751)/(1-H391)*H391)*(MAX('Min rate concentrations'!$Q$3:$Q$368)))/F391, 0)</f>
        <v>5.6314233575529438E-3</v>
      </c>
      <c r="O391" s="59">
        <f>((MAX('Min rate concentrations'!$F$3:$F$368))*0.62*6.01*8*(10*F391^0.667)*0.079*0.1/F391)*inputs!$E$80/(10^(0.84+0.62*LOG10(inputs!$E$80)))</f>
        <v>3.0530250338742082</v>
      </c>
      <c r="P391" s="59">
        <f>((MAX('Min rate concentrations'!Y:Y))*0.62*6.01*8*(10*F391^0.667)*0.079*0.1/F391)*inputs!$E$80/(10^(0.84+0.62*LOG10(inputs!$E$80)))</f>
        <v>1.0176750112914028</v>
      </c>
      <c r="Q391" s="59">
        <f>(inputs!$C$7*11.2*(10*F391^0.667)*0.5/F391)*inputs!$E$80/(10^(0.84+0.62*LOG10(inputs!$E$80)))</f>
        <v>0.53777595988596805</v>
      </c>
      <c r="R391" s="59">
        <f>(60*284*((F391/1000)^0.77)*3*24*(MAX('Min rate concentrations'!$R$3:$R$368))/F391)*(inputs!$E$73*3.4/inputs!$E$75)</f>
        <v>5.4530522656097919E-3</v>
      </c>
      <c r="S391" s="59">
        <f>(IF(inputs!$C$6="aerial",((0.025*0.112*inputs!$C$7/3.3)*(3*60*284*((F391/1000)^0.77))*MAX(inputs!$H$14:$H$16))/F391,((0.0083*0.112*inputs!$C$7/1)*(3*60*284*((F391/1000)^0.77))*MAX(inputs!$H$14:$H$16))/F391))*(inputs!E$75*3.4/inputs!$E$73)</f>
        <v>3.0073918271149299E-2</v>
      </c>
      <c r="T391" s="63">
        <f>IF((((inputs!$P$12/(V391/MAX(K391:S391)))^(1/inputs!$O$12))-1)/inputs!$N$12&lt;0, 0, IF((((inputs!$P$12/(V391/MAX(K391:S391)))^(1/inputs!$O$12))-1)/inputs!$N$12&gt;inputs!$H$17, inputs!$H$17, (((inputs!$P$12/(V391/MAX(K391:S391)))^(1/inputs!$O$12))-1)/inputs!$N$12))</f>
        <v>453.24503537403234</v>
      </c>
      <c r="U391" s="63">
        <f>IF((((inputs!$P$12/(X391/MAX(K391:S391)))^(1/inputs!$O$12))-1)/inputs!$N$12&lt;0, 0, IF((((inputs!$P$12/(X391/MAX(K391:S391)))^(1/inputs!$O$12))-1)/inputs!$N$12&gt;inputs!$H$17, inputs!$H$17, (((inputs!$P$12/(X391/MAX(K391:S391)))^(1/inputs!$O$12))-1)/inputs!$N$12))</f>
        <v>30.814891526806342</v>
      </c>
      <c r="V391" s="21">
        <f>inputs!$E$78*(F391/inputs!$F$78)^(inputs!$E$84-1)</f>
        <v>1.033835854431058E-2</v>
      </c>
      <c r="W391" s="21">
        <f>inputs!$E$85*(F391/inputs!$F$85)^(inputs!$E$84-1)</f>
        <v>0.47740635264840908</v>
      </c>
      <c r="X391" s="21">
        <f>inputs!$E$80*(F391/inputs!$F$80)^(inputs!$E$84-1)</f>
        <v>1.7827199244465908</v>
      </c>
      <c r="Y391" s="21">
        <f>inputs!$E$82*(F391/inputs!$F$82)^(inputs!$E$84-1)</f>
        <v>0.82162744220573558</v>
      </c>
      <c r="Z391" s="63">
        <f t="shared" si="48"/>
        <v>2195.6538764690044</v>
      </c>
      <c r="AA391" s="63">
        <f t="shared" si="49"/>
        <v>47.547454884537814</v>
      </c>
    </row>
    <row r="392" spans="1:27" x14ac:dyDescent="0.25">
      <c r="A392" s="103" t="s">
        <v>355</v>
      </c>
      <c r="B392" s="20" t="s">
        <v>356</v>
      </c>
      <c r="C392" s="20" t="s">
        <v>73</v>
      </c>
      <c r="D392" s="104" t="s">
        <v>354</v>
      </c>
      <c r="E392" s="15">
        <v>129</v>
      </c>
      <c r="F392" s="15">
        <v>518</v>
      </c>
      <c r="G392" s="20" t="s">
        <v>145</v>
      </c>
      <c r="H392" s="20">
        <v>0.66</v>
      </c>
      <c r="I392" s="48">
        <f>MAX('Min rate concentrations'!$M$3:$M$368)</f>
        <v>2.8488184789681945</v>
      </c>
      <c r="J392" s="48">
        <f>MAX('Min rate concentrations'!AE:AE)</f>
        <v>1.9699276716269429</v>
      </c>
      <c r="K392" s="59">
        <f t="shared" si="46"/>
        <v>0.53196645366791395</v>
      </c>
      <c r="L392" s="59">
        <f t="shared" si="50"/>
        <v>0.36784914349377029</v>
      </c>
      <c r="M392" s="59">
        <f>IF((((1.18*F392^0.874)/3.7-(0.301*F392^0.751)/(1-H392)*H392)*(MAX('Min rate concentrations'!$P$3:$P$368)))/F392&gt;0, (((1.18*F392^0.874)/3.7-(0.301*F392^0.751)/(1-H392)*H392)*(MAX('Min rate concentrations'!$P$3:$P$368)))/F392, 0)</f>
        <v>3.172808489965527E-3</v>
      </c>
      <c r="N392" s="59">
        <f>IF((((1.18*F392^0.874)/3.7-(0.301*F392^0.751)/(1-H392)*H392)*(MAX('Min rate concentrations'!$Q$3:$Q$368)))/F392&gt;0, (((1.18*F392^0.874)/3.7-(0.301*F392^0.751)/(1-H392)*H392)*(MAX('Min rate concentrations'!$Q$3:$Q$368)))/F392, 0)</f>
        <v>1.2082225210135479E-2</v>
      </c>
      <c r="O392" s="59">
        <f>((MAX('Min rate concentrations'!$F$3:$F$368))*0.62*6.01*8*(10*F392^0.667)*0.079*0.1/F392)*inputs!$E$80/(10^(0.84+0.62*LOG10(inputs!$E$80)))</f>
        <v>3.0530250338742082</v>
      </c>
      <c r="P392" s="59">
        <f>((MAX('Min rate concentrations'!Y:Y))*0.62*6.01*8*(10*F392^0.667)*0.079*0.1/F392)*inputs!$E$80/(10^(0.84+0.62*LOG10(inputs!$E$80)))</f>
        <v>1.0176750112914028</v>
      </c>
      <c r="Q392" s="59">
        <f>(inputs!$C$7*11.2*(10*F392^0.667)*0.5/F392)*inputs!$E$80/(10^(0.84+0.62*LOG10(inputs!$E$80)))</f>
        <v>0.53777595988596805</v>
      </c>
      <c r="R392" s="59">
        <f>(60*284*((F392/1000)^0.77)*3*24*(MAX('Min rate concentrations'!$R$3:$R$368))/F392)*(inputs!$E$73*3.4/inputs!$E$75)</f>
        <v>5.4530522656097919E-3</v>
      </c>
      <c r="S392" s="59">
        <f>(IF(inputs!$C$6="aerial",((0.025*0.112*inputs!$C$7/3.3)*(3*60*284*((F392/1000)^0.77))*MAX(inputs!$H$14:$H$16))/F392,((0.0083*0.112*inputs!$C$7/1)*(3*60*284*((F392/1000)^0.77))*MAX(inputs!$H$14:$H$16))/F392))*(inputs!E$75*3.4/inputs!$E$73)</f>
        <v>3.0073918271149299E-2</v>
      </c>
      <c r="T392" s="63">
        <f>IF((((inputs!$P$12/(V392/MAX(K392:S392)))^(1/inputs!$O$12))-1)/inputs!$N$12&lt;0, 0, IF((((inputs!$P$12/(V392/MAX(K392:S392)))^(1/inputs!$O$12))-1)/inputs!$N$12&gt;inputs!$H$17, inputs!$H$17, (((inputs!$P$12/(V392/MAX(K392:S392)))^(1/inputs!$O$12))-1)/inputs!$N$12))</f>
        <v>184.53255176859423</v>
      </c>
      <c r="U392" s="63">
        <f>IF((((inputs!$P$12/(X392/MAX(K392:S392)))^(1/inputs!$O$12))-1)/inputs!$N$12&lt;0, 0, IF((((inputs!$P$12/(X392/MAX(K392:S392)))^(1/inputs!$O$12))-1)/inputs!$N$12&gt;inputs!$H$17, inputs!$H$17, (((inputs!$P$12/(X392/MAX(K392:S392)))^(1/inputs!$O$12))-1)/inputs!$N$12))</f>
        <v>0</v>
      </c>
      <c r="V392" s="21">
        <f>inputs!$E$78*(F392/inputs!$F$78)^(inputs!$E$84-1)</f>
        <v>1.033835854431058E-2</v>
      </c>
      <c r="W392" s="21">
        <f>inputs!$E$85*(F392/inputs!$F$85)^(inputs!$E$84-1)</f>
        <v>0.47740635264840908</v>
      </c>
      <c r="X392" s="21">
        <f>inputs!$E$80*(F392/inputs!$F$80)^(inputs!$E$84-1)</f>
        <v>1.7827199244465908</v>
      </c>
      <c r="Y392" s="21">
        <f>inputs!$E$82*(F392/inputs!$F$82)^(inputs!$E$84-1)</f>
        <v>0.82162744220573558</v>
      </c>
      <c r="Z392" s="63">
        <f t="shared" si="48"/>
        <v>295.31042290599925</v>
      </c>
      <c r="AA392" s="63">
        <f t="shared" si="49"/>
        <v>6.3950238972262703</v>
      </c>
    </row>
    <row r="393" spans="1:27" x14ac:dyDescent="0.25">
      <c r="A393" s="103" t="s">
        <v>352</v>
      </c>
      <c r="B393" s="20" t="s">
        <v>353</v>
      </c>
      <c r="C393" s="20" t="s">
        <v>73</v>
      </c>
      <c r="D393" s="104" t="s">
        <v>354</v>
      </c>
      <c r="E393" s="15">
        <v>142</v>
      </c>
      <c r="F393" s="15">
        <v>430</v>
      </c>
      <c r="G393" s="20" t="s">
        <v>142</v>
      </c>
      <c r="H393" s="20">
        <v>0.69</v>
      </c>
      <c r="I393" s="48">
        <f>MAX('Min rate concentrations'!$H$3:$H$368)</f>
        <v>47</v>
      </c>
      <c r="J393" s="48">
        <f>MAX('Min rate concentrations'!AA:AA)</f>
        <v>32.5</v>
      </c>
      <c r="K393" s="59">
        <f t="shared" si="46"/>
        <v>10.082518191378542</v>
      </c>
      <c r="L393" s="59">
        <f t="shared" si="50"/>
        <v>6.9719540685064381</v>
      </c>
      <c r="M393" s="59">
        <f>IF((((1.18*F393^0.874)/3.7-(0.301*F393^0.751)/(1-H393)*H393)*(MAX('Min rate concentrations'!$P$3:$P$368)))/F393&gt;0, (((1.18*F393^0.874)/3.7-(0.301*F393^0.751)/(1-H393)*H393)*(MAX('Min rate concentrations'!$P$3:$P$368)))/F393, 0)</f>
        <v>7.6469416796985654E-5</v>
      </c>
      <c r="N393" s="59">
        <f>IF((((1.18*F393^0.874)/3.7-(0.301*F393^0.751)/(1-H393)*H393)*(MAX('Min rate concentrations'!$Q$3:$Q$368)))/F393&gt;0, (((1.18*F393^0.874)/3.7-(0.301*F393^0.751)/(1-H393)*H393)*(MAX('Min rate concentrations'!$Q$3:$Q$368)))/F393, 0)</f>
        <v>2.9119964799354659E-4</v>
      </c>
      <c r="O393" s="59">
        <f>((MAX('Min rate concentrations'!$F$3:$F$368))*0.62*6.01*8*(10*F393^0.667)*0.079*0.1/F393)*inputs!$E$80/(10^(0.84+0.62*LOG10(inputs!$E$80)))</f>
        <v>3.2483078352167181</v>
      </c>
      <c r="P393" s="59">
        <f>((MAX('Min rate concentrations'!Y:Y))*0.62*6.01*8*(10*F393^0.667)*0.079*0.1/F393)*inputs!$E$80/(10^(0.84+0.62*LOG10(inputs!$E$80)))</f>
        <v>1.0827692784055722</v>
      </c>
      <c r="Q393" s="59">
        <f>(inputs!$C$7*11.2*(10*F393^0.667)*0.5/F393)*inputs!$E$80/(10^(0.84+0.62*LOG10(inputs!$E$80)))</f>
        <v>0.57217410427586934</v>
      </c>
      <c r="R393" s="59">
        <f>(60*284*((F393/1000)^0.77)*3*24*(MAX('Min rate concentrations'!$R$3:$R$368))/F393)*(inputs!$E$73*3.4/inputs!$E$75)</f>
        <v>5.6916444212573788E-3</v>
      </c>
      <c r="S393" s="59">
        <f>(IF(inputs!$C$6="aerial",((0.025*0.112*inputs!$C$7/3.3)*(3*60*284*((F393/1000)^0.77))*MAX(inputs!$H$14:$H$16))/F393,((0.0083*0.112*inputs!$C$7/1)*(3*60*284*((F393/1000)^0.77))*MAX(inputs!$H$14:$H$16))/F393))*(inputs!E$75*3.4/inputs!$E$73)</f>
        <v>3.1389768668244375E-2</v>
      </c>
      <c r="T393" s="63">
        <f>IF((((inputs!$P$12/(V393/MAX(K393:S393)))^(1/inputs!$O$12))-1)/inputs!$N$12&lt;0, 0, IF((((inputs!$P$12/(V393/MAX(K393:S393)))^(1/inputs!$O$12))-1)/inputs!$N$12&gt;inputs!$H$17, inputs!$H$17, (((inputs!$P$12/(V393/MAX(K393:S393)))^(1/inputs!$O$12))-1)/inputs!$N$12))</f>
        <v>308.24381514454473</v>
      </c>
      <c r="U393" s="63">
        <f>IF((((inputs!$P$12/(X393/MAX(K393:S393)))^(1/inputs!$O$12))-1)/inputs!$N$12&lt;0, 0, IF((((inputs!$P$12/(X393/MAX(K393:S393)))^(1/inputs!$O$12))-1)/inputs!$N$12&gt;inputs!$H$17, inputs!$H$17, (((inputs!$P$12/(X393/MAX(K393:S393)))^(1/inputs!$O$12))-1)/inputs!$N$12))</f>
        <v>12.964237893505913</v>
      </c>
      <c r="V393" s="21">
        <f>inputs!$E$78*(F393/inputs!$F$78)^(inputs!$E$84-1)</f>
        <v>1.1075676756739695E-2</v>
      </c>
      <c r="W393" s="21">
        <f>inputs!$E$85*(F393/inputs!$F$85)^(inputs!$E$84-1)</f>
        <v>0.51145434943903523</v>
      </c>
      <c r="X393" s="21">
        <f>inputs!$E$80*(F393/inputs!$F$80)^(inputs!$E$84-1)</f>
        <v>1.9098611782850048</v>
      </c>
      <c r="Y393" s="21">
        <f>inputs!$E$82*(F393/inputs!$F$82)^(inputs!$E$84-1)</f>
        <v>0.88022483698299681</v>
      </c>
      <c r="Z393" s="63">
        <f t="shared" si="48"/>
        <v>910.32976248997124</v>
      </c>
      <c r="AA393" s="63">
        <f t="shared" si="49"/>
        <v>19.713427410358481</v>
      </c>
    </row>
    <row r="394" spans="1:27" x14ac:dyDescent="0.25">
      <c r="A394" s="103" t="s">
        <v>352</v>
      </c>
      <c r="B394" s="20" t="s">
        <v>353</v>
      </c>
      <c r="C394" s="20" t="s">
        <v>73</v>
      </c>
      <c r="D394" s="104" t="s">
        <v>354</v>
      </c>
      <c r="E394" s="15">
        <v>142</v>
      </c>
      <c r="F394" s="15">
        <v>430</v>
      </c>
      <c r="G394" s="20" t="s">
        <v>138</v>
      </c>
      <c r="H394" s="20">
        <v>0.68</v>
      </c>
      <c r="I394" s="48">
        <f>MAX('Min rate concentrations'!$L$3:$L$368)</f>
        <v>58.421240152220811</v>
      </c>
      <c r="J394" s="48">
        <f>MAX('Min rate concentrations'!AD:AD)</f>
        <v>40.397666062705881</v>
      </c>
      <c r="K394" s="59">
        <f t="shared" si="46"/>
        <v>12.14097720380817</v>
      </c>
      <c r="L394" s="59">
        <f t="shared" si="50"/>
        <v>8.3953565771013956</v>
      </c>
      <c r="M394" s="59">
        <f>IF((((1.18*F394^0.874)/3.7-(0.301*F394^0.751)/(1-H394)*H394)*(MAX('Min rate concentrations'!$P$3:$P$368)))/F394&gt;0, (((1.18*F394^0.874)/3.7-(0.301*F394^0.751)/(1-H394)*H394)*(MAX('Min rate concentrations'!$P$3:$P$368)))/F394, 0)</f>
        <v>1.0495130753097842E-3</v>
      </c>
      <c r="N394" s="59">
        <f>IF((((1.18*F394^0.874)/3.7-(0.301*F394^0.751)/(1-H394)*H394)*(MAX('Min rate concentrations'!$Q$3:$Q$368)))/F394&gt;0, (((1.18*F394^0.874)/3.7-(0.301*F394^0.751)/(1-H394)*H394)*(MAX('Min rate concentrations'!$Q$3:$Q$368)))/F394, 0)</f>
        <v>3.9966021828857579E-3</v>
      </c>
      <c r="O394" s="59">
        <f>((MAX('Min rate concentrations'!$F$3:$F$368))*0.62*6.01*8*(10*F394^0.667)*0.079*0.1/F394)*inputs!$E$80/(10^(0.84+0.62*LOG10(inputs!$E$80)))</f>
        <v>3.2483078352167181</v>
      </c>
      <c r="P394" s="59">
        <f>((MAX('Min rate concentrations'!Y:Y))*0.62*6.01*8*(10*F394^0.667)*0.079*0.1/F394)*inputs!$E$80/(10^(0.84+0.62*LOG10(inputs!$E$80)))</f>
        <v>1.0827692784055722</v>
      </c>
      <c r="Q394" s="59">
        <f>(inputs!$C$7*11.2*(10*F394^0.667)*0.5/F394)*inputs!$E$80/(10^(0.84+0.62*LOG10(inputs!$E$80)))</f>
        <v>0.57217410427586934</v>
      </c>
      <c r="R394" s="59">
        <f>(60*284*((F394/1000)^0.77)*3*24*(MAX('Min rate concentrations'!$R$3:$R$368))/F394)*(inputs!$E$73*3.4/inputs!$E$75)</f>
        <v>5.6916444212573788E-3</v>
      </c>
      <c r="S394" s="59">
        <f>(IF(inputs!$C$6="aerial",((0.025*0.112*inputs!$C$7/3.3)*(3*60*284*((F394/1000)^0.77))*MAX(inputs!$H$14:$H$16))/F394,((0.0083*0.112*inputs!$C$7/1)*(3*60*284*((F394/1000)^0.77))*MAX(inputs!$H$14:$H$16))/F394))*(inputs!E$75*3.4/inputs!$E$73)</f>
        <v>3.1389768668244375E-2</v>
      </c>
      <c r="T394" s="63">
        <f>IF((((inputs!$P$12/(V394/MAX(K394:S394)))^(1/inputs!$O$12))-1)/inputs!$N$12&lt;0, 0, IF((((inputs!$P$12/(V394/MAX(K394:S394)))^(1/inputs!$O$12))-1)/inputs!$N$12&gt;inputs!$H$17, inputs!$H$17, (((inputs!$P$12/(V394/MAX(K394:S394)))^(1/inputs!$O$12))-1)/inputs!$N$12))</f>
        <v>334.67504442639131</v>
      </c>
      <c r="U394" s="63">
        <f>IF((((inputs!$P$12/(X394/MAX(K394:S394)))^(1/inputs!$O$12))-1)/inputs!$N$12&lt;0, 0, IF((((inputs!$P$12/(X394/MAX(K394:S394)))^(1/inputs!$O$12))-1)/inputs!$N$12&gt;inputs!$H$17, inputs!$H$17, (((inputs!$P$12/(X394/MAX(K394:S394)))^(1/inputs!$O$12))-1)/inputs!$N$12))</f>
        <v>16.218105124870377</v>
      </c>
      <c r="V394" s="21">
        <f>inputs!$E$78*(F394/inputs!$F$78)^(inputs!$E$84-1)</f>
        <v>1.1075676756739695E-2</v>
      </c>
      <c r="W394" s="21">
        <f>inputs!$E$85*(F394/inputs!$F$85)^(inputs!$E$84-1)</f>
        <v>0.51145434943903523</v>
      </c>
      <c r="X394" s="21">
        <f>inputs!$E$80*(F394/inputs!$F$80)^(inputs!$E$84-1)</f>
        <v>1.9098611782850048</v>
      </c>
      <c r="Y394" s="21">
        <f>inputs!$E$82*(F394/inputs!$F$82)^(inputs!$E$84-1)</f>
        <v>0.88022483698299681</v>
      </c>
      <c r="Z394" s="63">
        <f t="shared" si="48"/>
        <v>1096.1837791465182</v>
      </c>
      <c r="AA394" s="63">
        <f t="shared" si="49"/>
        <v>23.738144405506439</v>
      </c>
    </row>
    <row r="395" spans="1:27" x14ac:dyDescent="0.25">
      <c r="A395" s="103" t="s">
        <v>352</v>
      </c>
      <c r="B395" s="20" t="s">
        <v>353</v>
      </c>
      <c r="C395" s="20" t="s">
        <v>73</v>
      </c>
      <c r="D395" s="104" t="s">
        <v>354</v>
      </c>
      <c r="E395" s="15">
        <v>142</v>
      </c>
      <c r="F395" s="15">
        <v>430</v>
      </c>
      <c r="G395" s="21" t="s">
        <v>456</v>
      </c>
      <c r="H395" s="20">
        <v>0.68</v>
      </c>
      <c r="I395" s="48">
        <f>MAX('Min rate concentrations'!$J$3:$J$368)</f>
        <v>114.4108103430513</v>
      </c>
      <c r="J395" s="48">
        <f>MAX('Min rate concentrations'!AB:AB)</f>
        <v>40.520495329830666</v>
      </c>
      <c r="K395" s="59">
        <f t="shared" si="46"/>
        <v>23.776609955983666</v>
      </c>
      <c r="L395" s="59">
        <f t="shared" si="50"/>
        <v>8.4208826927442146</v>
      </c>
      <c r="M395" s="59">
        <f>IF((((1.18*F395^0.874)/3.7-(0.301*F395^0.751)/(1-H395)*H395)*(MAX('Min rate concentrations'!$P$3:$P$368)))/F395&gt;0, (((1.18*F395^0.874)/3.7-(0.301*F395^0.751)/(1-H395)*H395)*(MAX('Min rate concentrations'!$P$3:$P$368)))/F395, 0)</f>
        <v>1.0495130753097842E-3</v>
      </c>
      <c r="N395" s="59">
        <f>IF((((1.18*F395^0.874)/3.7-(0.301*F395^0.751)/(1-H395)*H395)*(MAX('Min rate concentrations'!$Q$3:$Q$368)))/F395&gt;0, (((1.18*F395^0.874)/3.7-(0.301*F395^0.751)/(1-H395)*H395)*(MAX('Min rate concentrations'!$Q$3:$Q$368)))/F395, 0)</f>
        <v>3.9966021828857579E-3</v>
      </c>
      <c r="O395" s="59">
        <f>((MAX('Min rate concentrations'!$F$3:$F$368))*0.62*6.01*8*(10*F395^0.667)*0.079*0.1/F395)*inputs!$E$80/(10^(0.84+0.62*LOG10(inputs!$E$80)))</f>
        <v>3.2483078352167181</v>
      </c>
      <c r="P395" s="59">
        <f>((MAX('Min rate concentrations'!Y:Y))*0.62*6.01*8*(10*F395^0.667)*0.079*0.1/F395)*inputs!$E$80/(10^(0.84+0.62*LOG10(inputs!$E$80)))</f>
        <v>1.0827692784055722</v>
      </c>
      <c r="Q395" s="59">
        <f>(inputs!$C$7*11.2*(10*F395^0.667)*0.5/F395)*inputs!$E$80/(10^(0.84+0.62*LOG10(inputs!$E$80)))</f>
        <v>0.57217410427586934</v>
      </c>
      <c r="R395" s="59">
        <f>(60*284*((F395/1000)^0.77)*3*24*(MAX('Min rate concentrations'!$R$3:$R$368))/F395)*(inputs!$E$73*3.4/inputs!$E$75)</f>
        <v>5.6916444212573788E-3</v>
      </c>
      <c r="S395" s="59">
        <f>(IF(inputs!$C$6="aerial",((0.025*0.112*inputs!$C$7/3.3)*(3*60*284*((F395/1000)^0.77))*MAX(inputs!$H$14:$H$16))/F395,((0.0083*0.112*inputs!$C$7/1)*(3*60*284*((F395/1000)^0.77))*MAX(inputs!$H$14:$H$16))/F395))*(inputs!E$75*3.4/inputs!$E$73)</f>
        <v>3.1389768668244375E-2</v>
      </c>
      <c r="T395" s="63">
        <f>IF((((inputs!$P$12/(V395/MAX(K395:S395)))^(1/inputs!$O$12))-1)/inputs!$N$12&lt;0, 0, IF((((inputs!$P$12/(V395/MAX(K395:S395)))^(1/inputs!$O$12))-1)/inputs!$N$12&gt;inputs!$H$17, inputs!$H$17, (((inputs!$P$12/(V395/MAX(K395:S395)))^(1/inputs!$O$12))-1)/inputs!$N$12))</f>
        <v>448.85089520467761</v>
      </c>
      <c r="U395" s="63">
        <f>IF((((inputs!$P$12/(X395/MAX(K395:S395)))^(1/inputs!$O$12))-1)/inputs!$N$12&lt;0, 0, IF((((inputs!$P$12/(X395/MAX(K395:S395)))^(1/inputs!$O$12))-1)/inputs!$N$12&gt;inputs!$H$17, inputs!$H$17, (((inputs!$P$12/(X395/MAX(K395:S395)))^(1/inputs!$O$12))-1)/inputs!$N$12))</f>
        <v>30.273942464066177</v>
      </c>
      <c r="V395" s="21">
        <f>inputs!$E$78*(F395/inputs!$F$78)^(inputs!$E$84-1)</f>
        <v>1.1075676756739695E-2</v>
      </c>
      <c r="W395" s="21">
        <f>inputs!$E$85*(F395/inputs!$F$85)^(inputs!$E$84-1)</f>
        <v>0.51145434943903523</v>
      </c>
      <c r="X395" s="21">
        <f>inputs!$E$80*(F395/inputs!$F$80)^(inputs!$E$84-1)</f>
        <v>1.9098611782850048</v>
      </c>
      <c r="Y395" s="21">
        <f>inputs!$E$82*(F395/inputs!$F$82)^(inputs!$E$84-1)</f>
        <v>0.88022483698299681</v>
      </c>
      <c r="Z395" s="63">
        <f t="shared" si="48"/>
        <v>2146.7410505200314</v>
      </c>
      <c r="AA395" s="63">
        <f t="shared" si="49"/>
        <v>46.488234936435539</v>
      </c>
    </row>
    <row r="396" spans="1:27" ht="26.4" x14ac:dyDescent="0.25">
      <c r="A396" s="55" t="s">
        <v>528</v>
      </c>
      <c r="B396" s="49" t="s">
        <v>529</v>
      </c>
      <c r="C396" s="21" t="s">
        <v>61</v>
      </c>
      <c r="D396" s="20" t="s">
        <v>440</v>
      </c>
      <c r="E396" s="20">
        <v>3</v>
      </c>
      <c r="F396" s="21">
        <v>45000</v>
      </c>
      <c r="G396" s="21" t="s">
        <v>169</v>
      </c>
      <c r="H396" s="21">
        <v>0.79</v>
      </c>
      <c r="I396" s="48">
        <f>MAX('Min rate concentrations'!$D$3:$D$368)</f>
        <v>120</v>
      </c>
      <c r="J396" s="48">
        <f>MAX('Min rate concentrations'!W:W)</f>
        <v>42.5</v>
      </c>
      <c r="K396" s="60">
        <f t="shared" ref="K396:K429" si="51">(((0.235*F396^0.822)/(1-H396)))*I396/F396</f>
        <v>19.941507497793719</v>
      </c>
      <c r="L396" s="60">
        <f t="shared" ref="L396:L420" si="52">(((0.235*F396^0.822)/(1-H396)))*J396/F396</f>
        <v>7.0626172388019413</v>
      </c>
      <c r="M396" s="60">
        <f>IF((((0.326*F396^0.818)-(0.398*F396^0.85)/(1-H396)*H396)*(MAX('Min rate concentrations'!$P$3:$P$368)))/F396&gt;0, (((0.326*F396^0.818)-(0.398*F396^0.85)/(1-H396)*H396)*(MAX('Min rate concentrations'!$P$3:$P$368)))/F396, 0)</f>
        <v>0</v>
      </c>
      <c r="N396" s="60">
        <f>IF((((0.326*F396^0.818)-(0.398*F396^0.85)/(1-H396)*H396)*(MAX('Min rate concentrations'!$Q$3:$Q$368)))/F396&gt; 0, (((0.326*F396^0.818)-(0.398*F396^0.85)/(1-H396)*H396)*(MAX('Min rate concentrations'!$Q$3:$Q$368)))/F396, 0)</f>
        <v>0</v>
      </c>
      <c r="O396" s="60">
        <f>((MAX('Min rate concentrations'!$F$3:$F$368))*0.62*6.01*8*(12.3*F396^0.65)*0.079*0.1/F396)*inputs!$E$73/inputs!$E$74</f>
        <v>1.0610739357541239</v>
      </c>
      <c r="P396" s="60">
        <f>((MAX('Min rate concentrations'!Y:Y))*0.62*6.01*8*(12.3*F396^0.65)*0.079*0.1/F396)*inputs!$E$73/inputs!$E$74</f>
        <v>0.3536913119180411</v>
      </c>
      <c r="Q396" s="60">
        <f>(inputs!$C$7*11.2*(12.3*F396^0.65)*0.5/F396)*inputs!$E$73/inputs!$E$74</f>
        <v>0.18690316914501481</v>
      </c>
      <c r="R396" s="60">
        <f>(60*379*((F396/1000)^0.8)*3*24*(MAX('Min rate concentrations'!$R$3:$R$368))/F396)*(inputs!$E$73/inputs!$E$75)</f>
        <v>8.5928049772373964E-4</v>
      </c>
      <c r="S396" s="60">
        <f>(IF(inputs!$C$6="aerial",((0.025*0.112*inputs!$C$7/3.3)*(3*60*379*((F396/1000)^0.8))*MAX(inputs!$H$14:$H$16))/F396,((0.0083*0.112*inputs!$C$7/1)*(3*60*379*((F396/1000)^0.8))*MAX(inputs!$H$14:$H$16))/F396))*(inputs!E$75/inputs!$E$73)</f>
        <v>4.7389847376873521E-3</v>
      </c>
      <c r="T396" s="63">
        <f>IF((((inputs!$P$12/(V396/MAX(K396:S396)))^(1/inputs!$O$12))-1)/inputs!$N$12&lt;0, 0, IF((((inputs!$P$12/(V396/MAX(K396:S396)))^(1/inputs!$O$12))-1)/inputs!$N$12&gt;inputs!$H$17, inputs!$H$17, (((inputs!$P$12/(V396/MAX(K396:S396)))^(1/inputs!$O$12))-1)/inputs!$N$12))</f>
        <v>81.165099149416946</v>
      </c>
      <c r="U396" s="63">
        <f>IF((((inputs!$P$12/(X396/MAX(K396:S396)))^(1/inputs!$O$12))-1)/inputs!$N$12&lt;0, 0, IF((((inputs!$P$12/(X396/MAX(K396:S396)))^(1/inputs!$O$12))-1)/inputs!$N$12&gt;inputs!$H$17, inputs!$H$17, (((inputs!$P$12/(X396/MAX(K396:S396)))^(1/inputs!$O$12))-1)/inputs!$N$12))</f>
        <v>0</v>
      </c>
      <c r="V396" s="54">
        <f>inputs!$E$70*(inputs!$F$70/F396)^(0.25)</f>
        <v>0.34556625585896705</v>
      </c>
      <c r="W396" s="54">
        <f>inputs!$E$76*(inputs!$F$76/F396)^(0.25)</f>
        <v>0.10393981200762492</v>
      </c>
      <c r="X396" s="54">
        <f>inputs!$E$72*(inputs!$F$72/F396)^(0.25)</f>
        <v>15.245570111425018</v>
      </c>
      <c r="Y396" s="54" t="s">
        <v>13</v>
      </c>
      <c r="Z396" s="106">
        <f t="shared" si="48"/>
        <v>57.706755679096958</v>
      </c>
      <c r="AA396" s="106">
        <f t="shared" si="49"/>
        <v>191.85629753044799</v>
      </c>
    </row>
    <row r="397" spans="1:27" ht="26.4" x14ac:dyDescent="0.25">
      <c r="A397" s="55" t="s">
        <v>528</v>
      </c>
      <c r="B397" s="49" t="s">
        <v>529</v>
      </c>
      <c r="C397" s="21" t="s">
        <v>61</v>
      </c>
      <c r="D397" s="20" t="s">
        <v>440</v>
      </c>
      <c r="E397" s="20">
        <v>3</v>
      </c>
      <c r="F397" s="21">
        <v>45000</v>
      </c>
      <c r="G397" s="21" t="s">
        <v>177</v>
      </c>
      <c r="H397" s="21">
        <v>0.85</v>
      </c>
      <c r="I397" s="48">
        <f>MAX('Min rate concentrations'!$F$3:$F$368)</f>
        <v>67.5</v>
      </c>
      <c r="J397" s="48">
        <f>MAX('Min rate concentrations'!Y:Y)</f>
        <v>22.5</v>
      </c>
      <c r="K397" s="60">
        <f t="shared" si="51"/>
        <v>15.703937154512547</v>
      </c>
      <c r="L397" s="60">
        <f t="shared" si="52"/>
        <v>5.2346457181708494</v>
      </c>
      <c r="M397" s="60">
        <f>IF((((0.326*F397^0.818)-(0.398*F397^0.85)/(1-H397)*H397)*(MAX('Min rate concentrations'!$P$3:$P$368)))/F397&gt;0, (((0.326*F397^0.818)-(0.398*F397^0.85)/(1-H397)*H397)*(MAX('Min rate concentrations'!$P$3:$P$368)))/F397, 0)</f>
        <v>0</v>
      </c>
      <c r="N397" s="60">
        <f>IF((((0.326*F397^0.818)-(0.398*F397^0.85)/(1-H397)*H397)*(MAX('Min rate concentrations'!$Q$3:$Q$368)))/F397&gt; 0, (((0.326*F397^0.818)-(0.398*F397^0.85)/(1-H397)*H397)*(MAX('Min rate concentrations'!$Q$3:$Q$368)))/F397, 0)</f>
        <v>0</v>
      </c>
      <c r="O397" s="60">
        <f>((MAX('Min rate concentrations'!$F$3:$F$368))*0.62*6.01*8*(12.3*F397^0.65)*0.079*0.1/F397)*inputs!$E$73/inputs!$E$74</f>
        <v>1.0610739357541239</v>
      </c>
      <c r="P397" s="60">
        <f>((MAX('Min rate concentrations'!Y:Y))*0.62*6.01*8*(12.3*F397^0.65)*0.079*0.1/F397)*inputs!$E$73/inputs!$E$74</f>
        <v>0.3536913119180411</v>
      </c>
      <c r="Q397" s="60">
        <f>(inputs!$C$7*11.2*(12.3*F397^0.65)*0.5/F397)*inputs!$E$73/inputs!$E$74</f>
        <v>0.18690316914501481</v>
      </c>
      <c r="R397" s="60">
        <f>(60*379*((F397/1000)^0.8)*3*24*(MAX('Min rate concentrations'!$R$3:$R$368))/F397)*(inputs!$E$73/inputs!$E$75)</f>
        <v>8.5928049772373964E-4</v>
      </c>
      <c r="S397" s="60">
        <f>(IF(inputs!$C$6="aerial",((0.025*0.112*inputs!$C$7/3.3)*(3*60*379*((F397/1000)^0.8))*MAX(inputs!$H$14:$H$16))/F397,((0.0083*0.112*inputs!$C$7/1)*(3*60*379*((F397/1000)^0.8))*MAX(inputs!$H$14:$H$16))/F397))*(inputs!E$75/inputs!$E$73)</f>
        <v>4.7389847376873521E-3</v>
      </c>
      <c r="T397" s="63">
        <f>IF((((inputs!$P$12/(V397/MAX(K397:S397)))^(1/inputs!$O$12))-1)/inputs!$N$12&lt;0, 0, IF((((inputs!$P$12/(V397/MAX(K397:S397)))^(1/inputs!$O$12))-1)/inputs!$N$12&gt;inputs!$H$17, inputs!$H$17, (((inputs!$P$12/(V397/MAX(K397:S397)))^(1/inputs!$O$12))-1)/inputs!$N$12))</f>
        <v>71.011639527523826</v>
      </c>
      <c r="U397" s="63">
        <f>IF((((inputs!$P$12/(X397/MAX(K397:S397)))^(1/inputs!$O$12))-1)/inputs!$N$12&lt;0, 0, IF((((inputs!$P$12/(X397/MAX(K397:S397)))^(1/inputs!$O$12))-1)/inputs!$N$12&gt;inputs!$H$17, inputs!$H$17, (((inputs!$P$12/(X397/MAX(K397:S397)))^(1/inputs!$O$12))-1)/inputs!$N$12))</f>
        <v>0</v>
      </c>
      <c r="V397" s="54">
        <f>inputs!$E$70*(inputs!$F$70/F397)^(0.25)</f>
        <v>0.34556625585896705</v>
      </c>
      <c r="W397" s="54">
        <f>inputs!$E$76*(inputs!$F$76/F397)^(0.25)</f>
        <v>0.10393981200762492</v>
      </c>
      <c r="X397" s="54">
        <f>inputs!$E$72*(inputs!$F$72/F397)^(0.25)</f>
        <v>15.245570111425018</v>
      </c>
      <c r="Y397" s="54" t="s">
        <v>13</v>
      </c>
      <c r="Z397" s="106">
        <f t="shared" si="48"/>
        <v>45.444070097288829</v>
      </c>
      <c r="AA397" s="106">
        <f t="shared" si="49"/>
        <v>151.08683430522774</v>
      </c>
    </row>
    <row r="398" spans="1:27" x14ac:dyDescent="0.25">
      <c r="A398" s="55" t="s">
        <v>526</v>
      </c>
      <c r="B398" s="49" t="s">
        <v>527</v>
      </c>
      <c r="C398" s="21" t="s">
        <v>61</v>
      </c>
      <c r="D398" s="20" t="s">
        <v>440</v>
      </c>
      <c r="E398" s="20">
        <v>4</v>
      </c>
      <c r="F398" s="21">
        <v>28000</v>
      </c>
      <c r="G398" s="21" t="s">
        <v>169</v>
      </c>
      <c r="H398" s="21">
        <v>0.79</v>
      </c>
      <c r="I398" s="48">
        <f>MAX('Min rate concentrations'!$D$3:$D$368)</f>
        <v>120</v>
      </c>
      <c r="J398" s="48">
        <f>MAX('Min rate concentrations'!W:W)</f>
        <v>42.5</v>
      </c>
      <c r="K398" s="60">
        <f t="shared" si="51"/>
        <v>21.698798356545133</v>
      </c>
      <c r="L398" s="60">
        <f t="shared" si="52"/>
        <v>7.6849910846097345</v>
      </c>
      <c r="M398" s="60">
        <f>IF((((0.326*F398^0.818)-(0.398*F398^0.85)/(1-H398)*H398)*(MAX('Min rate concentrations'!$P$3:$P$368)))/F398&gt;0, (((0.326*F398^0.818)-(0.398*F398^0.85)/(1-H398)*H398)*(MAX('Min rate concentrations'!$P$3:$P$368)))/F398, 0)</f>
        <v>0</v>
      </c>
      <c r="N398" s="60">
        <f>IF((((0.326*F398^0.818)-(0.398*F398^0.85)/(1-H398)*H398)*(MAX('Min rate concentrations'!$Q$3:$Q$368)))/F398&gt; 0, (((0.326*F398^0.818)-(0.398*F398^0.85)/(1-H398)*H398)*(MAX('Min rate concentrations'!$Q$3:$Q$368)))/F398, 0)</f>
        <v>0</v>
      </c>
      <c r="O398" s="60">
        <f>((MAX('Min rate concentrations'!$F$3:$F$368))*0.62*6.01*8*(12.3*F398^0.65)*0.079*0.1/F398)*inputs!$E$73/inputs!$E$74</f>
        <v>1.2527508771451072</v>
      </c>
      <c r="P398" s="60">
        <f>((MAX('Min rate concentrations'!Y:Y))*0.62*6.01*8*(12.3*F398^0.65)*0.079*0.1/F398)*inputs!$E$73/inputs!$E$74</f>
        <v>0.41758362571503566</v>
      </c>
      <c r="Q398" s="60">
        <f>(inputs!$C$7*11.2*(12.3*F398^0.65)*0.5/F398)*inputs!$E$73/inputs!$E$74</f>
        <v>0.220666158311775</v>
      </c>
      <c r="R398" s="60">
        <f>(60*379*((F398/1000)^0.8)*3*24*(MAX('Min rate concentrations'!$R$3:$R$368))/F398)*(inputs!$E$73/inputs!$E$75)</f>
        <v>9.4481298122449126E-4</v>
      </c>
      <c r="S398" s="60">
        <f>(IF(inputs!$C$6="aerial",((0.025*0.112*inputs!$C$7/3.3)*(3*60*379*((F398/1000)^0.8))*MAX(inputs!$H$14:$H$16))/F398,((0.0083*0.112*inputs!$C$7/1)*(3*60*379*((F398/1000)^0.8))*MAX(inputs!$H$14:$H$16))/F398))*(inputs!E$75/inputs!$E$73)</f>
        <v>5.2107016391651677E-3</v>
      </c>
      <c r="T398" s="63">
        <f>IF((((inputs!$P$12/(V398/MAX(K398:S398)))^(1/inputs!$O$12))-1)/inputs!$N$12&lt;0, 0, IF((((inputs!$P$12/(V398/MAX(K398:S398)))^(1/inputs!$O$12))-1)/inputs!$N$12&gt;inputs!$H$17, inputs!$H$17, (((inputs!$P$12/(V398/MAX(K398:S398)))^(1/inputs!$O$12))-1)/inputs!$N$12))</f>
        <v>79.652033875440239</v>
      </c>
      <c r="U398" s="63">
        <f>IF((((inputs!$P$12/(X398/MAX(K398:S398)))^(1/inputs!$O$12))-1)/inputs!$N$12&lt;0, 0, IF((((inputs!$P$12/(X398/MAX(K398:S398)))^(1/inputs!$O$12))-1)/inputs!$N$12&gt;inputs!$H$17, inputs!$H$17, (((inputs!$P$12/(X398/MAX(K398:S398)))^(1/inputs!$O$12))-1)/inputs!$N$12))</f>
        <v>0</v>
      </c>
      <c r="V398" s="54">
        <f>inputs!$E$70*(inputs!$F$70/F398)^(0.25)</f>
        <v>0.38908541204840058</v>
      </c>
      <c r="W398" s="54">
        <f>inputs!$E$76*(inputs!$F$76/F398)^(0.25)</f>
        <v>0.11702955337087387</v>
      </c>
      <c r="X398" s="54">
        <f>inputs!$E$72*(inputs!$F$72/F398)^(0.25)</f>
        <v>17.165532884488261</v>
      </c>
      <c r="Y398" s="54" t="s">
        <v>13</v>
      </c>
      <c r="Z398" s="106">
        <f t="shared" si="48"/>
        <v>55.768727597132049</v>
      </c>
      <c r="AA398" s="106">
        <f t="shared" si="49"/>
        <v>185.41298100814163</v>
      </c>
    </row>
    <row r="399" spans="1:27" x14ac:dyDescent="0.25">
      <c r="A399" s="55" t="s">
        <v>526</v>
      </c>
      <c r="B399" s="49" t="s">
        <v>527</v>
      </c>
      <c r="C399" s="21" t="s">
        <v>61</v>
      </c>
      <c r="D399" s="20" t="s">
        <v>440</v>
      </c>
      <c r="E399" s="20">
        <v>4</v>
      </c>
      <c r="F399" s="21">
        <v>28000</v>
      </c>
      <c r="G399" s="21" t="s">
        <v>158</v>
      </c>
      <c r="H399" s="21">
        <v>0.85</v>
      </c>
      <c r="I399" s="48">
        <f>MAX('Min rate concentrations'!$F$3:$F$368)</f>
        <v>67.5</v>
      </c>
      <c r="J399" s="48">
        <f>MAX('Min rate concentrations'!Y:Y)</f>
        <v>22.5</v>
      </c>
      <c r="K399" s="60">
        <f t="shared" si="51"/>
        <v>17.087803705779287</v>
      </c>
      <c r="L399" s="60">
        <f t="shared" si="52"/>
        <v>5.6959345685930955</v>
      </c>
      <c r="M399" s="60">
        <f>IF((((0.326*F399^0.818)-(0.398*F399^0.85)/(1-H399)*H399)*(MAX('Min rate concentrations'!$P$3:$P$368)))/F399&gt;0, (((0.326*F399^0.818)-(0.398*F399^0.85)/(1-H399)*H399)*(MAX('Min rate concentrations'!$P$3:$P$368)))/F399, 0)</f>
        <v>0</v>
      </c>
      <c r="N399" s="60">
        <f>IF((((0.326*F399^0.818)-(0.398*F399^0.85)/(1-H399)*H399)*(MAX('Min rate concentrations'!$Q$3:$Q$368)))/F399&gt; 0, (((0.326*F399^0.818)-(0.398*F399^0.85)/(1-H399)*H399)*(MAX('Min rate concentrations'!$Q$3:$Q$368)))/F399, 0)</f>
        <v>0</v>
      </c>
      <c r="O399" s="60">
        <f>((MAX('Min rate concentrations'!$F$3:$F$368))*0.62*6.01*8*(12.3*F399^0.65)*0.079*0.1/F399)*inputs!$E$73/inputs!$E$74</f>
        <v>1.2527508771451072</v>
      </c>
      <c r="P399" s="60">
        <f>((MAX('Min rate concentrations'!Y:Y))*0.62*6.01*8*(12.3*F399^0.65)*0.079*0.1/F399)*inputs!$E$73/inputs!$E$74</f>
        <v>0.41758362571503566</v>
      </c>
      <c r="Q399" s="60">
        <f>(inputs!$C$7*11.2*(12.3*F399^0.65)*0.5/F399)*inputs!$E$73/inputs!$E$74</f>
        <v>0.220666158311775</v>
      </c>
      <c r="R399" s="60">
        <f>(60*379*((F399/1000)^0.8)*3*24*(MAX('Min rate concentrations'!$R$3:$R$368))/F399)*(inputs!$E$73/inputs!$E$75)</f>
        <v>9.4481298122449126E-4</v>
      </c>
      <c r="S399" s="60">
        <f>(IF(inputs!$C$6="aerial",((0.025*0.112*inputs!$C$7/3.3)*(3*60*379*((F399/1000)^0.8))*MAX(inputs!$H$14:$H$16))/F399,((0.0083*0.112*inputs!$C$7/1)*(3*60*379*((F399/1000)^0.8))*MAX(inputs!$H$14:$H$16))/F399))*(inputs!E$75/inputs!$E$73)</f>
        <v>5.2107016391651677E-3</v>
      </c>
      <c r="T399" s="63">
        <f>IF((((inputs!$P$12/(V399/MAX(K399:S399)))^(1/inputs!$O$12))-1)/inputs!$N$12&lt;0, 0, IF((((inputs!$P$12/(V399/MAX(K399:S399)))^(1/inputs!$O$12))-1)/inputs!$N$12&gt;inputs!$H$17, inputs!$H$17, (((inputs!$P$12/(V399/MAX(K399:S399)))^(1/inputs!$O$12))-1)/inputs!$N$12))</f>
        <v>69.638675747160136</v>
      </c>
      <c r="U399" s="63">
        <f>IF((((inputs!$P$12/(X399/MAX(K399:S399)))^(1/inputs!$O$12))-1)/inputs!$N$12&lt;0, 0, IF((((inputs!$P$12/(X399/MAX(K399:S399)))^(1/inputs!$O$12))-1)/inputs!$N$12&gt;inputs!$H$17, inputs!$H$17, (((inputs!$P$12/(X399/MAX(K399:S399)))^(1/inputs!$O$12))-1)/inputs!$N$12))</f>
        <v>0</v>
      </c>
      <c r="V399" s="54">
        <f>inputs!$E$70*(inputs!$F$70/F399)^(0.25)</f>
        <v>0.38908541204840058</v>
      </c>
      <c r="W399" s="54">
        <f>inputs!$E$76*(inputs!$F$76/F399)^(0.25)</f>
        <v>0.11702955337087387</v>
      </c>
      <c r="X399" s="54">
        <f>inputs!$E$72*(inputs!$F$72/F399)^(0.25)</f>
        <v>17.165532884488261</v>
      </c>
      <c r="Y399" s="54" t="s">
        <v>13</v>
      </c>
      <c r="Z399" s="106">
        <f t="shared" si="48"/>
        <v>43.917872982741478</v>
      </c>
      <c r="AA399" s="106">
        <f t="shared" si="49"/>
        <v>146.01272254391148</v>
      </c>
    </row>
    <row r="400" spans="1:27" ht="26.4" x14ac:dyDescent="0.25">
      <c r="A400" s="55" t="s">
        <v>532</v>
      </c>
      <c r="B400" s="49" t="s">
        <v>533</v>
      </c>
      <c r="C400" s="21" t="s">
        <v>61</v>
      </c>
      <c r="D400" s="20" t="s">
        <v>440</v>
      </c>
      <c r="E400" s="20">
        <v>56</v>
      </c>
      <c r="F400" s="21">
        <v>48000</v>
      </c>
      <c r="G400" s="21" t="s">
        <v>169</v>
      </c>
      <c r="H400" s="21">
        <v>0.79</v>
      </c>
      <c r="I400" s="48">
        <f>MAX('Min rate concentrations'!$D$3:$D$368)</f>
        <v>120</v>
      </c>
      <c r="J400" s="48">
        <f>MAX('Min rate concentrations'!W:W)</f>
        <v>42.5</v>
      </c>
      <c r="K400" s="60">
        <f t="shared" si="51"/>
        <v>19.71373314058506</v>
      </c>
      <c r="L400" s="60">
        <f t="shared" si="52"/>
        <v>6.9819471539572087</v>
      </c>
      <c r="M400" s="60">
        <f>IF((((0.326*F400^0.818)-(0.398*F400^0.85)/(1-H400)*H400)*(MAX('Min rate concentrations'!$P$3:$P$368)))/F400&gt;0, (((0.326*F400^0.818)-(0.398*F400^0.85)/(1-H400)*H400)*(MAX('Min rate concentrations'!$P$3:$P$368)))/F400, 0)</f>
        <v>0</v>
      </c>
      <c r="N400" s="60">
        <f>IF((((0.326*F400^0.818)-(0.398*F400^0.85)/(1-H400)*H400)*(MAX('Min rate concentrations'!$Q$3:$Q$368)))/F400&gt; 0, (((0.326*F400^0.818)-(0.398*F400^0.85)/(1-H400)*H400)*(MAX('Min rate concentrations'!$Q$3:$Q$368)))/F400, 0)</f>
        <v>0</v>
      </c>
      <c r="O400" s="60">
        <f>((MAX('Min rate concentrations'!$F$3:$F$368))*0.62*6.01*8*(12.3*F400^0.65)*0.079*0.1/F400)*inputs!$E$73/inputs!$E$74</f>
        <v>1.0373745599873574</v>
      </c>
      <c r="P400" s="60">
        <f>((MAX('Min rate concentrations'!Y:Y))*0.62*6.01*8*(12.3*F400^0.65)*0.079*0.1/F400)*inputs!$E$73/inputs!$E$74</f>
        <v>0.34579151999578572</v>
      </c>
      <c r="Q400" s="60">
        <f>(inputs!$C$7*11.2*(12.3*F400^0.65)*0.5/F400)*inputs!$E$73/inputs!$E$74</f>
        <v>0.18272863588365534</v>
      </c>
      <c r="R400" s="60">
        <f>(60*379*((F400/1000)^0.8)*3*24*(MAX('Min rate concentrations'!$R$3:$R$368))/F400)*(inputs!$E$73/inputs!$E$75)</f>
        <v>8.4826043407462606E-4</v>
      </c>
      <c r="S400" s="60">
        <f>(IF(inputs!$C$6="aerial",((0.025*0.112*inputs!$C$7/3.3)*(3*60*379*((F400/1000)^0.8))*MAX(inputs!$H$14:$H$16))/F400,((0.0083*0.112*inputs!$C$7/1)*(3*60*379*((F400/1000)^0.8))*MAX(inputs!$H$14:$H$16))/F400))*(inputs!E$75/inputs!$E$73)</f>
        <v>4.678208409608412E-3</v>
      </c>
      <c r="T400" s="63">
        <f>IF((((inputs!$P$12/(V400/MAX(K400:S400)))^(1/inputs!$O$12))-1)/inputs!$N$12&lt;0, 0, IF((((inputs!$P$12/(V400/MAX(K400:S400)))^(1/inputs!$O$12))-1)/inputs!$N$12&gt;inputs!$H$17, inputs!$H$17, (((inputs!$P$12/(V400/MAX(K400:S400)))^(1/inputs!$O$12))-1)/inputs!$N$12))</f>
        <v>81.372544185976338</v>
      </c>
      <c r="U400" s="63">
        <f>IF((((inputs!$P$12/(X400/MAX(K400:S400)))^(1/inputs!$O$12))-1)/inputs!$N$12&lt;0, 0, IF((((inputs!$P$12/(X400/MAX(K400:S400)))^(1/inputs!$O$12))-1)/inputs!$N$12&gt;inputs!$H$17, inputs!$H$17, (((inputs!$P$12/(X400/MAX(K400:S400)))^(1/inputs!$O$12))-1)/inputs!$N$12))</f>
        <v>0</v>
      </c>
      <c r="V400" s="54">
        <f>inputs!$E$70*(inputs!$F$70/F400)^(0.25)</f>
        <v>0.34003541113415708</v>
      </c>
      <c r="W400" s="54">
        <f>inputs!$E$76*(inputs!$F$76/F400)^(0.25)</f>
        <v>0.1022762382321382</v>
      </c>
      <c r="X400" s="54">
        <f>inputs!$E$72*(inputs!$F$72/F400)^(0.25)</f>
        <v>15.001562255918696</v>
      </c>
      <c r="Y400" s="54" t="s">
        <v>13</v>
      </c>
      <c r="Z400" s="106">
        <f t="shared" si="48"/>
        <v>57.975529886230674</v>
      </c>
      <c r="AA400" s="106">
        <f t="shared" si="49"/>
        <v>192.74988483483767</v>
      </c>
    </row>
    <row r="401" spans="1:27" ht="26.4" x14ac:dyDescent="0.25">
      <c r="A401" s="55" t="s">
        <v>532</v>
      </c>
      <c r="B401" s="49" t="s">
        <v>533</v>
      </c>
      <c r="C401" s="21" t="s">
        <v>61</v>
      </c>
      <c r="D401" s="20" t="s">
        <v>440</v>
      </c>
      <c r="E401" s="20">
        <v>56</v>
      </c>
      <c r="F401" s="21">
        <v>48000</v>
      </c>
      <c r="G401" s="21" t="s">
        <v>177</v>
      </c>
      <c r="H401" s="21">
        <v>0.85</v>
      </c>
      <c r="I401" s="48">
        <f>MAX('Min rate concentrations'!$F$3:$F$368)</f>
        <v>67.5</v>
      </c>
      <c r="J401" s="48">
        <f>MAX('Min rate concentrations'!Y:Y)</f>
        <v>22.5</v>
      </c>
      <c r="K401" s="60">
        <f t="shared" si="51"/>
        <v>15.524564848210728</v>
      </c>
      <c r="L401" s="60">
        <f t="shared" si="52"/>
        <v>5.174854949403576</v>
      </c>
      <c r="M401" s="60">
        <f>IF((((0.326*F401^0.818)-(0.398*F401^0.85)/(1-H401)*H401)*(MAX('Min rate concentrations'!$P$3:$P$368)))/F401&gt;0, (((0.326*F401^0.818)-(0.398*F401^0.85)/(1-H401)*H401)*(MAX('Min rate concentrations'!$P$3:$P$368)))/F401, 0)</f>
        <v>0</v>
      </c>
      <c r="N401" s="60">
        <f>IF((((0.326*F401^0.818)-(0.398*F401^0.85)/(1-H401)*H401)*(MAX('Min rate concentrations'!$Q$3:$Q$368)))/F401&gt; 0, (((0.326*F401^0.818)-(0.398*F401^0.85)/(1-H401)*H401)*(MAX('Min rate concentrations'!$Q$3:$Q$368)))/F401, 0)</f>
        <v>0</v>
      </c>
      <c r="O401" s="60">
        <f>((MAX('Min rate concentrations'!$F$3:$F$368))*0.62*6.01*8*(12.3*F401^0.65)*0.079*0.1/F401)*inputs!$E$73/inputs!$E$74</f>
        <v>1.0373745599873574</v>
      </c>
      <c r="P401" s="60">
        <f>((MAX('Min rate concentrations'!Y:Y))*0.62*6.01*8*(12.3*F401^0.65)*0.079*0.1/F401)*inputs!$E$73/inputs!$E$74</f>
        <v>0.34579151999578572</v>
      </c>
      <c r="Q401" s="60">
        <f>(inputs!$C$7*11.2*(12.3*F401^0.65)*0.5/F401)*inputs!$E$73/inputs!$E$74</f>
        <v>0.18272863588365534</v>
      </c>
      <c r="R401" s="60">
        <f>(60*379*((F401/1000)^0.8)*3*24*(MAX('Min rate concentrations'!$R$3:$R$368))/F401)*(inputs!$E$73/inputs!$E$75)</f>
        <v>8.4826043407462606E-4</v>
      </c>
      <c r="S401" s="60">
        <f>(IF(inputs!$C$6="aerial",((0.025*0.112*inputs!$C$7/3.3)*(3*60*379*((F401/1000)^0.8))*MAX(inputs!$H$14:$H$16))/F401,((0.0083*0.112*inputs!$C$7/1)*(3*60*379*((F401/1000)^0.8))*MAX(inputs!$H$14:$H$16))/F401))*(inputs!E$75/inputs!$E$73)</f>
        <v>4.678208409608412E-3</v>
      </c>
      <c r="T401" s="63">
        <f>IF((((inputs!$P$12/(V401/MAX(K401:S401)))^(1/inputs!$O$12))-1)/inputs!$N$12&lt;0, 0, IF((((inputs!$P$12/(V401/MAX(K401:S401)))^(1/inputs!$O$12))-1)/inputs!$N$12&gt;inputs!$H$17, inputs!$H$17, (((inputs!$P$12/(V401/MAX(K401:S401)))^(1/inputs!$O$12))-1)/inputs!$N$12))</f>
        <v>71.199876298607535</v>
      </c>
      <c r="U401" s="63">
        <f>IF((((inputs!$P$12/(X401/MAX(K401:S401)))^(1/inputs!$O$12))-1)/inputs!$N$12&lt;0, 0, IF((((inputs!$P$12/(X401/MAX(K401:S401)))^(1/inputs!$O$12))-1)/inputs!$N$12&gt;inputs!$H$17, inputs!$H$17, (((inputs!$P$12/(X401/MAX(K401:S401)))^(1/inputs!$O$12))-1)/inputs!$N$12))</f>
        <v>0</v>
      </c>
      <c r="V401" s="54">
        <f>inputs!$E$70*(inputs!$F$70/F401)^(0.25)</f>
        <v>0.34003541113415708</v>
      </c>
      <c r="W401" s="54">
        <f>inputs!$E$76*(inputs!$F$76/F401)^(0.25)</f>
        <v>0.1022762382321382</v>
      </c>
      <c r="X401" s="54">
        <f>inputs!$E$72*(inputs!$F$72/F401)^(0.25)</f>
        <v>15.001562255918696</v>
      </c>
      <c r="Y401" s="54" t="s">
        <v>13</v>
      </c>
      <c r="Z401" s="106">
        <f t="shared" si="48"/>
        <v>45.655729785406642</v>
      </c>
      <c r="AA401" s="106">
        <f t="shared" si="49"/>
        <v>151.7905343074346</v>
      </c>
    </row>
    <row r="402" spans="1:27" x14ac:dyDescent="0.25">
      <c r="A402" s="55" t="s">
        <v>534</v>
      </c>
      <c r="B402" s="49" t="s">
        <v>535</v>
      </c>
      <c r="C402" s="21" t="s">
        <v>61</v>
      </c>
      <c r="D402" s="20" t="s">
        <v>440</v>
      </c>
      <c r="E402" s="20">
        <v>57</v>
      </c>
      <c r="F402" s="21">
        <v>61000</v>
      </c>
      <c r="G402" s="21" t="s">
        <v>169</v>
      </c>
      <c r="H402" s="21">
        <v>0.79</v>
      </c>
      <c r="I402" s="48">
        <f>MAX('Min rate concentrations'!$D$3:$D$368)</f>
        <v>120</v>
      </c>
      <c r="J402" s="48">
        <f>MAX('Min rate concentrations'!W:W)</f>
        <v>42.5</v>
      </c>
      <c r="K402" s="60">
        <f t="shared" si="51"/>
        <v>18.890397774953819</v>
      </c>
      <c r="L402" s="60">
        <f t="shared" si="52"/>
        <v>6.6903492119628112</v>
      </c>
      <c r="M402" s="60">
        <f>IF((((0.326*F402^0.818)-(0.398*F402^0.85)/(1-H402)*H402)*(MAX('Min rate concentrations'!$P$3:$P$368)))/F402&gt;0, (((0.326*F402^0.818)-(0.398*F402^0.85)/(1-H402)*H402)*(MAX('Min rate concentrations'!$P$3:$P$368)))/F402, 0)</f>
        <v>0</v>
      </c>
      <c r="N402" s="60">
        <f>IF((((0.326*F402^0.818)-(0.398*F402^0.85)/(1-H402)*H402)*(MAX('Min rate concentrations'!$Q$3:$Q$368)))/F402&gt; 0, (((0.326*F402^0.818)-(0.398*F402^0.85)/(1-H402)*H402)*(MAX('Min rate concentrations'!$Q$3:$Q$368)))/F402, 0)</f>
        <v>0</v>
      </c>
      <c r="O402" s="60">
        <f>((MAX('Min rate concentrations'!$F$3:$F$368))*0.62*6.01*8*(12.3*F402^0.65)*0.079*0.1/F402)*inputs!$E$73/inputs!$E$74</f>
        <v>0.95390381175842809</v>
      </c>
      <c r="P402" s="60">
        <f>((MAX('Min rate concentrations'!Y:Y))*0.62*6.01*8*(12.3*F402^0.65)*0.079*0.1/F402)*inputs!$E$73/inputs!$E$74</f>
        <v>0.31796793725280931</v>
      </c>
      <c r="Q402" s="60">
        <f>(inputs!$C$7*11.2*(12.3*F402^0.65)*0.5/F402)*inputs!$E$73/inputs!$E$74</f>
        <v>0.16802565727943145</v>
      </c>
      <c r="R402" s="60">
        <f>(60*379*((F402/1000)^0.8)*3*24*(MAX('Min rate concentrations'!$R$3:$R$368))/F402)*(inputs!$E$73/inputs!$E$75)</f>
        <v>8.0855858168681755E-4</v>
      </c>
      <c r="S402" s="60">
        <f>(IF(inputs!$C$6="aerial",((0.025*0.112*inputs!$C$7/3.3)*(3*60*379*((F402/1000)^0.8))*MAX(inputs!$H$14:$H$16))/F402,((0.0083*0.112*inputs!$C$7/1)*(3*60*379*((F402/1000)^0.8))*MAX(inputs!$H$14:$H$16))/F402))*(inputs!E$75/inputs!$E$73)</f>
        <v>4.4592502544749642E-3</v>
      </c>
      <c r="T402" s="63">
        <f>IF((((inputs!$P$12/(V402/MAX(K402:S402)))^(1/inputs!$O$12))-1)/inputs!$N$12&lt;0, 0, IF((((inputs!$P$12/(V402/MAX(K402:S402)))^(1/inputs!$O$12))-1)/inputs!$N$12&gt;inputs!$H$17, inputs!$H$17, (((inputs!$P$12/(V402/MAX(K402:S402)))^(1/inputs!$O$12))-1)/inputs!$N$12))</f>
        <v>82.146361132749576</v>
      </c>
      <c r="U402" s="63">
        <f>IF((((inputs!$P$12/(X402/MAX(K402:S402)))^(1/inputs!$O$12))-1)/inputs!$N$12&lt;0, 0, IF((((inputs!$P$12/(X402/MAX(K402:S402)))^(1/inputs!$O$12))-1)/inputs!$N$12&gt;inputs!$H$17, inputs!$H$17, (((inputs!$P$12/(X402/MAX(K402:S402)))^(1/inputs!$O$12))-1)/inputs!$N$12))</f>
        <v>0</v>
      </c>
      <c r="V402" s="54">
        <f>inputs!$E$70*(inputs!$F$70/F402)^(0.25)</f>
        <v>0.32025948225875905</v>
      </c>
      <c r="W402" s="54">
        <f>inputs!$E$76*(inputs!$F$76/F402)^(0.25)</f>
        <v>9.6328011821906936E-2</v>
      </c>
      <c r="X402" s="54">
        <f>inputs!$E$72*(inputs!$F$72/F402)^(0.25)</f>
        <v>14.129094805533487</v>
      </c>
      <c r="Y402" s="54" t="s">
        <v>13</v>
      </c>
      <c r="Z402" s="106">
        <f t="shared" si="48"/>
        <v>58.984663441412181</v>
      </c>
      <c r="AA402" s="106">
        <f t="shared" si="49"/>
        <v>196.10492750414849</v>
      </c>
    </row>
    <row r="403" spans="1:27" x14ac:dyDescent="0.25">
      <c r="A403" s="55" t="s">
        <v>438</v>
      </c>
      <c r="B403" s="49" t="s">
        <v>439</v>
      </c>
      <c r="C403" s="21" t="s">
        <v>61</v>
      </c>
      <c r="D403" s="20" t="s">
        <v>440</v>
      </c>
      <c r="E403" s="20">
        <v>9</v>
      </c>
      <c r="F403" s="21">
        <v>47630</v>
      </c>
      <c r="G403" s="21" t="s">
        <v>152</v>
      </c>
      <c r="H403" s="21">
        <v>0.77</v>
      </c>
      <c r="I403" s="48">
        <f>MAX('Min rate concentrations'!$G$3:$G$368)</f>
        <v>7.5</v>
      </c>
      <c r="J403" s="48">
        <f>MAX('Min rate concentrations'!Z:Z)</f>
        <v>3.5</v>
      </c>
      <c r="K403" s="60">
        <f t="shared" si="51"/>
        <v>1.1265190652473667</v>
      </c>
      <c r="L403" s="60">
        <f t="shared" si="52"/>
        <v>0.52570889711543778</v>
      </c>
      <c r="M403" s="60">
        <f>IF((((0.326*F403^0.818)-(0.398*F403^0.85)/(1-H403)*H403)*(MAX('Min rate concentrations'!$P$3:$P$368)))/F403&gt;0, (((0.326*F403^0.818)-(0.398*F403^0.85)/(1-H403)*H403)*(MAX('Min rate concentrations'!$P$3:$P$368)))/F403, 0)</f>
        <v>0</v>
      </c>
      <c r="N403" s="60">
        <f>IF((((0.326*F403^0.818)-(0.398*F403^0.85)/(1-H403)*H403)*(MAX('Min rate concentrations'!$Q$3:$Q$368)))/F403&gt; 0, (((0.326*F403^0.818)-(0.398*F403^0.85)/(1-H403)*H403)*(MAX('Min rate concentrations'!$Q$3:$Q$368)))/F403, 0)</f>
        <v>0</v>
      </c>
      <c r="O403" s="60">
        <f>((MAX('Min rate concentrations'!$F$3:$F$368))*0.62*6.01*8*(12.3*F403^0.65)*0.079*0.1/F403)*inputs!$E$73/inputs!$E$74</f>
        <v>1.0401879608501756</v>
      </c>
      <c r="P403" s="60">
        <f>((MAX('Min rate concentrations'!Y:Y))*0.62*6.01*8*(12.3*F403^0.65)*0.079*0.1/F403)*inputs!$E$73/inputs!$E$74</f>
        <v>0.34672932028339176</v>
      </c>
      <c r="Q403" s="60">
        <f>(inputs!$C$7*11.2*(12.3*F403^0.65)*0.5/F403)*inputs!$E$73/inputs!$E$74</f>
        <v>0.18322420317601595</v>
      </c>
      <c r="R403" s="60">
        <f>(60*379*((F403/1000)^0.8)*3*24*(MAX('Min rate concentrations'!$R$3:$R$368))/F403)*(inputs!$E$73/inputs!$E$75)</f>
        <v>8.4957425158586322E-4</v>
      </c>
      <c r="S403" s="60">
        <f>(IF(inputs!$C$6="aerial",((0.025*0.112*inputs!$C$7/3.3)*(3*60*379*((F403/1000)^0.8))*MAX(inputs!$H$14:$H$16))/F403,((0.0083*0.112*inputs!$C$7/1)*(3*60*379*((F403/1000)^0.8))*MAX(inputs!$H$14:$H$16))/F403))*(inputs!E$75/inputs!$E$73)</f>
        <v>4.6854541939016113E-3</v>
      </c>
      <c r="T403" s="63">
        <f>IF((((inputs!$P$12/(V403/MAX(K403:S403)))^(1/inputs!$O$12))-1)/inputs!$N$12&lt;0, 0, IF((((inputs!$P$12/(V403/MAX(K403:S403)))^(1/inputs!$O$12))-1)/inputs!$N$12&gt;inputs!$H$17, inputs!$H$17, (((inputs!$P$12/(V403/MAX(K403:S403)))^(1/inputs!$O$12))-1)/inputs!$N$12))</f>
        <v>5.7807072507800719</v>
      </c>
      <c r="U403" s="63">
        <f>IF((((inputs!$P$12/(X403/MAX(K403:S403)))^(1/inputs!$O$12))-1)/inputs!$N$12&lt;0, 0, IF((((inputs!$P$12/(X403/MAX(K403:S403)))^(1/inputs!$O$12))-1)/inputs!$N$12&gt;inputs!$H$17, inputs!$H$17, (((inputs!$P$12/(X403/MAX(K403:S403)))^(1/inputs!$O$12))-1)/inputs!$N$12))</f>
        <v>0</v>
      </c>
      <c r="V403" s="54">
        <f>inputs!$E$70*(inputs!$F$70/F403)^(0.25)</f>
        <v>0.34069386300517612</v>
      </c>
      <c r="W403" s="54">
        <f>inputs!$E$76*(inputs!$F$76/F403)^(0.25)</f>
        <v>0.10247428813582357</v>
      </c>
      <c r="X403" s="54">
        <f>inputs!$E$72*(inputs!$F$72/F403)^(0.25)</f>
        <v>15.030611603169534</v>
      </c>
      <c r="Y403" s="54" t="s">
        <v>13</v>
      </c>
      <c r="Z403" s="106">
        <f t="shared" si="48"/>
        <v>3.3065434619532654</v>
      </c>
      <c r="AA403" s="106">
        <f t="shared" si="49"/>
        <v>10.993187517967753</v>
      </c>
    </row>
    <row r="404" spans="1:27" x14ac:dyDescent="0.25">
      <c r="A404" s="55" t="s">
        <v>438</v>
      </c>
      <c r="B404" s="49" t="s">
        <v>439</v>
      </c>
      <c r="C404" s="21" t="s">
        <v>61</v>
      </c>
      <c r="D404" s="20" t="s">
        <v>440</v>
      </c>
      <c r="E404" s="20">
        <v>9</v>
      </c>
      <c r="F404" s="21">
        <v>47630</v>
      </c>
      <c r="G404" s="21" t="s">
        <v>161</v>
      </c>
      <c r="H404" s="21">
        <v>0.85</v>
      </c>
      <c r="I404" s="48">
        <f>MAX('Min rate concentrations'!$F$3:$F$368)</f>
        <v>67.5</v>
      </c>
      <c r="J404" s="48">
        <f>MAX('Min rate concentrations'!Y:Y)</f>
        <v>22.5</v>
      </c>
      <c r="K404" s="60">
        <f t="shared" si="51"/>
        <v>15.545963100413658</v>
      </c>
      <c r="L404" s="60">
        <f t="shared" si="52"/>
        <v>5.1819877001378858</v>
      </c>
      <c r="M404" s="60">
        <f>IF((((0.326*F404^0.818)-(0.398*F404^0.85)/(1-H404)*H404)*(MAX('Min rate concentrations'!$P$3:$P$368)))/F404&gt;0, (((0.326*F404^0.818)-(0.398*F404^0.85)/(1-H404)*H404)*(MAX('Min rate concentrations'!$P$3:$P$368)))/F404, 0)</f>
        <v>0</v>
      </c>
      <c r="N404" s="60">
        <f>IF((((0.326*F404^0.818)-(0.398*F404^0.85)/(1-H404)*H404)*(MAX('Min rate concentrations'!$Q$3:$Q$368)))/F404&gt; 0, (((0.326*F404^0.818)-(0.398*F404^0.85)/(1-H404)*H404)*(MAX('Min rate concentrations'!$Q$3:$Q$368)))/F404, 0)</f>
        <v>0</v>
      </c>
      <c r="O404" s="60">
        <f>((MAX('Min rate concentrations'!$F$3:$F$368))*0.62*6.01*8*(12.3*F404^0.65)*0.079*0.1/F404)*inputs!$E$73/inputs!$E$74</f>
        <v>1.0401879608501756</v>
      </c>
      <c r="P404" s="60">
        <f>((MAX('Min rate concentrations'!Y:Y))*0.62*6.01*8*(12.3*F404^0.65)*0.079*0.1/F404)*inputs!$E$73/inputs!$E$74</f>
        <v>0.34672932028339176</v>
      </c>
      <c r="Q404" s="60">
        <f>(inputs!$C$7*11.2*(12.3*F404^0.65)*0.5/F404)*inputs!$E$73/inputs!$E$74</f>
        <v>0.18322420317601595</v>
      </c>
      <c r="R404" s="60">
        <f>(60*379*((F404/1000)^0.8)*3*24*(MAX('Min rate concentrations'!$R$3:$R$368))/F404)*(inputs!$E$73/inputs!$E$75)</f>
        <v>8.4957425158586322E-4</v>
      </c>
      <c r="S404" s="60">
        <f>(IF(inputs!$C$6="aerial",((0.025*0.112*inputs!$C$7/3.3)*(3*60*379*((F404/1000)^0.8))*MAX(inputs!$H$14:$H$16))/F404,((0.0083*0.112*inputs!$C$7/1)*(3*60*379*((F404/1000)^0.8))*MAX(inputs!$H$14:$H$16))/F404))*(inputs!E$75/inputs!$E$73)</f>
        <v>4.6854541939016113E-3</v>
      </c>
      <c r="T404" s="63">
        <f>IF((((inputs!$P$12/(V404/MAX(K404:S404)))^(1/inputs!$O$12))-1)/inputs!$N$12&lt;0, 0, IF((((inputs!$P$12/(V404/MAX(K404:S404)))^(1/inputs!$O$12))-1)/inputs!$N$12&gt;inputs!$H$17, inputs!$H$17, (((inputs!$P$12/(V404/MAX(K404:S404)))^(1/inputs!$O$12))-1)/inputs!$N$12))</f>
        <v>71.177287854173258</v>
      </c>
      <c r="U404" s="63">
        <f>IF((((inputs!$P$12/(X404/MAX(K404:S404)))^(1/inputs!$O$12))-1)/inputs!$N$12&lt;0, 0, IF((((inputs!$P$12/(X404/MAX(K404:S404)))^(1/inputs!$O$12))-1)/inputs!$N$12&gt;inputs!$H$17, inputs!$H$17, (((inputs!$P$12/(X404/MAX(K404:S404)))^(1/inputs!$O$12))-1)/inputs!$N$12))</f>
        <v>0</v>
      </c>
      <c r="V404" s="54">
        <f>inputs!$E$70*(inputs!$F$70/F404)^(0.25)</f>
        <v>0.34069386300517612</v>
      </c>
      <c r="W404" s="54">
        <f>inputs!$E$76*(inputs!$F$76/F404)^(0.25)</f>
        <v>0.10247428813582357</v>
      </c>
      <c r="X404" s="54">
        <f>inputs!$E$72*(inputs!$F$72/F404)^(0.25)</f>
        <v>15.030611603169534</v>
      </c>
      <c r="Y404" s="54" t="s">
        <v>13</v>
      </c>
      <c r="Z404" s="106">
        <f t="shared" si="48"/>
        <v>45.630299774955063</v>
      </c>
      <c r="AA404" s="106">
        <f t="shared" si="49"/>
        <v>151.70598774795496</v>
      </c>
    </row>
    <row r="405" spans="1:27" x14ac:dyDescent="0.25">
      <c r="A405" s="55" t="s">
        <v>438</v>
      </c>
      <c r="B405" s="49" t="s">
        <v>439</v>
      </c>
      <c r="C405" s="21" t="s">
        <v>61</v>
      </c>
      <c r="D405" s="20" t="s">
        <v>440</v>
      </c>
      <c r="E405" s="20">
        <v>10141</v>
      </c>
      <c r="F405" s="21">
        <v>47630</v>
      </c>
      <c r="G405" s="21" t="s">
        <v>152</v>
      </c>
      <c r="H405" s="21">
        <v>0.77</v>
      </c>
      <c r="I405" s="48">
        <f>MAX('Min rate concentrations'!$G$3:$G$368)</f>
        <v>7.5</v>
      </c>
      <c r="J405" s="48">
        <f>MAX('Min rate concentrations'!Z:Z)</f>
        <v>3.5</v>
      </c>
      <c r="K405" s="60">
        <f t="shared" si="51"/>
        <v>1.1265190652473667</v>
      </c>
      <c r="L405" s="60">
        <f t="shared" si="52"/>
        <v>0.52570889711543778</v>
      </c>
      <c r="M405" s="60">
        <f>IF((((0.326*F405^0.818)-(0.398*F405^0.85)/(1-H405)*H405)*(MAX('Min rate concentrations'!$P$3:$P$368)))/F405&gt;0, (((0.326*F405^0.818)-(0.398*F405^0.85)/(1-H405)*H405)*(MAX('Min rate concentrations'!$P$3:$P$368)))/F405, 0)</f>
        <v>0</v>
      </c>
      <c r="N405" s="60">
        <f>IF((((0.326*F405^0.818)-(0.398*F405^0.85)/(1-H405)*H405)*(MAX('Min rate concentrations'!$Q$3:$Q$368)))/F405&gt; 0, (((0.326*F405^0.818)-(0.398*F405^0.85)/(1-H405)*H405)*(MAX('Min rate concentrations'!$Q$3:$Q$368)))/F405, 0)</f>
        <v>0</v>
      </c>
      <c r="O405" s="60">
        <f>((MAX('Min rate concentrations'!$F$3:$F$368))*0.62*6.01*8*(12.3*F405^0.65)*0.079*0.1/F405)*inputs!$E$73/inputs!$E$74</f>
        <v>1.0401879608501756</v>
      </c>
      <c r="P405" s="60">
        <f>((MAX('Min rate concentrations'!Y:Y))*0.62*6.01*8*(12.3*F405^0.65)*0.079*0.1/F405)*inputs!$E$73/inputs!$E$74</f>
        <v>0.34672932028339176</v>
      </c>
      <c r="Q405" s="60">
        <f>(inputs!$C$7*11.2*(12.3*F405^0.65)*0.5/F405)*inputs!$E$73/inputs!$E$74</f>
        <v>0.18322420317601595</v>
      </c>
      <c r="R405" s="60">
        <f>(60*379*((F405/1000)^0.8)*3*24*(MAX('Min rate concentrations'!$R$3:$R$368))/F405)*(inputs!$E$73/inputs!$E$75)</f>
        <v>8.4957425158586322E-4</v>
      </c>
      <c r="S405" s="60">
        <f>(IF(inputs!$C$6="aerial",((0.025*0.112*inputs!$C$7/3.3)*(3*60*379*((F405/1000)^0.8))*MAX(inputs!$H$14:$H$16))/F405,((0.0083*0.112*inputs!$C$7/1)*(3*60*379*((F405/1000)^0.8))*MAX(inputs!$H$14:$H$16))/F405))*(inputs!E$75/inputs!$E$73)</f>
        <v>4.6854541939016113E-3</v>
      </c>
      <c r="T405" s="63">
        <f>IF((((inputs!$P$12/(V405/MAX(K405:S405)))^(1/inputs!$O$12))-1)/inputs!$N$12&lt;0, 0, IF((((inputs!$P$12/(V405/MAX(K405:S405)))^(1/inputs!$O$12))-1)/inputs!$N$12&gt;inputs!$H$17, inputs!$H$17, (((inputs!$P$12/(V405/MAX(K405:S405)))^(1/inputs!$O$12))-1)/inputs!$N$12))</f>
        <v>5.7807072507800719</v>
      </c>
      <c r="U405" s="63">
        <f>IF((((inputs!$P$12/(X405/MAX(K405:S405)))^(1/inputs!$O$12))-1)/inputs!$N$12&lt;0, 0, IF((((inputs!$P$12/(X405/MAX(K405:S405)))^(1/inputs!$O$12))-1)/inputs!$N$12&gt;inputs!$H$17, inputs!$H$17, (((inputs!$P$12/(X405/MAX(K405:S405)))^(1/inputs!$O$12))-1)/inputs!$N$12))</f>
        <v>0</v>
      </c>
      <c r="V405" s="54">
        <f>inputs!$E$70*(inputs!$F$70/F405)^(0.25)</f>
        <v>0.34069386300517612</v>
      </c>
      <c r="W405" s="54">
        <f>inputs!$E$76*(inputs!$F$76/F405)^(0.25)</f>
        <v>0.10247428813582357</v>
      </c>
      <c r="X405" s="54">
        <f>inputs!$E$72*(inputs!$F$72/F405)^(0.25)</f>
        <v>15.030611603169534</v>
      </c>
      <c r="Y405" s="54" t="s">
        <v>13</v>
      </c>
      <c r="Z405" s="106">
        <f t="shared" si="48"/>
        <v>3.3065434619532654</v>
      </c>
      <c r="AA405" s="106">
        <f t="shared" si="49"/>
        <v>10.993187517967753</v>
      </c>
    </row>
    <row r="406" spans="1:27" x14ac:dyDescent="0.25">
      <c r="A406" s="55" t="s">
        <v>438</v>
      </c>
      <c r="B406" s="49" t="s">
        <v>439</v>
      </c>
      <c r="C406" s="21" t="s">
        <v>61</v>
      </c>
      <c r="D406" s="20" t="s">
        <v>440</v>
      </c>
      <c r="E406" s="20">
        <v>10141</v>
      </c>
      <c r="F406" s="21">
        <v>47630</v>
      </c>
      <c r="G406" s="21" t="s">
        <v>161</v>
      </c>
      <c r="H406" s="21">
        <v>0.85</v>
      </c>
      <c r="I406" s="48">
        <f>MAX('Min rate concentrations'!$F$3:$F$368)</f>
        <v>67.5</v>
      </c>
      <c r="J406" s="48">
        <f>MAX('Min rate concentrations'!Y:Y)</f>
        <v>22.5</v>
      </c>
      <c r="K406" s="60">
        <f t="shared" si="51"/>
        <v>15.545963100413658</v>
      </c>
      <c r="L406" s="60">
        <f t="shared" si="52"/>
        <v>5.1819877001378858</v>
      </c>
      <c r="M406" s="60">
        <f>IF((((0.326*F406^0.818)-(0.398*F406^0.85)/(1-H406)*H406)*(MAX('Min rate concentrations'!$P$3:$P$368)))/F406&gt;0, (((0.326*F406^0.818)-(0.398*F406^0.85)/(1-H406)*H406)*(MAX('Min rate concentrations'!$P$3:$P$368)))/F406, 0)</f>
        <v>0</v>
      </c>
      <c r="N406" s="60">
        <f>IF((((0.326*F406^0.818)-(0.398*F406^0.85)/(1-H406)*H406)*(MAX('Min rate concentrations'!$Q$3:$Q$368)))/F406&gt; 0, (((0.326*F406^0.818)-(0.398*F406^0.85)/(1-H406)*H406)*(MAX('Min rate concentrations'!$Q$3:$Q$368)))/F406, 0)</f>
        <v>0</v>
      </c>
      <c r="O406" s="60">
        <f>((MAX('Min rate concentrations'!$F$3:$F$368))*0.62*6.01*8*(12.3*F406^0.65)*0.079*0.1/F406)*inputs!$E$73/inputs!$E$74</f>
        <v>1.0401879608501756</v>
      </c>
      <c r="P406" s="60">
        <f>((MAX('Min rate concentrations'!Y:Y))*0.62*6.01*8*(12.3*F406^0.65)*0.079*0.1/F406)*inputs!$E$73/inputs!$E$74</f>
        <v>0.34672932028339176</v>
      </c>
      <c r="Q406" s="60">
        <f>(inputs!$C$7*11.2*(12.3*F406^0.65)*0.5/F406)*inputs!$E$73/inputs!$E$74</f>
        <v>0.18322420317601595</v>
      </c>
      <c r="R406" s="60">
        <f>(60*379*((F406/1000)^0.8)*3*24*(MAX('Min rate concentrations'!$R$3:$R$368))/F406)*(inputs!$E$73/inputs!$E$75)</f>
        <v>8.4957425158586322E-4</v>
      </c>
      <c r="S406" s="60">
        <f>(IF(inputs!$C$6="aerial",((0.025*0.112*inputs!$C$7/3.3)*(3*60*379*((F406/1000)^0.8))*MAX(inputs!$H$14:$H$16))/F406,((0.0083*0.112*inputs!$C$7/1)*(3*60*379*((F406/1000)^0.8))*MAX(inputs!$H$14:$H$16))/F406))*(inputs!E$75/inputs!$E$73)</f>
        <v>4.6854541939016113E-3</v>
      </c>
      <c r="T406" s="63">
        <f>IF((((inputs!$P$12/(V406/MAX(K406:S406)))^(1/inputs!$O$12))-1)/inputs!$N$12&lt;0, 0, IF((((inputs!$P$12/(V406/MAX(K406:S406)))^(1/inputs!$O$12))-1)/inputs!$N$12&gt;inputs!$H$17, inputs!$H$17, (((inputs!$P$12/(V406/MAX(K406:S406)))^(1/inputs!$O$12))-1)/inputs!$N$12))</f>
        <v>71.177287854173258</v>
      </c>
      <c r="U406" s="63">
        <f>IF((((inputs!$P$12/(X406/MAX(K406:S406)))^(1/inputs!$O$12))-1)/inputs!$N$12&lt;0, 0, IF((((inputs!$P$12/(X406/MAX(K406:S406)))^(1/inputs!$O$12))-1)/inputs!$N$12&gt;inputs!$H$17, inputs!$H$17, (((inputs!$P$12/(X406/MAX(K406:S406)))^(1/inputs!$O$12))-1)/inputs!$N$12))</f>
        <v>0</v>
      </c>
      <c r="V406" s="54">
        <f>inputs!$E$70*(inputs!$F$70/F406)^(0.25)</f>
        <v>0.34069386300517612</v>
      </c>
      <c r="W406" s="54">
        <f>inputs!$E$76*(inputs!$F$76/F406)^(0.25)</f>
        <v>0.10247428813582357</v>
      </c>
      <c r="X406" s="54">
        <f>inputs!$E$72*(inputs!$F$72/F406)^(0.25)</f>
        <v>15.030611603169534</v>
      </c>
      <c r="Y406" s="54" t="s">
        <v>13</v>
      </c>
      <c r="Z406" s="106">
        <f t="shared" si="48"/>
        <v>45.630299774955063</v>
      </c>
      <c r="AA406" s="106">
        <f t="shared" si="49"/>
        <v>151.70598774795496</v>
      </c>
    </row>
    <row r="407" spans="1:27" x14ac:dyDescent="0.25">
      <c r="A407" s="55" t="s">
        <v>447</v>
      </c>
      <c r="B407" s="49" t="s">
        <v>448</v>
      </c>
      <c r="C407" s="21" t="s">
        <v>61</v>
      </c>
      <c r="D407" s="20" t="s">
        <v>440</v>
      </c>
      <c r="E407" s="20">
        <v>6654</v>
      </c>
      <c r="F407" s="21">
        <v>350000</v>
      </c>
      <c r="G407" s="21" t="s">
        <v>169</v>
      </c>
      <c r="H407" s="21">
        <v>0.79</v>
      </c>
      <c r="I407" s="48">
        <f>MAX('Min rate concentrations'!$D$3:$D$368)</f>
        <v>120</v>
      </c>
      <c r="J407" s="48">
        <f>MAX('Min rate concentrations'!W:W)</f>
        <v>42.5</v>
      </c>
      <c r="K407" s="60">
        <f t="shared" si="51"/>
        <v>13.841581100801445</v>
      </c>
      <c r="L407" s="60">
        <f t="shared" si="52"/>
        <v>4.9022266398671785</v>
      </c>
      <c r="M407" s="60">
        <f>IF((((0.326*F407^0.818)-(0.398*F407^0.85)/(1-H407)*H407)*(MAX('Min rate concentrations'!$P$3:$P$368)))/F407&gt;0, (((0.326*F407^0.818)-(0.398*F407^0.85)/(1-H407)*H407)*(MAX('Min rate concentrations'!$P$3:$P$368)))/F407, 0)</f>
        <v>0</v>
      </c>
      <c r="N407" s="60">
        <f>IF((((0.326*F407^0.818)-(0.398*F407^0.85)/(1-H407)*H407)*(MAX('Min rate concentrations'!$Q$3:$Q$368)))/F407&gt; 0, (((0.326*F407^0.818)-(0.398*F407^0.85)/(1-H407)*H407)*(MAX('Min rate concentrations'!$Q$3:$Q$368)))/F407, 0)</f>
        <v>0</v>
      </c>
      <c r="O407" s="60">
        <f>((MAX('Min rate concentrations'!$F$3:$F$368))*0.62*6.01*8*(12.3*F407^0.65)*0.079*0.1/F407)*inputs!$E$73/inputs!$E$74</f>
        <v>0.51754272830674786</v>
      </c>
      <c r="P407" s="60">
        <f>((MAX('Min rate concentrations'!Y:Y))*0.62*6.01*8*(12.3*F407^0.65)*0.079*0.1/F407)*inputs!$E$73/inputs!$E$74</f>
        <v>0.17251424276891589</v>
      </c>
      <c r="Q407" s="60">
        <f>(inputs!$C$7*11.2*(12.3*F407^0.65)*0.5/F407)*inputs!$E$73/inputs!$E$74</f>
        <v>9.1162710560542204E-2</v>
      </c>
      <c r="R407" s="60">
        <f>(60*379*((F407/1000)^0.8)*3*24*(MAX('Min rate concentrations'!$R$3:$R$368))/F407)*(inputs!$E$73/inputs!$E$75)</f>
        <v>5.701168133765514E-4</v>
      </c>
      <c r="S407" s="60">
        <f>(IF(inputs!$C$6="aerial",((0.025*0.112*inputs!$C$7/3.3)*(3*60*379*((F407/1000)^0.8))*MAX(inputs!$H$14:$H$16))/F407,((0.0083*0.112*inputs!$C$7/1)*(3*60*379*((F407/1000)^0.8))*MAX(inputs!$H$14:$H$16))/F407))*(inputs!E$75/inputs!$E$73)</f>
        <v>3.1442292527847533E-3</v>
      </c>
      <c r="T407" s="63">
        <f>IF((((inputs!$P$12/(V407/MAX(K407:S407)))^(1/inputs!$O$12))-1)/inputs!$N$12&lt;0, 0, IF((((inputs!$P$12/(V407/MAX(K407:S407)))^(1/inputs!$O$12))-1)/inputs!$N$12&gt;inputs!$H$17, inputs!$H$17, (((inputs!$P$12/(V407/MAX(K407:S407)))^(1/inputs!$O$12))-1)/inputs!$N$12))</f>
        <v>87.954104707298129</v>
      </c>
      <c r="U407" s="63">
        <f>IF((((inputs!$P$12/(X407/MAX(K407:S407)))^(1/inputs!$O$12))-1)/inputs!$N$12&lt;0, 0, IF((((inputs!$P$12/(X407/MAX(K407:S407)))^(1/inputs!$O$12))-1)/inputs!$N$12&gt;inputs!$H$17, inputs!$H$17, (((inputs!$P$12/(X407/MAX(K407:S407)))^(1/inputs!$O$12))-1)/inputs!$N$12))</f>
        <v>0</v>
      </c>
      <c r="V407" s="54">
        <f>inputs!$E$70*(inputs!$F$70/F407)^(0.25)</f>
        <v>0.20692713504581586</v>
      </c>
      <c r="W407" s="54">
        <f>inputs!$E$76*(inputs!$F$76/F407)^(0.25)</f>
        <v>6.2239779351362295E-2</v>
      </c>
      <c r="X407" s="54">
        <f>inputs!$E$72*(inputs!$F$72/F407)^(0.25)</f>
        <v>9.1291383108448176</v>
      </c>
      <c r="Y407" s="54" t="s">
        <v>13</v>
      </c>
      <c r="Z407" s="106">
        <f t="shared" si="48"/>
        <v>66.891087520912961</v>
      </c>
      <c r="AA407" s="106">
        <f t="shared" si="49"/>
        <v>222.3912302558393</v>
      </c>
    </row>
    <row r="408" spans="1:27" x14ac:dyDescent="0.25">
      <c r="A408" s="55" t="s">
        <v>447</v>
      </c>
      <c r="B408" s="49" t="s">
        <v>448</v>
      </c>
      <c r="C408" s="21" t="s">
        <v>61</v>
      </c>
      <c r="D408" s="20" t="s">
        <v>440</v>
      </c>
      <c r="E408" s="20">
        <v>6654</v>
      </c>
      <c r="F408" s="21">
        <v>350000</v>
      </c>
      <c r="G408" s="21" t="s">
        <v>177</v>
      </c>
      <c r="H408" s="21">
        <v>0.85</v>
      </c>
      <c r="I408" s="48">
        <f>MAX('Min rate concentrations'!$F$3:$F$368)</f>
        <v>67.5</v>
      </c>
      <c r="J408" s="48">
        <f>MAX('Min rate concentrations'!Y:Y)</f>
        <v>22.5</v>
      </c>
      <c r="K408" s="60">
        <f t="shared" si="51"/>
        <v>10.900245116881136</v>
      </c>
      <c r="L408" s="60">
        <f t="shared" si="52"/>
        <v>3.6334150389603783</v>
      </c>
      <c r="M408" s="60">
        <f>IF((((0.326*F408^0.818)-(0.398*F408^0.85)/(1-H408)*H408)*(MAX('Min rate concentrations'!$P$3:$P$368)))/F408&gt;0, (((0.326*F408^0.818)-(0.398*F408^0.85)/(1-H408)*H408)*(MAX('Min rate concentrations'!$P$3:$P$368)))/F408, 0)</f>
        <v>0</v>
      </c>
      <c r="N408" s="60">
        <f>IF((((0.326*F408^0.818)-(0.398*F408^0.85)/(1-H408)*H408)*(MAX('Min rate concentrations'!$Q$3:$Q$368)))/F408&gt; 0, (((0.326*F408^0.818)-(0.398*F408^0.85)/(1-H408)*H408)*(MAX('Min rate concentrations'!$Q$3:$Q$368)))/F408, 0)</f>
        <v>0</v>
      </c>
      <c r="O408" s="60">
        <f>((MAX('Min rate concentrations'!$F$3:$F$368))*0.62*6.01*8*(12.3*F408^0.65)*0.079*0.1/F408)*inputs!$E$73/inputs!$E$74</f>
        <v>0.51754272830674786</v>
      </c>
      <c r="P408" s="60">
        <f>((MAX('Min rate concentrations'!Y:Y))*0.62*6.01*8*(12.3*F408^0.65)*0.079*0.1/F408)*inputs!$E$73/inputs!$E$74</f>
        <v>0.17251424276891589</v>
      </c>
      <c r="Q408" s="60">
        <f>(inputs!$C$7*11.2*(12.3*F408^0.65)*0.5/F408)*inputs!$E$73/inputs!$E$74</f>
        <v>9.1162710560542204E-2</v>
      </c>
      <c r="R408" s="60">
        <f>(60*379*((F408/1000)^0.8)*3*24*(MAX('Min rate concentrations'!$R$3:$R$368))/F408)*(inputs!$E$73/inputs!$E$75)</f>
        <v>5.701168133765514E-4</v>
      </c>
      <c r="S408" s="60">
        <f>(IF(inputs!$C$6="aerial",((0.025*0.112*inputs!$C$7/3.3)*(3*60*379*((F408/1000)^0.8))*MAX(inputs!$H$14:$H$16))/F408,((0.0083*0.112*inputs!$C$7/1)*(3*60*379*((F408/1000)^0.8))*MAX(inputs!$H$14:$H$16))/F408))*(inputs!E$75/inputs!$E$73)</f>
        <v>3.1442292527847533E-3</v>
      </c>
      <c r="T408" s="63">
        <f>IF((((inputs!$P$12/(V408/MAX(K408:S408)))^(1/inputs!$O$12))-1)/inputs!$N$12&lt;0, 0, IF((((inputs!$P$12/(V408/MAX(K408:S408)))^(1/inputs!$O$12))-1)/inputs!$N$12&gt;inputs!$H$17, inputs!$H$17, (((inputs!$P$12/(V408/MAX(K408:S408)))^(1/inputs!$O$12))-1)/inputs!$N$12))</f>
        <v>77.172020639939916</v>
      </c>
      <c r="U408" s="63">
        <f>IF((((inputs!$P$12/(X408/MAX(K408:S408)))^(1/inputs!$O$12))-1)/inputs!$N$12&lt;0, 0, IF((((inputs!$P$12/(X408/MAX(K408:S408)))^(1/inputs!$O$12))-1)/inputs!$N$12&gt;inputs!$H$17, inputs!$H$17, (((inputs!$P$12/(X408/MAX(K408:S408)))^(1/inputs!$O$12))-1)/inputs!$N$12))</f>
        <v>0</v>
      </c>
      <c r="V408" s="54">
        <f>inputs!$E$70*(inputs!$F$70/F408)^(0.25)</f>
        <v>0.20692713504581586</v>
      </c>
      <c r="W408" s="54">
        <f>inputs!$E$76*(inputs!$F$76/F408)^(0.25)</f>
        <v>6.2239779351362295E-2</v>
      </c>
      <c r="X408" s="54">
        <f>inputs!$E$72*(inputs!$F$72/F408)^(0.25)</f>
        <v>9.1291383108448176</v>
      </c>
      <c r="Y408" s="54" t="s">
        <v>13</v>
      </c>
      <c r="Z408" s="106">
        <f t="shared" si="48"/>
        <v>52.676731422718952</v>
      </c>
      <c r="AA408" s="106">
        <f t="shared" si="49"/>
        <v>175.13309382647341</v>
      </c>
    </row>
    <row r="409" spans="1:27" ht="26.4" x14ac:dyDescent="0.25">
      <c r="A409" s="55" t="s">
        <v>447</v>
      </c>
      <c r="B409" s="49" t="s">
        <v>877</v>
      </c>
      <c r="C409" s="21" t="s">
        <v>61</v>
      </c>
      <c r="D409" s="20" t="s">
        <v>440</v>
      </c>
      <c r="E409" s="197" t="s">
        <v>878</v>
      </c>
      <c r="F409" s="21">
        <v>350000</v>
      </c>
      <c r="G409" s="21" t="s">
        <v>169</v>
      </c>
      <c r="H409" s="21">
        <v>0.79</v>
      </c>
      <c r="I409" s="48">
        <f>MAX('Min rate concentrations'!$D$3:$D$368)</f>
        <v>120</v>
      </c>
      <c r="J409" s="48">
        <f>MAX('Min rate concentrations'!W:W)</f>
        <v>42.5</v>
      </c>
      <c r="K409" s="60">
        <f t="shared" ref="K409:K410" si="53">(((0.235*F409^0.822)/(1-H409)))*I409/F409</f>
        <v>13.841581100801445</v>
      </c>
      <c r="L409" s="60">
        <f t="shared" ref="L409:L410" si="54">(((0.235*F409^0.822)/(1-H409)))*J409/F409</f>
        <v>4.9022266398671785</v>
      </c>
      <c r="M409" s="60">
        <f>IF((((0.326*F409^0.818)-(0.398*F409^0.85)/(1-H409)*H409)*(MAX('Min rate concentrations'!$P$3:$P$368)))/F409&gt;0, (((0.326*F409^0.818)-(0.398*F409^0.85)/(1-H409)*H409)*(MAX('Min rate concentrations'!$P$3:$P$368)))/F409, 0)</f>
        <v>0</v>
      </c>
      <c r="N409" s="60">
        <f>IF((((0.326*F409^0.818)-(0.398*F409^0.85)/(1-H409)*H409)*(MAX('Min rate concentrations'!$Q$3:$Q$368)))/F409&gt; 0, (((0.326*F409^0.818)-(0.398*F409^0.85)/(1-H409)*H409)*(MAX('Min rate concentrations'!$Q$3:$Q$368)))/F409, 0)</f>
        <v>0</v>
      </c>
      <c r="O409" s="60">
        <f>((MAX('Min rate concentrations'!$F$3:$F$368))*0.62*6.01*8*(12.3*F409^0.65)*0.079*0.1/F409)*inputs!$E$73/inputs!$E$74</f>
        <v>0.51754272830674786</v>
      </c>
      <c r="P409" s="60">
        <f>((MAX('Min rate concentrations'!Y:Y))*0.62*6.01*8*(12.3*F409^0.65)*0.079*0.1/F409)*inputs!$E$73/inputs!$E$74</f>
        <v>0.17251424276891589</v>
      </c>
      <c r="Q409" s="60">
        <f>(inputs!$C$7*11.2*(12.3*F409^0.65)*0.5/F409)*inputs!$E$73/inputs!$E$74</f>
        <v>9.1162710560542204E-2</v>
      </c>
      <c r="R409" s="60">
        <f>(60*379*((F409/1000)^0.8)*3*24*(MAX('Min rate concentrations'!$R$3:$R$368))/F409)*(inputs!$E$73/inputs!$E$75)</f>
        <v>5.701168133765514E-4</v>
      </c>
      <c r="S409" s="60">
        <f>(IF(inputs!$C$6="aerial",((0.025*0.112*inputs!$C$7/3.3)*(3*60*379*((F409/1000)^0.8))*MAX(inputs!$H$14:$H$16))/F409,((0.0083*0.112*inputs!$C$7/1)*(3*60*379*((F409/1000)^0.8))*MAX(inputs!$H$14:$H$16))/F409))*(inputs!E$75/inputs!$E$73)</f>
        <v>3.1442292527847533E-3</v>
      </c>
      <c r="T409" s="63">
        <f>IF((((inputs!$P$12/(V409/MAX(K409:S409)))^(1/inputs!$O$12))-1)/inputs!$N$12&lt;0, 0, IF((((inputs!$P$12/(V409/MAX(K409:S409)))^(1/inputs!$O$12))-1)/inputs!$N$12&gt;inputs!$H$17, inputs!$H$17, (((inputs!$P$12/(V409/MAX(K409:S409)))^(1/inputs!$O$12))-1)/inputs!$N$12))</f>
        <v>87.954104707298129</v>
      </c>
      <c r="U409" s="63">
        <f>IF((((inputs!$P$12/(X409/MAX(K409:S409)))^(1/inputs!$O$12))-1)/inputs!$N$12&lt;0, 0, IF((((inputs!$P$12/(X409/MAX(K409:S409)))^(1/inputs!$O$12))-1)/inputs!$N$12&gt;inputs!$H$17, inputs!$H$17, (((inputs!$P$12/(X409/MAX(K409:S409)))^(1/inputs!$O$12))-1)/inputs!$N$12))</f>
        <v>0</v>
      </c>
      <c r="V409" s="54">
        <f>inputs!$E$70*(inputs!$F$70/F409)^(0.25)</f>
        <v>0.20692713504581586</v>
      </c>
      <c r="W409" s="54">
        <f>inputs!$E$76*(inputs!$F$76/F409)^(0.25)</f>
        <v>6.2239779351362295E-2</v>
      </c>
      <c r="X409" s="54">
        <f>inputs!$E$72*(inputs!$F$72/F409)^(0.25)</f>
        <v>9.1291383108448176</v>
      </c>
      <c r="Y409" s="54" t="s">
        <v>13</v>
      </c>
      <c r="Z409" s="106">
        <f t="shared" ref="Z409:Z410" si="55">MAX(K409:S409)/V409</f>
        <v>66.891087520912961</v>
      </c>
      <c r="AA409" s="106">
        <f t="shared" ref="AA409:AA410" si="56">MAX(K409:S409)/W409</f>
        <v>222.3912302558393</v>
      </c>
    </row>
    <row r="410" spans="1:27" ht="26.4" x14ac:dyDescent="0.25">
      <c r="A410" s="55" t="s">
        <v>447</v>
      </c>
      <c r="B410" s="49" t="s">
        <v>877</v>
      </c>
      <c r="C410" s="21" t="s">
        <v>61</v>
      </c>
      <c r="D410" s="20" t="s">
        <v>440</v>
      </c>
      <c r="E410" s="197" t="s">
        <v>878</v>
      </c>
      <c r="F410" s="21">
        <v>350000</v>
      </c>
      <c r="G410" s="21" t="s">
        <v>177</v>
      </c>
      <c r="H410" s="21">
        <v>0.85</v>
      </c>
      <c r="I410" s="48">
        <f>MAX('Min rate concentrations'!$F$3:$F$368)</f>
        <v>67.5</v>
      </c>
      <c r="J410" s="48">
        <f>MAX('Min rate concentrations'!Y:Y)</f>
        <v>22.5</v>
      </c>
      <c r="K410" s="60">
        <f t="shared" si="53"/>
        <v>10.900245116881136</v>
      </c>
      <c r="L410" s="60">
        <f t="shared" si="54"/>
        <v>3.6334150389603783</v>
      </c>
      <c r="M410" s="60">
        <f>IF((((0.326*F410^0.818)-(0.398*F410^0.85)/(1-H410)*H410)*(MAX('Min rate concentrations'!$P$3:$P$368)))/F410&gt;0, (((0.326*F410^0.818)-(0.398*F410^0.85)/(1-H410)*H410)*(MAX('Min rate concentrations'!$P$3:$P$368)))/F410, 0)</f>
        <v>0</v>
      </c>
      <c r="N410" s="60">
        <f>IF((((0.326*F410^0.818)-(0.398*F410^0.85)/(1-H410)*H410)*(MAX('Min rate concentrations'!$Q$3:$Q$368)))/F410&gt; 0, (((0.326*F410^0.818)-(0.398*F410^0.85)/(1-H410)*H410)*(MAX('Min rate concentrations'!$Q$3:$Q$368)))/F410, 0)</f>
        <v>0</v>
      </c>
      <c r="O410" s="60">
        <f>((MAX('Min rate concentrations'!$F$3:$F$368))*0.62*6.01*8*(12.3*F410^0.65)*0.079*0.1/F410)*inputs!$E$73/inputs!$E$74</f>
        <v>0.51754272830674786</v>
      </c>
      <c r="P410" s="60">
        <f>((MAX('Min rate concentrations'!Y:Y))*0.62*6.01*8*(12.3*F410^0.65)*0.079*0.1/F410)*inputs!$E$73/inputs!$E$74</f>
        <v>0.17251424276891589</v>
      </c>
      <c r="Q410" s="60">
        <f>(inputs!$C$7*11.2*(12.3*F410^0.65)*0.5/F410)*inputs!$E$73/inputs!$E$74</f>
        <v>9.1162710560542204E-2</v>
      </c>
      <c r="R410" s="60">
        <f>(60*379*((F410/1000)^0.8)*3*24*(MAX('Min rate concentrations'!$R$3:$R$368))/F410)*(inputs!$E$73/inputs!$E$75)</f>
        <v>5.701168133765514E-4</v>
      </c>
      <c r="S410" s="60">
        <f>(IF(inputs!$C$6="aerial",((0.025*0.112*inputs!$C$7/3.3)*(3*60*379*((F410/1000)^0.8))*MAX(inputs!$H$14:$H$16))/F410,((0.0083*0.112*inputs!$C$7/1)*(3*60*379*((F410/1000)^0.8))*MAX(inputs!$H$14:$H$16))/F410))*(inputs!E$75/inputs!$E$73)</f>
        <v>3.1442292527847533E-3</v>
      </c>
      <c r="T410" s="63">
        <f>IF((((inputs!$P$12/(V410/MAX(K410:S410)))^(1/inputs!$O$12))-1)/inputs!$N$12&lt;0, 0, IF((((inputs!$P$12/(V410/MAX(K410:S410)))^(1/inputs!$O$12))-1)/inputs!$N$12&gt;inputs!$H$17, inputs!$H$17, (((inputs!$P$12/(V410/MAX(K410:S410)))^(1/inputs!$O$12))-1)/inputs!$N$12))</f>
        <v>77.172020639939916</v>
      </c>
      <c r="U410" s="63">
        <f>IF((((inputs!$P$12/(X410/MAX(K410:S410)))^(1/inputs!$O$12))-1)/inputs!$N$12&lt;0, 0, IF((((inputs!$P$12/(X410/MAX(K410:S410)))^(1/inputs!$O$12))-1)/inputs!$N$12&gt;inputs!$H$17, inputs!$H$17, (((inputs!$P$12/(X410/MAX(K410:S410)))^(1/inputs!$O$12))-1)/inputs!$N$12))</f>
        <v>0</v>
      </c>
      <c r="V410" s="54">
        <f>inputs!$E$70*(inputs!$F$70/F410)^(0.25)</f>
        <v>0.20692713504581586</v>
      </c>
      <c r="W410" s="54">
        <f>inputs!$E$76*(inputs!$F$76/F410)^(0.25)</f>
        <v>6.2239779351362295E-2</v>
      </c>
      <c r="X410" s="54">
        <f>inputs!$E$72*(inputs!$F$72/F410)^(0.25)</f>
        <v>9.1291383108448176</v>
      </c>
      <c r="Y410" s="54" t="s">
        <v>13</v>
      </c>
      <c r="Z410" s="106">
        <f t="shared" si="55"/>
        <v>52.676731422718952</v>
      </c>
      <c r="AA410" s="106">
        <f t="shared" si="56"/>
        <v>175.13309382647341</v>
      </c>
    </row>
    <row r="411" spans="1:27" ht="26.4" x14ac:dyDescent="0.25">
      <c r="A411" s="55" t="s">
        <v>559</v>
      </c>
      <c r="B411" s="49" t="s">
        <v>560</v>
      </c>
      <c r="C411" s="21" t="s">
        <v>61</v>
      </c>
      <c r="D411" s="20" t="s">
        <v>440</v>
      </c>
      <c r="E411" s="20">
        <v>33</v>
      </c>
      <c r="F411" s="21">
        <v>135000</v>
      </c>
      <c r="G411" s="21" t="s">
        <v>177</v>
      </c>
      <c r="H411" s="21">
        <v>0.85</v>
      </c>
      <c r="I411" s="48">
        <f>MAX('Min rate concentrations'!$F$3:$F$368)</f>
        <v>67.5</v>
      </c>
      <c r="J411" s="48">
        <f>MAX('Min rate concentrations'!Y:Y)</f>
        <v>22.5</v>
      </c>
      <c r="K411" s="60">
        <f t="shared" si="51"/>
        <v>12.914600172741125</v>
      </c>
      <c r="L411" s="60">
        <f t="shared" si="52"/>
        <v>4.3048667242470415</v>
      </c>
      <c r="M411" s="60">
        <f>IF((((0.326*F411^0.818)-(0.398*F411^0.85)/(1-H411)*H411)*(MAX('Min rate concentrations'!$P$3:$P$368)))/F411&gt;0, (((0.326*F411^0.818)-(0.398*F411^0.85)/(1-H411)*H411)*(MAX('Min rate concentrations'!$P$3:$P$368)))/F411, 0)</f>
        <v>0</v>
      </c>
      <c r="N411" s="60">
        <f>IF((((0.326*F411^0.818)-(0.398*F411^0.85)/(1-H411)*H411)*(MAX('Min rate concentrations'!$Q$3:$Q$368)))/F411&gt; 0, (((0.326*F411^0.818)-(0.398*F411^0.85)/(1-H411)*H411)*(MAX('Min rate concentrations'!$Q$3:$Q$368)))/F411, 0)</f>
        <v>0</v>
      </c>
      <c r="O411" s="60">
        <f>((MAX('Min rate concentrations'!$F$3:$F$368))*0.62*6.01*8*(12.3*F411^0.65)*0.079*0.1/F411)*inputs!$E$73/inputs!$E$74</f>
        <v>0.72235919857020869</v>
      </c>
      <c r="P411" s="60">
        <f>((MAX('Min rate concentrations'!Y:Y))*0.62*6.01*8*(12.3*F411^0.65)*0.079*0.1/F411)*inputs!$E$73/inputs!$E$74</f>
        <v>0.24078639952340289</v>
      </c>
      <c r="Q411" s="60">
        <f>(inputs!$C$7*11.2*(12.3*F411^0.65)*0.5/F411)*inputs!$E$73/inputs!$E$74</f>
        <v>0.12724016576457536</v>
      </c>
      <c r="R411" s="60">
        <f>(60*379*((F411/1000)^0.8)*3*24*(MAX('Min rate concentrations'!$R$3:$R$368))/F411)*(inputs!$E$73/inputs!$E$75)</f>
        <v>6.8978016873286316E-4</v>
      </c>
      <c r="S411" s="60">
        <f>(IF(inputs!$C$6="aerial",((0.025*0.112*inputs!$C$7/3.3)*(3*60*379*((F411/1000)^0.8))*MAX(inputs!$H$14:$H$16))/F411,((0.0083*0.112*inputs!$C$7/1)*(3*60*379*((F411/1000)^0.8))*MAX(inputs!$H$14:$H$16))/F411))*(inputs!E$75/inputs!$E$73)</f>
        <v>3.8041800094890436E-3</v>
      </c>
      <c r="T411" s="63">
        <f>IF((((inputs!$P$12/(V411/MAX(K411:S411)))^(1/inputs!$O$12))-1)/inputs!$N$12&lt;0, 0, IF((((inputs!$P$12/(V411/MAX(K411:S411)))^(1/inputs!$O$12))-1)/inputs!$N$12&gt;inputs!$H$17, inputs!$H$17, (((inputs!$P$12/(V411/MAX(K411:S411)))^(1/inputs!$O$12))-1)/inputs!$N$12))</f>
        <v>74.264941687287916</v>
      </c>
      <c r="U411" s="63">
        <f>IF((((inputs!$P$12/(X411/MAX(K411:S411)))^(1/inputs!$O$12))-1)/inputs!$N$12&lt;0, 0, IF((((inputs!$P$12/(X411/MAX(K411:S411)))^(1/inputs!$O$12))-1)/inputs!$N$12&gt;inputs!$H$17, inputs!$H$17, (((inputs!$P$12/(X411/MAX(K411:S411)))^(1/inputs!$O$12))-1)/inputs!$N$12))</f>
        <v>0</v>
      </c>
      <c r="V411" s="54">
        <f>inputs!$E$70*(inputs!$F$70/F411)^(0.25)</f>
        <v>0.26257357295865197</v>
      </c>
      <c r="W411" s="54">
        <f>inputs!$E$76*(inputs!$F$76/F411)^(0.25)</f>
        <v>7.8977178323311303E-2</v>
      </c>
      <c r="X411" s="54">
        <f>inputs!$E$72*(inputs!$F$72/F411)^(0.25)</f>
        <v>11.584128218764057</v>
      </c>
      <c r="Y411" s="54" t="s">
        <v>13</v>
      </c>
      <c r="Z411" s="106">
        <f t="shared" si="48"/>
        <v>49.184691464646427</v>
      </c>
      <c r="AA411" s="106">
        <f t="shared" si="49"/>
        <v>163.52319045727651</v>
      </c>
    </row>
    <row r="412" spans="1:27" x14ac:dyDescent="0.25">
      <c r="A412" s="55" t="s">
        <v>513</v>
      </c>
      <c r="B412" s="49" t="s">
        <v>514</v>
      </c>
      <c r="C412" s="21" t="s">
        <v>61</v>
      </c>
      <c r="D412" s="20" t="s">
        <v>454</v>
      </c>
      <c r="E412" s="20">
        <v>5</v>
      </c>
      <c r="F412" s="21">
        <v>645</v>
      </c>
      <c r="G412" s="21" t="s">
        <v>142</v>
      </c>
      <c r="H412" s="21">
        <v>0.69</v>
      </c>
      <c r="I412" s="48">
        <f>MAX('Min rate concentrations'!$H$3:$H$368)</f>
        <v>47</v>
      </c>
      <c r="J412" s="48">
        <f>MAX('Min rate concentrations'!AA:AA)</f>
        <v>32.5</v>
      </c>
      <c r="K412" s="60">
        <f t="shared" si="51"/>
        <v>11.264253021226741</v>
      </c>
      <c r="L412" s="60">
        <f t="shared" si="52"/>
        <v>7.789111131699344</v>
      </c>
      <c r="M412" s="60">
        <f>IF((((0.326*F412^0.818)-(0.398*F412^0.85)/(1-H412)*H412)*(MAX('Min rate concentrations'!$P$3:$P$368)))/F412&gt;0, (((0.326*F412^0.818)-(0.398*F412^0.85)/(1-H412)*H412)*(MAX('Min rate concentrations'!$P$3:$P$368)))/F412, 0)</f>
        <v>0</v>
      </c>
      <c r="N412" s="60">
        <f>IF((((0.326*F412^0.818)-(0.398*F412^0.85)/(1-H412)*H412)*(MAX('Min rate concentrations'!$Q$3:$Q$368)))/F412&gt; 0, (((0.326*F412^0.818)-(0.398*F412^0.85)/(1-H412)*H412)*(MAX('Min rate concentrations'!$Q$3:$Q$368)))/F412, 0)</f>
        <v>0</v>
      </c>
      <c r="O412" s="60">
        <f>((MAX('Min rate concentrations'!$F$3:$F$368))*0.62*6.01*8*(12.3*F412^0.65)*0.079*0.1/F412)*inputs!$E$73/inputs!$E$74</f>
        <v>4.6883942684008035</v>
      </c>
      <c r="P412" s="60">
        <f>((MAX('Min rate concentrations'!Y:Y))*0.62*6.01*8*(12.3*F412^0.65)*0.079*0.1/F412)*inputs!$E$73/inputs!$E$74</f>
        <v>1.562798089466934</v>
      </c>
      <c r="Q412" s="60">
        <f>(inputs!$C$7*11.2*(12.3*F412^0.65)*0.5/F412)*inputs!$E$73/inputs!$E$74</f>
        <v>0.82583853720113198</v>
      </c>
      <c r="R412" s="60">
        <f>(60*379*((F412/1000)^0.8)*3*24*(MAX('Min rate concentrations'!$R$3:$R$368))/F412)*(inputs!$E$73/inputs!$E$75)</f>
        <v>2.0084707667264185E-3</v>
      </c>
      <c r="S412" s="60">
        <f>(IF(inputs!$C$6="aerial",((0.025*0.112*inputs!$C$7/3.3)*(3*60*379*((F412/1000)^0.8))*MAX(inputs!$H$14:$H$16))/F412,((0.0083*0.112*inputs!$C$7/1)*(3*60*379*((F412/1000)^0.8))*MAX(inputs!$H$14:$H$16))/F412))*(inputs!E$75/inputs!$E$73)</f>
        <v>1.1076839675544225E-2</v>
      </c>
      <c r="T412" s="63">
        <f>IF((((inputs!$P$12/(V412/MAX(K412:S412)))^(1/inputs!$O$12))-1)/inputs!$N$12&lt;0, 0, IF((((inputs!$P$12/(V412/MAX(K412:S412)))^(1/inputs!$O$12))-1)/inputs!$N$12&gt;inputs!$H$17, inputs!$H$17, (((inputs!$P$12/(V412/MAX(K412:S412)))^(1/inputs!$O$12))-1)/inputs!$N$12))</f>
        <v>27.960256814541186</v>
      </c>
      <c r="U412" s="63">
        <f>IF((((inputs!$P$12/(X412/MAX(K412:S412)))^(1/inputs!$O$12))-1)/inputs!$N$12&lt;0, 0, IF((((inputs!$P$12/(X412/MAX(K412:S412)))^(1/inputs!$O$12))-1)/inputs!$N$12&gt;inputs!$H$17, inputs!$H$17, (((inputs!$P$12/(X412/MAX(K412:S412)))^(1/inputs!$O$12))-1)/inputs!$N$12))</f>
        <v>0</v>
      </c>
      <c r="V412" s="54">
        <f>inputs!$E$70*(inputs!$F$70/F412)^(0.25)</f>
        <v>0.99872179447440346</v>
      </c>
      <c r="W412" s="54">
        <f>inputs!$E$76*(inputs!$F$76/F412)^(0.25)</f>
        <v>0.30039667880058618</v>
      </c>
      <c r="X412" s="54">
        <f>inputs!$E$72*(inputs!$F$72/F412)^(0.25)</f>
        <v>44.061255638576625</v>
      </c>
      <c r="Y412" s="54" t="s">
        <v>13</v>
      </c>
      <c r="Z412" s="106">
        <f t="shared" si="48"/>
        <v>11.278669478876017</v>
      </c>
      <c r="AA412" s="106">
        <f t="shared" si="49"/>
        <v>37.497927960463059</v>
      </c>
    </row>
    <row r="413" spans="1:27" x14ac:dyDescent="0.25">
      <c r="A413" s="55" t="s">
        <v>513</v>
      </c>
      <c r="B413" s="49" t="s">
        <v>514</v>
      </c>
      <c r="C413" s="21" t="s">
        <v>61</v>
      </c>
      <c r="D413" s="20" t="s">
        <v>454</v>
      </c>
      <c r="E413" s="20">
        <v>5</v>
      </c>
      <c r="F413" s="21">
        <v>645</v>
      </c>
      <c r="G413" s="21" t="s">
        <v>138</v>
      </c>
      <c r="H413" s="21">
        <v>0.68</v>
      </c>
      <c r="I413" s="48">
        <f>MAX('Min rate concentrations'!$L$3:$L$368)</f>
        <v>58.421240152220811</v>
      </c>
      <c r="J413" s="48">
        <f>MAX('Min rate concentrations'!AD:AD)</f>
        <v>40.397666062705881</v>
      </c>
      <c r="K413" s="60">
        <f t="shared" si="51"/>
        <v>13.563976434536213</v>
      </c>
      <c r="L413" s="60">
        <f t="shared" si="52"/>
        <v>9.3793454068601481</v>
      </c>
      <c r="M413" s="60">
        <f>IF((((0.326*F413^0.818)-(0.398*F413^0.85)/(1-H413)*H413)*(MAX('Min rate concentrations'!$P$3:$P$368)))/F413&gt;0, (((0.326*F413^0.818)-(0.398*F413^0.85)/(1-H413)*H413)*(MAX('Min rate concentrations'!$P$3:$P$368)))/F413, 0)</f>
        <v>0</v>
      </c>
      <c r="N413" s="60">
        <f>IF((((0.326*F413^0.818)-(0.398*F413^0.85)/(1-H413)*H413)*(MAX('Min rate concentrations'!$Q$3:$Q$368)))/F413&gt; 0, (((0.326*F413^0.818)-(0.398*F413^0.85)/(1-H413)*H413)*(MAX('Min rate concentrations'!$Q$3:$Q$368)))/F413, 0)</f>
        <v>0</v>
      </c>
      <c r="O413" s="60">
        <f>((MAX('Min rate concentrations'!$F$3:$F$368))*0.62*6.01*8*(12.3*F413^0.65)*0.079*0.1/F413)*inputs!$E$73/inputs!$E$74</f>
        <v>4.6883942684008035</v>
      </c>
      <c r="P413" s="60">
        <f>((MAX('Min rate concentrations'!Y:Y))*0.62*6.01*8*(12.3*F413^0.65)*0.079*0.1/F413)*inputs!$E$73/inputs!$E$74</f>
        <v>1.562798089466934</v>
      </c>
      <c r="Q413" s="60">
        <f>(inputs!$C$7*11.2*(12.3*F413^0.65)*0.5/F413)*inputs!$E$73/inputs!$E$74</f>
        <v>0.82583853720113198</v>
      </c>
      <c r="R413" s="60">
        <f>(60*379*((F413/1000)^0.8)*3*24*(MAX('Min rate concentrations'!$R$3:$R$368))/F413)*(inputs!$E$73/inputs!$E$75)</f>
        <v>2.0084707667264185E-3</v>
      </c>
      <c r="S413" s="60">
        <f>(IF(inputs!$C$6="aerial",((0.025*0.112*inputs!$C$7/3.3)*(3*60*379*((F413/1000)^0.8))*MAX(inputs!$H$14:$H$16))/F413,((0.0083*0.112*inputs!$C$7/1)*(3*60*379*((F413/1000)^0.8))*MAX(inputs!$H$14:$H$16))/F413))*(inputs!E$75/inputs!$E$73)</f>
        <v>1.1076839675544225E-2</v>
      </c>
      <c r="T413" s="63">
        <f>IF((((inputs!$P$12/(V413/MAX(K413:S413)))^(1/inputs!$O$12))-1)/inputs!$N$12&lt;0, 0, IF((((inputs!$P$12/(V413/MAX(K413:S413)))^(1/inputs!$O$12))-1)/inputs!$N$12&gt;inputs!$H$17, inputs!$H$17, (((inputs!$P$12/(V413/MAX(K413:S413)))^(1/inputs!$O$12))-1)/inputs!$N$12))</f>
        <v>32.391205654747246</v>
      </c>
      <c r="U413" s="63">
        <f>IF((((inputs!$P$12/(X413/MAX(K413:S413)))^(1/inputs!$O$12))-1)/inputs!$N$12&lt;0, 0, IF((((inputs!$P$12/(X413/MAX(K413:S413)))^(1/inputs!$O$12))-1)/inputs!$N$12&gt;inputs!$H$17, inputs!$H$17, (((inputs!$P$12/(X413/MAX(K413:S413)))^(1/inputs!$O$12))-1)/inputs!$N$12))</f>
        <v>0</v>
      </c>
      <c r="V413" s="54">
        <f>inputs!$E$70*(inputs!$F$70/F413)^(0.25)</f>
        <v>0.99872179447440346</v>
      </c>
      <c r="W413" s="54">
        <f>inputs!$E$76*(inputs!$F$76/F413)^(0.25)</f>
        <v>0.30039667880058618</v>
      </c>
      <c r="X413" s="54">
        <f>inputs!$E$72*(inputs!$F$72/F413)^(0.25)</f>
        <v>44.061255638576625</v>
      </c>
      <c r="Y413" s="54" t="s">
        <v>13</v>
      </c>
      <c r="Z413" s="106">
        <f t="shared" si="48"/>
        <v>13.581336173478137</v>
      </c>
      <c r="AA413" s="106">
        <f t="shared" si="49"/>
        <v>45.153549928361407</v>
      </c>
    </row>
    <row r="414" spans="1:27" x14ac:dyDescent="0.25">
      <c r="A414" s="55" t="s">
        <v>513</v>
      </c>
      <c r="B414" s="49" t="s">
        <v>514</v>
      </c>
      <c r="C414" s="21" t="s">
        <v>61</v>
      </c>
      <c r="D414" s="20" t="s">
        <v>454</v>
      </c>
      <c r="E414" s="20">
        <v>5</v>
      </c>
      <c r="F414" s="21">
        <v>645</v>
      </c>
      <c r="G414" s="21" t="s">
        <v>456</v>
      </c>
      <c r="H414" s="21">
        <v>0.68</v>
      </c>
      <c r="I414" s="48">
        <f>MAX('Min rate concentrations'!$J$3:$J$368)</f>
        <v>114.4108103430513</v>
      </c>
      <c r="J414" s="48">
        <f>MAX('Min rate concentrations'!AB:AB)</f>
        <v>40.520495329830666</v>
      </c>
      <c r="K414" s="60">
        <f t="shared" si="51"/>
        <v>26.563378855119144</v>
      </c>
      <c r="L414" s="60">
        <f t="shared" si="52"/>
        <v>9.4078633445213633</v>
      </c>
      <c r="M414" s="60">
        <f>IF((((0.326*F414^0.818)-(0.398*F414^0.85)/(1-H414)*H414)*(MAX('Min rate concentrations'!$P$3:$P$368)))/F414&gt;0, (((0.326*F414^0.818)-(0.398*F414^0.85)/(1-H414)*H414)*(MAX('Min rate concentrations'!$P$3:$P$368)))/F414, 0)</f>
        <v>0</v>
      </c>
      <c r="N414" s="60">
        <f>IF((((0.326*F414^0.818)-(0.398*F414^0.85)/(1-H414)*H414)*(MAX('Min rate concentrations'!$Q$3:$Q$368)))/F414&gt; 0, (((0.326*F414^0.818)-(0.398*F414^0.85)/(1-H414)*H414)*(MAX('Min rate concentrations'!$Q$3:$Q$368)))/F414, 0)</f>
        <v>0</v>
      </c>
      <c r="O414" s="60">
        <f>((MAX('Min rate concentrations'!$F$3:$F$368))*0.62*6.01*8*(12.3*F414^0.65)*0.079*0.1/F414)*inputs!$E$73/inputs!$E$74</f>
        <v>4.6883942684008035</v>
      </c>
      <c r="P414" s="60">
        <f>((MAX('Min rate concentrations'!Y:Y))*0.62*6.01*8*(12.3*F414^0.65)*0.079*0.1/F414)*inputs!$E$73/inputs!$E$74</f>
        <v>1.562798089466934</v>
      </c>
      <c r="Q414" s="60">
        <f>(inputs!$C$7*11.2*(12.3*F414^0.65)*0.5/F414)*inputs!$E$73/inputs!$E$74</f>
        <v>0.82583853720113198</v>
      </c>
      <c r="R414" s="60">
        <f>(60*379*((F414/1000)^0.8)*3*24*(MAX('Min rate concentrations'!$R$3:$R$368))/F414)*(inputs!$E$73/inputs!$E$75)</f>
        <v>2.0084707667264185E-3</v>
      </c>
      <c r="S414" s="60">
        <f>(IF(inputs!$C$6="aerial",((0.025*0.112*inputs!$C$7/3.3)*(3*60*379*((F414/1000)^0.8))*MAX(inputs!$H$14:$H$16))/F414,((0.0083*0.112*inputs!$C$7/1)*(3*60*379*((F414/1000)^0.8))*MAX(inputs!$H$14:$H$16))/F414))*(inputs!E$75/inputs!$E$73)</f>
        <v>1.1076839675544225E-2</v>
      </c>
      <c r="T414" s="63">
        <f>IF((((inputs!$P$12/(V414/MAX(K414:S414)))^(1/inputs!$O$12))-1)/inputs!$N$12&lt;0, 0, IF((((inputs!$P$12/(V414/MAX(K414:S414)))^(1/inputs!$O$12))-1)/inputs!$N$12&gt;inputs!$H$17, inputs!$H$17, (((inputs!$P$12/(V414/MAX(K414:S414)))^(1/inputs!$O$12))-1)/inputs!$N$12))</f>
        <v>51.531721148404273</v>
      </c>
      <c r="U414" s="63">
        <f>IF((((inputs!$P$12/(X414/MAX(K414:S414)))^(1/inputs!$O$12))-1)/inputs!$N$12&lt;0, 0, IF((((inputs!$P$12/(X414/MAX(K414:S414)))^(1/inputs!$O$12))-1)/inputs!$N$12&gt;inputs!$H$17, inputs!$H$17, (((inputs!$P$12/(X414/MAX(K414:S414)))^(1/inputs!$O$12))-1)/inputs!$N$12))</f>
        <v>0</v>
      </c>
      <c r="V414" s="54">
        <f>inputs!$E$70*(inputs!$F$70/F414)^(0.25)</f>
        <v>0.99872179447440346</v>
      </c>
      <c r="W414" s="54">
        <f>inputs!$E$76*(inputs!$F$76/F414)^(0.25)</f>
        <v>0.30039667880058618</v>
      </c>
      <c r="X414" s="54">
        <f>inputs!$E$72*(inputs!$F$72/F414)^(0.25)</f>
        <v>44.061255638576625</v>
      </c>
      <c r="Y414" s="54" t="s">
        <v>13</v>
      </c>
      <c r="Z414" s="106">
        <f t="shared" si="48"/>
        <v>26.597375767791902</v>
      </c>
      <c r="AA414" s="106">
        <f t="shared" si="49"/>
        <v>88.427671574734163</v>
      </c>
    </row>
    <row r="415" spans="1:27" x14ac:dyDescent="0.25">
      <c r="A415" s="55" t="s">
        <v>513</v>
      </c>
      <c r="B415" s="49" t="s">
        <v>514</v>
      </c>
      <c r="C415" s="21" t="s">
        <v>61</v>
      </c>
      <c r="D415" s="20" t="s">
        <v>454</v>
      </c>
      <c r="E415" s="20">
        <v>7572</v>
      </c>
      <c r="F415" s="21">
        <v>645</v>
      </c>
      <c r="G415" s="21" t="s">
        <v>142</v>
      </c>
      <c r="H415" s="21">
        <v>0.69</v>
      </c>
      <c r="I415" s="48">
        <f>MAX('Min rate concentrations'!$H$3:$H$368)</f>
        <v>47</v>
      </c>
      <c r="J415" s="48">
        <f>MAX('Min rate concentrations'!AA:AA)</f>
        <v>32.5</v>
      </c>
      <c r="K415" s="60">
        <f t="shared" si="51"/>
        <v>11.264253021226741</v>
      </c>
      <c r="L415" s="60">
        <f t="shared" si="52"/>
        <v>7.789111131699344</v>
      </c>
      <c r="M415" s="60">
        <f>IF((((0.326*F415^0.818)-(0.398*F415^0.85)/(1-H415)*H415)*(MAX('Min rate concentrations'!$P$3:$P$368)))/F415&gt;0, (((0.326*F415^0.818)-(0.398*F415^0.85)/(1-H415)*H415)*(MAX('Min rate concentrations'!$P$3:$P$368)))/F415, 0)</f>
        <v>0</v>
      </c>
      <c r="N415" s="60">
        <f>IF((((0.326*F415^0.818)-(0.398*F415^0.85)/(1-H415)*H415)*(MAX('Min rate concentrations'!$Q$3:$Q$368)))/F415&gt; 0, (((0.326*F415^0.818)-(0.398*F415^0.85)/(1-H415)*H415)*(MAX('Min rate concentrations'!$Q$3:$Q$368)))/F415, 0)</f>
        <v>0</v>
      </c>
      <c r="O415" s="60">
        <f>((MAX('Min rate concentrations'!$F$3:$F$368))*0.62*6.01*8*(12.3*F415^0.65)*0.079*0.1/F415)*inputs!$E$73/inputs!$E$74</f>
        <v>4.6883942684008035</v>
      </c>
      <c r="P415" s="60">
        <f>((MAX('Min rate concentrations'!Y:Y))*0.62*6.01*8*(12.3*F415^0.65)*0.079*0.1/F415)*inputs!$E$73/inputs!$E$74</f>
        <v>1.562798089466934</v>
      </c>
      <c r="Q415" s="60">
        <f>(inputs!$C$7*11.2*(12.3*F415^0.65)*0.5/F415)*inputs!$E$73/inputs!$E$74</f>
        <v>0.82583853720113198</v>
      </c>
      <c r="R415" s="60">
        <f>(60*379*((F415/1000)^0.8)*3*24*(MAX('Min rate concentrations'!$R$3:$R$368))/F415)*(inputs!$E$73/inputs!$E$75)</f>
        <v>2.0084707667264185E-3</v>
      </c>
      <c r="S415" s="60">
        <f>(IF(inputs!$C$6="aerial",((0.025*0.112*inputs!$C$7/3.3)*(3*60*379*((F415/1000)^0.8))*MAX(inputs!$H$14:$H$16))/F415,((0.0083*0.112*inputs!$C$7/1)*(3*60*379*((F415/1000)^0.8))*MAX(inputs!$H$14:$H$16))/F415))*(inputs!E$75/inputs!$E$73)</f>
        <v>1.1076839675544225E-2</v>
      </c>
      <c r="T415" s="63">
        <f>IF((((inputs!$P$12/(V415/MAX(K415:S415)))^(1/inputs!$O$12))-1)/inputs!$N$12&lt;0, 0, IF((((inputs!$P$12/(V415/MAX(K415:S415)))^(1/inputs!$O$12))-1)/inputs!$N$12&gt;inputs!$H$17, inputs!$H$17, (((inputs!$P$12/(V415/MAX(K415:S415)))^(1/inputs!$O$12))-1)/inputs!$N$12))</f>
        <v>27.960256814541186</v>
      </c>
      <c r="U415" s="63">
        <f>IF((((inputs!$P$12/(X415/MAX(K415:S415)))^(1/inputs!$O$12))-1)/inputs!$N$12&lt;0, 0, IF((((inputs!$P$12/(X415/MAX(K415:S415)))^(1/inputs!$O$12))-1)/inputs!$N$12&gt;inputs!$H$17, inputs!$H$17, (((inputs!$P$12/(X415/MAX(K415:S415)))^(1/inputs!$O$12))-1)/inputs!$N$12))</f>
        <v>0</v>
      </c>
      <c r="V415" s="54">
        <f>inputs!$E$70*(inputs!$F$70/F415)^(0.25)</f>
        <v>0.99872179447440346</v>
      </c>
      <c r="W415" s="54">
        <f>inputs!$E$76*(inputs!$F$76/F415)^(0.25)</f>
        <v>0.30039667880058618</v>
      </c>
      <c r="X415" s="54">
        <f>inputs!$E$72*(inputs!$F$72/F415)^(0.25)</f>
        <v>44.061255638576625</v>
      </c>
      <c r="Y415" s="54" t="s">
        <v>13</v>
      </c>
      <c r="Z415" s="106">
        <f t="shared" si="48"/>
        <v>11.278669478876017</v>
      </c>
      <c r="AA415" s="106">
        <f t="shared" si="49"/>
        <v>37.497927960463059</v>
      </c>
    </row>
    <row r="416" spans="1:27" x14ac:dyDescent="0.25">
      <c r="A416" s="55" t="s">
        <v>513</v>
      </c>
      <c r="B416" s="49" t="s">
        <v>514</v>
      </c>
      <c r="C416" s="21" t="s">
        <v>61</v>
      </c>
      <c r="D416" s="20" t="s">
        <v>454</v>
      </c>
      <c r="E416" s="20">
        <v>7572</v>
      </c>
      <c r="F416" s="21">
        <v>645</v>
      </c>
      <c r="G416" s="21" t="s">
        <v>138</v>
      </c>
      <c r="H416" s="21">
        <v>0.68</v>
      </c>
      <c r="I416" s="48">
        <f>MAX('Min rate concentrations'!$L$3:$L$368)</f>
        <v>58.421240152220811</v>
      </c>
      <c r="J416" s="48">
        <f>MAX('Min rate concentrations'!AD:AD)</f>
        <v>40.397666062705881</v>
      </c>
      <c r="K416" s="60">
        <f t="shared" si="51"/>
        <v>13.563976434536213</v>
      </c>
      <c r="L416" s="60">
        <f t="shared" si="52"/>
        <v>9.3793454068601481</v>
      </c>
      <c r="M416" s="60">
        <f>IF((((0.326*F416^0.818)-(0.398*F416^0.85)/(1-H416)*H416)*(MAX('Min rate concentrations'!$P$3:$P$368)))/F416&gt;0, (((0.326*F416^0.818)-(0.398*F416^0.85)/(1-H416)*H416)*(MAX('Min rate concentrations'!$P$3:$P$368)))/F416, 0)</f>
        <v>0</v>
      </c>
      <c r="N416" s="60">
        <f>IF((((0.326*F416^0.818)-(0.398*F416^0.85)/(1-H416)*H416)*(MAX('Min rate concentrations'!$Q$3:$Q$368)))/F416&gt; 0, (((0.326*F416^0.818)-(0.398*F416^0.85)/(1-H416)*H416)*(MAX('Min rate concentrations'!$Q$3:$Q$368)))/F416, 0)</f>
        <v>0</v>
      </c>
      <c r="O416" s="60">
        <f>((MAX('Min rate concentrations'!$F$3:$F$368))*0.62*6.01*8*(12.3*F416^0.65)*0.079*0.1/F416)*inputs!$E$73/inputs!$E$74</f>
        <v>4.6883942684008035</v>
      </c>
      <c r="P416" s="60">
        <f>((MAX('Min rate concentrations'!Y:Y))*0.62*6.01*8*(12.3*F416^0.65)*0.079*0.1/F416)*inputs!$E$73/inputs!$E$74</f>
        <v>1.562798089466934</v>
      </c>
      <c r="Q416" s="60">
        <f>(inputs!$C$7*11.2*(12.3*F416^0.65)*0.5/F416)*inputs!$E$73/inputs!$E$74</f>
        <v>0.82583853720113198</v>
      </c>
      <c r="R416" s="60">
        <f>(60*379*((F416/1000)^0.8)*3*24*(MAX('Min rate concentrations'!$R$3:$R$368))/F416)*(inputs!$E$73/inputs!$E$75)</f>
        <v>2.0084707667264185E-3</v>
      </c>
      <c r="S416" s="60">
        <f>(IF(inputs!$C$6="aerial",((0.025*0.112*inputs!$C$7/3.3)*(3*60*379*((F416/1000)^0.8))*MAX(inputs!$H$14:$H$16))/F416,((0.0083*0.112*inputs!$C$7/1)*(3*60*379*((F416/1000)^0.8))*MAX(inputs!$H$14:$H$16))/F416))*(inputs!E$75/inputs!$E$73)</f>
        <v>1.1076839675544225E-2</v>
      </c>
      <c r="T416" s="63">
        <f>IF((((inputs!$P$12/(V416/MAX(K416:S416)))^(1/inputs!$O$12))-1)/inputs!$N$12&lt;0, 0, IF((((inputs!$P$12/(V416/MAX(K416:S416)))^(1/inputs!$O$12))-1)/inputs!$N$12&gt;inputs!$H$17, inputs!$H$17, (((inputs!$P$12/(V416/MAX(K416:S416)))^(1/inputs!$O$12))-1)/inputs!$N$12))</f>
        <v>32.391205654747246</v>
      </c>
      <c r="U416" s="63">
        <f>IF((((inputs!$P$12/(X416/MAX(K416:S416)))^(1/inputs!$O$12))-1)/inputs!$N$12&lt;0, 0, IF((((inputs!$P$12/(X416/MAX(K416:S416)))^(1/inputs!$O$12))-1)/inputs!$N$12&gt;inputs!$H$17, inputs!$H$17, (((inputs!$P$12/(X416/MAX(K416:S416)))^(1/inputs!$O$12))-1)/inputs!$N$12))</f>
        <v>0</v>
      </c>
      <c r="V416" s="54">
        <f>inputs!$E$70*(inputs!$F$70/F416)^(0.25)</f>
        <v>0.99872179447440346</v>
      </c>
      <c r="W416" s="54">
        <f>inputs!$E$76*(inputs!$F$76/F416)^(0.25)</f>
        <v>0.30039667880058618</v>
      </c>
      <c r="X416" s="54">
        <f>inputs!$E$72*(inputs!$F$72/F416)^(0.25)</f>
        <v>44.061255638576625</v>
      </c>
      <c r="Y416" s="54" t="s">
        <v>13</v>
      </c>
      <c r="Z416" s="106">
        <f t="shared" si="48"/>
        <v>13.581336173478137</v>
      </c>
      <c r="AA416" s="106">
        <f t="shared" si="49"/>
        <v>45.153549928361407</v>
      </c>
    </row>
    <row r="417" spans="1:27" x14ac:dyDescent="0.25">
      <c r="A417" s="55" t="s">
        <v>513</v>
      </c>
      <c r="B417" s="49" t="s">
        <v>514</v>
      </c>
      <c r="C417" s="21" t="s">
        <v>61</v>
      </c>
      <c r="D417" s="20" t="s">
        <v>454</v>
      </c>
      <c r="E417" s="20">
        <v>7572</v>
      </c>
      <c r="F417" s="21">
        <v>645</v>
      </c>
      <c r="G417" s="21" t="s">
        <v>456</v>
      </c>
      <c r="H417" s="21">
        <v>0.68</v>
      </c>
      <c r="I417" s="48">
        <f>MAX('Min rate concentrations'!$J$3:$J$368)</f>
        <v>114.4108103430513</v>
      </c>
      <c r="J417" s="48">
        <f>MAX('Min rate concentrations'!AB:AB)</f>
        <v>40.520495329830666</v>
      </c>
      <c r="K417" s="60">
        <f t="shared" si="51"/>
        <v>26.563378855119144</v>
      </c>
      <c r="L417" s="60">
        <f t="shared" si="52"/>
        <v>9.4078633445213633</v>
      </c>
      <c r="M417" s="60">
        <f>IF((((0.326*F417^0.818)-(0.398*F417^0.85)/(1-H417)*H417)*(MAX('Min rate concentrations'!$P$3:$P$368)))/F417&gt;0, (((0.326*F417^0.818)-(0.398*F417^0.85)/(1-H417)*H417)*(MAX('Min rate concentrations'!$P$3:$P$368)))/F417, 0)</f>
        <v>0</v>
      </c>
      <c r="N417" s="60">
        <f>IF((((0.326*F417^0.818)-(0.398*F417^0.85)/(1-H417)*H417)*(MAX('Min rate concentrations'!$Q$3:$Q$368)))/F417&gt; 0, (((0.326*F417^0.818)-(0.398*F417^0.85)/(1-H417)*H417)*(MAX('Min rate concentrations'!$Q$3:$Q$368)))/F417, 0)</f>
        <v>0</v>
      </c>
      <c r="O417" s="60">
        <f>((MAX('Min rate concentrations'!$F$3:$F$368))*0.62*6.01*8*(12.3*F417^0.65)*0.079*0.1/F417)*inputs!$E$73/inputs!$E$74</f>
        <v>4.6883942684008035</v>
      </c>
      <c r="P417" s="60">
        <f>((MAX('Min rate concentrations'!Y:Y))*0.62*6.01*8*(12.3*F417^0.65)*0.079*0.1/F417)*inputs!$E$73/inputs!$E$74</f>
        <v>1.562798089466934</v>
      </c>
      <c r="Q417" s="60">
        <f>(inputs!$C$7*11.2*(12.3*F417^0.65)*0.5/F417)*inputs!$E$73/inputs!$E$74</f>
        <v>0.82583853720113198</v>
      </c>
      <c r="R417" s="60">
        <f>(60*379*((F417/1000)^0.8)*3*24*(MAX('Min rate concentrations'!$R$3:$R$368))/F417)*(inputs!$E$73/inputs!$E$75)</f>
        <v>2.0084707667264185E-3</v>
      </c>
      <c r="S417" s="60">
        <f>(IF(inputs!$C$6="aerial",((0.025*0.112*inputs!$C$7/3.3)*(3*60*379*((F417/1000)^0.8))*MAX(inputs!$H$14:$H$16))/F417,((0.0083*0.112*inputs!$C$7/1)*(3*60*379*((F417/1000)^0.8))*MAX(inputs!$H$14:$H$16))/F417))*(inputs!E$75/inputs!$E$73)</f>
        <v>1.1076839675544225E-2</v>
      </c>
      <c r="T417" s="63">
        <f>IF((((inputs!$P$12/(V417/MAX(K417:S417)))^(1/inputs!$O$12))-1)/inputs!$N$12&lt;0, 0, IF((((inputs!$P$12/(V417/MAX(K417:S417)))^(1/inputs!$O$12))-1)/inputs!$N$12&gt;inputs!$H$17, inputs!$H$17, (((inputs!$P$12/(V417/MAX(K417:S417)))^(1/inputs!$O$12))-1)/inputs!$N$12))</f>
        <v>51.531721148404273</v>
      </c>
      <c r="U417" s="63">
        <f>IF((((inputs!$P$12/(X417/MAX(K417:S417)))^(1/inputs!$O$12))-1)/inputs!$N$12&lt;0, 0, IF((((inputs!$P$12/(X417/MAX(K417:S417)))^(1/inputs!$O$12))-1)/inputs!$N$12&gt;inputs!$H$17, inputs!$H$17, (((inputs!$P$12/(X417/MAX(K417:S417)))^(1/inputs!$O$12))-1)/inputs!$N$12))</f>
        <v>0</v>
      </c>
      <c r="V417" s="54">
        <f>inputs!$E$70*(inputs!$F$70/F417)^(0.25)</f>
        <v>0.99872179447440346</v>
      </c>
      <c r="W417" s="54">
        <f>inputs!$E$76*(inputs!$F$76/F417)^(0.25)</f>
        <v>0.30039667880058618</v>
      </c>
      <c r="X417" s="54">
        <f>inputs!$E$72*(inputs!$F$72/F417)^(0.25)</f>
        <v>44.061255638576625</v>
      </c>
      <c r="Y417" s="54" t="s">
        <v>13</v>
      </c>
      <c r="Z417" s="106">
        <f t="shared" si="48"/>
        <v>26.597375767791902</v>
      </c>
      <c r="AA417" s="106">
        <f t="shared" si="49"/>
        <v>88.427671574734163</v>
      </c>
    </row>
    <row r="418" spans="1:27" x14ac:dyDescent="0.25">
      <c r="A418" s="55" t="s">
        <v>503</v>
      </c>
      <c r="B418" s="49" t="s">
        <v>504</v>
      </c>
      <c r="C418" s="21" t="s">
        <v>61</v>
      </c>
      <c r="D418" s="20" t="s">
        <v>454</v>
      </c>
      <c r="E418" s="20">
        <v>24</v>
      </c>
      <c r="F418" s="21">
        <v>8000</v>
      </c>
      <c r="G418" s="21" t="s">
        <v>138</v>
      </c>
      <c r="H418" s="21">
        <v>0.68</v>
      </c>
      <c r="I418" s="48">
        <f>MAX('Min rate concentrations'!$L$3:$L$368)</f>
        <v>58.421240152220811</v>
      </c>
      <c r="J418" s="48">
        <f>MAX('Min rate concentrations'!AD:AD)</f>
        <v>40.397666062705881</v>
      </c>
      <c r="K418" s="60">
        <f t="shared" si="51"/>
        <v>8.6644028812205942</v>
      </c>
      <c r="L418" s="60">
        <f t="shared" si="52"/>
        <v>5.9913424178653045</v>
      </c>
      <c r="M418" s="60">
        <f>IF((((0.326*F418^0.818)-(0.398*F418^0.85)/(1-H418)*H418)*(MAX('Min rate concentrations'!$P$3:$P$368)))/F418&gt;0, (((0.326*F418^0.818)-(0.398*F418^0.85)/(1-H418)*H418)*(MAX('Min rate concentrations'!$P$3:$P$368)))/F418, 0)</f>
        <v>0</v>
      </c>
      <c r="N418" s="60">
        <f>IF((((0.326*F418^0.818)-(0.398*F418^0.85)/(1-H418)*H418)*(MAX('Min rate concentrations'!$Q$3:$Q$368)))/F418&gt; 0, (((0.326*F418^0.818)-(0.398*F418^0.85)/(1-H418)*H418)*(MAX('Min rate concentrations'!$Q$3:$Q$368)))/F418, 0)</f>
        <v>0</v>
      </c>
      <c r="O418" s="60">
        <f>((MAX('Min rate concentrations'!$F$3:$F$368))*0.62*6.01*8*(12.3*F418^0.65)*0.079*0.1/F418)*inputs!$E$73/inputs!$E$74</f>
        <v>1.9421757669885253</v>
      </c>
      <c r="P418" s="60">
        <f>((MAX('Min rate concentrations'!Y:Y))*0.62*6.01*8*(12.3*F418^0.65)*0.079*0.1/F418)*inputs!$E$73/inputs!$E$74</f>
        <v>0.64739192232950826</v>
      </c>
      <c r="Q418" s="60">
        <f>(inputs!$C$7*11.2*(12.3*F418^0.65)*0.5/F418)*inputs!$E$73/inputs!$E$74</f>
        <v>0.34210510093136498</v>
      </c>
      <c r="R418" s="60">
        <f>(60*379*((F418/1000)^0.8)*3*24*(MAX('Min rate concentrations'!$R$3:$R$368))/F418)*(inputs!$E$73/inputs!$E$75)</f>
        <v>1.213834453885712E-3</v>
      </c>
      <c r="S418" s="60">
        <f>(IF(inputs!$C$6="aerial",((0.025*0.112*inputs!$C$7/3.3)*(3*60*379*((F418/1000)^0.8))*MAX(inputs!$H$14:$H$16))/F418,((0.0083*0.112*inputs!$C$7/1)*(3*60*379*((F418/1000)^0.8))*MAX(inputs!$H$14:$H$16))/F418))*(inputs!E$75/inputs!$E$73)</f>
        <v>6.6943715891162239E-3</v>
      </c>
      <c r="T418" s="63">
        <f>IF((((inputs!$P$12/(V418/MAX(K418:S418)))^(1/inputs!$O$12))-1)/inputs!$N$12&lt;0, 0, IF((((inputs!$P$12/(V418/MAX(K418:S418)))^(1/inputs!$O$12))-1)/inputs!$N$12&gt;inputs!$H$17, inputs!$H$17, (((inputs!$P$12/(V418/MAX(K418:S418)))^(1/inputs!$O$12))-1)/inputs!$N$12))</f>
        <v>37.050122367855003</v>
      </c>
      <c r="U418" s="63">
        <f>IF((((inputs!$P$12/(X418/MAX(K418:S418)))^(1/inputs!$O$12))-1)/inputs!$N$12&lt;0, 0, IF((((inputs!$P$12/(X418/MAX(K418:S418)))^(1/inputs!$O$12))-1)/inputs!$N$12&gt;inputs!$H$17, inputs!$H$17, (((inputs!$P$12/(X418/MAX(K418:S418)))^(1/inputs!$O$12))-1)/inputs!$N$12))</f>
        <v>0</v>
      </c>
      <c r="V418" s="54">
        <f>inputs!$E$70*(inputs!$F$70/F418)^(0.25)</f>
        <v>0.53218417864494993</v>
      </c>
      <c r="W418" s="54">
        <f>inputs!$E$76*(inputs!$F$76/F418)^(0.25)</f>
        <v>0.16007096336502152</v>
      </c>
      <c r="X418" s="54">
        <f>inputs!$E$72*(inputs!$F$72/F418)^(0.25)</f>
        <v>23.478713763747795</v>
      </c>
      <c r="Y418" s="54" t="s">
        <v>13</v>
      </c>
      <c r="Z418" s="106">
        <f t="shared" si="48"/>
        <v>16.280835148617047</v>
      </c>
      <c r="AA418" s="106">
        <f t="shared" si="49"/>
        <v>54.128510874658275</v>
      </c>
    </row>
    <row r="419" spans="1:27" x14ac:dyDescent="0.25">
      <c r="A419" s="55" t="s">
        <v>503</v>
      </c>
      <c r="B419" s="49" t="s">
        <v>504</v>
      </c>
      <c r="C419" s="21" t="s">
        <v>61</v>
      </c>
      <c r="D419" s="20" t="s">
        <v>454</v>
      </c>
      <c r="E419" s="20">
        <v>24</v>
      </c>
      <c r="F419" s="21">
        <v>8000</v>
      </c>
      <c r="G419" s="21" t="s">
        <v>218</v>
      </c>
      <c r="H419" s="21">
        <v>0.68</v>
      </c>
      <c r="I419" s="48">
        <f>MAX('Min rate concentrations'!$K$3:$K$368)</f>
        <v>18.333393099490852</v>
      </c>
      <c r="J419" s="48">
        <f>MAX('Min rate concentrations'!AC:AC)</f>
        <v>6.4930767227363431</v>
      </c>
      <c r="K419" s="60">
        <f t="shared" si="51"/>
        <v>2.7190094489587779</v>
      </c>
      <c r="L419" s="60">
        <f t="shared" si="52"/>
        <v>0.96298251317290029</v>
      </c>
      <c r="M419" s="60">
        <f>IF((((0.326*F419^0.818)-(0.398*F419^0.85)/(1-H419)*H419)*(MAX('Min rate concentrations'!$P$3:$P$368)))/F419&gt;0, (((0.326*F419^0.818)-(0.398*F419^0.85)/(1-H419)*H419)*(MAX('Min rate concentrations'!$P$3:$P$368)))/F419, 0)</f>
        <v>0</v>
      </c>
      <c r="N419" s="60">
        <f>IF((((0.326*F419^0.818)-(0.398*F419^0.85)/(1-H419)*H419)*(MAX('Min rate concentrations'!$Q$3:$Q$368)))/F419&gt; 0, (((0.326*F419^0.818)-(0.398*F419^0.85)/(1-H419)*H419)*(MAX('Min rate concentrations'!$Q$3:$Q$368)))/F419, 0)</f>
        <v>0</v>
      </c>
      <c r="O419" s="60">
        <f>((MAX('Min rate concentrations'!$F$3:$F$368))*0.62*6.01*8*(12.3*F419^0.65)*0.079*0.1/F419)*inputs!$E$73/inputs!$E$74</f>
        <v>1.9421757669885253</v>
      </c>
      <c r="P419" s="60">
        <f>((MAX('Min rate concentrations'!Y:Y))*0.62*6.01*8*(12.3*F419^0.65)*0.079*0.1/F419)*inputs!$E$73/inputs!$E$74</f>
        <v>0.64739192232950826</v>
      </c>
      <c r="Q419" s="60">
        <f>(inputs!$C$7*11.2*(12.3*F419^0.65)*0.5/F419)*inputs!$E$73/inputs!$E$74</f>
        <v>0.34210510093136498</v>
      </c>
      <c r="R419" s="60">
        <f>(60*379*((F419/1000)^0.8)*3*24*(MAX('Min rate concentrations'!$R$3:$R$368))/F419)*(inputs!$E$73/inputs!$E$75)</f>
        <v>1.213834453885712E-3</v>
      </c>
      <c r="S419" s="60">
        <f>(IF(inputs!$C$6="aerial",((0.025*0.112*inputs!$C$7/3.3)*(3*60*379*((F419/1000)^0.8))*MAX(inputs!$H$14:$H$16))/F419,((0.0083*0.112*inputs!$C$7/1)*(3*60*379*((F419/1000)^0.8))*MAX(inputs!$H$14:$H$16))/F419))*(inputs!E$75/inputs!$E$73)</f>
        <v>6.6943715891162239E-3</v>
      </c>
      <c r="T419" s="63">
        <f>IF((((inputs!$P$12/(V419/MAX(K419:S419)))^(1/inputs!$O$12))-1)/inputs!$N$12&lt;0, 0, IF((((inputs!$P$12/(V419/MAX(K419:S419)))^(1/inputs!$O$12))-1)/inputs!$N$12&gt;inputs!$H$17, inputs!$H$17, (((inputs!$P$12/(V419/MAX(K419:S419)))^(1/inputs!$O$12))-1)/inputs!$N$12))</f>
        <v>12.415883776196965</v>
      </c>
      <c r="U419" s="63">
        <f>IF((((inputs!$P$12/(X419/MAX(K419:S419)))^(1/inputs!$O$12))-1)/inputs!$N$12&lt;0, 0, IF((((inputs!$P$12/(X419/MAX(K419:S419)))^(1/inputs!$O$12))-1)/inputs!$N$12&gt;inputs!$H$17, inputs!$H$17, (((inputs!$P$12/(X419/MAX(K419:S419)))^(1/inputs!$O$12))-1)/inputs!$N$12))</f>
        <v>0</v>
      </c>
      <c r="V419" s="54">
        <f>inputs!$E$70*(inputs!$F$70/F419)^(0.25)</f>
        <v>0.53218417864494993</v>
      </c>
      <c r="W419" s="54">
        <f>inputs!$E$76*(inputs!$F$76/F419)^(0.25)</f>
        <v>0.16007096336502152</v>
      </c>
      <c r="X419" s="54">
        <f>inputs!$E$72*(inputs!$F$72/F419)^(0.25)</f>
        <v>23.478713763747795</v>
      </c>
      <c r="Y419" s="54" t="s">
        <v>13</v>
      </c>
      <c r="Z419" s="106">
        <f t="shared" si="48"/>
        <v>5.109151226332834</v>
      </c>
      <c r="AA419" s="106">
        <f t="shared" si="49"/>
        <v>16.986275285658287</v>
      </c>
    </row>
    <row r="420" spans="1:27" x14ac:dyDescent="0.25">
      <c r="A420" s="55" t="s">
        <v>503</v>
      </c>
      <c r="B420" s="49" t="s">
        <v>504</v>
      </c>
      <c r="C420" s="21" t="s">
        <v>61</v>
      </c>
      <c r="D420" s="20" t="s">
        <v>454</v>
      </c>
      <c r="E420" s="20">
        <v>24</v>
      </c>
      <c r="F420" s="21">
        <v>8000</v>
      </c>
      <c r="G420" s="21" t="s">
        <v>186</v>
      </c>
      <c r="H420" s="21">
        <v>0.75</v>
      </c>
      <c r="I420" s="48">
        <f>inputs!$C$65*inputs!$C$64/1000</f>
        <v>2.13</v>
      </c>
      <c r="J420" s="48">
        <f>inputs!$C$65*inputs!$C$63/1000</f>
        <v>0.88</v>
      </c>
      <c r="K420" s="60">
        <f t="shared" si="51"/>
        <v>0.40434999246522907</v>
      </c>
      <c r="L420" s="60">
        <f t="shared" si="52"/>
        <v>0.16705539594807586</v>
      </c>
      <c r="M420" s="60">
        <f>IF((((0.326*F420^0.818)-(0.398*F420^0.85)/(1-H420)*H420)*(MAX('Min rate concentrations'!$P$3:$P$368)))/F420&gt;0, (((0.326*F420^0.818)-(0.398*F420^0.85)/(1-H420)*H420)*(MAX('Min rate concentrations'!$P$3:$P$368)))/F420, 0)</f>
        <v>0</v>
      </c>
      <c r="N420" s="60">
        <f>IF((((0.326*F420^0.818)-(0.398*F420^0.85)/(1-H420)*H420)*(MAX('Min rate concentrations'!$Q$3:$Q$368)))/F420&gt; 0, (((0.326*F420^0.818)-(0.398*F420^0.85)/(1-H420)*H420)*(MAX('Min rate concentrations'!$Q$3:$Q$368)))/F420, 0)</f>
        <v>0</v>
      </c>
      <c r="O420" s="60">
        <f>((MAX('Min rate concentrations'!$F$3:$F$368))*0.62*6.01*8*(12.3*F420^0.65)*0.079*0.1/F420)*inputs!$E$73/inputs!$E$74</f>
        <v>1.9421757669885253</v>
      </c>
      <c r="P420" s="60">
        <f>((MAX('Min rate concentrations'!Y:Y))*0.62*6.01*8*(12.3*F420^0.65)*0.079*0.1/F420)*inputs!$E$73/inputs!$E$74</f>
        <v>0.64739192232950826</v>
      </c>
      <c r="Q420" s="60">
        <f>(inputs!$C$7*11.2*(12.3*F420^0.65)*0.5/F420)*inputs!$E$73/inputs!$E$74</f>
        <v>0.34210510093136498</v>
      </c>
      <c r="R420" s="60">
        <f>(60*379*((F420/1000)^0.8)*3*24*(MAX('Min rate concentrations'!$R$3:$R$368))/F420)*(inputs!$E$73/inputs!$E$75)</f>
        <v>1.213834453885712E-3</v>
      </c>
      <c r="S420" s="60">
        <f>(IF(inputs!$C$6="aerial",((0.025*0.112*inputs!$C$7/3.3)*(3*60*379*((F420/1000)^0.8))*MAX(inputs!$H$14:$H$16))/F420,((0.0083*0.112*inputs!$C$7/1)*(3*60*379*((F420/1000)^0.8))*MAX(inputs!$H$14:$H$16))/F420))*(inputs!E$75/inputs!$E$73)</f>
        <v>6.6943715891162239E-3</v>
      </c>
      <c r="T420" s="63">
        <f>IF((((inputs!$P$12/(V420/MAX(K420:S420)))^(1/inputs!$O$12))-1)/inputs!$N$12&lt;0, 0, IF((((inputs!$P$12/(V420/MAX(K420:S420)))^(1/inputs!$O$12))-1)/inputs!$N$12&gt;inputs!$H$17, inputs!$H$17, (((inputs!$P$12/(V420/MAX(K420:S420)))^(1/inputs!$O$12))-1)/inputs!$N$12))</f>
        <v>7.1840691236417111</v>
      </c>
      <c r="U420" s="63">
        <f>IF((((inputs!$P$12/(X420/MAX(K420:S420)))^(1/inputs!$O$12))-1)/inputs!$N$12&lt;0, 0, IF((((inputs!$P$12/(X420/MAX(K420:S420)))^(1/inputs!$O$12))-1)/inputs!$N$12&gt;inputs!$H$17, inputs!$H$17, (((inputs!$P$12/(X420/MAX(K420:S420)))^(1/inputs!$O$12))-1)/inputs!$N$12))</f>
        <v>0</v>
      </c>
      <c r="V420" s="54">
        <f>inputs!$E$70*(inputs!$F$70/F420)^(0.25)</f>
        <v>0.53218417864494993</v>
      </c>
      <c r="W420" s="54">
        <f>inputs!$E$76*(inputs!$F$76/F420)^(0.25)</f>
        <v>0.16007096336502152</v>
      </c>
      <c r="X420" s="54">
        <f>inputs!$E$72*(inputs!$F$72/F420)^(0.25)</f>
        <v>23.478713763747795</v>
      </c>
      <c r="Y420" s="54" t="s">
        <v>13</v>
      </c>
      <c r="Z420" s="106">
        <f t="shared" si="48"/>
        <v>3.6494428901169198</v>
      </c>
      <c r="AA420" s="106">
        <f t="shared" si="49"/>
        <v>12.133217206668769</v>
      </c>
    </row>
    <row r="421" spans="1:27" x14ac:dyDescent="0.25">
      <c r="A421" s="55" t="s">
        <v>503</v>
      </c>
      <c r="B421" s="49" t="s">
        <v>504</v>
      </c>
      <c r="C421" s="21" t="s">
        <v>61</v>
      </c>
      <c r="D421" s="20" t="s">
        <v>454</v>
      </c>
      <c r="E421" s="20">
        <v>24</v>
      </c>
      <c r="F421" s="21">
        <v>8000</v>
      </c>
      <c r="G421" s="21" t="s">
        <v>455</v>
      </c>
      <c r="H421" s="21">
        <v>0.68</v>
      </c>
      <c r="I421" s="21">
        <f>MAX('Min rate concentrations'!$K$3:$K$368)</f>
        <v>18.333393099490852</v>
      </c>
      <c r="J421" s="48">
        <f>MAX('Min rate concentrations'!AC:AC)</f>
        <v>6.4930767227363431</v>
      </c>
      <c r="K421" s="60">
        <f t="shared" si="51"/>
        <v>2.7190094489587779</v>
      </c>
      <c r="L421" s="60"/>
      <c r="M421" s="60">
        <f>IF((((0.326*F421^0.818)-(0.398*F421^0.85)/(1-H421)*H421)*(MAX('Min rate concentrations'!$P$3:$P$368)))/F421&gt;0, (((0.326*F421^0.818)-(0.398*F421^0.85)/(1-H421)*H421)*(MAX('Min rate concentrations'!$P$3:$P$368)))/F421, 0)</f>
        <v>0</v>
      </c>
      <c r="N421" s="60">
        <f>IF((((0.326*F421^0.818)-(0.398*F421^0.85)/(1-H421)*H421)*(MAX('Min rate concentrations'!$Q$3:$Q$368)))/F421&gt; 0, (((0.326*F421^0.818)-(0.398*F421^0.85)/(1-H421)*H421)*(MAX('Min rate concentrations'!$Q$3:$Q$368)))/F421, 0)</f>
        <v>0</v>
      </c>
      <c r="O421" s="60">
        <f>((MAX('Min rate concentrations'!$F$3:$F$368))*0.62*6.01*8*(12.3*F421^0.65)*0.079*0.1/F421)*inputs!$E$73/inputs!$E$74</f>
        <v>1.9421757669885253</v>
      </c>
      <c r="P421" s="60"/>
      <c r="Q421" s="60">
        <f>(inputs!$C$7*11.2*(12.3*F421^0.65)*0.5/F421)*inputs!$E$73/inputs!$E$74</f>
        <v>0.34210510093136498</v>
      </c>
      <c r="R421" s="60">
        <f>(60*379*((F421/1000)^0.8)*3*24*(MAX('Min rate concentrations'!$R$3:$R$368))/F421)*(inputs!$E$73/inputs!$E$75)</f>
        <v>1.213834453885712E-3</v>
      </c>
      <c r="S421" s="60">
        <f>(IF(inputs!$C$6="aerial",((0.025*0.112*inputs!$C$7/3.3)*(3*60*379*((F421/1000)^0.8))*MAX(inputs!$H$14:$H$16))/F421,((0.0083*0.112*inputs!$C$7/1)*(3*60*379*((F421/1000)^0.8))*MAX(inputs!$H$14:$H$16))/F421))*(inputs!E$75/inputs!$E$73)</f>
        <v>6.6943715891162239E-3</v>
      </c>
      <c r="T421" s="63">
        <f>IF((((inputs!$P$12/(V421/MAX(K421:S421)))^(1/inputs!$O$12))-1)/inputs!$N$12&lt;0, 0, IF((((inputs!$P$12/(V421/MAX(K421:S421)))^(1/inputs!$O$12))-1)/inputs!$N$12&gt;inputs!$H$17, inputs!$H$17, (((inputs!$P$12/(V421/MAX(K421:S421)))^(1/inputs!$O$12))-1)/inputs!$N$12))</f>
        <v>12.415883776196965</v>
      </c>
      <c r="U421" s="63">
        <f>IF((((inputs!$P$12/(X421/MAX(K421:S421)))^(1/inputs!$O$12))-1)/inputs!$N$12&lt;0, 0, IF((((inputs!$P$12/(X421/MAX(K421:S421)))^(1/inputs!$O$12))-1)/inputs!$N$12&gt;inputs!$H$17, inputs!$H$17, (((inputs!$P$12/(X421/MAX(K421:S421)))^(1/inputs!$O$12))-1)/inputs!$N$12))</f>
        <v>0</v>
      </c>
      <c r="V421" s="54">
        <f>inputs!$E$70*(inputs!$F$70/F421)^(0.25)</f>
        <v>0.53218417864494993</v>
      </c>
      <c r="W421" s="54">
        <f>inputs!$E$76*(inputs!$F$76/F421)^(0.25)</f>
        <v>0.16007096336502152</v>
      </c>
      <c r="X421" s="54">
        <f>inputs!$E$72*(inputs!$F$72/F421)^(0.25)</f>
        <v>23.478713763747795</v>
      </c>
      <c r="Y421" s="54" t="s">
        <v>13</v>
      </c>
      <c r="Z421" s="106">
        <f t="shared" si="48"/>
        <v>5.109151226332834</v>
      </c>
      <c r="AA421" s="106">
        <f t="shared" si="49"/>
        <v>16.986275285658287</v>
      </c>
    </row>
    <row r="422" spans="1:27" x14ac:dyDescent="0.25">
      <c r="A422" s="55" t="s">
        <v>503</v>
      </c>
      <c r="B422" s="49" t="s">
        <v>504</v>
      </c>
      <c r="C422" s="21" t="s">
        <v>61</v>
      </c>
      <c r="D422" s="20" t="s">
        <v>454</v>
      </c>
      <c r="E422" s="20">
        <v>24</v>
      </c>
      <c r="F422" s="21">
        <v>8000</v>
      </c>
      <c r="G422" s="21" t="s">
        <v>456</v>
      </c>
      <c r="H422" s="21">
        <v>0.68</v>
      </c>
      <c r="I422" s="48">
        <f>MAX('Min rate concentrations'!$J$3:$J$368)</f>
        <v>114.4108103430513</v>
      </c>
      <c r="J422" s="48">
        <f>MAX('Min rate concentrations'!AB:AB)</f>
        <v>40.520495329830666</v>
      </c>
      <c r="K422" s="60">
        <f t="shared" si="51"/>
        <v>16.968166923471816</v>
      </c>
      <c r="L422" s="60">
        <f>(((0.235*F422^0.822)/(1-H422)))*J422/F422</f>
        <v>6.0095591187296016</v>
      </c>
      <c r="M422" s="60">
        <f>IF((((0.326*F422^0.818)-(0.398*F422^0.85)/(1-H422)*H422)*(MAX('Min rate concentrations'!$P$3:$P$368)))/F422&gt;0, (((0.326*F422^0.818)-(0.398*F422^0.85)/(1-H422)*H422)*(MAX('Min rate concentrations'!$P$3:$P$368)))/F422, 0)</f>
        <v>0</v>
      </c>
      <c r="N422" s="60">
        <f>IF((((0.326*F422^0.818)-(0.398*F422^0.85)/(1-H422)*H422)*(MAX('Min rate concentrations'!$Q$3:$Q$368)))/F422&gt; 0, (((0.326*F422^0.818)-(0.398*F422^0.85)/(1-H422)*H422)*(MAX('Min rate concentrations'!$Q$3:$Q$368)))/F422, 0)</f>
        <v>0</v>
      </c>
      <c r="O422" s="60">
        <f>((MAX('Min rate concentrations'!$F$3:$F$368))*0.62*6.01*8*(12.3*F422^0.65)*0.079*0.1/F422)*inputs!$E$73/inputs!$E$74</f>
        <v>1.9421757669885253</v>
      </c>
      <c r="P422" s="60">
        <f>((MAX('Min rate concentrations'!Y:Y))*0.62*6.01*8*(12.3*F422^0.65)*0.079*0.1/F422)*inputs!$E$73/inputs!$E$74</f>
        <v>0.64739192232950826</v>
      </c>
      <c r="Q422" s="60">
        <f>(inputs!$C$7*11.2*(12.3*F422^0.65)*0.5/F422)*inputs!$E$73/inputs!$E$74</f>
        <v>0.34210510093136498</v>
      </c>
      <c r="R422" s="60">
        <f>(60*379*((F422/1000)^0.8)*3*24*(MAX('Min rate concentrations'!$R$3:$R$368))/F422)*(inputs!$E$73/inputs!$E$75)</f>
        <v>1.213834453885712E-3</v>
      </c>
      <c r="S422" s="60">
        <f>(IF(inputs!$C$6="aerial",((0.025*0.112*inputs!$C$7/3.3)*(3*60*379*((F422/1000)^0.8))*MAX(inputs!$H$14:$H$16))/F422,((0.0083*0.112*inputs!$C$7/1)*(3*60*379*((F422/1000)^0.8))*MAX(inputs!$H$14:$H$16))/F422))*(inputs!E$75/inputs!$E$73)</f>
        <v>6.6943715891162239E-3</v>
      </c>
      <c r="T422" s="63">
        <f>IF((((inputs!$P$12/(V422/MAX(K422:S422)))^(1/inputs!$O$12))-1)/inputs!$N$12&lt;0, 0, IF((((inputs!$P$12/(V422/MAX(K422:S422)))^(1/inputs!$O$12))-1)/inputs!$N$12&gt;inputs!$H$17, inputs!$H$17, (((inputs!$P$12/(V422/MAX(K422:S422)))^(1/inputs!$O$12))-1)/inputs!$N$12))</f>
        <v>57.655359606784842</v>
      </c>
      <c r="U422" s="63">
        <f>IF((((inputs!$P$12/(X422/MAX(K422:S422)))^(1/inputs!$O$12))-1)/inputs!$N$12&lt;0, 0, IF((((inputs!$P$12/(X422/MAX(K422:S422)))^(1/inputs!$O$12))-1)/inputs!$N$12&gt;inputs!$H$17, inputs!$H$17, (((inputs!$P$12/(X422/MAX(K422:S422)))^(1/inputs!$O$12))-1)/inputs!$N$12))</f>
        <v>0</v>
      </c>
      <c r="V422" s="54">
        <f>inputs!$E$70*(inputs!$F$70/F422)^(0.25)</f>
        <v>0.53218417864494993</v>
      </c>
      <c r="W422" s="54">
        <f>inputs!$E$76*(inputs!$F$76/F422)^(0.25)</f>
        <v>0.16007096336502152</v>
      </c>
      <c r="X422" s="54">
        <f>inputs!$E$72*(inputs!$F$72/F422)^(0.25)</f>
        <v>23.478713763747795</v>
      </c>
      <c r="Y422" s="54" t="s">
        <v>13</v>
      </c>
      <c r="Z422" s="106">
        <f t="shared" si="48"/>
        <v>31.884012348274332</v>
      </c>
      <c r="AA422" s="106">
        <f t="shared" si="49"/>
        <v>106.00402825575594</v>
      </c>
    </row>
    <row r="423" spans="1:27" x14ac:dyDescent="0.25">
      <c r="A423" s="55" t="s">
        <v>505</v>
      </c>
      <c r="B423" s="49" t="s">
        <v>506</v>
      </c>
      <c r="C423" s="21" t="s">
        <v>61</v>
      </c>
      <c r="D423" s="20" t="s">
        <v>454</v>
      </c>
      <c r="E423" s="20">
        <v>4648</v>
      </c>
      <c r="F423" s="21">
        <v>1500</v>
      </c>
      <c r="G423" s="21" t="s">
        <v>142</v>
      </c>
      <c r="H423" s="21">
        <v>0.69</v>
      </c>
      <c r="I423" s="48">
        <f>MAX('Min rate concentrations'!$H$3:$H$368)</f>
        <v>47</v>
      </c>
      <c r="J423" s="48">
        <f>MAX('Min rate concentrations'!AA:AA)</f>
        <v>32.5</v>
      </c>
      <c r="K423" s="60">
        <f t="shared" si="51"/>
        <v>9.6930350302016226</v>
      </c>
      <c r="L423" s="60">
        <f>(((0.235*F423^0.822)/(1-H423)))*J423/F423</f>
        <v>6.7026306059904845</v>
      </c>
      <c r="M423" s="60">
        <f>IF((((0.326*F423^0.818)-(0.398*F423^0.85)/(1-H423)*H423)*(MAX('Min rate concentrations'!$P$3:$P$368)))/F423&gt;0, (((0.326*F423^0.818)-(0.398*F423^0.85)/(1-H423)*H423)*(MAX('Min rate concentrations'!$P$3:$P$368)))/F423, 0)</f>
        <v>0</v>
      </c>
      <c r="N423" s="60">
        <f>IF((((0.326*F423^0.818)-(0.398*F423^0.85)/(1-H423)*H423)*(MAX('Min rate concentrations'!$Q$3:$Q$368)))/F423&gt; 0, (((0.326*F423^0.818)-(0.398*F423^0.85)/(1-H423)*H423)*(MAX('Min rate concentrations'!$Q$3:$Q$368)))/F423, 0)</f>
        <v>0</v>
      </c>
      <c r="O423" s="60">
        <f>((MAX('Min rate concentrations'!$F$3:$F$368))*0.62*6.01*8*(12.3*F423^0.65)*0.079*0.1/F423)*inputs!$E$73/inputs!$E$74</f>
        <v>3.4892981950750732</v>
      </c>
      <c r="P423" s="60">
        <f>((MAX('Min rate concentrations'!Y:Y))*0.62*6.01*8*(12.3*F423^0.65)*0.079*0.1/F423)*inputs!$E$73/inputs!$E$74</f>
        <v>1.163099398358358</v>
      </c>
      <c r="Q423" s="60">
        <f>(inputs!$C$7*11.2*(12.3*F423^0.65)*0.5/F423)*inputs!$E$73/inputs!$E$74</f>
        <v>0.61462341951506838</v>
      </c>
      <c r="R423" s="60">
        <f>(60*379*((F423/1000)^0.8)*3*24*(MAX('Min rate concentrations'!$R$3:$R$368))/F423)*(inputs!$E$73/inputs!$E$75)</f>
        <v>1.6965208681492512E-3</v>
      </c>
      <c r="S423" s="60">
        <f>(IF(inputs!$C$6="aerial",((0.025*0.112*inputs!$C$7/3.3)*(3*60*379*((F423/1000)^0.8))*MAX(inputs!$H$14:$H$16))/F423,((0.0083*0.112*inputs!$C$7/1)*(3*60*379*((F423/1000)^0.8))*MAX(inputs!$H$14:$H$16))/F423))*(inputs!E$75/inputs!$E$73)</f>
        <v>9.356416819216817E-3</v>
      </c>
      <c r="T423" s="63">
        <f>IF((((inputs!$P$12/(V423/MAX(K423:S423)))^(1/inputs!$O$12))-1)/inputs!$N$12&lt;0, 0, IF((((inputs!$P$12/(V423/MAX(K423:S423)))^(1/inputs!$O$12))-1)/inputs!$N$12&gt;inputs!$H$17, inputs!$H$17, (((inputs!$P$12/(V423/MAX(K423:S423)))^(1/inputs!$O$12))-1)/inputs!$N$12))</f>
        <v>29.372845718072796</v>
      </c>
      <c r="U423" s="63">
        <f>IF((((inputs!$P$12/(X423/MAX(K423:S423)))^(1/inputs!$O$12))-1)/inputs!$N$12&lt;0, 0, IF((((inputs!$P$12/(X423/MAX(K423:S423)))^(1/inputs!$O$12))-1)/inputs!$N$12&gt;inputs!$H$17, inputs!$H$17, (((inputs!$P$12/(X423/MAX(K423:S423)))^(1/inputs!$O$12))-1)/inputs!$N$12))</f>
        <v>0</v>
      </c>
      <c r="V423" s="54">
        <f>inputs!$E$70*(inputs!$F$70/F423)^(0.25)</f>
        <v>0.80874506054723039</v>
      </c>
      <c r="W423" s="54">
        <f>inputs!$E$76*(inputs!$F$76/F423)^(0.25)</f>
        <v>0.24325526040274417</v>
      </c>
      <c r="X423" s="54">
        <f>inputs!$E$72*(inputs!$F$72/F423)^(0.25)</f>
        <v>35.679929141789579</v>
      </c>
      <c r="Y423" s="54" t="s">
        <v>13</v>
      </c>
      <c r="Z423" s="106">
        <f t="shared" si="48"/>
        <v>11.985278801756037</v>
      </c>
      <c r="AA423" s="106">
        <f t="shared" si="49"/>
        <v>39.847175408060671</v>
      </c>
    </row>
    <row r="424" spans="1:27" x14ac:dyDescent="0.25">
      <c r="A424" s="55" t="s">
        <v>505</v>
      </c>
      <c r="B424" s="49" t="s">
        <v>506</v>
      </c>
      <c r="C424" s="21" t="s">
        <v>61</v>
      </c>
      <c r="D424" s="20" t="s">
        <v>454</v>
      </c>
      <c r="E424" s="20">
        <v>4648</v>
      </c>
      <c r="F424" s="21">
        <v>1500</v>
      </c>
      <c r="G424" s="21" t="s">
        <v>138</v>
      </c>
      <c r="H424" s="21">
        <v>0.68</v>
      </c>
      <c r="I424" s="48">
        <f>MAX('Min rate concentrations'!$L$3:$L$368)</f>
        <v>58.421240152220811</v>
      </c>
      <c r="J424" s="48">
        <f>MAX('Min rate concentrations'!AD:AD)</f>
        <v>40.397666062705881</v>
      </c>
      <c r="K424" s="60">
        <f t="shared" si="51"/>
        <v>11.671976693086597</v>
      </c>
      <c r="L424" s="60">
        <f>(((0.235*F424^0.822)/(1-H424)))*J424/F424</f>
        <v>8.0710477133045622</v>
      </c>
      <c r="M424" s="60">
        <f>IF((((0.326*F424^0.818)-(0.398*F424^0.85)/(1-H424)*H424)*(MAX('Min rate concentrations'!$P$3:$P$368)))/F424&gt;0, (((0.326*F424^0.818)-(0.398*F424^0.85)/(1-H424)*H424)*(MAX('Min rate concentrations'!$P$3:$P$368)))/F424, 0)</f>
        <v>0</v>
      </c>
      <c r="N424" s="60">
        <f>IF((((0.326*F424^0.818)-(0.398*F424^0.85)/(1-H424)*H424)*(MAX('Min rate concentrations'!$Q$3:$Q$368)))/F424&gt; 0, (((0.326*F424^0.818)-(0.398*F424^0.85)/(1-H424)*H424)*(MAX('Min rate concentrations'!$Q$3:$Q$368)))/F424, 0)</f>
        <v>0</v>
      </c>
      <c r="O424" s="60">
        <f>((MAX('Min rate concentrations'!$F$3:$F$368))*0.62*6.01*8*(12.3*F424^0.65)*0.079*0.1/F424)*inputs!$E$73/inputs!$E$74</f>
        <v>3.4892981950750732</v>
      </c>
      <c r="P424" s="60">
        <f>((MAX('Min rate concentrations'!Y:Y))*0.62*6.01*8*(12.3*F424^0.65)*0.079*0.1/F424)*inputs!$E$73/inputs!$E$74</f>
        <v>1.163099398358358</v>
      </c>
      <c r="Q424" s="60">
        <f>(inputs!$C$7*11.2*(12.3*F424^0.65)*0.5/F424)*inputs!$E$73/inputs!$E$74</f>
        <v>0.61462341951506838</v>
      </c>
      <c r="R424" s="60">
        <f>(60*379*((F424/1000)^0.8)*3*24*(MAX('Min rate concentrations'!$R$3:$R$368))/F424)*(inputs!$E$73/inputs!$E$75)</f>
        <v>1.6965208681492512E-3</v>
      </c>
      <c r="S424" s="60">
        <f>(IF(inputs!$C$6="aerial",((0.025*0.112*inputs!$C$7/3.3)*(3*60*379*((F424/1000)^0.8))*MAX(inputs!$H$14:$H$16))/F424,((0.0083*0.112*inputs!$C$7/1)*(3*60*379*((F424/1000)^0.8))*MAX(inputs!$H$14:$H$16))/F424))*(inputs!E$75/inputs!$E$73)</f>
        <v>9.356416819216817E-3</v>
      </c>
      <c r="T424" s="63">
        <f>IF((((inputs!$P$12/(V424/MAX(K424:S424)))^(1/inputs!$O$12))-1)/inputs!$N$12&lt;0, 0, IF((((inputs!$P$12/(V424/MAX(K424:S424)))^(1/inputs!$O$12))-1)/inputs!$N$12&gt;inputs!$H$17, inputs!$H$17, (((inputs!$P$12/(V424/MAX(K424:S424)))^(1/inputs!$O$12))-1)/inputs!$N$12))</f>
        <v>33.914672813898299</v>
      </c>
      <c r="U424" s="63">
        <f>IF((((inputs!$P$12/(X424/MAX(K424:S424)))^(1/inputs!$O$12))-1)/inputs!$N$12&lt;0, 0, IF((((inputs!$P$12/(X424/MAX(K424:S424)))^(1/inputs!$O$12))-1)/inputs!$N$12&gt;inputs!$H$17, inputs!$H$17, (((inputs!$P$12/(X424/MAX(K424:S424)))^(1/inputs!$O$12))-1)/inputs!$N$12))</f>
        <v>0</v>
      </c>
      <c r="V424" s="54">
        <f>inputs!$E$70*(inputs!$F$70/F424)^(0.25)</f>
        <v>0.80874506054723039</v>
      </c>
      <c r="W424" s="54">
        <f>inputs!$E$76*(inputs!$F$76/F424)^(0.25)</f>
        <v>0.24325526040274417</v>
      </c>
      <c r="X424" s="54">
        <f>inputs!$E$72*(inputs!$F$72/F424)^(0.25)</f>
        <v>35.679929141789579</v>
      </c>
      <c r="Y424" s="54" t="s">
        <v>13</v>
      </c>
      <c r="Z424" s="106">
        <f t="shared" si="48"/>
        <v>14.432207703610398</v>
      </c>
      <c r="AA424" s="106">
        <f t="shared" si="49"/>
        <v>47.982422553830723</v>
      </c>
    </row>
    <row r="425" spans="1:27" x14ac:dyDescent="0.25">
      <c r="A425" s="55" t="s">
        <v>505</v>
      </c>
      <c r="B425" s="49" t="s">
        <v>506</v>
      </c>
      <c r="C425" s="21" t="s">
        <v>61</v>
      </c>
      <c r="D425" s="20" t="s">
        <v>454</v>
      </c>
      <c r="E425" s="20">
        <v>4648</v>
      </c>
      <c r="F425" s="21">
        <v>1500</v>
      </c>
      <c r="G425" s="21" t="s">
        <v>456</v>
      </c>
      <c r="H425" s="21">
        <v>0.68</v>
      </c>
      <c r="I425" s="48">
        <f>MAX('Min rate concentrations'!$J$3:$J$368)</f>
        <v>114.4108103430513</v>
      </c>
      <c r="J425" s="48">
        <f>MAX('Min rate concentrations'!AB:AB)</f>
        <v>40.520495329830666</v>
      </c>
      <c r="K425" s="60">
        <f t="shared" si="51"/>
        <v>22.858130164333424</v>
      </c>
      <c r="L425" s="60">
        <f>(((0.235*F425^0.822)/(1-H425)))*J425/F425</f>
        <v>8.0955877665347558</v>
      </c>
      <c r="M425" s="60">
        <f>IF((((0.326*F425^0.818)-(0.398*F425^0.85)/(1-H425)*H425)*(MAX('Min rate concentrations'!$P$3:$P$368)))/F425&gt;0, (((0.326*F425^0.818)-(0.398*F425^0.85)/(1-H425)*H425)*(MAX('Min rate concentrations'!$P$3:$P$368)))/F425, 0)</f>
        <v>0</v>
      </c>
      <c r="N425" s="60">
        <f>IF((((0.326*F425^0.818)-(0.398*F425^0.85)/(1-H425)*H425)*(MAX('Min rate concentrations'!$Q$3:$Q$368)))/F425&gt; 0, (((0.326*F425^0.818)-(0.398*F425^0.85)/(1-H425)*H425)*(MAX('Min rate concentrations'!$Q$3:$Q$368)))/F425, 0)</f>
        <v>0</v>
      </c>
      <c r="O425" s="60">
        <f>((MAX('Min rate concentrations'!$F$3:$F$368))*0.62*6.01*8*(12.3*F425^0.65)*0.079*0.1/F425)*inputs!$E$73/inputs!$E$74</f>
        <v>3.4892981950750732</v>
      </c>
      <c r="P425" s="60">
        <f>((MAX('Min rate concentrations'!Y:Y))*0.62*6.01*8*(12.3*F425^0.65)*0.079*0.1/F425)*inputs!$E$73/inputs!$E$74</f>
        <v>1.163099398358358</v>
      </c>
      <c r="Q425" s="60">
        <f>(inputs!$C$7*11.2*(12.3*F425^0.65)*0.5/F425)*inputs!$E$73/inputs!$E$74</f>
        <v>0.61462341951506838</v>
      </c>
      <c r="R425" s="60">
        <f>(60*379*((F425/1000)^0.8)*3*24*(MAX('Min rate concentrations'!$R$3:$R$368))/F425)*(inputs!$E$73/inputs!$E$75)</f>
        <v>1.6965208681492512E-3</v>
      </c>
      <c r="S425" s="60">
        <f>(IF(inputs!$C$6="aerial",((0.025*0.112*inputs!$C$7/3.3)*(3*60*379*((F425/1000)^0.8))*MAX(inputs!$H$14:$H$16))/F425,((0.0083*0.112*inputs!$C$7/1)*(3*60*379*((F425/1000)^0.8))*MAX(inputs!$H$14:$H$16))/F425))*(inputs!E$75/inputs!$E$73)</f>
        <v>9.356416819216817E-3</v>
      </c>
      <c r="T425" s="63">
        <f>IF((((inputs!$P$12/(V425/MAX(K425:S425)))^(1/inputs!$O$12))-1)/inputs!$N$12&lt;0, 0, IF((((inputs!$P$12/(V425/MAX(K425:S425)))^(1/inputs!$O$12))-1)/inputs!$N$12&gt;inputs!$H$17, inputs!$H$17, (((inputs!$P$12/(V425/MAX(K425:S425)))^(1/inputs!$O$12))-1)/inputs!$N$12))</f>
        <v>53.534152756509592</v>
      </c>
      <c r="U425" s="63">
        <f>IF((((inputs!$P$12/(X425/MAX(K425:S425)))^(1/inputs!$O$12))-1)/inputs!$N$12&lt;0, 0, IF((((inputs!$P$12/(X425/MAX(K425:S425)))^(1/inputs!$O$12))-1)/inputs!$N$12&gt;inputs!$H$17, inputs!$H$17, (((inputs!$P$12/(X425/MAX(K425:S425)))^(1/inputs!$O$12))-1)/inputs!$N$12))</f>
        <v>0</v>
      </c>
      <c r="V425" s="54">
        <f>inputs!$E$70*(inputs!$F$70/F425)^(0.25)</f>
        <v>0.80874506054723039</v>
      </c>
      <c r="W425" s="54">
        <f>inputs!$E$76*(inputs!$F$76/F425)^(0.25)</f>
        <v>0.24325526040274417</v>
      </c>
      <c r="X425" s="54">
        <f>inputs!$E$72*(inputs!$F$72/F425)^(0.25)</f>
        <v>35.679929141789579</v>
      </c>
      <c r="Y425" s="54" t="s">
        <v>13</v>
      </c>
      <c r="Z425" s="106">
        <f t="shared" si="48"/>
        <v>28.263702963288168</v>
      </c>
      <c r="AA425" s="106">
        <f t="shared" si="49"/>
        <v>93.967670530489215</v>
      </c>
    </row>
    <row r="426" spans="1:27" x14ac:dyDescent="0.25">
      <c r="A426" s="55" t="s">
        <v>505</v>
      </c>
      <c r="B426" s="49" t="s">
        <v>506</v>
      </c>
      <c r="C426" s="21" t="s">
        <v>61</v>
      </c>
      <c r="D426" s="20" t="s">
        <v>454</v>
      </c>
      <c r="E426" s="20">
        <v>4648</v>
      </c>
      <c r="F426" s="21">
        <v>1500</v>
      </c>
      <c r="G426" s="21" t="s">
        <v>145</v>
      </c>
      <c r="H426" s="21">
        <v>0.66</v>
      </c>
      <c r="I426" s="48">
        <f>MAX('Min rate concentrations'!$M$3:$M$368)</f>
        <v>2.8488184789681945</v>
      </c>
      <c r="J426" s="48">
        <f>MAX('Min rate concentrations'!AE:AE)</f>
        <v>1.9699276716269429</v>
      </c>
      <c r="K426" s="60">
        <f t="shared" si="51"/>
        <v>0.53568499164646877</v>
      </c>
      <c r="L426" s="60">
        <f>(((0.235*F426^0.822)/(1-H426)))*J426/F426</f>
        <v>0.37042047294702624</v>
      </c>
      <c r="M426" s="60">
        <f>IF((((0.326*F426^0.818)-(0.398*F426^0.85)/(1-H426)*H426)*(MAX('Min rate concentrations'!$P$3:$P$368)))/F426&gt;0, (((0.326*F426^0.818)-(0.398*F426^0.85)/(1-H426)*H426)*(MAX('Min rate concentrations'!$P$3:$P$368)))/F426, 0)</f>
        <v>0</v>
      </c>
      <c r="N426" s="60">
        <f>IF((((0.326*F426^0.818)-(0.398*F426^0.85)/(1-H426)*H426)*(MAX('Min rate concentrations'!$Q$3:$Q$368)))/F426&gt; 0, (((0.326*F426^0.818)-(0.398*F426^0.85)/(1-H426)*H426)*(MAX('Min rate concentrations'!$Q$3:$Q$368)))/F426, 0)</f>
        <v>0</v>
      </c>
      <c r="O426" s="60">
        <f>((MAX('Min rate concentrations'!$F$3:$F$368))*0.62*6.01*8*(12.3*F426^0.65)*0.079*0.1/F426)*inputs!$E$73/inputs!$E$74</f>
        <v>3.4892981950750732</v>
      </c>
      <c r="P426" s="60">
        <f>((MAX('Min rate concentrations'!Y:Y))*0.62*6.01*8*(12.3*F426^0.65)*0.079*0.1/F426)*inputs!$E$73/inputs!$E$74</f>
        <v>1.163099398358358</v>
      </c>
      <c r="Q426" s="60">
        <f>(inputs!$C$7*11.2*(12.3*F426^0.65)*0.5/F426)*inputs!$E$73/inputs!$E$74</f>
        <v>0.61462341951506838</v>
      </c>
      <c r="R426" s="60">
        <f>(60*379*((F426/1000)^0.8)*3*24*(MAX('Min rate concentrations'!$R$3:$R$368))/F426)*(inputs!$E$73/inputs!$E$75)</f>
        <v>1.6965208681492512E-3</v>
      </c>
      <c r="S426" s="60">
        <f>(IF(inputs!$C$6="aerial",((0.025*0.112*inputs!$C$7/3.3)*(3*60*379*((F426/1000)^0.8))*MAX(inputs!$H$14:$H$16))/F426,((0.0083*0.112*inputs!$C$7/1)*(3*60*379*((F426/1000)^0.8))*MAX(inputs!$H$14:$H$16))/F426))*(inputs!E$75/inputs!$E$73)</f>
        <v>9.356416819216817E-3</v>
      </c>
      <c r="T426" s="63">
        <f>IF((((inputs!$P$12/(V426/MAX(K426:S426)))^(1/inputs!$O$12))-1)/inputs!$N$12&lt;0, 0, IF((((inputs!$P$12/(V426/MAX(K426:S426)))^(1/inputs!$O$12))-1)/inputs!$N$12&gt;inputs!$H$17, inputs!$H$17, (((inputs!$P$12/(V426/MAX(K426:S426)))^(1/inputs!$O$12))-1)/inputs!$N$12))</f>
        <v>9.6975938028774511</v>
      </c>
      <c r="U426" s="63">
        <f>IF((((inputs!$P$12/(X426/MAX(K426:S426)))^(1/inputs!$O$12))-1)/inputs!$N$12&lt;0, 0, IF((((inputs!$P$12/(X426/MAX(K426:S426)))^(1/inputs!$O$12))-1)/inputs!$N$12&gt;inputs!$H$17, inputs!$H$17, (((inputs!$P$12/(X426/MAX(K426:S426)))^(1/inputs!$O$12))-1)/inputs!$N$12))</f>
        <v>0</v>
      </c>
      <c r="V426" s="54">
        <f>inputs!$E$70*(inputs!$F$70/F426)^(0.25)</f>
        <v>0.80874506054723039</v>
      </c>
      <c r="W426" s="54">
        <f>inputs!$E$76*(inputs!$F$76/F426)^(0.25)</f>
        <v>0.24325526040274417</v>
      </c>
      <c r="X426" s="54">
        <f>inputs!$E$72*(inputs!$F$72/F426)^(0.25)</f>
        <v>35.679929141789579</v>
      </c>
      <c r="Y426" s="54" t="s">
        <v>13</v>
      </c>
      <c r="Z426" s="106">
        <f t="shared" si="48"/>
        <v>4.3144599766879193</v>
      </c>
      <c r="AA426" s="106">
        <f t="shared" si="49"/>
        <v>14.344183921441356</v>
      </c>
    </row>
    <row r="427" spans="1:27" x14ac:dyDescent="0.25">
      <c r="A427" s="55" t="s">
        <v>557</v>
      </c>
      <c r="B427" s="49" t="s">
        <v>558</v>
      </c>
      <c r="C427" s="21" t="s">
        <v>61</v>
      </c>
      <c r="D427" s="20" t="s">
        <v>454</v>
      </c>
      <c r="E427" s="20">
        <v>8</v>
      </c>
      <c r="F427" s="21">
        <v>34000</v>
      </c>
      <c r="G427" s="21" t="s">
        <v>455</v>
      </c>
      <c r="H427" s="21">
        <v>0.68</v>
      </c>
      <c r="I427" s="21">
        <f>MAX('Min rate concentrations'!$K$3:$K$368)</f>
        <v>18.333393099490852</v>
      </c>
      <c r="J427" s="48">
        <f>MAX('Min rate concentrations'!AC:AC)</f>
        <v>6.4930767227363431</v>
      </c>
      <c r="K427" s="60">
        <f t="shared" si="51"/>
        <v>2.101635942820419</v>
      </c>
      <c r="L427" s="60"/>
      <c r="M427" s="60">
        <f>IF((((0.326*F427^0.818)-(0.398*F427^0.85)/(1-H427)*H427)*(MAX('Min rate concentrations'!$P$3:$P$368)))/F427&gt;0, (((0.326*F427^0.818)-(0.398*F427^0.85)/(1-H427)*H427)*(MAX('Min rate concentrations'!$P$3:$P$368)))/F427, 0)</f>
        <v>0</v>
      </c>
      <c r="N427" s="60">
        <f>IF((((0.326*F427^0.818)-(0.398*F427^0.85)/(1-H427)*H427)*(MAX('Min rate concentrations'!$Q$3:$Q$368)))/F427&gt; 0, (((0.326*F427^0.818)-(0.398*F427^0.85)/(1-H427)*H427)*(MAX('Min rate concentrations'!$Q$3:$Q$368)))/F427, 0)</f>
        <v>0</v>
      </c>
      <c r="O427" s="60">
        <f>((MAX('Min rate concentrations'!$F$3:$F$368))*0.62*6.01*8*(12.3*F427^0.65)*0.079*0.1/F427)*inputs!$E$73/inputs!$E$74</f>
        <v>1.1704487590077226</v>
      </c>
      <c r="P427" s="60"/>
      <c r="Q427" s="60">
        <f>(inputs!$C$7*11.2*(12.3*F427^0.65)*0.5/F427)*inputs!$E$73/inputs!$E$74</f>
        <v>0.20616902838624168</v>
      </c>
      <c r="R427" s="60">
        <f>(60*379*((F427/1000)^0.8)*3*24*(MAX('Min rate concentrations'!$R$3:$R$368))/F427)*(inputs!$E$73/inputs!$E$75)</f>
        <v>9.0882794928967277E-4</v>
      </c>
      <c r="S427" s="60">
        <f>(IF(inputs!$C$6="aerial",((0.025*0.112*inputs!$C$7/3.3)*(3*60*379*((F427/1000)^0.8))*MAX(inputs!$H$14:$H$16))/F427,((0.0083*0.112*inputs!$C$7/1)*(3*60*379*((F427/1000)^0.8))*MAX(inputs!$H$14:$H$16))/F427))*(inputs!E$75/inputs!$E$73)</f>
        <v>5.0122419771851242E-3</v>
      </c>
      <c r="T427" s="63">
        <f>IF((((inputs!$P$12/(V427/MAX(K427:S427)))^(1/inputs!$O$12))-1)/inputs!$N$12&lt;0, 0, IF((((inputs!$P$12/(V427/MAX(K427:S427)))^(1/inputs!$O$12))-1)/inputs!$N$12&gt;inputs!$H$17, inputs!$H$17, (((inputs!$P$12/(V427/MAX(K427:S427)))^(1/inputs!$O$12))-1)/inputs!$N$12))</f>
        <v>14.186435333801576</v>
      </c>
      <c r="U427" s="63">
        <f>IF((((inputs!$P$12/(X427/MAX(K427:S427)))^(1/inputs!$O$12))-1)/inputs!$N$12&lt;0, 0, IF((((inputs!$P$12/(X427/MAX(K427:S427)))^(1/inputs!$O$12))-1)/inputs!$N$12&gt;inputs!$H$17, inputs!$H$17, (((inputs!$P$12/(X427/MAX(K427:S427)))^(1/inputs!$O$12))-1)/inputs!$N$12))</f>
        <v>0</v>
      </c>
      <c r="V427" s="54">
        <f>inputs!$E$70*(inputs!$F$70/F427)^(0.25)</f>
        <v>0.37065061641063052</v>
      </c>
      <c r="W427" s="54">
        <f>inputs!$E$76*(inputs!$F$76/F427)^(0.25)</f>
        <v>0.11148471454329224</v>
      </c>
      <c r="X427" s="54">
        <f>inputs!$E$72*(inputs!$F$72/F427)^(0.25)</f>
        <v>16.352233076939584</v>
      </c>
      <c r="Y427" s="54" t="s">
        <v>13</v>
      </c>
      <c r="Z427" s="106">
        <f t="shared" si="48"/>
        <v>5.6701266631433089</v>
      </c>
      <c r="AA427" s="106">
        <f t="shared" si="49"/>
        <v>18.851337166982674</v>
      </c>
    </row>
    <row r="428" spans="1:27" x14ac:dyDescent="0.25">
      <c r="A428" s="55" t="s">
        <v>557</v>
      </c>
      <c r="B428" s="49" t="s">
        <v>558</v>
      </c>
      <c r="C428" s="21" t="s">
        <v>61</v>
      </c>
      <c r="D428" s="20" t="s">
        <v>454</v>
      </c>
      <c r="E428" s="20">
        <v>8</v>
      </c>
      <c r="F428" s="21">
        <v>34000</v>
      </c>
      <c r="G428" s="21" t="s">
        <v>145</v>
      </c>
      <c r="H428" s="21">
        <v>0.66</v>
      </c>
      <c r="I428" s="48">
        <f>MAX('Min rate concentrations'!$M$3:$M$368)</f>
        <v>2.8488184789681945</v>
      </c>
      <c r="J428" s="48">
        <f>MAX('Min rate concentrations'!AE:AE)</f>
        <v>1.9699276716269429</v>
      </c>
      <c r="K428" s="60">
        <f t="shared" si="51"/>
        <v>0.30736221392064533</v>
      </c>
      <c r="L428" s="60">
        <f>(((0.235*F428^0.822)/(1-H428)))*J428/F428</f>
        <v>0.21253770111533984</v>
      </c>
      <c r="M428" s="60">
        <f>IF((((0.326*F428^0.818)-(0.398*F428^0.85)/(1-H428)*H428)*(MAX('Min rate concentrations'!$P$3:$P$368)))/F428&gt;0, (((0.326*F428^0.818)-(0.398*F428^0.85)/(1-H428)*H428)*(MAX('Min rate concentrations'!$P$3:$P$368)))/F428, 0)</f>
        <v>0</v>
      </c>
      <c r="N428" s="60">
        <f>IF((((0.326*F428^0.818)-(0.398*F428^0.85)/(1-H428)*H428)*(MAX('Min rate concentrations'!$Q$3:$Q$368)))/F428&gt; 0, (((0.326*F428^0.818)-(0.398*F428^0.85)/(1-H428)*H428)*(MAX('Min rate concentrations'!$Q$3:$Q$368)))/F428, 0)</f>
        <v>0</v>
      </c>
      <c r="O428" s="60">
        <f>((MAX('Min rate concentrations'!$F$3:$F$368))*0.62*6.01*8*(12.3*F428^0.65)*0.079*0.1/F428)*inputs!$E$73/inputs!$E$74</f>
        <v>1.1704487590077226</v>
      </c>
      <c r="P428" s="60">
        <f>((MAX('Min rate concentrations'!Y:Y))*0.62*6.01*8*(12.3*F428^0.65)*0.079*0.1/F428)*inputs!$E$73/inputs!$E$74</f>
        <v>0.39014958633590752</v>
      </c>
      <c r="Q428" s="60">
        <f>(inputs!$C$7*11.2*(12.3*F428^0.65)*0.5/F428)*inputs!$E$73/inputs!$E$74</f>
        <v>0.20616902838624168</v>
      </c>
      <c r="R428" s="60">
        <f>(60*379*((F428/1000)^0.8)*3*24*(MAX('Min rate concentrations'!$R$3:$R$368))/F428)*(inputs!$E$73/inputs!$E$75)</f>
        <v>9.0882794928967277E-4</v>
      </c>
      <c r="S428" s="60">
        <f>(IF(inputs!$C$6="aerial",((0.025*0.112*inputs!$C$7/3.3)*(3*60*379*((F428/1000)^0.8))*MAX(inputs!$H$14:$H$16))/F428,((0.0083*0.112*inputs!$C$7/1)*(3*60*379*((F428/1000)^0.8))*MAX(inputs!$H$14:$H$16))/F428))*(inputs!E$75/inputs!$E$73)</f>
        <v>5.0122419771851242E-3</v>
      </c>
      <c r="T428" s="63">
        <f>IF((((inputs!$P$12/(V428/MAX(K428:S428)))^(1/inputs!$O$12))-1)/inputs!$N$12&lt;0, 0, IF((((inputs!$P$12/(V428/MAX(K428:S428)))^(1/inputs!$O$12))-1)/inputs!$N$12&gt;inputs!$H$17, inputs!$H$17, (((inputs!$P$12/(V428/MAX(K428:S428)))^(1/inputs!$O$12))-1)/inputs!$N$12))</f>
        <v>5.1451847383235485</v>
      </c>
      <c r="U428" s="63">
        <f>IF((((inputs!$P$12/(X428/MAX(K428:S428)))^(1/inputs!$O$12))-1)/inputs!$N$12&lt;0, 0, IF((((inputs!$P$12/(X428/MAX(K428:S428)))^(1/inputs!$O$12))-1)/inputs!$N$12&gt;inputs!$H$17, inputs!$H$17, (((inputs!$P$12/(X428/MAX(K428:S428)))^(1/inputs!$O$12))-1)/inputs!$N$12))</f>
        <v>0</v>
      </c>
      <c r="V428" s="54">
        <f>inputs!$E$70*(inputs!$F$70/F428)^(0.25)</f>
        <v>0.37065061641063052</v>
      </c>
      <c r="W428" s="54">
        <f>inputs!$E$76*(inputs!$F$76/F428)^(0.25)</f>
        <v>0.11148471454329224</v>
      </c>
      <c r="X428" s="54">
        <f>inputs!$E$72*(inputs!$F$72/F428)^(0.25)</f>
        <v>16.352233076939584</v>
      </c>
      <c r="Y428" s="54" t="s">
        <v>13</v>
      </c>
      <c r="Z428" s="106">
        <f t="shared" si="48"/>
        <v>3.157822237940175</v>
      </c>
      <c r="AA428" s="106">
        <f t="shared" si="49"/>
        <v>10.498737551623803</v>
      </c>
    </row>
    <row r="429" spans="1:27" x14ac:dyDescent="0.25">
      <c r="A429" s="55" t="s">
        <v>452</v>
      </c>
      <c r="B429" s="49" t="s">
        <v>453</v>
      </c>
      <c r="C429" s="21" t="s">
        <v>61</v>
      </c>
      <c r="D429" s="20" t="s">
        <v>454</v>
      </c>
      <c r="E429" s="20">
        <v>11</v>
      </c>
      <c r="F429" s="21">
        <v>17700</v>
      </c>
      <c r="G429" s="21" t="s">
        <v>138</v>
      </c>
      <c r="H429" s="21">
        <v>0.68</v>
      </c>
      <c r="I429" s="48">
        <f>MAX('Min rate concentrations'!$L$3:$L$368)</f>
        <v>58.421240152220811</v>
      </c>
      <c r="J429" s="48">
        <f>MAX('Min rate concentrations'!AD:AD)</f>
        <v>40.397666062705881</v>
      </c>
      <c r="K429" s="60">
        <f t="shared" si="51"/>
        <v>7.5222786030832545</v>
      </c>
      <c r="L429" s="60">
        <f>(((0.235*F429^0.822)/(1-H429)))*J429/F429</f>
        <v>5.2015756297916127</v>
      </c>
      <c r="M429" s="60">
        <f>IF((((0.326*F429^0.818)-(0.398*F429^0.85)/(1-H429)*H429)*(MAX('Min rate concentrations'!$P$3:$P$368)))/F429&gt;0, (((0.326*F429^0.818)-(0.398*F429^0.85)/(1-H429)*H429)*(MAX('Min rate concentrations'!$P$3:$P$368)))/F429, 0)</f>
        <v>0</v>
      </c>
      <c r="N429" s="60">
        <f>IF((((0.326*F429^0.818)-(0.398*F429^0.85)/(1-H429)*H429)*(MAX('Min rate concentrations'!$Q$3:$Q$368)))/F429&gt; 0, (((0.326*F429^0.818)-(0.398*F429^0.85)/(1-H429)*H429)*(MAX('Min rate concentrations'!$Q$3:$Q$368)))/F429, 0)</f>
        <v>0</v>
      </c>
      <c r="O429" s="60">
        <f>((MAX('Min rate concentrations'!$F$3:$F$368))*0.62*6.01*8*(12.3*F429^0.65)*0.079*0.1/F429)*inputs!$E$73/inputs!$E$74</f>
        <v>1.4708872494091523</v>
      </c>
      <c r="P429" s="60">
        <f>((MAX('Min rate concentrations'!Y:Y))*0.62*6.01*8*(12.3*F429^0.65)*0.079*0.1/F429)*inputs!$E$73/inputs!$E$74</f>
        <v>0.49029574980305074</v>
      </c>
      <c r="Q429" s="60">
        <f>(inputs!$C$7*11.2*(12.3*F429^0.65)*0.5/F429)*inputs!$E$73/inputs!$E$74</f>
        <v>0.25908985142885316</v>
      </c>
      <c r="R429" s="60">
        <f>(60*379*((F429/1000)^0.8)*3*24*(MAX('Min rate concentrations'!$R$3:$R$368))/F429)*(inputs!$E$73/inputs!$E$75)</f>
        <v>1.0355779737304097E-3</v>
      </c>
      <c r="S429" s="60">
        <f>(IF(inputs!$C$6="aerial",((0.025*0.112*inputs!$C$7/3.3)*(3*60*379*((F429/1000)^0.8))*MAX(inputs!$H$14:$H$16))/F429,((0.0083*0.112*inputs!$C$7/1)*(3*60*379*((F429/1000)^0.8))*MAX(inputs!$H$14:$H$16))/F429))*(inputs!E$75/inputs!$E$73)</f>
        <v>5.7112761492829813E-3</v>
      </c>
      <c r="T429" s="63">
        <f>IF((((inputs!$P$12/(V429/MAX(K429:S429)))^(1/inputs!$O$12))-1)/inputs!$N$12&lt;0, 0, IF((((inputs!$P$12/(V429/MAX(K429:S429)))^(1/inputs!$O$12))-1)/inputs!$N$12&gt;inputs!$H$17, inputs!$H$17, (((inputs!$P$12/(V429/MAX(K429:S429)))^(1/inputs!$O$12))-1)/inputs!$N$12))</f>
        <v>38.592176491323677</v>
      </c>
      <c r="U429" s="63">
        <f>IF((((inputs!$P$12/(X429/MAX(K429:S429)))^(1/inputs!$O$12))-1)/inputs!$N$12&lt;0, 0, IF((((inputs!$P$12/(X429/MAX(K429:S429)))^(1/inputs!$O$12))-1)/inputs!$N$12&gt;inputs!$H$17, inputs!$H$17, (((inputs!$P$12/(X429/MAX(K429:S429)))^(1/inputs!$O$12))-1)/inputs!$N$12))</f>
        <v>0</v>
      </c>
      <c r="V429" s="54">
        <f>inputs!$E$70*(inputs!$F$70/F429)^(0.25)</f>
        <v>0.43635618827415074</v>
      </c>
      <c r="W429" s="54">
        <f>inputs!$E$76*(inputs!$F$76/F429)^(0.25)</f>
        <v>0.13124771128141996</v>
      </c>
      <c r="X429" s="54">
        <f>inputs!$E$72*(inputs!$F$72/F429)^(0.25)</f>
        <v>19.251008306212533</v>
      </c>
      <c r="Y429" s="54" t="s">
        <v>13</v>
      </c>
      <c r="Z429" s="106">
        <f t="shared" si="48"/>
        <v>17.238849374028383</v>
      </c>
      <c r="AA429" s="106">
        <f t="shared" si="49"/>
        <v>57.313598306899721</v>
      </c>
    </row>
    <row r="430" spans="1:27" x14ac:dyDescent="0.25">
      <c r="A430" s="55" t="s">
        <v>452</v>
      </c>
      <c r="B430" s="49" t="s">
        <v>453</v>
      </c>
      <c r="C430" s="21" t="s">
        <v>61</v>
      </c>
      <c r="D430" s="20" t="s">
        <v>454</v>
      </c>
      <c r="E430" s="20">
        <v>11</v>
      </c>
      <c r="F430" s="21">
        <v>17700</v>
      </c>
      <c r="G430" s="21" t="s">
        <v>186</v>
      </c>
      <c r="H430" s="21">
        <v>0.75</v>
      </c>
      <c r="I430" s="48">
        <f>inputs!$C$65*inputs!$C$64/1000</f>
        <v>2.13</v>
      </c>
      <c r="J430" s="48">
        <f>inputs!$C$65*inputs!$C$63/1000</f>
        <v>0.88</v>
      </c>
      <c r="K430" s="60">
        <f t="shared" ref="K430:K461" si="57">(((0.235*F430^0.822)/(1-H430)))*I430/F430</f>
        <v>0.35104938426519461</v>
      </c>
      <c r="L430" s="60">
        <f>(((0.235*F430^0.822)/(1-H430)))*J430/F430</f>
        <v>0.14503448739594896</v>
      </c>
      <c r="M430" s="60">
        <f>IF((((0.326*F430^0.818)-(0.398*F430^0.85)/(1-H430)*H430)*(MAX('Min rate concentrations'!$P$3:$P$368)))/F430&gt;0, (((0.326*F430^0.818)-(0.398*F430^0.85)/(1-H430)*H430)*(MAX('Min rate concentrations'!$P$3:$P$368)))/F430, 0)</f>
        <v>0</v>
      </c>
      <c r="N430" s="60">
        <f>IF((((0.326*F430^0.818)-(0.398*F430^0.85)/(1-H430)*H430)*(MAX('Min rate concentrations'!$Q$3:$Q$368)))/F430&gt; 0, (((0.326*F430^0.818)-(0.398*F430^0.85)/(1-H430)*H430)*(MAX('Min rate concentrations'!$Q$3:$Q$368)))/F430, 0)</f>
        <v>0</v>
      </c>
      <c r="O430" s="60">
        <f>((MAX('Min rate concentrations'!$F$3:$F$368))*0.62*6.01*8*(12.3*F430^0.65)*0.079*0.1/F430)*inputs!$E$73/inputs!$E$74</f>
        <v>1.4708872494091523</v>
      </c>
      <c r="P430" s="60">
        <f>((MAX('Min rate concentrations'!Y:Y))*0.62*6.01*8*(12.3*F430^0.65)*0.079*0.1/F430)*inputs!$E$73/inputs!$E$74</f>
        <v>0.49029574980305074</v>
      </c>
      <c r="Q430" s="60">
        <f>(inputs!$C$7*11.2*(12.3*F430^0.65)*0.5/F430)*inputs!$E$73/inputs!$E$74</f>
        <v>0.25908985142885316</v>
      </c>
      <c r="R430" s="60">
        <f>(60*379*((F430/1000)^0.8)*3*24*(MAX('Min rate concentrations'!$R$3:$R$368))/F430)*(inputs!$E$73/inputs!$E$75)</f>
        <v>1.0355779737304097E-3</v>
      </c>
      <c r="S430" s="60">
        <f>(IF(inputs!$C$6="aerial",((0.025*0.112*inputs!$C$7/3.3)*(3*60*379*((F430/1000)^0.8))*MAX(inputs!$H$14:$H$16))/F430,((0.0083*0.112*inputs!$C$7/1)*(3*60*379*((F430/1000)^0.8))*MAX(inputs!$H$14:$H$16))/F430))*(inputs!E$75/inputs!$E$73)</f>
        <v>5.7112761492829813E-3</v>
      </c>
      <c r="T430" s="63">
        <f>IF((((inputs!$P$12/(V430/MAX(K430:S430)))^(1/inputs!$O$12))-1)/inputs!$N$12&lt;0, 0, IF((((inputs!$P$12/(V430/MAX(K430:S430)))^(1/inputs!$O$12))-1)/inputs!$N$12&gt;inputs!$H$17, inputs!$H$17, (((inputs!$P$12/(V430/MAX(K430:S430)))^(1/inputs!$O$12))-1)/inputs!$N$12))</f>
        <v>6.0502128395229882</v>
      </c>
      <c r="U430" s="63">
        <f>IF((((inputs!$P$12/(X430/MAX(K430:S430)))^(1/inputs!$O$12))-1)/inputs!$N$12&lt;0, 0, IF((((inputs!$P$12/(X430/MAX(K430:S430)))^(1/inputs!$O$12))-1)/inputs!$N$12&gt;inputs!$H$17, inputs!$H$17, (((inputs!$P$12/(X430/MAX(K430:S430)))^(1/inputs!$O$12))-1)/inputs!$N$12))</f>
        <v>0</v>
      </c>
      <c r="V430" s="54">
        <f>inputs!$E$70*(inputs!$F$70/F430)^(0.25)</f>
        <v>0.43635618827415074</v>
      </c>
      <c r="W430" s="54">
        <f>inputs!$E$76*(inputs!$F$76/F430)^(0.25)</f>
        <v>0.13124771128141996</v>
      </c>
      <c r="X430" s="54">
        <f>inputs!$E$72*(inputs!$F$72/F430)^(0.25)</f>
        <v>19.251008306212533</v>
      </c>
      <c r="Y430" s="54" t="s">
        <v>13</v>
      </c>
      <c r="Z430" s="106">
        <f t="shared" si="48"/>
        <v>3.3708408152218841</v>
      </c>
      <c r="AA430" s="106">
        <f t="shared" si="49"/>
        <v>11.206955420771424</v>
      </c>
    </row>
    <row r="431" spans="1:27" x14ac:dyDescent="0.25">
      <c r="A431" s="55" t="s">
        <v>452</v>
      </c>
      <c r="B431" s="49" t="s">
        <v>453</v>
      </c>
      <c r="C431" s="21" t="s">
        <v>61</v>
      </c>
      <c r="D431" s="20" t="s">
        <v>454</v>
      </c>
      <c r="E431" s="20">
        <v>11</v>
      </c>
      <c r="F431" s="21">
        <v>17700</v>
      </c>
      <c r="G431" s="21" t="s">
        <v>152</v>
      </c>
      <c r="H431" s="21">
        <v>0.77</v>
      </c>
      <c r="I431" s="48">
        <f>MAX('Min rate concentrations'!$G$3:$G$368)</f>
        <v>7.5</v>
      </c>
      <c r="J431" s="48">
        <f>MAX('Min rate concentrations'!Z:Z)</f>
        <v>3.5</v>
      </c>
      <c r="K431" s="60">
        <f t="shared" si="57"/>
        <v>1.3435754143646459</v>
      </c>
      <c r="L431" s="60">
        <f>(((0.235*F431^0.822)/(1-H431)))*J431/F431</f>
        <v>0.62700186003683478</v>
      </c>
      <c r="M431" s="60">
        <f>IF((((0.326*F431^0.818)-(0.398*F431^0.85)/(1-H431)*H431)*(MAX('Min rate concentrations'!$P$3:$P$368)))/F431&gt;0, (((0.326*F431^0.818)-(0.398*F431^0.85)/(1-H431)*H431)*(MAX('Min rate concentrations'!$P$3:$P$368)))/F431, 0)</f>
        <v>0</v>
      </c>
      <c r="N431" s="60">
        <f>IF((((0.326*F431^0.818)-(0.398*F431^0.85)/(1-H431)*H431)*(MAX('Min rate concentrations'!$Q$3:$Q$368)))/F431&gt; 0, (((0.326*F431^0.818)-(0.398*F431^0.85)/(1-H431)*H431)*(MAX('Min rate concentrations'!$Q$3:$Q$368)))/F431, 0)</f>
        <v>0</v>
      </c>
      <c r="O431" s="60">
        <f>((MAX('Min rate concentrations'!$F$3:$F$368))*0.62*6.01*8*(12.3*F431^0.65)*0.079*0.1/F431)*inputs!$E$73/inputs!$E$74</f>
        <v>1.4708872494091523</v>
      </c>
      <c r="P431" s="60">
        <f>((MAX('Min rate concentrations'!Y:Y))*0.62*6.01*8*(12.3*F431^0.65)*0.079*0.1/F431)*inputs!$E$73/inputs!$E$74</f>
        <v>0.49029574980305074</v>
      </c>
      <c r="Q431" s="60">
        <f>(inputs!$C$7*11.2*(12.3*F431^0.65)*0.5/F431)*inputs!$E$73/inputs!$E$74</f>
        <v>0.25908985142885316</v>
      </c>
      <c r="R431" s="60">
        <f>(60*379*((F431/1000)^0.8)*3*24*(MAX('Min rate concentrations'!$R$3:$R$368))/F431)*(inputs!$E$73/inputs!$E$75)</f>
        <v>1.0355779737304097E-3</v>
      </c>
      <c r="S431" s="60">
        <f>(IF(inputs!$C$6="aerial",((0.025*0.112*inputs!$C$7/3.3)*(3*60*379*((F431/1000)^0.8))*MAX(inputs!$H$14:$H$16))/F431,((0.0083*0.112*inputs!$C$7/1)*(3*60*379*((F431/1000)^0.8))*MAX(inputs!$H$14:$H$16))/F431))*(inputs!E$75/inputs!$E$73)</f>
        <v>5.7112761492829813E-3</v>
      </c>
      <c r="T431" s="63">
        <f>IF((((inputs!$P$12/(V431/MAX(K431:S431)))^(1/inputs!$O$12))-1)/inputs!$N$12&lt;0, 0, IF((((inputs!$P$12/(V431/MAX(K431:S431)))^(1/inputs!$O$12))-1)/inputs!$N$12&gt;inputs!$H$17, inputs!$H$17, (((inputs!$P$12/(V431/MAX(K431:S431)))^(1/inputs!$O$12))-1)/inputs!$N$12))</f>
        <v>6.0502128395229882</v>
      </c>
      <c r="U431" s="63">
        <f>IF((((inputs!$P$12/(X431/MAX(K431:S431)))^(1/inputs!$O$12))-1)/inputs!$N$12&lt;0, 0, IF((((inputs!$P$12/(X431/MAX(K431:S431)))^(1/inputs!$O$12))-1)/inputs!$N$12&gt;inputs!$H$17, inputs!$H$17, (((inputs!$P$12/(X431/MAX(K431:S431)))^(1/inputs!$O$12))-1)/inputs!$N$12))</f>
        <v>0</v>
      </c>
      <c r="V431" s="54">
        <f>inputs!$E$70*(inputs!$F$70/F431)^(0.25)</f>
        <v>0.43635618827415074</v>
      </c>
      <c r="W431" s="54">
        <f>inputs!$E$76*(inputs!$F$76/F431)^(0.25)</f>
        <v>0.13124771128141996</v>
      </c>
      <c r="X431" s="54">
        <f>inputs!$E$72*(inputs!$F$72/F431)^(0.25)</f>
        <v>19.251008306212533</v>
      </c>
      <c r="Y431" s="54" t="s">
        <v>13</v>
      </c>
      <c r="Z431" s="106">
        <f t="shared" si="48"/>
        <v>3.3708408152218841</v>
      </c>
      <c r="AA431" s="106">
        <f t="shared" si="49"/>
        <v>11.206955420771424</v>
      </c>
    </row>
    <row r="432" spans="1:27" x14ac:dyDescent="0.25">
      <c r="A432" s="55" t="s">
        <v>452</v>
      </c>
      <c r="B432" s="49" t="s">
        <v>453</v>
      </c>
      <c r="C432" s="21" t="s">
        <v>61</v>
      </c>
      <c r="D432" s="20" t="s">
        <v>454</v>
      </c>
      <c r="E432" s="20">
        <v>11</v>
      </c>
      <c r="F432" s="21">
        <v>17700</v>
      </c>
      <c r="G432" s="21" t="s">
        <v>455</v>
      </c>
      <c r="H432" s="20">
        <v>0.68</v>
      </c>
      <c r="I432" s="21">
        <f>MAX('Min rate concentrations'!$K$3:$K$368)</f>
        <v>18.333393099490852</v>
      </c>
      <c r="J432" s="48">
        <f>MAX('Min rate concentrations'!AC:AC)</f>
        <v>6.4930767227363431</v>
      </c>
      <c r="K432" s="60">
        <f t="shared" si="57"/>
        <v>2.3605950554093429</v>
      </c>
      <c r="L432" s="60"/>
      <c r="M432" s="60">
        <f>IF((((0.326*F432^0.818)-(0.398*F432^0.85)/(1-H432)*H432)*(MAX('Min rate concentrations'!$P$3:$P$368)))/F432&gt;0, (((0.326*F432^0.818)-(0.398*F432^0.85)/(1-H432)*H432)*(MAX('Min rate concentrations'!$P$3:$P$368)))/F432, 0)</f>
        <v>0</v>
      </c>
      <c r="N432" s="60">
        <f>IF((((0.326*F432^0.818)-(0.398*F432^0.85)/(1-H432)*H432)*(MAX('Min rate concentrations'!$Q$3:$Q$368)))/F432&gt; 0, (((0.326*F432^0.818)-(0.398*F432^0.85)/(1-H432)*H432)*(MAX('Min rate concentrations'!$Q$3:$Q$368)))/F432, 0)</f>
        <v>0</v>
      </c>
      <c r="O432" s="60">
        <f>((MAX('Min rate concentrations'!$F$3:$F$368))*0.62*6.01*8*(12.3*F432^0.65)*0.079*0.1/F432)*inputs!$E$73/inputs!$E$74</f>
        <v>1.4708872494091523</v>
      </c>
      <c r="P432" s="60"/>
      <c r="Q432" s="60">
        <f>(inputs!$C$7*11.2*(12.3*F432^0.65)*0.5/F432)*inputs!$E$73/inputs!$E$74</f>
        <v>0.25908985142885316</v>
      </c>
      <c r="R432" s="60">
        <f>(60*379*((F432/1000)^0.8)*3*24*(MAX('Min rate concentrations'!$R$3:$R$368))/F432)*(inputs!$E$73/inputs!$E$75)</f>
        <v>1.0355779737304097E-3</v>
      </c>
      <c r="S432" s="60">
        <f>(IF(inputs!$C$6="aerial",((0.025*0.112*inputs!$C$7/3.3)*(3*60*379*((F432/1000)^0.8))*MAX(inputs!$H$14:$H$16))/F432,((0.0083*0.112*inputs!$C$7/1)*(3*60*379*((F432/1000)^0.8))*MAX(inputs!$H$14:$H$16))/F432))*(inputs!E$75/inputs!$E$73)</f>
        <v>5.7112761492829813E-3</v>
      </c>
      <c r="T432" s="63">
        <f>IF((((inputs!$P$12/(V432/MAX(K432:S432)))^(1/inputs!$O$12))-1)/inputs!$N$12&lt;0, 0, IF((((inputs!$P$12/(V432/MAX(K432:S432)))^(1/inputs!$O$12))-1)/inputs!$N$12&gt;inputs!$H$17, inputs!$H$17, (((inputs!$P$12/(V432/MAX(K432:S432)))^(1/inputs!$O$12))-1)/inputs!$N$12))</f>
        <v>13.378333966785631</v>
      </c>
      <c r="U432" s="63">
        <f>IF((((inputs!$P$12/(X432/MAX(K432:S432)))^(1/inputs!$O$12))-1)/inputs!$N$12&lt;0, 0, IF((((inputs!$P$12/(X432/MAX(K432:S432)))^(1/inputs!$O$12))-1)/inputs!$N$12&gt;inputs!$H$17, inputs!$H$17, (((inputs!$P$12/(X432/MAX(K432:S432)))^(1/inputs!$O$12))-1)/inputs!$N$12))</f>
        <v>0</v>
      </c>
      <c r="V432" s="54">
        <f>inputs!$E$70*(inputs!$F$70/F432)^(0.25)</f>
        <v>0.43635618827415074</v>
      </c>
      <c r="W432" s="54">
        <f>inputs!$E$76*(inputs!$F$76/F432)^(0.25)</f>
        <v>0.13124771128141996</v>
      </c>
      <c r="X432" s="54">
        <f>inputs!$E$72*(inputs!$F$72/F432)^(0.25)</f>
        <v>19.251008306212533</v>
      </c>
      <c r="Y432" s="54" t="s">
        <v>13</v>
      </c>
      <c r="Z432" s="106">
        <f t="shared" si="48"/>
        <v>5.4097893391768404</v>
      </c>
      <c r="AA432" s="106">
        <f t="shared" si="49"/>
        <v>17.98579977023584</v>
      </c>
    </row>
    <row r="433" spans="1:27" x14ac:dyDescent="0.25">
      <c r="A433" s="55" t="s">
        <v>452</v>
      </c>
      <c r="B433" s="49" t="s">
        <v>453</v>
      </c>
      <c r="C433" s="21" t="s">
        <v>61</v>
      </c>
      <c r="D433" s="20" t="s">
        <v>454</v>
      </c>
      <c r="E433" s="20">
        <v>11</v>
      </c>
      <c r="F433" s="21">
        <v>17700</v>
      </c>
      <c r="G433" s="21" t="s">
        <v>456</v>
      </c>
      <c r="H433" s="21">
        <v>0.68</v>
      </c>
      <c r="I433" s="48">
        <f>MAX('Min rate concentrations'!$J$3:$J$368)</f>
        <v>114.4108103430513</v>
      </c>
      <c r="J433" s="48">
        <f>MAX('Min rate concentrations'!AB:AB)</f>
        <v>40.520495329830666</v>
      </c>
      <c r="K433" s="60">
        <f t="shared" si="57"/>
        <v>14.73145705846909</v>
      </c>
      <c r="L433" s="60">
        <f>(((0.235*F433^0.822)/(1-H433)))*J433/F433</f>
        <v>5.217391041541136</v>
      </c>
      <c r="M433" s="60">
        <f>IF((((0.326*F433^0.818)-(0.398*F433^0.85)/(1-H433)*H433)*(MAX('Min rate concentrations'!$P$3:$P$368)))/F433&gt;0, (((0.326*F433^0.818)-(0.398*F433^0.85)/(1-H433)*H433)*(MAX('Min rate concentrations'!$P$3:$P$368)))/F433, 0)</f>
        <v>0</v>
      </c>
      <c r="N433" s="60">
        <f>IF((((0.326*F433^0.818)-(0.398*F433^0.85)/(1-H433)*H433)*(MAX('Min rate concentrations'!$Q$3:$Q$368)))/F433&gt; 0, (((0.326*F433^0.818)-(0.398*F433^0.85)/(1-H433)*H433)*(MAX('Min rate concentrations'!$Q$3:$Q$368)))/F433, 0)</f>
        <v>0</v>
      </c>
      <c r="O433" s="60">
        <f>((MAX('Min rate concentrations'!$F$3:$F$368))*0.62*6.01*8*(12.3*F433^0.65)*0.079*0.1/F433)*inputs!$E$73/inputs!$E$74</f>
        <v>1.4708872494091523</v>
      </c>
      <c r="P433" s="60">
        <f>((MAX('Min rate concentrations'!Y:Y))*0.62*6.01*8*(12.3*F433^0.65)*0.079*0.1/F433)*inputs!$E$73/inputs!$E$74</f>
        <v>0.49029574980305074</v>
      </c>
      <c r="Q433" s="60">
        <f>(inputs!$C$7*11.2*(12.3*F433^0.65)*0.5/F433)*inputs!$E$73/inputs!$E$74</f>
        <v>0.25908985142885316</v>
      </c>
      <c r="R433" s="60">
        <f>(60*379*((F433/1000)^0.8)*3*24*(MAX('Min rate concentrations'!$R$3:$R$368))/F433)*(inputs!$E$73/inputs!$E$75)</f>
        <v>1.0355779737304097E-3</v>
      </c>
      <c r="S433" s="60">
        <f>(IF(inputs!$C$6="aerial",((0.025*0.112*inputs!$C$7/3.3)*(3*60*379*((F433/1000)^0.8))*MAX(inputs!$H$14:$H$16))/F433,((0.0083*0.112*inputs!$C$7/1)*(3*60*379*((F433/1000)^0.8))*MAX(inputs!$H$14:$H$16))/F433))*(inputs!E$75/inputs!$E$73)</f>
        <v>5.7112761492829813E-3</v>
      </c>
      <c r="T433" s="63">
        <f>IF((((inputs!$P$12/(V433/MAX(K433:S433)))^(1/inputs!$O$12))-1)/inputs!$N$12&lt;0, 0, IF((((inputs!$P$12/(V433/MAX(K433:S433)))^(1/inputs!$O$12))-1)/inputs!$N$12&gt;inputs!$H$17, inputs!$H$17, (((inputs!$P$12/(V433/MAX(K433:S433)))^(1/inputs!$O$12))-1)/inputs!$N$12))</f>
        <v>59.682221754547498</v>
      </c>
      <c r="U433" s="63">
        <f>IF((((inputs!$P$12/(X433/MAX(K433:S433)))^(1/inputs!$O$12))-1)/inputs!$N$12&lt;0, 0, IF((((inputs!$P$12/(X433/MAX(K433:S433)))^(1/inputs!$O$12))-1)/inputs!$N$12&gt;inputs!$H$17, inputs!$H$17, (((inputs!$P$12/(X433/MAX(K433:S433)))^(1/inputs!$O$12))-1)/inputs!$N$12))</f>
        <v>0</v>
      </c>
      <c r="V433" s="54">
        <f>inputs!$E$70*(inputs!$F$70/F433)^(0.25)</f>
        <v>0.43635618827415074</v>
      </c>
      <c r="W433" s="54">
        <f>inputs!$E$76*(inputs!$F$76/F433)^(0.25)</f>
        <v>0.13124771128141996</v>
      </c>
      <c r="X433" s="54">
        <f>inputs!$E$72*(inputs!$F$72/F433)^(0.25)</f>
        <v>19.251008306212533</v>
      </c>
      <c r="Y433" s="54" t="s">
        <v>13</v>
      </c>
      <c r="Z433" s="106">
        <f t="shared" si="48"/>
        <v>33.760165329003463</v>
      </c>
      <c r="AA433" s="106">
        <f t="shared" si="49"/>
        <v>112.24163007979662</v>
      </c>
    </row>
    <row r="434" spans="1:27" x14ac:dyDescent="0.25">
      <c r="A434" s="55" t="s">
        <v>452</v>
      </c>
      <c r="B434" s="49" t="s">
        <v>457</v>
      </c>
      <c r="C434" s="21" t="s">
        <v>61</v>
      </c>
      <c r="D434" s="20" t="s">
        <v>454</v>
      </c>
      <c r="E434" s="20">
        <v>12</v>
      </c>
      <c r="F434" s="21">
        <v>17700</v>
      </c>
      <c r="G434" s="21" t="s">
        <v>138</v>
      </c>
      <c r="H434" s="21">
        <v>0.68</v>
      </c>
      <c r="I434" s="48">
        <f>MAX('Min rate concentrations'!$L$3:$L$368)</f>
        <v>58.421240152220811</v>
      </c>
      <c r="J434" s="48">
        <f>MAX('Min rate concentrations'!AD:AD)</f>
        <v>40.397666062705881</v>
      </c>
      <c r="K434" s="60">
        <f t="shared" si="57"/>
        <v>7.5222786030832545</v>
      </c>
      <c r="L434" s="60">
        <f>(((0.235*F434^0.822)/(1-H434)))*J434/F434</f>
        <v>5.2015756297916127</v>
      </c>
      <c r="M434" s="60">
        <f>IF((((0.326*F434^0.818)-(0.398*F434^0.85)/(1-H434)*H434)*(MAX('Min rate concentrations'!$P$3:$P$368)))/F434&gt;0, (((0.326*F434^0.818)-(0.398*F434^0.85)/(1-H434)*H434)*(MAX('Min rate concentrations'!$P$3:$P$368)))/F434, 0)</f>
        <v>0</v>
      </c>
      <c r="N434" s="60">
        <f>IF((((0.326*F434^0.818)-(0.398*F434^0.85)/(1-H434)*H434)*(MAX('Min rate concentrations'!$Q$3:$Q$368)))/F434&gt; 0, (((0.326*F434^0.818)-(0.398*F434^0.85)/(1-H434)*H434)*(MAX('Min rate concentrations'!$Q$3:$Q$368)))/F434, 0)</f>
        <v>0</v>
      </c>
      <c r="O434" s="60">
        <f>((MAX('Min rate concentrations'!$F$3:$F$368))*0.62*6.01*8*(12.3*F434^0.65)*0.079*0.1/F434)*inputs!$E$73/inputs!$E$74</f>
        <v>1.4708872494091523</v>
      </c>
      <c r="P434" s="60">
        <f>((MAX('Min rate concentrations'!Y:Y))*0.62*6.01*8*(12.3*F434^0.65)*0.079*0.1/F434)*inputs!$E$73/inputs!$E$74</f>
        <v>0.49029574980305074</v>
      </c>
      <c r="Q434" s="60">
        <f>(inputs!$C$7*11.2*(12.3*F434^0.65)*0.5/F434)*inputs!$E$73/inputs!$E$74</f>
        <v>0.25908985142885316</v>
      </c>
      <c r="R434" s="60">
        <f>(60*379*((F434/1000)^0.8)*3*24*(MAX('Min rate concentrations'!$R$3:$R$368))/F434)*(inputs!$E$73/inputs!$E$75)</f>
        <v>1.0355779737304097E-3</v>
      </c>
      <c r="S434" s="60">
        <f>(IF(inputs!$C$6="aerial",((0.025*0.112*inputs!$C$7/3.3)*(3*60*379*((F434/1000)^0.8))*MAX(inputs!$H$14:$H$16))/F434,((0.0083*0.112*inputs!$C$7/1)*(3*60*379*((F434/1000)^0.8))*MAX(inputs!$H$14:$H$16))/F434))*(inputs!E$75/inputs!$E$73)</f>
        <v>5.7112761492829813E-3</v>
      </c>
      <c r="T434" s="63">
        <f>IF((((inputs!$P$12/(V434/MAX(K434:S434)))^(1/inputs!$O$12))-1)/inputs!$N$12&lt;0, 0, IF((((inputs!$P$12/(V434/MAX(K434:S434)))^(1/inputs!$O$12))-1)/inputs!$N$12&gt;inputs!$H$17, inputs!$H$17, (((inputs!$P$12/(V434/MAX(K434:S434)))^(1/inputs!$O$12))-1)/inputs!$N$12))</f>
        <v>38.592176491323677</v>
      </c>
      <c r="U434" s="63">
        <f>IF((((inputs!$P$12/(X434/MAX(K434:S434)))^(1/inputs!$O$12))-1)/inputs!$N$12&lt;0, 0, IF((((inputs!$P$12/(X434/MAX(K434:S434)))^(1/inputs!$O$12))-1)/inputs!$N$12&gt;inputs!$H$17, inputs!$H$17, (((inputs!$P$12/(X434/MAX(K434:S434)))^(1/inputs!$O$12))-1)/inputs!$N$12))</f>
        <v>0</v>
      </c>
      <c r="V434" s="54">
        <f>inputs!$E$70*(inputs!$F$70/F434)^(0.25)</f>
        <v>0.43635618827415074</v>
      </c>
      <c r="W434" s="54">
        <f>inputs!$E$76*(inputs!$F$76/F434)^(0.25)</f>
        <v>0.13124771128141996</v>
      </c>
      <c r="X434" s="54">
        <f>inputs!$E$72*(inputs!$F$72/F434)^(0.25)</f>
        <v>19.251008306212533</v>
      </c>
      <c r="Y434" s="54" t="s">
        <v>13</v>
      </c>
      <c r="Z434" s="106">
        <f t="shared" si="48"/>
        <v>17.238849374028383</v>
      </c>
      <c r="AA434" s="106">
        <f t="shared" si="49"/>
        <v>57.313598306899721</v>
      </c>
    </row>
    <row r="435" spans="1:27" x14ac:dyDescent="0.25">
      <c r="A435" s="55" t="s">
        <v>452</v>
      </c>
      <c r="B435" s="49" t="s">
        <v>457</v>
      </c>
      <c r="C435" s="21" t="s">
        <v>61</v>
      </c>
      <c r="D435" s="20" t="s">
        <v>454</v>
      </c>
      <c r="E435" s="20">
        <v>12</v>
      </c>
      <c r="F435" s="21">
        <v>17700</v>
      </c>
      <c r="G435" s="21" t="s">
        <v>186</v>
      </c>
      <c r="H435" s="21">
        <v>0.75</v>
      </c>
      <c r="I435" s="48">
        <f>inputs!$C$65*inputs!$C$64/1000</f>
        <v>2.13</v>
      </c>
      <c r="J435" s="48">
        <f>inputs!$C$65*inputs!$C$63/1000</f>
        <v>0.88</v>
      </c>
      <c r="K435" s="60">
        <f t="shared" si="57"/>
        <v>0.35104938426519461</v>
      </c>
      <c r="L435" s="60">
        <f>(((0.235*F435^0.822)/(1-H435)))*J435/F435</f>
        <v>0.14503448739594896</v>
      </c>
      <c r="M435" s="60">
        <f>IF((((0.326*F435^0.818)-(0.398*F435^0.85)/(1-H435)*H435)*(MAX('Min rate concentrations'!$P$3:$P$368)))/F435&gt;0, (((0.326*F435^0.818)-(0.398*F435^0.85)/(1-H435)*H435)*(MAX('Min rate concentrations'!$P$3:$P$368)))/F435, 0)</f>
        <v>0</v>
      </c>
      <c r="N435" s="60">
        <f>IF((((0.326*F435^0.818)-(0.398*F435^0.85)/(1-H435)*H435)*(MAX('Min rate concentrations'!$Q$3:$Q$368)))/F435&gt; 0, (((0.326*F435^0.818)-(0.398*F435^0.85)/(1-H435)*H435)*(MAX('Min rate concentrations'!$Q$3:$Q$368)))/F435, 0)</f>
        <v>0</v>
      </c>
      <c r="O435" s="60">
        <f>((MAX('Min rate concentrations'!$F$3:$F$368))*0.62*6.01*8*(12.3*F435^0.65)*0.079*0.1/F435)*inputs!$E$73/inputs!$E$74</f>
        <v>1.4708872494091523</v>
      </c>
      <c r="P435" s="60">
        <f>((MAX('Min rate concentrations'!Y:Y))*0.62*6.01*8*(12.3*F435^0.65)*0.079*0.1/F435)*inputs!$E$73/inputs!$E$74</f>
        <v>0.49029574980305074</v>
      </c>
      <c r="Q435" s="60">
        <f>(inputs!$C$7*11.2*(12.3*F435^0.65)*0.5/F435)*inputs!$E$73/inputs!$E$74</f>
        <v>0.25908985142885316</v>
      </c>
      <c r="R435" s="60">
        <f>(60*379*((F435/1000)^0.8)*3*24*(MAX('Min rate concentrations'!$R$3:$R$368))/F435)*(inputs!$E$73/inputs!$E$75)</f>
        <v>1.0355779737304097E-3</v>
      </c>
      <c r="S435" s="60">
        <f>(IF(inputs!$C$6="aerial",((0.025*0.112*inputs!$C$7/3.3)*(3*60*379*((F435/1000)^0.8))*MAX(inputs!$H$14:$H$16))/F435,((0.0083*0.112*inputs!$C$7/1)*(3*60*379*((F435/1000)^0.8))*MAX(inputs!$H$14:$H$16))/F435))*(inputs!E$75/inputs!$E$73)</f>
        <v>5.7112761492829813E-3</v>
      </c>
      <c r="T435" s="63">
        <f>IF((((inputs!$P$12/(V435/MAX(K435:S435)))^(1/inputs!$O$12))-1)/inputs!$N$12&lt;0, 0, IF((((inputs!$P$12/(V435/MAX(K435:S435)))^(1/inputs!$O$12))-1)/inputs!$N$12&gt;inputs!$H$17, inputs!$H$17, (((inputs!$P$12/(V435/MAX(K435:S435)))^(1/inputs!$O$12))-1)/inputs!$N$12))</f>
        <v>6.0502128395229882</v>
      </c>
      <c r="U435" s="63">
        <f>IF((((inputs!$P$12/(X435/MAX(K435:S435)))^(1/inputs!$O$12))-1)/inputs!$N$12&lt;0, 0, IF((((inputs!$P$12/(X435/MAX(K435:S435)))^(1/inputs!$O$12))-1)/inputs!$N$12&gt;inputs!$H$17, inputs!$H$17, (((inputs!$P$12/(X435/MAX(K435:S435)))^(1/inputs!$O$12))-1)/inputs!$N$12))</f>
        <v>0</v>
      </c>
      <c r="V435" s="54">
        <f>inputs!$E$70*(inputs!$F$70/F435)^(0.25)</f>
        <v>0.43635618827415074</v>
      </c>
      <c r="W435" s="54">
        <f>inputs!$E$76*(inputs!$F$76/F435)^(0.25)</f>
        <v>0.13124771128141996</v>
      </c>
      <c r="X435" s="54">
        <f>inputs!$E$72*(inputs!$F$72/F435)^(0.25)</f>
        <v>19.251008306212533</v>
      </c>
      <c r="Y435" s="54" t="s">
        <v>13</v>
      </c>
      <c r="Z435" s="106">
        <f t="shared" si="48"/>
        <v>3.3708408152218841</v>
      </c>
      <c r="AA435" s="106">
        <f t="shared" si="49"/>
        <v>11.206955420771424</v>
      </c>
    </row>
    <row r="436" spans="1:27" x14ac:dyDescent="0.25">
      <c r="A436" s="55" t="s">
        <v>452</v>
      </c>
      <c r="B436" s="49" t="s">
        <v>457</v>
      </c>
      <c r="C436" s="21" t="s">
        <v>61</v>
      </c>
      <c r="D436" s="20" t="s">
        <v>454</v>
      </c>
      <c r="E436" s="20">
        <v>12</v>
      </c>
      <c r="F436" s="21">
        <v>17700</v>
      </c>
      <c r="G436" s="21" t="s">
        <v>152</v>
      </c>
      <c r="H436" s="21">
        <v>0.77</v>
      </c>
      <c r="I436" s="48">
        <f>MAX('Min rate concentrations'!$G$3:$G$368)</f>
        <v>7.5</v>
      </c>
      <c r="J436" s="48">
        <f>MAX('Min rate concentrations'!Z:Z)</f>
        <v>3.5</v>
      </c>
      <c r="K436" s="60">
        <f t="shared" si="57"/>
        <v>1.3435754143646459</v>
      </c>
      <c r="L436" s="60">
        <f>(((0.235*F436^0.822)/(1-H436)))*J436/F436</f>
        <v>0.62700186003683478</v>
      </c>
      <c r="M436" s="60">
        <f>IF((((0.326*F436^0.818)-(0.398*F436^0.85)/(1-H436)*H436)*(MAX('Min rate concentrations'!$P$3:$P$368)))/F436&gt;0, (((0.326*F436^0.818)-(0.398*F436^0.85)/(1-H436)*H436)*(MAX('Min rate concentrations'!$P$3:$P$368)))/F436, 0)</f>
        <v>0</v>
      </c>
      <c r="N436" s="60">
        <f>IF((((0.326*F436^0.818)-(0.398*F436^0.85)/(1-H436)*H436)*(MAX('Min rate concentrations'!$Q$3:$Q$368)))/F436&gt; 0, (((0.326*F436^0.818)-(0.398*F436^0.85)/(1-H436)*H436)*(MAX('Min rate concentrations'!$Q$3:$Q$368)))/F436, 0)</f>
        <v>0</v>
      </c>
      <c r="O436" s="60">
        <f>((MAX('Min rate concentrations'!$F$3:$F$368))*0.62*6.01*8*(12.3*F436^0.65)*0.079*0.1/F436)*inputs!$E$73/inputs!$E$74</f>
        <v>1.4708872494091523</v>
      </c>
      <c r="P436" s="60">
        <f>((MAX('Min rate concentrations'!Y:Y))*0.62*6.01*8*(12.3*F436^0.65)*0.079*0.1/F436)*inputs!$E$73/inputs!$E$74</f>
        <v>0.49029574980305074</v>
      </c>
      <c r="Q436" s="60">
        <f>(inputs!$C$7*11.2*(12.3*F436^0.65)*0.5/F436)*inputs!$E$73/inputs!$E$74</f>
        <v>0.25908985142885316</v>
      </c>
      <c r="R436" s="60">
        <f>(60*379*((F436/1000)^0.8)*3*24*(MAX('Min rate concentrations'!$R$3:$R$368))/F436)*(inputs!$E$73/inputs!$E$75)</f>
        <v>1.0355779737304097E-3</v>
      </c>
      <c r="S436" s="60">
        <f>(IF(inputs!$C$6="aerial",((0.025*0.112*inputs!$C$7/3.3)*(3*60*379*((F436/1000)^0.8))*MAX(inputs!$H$14:$H$16))/F436,((0.0083*0.112*inputs!$C$7/1)*(3*60*379*((F436/1000)^0.8))*MAX(inputs!$H$14:$H$16))/F436))*(inputs!E$75/inputs!$E$73)</f>
        <v>5.7112761492829813E-3</v>
      </c>
      <c r="T436" s="63">
        <f>IF((((inputs!$P$12/(V436/MAX(K436:S436)))^(1/inputs!$O$12))-1)/inputs!$N$12&lt;0, 0, IF((((inputs!$P$12/(V436/MAX(K436:S436)))^(1/inputs!$O$12))-1)/inputs!$N$12&gt;inputs!$H$17, inputs!$H$17, (((inputs!$P$12/(V436/MAX(K436:S436)))^(1/inputs!$O$12))-1)/inputs!$N$12))</f>
        <v>6.0502128395229882</v>
      </c>
      <c r="U436" s="63">
        <f>IF((((inputs!$P$12/(X436/MAX(K436:S436)))^(1/inputs!$O$12))-1)/inputs!$N$12&lt;0, 0, IF((((inputs!$P$12/(X436/MAX(K436:S436)))^(1/inputs!$O$12))-1)/inputs!$N$12&gt;inputs!$H$17, inputs!$H$17, (((inputs!$P$12/(X436/MAX(K436:S436)))^(1/inputs!$O$12))-1)/inputs!$N$12))</f>
        <v>0</v>
      </c>
      <c r="V436" s="54">
        <f>inputs!$E$70*(inputs!$F$70/F436)^(0.25)</f>
        <v>0.43635618827415074</v>
      </c>
      <c r="W436" s="54">
        <f>inputs!$E$76*(inputs!$F$76/F436)^(0.25)</f>
        <v>0.13124771128141996</v>
      </c>
      <c r="X436" s="54">
        <f>inputs!$E$72*(inputs!$F$72/F436)^(0.25)</f>
        <v>19.251008306212533</v>
      </c>
      <c r="Y436" s="54" t="s">
        <v>13</v>
      </c>
      <c r="Z436" s="106">
        <f t="shared" si="48"/>
        <v>3.3708408152218841</v>
      </c>
      <c r="AA436" s="106">
        <f t="shared" si="49"/>
        <v>11.206955420771424</v>
      </c>
    </row>
    <row r="437" spans="1:27" x14ac:dyDescent="0.25">
      <c r="A437" s="55" t="s">
        <v>452</v>
      </c>
      <c r="B437" s="49" t="s">
        <v>457</v>
      </c>
      <c r="C437" s="21" t="s">
        <v>61</v>
      </c>
      <c r="D437" s="20" t="s">
        <v>454</v>
      </c>
      <c r="E437" s="20">
        <v>12</v>
      </c>
      <c r="F437" s="21">
        <v>17700</v>
      </c>
      <c r="G437" s="21" t="s">
        <v>455</v>
      </c>
      <c r="H437" s="21">
        <v>0.68</v>
      </c>
      <c r="I437" s="21">
        <f>MAX('Min rate concentrations'!$K$3:$K$368)</f>
        <v>18.333393099490852</v>
      </c>
      <c r="J437" s="48">
        <f>MAX('Min rate concentrations'!AC:AC)</f>
        <v>6.4930767227363431</v>
      </c>
      <c r="K437" s="60">
        <f t="shared" si="57"/>
        <v>2.3605950554093429</v>
      </c>
      <c r="L437" s="60"/>
      <c r="M437" s="60">
        <f>IF((((0.326*F437^0.818)-(0.398*F437^0.85)/(1-H437)*H437)*(MAX('Min rate concentrations'!$P$3:$P$368)))/F437&gt;0, (((0.326*F437^0.818)-(0.398*F437^0.85)/(1-H437)*H437)*(MAX('Min rate concentrations'!$P$3:$P$368)))/F437, 0)</f>
        <v>0</v>
      </c>
      <c r="N437" s="60">
        <f>IF((((0.326*F437^0.818)-(0.398*F437^0.85)/(1-H437)*H437)*(MAX('Min rate concentrations'!$Q$3:$Q$368)))/F437&gt; 0, (((0.326*F437^0.818)-(0.398*F437^0.85)/(1-H437)*H437)*(MAX('Min rate concentrations'!$Q$3:$Q$368)))/F437, 0)</f>
        <v>0</v>
      </c>
      <c r="O437" s="60">
        <f>((MAX('Min rate concentrations'!$F$3:$F$368))*0.62*6.01*8*(12.3*F437^0.65)*0.079*0.1/F437)*inputs!$E$73/inputs!$E$74</f>
        <v>1.4708872494091523</v>
      </c>
      <c r="P437" s="60"/>
      <c r="Q437" s="60">
        <f>(inputs!$C$7*11.2*(12.3*F437^0.65)*0.5/F437)*inputs!$E$73/inputs!$E$74</f>
        <v>0.25908985142885316</v>
      </c>
      <c r="R437" s="60">
        <f>(60*379*((F437/1000)^0.8)*3*24*(MAX('Min rate concentrations'!$R$3:$R$368))/F437)*(inputs!$E$73/inputs!$E$75)</f>
        <v>1.0355779737304097E-3</v>
      </c>
      <c r="S437" s="60">
        <f>(IF(inputs!$C$6="aerial",((0.025*0.112*inputs!$C$7/3.3)*(3*60*379*((F437/1000)^0.8))*MAX(inputs!$H$14:$H$16))/F437,((0.0083*0.112*inputs!$C$7/1)*(3*60*379*((F437/1000)^0.8))*MAX(inputs!$H$14:$H$16))/F437))*(inputs!E$75/inputs!$E$73)</f>
        <v>5.7112761492829813E-3</v>
      </c>
      <c r="T437" s="63">
        <f>IF((((inputs!$P$12/(V437/MAX(K437:S437)))^(1/inputs!$O$12))-1)/inputs!$N$12&lt;0, 0, IF((((inputs!$P$12/(V437/MAX(K437:S437)))^(1/inputs!$O$12))-1)/inputs!$N$12&gt;inputs!$H$17, inputs!$H$17, (((inputs!$P$12/(V437/MAX(K437:S437)))^(1/inputs!$O$12))-1)/inputs!$N$12))</f>
        <v>13.378333966785631</v>
      </c>
      <c r="U437" s="63">
        <f>IF((((inputs!$P$12/(X437/MAX(K437:S437)))^(1/inputs!$O$12))-1)/inputs!$N$12&lt;0, 0, IF((((inputs!$P$12/(X437/MAX(K437:S437)))^(1/inputs!$O$12))-1)/inputs!$N$12&gt;inputs!$H$17, inputs!$H$17, (((inputs!$P$12/(X437/MAX(K437:S437)))^(1/inputs!$O$12))-1)/inputs!$N$12))</f>
        <v>0</v>
      </c>
      <c r="V437" s="54">
        <f>inputs!$E$70*(inputs!$F$70/F437)^(0.25)</f>
        <v>0.43635618827415074</v>
      </c>
      <c r="W437" s="54">
        <f>inputs!$E$76*(inputs!$F$76/F437)^(0.25)</f>
        <v>0.13124771128141996</v>
      </c>
      <c r="X437" s="54">
        <f>inputs!$E$72*(inputs!$F$72/F437)^(0.25)</f>
        <v>19.251008306212533</v>
      </c>
      <c r="Y437" s="54" t="s">
        <v>13</v>
      </c>
      <c r="Z437" s="106">
        <f t="shared" si="48"/>
        <v>5.4097893391768404</v>
      </c>
      <c r="AA437" s="106">
        <f t="shared" si="49"/>
        <v>17.98579977023584</v>
      </c>
    </row>
    <row r="438" spans="1:27" x14ac:dyDescent="0.25">
      <c r="A438" s="55" t="s">
        <v>452</v>
      </c>
      <c r="B438" s="49" t="s">
        <v>457</v>
      </c>
      <c r="C438" s="21" t="s">
        <v>61</v>
      </c>
      <c r="D438" s="20" t="s">
        <v>454</v>
      </c>
      <c r="E438" s="20">
        <v>12</v>
      </c>
      <c r="F438" s="21">
        <v>17700</v>
      </c>
      <c r="G438" s="21" t="s">
        <v>456</v>
      </c>
      <c r="H438" s="21">
        <v>0.68</v>
      </c>
      <c r="I438" s="48">
        <f>MAX('Min rate concentrations'!$J$3:$J$368)</f>
        <v>114.4108103430513</v>
      </c>
      <c r="J438" s="48">
        <f>MAX('Min rate concentrations'!AB:AB)</f>
        <v>40.520495329830666</v>
      </c>
      <c r="K438" s="60">
        <f t="shared" si="57"/>
        <v>14.73145705846909</v>
      </c>
      <c r="L438" s="60">
        <f>(((0.235*F438^0.822)/(1-H438)))*J438/F438</f>
        <v>5.217391041541136</v>
      </c>
      <c r="M438" s="60">
        <f>IF((((0.326*F438^0.818)-(0.398*F438^0.85)/(1-H438)*H438)*(MAX('Min rate concentrations'!$P$3:$P$368)))/F438&gt;0, (((0.326*F438^0.818)-(0.398*F438^0.85)/(1-H438)*H438)*(MAX('Min rate concentrations'!$P$3:$P$368)))/F438, 0)</f>
        <v>0</v>
      </c>
      <c r="N438" s="60">
        <f>IF((((0.326*F438^0.818)-(0.398*F438^0.85)/(1-H438)*H438)*(MAX('Min rate concentrations'!$Q$3:$Q$368)))/F438&gt; 0, (((0.326*F438^0.818)-(0.398*F438^0.85)/(1-H438)*H438)*(MAX('Min rate concentrations'!$Q$3:$Q$368)))/F438, 0)</f>
        <v>0</v>
      </c>
      <c r="O438" s="60">
        <f>((MAX('Min rate concentrations'!$F$3:$F$368))*0.62*6.01*8*(12.3*F438^0.65)*0.079*0.1/F438)*inputs!$E$73/inputs!$E$74</f>
        <v>1.4708872494091523</v>
      </c>
      <c r="P438" s="60">
        <f>((MAX('Min rate concentrations'!Y:Y))*0.62*6.01*8*(12.3*F438^0.65)*0.079*0.1/F438)*inputs!$E$73/inputs!$E$74</f>
        <v>0.49029574980305074</v>
      </c>
      <c r="Q438" s="60">
        <f>(inputs!$C$7*11.2*(12.3*F438^0.65)*0.5/F438)*inputs!$E$73/inputs!$E$74</f>
        <v>0.25908985142885316</v>
      </c>
      <c r="R438" s="60">
        <f>(60*379*((F438/1000)^0.8)*3*24*(MAX('Min rate concentrations'!$R$3:$R$368))/F438)*(inputs!$E$73/inputs!$E$75)</f>
        <v>1.0355779737304097E-3</v>
      </c>
      <c r="S438" s="60">
        <f>(IF(inputs!$C$6="aerial",((0.025*0.112*inputs!$C$7/3.3)*(3*60*379*((F438/1000)^0.8))*MAX(inputs!$H$14:$H$16))/F438,((0.0083*0.112*inputs!$C$7/1)*(3*60*379*((F438/1000)^0.8))*MAX(inputs!$H$14:$H$16))/F438))*(inputs!E$75/inputs!$E$73)</f>
        <v>5.7112761492829813E-3</v>
      </c>
      <c r="T438" s="63">
        <f>IF((((inputs!$P$12/(V438/MAX(K438:S438)))^(1/inputs!$O$12))-1)/inputs!$N$12&lt;0, 0, IF((((inputs!$P$12/(V438/MAX(K438:S438)))^(1/inputs!$O$12))-1)/inputs!$N$12&gt;inputs!$H$17, inputs!$H$17, (((inputs!$P$12/(V438/MAX(K438:S438)))^(1/inputs!$O$12))-1)/inputs!$N$12))</f>
        <v>59.682221754547498</v>
      </c>
      <c r="U438" s="63">
        <f>IF((((inputs!$P$12/(X438/MAX(K438:S438)))^(1/inputs!$O$12))-1)/inputs!$N$12&lt;0, 0, IF((((inputs!$P$12/(X438/MAX(K438:S438)))^(1/inputs!$O$12))-1)/inputs!$N$12&gt;inputs!$H$17, inputs!$H$17, (((inputs!$P$12/(X438/MAX(K438:S438)))^(1/inputs!$O$12))-1)/inputs!$N$12))</f>
        <v>0</v>
      </c>
      <c r="V438" s="54">
        <f>inputs!$E$70*(inputs!$F$70/F438)^(0.25)</f>
        <v>0.43635618827415074</v>
      </c>
      <c r="W438" s="54">
        <f>inputs!$E$76*(inputs!$F$76/F438)^(0.25)</f>
        <v>0.13124771128141996</v>
      </c>
      <c r="X438" s="54">
        <f>inputs!$E$72*(inputs!$F$72/F438)^(0.25)</f>
        <v>19.251008306212533</v>
      </c>
      <c r="Y438" s="54" t="s">
        <v>13</v>
      </c>
      <c r="Z438" s="106">
        <f t="shared" si="48"/>
        <v>33.760165329003463</v>
      </c>
      <c r="AA438" s="106">
        <f t="shared" si="49"/>
        <v>112.24163007979662</v>
      </c>
    </row>
    <row r="439" spans="1:27" x14ac:dyDescent="0.25">
      <c r="A439" s="55" t="s">
        <v>452</v>
      </c>
      <c r="B439" s="49" t="s">
        <v>458</v>
      </c>
      <c r="C439" s="21" t="s">
        <v>61</v>
      </c>
      <c r="D439" s="20" t="s">
        <v>454</v>
      </c>
      <c r="E439" s="20">
        <v>10010</v>
      </c>
      <c r="F439" s="21">
        <v>17700</v>
      </c>
      <c r="G439" s="21" t="s">
        <v>138</v>
      </c>
      <c r="H439" s="21">
        <v>0.68</v>
      </c>
      <c r="I439" s="48">
        <f>MAX('Min rate concentrations'!$L$3:$L$368)</f>
        <v>58.421240152220811</v>
      </c>
      <c r="J439" s="48">
        <f>MAX('Min rate concentrations'!AD:AD)</f>
        <v>40.397666062705881</v>
      </c>
      <c r="K439" s="60">
        <f t="shared" si="57"/>
        <v>7.5222786030832545</v>
      </c>
      <c r="L439" s="60">
        <f>(((0.235*F439^0.822)/(1-H439)))*J439/F439</f>
        <v>5.2015756297916127</v>
      </c>
      <c r="M439" s="60">
        <f>IF((((0.326*F439^0.818)-(0.398*F439^0.85)/(1-H439)*H439)*(MAX('Min rate concentrations'!$P$3:$P$368)))/F439&gt;0, (((0.326*F439^0.818)-(0.398*F439^0.85)/(1-H439)*H439)*(MAX('Min rate concentrations'!$P$3:$P$368)))/F439, 0)</f>
        <v>0</v>
      </c>
      <c r="N439" s="60">
        <f>IF((((0.326*F439^0.818)-(0.398*F439^0.85)/(1-H439)*H439)*(MAX('Min rate concentrations'!$Q$3:$Q$368)))/F439&gt; 0, (((0.326*F439^0.818)-(0.398*F439^0.85)/(1-H439)*H439)*(MAX('Min rate concentrations'!$Q$3:$Q$368)))/F439, 0)</f>
        <v>0</v>
      </c>
      <c r="O439" s="60">
        <f>((MAX('Min rate concentrations'!$F$3:$F$368))*0.62*6.01*8*(12.3*F439^0.65)*0.079*0.1/F439)*inputs!$E$73/inputs!$E$74</f>
        <v>1.4708872494091523</v>
      </c>
      <c r="P439" s="60">
        <f>((MAX('Min rate concentrations'!Y:Y))*0.62*6.01*8*(12.3*F439^0.65)*0.079*0.1/F439)*inputs!$E$73/inputs!$E$74</f>
        <v>0.49029574980305074</v>
      </c>
      <c r="Q439" s="60">
        <f>(inputs!$C$7*11.2*(12.3*F439^0.65)*0.5/F439)*inputs!$E$73/inputs!$E$74</f>
        <v>0.25908985142885316</v>
      </c>
      <c r="R439" s="60">
        <f>(60*379*((F439/1000)^0.8)*3*24*(MAX('Min rate concentrations'!$R$3:$R$368))/F439)*(inputs!$E$73/inputs!$E$75)</f>
        <v>1.0355779737304097E-3</v>
      </c>
      <c r="S439" s="60">
        <f>(IF(inputs!$C$6="aerial",((0.025*0.112*inputs!$C$7/3.3)*(3*60*379*((F439/1000)^0.8))*MAX(inputs!$H$14:$H$16))/F439,((0.0083*0.112*inputs!$C$7/1)*(3*60*379*((F439/1000)^0.8))*MAX(inputs!$H$14:$H$16))/F439))*(inputs!E$75/inputs!$E$73)</f>
        <v>5.7112761492829813E-3</v>
      </c>
      <c r="T439" s="63">
        <f>IF((((inputs!$P$12/(V439/MAX(K439:S439)))^(1/inputs!$O$12))-1)/inputs!$N$12&lt;0, 0, IF((((inputs!$P$12/(V439/MAX(K439:S439)))^(1/inputs!$O$12))-1)/inputs!$N$12&gt;inputs!$H$17, inputs!$H$17, (((inputs!$P$12/(V439/MAX(K439:S439)))^(1/inputs!$O$12))-1)/inputs!$N$12))</f>
        <v>38.592176491323677</v>
      </c>
      <c r="U439" s="63">
        <f>IF((((inputs!$P$12/(X439/MAX(K439:S439)))^(1/inputs!$O$12))-1)/inputs!$N$12&lt;0, 0, IF((((inputs!$P$12/(X439/MAX(K439:S439)))^(1/inputs!$O$12))-1)/inputs!$N$12&gt;inputs!$H$17, inputs!$H$17, (((inputs!$P$12/(X439/MAX(K439:S439)))^(1/inputs!$O$12))-1)/inputs!$N$12))</f>
        <v>0</v>
      </c>
      <c r="V439" s="54">
        <f>inputs!$E$70*(inputs!$F$70/F439)^(0.25)</f>
        <v>0.43635618827415074</v>
      </c>
      <c r="W439" s="54">
        <f>inputs!$E$76*(inputs!$F$76/F439)^(0.25)</f>
        <v>0.13124771128141996</v>
      </c>
      <c r="X439" s="54">
        <f>inputs!$E$72*(inputs!$F$72/F439)^(0.25)</f>
        <v>19.251008306212533</v>
      </c>
      <c r="Y439" s="54" t="s">
        <v>13</v>
      </c>
      <c r="Z439" s="106">
        <f t="shared" si="48"/>
        <v>17.238849374028383</v>
      </c>
      <c r="AA439" s="106">
        <f t="shared" si="49"/>
        <v>57.313598306899721</v>
      </c>
    </row>
    <row r="440" spans="1:27" x14ac:dyDescent="0.25">
      <c r="A440" s="55" t="s">
        <v>452</v>
      </c>
      <c r="B440" s="49" t="s">
        <v>458</v>
      </c>
      <c r="C440" s="21" t="s">
        <v>61</v>
      </c>
      <c r="D440" s="20" t="s">
        <v>454</v>
      </c>
      <c r="E440" s="20">
        <v>10010</v>
      </c>
      <c r="F440" s="21">
        <v>17700</v>
      </c>
      <c r="G440" s="21" t="s">
        <v>186</v>
      </c>
      <c r="H440" s="21">
        <v>0.75</v>
      </c>
      <c r="I440" s="48">
        <f>inputs!$C$65*inputs!$C$64/1000</f>
        <v>2.13</v>
      </c>
      <c r="J440" s="48">
        <f>inputs!$C$65*inputs!$C$63/1000</f>
        <v>0.88</v>
      </c>
      <c r="K440" s="60">
        <f t="shared" si="57"/>
        <v>0.35104938426519461</v>
      </c>
      <c r="L440" s="60">
        <f>(((0.235*F440^0.822)/(1-H440)))*J440/F440</f>
        <v>0.14503448739594896</v>
      </c>
      <c r="M440" s="60">
        <f>IF((((0.326*F440^0.818)-(0.398*F440^0.85)/(1-H440)*H440)*(MAX('Min rate concentrations'!$P$3:$P$368)))/F440&gt;0, (((0.326*F440^0.818)-(0.398*F440^0.85)/(1-H440)*H440)*(MAX('Min rate concentrations'!$P$3:$P$368)))/F440, 0)</f>
        <v>0</v>
      </c>
      <c r="N440" s="60">
        <f>IF((((0.326*F440^0.818)-(0.398*F440^0.85)/(1-H440)*H440)*(MAX('Min rate concentrations'!$Q$3:$Q$368)))/F440&gt; 0, (((0.326*F440^0.818)-(0.398*F440^0.85)/(1-H440)*H440)*(MAX('Min rate concentrations'!$Q$3:$Q$368)))/F440, 0)</f>
        <v>0</v>
      </c>
      <c r="O440" s="60">
        <f>((MAX('Min rate concentrations'!$F$3:$F$368))*0.62*6.01*8*(12.3*F440^0.65)*0.079*0.1/F440)*inputs!$E$73/inputs!$E$74</f>
        <v>1.4708872494091523</v>
      </c>
      <c r="P440" s="60">
        <f>((MAX('Min rate concentrations'!Y:Y))*0.62*6.01*8*(12.3*F440^0.65)*0.079*0.1/F440)*inputs!$E$73/inputs!$E$74</f>
        <v>0.49029574980305074</v>
      </c>
      <c r="Q440" s="60">
        <f>(inputs!$C$7*11.2*(12.3*F440^0.65)*0.5/F440)*inputs!$E$73/inputs!$E$74</f>
        <v>0.25908985142885316</v>
      </c>
      <c r="R440" s="60">
        <f>(60*379*((F440/1000)^0.8)*3*24*(MAX('Min rate concentrations'!$R$3:$R$368))/F440)*(inputs!$E$73/inputs!$E$75)</f>
        <v>1.0355779737304097E-3</v>
      </c>
      <c r="S440" s="60">
        <f>(IF(inputs!$C$6="aerial",((0.025*0.112*inputs!$C$7/3.3)*(3*60*379*((F440/1000)^0.8))*MAX(inputs!$H$14:$H$16))/F440,((0.0083*0.112*inputs!$C$7/1)*(3*60*379*((F440/1000)^0.8))*MAX(inputs!$H$14:$H$16))/F440))*(inputs!E$75/inputs!$E$73)</f>
        <v>5.7112761492829813E-3</v>
      </c>
      <c r="T440" s="63">
        <f>IF((((inputs!$P$12/(V440/MAX(K440:S440)))^(1/inputs!$O$12))-1)/inputs!$N$12&lt;0, 0, IF((((inputs!$P$12/(V440/MAX(K440:S440)))^(1/inputs!$O$12))-1)/inputs!$N$12&gt;inputs!$H$17, inputs!$H$17, (((inputs!$P$12/(V440/MAX(K440:S440)))^(1/inputs!$O$12))-1)/inputs!$N$12))</f>
        <v>6.0502128395229882</v>
      </c>
      <c r="U440" s="63">
        <f>IF((((inputs!$P$12/(X440/MAX(K440:S440)))^(1/inputs!$O$12))-1)/inputs!$N$12&lt;0, 0, IF((((inputs!$P$12/(X440/MAX(K440:S440)))^(1/inputs!$O$12))-1)/inputs!$N$12&gt;inputs!$H$17, inputs!$H$17, (((inputs!$P$12/(X440/MAX(K440:S440)))^(1/inputs!$O$12))-1)/inputs!$N$12))</f>
        <v>0</v>
      </c>
      <c r="V440" s="54">
        <f>inputs!$E$70*(inputs!$F$70/F440)^(0.25)</f>
        <v>0.43635618827415074</v>
      </c>
      <c r="W440" s="54">
        <f>inputs!$E$76*(inputs!$F$76/F440)^(0.25)</f>
        <v>0.13124771128141996</v>
      </c>
      <c r="X440" s="54">
        <f>inputs!$E$72*(inputs!$F$72/F440)^(0.25)</f>
        <v>19.251008306212533</v>
      </c>
      <c r="Y440" s="54" t="s">
        <v>13</v>
      </c>
      <c r="Z440" s="106">
        <f t="shared" si="48"/>
        <v>3.3708408152218841</v>
      </c>
      <c r="AA440" s="106">
        <f t="shared" si="49"/>
        <v>11.206955420771424</v>
      </c>
    </row>
    <row r="441" spans="1:27" x14ac:dyDescent="0.25">
      <c r="A441" s="55" t="s">
        <v>452</v>
      </c>
      <c r="B441" s="49" t="s">
        <v>458</v>
      </c>
      <c r="C441" s="21" t="s">
        <v>61</v>
      </c>
      <c r="D441" s="20" t="s">
        <v>454</v>
      </c>
      <c r="E441" s="20">
        <v>10010</v>
      </c>
      <c r="F441" s="21">
        <v>17700</v>
      </c>
      <c r="G441" s="21" t="s">
        <v>152</v>
      </c>
      <c r="H441" s="21">
        <v>0.77</v>
      </c>
      <c r="I441" s="48">
        <f>MAX('Min rate concentrations'!$G$3:$G$368)</f>
        <v>7.5</v>
      </c>
      <c r="J441" s="48">
        <f>MAX('Min rate concentrations'!Z:Z)</f>
        <v>3.5</v>
      </c>
      <c r="K441" s="60">
        <f t="shared" si="57"/>
        <v>1.3435754143646459</v>
      </c>
      <c r="L441" s="60">
        <f>(((0.235*F441^0.822)/(1-H441)))*J441/F441</f>
        <v>0.62700186003683478</v>
      </c>
      <c r="M441" s="60">
        <f>IF((((0.326*F441^0.818)-(0.398*F441^0.85)/(1-H441)*H441)*(MAX('Min rate concentrations'!$P$3:$P$368)))/F441&gt;0, (((0.326*F441^0.818)-(0.398*F441^0.85)/(1-H441)*H441)*(MAX('Min rate concentrations'!$P$3:$P$368)))/F441, 0)</f>
        <v>0</v>
      </c>
      <c r="N441" s="60">
        <f>IF((((0.326*F441^0.818)-(0.398*F441^0.85)/(1-H441)*H441)*(MAX('Min rate concentrations'!$Q$3:$Q$368)))/F441&gt; 0, (((0.326*F441^0.818)-(0.398*F441^0.85)/(1-H441)*H441)*(MAX('Min rate concentrations'!$Q$3:$Q$368)))/F441, 0)</f>
        <v>0</v>
      </c>
      <c r="O441" s="60">
        <f>((MAX('Min rate concentrations'!$F$3:$F$368))*0.62*6.01*8*(12.3*F441^0.65)*0.079*0.1/F441)*inputs!$E$73/inputs!$E$74</f>
        <v>1.4708872494091523</v>
      </c>
      <c r="P441" s="60">
        <f>((MAX('Min rate concentrations'!Y:Y))*0.62*6.01*8*(12.3*F441^0.65)*0.079*0.1/F441)*inputs!$E$73/inputs!$E$74</f>
        <v>0.49029574980305074</v>
      </c>
      <c r="Q441" s="60">
        <f>(inputs!$C$7*11.2*(12.3*F441^0.65)*0.5/F441)*inputs!$E$73/inputs!$E$74</f>
        <v>0.25908985142885316</v>
      </c>
      <c r="R441" s="60">
        <f>(60*379*((F441/1000)^0.8)*3*24*(MAX('Min rate concentrations'!$R$3:$R$368))/F441)*(inputs!$E$73/inputs!$E$75)</f>
        <v>1.0355779737304097E-3</v>
      </c>
      <c r="S441" s="60">
        <f>(IF(inputs!$C$6="aerial",((0.025*0.112*inputs!$C$7/3.3)*(3*60*379*((F441/1000)^0.8))*MAX(inputs!$H$14:$H$16))/F441,((0.0083*0.112*inputs!$C$7/1)*(3*60*379*((F441/1000)^0.8))*MAX(inputs!$H$14:$H$16))/F441))*(inputs!E$75/inputs!$E$73)</f>
        <v>5.7112761492829813E-3</v>
      </c>
      <c r="T441" s="63">
        <f>IF((((inputs!$P$12/(V441/MAX(K441:S441)))^(1/inputs!$O$12))-1)/inputs!$N$12&lt;0, 0, IF((((inputs!$P$12/(V441/MAX(K441:S441)))^(1/inputs!$O$12))-1)/inputs!$N$12&gt;inputs!$H$17, inputs!$H$17, (((inputs!$P$12/(V441/MAX(K441:S441)))^(1/inputs!$O$12))-1)/inputs!$N$12))</f>
        <v>6.0502128395229882</v>
      </c>
      <c r="U441" s="63">
        <f>IF((((inputs!$P$12/(X441/MAX(K441:S441)))^(1/inputs!$O$12))-1)/inputs!$N$12&lt;0, 0, IF((((inputs!$P$12/(X441/MAX(K441:S441)))^(1/inputs!$O$12))-1)/inputs!$N$12&gt;inputs!$H$17, inputs!$H$17, (((inputs!$P$12/(X441/MAX(K441:S441)))^(1/inputs!$O$12))-1)/inputs!$N$12))</f>
        <v>0</v>
      </c>
      <c r="V441" s="54">
        <f>inputs!$E$70*(inputs!$F$70/F441)^(0.25)</f>
        <v>0.43635618827415074</v>
      </c>
      <c r="W441" s="54">
        <f>inputs!$E$76*(inputs!$F$76/F441)^(0.25)</f>
        <v>0.13124771128141996</v>
      </c>
      <c r="X441" s="54">
        <f>inputs!$E$72*(inputs!$F$72/F441)^(0.25)</f>
        <v>19.251008306212533</v>
      </c>
      <c r="Y441" s="54" t="s">
        <v>13</v>
      </c>
      <c r="Z441" s="106">
        <f t="shared" si="48"/>
        <v>3.3708408152218841</v>
      </c>
      <c r="AA441" s="106">
        <f t="shared" si="49"/>
        <v>11.206955420771424</v>
      </c>
    </row>
    <row r="442" spans="1:27" x14ac:dyDescent="0.25">
      <c r="A442" s="55" t="s">
        <v>452</v>
      </c>
      <c r="B442" s="49" t="s">
        <v>458</v>
      </c>
      <c r="C442" s="21" t="s">
        <v>61</v>
      </c>
      <c r="D442" s="20" t="s">
        <v>454</v>
      </c>
      <c r="E442" s="20">
        <v>10010</v>
      </c>
      <c r="F442" s="21">
        <v>17700</v>
      </c>
      <c r="G442" s="21" t="s">
        <v>455</v>
      </c>
      <c r="H442" s="21">
        <v>0.68</v>
      </c>
      <c r="I442" s="21">
        <f>MAX('Min rate concentrations'!$K$3:$K$368)</f>
        <v>18.333393099490852</v>
      </c>
      <c r="J442" s="48">
        <f>MAX('Min rate concentrations'!AC:AC)</f>
        <v>6.4930767227363431</v>
      </c>
      <c r="K442" s="60">
        <f t="shared" si="57"/>
        <v>2.3605950554093429</v>
      </c>
      <c r="L442" s="60"/>
      <c r="M442" s="60">
        <f>IF((((0.326*F442^0.818)-(0.398*F442^0.85)/(1-H442)*H442)*(MAX('Min rate concentrations'!$P$3:$P$368)))/F442&gt;0, (((0.326*F442^0.818)-(0.398*F442^0.85)/(1-H442)*H442)*(MAX('Min rate concentrations'!$P$3:$P$368)))/F442, 0)</f>
        <v>0</v>
      </c>
      <c r="N442" s="60">
        <f>IF((((0.326*F442^0.818)-(0.398*F442^0.85)/(1-H442)*H442)*(MAX('Min rate concentrations'!$Q$3:$Q$368)))/F442&gt; 0, (((0.326*F442^0.818)-(0.398*F442^0.85)/(1-H442)*H442)*(MAX('Min rate concentrations'!$Q$3:$Q$368)))/F442, 0)</f>
        <v>0</v>
      </c>
      <c r="O442" s="60">
        <f>((MAX('Min rate concentrations'!$F$3:$F$368))*0.62*6.01*8*(12.3*F442^0.65)*0.079*0.1/F442)*inputs!$E$73/inputs!$E$74</f>
        <v>1.4708872494091523</v>
      </c>
      <c r="P442" s="60"/>
      <c r="Q442" s="60">
        <f>(inputs!$C$7*11.2*(12.3*F442^0.65)*0.5/F442)*inputs!$E$73/inputs!$E$74</f>
        <v>0.25908985142885316</v>
      </c>
      <c r="R442" s="60">
        <f>(60*379*((F442/1000)^0.8)*3*24*(MAX('Min rate concentrations'!$R$3:$R$368))/F442)*(inputs!$E$73/inputs!$E$75)</f>
        <v>1.0355779737304097E-3</v>
      </c>
      <c r="S442" s="60">
        <f>(IF(inputs!$C$6="aerial",((0.025*0.112*inputs!$C$7/3.3)*(3*60*379*((F442/1000)^0.8))*MAX(inputs!$H$14:$H$16))/F442,((0.0083*0.112*inputs!$C$7/1)*(3*60*379*((F442/1000)^0.8))*MAX(inputs!$H$14:$H$16))/F442))*(inputs!E$75/inputs!$E$73)</f>
        <v>5.7112761492829813E-3</v>
      </c>
      <c r="T442" s="63">
        <f>IF((((inputs!$P$12/(V442/MAX(K442:S442)))^(1/inputs!$O$12))-1)/inputs!$N$12&lt;0, 0, IF((((inputs!$P$12/(V442/MAX(K442:S442)))^(1/inputs!$O$12))-1)/inputs!$N$12&gt;inputs!$H$17, inputs!$H$17, (((inputs!$P$12/(V442/MAX(K442:S442)))^(1/inputs!$O$12))-1)/inputs!$N$12))</f>
        <v>13.378333966785631</v>
      </c>
      <c r="U442" s="63">
        <f>IF((((inputs!$P$12/(X442/MAX(K442:S442)))^(1/inputs!$O$12))-1)/inputs!$N$12&lt;0, 0, IF((((inputs!$P$12/(X442/MAX(K442:S442)))^(1/inputs!$O$12))-1)/inputs!$N$12&gt;inputs!$H$17, inputs!$H$17, (((inputs!$P$12/(X442/MAX(K442:S442)))^(1/inputs!$O$12))-1)/inputs!$N$12))</f>
        <v>0</v>
      </c>
      <c r="V442" s="54">
        <f>inputs!$E$70*(inputs!$F$70/F442)^(0.25)</f>
        <v>0.43635618827415074</v>
      </c>
      <c r="W442" s="54">
        <f>inputs!$E$76*(inputs!$F$76/F442)^(0.25)</f>
        <v>0.13124771128141996</v>
      </c>
      <c r="X442" s="54">
        <f>inputs!$E$72*(inputs!$F$72/F442)^(0.25)</f>
        <v>19.251008306212533</v>
      </c>
      <c r="Y442" s="54" t="s">
        <v>13</v>
      </c>
      <c r="Z442" s="106">
        <f t="shared" si="48"/>
        <v>5.4097893391768404</v>
      </c>
      <c r="AA442" s="106">
        <f t="shared" si="49"/>
        <v>17.98579977023584</v>
      </c>
    </row>
    <row r="443" spans="1:27" x14ac:dyDescent="0.25">
      <c r="A443" s="55" t="s">
        <v>452</v>
      </c>
      <c r="B443" s="49" t="s">
        <v>458</v>
      </c>
      <c r="C443" s="21" t="s">
        <v>61</v>
      </c>
      <c r="D443" s="20" t="s">
        <v>454</v>
      </c>
      <c r="E443" s="20">
        <v>10010</v>
      </c>
      <c r="F443" s="21">
        <v>17700</v>
      </c>
      <c r="G443" s="21" t="s">
        <v>456</v>
      </c>
      <c r="H443" s="21">
        <v>0.68</v>
      </c>
      <c r="I443" s="48">
        <f>MAX('Min rate concentrations'!$J$3:$J$368)</f>
        <v>114.4108103430513</v>
      </c>
      <c r="J443" s="48">
        <f>MAX('Min rate concentrations'!AB:AB)</f>
        <v>40.520495329830666</v>
      </c>
      <c r="K443" s="60">
        <f t="shared" si="57"/>
        <v>14.73145705846909</v>
      </c>
      <c r="L443" s="60">
        <f t="shared" ref="L443:L448" si="58">(((0.235*F443^0.822)/(1-H443)))*J443/F443</f>
        <v>5.217391041541136</v>
      </c>
      <c r="M443" s="60">
        <f>IF((((0.326*F443^0.818)-(0.398*F443^0.85)/(1-H443)*H443)*(MAX('Min rate concentrations'!$P$3:$P$368)))/F443&gt;0, (((0.326*F443^0.818)-(0.398*F443^0.85)/(1-H443)*H443)*(MAX('Min rate concentrations'!$P$3:$P$368)))/F443, 0)</f>
        <v>0</v>
      </c>
      <c r="N443" s="60">
        <f>IF((((0.326*F443^0.818)-(0.398*F443^0.85)/(1-H443)*H443)*(MAX('Min rate concentrations'!$Q$3:$Q$368)))/F443&gt; 0, (((0.326*F443^0.818)-(0.398*F443^0.85)/(1-H443)*H443)*(MAX('Min rate concentrations'!$Q$3:$Q$368)))/F443, 0)</f>
        <v>0</v>
      </c>
      <c r="O443" s="60">
        <f>((MAX('Min rate concentrations'!$F$3:$F$368))*0.62*6.01*8*(12.3*F443^0.65)*0.079*0.1/F443)*inputs!$E$73/inputs!$E$74</f>
        <v>1.4708872494091523</v>
      </c>
      <c r="P443" s="60">
        <f>((MAX('Min rate concentrations'!Y:Y))*0.62*6.01*8*(12.3*F443^0.65)*0.079*0.1/F443)*inputs!$E$73/inputs!$E$74</f>
        <v>0.49029574980305074</v>
      </c>
      <c r="Q443" s="60">
        <f>(inputs!$C$7*11.2*(12.3*F443^0.65)*0.5/F443)*inputs!$E$73/inputs!$E$74</f>
        <v>0.25908985142885316</v>
      </c>
      <c r="R443" s="60">
        <f>(60*379*((F443/1000)^0.8)*3*24*(MAX('Min rate concentrations'!$R$3:$R$368))/F443)*(inputs!$E$73/inputs!$E$75)</f>
        <v>1.0355779737304097E-3</v>
      </c>
      <c r="S443" s="60">
        <f>(IF(inputs!$C$6="aerial",((0.025*0.112*inputs!$C$7/3.3)*(3*60*379*((F443/1000)^0.8))*MAX(inputs!$H$14:$H$16))/F443,((0.0083*0.112*inputs!$C$7/1)*(3*60*379*((F443/1000)^0.8))*MAX(inputs!$H$14:$H$16))/F443))*(inputs!E$75/inputs!$E$73)</f>
        <v>5.7112761492829813E-3</v>
      </c>
      <c r="T443" s="63">
        <f>IF((((inputs!$P$12/(V443/MAX(K443:S443)))^(1/inputs!$O$12))-1)/inputs!$N$12&lt;0, 0, IF((((inputs!$P$12/(V443/MAX(K443:S443)))^(1/inputs!$O$12))-1)/inputs!$N$12&gt;inputs!$H$17, inputs!$H$17, (((inputs!$P$12/(V443/MAX(K443:S443)))^(1/inputs!$O$12))-1)/inputs!$N$12))</f>
        <v>59.682221754547498</v>
      </c>
      <c r="U443" s="63">
        <f>IF((((inputs!$P$12/(X443/MAX(K443:S443)))^(1/inputs!$O$12))-1)/inputs!$N$12&lt;0, 0, IF((((inputs!$P$12/(X443/MAX(K443:S443)))^(1/inputs!$O$12))-1)/inputs!$N$12&gt;inputs!$H$17, inputs!$H$17, (((inputs!$P$12/(X443/MAX(K443:S443)))^(1/inputs!$O$12))-1)/inputs!$N$12))</f>
        <v>0</v>
      </c>
      <c r="V443" s="54">
        <f>inputs!$E$70*(inputs!$F$70/F443)^(0.25)</f>
        <v>0.43635618827415074</v>
      </c>
      <c r="W443" s="54">
        <f>inputs!$E$76*(inputs!$F$76/F443)^(0.25)</f>
        <v>0.13124771128141996</v>
      </c>
      <c r="X443" s="54">
        <f>inputs!$E$72*(inputs!$F$72/F443)^(0.25)</f>
        <v>19.251008306212533</v>
      </c>
      <c r="Y443" s="54" t="s">
        <v>13</v>
      </c>
      <c r="Z443" s="106">
        <f t="shared" si="48"/>
        <v>33.760165329003463</v>
      </c>
      <c r="AA443" s="106">
        <f t="shared" si="49"/>
        <v>112.24163007979662</v>
      </c>
    </row>
    <row r="444" spans="1:27" ht="26.4" x14ac:dyDescent="0.25">
      <c r="A444" s="55" t="s">
        <v>604</v>
      </c>
      <c r="B444" s="49" t="s">
        <v>607</v>
      </c>
      <c r="C444" s="21" t="s">
        <v>61</v>
      </c>
      <c r="D444" s="20" t="s">
        <v>454</v>
      </c>
      <c r="E444" s="20">
        <v>7753</v>
      </c>
      <c r="F444" s="21">
        <v>113000</v>
      </c>
      <c r="G444" s="21" t="s">
        <v>142</v>
      </c>
      <c r="H444" s="21">
        <v>0.69</v>
      </c>
      <c r="I444" s="48">
        <f>MAX('Min rate concentrations'!$H$3:$H$368)</f>
        <v>47</v>
      </c>
      <c r="J444" s="48">
        <f>MAX('Min rate concentrations'!AA:AA)</f>
        <v>32.5</v>
      </c>
      <c r="K444" s="60">
        <f t="shared" si="57"/>
        <v>4.4911345203978366</v>
      </c>
      <c r="L444" s="60">
        <f t="shared" si="58"/>
        <v>3.1055717428282912</v>
      </c>
      <c r="M444" s="60">
        <f>IF((((0.326*F444^0.818)-(0.398*F444^0.85)/(1-H444)*H444)*(MAX('Min rate concentrations'!$P$3:$P$368)))/F444&gt;0, (((0.326*F444^0.818)-(0.398*F444^0.85)/(1-H444)*H444)*(MAX('Min rate concentrations'!$P$3:$P$368)))/F444, 0)</f>
        <v>0</v>
      </c>
      <c r="N444" s="60">
        <f>IF((((0.326*F444^0.818)-(0.398*F444^0.85)/(1-H444)*H444)*(MAX('Min rate concentrations'!$Q$3:$Q$368)))/F444&gt; 0, (((0.326*F444^0.818)-(0.398*F444^0.85)/(1-H444)*H444)*(MAX('Min rate concentrations'!$Q$3:$Q$368)))/F444, 0)</f>
        <v>0</v>
      </c>
      <c r="O444" s="60">
        <f>((MAX('Min rate concentrations'!$F$3:$F$368))*0.62*6.01*8*(12.3*F444^0.65)*0.079*0.1/F444)*inputs!$E$73/inputs!$E$74</f>
        <v>0.76876317410980122</v>
      </c>
      <c r="P444" s="60">
        <f>((MAX('Min rate concentrations'!Y:Y))*0.62*6.01*8*(12.3*F444^0.65)*0.079*0.1/F444)*inputs!$E$73/inputs!$E$74</f>
        <v>0.25625439136993378</v>
      </c>
      <c r="Q444" s="60">
        <f>(inputs!$C$7*11.2*(12.3*F444^0.65)*0.5/F444)*inputs!$E$73/inputs!$E$74</f>
        <v>0.13541400718790042</v>
      </c>
      <c r="R444" s="60">
        <f>(60*379*((F444/1000)^0.8)*3*24*(MAX('Min rate concentrations'!$R$3:$R$368))/F444)*(inputs!$E$73/inputs!$E$75)</f>
        <v>7.147625164772829E-4</v>
      </c>
      <c r="S444" s="60">
        <f>(IF(inputs!$C$6="aerial",((0.025*0.112*inputs!$C$7/3.3)*(3*60*379*((F444/1000)^0.8))*MAX(inputs!$H$14:$H$16))/F444,((0.0083*0.112*inputs!$C$7/1)*(3*60*379*((F444/1000)^0.8))*MAX(inputs!$H$14:$H$16))/F444))*(inputs!E$75/inputs!$E$73)</f>
        <v>3.9419591921727231E-3</v>
      </c>
      <c r="T444" s="63">
        <f>IF((((inputs!$P$12/(V444/MAX(K444:S444)))^(1/inputs!$O$12))-1)/inputs!$N$12&lt;0, 0, IF((((inputs!$P$12/(V444/MAX(K444:S444)))^(1/inputs!$O$12))-1)/inputs!$N$12&gt;inputs!$H$17, inputs!$H$17, (((inputs!$P$12/(V444/MAX(K444:S444)))^(1/inputs!$O$12))-1)/inputs!$N$12))</f>
        <v>37.180043902211338</v>
      </c>
      <c r="U444" s="63">
        <f>IF((((inputs!$P$12/(X444/MAX(K444:S444)))^(1/inputs!$O$12))-1)/inputs!$N$12&lt;0, 0, IF((((inputs!$P$12/(X444/MAX(K444:S444)))^(1/inputs!$O$12))-1)/inputs!$N$12&gt;inputs!$H$17, inputs!$H$17, (((inputs!$P$12/(X444/MAX(K444:S444)))^(1/inputs!$O$12))-1)/inputs!$N$12))</f>
        <v>0</v>
      </c>
      <c r="V444" s="54">
        <f>inputs!$E$70*(inputs!$F$70/F444)^(0.25)</f>
        <v>0.27451421938065973</v>
      </c>
      <c r="W444" s="54">
        <f>inputs!$E$76*(inputs!$F$76/F444)^(0.25)</f>
        <v>8.2568699553496286E-2</v>
      </c>
      <c r="X444" s="54">
        <f>inputs!$E$72*(inputs!$F$72/F444)^(0.25)</f>
        <v>12.110921443264401</v>
      </c>
      <c r="Y444" s="54" t="s">
        <v>13</v>
      </c>
      <c r="Z444" s="106">
        <f t="shared" si="48"/>
        <v>16.360298313618973</v>
      </c>
      <c r="AA444" s="106">
        <f t="shared" si="49"/>
        <v>54.392700196132182</v>
      </c>
    </row>
    <row r="445" spans="1:27" ht="26.4" x14ac:dyDescent="0.25">
      <c r="A445" s="55" t="s">
        <v>604</v>
      </c>
      <c r="B445" s="49" t="s">
        <v>607</v>
      </c>
      <c r="C445" s="21" t="s">
        <v>61</v>
      </c>
      <c r="D445" s="20" t="s">
        <v>454</v>
      </c>
      <c r="E445" s="20">
        <v>7753</v>
      </c>
      <c r="F445" s="21">
        <v>113000</v>
      </c>
      <c r="G445" s="21" t="s">
        <v>218</v>
      </c>
      <c r="H445" s="21">
        <v>0.68</v>
      </c>
      <c r="I445" s="48">
        <f>MAX('Min rate concentrations'!$K$3:$K$368)</f>
        <v>18.333393099490852</v>
      </c>
      <c r="J445" s="48">
        <f>MAX('Min rate concentrations'!AC:AC)</f>
        <v>6.4930767227363431</v>
      </c>
      <c r="K445" s="60">
        <f t="shared" si="57"/>
        <v>1.6971208599598093</v>
      </c>
      <c r="L445" s="60">
        <f t="shared" si="58"/>
        <v>0.60106363790243234</v>
      </c>
      <c r="M445" s="60">
        <f>IF((((0.326*F445^0.818)-(0.398*F445^0.85)/(1-H445)*H445)*(MAX('Min rate concentrations'!$P$3:$P$368)))/F445&gt;0, (((0.326*F445^0.818)-(0.398*F445^0.85)/(1-H445)*H445)*(MAX('Min rate concentrations'!$P$3:$P$368)))/F445, 0)</f>
        <v>0</v>
      </c>
      <c r="N445" s="60">
        <f>IF((((0.326*F445^0.818)-(0.398*F445^0.85)/(1-H445)*H445)*(MAX('Min rate concentrations'!$Q$3:$Q$368)))/F445&gt; 0, (((0.326*F445^0.818)-(0.398*F445^0.85)/(1-H445)*H445)*(MAX('Min rate concentrations'!$Q$3:$Q$368)))/F445, 0)</f>
        <v>0</v>
      </c>
      <c r="O445" s="60">
        <f>((MAX('Min rate concentrations'!$F$3:$F$368))*0.62*6.01*8*(12.3*F445^0.65)*0.079*0.1/F445)*inputs!$E$73/inputs!$E$74</f>
        <v>0.76876317410980122</v>
      </c>
      <c r="P445" s="60">
        <f>((MAX('Min rate concentrations'!Y:Y))*0.62*6.01*8*(12.3*F445^0.65)*0.079*0.1/F445)*inputs!$E$73/inputs!$E$74</f>
        <v>0.25625439136993378</v>
      </c>
      <c r="Q445" s="60">
        <f>(inputs!$C$7*11.2*(12.3*F445^0.65)*0.5/F445)*inputs!$E$73/inputs!$E$74</f>
        <v>0.13541400718790042</v>
      </c>
      <c r="R445" s="60">
        <f>(60*379*((F445/1000)^0.8)*3*24*(MAX('Min rate concentrations'!$R$3:$R$368))/F445)*(inputs!$E$73/inputs!$E$75)</f>
        <v>7.147625164772829E-4</v>
      </c>
      <c r="S445" s="60">
        <f>(IF(inputs!$C$6="aerial",((0.025*0.112*inputs!$C$7/3.3)*(3*60*379*((F445/1000)^0.8))*MAX(inputs!$H$14:$H$16))/F445,((0.0083*0.112*inputs!$C$7/1)*(3*60*379*((F445/1000)^0.8))*MAX(inputs!$H$14:$H$16))/F445))*(inputs!E$75/inputs!$E$73)</f>
        <v>3.9419591921727231E-3</v>
      </c>
      <c r="T445" s="63">
        <f>IF((((inputs!$P$12/(V445/MAX(K445:S445)))^(1/inputs!$O$12))-1)/inputs!$N$12&lt;0, 0, IF((((inputs!$P$12/(V445/MAX(K445:S445)))^(1/inputs!$O$12))-1)/inputs!$N$12&gt;inputs!$H$17, inputs!$H$17, (((inputs!$P$12/(V445/MAX(K445:S445)))^(1/inputs!$O$12))-1)/inputs!$N$12))</f>
        <v>15.714162560346823</v>
      </c>
      <c r="U445" s="63">
        <f>IF((((inputs!$P$12/(X445/MAX(K445:S445)))^(1/inputs!$O$12))-1)/inputs!$N$12&lt;0, 0, IF((((inputs!$P$12/(X445/MAX(K445:S445)))^(1/inputs!$O$12))-1)/inputs!$N$12&gt;inputs!$H$17, inputs!$H$17, (((inputs!$P$12/(X445/MAX(K445:S445)))^(1/inputs!$O$12))-1)/inputs!$N$12))</f>
        <v>0</v>
      </c>
      <c r="V445" s="54">
        <f>inputs!$E$70*(inputs!$F$70/F445)^(0.25)</f>
        <v>0.27451421938065973</v>
      </c>
      <c r="W445" s="54">
        <f>inputs!$E$76*(inputs!$F$76/F445)^(0.25)</f>
        <v>8.2568699553496286E-2</v>
      </c>
      <c r="X445" s="54">
        <f>inputs!$E$72*(inputs!$F$72/F445)^(0.25)</f>
        <v>12.110921443264401</v>
      </c>
      <c r="Y445" s="54" t="s">
        <v>13</v>
      </c>
      <c r="Z445" s="106">
        <f t="shared" si="48"/>
        <v>6.1822694058935737</v>
      </c>
      <c r="AA445" s="106">
        <f t="shared" si="49"/>
        <v>20.554046135366878</v>
      </c>
    </row>
    <row r="446" spans="1:27" ht="26.4" x14ac:dyDescent="0.25">
      <c r="A446" s="55" t="s">
        <v>604</v>
      </c>
      <c r="B446" s="49" t="s">
        <v>607</v>
      </c>
      <c r="C446" s="21" t="s">
        <v>61</v>
      </c>
      <c r="D446" s="20" t="s">
        <v>454</v>
      </c>
      <c r="E446" s="20">
        <v>7753</v>
      </c>
      <c r="F446" s="21">
        <v>113000</v>
      </c>
      <c r="G446" s="21" t="s">
        <v>186</v>
      </c>
      <c r="H446" s="21">
        <v>0.75</v>
      </c>
      <c r="I446" s="48">
        <f>inputs!$C$65*inputs!$C$64/1000</f>
        <v>2.13</v>
      </c>
      <c r="J446" s="48">
        <f>inputs!$C$65*inputs!$C$63/1000</f>
        <v>0.88</v>
      </c>
      <c r="K446" s="60">
        <f t="shared" si="57"/>
        <v>0.25238264883563333</v>
      </c>
      <c r="L446" s="60">
        <f t="shared" si="58"/>
        <v>0.1042707657161302</v>
      </c>
      <c r="M446" s="60">
        <f>IF((((0.326*F446^0.818)-(0.398*F446^0.85)/(1-H446)*H446)*(MAX('Min rate concentrations'!$P$3:$P$368)))/F446&gt;0, (((0.326*F446^0.818)-(0.398*F446^0.85)/(1-H446)*H446)*(MAX('Min rate concentrations'!$P$3:$P$368)))/F446, 0)</f>
        <v>0</v>
      </c>
      <c r="N446" s="60">
        <f>IF((((0.326*F446^0.818)-(0.398*F446^0.85)/(1-H446)*H446)*(MAX('Min rate concentrations'!$Q$3:$Q$368)))/F446&gt; 0, (((0.326*F446^0.818)-(0.398*F446^0.85)/(1-H446)*H446)*(MAX('Min rate concentrations'!$Q$3:$Q$368)))/F446, 0)</f>
        <v>0</v>
      </c>
      <c r="O446" s="60">
        <f>((MAX('Min rate concentrations'!$F$3:$F$368))*0.62*6.01*8*(12.3*F446^0.65)*0.079*0.1/F446)*inputs!$E$73/inputs!$E$74</f>
        <v>0.76876317410980122</v>
      </c>
      <c r="P446" s="60">
        <f>((MAX('Min rate concentrations'!Y:Y))*0.62*6.01*8*(12.3*F446^0.65)*0.079*0.1/F446)*inputs!$E$73/inputs!$E$74</f>
        <v>0.25625439136993378</v>
      </c>
      <c r="Q446" s="60">
        <f>(inputs!$C$7*11.2*(12.3*F446^0.65)*0.5/F446)*inputs!$E$73/inputs!$E$74</f>
        <v>0.13541400718790042</v>
      </c>
      <c r="R446" s="60">
        <f>(60*379*((F446/1000)^0.8)*3*24*(MAX('Min rate concentrations'!$R$3:$R$368))/F446)*(inputs!$E$73/inputs!$E$75)</f>
        <v>7.147625164772829E-4</v>
      </c>
      <c r="S446" s="60">
        <f>(IF(inputs!$C$6="aerial",((0.025*0.112*inputs!$C$7/3.3)*(3*60*379*((F446/1000)^0.8))*MAX(inputs!$H$14:$H$16))/F446,((0.0083*0.112*inputs!$C$7/1)*(3*60*379*((F446/1000)^0.8))*MAX(inputs!$H$14:$H$16))/F446))*(inputs!E$75/inputs!$E$73)</f>
        <v>3.9419591921727231E-3</v>
      </c>
      <c r="T446" s="63">
        <f>IF((((inputs!$P$12/(V446/MAX(K446:S446)))^(1/inputs!$O$12))-1)/inputs!$N$12&lt;0, 0, IF((((inputs!$P$12/(V446/MAX(K446:S446)))^(1/inputs!$O$12))-1)/inputs!$N$12&gt;inputs!$H$17, inputs!$H$17, (((inputs!$P$12/(V446/MAX(K446:S446)))^(1/inputs!$O$12))-1)/inputs!$N$12))</f>
        <v>3.5415896662969284</v>
      </c>
      <c r="U446" s="63">
        <f>IF((((inputs!$P$12/(X446/MAX(K446:S446)))^(1/inputs!$O$12))-1)/inputs!$N$12&lt;0, 0, IF((((inputs!$P$12/(X446/MAX(K446:S446)))^(1/inputs!$O$12))-1)/inputs!$N$12&gt;inputs!$H$17, inputs!$H$17, (((inputs!$P$12/(X446/MAX(K446:S446)))^(1/inputs!$O$12))-1)/inputs!$N$12))</f>
        <v>0</v>
      </c>
      <c r="V446" s="54">
        <f>inputs!$E$70*(inputs!$F$70/F446)^(0.25)</f>
        <v>0.27451421938065973</v>
      </c>
      <c r="W446" s="54">
        <f>inputs!$E$76*(inputs!$F$76/F446)^(0.25)</f>
        <v>8.2568699553496286E-2</v>
      </c>
      <c r="X446" s="54">
        <f>inputs!$E$72*(inputs!$F$72/F446)^(0.25)</f>
        <v>12.110921443264401</v>
      </c>
      <c r="Y446" s="54" t="s">
        <v>13</v>
      </c>
      <c r="Z446" s="106">
        <f t="shared" si="48"/>
        <v>2.8004493750605426</v>
      </c>
      <c r="AA446" s="106">
        <f t="shared" si="49"/>
        <v>9.3105883738876045</v>
      </c>
    </row>
    <row r="447" spans="1:27" ht="26.4" x14ac:dyDescent="0.25">
      <c r="A447" s="55" t="s">
        <v>604</v>
      </c>
      <c r="B447" s="49" t="s">
        <v>607</v>
      </c>
      <c r="C447" s="21" t="s">
        <v>61</v>
      </c>
      <c r="D447" s="20" t="s">
        <v>454</v>
      </c>
      <c r="E447" s="20">
        <v>7753</v>
      </c>
      <c r="F447" s="21">
        <v>113000</v>
      </c>
      <c r="G447" s="21" t="s">
        <v>152</v>
      </c>
      <c r="H447" s="21">
        <v>0.77</v>
      </c>
      <c r="I447" s="48">
        <f>MAX('Min rate concentrations'!$G$3:$G$368)</f>
        <v>7.5</v>
      </c>
      <c r="J447" s="48">
        <f>MAX('Min rate concentrations'!Z:Z)</f>
        <v>3.5</v>
      </c>
      <c r="K447" s="60">
        <f t="shared" si="57"/>
        <v>0.96594706382284656</v>
      </c>
      <c r="L447" s="60">
        <f t="shared" si="58"/>
        <v>0.45077529645066172</v>
      </c>
      <c r="M447" s="60">
        <f>IF((((0.326*F447^0.818)-(0.398*F447^0.85)/(1-H447)*H447)*(MAX('Min rate concentrations'!$P$3:$P$368)))/F447&gt;0, (((0.326*F447^0.818)-(0.398*F447^0.85)/(1-H447)*H447)*(MAX('Min rate concentrations'!$P$3:$P$368)))/F447, 0)</f>
        <v>0</v>
      </c>
      <c r="N447" s="60">
        <f>IF((((0.326*F447^0.818)-(0.398*F447^0.85)/(1-H447)*H447)*(MAX('Min rate concentrations'!$Q$3:$Q$368)))/F447&gt; 0, (((0.326*F447^0.818)-(0.398*F447^0.85)/(1-H447)*H447)*(MAX('Min rate concentrations'!$Q$3:$Q$368)))/F447, 0)</f>
        <v>0</v>
      </c>
      <c r="O447" s="60">
        <f>((MAX('Min rate concentrations'!$F$3:$F$368))*0.62*6.01*8*(12.3*F447^0.65)*0.079*0.1/F447)*inputs!$E$73/inputs!$E$74</f>
        <v>0.76876317410980122</v>
      </c>
      <c r="P447" s="60">
        <f>((MAX('Min rate concentrations'!Y:Y))*0.62*6.01*8*(12.3*F447^0.65)*0.079*0.1/F447)*inputs!$E$73/inputs!$E$74</f>
        <v>0.25625439136993378</v>
      </c>
      <c r="Q447" s="60">
        <f>(inputs!$C$7*11.2*(12.3*F447^0.65)*0.5/F447)*inputs!$E$73/inputs!$E$74</f>
        <v>0.13541400718790042</v>
      </c>
      <c r="R447" s="60">
        <f>(60*379*((F447/1000)^0.8)*3*24*(MAX('Min rate concentrations'!$R$3:$R$368))/F447)*(inputs!$E$73/inputs!$E$75)</f>
        <v>7.147625164772829E-4</v>
      </c>
      <c r="S447" s="60">
        <f>(IF(inputs!$C$6="aerial",((0.025*0.112*inputs!$C$7/3.3)*(3*60*379*((F447/1000)^0.8))*MAX(inputs!$H$14:$H$16))/F447,((0.0083*0.112*inputs!$C$7/1)*(3*60*379*((F447/1000)^0.8))*MAX(inputs!$H$14:$H$16))/F447))*(inputs!E$75/inputs!$E$73)</f>
        <v>3.9419591921727231E-3</v>
      </c>
      <c r="T447" s="63">
        <f>IF((((inputs!$P$12/(V447/MAX(K447:S447)))^(1/inputs!$O$12))-1)/inputs!$N$12&lt;0, 0, IF((((inputs!$P$12/(V447/MAX(K447:S447)))^(1/inputs!$O$12))-1)/inputs!$N$12&gt;inputs!$H$17, inputs!$H$17, (((inputs!$P$12/(V447/MAX(K447:S447)))^(1/inputs!$O$12))-1)/inputs!$N$12))</f>
        <v>6.65881841890491</v>
      </c>
      <c r="U447" s="63">
        <f>IF((((inputs!$P$12/(X447/MAX(K447:S447)))^(1/inputs!$O$12))-1)/inputs!$N$12&lt;0, 0, IF((((inputs!$P$12/(X447/MAX(K447:S447)))^(1/inputs!$O$12))-1)/inputs!$N$12&gt;inputs!$H$17, inputs!$H$17, (((inputs!$P$12/(X447/MAX(K447:S447)))^(1/inputs!$O$12))-1)/inputs!$N$12))</f>
        <v>0</v>
      </c>
      <c r="V447" s="54">
        <f>inputs!$E$70*(inputs!$F$70/F447)^(0.25)</f>
        <v>0.27451421938065973</v>
      </c>
      <c r="W447" s="54">
        <f>inputs!$E$76*(inputs!$F$76/F447)^(0.25)</f>
        <v>8.2568699553496286E-2</v>
      </c>
      <c r="X447" s="54">
        <f>inputs!$E$72*(inputs!$F$72/F447)^(0.25)</f>
        <v>12.110921443264401</v>
      </c>
      <c r="Y447" s="54" t="s">
        <v>13</v>
      </c>
      <c r="Z447" s="106">
        <f t="shared" si="48"/>
        <v>3.5187505623648585</v>
      </c>
      <c r="AA447" s="106">
        <f t="shared" si="49"/>
        <v>11.698707488992353</v>
      </c>
    </row>
    <row r="448" spans="1:27" ht="26.4" x14ac:dyDescent="0.25">
      <c r="A448" s="55" t="s">
        <v>604</v>
      </c>
      <c r="B448" s="49" t="s">
        <v>607</v>
      </c>
      <c r="C448" s="21" t="s">
        <v>61</v>
      </c>
      <c r="D448" s="20" t="s">
        <v>454</v>
      </c>
      <c r="E448" s="20">
        <v>7753</v>
      </c>
      <c r="F448" s="21">
        <v>113000</v>
      </c>
      <c r="G448" s="21" t="s">
        <v>169</v>
      </c>
      <c r="H448" s="21">
        <v>0.79</v>
      </c>
      <c r="I448" s="48">
        <f>MAX('Min rate concentrations'!$D$3:$D$368)</f>
        <v>120</v>
      </c>
      <c r="J448" s="48">
        <f>MAX('Min rate concentrations'!W:W)</f>
        <v>42.5</v>
      </c>
      <c r="K448" s="60">
        <f t="shared" si="57"/>
        <v>16.927072356514646</v>
      </c>
      <c r="L448" s="60">
        <f t="shared" si="58"/>
        <v>5.9950047929322707</v>
      </c>
      <c r="M448" s="60">
        <f>IF((((0.326*F448^0.818)-(0.398*F448^0.85)/(1-H448)*H448)*(MAX('Min rate concentrations'!$P$3:$P$368)))/F448&gt;0, (((0.326*F448^0.818)-(0.398*F448^0.85)/(1-H448)*H448)*(MAX('Min rate concentrations'!$P$3:$P$368)))/F448, 0)</f>
        <v>0</v>
      </c>
      <c r="N448" s="60">
        <f>IF((((0.326*F448^0.818)-(0.398*F448^0.85)/(1-H448)*H448)*(MAX('Min rate concentrations'!$Q$3:$Q$368)))/F448&gt; 0, (((0.326*F448^0.818)-(0.398*F448^0.85)/(1-H448)*H448)*(MAX('Min rate concentrations'!$Q$3:$Q$368)))/F448, 0)</f>
        <v>0</v>
      </c>
      <c r="O448" s="60">
        <f>((MAX('Min rate concentrations'!$F$3:$F$368))*0.62*6.01*8*(12.3*F448^0.65)*0.079*0.1/F448)*inputs!$E$73/inputs!$E$74</f>
        <v>0.76876317410980122</v>
      </c>
      <c r="P448" s="60">
        <f>((MAX('Min rate concentrations'!Y:Y))*0.62*6.01*8*(12.3*F448^0.65)*0.079*0.1/F448)*inputs!$E$73/inputs!$E$74</f>
        <v>0.25625439136993378</v>
      </c>
      <c r="Q448" s="60">
        <f>(inputs!$C$7*11.2*(12.3*F448^0.65)*0.5/F448)*inputs!$E$73/inputs!$E$74</f>
        <v>0.13541400718790042</v>
      </c>
      <c r="R448" s="60">
        <f>(60*379*((F448/1000)^0.8)*3*24*(MAX('Min rate concentrations'!$R$3:$R$368))/F448)*(inputs!$E$73/inputs!$E$75)</f>
        <v>7.147625164772829E-4</v>
      </c>
      <c r="S448" s="60">
        <f>(IF(inputs!$C$6="aerial",((0.025*0.112*inputs!$C$7/3.3)*(3*60*379*((F448/1000)^0.8))*MAX(inputs!$H$14:$H$16))/F448,((0.0083*0.112*inputs!$C$7/1)*(3*60*379*((F448/1000)^0.8))*MAX(inputs!$H$14:$H$16))/F448))*(inputs!E$75/inputs!$E$73)</f>
        <v>3.9419591921727231E-3</v>
      </c>
      <c r="T448" s="63">
        <f>IF((((inputs!$P$12/(V448/MAX(K448:S448)))^(1/inputs!$O$12))-1)/inputs!$N$12&lt;0, 0, IF((((inputs!$P$12/(V448/MAX(K448:S448)))^(1/inputs!$O$12))-1)/inputs!$N$12&gt;inputs!$H$17, inputs!$H$17, (((inputs!$P$12/(V448/MAX(K448:S448)))^(1/inputs!$O$12))-1)/inputs!$N$12))</f>
        <v>84.161996302004837</v>
      </c>
      <c r="U448" s="63">
        <f>IF((((inputs!$P$12/(X448/MAX(K448:S448)))^(1/inputs!$O$12))-1)/inputs!$N$12&lt;0, 0, IF((((inputs!$P$12/(X448/MAX(K448:S448)))^(1/inputs!$O$12))-1)/inputs!$N$12&gt;inputs!$H$17, inputs!$H$17, (((inputs!$P$12/(X448/MAX(K448:S448)))^(1/inputs!$O$12))-1)/inputs!$N$12))</f>
        <v>0</v>
      </c>
      <c r="V448" s="54">
        <f>inputs!$E$70*(inputs!$F$70/F448)^(0.25)</f>
        <v>0.27451421938065973</v>
      </c>
      <c r="W448" s="54">
        <f>inputs!$E$76*(inputs!$F$76/F448)^(0.25)</f>
        <v>8.2568699553496286E-2</v>
      </c>
      <c r="X448" s="54">
        <f>inputs!$E$72*(inputs!$F$72/F448)^(0.25)</f>
        <v>12.110921443264401</v>
      </c>
      <c r="Y448" s="54" t="s">
        <v>13</v>
      </c>
      <c r="Z448" s="106">
        <f t="shared" si="48"/>
        <v>61.661914616679432</v>
      </c>
      <c r="AA448" s="106">
        <f t="shared" si="49"/>
        <v>205.00592171186602</v>
      </c>
    </row>
    <row r="449" spans="1:27" ht="26.4" x14ac:dyDescent="0.25">
      <c r="A449" s="55" t="s">
        <v>604</v>
      </c>
      <c r="B449" s="49" t="s">
        <v>607</v>
      </c>
      <c r="C449" s="21" t="s">
        <v>61</v>
      </c>
      <c r="D449" s="20" t="s">
        <v>454</v>
      </c>
      <c r="E449" s="20">
        <v>7753</v>
      </c>
      <c r="F449" s="21">
        <v>113000</v>
      </c>
      <c r="G449" s="21" t="s">
        <v>580</v>
      </c>
      <c r="H449" s="21">
        <v>0.85</v>
      </c>
      <c r="I449" s="48">
        <f>MAX('Min rate concentrations'!$F$3:$F$368)</f>
        <v>67.5</v>
      </c>
      <c r="J449" s="48">
        <f>MAX('Min rate concentrations'!Y:Y)</f>
        <v>22.5</v>
      </c>
      <c r="K449" s="60">
        <f t="shared" si="57"/>
        <v>13.330069480755279</v>
      </c>
      <c r="L449" s="60"/>
      <c r="M449" s="60">
        <f>IF((((0.326*F449^0.818)-(0.398*F449^0.85)/(1-H449)*H449)*(MAX('Min rate concentrations'!$P$3:$P$368)))/F449&gt;0, (((0.326*F449^0.818)-(0.398*F449^0.85)/(1-H449)*H449)*(MAX('Min rate concentrations'!$P$3:$P$368)))/F449, 0)</f>
        <v>0</v>
      </c>
      <c r="N449" s="60">
        <f>IF((((0.326*F449^0.818)-(0.398*F449^0.85)/(1-H449)*H449)*(MAX('Min rate concentrations'!$Q$3:$Q$368)))/F449&gt; 0, (((0.326*F449^0.818)-(0.398*F449^0.85)/(1-H449)*H449)*(MAX('Min rate concentrations'!$Q$3:$Q$368)))/F449, 0)</f>
        <v>0</v>
      </c>
      <c r="O449" s="60">
        <f>((MAX('Min rate concentrations'!$F$3:$F$368))*0.62*6.01*8*(12.3*F449^0.65)*0.079*0.1/F449)*inputs!$E$73/inputs!$E$74</f>
        <v>0.76876317410980122</v>
      </c>
      <c r="P449" s="60"/>
      <c r="Q449" s="60">
        <f>(inputs!$C$7*11.2*(12.3*F449^0.65)*0.5/F449)*inputs!$E$73/inputs!$E$74</f>
        <v>0.13541400718790042</v>
      </c>
      <c r="R449" s="60">
        <f>(60*379*((F449/1000)^0.8)*3*24*(MAX('Min rate concentrations'!$R$3:$R$368))/F449)*(inputs!$E$73/inputs!$E$75)</f>
        <v>7.147625164772829E-4</v>
      </c>
      <c r="S449" s="60">
        <f>(IF(inputs!$C$6="aerial",((0.025*0.112*inputs!$C$7/3.3)*(3*60*379*((F449/1000)^0.8))*MAX(inputs!$H$14:$H$16))/F449,((0.0083*0.112*inputs!$C$7/1)*(3*60*379*((F449/1000)^0.8))*MAX(inputs!$H$14:$H$16))/F449))*(inputs!E$75/inputs!$E$73)</f>
        <v>3.9419591921727231E-3</v>
      </c>
      <c r="T449" s="63">
        <f>IF((((inputs!$P$12/(V449/MAX(K449:S449)))^(1/inputs!$O$12))-1)/inputs!$N$12&lt;0, 0, IF((((inputs!$P$12/(V449/MAX(K449:S449)))^(1/inputs!$O$12))-1)/inputs!$N$12&gt;inputs!$H$17, inputs!$H$17, (((inputs!$P$12/(V449/MAX(K449:S449)))^(1/inputs!$O$12))-1)/inputs!$N$12))</f>
        <v>73.731040543954563</v>
      </c>
      <c r="U449" s="63">
        <f>IF((((inputs!$P$12/(X449/MAX(K449:S449)))^(1/inputs!$O$12))-1)/inputs!$N$12&lt;0, 0, IF((((inputs!$P$12/(X449/MAX(K449:S449)))^(1/inputs!$O$12))-1)/inputs!$N$12&gt;inputs!$H$17, inputs!$H$17, (((inputs!$P$12/(X449/MAX(K449:S449)))^(1/inputs!$O$12))-1)/inputs!$N$12))</f>
        <v>0</v>
      </c>
      <c r="V449" s="54">
        <f>inputs!$E$70*(inputs!$F$70/F449)^(0.25)</f>
        <v>0.27451421938065973</v>
      </c>
      <c r="W449" s="54">
        <f>inputs!$E$76*(inputs!$F$76/F449)^(0.25)</f>
        <v>8.2568699553496286E-2</v>
      </c>
      <c r="X449" s="54">
        <f>inputs!$E$72*(inputs!$F$72/F449)^(0.25)</f>
        <v>12.110921443264401</v>
      </c>
      <c r="Y449" s="54" t="s">
        <v>13</v>
      </c>
      <c r="Z449" s="106">
        <f t="shared" si="48"/>
        <v>48.558757760635032</v>
      </c>
      <c r="AA449" s="106">
        <f t="shared" si="49"/>
        <v>161.44216334809443</v>
      </c>
    </row>
    <row r="450" spans="1:27" ht="26.4" x14ac:dyDescent="0.25">
      <c r="A450" s="55" t="s">
        <v>604</v>
      </c>
      <c r="B450" s="49" t="s">
        <v>607</v>
      </c>
      <c r="C450" s="21" t="s">
        <v>61</v>
      </c>
      <c r="D450" s="20" t="s">
        <v>454</v>
      </c>
      <c r="E450" s="20">
        <v>7753</v>
      </c>
      <c r="F450" s="21">
        <v>113000</v>
      </c>
      <c r="G450" s="21" t="s">
        <v>455</v>
      </c>
      <c r="H450" s="21">
        <v>0.68</v>
      </c>
      <c r="I450" s="21">
        <f>MAX('Min rate concentrations'!$K$3:$K$368)</f>
        <v>18.333393099490852</v>
      </c>
      <c r="J450" s="48">
        <f>MAX('Min rate concentrations'!AC:AC)</f>
        <v>6.4930767227363431</v>
      </c>
      <c r="K450" s="60">
        <f t="shared" si="57"/>
        <v>1.6971208599598093</v>
      </c>
      <c r="L450" s="60"/>
      <c r="M450" s="60">
        <f>IF((((0.326*F450^0.818)-(0.398*F450^0.85)/(1-H450)*H450)*(MAX('Min rate concentrations'!$P$3:$P$368)))/F450&gt;0, (((0.326*F450^0.818)-(0.398*F450^0.85)/(1-H450)*H450)*(MAX('Min rate concentrations'!$P$3:$P$368)))/F450, 0)</f>
        <v>0</v>
      </c>
      <c r="N450" s="60">
        <f>IF((((0.326*F450^0.818)-(0.398*F450^0.85)/(1-H450)*H450)*(MAX('Min rate concentrations'!$Q$3:$Q$368)))/F450&gt; 0, (((0.326*F450^0.818)-(0.398*F450^0.85)/(1-H450)*H450)*(MAX('Min rate concentrations'!$Q$3:$Q$368)))/F450, 0)</f>
        <v>0</v>
      </c>
      <c r="O450" s="60">
        <f>((MAX('Min rate concentrations'!$F$3:$F$368))*0.62*6.01*8*(12.3*F450^0.65)*0.079*0.1/F450)*inputs!$E$73/inputs!$E$74</f>
        <v>0.76876317410980122</v>
      </c>
      <c r="P450" s="60"/>
      <c r="Q450" s="60">
        <f>(inputs!$C$7*11.2*(12.3*F450^0.65)*0.5/F450)*inputs!$E$73/inputs!$E$74</f>
        <v>0.13541400718790042</v>
      </c>
      <c r="R450" s="60">
        <f>(60*379*((F450/1000)^0.8)*3*24*(MAX('Min rate concentrations'!$R$3:$R$368))/F450)*(inputs!$E$73/inputs!$E$75)</f>
        <v>7.147625164772829E-4</v>
      </c>
      <c r="S450" s="60">
        <f>(IF(inputs!$C$6="aerial",((0.025*0.112*inputs!$C$7/3.3)*(3*60*379*((F450/1000)^0.8))*MAX(inputs!$H$14:$H$16))/F450,((0.0083*0.112*inputs!$C$7/1)*(3*60*379*((F450/1000)^0.8))*MAX(inputs!$H$14:$H$16))/F450))*(inputs!E$75/inputs!$E$73)</f>
        <v>3.9419591921727231E-3</v>
      </c>
      <c r="T450" s="63">
        <f>IF((((inputs!$P$12/(V450/MAX(K450:S450)))^(1/inputs!$O$12))-1)/inputs!$N$12&lt;0, 0, IF((((inputs!$P$12/(V450/MAX(K450:S450)))^(1/inputs!$O$12))-1)/inputs!$N$12&gt;inputs!$H$17, inputs!$H$17, (((inputs!$P$12/(V450/MAX(K450:S450)))^(1/inputs!$O$12))-1)/inputs!$N$12))</f>
        <v>15.714162560346823</v>
      </c>
      <c r="U450" s="63">
        <f>IF((((inputs!$P$12/(X450/MAX(K450:S450)))^(1/inputs!$O$12))-1)/inputs!$N$12&lt;0, 0, IF((((inputs!$P$12/(X450/MAX(K450:S450)))^(1/inputs!$O$12))-1)/inputs!$N$12&gt;inputs!$H$17, inputs!$H$17, (((inputs!$P$12/(X450/MAX(K450:S450)))^(1/inputs!$O$12))-1)/inputs!$N$12))</f>
        <v>0</v>
      </c>
      <c r="V450" s="54">
        <f>inputs!$E$70*(inputs!$F$70/F450)^(0.25)</f>
        <v>0.27451421938065973</v>
      </c>
      <c r="W450" s="54">
        <f>inputs!$E$76*(inputs!$F$76/F450)^(0.25)</f>
        <v>8.2568699553496286E-2</v>
      </c>
      <c r="X450" s="54">
        <f>inputs!$E$72*(inputs!$F$72/F450)^(0.25)</f>
        <v>12.110921443264401</v>
      </c>
      <c r="Y450" s="54" t="s">
        <v>13</v>
      </c>
      <c r="Z450" s="106">
        <f t="shared" si="48"/>
        <v>6.1822694058935737</v>
      </c>
      <c r="AA450" s="106">
        <f t="shared" si="49"/>
        <v>20.554046135366878</v>
      </c>
    </row>
    <row r="451" spans="1:27" ht="26.4" x14ac:dyDescent="0.25">
      <c r="A451" s="55" t="s">
        <v>604</v>
      </c>
      <c r="B451" s="49" t="s">
        <v>607</v>
      </c>
      <c r="C451" s="21" t="s">
        <v>61</v>
      </c>
      <c r="D451" s="20" t="s">
        <v>454</v>
      </c>
      <c r="E451" s="20">
        <v>7753</v>
      </c>
      <c r="F451" s="21">
        <v>113000</v>
      </c>
      <c r="G451" s="21" t="s">
        <v>456</v>
      </c>
      <c r="H451" s="21">
        <v>0.68</v>
      </c>
      <c r="I451" s="48">
        <f>MAX('Min rate concentrations'!$J$3:$J$368)</f>
        <v>114.4108103430513</v>
      </c>
      <c r="J451" s="48">
        <f>MAX('Min rate concentrations'!AB:AB)</f>
        <v>40.520495329830666</v>
      </c>
      <c r="K451" s="60">
        <f t="shared" si="57"/>
        <v>10.591000355711033</v>
      </c>
      <c r="L451" s="60">
        <f t="shared" ref="L451:L456" si="59">(((0.235*F451^0.822)/(1-H451)))*J451/F451</f>
        <v>3.7509792926476582</v>
      </c>
      <c r="M451" s="60">
        <f>IF((((0.326*F451^0.818)-(0.398*F451^0.85)/(1-H451)*H451)*(MAX('Min rate concentrations'!$P$3:$P$368)))/F451&gt;0, (((0.326*F451^0.818)-(0.398*F451^0.85)/(1-H451)*H451)*(MAX('Min rate concentrations'!$P$3:$P$368)))/F451, 0)</f>
        <v>0</v>
      </c>
      <c r="N451" s="60">
        <f>IF((((0.326*F451^0.818)-(0.398*F451^0.85)/(1-H451)*H451)*(MAX('Min rate concentrations'!$Q$3:$Q$368)))/F451&gt; 0, (((0.326*F451^0.818)-(0.398*F451^0.85)/(1-H451)*H451)*(MAX('Min rate concentrations'!$Q$3:$Q$368)))/F451, 0)</f>
        <v>0</v>
      </c>
      <c r="O451" s="60">
        <f>((MAX('Min rate concentrations'!$F$3:$F$368))*0.62*6.01*8*(12.3*F451^0.65)*0.079*0.1/F451)*inputs!$E$73/inputs!$E$74</f>
        <v>0.76876317410980122</v>
      </c>
      <c r="P451" s="60">
        <f>((MAX('Min rate concentrations'!Y:Y))*0.62*6.01*8*(12.3*F451^0.65)*0.079*0.1/F451)*inputs!$E$73/inputs!$E$74</f>
        <v>0.25625439136993378</v>
      </c>
      <c r="Q451" s="60">
        <f>(inputs!$C$7*11.2*(12.3*F451^0.65)*0.5/F451)*inputs!$E$73/inputs!$E$74</f>
        <v>0.13541400718790042</v>
      </c>
      <c r="R451" s="60">
        <f>(60*379*((F451/1000)^0.8)*3*24*(MAX('Min rate concentrations'!$R$3:$R$368))/F451)*(inputs!$E$73/inputs!$E$75)</f>
        <v>7.147625164772829E-4</v>
      </c>
      <c r="S451" s="60">
        <f>(IF(inputs!$C$6="aerial",((0.025*0.112*inputs!$C$7/3.3)*(3*60*379*((F451/1000)^0.8))*MAX(inputs!$H$14:$H$16))/F451,((0.0083*0.112*inputs!$C$7/1)*(3*60*379*((F451/1000)^0.8))*MAX(inputs!$H$14:$H$16))/F451))*(inputs!E$75/inputs!$E$73)</f>
        <v>3.9419591921727231E-3</v>
      </c>
      <c r="T451" s="63">
        <f>IF((((inputs!$P$12/(V451/MAX(K451:S451)))^(1/inputs!$O$12))-1)/inputs!$N$12&lt;0, 0, IF((((inputs!$P$12/(V451/MAX(K451:S451)))^(1/inputs!$O$12))-1)/inputs!$N$12&gt;inputs!$H$17, inputs!$H$17, (((inputs!$P$12/(V451/MAX(K451:S451)))^(1/inputs!$O$12))-1)/inputs!$N$12))</f>
        <v>64.601336121448014</v>
      </c>
      <c r="U451" s="63">
        <f>IF((((inputs!$P$12/(X451/MAX(K451:S451)))^(1/inputs!$O$12))-1)/inputs!$N$12&lt;0, 0, IF((((inputs!$P$12/(X451/MAX(K451:S451)))^(1/inputs!$O$12))-1)/inputs!$N$12&gt;inputs!$H$17, inputs!$H$17, (((inputs!$P$12/(X451/MAX(K451:S451)))^(1/inputs!$O$12))-1)/inputs!$N$12))</f>
        <v>0</v>
      </c>
      <c r="V451" s="54">
        <f>inputs!$E$70*(inputs!$F$70/F451)^(0.25)</f>
        <v>0.27451421938065973</v>
      </c>
      <c r="W451" s="54">
        <f>inputs!$E$76*(inputs!$F$76/F451)^(0.25)</f>
        <v>8.2568699553496286E-2</v>
      </c>
      <c r="X451" s="54">
        <f>inputs!$E$72*(inputs!$F$72/F451)^(0.25)</f>
        <v>12.110921443264401</v>
      </c>
      <c r="Y451" s="54" t="s">
        <v>13</v>
      </c>
      <c r="Z451" s="106">
        <f t="shared" si="48"/>
        <v>38.58088072670963</v>
      </c>
      <c r="AA451" s="106">
        <f t="shared" si="49"/>
        <v>128.26894952910237</v>
      </c>
    </row>
    <row r="452" spans="1:27" x14ac:dyDescent="0.25">
      <c r="A452" s="55" t="s">
        <v>604</v>
      </c>
      <c r="B452" s="49" t="s">
        <v>608</v>
      </c>
      <c r="C452" s="21" t="s">
        <v>61</v>
      </c>
      <c r="D452" s="20" t="s">
        <v>454</v>
      </c>
      <c r="E452" s="20">
        <v>1302</v>
      </c>
      <c r="F452" s="21">
        <v>113000</v>
      </c>
      <c r="G452" s="21" t="s">
        <v>142</v>
      </c>
      <c r="H452" s="21">
        <v>0.69</v>
      </c>
      <c r="I452" s="48">
        <f>MAX('Min rate concentrations'!$H$3:$H$368)</f>
        <v>47</v>
      </c>
      <c r="J452" s="48">
        <f>MAX('Min rate concentrations'!AA:AA)</f>
        <v>32.5</v>
      </c>
      <c r="K452" s="60">
        <f t="shared" si="57"/>
        <v>4.4911345203978366</v>
      </c>
      <c r="L452" s="60">
        <f t="shared" si="59"/>
        <v>3.1055717428282912</v>
      </c>
      <c r="M452" s="60">
        <f>IF((((0.326*F452^0.818)-(0.398*F452^0.85)/(1-H452)*H452)*(MAX('Min rate concentrations'!$P$3:$P$368)))/F452&gt;0, (((0.326*F452^0.818)-(0.398*F452^0.85)/(1-H452)*H452)*(MAX('Min rate concentrations'!$P$3:$P$368)))/F452, 0)</f>
        <v>0</v>
      </c>
      <c r="N452" s="60">
        <f>IF((((0.326*F452^0.818)-(0.398*F452^0.85)/(1-H452)*H452)*(MAX('Min rate concentrations'!$Q$3:$Q$368)))/F452&gt; 0, (((0.326*F452^0.818)-(0.398*F452^0.85)/(1-H452)*H452)*(MAX('Min rate concentrations'!$Q$3:$Q$368)))/F452, 0)</f>
        <v>0</v>
      </c>
      <c r="O452" s="60">
        <f>((MAX('Min rate concentrations'!$F$3:$F$368))*0.62*6.01*8*(12.3*F452^0.65)*0.079*0.1/F452)*inputs!$E$73/inputs!$E$74</f>
        <v>0.76876317410980122</v>
      </c>
      <c r="P452" s="60">
        <f>((MAX('Min rate concentrations'!Y:Y))*0.62*6.01*8*(12.3*F452^0.65)*0.079*0.1/F452)*inputs!$E$73/inputs!$E$74</f>
        <v>0.25625439136993378</v>
      </c>
      <c r="Q452" s="60">
        <f>(inputs!$C$7*11.2*(12.3*F452^0.65)*0.5/F452)*inputs!$E$73/inputs!$E$74</f>
        <v>0.13541400718790042</v>
      </c>
      <c r="R452" s="60">
        <f>(60*379*((F452/1000)^0.8)*3*24*(MAX('Min rate concentrations'!$R$3:$R$368))/F452)*(inputs!$E$73/inputs!$E$75)</f>
        <v>7.147625164772829E-4</v>
      </c>
      <c r="S452" s="60">
        <f>(IF(inputs!$C$6="aerial",((0.025*0.112*inputs!$C$7/3.3)*(3*60*379*((F452/1000)^0.8))*MAX(inputs!$H$14:$H$16))/F452,((0.0083*0.112*inputs!$C$7/1)*(3*60*379*((F452/1000)^0.8))*MAX(inputs!$H$14:$H$16))/F452))*(inputs!E$75/inputs!$E$73)</f>
        <v>3.9419591921727231E-3</v>
      </c>
      <c r="T452" s="63">
        <f>IF((((inputs!$P$12/(V452/MAX(K452:S452)))^(1/inputs!$O$12))-1)/inputs!$N$12&lt;0, 0, IF((((inputs!$P$12/(V452/MAX(K452:S452)))^(1/inputs!$O$12))-1)/inputs!$N$12&gt;inputs!$H$17, inputs!$H$17, (((inputs!$P$12/(V452/MAX(K452:S452)))^(1/inputs!$O$12))-1)/inputs!$N$12))</f>
        <v>37.180043902211338</v>
      </c>
      <c r="U452" s="63">
        <f>IF((((inputs!$P$12/(X452/MAX(K452:S452)))^(1/inputs!$O$12))-1)/inputs!$N$12&lt;0, 0, IF((((inputs!$P$12/(X452/MAX(K452:S452)))^(1/inputs!$O$12))-1)/inputs!$N$12&gt;inputs!$H$17, inputs!$H$17, (((inputs!$P$12/(X452/MAX(K452:S452)))^(1/inputs!$O$12))-1)/inputs!$N$12))</f>
        <v>0</v>
      </c>
      <c r="V452" s="54">
        <f>inputs!$E$70*(inputs!$F$70/F452)^(0.25)</f>
        <v>0.27451421938065973</v>
      </c>
      <c r="W452" s="54">
        <f>inputs!$E$76*(inputs!$F$76/F452)^(0.25)</f>
        <v>8.2568699553496286E-2</v>
      </c>
      <c r="X452" s="54">
        <f>inputs!$E$72*(inputs!$F$72/F452)^(0.25)</f>
        <v>12.110921443264401</v>
      </c>
      <c r="Y452" s="54" t="s">
        <v>13</v>
      </c>
      <c r="Z452" s="106">
        <f t="shared" ref="Z452:Z515" si="60">MAX(K452:S452)/V452</f>
        <v>16.360298313618973</v>
      </c>
      <c r="AA452" s="106">
        <f t="shared" ref="AA452:AA515" si="61">MAX(K452:S452)/W452</f>
        <v>54.392700196132182</v>
      </c>
    </row>
    <row r="453" spans="1:27" x14ac:dyDescent="0.25">
      <c r="A453" s="55" t="s">
        <v>604</v>
      </c>
      <c r="B453" s="49" t="s">
        <v>608</v>
      </c>
      <c r="C453" s="21" t="s">
        <v>61</v>
      </c>
      <c r="D453" s="20" t="s">
        <v>454</v>
      </c>
      <c r="E453" s="20">
        <v>1302</v>
      </c>
      <c r="F453" s="21">
        <v>113000</v>
      </c>
      <c r="G453" s="21" t="s">
        <v>218</v>
      </c>
      <c r="H453" s="21">
        <v>0.68</v>
      </c>
      <c r="I453" s="48">
        <f>MAX('Min rate concentrations'!$K$3:$K$368)</f>
        <v>18.333393099490852</v>
      </c>
      <c r="J453" s="48">
        <f>MAX('Min rate concentrations'!AC:AC)</f>
        <v>6.4930767227363431</v>
      </c>
      <c r="K453" s="60">
        <f t="shared" si="57"/>
        <v>1.6971208599598093</v>
      </c>
      <c r="L453" s="60">
        <f t="shared" si="59"/>
        <v>0.60106363790243234</v>
      </c>
      <c r="M453" s="60">
        <f>IF((((0.326*F453^0.818)-(0.398*F453^0.85)/(1-H453)*H453)*(MAX('Min rate concentrations'!$P$3:$P$368)))/F453&gt;0, (((0.326*F453^0.818)-(0.398*F453^0.85)/(1-H453)*H453)*(MAX('Min rate concentrations'!$P$3:$P$368)))/F453, 0)</f>
        <v>0</v>
      </c>
      <c r="N453" s="60">
        <f>IF((((0.326*F453^0.818)-(0.398*F453^0.85)/(1-H453)*H453)*(MAX('Min rate concentrations'!$Q$3:$Q$368)))/F453&gt; 0, (((0.326*F453^0.818)-(0.398*F453^0.85)/(1-H453)*H453)*(MAX('Min rate concentrations'!$Q$3:$Q$368)))/F453, 0)</f>
        <v>0</v>
      </c>
      <c r="O453" s="60">
        <f>((MAX('Min rate concentrations'!$F$3:$F$368))*0.62*6.01*8*(12.3*F453^0.65)*0.079*0.1/F453)*inputs!$E$73/inputs!$E$74</f>
        <v>0.76876317410980122</v>
      </c>
      <c r="P453" s="60">
        <f>((MAX('Min rate concentrations'!Y:Y))*0.62*6.01*8*(12.3*F453^0.65)*0.079*0.1/F453)*inputs!$E$73/inputs!$E$74</f>
        <v>0.25625439136993378</v>
      </c>
      <c r="Q453" s="60">
        <f>(inputs!$C$7*11.2*(12.3*F453^0.65)*0.5/F453)*inputs!$E$73/inputs!$E$74</f>
        <v>0.13541400718790042</v>
      </c>
      <c r="R453" s="60">
        <f>(60*379*((F453/1000)^0.8)*3*24*(MAX('Min rate concentrations'!$R$3:$R$368))/F453)*(inputs!$E$73/inputs!$E$75)</f>
        <v>7.147625164772829E-4</v>
      </c>
      <c r="S453" s="60">
        <f>(IF(inputs!$C$6="aerial",((0.025*0.112*inputs!$C$7/3.3)*(3*60*379*((F453/1000)^0.8))*MAX(inputs!$H$14:$H$16))/F453,((0.0083*0.112*inputs!$C$7/1)*(3*60*379*((F453/1000)^0.8))*MAX(inputs!$H$14:$H$16))/F453))*(inputs!E$75/inputs!$E$73)</f>
        <v>3.9419591921727231E-3</v>
      </c>
      <c r="T453" s="63">
        <f>IF((((inputs!$P$12/(V453/MAX(K453:S453)))^(1/inputs!$O$12))-1)/inputs!$N$12&lt;0, 0, IF((((inputs!$P$12/(V453/MAX(K453:S453)))^(1/inputs!$O$12))-1)/inputs!$N$12&gt;inputs!$H$17, inputs!$H$17, (((inputs!$P$12/(V453/MAX(K453:S453)))^(1/inputs!$O$12))-1)/inputs!$N$12))</f>
        <v>15.714162560346823</v>
      </c>
      <c r="U453" s="63">
        <f>IF((((inputs!$P$12/(X453/MAX(K453:S453)))^(1/inputs!$O$12))-1)/inputs!$N$12&lt;0, 0, IF((((inputs!$P$12/(X453/MAX(K453:S453)))^(1/inputs!$O$12))-1)/inputs!$N$12&gt;inputs!$H$17, inputs!$H$17, (((inputs!$P$12/(X453/MAX(K453:S453)))^(1/inputs!$O$12))-1)/inputs!$N$12))</f>
        <v>0</v>
      </c>
      <c r="V453" s="54">
        <f>inputs!$E$70*(inputs!$F$70/F453)^(0.25)</f>
        <v>0.27451421938065973</v>
      </c>
      <c r="W453" s="54">
        <f>inputs!$E$76*(inputs!$F$76/F453)^(0.25)</f>
        <v>8.2568699553496286E-2</v>
      </c>
      <c r="X453" s="54">
        <f>inputs!$E$72*(inputs!$F$72/F453)^(0.25)</f>
        <v>12.110921443264401</v>
      </c>
      <c r="Y453" s="54" t="s">
        <v>13</v>
      </c>
      <c r="Z453" s="106">
        <f t="shared" si="60"/>
        <v>6.1822694058935737</v>
      </c>
      <c r="AA453" s="106">
        <f t="shared" si="61"/>
        <v>20.554046135366878</v>
      </c>
    </row>
    <row r="454" spans="1:27" x14ac:dyDescent="0.25">
      <c r="A454" s="55" t="s">
        <v>604</v>
      </c>
      <c r="B454" s="49" t="s">
        <v>608</v>
      </c>
      <c r="C454" s="21" t="s">
        <v>61</v>
      </c>
      <c r="D454" s="20" t="s">
        <v>454</v>
      </c>
      <c r="E454" s="20">
        <v>1302</v>
      </c>
      <c r="F454" s="21">
        <v>113000</v>
      </c>
      <c r="G454" s="21" t="s">
        <v>186</v>
      </c>
      <c r="H454" s="21">
        <v>0.75</v>
      </c>
      <c r="I454" s="48">
        <f>inputs!$C$65*inputs!$C$64/1000</f>
        <v>2.13</v>
      </c>
      <c r="J454" s="48">
        <f>inputs!$C$65*inputs!$C$63/1000</f>
        <v>0.88</v>
      </c>
      <c r="K454" s="60">
        <f t="shared" si="57"/>
        <v>0.25238264883563333</v>
      </c>
      <c r="L454" s="60">
        <f t="shared" si="59"/>
        <v>0.1042707657161302</v>
      </c>
      <c r="M454" s="60">
        <f>IF((((0.326*F454^0.818)-(0.398*F454^0.85)/(1-H454)*H454)*(MAX('Min rate concentrations'!$P$3:$P$368)))/F454&gt;0, (((0.326*F454^0.818)-(0.398*F454^0.85)/(1-H454)*H454)*(MAX('Min rate concentrations'!$P$3:$P$368)))/F454, 0)</f>
        <v>0</v>
      </c>
      <c r="N454" s="60">
        <f>IF((((0.326*F454^0.818)-(0.398*F454^0.85)/(1-H454)*H454)*(MAX('Min rate concentrations'!$Q$3:$Q$368)))/F454&gt; 0, (((0.326*F454^0.818)-(0.398*F454^0.85)/(1-H454)*H454)*(MAX('Min rate concentrations'!$Q$3:$Q$368)))/F454, 0)</f>
        <v>0</v>
      </c>
      <c r="O454" s="60">
        <f>((MAX('Min rate concentrations'!$F$3:$F$368))*0.62*6.01*8*(12.3*F454^0.65)*0.079*0.1/F454)*inputs!$E$73/inputs!$E$74</f>
        <v>0.76876317410980122</v>
      </c>
      <c r="P454" s="60">
        <f>((MAX('Min rate concentrations'!Y:Y))*0.62*6.01*8*(12.3*F454^0.65)*0.079*0.1/F454)*inputs!$E$73/inputs!$E$74</f>
        <v>0.25625439136993378</v>
      </c>
      <c r="Q454" s="60">
        <f>(inputs!$C$7*11.2*(12.3*F454^0.65)*0.5/F454)*inputs!$E$73/inputs!$E$74</f>
        <v>0.13541400718790042</v>
      </c>
      <c r="R454" s="60">
        <f>(60*379*((F454/1000)^0.8)*3*24*(MAX('Min rate concentrations'!$R$3:$R$368))/F454)*(inputs!$E$73/inputs!$E$75)</f>
        <v>7.147625164772829E-4</v>
      </c>
      <c r="S454" s="60">
        <f>(IF(inputs!$C$6="aerial",((0.025*0.112*inputs!$C$7/3.3)*(3*60*379*((F454/1000)^0.8))*MAX(inputs!$H$14:$H$16))/F454,((0.0083*0.112*inputs!$C$7/1)*(3*60*379*((F454/1000)^0.8))*MAX(inputs!$H$14:$H$16))/F454))*(inputs!E$75/inputs!$E$73)</f>
        <v>3.9419591921727231E-3</v>
      </c>
      <c r="T454" s="63">
        <f>IF((((inputs!$P$12/(V454/MAX(K454:S454)))^(1/inputs!$O$12))-1)/inputs!$N$12&lt;0, 0, IF((((inputs!$P$12/(V454/MAX(K454:S454)))^(1/inputs!$O$12))-1)/inputs!$N$12&gt;inputs!$H$17, inputs!$H$17, (((inputs!$P$12/(V454/MAX(K454:S454)))^(1/inputs!$O$12))-1)/inputs!$N$12))</f>
        <v>3.5415896662969284</v>
      </c>
      <c r="U454" s="63">
        <f>IF((((inputs!$P$12/(X454/MAX(K454:S454)))^(1/inputs!$O$12))-1)/inputs!$N$12&lt;0, 0, IF((((inputs!$P$12/(X454/MAX(K454:S454)))^(1/inputs!$O$12))-1)/inputs!$N$12&gt;inputs!$H$17, inputs!$H$17, (((inputs!$P$12/(X454/MAX(K454:S454)))^(1/inputs!$O$12))-1)/inputs!$N$12))</f>
        <v>0</v>
      </c>
      <c r="V454" s="54">
        <f>inputs!$E$70*(inputs!$F$70/F454)^(0.25)</f>
        <v>0.27451421938065973</v>
      </c>
      <c r="W454" s="54">
        <f>inputs!$E$76*(inputs!$F$76/F454)^(0.25)</f>
        <v>8.2568699553496286E-2</v>
      </c>
      <c r="X454" s="54">
        <f>inputs!$E$72*(inputs!$F$72/F454)^(0.25)</f>
        <v>12.110921443264401</v>
      </c>
      <c r="Y454" s="54" t="s">
        <v>13</v>
      </c>
      <c r="Z454" s="106">
        <f t="shared" si="60"/>
        <v>2.8004493750605426</v>
      </c>
      <c r="AA454" s="106">
        <f t="shared" si="61"/>
        <v>9.3105883738876045</v>
      </c>
    </row>
    <row r="455" spans="1:27" x14ac:dyDescent="0.25">
      <c r="A455" s="55" t="s">
        <v>604</v>
      </c>
      <c r="B455" s="49" t="s">
        <v>608</v>
      </c>
      <c r="C455" s="21" t="s">
        <v>61</v>
      </c>
      <c r="D455" s="20" t="s">
        <v>454</v>
      </c>
      <c r="E455" s="20">
        <v>1302</v>
      </c>
      <c r="F455" s="21">
        <v>113000</v>
      </c>
      <c r="G455" s="21" t="s">
        <v>152</v>
      </c>
      <c r="H455" s="21">
        <v>0.77</v>
      </c>
      <c r="I455" s="48">
        <f>MAX('Min rate concentrations'!$G$3:$G$368)</f>
        <v>7.5</v>
      </c>
      <c r="J455" s="48">
        <f>MAX('Min rate concentrations'!Z:Z)</f>
        <v>3.5</v>
      </c>
      <c r="K455" s="60">
        <f t="shared" si="57"/>
        <v>0.96594706382284656</v>
      </c>
      <c r="L455" s="60">
        <f t="shared" si="59"/>
        <v>0.45077529645066172</v>
      </c>
      <c r="M455" s="60">
        <f>IF((((0.326*F455^0.818)-(0.398*F455^0.85)/(1-H455)*H455)*(MAX('Min rate concentrations'!$P$3:$P$368)))/F455&gt;0, (((0.326*F455^0.818)-(0.398*F455^0.85)/(1-H455)*H455)*(MAX('Min rate concentrations'!$P$3:$P$368)))/F455, 0)</f>
        <v>0</v>
      </c>
      <c r="N455" s="60">
        <f>IF((((0.326*F455^0.818)-(0.398*F455^0.85)/(1-H455)*H455)*(MAX('Min rate concentrations'!$Q$3:$Q$368)))/F455&gt; 0, (((0.326*F455^0.818)-(0.398*F455^0.85)/(1-H455)*H455)*(MAX('Min rate concentrations'!$Q$3:$Q$368)))/F455, 0)</f>
        <v>0</v>
      </c>
      <c r="O455" s="60">
        <f>((MAX('Min rate concentrations'!$F$3:$F$368))*0.62*6.01*8*(12.3*F455^0.65)*0.079*0.1/F455)*inputs!$E$73/inputs!$E$74</f>
        <v>0.76876317410980122</v>
      </c>
      <c r="P455" s="60">
        <f>((MAX('Min rate concentrations'!Y:Y))*0.62*6.01*8*(12.3*F455^0.65)*0.079*0.1/F455)*inputs!$E$73/inputs!$E$74</f>
        <v>0.25625439136993378</v>
      </c>
      <c r="Q455" s="60">
        <f>(inputs!$C$7*11.2*(12.3*F455^0.65)*0.5/F455)*inputs!$E$73/inputs!$E$74</f>
        <v>0.13541400718790042</v>
      </c>
      <c r="R455" s="60">
        <f>(60*379*((F455/1000)^0.8)*3*24*(MAX('Min rate concentrations'!$R$3:$R$368))/F455)*(inputs!$E$73/inputs!$E$75)</f>
        <v>7.147625164772829E-4</v>
      </c>
      <c r="S455" s="60">
        <f>(IF(inputs!$C$6="aerial",((0.025*0.112*inputs!$C$7/3.3)*(3*60*379*((F455/1000)^0.8))*MAX(inputs!$H$14:$H$16))/F455,((0.0083*0.112*inputs!$C$7/1)*(3*60*379*((F455/1000)^0.8))*MAX(inputs!$H$14:$H$16))/F455))*(inputs!E$75/inputs!$E$73)</f>
        <v>3.9419591921727231E-3</v>
      </c>
      <c r="T455" s="63">
        <f>IF((((inputs!$P$12/(V455/MAX(K455:S455)))^(1/inputs!$O$12))-1)/inputs!$N$12&lt;0, 0, IF((((inputs!$P$12/(V455/MAX(K455:S455)))^(1/inputs!$O$12))-1)/inputs!$N$12&gt;inputs!$H$17, inputs!$H$17, (((inputs!$P$12/(V455/MAX(K455:S455)))^(1/inputs!$O$12))-1)/inputs!$N$12))</f>
        <v>6.65881841890491</v>
      </c>
      <c r="U455" s="63">
        <f>IF((((inputs!$P$12/(X455/MAX(K455:S455)))^(1/inputs!$O$12))-1)/inputs!$N$12&lt;0, 0, IF((((inputs!$P$12/(X455/MAX(K455:S455)))^(1/inputs!$O$12))-1)/inputs!$N$12&gt;inputs!$H$17, inputs!$H$17, (((inputs!$P$12/(X455/MAX(K455:S455)))^(1/inputs!$O$12))-1)/inputs!$N$12))</f>
        <v>0</v>
      </c>
      <c r="V455" s="54">
        <f>inputs!$E$70*(inputs!$F$70/F455)^(0.25)</f>
        <v>0.27451421938065973</v>
      </c>
      <c r="W455" s="54">
        <f>inputs!$E$76*(inputs!$F$76/F455)^(0.25)</f>
        <v>8.2568699553496286E-2</v>
      </c>
      <c r="X455" s="54">
        <f>inputs!$E$72*(inputs!$F$72/F455)^(0.25)</f>
        <v>12.110921443264401</v>
      </c>
      <c r="Y455" s="54" t="s">
        <v>13</v>
      </c>
      <c r="Z455" s="106">
        <f t="shared" si="60"/>
        <v>3.5187505623648585</v>
      </c>
      <c r="AA455" s="106">
        <f t="shared" si="61"/>
        <v>11.698707488992353</v>
      </c>
    </row>
    <row r="456" spans="1:27" x14ac:dyDescent="0.25">
      <c r="A456" s="55" t="s">
        <v>604</v>
      </c>
      <c r="B456" s="49" t="s">
        <v>608</v>
      </c>
      <c r="C456" s="21" t="s">
        <v>61</v>
      </c>
      <c r="D456" s="20" t="s">
        <v>454</v>
      </c>
      <c r="E456" s="20">
        <v>1302</v>
      </c>
      <c r="F456" s="21">
        <v>113000</v>
      </c>
      <c r="G456" s="21" t="s">
        <v>169</v>
      </c>
      <c r="H456" s="21">
        <v>0.79</v>
      </c>
      <c r="I456" s="48">
        <f>MAX('Min rate concentrations'!$D$3:$D$368)</f>
        <v>120</v>
      </c>
      <c r="J456" s="48">
        <f>MAX('Min rate concentrations'!W:W)</f>
        <v>42.5</v>
      </c>
      <c r="K456" s="60">
        <f t="shared" si="57"/>
        <v>16.927072356514646</v>
      </c>
      <c r="L456" s="60">
        <f t="shared" si="59"/>
        <v>5.9950047929322707</v>
      </c>
      <c r="M456" s="60">
        <f>IF((((0.326*F456^0.818)-(0.398*F456^0.85)/(1-H456)*H456)*(MAX('Min rate concentrations'!$P$3:$P$368)))/F456&gt;0, (((0.326*F456^0.818)-(0.398*F456^0.85)/(1-H456)*H456)*(MAX('Min rate concentrations'!$P$3:$P$368)))/F456, 0)</f>
        <v>0</v>
      </c>
      <c r="N456" s="60">
        <f>IF((((0.326*F456^0.818)-(0.398*F456^0.85)/(1-H456)*H456)*(MAX('Min rate concentrations'!$Q$3:$Q$368)))/F456&gt; 0, (((0.326*F456^0.818)-(0.398*F456^0.85)/(1-H456)*H456)*(MAX('Min rate concentrations'!$Q$3:$Q$368)))/F456, 0)</f>
        <v>0</v>
      </c>
      <c r="O456" s="60">
        <f>((MAX('Min rate concentrations'!$F$3:$F$368))*0.62*6.01*8*(12.3*F456^0.65)*0.079*0.1/F456)*inputs!$E$73/inputs!$E$74</f>
        <v>0.76876317410980122</v>
      </c>
      <c r="P456" s="60">
        <f>((MAX('Min rate concentrations'!Y:Y))*0.62*6.01*8*(12.3*F456^0.65)*0.079*0.1/F456)*inputs!$E$73/inputs!$E$74</f>
        <v>0.25625439136993378</v>
      </c>
      <c r="Q456" s="60">
        <f>(inputs!$C$7*11.2*(12.3*F456^0.65)*0.5/F456)*inputs!$E$73/inputs!$E$74</f>
        <v>0.13541400718790042</v>
      </c>
      <c r="R456" s="60">
        <f>(60*379*((F456/1000)^0.8)*3*24*(MAX('Min rate concentrations'!$R$3:$R$368))/F456)*(inputs!$E$73/inputs!$E$75)</f>
        <v>7.147625164772829E-4</v>
      </c>
      <c r="S456" s="60">
        <f>(IF(inputs!$C$6="aerial",((0.025*0.112*inputs!$C$7/3.3)*(3*60*379*((F456/1000)^0.8))*MAX(inputs!$H$14:$H$16))/F456,((0.0083*0.112*inputs!$C$7/1)*(3*60*379*((F456/1000)^0.8))*MAX(inputs!$H$14:$H$16))/F456))*(inputs!E$75/inputs!$E$73)</f>
        <v>3.9419591921727231E-3</v>
      </c>
      <c r="T456" s="63">
        <f>IF((((inputs!$P$12/(V456/MAX(K456:S456)))^(1/inputs!$O$12))-1)/inputs!$N$12&lt;0, 0, IF((((inputs!$P$12/(V456/MAX(K456:S456)))^(1/inputs!$O$12))-1)/inputs!$N$12&gt;inputs!$H$17, inputs!$H$17, (((inputs!$P$12/(V456/MAX(K456:S456)))^(1/inputs!$O$12))-1)/inputs!$N$12))</f>
        <v>84.161996302004837</v>
      </c>
      <c r="U456" s="63">
        <f>IF((((inputs!$P$12/(X456/MAX(K456:S456)))^(1/inputs!$O$12))-1)/inputs!$N$12&lt;0, 0, IF((((inputs!$P$12/(X456/MAX(K456:S456)))^(1/inputs!$O$12))-1)/inputs!$N$12&gt;inputs!$H$17, inputs!$H$17, (((inputs!$P$12/(X456/MAX(K456:S456)))^(1/inputs!$O$12))-1)/inputs!$N$12))</f>
        <v>0</v>
      </c>
      <c r="V456" s="54">
        <f>inputs!$E$70*(inputs!$F$70/F456)^(0.25)</f>
        <v>0.27451421938065973</v>
      </c>
      <c r="W456" s="54">
        <f>inputs!$E$76*(inputs!$F$76/F456)^(0.25)</f>
        <v>8.2568699553496286E-2</v>
      </c>
      <c r="X456" s="54">
        <f>inputs!$E$72*(inputs!$F$72/F456)^(0.25)</f>
        <v>12.110921443264401</v>
      </c>
      <c r="Y456" s="54" t="s">
        <v>13</v>
      </c>
      <c r="Z456" s="106">
        <f t="shared" si="60"/>
        <v>61.661914616679432</v>
      </c>
      <c r="AA456" s="106">
        <f t="shared" si="61"/>
        <v>205.00592171186602</v>
      </c>
    </row>
    <row r="457" spans="1:27" ht="26.4" x14ac:dyDescent="0.25">
      <c r="A457" s="55" t="s">
        <v>604</v>
      </c>
      <c r="B457" s="49" t="s">
        <v>608</v>
      </c>
      <c r="C457" s="21" t="s">
        <v>61</v>
      </c>
      <c r="D457" s="20" t="s">
        <v>454</v>
      </c>
      <c r="E457" s="20">
        <v>1302</v>
      </c>
      <c r="F457" s="21">
        <v>113000</v>
      </c>
      <c r="G457" s="21" t="s">
        <v>580</v>
      </c>
      <c r="H457" s="21">
        <v>0.85</v>
      </c>
      <c r="I457" s="48">
        <f>MAX('Min rate concentrations'!$F$3:$F$368)</f>
        <v>67.5</v>
      </c>
      <c r="J457" s="48">
        <f>MAX('Min rate concentrations'!Y:Y)</f>
        <v>22.5</v>
      </c>
      <c r="K457" s="60">
        <f t="shared" si="57"/>
        <v>13.330069480755279</v>
      </c>
      <c r="L457" s="60"/>
      <c r="M457" s="60">
        <f>IF((((0.326*F457^0.818)-(0.398*F457^0.85)/(1-H457)*H457)*(MAX('Min rate concentrations'!$P$3:$P$368)))/F457&gt;0, (((0.326*F457^0.818)-(0.398*F457^0.85)/(1-H457)*H457)*(MAX('Min rate concentrations'!$P$3:$P$368)))/F457, 0)</f>
        <v>0</v>
      </c>
      <c r="N457" s="60">
        <f>IF((((0.326*F457^0.818)-(0.398*F457^0.85)/(1-H457)*H457)*(MAX('Min rate concentrations'!$Q$3:$Q$368)))/F457&gt; 0, (((0.326*F457^0.818)-(0.398*F457^0.85)/(1-H457)*H457)*(MAX('Min rate concentrations'!$Q$3:$Q$368)))/F457, 0)</f>
        <v>0</v>
      </c>
      <c r="O457" s="60">
        <f>((MAX('Min rate concentrations'!$F$3:$F$368))*0.62*6.01*8*(12.3*F457^0.65)*0.079*0.1/F457)*inputs!$E$73/inputs!$E$74</f>
        <v>0.76876317410980122</v>
      </c>
      <c r="P457" s="60"/>
      <c r="Q457" s="60">
        <f>(inputs!$C$7*11.2*(12.3*F457^0.65)*0.5/F457)*inputs!$E$73/inputs!$E$74</f>
        <v>0.13541400718790042</v>
      </c>
      <c r="R457" s="60">
        <f>(60*379*((F457/1000)^0.8)*3*24*(MAX('Min rate concentrations'!$R$3:$R$368))/F457)*(inputs!$E$73/inputs!$E$75)</f>
        <v>7.147625164772829E-4</v>
      </c>
      <c r="S457" s="60">
        <f>(IF(inputs!$C$6="aerial",((0.025*0.112*inputs!$C$7/3.3)*(3*60*379*((F457/1000)^0.8))*MAX(inputs!$H$14:$H$16))/F457,((0.0083*0.112*inputs!$C$7/1)*(3*60*379*((F457/1000)^0.8))*MAX(inputs!$H$14:$H$16))/F457))*(inputs!E$75/inputs!$E$73)</f>
        <v>3.9419591921727231E-3</v>
      </c>
      <c r="T457" s="63">
        <f>IF((((inputs!$P$12/(V457/MAX(K457:S457)))^(1/inputs!$O$12))-1)/inputs!$N$12&lt;0, 0, IF((((inputs!$P$12/(V457/MAX(K457:S457)))^(1/inputs!$O$12))-1)/inputs!$N$12&gt;inputs!$H$17, inputs!$H$17, (((inputs!$P$12/(V457/MAX(K457:S457)))^(1/inputs!$O$12))-1)/inputs!$N$12))</f>
        <v>73.731040543954563</v>
      </c>
      <c r="U457" s="63">
        <f>IF((((inputs!$P$12/(X457/MAX(K457:S457)))^(1/inputs!$O$12))-1)/inputs!$N$12&lt;0, 0, IF((((inputs!$P$12/(X457/MAX(K457:S457)))^(1/inputs!$O$12))-1)/inputs!$N$12&gt;inputs!$H$17, inputs!$H$17, (((inputs!$P$12/(X457/MAX(K457:S457)))^(1/inputs!$O$12))-1)/inputs!$N$12))</f>
        <v>0</v>
      </c>
      <c r="V457" s="54">
        <f>inputs!$E$70*(inputs!$F$70/F457)^(0.25)</f>
        <v>0.27451421938065973</v>
      </c>
      <c r="W457" s="54">
        <f>inputs!$E$76*(inputs!$F$76/F457)^(0.25)</f>
        <v>8.2568699553496286E-2</v>
      </c>
      <c r="X457" s="54">
        <f>inputs!$E$72*(inputs!$F$72/F457)^(0.25)</f>
        <v>12.110921443264401</v>
      </c>
      <c r="Y457" s="54" t="s">
        <v>13</v>
      </c>
      <c r="Z457" s="106">
        <f t="shared" si="60"/>
        <v>48.558757760635032</v>
      </c>
      <c r="AA457" s="106">
        <f t="shared" si="61"/>
        <v>161.44216334809443</v>
      </c>
    </row>
    <row r="458" spans="1:27" x14ac:dyDescent="0.25">
      <c r="A458" s="55" t="s">
        <v>604</v>
      </c>
      <c r="B458" s="49" t="s">
        <v>608</v>
      </c>
      <c r="C458" s="21" t="s">
        <v>61</v>
      </c>
      <c r="D458" s="20" t="s">
        <v>454</v>
      </c>
      <c r="E458" s="20">
        <v>1302</v>
      </c>
      <c r="F458" s="21">
        <v>113000</v>
      </c>
      <c r="G458" s="21" t="s">
        <v>455</v>
      </c>
      <c r="H458" s="21">
        <v>0.68</v>
      </c>
      <c r="I458" s="21">
        <f>MAX('Min rate concentrations'!$K$3:$K$368)</f>
        <v>18.333393099490852</v>
      </c>
      <c r="J458" s="48">
        <f>MAX('Min rate concentrations'!AC:AC)</f>
        <v>6.4930767227363431</v>
      </c>
      <c r="K458" s="60">
        <f t="shared" si="57"/>
        <v>1.6971208599598093</v>
      </c>
      <c r="L458" s="60"/>
      <c r="M458" s="60">
        <f>IF((((0.326*F458^0.818)-(0.398*F458^0.85)/(1-H458)*H458)*(MAX('Min rate concentrations'!$P$3:$P$368)))/F458&gt;0, (((0.326*F458^0.818)-(0.398*F458^0.85)/(1-H458)*H458)*(MAX('Min rate concentrations'!$P$3:$P$368)))/F458, 0)</f>
        <v>0</v>
      </c>
      <c r="N458" s="60">
        <f>IF((((0.326*F458^0.818)-(0.398*F458^0.85)/(1-H458)*H458)*(MAX('Min rate concentrations'!$Q$3:$Q$368)))/F458&gt; 0, (((0.326*F458^0.818)-(0.398*F458^0.85)/(1-H458)*H458)*(MAX('Min rate concentrations'!$Q$3:$Q$368)))/F458, 0)</f>
        <v>0</v>
      </c>
      <c r="O458" s="60">
        <f>((MAX('Min rate concentrations'!$F$3:$F$368))*0.62*6.01*8*(12.3*F458^0.65)*0.079*0.1/F458)*inputs!$E$73/inputs!$E$74</f>
        <v>0.76876317410980122</v>
      </c>
      <c r="P458" s="60"/>
      <c r="Q458" s="60">
        <f>(inputs!$C$7*11.2*(12.3*F458^0.65)*0.5/F458)*inputs!$E$73/inputs!$E$74</f>
        <v>0.13541400718790042</v>
      </c>
      <c r="R458" s="60">
        <f>(60*379*((F458/1000)^0.8)*3*24*(MAX('Min rate concentrations'!$R$3:$R$368))/F458)*(inputs!$E$73/inputs!$E$75)</f>
        <v>7.147625164772829E-4</v>
      </c>
      <c r="S458" s="60">
        <f>(IF(inputs!$C$6="aerial",((0.025*0.112*inputs!$C$7/3.3)*(3*60*379*((F458/1000)^0.8))*MAX(inputs!$H$14:$H$16))/F458,((0.0083*0.112*inputs!$C$7/1)*(3*60*379*((F458/1000)^0.8))*MAX(inputs!$H$14:$H$16))/F458))*(inputs!E$75/inputs!$E$73)</f>
        <v>3.9419591921727231E-3</v>
      </c>
      <c r="T458" s="63">
        <f>IF((((inputs!$P$12/(V458/MAX(K458:S458)))^(1/inputs!$O$12))-1)/inputs!$N$12&lt;0, 0, IF((((inputs!$P$12/(V458/MAX(K458:S458)))^(1/inputs!$O$12))-1)/inputs!$N$12&gt;inputs!$H$17, inputs!$H$17, (((inputs!$P$12/(V458/MAX(K458:S458)))^(1/inputs!$O$12))-1)/inputs!$N$12))</f>
        <v>15.714162560346823</v>
      </c>
      <c r="U458" s="63">
        <f>IF((((inputs!$P$12/(X458/MAX(K458:S458)))^(1/inputs!$O$12))-1)/inputs!$N$12&lt;0, 0, IF((((inputs!$P$12/(X458/MAX(K458:S458)))^(1/inputs!$O$12))-1)/inputs!$N$12&gt;inputs!$H$17, inputs!$H$17, (((inputs!$P$12/(X458/MAX(K458:S458)))^(1/inputs!$O$12))-1)/inputs!$N$12))</f>
        <v>0</v>
      </c>
      <c r="V458" s="54">
        <f>inputs!$E$70*(inputs!$F$70/F458)^(0.25)</f>
        <v>0.27451421938065973</v>
      </c>
      <c r="W458" s="54">
        <f>inputs!$E$76*(inputs!$F$76/F458)^(0.25)</f>
        <v>8.2568699553496286E-2</v>
      </c>
      <c r="X458" s="54">
        <f>inputs!$E$72*(inputs!$F$72/F458)^(0.25)</f>
        <v>12.110921443264401</v>
      </c>
      <c r="Y458" s="54" t="s">
        <v>13</v>
      </c>
      <c r="Z458" s="106">
        <f t="shared" si="60"/>
        <v>6.1822694058935737</v>
      </c>
      <c r="AA458" s="106">
        <f t="shared" si="61"/>
        <v>20.554046135366878</v>
      </c>
    </row>
    <row r="459" spans="1:27" x14ac:dyDescent="0.25">
      <c r="A459" s="55" t="s">
        <v>604</v>
      </c>
      <c r="B459" s="49" t="s">
        <v>608</v>
      </c>
      <c r="C459" s="21" t="s">
        <v>61</v>
      </c>
      <c r="D459" s="20" t="s">
        <v>454</v>
      </c>
      <c r="E459" s="20">
        <v>1302</v>
      </c>
      <c r="F459" s="21">
        <v>113000</v>
      </c>
      <c r="G459" s="21" t="s">
        <v>456</v>
      </c>
      <c r="H459" s="21">
        <v>0.68</v>
      </c>
      <c r="I459" s="48">
        <f>MAX('Min rate concentrations'!$J$3:$J$368)</f>
        <v>114.4108103430513</v>
      </c>
      <c r="J459" s="48">
        <f>MAX('Min rate concentrations'!AB:AB)</f>
        <v>40.520495329830666</v>
      </c>
      <c r="K459" s="60">
        <f t="shared" si="57"/>
        <v>10.591000355711033</v>
      </c>
      <c r="L459" s="60">
        <f t="shared" ref="L459:L464" si="62">(((0.235*F459^0.822)/(1-H459)))*J459/F459</f>
        <v>3.7509792926476582</v>
      </c>
      <c r="M459" s="60">
        <f>IF((((0.326*F459^0.818)-(0.398*F459^0.85)/(1-H459)*H459)*(MAX('Min rate concentrations'!$P$3:$P$368)))/F459&gt;0, (((0.326*F459^0.818)-(0.398*F459^0.85)/(1-H459)*H459)*(MAX('Min rate concentrations'!$P$3:$P$368)))/F459, 0)</f>
        <v>0</v>
      </c>
      <c r="N459" s="60">
        <f>IF((((0.326*F459^0.818)-(0.398*F459^0.85)/(1-H459)*H459)*(MAX('Min rate concentrations'!$Q$3:$Q$368)))/F459&gt; 0, (((0.326*F459^0.818)-(0.398*F459^0.85)/(1-H459)*H459)*(MAX('Min rate concentrations'!$Q$3:$Q$368)))/F459, 0)</f>
        <v>0</v>
      </c>
      <c r="O459" s="60">
        <f>((MAX('Min rate concentrations'!$F$3:$F$368))*0.62*6.01*8*(12.3*F459^0.65)*0.079*0.1/F459)*inputs!$E$73/inputs!$E$74</f>
        <v>0.76876317410980122</v>
      </c>
      <c r="P459" s="60">
        <f>((MAX('Min rate concentrations'!Y:Y))*0.62*6.01*8*(12.3*F459^0.65)*0.079*0.1/F459)*inputs!$E$73/inputs!$E$74</f>
        <v>0.25625439136993378</v>
      </c>
      <c r="Q459" s="60">
        <f>(inputs!$C$7*11.2*(12.3*F459^0.65)*0.5/F459)*inputs!$E$73/inputs!$E$74</f>
        <v>0.13541400718790042</v>
      </c>
      <c r="R459" s="60">
        <f>(60*379*((F459/1000)^0.8)*3*24*(MAX('Min rate concentrations'!$R$3:$R$368))/F459)*(inputs!$E$73/inputs!$E$75)</f>
        <v>7.147625164772829E-4</v>
      </c>
      <c r="S459" s="60">
        <f>(IF(inputs!$C$6="aerial",((0.025*0.112*inputs!$C$7/3.3)*(3*60*379*((F459/1000)^0.8))*MAX(inputs!$H$14:$H$16))/F459,((0.0083*0.112*inputs!$C$7/1)*(3*60*379*((F459/1000)^0.8))*MAX(inputs!$H$14:$H$16))/F459))*(inputs!E$75/inputs!$E$73)</f>
        <v>3.9419591921727231E-3</v>
      </c>
      <c r="T459" s="63">
        <f>IF((((inputs!$P$12/(V459/MAX(K459:S459)))^(1/inputs!$O$12))-1)/inputs!$N$12&lt;0, 0, IF((((inputs!$P$12/(V459/MAX(K459:S459)))^(1/inputs!$O$12))-1)/inputs!$N$12&gt;inputs!$H$17, inputs!$H$17, (((inputs!$P$12/(V459/MAX(K459:S459)))^(1/inputs!$O$12))-1)/inputs!$N$12))</f>
        <v>64.601336121448014</v>
      </c>
      <c r="U459" s="63">
        <f>IF((((inputs!$P$12/(X459/MAX(K459:S459)))^(1/inputs!$O$12))-1)/inputs!$N$12&lt;0, 0, IF((((inputs!$P$12/(X459/MAX(K459:S459)))^(1/inputs!$O$12))-1)/inputs!$N$12&gt;inputs!$H$17, inputs!$H$17, (((inputs!$P$12/(X459/MAX(K459:S459)))^(1/inputs!$O$12))-1)/inputs!$N$12))</f>
        <v>0</v>
      </c>
      <c r="V459" s="54">
        <f>inputs!$E$70*(inputs!$F$70/F459)^(0.25)</f>
        <v>0.27451421938065973</v>
      </c>
      <c r="W459" s="54">
        <f>inputs!$E$76*(inputs!$F$76/F459)^(0.25)</f>
        <v>8.2568699553496286E-2</v>
      </c>
      <c r="X459" s="54">
        <f>inputs!$E$72*(inputs!$F$72/F459)^(0.25)</f>
        <v>12.110921443264401</v>
      </c>
      <c r="Y459" s="54" t="s">
        <v>13</v>
      </c>
      <c r="Z459" s="106">
        <f t="shared" si="60"/>
        <v>38.58088072670963</v>
      </c>
      <c r="AA459" s="106">
        <f t="shared" si="61"/>
        <v>128.26894952910237</v>
      </c>
    </row>
    <row r="460" spans="1:27" x14ac:dyDescent="0.25">
      <c r="A460" s="55" t="s">
        <v>604</v>
      </c>
      <c r="B460" s="49" t="s">
        <v>605</v>
      </c>
      <c r="C460" s="21" t="s">
        <v>61</v>
      </c>
      <c r="D460" s="20" t="s">
        <v>454</v>
      </c>
      <c r="E460" s="20">
        <v>2</v>
      </c>
      <c r="F460" s="21">
        <v>113000</v>
      </c>
      <c r="G460" s="21" t="s">
        <v>142</v>
      </c>
      <c r="H460" s="21">
        <v>0.69</v>
      </c>
      <c r="I460" s="48">
        <f>MAX('Min rate concentrations'!$H$3:$H$368)</f>
        <v>47</v>
      </c>
      <c r="J460" s="48">
        <f>MAX('Min rate concentrations'!AA:AA)</f>
        <v>32.5</v>
      </c>
      <c r="K460" s="60">
        <f t="shared" si="57"/>
        <v>4.4911345203978366</v>
      </c>
      <c r="L460" s="60">
        <f t="shared" si="62"/>
        <v>3.1055717428282912</v>
      </c>
      <c r="M460" s="60">
        <f>IF((((0.326*F460^0.818)-(0.398*F460^0.85)/(1-H460)*H460)*(MAX('Min rate concentrations'!$P$3:$P$368)))/F460&gt;0, (((0.326*F460^0.818)-(0.398*F460^0.85)/(1-H460)*H460)*(MAX('Min rate concentrations'!$P$3:$P$368)))/F460, 0)</f>
        <v>0</v>
      </c>
      <c r="N460" s="60">
        <f>IF((((0.326*F460^0.818)-(0.398*F460^0.85)/(1-H460)*H460)*(MAX('Min rate concentrations'!$Q$3:$Q$368)))/F460&gt; 0, (((0.326*F460^0.818)-(0.398*F460^0.85)/(1-H460)*H460)*(MAX('Min rate concentrations'!$Q$3:$Q$368)))/F460, 0)</f>
        <v>0</v>
      </c>
      <c r="O460" s="60">
        <f>((MAX('Min rate concentrations'!$F$3:$F$368))*0.62*6.01*8*(12.3*F460^0.65)*0.079*0.1/F460)*inputs!$E$73/inputs!$E$74</f>
        <v>0.76876317410980122</v>
      </c>
      <c r="P460" s="60">
        <f>((MAX('Min rate concentrations'!Y:Y))*0.62*6.01*8*(12.3*F460^0.65)*0.079*0.1/F460)*inputs!$E$73/inputs!$E$74</f>
        <v>0.25625439136993378</v>
      </c>
      <c r="Q460" s="60">
        <f>(inputs!$C$7*11.2*(12.3*F460^0.65)*0.5/F460)*inputs!$E$73/inputs!$E$74</f>
        <v>0.13541400718790042</v>
      </c>
      <c r="R460" s="60">
        <f>(60*379*((F460/1000)^0.8)*3*24*(MAX('Min rate concentrations'!$R$3:$R$368))/F460)*(inputs!$E$73/inputs!$E$75)</f>
        <v>7.147625164772829E-4</v>
      </c>
      <c r="S460" s="60">
        <f>(IF(inputs!$C$6="aerial",((0.025*0.112*inputs!$C$7/3.3)*(3*60*379*((F460/1000)^0.8))*MAX(inputs!$H$14:$H$16))/F460,((0.0083*0.112*inputs!$C$7/1)*(3*60*379*((F460/1000)^0.8))*MAX(inputs!$H$14:$H$16))/F460))*(inputs!E$75/inputs!$E$73)</f>
        <v>3.9419591921727231E-3</v>
      </c>
      <c r="T460" s="63">
        <f>IF((((inputs!$P$12/(V460/MAX(K460:S460)))^(1/inputs!$O$12))-1)/inputs!$N$12&lt;0, 0, IF((((inputs!$P$12/(V460/MAX(K460:S460)))^(1/inputs!$O$12))-1)/inputs!$N$12&gt;inputs!$H$17, inputs!$H$17, (((inputs!$P$12/(V460/MAX(K460:S460)))^(1/inputs!$O$12))-1)/inputs!$N$12))</f>
        <v>37.180043902211338</v>
      </c>
      <c r="U460" s="63">
        <f>IF((((inputs!$P$12/(X460/MAX(K460:S460)))^(1/inputs!$O$12))-1)/inputs!$N$12&lt;0, 0, IF((((inputs!$P$12/(X460/MAX(K460:S460)))^(1/inputs!$O$12))-1)/inputs!$N$12&gt;inputs!$H$17, inputs!$H$17, (((inputs!$P$12/(X460/MAX(K460:S460)))^(1/inputs!$O$12))-1)/inputs!$N$12))</f>
        <v>0</v>
      </c>
      <c r="V460" s="54">
        <f>inputs!$E$70*(inputs!$F$70/F460)^(0.25)</f>
        <v>0.27451421938065973</v>
      </c>
      <c r="W460" s="54">
        <f>inputs!$E$76*(inputs!$F$76/F460)^(0.25)</f>
        <v>8.2568699553496286E-2</v>
      </c>
      <c r="X460" s="54">
        <f>inputs!$E$72*(inputs!$F$72/F460)^(0.25)</f>
        <v>12.110921443264401</v>
      </c>
      <c r="Y460" s="54" t="s">
        <v>13</v>
      </c>
      <c r="Z460" s="106">
        <f t="shared" si="60"/>
        <v>16.360298313618973</v>
      </c>
      <c r="AA460" s="106">
        <f t="shared" si="61"/>
        <v>54.392700196132182</v>
      </c>
    </row>
    <row r="461" spans="1:27" x14ac:dyDescent="0.25">
      <c r="A461" s="55" t="s">
        <v>604</v>
      </c>
      <c r="B461" s="49" t="s">
        <v>605</v>
      </c>
      <c r="C461" s="21" t="s">
        <v>61</v>
      </c>
      <c r="D461" s="20" t="s">
        <v>454</v>
      </c>
      <c r="E461" s="20">
        <v>2</v>
      </c>
      <c r="F461" s="21">
        <v>113000</v>
      </c>
      <c r="G461" s="21" t="s">
        <v>218</v>
      </c>
      <c r="H461" s="21">
        <v>0.68</v>
      </c>
      <c r="I461" s="48">
        <f>MAX('Min rate concentrations'!$K$3:$K$368)</f>
        <v>18.333393099490852</v>
      </c>
      <c r="J461" s="48">
        <f>MAX('Min rate concentrations'!AC:AC)</f>
        <v>6.4930767227363431</v>
      </c>
      <c r="K461" s="60">
        <f t="shared" si="57"/>
        <v>1.6971208599598093</v>
      </c>
      <c r="L461" s="60">
        <f t="shared" si="62"/>
        <v>0.60106363790243234</v>
      </c>
      <c r="M461" s="60">
        <f>IF((((0.326*F461^0.818)-(0.398*F461^0.85)/(1-H461)*H461)*(MAX('Min rate concentrations'!$P$3:$P$368)))/F461&gt;0, (((0.326*F461^0.818)-(0.398*F461^0.85)/(1-H461)*H461)*(MAX('Min rate concentrations'!$P$3:$P$368)))/F461, 0)</f>
        <v>0</v>
      </c>
      <c r="N461" s="60">
        <f>IF((((0.326*F461^0.818)-(0.398*F461^0.85)/(1-H461)*H461)*(MAX('Min rate concentrations'!$Q$3:$Q$368)))/F461&gt; 0, (((0.326*F461^0.818)-(0.398*F461^0.85)/(1-H461)*H461)*(MAX('Min rate concentrations'!$Q$3:$Q$368)))/F461, 0)</f>
        <v>0</v>
      </c>
      <c r="O461" s="60">
        <f>((MAX('Min rate concentrations'!$F$3:$F$368))*0.62*6.01*8*(12.3*F461^0.65)*0.079*0.1/F461)*inputs!$E$73/inputs!$E$74</f>
        <v>0.76876317410980122</v>
      </c>
      <c r="P461" s="60">
        <f>((MAX('Min rate concentrations'!Y:Y))*0.62*6.01*8*(12.3*F461^0.65)*0.079*0.1/F461)*inputs!$E$73/inputs!$E$74</f>
        <v>0.25625439136993378</v>
      </c>
      <c r="Q461" s="60">
        <f>(inputs!$C$7*11.2*(12.3*F461^0.65)*0.5/F461)*inputs!$E$73/inputs!$E$74</f>
        <v>0.13541400718790042</v>
      </c>
      <c r="R461" s="60">
        <f>(60*379*((F461/1000)^0.8)*3*24*(MAX('Min rate concentrations'!$R$3:$R$368))/F461)*(inputs!$E$73/inputs!$E$75)</f>
        <v>7.147625164772829E-4</v>
      </c>
      <c r="S461" s="60">
        <f>(IF(inputs!$C$6="aerial",((0.025*0.112*inputs!$C$7/3.3)*(3*60*379*((F461/1000)^0.8))*MAX(inputs!$H$14:$H$16))/F461,((0.0083*0.112*inputs!$C$7/1)*(3*60*379*((F461/1000)^0.8))*MAX(inputs!$H$14:$H$16))/F461))*(inputs!E$75/inputs!$E$73)</f>
        <v>3.9419591921727231E-3</v>
      </c>
      <c r="T461" s="63">
        <f>IF((((inputs!$P$12/(V461/MAX(K461:S461)))^(1/inputs!$O$12))-1)/inputs!$N$12&lt;0, 0, IF((((inputs!$P$12/(V461/MAX(K461:S461)))^(1/inputs!$O$12))-1)/inputs!$N$12&gt;inputs!$H$17, inputs!$H$17, (((inputs!$P$12/(V461/MAX(K461:S461)))^(1/inputs!$O$12))-1)/inputs!$N$12))</f>
        <v>15.714162560346823</v>
      </c>
      <c r="U461" s="63">
        <f>IF((((inputs!$P$12/(X461/MAX(K461:S461)))^(1/inputs!$O$12))-1)/inputs!$N$12&lt;0, 0, IF((((inputs!$P$12/(X461/MAX(K461:S461)))^(1/inputs!$O$12))-1)/inputs!$N$12&gt;inputs!$H$17, inputs!$H$17, (((inputs!$P$12/(X461/MAX(K461:S461)))^(1/inputs!$O$12))-1)/inputs!$N$12))</f>
        <v>0</v>
      </c>
      <c r="V461" s="54">
        <f>inputs!$E$70*(inputs!$F$70/F461)^(0.25)</f>
        <v>0.27451421938065973</v>
      </c>
      <c r="W461" s="54">
        <f>inputs!$E$76*(inputs!$F$76/F461)^(0.25)</f>
        <v>8.2568699553496286E-2</v>
      </c>
      <c r="X461" s="54">
        <f>inputs!$E$72*(inputs!$F$72/F461)^(0.25)</f>
        <v>12.110921443264401</v>
      </c>
      <c r="Y461" s="54" t="s">
        <v>13</v>
      </c>
      <c r="Z461" s="106">
        <f t="shared" si="60"/>
        <v>6.1822694058935737</v>
      </c>
      <c r="AA461" s="106">
        <f t="shared" si="61"/>
        <v>20.554046135366878</v>
      </c>
    </row>
    <row r="462" spans="1:27" x14ac:dyDescent="0.25">
      <c r="A462" s="55" t="s">
        <v>604</v>
      </c>
      <c r="B462" s="49" t="s">
        <v>605</v>
      </c>
      <c r="C462" s="21" t="s">
        <v>61</v>
      </c>
      <c r="D462" s="20" t="s">
        <v>454</v>
      </c>
      <c r="E462" s="20">
        <v>2</v>
      </c>
      <c r="F462" s="21">
        <v>113000</v>
      </c>
      <c r="G462" s="21" t="s">
        <v>186</v>
      </c>
      <c r="H462" s="21">
        <v>0.75</v>
      </c>
      <c r="I462" s="48">
        <f>inputs!$C$65*inputs!$C$64/1000</f>
        <v>2.13</v>
      </c>
      <c r="J462" s="48">
        <f>inputs!$C$65*inputs!$C$63/1000</f>
        <v>0.88</v>
      </c>
      <c r="K462" s="60">
        <f t="shared" ref="K462:K493" si="63">(((0.235*F462^0.822)/(1-H462)))*I462/F462</f>
        <v>0.25238264883563333</v>
      </c>
      <c r="L462" s="60">
        <f t="shared" si="62"/>
        <v>0.1042707657161302</v>
      </c>
      <c r="M462" s="60">
        <f>IF((((0.326*F462^0.818)-(0.398*F462^0.85)/(1-H462)*H462)*(MAX('Min rate concentrations'!$P$3:$P$368)))/F462&gt;0, (((0.326*F462^0.818)-(0.398*F462^0.85)/(1-H462)*H462)*(MAX('Min rate concentrations'!$P$3:$P$368)))/F462, 0)</f>
        <v>0</v>
      </c>
      <c r="N462" s="60">
        <f>IF((((0.326*F462^0.818)-(0.398*F462^0.85)/(1-H462)*H462)*(MAX('Min rate concentrations'!$Q$3:$Q$368)))/F462&gt; 0, (((0.326*F462^0.818)-(0.398*F462^0.85)/(1-H462)*H462)*(MAX('Min rate concentrations'!$Q$3:$Q$368)))/F462, 0)</f>
        <v>0</v>
      </c>
      <c r="O462" s="60">
        <f>((MAX('Min rate concentrations'!$F$3:$F$368))*0.62*6.01*8*(12.3*F462^0.65)*0.079*0.1/F462)*inputs!$E$73/inputs!$E$74</f>
        <v>0.76876317410980122</v>
      </c>
      <c r="P462" s="60">
        <f>((MAX('Min rate concentrations'!Y:Y))*0.62*6.01*8*(12.3*F462^0.65)*0.079*0.1/F462)*inputs!$E$73/inputs!$E$74</f>
        <v>0.25625439136993378</v>
      </c>
      <c r="Q462" s="60">
        <f>(inputs!$C$7*11.2*(12.3*F462^0.65)*0.5/F462)*inputs!$E$73/inputs!$E$74</f>
        <v>0.13541400718790042</v>
      </c>
      <c r="R462" s="60">
        <f>(60*379*((F462/1000)^0.8)*3*24*(MAX('Min rate concentrations'!$R$3:$R$368))/F462)*(inputs!$E$73/inputs!$E$75)</f>
        <v>7.147625164772829E-4</v>
      </c>
      <c r="S462" s="60">
        <f>(IF(inputs!$C$6="aerial",((0.025*0.112*inputs!$C$7/3.3)*(3*60*379*((F462/1000)^0.8))*MAX(inputs!$H$14:$H$16))/F462,((0.0083*0.112*inputs!$C$7/1)*(3*60*379*((F462/1000)^0.8))*MAX(inputs!$H$14:$H$16))/F462))*(inputs!E$75/inputs!$E$73)</f>
        <v>3.9419591921727231E-3</v>
      </c>
      <c r="T462" s="63">
        <f>IF((((inputs!$P$12/(V462/MAX(K462:S462)))^(1/inputs!$O$12))-1)/inputs!$N$12&lt;0, 0, IF((((inputs!$P$12/(V462/MAX(K462:S462)))^(1/inputs!$O$12))-1)/inputs!$N$12&gt;inputs!$H$17, inputs!$H$17, (((inputs!$P$12/(V462/MAX(K462:S462)))^(1/inputs!$O$12))-1)/inputs!$N$12))</f>
        <v>3.5415896662969284</v>
      </c>
      <c r="U462" s="63">
        <f>IF((((inputs!$P$12/(X462/MAX(K462:S462)))^(1/inputs!$O$12))-1)/inputs!$N$12&lt;0, 0, IF((((inputs!$P$12/(X462/MAX(K462:S462)))^(1/inputs!$O$12))-1)/inputs!$N$12&gt;inputs!$H$17, inputs!$H$17, (((inputs!$P$12/(X462/MAX(K462:S462)))^(1/inputs!$O$12))-1)/inputs!$N$12))</f>
        <v>0</v>
      </c>
      <c r="V462" s="54">
        <f>inputs!$E$70*(inputs!$F$70/F462)^(0.25)</f>
        <v>0.27451421938065973</v>
      </c>
      <c r="W462" s="54">
        <f>inputs!$E$76*(inputs!$F$76/F462)^(0.25)</f>
        <v>8.2568699553496286E-2</v>
      </c>
      <c r="X462" s="54">
        <f>inputs!$E$72*(inputs!$F$72/F462)^(0.25)</f>
        <v>12.110921443264401</v>
      </c>
      <c r="Y462" s="54" t="s">
        <v>13</v>
      </c>
      <c r="Z462" s="106">
        <f t="shared" si="60"/>
        <v>2.8004493750605426</v>
      </c>
      <c r="AA462" s="106">
        <f t="shared" si="61"/>
        <v>9.3105883738876045</v>
      </c>
    </row>
    <row r="463" spans="1:27" x14ac:dyDescent="0.25">
      <c r="A463" s="55" t="s">
        <v>604</v>
      </c>
      <c r="B463" s="49" t="s">
        <v>605</v>
      </c>
      <c r="C463" s="21" t="s">
        <v>61</v>
      </c>
      <c r="D463" s="20" t="s">
        <v>454</v>
      </c>
      <c r="E463" s="20">
        <v>2</v>
      </c>
      <c r="F463" s="21">
        <v>113000</v>
      </c>
      <c r="G463" s="21" t="s">
        <v>152</v>
      </c>
      <c r="H463" s="21">
        <v>0.77</v>
      </c>
      <c r="I463" s="48">
        <f>MAX('Min rate concentrations'!$G$3:$G$368)</f>
        <v>7.5</v>
      </c>
      <c r="J463" s="48">
        <f>MAX('Min rate concentrations'!Z:Z)</f>
        <v>3.5</v>
      </c>
      <c r="K463" s="60">
        <f t="shared" si="63"/>
        <v>0.96594706382284656</v>
      </c>
      <c r="L463" s="60">
        <f t="shared" si="62"/>
        <v>0.45077529645066172</v>
      </c>
      <c r="M463" s="60">
        <f>IF((((0.326*F463^0.818)-(0.398*F463^0.85)/(1-H463)*H463)*(MAX('Min rate concentrations'!$P$3:$P$368)))/F463&gt;0, (((0.326*F463^0.818)-(0.398*F463^0.85)/(1-H463)*H463)*(MAX('Min rate concentrations'!$P$3:$P$368)))/F463, 0)</f>
        <v>0</v>
      </c>
      <c r="N463" s="60">
        <f>IF((((0.326*F463^0.818)-(0.398*F463^0.85)/(1-H463)*H463)*(MAX('Min rate concentrations'!$Q$3:$Q$368)))/F463&gt; 0, (((0.326*F463^0.818)-(0.398*F463^0.85)/(1-H463)*H463)*(MAX('Min rate concentrations'!$Q$3:$Q$368)))/F463, 0)</f>
        <v>0</v>
      </c>
      <c r="O463" s="60">
        <f>((MAX('Min rate concentrations'!$F$3:$F$368))*0.62*6.01*8*(12.3*F463^0.65)*0.079*0.1/F463)*inputs!$E$73/inputs!$E$74</f>
        <v>0.76876317410980122</v>
      </c>
      <c r="P463" s="60">
        <f>((MAX('Min rate concentrations'!Y:Y))*0.62*6.01*8*(12.3*F463^0.65)*0.079*0.1/F463)*inputs!$E$73/inputs!$E$74</f>
        <v>0.25625439136993378</v>
      </c>
      <c r="Q463" s="60">
        <f>(inputs!$C$7*11.2*(12.3*F463^0.65)*0.5/F463)*inputs!$E$73/inputs!$E$74</f>
        <v>0.13541400718790042</v>
      </c>
      <c r="R463" s="60">
        <f>(60*379*((F463/1000)^0.8)*3*24*(MAX('Min rate concentrations'!$R$3:$R$368))/F463)*(inputs!$E$73/inputs!$E$75)</f>
        <v>7.147625164772829E-4</v>
      </c>
      <c r="S463" s="60">
        <f>(IF(inputs!$C$6="aerial",((0.025*0.112*inputs!$C$7/3.3)*(3*60*379*((F463/1000)^0.8))*MAX(inputs!$H$14:$H$16))/F463,((0.0083*0.112*inputs!$C$7/1)*(3*60*379*((F463/1000)^0.8))*MAX(inputs!$H$14:$H$16))/F463))*(inputs!E$75/inputs!$E$73)</f>
        <v>3.9419591921727231E-3</v>
      </c>
      <c r="T463" s="63">
        <f>IF((((inputs!$P$12/(V463/MAX(K463:S463)))^(1/inputs!$O$12))-1)/inputs!$N$12&lt;0, 0, IF((((inputs!$P$12/(V463/MAX(K463:S463)))^(1/inputs!$O$12))-1)/inputs!$N$12&gt;inputs!$H$17, inputs!$H$17, (((inputs!$P$12/(V463/MAX(K463:S463)))^(1/inputs!$O$12))-1)/inputs!$N$12))</f>
        <v>6.65881841890491</v>
      </c>
      <c r="U463" s="63">
        <f>IF((((inputs!$P$12/(X463/MAX(K463:S463)))^(1/inputs!$O$12))-1)/inputs!$N$12&lt;0, 0, IF((((inputs!$P$12/(X463/MAX(K463:S463)))^(1/inputs!$O$12))-1)/inputs!$N$12&gt;inputs!$H$17, inputs!$H$17, (((inputs!$P$12/(X463/MAX(K463:S463)))^(1/inputs!$O$12))-1)/inputs!$N$12))</f>
        <v>0</v>
      </c>
      <c r="V463" s="54">
        <f>inputs!$E$70*(inputs!$F$70/F463)^(0.25)</f>
        <v>0.27451421938065973</v>
      </c>
      <c r="W463" s="54">
        <f>inputs!$E$76*(inputs!$F$76/F463)^(0.25)</f>
        <v>8.2568699553496286E-2</v>
      </c>
      <c r="X463" s="54">
        <f>inputs!$E$72*(inputs!$F$72/F463)^(0.25)</f>
        <v>12.110921443264401</v>
      </c>
      <c r="Y463" s="54" t="s">
        <v>13</v>
      </c>
      <c r="Z463" s="106">
        <f t="shared" si="60"/>
        <v>3.5187505623648585</v>
      </c>
      <c r="AA463" s="106">
        <f t="shared" si="61"/>
        <v>11.698707488992353</v>
      </c>
    </row>
    <row r="464" spans="1:27" x14ac:dyDescent="0.25">
      <c r="A464" s="55" t="s">
        <v>604</v>
      </c>
      <c r="B464" s="49" t="s">
        <v>605</v>
      </c>
      <c r="C464" s="21" t="s">
        <v>61</v>
      </c>
      <c r="D464" s="20" t="s">
        <v>454</v>
      </c>
      <c r="E464" s="20">
        <v>2</v>
      </c>
      <c r="F464" s="21">
        <v>113000</v>
      </c>
      <c r="G464" s="21" t="s">
        <v>169</v>
      </c>
      <c r="H464" s="21">
        <v>0.79</v>
      </c>
      <c r="I464" s="48">
        <f>MAX('Min rate concentrations'!$D$3:$D$368)</f>
        <v>120</v>
      </c>
      <c r="J464" s="48">
        <f>MAX('Min rate concentrations'!W:W)</f>
        <v>42.5</v>
      </c>
      <c r="K464" s="60">
        <f t="shared" si="63"/>
        <v>16.927072356514646</v>
      </c>
      <c r="L464" s="60">
        <f t="shared" si="62"/>
        <v>5.9950047929322707</v>
      </c>
      <c r="M464" s="60">
        <f>IF((((0.326*F464^0.818)-(0.398*F464^0.85)/(1-H464)*H464)*(MAX('Min rate concentrations'!$P$3:$P$368)))/F464&gt;0, (((0.326*F464^0.818)-(0.398*F464^0.85)/(1-H464)*H464)*(MAX('Min rate concentrations'!$P$3:$P$368)))/F464, 0)</f>
        <v>0</v>
      </c>
      <c r="N464" s="60">
        <f>IF((((0.326*F464^0.818)-(0.398*F464^0.85)/(1-H464)*H464)*(MAX('Min rate concentrations'!$Q$3:$Q$368)))/F464&gt; 0, (((0.326*F464^0.818)-(0.398*F464^0.85)/(1-H464)*H464)*(MAX('Min rate concentrations'!$Q$3:$Q$368)))/F464, 0)</f>
        <v>0</v>
      </c>
      <c r="O464" s="60">
        <f>((MAX('Min rate concentrations'!$F$3:$F$368))*0.62*6.01*8*(12.3*F464^0.65)*0.079*0.1/F464)*inputs!$E$73/inputs!$E$74</f>
        <v>0.76876317410980122</v>
      </c>
      <c r="P464" s="60">
        <f>((MAX('Min rate concentrations'!Y:Y))*0.62*6.01*8*(12.3*F464^0.65)*0.079*0.1/F464)*inputs!$E$73/inputs!$E$74</f>
        <v>0.25625439136993378</v>
      </c>
      <c r="Q464" s="60">
        <f>(inputs!$C$7*11.2*(12.3*F464^0.65)*0.5/F464)*inputs!$E$73/inputs!$E$74</f>
        <v>0.13541400718790042</v>
      </c>
      <c r="R464" s="60">
        <f>(60*379*((F464/1000)^0.8)*3*24*(MAX('Min rate concentrations'!$R$3:$R$368))/F464)*(inputs!$E$73/inputs!$E$75)</f>
        <v>7.147625164772829E-4</v>
      </c>
      <c r="S464" s="60">
        <f>(IF(inputs!$C$6="aerial",((0.025*0.112*inputs!$C$7/3.3)*(3*60*379*((F464/1000)^0.8))*MAX(inputs!$H$14:$H$16))/F464,((0.0083*0.112*inputs!$C$7/1)*(3*60*379*((F464/1000)^0.8))*MAX(inputs!$H$14:$H$16))/F464))*(inputs!E$75/inputs!$E$73)</f>
        <v>3.9419591921727231E-3</v>
      </c>
      <c r="T464" s="63">
        <f>IF((((inputs!$P$12/(V464/MAX(K464:S464)))^(1/inputs!$O$12))-1)/inputs!$N$12&lt;0, 0, IF((((inputs!$P$12/(V464/MAX(K464:S464)))^(1/inputs!$O$12))-1)/inputs!$N$12&gt;inputs!$H$17, inputs!$H$17, (((inputs!$P$12/(V464/MAX(K464:S464)))^(1/inputs!$O$12))-1)/inputs!$N$12))</f>
        <v>84.161996302004837</v>
      </c>
      <c r="U464" s="63">
        <f>IF((((inputs!$P$12/(X464/MAX(K464:S464)))^(1/inputs!$O$12))-1)/inputs!$N$12&lt;0, 0, IF((((inputs!$P$12/(X464/MAX(K464:S464)))^(1/inputs!$O$12))-1)/inputs!$N$12&gt;inputs!$H$17, inputs!$H$17, (((inputs!$P$12/(X464/MAX(K464:S464)))^(1/inputs!$O$12))-1)/inputs!$N$12))</f>
        <v>0</v>
      </c>
      <c r="V464" s="54">
        <f>inputs!$E$70*(inputs!$F$70/F464)^(0.25)</f>
        <v>0.27451421938065973</v>
      </c>
      <c r="W464" s="54">
        <f>inputs!$E$76*(inputs!$F$76/F464)^(0.25)</f>
        <v>8.2568699553496286E-2</v>
      </c>
      <c r="X464" s="54">
        <f>inputs!$E$72*(inputs!$F$72/F464)^(0.25)</f>
        <v>12.110921443264401</v>
      </c>
      <c r="Y464" s="54" t="s">
        <v>13</v>
      </c>
      <c r="Z464" s="106">
        <f t="shared" si="60"/>
        <v>61.661914616679432</v>
      </c>
      <c r="AA464" s="106">
        <f t="shared" si="61"/>
        <v>205.00592171186602</v>
      </c>
    </row>
    <row r="465" spans="1:27" ht="26.4" x14ac:dyDescent="0.25">
      <c r="A465" s="55" t="s">
        <v>604</v>
      </c>
      <c r="B465" s="49" t="s">
        <v>605</v>
      </c>
      <c r="C465" s="21" t="s">
        <v>61</v>
      </c>
      <c r="D465" s="20" t="s">
        <v>454</v>
      </c>
      <c r="E465" s="20">
        <v>2</v>
      </c>
      <c r="F465" s="21">
        <v>113000</v>
      </c>
      <c r="G465" s="21" t="s">
        <v>580</v>
      </c>
      <c r="H465" s="21">
        <v>0.85</v>
      </c>
      <c r="I465" s="48">
        <f>MAX('Min rate concentrations'!$F$3:$F$368)</f>
        <v>67.5</v>
      </c>
      <c r="J465" s="48">
        <f>MAX('Min rate concentrations'!Y:Y)</f>
        <v>22.5</v>
      </c>
      <c r="K465" s="60">
        <f t="shared" si="63"/>
        <v>13.330069480755279</v>
      </c>
      <c r="L465" s="60"/>
      <c r="M465" s="60">
        <f>IF((((0.326*F465^0.818)-(0.398*F465^0.85)/(1-H465)*H465)*(MAX('Min rate concentrations'!$P$3:$P$368)))/F465&gt;0, (((0.326*F465^0.818)-(0.398*F465^0.85)/(1-H465)*H465)*(MAX('Min rate concentrations'!$P$3:$P$368)))/F465, 0)</f>
        <v>0</v>
      </c>
      <c r="N465" s="60">
        <f>IF((((0.326*F465^0.818)-(0.398*F465^0.85)/(1-H465)*H465)*(MAX('Min rate concentrations'!$Q$3:$Q$368)))/F465&gt; 0, (((0.326*F465^0.818)-(0.398*F465^0.85)/(1-H465)*H465)*(MAX('Min rate concentrations'!$Q$3:$Q$368)))/F465, 0)</f>
        <v>0</v>
      </c>
      <c r="O465" s="60">
        <f>((MAX('Min rate concentrations'!$F$3:$F$368))*0.62*6.01*8*(12.3*F465^0.65)*0.079*0.1/F465)*inputs!$E$73/inputs!$E$74</f>
        <v>0.76876317410980122</v>
      </c>
      <c r="P465" s="60"/>
      <c r="Q465" s="60">
        <f>(inputs!$C$7*11.2*(12.3*F465^0.65)*0.5/F465)*inputs!$E$73/inputs!$E$74</f>
        <v>0.13541400718790042</v>
      </c>
      <c r="R465" s="60">
        <f>(60*379*((F465/1000)^0.8)*3*24*(MAX('Min rate concentrations'!$R$3:$R$368))/F465)*(inputs!$E$73/inputs!$E$75)</f>
        <v>7.147625164772829E-4</v>
      </c>
      <c r="S465" s="60">
        <f>(IF(inputs!$C$6="aerial",((0.025*0.112*inputs!$C$7/3.3)*(3*60*379*((F465/1000)^0.8))*MAX(inputs!$H$14:$H$16))/F465,((0.0083*0.112*inputs!$C$7/1)*(3*60*379*((F465/1000)^0.8))*MAX(inputs!$H$14:$H$16))/F465))*(inputs!E$75/inputs!$E$73)</f>
        <v>3.9419591921727231E-3</v>
      </c>
      <c r="T465" s="63">
        <f>IF((((inputs!$P$12/(V465/MAX(K465:S465)))^(1/inputs!$O$12))-1)/inputs!$N$12&lt;0, 0, IF((((inputs!$P$12/(V465/MAX(K465:S465)))^(1/inputs!$O$12))-1)/inputs!$N$12&gt;inputs!$H$17, inputs!$H$17, (((inputs!$P$12/(V465/MAX(K465:S465)))^(1/inputs!$O$12))-1)/inputs!$N$12))</f>
        <v>73.731040543954563</v>
      </c>
      <c r="U465" s="63">
        <f>IF((((inputs!$P$12/(X465/MAX(K465:S465)))^(1/inputs!$O$12))-1)/inputs!$N$12&lt;0, 0, IF((((inputs!$P$12/(X465/MAX(K465:S465)))^(1/inputs!$O$12))-1)/inputs!$N$12&gt;inputs!$H$17, inputs!$H$17, (((inputs!$P$12/(X465/MAX(K465:S465)))^(1/inputs!$O$12))-1)/inputs!$N$12))</f>
        <v>0</v>
      </c>
      <c r="V465" s="54">
        <f>inputs!$E$70*(inputs!$F$70/F465)^(0.25)</f>
        <v>0.27451421938065973</v>
      </c>
      <c r="W465" s="54">
        <f>inputs!$E$76*(inputs!$F$76/F465)^(0.25)</f>
        <v>8.2568699553496286E-2</v>
      </c>
      <c r="X465" s="54">
        <f>inputs!$E$72*(inputs!$F$72/F465)^(0.25)</f>
        <v>12.110921443264401</v>
      </c>
      <c r="Y465" s="54" t="s">
        <v>13</v>
      </c>
      <c r="Z465" s="106">
        <f t="shared" si="60"/>
        <v>48.558757760635032</v>
      </c>
      <c r="AA465" s="106">
        <f t="shared" si="61"/>
        <v>161.44216334809443</v>
      </c>
    </row>
    <row r="466" spans="1:27" x14ac:dyDescent="0.25">
      <c r="A466" s="55" t="s">
        <v>604</v>
      </c>
      <c r="B466" s="49" t="s">
        <v>605</v>
      </c>
      <c r="C466" s="21" t="s">
        <v>61</v>
      </c>
      <c r="D466" s="20" t="s">
        <v>454</v>
      </c>
      <c r="E466" s="20">
        <v>2</v>
      </c>
      <c r="F466" s="21">
        <v>113000</v>
      </c>
      <c r="G466" s="21" t="s">
        <v>455</v>
      </c>
      <c r="H466" s="21">
        <v>0.68</v>
      </c>
      <c r="I466" s="21">
        <f>MAX('Min rate concentrations'!$K$3:$K$368)</f>
        <v>18.333393099490852</v>
      </c>
      <c r="J466" s="48">
        <f>MAX('Min rate concentrations'!AC:AC)</f>
        <v>6.4930767227363431</v>
      </c>
      <c r="K466" s="60">
        <f t="shared" si="63"/>
        <v>1.6971208599598093</v>
      </c>
      <c r="L466" s="60"/>
      <c r="M466" s="60">
        <f>IF((((0.326*F466^0.818)-(0.398*F466^0.85)/(1-H466)*H466)*(MAX('Min rate concentrations'!$P$3:$P$368)))/F466&gt;0, (((0.326*F466^0.818)-(0.398*F466^0.85)/(1-H466)*H466)*(MAX('Min rate concentrations'!$P$3:$P$368)))/F466, 0)</f>
        <v>0</v>
      </c>
      <c r="N466" s="60">
        <f>IF((((0.326*F466^0.818)-(0.398*F466^0.85)/(1-H466)*H466)*(MAX('Min rate concentrations'!$Q$3:$Q$368)))/F466&gt; 0, (((0.326*F466^0.818)-(0.398*F466^0.85)/(1-H466)*H466)*(MAX('Min rate concentrations'!$Q$3:$Q$368)))/F466, 0)</f>
        <v>0</v>
      </c>
      <c r="O466" s="60">
        <f>((MAX('Min rate concentrations'!$F$3:$F$368))*0.62*6.01*8*(12.3*F466^0.65)*0.079*0.1/F466)*inputs!$E$73/inputs!$E$74</f>
        <v>0.76876317410980122</v>
      </c>
      <c r="P466" s="60"/>
      <c r="Q466" s="60">
        <f>(inputs!$C$7*11.2*(12.3*F466^0.65)*0.5/F466)*inputs!$E$73/inputs!$E$74</f>
        <v>0.13541400718790042</v>
      </c>
      <c r="R466" s="60">
        <f>(60*379*((F466/1000)^0.8)*3*24*(MAX('Min rate concentrations'!$R$3:$R$368))/F466)*(inputs!$E$73/inputs!$E$75)</f>
        <v>7.147625164772829E-4</v>
      </c>
      <c r="S466" s="60">
        <f>(IF(inputs!$C$6="aerial",((0.025*0.112*inputs!$C$7/3.3)*(3*60*379*((F466/1000)^0.8))*MAX(inputs!$H$14:$H$16))/F466,((0.0083*0.112*inputs!$C$7/1)*(3*60*379*((F466/1000)^0.8))*MAX(inputs!$H$14:$H$16))/F466))*(inputs!E$75/inputs!$E$73)</f>
        <v>3.9419591921727231E-3</v>
      </c>
      <c r="T466" s="63">
        <f>IF((((inputs!$P$12/(V466/MAX(K466:S466)))^(1/inputs!$O$12))-1)/inputs!$N$12&lt;0, 0, IF((((inputs!$P$12/(V466/MAX(K466:S466)))^(1/inputs!$O$12))-1)/inputs!$N$12&gt;inputs!$H$17, inputs!$H$17, (((inputs!$P$12/(V466/MAX(K466:S466)))^(1/inputs!$O$12))-1)/inputs!$N$12))</f>
        <v>15.714162560346823</v>
      </c>
      <c r="U466" s="63">
        <f>IF((((inputs!$P$12/(X466/MAX(K466:S466)))^(1/inputs!$O$12))-1)/inputs!$N$12&lt;0, 0, IF((((inputs!$P$12/(X466/MAX(K466:S466)))^(1/inputs!$O$12))-1)/inputs!$N$12&gt;inputs!$H$17, inputs!$H$17, (((inputs!$P$12/(X466/MAX(K466:S466)))^(1/inputs!$O$12))-1)/inputs!$N$12))</f>
        <v>0</v>
      </c>
      <c r="V466" s="54">
        <f>inputs!$E$70*(inputs!$F$70/F466)^(0.25)</f>
        <v>0.27451421938065973</v>
      </c>
      <c r="W466" s="54">
        <f>inputs!$E$76*(inputs!$F$76/F466)^(0.25)</f>
        <v>8.2568699553496286E-2</v>
      </c>
      <c r="X466" s="54">
        <f>inputs!$E$72*(inputs!$F$72/F466)^(0.25)</f>
        <v>12.110921443264401</v>
      </c>
      <c r="Y466" s="54" t="s">
        <v>13</v>
      </c>
      <c r="Z466" s="106">
        <f t="shared" si="60"/>
        <v>6.1822694058935737</v>
      </c>
      <c r="AA466" s="106">
        <f t="shared" si="61"/>
        <v>20.554046135366878</v>
      </c>
    </row>
    <row r="467" spans="1:27" x14ac:dyDescent="0.25">
      <c r="A467" s="55" t="s">
        <v>604</v>
      </c>
      <c r="B467" s="49" t="s">
        <v>605</v>
      </c>
      <c r="C467" s="21" t="s">
        <v>61</v>
      </c>
      <c r="D467" s="20" t="s">
        <v>454</v>
      </c>
      <c r="E467" s="20">
        <v>2</v>
      </c>
      <c r="F467" s="21">
        <v>113000</v>
      </c>
      <c r="G467" s="21" t="s">
        <v>456</v>
      </c>
      <c r="H467" s="21">
        <v>0.68</v>
      </c>
      <c r="I467" s="48">
        <f>MAX('Min rate concentrations'!$J$3:$J$368)</f>
        <v>114.4108103430513</v>
      </c>
      <c r="J467" s="48">
        <f>MAX('Min rate concentrations'!AB:AB)</f>
        <v>40.520495329830666</v>
      </c>
      <c r="K467" s="60">
        <f t="shared" si="63"/>
        <v>10.591000355711033</v>
      </c>
      <c r="L467" s="60">
        <f t="shared" ref="L467:L472" si="64">(((0.235*F467^0.822)/(1-H467)))*J467/F467</f>
        <v>3.7509792926476582</v>
      </c>
      <c r="M467" s="60">
        <f>IF((((0.326*F467^0.818)-(0.398*F467^0.85)/(1-H467)*H467)*(MAX('Min rate concentrations'!$P$3:$P$368)))/F467&gt;0, (((0.326*F467^0.818)-(0.398*F467^0.85)/(1-H467)*H467)*(MAX('Min rate concentrations'!$P$3:$P$368)))/F467, 0)</f>
        <v>0</v>
      </c>
      <c r="N467" s="60">
        <f>IF((((0.326*F467^0.818)-(0.398*F467^0.85)/(1-H467)*H467)*(MAX('Min rate concentrations'!$Q$3:$Q$368)))/F467&gt; 0, (((0.326*F467^0.818)-(0.398*F467^0.85)/(1-H467)*H467)*(MAX('Min rate concentrations'!$Q$3:$Q$368)))/F467, 0)</f>
        <v>0</v>
      </c>
      <c r="O467" s="60">
        <f>((MAX('Min rate concentrations'!$F$3:$F$368))*0.62*6.01*8*(12.3*F467^0.65)*0.079*0.1/F467)*inputs!$E$73/inputs!$E$74</f>
        <v>0.76876317410980122</v>
      </c>
      <c r="P467" s="60">
        <f>((MAX('Min rate concentrations'!Y:Y))*0.62*6.01*8*(12.3*F467^0.65)*0.079*0.1/F467)*inputs!$E$73/inputs!$E$74</f>
        <v>0.25625439136993378</v>
      </c>
      <c r="Q467" s="60">
        <f>(inputs!$C$7*11.2*(12.3*F467^0.65)*0.5/F467)*inputs!$E$73/inputs!$E$74</f>
        <v>0.13541400718790042</v>
      </c>
      <c r="R467" s="60">
        <f>(60*379*((F467/1000)^0.8)*3*24*(MAX('Min rate concentrations'!$R$3:$R$368))/F467)*(inputs!$E$73/inputs!$E$75)</f>
        <v>7.147625164772829E-4</v>
      </c>
      <c r="S467" s="60">
        <f>(IF(inputs!$C$6="aerial",((0.025*0.112*inputs!$C$7/3.3)*(3*60*379*((F467/1000)^0.8))*MAX(inputs!$H$14:$H$16))/F467,((0.0083*0.112*inputs!$C$7/1)*(3*60*379*((F467/1000)^0.8))*MAX(inputs!$H$14:$H$16))/F467))*(inputs!E$75/inputs!$E$73)</f>
        <v>3.9419591921727231E-3</v>
      </c>
      <c r="T467" s="63">
        <f>IF((((inputs!$P$12/(V467/MAX(K467:S467)))^(1/inputs!$O$12))-1)/inputs!$N$12&lt;0, 0, IF((((inputs!$P$12/(V467/MAX(K467:S467)))^(1/inputs!$O$12))-1)/inputs!$N$12&gt;inputs!$H$17, inputs!$H$17, (((inputs!$P$12/(V467/MAX(K467:S467)))^(1/inputs!$O$12))-1)/inputs!$N$12))</f>
        <v>64.601336121448014</v>
      </c>
      <c r="U467" s="63">
        <f>IF((((inputs!$P$12/(X467/MAX(K467:S467)))^(1/inputs!$O$12))-1)/inputs!$N$12&lt;0, 0, IF((((inputs!$P$12/(X467/MAX(K467:S467)))^(1/inputs!$O$12))-1)/inputs!$N$12&gt;inputs!$H$17, inputs!$H$17, (((inputs!$P$12/(X467/MAX(K467:S467)))^(1/inputs!$O$12))-1)/inputs!$N$12))</f>
        <v>0</v>
      </c>
      <c r="V467" s="54">
        <f>inputs!$E$70*(inputs!$F$70/F467)^(0.25)</f>
        <v>0.27451421938065973</v>
      </c>
      <c r="W467" s="54">
        <f>inputs!$E$76*(inputs!$F$76/F467)^(0.25)</f>
        <v>8.2568699553496286E-2</v>
      </c>
      <c r="X467" s="54">
        <f>inputs!$E$72*(inputs!$F$72/F467)^(0.25)</f>
        <v>12.110921443264401</v>
      </c>
      <c r="Y467" s="54" t="s">
        <v>13</v>
      </c>
      <c r="Z467" s="106">
        <f t="shared" si="60"/>
        <v>38.58088072670963</v>
      </c>
      <c r="AA467" s="106">
        <f t="shared" si="61"/>
        <v>128.26894952910237</v>
      </c>
    </row>
    <row r="468" spans="1:27" ht="26.4" x14ac:dyDescent="0.25">
      <c r="A468" s="55" t="s">
        <v>604</v>
      </c>
      <c r="B468" s="49" t="s">
        <v>606</v>
      </c>
      <c r="C468" s="21" t="s">
        <v>61</v>
      </c>
      <c r="D468" s="20" t="s">
        <v>454</v>
      </c>
      <c r="E468" s="20">
        <v>4110</v>
      </c>
      <c r="F468" s="21">
        <v>113000</v>
      </c>
      <c r="G468" s="21" t="s">
        <v>142</v>
      </c>
      <c r="H468" s="21">
        <v>0.69</v>
      </c>
      <c r="I468" s="48">
        <f>MAX('Min rate concentrations'!$H$3:$H$368)</f>
        <v>47</v>
      </c>
      <c r="J468" s="48">
        <f>MAX('Min rate concentrations'!AA:AA)</f>
        <v>32.5</v>
      </c>
      <c r="K468" s="60">
        <f t="shared" si="63"/>
        <v>4.4911345203978366</v>
      </c>
      <c r="L468" s="60">
        <f t="shared" si="64"/>
        <v>3.1055717428282912</v>
      </c>
      <c r="M468" s="60">
        <f>IF((((0.326*F468^0.818)-(0.398*F468^0.85)/(1-H468)*H468)*(MAX('Min rate concentrations'!$P$3:$P$368)))/F468&gt;0, (((0.326*F468^0.818)-(0.398*F468^0.85)/(1-H468)*H468)*(MAX('Min rate concentrations'!$P$3:$P$368)))/F468, 0)</f>
        <v>0</v>
      </c>
      <c r="N468" s="60">
        <f>IF((((0.326*F468^0.818)-(0.398*F468^0.85)/(1-H468)*H468)*(MAX('Min rate concentrations'!$Q$3:$Q$368)))/F468&gt; 0, (((0.326*F468^0.818)-(0.398*F468^0.85)/(1-H468)*H468)*(MAX('Min rate concentrations'!$Q$3:$Q$368)))/F468, 0)</f>
        <v>0</v>
      </c>
      <c r="O468" s="60">
        <f>((MAX('Min rate concentrations'!$F$3:$F$368))*0.62*6.01*8*(12.3*F468^0.65)*0.079*0.1/F468)*inputs!$E$73/inputs!$E$74</f>
        <v>0.76876317410980122</v>
      </c>
      <c r="P468" s="60">
        <f>((MAX('Min rate concentrations'!Y:Y))*0.62*6.01*8*(12.3*F468^0.65)*0.079*0.1/F468)*inputs!$E$73/inputs!$E$74</f>
        <v>0.25625439136993378</v>
      </c>
      <c r="Q468" s="60">
        <f>(inputs!$C$7*11.2*(12.3*F468^0.65)*0.5/F468)*inputs!$E$73/inputs!$E$74</f>
        <v>0.13541400718790042</v>
      </c>
      <c r="R468" s="60">
        <f>(60*379*((F468/1000)^0.8)*3*24*(MAX('Min rate concentrations'!$R$3:$R$368))/F468)*(inputs!$E$73/inputs!$E$75)</f>
        <v>7.147625164772829E-4</v>
      </c>
      <c r="S468" s="60">
        <f>(IF(inputs!$C$6="aerial",((0.025*0.112*inputs!$C$7/3.3)*(3*60*379*((F468/1000)^0.8))*MAX(inputs!$H$14:$H$16))/F468,((0.0083*0.112*inputs!$C$7/1)*(3*60*379*((F468/1000)^0.8))*MAX(inputs!$H$14:$H$16))/F468))*(inputs!E$75/inputs!$E$73)</f>
        <v>3.9419591921727231E-3</v>
      </c>
      <c r="T468" s="63">
        <f>IF((((inputs!$P$12/(V468/MAX(K468:S468)))^(1/inputs!$O$12))-1)/inputs!$N$12&lt;0, 0, IF((((inputs!$P$12/(V468/MAX(K468:S468)))^(1/inputs!$O$12))-1)/inputs!$N$12&gt;inputs!$H$17, inputs!$H$17, (((inputs!$P$12/(V468/MAX(K468:S468)))^(1/inputs!$O$12))-1)/inputs!$N$12))</f>
        <v>37.180043902211338</v>
      </c>
      <c r="U468" s="63">
        <f>IF((((inputs!$P$12/(X468/MAX(K468:S468)))^(1/inputs!$O$12))-1)/inputs!$N$12&lt;0, 0, IF((((inputs!$P$12/(X468/MAX(K468:S468)))^(1/inputs!$O$12))-1)/inputs!$N$12&gt;inputs!$H$17, inputs!$H$17, (((inputs!$P$12/(X468/MAX(K468:S468)))^(1/inputs!$O$12))-1)/inputs!$N$12))</f>
        <v>0</v>
      </c>
      <c r="V468" s="54">
        <f>inputs!$E$70*(inputs!$F$70/F468)^(0.25)</f>
        <v>0.27451421938065973</v>
      </c>
      <c r="W468" s="54">
        <f>inputs!$E$76*(inputs!$F$76/F468)^(0.25)</f>
        <v>8.2568699553496286E-2</v>
      </c>
      <c r="X468" s="54">
        <f>inputs!$E$72*(inputs!$F$72/F468)^(0.25)</f>
        <v>12.110921443264401</v>
      </c>
      <c r="Y468" s="54" t="s">
        <v>13</v>
      </c>
      <c r="Z468" s="106">
        <f t="shared" si="60"/>
        <v>16.360298313618973</v>
      </c>
      <c r="AA468" s="106">
        <f t="shared" si="61"/>
        <v>54.392700196132182</v>
      </c>
    </row>
    <row r="469" spans="1:27" ht="26.4" x14ac:dyDescent="0.25">
      <c r="A469" s="55" t="s">
        <v>604</v>
      </c>
      <c r="B469" s="49" t="s">
        <v>606</v>
      </c>
      <c r="C469" s="21" t="s">
        <v>61</v>
      </c>
      <c r="D469" s="20" t="s">
        <v>454</v>
      </c>
      <c r="E469" s="20">
        <v>4110</v>
      </c>
      <c r="F469" s="21">
        <v>113000</v>
      </c>
      <c r="G469" s="21" t="s">
        <v>218</v>
      </c>
      <c r="H469" s="21">
        <v>0.68</v>
      </c>
      <c r="I469" s="48">
        <f>MAX('Min rate concentrations'!$K$3:$K$368)</f>
        <v>18.333393099490852</v>
      </c>
      <c r="J469" s="48">
        <f>MAX('Min rate concentrations'!AC:AC)</f>
        <v>6.4930767227363431</v>
      </c>
      <c r="K469" s="60">
        <f t="shared" si="63"/>
        <v>1.6971208599598093</v>
      </c>
      <c r="L469" s="60">
        <f t="shared" si="64"/>
        <v>0.60106363790243234</v>
      </c>
      <c r="M469" s="60">
        <f>IF((((0.326*F469^0.818)-(0.398*F469^0.85)/(1-H469)*H469)*(MAX('Min rate concentrations'!$P$3:$P$368)))/F469&gt;0, (((0.326*F469^0.818)-(0.398*F469^0.85)/(1-H469)*H469)*(MAX('Min rate concentrations'!$P$3:$P$368)))/F469, 0)</f>
        <v>0</v>
      </c>
      <c r="N469" s="60">
        <f>IF((((0.326*F469^0.818)-(0.398*F469^0.85)/(1-H469)*H469)*(MAX('Min rate concentrations'!$Q$3:$Q$368)))/F469&gt; 0, (((0.326*F469^0.818)-(0.398*F469^0.85)/(1-H469)*H469)*(MAX('Min rate concentrations'!$Q$3:$Q$368)))/F469, 0)</f>
        <v>0</v>
      </c>
      <c r="O469" s="60">
        <f>((MAX('Min rate concentrations'!$F$3:$F$368))*0.62*6.01*8*(12.3*F469^0.65)*0.079*0.1/F469)*inputs!$E$73/inputs!$E$74</f>
        <v>0.76876317410980122</v>
      </c>
      <c r="P469" s="60">
        <f>((MAX('Min rate concentrations'!Y:Y))*0.62*6.01*8*(12.3*F469^0.65)*0.079*0.1/F469)*inputs!$E$73/inputs!$E$74</f>
        <v>0.25625439136993378</v>
      </c>
      <c r="Q469" s="60">
        <f>(inputs!$C$7*11.2*(12.3*F469^0.65)*0.5/F469)*inputs!$E$73/inputs!$E$74</f>
        <v>0.13541400718790042</v>
      </c>
      <c r="R469" s="60">
        <f>(60*379*((F469/1000)^0.8)*3*24*(MAX('Min rate concentrations'!$R$3:$R$368))/F469)*(inputs!$E$73/inputs!$E$75)</f>
        <v>7.147625164772829E-4</v>
      </c>
      <c r="S469" s="60">
        <f>(IF(inputs!$C$6="aerial",((0.025*0.112*inputs!$C$7/3.3)*(3*60*379*((F469/1000)^0.8))*MAX(inputs!$H$14:$H$16))/F469,((0.0083*0.112*inputs!$C$7/1)*(3*60*379*((F469/1000)^0.8))*MAX(inputs!$H$14:$H$16))/F469))*(inputs!E$75/inputs!$E$73)</f>
        <v>3.9419591921727231E-3</v>
      </c>
      <c r="T469" s="63">
        <f>IF((((inputs!$P$12/(V469/MAX(K469:S469)))^(1/inputs!$O$12))-1)/inputs!$N$12&lt;0, 0, IF((((inputs!$P$12/(V469/MAX(K469:S469)))^(1/inputs!$O$12))-1)/inputs!$N$12&gt;inputs!$H$17, inputs!$H$17, (((inputs!$P$12/(V469/MAX(K469:S469)))^(1/inputs!$O$12))-1)/inputs!$N$12))</f>
        <v>15.714162560346823</v>
      </c>
      <c r="U469" s="63">
        <f>IF((((inputs!$P$12/(X469/MAX(K469:S469)))^(1/inputs!$O$12))-1)/inputs!$N$12&lt;0, 0, IF((((inputs!$P$12/(X469/MAX(K469:S469)))^(1/inputs!$O$12))-1)/inputs!$N$12&gt;inputs!$H$17, inputs!$H$17, (((inputs!$P$12/(X469/MAX(K469:S469)))^(1/inputs!$O$12))-1)/inputs!$N$12))</f>
        <v>0</v>
      </c>
      <c r="V469" s="54">
        <f>inputs!$E$70*(inputs!$F$70/F469)^(0.25)</f>
        <v>0.27451421938065973</v>
      </c>
      <c r="W469" s="54">
        <f>inputs!$E$76*(inputs!$F$76/F469)^(0.25)</f>
        <v>8.2568699553496286E-2</v>
      </c>
      <c r="X469" s="54">
        <f>inputs!$E$72*(inputs!$F$72/F469)^(0.25)</f>
        <v>12.110921443264401</v>
      </c>
      <c r="Y469" s="54" t="s">
        <v>13</v>
      </c>
      <c r="Z469" s="106">
        <f t="shared" si="60"/>
        <v>6.1822694058935737</v>
      </c>
      <c r="AA469" s="106">
        <f t="shared" si="61"/>
        <v>20.554046135366878</v>
      </c>
    </row>
    <row r="470" spans="1:27" ht="26.4" x14ac:dyDescent="0.25">
      <c r="A470" s="55" t="s">
        <v>604</v>
      </c>
      <c r="B470" s="49" t="s">
        <v>606</v>
      </c>
      <c r="C470" s="21" t="s">
        <v>61</v>
      </c>
      <c r="D470" s="20" t="s">
        <v>454</v>
      </c>
      <c r="E470" s="20">
        <v>4110</v>
      </c>
      <c r="F470" s="21">
        <v>113000</v>
      </c>
      <c r="G470" s="21" t="s">
        <v>186</v>
      </c>
      <c r="H470" s="21">
        <v>0.75</v>
      </c>
      <c r="I470" s="48">
        <f>inputs!$C$65*inputs!$C$64/1000</f>
        <v>2.13</v>
      </c>
      <c r="J470" s="48">
        <f>inputs!$C$65*inputs!$C$63/1000</f>
        <v>0.88</v>
      </c>
      <c r="K470" s="60">
        <f t="shared" si="63"/>
        <v>0.25238264883563333</v>
      </c>
      <c r="L470" s="60">
        <f t="shared" si="64"/>
        <v>0.1042707657161302</v>
      </c>
      <c r="M470" s="60">
        <f>IF((((0.326*F470^0.818)-(0.398*F470^0.85)/(1-H470)*H470)*(MAX('Min rate concentrations'!$P$3:$P$368)))/F470&gt;0, (((0.326*F470^0.818)-(0.398*F470^0.85)/(1-H470)*H470)*(MAX('Min rate concentrations'!$P$3:$P$368)))/F470, 0)</f>
        <v>0</v>
      </c>
      <c r="N470" s="60">
        <f>IF((((0.326*F470^0.818)-(0.398*F470^0.85)/(1-H470)*H470)*(MAX('Min rate concentrations'!$Q$3:$Q$368)))/F470&gt; 0, (((0.326*F470^0.818)-(0.398*F470^0.85)/(1-H470)*H470)*(MAX('Min rate concentrations'!$Q$3:$Q$368)))/F470, 0)</f>
        <v>0</v>
      </c>
      <c r="O470" s="60">
        <f>((MAX('Min rate concentrations'!$F$3:$F$368))*0.62*6.01*8*(12.3*F470^0.65)*0.079*0.1/F470)*inputs!$E$73/inputs!$E$74</f>
        <v>0.76876317410980122</v>
      </c>
      <c r="P470" s="60">
        <f>((MAX('Min rate concentrations'!Y:Y))*0.62*6.01*8*(12.3*F470^0.65)*0.079*0.1/F470)*inputs!$E$73/inputs!$E$74</f>
        <v>0.25625439136993378</v>
      </c>
      <c r="Q470" s="60">
        <f>(inputs!$C$7*11.2*(12.3*F470^0.65)*0.5/F470)*inputs!$E$73/inputs!$E$74</f>
        <v>0.13541400718790042</v>
      </c>
      <c r="R470" s="60">
        <f>(60*379*((F470/1000)^0.8)*3*24*(MAX('Min rate concentrations'!$R$3:$R$368))/F470)*(inputs!$E$73/inputs!$E$75)</f>
        <v>7.147625164772829E-4</v>
      </c>
      <c r="S470" s="60">
        <f>(IF(inputs!$C$6="aerial",((0.025*0.112*inputs!$C$7/3.3)*(3*60*379*((F470/1000)^0.8))*MAX(inputs!$H$14:$H$16))/F470,((0.0083*0.112*inputs!$C$7/1)*(3*60*379*((F470/1000)^0.8))*MAX(inputs!$H$14:$H$16))/F470))*(inputs!E$75/inputs!$E$73)</f>
        <v>3.9419591921727231E-3</v>
      </c>
      <c r="T470" s="63">
        <f>IF((((inputs!$P$12/(V470/MAX(K470:S470)))^(1/inputs!$O$12))-1)/inputs!$N$12&lt;0, 0, IF((((inputs!$P$12/(V470/MAX(K470:S470)))^(1/inputs!$O$12))-1)/inputs!$N$12&gt;inputs!$H$17, inputs!$H$17, (((inputs!$P$12/(V470/MAX(K470:S470)))^(1/inputs!$O$12))-1)/inputs!$N$12))</f>
        <v>3.5415896662969284</v>
      </c>
      <c r="U470" s="63">
        <f>IF((((inputs!$P$12/(X470/MAX(K470:S470)))^(1/inputs!$O$12))-1)/inputs!$N$12&lt;0, 0, IF((((inputs!$P$12/(X470/MAX(K470:S470)))^(1/inputs!$O$12))-1)/inputs!$N$12&gt;inputs!$H$17, inputs!$H$17, (((inputs!$P$12/(X470/MAX(K470:S470)))^(1/inputs!$O$12))-1)/inputs!$N$12))</f>
        <v>0</v>
      </c>
      <c r="V470" s="54">
        <f>inputs!$E$70*(inputs!$F$70/F470)^(0.25)</f>
        <v>0.27451421938065973</v>
      </c>
      <c r="W470" s="54">
        <f>inputs!$E$76*(inputs!$F$76/F470)^(0.25)</f>
        <v>8.2568699553496286E-2</v>
      </c>
      <c r="X470" s="54">
        <f>inputs!$E$72*(inputs!$F$72/F470)^(0.25)</f>
        <v>12.110921443264401</v>
      </c>
      <c r="Y470" s="54" t="s">
        <v>13</v>
      </c>
      <c r="Z470" s="106">
        <f t="shared" si="60"/>
        <v>2.8004493750605426</v>
      </c>
      <c r="AA470" s="106">
        <f t="shared" si="61"/>
        <v>9.3105883738876045</v>
      </c>
    </row>
    <row r="471" spans="1:27" ht="26.4" x14ac:dyDescent="0.25">
      <c r="A471" s="55" t="s">
        <v>604</v>
      </c>
      <c r="B471" s="49" t="s">
        <v>606</v>
      </c>
      <c r="C471" s="21" t="s">
        <v>61</v>
      </c>
      <c r="D471" s="20" t="s">
        <v>454</v>
      </c>
      <c r="E471" s="20">
        <v>4110</v>
      </c>
      <c r="F471" s="21">
        <v>113000</v>
      </c>
      <c r="G471" s="21" t="s">
        <v>152</v>
      </c>
      <c r="H471" s="21">
        <v>0.77</v>
      </c>
      <c r="I471" s="48">
        <f>MAX('Min rate concentrations'!$G$3:$G$368)</f>
        <v>7.5</v>
      </c>
      <c r="J471" s="48">
        <f>MAX('Min rate concentrations'!Z:Z)</f>
        <v>3.5</v>
      </c>
      <c r="K471" s="60">
        <f t="shared" si="63"/>
        <v>0.96594706382284656</v>
      </c>
      <c r="L471" s="60">
        <f t="shared" si="64"/>
        <v>0.45077529645066172</v>
      </c>
      <c r="M471" s="60">
        <f>IF((((0.326*F471^0.818)-(0.398*F471^0.85)/(1-H471)*H471)*(MAX('Min rate concentrations'!$P$3:$P$368)))/F471&gt;0, (((0.326*F471^0.818)-(0.398*F471^0.85)/(1-H471)*H471)*(MAX('Min rate concentrations'!$P$3:$P$368)))/F471, 0)</f>
        <v>0</v>
      </c>
      <c r="N471" s="60">
        <f>IF((((0.326*F471^0.818)-(0.398*F471^0.85)/(1-H471)*H471)*(MAX('Min rate concentrations'!$Q$3:$Q$368)))/F471&gt; 0, (((0.326*F471^0.818)-(0.398*F471^0.85)/(1-H471)*H471)*(MAX('Min rate concentrations'!$Q$3:$Q$368)))/F471, 0)</f>
        <v>0</v>
      </c>
      <c r="O471" s="60">
        <f>((MAX('Min rate concentrations'!$F$3:$F$368))*0.62*6.01*8*(12.3*F471^0.65)*0.079*0.1/F471)*inputs!$E$73/inputs!$E$74</f>
        <v>0.76876317410980122</v>
      </c>
      <c r="P471" s="60">
        <f>((MAX('Min rate concentrations'!Y:Y))*0.62*6.01*8*(12.3*F471^0.65)*0.079*0.1/F471)*inputs!$E$73/inputs!$E$74</f>
        <v>0.25625439136993378</v>
      </c>
      <c r="Q471" s="60">
        <f>(inputs!$C$7*11.2*(12.3*F471^0.65)*0.5/F471)*inputs!$E$73/inputs!$E$74</f>
        <v>0.13541400718790042</v>
      </c>
      <c r="R471" s="60">
        <f>(60*379*((F471/1000)^0.8)*3*24*(MAX('Min rate concentrations'!$R$3:$R$368))/F471)*(inputs!$E$73/inputs!$E$75)</f>
        <v>7.147625164772829E-4</v>
      </c>
      <c r="S471" s="60">
        <f>(IF(inputs!$C$6="aerial",((0.025*0.112*inputs!$C$7/3.3)*(3*60*379*((F471/1000)^0.8))*MAX(inputs!$H$14:$H$16))/F471,((0.0083*0.112*inputs!$C$7/1)*(3*60*379*((F471/1000)^0.8))*MAX(inputs!$H$14:$H$16))/F471))*(inputs!E$75/inputs!$E$73)</f>
        <v>3.9419591921727231E-3</v>
      </c>
      <c r="T471" s="63">
        <f>IF((((inputs!$P$12/(V471/MAX(K471:S471)))^(1/inputs!$O$12))-1)/inputs!$N$12&lt;0, 0, IF((((inputs!$P$12/(V471/MAX(K471:S471)))^(1/inputs!$O$12))-1)/inputs!$N$12&gt;inputs!$H$17, inputs!$H$17, (((inputs!$P$12/(V471/MAX(K471:S471)))^(1/inputs!$O$12))-1)/inputs!$N$12))</f>
        <v>6.65881841890491</v>
      </c>
      <c r="U471" s="63">
        <f>IF((((inputs!$P$12/(X471/MAX(K471:S471)))^(1/inputs!$O$12))-1)/inputs!$N$12&lt;0, 0, IF((((inputs!$P$12/(X471/MAX(K471:S471)))^(1/inputs!$O$12))-1)/inputs!$N$12&gt;inputs!$H$17, inputs!$H$17, (((inputs!$P$12/(X471/MAX(K471:S471)))^(1/inputs!$O$12))-1)/inputs!$N$12))</f>
        <v>0</v>
      </c>
      <c r="V471" s="54">
        <f>inputs!$E$70*(inputs!$F$70/F471)^(0.25)</f>
        <v>0.27451421938065973</v>
      </c>
      <c r="W471" s="54">
        <f>inputs!$E$76*(inputs!$F$76/F471)^(0.25)</f>
        <v>8.2568699553496286E-2</v>
      </c>
      <c r="X471" s="54">
        <f>inputs!$E$72*(inputs!$F$72/F471)^(0.25)</f>
        <v>12.110921443264401</v>
      </c>
      <c r="Y471" s="54" t="s">
        <v>13</v>
      </c>
      <c r="Z471" s="106">
        <f t="shared" si="60"/>
        <v>3.5187505623648585</v>
      </c>
      <c r="AA471" s="106">
        <f t="shared" si="61"/>
        <v>11.698707488992353</v>
      </c>
    </row>
    <row r="472" spans="1:27" ht="26.4" x14ac:dyDescent="0.25">
      <c r="A472" s="55" t="s">
        <v>604</v>
      </c>
      <c r="B472" s="49" t="s">
        <v>606</v>
      </c>
      <c r="C472" s="21" t="s">
        <v>61</v>
      </c>
      <c r="D472" s="20" t="s">
        <v>454</v>
      </c>
      <c r="E472" s="20">
        <v>4110</v>
      </c>
      <c r="F472" s="21">
        <v>113000</v>
      </c>
      <c r="G472" s="21" t="s">
        <v>169</v>
      </c>
      <c r="H472" s="21">
        <v>0.79</v>
      </c>
      <c r="I472" s="48">
        <f>MAX('Min rate concentrations'!$D$3:$D$368)</f>
        <v>120</v>
      </c>
      <c r="J472" s="48">
        <f>MAX('Min rate concentrations'!W:W)</f>
        <v>42.5</v>
      </c>
      <c r="K472" s="60">
        <f t="shared" si="63"/>
        <v>16.927072356514646</v>
      </c>
      <c r="L472" s="60">
        <f t="shared" si="64"/>
        <v>5.9950047929322707</v>
      </c>
      <c r="M472" s="60">
        <f>IF((((0.326*F472^0.818)-(0.398*F472^0.85)/(1-H472)*H472)*(MAX('Min rate concentrations'!$P$3:$P$368)))/F472&gt;0, (((0.326*F472^0.818)-(0.398*F472^0.85)/(1-H472)*H472)*(MAX('Min rate concentrations'!$P$3:$P$368)))/F472, 0)</f>
        <v>0</v>
      </c>
      <c r="N472" s="60">
        <f>IF((((0.326*F472^0.818)-(0.398*F472^0.85)/(1-H472)*H472)*(MAX('Min rate concentrations'!$Q$3:$Q$368)))/F472&gt; 0, (((0.326*F472^0.818)-(0.398*F472^0.85)/(1-H472)*H472)*(MAX('Min rate concentrations'!$Q$3:$Q$368)))/F472, 0)</f>
        <v>0</v>
      </c>
      <c r="O472" s="60">
        <f>((MAX('Min rate concentrations'!$F$3:$F$368))*0.62*6.01*8*(12.3*F472^0.65)*0.079*0.1/F472)*inputs!$E$73/inputs!$E$74</f>
        <v>0.76876317410980122</v>
      </c>
      <c r="P472" s="60">
        <f>((MAX('Min rate concentrations'!Y:Y))*0.62*6.01*8*(12.3*F472^0.65)*0.079*0.1/F472)*inputs!$E$73/inputs!$E$74</f>
        <v>0.25625439136993378</v>
      </c>
      <c r="Q472" s="60">
        <f>(inputs!$C$7*11.2*(12.3*F472^0.65)*0.5/F472)*inputs!$E$73/inputs!$E$74</f>
        <v>0.13541400718790042</v>
      </c>
      <c r="R472" s="60">
        <f>(60*379*((F472/1000)^0.8)*3*24*(MAX('Min rate concentrations'!$R$3:$R$368))/F472)*(inputs!$E$73/inputs!$E$75)</f>
        <v>7.147625164772829E-4</v>
      </c>
      <c r="S472" s="60">
        <f>(IF(inputs!$C$6="aerial",((0.025*0.112*inputs!$C$7/3.3)*(3*60*379*((F472/1000)^0.8))*MAX(inputs!$H$14:$H$16))/F472,((0.0083*0.112*inputs!$C$7/1)*(3*60*379*((F472/1000)^0.8))*MAX(inputs!$H$14:$H$16))/F472))*(inputs!E$75/inputs!$E$73)</f>
        <v>3.9419591921727231E-3</v>
      </c>
      <c r="T472" s="63">
        <f>IF((((inputs!$P$12/(V472/MAX(K472:S472)))^(1/inputs!$O$12))-1)/inputs!$N$12&lt;0, 0, IF((((inputs!$P$12/(V472/MAX(K472:S472)))^(1/inputs!$O$12))-1)/inputs!$N$12&gt;inputs!$H$17, inputs!$H$17, (((inputs!$P$12/(V472/MAX(K472:S472)))^(1/inputs!$O$12))-1)/inputs!$N$12))</f>
        <v>84.161996302004837</v>
      </c>
      <c r="U472" s="63">
        <f>IF((((inputs!$P$12/(X472/MAX(K472:S472)))^(1/inputs!$O$12))-1)/inputs!$N$12&lt;0, 0, IF((((inputs!$P$12/(X472/MAX(K472:S472)))^(1/inputs!$O$12))-1)/inputs!$N$12&gt;inputs!$H$17, inputs!$H$17, (((inputs!$P$12/(X472/MAX(K472:S472)))^(1/inputs!$O$12))-1)/inputs!$N$12))</f>
        <v>0</v>
      </c>
      <c r="V472" s="54">
        <f>inputs!$E$70*(inputs!$F$70/F472)^(0.25)</f>
        <v>0.27451421938065973</v>
      </c>
      <c r="W472" s="54">
        <f>inputs!$E$76*(inputs!$F$76/F472)^(0.25)</f>
        <v>8.2568699553496286E-2</v>
      </c>
      <c r="X472" s="54">
        <f>inputs!$E$72*(inputs!$F$72/F472)^(0.25)</f>
        <v>12.110921443264401</v>
      </c>
      <c r="Y472" s="54" t="s">
        <v>13</v>
      </c>
      <c r="Z472" s="106">
        <f t="shared" si="60"/>
        <v>61.661914616679432</v>
      </c>
      <c r="AA472" s="106">
        <f t="shared" si="61"/>
        <v>205.00592171186602</v>
      </c>
    </row>
    <row r="473" spans="1:27" ht="26.4" x14ac:dyDescent="0.25">
      <c r="A473" s="55" t="s">
        <v>604</v>
      </c>
      <c r="B473" s="49" t="s">
        <v>606</v>
      </c>
      <c r="C473" s="21" t="s">
        <v>61</v>
      </c>
      <c r="D473" s="20" t="s">
        <v>454</v>
      </c>
      <c r="E473" s="20">
        <v>4110</v>
      </c>
      <c r="F473" s="21">
        <v>113000</v>
      </c>
      <c r="G473" s="21" t="s">
        <v>580</v>
      </c>
      <c r="H473" s="21">
        <v>0.85</v>
      </c>
      <c r="I473" s="48">
        <f>MAX('Min rate concentrations'!$F$3:$F$368)</f>
        <v>67.5</v>
      </c>
      <c r="J473" s="48">
        <f>MAX('Min rate concentrations'!Y:Y)</f>
        <v>22.5</v>
      </c>
      <c r="K473" s="60">
        <f t="shared" si="63"/>
        <v>13.330069480755279</v>
      </c>
      <c r="L473" s="60"/>
      <c r="M473" s="60">
        <f>IF((((0.326*F473^0.818)-(0.398*F473^0.85)/(1-H473)*H473)*(MAX('Min rate concentrations'!$P$3:$P$368)))/F473&gt;0, (((0.326*F473^0.818)-(0.398*F473^0.85)/(1-H473)*H473)*(MAX('Min rate concentrations'!$P$3:$P$368)))/F473, 0)</f>
        <v>0</v>
      </c>
      <c r="N473" s="60">
        <f>IF((((0.326*F473^0.818)-(0.398*F473^0.85)/(1-H473)*H473)*(MAX('Min rate concentrations'!$Q$3:$Q$368)))/F473&gt; 0, (((0.326*F473^0.818)-(0.398*F473^0.85)/(1-H473)*H473)*(MAX('Min rate concentrations'!$Q$3:$Q$368)))/F473, 0)</f>
        <v>0</v>
      </c>
      <c r="O473" s="60">
        <f>((MAX('Min rate concentrations'!$F$3:$F$368))*0.62*6.01*8*(12.3*F473^0.65)*0.079*0.1/F473)*inputs!$E$73/inputs!$E$74</f>
        <v>0.76876317410980122</v>
      </c>
      <c r="P473" s="60"/>
      <c r="Q473" s="60">
        <f>(inputs!$C$7*11.2*(12.3*F473^0.65)*0.5/F473)*inputs!$E$73/inputs!$E$74</f>
        <v>0.13541400718790042</v>
      </c>
      <c r="R473" s="60">
        <f>(60*379*((F473/1000)^0.8)*3*24*(MAX('Min rate concentrations'!$R$3:$R$368))/F473)*(inputs!$E$73/inputs!$E$75)</f>
        <v>7.147625164772829E-4</v>
      </c>
      <c r="S473" s="60">
        <f>(IF(inputs!$C$6="aerial",((0.025*0.112*inputs!$C$7/3.3)*(3*60*379*((F473/1000)^0.8))*MAX(inputs!$H$14:$H$16))/F473,((0.0083*0.112*inputs!$C$7/1)*(3*60*379*((F473/1000)^0.8))*MAX(inputs!$H$14:$H$16))/F473))*(inputs!E$75/inputs!$E$73)</f>
        <v>3.9419591921727231E-3</v>
      </c>
      <c r="T473" s="63">
        <f>IF((((inputs!$P$12/(V473/MAX(K473:S473)))^(1/inputs!$O$12))-1)/inputs!$N$12&lt;0, 0, IF((((inputs!$P$12/(V473/MAX(K473:S473)))^(1/inputs!$O$12))-1)/inputs!$N$12&gt;inputs!$H$17, inputs!$H$17, (((inputs!$P$12/(V473/MAX(K473:S473)))^(1/inputs!$O$12))-1)/inputs!$N$12))</f>
        <v>73.731040543954563</v>
      </c>
      <c r="U473" s="63">
        <f>IF((((inputs!$P$12/(X473/MAX(K473:S473)))^(1/inputs!$O$12))-1)/inputs!$N$12&lt;0, 0, IF((((inputs!$P$12/(X473/MAX(K473:S473)))^(1/inputs!$O$12))-1)/inputs!$N$12&gt;inputs!$H$17, inputs!$H$17, (((inputs!$P$12/(X473/MAX(K473:S473)))^(1/inputs!$O$12))-1)/inputs!$N$12))</f>
        <v>0</v>
      </c>
      <c r="V473" s="54">
        <f>inputs!$E$70*(inputs!$F$70/F473)^(0.25)</f>
        <v>0.27451421938065973</v>
      </c>
      <c r="W473" s="54">
        <f>inputs!$E$76*(inputs!$F$76/F473)^(0.25)</f>
        <v>8.2568699553496286E-2</v>
      </c>
      <c r="X473" s="54">
        <f>inputs!$E$72*(inputs!$F$72/F473)^(0.25)</f>
        <v>12.110921443264401</v>
      </c>
      <c r="Y473" s="54" t="s">
        <v>13</v>
      </c>
      <c r="Z473" s="106">
        <f t="shared" si="60"/>
        <v>48.558757760635032</v>
      </c>
      <c r="AA473" s="106">
        <f t="shared" si="61"/>
        <v>161.44216334809443</v>
      </c>
    </row>
    <row r="474" spans="1:27" ht="26.4" x14ac:dyDescent="0.25">
      <c r="A474" s="55" t="s">
        <v>604</v>
      </c>
      <c r="B474" s="49" t="s">
        <v>606</v>
      </c>
      <c r="C474" s="21" t="s">
        <v>61</v>
      </c>
      <c r="D474" s="20" t="s">
        <v>454</v>
      </c>
      <c r="E474" s="20">
        <v>4110</v>
      </c>
      <c r="F474" s="21">
        <v>113000</v>
      </c>
      <c r="G474" s="21" t="s">
        <v>455</v>
      </c>
      <c r="H474" s="21">
        <v>0.68</v>
      </c>
      <c r="I474" s="21">
        <f>MAX('Min rate concentrations'!$K$3:$K$368)</f>
        <v>18.333393099490852</v>
      </c>
      <c r="J474" s="48">
        <f>MAX('Min rate concentrations'!AC:AC)</f>
        <v>6.4930767227363431</v>
      </c>
      <c r="K474" s="60">
        <f t="shared" si="63"/>
        <v>1.6971208599598093</v>
      </c>
      <c r="L474" s="60"/>
      <c r="M474" s="60">
        <f>IF((((0.326*F474^0.818)-(0.398*F474^0.85)/(1-H474)*H474)*(MAX('Min rate concentrations'!$P$3:$P$368)))/F474&gt;0, (((0.326*F474^0.818)-(0.398*F474^0.85)/(1-H474)*H474)*(MAX('Min rate concentrations'!$P$3:$P$368)))/F474, 0)</f>
        <v>0</v>
      </c>
      <c r="N474" s="60">
        <f>IF((((0.326*F474^0.818)-(0.398*F474^0.85)/(1-H474)*H474)*(MAX('Min rate concentrations'!$Q$3:$Q$368)))/F474&gt; 0, (((0.326*F474^0.818)-(0.398*F474^0.85)/(1-H474)*H474)*(MAX('Min rate concentrations'!$Q$3:$Q$368)))/F474, 0)</f>
        <v>0</v>
      </c>
      <c r="O474" s="60">
        <f>((MAX('Min rate concentrations'!$F$3:$F$368))*0.62*6.01*8*(12.3*F474^0.65)*0.079*0.1/F474)*inputs!$E$73/inputs!$E$74</f>
        <v>0.76876317410980122</v>
      </c>
      <c r="P474" s="60"/>
      <c r="Q474" s="60">
        <f>(inputs!$C$7*11.2*(12.3*F474^0.65)*0.5/F474)*inputs!$E$73/inputs!$E$74</f>
        <v>0.13541400718790042</v>
      </c>
      <c r="R474" s="60">
        <f>(60*379*((F474/1000)^0.8)*3*24*(MAX('Min rate concentrations'!$R$3:$R$368))/F474)*(inputs!$E$73/inputs!$E$75)</f>
        <v>7.147625164772829E-4</v>
      </c>
      <c r="S474" s="60">
        <f>(IF(inputs!$C$6="aerial",((0.025*0.112*inputs!$C$7/3.3)*(3*60*379*((F474/1000)^0.8))*MAX(inputs!$H$14:$H$16))/F474,((0.0083*0.112*inputs!$C$7/1)*(3*60*379*((F474/1000)^0.8))*MAX(inputs!$H$14:$H$16))/F474))*(inputs!E$75/inputs!$E$73)</f>
        <v>3.9419591921727231E-3</v>
      </c>
      <c r="T474" s="63">
        <f>IF((((inputs!$P$12/(V474/MAX(K474:S474)))^(1/inputs!$O$12))-1)/inputs!$N$12&lt;0, 0, IF((((inputs!$P$12/(V474/MAX(K474:S474)))^(1/inputs!$O$12))-1)/inputs!$N$12&gt;inputs!$H$17, inputs!$H$17, (((inputs!$P$12/(V474/MAX(K474:S474)))^(1/inputs!$O$12))-1)/inputs!$N$12))</f>
        <v>15.714162560346823</v>
      </c>
      <c r="U474" s="63">
        <f>IF((((inputs!$P$12/(X474/MAX(K474:S474)))^(1/inputs!$O$12))-1)/inputs!$N$12&lt;0, 0, IF((((inputs!$P$12/(X474/MAX(K474:S474)))^(1/inputs!$O$12))-1)/inputs!$N$12&gt;inputs!$H$17, inputs!$H$17, (((inputs!$P$12/(X474/MAX(K474:S474)))^(1/inputs!$O$12))-1)/inputs!$N$12))</f>
        <v>0</v>
      </c>
      <c r="V474" s="54">
        <f>inputs!$E$70*(inputs!$F$70/F474)^(0.25)</f>
        <v>0.27451421938065973</v>
      </c>
      <c r="W474" s="54">
        <f>inputs!$E$76*(inputs!$F$76/F474)^(0.25)</f>
        <v>8.2568699553496286E-2</v>
      </c>
      <c r="X474" s="54">
        <f>inputs!$E$72*(inputs!$F$72/F474)^(0.25)</f>
        <v>12.110921443264401</v>
      </c>
      <c r="Y474" s="54" t="s">
        <v>13</v>
      </c>
      <c r="Z474" s="106">
        <f t="shared" si="60"/>
        <v>6.1822694058935737</v>
      </c>
      <c r="AA474" s="106">
        <f t="shared" si="61"/>
        <v>20.554046135366878</v>
      </c>
    </row>
    <row r="475" spans="1:27" ht="26.4" x14ac:dyDescent="0.25">
      <c r="A475" s="55" t="s">
        <v>604</v>
      </c>
      <c r="B475" s="49" t="s">
        <v>606</v>
      </c>
      <c r="C475" s="21" t="s">
        <v>61</v>
      </c>
      <c r="D475" s="20" t="s">
        <v>454</v>
      </c>
      <c r="E475" s="20">
        <v>4110</v>
      </c>
      <c r="F475" s="21">
        <v>113000</v>
      </c>
      <c r="G475" s="21" t="s">
        <v>456</v>
      </c>
      <c r="H475" s="21">
        <v>0.68</v>
      </c>
      <c r="I475" s="48">
        <f>MAX('Min rate concentrations'!$J$3:$J$368)</f>
        <v>114.4108103430513</v>
      </c>
      <c r="J475" s="48">
        <f>MAX('Min rate concentrations'!AB:AB)</f>
        <v>40.520495329830666</v>
      </c>
      <c r="K475" s="60">
        <f t="shared" si="63"/>
        <v>10.591000355711033</v>
      </c>
      <c r="L475" s="60">
        <f t="shared" ref="L475:L486" si="65">(((0.235*F475^0.822)/(1-H475)))*J475/F475</f>
        <v>3.7509792926476582</v>
      </c>
      <c r="M475" s="60">
        <f>IF((((0.326*F475^0.818)-(0.398*F475^0.85)/(1-H475)*H475)*(MAX('Min rate concentrations'!$P$3:$P$368)))/F475&gt;0, (((0.326*F475^0.818)-(0.398*F475^0.85)/(1-H475)*H475)*(MAX('Min rate concentrations'!$P$3:$P$368)))/F475, 0)</f>
        <v>0</v>
      </c>
      <c r="N475" s="60">
        <f>IF((((0.326*F475^0.818)-(0.398*F475^0.85)/(1-H475)*H475)*(MAX('Min rate concentrations'!$Q$3:$Q$368)))/F475&gt; 0, (((0.326*F475^0.818)-(0.398*F475^0.85)/(1-H475)*H475)*(MAX('Min rate concentrations'!$Q$3:$Q$368)))/F475, 0)</f>
        <v>0</v>
      </c>
      <c r="O475" s="60">
        <f>((MAX('Min rate concentrations'!$F$3:$F$368))*0.62*6.01*8*(12.3*F475^0.65)*0.079*0.1/F475)*inputs!$E$73/inputs!$E$74</f>
        <v>0.76876317410980122</v>
      </c>
      <c r="P475" s="60">
        <f>((MAX('Min rate concentrations'!Y:Y))*0.62*6.01*8*(12.3*F475^0.65)*0.079*0.1/F475)*inputs!$E$73/inputs!$E$74</f>
        <v>0.25625439136993378</v>
      </c>
      <c r="Q475" s="60">
        <f>(inputs!$C$7*11.2*(12.3*F475^0.65)*0.5/F475)*inputs!$E$73/inputs!$E$74</f>
        <v>0.13541400718790042</v>
      </c>
      <c r="R475" s="60">
        <f>(60*379*((F475/1000)^0.8)*3*24*(MAX('Min rate concentrations'!$R$3:$R$368))/F475)*(inputs!$E$73/inputs!$E$75)</f>
        <v>7.147625164772829E-4</v>
      </c>
      <c r="S475" s="60">
        <f>(IF(inputs!$C$6="aerial",((0.025*0.112*inputs!$C$7/3.3)*(3*60*379*((F475/1000)^0.8))*MAX(inputs!$H$14:$H$16))/F475,((0.0083*0.112*inputs!$C$7/1)*(3*60*379*((F475/1000)^0.8))*MAX(inputs!$H$14:$H$16))/F475))*(inputs!E$75/inputs!$E$73)</f>
        <v>3.9419591921727231E-3</v>
      </c>
      <c r="T475" s="63">
        <f>IF((((inputs!$P$12/(V475/MAX(K475:S475)))^(1/inputs!$O$12))-1)/inputs!$N$12&lt;0, 0, IF((((inputs!$P$12/(V475/MAX(K475:S475)))^(1/inputs!$O$12))-1)/inputs!$N$12&gt;inputs!$H$17, inputs!$H$17, (((inputs!$P$12/(V475/MAX(K475:S475)))^(1/inputs!$O$12))-1)/inputs!$N$12))</f>
        <v>64.601336121448014</v>
      </c>
      <c r="U475" s="63">
        <f>IF((((inputs!$P$12/(X475/MAX(K475:S475)))^(1/inputs!$O$12))-1)/inputs!$N$12&lt;0, 0, IF((((inputs!$P$12/(X475/MAX(K475:S475)))^(1/inputs!$O$12))-1)/inputs!$N$12&gt;inputs!$H$17, inputs!$H$17, (((inputs!$P$12/(X475/MAX(K475:S475)))^(1/inputs!$O$12))-1)/inputs!$N$12))</f>
        <v>0</v>
      </c>
      <c r="V475" s="54">
        <f>inputs!$E$70*(inputs!$F$70/F475)^(0.25)</f>
        <v>0.27451421938065973</v>
      </c>
      <c r="W475" s="54">
        <f>inputs!$E$76*(inputs!$F$76/F475)^(0.25)</f>
        <v>8.2568699553496286E-2</v>
      </c>
      <c r="X475" s="54">
        <f>inputs!$E$72*(inputs!$F$72/F475)^(0.25)</f>
        <v>12.110921443264401</v>
      </c>
      <c r="Y475" s="54" t="s">
        <v>13</v>
      </c>
      <c r="Z475" s="106">
        <f t="shared" si="60"/>
        <v>38.58088072670963</v>
      </c>
      <c r="AA475" s="106">
        <f t="shared" si="61"/>
        <v>128.26894952910237</v>
      </c>
    </row>
    <row r="476" spans="1:27" ht="26.4" x14ac:dyDescent="0.25">
      <c r="A476" s="55" t="s">
        <v>493</v>
      </c>
      <c r="B476" s="49" t="s">
        <v>494</v>
      </c>
      <c r="C476" s="21" t="s">
        <v>61</v>
      </c>
      <c r="D476" s="20" t="s">
        <v>454</v>
      </c>
      <c r="E476" s="20">
        <v>22</v>
      </c>
      <c r="F476" s="21">
        <v>9100</v>
      </c>
      <c r="G476" s="21" t="s">
        <v>138</v>
      </c>
      <c r="H476" s="21">
        <v>0.68</v>
      </c>
      <c r="I476" s="48">
        <f>MAX('Min rate concentrations'!$L$3:$L$368)</f>
        <v>58.421240152220811</v>
      </c>
      <c r="J476" s="48">
        <f>MAX('Min rate concentrations'!AD:AD)</f>
        <v>40.397666062705881</v>
      </c>
      <c r="K476" s="60">
        <f t="shared" si="63"/>
        <v>8.4679695555578753</v>
      </c>
      <c r="L476" s="60">
        <f t="shared" si="65"/>
        <v>5.8555108628857653</v>
      </c>
      <c r="M476" s="60">
        <f>IF((((0.326*F476^0.818)-(0.398*F476^0.85)/(1-H476)*H476)*(MAX('Min rate concentrations'!$P$3:$P$368)))/F476&gt;0, (((0.326*F476^0.818)-(0.398*F476^0.85)/(1-H476)*H476)*(MAX('Min rate concentrations'!$P$3:$P$368)))/F476, 0)</f>
        <v>0</v>
      </c>
      <c r="N476" s="60">
        <f>IF((((0.326*F476^0.818)-(0.398*F476^0.85)/(1-H476)*H476)*(MAX('Min rate concentrations'!$Q$3:$Q$368)))/F476&gt; 0, (((0.326*F476^0.818)-(0.398*F476^0.85)/(1-H476)*H476)*(MAX('Min rate concentrations'!$Q$3:$Q$368)))/F476, 0)</f>
        <v>0</v>
      </c>
      <c r="O476" s="60">
        <f>((MAX('Min rate concentrations'!$F$3:$F$368))*0.62*6.01*8*(12.3*F476^0.65)*0.079*0.1/F476)*inputs!$E$73/inputs!$E$74</f>
        <v>1.8565452513029643</v>
      </c>
      <c r="P476" s="60">
        <f>((MAX('Min rate concentrations'!Y:Y))*0.62*6.01*8*(12.3*F476^0.65)*0.079*0.1/F476)*inputs!$E$73/inputs!$E$74</f>
        <v>0.61884841710098792</v>
      </c>
      <c r="Q476" s="60">
        <f>(inputs!$C$7*11.2*(12.3*F476^0.65)*0.5/F476)*inputs!$E$73/inputs!$E$74</f>
        <v>0.32702168947636734</v>
      </c>
      <c r="R476" s="60">
        <f>(60*379*((F476/1000)^0.8)*3*24*(MAX('Min rate concentrations'!$R$3:$R$368))/F476)*(inputs!$E$73/inputs!$E$75)</f>
        <v>1.1829576017963403E-3</v>
      </c>
      <c r="S476" s="60">
        <f>(IF(inputs!$C$6="aerial",((0.025*0.112*inputs!$C$7/3.3)*(3*60*379*((F476/1000)^0.8))*MAX(inputs!$H$14:$H$16))/F476,((0.0083*0.112*inputs!$C$7/1)*(3*60*379*((F476/1000)^0.8))*MAX(inputs!$H$14:$H$16))/F476))*(inputs!E$75/inputs!$E$73)</f>
        <v>6.5240838528217516E-3</v>
      </c>
      <c r="T476" s="63">
        <f>IF((((inputs!$P$12/(V476/MAX(K476:S476)))^(1/inputs!$O$12))-1)/inputs!$N$12&lt;0, 0, IF((((inputs!$P$12/(V476/MAX(K476:S476)))^(1/inputs!$O$12))-1)/inputs!$N$12&gt;inputs!$H$17, inputs!$H$17, (((inputs!$P$12/(V476/MAX(K476:S476)))^(1/inputs!$O$12))-1)/inputs!$N$12))</f>
        <v>37.297863585935509</v>
      </c>
      <c r="U476" s="63">
        <f>IF((((inputs!$P$12/(X476/MAX(K476:S476)))^(1/inputs!$O$12))-1)/inputs!$N$12&lt;0, 0, IF((((inputs!$P$12/(X476/MAX(K476:S476)))^(1/inputs!$O$12))-1)/inputs!$N$12&gt;inputs!$H$17, inputs!$H$17, (((inputs!$P$12/(X476/MAX(K476:S476)))^(1/inputs!$O$12))-1)/inputs!$N$12))</f>
        <v>0</v>
      </c>
      <c r="V476" s="54">
        <f>inputs!$E$70*(inputs!$F$70/F476)^(0.25)</f>
        <v>0.51531657055910918</v>
      </c>
      <c r="W476" s="54">
        <f>inputs!$E$76*(inputs!$F$76/F476)^(0.25)</f>
        <v>0.15499750499420156</v>
      </c>
      <c r="X476" s="54">
        <f>inputs!$E$72*(inputs!$F$72/F476)^(0.25)</f>
        <v>22.734554583490112</v>
      </c>
      <c r="Y476" s="54" t="s">
        <v>13</v>
      </c>
      <c r="Z476" s="106">
        <f t="shared" si="60"/>
        <v>16.432558235746779</v>
      </c>
      <c r="AA476" s="106">
        <f t="shared" si="61"/>
        <v>54.632941064920118</v>
      </c>
    </row>
    <row r="477" spans="1:27" ht="26.4" x14ac:dyDescent="0.25">
      <c r="A477" s="55" t="s">
        <v>493</v>
      </c>
      <c r="B477" s="49" t="s">
        <v>494</v>
      </c>
      <c r="C477" s="21" t="s">
        <v>61</v>
      </c>
      <c r="D477" s="20" t="s">
        <v>454</v>
      </c>
      <c r="E477" s="20">
        <v>22</v>
      </c>
      <c r="F477" s="21">
        <v>9100</v>
      </c>
      <c r="G477" s="21" t="s">
        <v>456</v>
      </c>
      <c r="H477" s="21">
        <v>0.68</v>
      </c>
      <c r="I477" s="48">
        <f>MAX('Min rate concentrations'!$J$3:$J$368)</f>
        <v>114.4108103430513</v>
      </c>
      <c r="J477" s="48">
        <f>MAX('Min rate concentrations'!AB:AB)</f>
        <v>40.520495329830666</v>
      </c>
      <c r="K477" s="60">
        <f t="shared" si="63"/>
        <v>16.583476425480086</v>
      </c>
      <c r="L477" s="60">
        <f t="shared" si="65"/>
        <v>5.8733145673575304</v>
      </c>
      <c r="M477" s="60">
        <f>IF((((0.326*F477^0.818)-(0.398*F477^0.85)/(1-H477)*H477)*(MAX('Min rate concentrations'!$P$3:$P$368)))/F477&gt;0, (((0.326*F477^0.818)-(0.398*F477^0.85)/(1-H477)*H477)*(MAX('Min rate concentrations'!$P$3:$P$368)))/F477, 0)</f>
        <v>0</v>
      </c>
      <c r="N477" s="60">
        <f>IF((((0.326*F477^0.818)-(0.398*F477^0.85)/(1-H477)*H477)*(MAX('Min rate concentrations'!$Q$3:$Q$368)))/F477&gt; 0, (((0.326*F477^0.818)-(0.398*F477^0.85)/(1-H477)*H477)*(MAX('Min rate concentrations'!$Q$3:$Q$368)))/F477, 0)</f>
        <v>0</v>
      </c>
      <c r="O477" s="60">
        <f>((MAX('Min rate concentrations'!$F$3:$F$368))*0.62*6.01*8*(12.3*F477^0.65)*0.079*0.1/F477)*inputs!$E$73/inputs!$E$74</f>
        <v>1.8565452513029643</v>
      </c>
      <c r="P477" s="60">
        <f>((MAX('Min rate concentrations'!Y:Y))*0.62*6.01*8*(12.3*F477^0.65)*0.079*0.1/F477)*inputs!$E$73/inputs!$E$74</f>
        <v>0.61884841710098792</v>
      </c>
      <c r="Q477" s="60">
        <f>(inputs!$C$7*11.2*(12.3*F477^0.65)*0.5/F477)*inputs!$E$73/inputs!$E$74</f>
        <v>0.32702168947636734</v>
      </c>
      <c r="R477" s="60">
        <f>(60*379*((F477/1000)^0.8)*3*24*(MAX('Min rate concentrations'!$R$3:$R$368))/F477)*(inputs!$E$73/inputs!$E$75)</f>
        <v>1.1829576017963403E-3</v>
      </c>
      <c r="S477" s="60">
        <f>(IF(inputs!$C$6="aerial",((0.025*0.112*inputs!$C$7/3.3)*(3*60*379*((F477/1000)^0.8))*MAX(inputs!$H$14:$H$16))/F477,((0.0083*0.112*inputs!$C$7/1)*(3*60*379*((F477/1000)^0.8))*MAX(inputs!$H$14:$H$16))/F477))*(inputs!E$75/inputs!$E$73)</f>
        <v>6.5240838528217516E-3</v>
      </c>
      <c r="T477" s="63">
        <f>IF((((inputs!$P$12/(V477/MAX(K477:S477)))^(1/inputs!$O$12))-1)/inputs!$N$12&lt;0, 0, IF((((inputs!$P$12/(V477/MAX(K477:S477)))^(1/inputs!$O$12))-1)/inputs!$N$12&gt;inputs!$H$17, inputs!$H$17, (((inputs!$P$12/(V477/MAX(K477:S477)))^(1/inputs!$O$12))-1)/inputs!$N$12))</f>
        <v>57.9809884480336</v>
      </c>
      <c r="U477" s="63">
        <f>IF((((inputs!$P$12/(X477/MAX(K477:S477)))^(1/inputs!$O$12))-1)/inputs!$N$12&lt;0, 0, IF((((inputs!$P$12/(X477/MAX(K477:S477)))^(1/inputs!$O$12))-1)/inputs!$N$12&gt;inputs!$H$17, inputs!$H$17, (((inputs!$P$12/(X477/MAX(K477:S477)))^(1/inputs!$O$12))-1)/inputs!$N$12))</f>
        <v>0</v>
      </c>
      <c r="V477" s="54">
        <f>inputs!$E$70*(inputs!$F$70/F477)^(0.25)</f>
        <v>0.51531657055910918</v>
      </c>
      <c r="W477" s="54">
        <f>inputs!$E$76*(inputs!$F$76/F477)^(0.25)</f>
        <v>0.15499750499420156</v>
      </c>
      <c r="X477" s="54">
        <f>inputs!$E$72*(inputs!$F$72/F477)^(0.25)</f>
        <v>22.734554583490112</v>
      </c>
      <c r="Y477" s="54" t="s">
        <v>13</v>
      </c>
      <c r="Z477" s="106">
        <f t="shared" si="60"/>
        <v>32.181143345511508</v>
      </c>
      <c r="AA477" s="106">
        <f t="shared" si="61"/>
        <v>106.99189271530837</v>
      </c>
    </row>
    <row r="478" spans="1:27" ht="26.4" x14ac:dyDescent="0.25">
      <c r="A478" s="55" t="s">
        <v>493</v>
      </c>
      <c r="B478" s="49" t="s">
        <v>494</v>
      </c>
      <c r="C478" s="21" t="s">
        <v>61</v>
      </c>
      <c r="D478" s="20" t="s">
        <v>454</v>
      </c>
      <c r="E478" s="20">
        <v>22</v>
      </c>
      <c r="F478" s="21">
        <v>9100</v>
      </c>
      <c r="G478" s="21" t="s">
        <v>145</v>
      </c>
      <c r="H478" s="21">
        <v>0.66</v>
      </c>
      <c r="I478" s="48">
        <f>MAX('Min rate concentrations'!$M$3:$M$368)</f>
        <v>2.8488184789681945</v>
      </c>
      <c r="J478" s="48">
        <f>MAX('Min rate concentrations'!AE:AE)</f>
        <v>1.9699276716269429</v>
      </c>
      <c r="K478" s="60">
        <f t="shared" si="63"/>
        <v>0.38863718801960756</v>
      </c>
      <c r="L478" s="60">
        <f t="shared" si="65"/>
        <v>0.26873848107738818</v>
      </c>
      <c r="M478" s="60">
        <f>IF((((0.326*F478^0.818)-(0.398*F478^0.85)/(1-H478)*H478)*(MAX('Min rate concentrations'!$P$3:$P$368)))/F478&gt;0, (((0.326*F478^0.818)-(0.398*F478^0.85)/(1-H478)*H478)*(MAX('Min rate concentrations'!$P$3:$P$368)))/F478, 0)</f>
        <v>0</v>
      </c>
      <c r="N478" s="60">
        <f>IF((((0.326*F478^0.818)-(0.398*F478^0.85)/(1-H478)*H478)*(MAX('Min rate concentrations'!$Q$3:$Q$368)))/F478&gt; 0, (((0.326*F478^0.818)-(0.398*F478^0.85)/(1-H478)*H478)*(MAX('Min rate concentrations'!$Q$3:$Q$368)))/F478, 0)</f>
        <v>0</v>
      </c>
      <c r="O478" s="60">
        <f>((MAX('Min rate concentrations'!$F$3:$F$368))*0.62*6.01*8*(12.3*F478^0.65)*0.079*0.1/F478)*inputs!$E$73/inputs!$E$74</f>
        <v>1.8565452513029643</v>
      </c>
      <c r="P478" s="60">
        <f>((MAX('Min rate concentrations'!Y:Y))*0.62*6.01*8*(12.3*F478^0.65)*0.079*0.1/F478)*inputs!$E$73/inputs!$E$74</f>
        <v>0.61884841710098792</v>
      </c>
      <c r="Q478" s="60">
        <f>(inputs!$C$7*11.2*(12.3*F478^0.65)*0.5/F478)*inputs!$E$73/inputs!$E$74</f>
        <v>0.32702168947636734</v>
      </c>
      <c r="R478" s="60">
        <f>(60*379*((F478/1000)^0.8)*3*24*(MAX('Min rate concentrations'!$R$3:$R$368))/F478)*(inputs!$E$73/inputs!$E$75)</f>
        <v>1.1829576017963403E-3</v>
      </c>
      <c r="S478" s="60">
        <f>(IF(inputs!$C$6="aerial",((0.025*0.112*inputs!$C$7/3.3)*(3*60*379*((F478/1000)^0.8))*MAX(inputs!$H$14:$H$16))/F478,((0.0083*0.112*inputs!$C$7/1)*(3*60*379*((F478/1000)^0.8))*MAX(inputs!$H$14:$H$16))/F478))*(inputs!E$75/inputs!$E$73)</f>
        <v>6.5240838528217516E-3</v>
      </c>
      <c r="T478" s="63">
        <f>IF((((inputs!$P$12/(V478/MAX(K478:S478)))^(1/inputs!$O$12))-1)/inputs!$N$12&lt;0, 0, IF((((inputs!$P$12/(V478/MAX(K478:S478)))^(1/inputs!$O$12))-1)/inputs!$N$12&gt;inputs!$H$17, inputs!$H$17, (((inputs!$P$12/(V478/MAX(K478:S478)))^(1/inputs!$O$12))-1)/inputs!$N$12))</f>
        <v>6.9976225389027977</v>
      </c>
      <c r="U478" s="63">
        <f>IF((((inputs!$P$12/(X478/MAX(K478:S478)))^(1/inputs!$O$12))-1)/inputs!$N$12&lt;0, 0, IF((((inputs!$P$12/(X478/MAX(K478:S478)))^(1/inputs!$O$12))-1)/inputs!$N$12&gt;inputs!$H$17, inputs!$H$17, (((inputs!$P$12/(X478/MAX(K478:S478)))^(1/inputs!$O$12))-1)/inputs!$N$12))</f>
        <v>0</v>
      </c>
      <c r="V478" s="54">
        <f>inputs!$E$70*(inputs!$F$70/F478)^(0.25)</f>
        <v>0.51531657055910918</v>
      </c>
      <c r="W478" s="54">
        <f>inputs!$E$76*(inputs!$F$76/F478)^(0.25)</f>
        <v>0.15499750499420156</v>
      </c>
      <c r="X478" s="54">
        <f>inputs!$E$72*(inputs!$F$72/F478)^(0.25)</f>
        <v>22.734554583490112</v>
      </c>
      <c r="Y478" s="54" t="s">
        <v>13</v>
      </c>
      <c r="Z478" s="106">
        <f t="shared" si="60"/>
        <v>3.60272763844688</v>
      </c>
      <c r="AA478" s="106">
        <f t="shared" si="61"/>
        <v>11.977904104794574</v>
      </c>
    </row>
    <row r="479" spans="1:27" x14ac:dyDescent="0.25">
      <c r="A479" s="55" t="s">
        <v>536</v>
      </c>
      <c r="B479" s="49" t="s">
        <v>537</v>
      </c>
      <c r="C479" s="21" t="s">
        <v>61</v>
      </c>
      <c r="D479" s="20" t="s">
        <v>454</v>
      </c>
      <c r="E479" s="20">
        <v>18</v>
      </c>
      <c r="F479" s="21">
        <v>45000</v>
      </c>
      <c r="G479" s="21" t="s">
        <v>138</v>
      </c>
      <c r="H479" s="21">
        <v>0.68</v>
      </c>
      <c r="I479" s="48">
        <f>MAX('Min rate concentrations'!$L$3:$L$368)</f>
        <v>58.421240152220811</v>
      </c>
      <c r="J479" s="48">
        <f>MAX('Min rate concentrations'!AD:AD)</f>
        <v>40.397666062705881</v>
      </c>
      <c r="K479" s="60">
        <f t="shared" si="63"/>
        <v>6.3711353044386181</v>
      </c>
      <c r="L479" s="60">
        <f t="shared" si="65"/>
        <v>4.4055722849841512</v>
      </c>
      <c r="M479" s="60">
        <f>IF((((0.326*F479^0.818)-(0.398*F479^0.85)/(1-H479)*H479)*(MAX('Min rate concentrations'!$P$3:$P$368)))/F479&gt;0, (((0.326*F479^0.818)-(0.398*F479^0.85)/(1-H479)*H479)*(MAX('Min rate concentrations'!$P$3:$P$368)))/F479, 0)</f>
        <v>0</v>
      </c>
      <c r="N479" s="60">
        <f>IF((((0.326*F479^0.818)-(0.398*F479^0.85)/(1-H479)*H479)*(MAX('Min rate concentrations'!$Q$3:$Q$368)))/F479&gt; 0, (((0.326*F479^0.818)-(0.398*F479^0.85)/(1-H479)*H479)*(MAX('Min rate concentrations'!$Q$3:$Q$368)))/F479, 0)</f>
        <v>0</v>
      </c>
      <c r="O479" s="60">
        <f>((MAX('Min rate concentrations'!$F$3:$F$368))*0.62*6.01*8*(12.3*F479^0.65)*0.079*0.1/F479)*inputs!$E$73/inputs!$E$74</f>
        <v>1.0610739357541239</v>
      </c>
      <c r="P479" s="60">
        <f>((MAX('Min rate concentrations'!Y:Y))*0.62*6.01*8*(12.3*F479^0.65)*0.079*0.1/F479)*inputs!$E$73/inputs!$E$74</f>
        <v>0.3536913119180411</v>
      </c>
      <c r="Q479" s="60">
        <f>(inputs!$C$7*11.2*(12.3*F479^0.65)*0.5/F479)*inputs!$E$73/inputs!$E$74</f>
        <v>0.18690316914501481</v>
      </c>
      <c r="R479" s="60">
        <f>(60*379*((F479/1000)^0.8)*3*24*(MAX('Min rate concentrations'!$R$3:$R$368))/F479)*(inputs!$E$73/inputs!$E$75)</f>
        <v>8.5928049772373964E-4</v>
      </c>
      <c r="S479" s="60">
        <f>(IF(inputs!$C$6="aerial",((0.025*0.112*inputs!$C$7/3.3)*(3*60*379*((F479/1000)^0.8))*MAX(inputs!$H$14:$H$16))/F479,((0.0083*0.112*inputs!$C$7/1)*(3*60*379*((F479/1000)^0.8))*MAX(inputs!$H$14:$H$16))/F479))*(inputs!E$75/inputs!$E$73)</f>
        <v>4.7389847376873521E-3</v>
      </c>
      <c r="T479" s="63">
        <f>IF((((inputs!$P$12/(V479/MAX(K479:S479)))^(1/inputs!$O$12))-1)/inputs!$N$12&lt;0, 0, IF((((inputs!$P$12/(V479/MAX(K479:S479)))^(1/inputs!$O$12))-1)/inputs!$N$12&gt;inputs!$H$17, inputs!$H$17, (((inputs!$P$12/(V479/MAX(K479:S479)))^(1/inputs!$O$12))-1)/inputs!$N$12))</f>
        <v>40.450521547027655</v>
      </c>
      <c r="U479" s="63">
        <f>IF((((inputs!$P$12/(X479/MAX(K479:S479)))^(1/inputs!$O$12))-1)/inputs!$N$12&lt;0, 0, IF((((inputs!$P$12/(X479/MAX(K479:S479)))^(1/inputs!$O$12))-1)/inputs!$N$12&gt;inputs!$H$17, inputs!$H$17, (((inputs!$P$12/(X479/MAX(K479:S479)))^(1/inputs!$O$12))-1)/inputs!$N$12))</f>
        <v>0</v>
      </c>
      <c r="V479" s="54">
        <f>inputs!$E$70*(inputs!$F$70/F479)^(0.25)</f>
        <v>0.34556625585896705</v>
      </c>
      <c r="W479" s="54">
        <f>inputs!$E$76*(inputs!$F$76/F479)^(0.25)</f>
        <v>0.10393981200762492</v>
      </c>
      <c r="X479" s="54">
        <f>inputs!$E$72*(inputs!$F$72/F479)^(0.25)</f>
        <v>15.245570111425018</v>
      </c>
      <c r="Y479" s="54" t="s">
        <v>13</v>
      </c>
      <c r="Z479" s="106">
        <f t="shared" si="60"/>
        <v>18.436798143389364</v>
      </c>
      <c r="AA479" s="106">
        <f t="shared" si="61"/>
        <v>61.296390491559073</v>
      </c>
    </row>
    <row r="480" spans="1:27" x14ac:dyDescent="0.25">
      <c r="A480" s="55" t="s">
        <v>536</v>
      </c>
      <c r="B480" s="49" t="s">
        <v>537</v>
      </c>
      <c r="C480" s="21" t="s">
        <v>61</v>
      </c>
      <c r="D480" s="20" t="s">
        <v>454</v>
      </c>
      <c r="E480" s="20">
        <v>18</v>
      </c>
      <c r="F480" s="21">
        <v>45000</v>
      </c>
      <c r="G480" s="21" t="s">
        <v>186</v>
      </c>
      <c r="H480" s="21">
        <v>0.75</v>
      </c>
      <c r="I480" s="48">
        <f>inputs!$C$65*inputs!$C$64/1000</f>
        <v>2.13</v>
      </c>
      <c r="J480" s="48">
        <f>inputs!$C$65*inputs!$C$63/1000</f>
        <v>0.88</v>
      </c>
      <c r="K480" s="60">
        <f t="shared" si="63"/>
        <v>0.29732787679210426</v>
      </c>
      <c r="L480" s="60">
        <f t="shared" si="65"/>
        <v>0.12283968618640928</v>
      </c>
      <c r="M480" s="60">
        <f>IF((((0.326*F480^0.818)-(0.398*F480^0.85)/(1-H480)*H480)*(MAX('Min rate concentrations'!$P$3:$P$368)))/F480&gt;0, (((0.326*F480^0.818)-(0.398*F480^0.85)/(1-H480)*H480)*(MAX('Min rate concentrations'!$P$3:$P$368)))/F480, 0)</f>
        <v>0</v>
      </c>
      <c r="N480" s="60">
        <f>IF((((0.326*F480^0.818)-(0.398*F480^0.85)/(1-H480)*H480)*(MAX('Min rate concentrations'!$Q$3:$Q$368)))/F480&gt; 0, (((0.326*F480^0.818)-(0.398*F480^0.85)/(1-H480)*H480)*(MAX('Min rate concentrations'!$Q$3:$Q$368)))/F480, 0)</f>
        <v>0</v>
      </c>
      <c r="O480" s="60">
        <f>((MAX('Min rate concentrations'!$F$3:$F$368))*0.62*6.01*8*(12.3*F480^0.65)*0.079*0.1/F480)*inputs!$E$73/inputs!$E$74</f>
        <v>1.0610739357541239</v>
      </c>
      <c r="P480" s="60">
        <f>((MAX('Min rate concentrations'!Y:Y))*0.62*6.01*8*(12.3*F480^0.65)*0.079*0.1/F480)*inputs!$E$73/inputs!$E$74</f>
        <v>0.3536913119180411</v>
      </c>
      <c r="Q480" s="60">
        <f>(inputs!$C$7*11.2*(12.3*F480^0.65)*0.5/F480)*inputs!$E$73/inputs!$E$74</f>
        <v>0.18690316914501481</v>
      </c>
      <c r="R480" s="60">
        <f>(60*379*((F480/1000)^0.8)*3*24*(MAX('Min rate concentrations'!$R$3:$R$368))/F480)*(inputs!$E$73/inputs!$E$75)</f>
        <v>8.5928049772373964E-4</v>
      </c>
      <c r="S480" s="60">
        <f>(IF(inputs!$C$6="aerial",((0.025*0.112*inputs!$C$7/3.3)*(3*60*379*((F480/1000)^0.8))*MAX(inputs!$H$14:$H$16))/F480,((0.0083*0.112*inputs!$C$7/1)*(3*60*379*((F480/1000)^0.8))*MAX(inputs!$H$14:$H$16))/F480))*(inputs!E$75/inputs!$E$73)</f>
        <v>4.7389847376873521E-3</v>
      </c>
      <c r="T480" s="63">
        <f>IF((((inputs!$P$12/(V480/MAX(K480:S480)))^(1/inputs!$O$12))-1)/inputs!$N$12&lt;0, 0, IF((((inputs!$P$12/(V480/MAX(K480:S480)))^(1/inputs!$O$12))-1)/inputs!$N$12&gt;inputs!$H$17, inputs!$H$17, (((inputs!$P$12/(V480/MAX(K480:S480)))^(1/inputs!$O$12))-1)/inputs!$N$12))</f>
        <v>4.7638914738785978</v>
      </c>
      <c r="U480" s="63">
        <f>IF((((inputs!$P$12/(X480/MAX(K480:S480)))^(1/inputs!$O$12))-1)/inputs!$N$12&lt;0, 0, IF((((inputs!$P$12/(X480/MAX(K480:S480)))^(1/inputs!$O$12))-1)/inputs!$N$12&gt;inputs!$H$17, inputs!$H$17, (((inputs!$P$12/(X480/MAX(K480:S480)))^(1/inputs!$O$12))-1)/inputs!$N$12))</f>
        <v>0</v>
      </c>
      <c r="V480" s="54">
        <f>inputs!$E$70*(inputs!$F$70/F480)^(0.25)</f>
        <v>0.34556625585896705</v>
      </c>
      <c r="W480" s="54">
        <f>inputs!$E$76*(inputs!$F$76/F480)^(0.25)</f>
        <v>0.10393981200762492</v>
      </c>
      <c r="X480" s="54">
        <f>inputs!$E$72*(inputs!$F$72/F480)^(0.25)</f>
        <v>15.245570111425018</v>
      </c>
      <c r="Y480" s="54" t="s">
        <v>13</v>
      </c>
      <c r="Z480" s="106">
        <f t="shared" si="60"/>
        <v>3.0705368876849213</v>
      </c>
      <c r="AA480" s="106">
        <f t="shared" si="61"/>
        <v>10.208541994248408</v>
      </c>
    </row>
    <row r="481" spans="1:27" x14ac:dyDescent="0.25">
      <c r="A481" s="55" t="s">
        <v>536</v>
      </c>
      <c r="B481" s="49" t="s">
        <v>537</v>
      </c>
      <c r="C481" s="21" t="s">
        <v>61</v>
      </c>
      <c r="D481" s="20" t="s">
        <v>454</v>
      </c>
      <c r="E481" s="20">
        <v>18</v>
      </c>
      <c r="F481" s="21">
        <v>45000</v>
      </c>
      <c r="G481" s="21" t="s">
        <v>456</v>
      </c>
      <c r="H481" s="21">
        <v>0.68</v>
      </c>
      <c r="I481" s="48">
        <f>MAX('Min rate concentrations'!$J$3:$J$368)</f>
        <v>114.4108103430513</v>
      </c>
      <c r="J481" s="48">
        <f>MAX('Min rate concentrations'!AB:AB)</f>
        <v>40.520495329830666</v>
      </c>
      <c r="K481" s="60">
        <f t="shared" si="63"/>
        <v>12.477084551556473</v>
      </c>
      <c r="L481" s="60">
        <f t="shared" si="65"/>
        <v>4.4189674453429175</v>
      </c>
      <c r="M481" s="60">
        <f>IF((((0.326*F481^0.818)-(0.398*F481^0.85)/(1-H481)*H481)*(MAX('Min rate concentrations'!$P$3:$P$368)))/F481&gt;0, (((0.326*F481^0.818)-(0.398*F481^0.85)/(1-H481)*H481)*(MAX('Min rate concentrations'!$P$3:$P$368)))/F481, 0)</f>
        <v>0</v>
      </c>
      <c r="N481" s="60">
        <f>IF((((0.326*F481^0.818)-(0.398*F481^0.85)/(1-H481)*H481)*(MAX('Min rate concentrations'!$Q$3:$Q$368)))/F481&gt; 0, (((0.326*F481^0.818)-(0.398*F481^0.85)/(1-H481)*H481)*(MAX('Min rate concentrations'!$Q$3:$Q$368)))/F481, 0)</f>
        <v>0</v>
      </c>
      <c r="O481" s="60">
        <f>((MAX('Min rate concentrations'!$F$3:$F$368))*0.62*6.01*8*(12.3*F481^0.65)*0.079*0.1/F481)*inputs!$E$73/inputs!$E$74</f>
        <v>1.0610739357541239</v>
      </c>
      <c r="P481" s="60">
        <f>((MAX('Min rate concentrations'!Y:Y))*0.62*6.01*8*(12.3*F481^0.65)*0.079*0.1/F481)*inputs!$E$73/inputs!$E$74</f>
        <v>0.3536913119180411</v>
      </c>
      <c r="Q481" s="60">
        <f>(inputs!$C$7*11.2*(12.3*F481^0.65)*0.5/F481)*inputs!$E$73/inputs!$E$74</f>
        <v>0.18690316914501481</v>
      </c>
      <c r="R481" s="60">
        <f>(60*379*((F481/1000)^0.8)*3*24*(MAX('Min rate concentrations'!$R$3:$R$368))/F481)*(inputs!$E$73/inputs!$E$75)</f>
        <v>8.5928049772373964E-4</v>
      </c>
      <c r="S481" s="60">
        <f>(IF(inputs!$C$6="aerial",((0.025*0.112*inputs!$C$7/3.3)*(3*60*379*((F481/1000)^0.8))*MAX(inputs!$H$14:$H$16))/F481,((0.0083*0.112*inputs!$C$7/1)*(3*60*379*((F481/1000)^0.8))*MAX(inputs!$H$14:$H$16))/F481))*(inputs!E$75/inputs!$E$73)</f>
        <v>4.7389847376873521E-3</v>
      </c>
      <c r="T481" s="63">
        <f>IF((((inputs!$P$12/(V481/MAX(K481:S481)))^(1/inputs!$O$12))-1)/inputs!$N$12&lt;0, 0, IF((((inputs!$P$12/(V481/MAX(K481:S481)))^(1/inputs!$O$12))-1)/inputs!$N$12&gt;inputs!$H$17, inputs!$H$17, (((inputs!$P$12/(V481/MAX(K481:S481)))^(1/inputs!$O$12))-1)/inputs!$N$12))</f>
        <v>62.124813874735722</v>
      </c>
      <c r="U481" s="63">
        <f>IF((((inputs!$P$12/(X481/MAX(K481:S481)))^(1/inputs!$O$12))-1)/inputs!$N$12&lt;0, 0, IF((((inputs!$P$12/(X481/MAX(K481:S481)))^(1/inputs!$O$12))-1)/inputs!$N$12&gt;inputs!$H$17, inputs!$H$17, (((inputs!$P$12/(X481/MAX(K481:S481)))^(1/inputs!$O$12))-1)/inputs!$N$12))</f>
        <v>0</v>
      </c>
      <c r="V481" s="54">
        <f>inputs!$E$70*(inputs!$F$70/F481)^(0.25)</f>
        <v>0.34556625585896705</v>
      </c>
      <c r="W481" s="54">
        <f>inputs!$E$76*(inputs!$F$76/F481)^(0.25)</f>
        <v>0.10393981200762492</v>
      </c>
      <c r="X481" s="54">
        <f>inputs!$E$72*(inputs!$F$72/F481)^(0.25)</f>
        <v>15.245570111425018</v>
      </c>
      <c r="Y481" s="54" t="s">
        <v>13</v>
      </c>
      <c r="Z481" s="106">
        <f t="shared" si="60"/>
        <v>36.106200591091962</v>
      </c>
      <c r="AA481" s="106">
        <f t="shared" si="61"/>
        <v>120.04143850713494</v>
      </c>
    </row>
    <row r="482" spans="1:27" x14ac:dyDescent="0.25">
      <c r="A482" s="55" t="s">
        <v>536</v>
      </c>
      <c r="B482" s="49" t="s">
        <v>537</v>
      </c>
      <c r="C482" s="21" t="s">
        <v>61</v>
      </c>
      <c r="D482" s="20" t="s">
        <v>454</v>
      </c>
      <c r="E482" s="20">
        <v>18</v>
      </c>
      <c r="F482" s="21">
        <v>45000</v>
      </c>
      <c r="G482" s="21" t="s">
        <v>145</v>
      </c>
      <c r="H482" s="21">
        <v>0.66</v>
      </c>
      <c r="I482" s="48">
        <f>MAX('Min rate concentrations'!$M$3:$M$368)</f>
        <v>2.8488184789681945</v>
      </c>
      <c r="J482" s="48">
        <f>MAX('Min rate concentrations'!AE:AE)</f>
        <v>1.9699276716269429</v>
      </c>
      <c r="K482" s="60">
        <f t="shared" si="63"/>
        <v>0.29240304809366385</v>
      </c>
      <c r="L482" s="60">
        <f t="shared" si="65"/>
        <v>0.20219359708604412</v>
      </c>
      <c r="M482" s="60">
        <f>IF((((0.326*F482^0.818)-(0.398*F482^0.85)/(1-H482)*H482)*(MAX('Min rate concentrations'!$P$3:$P$368)))/F482&gt;0, (((0.326*F482^0.818)-(0.398*F482^0.85)/(1-H482)*H482)*(MAX('Min rate concentrations'!$P$3:$P$368)))/F482, 0)</f>
        <v>0</v>
      </c>
      <c r="N482" s="60">
        <f>IF((((0.326*F482^0.818)-(0.398*F482^0.85)/(1-H482)*H482)*(MAX('Min rate concentrations'!$Q$3:$Q$368)))/F482&gt; 0, (((0.326*F482^0.818)-(0.398*F482^0.85)/(1-H482)*H482)*(MAX('Min rate concentrations'!$Q$3:$Q$368)))/F482, 0)</f>
        <v>0</v>
      </c>
      <c r="O482" s="60">
        <f>((MAX('Min rate concentrations'!$F$3:$F$368))*0.62*6.01*8*(12.3*F482^0.65)*0.079*0.1/F482)*inputs!$E$73/inputs!$E$74</f>
        <v>1.0610739357541239</v>
      </c>
      <c r="P482" s="60">
        <f>((MAX('Min rate concentrations'!Y:Y))*0.62*6.01*8*(12.3*F482^0.65)*0.079*0.1/F482)*inputs!$E$73/inputs!$E$74</f>
        <v>0.3536913119180411</v>
      </c>
      <c r="Q482" s="60">
        <f>(inputs!$C$7*11.2*(12.3*F482^0.65)*0.5/F482)*inputs!$E$73/inputs!$E$74</f>
        <v>0.18690316914501481</v>
      </c>
      <c r="R482" s="60">
        <f>(60*379*((F482/1000)^0.8)*3*24*(MAX('Min rate concentrations'!$R$3:$R$368))/F482)*(inputs!$E$73/inputs!$E$75)</f>
        <v>8.5928049772373964E-4</v>
      </c>
      <c r="S482" s="60">
        <f>(IF(inputs!$C$6="aerial",((0.025*0.112*inputs!$C$7/3.3)*(3*60*379*((F482/1000)^0.8))*MAX(inputs!$H$14:$H$16))/F482,((0.0083*0.112*inputs!$C$7/1)*(3*60*379*((F482/1000)^0.8))*MAX(inputs!$H$14:$H$16))/F482))*(inputs!E$75/inputs!$E$73)</f>
        <v>4.7389847376873521E-3</v>
      </c>
      <c r="T482" s="63">
        <f>IF((((inputs!$P$12/(V482/MAX(K482:S482)))^(1/inputs!$O$12))-1)/inputs!$N$12&lt;0, 0, IF((((inputs!$P$12/(V482/MAX(K482:S482)))^(1/inputs!$O$12))-1)/inputs!$N$12&gt;inputs!$H$17, inputs!$H$17, (((inputs!$P$12/(V482/MAX(K482:S482)))^(1/inputs!$O$12))-1)/inputs!$N$12))</f>
        <v>4.7638914738785978</v>
      </c>
      <c r="U482" s="63">
        <f>IF((((inputs!$P$12/(X482/MAX(K482:S482)))^(1/inputs!$O$12))-1)/inputs!$N$12&lt;0, 0, IF((((inputs!$P$12/(X482/MAX(K482:S482)))^(1/inputs!$O$12))-1)/inputs!$N$12&gt;inputs!$H$17, inputs!$H$17, (((inputs!$P$12/(X482/MAX(K482:S482)))^(1/inputs!$O$12))-1)/inputs!$N$12))</f>
        <v>0</v>
      </c>
      <c r="V482" s="54">
        <f>inputs!$E$70*(inputs!$F$70/F482)^(0.25)</f>
        <v>0.34556625585896705</v>
      </c>
      <c r="W482" s="54">
        <f>inputs!$E$76*(inputs!$F$76/F482)^(0.25)</f>
        <v>0.10393981200762492</v>
      </c>
      <c r="X482" s="54">
        <f>inputs!$E$72*(inputs!$F$72/F482)^(0.25)</f>
        <v>15.245570111425018</v>
      </c>
      <c r="Y482" s="54" t="s">
        <v>13</v>
      </c>
      <c r="Z482" s="106">
        <f t="shared" si="60"/>
        <v>3.0705368876849213</v>
      </c>
      <c r="AA482" s="106">
        <f t="shared" si="61"/>
        <v>10.208541994248408</v>
      </c>
    </row>
    <row r="483" spans="1:27" x14ac:dyDescent="0.25">
      <c r="A483" s="55" t="s">
        <v>602</v>
      </c>
      <c r="B483" s="49" t="s">
        <v>603</v>
      </c>
      <c r="C483" s="21" t="s">
        <v>61</v>
      </c>
      <c r="D483" s="20" t="s">
        <v>454</v>
      </c>
      <c r="E483" s="20">
        <v>36</v>
      </c>
      <c r="F483" s="21">
        <v>92000</v>
      </c>
      <c r="G483" s="21" t="s">
        <v>142</v>
      </c>
      <c r="H483" s="21">
        <v>0.69</v>
      </c>
      <c r="I483" s="48">
        <f>MAX('Min rate concentrations'!$H$3:$H$368)</f>
        <v>47</v>
      </c>
      <c r="J483" s="48">
        <f>MAX('Min rate concentrations'!AA:AA)</f>
        <v>32.5</v>
      </c>
      <c r="K483" s="60">
        <f t="shared" si="63"/>
        <v>4.6585396164863102</v>
      </c>
      <c r="L483" s="60">
        <f t="shared" si="65"/>
        <v>3.2213305858681935</v>
      </c>
      <c r="M483" s="60">
        <f>IF((((0.326*F483^0.818)-(0.398*F483^0.85)/(1-H483)*H483)*(MAX('Min rate concentrations'!$P$3:$P$368)))/F483&gt;0, (((0.326*F483^0.818)-(0.398*F483^0.85)/(1-H483)*H483)*(MAX('Min rate concentrations'!$P$3:$P$368)))/F483, 0)</f>
        <v>0</v>
      </c>
      <c r="N483" s="60">
        <f>IF((((0.326*F483^0.818)-(0.398*F483^0.85)/(1-H483)*H483)*(MAX('Min rate concentrations'!$Q$3:$Q$368)))/F483&gt; 0, (((0.326*F483^0.818)-(0.398*F483^0.85)/(1-H483)*H483)*(MAX('Min rate concentrations'!$Q$3:$Q$368)))/F483, 0)</f>
        <v>0</v>
      </c>
      <c r="O483" s="60">
        <f>((MAX('Min rate concentrations'!$F$3:$F$368))*0.62*6.01*8*(12.3*F483^0.65)*0.079*0.1/F483)*inputs!$E$73/inputs!$E$74</f>
        <v>0.82612218855173813</v>
      </c>
      <c r="P483" s="60">
        <f>((MAX('Min rate concentrations'!Y:Y))*0.62*6.01*8*(12.3*F483^0.65)*0.079*0.1/F483)*inputs!$E$73/inputs!$E$74</f>
        <v>0.27537406285057942</v>
      </c>
      <c r="Q483" s="60">
        <f>(inputs!$C$7*11.2*(12.3*F483^0.65)*0.5/F483)*inputs!$E$73/inputs!$E$74</f>
        <v>0.14551752704357698</v>
      </c>
      <c r="R483" s="60">
        <f>(60*379*((F483/1000)^0.8)*3*24*(MAX('Min rate concentrations'!$R$3:$R$368))/F483)*(inputs!$E$73/inputs!$E$75)</f>
        <v>7.4476608638196159E-4</v>
      </c>
      <c r="S483" s="60">
        <f>(IF(inputs!$C$6="aerial",((0.025*0.112*inputs!$C$7/3.3)*(3*60*379*((F483/1000)^0.8))*MAX(inputs!$H$14:$H$16))/F483,((0.0083*0.112*inputs!$C$7/1)*(3*60*379*((F483/1000)^0.8))*MAX(inputs!$H$14:$H$16))/F483))*(inputs!E$75/inputs!$E$73)</f>
        <v>4.1074307235656315E-3</v>
      </c>
      <c r="T483" s="63">
        <f>IF((((inputs!$P$12/(V483/MAX(K483:S483)))^(1/inputs!$O$12))-1)/inputs!$N$12&lt;0, 0, IF((((inputs!$P$12/(V483/MAX(K483:S483)))^(1/inputs!$O$12))-1)/inputs!$N$12&gt;inputs!$H$17, inputs!$H$17, (((inputs!$P$12/(V483/MAX(K483:S483)))^(1/inputs!$O$12))-1)/inputs!$N$12))</f>
        <v>36.785834623176541</v>
      </c>
      <c r="U483" s="63">
        <f>IF((((inputs!$P$12/(X483/MAX(K483:S483)))^(1/inputs!$O$12))-1)/inputs!$N$12&lt;0, 0, IF((((inputs!$P$12/(X483/MAX(K483:S483)))^(1/inputs!$O$12))-1)/inputs!$N$12&gt;inputs!$H$17, inputs!$H$17, (((inputs!$P$12/(X483/MAX(K483:S483)))^(1/inputs!$O$12))-1)/inputs!$N$12))</f>
        <v>0</v>
      </c>
      <c r="V483" s="54">
        <f>inputs!$E$70*(inputs!$F$70/F483)^(0.25)</f>
        <v>0.2889931169498331</v>
      </c>
      <c r="W483" s="54">
        <f>inputs!$E$76*(inputs!$F$76/F483)^(0.25)</f>
        <v>8.6923678854576344E-2</v>
      </c>
      <c r="X483" s="54">
        <f>inputs!$E$72*(inputs!$F$72/F483)^(0.25)</f>
        <v>12.749696336022048</v>
      </c>
      <c r="Y483" s="54" t="s">
        <v>13</v>
      </c>
      <c r="Z483" s="106">
        <f t="shared" si="60"/>
        <v>16.119898168007218</v>
      </c>
      <c r="AA483" s="106">
        <f t="shared" si="61"/>
        <v>53.593447468785406</v>
      </c>
    </row>
    <row r="484" spans="1:27" x14ac:dyDescent="0.25">
      <c r="A484" s="55" t="s">
        <v>602</v>
      </c>
      <c r="B484" s="49" t="s">
        <v>603</v>
      </c>
      <c r="C484" s="21" t="s">
        <v>61</v>
      </c>
      <c r="D484" s="20" t="s">
        <v>454</v>
      </c>
      <c r="E484" s="20">
        <v>36</v>
      </c>
      <c r="F484" s="21">
        <v>92000</v>
      </c>
      <c r="G484" s="21" t="s">
        <v>218</v>
      </c>
      <c r="H484" s="21">
        <v>0.68</v>
      </c>
      <c r="I484" s="48">
        <f>MAX('Min rate concentrations'!$K$3:$K$368)</f>
        <v>18.333393099490852</v>
      </c>
      <c r="J484" s="48">
        <f>MAX('Min rate concentrations'!AC:AC)</f>
        <v>6.4930767227363431</v>
      </c>
      <c r="K484" s="60">
        <f t="shared" si="63"/>
        <v>1.760380305729017</v>
      </c>
      <c r="L484" s="60">
        <f t="shared" si="65"/>
        <v>0.62346802494569353</v>
      </c>
      <c r="M484" s="60">
        <f>IF((((0.326*F484^0.818)-(0.398*F484^0.85)/(1-H484)*H484)*(MAX('Min rate concentrations'!$P$3:$P$368)))/F484&gt;0, (((0.326*F484^0.818)-(0.398*F484^0.85)/(1-H484)*H484)*(MAX('Min rate concentrations'!$P$3:$P$368)))/F484, 0)</f>
        <v>0</v>
      </c>
      <c r="N484" s="60">
        <f>IF((((0.326*F484^0.818)-(0.398*F484^0.85)/(1-H484)*H484)*(MAX('Min rate concentrations'!$Q$3:$Q$368)))/F484&gt; 0, (((0.326*F484^0.818)-(0.398*F484^0.85)/(1-H484)*H484)*(MAX('Min rate concentrations'!$Q$3:$Q$368)))/F484, 0)</f>
        <v>0</v>
      </c>
      <c r="O484" s="60">
        <f>((MAX('Min rate concentrations'!$F$3:$F$368))*0.62*6.01*8*(12.3*F484^0.65)*0.079*0.1/F484)*inputs!$E$73/inputs!$E$74</f>
        <v>0.82612218855173813</v>
      </c>
      <c r="P484" s="60">
        <f>((MAX('Min rate concentrations'!Y:Y))*0.62*6.01*8*(12.3*F484^0.65)*0.079*0.1/F484)*inputs!$E$73/inputs!$E$74</f>
        <v>0.27537406285057942</v>
      </c>
      <c r="Q484" s="60">
        <f>(inputs!$C$7*11.2*(12.3*F484^0.65)*0.5/F484)*inputs!$E$73/inputs!$E$74</f>
        <v>0.14551752704357698</v>
      </c>
      <c r="R484" s="60">
        <f>(60*379*((F484/1000)^0.8)*3*24*(MAX('Min rate concentrations'!$R$3:$R$368))/F484)*(inputs!$E$73/inputs!$E$75)</f>
        <v>7.4476608638196159E-4</v>
      </c>
      <c r="S484" s="60">
        <f>(IF(inputs!$C$6="aerial",((0.025*0.112*inputs!$C$7/3.3)*(3*60*379*((F484/1000)^0.8))*MAX(inputs!$H$14:$H$16))/F484,((0.0083*0.112*inputs!$C$7/1)*(3*60*379*((F484/1000)^0.8))*MAX(inputs!$H$14:$H$16))/F484))*(inputs!E$75/inputs!$E$73)</f>
        <v>4.1074307235656315E-3</v>
      </c>
      <c r="T484" s="63">
        <f>IF((((inputs!$P$12/(V484/MAX(K484:S484)))^(1/inputs!$O$12))-1)/inputs!$N$12&lt;0, 0, IF((((inputs!$P$12/(V484/MAX(K484:S484)))^(1/inputs!$O$12))-1)/inputs!$N$12&gt;inputs!$H$17, inputs!$H$17, (((inputs!$P$12/(V484/MAX(K484:S484)))^(1/inputs!$O$12))-1)/inputs!$N$12))</f>
        <v>15.44881029790065</v>
      </c>
      <c r="U484" s="63">
        <f>IF((((inputs!$P$12/(X484/MAX(K484:S484)))^(1/inputs!$O$12))-1)/inputs!$N$12&lt;0, 0, IF((((inputs!$P$12/(X484/MAX(K484:S484)))^(1/inputs!$O$12))-1)/inputs!$N$12&gt;inputs!$H$17, inputs!$H$17, (((inputs!$P$12/(X484/MAX(K484:S484)))^(1/inputs!$O$12))-1)/inputs!$N$12))</f>
        <v>0</v>
      </c>
      <c r="V484" s="54">
        <f>inputs!$E$70*(inputs!$F$70/F484)^(0.25)</f>
        <v>0.2889931169498331</v>
      </c>
      <c r="W484" s="54">
        <f>inputs!$E$76*(inputs!$F$76/F484)^(0.25)</f>
        <v>8.6923678854576344E-2</v>
      </c>
      <c r="X484" s="54">
        <f>inputs!$E$72*(inputs!$F$72/F484)^(0.25)</f>
        <v>12.749696336022048</v>
      </c>
      <c r="Y484" s="54" t="s">
        <v>13</v>
      </c>
      <c r="Z484" s="106">
        <f t="shared" si="60"/>
        <v>6.0914264128809856</v>
      </c>
      <c r="AA484" s="106">
        <f t="shared" si="61"/>
        <v>20.2520225665338</v>
      </c>
    </row>
    <row r="485" spans="1:27" x14ac:dyDescent="0.25">
      <c r="A485" s="55" t="s">
        <v>602</v>
      </c>
      <c r="B485" s="49" t="s">
        <v>603</v>
      </c>
      <c r="C485" s="21" t="s">
        <v>61</v>
      </c>
      <c r="D485" s="20" t="s">
        <v>454</v>
      </c>
      <c r="E485" s="20">
        <v>36</v>
      </c>
      <c r="F485" s="21">
        <v>92000</v>
      </c>
      <c r="G485" s="21" t="s">
        <v>152</v>
      </c>
      <c r="H485" s="21">
        <v>0.77</v>
      </c>
      <c r="I485" s="48">
        <f>MAX('Min rate concentrations'!$G$3:$G$368)</f>
        <v>7.5</v>
      </c>
      <c r="J485" s="48">
        <f>MAX('Min rate concentrations'!Z:Z)</f>
        <v>3.5</v>
      </c>
      <c r="K485" s="60">
        <f t="shared" si="63"/>
        <v>1.0019523226947895</v>
      </c>
      <c r="L485" s="60">
        <f t="shared" si="65"/>
        <v>0.46757775059090179</v>
      </c>
      <c r="M485" s="60">
        <f>IF((((0.326*F485^0.818)-(0.398*F485^0.85)/(1-H485)*H485)*(MAX('Min rate concentrations'!$P$3:$P$368)))/F485&gt;0, (((0.326*F485^0.818)-(0.398*F485^0.85)/(1-H485)*H485)*(MAX('Min rate concentrations'!$P$3:$P$368)))/F485, 0)</f>
        <v>0</v>
      </c>
      <c r="N485" s="60">
        <f>IF((((0.326*F485^0.818)-(0.398*F485^0.85)/(1-H485)*H485)*(MAX('Min rate concentrations'!$Q$3:$Q$368)))/F485&gt; 0, (((0.326*F485^0.818)-(0.398*F485^0.85)/(1-H485)*H485)*(MAX('Min rate concentrations'!$Q$3:$Q$368)))/F485, 0)</f>
        <v>0</v>
      </c>
      <c r="O485" s="60">
        <f>((MAX('Min rate concentrations'!$F$3:$F$368))*0.62*6.01*8*(12.3*F485^0.65)*0.079*0.1/F485)*inputs!$E$73/inputs!$E$74</f>
        <v>0.82612218855173813</v>
      </c>
      <c r="P485" s="60">
        <f>((MAX('Min rate concentrations'!Y:Y))*0.62*6.01*8*(12.3*F485^0.65)*0.079*0.1/F485)*inputs!$E$73/inputs!$E$74</f>
        <v>0.27537406285057942</v>
      </c>
      <c r="Q485" s="60">
        <f>(inputs!$C$7*11.2*(12.3*F485^0.65)*0.5/F485)*inputs!$E$73/inputs!$E$74</f>
        <v>0.14551752704357698</v>
      </c>
      <c r="R485" s="60">
        <f>(60*379*((F485/1000)^0.8)*3*24*(MAX('Min rate concentrations'!$R$3:$R$368))/F485)*(inputs!$E$73/inputs!$E$75)</f>
        <v>7.4476608638196159E-4</v>
      </c>
      <c r="S485" s="60">
        <f>(IF(inputs!$C$6="aerial",((0.025*0.112*inputs!$C$7/3.3)*(3*60*379*((F485/1000)^0.8))*MAX(inputs!$H$14:$H$16))/F485,((0.0083*0.112*inputs!$C$7/1)*(3*60*379*((F485/1000)^0.8))*MAX(inputs!$H$14:$H$16))/F485))*(inputs!E$75/inputs!$E$73)</f>
        <v>4.1074307235656315E-3</v>
      </c>
      <c r="T485" s="63">
        <f>IF((((inputs!$P$12/(V485/MAX(K485:S485)))^(1/inputs!$O$12))-1)/inputs!$N$12&lt;0, 0, IF((((inputs!$P$12/(V485/MAX(K485:S485)))^(1/inputs!$O$12))-1)/inputs!$N$12&gt;inputs!$H$17, inputs!$H$17, (((inputs!$P$12/(V485/MAX(K485:S485)))^(1/inputs!$O$12))-1)/inputs!$N$12))</f>
        <v>6.4478242613819132</v>
      </c>
      <c r="U485" s="63">
        <f>IF((((inputs!$P$12/(X485/MAX(K485:S485)))^(1/inputs!$O$12))-1)/inputs!$N$12&lt;0, 0, IF((((inputs!$P$12/(X485/MAX(K485:S485)))^(1/inputs!$O$12))-1)/inputs!$N$12&gt;inputs!$H$17, inputs!$H$17, (((inputs!$P$12/(X485/MAX(K485:S485)))^(1/inputs!$O$12))-1)/inputs!$N$12))</f>
        <v>0</v>
      </c>
      <c r="V485" s="54">
        <f>inputs!$E$70*(inputs!$F$70/F485)^(0.25)</f>
        <v>0.2889931169498331</v>
      </c>
      <c r="W485" s="54">
        <f>inputs!$E$76*(inputs!$F$76/F485)^(0.25)</f>
        <v>8.6923678854576344E-2</v>
      </c>
      <c r="X485" s="54">
        <f>inputs!$E$72*(inputs!$F$72/F485)^(0.25)</f>
        <v>12.749696336022048</v>
      </c>
      <c r="Y485" s="54" t="s">
        <v>13</v>
      </c>
      <c r="Z485" s="106">
        <f t="shared" si="60"/>
        <v>3.4670456281791666</v>
      </c>
      <c r="AA485" s="106">
        <f t="shared" si="61"/>
        <v>11.526805306653664</v>
      </c>
    </row>
    <row r="486" spans="1:27" x14ac:dyDescent="0.25">
      <c r="A486" s="55" t="s">
        <v>602</v>
      </c>
      <c r="B486" s="49" t="s">
        <v>603</v>
      </c>
      <c r="C486" s="21" t="s">
        <v>61</v>
      </c>
      <c r="D486" s="20" t="s">
        <v>454</v>
      </c>
      <c r="E486" s="20">
        <v>36</v>
      </c>
      <c r="F486" s="21">
        <v>92000</v>
      </c>
      <c r="G486" s="21" t="s">
        <v>169</v>
      </c>
      <c r="H486" s="21">
        <v>0.79</v>
      </c>
      <c r="I486" s="48">
        <f>MAX('Min rate concentrations'!$D$3:$D$368)</f>
        <v>120</v>
      </c>
      <c r="J486" s="48">
        <f>MAX('Min rate concentrations'!W:W)</f>
        <v>42.5</v>
      </c>
      <c r="K486" s="60">
        <f t="shared" si="63"/>
        <v>17.558021654842022</v>
      </c>
      <c r="L486" s="60">
        <f t="shared" si="65"/>
        <v>6.2184660027565499</v>
      </c>
      <c r="M486" s="60">
        <f>IF((((0.326*F486^0.818)-(0.398*F486^0.85)/(1-H486)*H486)*(MAX('Min rate concentrations'!$P$3:$P$368)))/F486&gt;0, (((0.326*F486^0.818)-(0.398*F486^0.85)/(1-H486)*H486)*(MAX('Min rate concentrations'!$P$3:$P$368)))/F486, 0)</f>
        <v>0</v>
      </c>
      <c r="N486" s="60">
        <f>IF((((0.326*F486^0.818)-(0.398*F486^0.85)/(1-H486)*H486)*(MAX('Min rate concentrations'!$Q$3:$Q$368)))/F486&gt; 0, (((0.326*F486^0.818)-(0.398*F486^0.85)/(1-H486)*H486)*(MAX('Min rate concentrations'!$Q$3:$Q$368)))/F486, 0)</f>
        <v>0</v>
      </c>
      <c r="O486" s="60">
        <f>((MAX('Min rate concentrations'!$F$3:$F$368))*0.62*6.01*8*(12.3*F486^0.65)*0.079*0.1/F486)*inputs!$E$73/inputs!$E$74</f>
        <v>0.82612218855173813</v>
      </c>
      <c r="P486" s="60">
        <f>((MAX('Min rate concentrations'!Y:Y))*0.62*6.01*8*(12.3*F486^0.65)*0.079*0.1/F486)*inputs!$E$73/inputs!$E$74</f>
        <v>0.27537406285057942</v>
      </c>
      <c r="Q486" s="60">
        <f>(inputs!$C$7*11.2*(12.3*F486^0.65)*0.5/F486)*inputs!$E$73/inputs!$E$74</f>
        <v>0.14551752704357698</v>
      </c>
      <c r="R486" s="60">
        <f>(60*379*((F486/1000)^0.8)*3*24*(MAX('Min rate concentrations'!$R$3:$R$368))/F486)*(inputs!$E$73/inputs!$E$75)</f>
        <v>7.4476608638196159E-4</v>
      </c>
      <c r="S486" s="60">
        <f>(IF(inputs!$C$6="aerial",((0.025*0.112*inputs!$C$7/3.3)*(3*60*379*((F486/1000)^0.8))*MAX(inputs!$H$14:$H$16))/F486,((0.0083*0.112*inputs!$C$7/1)*(3*60*379*((F486/1000)^0.8))*MAX(inputs!$H$14:$H$16))/F486))*(inputs!E$75/inputs!$E$73)</f>
        <v>4.1074307235656315E-3</v>
      </c>
      <c r="T486" s="63">
        <f>IF((((inputs!$P$12/(V486/MAX(K486:S486)))^(1/inputs!$O$12))-1)/inputs!$N$12&lt;0, 0, IF((((inputs!$P$12/(V486/MAX(K486:S486)))^(1/inputs!$O$12))-1)/inputs!$N$12&gt;inputs!$H$17, inputs!$H$17, (((inputs!$P$12/(V486/MAX(K486:S486)))^(1/inputs!$O$12))-1)/inputs!$N$12))</f>
        <v>83.485760204535197</v>
      </c>
      <c r="U486" s="63">
        <f>IF((((inputs!$P$12/(X486/MAX(K486:S486)))^(1/inputs!$O$12))-1)/inputs!$N$12&lt;0, 0, IF((((inputs!$P$12/(X486/MAX(K486:S486)))^(1/inputs!$O$12))-1)/inputs!$N$12&gt;inputs!$H$17, inputs!$H$17, (((inputs!$P$12/(X486/MAX(K486:S486)))^(1/inputs!$O$12))-1)/inputs!$N$12))</f>
        <v>0</v>
      </c>
      <c r="V486" s="54">
        <f>inputs!$E$70*(inputs!$F$70/F486)^(0.25)</f>
        <v>0.2889931169498331</v>
      </c>
      <c r="W486" s="54">
        <f>inputs!$E$76*(inputs!$F$76/F486)^(0.25)</f>
        <v>8.6923678854576344E-2</v>
      </c>
      <c r="X486" s="54">
        <f>inputs!$E$72*(inputs!$F$72/F486)^(0.25)</f>
        <v>12.749696336022048</v>
      </c>
      <c r="Y486" s="54" t="s">
        <v>13</v>
      </c>
      <c r="Z486" s="106">
        <f t="shared" si="60"/>
        <v>60.755847198568247</v>
      </c>
      <c r="AA486" s="106">
        <f t="shared" si="61"/>
        <v>201.99354061183561</v>
      </c>
    </row>
    <row r="487" spans="1:27" x14ac:dyDescent="0.25">
      <c r="A487" s="55" t="s">
        <v>602</v>
      </c>
      <c r="B487" s="49" t="s">
        <v>603</v>
      </c>
      <c r="C487" s="21" t="s">
        <v>61</v>
      </c>
      <c r="D487" s="20" t="s">
        <v>454</v>
      </c>
      <c r="E487" s="20">
        <v>36</v>
      </c>
      <c r="F487" s="21">
        <v>92000</v>
      </c>
      <c r="G487" s="21" t="s">
        <v>154</v>
      </c>
      <c r="H487" s="21">
        <v>9.2999999999999999E-2</v>
      </c>
      <c r="I487" s="48">
        <f>MAX('Min rate concentrations'!$G$3:$G$368)</f>
        <v>7.5</v>
      </c>
      <c r="J487" s="48">
        <f>MAX('Min rate concentrations'!Z:Z)</f>
        <v>3.5</v>
      </c>
      <c r="K487" s="60">
        <f t="shared" si="63"/>
        <v>0.25407831777265882</v>
      </c>
      <c r="L487" s="60"/>
      <c r="M487" s="60">
        <f>IF((((0.326*F487^0.818)-(0.398*F487^0.85)/(1-H487)*H487)*(MAX('Min rate concentrations'!$P$3:$P$368)))/F487&gt;0, (((0.326*F487^0.818)-(0.398*F487^0.85)/(1-H487)*H487)*(MAX('Min rate concentrations'!$P$3:$P$368)))/F487, 0)</f>
        <v>4.8438335756646406E-3</v>
      </c>
      <c r="N487" s="60">
        <f>IF((((0.326*F487^0.818)-(0.398*F487^0.85)/(1-H487)*H487)*(MAX('Min rate concentrations'!$Q$3:$Q$368)))/F487&gt; 0, (((0.326*F487^0.818)-(0.398*F487^0.85)/(1-H487)*H487)*(MAX('Min rate concentrations'!$Q$3:$Q$368)))/F487, 0)</f>
        <v>1.8445578523471451E-2</v>
      </c>
      <c r="O487" s="60">
        <f>((MAX('Min rate concentrations'!$F$3:$F$368))*0.62*6.01*8*(12.3*F487^0.65)*0.079*0.1/F487)*inputs!$E$73/inputs!$E$74</f>
        <v>0.82612218855173813</v>
      </c>
      <c r="P487" s="60"/>
      <c r="Q487" s="60">
        <f>(inputs!$C$7*11.2*(12.3*F487^0.65)*0.5/F487)*inputs!$E$73/inputs!$E$74</f>
        <v>0.14551752704357698</v>
      </c>
      <c r="R487" s="60">
        <f>(60*379*((F487/1000)^0.8)*3*24*(MAX('Min rate concentrations'!$R$3:$R$368))/F487)*(inputs!$E$73/inputs!$E$75)</f>
        <v>7.4476608638196159E-4</v>
      </c>
      <c r="S487" s="60">
        <f>(IF(inputs!$C$6="aerial",((0.025*0.112*inputs!$C$7/3.3)*(3*60*379*((F487/1000)^0.8))*MAX(inputs!$H$14:$H$16))/F487,((0.0083*0.112*inputs!$C$7/1)*(3*60*379*((F487/1000)^0.8))*MAX(inputs!$H$14:$H$16))/F487))*(inputs!E$75/inputs!$E$73)</f>
        <v>4.1074307235656315E-3</v>
      </c>
      <c r="T487" s="63">
        <f>IF((((inputs!$P$12/(V487/MAX(K487:S487)))^(1/inputs!$O$12))-1)/inputs!$N$12&lt;0, 0, IF((((inputs!$P$12/(V487/MAX(K487:S487)))^(1/inputs!$O$12))-1)/inputs!$N$12&gt;inputs!$H$17, inputs!$H$17, (((inputs!$P$12/(V487/MAX(K487:S487)))^(1/inputs!$O$12))-1)/inputs!$N$12))</f>
        <v>3.8105756550960521</v>
      </c>
      <c r="U487" s="63">
        <f>IF((((inputs!$P$12/(X487/MAX(K487:S487)))^(1/inputs!$O$12))-1)/inputs!$N$12&lt;0, 0, IF((((inputs!$P$12/(X487/MAX(K487:S487)))^(1/inputs!$O$12))-1)/inputs!$N$12&gt;inputs!$H$17, inputs!$H$17, (((inputs!$P$12/(X487/MAX(K487:S487)))^(1/inputs!$O$12))-1)/inputs!$N$12))</f>
        <v>0</v>
      </c>
      <c r="V487" s="54">
        <f>inputs!$E$70*(inputs!$F$70/F487)^(0.25)</f>
        <v>0.2889931169498331</v>
      </c>
      <c r="W487" s="54">
        <f>inputs!$E$76*(inputs!$F$76/F487)^(0.25)</f>
        <v>8.6923678854576344E-2</v>
      </c>
      <c r="X487" s="54">
        <f>inputs!$E$72*(inputs!$F$72/F487)^(0.25)</f>
        <v>12.749696336022048</v>
      </c>
      <c r="Y487" s="54" t="s">
        <v>13</v>
      </c>
      <c r="Z487" s="106">
        <f t="shared" si="60"/>
        <v>2.8586223688336023</v>
      </c>
      <c r="AA487" s="106">
        <f t="shared" si="61"/>
        <v>9.5039947622769603</v>
      </c>
    </row>
    <row r="488" spans="1:27" x14ac:dyDescent="0.25">
      <c r="A488" s="55" t="s">
        <v>459</v>
      </c>
      <c r="B488" s="49" t="s">
        <v>460</v>
      </c>
      <c r="C488" s="21" t="s">
        <v>61</v>
      </c>
      <c r="D488" s="20" t="s">
        <v>454</v>
      </c>
      <c r="E488" s="20">
        <v>13</v>
      </c>
      <c r="F488" s="21">
        <v>23000</v>
      </c>
      <c r="G488" s="21" t="s">
        <v>138</v>
      </c>
      <c r="H488" s="21">
        <v>0.68</v>
      </c>
      <c r="I488" s="48">
        <f>MAX('Min rate concentrations'!$L$3:$L$368)</f>
        <v>58.421240152220811</v>
      </c>
      <c r="J488" s="48">
        <f>MAX('Min rate concentrations'!AD:AD)</f>
        <v>40.397666062705881</v>
      </c>
      <c r="K488" s="60">
        <f t="shared" si="63"/>
        <v>7.1796140864026876</v>
      </c>
      <c r="L488" s="60">
        <f>(((0.235*F488^0.822)/(1-H488)))*J488/F488</f>
        <v>4.9646267618741984</v>
      </c>
      <c r="M488" s="60">
        <f>IF((((0.326*F488^0.818)-(0.398*F488^0.85)/(1-H488)*H488)*(MAX('Min rate concentrations'!$P$3:$P$368)))/F488&gt;0, (((0.326*F488^0.818)-(0.398*F488^0.85)/(1-H488)*H488)*(MAX('Min rate concentrations'!$P$3:$P$368)))/F488, 0)</f>
        <v>0</v>
      </c>
      <c r="N488" s="60">
        <f>IF((((0.326*F488^0.818)-(0.398*F488^0.85)/(1-H488)*H488)*(MAX('Min rate concentrations'!$Q$3:$Q$368)))/F488&gt; 0, (((0.326*F488^0.818)-(0.398*F488^0.85)/(1-H488)*H488)*(MAX('Min rate concentrations'!$Q$3:$Q$368)))/F488, 0)</f>
        <v>0</v>
      </c>
      <c r="O488" s="60">
        <f>((MAX('Min rate concentrations'!$F$3:$F$368))*0.62*6.01*8*(12.3*F488^0.65)*0.079*0.1/F488)*inputs!$E$73/inputs!$E$74</f>
        <v>1.3420394546684138</v>
      </c>
      <c r="P488" s="60">
        <f>((MAX('Min rate concentrations'!Y:Y))*0.62*6.01*8*(12.3*F488^0.65)*0.079*0.1/F488)*inputs!$E$73/inputs!$E$74</f>
        <v>0.44734648488947132</v>
      </c>
      <c r="Q488" s="60">
        <f>(inputs!$C$7*11.2*(12.3*F488^0.65)*0.5/F488)*inputs!$E$73/inputs!$E$74</f>
        <v>0.23639392010595736</v>
      </c>
      <c r="R488" s="60">
        <f>(60*379*((F488/1000)^0.8)*3*24*(MAX('Min rate concentrations'!$R$3:$R$368))/F488)*(inputs!$E$73/inputs!$E$75)</f>
        <v>9.8272474265636688E-4</v>
      </c>
      <c r="S488" s="60">
        <f>(IF(inputs!$C$6="aerial",((0.025*0.112*inputs!$C$7/3.3)*(3*60*379*((F488/1000)^0.8))*MAX(inputs!$H$14:$H$16))/F488,((0.0083*0.112*inputs!$C$7/1)*(3*60*379*((F488/1000)^0.8))*MAX(inputs!$H$14:$H$16))/F488))*(inputs!E$75/inputs!$E$73)</f>
        <v>5.4197873326964829E-3</v>
      </c>
      <c r="T488" s="63">
        <f>IF((((inputs!$P$12/(V488/MAX(K488:S488)))^(1/inputs!$O$12))-1)/inputs!$N$12&lt;0, 0, IF((((inputs!$P$12/(V488/MAX(K488:S488)))^(1/inputs!$O$12))-1)/inputs!$N$12&gt;inputs!$H$17, inputs!$H$17, (((inputs!$P$12/(V488/MAX(K488:S488)))^(1/inputs!$O$12))-1)/inputs!$N$12))</f>
        <v>39.108715592708393</v>
      </c>
      <c r="U488" s="63">
        <f>IF((((inputs!$P$12/(X488/MAX(K488:S488)))^(1/inputs!$O$12))-1)/inputs!$N$12&lt;0, 0, IF((((inputs!$P$12/(X488/MAX(K488:S488)))^(1/inputs!$O$12))-1)/inputs!$N$12&gt;inputs!$H$17, inputs!$H$17, (((inputs!$P$12/(X488/MAX(K488:S488)))^(1/inputs!$O$12))-1)/inputs!$N$12))</f>
        <v>0</v>
      </c>
      <c r="V488" s="54">
        <f>inputs!$E$70*(inputs!$F$70/F488)^(0.25)</f>
        <v>0.4086979854229279</v>
      </c>
      <c r="W488" s="54">
        <f>inputs!$E$76*(inputs!$F$76/F488)^(0.25)</f>
        <v>0.12292864552750529</v>
      </c>
      <c r="X488" s="54">
        <f>inputs!$E$72*(inputs!$F$72/F488)^(0.25)</f>
        <v>18.030793474540939</v>
      </c>
      <c r="Y488" s="54" t="s">
        <v>13</v>
      </c>
      <c r="Z488" s="106">
        <f t="shared" si="60"/>
        <v>17.567040559236169</v>
      </c>
      <c r="AA488" s="106">
        <f t="shared" si="61"/>
        <v>58.404727845116042</v>
      </c>
    </row>
    <row r="489" spans="1:27" x14ac:dyDescent="0.25">
      <c r="A489" s="55" t="s">
        <v>459</v>
      </c>
      <c r="B489" s="49" t="s">
        <v>460</v>
      </c>
      <c r="C489" s="21" t="s">
        <v>61</v>
      </c>
      <c r="D489" s="20" t="s">
        <v>454</v>
      </c>
      <c r="E489" s="20">
        <v>13</v>
      </c>
      <c r="F489" s="21">
        <v>23000</v>
      </c>
      <c r="G489" s="21" t="s">
        <v>455</v>
      </c>
      <c r="H489" s="21">
        <v>0.68</v>
      </c>
      <c r="I489" s="21">
        <f>MAX('Min rate concentrations'!$K$3:$K$368)</f>
        <v>18.333393099490852</v>
      </c>
      <c r="J489" s="48">
        <f>MAX('Min rate concentrations'!AC:AC)</f>
        <v>6.4930767227363431</v>
      </c>
      <c r="K489" s="60">
        <f t="shared" si="63"/>
        <v>2.2530621911773761</v>
      </c>
      <c r="L489" s="60"/>
      <c r="M489" s="60">
        <f>IF((((0.326*F489^0.818)-(0.398*F489^0.85)/(1-H489)*H489)*(MAX('Min rate concentrations'!$P$3:$P$368)))/F489&gt;0, (((0.326*F489^0.818)-(0.398*F489^0.85)/(1-H489)*H489)*(MAX('Min rate concentrations'!$P$3:$P$368)))/F489, 0)</f>
        <v>0</v>
      </c>
      <c r="N489" s="60">
        <f>IF((((0.326*F489^0.818)-(0.398*F489^0.85)/(1-H489)*H489)*(MAX('Min rate concentrations'!$Q$3:$Q$368)))/F489&gt; 0, (((0.326*F489^0.818)-(0.398*F489^0.85)/(1-H489)*H489)*(MAX('Min rate concentrations'!$Q$3:$Q$368)))/F489, 0)</f>
        <v>0</v>
      </c>
      <c r="O489" s="60">
        <f>((MAX('Min rate concentrations'!$F$3:$F$368))*0.62*6.01*8*(12.3*F489^0.65)*0.079*0.1/F489)*inputs!$E$73/inputs!$E$74</f>
        <v>1.3420394546684138</v>
      </c>
      <c r="P489" s="60"/>
      <c r="Q489" s="60">
        <f>(inputs!$C$7*11.2*(12.3*F489^0.65)*0.5/F489)*inputs!$E$73/inputs!$E$74</f>
        <v>0.23639392010595736</v>
      </c>
      <c r="R489" s="60">
        <f>(60*379*((F489/1000)^0.8)*3*24*(MAX('Min rate concentrations'!$R$3:$R$368))/F489)*(inputs!$E$73/inputs!$E$75)</f>
        <v>9.8272474265636688E-4</v>
      </c>
      <c r="S489" s="60">
        <f>(IF(inputs!$C$6="aerial",((0.025*0.112*inputs!$C$7/3.3)*(3*60*379*((F489/1000)^0.8))*MAX(inputs!$H$14:$H$16))/F489,((0.0083*0.112*inputs!$C$7/1)*(3*60*379*((F489/1000)^0.8))*MAX(inputs!$H$14:$H$16))/F489))*(inputs!E$75/inputs!$E$73)</f>
        <v>5.4197873326964829E-3</v>
      </c>
      <c r="T489" s="63">
        <f>IF((((inputs!$P$12/(V489/MAX(K489:S489)))^(1/inputs!$O$12))-1)/inputs!$N$12&lt;0, 0, IF((((inputs!$P$12/(V489/MAX(K489:S489)))^(1/inputs!$O$12))-1)/inputs!$N$12&gt;inputs!$H$17, inputs!$H$17, (((inputs!$P$12/(V489/MAX(K489:S489)))^(1/inputs!$O$12))-1)/inputs!$N$12))</f>
        <v>13.700724179300336</v>
      </c>
      <c r="U489" s="63">
        <f>IF((((inputs!$P$12/(X489/MAX(K489:S489)))^(1/inputs!$O$12))-1)/inputs!$N$12&lt;0, 0, IF((((inputs!$P$12/(X489/MAX(K489:S489)))^(1/inputs!$O$12))-1)/inputs!$N$12&gt;inputs!$H$17, inputs!$H$17, (((inputs!$P$12/(X489/MAX(K489:S489)))^(1/inputs!$O$12))-1)/inputs!$N$12))</f>
        <v>0</v>
      </c>
      <c r="V489" s="54">
        <f>inputs!$E$70*(inputs!$F$70/F489)^(0.25)</f>
        <v>0.4086979854229279</v>
      </c>
      <c r="W489" s="54">
        <f>inputs!$E$76*(inputs!$F$76/F489)^(0.25)</f>
        <v>0.12292864552750529</v>
      </c>
      <c r="X489" s="54">
        <f>inputs!$E$72*(inputs!$F$72/F489)^(0.25)</f>
        <v>18.030793474540939</v>
      </c>
      <c r="Y489" s="54" t="s">
        <v>13</v>
      </c>
      <c r="Z489" s="106">
        <f t="shared" si="60"/>
        <v>5.5127802718329217</v>
      </c>
      <c r="AA489" s="106">
        <f t="shared" si="61"/>
        <v>18.328211309163521</v>
      </c>
    </row>
    <row r="490" spans="1:27" x14ac:dyDescent="0.25">
      <c r="A490" s="55" t="s">
        <v>459</v>
      </c>
      <c r="B490" s="49" t="s">
        <v>460</v>
      </c>
      <c r="C490" s="21" t="s">
        <v>61</v>
      </c>
      <c r="D490" s="20" t="s">
        <v>454</v>
      </c>
      <c r="E490" s="20">
        <v>13</v>
      </c>
      <c r="F490" s="21">
        <v>23000</v>
      </c>
      <c r="G490" s="21" t="s">
        <v>456</v>
      </c>
      <c r="H490" s="21">
        <v>0.68</v>
      </c>
      <c r="I490" s="48">
        <f>MAX('Min rate concentrations'!$J$3:$J$368)</f>
        <v>114.4108103430513</v>
      </c>
      <c r="J490" s="48">
        <f>MAX('Min rate concentrations'!AB:AB)</f>
        <v>40.520495329830666</v>
      </c>
      <c r="K490" s="60">
        <f t="shared" si="63"/>
        <v>14.060390766019916</v>
      </c>
      <c r="L490" s="60">
        <f>(((0.235*F490^0.822)/(1-H490)))*J490/F490</f>
        <v>4.9797217296320531</v>
      </c>
      <c r="M490" s="60">
        <f>IF((((0.326*F490^0.818)-(0.398*F490^0.85)/(1-H490)*H490)*(MAX('Min rate concentrations'!$P$3:$P$368)))/F490&gt;0, (((0.326*F490^0.818)-(0.398*F490^0.85)/(1-H490)*H490)*(MAX('Min rate concentrations'!$P$3:$P$368)))/F490, 0)</f>
        <v>0</v>
      </c>
      <c r="N490" s="60">
        <f>IF((((0.326*F490^0.818)-(0.398*F490^0.85)/(1-H490)*H490)*(MAX('Min rate concentrations'!$Q$3:$Q$368)))/F490&gt; 0, (((0.326*F490^0.818)-(0.398*F490^0.85)/(1-H490)*H490)*(MAX('Min rate concentrations'!$Q$3:$Q$368)))/F490, 0)</f>
        <v>0</v>
      </c>
      <c r="O490" s="60">
        <f>((MAX('Min rate concentrations'!$F$3:$F$368))*0.62*6.01*8*(12.3*F490^0.65)*0.079*0.1/F490)*inputs!$E$73/inputs!$E$74</f>
        <v>1.3420394546684138</v>
      </c>
      <c r="P490" s="60">
        <f>((MAX('Min rate concentrations'!Y:Y))*0.62*6.01*8*(12.3*F490^0.65)*0.079*0.1/F490)*inputs!$E$73/inputs!$E$74</f>
        <v>0.44734648488947132</v>
      </c>
      <c r="Q490" s="60">
        <f>(inputs!$C$7*11.2*(12.3*F490^0.65)*0.5/F490)*inputs!$E$73/inputs!$E$74</f>
        <v>0.23639392010595736</v>
      </c>
      <c r="R490" s="60">
        <f>(60*379*((F490/1000)^0.8)*3*24*(MAX('Min rate concentrations'!$R$3:$R$368))/F490)*(inputs!$E$73/inputs!$E$75)</f>
        <v>9.8272474265636688E-4</v>
      </c>
      <c r="S490" s="60">
        <f>(IF(inputs!$C$6="aerial",((0.025*0.112*inputs!$C$7/3.3)*(3*60*379*((F490/1000)^0.8))*MAX(inputs!$H$14:$H$16))/F490,((0.0083*0.112*inputs!$C$7/1)*(3*60*379*((F490/1000)^0.8))*MAX(inputs!$H$14:$H$16))/F490))*(inputs!E$75/inputs!$E$73)</f>
        <v>5.4197873326964829E-3</v>
      </c>
      <c r="T490" s="63">
        <f>IF((((inputs!$P$12/(V490/MAX(K490:S490)))^(1/inputs!$O$12))-1)/inputs!$N$12&lt;0, 0, IF((((inputs!$P$12/(V490/MAX(K490:S490)))^(1/inputs!$O$12))-1)/inputs!$N$12&gt;inputs!$H$17, inputs!$H$17, (((inputs!$P$12/(V490/MAX(K490:S490)))^(1/inputs!$O$12))-1)/inputs!$N$12))</f>
        <v>60.361156129484364</v>
      </c>
      <c r="U490" s="63">
        <f>IF((((inputs!$P$12/(X490/MAX(K490:S490)))^(1/inputs!$O$12))-1)/inputs!$N$12&lt;0, 0, IF((((inputs!$P$12/(X490/MAX(K490:S490)))^(1/inputs!$O$12))-1)/inputs!$N$12&gt;inputs!$H$17, inputs!$H$17, (((inputs!$P$12/(X490/MAX(K490:S490)))^(1/inputs!$O$12))-1)/inputs!$N$12))</f>
        <v>0</v>
      </c>
      <c r="V490" s="54">
        <f>inputs!$E$70*(inputs!$F$70/F490)^(0.25)</f>
        <v>0.4086979854229279</v>
      </c>
      <c r="W490" s="54">
        <f>inputs!$E$76*(inputs!$F$76/F490)^(0.25)</f>
        <v>0.12292864552750529</v>
      </c>
      <c r="X490" s="54">
        <f>inputs!$E$72*(inputs!$F$72/F490)^(0.25)</f>
        <v>18.030793474540939</v>
      </c>
      <c r="Y490" s="54" t="s">
        <v>13</v>
      </c>
      <c r="Z490" s="106">
        <f t="shared" si="60"/>
        <v>34.402887382647542</v>
      </c>
      <c r="AA490" s="106">
        <f t="shared" si="61"/>
        <v>114.37847302135857</v>
      </c>
    </row>
    <row r="491" spans="1:27" x14ac:dyDescent="0.25">
      <c r="A491" s="55" t="s">
        <v>459</v>
      </c>
      <c r="B491" s="49" t="s">
        <v>461</v>
      </c>
      <c r="C491" s="21" t="s">
        <v>61</v>
      </c>
      <c r="D491" s="20" t="s">
        <v>454</v>
      </c>
      <c r="E491" s="20">
        <v>10484</v>
      </c>
      <c r="F491" s="21">
        <v>23000</v>
      </c>
      <c r="G491" s="21" t="s">
        <v>138</v>
      </c>
      <c r="H491" s="21">
        <v>0.68</v>
      </c>
      <c r="I491" s="48">
        <f>MAX('Min rate concentrations'!$L$3:$L$368)</f>
        <v>58.421240152220811</v>
      </c>
      <c r="J491" s="48">
        <f>MAX('Min rate concentrations'!AD:AD)</f>
        <v>40.397666062705881</v>
      </c>
      <c r="K491" s="60">
        <f t="shared" si="63"/>
        <v>7.1796140864026876</v>
      </c>
      <c r="L491" s="60">
        <f>(((0.235*F491^0.822)/(1-H491)))*J491/F491</f>
        <v>4.9646267618741984</v>
      </c>
      <c r="M491" s="60">
        <f>IF((((0.326*F491^0.818)-(0.398*F491^0.85)/(1-H491)*H491)*(MAX('Min rate concentrations'!$P$3:$P$368)))/F491&gt;0, (((0.326*F491^0.818)-(0.398*F491^0.85)/(1-H491)*H491)*(MAX('Min rate concentrations'!$P$3:$P$368)))/F491, 0)</f>
        <v>0</v>
      </c>
      <c r="N491" s="60">
        <f>IF((((0.326*F491^0.818)-(0.398*F491^0.85)/(1-H491)*H491)*(MAX('Min rate concentrations'!$Q$3:$Q$368)))/F491&gt; 0, (((0.326*F491^0.818)-(0.398*F491^0.85)/(1-H491)*H491)*(MAX('Min rate concentrations'!$Q$3:$Q$368)))/F491, 0)</f>
        <v>0</v>
      </c>
      <c r="O491" s="60">
        <f>((MAX('Min rate concentrations'!$F$3:$F$368))*0.62*6.01*8*(12.3*F491^0.65)*0.079*0.1/F491)*inputs!$E$73/inputs!$E$74</f>
        <v>1.3420394546684138</v>
      </c>
      <c r="P491" s="60">
        <f>((MAX('Min rate concentrations'!Y:Y))*0.62*6.01*8*(12.3*F491^0.65)*0.079*0.1/F491)*inputs!$E$73/inputs!$E$74</f>
        <v>0.44734648488947132</v>
      </c>
      <c r="Q491" s="60">
        <f>(inputs!$C$7*11.2*(12.3*F491^0.65)*0.5/F491)*inputs!$E$73/inputs!$E$74</f>
        <v>0.23639392010595736</v>
      </c>
      <c r="R491" s="60">
        <f>(60*379*((F491/1000)^0.8)*3*24*(MAX('Min rate concentrations'!$R$3:$R$368))/F491)*(inputs!$E$73/inputs!$E$75)</f>
        <v>9.8272474265636688E-4</v>
      </c>
      <c r="S491" s="60">
        <f>(IF(inputs!$C$6="aerial",((0.025*0.112*inputs!$C$7/3.3)*(3*60*379*((F491/1000)^0.8))*MAX(inputs!$H$14:$H$16))/F491,((0.0083*0.112*inputs!$C$7/1)*(3*60*379*((F491/1000)^0.8))*MAX(inputs!$H$14:$H$16))/F491))*(inputs!E$75/inputs!$E$73)</f>
        <v>5.4197873326964829E-3</v>
      </c>
      <c r="T491" s="63">
        <f>IF((((inputs!$P$12/(V491/MAX(K491:S491)))^(1/inputs!$O$12))-1)/inputs!$N$12&lt;0, 0, IF((((inputs!$P$12/(V491/MAX(K491:S491)))^(1/inputs!$O$12))-1)/inputs!$N$12&gt;inputs!$H$17, inputs!$H$17, (((inputs!$P$12/(V491/MAX(K491:S491)))^(1/inputs!$O$12))-1)/inputs!$N$12))</f>
        <v>39.108715592708393</v>
      </c>
      <c r="U491" s="63">
        <f>IF((((inputs!$P$12/(X491/MAX(K491:S491)))^(1/inputs!$O$12))-1)/inputs!$N$12&lt;0, 0, IF((((inputs!$P$12/(X491/MAX(K491:S491)))^(1/inputs!$O$12))-1)/inputs!$N$12&gt;inputs!$H$17, inputs!$H$17, (((inputs!$P$12/(X491/MAX(K491:S491)))^(1/inputs!$O$12))-1)/inputs!$N$12))</f>
        <v>0</v>
      </c>
      <c r="V491" s="54">
        <f>inputs!$E$70*(inputs!$F$70/F491)^(0.25)</f>
        <v>0.4086979854229279</v>
      </c>
      <c r="W491" s="54">
        <f>inputs!$E$76*(inputs!$F$76/F491)^(0.25)</f>
        <v>0.12292864552750529</v>
      </c>
      <c r="X491" s="54">
        <f>inputs!$E$72*(inputs!$F$72/F491)^(0.25)</f>
        <v>18.030793474540939</v>
      </c>
      <c r="Y491" s="54" t="s">
        <v>13</v>
      </c>
      <c r="Z491" s="106">
        <f t="shared" si="60"/>
        <v>17.567040559236169</v>
      </c>
      <c r="AA491" s="106">
        <f t="shared" si="61"/>
        <v>58.404727845116042</v>
      </c>
    </row>
    <row r="492" spans="1:27" x14ac:dyDescent="0.25">
      <c r="A492" s="55" t="s">
        <v>459</v>
      </c>
      <c r="B492" s="49" t="s">
        <v>461</v>
      </c>
      <c r="C492" s="21" t="s">
        <v>61</v>
      </c>
      <c r="D492" s="20" t="s">
        <v>454</v>
      </c>
      <c r="E492" s="20">
        <v>10484</v>
      </c>
      <c r="F492" s="21">
        <v>23000</v>
      </c>
      <c r="G492" s="21" t="s">
        <v>455</v>
      </c>
      <c r="H492" s="21">
        <v>0.68</v>
      </c>
      <c r="I492" s="21">
        <f>MAX('Min rate concentrations'!$K$3:$K$368)</f>
        <v>18.333393099490852</v>
      </c>
      <c r="J492" s="48">
        <f>MAX('Min rate concentrations'!AC:AC)</f>
        <v>6.4930767227363431</v>
      </c>
      <c r="K492" s="60">
        <f t="shared" si="63"/>
        <v>2.2530621911773761</v>
      </c>
      <c r="L492" s="60"/>
      <c r="M492" s="60">
        <f>IF((((0.326*F492^0.818)-(0.398*F492^0.85)/(1-H492)*H492)*(MAX('Min rate concentrations'!$P$3:$P$368)))/F492&gt;0, (((0.326*F492^0.818)-(0.398*F492^0.85)/(1-H492)*H492)*(MAX('Min rate concentrations'!$P$3:$P$368)))/F492, 0)</f>
        <v>0</v>
      </c>
      <c r="N492" s="60">
        <f>IF((((0.326*F492^0.818)-(0.398*F492^0.85)/(1-H492)*H492)*(MAX('Min rate concentrations'!$Q$3:$Q$368)))/F492&gt; 0, (((0.326*F492^0.818)-(0.398*F492^0.85)/(1-H492)*H492)*(MAX('Min rate concentrations'!$Q$3:$Q$368)))/F492, 0)</f>
        <v>0</v>
      </c>
      <c r="O492" s="60">
        <f>((MAX('Min rate concentrations'!$F$3:$F$368))*0.62*6.01*8*(12.3*F492^0.65)*0.079*0.1/F492)*inputs!$E$73/inputs!$E$74</f>
        <v>1.3420394546684138</v>
      </c>
      <c r="P492" s="60"/>
      <c r="Q492" s="60">
        <f>(inputs!$C$7*11.2*(12.3*F492^0.65)*0.5/F492)*inputs!$E$73/inputs!$E$74</f>
        <v>0.23639392010595736</v>
      </c>
      <c r="R492" s="60">
        <f>(60*379*((F492/1000)^0.8)*3*24*(MAX('Min rate concentrations'!$R$3:$R$368))/F492)*(inputs!$E$73/inputs!$E$75)</f>
        <v>9.8272474265636688E-4</v>
      </c>
      <c r="S492" s="60">
        <f>(IF(inputs!$C$6="aerial",((0.025*0.112*inputs!$C$7/3.3)*(3*60*379*((F492/1000)^0.8))*MAX(inputs!$H$14:$H$16))/F492,((0.0083*0.112*inputs!$C$7/1)*(3*60*379*((F492/1000)^0.8))*MAX(inputs!$H$14:$H$16))/F492))*(inputs!E$75/inputs!$E$73)</f>
        <v>5.4197873326964829E-3</v>
      </c>
      <c r="T492" s="63">
        <f>IF((((inputs!$P$12/(V492/MAX(K492:S492)))^(1/inputs!$O$12))-1)/inputs!$N$12&lt;0, 0, IF((((inputs!$P$12/(V492/MAX(K492:S492)))^(1/inputs!$O$12))-1)/inputs!$N$12&gt;inputs!$H$17, inputs!$H$17, (((inputs!$P$12/(V492/MAX(K492:S492)))^(1/inputs!$O$12))-1)/inputs!$N$12))</f>
        <v>13.700724179300336</v>
      </c>
      <c r="U492" s="63">
        <f>IF((((inputs!$P$12/(X492/MAX(K492:S492)))^(1/inputs!$O$12))-1)/inputs!$N$12&lt;0, 0, IF((((inputs!$P$12/(X492/MAX(K492:S492)))^(1/inputs!$O$12))-1)/inputs!$N$12&gt;inputs!$H$17, inputs!$H$17, (((inputs!$P$12/(X492/MAX(K492:S492)))^(1/inputs!$O$12))-1)/inputs!$N$12))</f>
        <v>0</v>
      </c>
      <c r="V492" s="54">
        <f>inputs!$E$70*(inputs!$F$70/F492)^(0.25)</f>
        <v>0.4086979854229279</v>
      </c>
      <c r="W492" s="54">
        <f>inputs!$E$76*(inputs!$F$76/F492)^(0.25)</f>
        <v>0.12292864552750529</v>
      </c>
      <c r="X492" s="54">
        <f>inputs!$E$72*(inputs!$F$72/F492)^(0.25)</f>
        <v>18.030793474540939</v>
      </c>
      <c r="Y492" s="54" t="s">
        <v>13</v>
      </c>
      <c r="Z492" s="106">
        <f t="shared" si="60"/>
        <v>5.5127802718329217</v>
      </c>
      <c r="AA492" s="106">
        <f t="shared" si="61"/>
        <v>18.328211309163521</v>
      </c>
    </row>
    <row r="493" spans="1:27" x14ac:dyDescent="0.25">
      <c r="A493" s="55" t="s">
        <v>459</v>
      </c>
      <c r="B493" s="49" t="s">
        <v>461</v>
      </c>
      <c r="C493" s="21" t="s">
        <v>61</v>
      </c>
      <c r="D493" s="20" t="s">
        <v>454</v>
      </c>
      <c r="E493" s="20">
        <v>10484</v>
      </c>
      <c r="F493" s="21">
        <v>23000</v>
      </c>
      <c r="G493" s="21" t="s">
        <v>456</v>
      </c>
      <c r="H493" s="21">
        <v>0.68</v>
      </c>
      <c r="I493" s="48">
        <f>MAX('Min rate concentrations'!$J$3:$J$368)</f>
        <v>114.4108103430513</v>
      </c>
      <c r="J493" s="48">
        <f>MAX('Min rate concentrations'!AB:AB)</f>
        <v>40.520495329830666</v>
      </c>
      <c r="K493" s="60">
        <f t="shared" si="63"/>
        <v>14.060390766019916</v>
      </c>
      <c r="L493" s="60">
        <f>(((0.235*F493^0.822)/(1-H493)))*J493/F493</f>
        <v>4.9797217296320531</v>
      </c>
      <c r="M493" s="60">
        <f>IF((((0.326*F493^0.818)-(0.398*F493^0.85)/(1-H493)*H493)*(MAX('Min rate concentrations'!$P$3:$P$368)))/F493&gt;0, (((0.326*F493^0.818)-(0.398*F493^0.85)/(1-H493)*H493)*(MAX('Min rate concentrations'!$P$3:$P$368)))/F493, 0)</f>
        <v>0</v>
      </c>
      <c r="N493" s="60">
        <f>IF((((0.326*F493^0.818)-(0.398*F493^0.85)/(1-H493)*H493)*(MAX('Min rate concentrations'!$Q$3:$Q$368)))/F493&gt; 0, (((0.326*F493^0.818)-(0.398*F493^0.85)/(1-H493)*H493)*(MAX('Min rate concentrations'!$Q$3:$Q$368)))/F493, 0)</f>
        <v>0</v>
      </c>
      <c r="O493" s="60">
        <f>((MAX('Min rate concentrations'!$F$3:$F$368))*0.62*6.01*8*(12.3*F493^0.65)*0.079*0.1/F493)*inputs!$E$73/inputs!$E$74</f>
        <v>1.3420394546684138</v>
      </c>
      <c r="P493" s="60">
        <f>((MAX('Min rate concentrations'!Y:Y))*0.62*6.01*8*(12.3*F493^0.65)*0.079*0.1/F493)*inputs!$E$73/inputs!$E$74</f>
        <v>0.44734648488947132</v>
      </c>
      <c r="Q493" s="60">
        <f>(inputs!$C$7*11.2*(12.3*F493^0.65)*0.5/F493)*inputs!$E$73/inputs!$E$74</f>
        <v>0.23639392010595736</v>
      </c>
      <c r="R493" s="60">
        <f>(60*379*((F493/1000)^0.8)*3*24*(MAX('Min rate concentrations'!$R$3:$R$368))/F493)*(inputs!$E$73/inputs!$E$75)</f>
        <v>9.8272474265636688E-4</v>
      </c>
      <c r="S493" s="60">
        <f>(IF(inputs!$C$6="aerial",((0.025*0.112*inputs!$C$7/3.3)*(3*60*379*((F493/1000)^0.8))*MAX(inputs!$H$14:$H$16))/F493,((0.0083*0.112*inputs!$C$7/1)*(3*60*379*((F493/1000)^0.8))*MAX(inputs!$H$14:$H$16))/F493))*(inputs!E$75/inputs!$E$73)</f>
        <v>5.4197873326964829E-3</v>
      </c>
      <c r="T493" s="63">
        <f>IF((((inputs!$P$12/(V493/MAX(K493:S493)))^(1/inputs!$O$12))-1)/inputs!$N$12&lt;0, 0, IF((((inputs!$P$12/(V493/MAX(K493:S493)))^(1/inputs!$O$12))-1)/inputs!$N$12&gt;inputs!$H$17, inputs!$H$17, (((inputs!$P$12/(V493/MAX(K493:S493)))^(1/inputs!$O$12))-1)/inputs!$N$12))</f>
        <v>60.361156129484364</v>
      </c>
      <c r="U493" s="63">
        <f>IF((((inputs!$P$12/(X493/MAX(K493:S493)))^(1/inputs!$O$12))-1)/inputs!$N$12&lt;0, 0, IF((((inputs!$P$12/(X493/MAX(K493:S493)))^(1/inputs!$O$12))-1)/inputs!$N$12&gt;inputs!$H$17, inputs!$H$17, (((inputs!$P$12/(X493/MAX(K493:S493)))^(1/inputs!$O$12))-1)/inputs!$N$12))</f>
        <v>0</v>
      </c>
      <c r="V493" s="54">
        <f>inputs!$E$70*(inputs!$F$70/F493)^(0.25)</f>
        <v>0.4086979854229279</v>
      </c>
      <c r="W493" s="54">
        <f>inputs!$E$76*(inputs!$F$76/F493)^(0.25)</f>
        <v>0.12292864552750529</v>
      </c>
      <c r="X493" s="54">
        <f>inputs!$E$72*(inputs!$F$72/F493)^(0.25)</f>
        <v>18.030793474540939</v>
      </c>
      <c r="Y493" s="54" t="s">
        <v>13</v>
      </c>
      <c r="Z493" s="106">
        <f t="shared" si="60"/>
        <v>34.402887382647542</v>
      </c>
      <c r="AA493" s="106">
        <f t="shared" si="61"/>
        <v>114.37847302135857</v>
      </c>
    </row>
    <row r="494" spans="1:27" x14ac:dyDescent="0.25">
      <c r="A494" s="55" t="s">
        <v>497</v>
      </c>
      <c r="B494" s="49" t="s">
        <v>498</v>
      </c>
      <c r="C494" s="21" t="s">
        <v>61</v>
      </c>
      <c r="D494" s="20" t="s">
        <v>454</v>
      </c>
      <c r="E494" s="20">
        <v>30</v>
      </c>
      <c r="F494" s="21">
        <v>7000</v>
      </c>
      <c r="G494" s="21" t="s">
        <v>138</v>
      </c>
      <c r="H494" s="21">
        <v>0.68</v>
      </c>
      <c r="I494" s="48">
        <f>MAX('Min rate concentrations'!$L$3:$L$368)</f>
        <v>58.421240152220811</v>
      </c>
      <c r="J494" s="48">
        <f>MAX('Min rate concentrations'!AD:AD)</f>
        <v>40.397666062705881</v>
      </c>
      <c r="K494" s="60">
        <f t="shared" ref="K494:K525" si="66">(((0.235*F494^0.822)/(1-H494)))*I494/F494</f>
        <v>8.8728104681258717</v>
      </c>
      <c r="L494" s="60">
        <f>(((0.235*F494^0.822)/(1-H494)))*J494/F494</f>
        <v>6.1354540471083165</v>
      </c>
      <c r="M494" s="60">
        <f>IF((((0.326*F494^0.818)-(0.398*F494^0.85)/(1-H494)*H494)*(MAX('Min rate concentrations'!$P$3:$P$368)))/F494&gt;0, (((0.326*F494^0.818)-(0.398*F494^0.85)/(1-H494)*H494)*(MAX('Min rate concentrations'!$P$3:$P$368)))/F494, 0)</f>
        <v>0</v>
      </c>
      <c r="N494" s="60">
        <f>IF((((0.326*F494^0.818)-(0.398*F494^0.85)/(1-H494)*H494)*(MAX('Min rate concentrations'!$Q$3:$Q$368)))/F494&gt; 0, (((0.326*F494^0.818)-(0.398*F494^0.85)/(1-H494)*H494)*(MAX('Min rate concentrations'!$Q$3:$Q$368)))/F494, 0)</f>
        <v>0</v>
      </c>
      <c r="O494" s="60">
        <f>((MAX('Min rate concentrations'!$F$3:$F$368))*0.62*6.01*8*(12.3*F494^0.65)*0.079*0.1/F494)*inputs!$E$73/inputs!$E$74</f>
        <v>2.0350998039969781</v>
      </c>
      <c r="P494" s="60">
        <f>((MAX('Min rate concentrations'!Y:Y))*0.62*6.01*8*(12.3*F494^0.65)*0.079*0.1/F494)*inputs!$E$73/inputs!$E$74</f>
        <v>0.67836660133232596</v>
      </c>
      <c r="Q494" s="60">
        <f>(inputs!$C$7*11.2*(12.3*F494^0.65)*0.5/F494)*inputs!$E$73/inputs!$E$74</f>
        <v>0.35847323176692736</v>
      </c>
      <c r="R494" s="60">
        <f>(60*379*((F494/1000)^0.8)*3*24*(MAX('Min rate concentrations'!$R$3:$R$368))/F494)*(inputs!$E$73/inputs!$E$75)</f>
        <v>1.2466882029266383E-3</v>
      </c>
      <c r="S494" s="60">
        <f>(IF(inputs!$C$6="aerial",((0.025*0.112*inputs!$C$7/3.3)*(3*60*379*((F494/1000)^0.8))*MAX(inputs!$H$14:$H$16))/F494,((0.0083*0.112*inputs!$C$7/1)*(3*60*379*((F494/1000)^0.8))*MAX(inputs!$H$14:$H$16))/F494))*(inputs!E$75/inputs!$E$73)</f>
        <v>6.8755620335557259E-3</v>
      </c>
      <c r="T494" s="63">
        <f>IF((((inputs!$P$12/(V494/MAX(K494:S494)))^(1/inputs!$O$12))-1)/inputs!$N$12&lt;0, 0, IF((((inputs!$P$12/(V494/MAX(K494:S494)))^(1/inputs!$O$12))-1)/inputs!$N$12&gt;inputs!$H$17, inputs!$H$17, (((inputs!$P$12/(V494/MAX(K494:S494)))^(1/inputs!$O$12))-1)/inputs!$N$12))</f>
        <v>36.794330599085939</v>
      </c>
      <c r="U494" s="63">
        <f>IF((((inputs!$P$12/(X494/MAX(K494:S494)))^(1/inputs!$O$12))-1)/inputs!$N$12&lt;0, 0, IF((((inputs!$P$12/(X494/MAX(K494:S494)))^(1/inputs!$O$12))-1)/inputs!$N$12&gt;inputs!$H$17, inputs!$H$17, (((inputs!$P$12/(X494/MAX(K494:S494)))^(1/inputs!$O$12))-1)/inputs!$N$12))</f>
        <v>0</v>
      </c>
      <c r="V494" s="54">
        <f>inputs!$E$70*(inputs!$F$70/F494)^(0.25)</f>
        <v>0.55024986664037223</v>
      </c>
      <c r="W494" s="54">
        <f>inputs!$E$76*(inputs!$F$76/F494)^(0.25)</f>
        <v>0.16550478157555576</v>
      </c>
      <c r="X494" s="54">
        <f>inputs!$E$72*(inputs!$F$72/F494)^(0.25)</f>
        <v>24.275729410604654</v>
      </c>
      <c r="Y494" s="54" t="s">
        <v>13</v>
      </c>
      <c r="Z494" s="106">
        <f t="shared" si="60"/>
        <v>16.125057007828207</v>
      </c>
      <c r="AA494" s="106">
        <f t="shared" si="61"/>
        <v>53.610598942576665</v>
      </c>
    </row>
    <row r="495" spans="1:27" x14ac:dyDescent="0.25">
      <c r="A495" s="55" t="s">
        <v>497</v>
      </c>
      <c r="B495" s="49" t="s">
        <v>498</v>
      </c>
      <c r="C495" s="21" t="s">
        <v>61</v>
      </c>
      <c r="D495" s="20" t="s">
        <v>454</v>
      </c>
      <c r="E495" s="20">
        <v>30</v>
      </c>
      <c r="F495" s="21">
        <v>7000</v>
      </c>
      <c r="G495" s="21" t="s">
        <v>456</v>
      </c>
      <c r="H495" s="21">
        <v>0.68</v>
      </c>
      <c r="I495" s="48">
        <f>MAX('Min rate concentrations'!$J$3:$J$368)</f>
        <v>114.4108103430513</v>
      </c>
      <c r="J495" s="48">
        <f>MAX('Min rate concentrations'!AB:AB)</f>
        <v>40.520495329830666</v>
      </c>
      <c r="K495" s="60">
        <f t="shared" si="66"/>
        <v>17.37630753872314</v>
      </c>
      <c r="L495" s="60">
        <f>(((0.235*F495^0.822)/(1-H495)))*J495/F495</f>
        <v>6.1541089199644441</v>
      </c>
      <c r="M495" s="60">
        <f>IF((((0.326*F495^0.818)-(0.398*F495^0.85)/(1-H495)*H495)*(MAX('Min rate concentrations'!$P$3:$P$368)))/F495&gt;0, (((0.326*F495^0.818)-(0.398*F495^0.85)/(1-H495)*H495)*(MAX('Min rate concentrations'!$P$3:$P$368)))/F495, 0)</f>
        <v>0</v>
      </c>
      <c r="N495" s="60">
        <f>IF((((0.326*F495^0.818)-(0.398*F495^0.85)/(1-H495)*H495)*(MAX('Min rate concentrations'!$Q$3:$Q$368)))/F495&gt; 0, (((0.326*F495^0.818)-(0.398*F495^0.85)/(1-H495)*H495)*(MAX('Min rate concentrations'!$Q$3:$Q$368)))/F495, 0)</f>
        <v>0</v>
      </c>
      <c r="O495" s="60">
        <f>((MAX('Min rate concentrations'!$F$3:$F$368))*0.62*6.01*8*(12.3*F495^0.65)*0.079*0.1/F495)*inputs!$E$73/inputs!$E$74</f>
        <v>2.0350998039969781</v>
      </c>
      <c r="P495" s="60">
        <f>((MAX('Min rate concentrations'!Y:Y))*0.62*6.01*8*(12.3*F495^0.65)*0.079*0.1/F495)*inputs!$E$73/inputs!$E$74</f>
        <v>0.67836660133232596</v>
      </c>
      <c r="Q495" s="60">
        <f>(inputs!$C$7*11.2*(12.3*F495^0.65)*0.5/F495)*inputs!$E$73/inputs!$E$74</f>
        <v>0.35847323176692736</v>
      </c>
      <c r="R495" s="60">
        <f>(60*379*((F495/1000)^0.8)*3*24*(MAX('Min rate concentrations'!$R$3:$R$368))/F495)*(inputs!$E$73/inputs!$E$75)</f>
        <v>1.2466882029266383E-3</v>
      </c>
      <c r="S495" s="60">
        <f>(IF(inputs!$C$6="aerial",((0.025*0.112*inputs!$C$7/3.3)*(3*60*379*((F495/1000)^0.8))*MAX(inputs!$H$14:$H$16))/F495,((0.0083*0.112*inputs!$C$7/1)*(3*60*379*((F495/1000)^0.8))*MAX(inputs!$H$14:$H$16))/F495))*(inputs!E$75/inputs!$E$73)</f>
        <v>6.8755620335557259E-3</v>
      </c>
      <c r="T495" s="63">
        <f>IF((((inputs!$P$12/(V495/MAX(K495:S495)))^(1/inputs!$O$12))-1)/inputs!$N$12&lt;0, 0, IF((((inputs!$P$12/(V495/MAX(K495:S495)))^(1/inputs!$O$12))-1)/inputs!$N$12&gt;inputs!$H$17, inputs!$H$17, (((inputs!$P$12/(V495/MAX(K495:S495)))^(1/inputs!$O$12))-1)/inputs!$N$12))</f>
        <v>57.31914919371507</v>
      </c>
      <c r="U495" s="63">
        <f>IF((((inputs!$P$12/(X495/MAX(K495:S495)))^(1/inputs!$O$12))-1)/inputs!$N$12&lt;0, 0, IF((((inputs!$P$12/(X495/MAX(K495:S495)))^(1/inputs!$O$12))-1)/inputs!$N$12&gt;inputs!$H$17, inputs!$H$17, (((inputs!$P$12/(X495/MAX(K495:S495)))^(1/inputs!$O$12))-1)/inputs!$N$12))</f>
        <v>0</v>
      </c>
      <c r="V495" s="54">
        <f>inputs!$E$70*(inputs!$F$70/F495)^(0.25)</f>
        <v>0.55024986664037223</v>
      </c>
      <c r="W495" s="54">
        <f>inputs!$E$76*(inputs!$F$76/F495)^(0.25)</f>
        <v>0.16550478157555576</v>
      </c>
      <c r="X495" s="54">
        <f>inputs!$E$72*(inputs!$F$72/F495)^(0.25)</f>
        <v>24.275729410604654</v>
      </c>
      <c r="Y495" s="54" t="s">
        <v>13</v>
      </c>
      <c r="Z495" s="106">
        <f t="shared" si="60"/>
        <v>31.578940027403593</v>
      </c>
      <c r="AA495" s="106">
        <f t="shared" si="61"/>
        <v>104.98976146372277</v>
      </c>
    </row>
    <row r="496" spans="1:27" x14ac:dyDescent="0.25">
      <c r="A496" s="55" t="s">
        <v>497</v>
      </c>
      <c r="B496" s="49" t="s">
        <v>498</v>
      </c>
      <c r="C496" s="21" t="s">
        <v>61</v>
      </c>
      <c r="D496" s="20" t="s">
        <v>454</v>
      </c>
      <c r="E496" s="20">
        <v>30</v>
      </c>
      <c r="F496" s="21">
        <v>7000</v>
      </c>
      <c r="G496" s="21" t="s">
        <v>145</v>
      </c>
      <c r="H496" s="21">
        <v>0.66</v>
      </c>
      <c r="I496" s="48">
        <f>MAX('Min rate concentrations'!$M$3:$M$368)</f>
        <v>2.8488184789681945</v>
      </c>
      <c r="J496" s="48">
        <f>MAX('Min rate concentrations'!AE:AE)</f>
        <v>1.9699276716269429</v>
      </c>
      <c r="K496" s="60">
        <f t="shared" si="66"/>
        <v>0.40721734856735675</v>
      </c>
      <c r="L496" s="60">
        <f>(((0.235*F496^0.822)/(1-H496)))*J496/F496</f>
        <v>0.28158646443487434</v>
      </c>
      <c r="M496" s="60">
        <f>IF((((0.326*F496^0.818)-(0.398*F496^0.85)/(1-H496)*H496)*(MAX('Min rate concentrations'!$P$3:$P$368)))/F496&gt;0, (((0.326*F496^0.818)-(0.398*F496^0.85)/(1-H496)*H496)*(MAX('Min rate concentrations'!$P$3:$P$368)))/F496, 0)</f>
        <v>0</v>
      </c>
      <c r="N496" s="60">
        <f>IF((((0.326*F496^0.818)-(0.398*F496^0.85)/(1-H496)*H496)*(MAX('Min rate concentrations'!$Q$3:$Q$368)))/F496&gt; 0, (((0.326*F496^0.818)-(0.398*F496^0.85)/(1-H496)*H496)*(MAX('Min rate concentrations'!$Q$3:$Q$368)))/F496, 0)</f>
        <v>0</v>
      </c>
      <c r="O496" s="60">
        <f>((MAX('Min rate concentrations'!$F$3:$F$368))*0.62*6.01*8*(12.3*F496^0.65)*0.079*0.1/F496)*inputs!$E$73/inputs!$E$74</f>
        <v>2.0350998039969781</v>
      </c>
      <c r="P496" s="60">
        <f>((MAX('Min rate concentrations'!Y:Y))*0.62*6.01*8*(12.3*F496^0.65)*0.079*0.1/F496)*inputs!$E$73/inputs!$E$74</f>
        <v>0.67836660133232596</v>
      </c>
      <c r="Q496" s="60">
        <f>(inputs!$C$7*11.2*(12.3*F496^0.65)*0.5/F496)*inputs!$E$73/inputs!$E$74</f>
        <v>0.35847323176692736</v>
      </c>
      <c r="R496" s="60">
        <f>(60*379*((F496/1000)^0.8)*3*24*(MAX('Min rate concentrations'!$R$3:$R$368))/F496)*(inputs!$E$73/inputs!$E$75)</f>
        <v>1.2466882029266383E-3</v>
      </c>
      <c r="S496" s="60">
        <f>(IF(inputs!$C$6="aerial",((0.025*0.112*inputs!$C$7/3.3)*(3*60*379*((F496/1000)^0.8))*MAX(inputs!$H$14:$H$16))/F496,((0.0083*0.112*inputs!$C$7/1)*(3*60*379*((F496/1000)^0.8))*MAX(inputs!$H$14:$H$16))/F496))*(inputs!E$75/inputs!$E$73)</f>
        <v>6.8755620335557259E-3</v>
      </c>
      <c r="T496" s="63">
        <f>IF((((inputs!$P$12/(V496/MAX(K496:S496)))^(1/inputs!$O$12))-1)/inputs!$N$12&lt;0, 0, IF((((inputs!$P$12/(V496/MAX(K496:S496)))^(1/inputs!$O$12))-1)/inputs!$N$12&gt;inputs!$H$17, inputs!$H$17, (((inputs!$P$12/(V496/MAX(K496:S496)))^(1/inputs!$O$12))-1)/inputs!$N$12))</f>
        <v>7.3783492603872265</v>
      </c>
      <c r="U496" s="63">
        <f>IF((((inputs!$P$12/(X496/MAX(K496:S496)))^(1/inputs!$O$12))-1)/inputs!$N$12&lt;0, 0, IF((((inputs!$P$12/(X496/MAX(K496:S496)))^(1/inputs!$O$12))-1)/inputs!$N$12&gt;inputs!$H$17, inputs!$H$17, (((inputs!$P$12/(X496/MAX(K496:S496)))^(1/inputs!$O$12))-1)/inputs!$N$12))</f>
        <v>0</v>
      </c>
      <c r="V496" s="54">
        <f>inputs!$E$70*(inputs!$F$70/F496)^(0.25)</f>
        <v>0.55024986664037223</v>
      </c>
      <c r="W496" s="54">
        <f>inputs!$E$76*(inputs!$F$76/F496)^(0.25)</f>
        <v>0.16550478157555576</v>
      </c>
      <c r="X496" s="54">
        <f>inputs!$E$72*(inputs!$F$72/F496)^(0.25)</f>
        <v>24.275729410604654</v>
      </c>
      <c r="Y496" s="54" t="s">
        <v>13</v>
      </c>
      <c r="Z496" s="106">
        <f t="shared" si="60"/>
        <v>3.6985012216769184</v>
      </c>
      <c r="AA496" s="106">
        <f t="shared" si="61"/>
        <v>12.296320291313881</v>
      </c>
    </row>
    <row r="497" spans="1:27" x14ac:dyDescent="0.25">
      <c r="A497" s="55" t="s">
        <v>462</v>
      </c>
      <c r="B497" s="49" t="s">
        <v>463</v>
      </c>
      <c r="C497" s="21" t="s">
        <v>61</v>
      </c>
      <c r="D497" s="20" t="s">
        <v>454</v>
      </c>
      <c r="E497" s="20">
        <v>14</v>
      </c>
      <c r="F497" s="21">
        <v>19000</v>
      </c>
      <c r="G497" s="21" t="s">
        <v>455</v>
      </c>
      <c r="H497" s="21">
        <v>0.68</v>
      </c>
      <c r="I497" s="21">
        <f>MAX('Min rate concentrations'!$K$3:$K$368)</f>
        <v>18.333393099490852</v>
      </c>
      <c r="J497" s="48">
        <f>MAX('Min rate concentrations'!AC:AC)</f>
        <v>6.4930767227363431</v>
      </c>
      <c r="K497" s="60">
        <f t="shared" si="66"/>
        <v>2.3310017176623061</v>
      </c>
      <c r="L497" s="60"/>
      <c r="M497" s="60">
        <f>IF((((0.326*F497^0.818)-(0.398*F497^0.85)/(1-H497)*H497)*(MAX('Min rate concentrations'!$P$3:$P$368)))/F497&gt;0, (((0.326*F497^0.818)-(0.398*F497^0.85)/(1-H497)*H497)*(MAX('Min rate concentrations'!$P$3:$P$368)))/F497, 0)</f>
        <v>0</v>
      </c>
      <c r="N497" s="60">
        <f>IF((((0.326*F497^0.818)-(0.398*F497^0.85)/(1-H497)*H497)*(MAX('Min rate concentrations'!$Q$3:$Q$368)))/F497&gt; 0, (((0.326*F497^0.818)-(0.398*F497^0.85)/(1-H497)*H497)*(MAX('Min rate concentrations'!$Q$3:$Q$368)))/F497, 0)</f>
        <v>0</v>
      </c>
      <c r="O497" s="60">
        <f>((MAX('Min rate concentrations'!$F$3:$F$368))*0.62*6.01*8*(12.3*F497^0.65)*0.079*0.1/F497)*inputs!$E$73/inputs!$E$74</f>
        <v>1.4348492205250649</v>
      </c>
      <c r="P497" s="60"/>
      <c r="Q497" s="60">
        <f>(inputs!$C$7*11.2*(12.3*F497^0.65)*0.5/F497)*inputs!$E$73/inputs!$E$74</f>
        <v>0.25274192261709855</v>
      </c>
      <c r="R497" s="60">
        <f>(60*379*((F497/1000)^0.8)*3*24*(MAX('Min rate concentrations'!$R$3:$R$368))/F497)*(inputs!$E$73/inputs!$E$75)</f>
        <v>1.0210023406239544E-3</v>
      </c>
      <c r="S497" s="60">
        <f>(IF(inputs!$C$6="aerial",((0.025*0.112*inputs!$C$7/3.3)*(3*60*379*((F497/1000)^0.8))*MAX(inputs!$H$14:$H$16))/F497,((0.0083*0.112*inputs!$C$7/1)*(3*60*379*((F497/1000)^0.8))*MAX(inputs!$H$14:$H$16))/F497))*(inputs!E$75/inputs!$E$73)</f>
        <v>5.6308906371986276E-3</v>
      </c>
      <c r="T497" s="63">
        <f>IF((((inputs!$P$12/(V497/MAX(K497:S497)))^(1/inputs!$O$12))-1)/inputs!$N$12&lt;0, 0, IF((((inputs!$P$12/(V497/MAX(K497:S497)))^(1/inputs!$O$12))-1)/inputs!$N$12&gt;inputs!$H$17, inputs!$H$17, (((inputs!$P$12/(V497/MAX(K497:S497)))^(1/inputs!$O$12))-1)/inputs!$N$12))</f>
        <v>13.465324180512697</v>
      </c>
      <c r="U497" s="63">
        <f>IF((((inputs!$P$12/(X497/MAX(K497:S497)))^(1/inputs!$O$12))-1)/inputs!$N$12&lt;0, 0, IF((((inputs!$P$12/(X497/MAX(K497:S497)))^(1/inputs!$O$12))-1)/inputs!$N$12&gt;inputs!$H$17, inputs!$H$17, (((inputs!$P$12/(X497/MAX(K497:S497)))^(1/inputs!$O$12))-1)/inputs!$N$12))</f>
        <v>0</v>
      </c>
      <c r="V497" s="54">
        <f>inputs!$E$70*(inputs!$F$70/F497)^(0.25)</f>
        <v>0.42869266796927868</v>
      </c>
      <c r="W497" s="54">
        <f>inputs!$E$76*(inputs!$F$76/F497)^(0.25)</f>
        <v>0.12894266891602738</v>
      </c>
      <c r="X497" s="54">
        <f>inputs!$E$72*(inputs!$F$72/F497)^(0.25)</f>
        <v>18.91291182217406</v>
      </c>
      <c r="Y497" s="54" t="s">
        <v>13</v>
      </c>
      <c r="Z497" s="106">
        <f t="shared" si="60"/>
        <v>5.4374657926954617</v>
      </c>
      <c r="AA497" s="106">
        <f t="shared" si="61"/>
        <v>18.077815026307139</v>
      </c>
    </row>
    <row r="498" spans="1:27" x14ac:dyDescent="0.25">
      <c r="A498" s="55" t="s">
        <v>462</v>
      </c>
      <c r="B498" s="49" t="s">
        <v>463</v>
      </c>
      <c r="C498" s="21" t="s">
        <v>61</v>
      </c>
      <c r="D498" s="20" t="s">
        <v>454</v>
      </c>
      <c r="E498" s="20">
        <v>14</v>
      </c>
      <c r="F498" s="21">
        <v>19000</v>
      </c>
      <c r="G498" s="21" t="s">
        <v>456</v>
      </c>
      <c r="H498" s="21">
        <v>0.68</v>
      </c>
      <c r="I498" s="48">
        <f>MAX('Min rate concentrations'!$J$3:$J$368)</f>
        <v>114.4108103430513</v>
      </c>
      <c r="J498" s="48">
        <f>MAX('Min rate concentrations'!AB:AB)</f>
        <v>40.520495329830666</v>
      </c>
      <c r="K498" s="60">
        <f t="shared" si="66"/>
        <v>14.546777783115084</v>
      </c>
      <c r="L498" s="60">
        <f>(((0.235*F498^0.822)/(1-H498)))*J498/F498</f>
        <v>5.1519837981865928</v>
      </c>
      <c r="M498" s="60">
        <f>IF((((0.326*F498^0.818)-(0.398*F498^0.85)/(1-H498)*H498)*(MAX('Min rate concentrations'!$P$3:$P$368)))/F498&gt;0, (((0.326*F498^0.818)-(0.398*F498^0.85)/(1-H498)*H498)*(MAX('Min rate concentrations'!$P$3:$P$368)))/F498, 0)</f>
        <v>0</v>
      </c>
      <c r="N498" s="60">
        <f>IF((((0.326*F498^0.818)-(0.398*F498^0.85)/(1-H498)*H498)*(MAX('Min rate concentrations'!$Q$3:$Q$368)))/F498&gt; 0, (((0.326*F498^0.818)-(0.398*F498^0.85)/(1-H498)*H498)*(MAX('Min rate concentrations'!$Q$3:$Q$368)))/F498, 0)</f>
        <v>0</v>
      </c>
      <c r="O498" s="60">
        <f>((MAX('Min rate concentrations'!$F$3:$F$368))*0.62*6.01*8*(12.3*F498^0.65)*0.079*0.1/F498)*inputs!$E$73/inputs!$E$74</f>
        <v>1.4348492205250649</v>
      </c>
      <c r="P498" s="60">
        <f>((MAX('Min rate concentrations'!Y:Y))*0.62*6.01*8*(12.3*F498^0.65)*0.079*0.1/F498)*inputs!$E$73/inputs!$E$74</f>
        <v>0.47828307350835503</v>
      </c>
      <c r="Q498" s="60">
        <f>(inputs!$C$7*11.2*(12.3*F498^0.65)*0.5/F498)*inputs!$E$73/inputs!$E$74</f>
        <v>0.25274192261709855</v>
      </c>
      <c r="R498" s="60">
        <f>(60*379*((F498/1000)^0.8)*3*24*(MAX('Min rate concentrations'!$R$3:$R$368))/F498)*(inputs!$E$73/inputs!$E$75)</f>
        <v>1.0210023406239544E-3</v>
      </c>
      <c r="S498" s="60">
        <f>(IF(inputs!$C$6="aerial",((0.025*0.112*inputs!$C$7/3.3)*(3*60*379*((F498/1000)^0.8))*MAX(inputs!$H$14:$H$16))/F498,((0.0083*0.112*inputs!$C$7/1)*(3*60*379*((F498/1000)^0.8))*MAX(inputs!$H$14:$H$16))/F498))*(inputs!E$75/inputs!$E$73)</f>
        <v>5.6308906371986276E-3</v>
      </c>
      <c r="T498" s="63">
        <f>IF((((inputs!$P$12/(V498/MAX(K498:S498)))^(1/inputs!$O$12))-1)/inputs!$N$12&lt;0, 0, IF((((inputs!$P$12/(V498/MAX(K498:S498)))^(1/inputs!$O$12))-1)/inputs!$N$12&gt;inputs!$H$17, inputs!$H$17, (((inputs!$P$12/(V498/MAX(K498:S498)))^(1/inputs!$O$12))-1)/inputs!$N$12))</f>
        <v>59.865417906569981</v>
      </c>
      <c r="U498" s="63">
        <f>IF((((inputs!$P$12/(X498/MAX(K498:S498)))^(1/inputs!$O$12))-1)/inputs!$N$12&lt;0, 0, IF((((inputs!$P$12/(X498/MAX(K498:S498)))^(1/inputs!$O$12))-1)/inputs!$N$12&gt;inputs!$H$17, inputs!$H$17, (((inputs!$P$12/(X498/MAX(K498:S498)))^(1/inputs!$O$12))-1)/inputs!$N$12))</f>
        <v>0</v>
      </c>
      <c r="V498" s="54">
        <f>inputs!$E$70*(inputs!$F$70/F498)^(0.25)</f>
        <v>0.42869266796927868</v>
      </c>
      <c r="W498" s="54">
        <f>inputs!$E$76*(inputs!$F$76/F498)^(0.25)</f>
        <v>0.12894266891602738</v>
      </c>
      <c r="X498" s="54">
        <f>inputs!$E$72*(inputs!$F$72/F498)^(0.25)</f>
        <v>18.91291182217406</v>
      </c>
      <c r="Y498" s="54" t="s">
        <v>13</v>
      </c>
      <c r="Z498" s="106">
        <f t="shared" si="60"/>
        <v>33.932882155468889</v>
      </c>
      <c r="AA498" s="106">
        <f t="shared" si="61"/>
        <v>112.81585766297833</v>
      </c>
    </row>
    <row r="499" spans="1:27" x14ac:dyDescent="0.25">
      <c r="A499" s="55" t="s">
        <v>462</v>
      </c>
      <c r="B499" s="49" t="s">
        <v>464</v>
      </c>
      <c r="C499" s="21" t="s">
        <v>61</v>
      </c>
      <c r="D499" s="20" t="s">
        <v>454</v>
      </c>
      <c r="E499" s="20">
        <v>4369</v>
      </c>
      <c r="F499" s="21">
        <v>19000</v>
      </c>
      <c r="G499" s="21" t="s">
        <v>455</v>
      </c>
      <c r="H499" s="21">
        <v>0.68</v>
      </c>
      <c r="I499" s="21">
        <f>MAX('Min rate concentrations'!$K$3:$K$368)</f>
        <v>18.333393099490852</v>
      </c>
      <c r="J499" s="48">
        <f>MAX('Min rate concentrations'!AC:AC)</f>
        <v>6.4930767227363431</v>
      </c>
      <c r="K499" s="60">
        <f t="shared" si="66"/>
        <v>2.3310017176623061</v>
      </c>
      <c r="L499" s="60"/>
      <c r="M499" s="60">
        <f>IF((((0.326*F499^0.818)-(0.398*F499^0.85)/(1-H499)*H499)*(MAX('Min rate concentrations'!$P$3:$P$368)))/F499&gt;0, (((0.326*F499^0.818)-(0.398*F499^0.85)/(1-H499)*H499)*(MAX('Min rate concentrations'!$P$3:$P$368)))/F499, 0)</f>
        <v>0</v>
      </c>
      <c r="N499" s="60">
        <f>IF((((0.326*F499^0.818)-(0.398*F499^0.85)/(1-H499)*H499)*(MAX('Min rate concentrations'!$Q$3:$Q$368)))/F499&gt; 0, (((0.326*F499^0.818)-(0.398*F499^0.85)/(1-H499)*H499)*(MAX('Min rate concentrations'!$Q$3:$Q$368)))/F499, 0)</f>
        <v>0</v>
      </c>
      <c r="O499" s="60">
        <f>((MAX('Min rate concentrations'!$F$3:$F$368))*0.62*6.01*8*(12.3*F499^0.65)*0.079*0.1/F499)*inputs!$E$73/inputs!$E$74</f>
        <v>1.4348492205250649</v>
      </c>
      <c r="P499" s="60"/>
      <c r="Q499" s="60">
        <f>(inputs!$C$7*11.2*(12.3*F499^0.65)*0.5/F499)*inputs!$E$73/inputs!$E$74</f>
        <v>0.25274192261709855</v>
      </c>
      <c r="R499" s="60">
        <f>(60*379*((F499/1000)^0.8)*3*24*(MAX('Min rate concentrations'!$R$3:$R$368))/F499)*(inputs!$E$73/inputs!$E$75)</f>
        <v>1.0210023406239544E-3</v>
      </c>
      <c r="S499" s="60">
        <f>(IF(inputs!$C$6="aerial",((0.025*0.112*inputs!$C$7/3.3)*(3*60*379*((F499/1000)^0.8))*MAX(inputs!$H$14:$H$16))/F499,((0.0083*0.112*inputs!$C$7/1)*(3*60*379*((F499/1000)^0.8))*MAX(inputs!$H$14:$H$16))/F499))*(inputs!E$75/inputs!$E$73)</f>
        <v>5.6308906371986276E-3</v>
      </c>
      <c r="T499" s="63">
        <f>IF((((inputs!$P$12/(V499/MAX(K499:S499)))^(1/inputs!$O$12))-1)/inputs!$N$12&lt;0, 0, IF((((inputs!$P$12/(V499/MAX(K499:S499)))^(1/inputs!$O$12))-1)/inputs!$N$12&gt;inputs!$H$17, inputs!$H$17, (((inputs!$P$12/(V499/MAX(K499:S499)))^(1/inputs!$O$12))-1)/inputs!$N$12))</f>
        <v>13.465324180512697</v>
      </c>
      <c r="U499" s="63">
        <f>IF((((inputs!$P$12/(X499/MAX(K499:S499)))^(1/inputs!$O$12))-1)/inputs!$N$12&lt;0, 0, IF((((inputs!$P$12/(X499/MAX(K499:S499)))^(1/inputs!$O$12))-1)/inputs!$N$12&gt;inputs!$H$17, inputs!$H$17, (((inputs!$P$12/(X499/MAX(K499:S499)))^(1/inputs!$O$12))-1)/inputs!$N$12))</f>
        <v>0</v>
      </c>
      <c r="V499" s="54">
        <f>inputs!$E$70*(inputs!$F$70/F499)^(0.25)</f>
        <v>0.42869266796927868</v>
      </c>
      <c r="W499" s="54">
        <f>inputs!$E$76*(inputs!$F$76/F499)^(0.25)</f>
        <v>0.12894266891602738</v>
      </c>
      <c r="X499" s="54">
        <f>inputs!$E$72*(inputs!$F$72/F499)^(0.25)</f>
        <v>18.91291182217406</v>
      </c>
      <c r="Y499" s="54" t="s">
        <v>13</v>
      </c>
      <c r="Z499" s="106">
        <f t="shared" si="60"/>
        <v>5.4374657926954617</v>
      </c>
      <c r="AA499" s="106">
        <f t="shared" si="61"/>
        <v>18.077815026307139</v>
      </c>
    </row>
    <row r="500" spans="1:27" x14ac:dyDescent="0.25">
      <c r="A500" s="55" t="s">
        <v>462</v>
      </c>
      <c r="B500" s="49" t="s">
        <v>464</v>
      </c>
      <c r="C500" s="21" t="s">
        <v>61</v>
      </c>
      <c r="D500" s="20" t="s">
        <v>454</v>
      </c>
      <c r="E500" s="20">
        <v>4369</v>
      </c>
      <c r="F500" s="21">
        <v>19000</v>
      </c>
      <c r="G500" s="21" t="s">
        <v>456</v>
      </c>
      <c r="H500" s="21">
        <v>0.68</v>
      </c>
      <c r="I500" s="48">
        <f>MAX('Min rate concentrations'!$J$3:$J$368)</f>
        <v>114.4108103430513</v>
      </c>
      <c r="J500" s="48">
        <f>MAX('Min rate concentrations'!AB:AB)</f>
        <v>40.520495329830666</v>
      </c>
      <c r="K500" s="60">
        <f t="shared" si="66"/>
        <v>14.546777783115084</v>
      </c>
      <c r="L500" s="60">
        <f t="shared" ref="L500:L531" si="67">(((0.235*F500^0.822)/(1-H500)))*J500/F500</f>
        <v>5.1519837981865928</v>
      </c>
      <c r="M500" s="60">
        <f>IF((((0.326*F500^0.818)-(0.398*F500^0.85)/(1-H500)*H500)*(MAX('Min rate concentrations'!$P$3:$P$368)))/F500&gt;0, (((0.326*F500^0.818)-(0.398*F500^0.85)/(1-H500)*H500)*(MAX('Min rate concentrations'!$P$3:$P$368)))/F500, 0)</f>
        <v>0</v>
      </c>
      <c r="N500" s="60">
        <f>IF((((0.326*F500^0.818)-(0.398*F500^0.85)/(1-H500)*H500)*(MAX('Min rate concentrations'!$Q$3:$Q$368)))/F500&gt; 0, (((0.326*F500^0.818)-(0.398*F500^0.85)/(1-H500)*H500)*(MAX('Min rate concentrations'!$Q$3:$Q$368)))/F500, 0)</f>
        <v>0</v>
      </c>
      <c r="O500" s="60">
        <f>((MAX('Min rate concentrations'!$F$3:$F$368))*0.62*6.01*8*(12.3*F500^0.65)*0.079*0.1/F500)*inputs!$E$73/inputs!$E$74</f>
        <v>1.4348492205250649</v>
      </c>
      <c r="P500" s="60">
        <f>((MAX('Min rate concentrations'!Y:Y))*0.62*6.01*8*(12.3*F500^0.65)*0.079*0.1/F500)*inputs!$E$73/inputs!$E$74</f>
        <v>0.47828307350835503</v>
      </c>
      <c r="Q500" s="60">
        <f>(inputs!$C$7*11.2*(12.3*F500^0.65)*0.5/F500)*inputs!$E$73/inputs!$E$74</f>
        <v>0.25274192261709855</v>
      </c>
      <c r="R500" s="60">
        <f>(60*379*((F500/1000)^0.8)*3*24*(MAX('Min rate concentrations'!$R$3:$R$368))/F500)*(inputs!$E$73/inputs!$E$75)</f>
        <v>1.0210023406239544E-3</v>
      </c>
      <c r="S500" s="60">
        <f>(IF(inputs!$C$6="aerial",((0.025*0.112*inputs!$C$7/3.3)*(3*60*379*((F500/1000)^0.8))*MAX(inputs!$H$14:$H$16))/F500,((0.0083*0.112*inputs!$C$7/1)*(3*60*379*((F500/1000)^0.8))*MAX(inputs!$H$14:$H$16))/F500))*(inputs!E$75/inputs!$E$73)</f>
        <v>5.6308906371986276E-3</v>
      </c>
      <c r="T500" s="63">
        <f>IF((((inputs!$P$12/(V500/MAX(K500:S500)))^(1/inputs!$O$12))-1)/inputs!$N$12&lt;0, 0, IF((((inputs!$P$12/(V500/MAX(K500:S500)))^(1/inputs!$O$12))-1)/inputs!$N$12&gt;inputs!$H$17, inputs!$H$17, (((inputs!$P$12/(V500/MAX(K500:S500)))^(1/inputs!$O$12))-1)/inputs!$N$12))</f>
        <v>59.865417906569981</v>
      </c>
      <c r="U500" s="63">
        <f>IF((((inputs!$P$12/(X500/MAX(K500:S500)))^(1/inputs!$O$12))-1)/inputs!$N$12&lt;0, 0, IF((((inputs!$P$12/(X500/MAX(K500:S500)))^(1/inputs!$O$12))-1)/inputs!$N$12&gt;inputs!$H$17, inputs!$H$17, (((inputs!$P$12/(X500/MAX(K500:S500)))^(1/inputs!$O$12))-1)/inputs!$N$12))</f>
        <v>0</v>
      </c>
      <c r="V500" s="54">
        <f>inputs!$E$70*(inputs!$F$70/F500)^(0.25)</f>
        <v>0.42869266796927868</v>
      </c>
      <c r="W500" s="54">
        <f>inputs!$E$76*(inputs!$F$76/F500)^(0.25)</f>
        <v>0.12894266891602738</v>
      </c>
      <c r="X500" s="54">
        <f>inputs!$E$72*(inputs!$F$72/F500)^(0.25)</f>
        <v>18.91291182217406</v>
      </c>
      <c r="Y500" s="54" t="s">
        <v>13</v>
      </c>
      <c r="Z500" s="106">
        <f t="shared" si="60"/>
        <v>33.932882155468889</v>
      </c>
      <c r="AA500" s="106">
        <f t="shared" si="61"/>
        <v>112.81585766297833</v>
      </c>
    </row>
    <row r="501" spans="1:27" x14ac:dyDescent="0.25">
      <c r="A501" s="55" t="s">
        <v>609</v>
      </c>
      <c r="B501" s="49" t="s">
        <v>610</v>
      </c>
      <c r="C501" s="21" t="s">
        <v>61</v>
      </c>
      <c r="D501" s="20" t="s">
        <v>454</v>
      </c>
      <c r="E501" s="20">
        <v>6</v>
      </c>
      <c r="F501" s="21">
        <v>2100</v>
      </c>
      <c r="G501" s="21" t="s">
        <v>142</v>
      </c>
      <c r="H501" s="21">
        <v>0.69</v>
      </c>
      <c r="I501" s="48">
        <f>MAX('Min rate concentrations'!$H$3:$H$368)</f>
        <v>47</v>
      </c>
      <c r="J501" s="48">
        <f>MAX('Min rate concentrations'!AA:AA)</f>
        <v>32.5</v>
      </c>
      <c r="K501" s="60">
        <f t="shared" si="66"/>
        <v>9.1295420209916127</v>
      </c>
      <c r="L501" s="60">
        <f t="shared" si="67"/>
        <v>6.3129811847282431</v>
      </c>
      <c r="M501" s="60">
        <f>IF((((0.326*F501^0.818)-(0.398*F501^0.85)/(1-H501)*H501)*(MAX('Min rate concentrations'!$P$3:$P$368)))/F501&gt;0, (((0.326*F501^0.818)-(0.398*F501^0.85)/(1-H501)*H501)*(MAX('Min rate concentrations'!$P$3:$P$368)))/F501, 0)</f>
        <v>0</v>
      </c>
      <c r="N501" s="60">
        <f>IF((((0.326*F501^0.818)-(0.398*F501^0.85)/(1-H501)*H501)*(MAX('Min rate concentrations'!$Q$3:$Q$368)))/F501&gt; 0, (((0.326*F501^0.818)-(0.398*F501^0.85)/(1-H501)*H501)*(MAX('Min rate concentrations'!$Q$3:$Q$368)))/F501, 0)</f>
        <v>0</v>
      </c>
      <c r="O501" s="60">
        <f>((MAX('Min rate concentrations'!$F$3:$F$368))*0.62*6.01*8*(12.3*F501^0.65)*0.079*0.1/F501)*inputs!$E$73/inputs!$E$74</f>
        <v>3.1016534582878768</v>
      </c>
      <c r="P501" s="60">
        <f>((MAX('Min rate concentrations'!Y:Y))*0.62*6.01*8*(12.3*F501^0.65)*0.079*0.1/F501)*inputs!$E$73/inputs!$E$74</f>
        <v>1.0338844860959588</v>
      </c>
      <c r="Q501" s="60">
        <f>(inputs!$C$7*11.2*(12.3*F501^0.65)*0.5/F501)*inputs!$E$73/inputs!$E$74</f>
        <v>0.5463416274866747</v>
      </c>
      <c r="R501" s="60">
        <f>(60*379*((F501/1000)^0.8)*3*24*(MAX('Min rate concentrations'!$R$3:$R$368))/F501)*(inputs!$E$73/inputs!$E$75)</f>
        <v>1.5861110799333931E-3</v>
      </c>
      <c r="S501" s="60">
        <f>(IF(inputs!$C$6="aerial",((0.025*0.112*inputs!$C$7/3.3)*(3*60*379*((F501/1000)^0.8))*MAX(inputs!$H$14:$H$16))/F501,((0.0083*0.112*inputs!$C$7/1)*(3*60*379*((F501/1000)^0.8))*MAX(inputs!$H$14:$H$16))/F501))*(inputs!E$75/inputs!$E$73)</f>
        <v>8.7475000538156534E-3</v>
      </c>
      <c r="T501" s="63">
        <f>IF((((inputs!$P$12/(V501/MAX(K501:S501)))^(1/inputs!$O$12))-1)/inputs!$N$12&lt;0, 0, IF((((inputs!$P$12/(V501/MAX(K501:S501)))^(1/inputs!$O$12))-1)/inputs!$N$12&gt;inputs!$H$17, inputs!$H$17, (((inputs!$P$12/(V501/MAX(K501:S501)))^(1/inputs!$O$12))-1)/inputs!$N$12))</f>
        <v>29.94582021286605</v>
      </c>
      <c r="U501" s="63">
        <f>IF((((inputs!$P$12/(X501/MAX(K501:S501)))^(1/inputs!$O$12))-1)/inputs!$N$12&lt;0, 0, IF((((inputs!$P$12/(X501/MAX(K501:S501)))^(1/inputs!$O$12))-1)/inputs!$N$12&gt;inputs!$H$17, inputs!$H$17, (((inputs!$P$12/(X501/MAX(K501:S501)))^(1/inputs!$O$12))-1)/inputs!$N$12))</f>
        <v>0</v>
      </c>
      <c r="V501" s="54">
        <f>inputs!$E$70*(inputs!$F$70/F501)^(0.25)</f>
        <v>0.74349770498702084</v>
      </c>
      <c r="W501" s="54">
        <f>inputs!$E$76*(inputs!$F$76/F501)^(0.25)</f>
        <v>0.22363008648619534</v>
      </c>
      <c r="X501" s="54">
        <f>inputs!$E$72*(inputs!$F$72/F501)^(0.25)</f>
        <v>32.801369337662685</v>
      </c>
      <c r="Y501" s="54" t="s">
        <v>13</v>
      </c>
      <c r="Z501" s="106">
        <f t="shared" si="60"/>
        <v>12.279179827664681</v>
      </c>
      <c r="AA501" s="106">
        <f t="shared" si="61"/>
        <v>40.824301257671685</v>
      </c>
    </row>
    <row r="502" spans="1:27" x14ac:dyDescent="0.25">
      <c r="A502" s="55" t="s">
        <v>609</v>
      </c>
      <c r="B502" s="49" t="s">
        <v>610</v>
      </c>
      <c r="C502" s="21" t="s">
        <v>61</v>
      </c>
      <c r="D502" s="20" t="s">
        <v>454</v>
      </c>
      <c r="E502" s="20">
        <v>6</v>
      </c>
      <c r="F502" s="21">
        <v>2100</v>
      </c>
      <c r="G502" s="21" t="s">
        <v>138</v>
      </c>
      <c r="H502" s="21">
        <v>0.68</v>
      </c>
      <c r="I502" s="48">
        <f>MAX('Min rate concentrations'!$L$3:$L$368)</f>
        <v>58.421240152220811</v>
      </c>
      <c r="J502" s="48">
        <f>MAX('Min rate concentrations'!AD:AD)</f>
        <v>40.397666062705881</v>
      </c>
      <c r="K502" s="60">
        <f t="shared" si="66"/>
        <v>10.993440274955066</v>
      </c>
      <c r="L502" s="60">
        <f t="shared" si="67"/>
        <v>7.6018469986391413</v>
      </c>
      <c r="M502" s="60">
        <f>IF((((0.326*F502^0.818)-(0.398*F502^0.85)/(1-H502)*H502)*(MAX('Min rate concentrations'!$P$3:$P$368)))/F502&gt;0, (((0.326*F502^0.818)-(0.398*F502^0.85)/(1-H502)*H502)*(MAX('Min rate concentrations'!$P$3:$P$368)))/F502, 0)</f>
        <v>0</v>
      </c>
      <c r="N502" s="60">
        <f>IF((((0.326*F502^0.818)-(0.398*F502^0.85)/(1-H502)*H502)*(MAX('Min rate concentrations'!$Q$3:$Q$368)))/F502&gt; 0, (((0.326*F502^0.818)-(0.398*F502^0.85)/(1-H502)*H502)*(MAX('Min rate concentrations'!$Q$3:$Q$368)))/F502, 0)</f>
        <v>0</v>
      </c>
      <c r="O502" s="60">
        <f>((MAX('Min rate concentrations'!$F$3:$F$368))*0.62*6.01*8*(12.3*F502^0.65)*0.079*0.1/F502)*inputs!$E$73/inputs!$E$74</f>
        <v>3.1016534582878768</v>
      </c>
      <c r="P502" s="60">
        <f>((MAX('Min rate concentrations'!Y:Y))*0.62*6.01*8*(12.3*F502^0.65)*0.079*0.1/F502)*inputs!$E$73/inputs!$E$74</f>
        <v>1.0338844860959588</v>
      </c>
      <c r="Q502" s="60">
        <f>(inputs!$C$7*11.2*(12.3*F502^0.65)*0.5/F502)*inputs!$E$73/inputs!$E$74</f>
        <v>0.5463416274866747</v>
      </c>
      <c r="R502" s="60">
        <f>(60*379*((F502/1000)^0.8)*3*24*(MAX('Min rate concentrations'!$R$3:$R$368))/F502)*(inputs!$E$73/inputs!$E$75)</f>
        <v>1.5861110799333931E-3</v>
      </c>
      <c r="S502" s="60">
        <f>(IF(inputs!$C$6="aerial",((0.025*0.112*inputs!$C$7/3.3)*(3*60*379*((F502/1000)^0.8))*MAX(inputs!$H$14:$H$16))/F502,((0.0083*0.112*inputs!$C$7/1)*(3*60*379*((F502/1000)^0.8))*MAX(inputs!$H$14:$H$16))/F502))*(inputs!E$75/inputs!$E$73)</f>
        <v>8.7475000538156534E-3</v>
      </c>
      <c r="T502" s="63">
        <f>IF((((inputs!$P$12/(V502/MAX(K502:S502)))^(1/inputs!$O$12))-1)/inputs!$N$12&lt;0, 0, IF((((inputs!$P$12/(V502/MAX(K502:S502)))^(1/inputs!$O$12))-1)/inputs!$N$12&gt;inputs!$H$17, inputs!$H$17, (((inputs!$P$12/(V502/MAX(K502:S502)))^(1/inputs!$O$12))-1)/inputs!$N$12))</f>
        <v>34.532621761158438</v>
      </c>
      <c r="U502" s="63">
        <f>IF((((inputs!$P$12/(X502/MAX(K502:S502)))^(1/inputs!$O$12))-1)/inputs!$N$12&lt;0, 0, IF((((inputs!$P$12/(X502/MAX(K502:S502)))^(1/inputs!$O$12))-1)/inputs!$N$12&gt;inputs!$H$17, inputs!$H$17, (((inputs!$P$12/(X502/MAX(K502:S502)))^(1/inputs!$O$12))-1)/inputs!$N$12))</f>
        <v>0</v>
      </c>
      <c r="V502" s="54">
        <f>inputs!$E$70*(inputs!$F$70/F502)^(0.25)</f>
        <v>0.74349770498702084</v>
      </c>
      <c r="W502" s="54">
        <f>inputs!$E$76*(inputs!$F$76/F502)^(0.25)</f>
        <v>0.22363008648619534</v>
      </c>
      <c r="X502" s="54">
        <f>inputs!$E$72*(inputs!$F$72/F502)^(0.25)</f>
        <v>32.801369337662685</v>
      </c>
      <c r="Y502" s="54" t="s">
        <v>13</v>
      </c>
      <c r="Z502" s="106">
        <f t="shared" si="60"/>
        <v>14.786111915633926</v>
      </c>
      <c r="AA502" s="106">
        <f t="shared" si="61"/>
        <v>49.15903958939662</v>
      </c>
    </row>
    <row r="503" spans="1:27" x14ac:dyDescent="0.25">
      <c r="A503" s="55" t="s">
        <v>609</v>
      </c>
      <c r="B503" s="49" t="s">
        <v>610</v>
      </c>
      <c r="C503" s="21" t="s">
        <v>61</v>
      </c>
      <c r="D503" s="20" t="s">
        <v>454</v>
      </c>
      <c r="E503" s="20">
        <v>6</v>
      </c>
      <c r="F503" s="21">
        <v>2100</v>
      </c>
      <c r="G503" s="21" t="s">
        <v>169</v>
      </c>
      <c r="H503" s="21">
        <v>0.79</v>
      </c>
      <c r="I503" s="48">
        <f>MAX('Min rate concentrations'!$D$3:$D$368)</f>
        <v>120</v>
      </c>
      <c r="J503" s="48">
        <f>MAX('Min rate concentrations'!W:W)</f>
        <v>42.5</v>
      </c>
      <c r="K503" s="60">
        <f t="shared" si="66"/>
        <v>34.409216127749559</v>
      </c>
      <c r="L503" s="60">
        <f t="shared" si="67"/>
        <v>12.186597378577968</v>
      </c>
      <c r="M503" s="60">
        <f>IF((((0.326*F503^0.818)-(0.398*F503^0.85)/(1-H503)*H503)*(MAX('Min rate concentrations'!$P$3:$P$368)))/F503&gt;0, (((0.326*F503^0.818)-(0.398*F503^0.85)/(1-H503)*H503)*(MAX('Min rate concentrations'!$P$3:$P$368)))/F503, 0)</f>
        <v>0</v>
      </c>
      <c r="N503" s="60">
        <f>IF((((0.326*F503^0.818)-(0.398*F503^0.85)/(1-H503)*H503)*(MAX('Min rate concentrations'!$Q$3:$Q$368)))/F503&gt; 0, (((0.326*F503^0.818)-(0.398*F503^0.85)/(1-H503)*H503)*(MAX('Min rate concentrations'!$Q$3:$Q$368)))/F503, 0)</f>
        <v>0</v>
      </c>
      <c r="O503" s="60">
        <f>((MAX('Min rate concentrations'!$F$3:$F$368))*0.62*6.01*8*(12.3*F503^0.65)*0.079*0.1/F503)*inputs!$E$73/inputs!$E$74</f>
        <v>3.1016534582878768</v>
      </c>
      <c r="P503" s="60">
        <f>((MAX('Min rate concentrations'!Y:Y))*0.62*6.01*8*(12.3*F503^0.65)*0.079*0.1/F503)*inputs!$E$73/inputs!$E$74</f>
        <v>1.0338844860959588</v>
      </c>
      <c r="Q503" s="60">
        <f>(inputs!$C$7*11.2*(12.3*F503^0.65)*0.5/F503)*inputs!$E$73/inputs!$E$74</f>
        <v>0.5463416274866747</v>
      </c>
      <c r="R503" s="60">
        <f>(60*379*((F503/1000)^0.8)*3*24*(MAX('Min rate concentrations'!$R$3:$R$368))/F503)*(inputs!$E$73/inputs!$E$75)</f>
        <v>1.5861110799333931E-3</v>
      </c>
      <c r="S503" s="60">
        <f>(IF(inputs!$C$6="aerial",((0.025*0.112*inputs!$C$7/3.3)*(3*60*379*((F503/1000)^0.8))*MAX(inputs!$H$14:$H$16))/F503,((0.0083*0.112*inputs!$C$7/1)*(3*60*379*((F503/1000)^0.8))*MAX(inputs!$H$14:$H$16))/F503))*(inputs!E$75/inputs!$E$73)</f>
        <v>8.7475000538156534E-3</v>
      </c>
      <c r="T503" s="63">
        <f>IF((((inputs!$P$12/(V503/MAX(K503:S503)))^(1/inputs!$O$12))-1)/inputs!$N$12&lt;0, 0, IF((((inputs!$P$12/(V503/MAX(K503:S503)))^(1/inputs!$O$12))-1)/inputs!$N$12&gt;inputs!$H$17, inputs!$H$17, (((inputs!$P$12/(V503/MAX(K503:S503)))^(1/inputs!$O$12))-1)/inputs!$N$12))</f>
        <v>71.752234644736717</v>
      </c>
      <c r="U503" s="63">
        <f>IF((((inputs!$P$12/(X503/MAX(K503:S503)))^(1/inputs!$O$12))-1)/inputs!$N$12&lt;0, 0, IF((((inputs!$P$12/(X503/MAX(K503:S503)))^(1/inputs!$O$12))-1)/inputs!$N$12&gt;inputs!$H$17, inputs!$H$17, (((inputs!$P$12/(X503/MAX(K503:S503)))^(1/inputs!$O$12))-1)/inputs!$N$12))</f>
        <v>0</v>
      </c>
      <c r="V503" s="54">
        <f>inputs!$E$70*(inputs!$F$70/F503)^(0.25)</f>
        <v>0.74349770498702084</v>
      </c>
      <c r="W503" s="54">
        <f>inputs!$E$76*(inputs!$F$76/F503)^(0.25)</f>
        <v>0.22363008648619534</v>
      </c>
      <c r="X503" s="54">
        <f>inputs!$E$72*(inputs!$F$72/F503)^(0.25)</f>
        <v>32.801369337662685</v>
      </c>
      <c r="Y503" s="54" t="s">
        <v>13</v>
      </c>
      <c r="Z503" s="106">
        <f t="shared" si="60"/>
        <v>46.280191447733166</v>
      </c>
      <c r="AA503" s="106">
        <f t="shared" si="61"/>
        <v>153.86666735414261</v>
      </c>
    </row>
    <row r="504" spans="1:27" x14ac:dyDescent="0.25">
      <c r="A504" s="55" t="s">
        <v>609</v>
      </c>
      <c r="B504" s="49" t="s">
        <v>610</v>
      </c>
      <c r="C504" s="21" t="s">
        <v>61</v>
      </c>
      <c r="D504" s="20" t="s">
        <v>454</v>
      </c>
      <c r="E504" s="20">
        <v>6</v>
      </c>
      <c r="F504" s="21">
        <v>2100</v>
      </c>
      <c r="G504" s="21" t="s">
        <v>177</v>
      </c>
      <c r="H504" s="21">
        <v>0.85</v>
      </c>
      <c r="I504" s="48">
        <f>MAX('Min rate concentrations'!$F$3:$F$368)</f>
        <v>67.5</v>
      </c>
      <c r="J504" s="48">
        <f>MAX('Min rate concentrations'!Y:Y)</f>
        <v>22.5</v>
      </c>
      <c r="K504" s="60">
        <f t="shared" si="66"/>
        <v>27.097257700602764</v>
      </c>
      <c r="L504" s="60">
        <f t="shared" si="67"/>
        <v>9.0324192335342559</v>
      </c>
      <c r="M504" s="60">
        <f>IF((((0.326*F504^0.818)-(0.398*F504^0.85)/(1-H504)*H504)*(MAX('Min rate concentrations'!$P$3:$P$368)))/F504&gt;0, (((0.326*F504^0.818)-(0.398*F504^0.85)/(1-H504)*H504)*(MAX('Min rate concentrations'!$P$3:$P$368)))/F504, 0)</f>
        <v>0</v>
      </c>
      <c r="N504" s="60">
        <f>IF((((0.326*F504^0.818)-(0.398*F504^0.85)/(1-H504)*H504)*(MAX('Min rate concentrations'!$Q$3:$Q$368)))/F504&gt; 0, (((0.326*F504^0.818)-(0.398*F504^0.85)/(1-H504)*H504)*(MAX('Min rate concentrations'!$Q$3:$Q$368)))/F504, 0)</f>
        <v>0</v>
      </c>
      <c r="O504" s="60">
        <f>((MAX('Min rate concentrations'!$F$3:$F$368))*0.62*6.01*8*(12.3*F504^0.65)*0.079*0.1/F504)*inputs!$E$73/inputs!$E$74</f>
        <v>3.1016534582878768</v>
      </c>
      <c r="P504" s="60">
        <f>((MAX('Min rate concentrations'!Y:Y))*0.62*6.01*8*(12.3*F504^0.65)*0.079*0.1/F504)*inputs!$E$73/inputs!$E$74</f>
        <v>1.0338844860959588</v>
      </c>
      <c r="Q504" s="60">
        <f>(inputs!$C$7*11.2*(12.3*F504^0.65)*0.5/F504)*inputs!$E$73/inputs!$E$74</f>
        <v>0.5463416274866747</v>
      </c>
      <c r="R504" s="60">
        <f>(60*379*((F504/1000)^0.8)*3*24*(MAX('Min rate concentrations'!$R$3:$R$368))/F504)*(inputs!$E$73/inputs!$E$75)</f>
        <v>1.5861110799333931E-3</v>
      </c>
      <c r="S504" s="60">
        <f>(IF(inputs!$C$6="aerial",((0.025*0.112*inputs!$C$7/3.3)*(3*60*379*((F504/1000)^0.8))*MAX(inputs!$H$14:$H$16))/F504,((0.0083*0.112*inputs!$C$7/1)*(3*60*379*((F504/1000)^0.8))*MAX(inputs!$H$14:$H$16))/F504))*(inputs!E$75/inputs!$E$73)</f>
        <v>8.7475000538156534E-3</v>
      </c>
      <c r="T504" s="63">
        <f>IF((((inputs!$P$12/(V504/MAX(K504:S504)))^(1/inputs!$O$12))-1)/inputs!$N$12&lt;0, 0, IF((((inputs!$P$12/(V504/MAX(K504:S504)))^(1/inputs!$O$12))-1)/inputs!$N$12&gt;inputs!$H$17, inputs!$H$17, (((inputs!$P$12/(V504/MAX(K504:S504)))^(1/inputs!$O$12))-1)/inputs!$N$12))</f>
        <v>62.470354325444703</v>
      </c>
      <c r="U504" s="63">
        <f>IF((((inputs!$P$12/(X504/MAX(K504:S504)))^(1/inputs!$O$12))-1)/inputs!$N$12&lt;0, 0, IF((((inputs!$P$12/(X504/MAX(K504:S504)))^(1/inputs!$O$12))-1)/inputs!$N$12&gt;inputs!$H$17, inputs!$H$17, (((inputs!$P$12/(X504/MAX(K504:S504)))^(1/inputs!$O$12))-1)/inputs!$N$12))</f>
        <v>0</v>
      </c>
      <c r="V504" s="54">
        <f>inputs!$E$70*(inputs!$F$70/F504)^(0.25)</f>
        <v>0.74349770498702084</v>
      </c>
      <c r="W504" s="54">
        <f>inputs!$E$76*(inputs!$F$76/F504)^(0.25)</f>
        <v>0.22363008648619534</v>
      </c>
      <c r="X504" s="54">
        <f>inputs!$E$72*(inputs!$F$72/F504)^(0.25)</f>
        <v>32.801369337662685</v>
      </c>
      <c r="Y504" s="54" t="s">
        <v>13</v>
      </c>
      <c r="Z504" s="106">
        <f t="shared" si="60"/>
        <v>36.445650765089852</v>
      </c>
      <c r="AA504" s="106">
        <f t="shared" si="61"/>
        <v>121.17000054138724</v>
      </c>
    </row>
    <row r="505" spans="1:27" x14ac:dyDescent="0.25">
      <c r="A505" s="55" t="s">
        <v>609</v>
      </c>
      <c r="B505" s="49" t="s">
        <v>610</v>
      </c>
      <c r="C505" s="21" t="s">
        <v>61</v>
      </c>
      <c r="D505" s="20" t="s">
        <v>454</v>
      </c>
      <c r="E505" s="20">
        <v>6</v>
      </c>
      <c r="F505" s="21">
        <v>2100</v>
      </c>
      <c r="G505" s="21" t="s">
        <v>456</v>
      </c>
      <c r="H505" s="21">
        <v>0.68</v>
      </c>
      <c r="I505" s="48">
        <f>MAX('Min rate concentrations'!$J$3:$J$368)</f>
        <v>114.4108103430513</v>
      </c>
      <c r="J505" s="48">
        <f>MAX('Min rate concentrations'!AB:AB)</f>
        <v>40.520495329830666</v>
      </c>
      <c r="K505" s="60">
        <f t="shared" si="66"/>
        <v>21.529300080558684</v>
      </c>
      <c r="L505" s="60">
        <f t="shared" si="67"/>
        <v>7.6249604451978668</v>
      </c>
      <c r="M505" s="60">
        <f>IF((((0.326*F505^0.818)-(0.398*F505^0.85)/(1-H505)*H505)*(MAX('Min rate concentrations'!$P$3:$P$368)))/F505&gt;0, (((0.326*F505^0.818)-(0.398*F505^0.85)/(1-H505)*H505)*(MAX('Min rate concentrations'!$P$3:$P$368)))/F505, 0)</f>
        <v>0</v>
      </c>
      <c r="N505" s="60">
        <f>IF((((0.326*F505^0.818)-(0.398*F505^0.85)/(1-H505)*H505)*(MAX('Min rate concentrations'!$Q$3:$Q$368)))/F505&gt; 0, (((0.326*F505^0.818)-(0.398*F505^0.85)/(1-H505)*H505)*(MAX('Min rate concentrations'!$Q$3:$Q$368)))/F505, 0)</f>
        <v>0</v>
      </c>
      <c r="O505" s="60">
        <f>((MAX('Min rate concentrations'!$F$3:$F$368))*0.62*6.01*8*(12.3*F505^0.65)*0.079*0.1/F505)*inputs!$E$73/inputs!$E$74</f>
        <v>3.1016534582878768</v>
      </c>
      <c r="P505" s="60">
        <f>((MAX('Min rate concentrations'!Y:Y))*0.62*6.01*8*(12.3*F505^0.65)*0.079*0.1/F505)*inputs!$E$73/inputs!$E$74</f>
        <v>1.0338844860959588</v>
      </c>
      <c r="Q505" s="60">
        <f>(inputs!$C$7*11.2*(12.3*F505^0.65)*0.5/F505)*inputs!$E$73/inputs!$E$74</f>
        <v>0.5463416274866747</v>
      </c>
      <c r="R505" s="60">
        <f>(60*379*((F505/1000)^0.8)*3*24*(MAX('Min rate concentrations'!$R$3:$R$368))/F505)*(inputs!$E$73/inputs!$E$75)</f>
        <v>1.5861110799333931E-3</v>
      </c>
      <c r="S505" s="60">
        <f>(IF(inputs!$C$6="aerial",((0.025*0.112*inputs!$C$7/3.3)*(3*60*379*((F505/1000)^0.8))*MAX(inputs!$H$14:$H$16))/F505,((0.0083*0.112*inputs!$C$7/1)*(3*60*379*((F505/1000)^0.8))*MAX(inputs!$H$14:$H$16))/F505))*(inputs!E$75/inputs!$E$73)</f>
        <v>8.7475000538156534E-3</v>
      </c>
      <c r="T505" s="63">
        <f>IF((((inputs!$P$12/(V505/MAX(K505:S505)))^(1/inputs!$O$12))-1)/inputs!$N$12&lt;0, 0, IF((((inputs!$P$12/(V505/MAX(K505:S505)))^(1/inputs!$O$12))-1)/inputs!$N$12&gt;inputs!$H$17, inputs!$H$17, (((inputs!$P$12/(V505/MAX(K505:S505)))^(1/inputs!$O$12))-1)/inputs!$N$12))</f>
        <v>54.34637932585597</v>
      </c>
      <c r="U505" s="63">
        <f>IF((((inputs!$P$12/(X505/MAX(K505:S505)))^(1/inputs!$O$12))-1)/inputs!$N$12&lt;0, 0, IF((((inputs!$P$12/(X505/MAX(K505:S505)))^(1/inputs!$O$12))-1)/inputs!$N$12&gt;inputs!$H$17, inputs!$H$17, (((inputs!$P$12/(X505/MAX(K505:S505)))^(1/inputs!$O$12))-1)/inputs!$N$12))</f>
        <v>0</v>
      </c>
      <c r="V505" s="54">
        <f>inputs!$E$70*(inputs!$F$70/F505)^(0.25)</f>
        <v>0.74349770498702084</v>
      </c>
      <c r="W505" s="54">
        <f>inputs!$E$76*(inputs!$F$76/F505)^(0.25)</f>
        <v>0.22363008648619534</v>
      </c>
      <c r="X505" s="54">
        <f>inputs!$E$72*(inputs!$F$72/F505)^(0.25)</f>
        <v>32.801369337662685</v>
      </c>
      <c r="Y505" s="54" t="s">
        <v>13</v>
      </c>
      <c r="Z505" s="106">
        <f t="shared" si="60"/>
        <v>28.956780816067912</v>
      </c>
      <c r="AA505" s="106">
        <f t="shared" si="61"/>
        <v>96.271930216722808</v>
      </c>
    </row>
    <row r="506" spans="1:27" x14ac:dyDescent="0.25">
      <c r="A506" s="55" t="s">
        <v>596</v>
      </c>
      <c r="B506" s="49" t="s">
        <v>597</v>
      </c>
      <c r="C506" s="21" t="s">
        <v>61</v>
      </c>
      <c r="D506" s="20" t="s">
        <v>454</v>
      </c>
      <c r="E506" s="20">
        <v>1236</v>
      </c>
      <c r="F506" s="21">
        <v>1400</v>
      </c>
      <c r="G506" s="21" t="s">
        <v>182</v>
      </c>
      <c r="H506" s="21">
        <v>0.85</v>
      </c>
      <c r="I506" s="48">
        <f>MAX('Min rate concentrations'!$M$3:$M$368)</f>
        <v>2.8488184789681945</v>
      </c>
      <c r="J506" s="48">
        <f>MAX('Min rate concentrations'!AE:AE)</f>
        <v>1.9699276716269429</v>
      </c>
      <c r="K506" s="60">
        <f t="shared" si="66"/>
        <v>1.2292227533619149</v>
      </c>
      <c r="L506" s="60">
        <f t="shared" si="67"/>
        <v>0.84999445711196242</v>
      </c>
      <c r="M506" s="60">
        <f>IF((((0.326*F506^0.818)-(0.398*F506^0.85)/(1-H506)*H506)*(MAX('Min rate concentrations'!$P$3:$P$368)))/F506&gt;0, (((0.326*F506^0.818)-(0.398*F506^0.85)/(1-H506)*H506)*(MAX('Min rate concentrations'!$P$3:$P$368)))/F506, 0)</f>
        <v>0</v>
      </c>
      <c r="N506" s="60">
        <f>IF((((0.326*F506^0.818)-(0.398*F506^0.85)/(1-H506)*H506)*(MAX('Min rate concentrations'!$Q$3:$Q$368)))/F506&gt; 0, (((0.326*F506^0.818)-(0.398*F506^0.85)/(1-H506)*H506)*(MAX('Min rate concentrations'!$Q$3:$Q$368)))/F506, 0)</f>
        <v>0</v>
      </c>
      <c r="O506" s="60">
        <f>((MAX('Min rate concentrations'!$F$3:$F$368))*0.62*6.01*8*(12.3*F506^0.65)*0.079*0.1/F506)*inputs!$E$73/inputs!$E$74</f>
        <v>3.5745815872932107</v>
      </c>
      <c r="P506" s="60">
        <f>((MAX('Min rate concentrations'!Y:Y))*0.62*6.01*8*(12.3*F506^0.65)*0.079*0.1/F506)*inputs!$E$73/inputs!$E$74</f>
        <v>1.1915271957644034</v>
      </c>
      <c r="Q506" s="60">
        <f>(inputs!$C$7*11.2*(12.3*F506^0.65)*0.5/F506)*inputs!$E$73/inputs!$E$74</f>
        <v>0.62964568680851429</v>
      </c>
      <c r="R506" s="60">
        <f>(60*379*((F506/1000)^0.8)*3*24*(MAX('Min rate concentrations'!$R$3:$R$368))/F506)*(inputs!$E$73/inputs!$E$75)</f>
        <v>1.7200926921716615E-3</v>
      </c>
      <c r="S506" s="60">
        <f>(IF(inputs!$C$6="aerial",((0.025*0.112*inputs!$C$7/3.3)*(3*60*379*((F506/1000)^0.8))*MAX(inputs!$H$14:$H$16))/F506,((0.0083*0.112*inputs!$C$7/1)*(3*60*379*((F506/1000)^0.8))*MAX(inputs!$H$14:$H$16))/F506))*(inputs!E$75/inputs!$E$73)</f>
        <v>9.4864168769134231E-3</v>
      </c>
      <c r="T506" s="63">
        <f>IF((((inputs!$P$12/(V506/MAX(K506:S506)))^(1/inputs!$O$12))-1)/inputs!$N$12&lt;0, 0, IF((((inputs!$P$12/(V506/MAX(K506:S506)))^(1/inputs!$O$12))-1)/inputs!$N$12&gt;inputs!$H$17, inputs!$H$17, (((inputs!$P$12/(V506/MAX(K506:S506)))^(1/inputs!$O$12))-1)/inputs!$N$12))</f>
        <v>9.8049058450499356</v>
      </c>
      <c r="U506" s="63">
        <f>IF((((inputs!$P$12/(X506/MAX(K506:S506)))^(1/inputs!$O$12))-1)/inputs!$N$12&lt;0, 0, IF((((inputs!$P$12/(X506/MAX(K506:S506)))^(1/inputs!$O$12))-1)/inputs!$N$12&gt;inputs!$H$17, inputs!$H$17, (((inputs!$P$12/(X506/MAX(K506:S506)))^(1/inputs!$O$12))-1)/inputs!$N$12))</f>
        <v>0</v>
      </c>
      <c r="V506" s="54">
        <f>inputs!$E$70*(inputs!$F$70/F506)^(0.25)</f>
        <v>0.82281546744781953</v>
      </c>
      <c r="W506" s="54">
        <f>inputs!$E$76*(inputs!$F$76/F506)^(0.25)</f>
        <v>0.24748737341529164</v>
      </c>
      <c r="X506" s="54">
        <f>inputs!$E$72*(inputs!$F$72/F506)^(0.25)</f>
        <v>36.300682387403803</v>
      </c>
      <c r="Y506" s="54" t="s">
        <v>13</v>
      </c>
      <c r="Z506" s="106">
        <f t="shared" si="60"/>
        <v>4.3443295960158892</v>
      </c>
      <c r="AA506" s="106">
        <f t="shared" si="61"/>
        <v>14.443490744454868</v>
      </c>
    </row>
    <row r="507" spans="1:27" x14ac:dyDescent="0.25">
      <c r="A507" s="55" t="s">
        <v>596</v>
      </c>
      <c r="B507" s="49" t="s">
        <v>597</v>
      </c>
      <c r="C507" s="21" t="s">
        <v>61</v>
      </c>
      <c r="D507" s="20" t="s">
        <v>454</v>
      </c>
      <c r="E507" s="20">
        <v>1236</v>
      </c>
      <c r="F507" s="21">
        <v>1400</v>
      </c>
      <c r="G507" s="21" t="s">
        <v>142</v>
      </c>
      <c r="H507" s="21">
        <v>0.69</v>
      </c>
      <c r="I507" s="48">
        <f>MAX('Min rate concentrations'!$H$3:$H$368)</f>
        <v>47</v>
      </c>
      <c r="J507" s="48">
        <f>MAX('Min rate concentrations'!AA:AA)</f>
        <v>32.5</v>
      </c>
      <c r="K507" s="60">
        <f t="shared" si="66"/>
        <v>9.8128065226492804</v>
      </c>
      <c r="L507" s="60">
        <f t="shared" si="67"/>
        <v>6.7854513188532266</v>
      </c>
      <c r="M507" s="60">
        <f>IF((((0.326*F507^0.818)-(0.398*F507^0.85)/(1-H507)*H507)*(MAX('Min rate concentrations'!$P$3:$P$368)))/F507&gt;0, (((0.326*F507^0.818)-(0.398*F507^0.85)/(1-H507)*H507)*(MAX('Min rate concentrations'!$P$3:$P$368)))/F507, 0)</f>
        <v>0</v>
      </c>
      <c r="N507" s="60">
        <f>IF((((0.326*F507^0.818)-(0.398*F507^0.85)/(1-H507)*H507)*(MAX('Min rate concentrations'!$Q$3:$Q$368)))/F507&gt; 0, (((0.326*F507^0.818)-(0.398*F507^0.85)/(1-H507)*H507)*(MAX('Min rate concentrations'!$Q$3:$Q$368)))/F507, 0)</f>
        <v>0</v>
      </c>
      <c r="O507" s="60">
        <f>((MAX('Min rate concentrations'!$F$3:$F$368))*0.62*6.01*8*(12.3*F507^0.65)*0.079*0.1/F507)*inputs!$E$73/inputs!$E$74</f>
        <v>3.5745815872932107</v>
      </c>
      <c r="P507" s="60">
        <f>((MAX('Min rate concentrations'!Y:Y))*0.62*6.01*8*(12.3*F507^0.65)*0.079*0.1/F507)*inputs!$E$73/inputs!$E$74</f>
        <v>1.1915271957644034</v>
      </c>
      <c r="Q507" s="60">
        <f>(inputs!$C$7*11.2*(12.3*F507^0.65)*0.5/F507)*inputs!$E$73/inputs!$E$74</f>
        <v>0.62964568680851429</v>
      </c>
      <c r="R507" s="60">
        <f>(60*379*((F507/1000)^0.8)*3*24*(MAX('Min rate concentrations'!$R$3:$R$368))/F507)*(inputs!$E$73/inputs!$E$75)</f>
        <v>1.7200926921716615E-3</v>
      </c>
      <c r="S507" s="60">
        <f>(IF(inputs!$C$6="aerial",((0.025*0.112*inputs!$C$7/3.3)*(3*60*379*((F507/1000)^0.8))*MAX(inputs!$H$14:$H$16))/F507,((0.0083*0.112*inputs!$C$7/1)*(3*60*379*((F507/1000)^0.8))*MAX(inputs!$H$14:$H$16))/F507))*(inputs!E$75/inputs!$E$73)</f>
        <v>9.4864168769134231E-3</v>
      </c>
      <c r="T507" s="63">
        <f>IF((((inputs!$P$12/(V507/MAX(K507:S507)))^(1/inputs!$O$12))-1)/inputs!$N$12&lt;0, 0, IF((((inputs!$P$12/(V507/MAX(K507:S507)))^(1/inputs!$O$12))-1)/inputs!$N$12&gt;inputs!$H$17, inputs!$H$17, (((inputs!$P$12/(V507/MAX(K507:S507)))^(1/inputs!$O$12))-1)/inputs!$N$12))</f>
        <v>29.256054502061744</v>
      </c>
      <c r="U507" s="63">
        <f>IF((((inputs!$P$12/(X507/MAX(K507:S507)))^(1/inputs!$O$12))-1)/inputs!$N$12&lt;0, 0, IF((((inputs!$P$12/(X507/MAX(K507:S507)))^(1/inputs!$O$12))-1)/inputs!$N$12&gt;inputs!$H$17, inputs!$H$17, (((inputs!$P$12/(X507/MAX(K507:S507)))^(1/inputs!$O$12))-1)/inputs!$N$12))</f>
        <v>0</v>
      </c>
      <c r="V507" s="54">
        <f>inputs!$E$70*(inputs!$F$70/F507)^(0.25)</f>
        <v>0.82281546744781953</v>
      </c>
      <c r="W507" s="54">
        <f>inputs!$E$76*(inputs!$F$76/F507)^(0.25)</f>
        <v>0.24748737341529164</v>
      </c>
      <c r="X507" s="54">
        <f>inputs!$E$72*(inputs!$F$72/F507)^(0.25)</f>
        <v>36.300682387403803</v>
      </c>
      <c r="Y507" s="54" t="s">
        <v>13</v>
      </c>
      <c r="Z507" s="106">
        <f t="shared" si="60"/>
        <v>11.925889717516254</v>
      </c>
      <c r="AA507" s="106">
        <f t="shared" si="61"/>
        <v>39.649725912210805</v>
      </c>
    </row>
    <row r="508" spans="1:27" x14ac:dyDescent="0.25">
      <c r="A508" s="55" t="s">
        <v>596</v>
      </c>
      <c r="B508" s="49" t="s">
        <v>597</v>
      </c>
      <c r="C508" s="21" t="s">
        <v>61</v>
      </c>
      <c r="D508" s="20" t="s">
        <v>454</v>
      </c>
      <c r="E508" s="20">
        <v>1236</v>
      </c>
      <c r="F508" s="21">
        <v>1400</v>
      </c>
      <c r="G508" s="21" t="s">
        <v>164</v>
      </c>
      <c r="H508" s="21">
        <v>0.78</v>
      </c>
      <c r="I508" s="48">
        <f>inputs!$C$65*(inputs!$C$62/1000)</f>
        <v>0.82000000000000006</v>
      </c>
      <c r="J508" s="48">
        <f>inputs!$C$65*(inputs!$C$61/1000)</f>
        <v>0.25</v>
      </c>
      <c r="K508" s="60">
        <f t="shared" si="66"/>
        <v>0.24123940213321549</v>
      </c>
      <c r="L508" s="60">
        <f t="shared" si="67"/>
        <v>7.3548598211346169E-2</v>
      </c>
      <c r="M508" s="60">
        <f>IF((((0.326*F508^0.818)-(0.398*F508^0.85)/(1-H508)*H508)*(MAX('Min rate concentrations'!$P$3:$P$368)))/F508&gt;0, (((0.326*F508^0.818)-(0.398*F508^0.85)/(1-H508)*H508)*(MAX('Min rate concentrations'!$P$3:$P$368)))/F508, 0)</f>
        <v>0</v>
      </c>
      <c r="N508" s="60">
        <f>IF((((0.326*F508^0.818)-(0.398*F508^0.85)/(1-H508)*H508)*(MAX('Min rate concentrations'!$Q$3:$Q$368)))/F508&gt; 0, (((0.326*F508^0.818)-(0.398*F508^0.85)/(1-H508)*H508)*(MAX('Min rate concentrations'!$Q$3:$Q$368)))/F508, 0)</f>
        <v>0</v>
      </c>
      <c r="O508" s="60">
        <f>((MAX('Min rate concentrations'!$F$3:$F$368))*0.62*6.01*8*(12.3*F508^0.65)*0.079*0.1/F508)*inputs!$E$73/inputs!$E$74</f>
        <v>3.5745815872932107</v>
      </c>
      <c r="P508" s="60">
        <f>((MAX('Min rate concentrations'!Y:Y))*0.62*6.01*8*(12.3*F508^0.65)*0.079*0.1/F508)*inputs!$E$73/inputs!$E$74</f>
        <v>1.1915271957644034</v>
      </c>
      <c r="Q508" s="60">
        <f>(inputs!$C$7*11.2*(12.3*F508^0.65)*0.5/F508)*inputs!$E$73/inputs!$E$74</f>
        <v>0.62964568680851429</v>
      </c>
      <c r="R508" s="60">
        <f>(60*379*((F508/1000)^0.8)*3*24*(MAX('Min rate concentrations'!$R$3:$R$368))/F508)*(inputs!$E$73/inputs!$E$75)</f>
        <v>1.7200926921716615E-3</v>
      </c>
      <c r="S508" s="60">
        <f>(IF(inputs!$C$6="aerial",((0.025*0.112*inputs!$C$7/3.3)*(3*60*379*((F508/1000)^0.8))*MAX(inputs!$H$14:$H$16))/F508,((0.0083*0.112*inputs!$C$7/1)*(3*60*379*((F508/1000)^0.8))*MAX(inputs!$H$14:$H$16))/F508))*(inputs!E$75/inputs!$E$73)</f>
        <v>9.4864168769134231E-3</v>
      </c>
      <c r="T508" s="63">
        <f>IF((((inputs!$P$12/(V508/MAX(K508:S508)))^(1/inputs!$O$12))-1)/inputs!$N$12&lt;0, 0, IF((((inputs!$P$12/(V508/MAX(K508:S508)))^(1/inputs!$O$12))-1)/inputs!$N$12&gt;inputs!$H$17, inputs!$H$17, (((inputs!$P$12/(V508/MAX(K508:S508)))^(1/inputs!$O$12))-1)/inputs!$N$12))</f>
        <v>9.8049058450499356</v>
      </c>
      <c r="U508" s="63">
        <f>IF((((inputs!$P$12/(X508/MAX(K508:S508)))^(1/inputs!$O$12))-1)/inputs!$N$12&lt;0, 0, IF((((inputs!$P$12/(X508/MAX(K508:S508)))^(1/inputs!$O$12))-1)/inputs!$N$12&gt;inputs!$H$17, inputs!$H$17, (((inputs!$P$12/(X508/MAX(K508:S508)))^(1/inputs!$O$12))-1)/inputs!$N$12))</f>
        <v>0</v>
      </c>
      <c r="V508" s="54">
        <f>inputs!$E$70*(inputs!$F$70/F508)^(0.25)</f>
        <v>0.82281546744781953</v>
      </c>
      <c r="W508" s="54">
        <f>inputs!$E$76*(inputs!$F$76/F508)^(0.25)</f>
        <v>0.24748737341529164</v>
      </c>
      <c r="X508" s="54">
        <f>inputs!$E$72*(inputs!$F$72/F508)^(0.25)</f>
        <v>36.300682387403803</v>
      </c>
      <c r="Y508" s="54" t="s">
        <v>13</v>
      </c>
      <c r="Z508" s="106">
        <f t="shared" si="60"/>
        <v>4.3443295960158892</v>
      </c>
      <c r="AA508" s="106">
        <f t="shared" si="61"/>
        <v>14.443490744454868</v>
      </c>
    </row>
    <row r="509" spans="1:27" x14ac:dyDescent="0.25">
      <c r="A509" s="55" t="s">
        <v>596</v>
      </c>
      <c r="B509" s="49" t="s">
        <v>597</v>
      </c>
      <c r="C509" s="21" t="s">
        <v>61</v>
      </c>
      <c r="D509" s="20" t="s">
        <v>454</v>
      </c>
      <c r="E509" s="20">
        <v>1236</v>
      </c>
      <c r="F509" s="21">
        <v>1400</v>
      </c>
      <c r="G509" s="21" t="s">
        <v>138</v>
      </c>
      <c r="H509" s="21">
        <v>0.68</v>
      </c>
      <c r="I509" s="48">
        <f>MAX('Min rate concentrations'!$L$3:$L$368)</f>
        <v>58.421240152220811</v>
      </c>
      <c r="J509" s="48">
        <f>MAX('Min rate concentrations'!AD:AD)</f>
        <v>40.397666062705881</v>
      </c>
      <c r="K509" s="60">
        <f t="shared" si="66"/>
        <v>11.816200877151696</v>
      </c>
      <c r="L509" s="60">
        <f t="shared" si="67"/>
        <v>8.1707772022857483</v>
      </c>
      <c r="M509" s="60">
        <f>IF((((0.326*F509^0.818)-(0.398*F509^0.85)/(1-H509)*H509)*(MAX('Min rate concentrations'!$P$3:$P$368)))/F509&gt;0, (((0.326*F509^0.818)-(0.398*F509^0.85)/(1-H509)*H509)*(MAX('Min rate concentrations'!$P$3:$P$368)))/F509, 0)</f>
        <v>0</v>
      </c>
      <c r="N509" s="60">
        <f>IF((((0.326*F509^0.818)-(0.398*F509^0.85)/(1-H509)*H509)*(MAX('Min rate concentrations'!$Q$3:$Q$368)))/F509&gt; 0, (((0.326*F509^0.818)-(0.398*F509^0.85)/(1-H509)*H509)*(MAX('Min rate concentrations'!$Q$3:$Q$368)))/F509, 0)</f>
        <v>0</v>
      </c>
      <c r="O509" s="60">
        <f>((MAX('Min rate concentrations'!$F$3:$F$368))*0.62*6.01*8*(12.3*F509^0.65)*0.079*0.1/F509)*inputs!$E$73/inputs!$E$74</f>
        <v>3.5745815872932107</v>
      </c>
      <c r="P509" s="60">
        <f>((MAX('Min rate concentrations'!Y:Y))*0.62*6.01*8*(12.3*F509^0.65)*0.079*0.1/F509)*inputs!$E$73/inputs!$E$74</f>
        <v>1.1915271957644034</v>
      </c>
      <c r="Q509" s="60">
        <f>(inputs!$C$7*11.2*(12.3*F509^0.65)*0.5/F509)*inputs!$E$73/inputs!$E$74</f>
        <v>0.62964568680851429</v>
      </c>
      <c r="R509" s="60">
        <f>(60*379*((F509/1000)^0.8)*3*24*(MAX('Min rate concentrations'!$R$3:$R$368))/F509)*(inputs!$E$73/inputs!$E$75)</f>
        <v>1.7200926921716615E-3</v>
      </c>
      <c r="S509" s="60">
        <f>(IF(inputs!$C$6="aerial",((0.025*0.112*inputs!$C$7/3.3)*(3*60*379*((F509/1000)^0.8))*MAX(inputs!$H$14:$H$16))/F509,((0.0083*0.112*inputs!$C$7/1)*(3*60*379*((F509/1000)^0.8))*MAX(inputs!$H$14:$H$16))/F509))*(inputs!E$75/inputs!$E$73)</f>
        <v>9.4864168769134231E-3</v>
      </c>
      <c r="T509" s="63">
        <f>IF((((inputs!$P$12/(V509/MAX(K509:S509)))^(1/inputs!$O$12))-1)/inputs!$N$12&lt;0, 0, IF((((inputs!$P$12/(V509/MAX(K509:S509)))^(1/inputs!$O$12))-1)/inputs!$N$12&gt;inputs!$H$17, inputs!$H$17, (((inputs!$P$12/(V509/MAX(K509:S509)))^(1/inputs!$O$12))-1)/inputs!$N$12))</f>
        <v>33.788714312011919</v>
      </c>
      <c r="U509" s="63">
        <f>IF((((inputs!$P$12/(X509/MAX(K509:S509)))^(1/inputs!$O$12))-1)/inputs!$N$12&lt;0, 0, IF((((inputs!$P$12/(X509/MAX(K509:S509)))^(1/inputs!$O$12))-1)/inputs!$N$12&gt;inputs!$H$17, inputs!$H$17, (((inputs!$P$12/(X509/MAX(K509:S509)))^(1/inputs!$O$12))-1)/inputs!$N$12))</f>
        <v>0</v>
      </c>
      <c r="V509" s="54">
        <f>inputs!$E$70*(inputs!$F$70/F509)^(0.25)</f>
        <v>0.82281546744781953</v>
      </c>
      <c r="W509" s="54">
        <f>inputs!$E$76*(inputs!$F$76/F509)^(0.25)</f>
        <v>0.24748737341529164</v>
      </c>
      <c r="X509" s="54">
        <f>inputs!$E$72*(inputs!$F$72/F509)^(0.25)</f>
        <v>36.300682387403803</v>
      </c>
      <c r="Y509" s="54" t="s">
        <v>13</v>
      </c>
      <c r="Z509" s="106">
        <f t="shared" si="60"/>
        <v>14.360693672668523</v>
      </c>
      <c r="AA509" s="106">
        <f t="shared" si="61"/>
        <v>47.744661531979396</v>
      </c>
    </row>
    <row r="510" spans="1:27" x14ac:dyDescent="0.25">
      <c r="A510" s="55" t="s">
        <v>596</v>
      </c>
      <c r="B510" s="49" t="s">
        <v>597</v>
      </c>
      <c r="C510" s="21" t="s">
        <v>61</v>
      </c>
      <c r="D510" s="20" t="s">
        <v>454</v>
      </c>
      <c r="E510" s="20">
        <v>1236</v>
      </c>
      <c r="F510" s="21">
        <v>1400</v>
      </c>
      <c r="G510" s="21" t="s">
        <v>152</v>
      </c>
      <c r="H510" s="21">
        <v>0.77</v>
      </c>
      <c r="I510" s="48">
        <f>MAX('Min rate concentrations'!$G$3:$G$368)</f>
        <v>7.5</v>
      </c>
      <c r="J510" s="48">
        <f>MAX('Min rate concentrations'!Z:Z)</f>
        <v>3.5</v>
      </c>
      <c r="K510" s="60">
        <f t="shared" si="66"/>
        <v>2.1105249921516727</v>
      </c>
      <c r="L510" s="60">
        <f t="shared" si="67"/>
        <v>0.98491166300411404</v>
      </c>
      <c r="M510" s="60">
        <f>IF((((0.326*F510^0.818)-(0.398*F510^0.85)/(1-H510)*H510)*(MAX('Min rate concentrations'!$P$3:$P$368)))/F510&gt;0, (((0.326*F510^0.818)-(0.398*F510^0.85)/(1-H510)*H510)*(MAX('Min rate concentrations'!$P$3:$P$368)))/F510, 0)</f>
        <v>0</v>
      </c>
      <c r="N510" s="60">
        <f>IF((((0.326*F510^0.818)-(0.398*F510^0.85)/(1-H510)*H510)*(MAX('Min rate concentrations'!$Q$3:$Q$368)))/F510&gt; 0, (((0.326*F510^0.818)-(0.398*F510^0.85)/(1-H510)*H510)*(MAX('Min rate concentrations'!$Q$3:$Q$368)))/F510, 0)</f>
        <v>0</v>
      </c>
      <c r="O510" s="60">
        <f>((MAX('Min rate concentrations'!$F$3:$F$368))*0.62*6.01*8*(12.3*F510^0.65)*0.079*0.1/F510)*inputs!$E$73/inputs!$E$74</f>
        <v>3.5745815872932107</v>
      </c>
      <c r="P510" s="60">
        <f>((MAX('Min rate concentrations'!Y:Y))*0.62*6.01*8*(12.3*F510^0.65)*0.079*0.1/F510)*inputs!$E$73/inputs!$E$74</f>
        <v>1.1915271957644034</v>
      </c>
      <c r="Q510" s="60">
        <f>(inputs!$C$7*11.2*(12.3*F510^0.65)*0.5/F510)*inputs!$E$73/inputs!$E$74</f>
        <v>0.62964568680851429</v>
      </c>
      <c r="R510" s="60">
        <f>(60*379*((F510/1000)^0.8)*3*24*(MAX('Min rate concentrations'!$R$3:$R$368))/F510)*(inputs!$E$73/inputs!$E$75)</f>
        <v>1.7200926921716615E-3</v>
      </c>
      <c r="S510" s="60">
        <f>(IF(inputs!$C$6="aerial",((0.025*0.112*inputs!$C$7/3.3)*(3*60*379*((F510/1000)^0.8))*MAX(inputs!$H$14:$H$16))/F510,((0.0083*0.112*inputs!$C$7/1)*(3*60*379*((F510/1000)^0.8))*MAX(inputs!$H$14:$H$16))/F510))*(inputs!E$75/inputs!$E$73)</f>
        <v>9.4864168769134231E-3</v>
      </c>
      <c r="T510" s="63">
        <f>IF((((inputs!$P$12/(V510/MAX(K510:S510)))^(1/inputs!$O$12))-1)/inputs!$N$12&lt;0, 0, IF((((inputs!$P$12/(V510/MAX(K510:S510)))^(1/inputs!$O$12))-1)/inputs!$N$12&gt;inputs!$H$17, inputs!$H$17, (((inputs!$P$12/(V510/MAX(K510:S510)))^(1/inputs!$O$12))-1)/inputs!$N$12))</f>
        <v>9.8049058450499356</v>
      </c>
      <c r="U510" s="63">
        <f>IF((((inputs!$P$12/(X510/MAX(K510:S510)))^(1/inputs!$O$12))-1)/inputs!$N$12&lt;0, 0, IF((((inputs!$P$12/(X510/MAX(K510:S510)))^(1/inputs!$O$12))-1)/inputs!$N$12&gt;inputs!$H$17, inputs!$H$17, (((inputs!$P$12/(X510/MAX(K510:S510)))^(1/inputs!$O$12))-1)/inputs!$N$12))</f>
        <v>0</v>
      </c>
      <c r="V510" s="54">
        <f>inputs!$E$70*(inputs!$F$70/F510)^(0.25)</f>
        <v>0.82281546744781953</v>
      </c>
      <c r="W510" s="54">
        <f>inputs!$E$76*(inputs!$F$76/F510)^(0.25)</f>
        <v>0.24748737341529164</v>
      </c>
      <c r="X510" s="54">
        <f>inputs!$E$72*(inputs!$F$72/F510)^(0.25)</f>
        <v>36.300682387403803</v>
      </c>
      <c r="Y510" s="54" t="s">
        <v>13</v>
      </c>
      <c r="Z510" s="106">
        <f t="shared" si="60"/>
        <v>4.3443295960158892</v>
      </c>
      <c r="AA510" s="106">
        <f t="shared" si="61"/>
        <v>14.443490744454868</v>
      </c>
    </row>
    <row r="511" spans="1:27" x14ac:dyDescent="0.25">
      <c r="A511" s="55" t="s">
        <v>596</v>
      </c>
      <c r="B511" s="49" t="s">
        <v>597</v>
      </c>
      <c r="C511" s="21" t="s">
        <v>61</v>
      </c>
      <c r="D511" s="20" t="s">
        <v>454</v>
      </c>
      <c r="E511" s="20">
        <v>1236</v>
      </c>
      <c r="F511" s="21">
        <v>1400</v>
      </c>
      <c r="G511" s="21" t="s">
        <v>169</v>
      </c>
      <c r="H511" s="21">
        <v>0.79</v>
      </c>
      <c r="I511" s="48">
        <f>MAX('Min rate concentrations'!$D$3:$D$368)</f>
        <v>120</v>
      </c>
      <c r="J511" s="48">
        <f>MAX('Min rate concentrations'!W:W)</f>
        <v>42.5</v>
      </c>
      <c r="K511" s="60">
        <f t="shared" si="66"/>
        <v>36.984437957705509</v>
      </c>
      <c r="L511" s="60">
        <f t="shared" si="67"/>
        <v>13.098655110020699</v>
      </c>
      <c r="M511" s="60">
        <f>IF((((0.326*F511^0.818)-(0.398*F511^0.85)/(1-H511)*H511)*(MAX('Min rate concentrations'!$P$3:$P$368)))/F511&gt;0, (((0.326*F511^0.818)-(0.398*F511^0.85)/(1-H511)*H511)*(MAX('Min rate concentrations'!$P$3:$P$368)))/F511, 0)</f>
        <v>0</v>
      </c>
      <c r="N511" s="60">
        <f>IF((((0.326*F511^0.818)-(0.398*F511^0.85)/(1-H511)*H511)*(MAX('Min rate concentrations'!$Q$3:$Q$368)))/F511&gt; 0, (((0.326*F511^0.818)-(0.398*F511^0.85)/(1-H511)*H511)*(MAX('Min rate concentrations'!$Q$3:$Q$368)))/F511, 0)</f>
        <v>0</v>
      </c>
      <c r="O511" s="60">
        <f>((MAX('Min rate concentrations'!$F$3:$F$368))*0.62*6.01*8*(12.3*F511^0.65)*0.079*0.1/F511)*inputs!$E$73/inputs!$E$74</f>
        <v>3.5745815872932107</v>
      </c>
      <c r="P511" s="60">
        <f>((MAX('Min rate concentrations'!Y:Y))*0.62*6.01*8*(12.3*F511^0.65)*0.079*0.1/F511)*inputs!$E$73/inputs!$E$74</f>
        <v>1.1915271957644034</v>
      </c>
      <c r="Q511" s="60">
        <f>(inputs!$C$7*11.2*(12.3*F511^0.65)*0.5/F511)*inputs!$E$73/inputs!$E$74</f>
        <v>0.62964568680851429</v>
      </c>
      <c r="R511" s="60">
        <f>(60*379*((F511/1000)^0.8)*3*24*(MAX('Min rate concentrations'!$R$3:$R$368))/F511)*(inputs!$E$73/inputs!$E$75)</f>
        <v>1.7200926921716615E-3</v>
      </c>
      <c r="S511" s="60">
        <f>(IF(inputs!$C$6="aerial",((0.025*0.112*inputs!$C$7/3.3)*(3*60*379*((F511/1000)^0.8))*MAX(inputs!$H$14:$H$16))/F511,((0.0083*0.112*inputs!$C$7/1)*(3*60*379*((F511/1000)^0.8))*MAX(inputs!$H$14:$H$16))/F511))*(inputs!E$75/inputs!$E$73)</f>
        <v>9.4864168769134231E-3</v>
      </c>
      <c r="T511" s="63">
        <f>IF((((inputs!$P$12/(V511/MAX(K511:S511)))^(1/inputs!$O$12))-1)/inputs!$N$12&lt;0, 0, IF((((inputs!$P$12/(V511/MAX(K511:S511)))^(1/inputs!$O$12))-1)/inputs!$N$12&gt;inputs!$H$17, inputs!$H$17, (((inputs!$P$12/(V511/MAX(K511:S511)))^(1/inputs!$O$12))-1)/inputs!$N$12))</f>
        <v>70.56899392147227</v>
      </c>
      <c r="U511" s="63">
        <f>IF((((inputs!$P$12/(X511/MAX(K511:S511)))^(1/inputs!$O$12))-1)/inputs!$N$12&lt;0, 0, IF((((inputs!$P$12/(X511/MAX(K511:S511)))^(1/inputs!$O$12))-1)/inputs!$N$12&gt;inputs!$H$17, inputs!$H$17, (((inputs!$P$12/(X511/MAX(K511:S511)))^(1/inputs!$O$12))-1)/inputs!$N$12))</f>
        <v>0</v>
      </c>
      <c r="V511" s="54">
        <f>inputs!$E$70*(inputs!$F$70/F511)^(0.25)</f>
        <v>0.82281546744781953</v>
      </c>
      <c r="W511" s="54">
        <f>inputs!$E$76*(inputs!$F$76/F511)^(0.25)</f>
        <v>0.24748737341529164</v>
      </c>
      <c r="X511" s="54">
        <f>inputs!$E$72*(inputs!$F$72/F511)^(0.25)</f>
        <v>36.300682387403803</v>
      </c>
      <c r="Y511" s="54" t="s">
        <v>13</v>
      </c>
      <c r="Z511" s="106">
        <f t="shared" si="60"/>
        <v>44.948642096413863</v>
      </c>
      <c r="AA511" s="106">
        <f t="shared" si="61"/>
        <v>149.43969644723836</v>
      </c>
    </row>
    <row r="512" spans="1:27" x14ac:dyDescent="0.25">
      <c r="A512" s="55" t="s">
        <v>596</v>
      </c>
      <c r="B512" s="49" t="s">
        <v>597</v>
      </c>
      <c r="C512" s="21" t="s">
        <v>61</v>
      </c>
      <c r="D512" s="20" t="s">
        <v>454</v>
      </c>
      <c r="E512" s="20">
        <v>1236</v>
      </c>
      <c r="F512" s="21">
        <v>1400</v>
      </c>
      <c r="G512" s="21" t="s">
        <v>456</v>
      </c>
      <c r="H512" s="21">
        <v>0.68</v>
      </c>
      <c r="I512" s="48">
        <f>MAX('Min rate concentrations'!$J$3:$J$368)</f>
        <v>114.4108103430513</v>
      </c>
      <c r="J512" s="48">
        <f>MAX('Min rate concentrations'!AB:AB)</f>
        <v>40.520495329830666</v>
      </c>
      <c r="K512" s="60">
        <f t="shared" si="66"/>
        <v>23.140575482627927</v>
      </c>
      <c r="L512" s="60">
        <f t="shared" si="67"/>
        <v>8.1956204834307229</v>
      </c>
      <c r="M512" s="60">
        <f>IF((((0.326*F512^0.818)-(0.398*F512^0.85)/(1-H512)*H512)*(MAX('Min rate concentrations'!$P$3:$P$368)))/F512&gt;0, (((0.326*F512^0.818)-(0.398*F512^0.85)/(1-H512)*H512)*(MAX('Min rate concentrations'!$P$3:$P$368)))/F512, 0)</f>
        <v>0</v>
      </c>
      <c r="N512" s="60">
        <f>IF((((0.326*F512^0.818)-(0.398*F512^0.85)/(1-H512)*H512)*(MAX('Min rate concentrations'!$Q$3:$Q$368)))/F512&gt; 0, (((0.326*F512^0.818)-(0.398*F512^0.85)/(1-H512)*H512)*(MAX('Min rate concentrations'!$Q$3:$Q$368)))/F512, 0)</f>
        <v>0</v>
      </c>
      <c r="O512" s="60">
        <f>((MAX('Min rate concentrations'!$F$3:$F$368))*0.62*6.01*8*(12.3*F512^0.65)*0.079*0.1/F512)*inputs!$E$73/inputs!$E$74</f>
        <v>3.5745815872932107</v>
      </c>
      <c r="P512" s="60">
        <f>((MAX('Min rate concentrations'!Y:Y))*0.62*6.01*8*(12.3*F512^0.65)*0.079*0.1/F512)*inputs!$E$73/inputs!$E$74</f>
        <v>1.1915271957644034</v>
      </c>
      <c r="Q512" s="60">
        <f>(inputs!$C$7*11.2*(12.3*F512^0.65)*0.5/F512)*inputs!$E$73/inputs!$E$74</f>
        <v>0.62964568680851429</v>
      </c>
      <c r="R512" s="60">
        <f>(60*379*((F512/1000)^0.8)*3*24*(MAX('Min rate concentrations'!$R$3:$R$368))/F512)*(inputs!$E$73/inputs!$E$75)</f>
        <v>1.7200926921716615E-3</v>
      </c>
      <c r="S512" s="60">
        <f>(IF(inputs!$C$6="aerial",((0.025*0.112*inputs!$C$7/3.3)*(3*60*379*((F512/1000)^0.8))*MAX(inputs!$H$14:$H$16))/F512,((0.0083*0.112*inputs!$C$7/1)*(3*60*379*((F512/1000)^0.8))*MAX(inputs!$H$14:$H$16))/F512))*(inputs!E$75/inputs!$E$73)</f>
        <v>9.4864168769134231E-3</v>
      </c>
      <c r="T512" s="63">
        <f>IF((((inputs!$P$12/(V512/MAX(K512:S512)))^(1/inputs!$O$12))-1)/inputs!$N$12&lt;0, 0, IF((((inputs!$P$12/(V512/MAX(K512:S512)))^(1/inputs!$O$12))-1)/inputs!$N$12&gt;inputs!$H$17, inputs!$H$17, (((inputs!$P$12/(V512/MAX(K512:S512)))^(1/inputs!$O$12))-1)/inputs!$N$12))</f>
        <v>53.368594028202402</v>
      </c>
      <c r="U512" s="63">
        <f>IF((((inputs!$P$12/(X512/MAX(K512:S512)))^(1/inputs!$O$12))-1)/inputs!$N$12&lt;0, 0, IF((((inputs!$P$12/(X512/MAX(K512:S512)))^(1/inputs!$O$12))-1)/inputs!$N$12&gt;inputs!$H$17, inputs!$H$17, (((inputs!$P$12/(X512/MAX(K512:S512)))^(1/inputs!$O$12))-1)/inputs!$N$12))</f>
        <v>0</v>
      </c>
      <c r="V512" s="54">
        <f>inputs!$E$70*(inputs!$F$70/F512)^(0.25)</f>
        <v>0.82281546744781953</v>
      </c>
      <c r="W512" s="54">
        <f>inputs!$E$76*(inputs!$F$76/F512)^(0.25)</f>
        <v>0.24748737341529164</v>
      </c>
      <c r="X512" s="54">
        <f>inputs!$E$72*(inputs!$F$72/F512)^(0.25)</f>
        <v>36.300682387403803</v>
      </c>
      <c r="Y512" s="54" t="s">
        <v>13</v>
      </c>
      <c r="Z512" s="106">
        <f t="shared" si="60"/>
        <v>28.123651533198036</v>
      </c>
      <c r="AA512" s="106">
        <f t="shared" si="61"/>
        <v>93.502044824716407</v>
      </c>
    </row>
    <row r="513" spans="1:27" x14ac:dyDescent="0.25">
      <c r="A513" s="55" t="s">
        <v>596</v>
      </c>
      <c r="B513" s="49" t="s">
        <v>597</v>
      </c>
      <c r="C513" s="21" t="s">
        <v>61</v>
      </c>
      <c r="D513" s="20" t="s">
        <v>454</v>
      </c>
      <c r="E513" s="20">
        <v>1236</v>
      </c>
      <c r="F513" s="21">
        <v>1400</v>
      </c>
      <c r="G513" s="21" t="s">
        <v>145</v>
      </c>
      <c r="H513" s="21">
        <v>0.66</v>
      </c>
      <c r="I513" s="48">
        <f>MAX('Min rate concentrations'!$M$3:$M$368)</f>
        <v>2.8488184789681945</v>
      </c>
      <c r="J513" s="48">
        <f>MAX('Min rate concentrations'!AE:AE)</f>
        <v>1.9699276716269429</v>
      </c>
      <c r="K513" s="60">
        <f t="shared" si="66"/>
        <v>0.54230415589496261</v>
      </c>
      <c r="L513" s="60">
        <f t="shared" si="67"/>
        <v>0.37499755460821876</v>
      </c>
      <c r="M513" s="60">
        <f>IF((((0.326*F513^0.818)-(0.398*F513^0.85)/(1-H513)*H513)*(MAX('Min rate concentrations'!$P$3:$P$368)))/F513&gt;0, (((0.326*F513^0.818)-(0.398*F513^0.85)/(1-H513)*H513)*(MAX('Min rate concentrations'!$P$3:$P$368)))/F513, 0)</f>
        <v>0</v>
      </c>
      <c r="N513" s="60">
        <f>IF((((0.326*F513^0.818)-(0.398*F513^0.85)/(1-H513)*H513)*(MAX('Min rate concentrations'!$Q$3:$Q$368)))/F513&gt; 0, (((0.326*F513^0.818)-(0.398*F513^0.85)/(1-H513)*H513)*(MAX('Min rate concentrations'!$Q$3:$Q$368)))/F513, 0)</f>
        <v>0</v>
      </c>
      <c r="O513" s="60">
        <f>((MAX('Min rate concentrations'!$F$3:$F$368))*0.62*6.01*8*(12.3*F513^0.65)*0.079*0.1/F513)*inputs!$E$73/inputs!$E$74</f>
        <v>3.5745815872932107</v>
      </c>
      <c r="P513" s="60">
        <f>((MAX('Min rate concentrations'!Y:Y))*0.62*6.01*8*(12.3*F513^0.65)*0.079*0.1/F513)*inputs!$E$73/inputs!$E$74</f>
        <v>1.1915271957644034</v>
      </c>
      <c r="Q513" s="60">
        <f>(inputs!$C$7*11.2*(12.3*F513^0.65)*0.5/F513)*inputs!$E$73/inputs!$E$74</f>
        <v>0.62964568680851429</v>
      </c>
      <c r="R513" s="60">
        <f>(60*379*((F513/1000)^0.8)*3*24*(MAX('Min rate concentrations'!$R$3:$R$368))/F513)*(inputs!$E$73/inputs!$E$75)</f>
        <v>1.7200926921716615E-3</v>
      </c>
      <c r="S513" s="60">
        <f>(IF(inputs!$C$6="aerial",((0.025*0.112*inputs!$C$7/3.3)*(3*60*379*((F513/1000)^0.8))*MAX(inputs!$H$14:$H$16))/F513,((0.0083*0.112*inputs!$C$7/1)*(3*60*379*((F513/1000)^0.8))*MAX(inputs!$H$14:$H$16))/F513))*(inputs!E$75/inputs!$E$73)</f>
        <v>9.4864168769134231E-3</v>
      </c>
      <c r="T513" s="63">
        <f>IF((((inputs!$P$12/(V513/MAX(K513:S513)))^(1/inputs!$O$12))-1)/inputs!$N$12&lt;0, 0, IF((((inputs!$P$12/(V513/MAX(K513:S513)))^(1/inputs!$O$12))-1)/inputs!$N$12&gt;inputs!$H$17, inputs!$H$17, (((inputs!$P$12/(V513/MAX(K513:S513)))^(1/inputs!$O$12))-1)/inputs!$N$12))</f>
        <v>9.8049058450499356</v>
      </c>
      <c r="U513" s="63">
        <f>IF((((inputs!$P$12/(X513/MAX(K513:S513)))^(1/inputs!$O$12))-1)/inputs!$N$12&lt;0, 0, IF((((inputs!$P$12/(X513/MAX(K513:S513)))^(1/inputs!$O$12))-1)/inputs!$N$12&gt;inputs!$H$17, inputs!$H$17, (((inputs!$P$12/(X513/MAX(K513:S513)))^(1/inputs!$O$12))-1)/inputs!$N$12))</f>
        <v>0</v>
      </c>
      <c r="V513" s="54">
        <f>inputs!$E$70*(inputs!$F$70/F513)^(0.25)</f>
        <v>0.82281546744781953</v>
      </c>
      <c r="W513" s="54">
        <f>inputs!$E$76*(inputs!$F$76/F513)^(0.25)</f>
        <v>0.24748737341529164</v>
      </c>
      <c r="X513" s="54">
        <f>inputs!$E$72*(inputs!$F$72/F513)^(0.25)</f>
        <v>36.300682387403803</v>
      </c>
      <c r="Y513" s="54" t="s">
        <v>13</v>
      </c>
      <c r="Z513" s="106">
        <f t="shared" si="60"/>
        <v>4.3443295960158892</v>
      </c>
      <c r="AA513" s="106">
        <f t="shared" si="61"/>
        <v>14.443490744454868</v>
      </c>
    </row>
    <row r="514" spans="1:27" x14ac:dyDescent="0.25">
      <c r="A514" s="55" t="s">
        <v>594</v>
      </c>
      <c r="B514" s="49" t="s">
        <v>595</v>
      </c>
      <c r="C514" s="21" t="s">
        <v>61</v>
      </c>
      <c r="D514" s="20" t="s">
        <v>454</v>
      </c>
      <c r="E514" s="20">
        <v>1237</v>
      </c>
      <c r="F514" s="21">
        <v>1400</v>
      </c>
      <c r="G514" s="21" t="s">
        <v>182</v>
      </c>
      <c r="H514" s="21">
        <v>0.85</v>
      </c>
      <c r="I514" s="48">
        <f>MAX('Min rate concentrations'!$M$3:$M$368)</f>
        <v>2.8488184789681945</v>
      </c>
      <c r="J514" s="48">
        <f>MAX('Min rate concentrations'!AE:AE)</f>
        <v>1.9699276716269429</v>
      </c>
      <c r="K514" s="60">
        <f t="shared" si="66"/>
        <v>1.2292227533619149</v>
      </c>
      <c r="L514" s="60">
        <f t="shared" si="67"/>
        <v>0.84999445711196242</v>
      </c>
      <c r="M514" s="60">
        <f>IF((((0.326*F514^0.818)-(0.398*F514^0.85)/(1-H514)*H514)*(MAX('Min rate concentrations'!$P$3:$P$368)))/F514&gt;0, (((0.326*F514^0.818)-(0.398*F514^0.85)/(1-H514)*H514)*(MAX('Min rate concentrations'!$P$3:$P$368)))/F514, 0)</f>
        <v>0</v>
      </c>
      <c r="N514" s="60">
        <f>IF((((0.326*F514^0.818)-(0.398*F514^0.85)/(1-H514)*H514)*(MAX('Min rate concentrations'!$Q$3:$Q$368)))/F514&gt; 0, (((0.326*F514^0.818)-(0.398*F514^0.85)/(1-H514)*H514)*(MAX('Min rate concentrations'!$Q$3:$Q$368)))/F514, 0)</f>
        <v>0</v>
      </c>
      <c r="O514" s="60">
        <f>((MAX('Min rate concentrations'!$F$3:$F$368))*0.62*6.01*8*(12.3*F514^0.65)*0.079*0.1/F514)*inputs!$E$73/inputs!$E$74</f>
        <v>3.5745815872932107</v>
      </c>
      <c r="P514" s="60">
        <f>((MAX('Min rate concentrations'!Y:Y))*0.62*6.01*8*(12.3*F514^0.65)*0.079*0.1/F514)*inputs!$E$73/inputs!$E$74</f>
        <v>1.1915271957644034</v>
      </c>
      <c r="Q514" s="60">
        <f>(inputs!$C$7*11.2*(12.3*F514^0.65)*0.5/F514)*inputs!$E$73/inputs!$E$74</f>
        <v>0.62964568680851429</v>
      </c>
      <c r="R514" s="60">
        <f>(60*379*((F514/1000)^0.8)*3*24*(MAX('Min rate concentrations'!$R$3:$R$368))/F514)*(inputs!$E$73/inputs!$E$75)</f>
        <v>1.7200926921716615E-3</v>
      </c>
      <c r="S514" s="60">
        <f>(IF(inputs!$C$6="aerial",((0.025*0.112*inputs!$C$7/3.3)*(3*60*379*((F514/1000)^0.8))*MAX(inputs!$H$14:$H$16))/F514,((0.0083*0.112*inputs!$C$7/1)*(3*60*379*((F514/1000)^0.8))*MAX(inputs!$H$14:$H$16))/F514))*(inputs!E$75/inputs!$E$73)</f>
        <v>9.4864168769134231E-3</v>
      </c>
      <c r="T514" s="63">
        <f>IF((((inputs!$P$12/(V514/MAX(K514:S514)))^(1/inputs!$O$12))-1)/inputs!$N$12&lt;0, 0, IF((((inputs!$P$12/(V514/MAX(K514:S514)))^(1/inputs!$O$12))-1)/inputs!$N$12&gt;inputs!$H$17, inputs!$H$17, (((inputs!$P$12/(V514/MAX(K514:S514)))^(1/inputs!$O$12))-1)/inputs!$N$12))</f>
        <v>9.8049058450499356</v>
      </c>
      <c r="U514" s="63">
        <f>IF((((inputs!$P$12/(X514/MAX(K514:S514)))^(1/inputs!$O$12))-1)/inputs!$N$12&lt;0, 0, IF((((inputs!$P$12/(X514/MAX(K514:S514)))^(1/inputs!$O$12))-1)/inputs!$N$12&gt;inputs!$H$17, inputs!$H$17, (((inputs!$P$12/(X514/MAX(K514:S514)))^(1/inputs!$O$12))-1)/inputs!$N$12))</f>
        <v>0</v>
      </c>
      <c r="V514" s="54">
        <f>inputs!$E$70*(inputs!$F$70/F514)^(0.25)</f>
        <v>0.82281546744781953</v>
      </c>
      <c r="W514" s="54">
        <f>inputs!$E$76*(inputs!$F$76/F514)^(0.25)</f>
        <v>0.24748737341529164</v>
      </c>
      <c r="X514" s="54">
        <f>inputs!$E$72*(inputs!$F$72/F514)^(0.25)</f>
        <v>36.300682387403803</v>
      </c>
      <c r="Y514" s="54" t="s">
        <v>13</v>
      </c>
      <c r="Z514" s="106">
        <f t="shared" si="60"/>
        <v>4.3443295960158892</v>
      </c>
      <c r="AA514" s="106">
        <f t="shared" si="61"/>
        <v>14.443490744454868</v>
      </c>
    </row>
    <row r="515" spans="1:27" x14ac:dyDescent="0.25">
      <c r="A515" s="55" t="s">
        <v>594</v>
      </c>
      <c r="B515" s="49" t="s">
        <v>595</v>
      </c>
      <c r="C515" s="21" t="s">
        <v>61</v>
      </c>
      <c r="D515" s="20" t="s">
        <v>454</v>
      </c>
      <c r="E515" s="20">
        <v>1237</v>
      </c>
      <c r="F515" s="21">
        <v>1400</v>
      </c>
      <c r="G515" s="21" t="s">
        <v>142</v>
      </c>
      <c r="H515" s="21">
        <v>0.69</v>
      </c>
      <c r="I515" s="48">
        <f>MAX('Min rate concentrations'!$H$3:$H$368)</f>
        <v>47</v>
      </c>
      <c r="J515" s="48">
        <f>MAX('Min rate concentrations'!AA:AA)</f>
        <v>32.5</v>
      </c>
      <c r="K515" s="60">
        <f t="shared" si="66"/>
        <v>9.8128065226492804</v>
      </c>
      <c r="L515" s="60">
        <f t="shared" si="67"/>
        <v>6.7854513188532266</v>
      </c>
      <c r="M515" s="60">
        <f>IF((((0.326*F515^0.818)-(0.398*F515^0.85)/(1-H515)*H515)*(MAX('Min rate concentrations'!$P$3:$P$368)))/F515&gt;0, (((0.326*F515^0.818)-(0.398*F515^0.85)/(1-H515)*H515)*(MAX('Min rate concentrations'!$P$3:$P$368)))/F515, 0)</f>
        <v>0</v>
      </c>
      <c r="N515" s="60">
        <f>IF((((0.326*F515^0.818)-(0.398*F515^0.85)/(1-H515)*H515)*(MAX('Min rate concentrations'!$Q$3:$Q$368)))/F515&gt; 0, (((0.326*F515^0.818)-(0.398*F515^0.85)/(1-H515)*H515)*(MAX('Min rate concentrations'!$Q$3:$Q$368)))/F515, 0)</f>
        <v>0</v>
      </c>
      <c r="O515" s="60">
        <f>((MAX('Min rate concentrations'!$F$3:$F$368))*0.62*6.01*8*(12.3*F515^0.65)*0.079*0.1/F515)*inputs!$E$73/inputs!$E$74</f>
        <v>3.5745815872932107</v>
      </c>
      <c r="P515" s="60">
        <f>((MAX('Min rate concentrations'!Y:Y))*0.62*6.01*8*(12.3*F515^0.65)*0.079*0.1/F515)*inputs!$E$73/inputs!$E$74</f>
        <v>1.1915271957644034</v>
      </c>
      <c r="Q515" s="60">
        <f>(inputs!$C$7*11.2*(12.3*F515^0.65)*0.5/F515)*inputs!$E$73/inputs!$E$74</f>
        <v>0.62964568680851429</v>
      </c>
      <c r="R515" s="60">
        <f>(60*379*((F515/1000)^0.8)*3*24*(MAX('Min rate concentrations'!$R$3:$R$368))/F515)*(inputs!$E$73/inputs!$E$75)</f>
        <v>1.7200926921716615E-3</v>
      </c>
      <c r="S515" s="60">
        <f>(IF(inputs!$C$6="aerial",((0.025*0.112*inputs!$C$7/3.3)*(3*60*379*((F515/1000)^0.8))*MAX(inputs!$H$14:$H$16))/F515,((0.0083*0.112*inputs!$C$7/1)*(3*60*379*((F515/1000)^0.8))*MAX(inputs!$H$14:$H$16))/F515))*(inputs!E$75/inputs!$E$73)</f>
        <v>9.4864168769134231E-3</v>
      </c>
      <c r="T515" s="63">
        <f>IF((((inputs!$P$12/(V515/MAX(K515:S515)))^(1/inputs!$O$12))-1)/inputs!$N$12&lt;0, 0, IF((((inputs!$P$12/(V515/MAX(K515:S515)))^(1/inputs!$O$12))-1)/inputs!$N$12&gt;inputs!$H$17, inputs!$H$17, (((inputs!$P$12/(V515/MAX(K515:S515)))^(1/inputs!$O$12))-1)/inputs!$N$12))</f>
        <v>29.256054502061744</v>
      </c>
      <c r="U515" s="63">
        <f>IF((((inputs!$P$12/(X515/MAX(K515:S515)))^(1/inputs!$O$12))-1)/inputs!$N$12&lt;0, 0, IF((((inputs!$P$12/(X515/MAX(K515:S515)))^(1/inputs!$O$12))-1)/inputs!$N$12&gt;inputs!$H$17, inputs!$H$17, (((inputs!$P$12/(X515/MAX(K515:S515)))^(1/inputs!$O$12))-1)/inputs!$N$12))</f>
        <v>0</v>
      </c>
      <c r="V515" s="54">
        <f>inputs!$E$70*(inputs!$F$70/F515)^(0.25)</f>
        <v>0.82281546744781953</v>
      </c>
      <c r="W515" s="54">
        <f>inputs!$E$76*(inputs!$F$76/F515)^(0.25)</f>
        <v>0.24748737341529164</v>
      </c>
      <c r="X515" s="54">
        <f>inputs!$E$72*(inputs!$F$72/F515)^(0.25)</f>
        <v>36.300682387403803</v>
      </c>
      <c r="Y515" s="54" t="s">
        <v>13</v>
      </c>
      <c r="Z515" s="106">
        <f t="shared" si="60"/>
        <v>11.925889717516254</v>
      </c>
      <c r="AA515" s="106">
        <f t="shared" si="61"/>
        <v>39.649725912210805</v>
      </c>
    </row>
    <row r="516" spans="1:27" x14ac:dyDescent="0.25">
      <c r="A516" s="55" t="s">
        <v>594</v>
      </c>
      <c r="B516" s="49" t="s">
        <v>595</v>
      </c>
      <c r="C516" s="21" t="s">
        <v>61</v>
      </c>
      <c r="D516" s="20" t="s">
        <v>454</v>
      </c>
      <c r="E516" s="20">
        <v>1237</v>
      </c>
      <c r="F516" s="21">
        <v>1400</v>
      </c>
      <c r="G516" s="21" t="s">
        <v>164</v>
      </c>
      <c r="H516" s="21">
        <v>0.78</v>
      </c>
      <c r="I516" s="48">
        <f>inputs!$C$65*(inputs!$C$62/1000)</f>
        <v>0.82000000000000006</v>
      </c>
      <c r="J516" s="48">
        <f>inputs!$C$65*(inputs!$C$61/1000)</f>
        <v>0.25</v>
      </c>
      <c r="K516" s="60">
        <f t="shared" si="66"/>
        <v>0.24123940213321549</v>
      </c>
      <c r="L516" s="60">
        <f t="shared" si="67"/>
        <v>7.3548598211346169E-2</v>
      </c>
      <c r="M516" s="60">
        <f>IF((((0.326*F516^0.818)-(0.398*F516^0.85)/(1-H516)*H516)*(MAX('Min rate concentrations'!$P$3:$P$368)))/F516&gt;0, (((0.326*F516^0.818)-(0.398*F516^0.85)/(1-H516)*H516)*(MAX('Min rate concentrations'!$P$3:$P$368)))/F516, 0)</f>
        <v>0</v>
      </c>
      <c r="N516" s="60">
        <f>IF((((0.326*F516^0.818)-(0.398*F516^0.85)/(1-H516)*H516)*(MAX('Min rate concentrations'!$Q$3:$Q$368)))/F516&gt; 0, (((0.326*F516^0.818)-(0.398*F516^0.85)/(1-H516)*H516)*(MAX('Min rate concentrations'!$Q$3:$Q$368)))/F516, 0)</f>
        <v>0</v>
      </c>
      <c r="O516" s="60">
        <f>((MAX('Min rate concentrations'!$F$3:$F$368))*0.62*6.01*8*(12.3*F516^0.65)*0.079*0.1/F516)*inputs!$E$73/inputs!$E$74</f>
        <v>3.5745815872932107</v>
      </c>
      <c r="P516" s="60">
        <f>((MAX('Min rate concentrations'!Y:Y))*0.62*6.01*8*(12.3*F516^0.65)*0.079*0.1/F516)*inputs!$E$73/inputs!$E$74</f>
        <v>1.1915271957644034</v>
      </c>
      <c r="Q516" s="60">
        <f>(inputs!$C$7*11.2*(12.3*F516^0.65)*0.5/F516)*inputs!$E$73/inputs!$E$74</f>
        <v>0.62964568680851429</v>
      </c>
      <c r="R516" s="60">
        <f>(60*379*((F516/1000)^0.8)*3*24*(MAX('Min rate concentrations'!$R$3:$R$368))/F516)*(inputs!$E$73/inputs!$E$75)</f>
        <v>1.7200926921716615E-3</v>
      </c>
      <c r="S516" s="60">
        <f>(IF(inputs!$C$6="aerial",((0.025*0.112*inputs!$C$7/3.3)*(3*60*379*((F516/1000)^0.8))*MAX(inputs!$H$14:$H$16))/F516,((0.0083*0.112*inputs!$C$7/1)*(3*60*379*((F516/1000)^0.8))*MAX(inputs!$H$14:$H$16))/F516))*(inputs!E$75/inputs!$E$73)</f>
        <v>9.4864168769134231E-3</v>
      </c>
      <c r="T516" s="63">
        <f>IF((((inputs!$P$12/(V516/MAX(K516:S516)))^(1/inputs!$O$12))-1)/inputs!$N$12&lt;0, 0, IF((((inputs!$P$12/(V516/MAX(K516:S516)))^(1/inputs!$O$12))-1)/inputs!$N$12&gt;inputs!$H$17, inputs!$H$17, (((inputs!$P$12/(V516/MAX(K516:S516)))^(1/inputs!$O$12))-1)/inputs!$N$12))</f>
        <v>9.8049058450499356</v>
      </c>
      <c r="U516" s="63">
        <f>IF((((inputs!$P$12/(X516/MAX(K516:S516)))^(1/inputs!$O$12))-1)/inputs!$N$12&lt;0, 0, IF((((inputs!$P$12/(X516/MAX(K516:S516)))^(1/inputs!$O$12))-1)/inputs!$N$12&gt;inputs!$H$17, inputs!$H$17, (((inputs!$P$12/(X516/MAX(K516:S516)))^(1/inputs!$O$12))-1)/inputs!$N$12))</f>
        <v>0</v>
      </c>
      <c r="V516" s="54">
        <f>inputs!$E$70*(inputs!$F$70/F516)^(0.25)</f>
        <v>0.82281546744781953</v>
      </c>
      <c r="W516" s="54">
        <f>inputs!$E$76*(inputs!$F$76/F516)^(0.25)</f>
        <v>0.24748737341529164</v>
      </c>
      <c r="X516" s="54">
        <f>inputs!$E$72*(inputs!$F$72/F516)^(0.25)</f>
        <v>36.300682387403803</v>
      </c>
      <c r="Y516" s="54" t="s">
        <v>13</v>
      </c>
      <c r="Z516" s="106">
        <f t="shared" ref="Z516:Z579" si="68">MAX(K516:S516)/V516</f>
        <v>4.3443295960158892</v>
      </c>
      <c r="AA516" s="106">
        <f t="shared" ref="AA516:AA579" si="69">MAX(K516:S516)/W516</f>
        <v>14.443490744454868</v>
      </c>
    </row>
    <row r="517" spans="1:27" x14ac:dyDescent="0.25">
      <c r="A517" s="55" t="s">
        <v>594</v>
      </c>
      <c r="B517" s="49" t="s">
        <v>595</v>
      </c>
      <c r="C517" s="21" t="s">
        <v>61</v>
      </c>
      <c r="D517" s="20" t="s">
        <v>454</v>
      </c>
      <c r="E517" s="20">
        <v>1237</v>
      </c>
      <c r="F517" s="21">
        <v>1400</v>
      </c>
      <c r="G517" s="21" t="s">
        <v>138</v>
      </c>
      <c r="H517" s="21">
        <v>0.68</v>
      </c>
      <c r="I517" s="48">
        <f>MAX('Min rate concentrations'!$L$3:$L$368)</f>
        <v>58.421240152220811</v>
      </c>
      <c r="J517" s="48">
        <f>MAX('Min rate concentrations'!AD:AD)</f>
        <v>40.397666062705881</v>
      </c>
      <c r="K517" s="60">
        <f t="shared" si="66"/>
        <v>11.816200877151696</v>
      </c>
      <c r="L517" s="60">
        <f t="shared" si="67"/>
        <v>8.1707772022857483</v>
      </c>
      <c r="M517" s="60">
        <f>IF((((0.326*F517^0.818)-(0.398*F517^0.85)/(1-H517)*H517)*(MAX('Min rate concentrations'!$P$3:$P$368)))/F517&gt;0, (((0.326*F517^0.818)-(0.398*F517^0.85)/(1-H517)*H517)*(MAX('Min rate concentrations'!$P$3:$P$368)))/F517, 0)</f>
        <v>0</v>
      </c>
      <c r="N517" s="60">
        <f>IF((((0.326*F517^0.818)-(0.398*F517^0.85)/(1-H517)*H517)*(MAX('Min rate concentrations'!$Q$3:$Q$368)))/F517&gt; 0, (((0.326*F517^0.818)-(0.398*F517^0.85)/(1-H517)*H517)*(MAX('Min rate concentrations'!$Q$3:$Q$368)))/F517, 0)</f>
        <v>0</v>
      </c>
      <c r="O517" s="60">
        <f>((MAX('Min rate concentrations'!$F$3:$F$368))*0.62*6.01*8*(12.3*F517^0.65)*0.079*0.1/F517)*inputs!$E$73/inputs!$E$74</f>
        <v>3.5745815872932107</v>
      </c>
      <c r="P517" s="60">
        <f>((MAX('Min rate concentrations'!Y:Y))*0.62*6.01*8*(12.3*F517^0.65)*0.079*0.1/F517)*inputs!$E$73/inputs!$E$74</f>
        <v>1.1915271957644034</v>
      </c>
      <c r="Q517" s="60">
        <f>(inputs!$C$7*11.2*(12.3*F517^0.65)*0.5/F517)*inputs!$E$73/inputs!$E$74</f>
        <v>0.62964568680851429</v>
      </c>
      <c r="R517" s="60">
        <f>(60*379*((F517/1000)^0.8)*3*24*(MAX('Min rate concentrations'!$R$3:$R$368))/F517)*(inputs!$E$73/inputs!$E$75)</f>
        <v>1.7200926921716615E-3</v>
      </c>
      <c r="S517" s="60">
        <f>(IF(inputs!$C$6="aerial",((0.025*0.112*inputs!$C$7/3.3)*(3*60*379*((F517/1000)^0.8))*MAX(inputs!$H$14:$H$16))/F517,((0.0083*0.112*inputs!$C$7/1)*(3*60*379*((F517/1000)^0.8))*MAX(inputs!$H$14:$H$16))/F517))*(inputs!E$75/inputs!$E$73)</f>
        <v>9.4864168769134231E-3</v>
      </c>
      <c r="T517" s="63">
        <f>IF((((inputs!$P$12/(V517/MAX(K517:S517)))^(1/inputs!$O$12))-1)/inputs!$N$12&lt;0, 0, IF((((inputs!$P$12/(V517/MAX(K517:S517)))^(1/inputs!$O$12))-1)/inputs!$N$12&gt;inputs!$H$17, inputs!$H$17, (((inputs!$P$12/(V517/MAX(K517:S517)))^(1/inputs!$O$12))-1)/inputs!$N$12))</f>
        <v>33.788714312011919</v>
      </c>
      <c r="U517" s="63">
        <f>IF((((inputs!$P$12/(X517/MAX(K517:S517)))^(1/inputs!$O$12))-1)/inputs!$N$12&lt;0, 0, IF((((inputs!$P$12/(X517/MAX(K517:S517)))^(1/inputs!$O$12))-1)/inputs!$N$12&gt;inputs!$H$17, inputs!$H$17, (((inputs!$P$12/(X517/MAX(K517:S517)))^(1/inputs!$O$12))-1)/inputs!$N$12))</f>
        <v>0</v>
      </c>
      <c r="V517" s="54">
        <f>inputs!$E$70*(inputs!$F$70/F517)^(0.25)</f>
        <v>0.82281546744781953</v>
      </c>
      <c r="W517" s="54">
        <f>inputs!$E$76*(inputs!$F$76/F517)^(0.25)</f>
        <v>0.24748737341529164</v>
      </c>
      <c r="X517" s="54">
        <f>inputs!$E$72*(inputs!$F$72/F517)^(0.25)</f>
        <v>36.300682387403803</v>
      </c>
      <c r="Y517" s="54" t="s">
        <v>13</v>
      </c>
      <c r="Z517" s="106">
        <f t="shared" si="68"/>
        <v>14.360693672668523</v>
      </c>
      <c r="AA517" s="106">
        <f t="shared" si="69"/>
        <v>47.744661531979396</v>
      </c>
    </row>
    <row r="518" spans="1:27" x14ac:dyDescent="0.25">
      <c r="A518" s="55" t="s">
        <v>594</v>
      </c>
      <c r="B518" s="49" t="s">
        <v>595</v>
      </c>
      <c r="C518" s="21" t="s">
        <v>61</v>
      </c>
      <c r="D518" s="20" t="s">
        <v>454</v>
      </c>
      <c r="E518" s="20">
        <v>1237</v>
      </c>
      <c r="F518" s="21">
        <v>1400</v>
      </c>
      <c r="G518" s="21" t="s">
        <v>152</v>
      </c>
      <c r="H518" s="21">
        <v>0.77</v>
      </c>
      <c r="I518" s="48">
        <f>MAX('Min rate concentrations'!$G$3:$G$368)</f>
        <v>7.5</v>
      </c>
      <c r="J518" s="48">
        <f>MAX('Min rate concentrations'!Z:Z)</f>
        <v>3.5</v>
      </c>
      <c r="K518" s="60">
        <f t="shared" si="66"/>
        <v>2.1105249921516727</v>
      </c>
      <c r="L518" s="60">
        <f t="shared" si="67"/>
        <v>0.98491166300411404</v>
      </c>
      <c r="M518" s="60">
        <f>IF((((0.326*F518^0.818)-(0.398*F518^0.85)/(1-H518)*H518)*(MAX('Min rate concentrations'!$P$3:$P$368)))/F518&gt;0, (((0.326*F518^0.818)-(0.398*F518^0.85)/(1-H518)*H518)*(MAX('Min rate concentrations'!$P$3:$P$368)))/F518, 0)</f>
        <v>0</v>
      </c>
      <c r="N518" s="60">
        <f>IF((((0.326*F518^0.818)-(0.398*F518^0.85)/(1-H518)*H518)*(MAX('Min rate concentrations'!$Q$3:$Q$368)))/F518&gt; 0, (((0.326*F518^0.818)-(0.398*F518^0.85)/(1-H518)*H518)*(MAX('Min rate concentrations'!$Q$3:$Q$368)))/F518, 0)</f>
        <v>0</v>
      </c>
      <c r="O518" s="60">
        <f>((MAX('Min rate concentrations'!$F$3:$F$368))*0.62*6.01*8*(12.3*F518^0.65)*0.079*0.1/F518)*inputs!$E$73/inputs!$E$74</f>
        <v>3.5745815872932107</v>
      </c>
      <c r="P518" s="60">
        <f>((MAX('Min rate concentrations'!Y:Y))*0.62*6.01*8*(12.3*F518^0.65)*0.079*0.1/F518)*inputs!$E$73/inputs!$E$74</f>
        <v>1.1915271957644034</v>
      </c>
      <c r="Q518" s="60">
        <f>(inputs!$C$7*11.2*(12.3*F518^0.65)*0.5/F518)*inputs!$E$73/inputs!$E$74</f>
        <v>0.62964568680851429</v>
      </c>
      <c r="R518" s="60">
        <f>(60*379*((F518/1000)^0.8)*3*24*(MAX('Min rate concentrations'!$R$3:$R$368))/F518)*(inputs!$E$73/inputs!$E$75)</f>
        <v>1.7200926921716615E-3</v>
      </c>
      <c r="S518" s="60">
        <f>(IF(inputs!$C$6="aerial",((0.025*0.112*inputs!$C$7/3.3)*(3*60*379*((F518/1000)^0.8))*MAX(inputs!$H$14:$H$16))/F518,((0.0083*0.112*inputs!$C$7/1)*(3*60*379*((F518/1000)^0.8))*MAX(inputs!$H$14:$H$16))/F518))*(inputs!E$75/inputs!$E$73)</f>
        <v>9.4864168769134231E-3</v>
      </c>
      <c r="T518" s="63">
        <f>IF((((inputs!$P$12/(V518/MAX(K518:S518)))^(1/inputs!$O$12))-1)/inputs!$N$12&lt;0, 0, IF((((inputs!$P$12/(V518/MAX(K518:S518)))^(1/inputs!$O$12))-1)/inputs!$N$12&gt;inputs!$H$17, inputs!$H$17, (((inputs!$P$12/(V518/MAX(K518:S518)))^(1/inputs!$O$12))-1)/inputs!$N$12))</f>
        <v>9.8049058450499356</v>
      </c>
      <c r="U518" s="63">
        <f>IF((((inputs!$P$12/(X518/MAX(K518:S518)))^(1/inputs!$O$12))-1)/inputs!$N$12&lt;0, 0, IF((((inputs!$P$12/(X518/MAX(K518:S518)))^(1/inputs!$O$12))-1)/inputs!$N$12&gt;inputs!$H$17, inputs!$H$17, (((inputs!$P$12/(X518/MAX(K518:S518)))^(1/inputs!$O$12))-1)/inputs!$N$12))</f>
        <v>0</v>
      </c>
      <c r="V518" s="54">
        <f>inputs!$E$70*(inputs!$F$70/F518)^(0.25)</f>
        <v>0.82281546744781953</v>
      </c>
      <c r="W518" s="54">
        <f>inputs!$E$76*(inputs!$F$76/F518)^(0.25)</f>
        <v>0.24748737341529164</v>
      </c>
      <c r="X518" s="54">
        <f>inputs!$E$72*(inputs!$F$72/F518)^(0.25)</f>
        <v>36.300682387403803</v>
      </c>
      <c r="Y518" s="54" t="s">
        <v>13</v>
      </c>
      <c r="Z518" s="106">
        <f t="shared" si="68"/>
        <v>4.3443295960158892</v>
      </c>
      <c r="AA518" s="106">
        <f t="shared" si="69"/>
        <v>14.443490744454868</v>
      </c>
    </row>
    <row r="519" spans="1:27" x14ac:dyDescent="0.25">
      <c r="A519" s="55" t="s">
        <v>594</v>
      </c>
      <c r="B519" s="49" t="s">
        <v>595</v>
      </c>
      <c r="C519" s="21" t="s">
        <v>61</v>
      </c>
      <c r="D519" s="20" t="s">
        <v>454</v>
      </c>
      <c r="E519" s="20">
        <v>1237</v>
      </c>
      <c r="F519" s="21">
        <v>1400</v>
      </c>
      <c r="G519" s="21" t="s">
        <v>169</v>
      </c>
      <c r="H519" s="21">
        <v>0.79</v>
      </c>
      <c r="I519" s="48">
        <f>MAX('Min rate concentrations'!$D$3:$D$368)</f>
        <v>120</v>
      </c>
      <c r="J519" s="48">
        <f>MAX('Min rate concentrations'!W:W)</f>
        <v>42.5</v>
      </c>
      <c r="K519" s="60">
        <f t="shared" si="66"/>
        <v>36.984437957705509</v>
      </c>
      <c r="L519" s="60">
        <f t="shared" si="67"/>
        <v>13.098655110020699</v>
      </c>
      <c r="M519" s="60">
        <f>IF((((0.326*F519^0.818)-(0.398*F519^0.85)/(1-H519)*H519)*(MAX('Min rate concentrations'!$P$3:$P$368)))/F519&gt;0, (((0.326*F519^0.818)-(0.398*F519^0.85)/(1-H519)*H519)*(MAX('Min rate concentrations'!$P$3:$P$368)))/F519, 0)</f>
        <v>0</v>
      </c>
      <c r="N519" s="60">
        <f>IF((((0.326*F519^0.818)-(0.398*F519^0.85)/(1-H519)*H519)*(MAX('Min rate concentrations'!$Q$3:$Q$368)))/F519&gt; 0, (((0.326*F519^0.818)-(0.398*F519^0.85)/(1-H519)*H519)*(MAX('Min rate concentrations'!$Q$3:$Q$368)))/F519, 0)</f>
        <v>0</v>
      </c>
      <c r="O519" s="60">
        <f>((MAX('Min rate concentrations'!$F$3:$F$368))*0.62*6.01*8*(12.3*F519^0.65)*0.079*0.1/F519)*inputs!$E$73/inputs!$E$74</f>
        <v>3.5745815872932107</v>
      </c>
      <c r="P519" s="60">
        <f>((MAX('Min rate concentrations'!Y:Y))*0.62*6.01*8*(12.3*F519^0.65)*0.079*0.1/F519)*inputs!$E$73/inputs!$E$74</f>
        <v>1.1915271957644034</v>
      </c>
      <c r="Q519" s="60">
        <f>(inputs!$C$7*11.2*(12.3*F519^0.65)*0.5/F519)*inputs!$E$73/inputs!$E$74</f>
        <v>0.62964568680851429</v>
      </c>
      <c r="R519" s="60">
        <f>(60*379*((F519/1000)^0.8)*3*24*(MAX('Min rate concentrations'!$R$3:$R$368))/F519)*(inputs!$E$73/inputs!$E$75)</f>
        <v>1.7200926921716615E-3</v>
      </c>
      <c r="S519" s="60">
        <f>(IF(inputs!$C$6="aerial",((0.025*0.112*inputs!$C$7/3.3)*(3*60*379*((F519/1000)^0.8))*MAX(inputs!$H$14:$H$16))/F519,((0.0083*0.112*inputs!$C$7/1)*(3*60*379*((F519/1000)^0.8))*MAX(inputs!$H$14:$H$16))/F519))*(inputs!E$75/inputs!$E$73)</f>
        <v>9.4864168769134231E-3</v>
      </c>
      <c r="T519" s="63">
        <f>IF((((inputs!$P$12/(V519/MAX(K519:S519)))^(1/inputs!$O$12))-1)/inputs!$N$12&lt;0, 0, IF((((inputs!$P$12/(V519/MAX(K519:S519)))^(1/inputs!$O$12))-1)/inputs!$N$12&gt;inputs!$H$17, inputs!$H$17, (((inputs!$P$12/(V519/MAX(K519:S519)))^(1/inputs!$O$12))-1)/inputs!$N$12))</f>
        <v>70.56899392147227</v>
      </c>
      <c r="U519" s="63">
        <f>IF((((inputs!$P$12/(X519/MAX(K519:S519)))^(1/inputs!$O$12))-1)/inputs!$N$12&lt;0, 0, IF((((inputs!$P$12/(X519/MAX(K519:S519)))^(1/inputs!$O$12))-1)/inputs!$N$12&gt;inputs!$H$17, inputs!$H$17, (((inputs!$P$12/(X519/MAX(K519:S519)))^(1/inputs!$O$12))-1)/inputs!$N$12))</f>
        <v>0</v>
      </c>
      <c r="V519" s="54">
        <f>inputs!$E$70*(inputs!$F$70/F519)^(0.25)</f>
        <v>0.82281546744781953</v>
      </c>
      <c r="W519" s="54">
        <f>inputs!$E$76*(inputs!$F$76/F519)^(0.25)</f>
        <v>0.24748737341529164</v>
      </c>
      <c r="X519" s="54">
        <f>inputs!$E$72*(inputs!$F$72/F519)^(0.25)</f>
        <v>36.300682387403803</v>
      </c>
      <c r="Y519" s="54" t="s">
        <v>13</v>
      </c>
      <c r="Z519" s="106">
        <f t="shared" si="68"/>
        <v>44.948642096413863</v>
      </c>
      <c r="AA519" s="106">
        <f t="shared" si="69"/>
        <v>149.43969644723836</v>
      </c>
    </row>
    <row r="520" spans="1:27" x14ac:dyDescent="0.25">
      <c r="A520" s="55" t="s">
        <v>594</v>
      </c>
      <c r="B520" s="49" t="s">
        <v>595</v>
      </c>
      <c r="C520" s="21" t="s">
        <v>61</v>
      </c>
      <c r="D520" s="20" t="s">
        <v>454</v>
      </c>
      <c r="E520" s="20">
        <v>1237</v>
      </c>
      <c r="F520" s="21">
        <v>1400</v>
      </c>
      <c r="G520" s="21" t="s">
        <v>456</v>
      </c>
      <c r="H520" s="21">
        <v>0.68</v>
      </c>
      <c r="I520" s="48">
        <f>MAX('Min rate concentrations'!$J$3:$J$368)</f>
        <v>114.4108103430513</v>
      </c>
      <c r="J520" s="48">
        <f>MAX('Min rate concentrations'!AB:AB)</f>
        <v>40.520495329830666</v>
      </c>
      <c r="K520" s="60">
        <f t="shared" si="66"/>
        <v>23.140575482627927</v>
      </c>
      <c r="L520" s="60">
        <f t="shared" si="67"/>
        <v>8.1956204834307229</v>
      </c>
      <c r="M520" s="60">
        <f>IF((((0.326*F520^0.818)-(0.398*F520^0.85)/(1-H520)*H520)*(MAX('Min rate concentrations'!$P$3:$P$368)))/F520&gt;0, (((0.326*F520^0.818)-(0.398*F520^0.85)/(1-H520)*H520)*(MAX('Min rate concentrations'!$P$3:$P$368)))/F520, 0)</f>
        <v>0</v>
      </c>
      <c r="N520" s="60">
        <f>IF((((0.326*F520^0.818)-(0.398*F520^0.85)/(1-H520)*H520)*(MAX('Min rate concentrations'!$Q$3:$Q$368)))/F520&gt; 0, (((0.326*F520^0.818)-(0.398*F520^0.85)/(1-H520)*H520)*(MAX('Min rate concentrations'!$Q$3:$Q$368)))/F520, 0)</f>
        <v>0</v>
      </c>
      <c r="O520" s="60">
        <f>((MAX('Min rate concentrations'!$F$3:$F$368))*0.62*6.01*8*(12.3*F520^0.65)*0.079*0.1/F520)*inputs!$E$73/inputs!$E$74</f>
        <v>3.5745815872932107</v>
      </c>
      <c r="P520" s="60">
        <f>((MAX('Min rate concentrations'!Y:Y))*0.62*6.01*8*(12.3*F520^0.65)*0.079*0.1/F520)*inputs!$E$73/inputs!$E$74</f>
        <v>1.1915271957644034</v>
      </c>
      <c r="Q520" s="60">
        <f>(inputs!$C$7*11.2*(12.3*F520^0.65)*0.5/F520)*inputs!$E$73/inputs!$E$74</f>
        <v>0.62964568680851429</v>
      </c>
      <c r="R520" s="60">
        <f>(60*379*((F520/1000)^0.8)*3*24*(MAX('Min rate concentrations'!$R$3:$R$368))/F520)*(inputs!$E$73/inputs!$E$75)</f>
        <v>1.7200926921716615E-3</v>
      </c>
      <c r="S520" s="60">
        <f>(IF(inputs!$C$6="aerial",((0.025*0.112*inputs!$C$7/3.3)*(3*60*379*((F520/1000)^0.8))*MAX(inputs!$H$14:$H$16))/F520,((0.0083*0.112*inputs!$C$7/1)*(3*60*379*((F520/1000)^0.8))*MAX(inputs!$H$14:$H$16))/F520))*(inputs!E$75/inputs!$E$73)</f>
        <v>9.4864168769134231E-3</v>
      </c>
      <c r="T520" s="63">
        <f>IF((((inputs!$P$12/(V520/MAX(K520:S520)))^(1/inputs!$O$12))-1)/inputs!$N$12&lt;0, 0, IF((((inputs!$P$12/(V520/MAX(K520:S520)))^(1/inputs!$O$12))-1)/inputs!$N$12&gt;inputs!$H$17, inputs!$H$17, (((inputs!$P$12/(V520/MAX(K520:S520)))^(1/inputs!$O$12))-1)/inputs!$N$12))</f>
        <v>53.368594028202402</v>
      </c>
      <c r="U520" s="63">
        <f>IF((((inputs!$P$12/(X520/MAX(K520:S520)))^(1/inputs!$O$12))-1)/inputs!$N$12&lt;0, 0, IF((((inputs!$P$12/(X520/MAX(K520:S520)))^(1/inputs!$O$12))-1)/inputs!$N$12&gt;inputs!$H$17, inputs!$H$17, (((inputs!$P$12/(X520/MAX(K520:S520)))^(1/inputs!$O$12))-1)/inputs!$N$12))</f>
        <v>0</v>
      </c>
      <c r="V520" s="54">
        <f>inputs!$E$70*(inputs!$F$70/F520)^(0.25)</f>
        <v>0.82281546744781953</v>
      </c>
      <c r="W520" s="54">
        <f>inputs!$E$76*(inputs!$F$76/F520)^(0.25)</f>
        <v>0.24748737341529164</v>
      </c>
      <c r="X520" s="54">
        <f>inputs!$E$72*(inputs!$F$72/F520)^(0.25)</f>
        <v>36.300682387403803</v>
      </c>
      <c r="Y520" s="54" t="s">
        <v>13</v>
      </c>
      <c r="Z520" s="106">
        <f t="shared" si="68"/>
        <v>28.123651533198036</v>
      </c>
      <c r="AA520" s="106">
        <f t="shared" si="69"/>
        <v>93.502044824716407</v>
      </c>
    </row>
    <row r="521" spans="1:27" x14ac:dyDescent="0.25">
      <c r="A521" s="55" t="s">
        <v>594</v>
      </c>
      <c r="B521" s="49" t="s">
        <v>595</v>
      </c>
      <c r="C521" s="21" t="s">
        <v>61</v>
      </c>
      <c r="D521" s="20" t="s">
        <v>454</v>
      </c>
      <c r="E521" s="20">
        <v>1237</v>
      </c>
      <c r="F521" s="21">
        <v>1400</v>
      </c>
      <c r="G521" s="21" t="s">
        <v>145</v>
      </c>
      <c r="H521" s="21">
        <v>0.66</v>
      </c>
      <c r="I521" s="48">
        <f>MAX('Min rate concentrations'!$M$3:$M$368)</f>
        <v>2.8488184789681945</v>
      </c>
      <c r="J521" s="48">
        <f>MAX('Min rate concentrations'!AE:AE)</f>
        <v>1.9699276716269429</v>
      </c>
      <c r="K521" s="60">
        <f t="shared" si="66"/>
        <v>0.54230415589496261</v>
      </c>
      <c r="L521" s="60">
        <f t="shared" si="67"/>
        <v>0.37499755460821876</v>
      </c>
      <c r="M521" s="60">
        <f>IF((((0.326*F521^0.818)-(0.398*F521^0.85)/(1-H521)*H521)*(MAX('Min rate concentrations'!$P$3:$P$368)))/F521&gt;0, (((0.326*F521^0.818)-(0.398*F521^0.85)/(1-H521)*H521)*(MAX('Min rate concentrations'!$P$3:$P$368)))/F521, 0)</f>
        <v>0</v>
      </c>
      <c r="N521" s="60">
        <f>IF((((0.326*F521^0.818)-(0.398*F521^0.85)/(1-H521)*H521)*(MAX('Min rate concentrations'!$Q$3:$Q$368)))/F521&gt; 0, (((0.326*F521^0.818)-(0.398*F521^0.85)/(1-H521)*H521)*(MAX('Min rate concentrations'!$Q$3:$Q$368)))/F521, 0)</f>
        <v>0</v>
      </c>
      <c r="O521" s="60">
        <f>((MAX('Min rate concentrations'!$F$3:$F$368))*0.62*6.01*8*(12.3*F521^0.65)*0.079*0.1/F521)*inputs!$E$73/inputs!$E$74</f>
        <v>3.5745815872932107</v>
      </c>
      <c r="P521" s="60">
        <f>((MAX('Min rate concentrations'!Y:Y))*0.62*6.01*8*(12.3*F521^0.65)*0.079*0.1/F521)*inputs!$E$73/inputs!$E$74</f>
        <v>1.1915271957644034</v>
      </c>
      <c r="Q521" s="60">
        <f>(inputs!$C$7*11.2*(12.3*F521^0.65)*0.5/F521)*inputs!$E$73/inputs!$E$74</f>
        <v>0.62964568680851429</v>
      </c>
      <c r="R521" s="60">
        <f>(60*379*((F521/1000)^0.8)*3*24*(MAX('Min rate concentrations'!$R$3:$R$368))/F521)*(inputs!$E$73/inputs!$E$75)</f>
        <v>1.7200926921716615E-3</v>
      </c>
      <c r="S521" s="60">
        <f>(IF(inputs!$C$6="aerial",((0.025*0.112*inputs!$C$7/3.3)*(3*60*379*((F521/1000)^0.8))*MAX(inputs!$H$14:$H$16))/F521,((0.0083*0.112*inputs!$C$7/1)*(3*60*379*((F521/1000)^0.8))*MAX(inputs!$H$14:$H$16))/F521))*(inputs!E$75/inputs!$E$73)</f>
        <v>9.4864168769134231E-3</v>
      </c>
      <c r="T521" s="63">
        <f>IF((((inputs!$P$12/(V521/MAX(K521:S521)))^(1/inputs!$O$12))-1)/inputs!$N$12&lt;0, 0, IF((((inputs!$P$12/(V521/MAX(K521:S521)))^(1/inputs!$O$12))-1)/inputs!$N$12&gt;inputs!$H$17, inputs!$H$17, (((inputs!$P$12/(V521/MAX(K521:S521)))^(1/inputs!$O$12))-1)/inputs!$N$12))</f>
        <v>9.8049058450499356</v>
      </c>
      <c r="U521" s="63">
        <f>IF((((inputs!$P$12/(X521/MAX(K521:S521)))^(1/inputs!$O$12))-1)/inputs!$N$12&lt;0, 0, IF((((inputs!$P$12/(X521/MAX(K521:S521)))^(1/inputs!$O$12))-1)/inputs!$N$12&gt;inputs!$H$17, inputs!$H$17, (((inputs!$P$12/(X521/MAX(K521:S521)))^(1/inputs!$O$12))-1)/inputs!$N$12))</f>
        <v>0</v>
      </c>
      <c r="V521" s="54">
        <f>inputs!$E$70*(inputs!$F$70/F521)^(0.25)</f>
        <v>0.82281546744781953</v>
      </c>
      <c r="W521" s="54">
        <f>inputs!$E$76*(inputs!$F$76/F521)^(0.25)</f>
        <v>0.24748737341529164</v>
      </c>
      <c r="X521" s="54">
        <f>inputs!$E$72*(inputs!$F$72/F521)^(0.25)</f>
        <v>36.300682387403803</v>
      </c>
      <c r="Y521" s="54" t="s">
        <v>13</v>
      </c>
      <c r="Z521" s="106">
        <f t="shared" si="68"/>
        <v>4.3443295960158892</v>
      </c>
      <c r="AA521" s="106">
        <f t="shared" si="69"/>
        <v>14.443490744454868</v>
      </c>
    </row>
    <row r="522" spans="1:27" x14ac:dyDescent="0.25">
      <c r="A522" s="55" t="s">
        <v>598</v>
      </c>
      <c r="B522" s="49" t="s">
        <v>599</v>
      </c>
      <c r="C522" s="21" t="s">
        <v>61</v>
      </c>
      <c r="D522" s="20" t="s">
        <v>454</v>
      </c>
      <c r="E522" s="20">
        <v>1238</v>
      </c>
      <c r="F522" s="21">
        <v>1400</v>
      </c>
      <c r="G522" s="21" t="s">
        <v>182</v>
      </c>
      <c r="H522" s="21">
        <v>0.85</v>
      </c>
      <c r="I522" s="48">
        <f>MAX('Min rate concentrations'!$M$3:$M$368)</f>
        <v>2.8488184789681945</v>
      </c>
      <c r="J522" s="48">
        <f>MAX('Min rate concentrations'!AE:AE)</f>
        <v>1.9699276716269429</v>
      </c>
      <c r="K522" s="60">
        <f t="shared" si="66"/>
        <v>1.2292227533619149</v>
      </c>
      <c r="L522" s="60">
        <f t="shared" si="67"/>
        <v>0.84999445711196242</v>
      </c>
      <c r="M522" s="60">
        <f>IF((((0.326*F522^0.818)-(0.398*F522^0.85)/(1-H522)*H522)*(MAX('Min rate concentrations'!$P$3:$P$368)))/F522&gt;0, (((0.326*F522^0.818)-(0.398*F522^0.85)/(1-H522)*H522)*(MAX('Min rate concentrations'!$P$3:$P$368)))/F522, 0)</f>
        <v>0</v>
      </c>
      <c r="N522" s="60">
        <f>IF((((0.326*F522^0.818)-(0.398*F522^0.85)/(1-H522)*H522)*(MAX('Min rate concentrations'!$Q$3:$Q$368)))/F522&gt; 0, (((0.326*F522^0.818)-(0.398*F522^0.85)/(1-H522)*H522)*(MAX('Min rate concentrations'!$Q$3:$Q$368)))/F522, 0)</f>
        <v>0</v>
      </c>
      <c r="O522" s="60">
        <f>((MAX('Min rate concentrations'!$F$3:$F$368))*0.62*6.01*8*(12.3*F522^0.65)*0.079*0.1/F522)*inputs!$E$73/inputs!$E$74</f>
        <v>3.5745815872932107</v>
      </c>
      <c r="P522" s="60">
        <f>((MAX('Min rate concentrations'!Y:Y))*0.62*6.01*8*(12.3*F522^0.65)*0.079*0.1/F522)*inputs!$E$73/inputs!$E$74</f>
        <v>1.1915271957644034</v>
      </c>
      <c r="Q522" s="60">
        <f>(inputs!$C$7*11.2*(12.3*F522^0.65)*0.5/F522)*inputs!$E$73/inputs!$E$74</f>
        <v>0.62964568680851429</v>
      </c>
      <c r="R522" s="60">
        <f>(60*379*((F522/1000)^0.8)*3*24*(MAX('Min rate concentrations'!$R$3:$R$368))/F522)*(inputs!$E$73/inputs!$E$75)</f>
        <v>1.7200926921716615E-3</v>
      </c>
      <c r="S522" s="60">
        <f>(IF(inputs!$C$6="aerial",((0.025*0.112*inputs!$C$7/3.3)*(3*60*379*((F522/1000)^0.8))*MAX(inputs!$H$14:$H$16))/F522,((0.0083*0.112*inputs!$C$7/1)*(3*60*379*((F522/1000)^0.8))*MAX(inputs!$H$14:$H$16))/F522))*(inputs!E$75/inputs!$E$73)</f>
        <v>9.4864168769134231E-3</v>
      </c>
      <c r="T522" s="63">
        <f>IF((((inputs!$P$12/(V522/MAX(K522:S522)))^(1/inputs!$O$12))-1)/inputs!$N$12&lt;0, 0, IF((((inputs!$P$12/(V522/MAX(K522:S522)))^(1/inputs!$O$12))-1)/inputs!$N$12&gt;inputs!$H$17, inputs!$H$17, (((inputs!$P$12/(V522/MAX(K522:S522)))^(1/inputs!$O$12))-1)/inputs!$N$12))</f>
        <v>9.8049058450499356</v>
      </c>
      <c r="U522" s="63">
        <f>IF((((inputs!$P$12/(X522/MAX(K522:S522)))^(1/inputs!$O$12))-1)/inputs!$N$12&lt;0, 0, IF((((inputs!$P$12/(X522/MAX(K522:S522)))^(1/inputs!$O$12))-1)/inputs!$N$12&gt;inputs!$H$17, inputs!$H$17, (((inputs!$P$12/(X522/MAX(K522:S522)))^(1/inputs!$O$12))-1)/inputs!$N$12))</f>
        <v>0</v>
      </c>
      <c r="V522" s="54">
        <f>inputs!$E$70*(inputs!$F$70/F522)^(0.25)</f>
        <v>0.82281546744781953</v>
      </c>
      <c r="W522" s="54">
        <f>inputs!$E$76*(inputs!$F$76/F522)^(0.25)</f>
        <v>0.24748737341529164</v>
      </c>
      <c r="X522" s="54">
        <f>inputs!$E$72*(inputs!$F$72/F522)^(0.25)</f>
        <v>36.300682387403803</v>
      </c>
      <c r="Y522" s="54" t="s">
        <v>13</v>
      </c>
      <c r="Z522" s="106">
        <f t="shared" si="68"/>
        <v>4.3443295960158892</v>
      </c>
      <c r="AA522" s="106">
        <f t="shared" si="69"/>
        <v>14.443490744454868</v>
      </c>
    </row>
    <row r="523" spans="1:27" x14ac:dyDescent="0.25">
      <c r="A523" s="55" t="s">
        <v>598</v>
      </c>
      <c r="B523" s="49" t="s">
        <v>599</v>
      </c>
      <c r="C523" s="21" t="s">
        <v>61</v>
      </c>
      <c r="D523" s="20" t="s">
        <v>454</v>
      </c>
      <c r="E523" s="20">
        <v>1238</v>
      </c>
      <c r="F523" s="21">
        <v>1400</v>
      </c>
      <c r="G523" s="21" t="s">
        <v>142</v>
      </c>
      <c r="H523" s="21">
        <v>0.69</v>
      </c>
      <c r="I523" s="48">
        <f>MAX('Min rate concentrations'!$H$3:$H$368)</f>
        <v>47</v>
      </c>
      <c r="J523" s="48">
        <f>MAX('Min rate concentrations'!AA:AA)</f>
        <v>32.5</v>
      </c>
      <c r="K523" s="60">
        <f t="shared" si="66"/>
        <v>9.8128065226492804</v>
      </c>
      <c r="L523" s="60">
        <f t="shared" si="67"/>
        <v>6.7854513188532266</v>
      </c>
      <c r="M523" s="60">
        <f>IF((((0.326*F523^0.818)-(0.398*F523^0.85)/(1-H523)*H523)*(MAX('Min rate concentrations'!$P$3:$P$368)))/F523&gt;0, (((0.326*F523^0.818)-(0.398*F523^0.85)/(1-H523)*H523)*(MAX('Min rate concentrations'!$P$3:$P$368)))/F523, 0)</f>
        <v>0</v>
      </c>
      <c r="N523" s="60">
        <f>IF((((0.326*F523^0.818)-(0.398*F523^0.85)/(1-H523)*H523)*(MAX('Min rate concentrations'!$Q$3:$Q$368)))/F523&gt; 0, (((0.326*F523^0.818)-(0.398*F523^0.85)/(1-H523)*H523)*(MAX('Min rate concentrations'!$Q$3:$Q$368)))/F523, 0)</f>
        <v>0</v>
      </c>
      <c r="O523" s="60">
        <f>((MAX('Min rate concentrations'!$F$3:$F$368))*0.62*6.01*8*(12.3*F523^0.65)*0.079*0.1/F523)*inputs!$E$73/inputs!$E$74</f>
        <v>3.5745815872932107</v>
      </c>
      <c r="P523" s="60">
        <f>((MAX('Min rate concentrations'!Y:Y))*0.62*6.01*8*(12.3*F523^0.65)*0.079*0.1/F523)*inputs!$E$73/inputs!$E$74</f>
        <v>1.1915271957644034</v>
      </c>
      <c r="Q523" s="60">
        <f>(inputs!$C$7*11.2*(12.3*F523^0.65)*0.5/F523)*inputs!$E$73/inputs!$E$74</f>
        <v>0.62964568680851429</v>
      </c>
      <c r="R523" s="60">
        <f>(60*379*((F523/1000)^0.8)*3*24*(MAX('Min rate concentrations'!$R$3:$R$368))/F523)*(inputs!$E$73/inputs!$E$75)</f>
        <v>1.7200926921716615E-3</v>
      </c>
      <c r="S523" s="60">
        <f>(IF(inputs!$C$6="aerial",((0.025*0.112*inputs!$C$7/3.3)*(3*60*379*((F523/1000)^0.8))*MAX(inputs!$H$14:$H$16))/F523,((0.0083*0.112*inputs!$C$7/1)*(3*60*379*((F523/1000)^0.8))*MAX(inputs!$H$14:$H$16))/F523))*(inputs!E$75/inputs!$E$73)</f>
        <v>9.4864168769134231E-3</v>
      </c>
      <c r="T523" s="63">
        <f>IF((((inputs!$P$12/(V523/MAX(K523:S523)))^(1/inputs!$O$12))-1)/inputs!$N$12&lt;0, 0, IF((((inputs!$P$12/(V523/MAX(K523:S523)))^(1/inputs!$O$12))-1)/inputs!$N$12&gt;inputs!$H$17, inputs!$H$17, (((inputs!$P$12/(V523/MAX(K523:S523)))^(1/inputs!$O$12))-1)/inputs!$N$12))</f>
        <v>29.256054502061744</v>
      </c>
      <c r="U523" s="63">
        <f>IF((((inputs!$P$12/(X523/MAX(K523:S523)))^(1/inputs!$O$12))-1)/inputs!$N$12&lt;0, 0, IF((((inputs!$P$12/(X523/MAX(K523:S523)))^(1/inputs!$O$12))-1)/inputs!$N$12&gt;inputs!$H$17, inputs!$H$17, (((inputs!$P$12/(X523/MAX(K523:S523)))^(1/inputs!$O$12))-1)/inputs!$N$12))</f>
        <v>0</v>
      </c>
      <c r="V523" s="54">
        <f>inputs!$E$70*(inputs!$F$70/F523)^(0.25)</f>
        <v>0.82281546744781953</v>
      </c>
      <c r="W523" s="54">
        <f>inputs!$E$76*(inputs!$F$76/F523)^(0.25)</f>
        <v>0.24748737341529164</v>
      </c>
      <c r="X523" s="54">
        <f>inputs!$E$72*(inputs!$F$72/F523)^(0.25)</f>
        <v>36.300682387403803</v>
      </c>
      <c r="Y523" s="54" t="s">
        <v>13</v>
      </c>
      <c r="Z523" s="106">
        <f t="shared" si="68"/>
        <v>11.925889717516254</v>
      </c>
      <c r="AA523" s="106">
        <f t="shared" si="69"/>
        <v>39.649725912210805</v>
      </c>
    </row>
    <row r="524" spans="1:27" x14ac:dyDescent="0.25">
      <c r="A524" s="55" t="s">
        <v>598</v>
      </c>
      <c r="B524" s="49" t="s">
        <v>599</v>
      </c>
      <c r="C524" s="21" t="s">
        <v>61</v>
      </c>
      <c r="D524" s="20" t="s">
        <v>454</v>
      </c>
      <c r="E524" s="20">
        <v>1238</v>
      </c>
      <c r="F524" s="21">
        <v>1400</v>
      </c>
      <c r="G524" s="21" t="s">
        <v>164</v>
      </c>
      <c r="H524" s="21">
        <v>0.78</v>
      </c>
      <c r="I524" s="48">
        <f>inputs!$C$65*(inputs!$C$62/1000)</f>
        <v>0.82000000000000006</v>
      </c>
      <c r="J524" s="48">
        <f>inputs!$C$65*(inputs!$C$61/1000)</f>
        <v>0.25</v>
      </c>
      <c r="K524" s="60">
        <f t="shared" si="66"/>
        <v>0.24123940213321549</v>
      </c>
      <c r="L524" s="60">
        <f t="shared" si="67"/>
        <v>7.3548598211346169E-2</v>
      </c>
      <c r="M524" s="60">
        <f>IF((((0.326*F524^0.818)-(0.398*F524^0.85)/(1-H524)*H524)*(MAX('Min rate concentrations'!$P$3:$P$368)))/F524&gt;0, (((0.326*F524^0.818)-(0.398*F524^0.85)/(1-H524)*H524)*(MAX('Min rate concentrations'!$P$3:$P$368)))/F524, 0)</f>
        <v>0</v>
      </c>
      <c r="N524" s="60">
        <f>IF((((0.326*F524^0.818)-(0.398*F524^0.85)/(1-H524)*H524)*(MAX('Min rate concentrations'!$Q$3:$Q$368)))/F524&gt; 0, (((0.326*F524^0.818)-(0.398*F524^0.85)/(1-H524)*H524)*(MAX('Min rate concentrations'!$Q$3:$Q$368)))/F524, 0)</f>
        <v>0</v>
      </c>
      <c r="O524" s="60">
        <f>((MAX('Min rate concentrations'!$F$3:$F$368))*0.62*6.01*8*(12.3*F524^0.65)*0.079*0.1/F524)*inputs!$E$73/inputs!$E$74</f>
        <v>3.5745815872932107</v>
      </c>
      <c r="P524" s="60">
        <f>((MAX('Min rate concentrations'!Y:Y))*0.62*6.01*8*(12.3*F524^0.65)*0.079*0.1/F524)*inputs!$E$73/inputs!$E$74</f>
        <v>1.1915271957644034</v>
      </c>
      <c r="Q524" s="60">
        <f>(inputs!$C$7*11.2*(12.3*F524^0.65)*0.5/F524)*inputs!$E$73/inputs!$E$74</f>
        <v>0.62964568680851429</v>
      </c>
      <c r="R524" s="60">
        <f>(60*379*((F524/1000)^0.8)*3*24*(MAX('Min rate concentrations'!$R$3:$R$368))/F524)*(inputs!$E$73/inputs!$E$75)</f>
        <v>1.7200926921716615E-3</v>
      </c>
      <c r="S524" s="60">
        <f>(IF(inputs!$C$6="aerial",((0.025*0.112*inputs!$C$7/3.3)*(3*60*379*((F524/1000)^0.8))*MAX(inputs!$H$14:$H$16))/F524,((0.0083*0.112*inputs!$C$7/1)*(3*60*379*((F524/1000)^0.8))*MAX(inputs!$H$14:$H$16))/F524))*(inputs!E$75/inputs!$E$73)</f>
        <v>9.4864168769134231E-3</v>
      </c>
      <c r="T524" s="63">
        <f>IF((((inputs!$P$12/(V524/MAX(K524:S524)))^(1/inputs!$O$12))-1)/inputs!$N$12&lt;0, 0, IF((((inputs!$P$12/(V524/MAX(K524:S524)))^(1/inputs!$O$12))-1)/inputs!$N$12&gt;inputs!$H$17, inputs!$H$17, (((inputs!$P$12/(V524/MAX(K524:S524)))^(1/inputs!$O$12))-1)/inputs!$N$12))</f>
        <v>9.8049058450499356</v>
      </c>
      <c r="U524" s="63">
        <f>IF((((inputs!$P$12/(X524/MAX(K524:S524)))^(1/inputs!$O$12))-1)/inputs!$N$12&lt;0, 0, IF((((inputs!$P$12/(X524/MAX(K524:S524)))^(1/inputs!$O$12))-1)/inputs!$N$12&gt;inputs!$H$17, inputs!$H$17, (((inputs!$P$12/(X524/MAX(K524:S524)))^(1/inputs!$O$12))-1)/inputs!$N$12))</f>
        <v>0</v>
      </c>
      <c r="V524" s="54">
        <f>inputs!$E$70*(inputs!$F$70/F524)^(0.25)</f>
        <v>0.82281546744781953</v>
      </c>
      <c r="W524" s="54">
        <f>inputs!$E$76*(inputs!$F$76/F524)^(0.25)</f>
        <v>0.24748737341529164</v>
      </c>
      <c r="X524" s="54">
        <f>inputs!$E$72*(inputs!$F$72/F524)^(0.25)</f>
        <v>36.300682387403803</v>
      </c>
      <c r="Y524" s="54" t="s">
        <v>13</v>
      </c>
      <c r="Z524" s="106">
        <f t="shared" si="68"/>
        <v>4.3443295960158892</v>
      </c>
      <c r="AA524" s="106">
        <f t="shared" si="69"/>
        <v>14.443490744454868</v>
      </c>
    </row>
    <row r="525" spans="1:27" x14ac:dyDescent="0.25">
      <c r="A525" s="55" t="s">
        <v>598</v>
      </c>
      <c r="B525" s="49" t="s">
        <v>599</v>
      </c>
      <c r="C525" s="21" t="s">
        <v>61</v>
      </c>
      <c r="D525" s="20" t="s">
        <v>454</v>
      </c>
      <c r="E525" s="20">
        <v>1238</v>
      </c>
      <c r="F525" s="21">
        <v>1400</v>
      </c>
      <c r="G525" s="21" t="s">
        <v>138</v>
      </c>
      <c r="H525" s="21">
        <v>0.68</v>
      </c>
      <c r="I525" s="48">
        <f>MAX('Min rate concentrations'!$L$3:$L$368)</f>
        <v>58.421240152220811</v>
      </c>
      <c r="J525" s="48">
        <f>MAX('Min rate concentrations'!AD:AD)</f>
        <v>40.397666062705881</v>
      </c>
      <c r="K525" s="60">
        <f t="shared" si="66"/>
        <v>11.816200877151696</v>
      </c>
      <c r="L525" s="60">
        <f t="shared" si="67"/>
        <v>8.1707772022857483</v>
      </c>
      <c r="M525" s="60">
        <f>IF((((0.326*F525^0.818)-(0.398*F525^0.85)/(1-H525)*H525)*(MAX('Min rate concentrations'!$P$3:$P$368)))/F525&gt;0, (((0.326*F525^0.818)-(0.398*F525^0.85)/(1-H525)*H525)*(MAX('Min rate concentrations'!$P$3:$P$368)))/F525, 0)</f>
        <v>0</v>
      </c>
      <c r="N525" s="60">
        <f>IF((((0.326*F525^0.818)-(0.398*F525^0.85)/(1-H525)*H525)*(MAX('Min rate concentrations'!$Q$3:$Q$368)))/F525&gt; 0, (((0.326*F525^0.818)-(0.398*F525^0.85)/(1-H525)*H525)*(MAX('Min rate concentrations'!$Q$3:$Q$368)))/F525, 0)</f>
        <v>0</v>
      </c>
      <c r="O525" s="60">
        <f>((MAX('Min rate concentrations'!$F$3:$F$368))*0.62*6.01*8*(12.3*F525^0.65)*0.079*0.1/F525)*inputs!$E$73/inputs!$E$74</f>
        <v>3.5745815872932107</v>
      </c>
      <c r="P525" s="60">
        <f>((MAX('Min rate concentrations'!Y:Y))*0.62*6.01*8*(12.3*F525^0.65)*0.079*0.1/F525)*inputs!$E$73/inputs!$E$74</f>
        <v>1.1915271957644034</v>
      </c>
      <c r="Q525" s="60">
        <f>(inputs!$C$7*11.2*(12.3*F525^0.65)*0.5/F525)*inputs!$E$73/inputs!$E$74</f>
        <v>0.62964568680851429</v>
      </c>
      <c r="R525" s="60">
        <f>(60*379*((F525/1000)^0.8)*3*24*(MAX('Min rate concentrations'!$R$3:$R$368))/F525)*(inputs!$E$73/inputs!$E$75)</f>
        <v>1.7200926921716615E-3</v>
      </c>
      <c r="S525" s="60">
        <f>(IF(inputs!$C$6="aerial",((0.025*0.112*inputs!$C$7/3.3)*(3*60*379*((F525/1000)^0.8))*MAX(inputs!$H$14:$H$16))/F525,((0.0083*0.112*inputs!$C$7/1)*(3*60*379*((F525/1000)^0.8))*MAX(inputs!$H$14:$H$16))/F525))*(inputs!E$75/inputs!$E$73)</f>
        <v>9.4864168769134231E-3</v>
      </c>
      <c r="T525" s="63">
        <f>IF((((inputs!$P$12/(V525/MAX(K525:S525)))^(1/inputs!$O$12))-1)/inputs!$N$12&lt;0, 0, IF((((inputs!$P$12/(V525/MAX(K525:S525)))^(1/inputs!$O$12))-1)/inputs!$N$12&gt;inputs!$H$17, inputs!$H$17, (((inputs!$P$12/(V525/MAX(K525:S525)))^(1/inputs!$O$12))-1)/inputs!$N$12))</f>
        <v>33.788714312011919</v>
      </c>
      <c r="U525" s="63">
        <f>IF((((inputs!$P$12/(X525/MAX(K525:S525)))^(1/inputs!$O$12))-1)/inputs!$N$12&lt;0, 0, IF((((inputs!$P$12/(X525/MAX(K525:S525)))^(1/inputs!$O$12))-1)/inputs!$N$12&gt;inputs!$H$17, inputs!$H$17, (((inputs!$P$12/(X525/MAX(K525:S525)))^(1/inputs!$O$12))-1)/inputs!$N$12))</f>
        <v>0</v>
      </c>
      <c r="V525" s="54">
        <f>inputs!$E$70*(inputs!$F$70/F525)^(0.25)</f>
        <v>0.82281546744781953</v>
      </c>
      <c r="W525" s="54">
        <f>inputs!$E$76*(inputs!$F$76/F525)^(0.25)</f>
        <v>0.24748737341529164</v>
      </c>
      <c r="X525" s="54">
        <f>inputs!$E$72*(inputs!$F$72/F525)^(0.25)</f>
        <v>36.300682387403803</v>
      </c>
      <c r="Y525" s="54" t="s">
        <v>13</v>
      </c>
      <c r="Z525" s="106">
        <f t="shared" si="68"/>
        <v>14.360693672668523</v>
      </c>
      <c r="AA525" s="106">
        <f t="shared" si="69"/>
        <v>47.744661531979396</v>
      </c>
    </row>
    <row r="526" spans="1:27" x14ac:dyDescent="0.25">
      <c r="A526" s="55" t="s">
        <v>598</v>
      </c>
      <c r="B526" s="49" t="s">
        <v>599</v>
      </c>
      <c r="C526" s="21" t="s">
        <v>61</v>
      </c>
      <c r="D526" s="20" t="s">
        <v>454</v>
      </c>
      <c r="E526" s="20">
        <v>1238</v>
      </c>
      <c r="F526" s="21">
        <v>1400</v>
      </c>
      <c r="G526" s="21" t="s">
        <v>152</v>
      </c>
      <c r="H526" s="21">
        <v>0.77</v>
      </c>
      <c r="I526" s="48">
        <f>MAX('Min rate concentrations'!$G$3:$G$368)</f>
        <v>7.5</v>
      </c>
      <c r="J526" s="48">
        <f>MAX('Min rate concentrations'!Z:Z)</f>
        <v>3.5</v>
      </c>
      <c r="K526" s="60">
        <f t="shared" ref="K526:K557" si="70">(((0.235*F526^0.822)/(1-H526)))*I526/F526</f>
        <v>2.1105249921516727</v>
      </c>
      <c r="L526" s="60">
        <f t="shared" si="67"/>
        <v>0.98491166300411404</v>
      </c>
      <c r="M526" s="60">
        <f>IF((((0.326*F526^0.818)-(0.398*F526^0.85)/(1-H526)*H526)*(MAX('Min rate concentrations'!$P$3:$P$368)))/F526&gt;0, (((0.326*F526^0.818)-(0.398*F526^0.85)/(1-H526)*H526)*(MAX('Min rate concentrations'!$P$3:$P$368)))/F526, 0)</f>
        <v>0</v>
      </c>
      <c r="N526" s="60">
        <f>IF((((0.326*F526^0.818)-(0.398*F526^0.85)/(1-H526)*H526)*(MAX('Min rate concentrations'!$Q$3:$Q$368)))/F526&gt; 0, (((0.326*F526^0.818)-(0.398*F526^0.85)/(1-H526)*H526)*(MAX('Min rate concentrations'!$Q$3:$Q$368)))/F526, 0)</f>
        <v>0</v>
      </c>
      <c r="O526" s="60">
        <f>((MAX('Min rate concentrations'!$F$3:$F$368))*0.62*6.01*8*(12.3*F526^0.65)*0.079*0.1/F526)*inputs!$E$73/inputs!$E$74</f>
        <v>3.5745815872932107</v>
      </c>
      <c r="P526" s="60">
        <f>((MAX('Min rate concentrations'!Y:Y))*0.62*6.01*8*(12.3*F526^0.65)*0.079*0.1/F526)*inputs!$E$73/inputs!$E$74</f>
        <v>1.1915271957644034</v>
      </c>
      <c r="Q526" s="60">
        <f>(inputs!$C$7*11.2*(12.3*F526^0.65)*0.5/F526)*inputs!$E$73/inputs!$E$74</f>
        <v>0.62964568680851429</v>
      </c>
      <c r="R526" s="60">
        <f>(60*379*((F526/1000)^0.8)*3*24*(MAX('Min rate concentrations'!$R$3:$R$368))/F526)*(inputs!$E$73/inputs!$E$75)</f>
        <v>1.7200926921716615E-3</v>
      </c>
      <c r="S526" s="60">
        <f>(IF(inputs!$C$6="aerial",((0.025*0.112*inputs!$C$7/3.3)*(3*60*379*((F526/1000)^0.8))*MAX(inputs!$H$14:$H$16))/F526,((0.0083*0.112*inputs!$C$7/1)*(3*60*379*((F526/1000)^0.8))*MAX(inputs!$H$14:$H$16))/F526))*(inputs!E$75/inputs!$E$73)</f>
        <v>9.4864168769134231E-3</v>
      </c>
      <c r="T526" s="63">
        <f>IF((((inputs!$P$12/(V526/MAX(K526:S526)))^(1/inputs!$O$12))-1)/inputs!$N$12&lt;0, 0, IF((((inputs!$P$12/(V526/MAX(K526:S526)))^(1/inputs!$O$12))-1)/inputs!$N$12&gt;inputs!$H$17, inputs!$H$17, (((inputs!$P$12/(V526/MAX(K526:S526)))^(1/inputs!$O$12))-1)/inputs!$N$12))</f>
        <v>9.8049058450499356</v>
      </c>
      <c r="U526" s="63">
        <f>IF((((inputs!$P$12/(X526/MAX(K526:S526)))^(1/inputs!$O$12))-1)/inputs!$N$12&lt;0, 0, IF((((inputs!$P$12/(X526/MAX(K526:S526)))^(1/inputs!$O$12))-1)/inputs!$N$12&gt;inputs!$H$17, inputs!$H$17, (((inputs!$P$12/(X526/MAX(K526:S526)))^(1/inputs!$O$12))-1)/inputs!$N$12))</f>
        <v>0</v>
      </c>
      <c r="V526" s="54">
        <f>inputs!$E$70*(inputs!$F$70/F526)^(0.25)</f>
        <v>0.82281546744781953</v>
      </c>
      <c r="W526" s="54">
        <f>inputs!$E$76*(inputs!$F$76/F526)^(0.25)</f>
        <v>0.24748737341529164</v>
      </c>
      <c r="X526" s="54">
        <f>inputs!$E$72*(inputs!$F$72/F526)^(0.25)</f>
        <v>36.300682387403803</v>
      </c>
      <c r="Y526" s="54" t="s">
        <v>13</v>
      </c>
      <c r="Z526" s="106">
        <f t="shared" si="68"/>
        <v>4.3443295960158892</v>
      </c>
      <c r="AA526" s="106">
        <f t="shared" si="69"/>
        <v>14.443490744454868</v>
      </c>
    </row>
    <row r="527" spans="1:27" x14ac:dyDescent="0.25">
      <c r="A527" s="55" t="s">
        <v>598</v>
      </c>
      <c r="B527" s="49" t="s">
        <v>599</v>
      </c>
      <c r="C527" s="21" t="s">
        <v>61</v>
      </c>
      <c r="D527" s="20" t="s">
        <v>454</v>
      </c>
      <c r="E527" s="20">
        <v>1238</v>
      </c>
      <c r="F527" s="21">
        <v>1400</v>
      </c>
      <c r="G527" s="21" t="s">
        <v>169</v>
      </c>
      <c r="H527" s="21">
        <v>0.79</v>
      </c>
      <c r="I527" s="48">
        <f>MAX('Min rate concentrations'!$D$3:$D$368)</f>
        <v>120</v>
      </c>
      <c r="J527" s="48">
        <f>MAX('Min rate concentrations'!W:W)</f>
        <v>42.5</v>
      </c>
      <c r="K527" s="60">
        <f t="shared" si="70"/>
        <v>36.984437957705509</v>
      </c>
      <c r="L527" s="60">
        <f t="shared" si="67"/>
        <v>13.098655110020699</v>
      </c>
      <c r="M527" s="60">
        <f>IF((((0.326*F527^0.818)-(0.398*F527^0.85)/(1-H527)*H527)*(MAX('Min rate concentrations'!$P$3:$P$368)))/F527&gt;0, (((0.326*F527^0.818)-(0.398*F527^0.85)/(1-H527)*H527)*(MAX('Min rate concentrations'!$P$3:$P$368)))/F527, 0)</f>
        <v>0</v>
      </c>
      <c r="N527" s="60">
        <f>IF((((0.326*F527^0.818)-(0.398*F527^0.85)/(1-H527)*H527)*(MAX('Min rate concentrations'!$Q$3:$Q$368)))/F527&gt; 0, (((0.326*F527^0.818)-(0.398*F527^0.85)/(1-H527)*H527)*(MAX('Min rate concentrations'!$Q$3:$Q$368)))/F527, 0)</f>
        <v>0</v>
      </c>
      <c r="O527" s="60">
        <f>((MAX('Min rate concentrations'!$F$3:$F$368))*0.62*6.01*8*(12.3*F527^0.65)*0.079*0.1/F527)*inputs!$E$73/inputs!$E$74</f>
        <v>3.5745815872932107</v>
      </c>
      <c r="P527" s="60">
        <f>((MAX('Min rate concentrations'!Y:Y))*0.62*6.01*8*(12.3*F527^0.65)*0.079*0.1/F527)*inputs!$E$73/inputs!$E$74</f>
        <v>1.1915271957644034</v>
      </c>
      <c r="Q527" s="60">
        <f>(inputs!$C$7*11.2*(12.3*F527^0.65)*0.5/F527)*inputs!$E$73/inputs!$E$74</f>
        <v>0.62964568680851429</v>
      </c>
      <c r="R527" s="60">
        <f>(60*379*((F527/1000)^0.8)*3*24*(MAX('Min rate concentrations'!$R$3:$R$368))/F527)*(inputs!$E$73/inputs!$E$75)</f>
        <v>1.7200926921716615E-3</v>
      </c>
      <c r="S527" s="60">
        <f>(IF(inputs!$C$6="aerial",((0.025*0.112*inputs!$C$7/3.3)*(3*60*379*((F527/1000)^0.8))*MAX(inputs!$H$14:$H$16))/F527,((0.0083*0.112*inputs!$C$7/1)*(3*60*379*((F527/1000)^0.8))*MAX(inputs!$H$14:$H$16))/F527))*(inputs!E$75/inputs!$E$73)</f>
        <v>9.4864168769134231E-3</v>
      </c>
      <c r="T527" s="63">
        <f>IF((((inputs!$P$12/(V527/MAX(K527:S527)))^(1/inputs!$O$12))-1)/inputs!$N$12&lt;0, 0, IF((((inputs!$P$12/(V527/MAX(K527:S527)))^(1/inputs!$O$12))-1)/inputs!$N$12&gt;inputs!$H$17, inputs!$H$17, (((inputs!$P$12/(V527/MAX(K527:S527)))^(1/inputs!$O$12))-1)/inputs!$N$12))</f>
        <v>70.56899392147227</v>
      </c>
      <c r="U527" s="63">
        <f>IF((((inputs!$P$12/(X527/MAX(K527:S527)))^(1/inputs!$O$12))-1)/inputs!$N$12&lt;0, 0, IF((((inputs!$P$12/(X527/MAX(K527:S527)))^(1/inputs!$O$12))-1)/inputs!$N$12&gt;inputs!$H$17, inputs!$H$17, (((inputs!$P$12/(X527/MAX(K527:S527)))^(1/inputs!$O$12))-1)/inputs!$N$12))</f>
        <v>0</v>
      </c>
      <c r="V527" s="54">
        <f>inputs!$E$70*(inputs!$F$70/F527)^(0.25)</f>
        <v>0.82281546744781953</v>
      </c>
      <c r="W527" s="54">
        <f>inputs!$E$76*(inputs!$F$76/F527)^(0.25)</f>
        <v>0.24748737341529164</v>
      </c>
      <c r="X527" s="54">
        <f>inputs!$E$72*(inputs!$F$72/F527)^(0.25)</f>
        <v>36.300682387403803</v>
      </c>
      <c r="Y527" s="54" t="s">
        <v>13</v>
      </c>
      <c r="Z527" s="106">
        <f t="shared" si="68"/>
        <v>44.948642096413863</v>
      </c>
      <c r="AA527" s="106">
        <f t="shared" si="69"/>
        <v>149.43969644723836</v>
      </c>
    </row>
    <row r="528" spans="1:27" x14ac:dyDescent="0.25">
      <c r="A528" s="55" t="s">
        <v>598</v>
      </c>
      <c r="B528" s="49" t="s">
        <v>599</v>
      </c>
      <c r="C528" s="21" t="s">
        <v>61</v>
      </c>
      <c r="D528" s="20" t="s">
        <v>454</v>
      </c>
      <c r="E528" s="20">
        <v>1238</v>
      </c>
      <c r="F528" s="21">
        <v>1400</v>
      </c>
      <c r="G528" s="21" t="s">
        <v>456</v>
      </c>
      <c r="H528" s="21">
        <v>0.68</v>
      </c>
      <c r="I528" s="48">
        <f>MAX('Min rate concentrations'!$J$3:$J$368)</f>
        <v>114.4108103430513</v>
      </c>
      <c r="J528" s="48">
        <f>MAX('Min rate concentrations'!AB:AB)</f>
        <v>40.520495329830666</v>
      </c>
      <c r="K528" s="60">
        <f t="shared" si="70"/>
        <v>23.140575482627927</v>
      </c>
      <c r="L528" s="60">
        <f t="shared" si="67"/>
        <v>8.1956204834307229</v>
      </c>
      <c r="M528" s="60">
        <f>IF((((0.326*F528^0.818)-(0.398*F528^0.85)/(1-H528)*H528)*(MAX('Min rate concentrations'!$P$3:$P$368)))/F528&gt;0, (((0.326*F528^0.818)-(0.398*F528^0.85)/(1-H528)*H528)*(MAX('Min rate concentrations'!$P$3:$P$368)))/F528, 0)</f>
        <v>0</v>
      </c>
      <c r="N528" s="60">
        <f>IF((((0.326*F528^0.818)-(0.398*F528^0.85)/(1-H528)*H528)*(MAX('Min rate concentrations'!$Q$3:$Q$368)))/F528&gt; 0, (((0.326*F528^0.818)-(0.398*F528^0.85)/(1-H528)*H528)*(MAX('Min rate concentrations'!$Q$3:$Q$368)))/F528, 0)</f>
        <v>0</v>
      </c>
      <c r="O528" s="60">
        <f>((MAX('Min rate concentrations'!$F$3:$F$368))*0.62*6.01*8*(12.3*F528^0.65)*0.079*0.1/F528)*inputs!$E$73/inputs!$E$74</f>
        <v>3.5745815872932107</v>
      </c>
      <c r="P528" s="60">
        <f>((MAX('Min rate concentrations'!Y:Y))*0.62*6.01*8*(12.3*F528^0.65)*0.079*0.1/F528)*inputs!$E$73/inputs!$E$74</f>
        <v>1.1915271957644034</v>
      </c>
      <c r="Q528" s="60">
        <f>(inputs!$C$7*11.2*(12.3*F528^0.65)*0.5/F528)*inputs!$E$73/inputs!$E$74</f>
        <v>0.62964568680851429</v>
      </c>
      <c r="R528" s="60">
        <f>(60*379*((F528/1000)^0.8)*3*24*(MAX('Min rate concentrations'!$R$3:$R$368))/F528)*(inputs!$E$73/inputs!$E$75)</f>
        <v>1.7200926921716615E-3</v>
      </c>
      <c r="S528" s="60">
        <f>(IF(inputs!$C$6="aerial",((0.025*0.112*inputs!$C$7/3.3)*(3*60*379*((F528/1000)^0.8))*MAX(inputs!$H$14:$H$16))/F528,((0.0083*0.112*inputs!$C$7/1)*(3*60*379*((F528/1000)^0.8))*MAX(inputs!$H$14:$H$16))/F528))*(inputs!E$75/inputs!$E$73)</f>
        <v>9.4864168769134231E-3</v>
      </c>
      <c r="T528" s="63">
        <f>IF((((inputs!$P$12/(V528/MAX(K528:S528)))^(1/inputs!$O$12))-1)/inputs!$N$12&lt;0, 0, IF((((inputs!$P$12/(V528/MAX(K528:S528)))^(1/inputs!$O$12))-1)/inputs!$N$12&gt;inputs!$H$17, inputs!$H$17, (((inputs!$P$12/(V528/MAX(K528:S528)))^(1/inputs!$O$12))-1)/inputs!$N$12))</f>
        <v>53.368594028202402</v>
      </c>
      <c r="U528" s="63">
        <f>IF((((inputs!$P$12/(X528/MAX(K528:S528)))^(1/inputs!$O$12))-1)/inputs!$N$12&lt;0, 0, IF((((inputs!$P$12/(X528/MAX(K528:S528)))^(1/inputs!$O$12))-1)/inputs!$N$12&gt;inputs!$H$17, inputs!$H$17, (((inputs!$P$12/(X528/MAX(K528:S528)))^(1/inputs!$O$12))-1)/inputs!$N$12))</f>
        <v>0</v>
      </c>
      <c r="V528" s="54">
        <f>inputs!$E$70*(inputs!$F$70/F528)^(0.25)</f>
        <v>0.82281546744781953</v>
      </c>
      <c r="W528" s="54">
        <f>inputs!$E$76*(inputs!$F$76/F528)^(0.25)</f>
        <v>0.24748737341529164</v>
      </c>
      <c r="X528" s="54">
        <f>inputs!$E$72*(inputs!$F$72/F528)^(0.25)</f>
        <v>36.300682387403803</v>
      </c>
      <c r="Y528" s="54" t="s">
        <v>13</v>
      </c>
      <c r="Z528" s="106">
        <f t="shared" si="68"/>
        <v>28.123651533198036</v>
      </c>
      <c r="AA528" s="106">
        <f t="shared" si="69"/>
        <v>93.502044824716407</v>
      </c>
    </row>
    <row r="529" spans="1:27" x14ac:dyDescent="0.25">
      <c r="A529" s="55" t="s">
        <v>598</v>
      </c>
      <c r="B529" s="49" t="s">
        <v>599</v>
      </c>
      <c r="C529" s="21" t="s">
        <v>61</v>
      </c>
      <c r="D529" s="20" t="s">
        <v>454</v>
      </c>
      <c r="E529" s="20">
        <v>1238</v>
      </c>
      <c r="F529" s="21">
        <v>1400</v>
      </c>
      <c r="G529" s="21" t="s">
        <v>145</v>
      </c>
      <c r="H529" s="21">
        <v>0.66</v>
      </c>
      <c r="I529" s="48">
        <f>MAX('Min rate concentrations'!$M$3:$M$368)</f>
        <v>2.8488184789681945</v>
      </c>
      <c r="J529" s="48">
        <f>MAX('Min rate concentrations'!AE:AE)</f>
        <v>1.9699276716269429</v>
      </c>
      <c r="K529" s="60">
        <f t="shared" si="70"/>
        <v>0.54230415589496261</v>
      </c>
      <c r="L529" s="60">
        <f t="shared" si="67"/>
        <v>0.37499755460821876</v>
      </c>
      <c r="M529" s="60">
        <f>IF((((0.326*F529^0.818)-(0.398*F529^0.85)/(1-H529)*H529)*(MAX('Min rate concentrations'!$P$3:$P$368)))/F529&gt;0, (((0.326*F529^0.818)-(0.398*F529^0.85)/(1-H529)*H529)*(MAX('Min rate concentrations'!$P$3:$P$368)))/F529, 0)</f>
        <v>0</v>
      </c>
      <c r="N529" s="60">
        <f>IF((((0.326*F529^0.818)-(0.398*F529^0.85)/(1-H529)*H529)*(MAX('Min rate concentrations'!$Q$3:$Q$368)))/F529&gt; 0, (((0.326*F529^0.818)-(0.398*F529^0.85)/(1-H529)*H529)*(MAX('Min rate concentrations'!$Q$3:$Q$368)))/F529, 0)</f>
        <v>0</v>
      </c>
      <c r="O529" s="60">
        <f>((MAX('Min rate concentrations'!$F$3:$F$368))*0.62*6.01*8*(12.3*F529^0.65)*0.079*0.1/F529)*inputs!$E$73/inputs!$E$74</f>
        <v>3.5745815872932107</v>
      </c>
      <c r="P529" s="60">
        <f>((MAX('Min rate concentrations'!Y:Y))*0.62*6.01*8*(12.3*F529^0.65)*0.079*0.1/F529)*inputs!$E$73/inputs!$E$74</f>
        <v>1.1915271957644034</v>
      </c>
      <c r="Q529" s="60">
        <f>(inputs!$C$7*11.2*(12.3*F529^0.65)*0.5/F529)*inputs!$E$73/inputs!$E$74</f>
        <v>0.62964568680851429</v>
      </c>
      <c r="R529" s="60">
        <f>(60*379*((F529/1000)^0.8)*3*24*(MAX('Min rate concentrations'!$R$3:$R$368))/F529)*(inputs!$E$73/inputs!$E$75)</f>
        <v>1.7200926921716615E-3</v>
      </c>
      <c r="S529" s="60">
        <f>(IF(inputs!$C$6="aerial",((0.025*0.112*inputs!$C$7/3.3)*(3*60*379*((F529/1000)^0.8))*MAX(inputs!$H$14:$H$16))/F529,((0.0083*0.112*inputs!$C$7/1)*(3*60*379*((F529/1000)^0.8))*MAX(inputs!$H$14:$H$16))/F529))*(inputs!E$75/inputs!$E$73)</f>
        <v>9.4864168769134231E-3</v>
      </c>
      <c r="T529" s="63">
        <f>IF((((inputs!$P$12/(V529/MAX(K529:S529)))^(1/inputs!$O$12))-1)/inputs!$N$12&lt;0, 0, IF((((inputs!$P$12/(V529/MAX(K529:S529)))^(1/inputs!$O$12))-1)/inputs!$N$12&gt;inputs!$H$17, inputs!$H$17, (((inputs!$P$12/(V529/MAX(K529:S529)))^(1/inputs!$O$12))-1)/inputs!$N$12))</f>
        <v>9.8049058450499356</v>
      </c>
      <c r="U529" s="63">
        <f>IF((((inputs!$P$12/(X529/MAX(K529:S529)))^(1/inputs!$O$12))-1)/inputs!$N$12&lt;0, 0, IF((((inputs!$P$12/(X529/MAX(K529:S529)))^(1/inputs!$O$12))-1)/inputs!$N$12&gt;inputs!$H$17, inputs!$H$17, (((inputs!$P$12/(X529/MAX(K529:S529)))^(1/inputs!$O$12))-1)/inputs!$N$12))</f>
        <v>0</v>
      </c>
      <c r="V529" s="54">
        <f>inputs!$E$70*(inputs!$F$70/F529)^(0.25)</f>
        <v>0.82281546744781953</v>
      </c>
      <c r="W529" s="54">
        <f>inputs!$E$76*(inputs!$F$76/F529)^(0.25)</f>
        <v>0.24748737341529164</v>
      </c>
      <c r="X529" s="54">
        <f>inputs!$E$72*(inputs!$F$72/F529)^(0.25)</f>
        <v>36.300682387403803</v>
      </c>
      <c r="Y529" s="54" t="s">
        <v>13</v>
      </c>
      <c r="Z529" s="106">
        <f t="shared" si="68"/>
        <v>4.3443295960158892</v>
      </c>
      <c r="AA529" s="106">
        <f t="shared" si="69"/>
        <v>14.443490744454868</v>
      </c>
    </row>
    <row r="530" spans="1:27" x14ac:dyDescent="0.25">
      <c r="A530" s="55" t="s">
        <v>600</v>
      </c>
      <c r="B530" s="49" t="s">
        <v>601</v>
      </c>
      <c r="C530" s="21" t="s">
        <v>61</v>
      </c>
      <c r="D530" s="20" t="s">
        <v>454</v>
      </c>
      <c r="E530" s="20">
        <v>1239</v>
      </c>
      <c r="F530" s="21">
        <v>1400</v>
      </c>
      <c r="G530" s="21" t="s">
        <v>182</v>
      </c>
      <c r="H530" s="21">
        <v>0.85</v>
      </c>
      <c r="I530" s="48">
        <f>MAX('Min rate concentrations'!$M$3:$M$368)</f>
        <v>2.8488184789681945</v>
      </c>
      <c r="J530" s="48">
        <f>MAX('Min rate concentrations'!AE:AE)</f>
        <v>1.9699276716269429</v>
      </c>
      <c r="K530" s="60">
        <f t="shared" si="70"/>
        <v>1.2292227533619149</v>
      </c>
      <c r="L530" s="60">
        <f t="shared" si="67"/>
        <v>0.84999445711196242</v>
      </c>
      <c r="M530" s="60">
        <f>IF((((0.326*F530^0.818)-(0.398*F530^0.85)/(1-H530)*H530)*(MAX('Min rate concentrations'!$P$3:$P$368)))/F530&gt;0, (((0.326*F530^0.818)-(0.398*F530^0.85)/(1-H530)*H530)*(MAX('Min rate concentrations'!$P$3:$P$368)))/F530, 0)</f>
        <v>0</v>
      </c>
      <c r="N530" s="60">
        <f>IF((((0.326*F530^0.818)-(0.398*F530^0.85)/(1-H530)*H530)*(MAX('Min rate concentrations'!$Q$3:$Q$368)))/F530&gt; 0, (((0.326*F530^0.818)-(0.398*F530^0.85)/(1-H530)*H530)*(MAX('Min rate concentrations'!$Q$3:$Q$368)))/F530, 0)</f>
        <v>0</v>
      </c>
      <c r="O530" s="60">
        <f>((MAX('Min rate concentrations'!$F$3:$F$368))*0.62*6.01*8*(12.3*F530^0.65)*0.079*0.1/F530)*inputs!$E$73/inputs!$E$74</f>
        <v>3.5745815872932107</v>
      </c>
      <c r="P530" s="60">
        <f>((MAX('Min rate concentrations'!Y:Y))*0.62*6.01*8*(12.3*F530^0.65)*0.079*0.1/F530)*inputs!$E$73/inputs!$E$74</f>
        <v>1.1915271957644034</v>
      </c>
      <c r="Q530" s="60">
        <f>(inputs!$C$7*11.2*(12.3*F530^0.65)*0.5/F530)*inputs!$E$73/inputs!$E$74</f>
        <v>0.62964568680851429</v>
      </c>
      <c r="R530" s="60">
        <f>(60*379*((F530/1000)^0.8)*3*24*(MAX('Min rate concentrations'!$R$3:$R$368))/F530)*(inputs!$E$73/inputs!$E$75)</f>
        <v>1.7200926921716615E-3</v>
      </c>
      <c r="S530" s="60">
        <f>(IF(inputs!$C$6="aerial",((0.025*0.112*inputs!$C$7/3.3)*(3*60*379*((F530/1000)^0.8))*MAX(inputs!$H$14:$H$16))/F530,((0.0083*0.112*inputs!$C$7/1)*(3*60*379*((F530/1000)^0.8))*MAX(inputs!$H$14:$H$16))/F530))*(inputs!E$75/inputs!$E$73)</f>
        <v>9.4864168769134231E-3</v>
      </c>
      <c r="T530" s="63">
        <f>IF((((inputs!$P$12/(V530/MAX(K530:S530)))^(1/inputs!$O$12))-1)/inputs!$N$12&lt;0, 0, IF((((inputs!$P$12/(V530/MAX(K530:S530)))^(1/inputs!$O$12))-1)/inputs!$N$12&gt;inputs!$H$17, inputs!$H$17, (((inputs!$P$12/(V530/MAX(K530:S530)))^(1/inputs!$O$12))-1)/inputs!$N$12))</f>
        <v>9.8049058450499356</v>
      </c>
      <c r="U530" s="63">
        <f>IF((((inputs!$P$12/(X530/MAX(K530:S530)))^(1/inputs!$O$12))-1)/inputs!$N$12&lt;0, 0, IF((((inputs!$P$12/(X530/MAX(K530:S530)))^(1/inputs!$O$12))-1)/inputs!$N$12&gt;inputs!$H$17, inputs!$H$17, (((inputs!$P$12/(X530/MAX(K530:S530)))^(1/inputs!$O$12))-1)/inputs!$N$12))</f>
        <v>0</v>
      </c>
      <c r="V530" s="54">
        <f>inputs!$E$70*(inputs!$F$70/F530)^(0.25)</f>
        <v>0.82281546744781953</v>
      </c>
      <c r="W530" s="54">
        <f>inputs!$E$76*(inputs!$F$76/F530)^(0.25)</f>
        <v>0.24748737341529164</v>
      </c>
      <c r="X530" s="54">
        <f>inputs!$E$72*(inputs!$F$72/F530)^(0.25)</f>
        <v>36.300682387403803</v>
      </c>
      <c r="Y530" s="54" t="s">
        <v>13</v>
      </c>
      <c r="Z530" s="106">
        <f t="shared" si="68"/>
        <v>4.3443295960158892</v>
      </c>
      <c r="AA530" s="106">
        <f t="shared" si="69"/>
        <v>14.443490744454868</v>
      </c>
    </row>
    <row r="531" spans="1:27" x14ac:dyDescent="0.25">
      <c r="A531" s="55" t="s">
        <v>600</v>
      </c>
      <c r="B531" s="49" t="s">
        <v>601</v>
      </c>
      <c r="C531" s="21" t="s">
        <v>61</v>
      </c>
      <c r="D531" s="20" t="s">
        <v>454</v>
      </c>
      <c r="E531" s="20">
        <v>1239</v>
      </c>
      <c r="F531" s="21">
        <v>1400</v>
      </c>
      <c r="G531" s="21" t="s">
        <v>142</v>
      </c>
      <c r="H531" s="21">
        <v>0.69</v>
      </c>
      <c r="I531" s="48">
        <f>MAX('Min rate concentrations'!$H$3:$H$368)</f>
        <v>47</v>
      </c>
      <c r="J531" s="48">
        <f>MAX('Min rate concentrations'!AA:AA)</f>
        <v>32.5</v>
      </c>
      <c r="K531" s="60">
        <f t="shared" si="70"/>
        <v>9.8128065226492804</v>
      </c>
      <c r="L531" s="60">
        <f t="shared" si="67"/>
        <v>6.7854513188532266</v>
      </c>
      <c r="M531" s="60">
        <f>IF((((0.326*F531^0.818)-(0.398*F531^0.85)/(1-H531)*H531)*(MAX('Min rate concentrations'!$P$3:$P$368)))/F531&gt;0, (((0.326*F531^0.818)-(0.398*F531^0.85)/(1-H531)*H531)*(MAX('Min rate concentrations'!$P$3:$P$368)))/F531, 0)</f>
        <v>0</v>
      </c>
      <c r="N531" s="60">
        <f>IF((((0.326*F531^0.818)-(0.398*F531^0.85)/(1-H531)*H531)*(MAX('Min rate concentrations'!$Q$3:$Q$368)))/F531&gt; 0, (((0.326*F531^0.818)-(0.398*F531^0.85)/(1-H531)*H531)*(MAX('Min rate concentrations'!$Q$3:$Q$368)))/F531, 0)</f>
        <v>0</v>
      </c>
      <c r="O531" s="60">
        <f>((MAX('Min rate concentrations'!$F$3:$F$368))*0.62*6.01*8*(12.3*F531^0.65)*0.079*0.1/F531)*inputs!$E$73/inputs!$E$74</f>
        <v>3.5745815872932107</v>
      </c>
      <c r="P531" s="60">
        <f>((MAX('Min rate concentrations'!Y:Y))*0.62*6.01*8*(12.3*F531^0.65)*0.079*0.1/F531)*inputs!$E$73/inputs!$E$74</f>
        <v>1.1915271957644034</v>
      </c>
      <c r="Q531" s="60">
        <f>(inputs!$C$7*11.2*(12.3*F531^0.65)*0.5/F531)*inputs!$E$73/inputs!$E$74</f>
        <v>0.62964568680851429</v>
      </c>
      <c r="R531" s="60">
        <f>(60*379*((F531/1000)^0.8)*3*24*(MAX('Min rate concentrations'!$R$3:$R$368))/F531)*(inputs!$E$73/inputs!$E$75)</f>
        <v>1.7200926921716615E-3</v>
      </c>
      <c r="S531" s="60">
        <f>(IF(inputs!$C$6="aerial",((0.025*0.112*inputs!$C$7/3.3)*(3*60*379*((F531/1000)^0.8))*MAX(inputs!$H$14:$H$16))/F531,((0.0083*0.112*inputs!$C$7/1)*(3*60*379*((F531/1000)^0.8))*MAX(inputs!$H$14:$H$16))/F531))*(inputs!E$75/inputs!$E$73)</f>
        <v>9.4864168769134231E-3</v>
      </c>
      <c r="T531" s="63">
        <f>IF((((inputs!$P$12/(V531/MAX(K531:S531)))^(1/inputs!$O$12))-1)/inputs!$N$12&lt;0, 0, IF((((inputs!$P$12/(V531/MAX(K531:S531)))^(1/inputs!$O$12))-1)/inputs!$N$12&gt;inputs!$H$17, inputs!$H$17, (((inputs!$P$12/(V531/MAX(K531:S531)))^(1/inputs!$O$12))-1)/inputs!$N$12))</f>
        <v>29.256054502061744</v>
      </c>
      <c r="U531" s="63">
        <f>IF((((inputs!$P$12/(X531/MAX(K531:S531)))^(1/inputs!$O$12))-1)/inputs!$N$12&lt;0, 0, IF((((inputs!$P$12/(X531/MAX(K531:S531)))^(1/inputs!$O$12))-1)/inputs!$N$12&gt;inputs!$H$17, inputs!$H$17, (((inputs!$P$12/(X531/MAX(K531:S531)))^(1/inputs!$O$12))-1)/inputs!$N$12))</f>
        <v>0</v>
      </c>
      <c r="V531" s="54">
        <f>inputs!$E$70*(inputs!$F$70/F531)^(0.25)</f>
        <v>0.82281546744781953</v>
      </c>
      <c r="W531" s="54">
        <f>inputs!$E$76*(inputs!$F$76/F531)^(0.25)</f>
        <v>0.24748737341529164</v>
      </c>
      <c r="X531" s="54">
        <f>inputs!$E$72*(inputs!$F$72/F531)^(0.25)</f>
        <v>36.300682387403803</v>
      </c>
      <c r="Y531" s="54" t="s">
        <v>13</v>
      </c>
      <c r="Z531" s="106">
        <f t="shared" si="68"/>
        <v>11.925889717516254</v>
      </c>
      <c r="AA531" s="106">
        <f t="shared" si="69"/>
        <v>39.649725912210805</v>
      </c>
    </row>
    <row r="532" spans="1:27" x14ac:dyDescent="0.25">
      <c r="A532" s="55" t="s">
        <v>600</v>
      </c>
      <c r="B532" s="49" t="s">
        <v>601</v>
      </c>
      <c r="C532" s="21" t="s">
        <v>61</v>
      </c>
      <c r="D532" s="20" t="s">
        <v>454</v>
      </c>
      <c r="E532" s="20">
        <v>1239</v>
      </c>
      <c r="F532" s="21">
        <v>1400</v>
      </c>
      <c r="G532" s="21" t="s">
        <v>164</v>
      </c>
      <c r="H532" s="21">
        <v>0.78</v>
      </c>
      <c r="I532" s="48">
        <f>inputs!$C$65*(inputs!$C$62/1000)</f>
        <v>0.82000000000000006</v>
      </c>
      <c r="J532" s="48">
        <f>inputs!$C$65*(inputs!$C$61/1000)</f>
        <v>0.25</v>
      </c>
      <c r="K532" s="60">
        <f t="shared" si="70"/>
        <v>0.24123940213321549</v>
      </c>
      <c r="L532" s="60">
        <f t="shared" ref="L532:L548" si="71">(((0.235*F532^0.822)/(1-H532)))*J532/F532</f>
        <v>7.3548598211346169E-2</v>
      </c>
      <c r="M532" s="60">
        <f>IF((((0.326*F532^0.818)-(0.398*F532^0.85)/(1-H532)*H532)*(MAX('Min rate concentrations'!$P$3:$P$368)))/F532&gt;0, (((0.326*F532^0.818)-(0.398*F532^0.85)/(1-H532)*H532)*(MAX('Min rate concentrations'!$P$3:$P$368)))/F532, 0)</f>
        <v>0</v>
      </c>
      <c r="N532" s="60">
        <f>IF((((0.326*F532^0.818)-(0.398*F532^0.85)/(1-H532)*H532)*(MAX('Min rate concentrations'!$Q$3:$Q$368)))/F532&gt; 0, (((0.326*F532^0.818)-(0.398*F532^0.85)/(1-H532)*H532)*(MAX('Min rate concentrations'!$Q$3:$Q$368)))/F532, 0)</f>
        <v>0</v>
      </c>
      <c r="O532" s="60">
        <f>((MAX('Min rate concentrations'!$F$3:$F$368))*0.62*6.01*8*(12.3*F532^0.65)*0.079*0.1/F532)*inputs!$E$73/inputs!$E$74</f>
        <v>3.5745815872932107</v>
      </c>
      <c r="P532" s="60">
        <f>((MAX('Min rate concentrations'!Y:Y))*0.62*6.01*8*(12.3*F532^0.65)*0.079*0.1/F532)*inputs!$E$73/inputs!$E$74</f>
        <v>1.1915271957644034</v>
      </c>
      <c r="Q532" s="60">
        <f>(inputs!$C$7*11.2*(12.3*F532^0.65)*0.5/F532)*inputs!$E$73/inputs!$E$74</f>
        <v>0.62964568680851429</v>
      </c>
      <c r="R532" s="60">
        <f>(60*379*((F532/1000)^0.8)*3*24*(MAX('Min rate concentrations'!$R$3:$R$368))/F532)*(inputs!$E$73/inputs!$E$75)</f>
        <v>1.7200926921716615E-3</v>
      </c>
      <c r="S532" s="60">
        <f>(IF(inputs!$C$6="aerial",((0.025*0.112*inputs!$C$7/3.3)*(3*60*379*((F532/1000)^0.8))*MAX(inputs!$H$14:$H$16))/F532,((0.0083*0.112*inputs!$C$7/1)*(3*60*379*((F532/1000)^0.8))*MAX(inputs!$H$14:$H$16))/F532))*(inputs!E$75/inputs!$E$73)</f>
        <v>9.4864168769134231E-3</v>
      </c>
      <c r="T532" s="63">
        <f>IF((((inputs!$P$12/(V532/MAX(K532:S532)))^(1/inputs!$O$12))-1)/inputs!$N$12&lt;0, 0, IF((((inputs!$P$12/(V532/MAX(K532:S532)))^(1/inputs!$O$12))-1)/inputs!$N$12&gt;inputs!$H$17, inputs!$H$17, (((inputs!$P$12/(V532/MAX(K532:S532)))^(1/inputs!$O$12))-1)/inputs!$N$12))</f>
        <v>9.8049058450499356</v>
      </c>
      <c r="U532" s="63">
        <f>IF((((inputs!$P$12/(X532/MAX(K532:S532)))^(1/inputs!$O$12))-1)/inputs!$N$12&lt;0, 0, IF((((inputs!$P$12/(X532/MAX(K532:S532)))^(1/inputs!$O$12))-1)/inputs!$N$12&gt;inputs!$H$17, inputs!$H$17, (((inputs!$P$12/(X532/MAX(K532:S532)))^(1/inputs!$O$12))-1)/inputs!$N$12))</f>
        <v>0</v>
      </c>
      <c r="V532" s="54">
        <f>inputs!$E$70*(inputs!$F$70/F532)^(0.25)</f>
        <v>0.82281546744781953</v>
      </c>
      <c r="W532" s="54">
        <f>inputs!$E$76*(inputs!$F$76/F532)^(0.25)</f>
        <v>0.24748737341529164</v>
      </c>
      <c r="X532" s="54">
        <f>inputs!$E$72*(inputs!$F$72/F532)^(0.25)</f>
        <v>36.300682387403803</v>
      </c>
      <c r="Y532" s="54" t="s">
        <v>13</v>
      </c>
      <c r="Z532" s="106">
        <f t="shared" si="68"/>
        <v>4.3443295960158892</v>
      </c>
      <c r="AA532" s="106">
        <f t="shared" si="69"/>
        <v>14.443490744454868</v>
      </c>
    </row>
    <row r="533" spans="1:27" x14ac:dyDescent="0.25">
      <c r="A533" s="55" t="s">
        <v>600</v>
      </c>
      <c r="B533" s="49" t="s">
        <v>601</v>
      </c>
      <c r="C533" s="21" t="s">
        <v>61</v>
      </c>
      <c r="D533" s="20" t="s">
        <v>454</v>
      </c>
      <c r="E533" s="20">
        <v>1239</v>
      </c>
      <c r="F533" s="21">
        <v>1400</v>
      </c>
      <c r="G533" s="21" t="s">
        <v>138</v>
      </c>
      <c r="H533" s="21">
        <v>0.68</v>
      </c>
      <c r="I533" s="48">
        <f>MAX('Min rate concentrations'!$L$3:$L$368)</f>
        <v>58.421240152220811</v>
      </c>
      <c r="J533" s="48">
        <f>MAX('Min rate concentrations'!AD:AD)</f>
        <v>40.397666062705881</v>
      </c>
      <c r="K533" s="60">
        <f t="shared" si="70"/>
        <v>11.816200877151696</v>
      </c>
      <c r="L533" s="60">
        <f t="shared" si="71"/>
        <v>8.1707772022857483</v>
      </c>
      <c r="M533" s="60">
        <f>IF((((0.326*F533^0.818)-(0.398*F533^0.85)/(1-H533)*H533)*(MAX('Min rate concentrations'!$P$3:$P$368)))/F533&gt;0, (((0.326*F533^0.818)-(0.398*F533^0.85)/(1-H533)*H533)*(MAX('Min rate concentrations'!$P$3:$P$368)))/F533, 0)</f>
        <v>0</v>
      </c>
      <c r="N533" s="60">
        <f>IF((((0.326*F533^0.818)-(0.398*F533^0.85)/(1-H533)*H533)*(MAX('Min rate concentrations'!$Q$3:$Q$368)))/F533&gt; 0, (((0.326*F533^0.818)-(0.398*F533^0.85)/(1-H533)*H533)*(MAX('Min rate concentrations'!$Q$3:$Q$368)))/F533, 0)</f>
        <v>0</v>
      </c>
      <c r="O533" s="60">
        <f>((MAX('Min rate concentrations'!$F$3:$F$368))*0.62*6.01*8*(12.3*F533^0.65)*0.079*0.1/F533)*inputs!$E$73/inputs!$E$74</f>
        <v>3.5745815872932107</v>
      </c>
      <c r="P533" s="60">
        <f>((MAX('Min rate concentrations'!Y:Y))*0.62*6.01*8*(12.3*F533^0.65)*0.079*0.1/F533)*inputs!$E$73/inputs!$E$74</f>
        <v>1.1915271957644034</v>
      </c>
      <c r="Q533" s="60">
        <f>(inputs!$C$7*11.2*(12.3*F533^0.65)*0.5/F533)*inputs!$E$73/inputs!$E$74</f>
        <v>0.62964568680851429</v>
      </c>
      <c r="R533" s="60">
        <f>(60*379*((F533/1000)^0.8)*3*24*(MAX('Min rate concentrations'!$R$3:$R$368))/F533)*(inputs!$E$73/inputs!$E$75)</f>
        <v>1.7200926921716615E-3</v>
      </c>
      <c r="S533" s="60">
        <f>(IF(inputs!$C$6="aerial",((0.025*0.112*inputs!$C$7/3.3)*(3*60*379*((F533/1000)^0.8))*MAX(inputs!$H$14:$H$16))/F533,((0.0083*0.112*inputs!$C$7/1)*(3*60*379*((F533/1000)^0.8))*MAX(inputs!$H$14:$H$16))/F533))*(inputs!E$75/inputs!$E$73)</f>
        <v>9.4864168769134231E-3</v>
      </c>
      <c r="T533" s="63">
        <f>IF((((inputs!$P$12/(V533/MAX(K533:S533)))^(1/inputs!$O$12))-1)/inputs!$N$12&lt;0, 0, IF((((inputs!$P$12/(V533/MAX(K533:S533)))^(1/inputs!$O$12))-1)/inputs!$N$12&gt;inputs!$H$17, inputs!$H$17, (((inputs!$P$12/(V533/MAX(K533:S533)))^(1/inputs!$O$12))-1)/inputs!$N$12))</f>
        <v>33.788714312011919</v>
      </c>
      <c r="U533" s="63">
        <f>IF((((inputs!$P$12/(X533/MAX(K533:S533)))^(1/inputs!$O$12))-1)/inputs!$N$12&lt;0, 0, IF((((inputs!$P$12/(X533/MAX(K533:S533)))^(1/inputs!$O$12))-1)/inputs!$N$12&gt;inputs!$H$17, inputs!$H$17, (((inputs!$P$12/(X533/MAX(K533:S533)))^(1/inputs!$O$12))-1)/inputs!$N$12))</f>
        <v>0</v>
      </c>
      <c r="V533" s="54">
        <f>inputs!$E$70*(inputs!$F$70/F533)^(0.25)</f>
        <v>0.82281546744781953</v>
      </c>
      <c r="W533" s="54">
        <f>inputs!$E$76*(inputs!$F$76/F533)^(0.25)</f>
        <v>0.24748737341529164</v>
      </c>
      <c r="X533" s="54">
        <f>inputs!$E$72*(inputs!$F$72/F533)^(0.25)</f>
        <v>36.300682387403803</v>
      </c>
      <c r="Y533" s="54" t="s">
        <v>13</v>
      </c>
      <c r="Z533" s="106">
        <f t="shared" si="68"/>
        <v>14.360693672668523</v>
      </c>
      <c r="AA533" s="106">
        <f t="shared" si="69"/>
        <v>47.744661531979396</v>
      </c>
    </row>
    <row r="534" spans="1:27" x14ac:dyDescent="0.25">
      <c r="A534" s="55" t="s">
        <v>600</v>
      </c>
      <c r="B534" s="49" t="s">
        <v>601</v>
      </c>
      <c r="C534" s="21" t="s">
        <v>61</v>
      </c>
      <c r="D534" s="20" t="s">
        <v>454</v>
      </c>
      <c r="E534" s="20">
        <v>1239</v>
      </c>
      <c r="F534" s="21">
        <v>1400</v>
      </c>
      <c r="G534" s="21" t="s">
        <v>152</v>
      </c>
      <c r="H534" s="21">
        <v>0.77</v>
      </c>
      <c r="I534" s="48">
        <f>MAX('Min rate concentrations'!$G$3:$G$368)</f>
        <v>7.5</v>
      </c>
      <c r="J534" s="48">
        <f>MAX('Min rate concentrations'!Z:Z)</f>
        <v>3.5</v>
      </c>
      <c r="K534" s="60">
        <f t="shared" si="70"/>
        <v>2.1105249921516727</v>
      </c>
      <c r="L534" s="60">
        <f t="shared" si="71"/>
        <v>0.98491166300411404</v>
      </c>
      <c r="M534" s="60">
        <f>IF((((0.326*F534^0.818)-(0.398*F534^0.85)/(1-H534)*H534)*(MAX('Min rate concentrations'!$P$3:$P$368)))/F534&gt;0, (((0.326*F534^0.818)-(0.398*F534^0.85)/(1-H534)*H534)*(MAX('Min rate concentrations'!$P$3:$P$368)))/F534, 0)</f>
        <v>0</v>
      </c>
      <c r="N534" s="60">
        <f>IF((((0.326*F534^0.818)-(0.398*F534^0.85)/(1-H534)*H534)*(MAX('Min rate concentrations'!$Q$3:$Q$368)))/F534&gt; 0, (((0.326*F534^0.818)-(0.398*F534^0.85)/(1-H534)*H534)*(MAX('Min rate concentrations'!$Q$3:$Q$368)))/F534, 0)</f>
        <v>0</v>
      </c>
      <c r="O534" s="60">
        <f>((MAX('Min rate concentrations'!$F$3:$F$368))*0.62*6.01*8*(12.3*F534^0.65)*0.079*0.1/F534)*inputs!$E$73/inputs!$E$74</f>
        <v>3.5745815872932107</v>
      </c>
      <c r="P534" s="60">
        <f>((MAX('Min rate concentrations'!Y:Y))*0.62*6.01*8*(12.3*F534^0.65)*0.079*0.1/F534)*inputs!$E$73/inputs!$E$74</f>
        <v>1.1915271957644034</v>
      </c>
      <c r="Q534" s="60">
        <f>(inputs!$C$7*11.2*(12.3*F534^0.65)*0.5/F534)*inputs!$E$73/inputs!$E$74</f>
        <v>0.62964568680851429</v>
      </c>
      <c r="R534" s="60">
        <f>(60*379*((F534/1000)^0.8)*3*24*(MAX('Min rate concentrations'!$R$3:$R$368))/F534)*(inputs!$E$73/inputs!$E$75)</f>
        <v>1.7200926921716615E-3</v>
      </c>
      <c r="S534" s="60">
        <f>(IF(inputs!$C$6="aerial",((0.025*0.112*inputs!$C$7/3.3)*(3*60*379*((F534/1000)^0.8))*MAX(inputs!$H$14:$H$16))/F534,((0.0083*0.112*inputs!$C$7/1)*(3*60*379*((F534/1000)^0.8))*MAX(inputs!$H$14:$H$16))/F534))*(inputs!E$75/inputs!$E$73)</f>
        <v>9.4864168769134231E-3</v>
      </c>
      <c r="T534" s="63">
        <f>IF((((inputs!$P$12/(V534/MAX(K534:S534)))^(1/inputs!$O$12))-1)/inputs!$N$12&lt;0, 0, IF((((inputs!$P$12/(V534/MAX(K534:S534)))^(1/inputs!$O$12))-1)/inputs!$N$12&gt;inputs!$H$17, inputs!$H$17, (((inputs!$P$12/(V534/MAX(K534:S534)))^(1/inputs!$O$12))-1)/inputs!$N$12))</f>
        <v>9.8049058450499356</v>
      </c>
      <c r="U534" s="63">
        <f>IF((((inputs!$P$12/(X534/MAX(K534:S534)))^(1/inputs!$O$12))-1)/inputs!$N$12&lt;0, 0, IF((((inputs!$P$12/(X534/MAX(K534:S534)))^(1/inputs!$O$12))-1)/inputs!$N$12&gt;inputs!$H$17, inputs!$H$17, (((inputs!$P$12/(X534/MAX(K534:S534)))^(1/inputs!$O$12))-1)/inputs!$N$12))</f>
        <v>0</v>
      </c>
      <c r="V534" s="54">
        <f>inputs!$E$70*(inputs!$F$70/F534)^(0.25)</f>
        <v>0.82281546744781953</v>
      </c>
      <c r="W534" s="54">
        <f>inputs!$E$76*(inputs!$F$76/F534)^(0.25)</f>
        <v>0.24748737341529164</v>
      </c>
      <c r="X534" s="54">
        <f>inputs!$E$72*(inputs!$F$72/F534)^(0.25)</f>
        <v>36.300682387403803</v>
      </c>
      <c r="Y534" s="54" t="s">
        <v>13</v>
      </c>
      <c r="Z534" s="106">
        <f t="shared" si="68"/>
        <v>4.3443295960158892</v>
      </c>
      <c r="AA534" s="106">
        <f t="shared" si="69"/>
        <v>14.443490744454868</v>
      </c>
    </row>
    <row r="535" spans="1:27" x14ac:dyDescent="0.25">
      <c r="A535" s="55" t="s">
        <v>600</v>
      </c>
      <c r="B535" s="49" t="s">
        <v>601</v>
      </c>
      <c r="C535" s="21" t="s">
        <v>61</v>
      </c>
      <c r="D535" s="20" t="s">
        <v>454</v>
      </c>
      <c r="E535" s="20">
        <v>1239</v>
      </c>
      <c r="F535" s="21">
        <v>1400</v>
      </c>
      <c r="G535" s="21" t="s">
        <v>169</v>
      </c>
      <c r="H535" s="21">
        <v>0.79</v>
      </c>
      <c r="I535" s="48">
        <f>MAX('Min rate concentrations'!$D$3:$D$368)</f>
        <v>120</v>
      </c>
      <c r="J535" s="48">
        <f>MAX('Min rate concentrations'!W:W)</f>
        <v>42.5</v>
      </c>
      <c r="K535" s="60">
        <f t="shared" si="70"/>
        <v>36.984437957705509</v>
      </c>
      <c r="L535" s="60">
        <f t="shared" si="71"/>
        <v>13.098655110020699</v>
      </c>
      <c r="M535" s="60">
        <f>IF((((0.326*F535^0.818)-(0.398*F535^0.85)/(1-H535)*H535)*(MAX('Min rate concentrations'!$P$3:$P$368)))/F535&gt;0, (((0.326*F535^0.818)-(0.398*F535^0.85)/(1-H535)*H535)*(MAX('Min rate concentrations'!$P$3:$P$368)))/F535, 0)</f>
        <v>0</v>
      </c>
      <c r="N535" s="60">
        <f>IF((((0.326*F535^0.818)-(0.398*F535^0.85)/(1-H535)*H535)*(MAX('Min rate concentrations'!$Q$3:$Q$368)))/F535&gt; 0, (((0.326*F535^0.818)-(0.398*F535^0.85)/(1-H535)*H535)*(MAX('Min rate concentrations'!$Q$3:$Q$368)))/F535, 0)</f>
        <v>0</v>
      </c>
      <c r="O535" s="60">
        <f>((MAX('Min rate concentrations'!$F$3:$F$368))*0.62*6.01*8*(12.3*F535^0.65)*0.079*0.1/F535)*inputs!$E$73/inputs!$E$74</f>
        <v>3.5745815872932107</v>
      </c>
      <c r="P535" s="60">
        <f>((MAX('Min rate concentrations'!Y:Y))*0.62*6.01*8*(12.3*F535^0.65)*0.079*0.1/F535)*inputs!$E$73/inputs!$E$74</f>
        <v>1.1915271957644034</v>
      </c>
      <c r="Q535" s="60">
        <f>(inputs!$C$7*11.2*(12.3*F535^0.65)*0.5/F535)*inputs!$E$73/inputs!$E$74</f>
        <v>0.62964568680851429</v>
      </c>
      <c r="R535" s="60">
        <f>(60*379*((F535/1000)^0.8)*3*24*(MAX('Min rate concentrations'!$R$3:$R$368))/F535)*(inputs!$E$73/inputs!$E$75)</f>
        <v>1.7200926921716615E-3</v>
      </c>
      <c r="S535" s="60">
        <f>(IF(inputs!$C$6="aerial",((0.025*0.112*inputs!$C$7/3.3)*(3*60*379*((F535/1000)^0.8))*MAX(inputs!$H$14:$H$16))/F535,((0.0083*0.112*inputs!$C$7/1)*(3*60*379*((F535/1000)^0.8))*MAX(inputs!$H$14:$H$16))/F535))*(inputs!E$75/inputs!$E$73)</f>
        <v>9.4864168769134231E-3</v>
      </c>
      <c r="T535" s="63">
        <f>IF((((inputs!$P$12/(V535/MAX(K535:S535)))^(1/inputs!$O$12))-1)/inputs!$N$12&lt;0, 0, IF((((inputs!$P$12/(V535/MAX(K535:S535)))^(1/inputs!$O$12))-1)/inputs!$N$12&gt;inputs!$H$17, inputs!$H$17, (((inputs!$P$12/(V535/MAX(K535:S535)))^(1/inputs!$O$12))-1)/inputs!$N$12))</f>
        <v>70.56899392147227</v>
      </c>
      <c r="U535" s="63">
        <f>IF((((inputs!$P$12/(X535/MAX(K535:S535)))^(1/inputs!$O$12))-1)/inputs!$N$12&lt;0, 0, IF((((inputs!$P$12/(X535/MAX(K535:S535)))^(1/inputs!$O$12))-1)/inputs!$N$12&gt;inputs!$H$17, inputs!$H$17, (((inputs!$P$12/(X535/MAX(K535:S535)))^(1/inputs!$O$12))-1)/inputs!$N$12))</f>
        <v>0</v>
      </c>
      <c r="V535" s="54">
        <f>inputs!$E$70*(inputs!$F$70/F535)^(0.25)</f>
        <v>0.82281546744781953</v>
      </c>
      <c r="W535" s="54">
        <f>inputs!$E$76*(inputs!$F$76/F535)^(0.25)</f>
        <v>0.24748737341529164</v>
      </c>
      <c r="X535" s="54">
        <f>inputs!$E$72*(inputs!$F$72/F535)^(0.25)</f>
        <v>36.300682387403803</v>
      </c>
      <c r="Y535" s="54" t="s">
        <v>13</v>
      </c>
      <c r="Z535" s="106">
        <f t="shared" si="68"/>
        <v>44.948642096413863</v>
      </c>
      <c r="AA535" s="106">
        <f t="shared" si="69"/>
        <v>149.43969644723836</v>
      </c>
    </row>
    <row r="536" spans="1:27" x14ac:dyDescent="0.25">
      <c r="A536" s="55" t="s">
        <v>600</v>
      </c>
      <c r="B536" s="49" t="s">
        <v>601</v>
      </c>
      <c r="C536" s="21" t="s">
        <v>61</v>
      </c>
      <c r="D536" s="20" t="s">
        <v>454</v>
      </c>
      <c r="E536" s="20">
        <v>1239</v>
      </c>
      <c r="F536" s="21">
        <v>1400</v>
      </c>
      <c r="G536" s="21" t="s">
        <v>456</v>
      </c>
      <c r="H536" s="21">
        <v>0.68</v>
      </c>
      <c r="I536" s="48">
        <f>MAX('Min rate concentrations'!$J$3:$J$368)</f>
        <v>114.4108103430513</v>
      </c>
      <c r="J536" s="48">
        <f>MAX('Min rate concentrations'!AB:AB)</f>
        <v>40.520495329830666</v>
      </c>
      <c r="K536" s="60">
        <f t="shared" si="70"/>
        <v>23.140575482627927</v>
      </c>
      <c r="L536" s="60">
        <f t="shared" si="71"/>
        <v>8.1956204834307229</v>
      </c>
      <c r="M536" s="60">
        <f>IF((((0.326*F536^0.818)-(0.398*F536^0.85)/(1-H536)*H536)*(MAX('Min rate concentrations'!$P$3:$P$368)))/F536&gt;0, (((0.326*F536^0.818)-(0.398*F536^0.85)/(1-H536)*H536)*(MAX('Min rate concentrations'!$P$3:$P$368)))/F536, 0)</f>
        <v>0</v>
      </c>
      <c r="N536" s="60">
        <f>IF((((0.326*F536^0.818)-(0.398*F536^0.85)/(1-H536)*H536)*(MAX('Min rate concentrations'!$Q$3:$Q$368)))/F536&gt; 0, (((0.326*F536^0.818)-(0.398*F536^0.85)/(1-H536)*H536)*(MAX('Min rate concentrations'!$Q$3:$Q$368)))/F536, 0)</f>
        <v>0</v>
      </c>
      <c r="O536" s="60">
        <f>((MAX('Min rate concentrations'!$F$3:$F$368))*0.62*6.01*8*(12.3*F536^0.65)*0.079*0.1/F536)*inputs!$E$73/inputs!$E$74</f>
        <v>3.5745815872932107</v>
      </c>
      <c r="P536" s="60">
        <f>((MAX('Min rate concentrations'!Y:Y))*0.62*6.01*8*(12.3*F536^0.65)*0.079*0.1/F536)*inputs!$E$73/inputs!$E$74</f>
        <v>1.1915271957644034</v>
      </c>
      <c r="Q536" s="60">
        <f>(inputs!$C$7*11.2*(12.3*F536^0.65)*0.5/F536)*inputs!$E$73/inputs!$E$74</f>
        <v>0.62964568680851429</v>
      </c>
      <c r="R536" s="60">
        <f>(60*379*((F536/1000)^0.8)*3*24*(MAX('Min rate concentrations'!$R$3:$R$368))/F536)*(inputs!$E$73/inputs!$E$75)</f>
        <v>1.7200926921716615E-3</v>
      </c>
      <c r="S536" s="60">
        <f>(IF(inputs!$C$6="aerial",((0.025*0.112*inputs!$C$7/3.3)*(3*60*379*((F536/1000)^0.8))*MAX(inputs!$H$14:$H$16))/F536,((0.0083*0.112*inputs!$C$7/1)*(3*60*379*((F536/1000)^0.8))*MAX(inputs!$H$14:$H$16))/F536))*(inputs!E$75/inputs!$E$73)</f>
        <v>9.4864168769134231E-3</v>
      </c>
      <c r="T536" s="63">
        <f>IF((((inputs!$P$12/(V536/MAX(K536:S536)))^(1/inputs!$O$12))-1)/inputs!$N$12&lt;0, 0, IF((((inputs!$P$12/(V536/MAX(K536:S536)))^(1/inputs!$O$12))-1)/inputs!$N$12&gt;inputs!$H$17, inputs!$H$17, (((inputs!$P$12/(V536/MAX(K536:S536)))^(1/inputs!$O$12))-1)/inputs!$N$12))</f>
        <v>53.368594028202402</v>
      </c>
      <c r="U536" s="63">
        <f>IF((((inputs!$P$12/(X536/MAX(K536:S536)))^(1/inputs!$O$12))-1)/inputs!$N$12&lt;0, 0, IF((((inputs!$P$12/(X536/MAX(K536:S536)))^(1/inputs!$O$12))-1)/inputs!$N$12&gt;inputs!$H$17, inputs!$H$17, (((inputs!$P$12/(X536/MAX(K536:S536)))^(1/inputs!$O$12))-1)/inputs!$N$12))</f>
        <v>0</v>
      </c>
      <c r="V536" s="54">
        <f>inputs!$E$70*(inputs!$F$70/F536)^(0.25)</f>
        <v>0.82281546744781953</v>
      </c>
      <c r="W536" s="54">
        <f>inputs!$E$76*(inputs!$F$76/F536)^(0.25)</f>
        <v>0.24748737341529164</v>
      </c>
      <c r="X536" s="54">
        <f>inputs!$E$72*(inputs!$F$72/F536)^(0.25)</f>
        <v>36.300682387403803</v>
      </c>
      <c r="Y536" s="54" t="s">
        <v>13</v>
      </c>
      <c r="Z536" s="106">
        <f t="shared" si="68"/>
        <v>28.123651533198036</v>
      </c>
      <c r="AA536" s="106">
        <f t="shared" si="69"/>
        <v>93.502044824716407</v>
      </c>
    </row>
    <row r="537" spans="1:27" x14ac:dyDescent="0.25">
      <c r="A537" s="55" t="s">
        <v>600</v>
      </c>
      <c r="B537" s="49" t="s">
        <v>601</v>
      </c>
      <c r="C537" s="21" t="s">
        <v>61</v>
      </c>
      <c r="D537" s="20" t="s">
        <v>454</v>
      </c>
      <c r="E537" s="20">
        <v>1239</v>
      </c>
      <c r="F537" s="21">
        <v>1400</v>
      </c>
      <c r="G537" s="21" t="s">
        <v>145</v>
      </c>
      <c r="H537" s="21">
        <v>0.66</v>
      </c>
      <c r="I537" s="48">
        <f>MAX('Min rate concentrations'!$M$3:$M$368)</f>
        <v>2.8488184789681945</v>
      </c>
      <c r="J537" s="48">
        <f>MAX('Min rate concentrations'!AE:AE)</f>
        <v>1.9699276716269429</v>
      </c>
      <c r="K537" s="60">
        <f t="shared" si="70"/>
        <v>0.54230415589496261</v>
      </c>
      <c r="L537" s="60">
        <f t="shared" si="71"/>
        <v>0.37499755460821876</v>
      </c>
      <c r="M537" s="60">
        <f>IF((((0.326*F537^0.818)-(0.398*F537^0.85)/(1-H537)*H537)*(MAX('Min rate concentrations'!$P$3:$P$368)))/F537&gt;0, (((0.326*F537^0.818)-(0.398*F537^0.85)/(1-H537)*H537)*(MAX('Min rate concentrations'!$P$3:$P$368)))/F537, 0)</f>
        <v>0</v>
      </c>
      <c r="N537" s="60">
        <f>IF((((0.326*F537^0.818)-(0.398*F537^0.85)/(1-H537)*H537)*(MAX('Min rate concentrations'!$Q$3:$Q$368)))/F537&gt; 0, (((0.326*F537^0.818)-(0.398*F537^0.85)/(1-H537)*H537)*(MAX('Min rate concentrations'!$Q$3:$Q$368)))/F537, 0)</f>
        <v>0</v>
      </c>
      <c r="O537" s="60">
        <f>((MAX('Min rate concentrations'!$F$3:$F$368))*0.62*6.01*8*(12.3*F537^0.65)*0.079*0.1/F537)*inputs!$E$73/inputs!$E$74</f>
        <v>3.5745815872932107</v>
      </c>
      <c r="P537" s="60">
        <f>((MAX('Min rate concentrations'!Y:Y))*0.62*6.01*8*(12.3*F537^0.65)*0.079*0.1/F537)*inputs!$E$73/inputs!$E$74</f>
        <v>1.1915271957644034</v>
      </c>
      <c r="Q537" s="60">
        <f>(inputs!$C$7*11.2*(12.3*F537^0.65)*0.5/F537)*inputs!$E$73/inputs!$E$74</f>
        <v>0.62964568680851429</v>
      </c>
      <c r="R537" s="60">
        <f>(60*379*((F537/1000)^0.8)*3*24*(MAX('Min rate concentrations'!$R$3:$R$368))/F537)*(inputs!$E$73/inputs!$E$75)</f>
        <v>1.7200926921716615E-3</v>
      </c>
      <c r="S537" s="60">
        <f>(IF(inputs!$C$6="aerial",((0.025*0.112*inputs!$C$7/3.3)*(3*60*379*((F537/1000)^0.8))*MAX(inputs!$H$14:$H$16))/F537,((0.0083*0.112*inputs!$C$7/1)*(3*60*379*((F537/1000)^0.8))*MAX(inputs!$H$14:$H$16))/F537))*(inputs!E$75/inputs!$E$73)</f>
        <v>9.4864168769134231E-3</v>
      </c>
      <c r="T537" s="63">
        <f>IF((((inputs!$P$12/(V537/MAX(K537:S537)))^(1/inputs!$O$12))-1)/inputs!$N$12&lt;0, 0, IF((((inputs!$P$12/(V537/MAX(K537:S537)))^(1/inputs!$O$12))-1)/inputs!$N$12&gt;inputs!$H$17, inputs!$H$17, (((inputs!$P$12/(V537/MAX(K537:S537)))^(1/inputs!$O$12))-1)/inputs!$N$12))</f>
        <v>9.8049058450499356</v>
      </c>
      <c r="U537" s="63">
        <f>IF((((inputs!$P$12/(X537/MAX(K537:S537)))^(1/inputs!$O$12))-1)/inputs!$N$12&lt;0, 0, IF((((inputs!$P$12/(X537/MAX(K537:S537)))^(1/inputs!$O$12))-1)/inputs!$N$12&gt;inputs!$H$17, inputs!$H$17, (((inputs!$P$12/(X537/MAX(K537:S537)))^(1/inputs!$O$12))-1)/inputs!$N$12))</f>
        <v>0</v>
      </c>
      <c r="V537" s="54">
        <f>inputs!$E$70*(inputs!$F$70/F537)^(0.25)</f>
        <v>0.82281546744781953</v>
      </c>
      <c r="W537" s="54">
        <f>inputs!$E$76*(inputs!$F$76/F537)^(0.25)</f>
        <v>0.24748737341529164</v>
      </c>
      <c r="X537" s="54">
        <f>inputs!$E$72*(inputs!$F$72/F537)^(0.25)</f>
        <v>36.300682387403803</v>
      </c>
      <c r="Y537" s="54" t="s">
        <v>13</v>
      </c>
      <c r="Z537" s="106">
        <f t="shared" si="68"/>
        <v>4.3443295960158892</v>
      </c>
      <c r="AA537" s="106">
        <f t="shared" si="69"/>
        <v>14.443490744454868</v>
      </c>
    </row>
    <row r="538" spans="1:27" x14ac:dyDescent="0.25">
      <c r="A538" s="185" t="s">
        <v>872</v>
      </c>
      <c r="B538" s="54" t="s">
        <v>874</v>
      </c>
      <c r="C538" s="21" t="s">
        <v>61</v>
      </c>
      <c r="D538" s="186" t="s">
        <v>454</v>
      </c>
      <c r="E538" s="21">
        <v>11260</v>
      </c>
      <c r="F538" s="21">
        <v>4200</v>
      </c>
      <c r="G538" s="21" t="s">
        <v>456</v>
      </c>
      <c r="H538" s="21">
        <v>0.68</v>
      </c>
      <c r="I538" s="48">
        <f>MAX('Min rate concentrations'!$J$3:$J$368)</f>
        <v>114.4108103430513</v>
      </c>
      <c r="J538" s="48">
        <f>MAX('Min rate concentrations'!AB:AB)</f>
        <v>40.520495329830666</v>
      </c>
      <c r="K538" s="60">
        <f t="shared" si="70"/>
        <v>19.03034106573714</v>
      </c>
      <c r="L538" s="60">
        <f t="shared" si="71"/>
        <v>6.7399124607819036</v>
      </c>
      <c r="M538" s="60">
        <f>IF((((0.326*F538^0.818)-(0.398*F538^0.85)/(1-H538)*H538)*(MAX('Min rate concentrations'!$P$3:$P$368)))/F538&gt;0, (((0.326*F538^0.818)-(0.398*F538^0.85)/(1-H538)*H538)*(MAX('Min rate concentrations'!$P$3:$P$368)))/F538, 0)</f>
        <v>0</v>
      </c>
      <c r="N538" s="60">
        <f>IF((((0.326*F538^0.818)-(0.398*F538^0.85)/(1-H538)*H538)*(MAX('Min rate concentrations'!$Q$3:$Q$368)))/F538&gt; 0, (((0.326*F538^0.818)-(0.398*F538^0.85)/(1-H538)*H538)*(MAX('Min rate concentrations'!$Q$3:$Q$368)))/F538, 0)</f>
        <v>0</v>
      </c>
      <c r="O538" s="60">
        <f>((MAX('Min rate concentrations'!$F$3:$F$368))*0.62*6.01*8*(12.3*F538^0.65)*0.079*0.1/F538)*inputs!$E$73/inputs!$E$74</f>
        <v>2.4335079805591318</v>
      </c>
      <c r="P538" s="60">
        <f>((MAX('Min rate concentrations'!Y:Y))*0.62*6.01*8*(12.3*F538^0.65)*0.079*0.1/F538)*inputs!$E$73/inputs!$E$74</f>
        <v>0.81116932685304399</v>
      </c>
      <c r="Q538" s="60">
        <f>(inputs!$C$7*11.2*(12.3*F538^0.65)*0.5/F538)*inputs!$E$73/inputs!$E$74</f>
        <v>0.42865095294507549</v>
      </c>
      <c r="R538" s="60">
        <f>(60*379*((F538/1000)^0.8)*3*24*(MAX('Min rate concentrations'!$R$3:$R$368))/F538)*(inputs!$E$73/inputs!$E$75)</f>
        <v>1.380789894086239E-3</v>
      </c>
      <c r="S538" s="60">
        <f>(IF(inputs!$C$6="aerial",((0.025*0.112*inputs!$C$7/3.3)*(3*60*379*((F538/1000)^0.8))*MAX(inputs!$H$14:$H$16))/F538,((0.0083*0.112*inputs!$C$7/1)*(3*60*379*((F538/1000)^0.8))*MAX(inputs!$H$14:$H$16))/F538))*(inputs!E$75/inputs!$E$73)</f>
        <v>7.615141099282091E-3</v>
      </c>
      <c r="T538" s="63">
        <f>IF((((inputs!$P$12/(V538/MAX(K538:S538)))^(1/inputs!$O$12))-1)/inputs!$N$12&lt;0, 0, IF((((inputs!$P$12/(V538/MAX(K538:S538)))^(1/inputs!$O$12))-1)/inputs!$N$12&gt;inputs!$H$17, inputs!$H$17, (((inputs!$P$12/(V538/MAX(K538:S538)))^(1/inputs!$O$12))-1)/inputs!$N$12))</f>
        <v>56.045039948555143</v>
      </c>
      <c r="U538" s="63">
        <f>IF((((inputs!$P$12/(X538/MAX(K538:S538)))^(1/inputs!$O$12))-1)/inputs!$N$12&lt;0, 0, IF((((inputs!$P$12/(X538/MAX(K538:S538)))^(1/inputs!$O$12))-1)/inputs!$N$12&gt;inputs!$H$17, inputs!$H$17, (((inputs!$P$12/(X538/MAX(K538:S538)))^(1/inputs!$O$12))-1)/inputs!$N$12))</f>
        <v>0</v>
      </c>
      <c r="V538" s="54">
        <f>inputs!$E$70*(inputs!$F$70/F538)^(0.25)</f>
        <v>0.62520455487294957</v>
      </c>
      <c r="W538" s="54">
        <f>inputs!$E$76*(inputs!$F$76/F538)^(0.25)</f>
        <v>0.18804973806911984</v>
      </c>
      <c r="X538" s="54">
        <f>inputs!$E$72*(inputs!$F$72/F538)^(0.25)</f>
        <v>27.58255389145366</v>
      </c>
      <c r="Y538" s="54" t="s">
        <v>13</v>
      </c>
      <c r="Z538" s="106">
        <f t="shared" si="68"/>
        <v>30.43858352824121</v>
      </c>
      <c r="AA538" s="106">
        <f t="shared" si="69"/>
        <v>101.19844494940121</v>
      </c>
    </row>
    <row r="539" spans="1:27" x14ac:dyDescent="0.25">
      <c r="A539" s="185" t="s">
        <v>872</v>
      </c>
      <c r="B539" s="54" t="s">
        <v>874</v>
      </c>
      <c r="C539" s="21" t="s">
        <v>61</v>
      </c>
      <c r="D539" s="186" t="s">
        <v>454</v>
      </c>
      <c r="E539" s="21">
        <v>11260</v>
      </c>
      <c r="F539" s="21">
        <v>4200</v>
      </c>
      <c r="G539" s="21" t="s">
        <v>152</v>
      </c>
      <c r="H539" s="21">
        <v>0.77</v>
      </c>
      <c r="I539" s="48">
        <f>MAX('Min rate concentrations'!$G$3:$G$368)</f>
        <v>7.5</v>
      </c>
      <c r="J539" s="48">
        <f>MAX('Min rate concentrations'!Z:Z)</f>
        <v>3.5</v>
      </c>
      <c r="K539" s="60">
        <f t="shared" si="70"/>
        <v>1.7356530505717296</v>
      </c>
      <c r="L539" s="60">
        <f t="shared" si="71"/>
        <v>0.80997142360014052</v>
      </c>
      <c r="M539" s="60">
        <f>IF((((0.326*F539^0.818)-(0.398*F539^0.85)/(1-H539)*H539)*(MAX('Min rate concentrations'!$P$3:$P$368)))/F539&gt;0, (((0.326*F539^0.818)-(0.398*F539^0.85)/(1-H539)*H539)*(MAX('Min rate concentrations'!$P$3:$P$368)))/F539, 0)</f>
        <v>0</v>
      </c>
      <c r="N539" s="60">
        <f>IF((((0.326*F539^0.818)-(0.398*F539^0.85)/(1-H539)*H539)*(MAX('Min rate concentrations'!$Q$3:$Q$368)))/F539&gt; 0, (((0.326*F539^0.818)-(0.398*F539^0.85)/(1-H539)*H539)*(MAX('Min rate concentrations'!$Q$3:$Q$368)))/F539, 0)</f>
        <v>0</v>
      </c>
      <c r="O539" s="60">
        <f>((MAX('Min rate concentrations'!$F$3:$F$368))*0.62*6.01*8*(12.3*F539^0.65)*0.079*0.1/F539)*inputs!$E$73/inputs!$E$74</f>
        <v>2.4335079805591318</v>
      </c>
      <c r="P539" s="60">
        <f>((MAX('Min rate concentrations'!Y:Y))*0.62*6.01*8*(12.3*F539^0.65)*0.079*0.1/F539)*inputs!$E$73/inputs!$E$74</f>
        <v>0.81116932685304399</v>
      </c>
      <c r="Q539" s="60">
        <f>(inputs!$C$7*11.2*(12.3*F539^0.65)*0.5/F539)*inputs!$E$73/inputs!$E$74</f>
        <v>0.42865095294507549</v>
      </c>
      <c r="R539" s="60">
        <f>(60*379*((F539/1000)^0.8)*3*24*(MAX('Min rate concentrations'!$R$3:$R$368))/F539)*(inputs!$E$73/inputs!$E$75)</f>
        <v>1.380789894086239E-3</v>
      </c>
      <c r="S539" s="60">
        <f>(IF(inputs!$C$6="aerial",((0.025*0.112*inputs!$C$7/3.3)*(3*60*379*((F539/1000)^0.8))*MAX(inputs!$H$14:$H$16))/F539,((0.0083*0.112*inputs!$C$7/1)*(3*60*379*((F539/1000)^0.8))*MAX(inputs!$H$14:$H$16))/F539))*(inputs!E$75/inputs!$E$73)</f>
        <v>7.615141099282091E-3</v>
      </c>
      <c r="T539" s="63">
        <f>IF((((inputs!$P$12/(V539/MAX(K539:S539)))^(1/inputs!$O$12))-1)/inputs!$N$12&lt;0, 0, IF((((inputs!$P$12/(V539/MAX(K539:S539)))^(1/inputs!$O$12))-1)/inputs!$N$12&gt;inputs!$H$17, inputs!$H$17, (((inputs!$P$12/(V539/MAX(K539:S539)))^(1/inputs!$O$12))-1)/inputs!$N$12))</f>
        <v>8.1313857684384878</v>
      </c>
      <c r="U539" s="63">
        <f>IF((((inputs!$P$12/(X539/MAX(K539:S539)))^(1/inputs!$O$12))-1)/inputs!$N$12&lt;0, 0, IF((((inputs!$P$12/(X539/MAX(K539:S539)))^(1/inputs!$O$12))-1)/inputs!$N$12&gt;inputs!$H$17, inputs!$H$17, (((inputs!$P$12/(X539/MAX(K539:S539)))^(1/inputs!$O$12))-1)/inputs!$N$12))</f>
        <v>0</v>
      </c>
      <c r="V539" s="54">
        <f>inputs!$E$70*(inputs!$F$70/F539)^(0.25)</f>
        <v>0.62520455487294957</v>
      </c>
      <c r="W539" s="54">
        <f>inputs!$E$76*(inputs!$F$76/F539)^(0.25)</f>
        <v>0.18804973806911984</v>
      </c>
      <c r="X539" s="54">
        <f>inputs!$E$72*(inputs!$F$72/F539)^(0.25)</f>
        <v>27.58255389145366</v>
      </c>
      <c r="Y539" s="54" t="s">
        <v>13</v>
      </c>
      <c r="Z539" s="106">
        <f t="shared" si="68"/>
        <v>3.8923388538870372</v>
      </c>
      <c r="AA539" s="106">
        <f t="shared" si="69"/>
        <v>12.94076772212609</v>
      </c>
    </row>
    <row r="540" spans="1:27" x14ac:dyDescent="0.25">
      <c r="A540" s="185" t="s">
        <v>872</v>
      </c>
      <c r="B540" s="54" t="s">
        <v>874</v>
      </c>
      <c r="C540" s="21" t="s">
        <v>61</v>
      </c>
      <c r="D540" s="186" t="s">
        <v>454</v>
      </c>
      <c r="E540" s="21">
        <v>11260</v>
      </c>
      <c r="F540" s="21">
        <v>4200</v>
      </c>
      <c r="G540" s="21" t="s">
        <v>218</v>
      </c>
      <c r="H540" s="21">
        <v>0.68</v>
      </c>
      <c r="I540" s="48">
        <f>MAX('Min rate concentrations'!$K$3:$K$368)</f>
        <v>18.333393099490852</v>
      </c>
      <c r="J540" s="48">
        <f>MAX('Min rate concentrations'!AC:AC)</f>
        <v>6.4930767227363431</v>
      </c>
      <c r="K540" s="60">
        <f t="shared" si="70"/>
        <v>3.0494559257942746</v>
      </c>
      <c r="L540" s="60">
        <f t="shared" si="71"/>
        <v>1.0800156403854722</v>
      </c>
      <c r="M540" s="60">
        <f>IF((((0.326*F540^0.818)-(0.398*F540^0.85)/(1-H540)*H540)*(MAX('Min rate concentrations'!$P$3:$P$368)))/F540&gt;0, (((0.326*F540^0.818)-(0.398*F540^0.85)/(1-H540)*H540)*(MAX('Min rate concentrations'!$P$3:$P$368)))/F540, 0)</f>
        <v>0</v>
      </c>
      <c r="N540" s="60">
        <f>IF((((0.326*F540^0.818)-(0.398*F540^0.85)/(1-H540)*H540)*(MAX('Min rate concentrations'!$Q$3:$Q$368)))/F540&gt; 0, (((0.326*F540^0.818)-(0.398*F540^0.85)/(1-H540)*H540)*(MAX('Min rate concentrations'!$Q$3:$Q$368)))/F540, 0)</f>
        <v>0</v>
      </c>
      <c r="O540" s="60">
        <f>((MAX('Min rate concentrations'!$F$3:$F$368))*0.62*6.01*8*(12.3*F540^0.65)*0.079*0.1/F540)*inputs!$E$73/inputs!$E$74</f>
        <v>2.4335079805591318</v>
      </c>
      <c r="P540" s="60">
        <f>((MAX('Min rate concentrations'!Y:Y))*0.62*6.01*8*(12.3*F540^0.65)*0.079*0.1/F540)*inputs!$E$73/inputs!$E$74</f>
        <v>0.81116932685304399</v>
      </c>
      <c r="Q540" s="60">
        <f>(inputs!$C$7*11.2*(12.3*F540^0.65)*0.5/F540)*inputs!$E$73/inputs!$E$74</f>
        <v>0.42865095294507549</v>
      </c>
      <c r="R540" s="60">
        <f>(60*379*((F540/1000)^0.8)*3*24*(MAX('Min rate concentrations'!$R$3:$R$368))/F540)*(inputs!$E$73/inputs!$E$75)</f>
        <v>1.380789894086239E-3</v>
      </c>
      <c r="S540" s="60">
        <f>(IF(inputs!$C$6="aerial",((0.025*0.112*inputs!$C$7/3.3)*(3*60*379*((F540/1000)^0.8))*MAX(inputs!$H$14:$H$16))/F540,((0.0083*0.112*inputs!$C$7/1)*(3*60*379*((F540/1000)^0.8))*MAX(inputs!$H$14:$H$16))/F540))*(inputs!E$75/inputs!$E$73)</f>
        <v>7.615141099282091E-3</v>
      </c>
      <c r="T540" s="63">
        <f>IF((((inputs!$P$12/(V540/MAX(K540:S540)))^(1/inputs!$O$12))-1)/inputs!$N$12&lt;0, 0, IF((((inputs!$P$12/(V540/MAX(K540:S540)))^(1/inputs!$O$12))-1)/inputs!$N$12&gt;inputs!$H$17, inputs!$H$17, (((inputs!$P$12/(V540/MAX(K540:S540)))^(1/inputs!$O$12))-1)/inputs!$N$12))</f>
        <v>11.651227697497855</v>
      </c>
      <c r="U540" s="63">
        <f>IF((((inputs!$P$12/(X540/MAX(K540:S540)))^(1/inputs!$O$12))-1)/inputs!$N$12&lt;0, 0, IF((((inputs!$P$12/(X540/MAX(K540:S540)))^(1/inputs!$O$12))-1)/inputs!$N$12&gt;inputs!$H$17, inputs!$H$17, (((inputs!$P$12/(X540/MAX(K540:S540)))^(1/inputs!$O$12))-1)/inputs!$N$12))</f>
        <v>0</v>
      </c>
      <c r="V540" s="54">
        <f>inputs!$E$70*(inputs!$F$70/F540)^(0.25)</f>
        <v>0.62520455487294957</v>
      </c>
      <c r="W540" s="54">
        <f>inputs!$E$76*(inputs!$F$76/F540)^(0.25)</f>
        <v>0.18804973806911984</v>
      </c>
      <c r="X540" s="54">
        <f>inputs!$E$72*(inputs!$F$72/F540)^(0.25)</f>
        <v>27.58255389145366</v>
      </c>
      <c r="Y540" s="54" t="s">
        <v>13</v>
      </c>
      <c r="Z540" s="106">
        <f t="shared" si="68"/>
        <v>4.8775331242011939</v>
      </c>
      <c r="AA540" s="106">
        <f t="shared" si="69"/>
        <v>16.216220012353393</v>
      </c>
    </row>
    <row r="541" spans="1:27" x14ac:dyDescent="0.25">
      <c r="A541" s="187" t="s">
        <v>872</v>
      </c>
      <c r="B541" s="188" t="s">
        <v>874</v>
      </c>
      <c r="C541" s="189" t="s">
        <v>61</v>
      </c>
      <c r="D541" s="190" t="s">
        <v>454</v>
      </c>
      <c r="E541" s="189">
        <v>11260</v>
      </c>
      <c r="F541" s="189">
        <v>4200</v>
      </c>
      <c r="G541" s="189" t="s">
        <v>138</v>
      </c>
      <c r="H541" s="189">
        <v>0.68</v>
      </c>
      <c r="I541" s="191">
        <f>MAX('Min rate concentrations'!$L$3:$L$368)</f>
        <v>58.421240152220811</v>
      </c>
      <c r="J541" s="191">
        <f>MAX('Min rate concentrations'!AD:AD)</f>
        <v>40.397666062705881</v>
      </c>
      <c r="K541" s="192">
        <f t="shared" si="70"/>
        <v>9.7174045201369612</v>
      </c>
      <c r="L541" s="192">
        <f t="shared" si="71"/>
        <v>6.7194818490308768</v>
      </c>
      <c r="M541" s="192">
        <f>IF((((0.326*F541^0.818)-(0.398*F541^0.85)/(1-H541)*H541)*(MAX('Min rate concentrations'!$P$3:$P$368)))/F541&gt;0, (((0.326*F541^0.818)-(0.398*F541^0.85)/(1-H541)*H541)*(MAX('Min rate concentrations'!$P$3:$P$368)))/F541, 0)</f>
        <v>0</v>
      </c>
      <c r="N541" s="192">
        <f>IF((((0.326*F541^0.818)-(0.398*F541^0.85)/(1-H541)*H541)*(MAX('Min rate concentrations'!$Q$3:$Q$368)))/F541&gt; 0, (((0.326*F541^0.818)-(0.398*F541^0.85)/(1-H541)*H541)*(MAX('Min rate concentrations'!$Q$3:$Q$368)))/F541, 0)</f>
        <v>0</v>
      </c>
      <c r="O541" s="192">
        <f>((MAX('Min rate concentrations'!$F$3:$F$368))*0.62*6.01*8*(12.3*F541^0.65)*0.079*0.1/F541)*inputs!$E$73/inputs!$E$74</f>
        <v>2.4335079805591318</v>
      </c>
      <c r="P541" s="192">
        <f>((MAX('Min rate concentrations'!Y:Y))*0.62*6.01*8*(12.3*F541^0.65)*0.079*0.1/F541)*inputs!$E$73/inputs!$E$74</f>
        <v>0.81116932685304399</v>
      </c>
      <c r="Q541" s="192">
        <f>(inputs!$C$7*11.2*(12.3*F541^0.65)*0.5/F541)*inputs!$E$73/inputs!$E$74</f>
        <v>0.42865095294507549</v>
      </c>
      <c r="R541" s="192">
        <f>(60*379*((F541/1000)^0.8)*3*24*(MAX('Min rate concentrations'!$R$3:$R$368))/F541)*(inputs!$E$73/inputs!$E$75)</f>
        <v>1.380789894086239E-3</v>
      </c>
      <c r="S541" s="192">
        <f>(IF(inputs!$C$6="aerial",((0.025*0.112*inputs!$C$7/3.3)*(3*60*379*((F541/1000)^0.8))*MAX(inputs!$H$14:$H$16))/F541,((0.0083*0.112*inputs!$C$7/1)*(3*60*379*((F541/1000)^0.8))*MAX(inputs!$H$14:$H$16))/F541))*(inputs!E$75/inputs!$E$73)</f>
        <v>7.615141099282091E-3</v>
      </c>
      <c r="T541" s="193">
        <f>IF((((inputs!$P$12/(V541/MAX(K541:S541)))^(1/inputs!$O$12))-1)/inputs!$N$12&lt;0, 0, IF((((inputs!$P$12/(V541/MAX(K541:S541)))^(1/inputs!$O$12))-1)/inputs!$N$12&gt;inputs!$H$17, inputs!$H$17, (((inputs!$P$12/(V541/MAX(K541:S541)))^(1/inputs!$O$12))-1)/inputs!$N$12))</f>
        <v>35.824977346612776</v>
      </c>
      <c r="U541" s="193">
        <f>IF((((inputs!$P$12/(X541/MAX(K541:S541)))^(1/inputs!$O$12))-1)/inputs!$N$12&lt;0, 0, IF((((inputs!$P$12/(X541/MAX(K541:S541)))^(1/inputs!$O$12))-1)/inputs!$N$12&gt;inputs!$H$17, inputs!$H$17, (((inputs!$P$12/(X541/MAX(K541:S541)))^(1/inputs!$O$12))-1)/inputs!$N$12))</f>
        <v>0</v>
      </c>
      <c r="V541" s="188">
        <f>inputs!$E$70*(inputs!$F$70/F541)^(0.25)</f>
        <v>0.62520455487294957</v>
      </c>
      <c r="W541" s="188">
        <f>inputs!$E$76*(inputs!$F$76/F541)^(0.25)</f>
        <v>0.18804973806911984</v>
      </c>
      <c r="X541" s="188">
        <f>inputs!$E$72*(inputs!$F$72/F541)^(0.25)</f>
        <v>27.58255389145366</v>
      </c>
      <c r="Y541" s="188" t="s">
        <v>13</v>
      </c>
      <c r="Z541" s="194">
        <f t="shared" si="68"/>
        <v>15.542760276453322</v>
      </c>
      <c r="AA541" s="194">
        <f t="shared" si="69"/>
        <v>51.674650653143786</v>
      </c>
    </row>
    <row r="542" spans="1:27" x14ac:dyDescent="0.25">
      <c r="A542" s="187" t="s">
        <v>872</v>
      </c>
      <c r="B542" s="188" t="s">
        <v>874</v>
      </c>
      <c r="C542" s="189" t="s">
        <v>61</v>
      </c>
      <c r="D542" s="190" t="s">
        <v>454</v>
      </c>
      <c r="E542" s="189">
        <v>11260</v>
      </c>
      <c r="F542" s="189">
        <v>4200</v>
      </c>
      <c r="G542" s="189" t="s">
        <v>142</v>
      </c>
      <c r="H542" s="189">
        <v>0.69</v>
      </c>
      <c r="I542" s="191">
        <f>MAX('Min rate concentrations'!$H$3:$H$368)</f>
        <v>47</v>
      </c>
      <c r="J542" s="191">
        <f>MAX('Min rate concentrations'!AA:AA)</f>
        <v>32.5</v>
      </c>
      <c r="K542" s="192">
        <f t="shared" si="70"/>
        <v>8.0698535383571564</v>
      </c>
      <c r="L542" s="192">
        <f t="shared" si="71"/>
        <v>5.5802178722682472</v>
      </c>
      <c r="M542" s="192">
        <f>IF((((0.326*F542^0.818)-(0.398*F542^0.85)/(1-H542)*H542)*(MAX('Min rate concentrations'!$P$3:$P$368)))/F542&gt;0, (((0.326*F542^0.818)-(0.398*F542^0.85)/(1-H542)*H542)*(MAX('Min rate concentrations'!$P$3:$P$368)))/F542, 0)</f>
        <v>0</v>
      </c>
      <c r="N542" s="192">
        <f>IF((((0.326*F542^0.818)-(0.398*F542^0.85)/(1-H542)*H542)*(MAX('Min rate concentrations'!$Q$3:$Q$368)))/F542&gt; 0, (((0.326*F542^0.818)-(0.398*F542^0.85)/(1-H542)*H542)*(MAX('Min rate concentrations'!$Q$3:$Q$368)))/F542, 0)</f>
        <v>0</v>
      </c>
      <c r="O542" s="192">
        <f>((MAX('Min rate concentrations'!$F$3:$F$368))*0.62*6.01*8*(12.3*F542^0.65)*0.079*0.1/F542)*inputs!$E$73/inputs!$E$74</f>
        <v>2.4335079805591318</v>
      </c>
      <c r="P542" s="192">
        <f>((MAX('Min rate concentrations'!Y:Y))*0.62*6.01*8*(12.3*F542^0.65)*0.079*0.1/F542)*inputs!$E$73/inputs!$E$74</f>
        <v>0.81116932685304399</v>
      </c>
      <c r="Q542" s="192">
        <f>(inputs!$C$7*11.2*(12.3*F542^0.65)*0.5/F542)*inputs!$E$73/inputs!$E$74</f>
        <v>0.42865095294507549</v>
      </c>
      <c r="R542" s="192">
        <f>(60*379*((F542/1000)^0.8)*3*24*(MAX('Min rate concentrations'!$R$3:$R$368))/F542)*(inputs!$E$73/inputs!$E$75)</f>
        <v>1.380789894086239E-3</v>
      </c>
      <c r="S542" s="192">
        <f>(IF(inputs!$C$6="aerial",((0.025*0.112*inputs!$C$7/3.3)*(3*60*379*((F542/1000)^0.8))*MAX(inputs!$H$14:$H$16))/F542,((0.0083*0.112*inputs!$C$7/1)*(3*60*379*((F542/1000)^0.8))*MAX(inputs!$H$14:$H$16))/F542))*(inputs!E$75/inputs!$E$73)</f>
        <v>7.615141099282091E-3</v>
      </c>
      <c r="T542" s="193">
        <f>IF((((inputs!$P$12/(V542/MAX(K542:S542)))^(1/inputs!$O$12))-1)/inputs!$N$12&lt;0, 0, IF((((inputs!$P$12/(V542/MAX(K542:S542)))^(1/inputs!$O$12))-1)/inputs!$N$12&gt;inputs!$H$17, inputs!$H$17, (((inputs!$P$12/(V542/MAX(K542:S542)))^(1/inputs!$O$12))-1)/inputs!$N$12))</f>
        <v>31.144117890938215</v>
      </c>
      <c r="U542" s="193">
        <f>IF((((inputs!$P$12/(X542/MAX(K542:S542)))^(1/inputs!$O$12))-1)/inputs!$N$12&lt;0, 0, IF((((inputs!$P$12/(X542/MAX(K542:S542)))^(1/inputs!$O$12))-1)/inputs!$N$12&gt;inputs!$H$17, inputs!$H$17, (((inputs!$P$12/(X542/MAX(K542:S542)))^(1/inputs!$O$12))-1)/inputs!$N$12))</f>
        <v>0</v>
      </c>
      <c r="V542" s="188">
        <f>inputs!$E$70*(inputs!$F$70/F542)^(0.25)</f>
        <v>0.62520455487294957</v>
      </c>
      <c r="W542" s="188">
        <f>inputs!$E$76*(inputs!$F$76/F542)^(0.25)</f>
        <v>0.18804973806911984</v>
      </c>
      <c r="X542" s="188">
        <f>inputs!$E$72*(inputs!$F$72/F542)^(0.25)</f>
        <v>27.58255389145366</v>
      </c>
      <c r="Y542" s="188" t="s">
        <v>13</v>
      </c>
      <c r="Z542" s="194">
        <f t="shared" si="68"/>
        <v>12.907541180657368</v>
      </c>
      <c r="AA542" s="194">
        <f t="shared" si="69"/>
        <v>42.913399514499666</v>
      </c>
    </row>
    <row r="543" spans="1:27" x14ac:dyDescent="0.25">
      <c r="A543" s="187" t="s">
        <v>872</v>
      </c>
      <c r="B543" s="188" t="s">
        <v>874</v>
      </c>
      <c r="C543" s="189" t="s">
        <v>61</v>
      </c>
      <c r="D543" s="190" t="s">
        <v>454</v>
      </c>
      <c r="E543" s="189">
        <v>11260</v>
      </c>
      <c r="F543" s="189">
        <v>4200</v>
      </c>
      <c r="G543" s="189" t="s">
        <v>169</v>
      </c>
      <c r="H543" s="189">
        <v>0.79</v>
      </c>
      <c r="I543" s="191">
        <f>MAX('Min rate concentrations'!$D$3:$D$368)</f>
        <v>120</v>
      </c>
      <c r="J543" s="191">
        <f>MAX('Min rate concentrations'!W:W)</f>
        <v>42.5</v>
      </c>
      <c r="K543" s="192">
        <f t="shared" si="70"/>
        <v>30.415253457637931</v>
      </c>
      <c r="L543" s="192">
        <f t="shared" si="71"/>
        <v>10.772068932913434</v>
      </c>
      <c r="M543" s="192">
        <f>IF((((0.326*F543^0.818)-(0.398*F543^0.85)/(1-H543)*H543)*(MAX('Min rate concentrations'!$P$3:$P$368)))/F543&gt;0, (((0.326*F543^0.818)-(0.398*F543^0.85)/(1-H543)*H543)*(MAX('Min rate concentrations'!$P$3:$P$368)))/F543, 0)</f>
        <v>0</v>
      </c>
      <c r="N543" s="192">
        <f>IF((((0.326*F543^0.818)-(0.398*F543^0.85)/(1-H543)*H543)*(MAX('Min rate concentrations'!$Q$3:$Q$368)))/F543&gt; 0, (((0.326*F543^0.818)-(0.398*F543^0.85)/(1-H543)*H543)*(MAX('Min rate concentrations'!$Q$3:$Q$368)))/F543, 0)</f>
        <v>0</v>
      </c>
      <c r="O543" s="192">
        <f>((MAX('Min rate concentrations'!$F$3:$F$368))*0.62*6.01*8*(12.3*F543^0.65)*0.079*0.1/F543)*inputs!$E$73/inputs!$E$74</f>
        <v>2.4335079805591318</v>
      </c>
      <c r="P543" s="192">
        <f>((MAX('Min rate concentrations'!Y:Y))*0.62*6.01*8*(12.3*F543^0.65)*0.079*0.1/F543)*inputs!$E$73/inputs!$E$74</f>
        <v>0.81116932685304399</v>
      </c>
      <c r="Q543" s="192">
        <f>(inputs!$C$7*11.2*(12.3*F543^0.65)*0.5/F543)*inputs!$E$73/inputs!$E$74</f>
        <v>0.42865095294507549</v>
      </c>
      <c r="R543" s="192">
        <f>(60*379*((F543/1000)^0.8)*3*24*(MAX('Min rate concentrations'!$R$3:$R$368))/F543)*(inputs!$E$73/inputs!$E$75)</f>
        <v>1.380789894086239E-3</v>
      </c>
      <c r="S543" s="192">
        <f>(IF(inputs!$C$6="aerial",((0.025*0.112*inputs!$C$7/3.3)*(3*60*379*((F543/1000)^0.8))*MAX(inputs!$H$14:$H$16))/F543,((0.0083*0.112*inputs!$C$7/1)*(3*60*379*((F543/1000)^0.8))*MAX(inputs!$H$14:$H$16))/F543))*(inputs!E$75/inputs!$E$73)</f>
        <v>7.615141099282091E-3</v>
      </c>
      <c r="T543" s="193">
        <f>IF((((inputs!$P$12/(V543/MAX(K543:S543)))^(1/inputs!$O$12))-1)/inputs!$N$12&lt;0, 0, IF((((inputs!$P$12/(V543/MAX(K543:S543)))^(1/inputs!$O$12))-1)/inputs!$N$12&gt;inputs!$H$17, inputs!$H$17, (((inputs!$P$12/(V543/MAX(K543:S543)))^(1/inputs!$O$12))-1)/inputs!$N$12))</f>
        <v>73.807823359975785</v>
      </c>
      <c r="U543" s="193">
        <f>IF((((inputs!$P$12/(X543/MAX(K543:S543)))^(1/inputs!$O$12))-1)/inputs!$N$12&lt;0, 0, IF((((inputs!$P$12/(X543/MAX(K543:S543)))^(1/inputs!$O$12))-1)/inputs!$N$12&gt;inputs!$H$17, inputs!$H$17, (((inputs!$P$12/(X543/MAX(K543:S543)))^(1/inputs!$O$12))-1)/inputs!$N$12))</f>
        <v>0</v>
      </c>
      <c r="V543" s="188">
        <f>inputs!$E$70*(inputs!$F$70/F543)^(0.25)</f>
        <v>0.62520455487294957</v>
      </c>
      <c r="W543" s="188">
        <f>inputs!$E$76*(inputs!$F$76/F543)^(0.25)</f>
        <v>0.18804973806911984</v>
      </c>
      <c r="X543" s="188">
        <f>inputs!$E$72*(inputs!$F$72/F543)^(0.25)</f>
        <v>27.58255389145366</v>
      </c>
      <c r="Y543" s="188" t="s">
        <v>13</v>
      </c>
      <c r="Z543" s="194">
        <f t="shared" si="68"/>
        <v>48.648483477249684</v>
      </c>
      <c r="AA543" s="194">
        <f t="shared" si="69"/>
        <v>161.74047233428453</v>
      </c>
    </row>
    <row r="544" spans="1:27" x14ac:dyDescent="0.25">
      <c r="A544" s="55" t="s">
        <v>488</v>
      </c>
      <c r="B544" s="49" t="s">
        <v>489</v>
      </c>
      <c r="C544" s="21" t="s">
        <v>61</v>
      </c>
      <c r="D544" s="20" t="s">
        <v>467</v>
      </c>
      <c r="E544" s="20">
        <v>9725</v>
      </c>
      <c r="F544" s="21">
        <v>30</v>
      </c>
      <c r="G544" s="21" t="s">
        <v>142</v>
      </c>
      <c r="H544" s="21">
        <v>0.69</v>
      </c>
      <c r="I544" s="48">
        <f>MAX('Min rate concentrations'!$H$3:$H$368)</f>
        <v>47</v>
      </c>
      <c r="J544" s="48">
        <f>MAX('Min rate concentrations'!AA:AA)</f>
        <v>32.5</v>
      </c>
      <c r="K544" s="60">
        <f t="shared" si="70"/>
        <v>19.448067045643576</v>
      </c>
      <c r="L544" s="60">
        <f t="shared" si="71"/>
        <v>13.448131467732257</v>
      </c>
      <c r="M544" s="60">
        <f>IF((((0.326*F544^0.818)-(0.398*F544^0.85)/(1-H544)*H544)*(MAX('Min rate concentrations'!$P$3:$P$368)))/F544&gt;0, (((0.326*F544^0.818)-(0.398*F544^0.85)/(1-H544)*H544)*(MAX('Min rate concentrations'!$P$3:$P$368)))/F544, 0)</f>
        <v>0</v>
      </c>
      <c r="N544" s="60">
        <f>IF((((0.326*F544^0.818)-(0.398*F544^0.85)/(1-H544)*H544)*(MAX('Min rate concentrations'!$Q$3:$Q$368)))/F544&gt; 0, (((0.326*F544^0.818)-(0.398*F544^0.85)/(1-H544)*H544)*(MAX('Min rate concentrations'!$Q$3:$Q$368)))/F544, 0)</f>
        <v>0</v>
      </c>
      <c r="O544" s="60">
        <f>((MAX('Min rate concentrations'!$F$3:$F$368))*0.62*6.01*8*(12.3*F544^0.65)*0.079*0.1/F544)*inputs!$E$73/inputs!$E$74</f>
        <v>13.720741659566887</v>
      </c>
      <c r="P544" s="60">
        <f>((MAX('Min rate concentrations'!Y:Y))*0.62*6.01*8*(12.3*F544^0.65)*0.079*0.1/F544)*inputs!$E$73/inputs!$E$74</f>
        <v>4.573580553188962</v>
      </c>
      <c r="Q544" s="60">
        <f>(inputs!$C$7*11.2*(12.3*F544^0.65)*0.5/F544)*inputs!$E$73/inputs!$E$74</f>
        <v>2.4168439283832583</v>
      </c>
      <c r="R544" s="60">
        <f>(60*379*((F544/1000)^0.8)*3*24*(MAX('Min rate concentrations'!$R$3:$R$368))/F544)*(inputs!$E$73/inputs!$E$75)</f>
        <v>3.7098231497754318E-3</v>
      </c>
      <c r="S544" s="60">
        <f>(IF(inputs!$C$6="aerial",((0.025*0.112*inputs!$C$7/3.3)*(3*60*379*((F544/1000)^0.8))*MAX(inputs!$H$14:$H$16))/F544,((0.0083*0.112*inputs!$C$7/1)*(3*60*379*((F544/1000)^0.8))*MAX(inputs!$H$14:$H$16))/F544))*(inputs!E$75/inputs!$E$73)</f>
        <v>2.0459902596273338E-2</v>
      </c>
      <c r="T544" s="63">
        <f>IF((((inputs!$P$12/(V544/MAX(K544:S544)))^(1/inputs!$O$12))-1)/inputs!$N$12&lt;0, 0, IF((((inputs!$P$12/(V544/MAX(K544:S544)))^(1/inputs!$O$12))-1)/inputs!$N$12&gt;inputs!$H$17, inputs!$H$17, (((inputs!$P$12/(V544/MAX(K544:S544)))^(1/inputs!$O$12))-1)/inputs!$N$12))</f>
        <v>23.10950030286131</v>
      </c>
      <c r="U544" s="63">
        <f>IF((((inputs!$P$12/(X544/MAX(K544:S544)))^(1/inputs!$O$12))-1)/inputs!$N$12&lt;0, 0, IF((((inputs!$P$12/(X544/MAX(K544:S544)))^(1/inputs!$O$12))-1)/inputs!$N$12&gt;inputs!$H$17, inputs!$H$17, (((inputs!$P$12/(X544/MAX(K544:S544)))^(1/inputs!$O$12))-1)/inputs!$N$12))</f>
        <v>0</v>
      </c>
      <c r="V544" s="54">
        <f>inputs!$E$70*(inputs!$F$70/F544)^(0.25)</f>
        <v>2.1505727685914304</v>
      </c>
      <c r="W544" s="54">
        <f>inputs!$E$76*(inputs!$F$76/F544)^(0.25)</f>
        <v>0.64685172665509949</v>
      </c>
      <c r="X544" s="54">
        <f>inputs!$E$72*(inputs!$F$72/F544)^(0.25)</f>
        <v>94.878210379033703</v>
      </c>
      <c r="Y544" s="54" t="s">
        <v>13</v>
      </c>
      <c r="Z544" s="106">
        <f t="shared" si="68"/>
        <v>9.0432034338375615</v>
      </c>
      <c r="AA544" s="106">
        <f t="shared" si="69"/>
        <v>30.065726416485646</v>
      </c>
    </row>
    <row r="545" spans="1:27" x14ac:dyDescent="0.25">
      <c r="A545" s="55" t="s">
        <v>515</v>
      </c>
      <c r="B545" s="49" t="s">
        <v>516</v>
      </c>
      <c r="C545" s="21" t="s">
        <v>61</v>
      </c>
      <c r="D545" s="20" t="s">
        <v>467</v>
      </c>
      <c r="E545" s="20">
        <v>21</v>
      </c>
      <c r="F545" s="21">
        <v>7</v>
      </c>
      <c r="G545" s="21" t="s">
        <v>142</v>
      </c>
      <c r="H545" s="21">
        <v>0.69</v>
      </c>
      <c r="I545" s="48">
        <f>MAX('Min rate concentrations'!$H$3:$H$368)</f>
        <v>47</v>
      </c>
      <c r="J545" s="48">
        <f>MAX('Min rate concentrations'!AA:AA)</f>
        <v>32.5</v>
      </c>
      <c r="K545" s="60">
        <f t="shared" si="70"/>
        <v>25.198609434978106</v>
      </c>
      <c r="L545" s="60">
        <f t="shared" si="71"/>
        <v>17.424570353974222</v>
      </c>
      <c r="M545" s="60">
        <f>IF((((0.326*F545^0.818)-(0.398*F545^0.85)/(1-H545)*H545)*(MAX('Min rate concentrations'!$P$3:$P$368)))/F545&gt;0, (((0.326*F545^0.818)-(0.398*F545^0.85)/(1-H545)*H545)*(MAX('Min rate concentrations'!$P$3:$P$368)))/F545, 0)</f>
        <v>0</v>
      </c>
      <c r="N545" s="60">
        <f>IF((((0.326*F545^0.818)-(0.398*F545^0.85)/(1-H545)*H545)*(MAX('Min rate concentrations'!$Q$3:$Q$368)))/F545&gt; 0, (((0.326*F545^0.818)-(0.398*F545^0.85)/(1-H545)*H545)*(MAX('Min rate concentrations'!$Q$3:$Q$368)))/F545, 0)</f>
        <v>0</v>
      </c>
      <c r="O545" s="60">
        <f>((MAX('Min rate concentrations'!$F$3:$F$368))*0.62*6.01*8*(12.3*F545^0.65)*0.079*0.1/F545)*inputs!$E$73/inputs!$E$74</f>
        <v>22.834195364309181</v>
      </c>
      <c r="P545" s="60">
        <f>((MAX('Min rate concentrations'!Y:Y))*0.62*6.01*8*(12.3*F545^0.65)*0.079*0.1/F545)*inputs!$E$73/inputs!$E$74</f>
        <v>7.6113984547697271</v>
      </c>
      <c r="Q545" s="60">
        <f>(inputs!$C$7*11.2*(12.3*F545^0.65)*0.5/F545)*inputs!$E$73/inputs!$E$74</f>
        <v>4.0221358141575729</v>
      </c>
      <c r="R545" s="60">
        <f>(60*379*((F545/1000)^0.8)*3*24*(MAX('Min rate concentrations'!$R$3:$R$368))/F545)*(inputs!$E$73/inputs!$E$75)</f>
        <v>4.9631551302954831E-3</v>
      </c>
      <c r="S545" s="60">
        <f>(IF(inputs!$C$6="aerial",((0.025*0.112*inputs!$C$7/3.3)*(3*60*379*((F545/1000)^0.8))*MAX(inputs!$H$14:$H$16))/F545,((0.0083*0.112*inputs!$C$7/1)*(3*60*379*((F545/1000)^0.8))*MAX(inputs!$H$14:$H$16))/F545))*(inputs!E$75/inputs!$E$73)</f>
        <v>2.7372105471439204E-2</v>
      </c>
      <c r="T545" s="63">
        <f>IF((((inputs!$P$12/(V545/MAX(K545:S545)))^(1/inputs!$O$12))-1)/inputs!$N$12&lt;0, 0, IF((((inputs!$P$12/(V545/MAX(K545:S545)))^(1/inputs!$O$12))-1)/inputs!$N$12&gt;inputs!$H$17, inputs!$H$17, (((inputs!$P$12/(V545/MAX(K545:S545)))^(1/inputs!$O$12))-1)/inputs!$N$12))</f>
        <v>20.956631553826629</v>
      </c>
      <c r="U545" s="63">
        <f>IF((((inputs!$P$12/(X545/MAX(K545:S545)))^(1/inputs!$O$12))-1)/inputs!$N$12&lt;0, 0, IF((((inputs!$P$12/(X545/MAX(K545:S545)))^(1/inputs!$O$12))-1)/inputs!$N$12&gt;inputs!$H$17, inputs!$H$17, (((inputs!$P$12/(X545/MAX(K545:S545)))^(1/inputs!$O$12))-1)/inputs!$N$12))</f>
        <v>0</v>
      </c>
      <c r="V545" s="54">
        <f>inputs!$E$70*(inputs!$F$70/F545)^(0.25)</f>
        <v>3.0942823919235973</v>
      </c>
      <c r="W545" s="54">
        <f>inputs!$E$76*(inputs!$F$76/F545)^(0.25)</f>
        <v>0.9307017819653729</v>
      </c>
      <c r="X545" s="54">
        <f>inputs!$E$72*(inputs!$F$72/F545)^(0.25)</f>
        <v>136.51245846721753</v>
      </c>
      <c r="Y545" s="54" t="s">
        <v>13</v>
      </c>
      <c r="Z545" s="106">
        <f t="shared" si="68"/>
        <v>8.1436036674445518</v>
      </c>
      <c r="AA545" s="106">
        <f t="shared" si="69"/>
        <v>27.074848166472758</v>
      </c>
    </row>
    <row r="546" spans="1:27" x14ac:dyDescent="0.25">
      <c r="A546" s="55" t="s">
        <v>495</v>
      </c>
      <c r="B546" s="49" t="s">
        <v>496</v>
      </c>
      <c r="C546" s="21" t="s">
        <v>61</v>
      </c>
      <c r="D546" s="20" t="s">
        <v>467</v>
      </c>
      <c r="E546" s="20">
        <v>15</v>
      </c>
      <c r="F546" s="21">
        <v>13</v>
      </c>
      <c r="G546" s="21" t="s">
        <v>142</v>
      </c>
      <c r="H546" s="21">
        <v>0.69</v>
      </c>
      <c r="I546" s="48">
        <f>MAX('Min rate concentrations'!$H$3:$H$368)</f>
        <v>47</v>
      </c>
      <c r="J546" s="48">
        <f>MAX('Min rate concentrations'!AA:AA)</f>
        <v>32.5</v>
      </c>
      <c r="K546" s="60">
        <f t="shared" si="70"/>
        <v>22.56950892541877</v>
      </c>
      <c r="L546" s="60">
        <f t="shared" si="71"/>
        <v>15.606575320768298</v>
      </c>
      <c r="M546" s="60">
        <f>IF((((0.326*F546^0.818)-(0.398*F546^0.85)/(1-H546)*H546)*(MAX('Min rate concentrations'!$P$3:$P$368)))/F546&gt;0, (((0.326*F546^0.818)-(0.398*F546^0.85)/(1-H546)*H546)*(MAX('Min rate concentrations'!$P$3:$P$368)))/F546, 0)</f>
        <v>0</v>
      </c>
      <c r="N546" s="60">
        <f>IF((((0.326*F546^0.818)-(0.398*F546^0.85)/(1-H546)*H546)*(MAX('Min rate concentrations'!$Q$3:$Q$368)))/F546&gt; 0, (((0.326*F546^0.818)-(0.398*F546^0.85)/(1-H546)*H546)*(MAX('Min rate concentrations'!$Q$3:$Q$368)))/F546, 0)</f>
        <v>0</v>
      </c>
      <c r="O546" s="60">
        <f>((MAX('Min rate concentrations'!$F$3:$F$368))*0.62*6.01*8*(12.3*F546^0.65)*0.079*0.1/F546)*inputs!$E$73/inputs!$E$74</f>
        <v>18.386109961205431</v>
      </c>
      <c r="P546" s="60">
        <f>((MAX('Min rate concentrations'!Y:Y))*0.62*6.01*8*(12.3*F546^0.65)*0.079*0.1/F546)*inputs!$E$73/inputs!$E$74</f>
        <v>6.1287033204018089</v>
      </c>
      <c r="Q546" s="60">
        <f>(inputs!$C$7*11.2*(12.3*F546^0.65)*0.5/F546)*inputs!$E$73/inputs!$E$74</f>
        <v>3.2386265501429881</v>
      </c>
      <c r="R546" s="60">
        <f>(60*379*((F546/1000)^0.8)*3*24*(MAX('Min rate concentrations'!$R$3:$R$368))/F546)*(inputs!$E$73/inputs!$E$75)</f>
        <v>4.385193759781067E-3</v>
      </c>
      <c r="S546" s="60">
        <f>(IF(inputs!$C$6="aerial",((0.025*0.112*inputs!$C$7/3.3)*(3*60*379*((F546/1000)^0.8))*MAX(inputs!$H$14:$H$16))/F546,((0.0083*0.112*inputs!$C$7/1)*(3*60*379*((F546/1000)^0.8))*MAX(inputs!$H$14:$H$16))/F546))*(inputs!E$75/inputs!$E$73)</f>
        <v>2.4184613004082801E-2</v>
      </c>
      <c r="T546" s="63">
        <f>IF((((inputs!$P$12/(V546/MAX(K546:S546)))^(1/inputs!$O$12))-1)/inputs!$N$12&lt;0, 0, IF((((inputs!$P$12/(V546/MAX(K546:S546)))^(1/inputs!$O$12))-1)/inputs!$N$12&gt;inputs!$H$17, inputs!$H$17, (((inputs!$P$12/(V546/MAX(K546:S546)))^(1/inputs!$O$12))-1)/inputs!$N$12))</f>
        <v>21.861201692568571</v>
      </c>
      <c r="U546" s="63">
        <f>IF((((inputs!$P$12/(X546/MAX(K546:S546)))^(1/inputs!$O$12))-1)/inputs!$N$12&lt;0, 0, IF((((inputs!$P$12/(X546/MAX(K546:S546)))^(1/inputs!$O$12))-1)/inputs!$N$12&gt;inputs!$H$17, inputs!$H$17, (((inputs!$P$12/(X546/MAX(K546:S546)))^(1/inputs!$O$12))-1)/inputs!$N$12))</f>
        <v>0</v>
      </c>
      <c r="V546" s="54">
        <f>inputs!$E$70*(inputs!$F$70/F546)^(0.25)</f>
        <v>2.6506270024413325</v>
      </c>
      <c r="W546" s="54">
        <f>inputs!$E$76*(inputs!$F$76/F546)^(0.25)</f>
        <v>0.79725860863141151</v>
      </c>
      <c r="X546" s="54">
        <f>inputs!$E$72*(inputs!$F$72/F546)^(0.25)</f>
        <v>116.93942657829409</v>
      </c>
      <c r="Y546" s="54" t="s">
        <v>13</v>
      </c>
      <c r="Z546" s="106">
        <f t="shared" si="68"/>
        <v>8.5147811837091218</v>
      </c>
      <c r="AA546" s="106">
        <f t="shared" si="69"/>
        <v>28.30889335163404</v>
      </c>
    </row>
    <row r="547" spans="1:27" x14ac:dyDescent="0.25">
      <c r="A547" s="55" t="s">
        <v>519</v>
      </c>
      <c r="B547" s="49" t="s">
        <v>520</v>
      </c>
      <c r="C547" s="21" t="s">
        <v>61</v>
      </c>
      <c r="D547" s="20" t="s">
        <v>467</v>
      </c>
      <c r="E547" s="20">
        <v>1</v>
      </c>
      <c r="F547" s="21">
        <v>5.4</v>
      </c>
      <c r="G547" s="21" t="s">
        <v>142</v>
      </c>
      <c r="H547" s="21">
        <v>0.69</v>
      </c>
      <c r="I547" s="48">
        <f>MAX('Min rate concentrations'!$H$3:$H$368)</f>
        <v>47</v>
      </c>
      <c r="J547" s="48">
        <f>MAX('Min rate concentrations'!AA:AA)</f>
        <v>32.5</v>
      </c>
      <c r="K547" s="60">
        <f t="shared" si="70"/>
        <v>26.389911702487783</v>
      </c>
      <c r="L547" s="60">
        <f t="shared" si="71"/>
        <v>18.248343198528787</v>
      </c>
      <c r="M547" s="60">
        <f>IF((((0.326*F547^0.818)-(0.398*F547^0.85)/(1-H547)*H547)*(MAX('Min rate concentrations'!$P$3:$P$368)))/F547&gt;0, (((0.326*F547^0.818)-(0.398*F547^0.85)/(1-H547)*H547)*(MAX('Min rate concentrations'!$P$3:$P$368)))/F547, 0)</f>
        <v>0</v>
      </c>
      <c r="N547" s="60">
        <f>IF((((0.326*F547^0.818)-(0.398*F547^0.85)/(1-H547)*H547)*(MAX('Min rate concentrations'!$Q$3:$Q$368)))/F547&gt; 0, (((0.326*F547^0.818)-(0.398*F547^0.85)/(1-H547)*H547)*(MAX('Min rate concentrations'!$Q$3:$Q$368)))/F547, 0)</f>
        <v>0</v>
      </c>
      <c r="O547" s="60">
        <f>((MAX('Min rate concentrations'!$F$3:$F$368))*0.62*6.01*8*(12.3*F547^0.65)*0.079*0.1/F547)*inputs!$E$73/inputs!$E$74</f>
        <v>25.005308128955885</v>
      </c>
      <c r="P547" s="60">
        <f>((MAX('Min rate concentrations'!Y:Y))*0.62*6.01*8*(12.3*F547^0.65)*0.079*0.1/F547)*inputs!$E$73/inputs!$E$74</f>
        <v>8.3351027096519612</v>
      </c>
      <c r="Q547" s="60">
        <f>(inputs!$C$7*11.2*(12.3*F547^0.65)*0.5/F547)*inputs!$E$73/inputs!$E$74</f>
        <v>4.4045670874271998</v>
      </c>
      <c r="R547" s="60">
        <f>(60*379*((F547/1000)^0.8)*3*24*(MAX('Min rate concentrations'!$R$3:$R$368))/F547)*(inputs!$E$73/inputs!$E$75)</f>
        <v>5.2275561449936885E-3</v>
      </c>
      <c r="S547" s="60">
        <f>(IF(inputs!$C$6="aerial",((0.025*0.112*inputs!$C$7/3.3)*(3*60*379*((F547/1000)^0.8))*MAX(inputs!$H$14:$H$16))/F547,((0.0083*0.112*inputs!$C$7/1)*(3*60*379*((F547/1000)^0.8))*MAX(inputs!$H$14:$H$16))/F547))*(inputs!E$75/inputs!$E$73)</f>
        <v>2.8830293311851114E-2</v>
      </c>
      <c r="T547" s="63">
        <f>IF((((inputs!$P$12/(V547/MAX(K547:S547)))^(1/inputs!$O$12))-1)/inputs!$N$12&lt;0, 0, IF((((inputs!$P$12/(V547/MAX(K547:S547)))^(1/inputs!$O$12))-1)/inputs!$N$12&gt;inputs!$H$17, inputs!$H$17, (((inputs!$P$12/(V547/MAX(K547:S547)))^(1/inputs!$O$12))-1)/inputs!$N$12))</f>
        <v>20.582272402286911</v>
      </c>
      <c r="U547" s="63">
        <f>IF((((inputs!$P$12/(X547/MAX(K547:S547)))^(1/inputs!$O$12))-1)/inputs!$N$12&lt;0, 0, IF((((inputs!$P$12/(X547/MAX(K547:S547)))^(1/inputs!$O$12))-1)/inputs!$N$12&gt;inputs!$H$17, inputs!$H$17, (((inputs!$P$12/(X547/MAX(K547:S547)))^(1/inputs!$O$12))-1)/inputs!$N$12))</f>
        <v>0</v>
      </c>
      <c r="V547" s="54">
        <f>inputs!$E$70*(inputs!$F$70/F547)^(0.25)</f>
        <v>3.3016878838950015</v>
      </c>
      <c r="W547" s="54">
        <f>inputs!$E$76*(inputs!$F$76/F547)^(0.25)</f>
        <v>0.99308544205762128</v>
      </c>
      <c r="X547" s="54">
        <f>inputs!$E$72*(inputs!$F$72/F547)^(0.25)</f>
        <v>145.66270076007359</v>
      </c>
      <c r="Y547" s="54" t="s">
        <v>13</v>
      </c>
      <c r="Z547" s="106">
        <f t="shared" si="68"/>
        <v>7.9928547550520133</v>
      </c>
      <c r="AA547" s="106">
        <f t="shared" si="69"/>
        <v>26.573656792117767</v>
      </c>
    </row>
    <row r="548" spans="1:27" ht="26.4" x14ac:dyDescent="0.25">
      <c r="A548" s="55" t="s">
        <v>499</v>
      </c>
      <c r="B548" s="49" t="s">
        <v>500</v>
      </c>
      <c r="C548" s="21" t="s">
        <v>61</v>
      </c>
      <c r="D548" s="20" t="s">
        <v>467</v>
      </c>
      <c r="E548" s="20">
        <v>47</v>
      </c>
      <c r="F548" s="21">
        <v>20</v>
      </c>
      <c r="G548" s="21" t="s">
        <v>152</v>
      </c>
      <c r="H548" s="21">
        <v>0.77</v>
      </c>
      <c r="I548" s="48">
        <f>MAX('Min rate concentrations'!$G$3:$G$368)</f>
        <v>7.5</v>
      </c>
      <c r="J548" s="48">
        <f>MAX('Min rate concentrations'!Z:Z)</f>
        <v>3.5</v>
      </c>
      <c r="K548" s="60">
        <f t="shared" si="70"/>
        <v>4.4959135359140276</v>
      </c>
      <c r="L548" s="60">
        <f t="shared" si="71"/>
        <v>2.0980929834265458</v>
      </c>
      <c r="M548" s="60">
        <f>IF((((0.326*F548^0.818)-(0.398*F548^0.85)/(1-H548)*H548)*(MAX('Min rate concentrations'!$P$3:$P$368)))/F548&gt;0, (((0.326*F548^0.818)-(0.398*F548^0.85)/(1-H548)*H548)*(MAX('Min rate concentrations'!$P$3:$P$368)))/F548, 0)</f>
        <v>0</v>
      </c>
      <c r="N548" s="60">
        <f>IF((((0.326*F548^0.818)-(0.398*F548^0.85)/(1-H548)*H548)*(MAX('Min rate concentrations'!$Q$3:$Q$368)))/F548&gt; 0, (((0.326*F548^0.818)-(0.398*F548^0.85)/(1-H548)*H548)*(MAX('Min rate concentrations'!$Q$3:$Q$368)))/F548, 0)</f>
        <v>0</v>
      </c>
      <c r="O548" s="60">
        <f>((MAX('Min rate concentrations'!$F$3:$F$368))*0.62*6.01*8*(12.3*F548^0.65)*0.079*0.1/F548)*inputs!$E$73/inputs!$E$74</f>
        <v>15.81282730642906</v>
      </c>
      <c r="P548" s="60">
        <f>((MAX('Min rate concentrations'!Y:Y))*0.62*6.01*8*(12.3*F548^0.65)*0.079*0.1/F548)*inputs!$E$73/inputs!$E$74</f>
        <v>5.2709424354763534</v>
      </c>
      <c r="Q548" s="60">
        <f>(inputs!$C$7*11.2*(12.3*F548^0.65)*0.5/F548)*inputs!$E$73/inputs!$E$74</f>
        <v>2.7853549475927122</v>
      </c>
      <c r="R548" s="60">
        <f>(60*379*((F548/1000)^0.8)*3*24*(MAX('Min rate concentrations'!$R$3:$R$368))/F548)*(inputs!$E$73/inputs!$E$75)</f>
        <v>4.0231984820671869E-3</v>
      </c>
      <c r="S548" s="60">
        <f>(IF(inputs!$C$6="aerial",((0.025*0.112*inputs!$C$7/3.3)*(3*60*379*((F548/1000)^0.8))*MAX(inputs!$H$14:$H$16))/F548,((0.0083*0.112*inputs!$C$7/1)*(3*60*379*((F548/1000)^0.8))*MAX(inputs!$H$14:$H$16))/F548))*(inputs!E$75/inputs!$E$73)</f>
        <v>2.2188186807112941E-2</v>
      </c>
      <c r="T548" s="63">
        <f>IF((((inputs!$P$12/(V548/MAX(K548:S548)))^(1/inputs!$O$12))-1)/inputs!$N$12&lt;0, 0, IF((((inputs!$P$12/(V548/MAX(K548:S548)))^(1/inputs!$O$12))-1)/inputs!$N$12&gt;inputs!$H$17, inputs!$H$17, (((inputs!$P$12/(V548/MAX(K548:S548)))^(1/inputs!$O$12))-1)/inputs!$N$12))</f>
        <v>17.028480103918763</v>
      </c>
      <c r="U548" s="63">
        <f>IF((((inputs!$P$12/(X548/MAX(K548:S548)))^(1/inputs!$O$12))-1)/inputs!$N$12&lt;0, 0, IF((((inputs!$P$12/(X548/MAX(K548:S548)))^(1/inputs!$O$12))-1)/inputs!$N$12&gt;inputs!$H$17, inputs!$H$17, (((inputs!$P$12/(X548/MAX(K548:S548)))^(1/inputs!$O$12))-1)/inputs!$N$12))</f>
        <v>0</v>
      </c>
      <c r="V548" s="54">
        <f>inputs!$E$70*(inputs!$F$70/F548)^(0.25)</f>
        <v>2.38</v>
      </c>
      <c r="W548" s="54">
        <f>inputs!$E$76*(inputs!$F$76/F548)^(0.25)</f>
        <v>0.71585911061613317</v>
      </c>
      <c r="X548" s="54">
        <f>inputs!$E$72*(inputs!$F$72/F548)^(0.25)</f>
        <v>105</v>
      </c>
      <c r="Y548" s="54" t="s">
        <v>13</v>
      </c>
      <c r="Z548" s="106">
        <f t="shared" si="68"/>
        <v>6.6440450867348995</v>
      </c>
      <c r="AA548" s="106">
        <f t="shared" si="69"/>
        <v>22.089300914001232</v>
      </c>
    </row>
    <row r="549" spans="1:27" ht="26.4" x14ac:dyDescent="0.25">
      <c r="A549" s="55" t="s">
        <v>499</v>
      </c>
      <c r="B549" s="49" t="s">
        <v>500</v>
      </c>
      <c r="C549" s="21" t="s">
        <v>61</v>
      </c>
      <c r="D549" s="20" t="s">
        <v>467</v>
      </c>
      <c r="E549" s="20">
        <v>47</v>
      </c>
      <c r="F549" s="21">
        <v>20</v>
      </c>
      <c r="G549" s="21" t="s">
        <v>153</v>
      </c>
      <c r="H549" s="21">
        <v>0.7</v>
      </c>
      <c r="I549" s="48">
        <f>MAX('Min rate concentrations'!$E$3:$E$368)</f>
        <v>55</v>
      </c>
      <c r="J549" s="48">
        <f>MAX('Min rate concentrations'!X:X)</f>
        <v>18</v>
      </c>
      <c r="K549" s="60">
        <f t="shared" si="70"/>
        <v>25.277024990805529</v>
      </c>
      <c r="L549" s="60"/>
      <c r="M549" s="60">
        <f>IF((((0.326*F549^0.818)-(0.398*F549^0.85)/(1-H549)*H549)*(MAX('Min rate concentrations'!$P$3:$P$368)))/F549&gt;0, (((0.326*F549^0.818)-(0.398*F549^0.85)/(1-H549)*H549)*(MAX('Min rate concentrations'!$P$3:$P$368)))/F549, 0)</f>
        <v>0</v>
      </c>
      <c r="N549" s="60">
        <f>IF((((0.326*F549^0.818)-(0.398*F549^0.85)/(1-H549)*H549)*(MAX('Min rate concentrations'!$Q$3:$Q$368)))/F549&gt; 0, (((0.326*F549^0.818)-(0.398*F549^0.85)/(1-H549)*H549)*(MAX('Min rate concentrations'!$Q$3:$Q$368)))/F549, 0)</f>
        <v>0</v>
      </c>
      <c r="O549" s="60">
        <f>((MAX('Min rate concentrations'!$F$3:$F$368))*0.62*6.01*8*(12.3*F549^0.65)*0.079*0.1/F549)*inputs!$E$73/inputs!$E$74</f>
        <v>15.81282730642906</v>
      </c>
      <c r="P549" s="60"/>
      <c r="Q549" s="60">
        <f>(inputs!$C$7*11.2*(12.3*F549^0.65)*0.5/F549)*inputs!$E$73/inputs!$E$74</f>
        <v>2.7853549475927122</v>
      </c>
      <c r="R549" s="60">
        <f>(60*379*((F549/1000)^0.8)*3*24*(MAX('Min rate concentrations'!$R$3:$R$368))/F549)*(inputs!$E$73/inputs!$E$75)</f>
        <v>4.0231984820671869E-3</v>
      </c>
      <c r="S549" s="60">
        <f>(IF(inputs!$C$6="aerial",((0.025*0.112*inputs!$C$7/3.3)*(3*60*379*((F549/1000)^0.8))*MAX(inputs!$H$14:$H$16))/F549,((0.0083*0.112*inputs!$C$7/1)*(3*60*379*((F549/1000)^0.8))*MAX(inputs!$H$14:$H$16))/F549))*(inputs!E$75/inputs!$E$73)</f>
        <v>2.2188186807112941E-2</v>
      </c>
      <c r="T549" s="63">
        <f>IF((((inputs!$P$12/(V549/MAX(K549:S549)))^(1/inputs!$O$12))-1)/inputs!$N$12&lt;0, 0, IF((((inputs!$P$12/(V549/MAX(K549:S549)))^(1/inputs!$O$12))-1)/inputs!$N$12&gt;inputs!$H$17, inputs!$H$17, (((inputs!$P$12/(V549/MAX(K549:S549)))^(1/inputs!$O$12))-1)/inputs!$N$12))</f>
        <v>26.596668941295384</v>
      </c>
      <c r="U549" s="63">
        <f>IF((((inputs!$P$12/(X549/MAX(K549:S549)))^(1/inputs!$O$12))-1)/inputs!$N$12&lt;0, 0, IF((((inputs!$P$12/(X549/MAX(K549:S549)))^(1/inputs!$O$12))-1)/inputs!$N$12&gt;inputs!$H$17, inputs!$H$17, (((inputs!$P$12/(X549/MAX(K549:S549)))^(1/inputs!$O$12))-1)/inputs!$N$12))</f>
        <v>0</v>
      </c>
      <c r="V549" s="54">
        <f>inputs!$E$70*(inputs!$F$70/F549)^(0.25)</f>
        <v>2.38</v>
      </c>
      <c r="W549" s="54">
        <f>inputs!$E$76*(inputs!$F$76/F549)^(0.25)</f>
        <v>0.71585911061613317</v>
      </c>
      <c r="X549" s="54">
        <f>inputs!$E$72*(inputs!$F$72/F549)^(0.25)</f>
        <v>105</v>
      </c>
      <c r="Y549" s="54" t="s">
        <v>13</v>
      </c>
      <c r="Z549" s="106">
        <f t="shared" si="68"/>
        <v>10.620598735632576</v>
      </c>
      <c r="AA549" s="106">
        <f t="shared" si="69"/>
        <v>35.310055590477617</v>
      </c>
    </row>
    <row r="550" spans="1:27" x14ac:dyDescent="0.25">
      <c r="A550" s="55" t="s">
        <v>554</v>
      </c>
      <c r="B550" s="49" t="s">
        <v>555</v>
      </c>
      <c r="C550" s="21" t="s">
        <v>61</v>
      </c>
      <c r="D550" s="20" t="s">
        <v>467</v>
      </c>
      <c r="E550" s="20">
        <v>8962</v>
      </c>
      <c r="F550" s="21">
        <v>350</v>
      </c>
      <c r="G550" s="21" t="s">
        <v>152</v>
      </c>
      <c r="H550" s="21">
        <v>0.77</v>
      </c>
      <c r="I550" s="48">
        <f>MAX('Min rate concentrations'!$G$3:$G$368)</f>
        <v>7.5</v>
      </c>
      <c r="J550" s="48">
        <f>MAX('Min rate concentrations'!Z:Z)</f>
        <v>3.5</v>
      </c>
      <c r="K550" s="60">
        <f t="shared" si="70"/>
        <v>2.701202716183901</v>
      </c>
      <c r="L550" s="60">
        <f>(((0.235*F550^0.822)/(1-H550)))*J550/F550</f>
        <v>1.2605612675524871</v>
      </c>
      <c r="M550" s="60">
        <f>IF((((0.326*F550^0.818)-(0.398*F550^0.85)/(1-H550)*H550)*(MAX('Min rate concentrations'!$P$3:$P$368)))/F550&gt;0, (((0.326*F550^0.818)-(0.398*F550^0.85)/(1-H550)*H550)*(MAX('Min rate concentrations'!$P$3:$P$368)))/F550, 0)</f>
        <v>0</v>
      </c>
      <c r="N550" s="60">
        <f>IF((((0.326*F550^0.818)-(0.398*F550^0.85)/(1-H550)*H550)*(MAX('Min rate concentrations'!$Q$3:$Q$368)))/F550&gt; 0, (((0.326*F550^0.818)-(0.398*F550^0.85)/(1-H550)*H550)*(MAX('Min rate concentrations'!$Q$3:$Q$368)))/F550, 0)</f>
        <v>0</v>
      </c>
      <c r="O550" s="60">
        <f>((MAX('Min rate concentrations'!$F$3:$F$368))*0.62*6.01*8*(12.3*F550^0.65)*0.079*0.1/F550)*inputs!$E$73/inputs!$E$74</f>
        <v>5.8069249204995748</v>
      </c>
      <c r="P550" s="60">
        <f>((MAX('Min rate concentrations'!Y:Y))*0.62*6.01*8*(12.3*F550^0.65)*0.079*0.1/F550)*inputs!$E$73/inputs!$E$74</f>
        <v>1.9356416401665246</v>
      </c>
      <c r="Q550" s="60">
        <f>(inputs!$C$7*11.2*(12.3*F550^0.65)*0.5/F550)*inputs!$E$73/inputs!$E$74</f>
        <v>1.0228624359311669</v>
      </c>
      <c r="R550" s="60">
        <f>(60*379*((F550/1000)^0.8)*3*24*(MAX('Min rate concentrations'!$R$3:$R$368))/F550)*(inputs!$E$73/inputs!$E$75)</f>
        <v>2.269675914583151E-3</v>
      </c>
      <c r="S550" s="60">
        <f>(IF(inputs!$C$6="aerial",((0.025*0.112*inputs!$C$7/3.3)*(3*60*379*((F550/1000)^0.8))*MAX(inputs!$H$14:$H$16))/F550,((0.0083*0.112*inputs!$C$7/1)*(3*60*379*((F550/1000)^0.8))*MAX(inputs!$H$14:$H$16))/F550))*(inputs!E$75/inputs!$E$73)</f>
        <v>1.2517402113976756E-2</v>
      </c>
      <c r="T550" s="63">
        <f>IF((((inputs!$P$12/(V550/MAX(K550:S550)))^(1/inputs!$O$12))-1)/inputs!$N$12&lt;0, 0, IF((((inputs!$P$12/(V550/MAX(K550:S550)))^(1/inputs!$O$12))-1)/inputs!$N$12&gt;inputs!$H$17, inputs!$H$17, (((inputs!$P$12/(V550/MAX(K550:S550)))^(1/inputs!$O$12))-1)/inputs!$N$12))</f>
        <v>12.026222120691335</v>
      </c>
      <c r="U550" s="63">
        <f>IF((((inputs!$P$12/(X550/MAX(K550:S550)))^(1/inputs!$O$12))-1)/inputs!$N$12&lt;0, 0, IF((((inputs!$P$12/(X550/MAX(K550:S550)))^(1/inputs!$O$12))-1)/inputs!$N$12&gt;inputs!$H$17, inputs!$H$17, (((inputs!$P$12/(X550/MAX(K550:S550)))^(1/inputs!$O$12))-1)/inputs!$N$12))</f>
        <v>0</v>
      </c>
      <c r="V550" s="54">
        <f>inputs!$E$70*(inputs!$F$70/F550)^(0.25)</f>
        <v>1.1636367933950642</v>
      </c>
      <c r="W550" s="54">
        <f>inputs!$E$76*(inputs!$F$76/F550)^(0.25)</f>
        <v>0.35</v>
      </c>
      <c r="X550" s="54">
        <f>inputs!$E$72*(inputs!$F$72/F550)^(0.25)</f>
        <v>51.336917355664603</v>
      </c>
      <c r="Y550" s="54" t="s">
        <v>13</v>
      </c>
      <c r="Z550" s="106">
        <f t="shared" si="68"/>
        <v>4.9903242605083875</v>
      </c>
      <c r="AA550" s="106">
        <f t="shared" si="69"/>
        <v>16.591214058570216</v>
      </c>
    </row>
    <row r="551" spans="1:27" x14ac:dyDescent="0.25">
      <c r="A551" s="55" t="s">
        <v>554</v>
      </c>
      <c r="B551" s="49" t="s">
        <v>555</v>
      </c>
      <c r="C551" s="21" t="s">
        <v>61</v>
      </c>
      <c r="D551" s="20" t="s">
        <v>467</v>
      </c>
      <c r="E551" s="20">
        <v>8962</v>
      </c>
      <c r="F551" s="21">
        <v>350</v>
      </c>
      <c r="G551" s="21" t="s">
        <v>177</v>
      </c>
      <c r="H551" s="21">
        <v>0.85</v>
      </c>
      <c r="I551" s="48">
        <f>MAX('Min rate concentrations'!$F$3:$F$368)</f>
        <v>67.5</v>
      </c>
      <c r="J551" s="48">
        <f>MAX('Min rate concentrations'!Y:Y)</f>
        <v>22.5</v>
      </c>
      <c r="K551" s="60">
        <f t="shared" si="70"/>
        <v>37.276597483337831</v>
      </c>
      <c r="L551" s="60">
        <f>(((0.235*F551^0.822)/(1-H551)))*J551/F551</f>
        <v>12.425532494445942</v>
      </c>
      <c r="M551" s="60">
        <f>IF((((0.326*F551^0.818)-(0.398*F551^0.85)/(1-H551)*H551)*(MAX('Min rate concentrations'!$P$3:$P$368)))/F551&gt;0, (((0.326*F551^0.818)-(0.398*F551^0.85)/(1-H551)*H551)*(MAX('Min rate concentrations'!$P$3:$P$368)))/F551, 0)</f>
        <v>0</v>
      </c>
      <c r="N551" s="60">
        <f>IF((((0.326*F551^0.818)-(0.398*F551^0.85)/(1-H551)*H551)*(MAX('Min rate concentrations'!$Q$3:$Q$368)))/F551&gt; 0, (((0.326*F551^0.818)-(0.398*F551^0.85)/(1-H551)*H551)*(MAX('Min rate concentrations'!$Q$3:$Q$368)))/F551, 0)</f>
        <v>0</v>
      </c>
      <c r="O551" s="60">
        <f>((MAX('Min rate concentrations'!$F$3:$F$368))*0.62*6.01*8*(12.3*F551^0.65)*0.079*0.1/F551)*inputs!$E$73/inputs!$E$74</f>
        <v>5.8069249204995748</v>
      </c>
      <c r="P551" s="60">
        <f>((MAX('Min rate concentrations'!Y:Y))*0.62*6.01*8*(12.3*F551^0.65)*0.079*0.1/F551)*inputs!$E$73/inputs!$E$74</f>
        <v>1.9356416401665246</v>
      </c>
      <c r="Q551" s="60">
        <f>(inputs!$C$7*11.2*(12.3*F551^0.65)*0.5/F551)*inputs!$E$73/inputs!$E$74</f>
        <v>1.0228624359311669</v>
      </c>
      <c r="R551" s="60">
        <f>(60*379*((F551/1000)^0.8)*3*24*(MAX('Min rate concentrations'!$R$3:$R$368))/F551)*(inputs!$E$73/inputs!$E$75)</f>
        <v>2.269675914583151E-3</v>
      </c>
      <c r="S551" s="60">
        <f>(IF(inputs!$C$6="aerial",((0.025*0.112*inputs!$C$7/3.3)*(3*60*379*((F551/1000)^0.8))*MAX(inputs!$H$14:$H$16))/F551,((0.0083*0.112*inputs!$C$7/1)*(3*60*379*((F551/1000)^0.8))*MAX(inputs!$H$14:$H$16))/F551))*(inputs!E$75/inputs!$E$73)</f>
        <v>1.2517402113976756E-2</v>
      </c>
      <c r="T551" s="63">
        <f>IF((((inputs!$P$12/(V551/MAX(K551:S551)))^(1/inputs!$O$12))-1)/inputs!$N$12&lt;0, 0, IF((((inputs!$P$12/(V551/MAX(K551:S551)))^(1/inputs!$O$12))-1)/inputs!$N$12&gt;inputs!$H$17, inputs!$H$17, (((inputs!$P$12/(V551/MAX(K551:S551)))^(1/inputs!$O$12))-1)/inputs!$N$12))</f>
        <v>57.820574764163702</v>
      </c>
      <c r="U551" s="63">
        <f>IF((((inputs!$P$12/(X551/MAX(K551:S551)))^(1/inputs!$O$12))-1)/inputs!$N$12&lt;0, 0, IF((((inputs!$P$12/(X551/MAX(K551:S551)))^(1/inputs!$O$12))-1)/inputs!$N$12&gt;inputs!$H$17, inputs!$H$17, (((inputs!$P$12/(X551/MAX(K551:S551)))^(1/inputs!$O$12))-1)/inputs!$N$12))</f>
        <v>0</v>
      </c>
      <c r="V551" s="54">
        <f>inputs!$E$70*(inputs!$F$70/F551)^(0.25)</f>
        <v>1.1636367933950642</v>
      </c>
      <c r="W551" s="54">
        <f>inputs!$E$76*(inputs!$F$76/F551)^(0.25)</f>
        <v>0.35</v>
      </c>
      <c r="X551" s="54">
        <f>inputs!$E$72*(inputs!$F$72/F551)^(0.25)</f>
        <v>51.336917355664603</v>
      </c>
      <c r="Y551" s="54" t="s">
        <v>13</v>
      </c>
      <c r="Z551" s="106">
        <f t="shared" si="68"/>
        <v>32.034564131113825</v>
      </c>
      <c r="AA551" s="106">
        <f t="shared" si="69"/>
        <v>106.50456423810809</v>
      </c>
    </row>
    <row r="552" spans="1:27" x14ac:dyDescent="0.25">
      <c r="A552" s="55" t="s">
        <v>554</v>
      </c>
      <c r="B552" s="49" t="s">
        <v>555</v>
      </c>
      <c r="C552" s="21" t="s">
        <v>61</v>
      </c>
      <c r="D552" s="20" t="s">
        <v>467</v>
      </c>
      <c r="E552" s="20">
        <v>8962</v>
      </c>
      <c r="F552" s="21">
        <v>350</v>
      </c>
      <c r="G552" s="21" t="s">
        <v>556</v>
      </c>
      <c r="H552" s="21">
        <v>0.7</v>
      </c>
      <c r="I552" s="48">
        <f>MAX('Min rate concentrations'!$E$3:$E$368)</f>
        <v>55</v>
      </c>
      <c r="J552" s="48">
        <f>MAX('Min rate concentrations'!X:X)</f>
        <v>18</v>
      </c>
      <c r="K552" s="60">
        <f t="shared" si="70"/>
        <v>15.186761937656151</v>
      </c>
      <c r="L552" s="60"/>
      <c r="M552" s="60">
        <f>IF((((0.326*F552^0.818)-(0.398*F552^0.85)/(1-H552)*H552)*(MAX('Min rate concentrations'!$P$3:$P$368)))/F552&gt;0, (((0.326*F552^0.818)-(0.398*F552^0.85)/(1-H552)*H552)*(MAX('Min rate concentrations'!$P$3:$P$368)))/F552, 0)</f>
        <v>0</v>
      </c>
      <c r="N552" s="60">
        <f>IF((((0.326*F552^0.818)-(0.398*F552^0.85)/(1-H552)*H552)*(MAX('Min rate concentrations'!$Q$3:$Q$368)))/F552&gt; 0, (((0.326*F552^0.818)-(0.398*F552^0.85)/(1-H552)*H552)*(MAX('Min rate concentrations'!$Q$3:$Q$368)))/F552, 0)</f>
        <v>0</v>
      </c>
      <c r="O552" s="60">
        <f>((MAX('Min rate concentrations'!$F$3:$F$368))*0.62*6.01*8*(12.3*F552^0.65)*0.079*0.1/F552)*inputs!$E$73/inputs!$E$74</f>
        <v>5.8069249204995748</v>
      </c>
      <c r="P552" s="60"/>
      <c r="Q552" s="60">
        <f>(inputs!$C$7*11.2*(12.3*F552^0.65)*0.5/F552)*inputs!$E$73/inputs!$E$74</f>
        <v>1.0228624359311669</v>
      </c>
      <c r="R552" s="60">
        <f>(60*379*((F552/1000)^0.8)*3*24*(MAX('Min rate concentrations'!$R$3:$R$368))/F552)*(inputs!$E$73/inputs!$E$75)</f>
        <v>2.269675914583151E-3</v>
      </c>
      <c r="S552" s="60">
        <f>(IF(inputs!$C$6="aerial",((0.025*0.112*inputs!$C$7/3.3)*(3*60*379*((F552/1000)^0.8))*MAX(inputs!$H$14:$H$16))/F552,((0.0083*0.112*inputs!$C$7/1)*(3*60*379*((F552/1000)^0.8))*MAX(inputs!$H$14:$H$16))/F552))*(inputs!E$75/inputs!$E$73)</f>
        <v>1.2517402113976756E-2</v>
      </c>
      <c r="T552" s="63">
        <f>IF((((inputs!$P$12/(V552/MAX(K552:S552)))^(1/inputs!$O$12))-1)/inputs!$N$12&lt;0, 0, IF((((inputs!$P$12/(V552/MAX(K552:S552)))^(1/inputs!$O$12))-1)/inputs!$N$12&gt;inputs!$H$17, inputs!$H$17, (((inputs!$P$12/(V552/MAX(K552:S552)))^(1/inputs!$O$12))-1)/inputs!$N$12))</f>
        <v>31.413037940063617</v>
      </c>
      <c r="U552" s="63">
        <f>IF((((inputs!$P$12/(X552/MAX(K552:S552)))^(1/inputs!$O$12))-1)/inputs!$N$12&lt;0, 0, IF((((inputs!$P$12/(X552/MAX(K552:S552)))^(1/inputs!$O$12))-1)/inputs!$N$12&gt;inputs!$H$17, inputs!$H$17, (((inputs!$P$12/(X552/MAX(K552:S552)))^(1/inputs!$O$12))-1)/inputs!$N$12))</f>
        <v>0</v>
      </c>
      <c r="V552" s="54">
        <f>inputs!$E$70*(inputs!$F$70/F552)^(0.25)</f>
        <v>1.1636367933950642</v>
      </c>
      <c r="W552" s="54">
        <f>inputs!$E$76*(inputs!$F$76/F552)^(0.25)</f>
        <v>0.35</v>
      </c>
      <c r="X552" s="54">
        <f>inputs!$E$72*(inputs!$F$72/F552)^(0.25)</f>
        <v>51.336917355664603</v>
      </c>
      <c r="Y552" s="54" t="s">
        <v>13</v>
      </c>
      <c r="Z552" s="106">
        <f t="shared" si="68"/>
        <v>13.051118720083407</v>
      </c>
      <c r="AA552" s="106">
        <f t="shared" si="69"/>
        <v>43.390748393303291</v>
      </c>
    </row>
    <row r="553" spans="1:27" x14ac:dyDescent="0.25">
      <c r="A553" s="55" t="s">
        <v>501</v>
      </c>
      <c r="B553" s="49" t="s">
        <v>502</v>
      </c>
      <c r="C553" s="21" t="s">
        <v>61</v>
      </c>
      <c r="D553" s="20" t="s">
        <v>467</v>
      </c>
      <c r="E553" s="20">
        <v>48</v>
      </c>
      <c r="F553" s="21">
        <v>18</v>
      </c>
      <c r="G553" s="21" t="s">
        <v>142</v>
      </c>
      <c r="H553" s="21">
        <v>0.69</v>
      </c>
      <c r="I553" s="48">
        <f>MAX('Min rate concentrations'!$H$3:$H$368)</f>
        <v>47</v>
      </c>
      <c r="J553" s="48">
        <f>MAX('Min rate concentrations'!AA:AA)</f>
        <v>32.5</v>
      </c>
      <c r="K553" s="60">
        <f t="shared" si="70"/>
        <v>21.29930931086157</v>
      </c>
      <c r="L553" s="60">
        <f>(((0.235*F553^0.822)/(1-H553)))*J553/F553</f>
        <v>14.728245800063853</v>
      </c>
      <c r="M553" s="60">
        <f>IF((((0.326*F553^0.818)-(0.398*F553^0.85)/(1-H553)*H553)*(MAX('Min rate concentrations'!$P$3:$P$368)))/F553&gt;0, (((0.326*F553^0.818)-(0.398*F553^0.85)/(1-H553)*H553)*(MAX('Min rate concentrations'!$P$3:$P$368)))/F553, 0)</f>
        <v>0</v>
      </c>
      <c r="N553" s="60">
        <f>IF((((0.326*F553^0.818)-(0.398*F553^0.85)/(1-H553)*H553)*(MAX('Min rate concentrations'!$Q$3:$Q$368)))/F553&gt; 0, (((0.326*F553^0.818)-(0.398*F553^0.85)/(1-H553)*H553)*(MAX('Min rate concentrations'!$Q$3:$Q$368)))/F553, 0)</f>
        <v>0</v>
      </c>
      <c r="O553" s="60">
        <f>((MAX('Min rate concentrations'!$F$3:$F$368))*0.62*6.01*8*(12.3*F553^0.65)*0.079*0.1/F553)*inputs!$E$73/inputs!$E$74</f>
        <v>16.406828924148304</v>
      </c>
      <c r="P553" s="60">
        <f>((MAX('Min rate concentrations'!Y:Y))*0.62*6.01*8*(12.3*F553^0.65)*0.079*0.1/F553)*inputs!$E$73/inputs!$E$74</f>
        <v>5.4689429747161</v>
      </c>
      <c r="Q553" s="60">
        <f>(inputs!$C$7*11.2*(12.3*F553^0.65)*0.5/F553)*inputs!$E$73/inputs!$E$74</f>
        <v>2.8899855308989428</v>
      </c>
      <c r="R553" s="60">
        <f>(60*379*((F553/1000)^0.8)*3*24*(MAX('Min rate concentrations'!$R$3:$R$368))/F553)*(inputs!$E$73/inputs!$E$75)</f>
        <v>4.1088752600946278E-3</v>
      </c>
      <c r="S553" s="60">
        <f>(IF(inputs!$C$6="aerial",((0.025*0.112*inputs!$C$7/3.3)*(3*60*379*((F553/1000)^0.8))*MAX(inputs!$H$14:$H$16))/F553,((0.0083*0.112*inputs!$C$7/1)*(3*60*379*((F553/1000)^0.8))*MAX(inputs!$H$14:$H$16))/F553))*(inputs!E$75/inputs!$E$73)</f>
        <v>2.2660699501770649E-2</v>
      </c>
      <c r="T553" s="63">
        <f>IF((((inputs!$P$12/(V553/MAX(K553:S553)))^(1/inputs!$O$12))-1)/inputs!$N$12&lt;0, 0, IF((((inputs!$P$12/(V553/MAX(K553:S553)))^(1/inputs!$O$12))-1)/inputs!$N$12&gt;inputs!$H$17, inputs!$H$17, (((inputs!$P$12/(V553/MAX(K553:S553)))^(1/inputs!$O$12))-1)/inputs!$N$12))</f>
        <v>22.343341735030457</v>
      </c>
      <c r="U553" s="63">
        <f>IF((((inputs!$P$12/(X553/MAX(K553:S553)))^(1/inputs!$O$12))-1)/inputs!$N$12&lt;0, 0, IF((((inputs!$P$12/(X553/MAX(K553:S553)))^(1/inputs!$O$12))-1)/inputs!$N$12&gt;inputs!$H$17, inputs!$H$17, (((inputs!$P$12/(X553/MAX(K553:S553)))^(1/inputs!$O$12))-1)/inputs!$N$12))</f>
        <v>0</v>
      </c>
      <c r="V553" s="54">
        <f>inputs!$E$70*(inputs!$F$70/F553)^(0.25)</f>
        <v>2.4435224286712112</v>
      </c>
      <c r="W553" s="54">
        <f>inputs!$E$76*(inputs!$F$76/F553)^(0.25)</f>
        <v>0.73496545905846522</v>
      </c>
      <c r="X553" s="54">
        <f>inputs!$E$72*(inputs!$F$72/F553)^(0.25)</f>
        <v>107.80246008843579</v>
      </c>
      <c r="Y553" s="54" t="s">
        <v>13</v>
      </c>
      <c r="Z553" s="106">
        <f t="shared" si="68"/>
        <v>8.716641623970748</v>
      </c>
      <c r="AA553" s="106">
        <f t="shared" si="69"/>
        <v>28.980014024260761</v>
      </c>
    </row>
    <row r="554" spans="1:27" x14ac:dyDescent="0.25">
      <c r="A554" s="55" t="s">
        <v>501</v>
      </c>
      <c r="B554" s="49" t="s">
        <v>502</v>
      </c>
      <c r="C554" s="21" t="s">
        <v>61</v>
      </c>
      <c r="D554" s="20" t="s">
        <v>467</v>
      </c>
      <c r="E554" s="20">
        <v>48</v>
      </c>
      <c r="F554" s="21">
        <v>18</v>
      </c>
      <c r="G554" s="21" t="s">
        <v>152</v>
      </c>
      <c r="H554" s="21">
        <v>0.77</v>
      </c>
      <c r="I554" s="48">
        <f>MAX('Min rate concentrations'!$G$3:$G$368)</f>
        <v>7.5</v>
      </c>
      <c r="J554" s="48">
        <f>MAX('Min rate concentrations'!Z:Z)</f>
        <v>3.5</v>
      </c>
      <c r="K554" s="60">
        <f t="shared" si="70"/>
        <v>4.5810262856385897</v>
      </c>
      <c r="L554" s="60">
        <f>(((0.235*F554^0.822)/(1-H554)))*J554/F554</f>
        <v>2.1378122666313422</v>
      </c>
      <c r="M554" s="60">
        <f>IF((((0.326*F554^0.818)-(0.398*F554^0.85)/(1-H554)*H554)*(MAX('Min rate concentrations'!$P$3:$P$368)))/F554&gt;0, (((0.326*F554^0.818)-(0.398*F554^0.85)/(1-H554)*H554)*(MAX('Min rate concentrations'!$P$3:$P$368)))/F554, 0)</f>
        <v>0</v>
      </c>
      <c r="N554" s="60">
        <f>IF((((0.326*F554^0.818)-(0.398*F554^0.85)/(1-H554)*H554)*(MAX('Min rate concentrations'!$Q$3:$Q$368)))/F554&gt; 0, (((0.326*F554^0.818)-(0.398*F554^0.85)/(1-H554)*H554)*(MAX('Min rate concentrations'!$Q$3:$Q$368)))/F554, 0)</f>
        <v>0</v>
      </c>
      <c r="O554" s="60">
        <f>((MAX('Min rate concentrations'!$F$3:$F$368))*0.62*6.01*8*(12.3*F554^0.65)*0.079*0.1/F554)*inputs!$E$73/inputs!$E$74</f>
        <v>16.406828924148304</v>
      </c>
      <c r="P554" s="60">
        <f>((MAX('Min rate concentrations'!Y:Y))*0.62*6.01*8*(12.3*F554^0.65)*0.079*0.1/F554)*inputs!$E$73/inputs!$E$74</f>
        <v>5.4689429747161</v>
      </c>
      <c r="Q554" s="60">
        <f>(inputs!$C$7*11.2*(12.3*F554^0.65)*0.5/F554)*inputs!$E$73/inputs!$E$74</f>
        <v>2.8899855308989428</v>
      </c>
      <c r="R554" s="60">
        <f>(60*379*((F554/1000)^0.8)*3*24*(MAX('Min rate concentrations'!$R$3:$R$368))/F554)*(inputs!$E$73/inputs!$E$75)</f>
        <v>4.1088752600946278E-3</v>
      </c>
      <c r="S554" s="60">
        <f>(IF(inputs!$C$6="aerial",((0.025*0.112*inputs!$C$7/3.3)*(3*60*379*((F554/1000)^0.8))*MAX(inputs!$H$14:$H$16))/F554,((0.0083*0.112*inputs!$C$7/1)*(3*60*379*((F554/1000)^0.8))*MAX(inputs!$H$14:$H$16))/F554))*(inputs!E$75/inputs!$E$73)</f>
        <v>2.2660699501770649E-2</v>
      </c>
      <c r="T554" s="63">
        <f>IF((((inputs!$P$12/(V554/MAX(K554:S554)))^(1/inputs!$O$12))-1)/inputs!$N$12&lt;0, 0, IF((((inputs!$P$12/(V554/MAX(K554:S554)))^(1/inputs!$O$12))-1)/inputs!$N$12&gt;inputs!$H$17, inputs!$H$17, (((inputs!$P$12/(V554/MAX(K554:S554)))^(1/inputs!$O$12))-1)/inputs!$N$12))</f>
        <v>17.223963072902105</v>
      </c>
      <c r="U554" s="63">
        <f>IF((((inputs!$P$12/(X554/MAX(K554:S554)))^(1/inputs!$O$12))-1)/inputs!$N$12&lt;0, 0, IF((((inputs!$P$12/(X554/MAX(K554:S554)))^(1/inputs!$O$12))-1)/inputs!$N$12&gt;inputs!$H$17, inputs!$H$17, (((inputs!$P$12/(X554/MAX(K554:S554)))^(1/inputs!$O$12))-1)/inputs!$N$12))</f>
        <v>0</v>
      </c>
      <c r="V554" s="54">
        <f>inputs!$E$70*(inputs!$F$70/F554)^(0.25)</f>
        <v>2.4435224286712112</v>
      </c>
      <c r="W554" s="54">
        <f>inputs!$E$76*(inputs!$F$76/F554)^(0.25)</f>
        <v>0.73496545905846522</v>
      </c>
      <c r="X554" s="54">
        <f>inputs!$E$72*(inputs!$F$72/F554)^(0.25)</f>
        <v>107.80246008843579</v>
      </c>
      <c r="Y554" s="54" t="s">
        <v>13</v>
      </c>
      <c r="Z554" s="106">
        <f t="shared" si="68"/>
        <v>6.7144171592770467</v>
      </c>
      <c r="AA554" s="106">
        <f t="shared" si="69"/>
        <v>22.32326529353697</v>
      </c>
    </row>
    <row r="555" spans="1:27" x14ac:dyDescent="0.25">
      <c r="A555" s="55" t="s">
        <v>501</v>
      </c>
      <c r="B555" s="49" t="s">
        <v>502</v>
      </c>
      <c r="C555" s="21" t="s">
        <v>61</v>
      </c>
      <c r="D555" s="20" t="s">
        <v>467</v>
      </c>
      <c r="E555" s="20">
        <v>48</v>
      </c>
      <c r="F555" s="21">
        <v>18</v>
      </c>
      <c r="G555" s="21" t="s">
        <v>153</v>
      </c>
      <c r="H555" s="21">
        <v>0.7</v>
      </c>
      <c r="I555" s="48">
        <f>MAX('Min rate concentrations'!$E$3:$E$368)</f>
        <v>55</v>
      </c>
      <c r="J555" s="48">
        <f>MAX('Min rate concentrations'!X:X)</f>
        <v>18</v>
      </c>
      <c r="K555" s="60">
        <f t="shared" si="70"/>
        <v>25.755547783701402</v>
      </c>
      <c r="L555" s="60"/>
      <c r="M555" s="60">
        <f>IF((((0.326*F555^0.818)-(0.398*F555^0.85)/(1-H555)*H555)*(MAX('Min rate concentrations'!$P$3:$P$368)))/F555&gt;0, (((0.326*F555^0.818)-(0.398*F555^0.85)/(1-H555)*H555)*(MAX('Min rate concentrations'!$P$3:$P$368)))/F555, 0)</f>
        <v>0</v>
      </c>
      <c r="N555" s="60">
        <f>IF((((0.326*F555^0.818)-(0.398*F555^0.85)/(1-H555)*H555)*(MAX('Min rate concentrations'!$Q$3:$Q$368)))/F555&gt; 0, (((0.326*F555^0.818)-(0.398*F555^0.85)/(1-H555)*H555)*(MAX('Min rate concentrations'!$Q$3:$Q$368)))/F555, 0)</f>
        <v>0</v>
      </c>
      <c r="O555" s="60">
        <f>((MAX('Min rate concentrations'!$F$3:$F$368))*0.62*6.01*8*(12.3*F555^0.65)*0.079*0.1/F555)*inputs!$E$73/inputs!$E$74</f>
        <v>16.406828924148304</v>
      </c>
      <c r="P555" s="60"/>
      <c r="Q555" s="60">
        <f>(inputs!$C$7*11.2*(12.3*F555^0.65)*0.5/F555)*inputs!$E$73/inputs!$E$74</f>
        <v>2.8899855308989428</v>
      </c>
      <c r="R555" s="60">
        <f>(60*379*((F555/1000)^0.8)*3*24*(MAX('Min rate concentrations'!$R$3:$R$368))/F555)*(inputs!$E$73/inputs!$E$75)</f>
        <v>4.1088752600946278E-3</v>
      </c>
      <c r="S555" s="60">
        <f>(IF(inputs!$C$6="aerial",((0.025*0.112*inputs!$C$7/3.3)*(3*60*379*((F555/1000)^0.8))*MAX(inputs!$H$14:$H$16))/F555,((0.0083*0.112*inputs!$C$7/1)*(3*60*379*((F555/1000)^0.8))*MAX(inputs!$H$14:$H$16))/F555))*(inputs!E$75/inputs!$E$73)</f>
        <v>2.2660699501770649E-2</v>
      </c>
      <c r="T555" s="63">
        <f>IF((((inputs!$P$12/(V555/MAX(K555:S555)))^(1/inputs!$O$12))-1)/inputs!$N$12&lt;0, 0, IF((((inputs!$P$12/(V555/MAX(K555:S555)))^(1/inputs!$O$12))-1)/inputs!$N$12&gt;inputs!$H$17, inputs!$H$17, (((inputs!$P$12/(V555/MAX(K555:S555)))^(1/inputs!$O$12))-1)/inputs!$N$12))</f>
        <v>26.426962075810291</v>
      </c>
      <c r="U555" s="63">
        <f>IF((((inputs!$P$12/(X555/MAX(K555:S555)))^(1/inputs!$O$12))-1)/inputs!$N$12&lt;0, 0, IF((((inputs!$P$12/(X555/MAX(K555:S555)))^(1/inputs!$O$12))-1)/inputs!$N$12&gt;inputs!$H$17, inputs!$H$17, (((inputs!$P$12/(X555/MAX(K555:S555)))^(1/inputs!$O$12))-1)/inputs!$N$12))</f>
        <v>0</v>
      </c>
      <c r="V555" s="54">
        <f>inputs!$E$70*(inputs!$F$70/F555)^(0.25)</f>
        <v>2.4435224286712112</v>
      </c>
      <c r="W555" s="54">
        <f>inputs!$E$76*(inputs!$F$76/F555)^(0.25)</f>
        <v>0.73496545905846522</v>
      </c>
      <c r="X555" s="54">
        <f>inputs!$E$72*(inputs!$F$72/F555)^(0.25)</f>
        <v>107.80246008843579</v>
      </c>
      <c r="Y555" s="54" t="s">
        <v>13</v>
      </c>
      <c r="Z555" s="106">
        <f t="shared" si="68"/>
        <v>10.540336148134839</v>
      </c>
      <c r="AA555" s="106">
        <f t="shared" si="69"/>
        <v>35.043208447776308</v>
      </c>
    </row>
    <row r="556" spans="1:27" x14ac:dyDescent="0.25">
      <c r="A556" s="55" t="s">
        <v>517</v>
      </c>
      <c r="B556" s="49" t="s">
        <v>518</v>
      </c>
      <c r="C556" s="21" t="s">
        <v>61</v>
      </c>
      <c r="D556" s="20" t="s">
        <v>467</v>
      </c>
      <c r="E556" s="20">
        <v>10043</v>
      </c>
      <c r="F556" s="21">
        <v>5</v>
      </c>
      <c r="G556" s="21" t="s">
        <v>142</v>
      </c>
      <c r="H556" s="21">
        <v>0.69</v>
      </c>
      <c r="I556" s="48">
        <f>MAX('Min rate concentrations'!$H$3:$H$368)</f>
        <v>47</v>
      </c>
      <c r="J556" s="48">
        <f>MAX('Min rate concentrations'!AA:AA)</f>
        <v>32.5</v>
      </c>
      <c r="K556" s="60">
        <f t="shared" si="70"/>
        <v>26.753916396244637</v>
      </c>
      <c r="L556" s="60">
        <f t="shared" ref="L556:L562" si="72">(((0.235*F556^0.822)/(1-H556)))*J556/F556</f>
        <v>18.500048571871293</v>
      </c>
      <c r="M556" s="60">
        <f>IF((((0.326*F556^0.818)-(0.398*F556^0.85)/(1-H556)*H556)*(MAX('Min rate concentrations'!$P$3:$P$368)))/F556&gt;0, (((0.326*F556^0.818)-(0.398*F556^0.85)/(1-H556)*H556)*(MAX('Min rate concentrations'!$P$3:$P$368)))/F556, 0)</f>
        <v>0</v>
      </c>
      <c r="N556" s="60">
        <f>IF((((0.326*F556^0.818)-(0.398*F556^0.85)/(1-H556)*H556)*(MAX('Min rate concentrations'!$Q$3:$Q$368)))/F556&gt; 0, (((0.326*F556^0.818)-(0.398*F556^0.85)/(1-H556)*H556)*(MAX('Min rate concentrations'!$Q$3:$Q$368)))/F556, 0)</f>
        <v>0</v>
      </c>
      <c r="O556" s="60">
        <f>((MAX('Min rate concentrations'!$F$3:$F$368))*0.62*6.01*8*(12.3*F556^0.65)*0.079*0.1/F556)*inputs!$E$73/inputs!$E$74</f>
        <v>25.688013745628645</v>
      </c>
      <c r="P556" s="60">
        <f>((MAX('Min rate concentrations'!Y:Y))*0.62*6.01*8*(12.3*F556^0.65)*0.079*0.1/F556)*inputs!$E$73/inputs!$E$74</f>
        <v>8.5626712485428804</v>
      </c>
      <c r="Q556" s="60">
        <f>(inputs!$C$7*11.2*(12.3*F556^0.65)*0.5/F556)*inputs!$E$73/inputs!$E$74</f>
        <v>4.5248224617697534</v>
      </c>
      <c r="R556" s="60">
        <f>(60*379*((F556/1000)^0.8)*3*24*(MAX('Min rate concentrations'!$R$3:$R$368))/F556)*(inputs!$E$73/inputs!$E$75)</f>
        <v>5.3086422236971543E-3</v>
      </c>
      <c r="S556" s="60">
        <f>(IF(inputs!$C$6="aerial",((0.025*0.112*inputs!$C$7/3.3)*(3*60*379*((F556/1000)^0.8))*MAX(inputs!$H$14:$H$16))/F556,((0.0083*0.112*inputs!$C$7/1)*(3*60*379*((F556/1000)^0.8))*MAX(inputs!$H$14:$H$16))/F556))*(inputs!E$75/inputs!$E$73)</f>
        <v>2.9277488017692293E-2</v>
      </c>
      <c r="T556" s="63">
        <f>IF((((inputs!$P$12/(V556/MAX(K556:S556)))^(1/inputs!$O$12))-1)/inputs!$N$12&lt;0, 0, IF((((inputs!$P$12/(V556/MAX(K556:S556)))^(1/inputs!$O$12))-1)/inputs!$N$12&gt;inputs!$H$17, inputs!$H$17, (((inputs!$P$12/(V556/MAX(K556:S556)))^(1/inputs!$O$12))-1)/inputs!$N$12))</f>
        <v>20.471797745698186</v>
      </c>
      <c r="U556" s="63">
        <f>IF((((inputs!$P$12/(X556/MAX(K556:S556)))^(1/inputs!$O$12))-1)/inputs!$N$12&lt;0, 0, IF((((inputs!$P$12/(X556/MAX(K556:S556)))^(1/inputs!$O$12))-1)/inputs!$N$12&gt;inputs!$H$17, inputs!$H$17, (((inputs!$P$12/(X556/MAX(K556:S556)))^(1/inputs!$O$12))-1)/inputs!$N$12))</f>
        <v>0</v>
      </c>
      <c r="V556" s="54">
        <f>inputs!$E$70*(inputs!$F$70/F556)^(0.25)</f>
        <v>3.3658282784479656</v>
      </c>
      <c r="W556" s="54">
        <f>inputs!$E$76*(inputs!$F$76/F556)^(0.25)</f>
        <v>1.0123776629816774</v>
      </c>
      <c r="X556" s="54">
        <f>inputs!$E$72*(inputs!$F$72/F556)^(0.25)</f>
        <v>148.49242404917496</v>
      </c>
      <c r="Y556" s="54" t="s">
        <v>13</v>
      </c>
      <c r="Z556" s="106">
        <f t="shared" si="68"/>
        <v>7.9486872718834229</v>
      </c>
      <c r="AA556" s="106">
        <f t="shared" si="69"/>
        <v>26.426814196441676</v>
      </c>
    </row>
    <row r="557" spans="1:27" ht="26.4" x14ac:dyDescent="0.25">
      <c r="A557" s="55" t="s">
        <v>465</v>
      </c>
      <c r="B557" s="49" t="s">
        <v>466</v>
      </c>
      <c r="C557" s="21" t="s">
        <v>61</v>
      </c>
      <c r="D557" s="20" t="s">
        <v>467</v>
      </c>
      <c r="E557" s="20">
        <v>25</v>
      </c>
      <c r="F557" s="21">
        <v>7</v>
      </c>
      <c r="G557" s="21" t="s">
        <v>142</v>
      </c>
      <c r="H557" s="21">
        <v>0.69</v>
      </c>
      <c r="I557" s="48">
        <f>MAX('Min rate concentrations'!$H$3:$H$368)</f>
        <v>47</v>
      </c>
      <c r="J557" s="48">
        <f>MAX('Min rate concentrations'!AA:AA)</f>
        <v>32.5</v>
      </c>
      <c r="K557" s="60">
        <f t="shared" si="70"/>
        <v>25.198609434978106</v>
      </c>
      <c r="L557" s="60">
        <f t="shared" si="72"/>
        <v>17.424570353974222</v>
      </c>
      <c r="M557" s="60">
        <f>IF((((0.326*F557^0.818)-(0.398*F557^0.85)/(1-H557)*H557)*(MAX('Min rate concentrations'!$P$3:$P$368)))/F557&gt;0, (((0.326*F557^0.818)-(0.398*F557^0.85)/(1-H557)*H557)*(MAX('Min rate concentrations'!$P$3:$P$368)))/F557, 0)</f>
        <v>0</v>
      </c>
      <c r="N557" s="60">
        <f>IF((((0.326*F557^0.818)-(0.398*F557^0.85)/(1-H557)*H557)*(MAX('Min rate concentrations'!$Q$3:$Q$368)))/F557&gt; 0, (((0.326*F557^0.818)-(0.398*F557^0.85)/(1-H557)*H557)*(MAX('Min rate concentrations'!$Q$3:$Q$368)))/F557, 0)</f>
        <v>0</v>
      </c>
      <c r="O557" s="60">
        <f>((MAX('Min rate concentrations'!$F$3:$F$368))*0.62*6.01*8*(12.3*F557^0.65)*0.079*0.1/F557)*inputs!$E$73/inputs!$E$74</f>
        <v>22.834195364309181</v>
      </c>
      <c r="P557" s="60">
        <f>((MAX('Min rate concentrations'!Y:Y))*0.62*6.01*8*(12.3*F557^0.65)*0.079*0.1/F557)*inputs!$E$73/inputs!$E$74</f>
        <v>7.6113984547697271</v>
      </c>
      <c r="Q557" s="60">
        <f>(inputs!$C$7*11.2*(12.3*F557^0.65)*0.5/F557)*inputs!$E$73/inputs!$E$74</f>
        <v>4.0221358141575729</v>
      </c>
      <c r="R557" s="60">
        <f>(60*379*((F557/1000)^0.8)*3*24*(MAX('Min rate concentrations'!$R$3:$R$368))/F557)*(inputs!$E$73/inputs!$E$75)</f>
        <v>4.9631551302954831E-3</v>
      </c>
      <c r="S557" s="60">
        <f>(IF(inputs!$C$6="aerial",((0.025*0.112*inputs!$C$7/3.3)*(3*60*379*((F557/1000)^0.8))*MAX(inputs!$H$14:$H$16))/F557,((0.0083*0.112*inputs!$C$7/1)*(3*60*379*((F557/1000)^0.8))*MAX(inputs!$H$14:$H$16))/F557))*(inputs!E$75/inputs!$E$73)</f>
        <v>2.7372105471439204E-2</v>
      </c>
      <c r="T557" s="63">
        <f>IF((((inputs!$P$12/(V557/MAX(K557:S557)))^(1/inputs!$O$12))-1)/inputs!$N$12&lt;0, 0, IF((((inputs!$P$12/(V557/MAX(K557:S557)))^(1/inputs!$O$12))-1)/inputs!$N$12&gt;inputs!$H$17, inputs!$H$17, (((inputs!$P$12/(V557/MAX(K557:S557)))^(1/inputs!$O$12))-1)/inputs!$N$12))</f>
        <v>20.956631553826629</v>
      </c>
      <c r="U557" s="63">
        <f>IF((((inputs!$P$12/(X557/MAX(K557:S557)))^(1/inputs!$O$12))-1)/inputs!$N$12&lt;0, 0, IF((((inputs!$P$12/(X557/MAX(K557:S557)))^(1/inputs!$O$12))-1)/inputs!$N$12&gt;inputs!$H$17, inputs!$H$17, (((inputs!$P$12/(X557/MAX(K557:S557)))^(1/inputs!$O$12))-1)/inputs!$N$12))</f>
        <v>0</v>
      </c>
      <c r="V557" s="54">
        <f>inputs!$E$70*(inputs!$F$70/F557)^(0.25)</f>
        <v>3.0942823919235973</v>
      </c>
      <c r="W557" s="54">
        <f>inputs!$E$76*(inputs!$F$76/F557)^(0.25)</f>
        <v>0.9307017819653729</v>
      </c>
      <c r="X557" s="54">
        <f>inputs!$E$72*(inputs!$F$72/F557)^(0.25)</f>
        <v>136.51245846721753</v>
      </c>
      <c r="Y557" s="54" t="s">
        <v>13</v>
      </c>
      <c r="Z557" s="106">
        <f t="shared" si="68"/>
        <v>8.1436036674445518</v>
      </c>
      <c r="AA557" s="106">
        <f t="shared" si="69"/>
        <v>27.074848166472758</v>
      </c>
    </row>
    <row r="558" spans="1:27" x14ac:dyDescent="0.25">
      <c r="A558" s="55" t="s">
        <v>484</v>
      </c>
      <c r="B558" s="49" t="s">
        <v>485</v>
      </c>
      <c r="C558" s="21" t="s">
        <v>61</v>
      </c>
      <c r="D558" s="20" t="s">
        <v>467</v>
      </c>
      <c r="E558" s="20">
        <v>8166</v>
      </c>
      <c r="F558" s="21">
        <v>5.5</v>
      </c>
      <c r="G558" s="21" t="s">
        <v>142</v>
      </c>
      <c r="H558" s="21">
        <v>0.69</v>
      </c>
      <c r="I558" s="48">
        <f>MAX('Min rate concentrations'!$H$3:$H$368)</f>
        <v>47</v>
      </c>
      <c r="J558" s="48">
        <f>MAX('Min rate concentrations'!AA:AA)</f>
        <v>32.5</v>
      </c>
      <c r="K558" s="60">
        <f t="shared" ref="K558:K573" si="73">(((0.235*F558^0.822)/(1-H558)))*I558/F558</f>
        <v>26.303858986812376</v>
      </c>
      <c r="L558" s="60">
        <f t="shared" si="72"/>
        <v>18.188838661093669</v>
      </c>
      <c r="M558" s="60">
        <f>IF((((0.326*F558^0.818)-(0.398*F558^0.85)/(1-H558)*H558)*(MAX('Min rate concentrations'!$P$3:$P$368)))/F558&gt;0, (((0.326*F558^0.818)-(0.398*F558^0.85)/(1-H558)*H558)*(MAX('Min rate concentrations'!$P$3:$P$368)))/F558, 0)</f>
        <v>0</v>
      </c>
      <c r="N558" s="60">
        <f>IF((((0.326*F558^0.818)-(0.398*F558^0.85)/(1-H558)*H558)*(MAX('Min rate concentrations'!$Q$3:$Q$368)))/F558&gt; 0, (((0.326*F558^0.818)-(0.398*F558^0.85)/(1-H558)*H558)*(MAX('Min rate concentrations'!$Q$3:$Q$368)))/F558, 0)</f>
        <v>0</v>
      </c>
      <c r="O558" s="60">
        <f>((MAX('Min rate concentrations'!$F$3:$F$368))*0.62*6.01*8*(12.3*F558^0.65)*0.079*0.1/F558)*inputs!$E$73/inputs!$E$74</f>
        <v>24.845233641006182</v>
      </c>
      <c r="P558" s="60">
        <f>((MAX('Min rate concentrations'!Y:Y))*0.62*6.01*8*(12.3*F558^0.65)*0.079*0.1/F558)*inputs!$E$73/inputs!$E$74</f>
        <v>8.2817445470020576</v>
      </c>
      <c r="Q558" s="60">
        <f>(inputs!$C$7*11.2*(12.3*F558^0.65)*0.5/F558)*inputs!$E$73/inputs!$E$74</f>
        <v>4.3763707213786818</v>
      </c>
      <c r="R558" s="60">
        <f>(60*379*((F558/1000)^0.8)*3*24*(MAX('Min rate concentrations'!$R$3:$R$368))/F558)*(inputs!$E$73/inputs!$E$75)</f>
        <v>5.2084070728626811E-3</v>
      </c>
      <c r="S558" s="60">
        <f>(IF(inputs!$C$6="aerial",((0.025*0.112*inputs!$C$7/3.3)*(3*60*379*((F558/1000)^0.8))*MAX(inputs!$H$14:$H$16))/F558,((0.0083*0.112*inputs!$C$7/1)*(3*60*379*((F558/1000)^0.8))*MAX(inputs!$H$14:$H$16))/F558))*(inputs!E$75/inputs!$E$73)</f>
        <v>2.8724685002561985E-2</v>
      </c>
      <c r="T558" s="63">
        <f>IF((((inputs!$P$12/(V558/MAX(K558:S558)))^(1/inputs!$O$12))-1)/inputs!$N$12&lt;0, 0, IF((((inputs!$P$12/(V558/MAX(K558:S558)))^(1/inputs!$O$12))-1)/inputs!$N$12&gt;inputs!$H$17, inputs!$H$17, (((inputs!$P$12/(V558/MAX(K558:S558)))^(1/inputs!$O$12))-1)/inputs!$N$12))</f>
        <v>20.608648674337484</v>
      </c>
      <c r="U558" s="63">
        <f>IF((((inputs!$P$12/(X558/MAX(K558:S558)))^(1/inputs!$O$12))-1)/inputs!$N$12&lt;0, 0, IF((((inputs!$P$12/(X558/MAX(K558:S558)))^(1/inputs!$O$12))-1)/inputs!$N$12&gt;inputs!$H$17, inputs!$H$17, (((inputs!$P$12/(X558/MAX(K558:S558)))^(1/inputs!$O$12))-1)/inputs!$N$12))</f>
        <v>0</v>
      </c>
      <c r="V558" s="54">
        <f>inputs!$E$70*(inputs!$F$70/F558)^(0.25)</f>
        <v>3.2865767876386922</v>
      </c>
      <c r="W558" s="54">
        <f>inputs!$E$76*(inputs!$F$76/F558)^(0.25)</f>
        <v>0.98854030931540415</v>
      </c>
      <c r="X558" s="54">
        <f>inputs!$E$72*(inputs!$F$72/F558)^(0.25)</f>
        <v>144.99603474876582</v>
      </c>
      <c r="Y558" s="54" t="s">
        <v>13</v>
      </c>
      <c r="Z558" s="106">
        <f t="shared" si="68"/>
        <v>8.0034213975298343</v>
      </c>
      <c r="AA558" s="106">
        <f t="shared" si="69"/>
        <v>26.60878746060304</v>
      </c>
    </row>
    <row r="559" spans="1:27" ht="26.4" x14ac:dyDescent="0.25">
      <c r="A559" s="55" t="s">
        <v>486</v>
      </c>
      <c r="B559" s="49" t="s">
        <v>487</v>
      </c>
      <c r="C559" s="21" t="s">
        <v>61</v>
      </c>
      <c r="D559" s="20" t="s">
        <v>467</v>
      </c>
      <c r="E559" s="20">
        <v>4564</v>
      </c>
      <c r="F559" s="21">
        <v>5.5</v>
      </c>
      <c r="G559" s="21" t="s">
        <v>142</v>
      </c>
      <c r="H559" s="21">
        <v>0.69</v>
      </c>
      <c r="I559" s="48">
        <f>MAX('Min rate concentrations'!$H$3:$H$368)</f>
        <v>47</v>
      </c>
      <c r="J559" s="48">
        <f>MAX('Min rate concentrations'!AA:AA)</f>
        <v>32.5</v>
      </c>
      <c r="K559" s="60">
        <f t="shared" si="73"/>
        <v>26.303858986812376</v>
      </c>
      <c r="L559" s="60">
        <f t="shared" si="72"/>
        <v>18.188838661093669</v>
      </c>
      <c r="M559" s="60">
        <f>IF((((0.326*F559^0.818)-(0.398*F559^0.85)/(1-H559)*H559)*(MAX('Min rate concentrations'!$P$3:$P$368)))/F559&gt;0, (((0.326*F559^0.818)-(0.398*F559^0.85)/(1-H559)*H559)*(MAX('Min rate concentrations'!$P$3:$P$368)))/F559, 0)</f>
        <v>0</v>
      </c>
      <c r="N559" s="60">
        <f>IF((((0.326*F559^0.818)-(0.398*F559^0.85)/(1-H559)*H559)*(MAX('Min rate concentrations'!$Q$3:$Q$368)))/F559&gt; 0, (((0.326*F559^0.818)-(0.398*F559^0.85)/(1-H559)*H559)*(MAX('Min rate concentrations'!$Q$3:$Q$368)))/F559, 0)</f>
        <v>0</v>
      </c>
      <c r="O559" s="60">
        <f>((MAX('Min rate concentrations'!$F$3:$F$368))*0.62*6.01*8*(12.3*F559^0.65)*0.079*0.1/F559)*inputs!$E$73/inputs!$E$74</f>
        <v>24.845233641006182</v>
      </c>
      <c r="P559" s="60">
        <f>((MAX('Min rate concentrations'!Y:Y))*0.62*6.01*8*(12.3*F559^0.65)*0.079*0.1/F559)*inputs!$E$73/inputs!$E$74</f>
        <v>8.2817445470020576</v>
      </c>
      <c r="Q559" s="60">
        <f>(inputs!$C$7*11.2*(12.3*F559^0.65)*0.5/F559)*inputs!$E$73/inputs!$E$74</f>
        <v>4.3763707213786818</v>
      </c>
      <c r="R559" s="60">
        <f>(60*379*((F559/1000)^0.8)*3*24*(MAX('Min rate concentrations'!$R$3:$R$368))/F559)*(inputs!$E$73/inputs!$E$75)</f>
        <v>5.2084070728626811E-3</v>
      </c>
      <c r="S559" s="60">
        <f>(IF(inputs!$C$6="aerial",((0.025*0.112*inputs!$C$7/3.3)*(3*60*379*((F559/1000)^0.8))*MAX(inputs!$H$14:$H$16))/F559,((0.0083*0.112*inputs!$C$7/1)*(3*60*379*((F559/1000)^0.8))*MAX(inputs!$H$14:$H$16))/F559))*(inputs!E$75/inputs!$E$73)</f>
        <v>2.8724685002561985E-2</v>
      </c>
      <c r="T559" s="63">
        <f>IF((((inputs!$P$12/(V559/MAX(K559:S559)))^(1/inputs!$O$12))-1)/inputs!$N$12&lt;0, 0, IF((((inputs!$P$12/(V559/MAX(K559:S559)))^(1/inputs!$O$12))-1)/inputs!$N$12&gt;inputs!$H$17, inputs!$H$17, (((inputs!$P$12/(V559/MAX(K559:S559)))^(1/inputs!$O$12))-1)/inputs!$N$12))</f>
        <v>20.608648674337484</v>
      </c>
      <c r="U559" s="63">
        <f>IF((((inputs!$P$12/(X559/MAX(K559:S559)))^(1/inputs!$O$12))-1)/inputs!$N$12&lt;0, 0, IF((((inputs!$P$12/(X559/MAX(K559:S559)))^(1/inputs!$O$12))-1)/inputs!$N$12&gt;inputs!$H$17, inputs!$H$17, (((inputs!$P$12/(X559/MAX(K559:S559)))^(1/inputs!$O$12))-1)/inputs!$N$12))</f>
        <v>0</v>
      </c>
      <c r="V559" s="54">
        <f>inputs!$E$70*(inputs!$F$70/F559)^(0.25)</f>
        <v>3.2865767876386922</v>
      </c>
      <c r="W559" s="54">
        <f>inputs!$E$76*(inputs!$F$76/F559)^(0.25)</f>
        <v>0.98854030931540415</v>
      </c>
      <c r="X559" s="54">
        <f>inputs!$E$72*(inputs!$F$72/F559)^(0.25)</f>
        <v>144.99603474876582</v>
      </c>
      <c r="Y559" s="54" t="s">
        <v>13</v>
      </c>
      <c r="Z559" s="106">
        <f t="shared" si="68"/>
        <v>8.0034213975298343</v>
      </c>
      <c r="AA559" s="106">
        <f t="shared" si="69"/>
        <v>26.60878746060304</v>
      </c>
    </row>
    <row r="560" spans="1:27" ht="26.4" x14ac:dyDescent="0.25">
      <c r="A560" s="55" t="s">
        <v>468</v>
      </c>
      <c r="B560" s="49" t="s">
        <v>469</v>
      </c>
      <c r="C560" s="21" t="s">
        <v>61</v>
      </c>
      <c r="D560" s="20" t="s">
        <v>467</v>
      </c>
      <c r="E560" s="20">
        <v>27</v>
      </c>
      <c r="F560" s="21">
        <v>5</v>
      </c>
      <c r="G560" s="21" t="s">
        <v>142</v>
      </c>
      <c r="H560" s="21">
        <v>0.69</v>
      </c>
      <c r="I560" s="48">
        <f>MAX('Min rate concentrations'!$H$3:$H$368)</f>
        <v>47</v>
      </c>
      <c r="J560" s="48">
        <f>MAX('Min rate concentrations'!AA:AA)</f>
        <v>32.5</v>
      </c>
      <c r="K560" s="60">
        <f t="shared" si="73"/>
        <v>26.753916396244637</v>
      </c>
      <c r="L560" s="60">
        <f t="shared" si="72"/>
        <v>18.500048571871293</v>
      </c>
      <c r="M560" s="60">
        <f>IF((((0.326*F560^0.818)-(0.398*F560^0.85)/(1-H560)*H560)*(MAX('Min rate concentrations'!$P$3:$P$368)))/F560&gt;0, (((0.326*F560^0.818)-(0.398*F560^0.85)/(1-H560)*H560)*(MAX('Min rate concentrations'!$P$3:$P$368)))/F560, 0)</f>
        <v>0</v>
      </c>
      <c r="N560" s="60">
        <f>IF((((0.326*F560^0.818)-(0.398*F560^0.85)/(1-H560)*H560)*(MAX('Min rate concentrations'!$Q$3:$Q$368)))/F560&gt; 0, (((0.326*F560^0.818)-(0.398*F560^0.85)/(1-H560)*H560)*(MAX('Min rate concentrations'!$Q$3:$Q$368)))/F560, 0)</f>
        <v>0</v>
      </c>
      <c r="O560" s="60">
        <f>((MAX('Min rate concentrations'!$F$3:$F$368))*0.62*6.01*8*(12.3*F560^0.65)*0.079*0.1/F560)*inputs!$E$73/inputs!$E$74</f>
        <v>25.688013745628645</v>
      </c>
      <c r="P560" s="60">
        <f>((MAX('Min rate concentrations'!Y:Y))*0.62*6.01*8*(12.3*F560^0.65)*0.079*0.1/F560)*inputs!$E$73/inputs!$E$74</f>
        <v>8.5626712485428804</v>
      </c>
      <c r="Q560" s="60">
        <f>(inputs!$C$7*11.2*(12.3*F560^0.65)*0.5/F560)*inputs!$E$73/inputs!$E$74</f>
        <v>4.5248224617697534</v>
      </c>
      <c r="R560" s="60">
        <f>(60*379*((F560/1000)^0.8)*3*24*(MAX('Min rate concentrations'!$R$3:$R$368))/F560)*(inputs!$E$73/inputs!$E$75)</f>
        <v>5.3086422236971543E-3</v>
      </c>
      <c r="S560" s="60">
        <f>(IF(inputs!$C$6="aerial",((0.025*0.112*inputs!$C$7/3.3)*(3*60*379*((F560/1000)^0.8))*MAX(inputs!$H$14:$H$16))/F560,((0.0083*0.112*inputs!$C$7/1)*(3*60*379*((F560/1000)^0.8))*MAX(inputs!$H$14:$H$16))/F560))*(inputs!E$75/inputs!$E$73)</f>
        <v>2.9277488017692293E-2</v>
      </c>
      <c r="T560" s="63">
        <f>IF((((inputs!$P$12/(V560/MAX(K560:S560)))^(1/inputs!$O$12))-1)/inputs!$N$12&lt;0, 0, IF((((inputs!$P$12/(V560/MAX(K560:S560)))^(1/inputs!$O$12))-1)/inputs!$N$12&gt;inputs!$H$17, inputs!$H$17, (((inputs!$P$12/(V560/MAX(K560:S560)))^(1/inputs!$O$12))-1)/inputs!$N$12))</f>
        <v>20.471797745698186</v>
      </c>
      <c r="U560" s="63">
        <f>IF((((inputs!$P$12/(X560/MAX(K560:S560)))^(1/inputs!$O$12))-1)/inputs!$N$12&lt;0, 0, IF((((inputs!$P$12/(X560/MAX(K560:S560)))^(1/inputs!$O$12))-1)/inputs!$N$12&gt;inputs!$H$17, inputs!$H$17, (((inputs!$P$12/(X560/MAX(K560:S560)))^(1/inputs!$O$12))-1)/inputs!$N$12))</f>
        <v>0</v>
      </c>
      <c r="V560" s="54">
        <f>inputs!$E$70*(inputs!$F$70/F560)^(0.25)</f>
        <v>3.3658282784479656</v>
      </c>
      <c r="W560" s="54">
        <f>inputs!$E$76*(inputs!$F$76/F560)^(0.25)</f>
        <v>1.0123776629816774</v>
      </c>
      <c r="X560" s="54">
        <f>inputs!$E$72*(inputs!$F$72/F560)^(0.25)</f>
        <v>148.49242404917496</v>
      </c>
      <c r="Y560" s="54" t="s">
        <v>13</v>
      </c>
      <c r="Z560" s="106">
        <f t="shared" si="68"/>
        <v>7.9486872718834229</v>
      </c>
      <c r="AA560" s="106">
        <f t="shared" si="69"/>
        <v>26.426814196441676</v>
      </c>
    </row>
    <row r="561" spans="1:27" x14ac:dyDescent="0.25">
      <c r="A561" s="55" t="s">
        <v>565</v>
      </c>
      <c r="B561" s="49" t="s">
        <v>566</v>
      </c>
      <c r="C561" s="21" t="s">
        <v>61</v>
      </c>
      <c r="D561" s="20" t="s">
        <v>567</v>
      </c>
      <c r="E561" s="20">
        <v>58</v>
      </c>
      <c r="F561" s="21">
        <v>4.0999999999999996</v>
      </c>
      <c r="G561" s="21" t="s">
        <v>142</v>
      </c>
      <c r="H561" s="21">
        <v>0.69</v>
      </c>
      <c r="I561" s="48">
        <f>MAX('Min rate concentrations'!$H$3:$H$368)</f>
        <v>47</v>
      </c>
      <c r="J561" s="48">
        <f>MAX('Min rate concentrations'!AA:AA)</f>
        <v>32.5</v>
      </c>
      <c r="K561" s="60">
        <f t="shared" si="73"/>
        <v>27.715868994800392</v>
      </c>
      <c r="L561" s="60">
        <f t="shared" si="72"/>
        <v>19.165228560234315</v>
      </c>
      <c r="M561" s="60">
        <f>IF((((0.326*F561^0.818)-(0.398*F561^0.85)/(1-H561)*H561)*(MAX('Min rate concentrations'!$P$3:$P$368)))/F561&gt;0, (((0.326*F561^0.818)-(0.398*F561^0.85)/(1-H561)*H561)*(MAX('Min rate concentrations'!$P$3:$P$368)))/F561, 0)</f>
        <v>0</v>
      </c>
      <c r="N561" s="60">
        <f>IF((((0.326*F561^0.818)-(0.398*F561^0.85)/(1-H561)*H561)*(MAX('Min rate concentrations'!$Q$3:$Q$368)))/F561&gt; 0, (((0.326*F561^0.818)-(0.398*F561^0.85)/(1-H561)*H561)*(MAX('Min rate concentrations'!$Q$3:$Q$368)))/F561, 0)</f>
        <v>0</v>
      </c>
      <c r="O561" s="60">
        <f>((MAX('Min rate concentrations'!$F$3:$F$368))*0.62*6.01*8*(12.3*F561^0.65)*0.079*0.1/F561)*inputs!$E$73/inputs!$E$74</f>
        <v>27.535671799558088</v>
      </c>
      <c r="P561" s="60">
        <f>((MAX('Min rate concentrations'!Y:Y))*0.62*6.01*8*(12.3*F561^0.65)*0.079*0.1/F561)*inputs!$E$73/inputs!$E$74</f>
        <v>9.1785572665193627</v>
      </c>
      <c r="Q561" s="60">
        <f>(inputs!$C$7*11.2*(12.3*F561^0.65)*0.5/F561)*inputs!$E$73/inputs!$E$74</f>
        <v>4.8502787133459364</v>
      </c>
      <c r="R561" s="60">
        <f>(60*379*((F561/1000)^0.8)*3*24*(MAX('Min rate concentrations'!$R$3:$R$368))/F561)*(inputs!$E$73/inputs!$E$75)</f>
        <v>5.5235804847156662E-3</v>
      </c>
      <c r="S561" s="60">
        <f>(IF(inputs!$C$6="aerial",((0.025*0.112*inputs!$C$7/3.3)*(3*60*379*((F561/1000)^0.8))*MAX(inputs!$H$14:$H$16))/F561,((0.0083*0.112*inputs!$C$7/1)*(3*60*379*((F561/1000)^0.8))*MAX(inputs!$H$14:$H$16))/F561))*(inputs!E$75/inputs!$E$73)</f>
        <v>3.0462885732652743E-2</v>
      </c>
      <c r="T561" s="63">
        <f>IF((((inputs!$P$12/(V561/MAX(K561:S561)))^(1/inputs!$O$12))-1)/inputs!$N$12&lt;0, 0, IF((((inputs!$P$12/(V561/MAX(K561:S561)))^(1/inputs!$O$12))-1)/inputs!$N$12&gt;inputs!$H$17, inputs!$H$17, (((inputs!$P$12/(V561/MAX(K561:S561)))^(1/inputs!$O$12))-1)/inputs!$N$12))</f>
        <v>20.188075089352068</v>
      </c>
      <c r="U561" s="63">
        <f>IF((((inputs!$P$12/(X561/MAX(K561:S561)))^(1/inputs!$O$12))-1)/inputs!$N$12&lt;0, 0, IF((((inputs!$P$12/(X561/MAX(K561:S561)))^(1/inputs!$O$12))-1)/inputs!$N$12&gt;inputs!$H$17, inputs!$H$17, (((inputs!$P$12/(X561/MAX(K561:S561)))^(1/inputs!$O$12))-1)/inputs!$N$12))</f>
        <v>0</v>
      </c>
      <c r="V561" s="54">
        <f>inputs!$E$70*(inputs!$F$70/F561)^(0.25)</f>
        <v>3.5370279509734179</v>
      </c>
      <c r="W561" s="54">
        <f>inputs!$E$76*(inputs!$F$76/F561)^(0.25)</f>
        <v>1.0638712954656449</v>
      </c>
      <c r="X561" s="54">
        <f>inputs!$E$72*(inputs!$F$72/F561)^(0.25)</f>
        <v>156.04535077823903</v>
      </c>
      <c r="Y561" s="54" t="s">
        <v>13</v>
      </c>
      <c r="Z561" s="106">
        <f t="shared" si="68"/>
        <v>7.8359202638398058</v>
      </c>
      <c r="AA561" s="106">
        <f t="shared" si="69"/>
        <v>26.051900368897027</v>
      </c>
    </row>
    <row r="562" spans="1:27" x14ac:dyDescent="0.25">
      <c r="A562" s="55" t="s">
        <v>565</v>
      </c>
      <c r="B562" s="49" t="s">
        <v>566</v>
      </c>
      <c r="C562" s="21" t="s">
        <v>61</v>
      </c>
      <c r="D562" s="20" t="s">
        <v>567</v>
      </c>
      <c r="E562" s="20">
        <v>58</v>
      </c>
      <c r="F562" s="21">
        <v>4.0999999999999996</v>
      </c>
      <c r="G562" s="21" t="s">
        <v>164</v>
      </c>
      <c r="H562" s="21">
        <v>0.78</v>
      </c>
      <c r="I562" s="48">
        <f>inputs!$C$65*(inputs!$C$62/1000)</f>
        <v>0.82000000000000006</v>
      </c>
      <c r="J562" s="48">
        <f>inputs!$C$65*(inputs!$C$61/1000)</f>
        <v>0.25</v>
      </c>
      <c r="K562" s="60">
        <f t="shared" si="73"/>
        <v>0.6813707832184005</v>
      </c>
      <c r="L562" s="60">
        <f t="shared" si="72"/>
        <v>0.20773499488365868</v>
      </c>
      <c r="M562" s="60">
        <f>IF((((0.326*F562^0.818)-(0.398*F562^0.85)/(1-H562)*H562)*(MAX('Min rate concentrations'!$P$3:$P$368)))/F562&gt;0, (((0.326*F562^0.818)-(0.398*F562^0.85)/(1-H562)*H562)*(MAX('Min rate concentrations'!$P$3:$P$368)))/F562, 0)</f>
        <v>0</v>
      </c>
      <c r="N562" s="60">
        <f>IF((((0.326*F562^0.818)-(0.398*F562^0.85)/(1-H562)*H562)*(MAX('Min rate concentrations'!$Q$3:$Q$368)))/F562&gt; 0, (((0.326*F562^0.818)-(0.398*F562^0.85)/(1-H562)*H562)*(MAX('Min rate concentrations'!$Q$3:$Q$368)))/F562, 0)</f>
        <v>0</v>
      </c>
      <c r="O562" s="60">
        <f>((MAX('Min rate concentrations'!$F$3:$F$368))*0.62*6.01*8*(12.3*F562^0.65)*0.079*0.1/F562)*inputs!$E$73/inputs!$E$74</f>
        <v>27.535671799558088</v>
      </c>
      <c r="P562" s="60">
        <f>((MAX('Min rate concentrations'!Y:Y))*0.62*6.01*8*(12.3*F562^0.65)*0.079*0.1/F562)*inputs!$E$73/inputs!$E$74</f>
        <v>9.1785572665193627</v>
      </c>
      <c r="Q562" s="60">
        <f>(inputs!$C$7*11.2*(12.3*F562^0.65)*0.5/F562)*inputs!$E$73/inputs!$E$74</f>
        <v>4.8502787133459364</v>
      </c>
      <c r="R562" s="60">
        <f>(60*379*((F562/1000)^0.8)*3*24*(MAX('Min rate concentrations'!$R$3:$R$368))/F562)*(inputs!$E$73/inputs!$E$75)</f>
        <v>5.5235804847156662E-3</v>
      </c>
      <c r="S562" s="60">
        <f>(IF(inputs!$C$6="aerial",((0.025*0.112*inputs!$C$7/3.3)*(3*60*379*((F562/1000)^0.8))*MAX(inputs!$H$14:$H$16))/F562,((0.0083*0.112*inputs!$C$7/1)*(3*60*379*((F562/1000)^0.8))*MAX(inputs!$H$14:$H$16))/F562))*(inputs!E$75/inputs!$E$73)</f>
        <v>3.0462885732652743E-2</v>
      </c>
      <c r="T562" s="63">
        <f>IF((((inputs!$P$12/(V562/MAX(K562:S562)))^(1/inputs!$O$12))-1)/inputs!$N$12&lt;0, 0, IF((((inputs!$P$12/(V562/MAX(K562:S562)))^(1/inputs!$O$12))-1)/inputs!$N$12&gt;inputs!$H$17, inputs!$H$17, (((inputs!$P$12/(V562/MAX(K562:S562)))^(1/inputs!$O$12))-1)/inputs!$N$12))</f>
        <v>20.059100259272569</v>
      </c>
      <c r="U562" s="63">
        <f>IF((((inputs!$P$12/(X562/MAX(K562:S562)))^(1/inputs!$O$12))-1)/inputs!$N$12&lt;0, 0, IF((((inputs!$P$12/(X562/MAX(K562:S562)))^(1/inputs!$O$12))-1)/inputs!$N$12&gt;inputs!$H$17, inputs!$H$17, (((inputs!$P$12/(X562/MAX(K562:S562)))^(1/inputs!$O$12))-1)/inputs!$N$12))</f>
        <v>0</v>
      </c>
      <c r="V562" s="54">
        <f>inputs!$E$70*(inputs!$F$70/F562)^(0.25)</f>
        <v>3.5370279509734179</v>
      </c>
      <c r="W562" s="54">
        <f>inputs!$E$76*(inputs!$F$76/F562)^(0.25)</f>
        <v>1.0638712954656449</v>
      </c>
      <c r="X562" s="54">
        <f>inputs!$E$72*(inputs!$F$72/F562)^(0.25)</f>
        <v>156.04535077823903</v>
      </c>
      <c r="Y562" s="54" t="s">
        <v>13</v>
      </c>
      <c r="Z562" s="106">
        <f t="shared" si="68"/>
        <v>7.7849743290776239</v>
      </c>
      <c r="AA562" s="106">
        <f t="shared" si="69"/>
        <v>25.882521614145087</v>
      </c>
    </row>
    <row r="563" spans="1:27" x14ac:dyDescent="0.25">
      <c r="A563" s="55" t="s">
        <v>565</v>
      </c>
      <c r="B563" s="49" t="s">
        <v>566</v>
      </c>
      <c r="C563" s="21" t="s">
        <v>61</v>
      </c>
      <c r="D563" s="20" t="s">
        <v>567</v>
      </c>
      <c r="E563" s="20">
        <v>58</v>
      </c>
      <c r="F563" s="21">
        <v>4.0999999999999996</v>
      </c>
      <c r="G563" s="21" t="s">
        <v>146</v>
      </c>
      <c r="H563" s="20">
        <v>0.84</v>
      </c>
      <c r="I563" s="48">
        <f>MAX('Min rate concentrations'!$I$3:$I$368)</f>
        <v>9.4775690500787988</v>
      </c>
      <c r="J563" s="48" t="s">
        <v>13</v>
      </c>
      <c r="K563" s="60">
        <f t="shared" si="73"/>
        <v>10.828525169702024</v>
      </c>
      <c r="L563" s="48" t="s">
        <v>13</v>
      </c>
      <c r="M563" s="60">
        <f>IF((((0.326*F563^0.818)-(0.398*F563^0.85)/(1-H563)*H563)*(MAX('Min rate concentrations'!$P$3:$P$368)))/F563&gt;0, (((0.326*F563^0.818)-(0.398*F563^0.85)/(1-H563)*H563)*(MAX('Min rate concentrations'!$P$3:$P$368)))/F563, 0)</f>
        <v>0</v>
      </c>
      <c r="N563" s="60">
        <f>IF((((0.326*F563^0.818)-(0.398*F563^0.85)/(1-H563)*H563)*(MAX('Min rate concentrations'!$Q$3:$Q$368)))/F563&gt; 0, (((0.326*F563^0.818)-(0.398*F563^0.85)/(1-H563)*H563)*(MAX('Min rate concentrations'!$Q$3:$Q$368)))/F563, 0)</f>
        <v>0</v>
      </c>
      <c r="O563" s="60">
        <f>((MAX('Min rate concentrations'!$F$3:$F$368))*0.62*6.01*8*(12.3*F563^0.65)*0.079*0.1/F563)*inputs!$E$73/inputs!$E$74</f>
        <v>27.535671799558088</v>
      </c>
      <c r="P563" s="60"/>
      <c r="Q563" s="60">
        <f>(inputs!$C$7*11.2*(12.3*F563^0.65)*0.5/F563)*inputs!$E$73/inputs!$E$74</f>
        <v>4.8502787133459364</v>
      </c>
      <c r="R563" s="60">
        <f>(60*379*((F563/1000)^0.8)*3*24*(MAX('Min rate concentrations'!$R$3:$R$368))/F563)*(inputs!$E$73/inputs!$E$75)</f>
        <v>5.5235804847156662E-3</v>
      </c>
      <c r="S563" s="60">
        <f>(IF(inputs!$C$6="aerial",((0.025*0.112*inputs!$C$7/3.3)*(3*60*379*((F563/1000)^0.8))*MAX(inputs!$H$14:$H$16))/F563,((0.0083*0.112*inputs!$C$7/1)*(3*60*379*((F563/1000)^0.8))*MAX(inputs!$H$14:$H$16))/F563))*(inputs!E$75/inputs!$E$73)</f>
        <v>3.0462885732652743E-2</v>
      </c>
      <c r="T563" s="63">
        <f>IF((((inputs!$P$12/(V563/MAX(K563:S563)))^(1/inputs!$O$12))-1)/inputs!$N$12&lt;0, 0, IF((((inputs!$P$12/(V563/MAX(K563:S563)))^(1/inputs!$O$12))-1)/inputs!$N$12&gt;inputs!$H$17, inputs!$H$17, (((inputs!$P$12/(V563/MAX(K563:S563)))^(1/inputs!$O$12))-1)/inputs!$N$12))</f>
        <v>20.059100259272569</v>
      </c>
      <c r="U563" s="63">
        <f>IF((((inputs!$P$12/(X563/MAX(K563:S563)))^(1/inputs!$O$12))-1)/inputs!$N$12&lt;0, 0, IF((((inputs!$P$12/(X563/MAX(K563:S563)))^(1/inputs!$O$12))-1)/inputs!$N$12&gt;inputs!$H$17, inputs!$H$17, (((inputs!$P$12/(X563/MAX(K563:S563)))^(1/inputs!$O$12))-1)/inputs!$N$12))</f>
        <v>0</v>
      </c>
      <c r="V563" s="54">
        <f>inputs!$E$70*(inputs!$F$70/F563)^(0.25)</f>
        <v>3.5370279509734179</v>
      </c>
      <c r="W563" s="54">
        <f>inputs!$E$76*(inputs!$F$76/F563)^(0.25)</f>
        <v>1.0638712954656449</v>
      </c>
      <c r="X563" s="54">
        <f>inputs!$E$72*(inputs!$F$72/F563)^(0.25)</f>
        <v>156.04535077823903</v>
      </c>
      <c r="Y563" s="54" t="s">
        <v>13</v>
      </c>
      <c r="Z563" s="106">
        <f t="shared" si="68"/>
        <v>7.7849743290776239</v>
      </c>
      <c r="AA563" s="106">
        <f t="shared" si="69"/>
        <v>25.882521614145087</v>
      </c>
    </row>
    <row r="564" spans="1:27" x14ac:dyDescent="0.25">
      <c r="A564" s="55" t="s">
        <v>572</v>
      </c>
      <c r="B564" s="49" t="s">
        <v>573</v>
      </c>
      <c r="C564" s="21" t="s">
        <v>61</v>
      </c>
      <c r="D564" s="20" t="s">
        <v>451</v>
      </c>
      <c r="E564" s="20">
        <v>46</v>
      </c>
      <c r="F564" s="21">
        <v>1000</v>
      </c>
      <c r="G564" s="21" t="s">
        <v>169</v>
      </c>
      <c r="H564" s="21">
        <v>0.79</v>
      </c>
      <c r="I564" s="48">
        <f>MAX('Min rate concentrations'!$D$3:$D$368)</f>
        <v>120</v>
      </c>
      <c r="J564" s="48">
        <f>MAX('Min rate concentrations'!W:W)</f>
        <v>42.5</v>
      </c>
      <c r="K564" s="60">
        <f t="shared" si="73"/>
        <v>39.267189073896212</v>
      </c>
      <c r="L564" s="60">
        <f>(((0.235*F564^0.822)/(1-H564)))*J564/F564</f>
        <v>13.907129463671573</v>
      </c>
      <c r="M564" s="60">
        <f>IF((((0.326*F564^0.818)-(0.398*F564^0.85)/(1-H564)*H564)*(MAX('Min rate concentrations'!$P$3:$P$368)))/F564&gt;0, (((0.326*F564^0.818)-(0.398*F564^0.85)/(1-H564)*H564)*(MAX('Min rate concentrations'!$P$3:$P$368)))/F564, 0)</f>
        <v>0</v>
      </c>
      <c r="N564" s="60">
        <f>IF((((0.326*F564^0.818)-(0.398*F564^0.85)/(1-H564)*H564)*(MAX('Min rate concentrations'!$Q$3:$Q$368)))/F564&gt; 0, (((0.326*F564^0.818)-(0.398*F564^0.85)/(1-H564)*H564)*(MAX('Min rate concentrations'!$Q$3:$Q$368)))/F564, 0)</f>
        <v>0</v>
      </c>
      <c r="O564" s="60">
        <f>((MAX('Min rate concentrations'!$F$3:$F$368))*0.62*6.01*8*(12.3*F564^0.65)*0.079*0.1/F564)*inputs!$E$73/inputs!$E$74</f>
        <v>4.0213328949958864</v>
      </c>
      <c r="P564" s="60">
        <f>((MAX('Min rate concentrations'!Y:Y))*0.62*6.01*8*(12.3*F564^0.65)*0.079*0.1/F564)*inputs!$E$73/inputs!$E$74</f>
        <v>1.3404442983319618</v>
      </c>
      <c r="Q564" s="60">
        <f>(inputs!$C$7*11.2*(12.3*F564^0.65)*0.5/F564)*inputs!$E$73/inputs!$E$74</f>
        <v>0.70833882252291225</v>
      </c>
      <c r="R564" s="60">
        <f>(60*379*((F564/1000)^0.8)*3*24*(MAX('Min rate concentrations'!$R$3:$R$368))/F564)*(inputs!$E$73/inputs!$E$75)</f>
        <v>1.8398289907556758E-3</v>
      </c>
      <c r="S564" s="60">
        <f>(IF(inputs!$C$6="aerial",((0.025*0.112*inputs!$C$7/3.3)*(3*60*379*((F564/1000)^0.8))*MAX(inputs!$H$14:$H$16))/F564,((0.0083*0.112*inputs!$C$7/1)*(3*60*379*((F564/1000)^0.8))*MAX(inputs!$H$14:$H$16))/F564))*(inputs!E$75/inputs!$E$73)</f>
        <v>1.014676992E-2</v>
      </c>
      <c r="T564" s="63">
        <f>IF((((inputs!$P$12/(V564/MAX(K564:S564)))^(1/inputs!$O$12))-1)/inputs!$N$12&lt;0, 0, IF((((inputs!$P$12/(V564/MAX(K564:S564)))^(1/inputs!$O$12))-1)/inputs!$N$12&gt;inputs!$H$17, inputs!$H$17, (((inputs!$P$12/(V564/MAX(K564:S564)))^(1/inputs!$O$12))-1)/inputs!$N$12))</f>
        <v>69.597701562743666</v>
      </c>
      <c r="U564" s="63">
        <f>IF((((inputs!$P$12/(X564/MAX(K564:S564)))^(1/inputs!$O$12))-1)/inputs!$N$12&lt;0, 0, IF((((inputs!$P$12/(X564/MAX(K564:S564)))^(1/inputs!$O$12))-1)/inputs!$N$12&gt;inputs!$H$17, inputs!$H$17, (((inputs!$P$12/(X564/MAX(K564:S564)))^(1/inputs!$O$12))-1)/inputs!$N$12))</f>
        <v>0</v>
      </c>
      <c r="V564" s="54">
        <f>inputs!$E$70*(inputs!$F$70/F564)^(0.25)</f>
        <v>0.89502353615456165</v>
      </c>
      <c r="W564" s="54">
        <f>inputs!$E$76*(inputs!$F$76/F564)^(0.25)</f>
        <v>0.26920619855971051</v>
      </c>
      <c r="X564" s="54">
        <f>inputs!$E$72*(inputs!$F$72/F564)^(0.25)</f>
        <v>39.486332477407132</v>
      </c>
      <c r="Y564" s="54" t="s">
        <v>13</v>
      </c>
      <c r="Z564" s="106">
        <f t="shared" si="68"/>
        <v>43.872800532828848</v>
      </c>
      <c r="AA564" s="106">
        <f t="shared" si="69"/>
        <v>145.8628712265207</v>
      </c>
    </row>
    <row r="565" spans="1:27" x14ac:dyDescent="0.25">
      <c r="A565" s="55" t="s">
        <v>572</v>
      </c>
      <c r="B565" s="49" t="s">
        <v>573</v>
      </c>
      <c r="C565" s="21" t="s">
        <v>61</v>
      </c>
      <c r="D565" s="20" t="s">
        <v>451</v>
      </c>
      <c r="E565" s="20">
        <v>46</v>
      </c>
      <c r="F565" s="21">
        <v>1000</v>
      </c>
      <c r="G565" s="21" t="s">
        <v>177</v>
      </c>
      <c r="H565" s="21">
        <v>0.85</v>
      </c>
      <c r="I565" s="48">
        <f>MAX('Min rate concentrations'!$F$3:$F$368)</f>
        <v>67.5</v>
      </c>
      <c r="J565" s="48">
        <f>MAX('Min rate concentrations'!Y:Y)</f>
        <v>22.5</v>
      </c>
      <c r="K565" s="60">
        <f t="shared" si="73"/>
        <v>30.922911395693252</v>
      </c>
      <c r="L565" s="60">
        <f>(((0.235*F565^0.822)/(1-H565)))*J565/F565</f>
        <v>10.307637131897751</v>
      </c>
      <c r="M565" s="60">
        <f>IF((((0.326*F565^0.818)-(0.398*F565^0.85)/(1-H565)*H565)*(MAX('Min rate concentrations'!$P$3:$P$368)))/F565&gt;0, (((0.326*F565^0.818)-(0.398*F565^0.85)/(1-H565)*H565)*(MAX('Min rate concentrations'!$P$3:$P$368)))/F565, 0)</f>
        <v>0</v>
      </c>
      <c r="N565" s="60">
        <f>IF((((0.326*F565^0.818)-(0.398*F565^0.85)/(1-H565)*H565)*(MAX('Min rate concentrations'!$Q$3:$Q$368)))/F565&gt; 0, (((0.326*F565^0.818)-(0.398*F565^0.85)/(1-H565)*H565)*(MAX('Min rate concentrations'!$Q$3:$Q$368)))/F565, 0)</f>
        <v>0</v>
      </c>
      <c r="O565" s="60">
        <f>((MAX('Min rate concentrations'!$F$3:$F$368))*0.62*6.01*8*(12.3*F565^0.65)*0.079*0.1/F565)*inputs!$E$73/inputs!$E$74</f>
        <v>4.0213328949958864</v>
      </c>
      <c r="P565" s="60">
        <f>((MAX('Min rate concentrations'!Y:Y))*0.62*6.01*8*(12.3*F565^0.65)*0.079*0.1/F565)*inputs!$E$73/inputs!$E$74</f>
        <v>1.3404442983319618</v>
      </c>
      <c r="Q565" s="60">
        <f>(inputs!$C$7*11.2*(12.3*F565^0.65)*0.5/F565)*inputs!$E$73/inputs!$E$74</f>
        <v>0.70833882252291225</v>
      </c>
      <c r="R565" s="60">
        <f>(60*379*((F565/1000)^0.8)*3*24*(MAX('Min rate concentrations'!$R$3:$R$368))/F565)*(inputs!$E$73/inputs!$E$75)</f>
        <v>1.8398289907556758E-3</v>
      </c>
      <c r="S565" s="60">
        <f>(IF(inputs!$C$6="aerial",((0.025*0.112*inputs!$C$7/3.3)*(3*60*379*((F565/1000)^0.8))*MAX(inputs!$H$14:$H$16))/F565,((0.0083*0.112*inputs!$C$7/1)*(3*60*379*((F565/1000)^0.8))*MAX(inputs!$H$14:$H$16))/F565))*(inputs!E$75/inputs!$E$73)</f>
        <v>1.014676992E-2</v>
      </c>
      <c r="T565" s="63">
        <f>IF((((inputs!$P$12/(V565/MAX(K565:S565)))^(1/inputs!$O$12))-1)/inputs!$N$12&lt;0, 0, IF((((inputs!$P$12/(V565/MAX(K565:S565)))^(1/inputs!$O$12))-1)/inputs!$N$12&gt;inputs!$H$17, inputs!$H$17, (((inputs!$P$12/(V565/MAX(K565:S565)))^(1/inputs!$O$12))-1)/inputs!$N$12))</f>
        <v>60.515319115762537</v>
      </c>
      <c r="U565" s="63">
        <f>IF((((inputs!$P$12/(X565/MAX(K565:S565)))^(1/inputs!$O$12))-1)/inputs!$N$12&lt;0, 0, IF((((inputs!$P$12/(X565/MAX(K565:S565)))^(1/inputs!$O$12))-1)/inputs!$N$12&gt;inputs!$H$17, inputs!$H$17, (((inputs!$P$12/(X565/MAX(K565:S565)))^(1/inputs!$O$12))-1)/inputs!$N$12))</f>
        <v>0</v>
      </c>
      <c r="V565" s="54">
        <f>inputs!$E$70*(inputs!$F$70/F565)^(0.25)</f>
        <v>0.89502353615456165</v>
      </c>
      <c r="W565" s="54">
        <f>inputs!$E$76*(inputs!$F$76/F565)^(0.25)</f>
        <v>0.26920619855971051</v>
      </c>
      <c r="X565" s="54">
        <f>inputs!$E$72*(inputs!$F$72/F565)^(0.25)</f>
        <v>39.486332477407132</v>
      </c>
      <c r="Y565" s="54" t="s">
        <v>13</v>
      </c>
      <c r="Z565" s="106">
        <f t="shared" si="68"/>
        <v>34.549830419602699</v>
      </c>
      <c r="AA565" s="106">
        <f t="shared" si="69"/>
        <v>114.86701109088499</v>
      </c>
    </row>
    <row r="566" spans="1:27" x14ac:dyDescent="0.25">
      <c r="A566" s="55" t="s">
        <v>574</v>
      </c>
      <c r="B566" s="49" t="s">
        <v>575</v>
      </c>
      <c r="C566" s="21" t="s">
        <v>61</v>
      </c>
      <c r="D566" s="20" t="s">
        <v>451</v>
      </c>
      <c r="E566" s="20">
        <v>3778</v>
      </c>
      <c r="F566" s="21">
        <v>756</v>
      </c>
      <c r="G566" s="21" t="s">
        <v>152</v>
      </c>
      <c r="H566" s="21">
        <v>0.77</v>
      </c>
      <c r="I566" s="48">
        <f>MAX('Min rate concentrations'!$G$3:$G$368)</f>
        <v>7.5</v>
      </c>
      <c r="J566" s="48">
        <f>MAX('Min rate concentrations'!Z:Z)</f>
        <v>3.5</v>
      </c>
      <c r="K566" s="60">
        <f t="shared" si="73"/>
        <v>2.3551816560094441</v>
      </c>
      <c r="L566" s="60">
        <f>(((0.235*F566^0.822)/(1-H566)))*J566/F566</f>
        <v>1.0990847728044073</v>
      </c>
      <c r="M566" s="60">
        <f>IF((((0.326*F566^0.818)-(0.398*F566^0.85)/(1-H566)*H566)*(MAX('Min rate concentrations'!$P$3:$P$368)))/F566&gt;0, (((0.326*F566^0.818)-(0.398*F566^0.85)/(1-H566)*H566)*(MAX('Min rate concentrations'!$P$3:$P$368)))/F566, 0)</f>
        <v>0</v>
      </c>
      <c r="N566" s="60">
        <f>IF((((0.326*F566^0.818)-(0.398*F566^0.85)/(1-H566)*H566)*(MAX('Min rate concentrations'!$Q$3:$Q$368)))/F566&gt; 0, (((0.326*F566^0.818)-(0.398*F566^0.85)/(1-H566)*H566)*(MAX('Min rate concentrations'!$Q$3:$Q$368)))/F566, 0)</f>
        <v>0</v>
      </c>
      <c r="O566" s="60">
        <f>((MAX('Min rate concentrations'!$F$3:$F$368))*0.62*6.01*8*(12.3*F566^0.65)*0.079*0.1/F566)*inputs!$E$73/inputs!$E$74</f>
        <v>4.4349364194701355</v>
      </c>
      <c r="P566" s="60">
        <f>((MAX('Min rate concentrations'!Y:Y))*0.62*6.01*8*(12.3*F566^0.65)*0.079*0.1/F566)*inputs!$E$73/inputs!$E$74</f>
        <v>1.4783121398233781</v>
      </c>
      <c r="Q566" s="60">
        <f>(inputs!$C$7*11.2*(12.3*F566^0.65)*0.5/F566)*inputs!$E$73/inputs!$E$74</f>
        <v>0.78119313256573109</v>
      </c>
      <c r="R566" s="60">
        <f>(60*379*((F566/1000)^0.8)*3*24*(MAX('Min rate concentrations'!$R$3:$R$368))/F566)*(inputs!$E$73/inputs!$E$75)</f>
        <v>1.9456875447587431E-3</v>
      </c>
      <c r="S566" s="60">
        <f>(IF(inputs!$C$6="aerial",((0.025*0.112*inputs!$C$7/3.3)*(3*60*379*((F566/1000)^0.8))*MAX(inputs!$H$14:$H$16))/F566,((0.0083*0.112*inputs!$C$7/1)*(3*60*379*((F566/1000)^0.8))*MAX(inputs!$H$14:$H$16))/F566))*(inputs!E$75/inputs!$E$73)</f>
        <v>1.0730586349097493E-2</v>
      </c>
      <c r="T566" s="63">
        <f>IF((((inputs!$P$12/(V566/MAX(K566:S566)))^(1/inputs!$O$12))-1)/inputs!$N$12&lt;0, 0, IF((((inputs!$P$12/(V566/MAX(K566:S566)))^(1/inputs!$O$12))-1)/inputs!$N$12&gt;inputs!$H$17, inputs!$H$17, (((inputs!$P$12/(V566/MAX(K566:S566)))^(1/inputs!$O$12))-1)/inputs!$N$12))</f>
        <v>10.776800047834037</v>
      </c>
      <c r="U566" s="63">
        <f>IF((((inputs!$P$12/(X566/MAX(K566:S566)))^(1/inputs!$O$12))-1)/inputs!$N$12&lt;0, 0, IF((((inputs!$P$12/(X566/MAX(K566:S566)))^(1/inputs!$O$12))-1)/inputs!$N$12&gt;inputs!$H$17, inputs!$H$17, (((inputs!$P$12/(X566/MAX(K566:S566)))^(1/inputs!$O$12))-1)/inputs!$N$12))</f>
        <v>0</v>
      </c>
      <c r="V566" s="54">
        <f>inputs!$E$70*(inputs!$F$70/F566)^(0.25)</f>
        <v>0.95985140978605565</v>
      </c>
      <c r="W566" s="54">
        <f>inputs!$E$76*(inputs!$F$76/F566)^(0.25)</f>
        <v>0.28870520022398632</v>
      </c>
      <c r="X566" s="54">
        <f>inputs!$E$72*(inputs!$F$72/F566)^(0.25)</f>
        <v>42.346385725855399</v>
      </c>
      <c r="Y566" s="54" t="s">
        <v>13</v>
      </c>
      <c r="Z566" s="106">
        <f t="shared" si="68"/>
        <v>4.6204405955486934</v>
      </c>
      <c r="AA566" s="106">
        <f t="shared" si="69"/>
        <v>15.36147051050475</v>
      </c>
    </row>
    <row r="567" spans="1:27" x14ac:dyDescent="0.25">
      <c r="A567" s="55" t="s">
        <v>574</v>
      </c>
      <c r="B567" s="49" t="s">
        <v>575</v>
      </c>
      <c r="C567" s="21" t="s">
        <v>61</v>
      </c>
      <c r="D567" s="20" t="s">
        <v>451</v>
      </c>
      <c r="E567" s="20">
        <v>3778</v>
      </c>
      <c r="F567" s="21">
        <v>756</v>
      </c>
      <c r="G567" s="21" t="s">
        <v>169</v>
      </c>
      <c r="H567" s="21">
        <v>0.79</v>
      </c>
      <c r="I567" s="48">
        <f>MAX('Min rate concentrations'!$D$3:$D$368)</f>
        <v>120</v>
      </c>
      <c r="J567" s="48">
        <f>MAX('Min rate concentrations'!W:W)</f>
        <v>42.5</v>
      </c>
      <c r="K567" s="60">
        <f t="shared" si="73"/>
        <v>41.271754733879781</v>
      </c>
      <c r="L567" s="60">
        <f>(((0.235*F567^0.822)/(1-H567)))*J567/F567</f>
        <v>14.617079801582422</v>
      </c>
      <c r="M567" s="60">
        <f>IF((((0.326*F567^0.818)-(0.398*F567^0.85)/(1-H567)*H567)*(MAX('Min rate concentrations'!$P$3:$P$368)))/F567&gt;0, (((0.326*F567^0.818)-(0.398*F567^0.85)/(1-H567)*H567)*(MAX('Min rate concentrations'!$P$3:$P$368)))/F567, 0)</f>
        <v>0</v>
      </c>
      <c r="N567" s="60">
        <f>IF((((0.326*F567^0.818)-(0.398*F567^0.85)/(1-H567)*H567)*(MAX('Min rate concentrations'!$Q$3:$Q$368)))/F567&gt; 0, (((0.326*F567^0.818)-(0.398*F567^0.85)/(1-H567)*H567)*(MAX('Min rate concentrations'!$Q$3:$Q$368)))/F567, 0)</f>
        <v>0</v>
      </c>
      <c r="O567" s="60">
        <f>((MAX('Min rate concentrations'!$F$3:$F$368))*0.62*6.01*8*(12.3*F567^0.65)*0.079*0.1/F567)*inputs!$E$73/inputs!$E$74</f>
        <v>4.4349364194701355</v>
      </c>
      <c r="P567" s="60">
        <f>((MAX('Min rate concentrations'!Y:Y))*0.62*6.01*8*(12.3*F567^0.65)*0.079*0.1/F567)*inputs!$E$73/inputs!$E$74</f>
        <v>1.4783121398233781</v>
      </c>
      <c r="Q567" s="60">
        <f>(inputs!$C$7*11.2*(12.3*F567^0.65)*0.5/F567)*inputs!$E$73/inputs!$E$74</f>
        <v>0.78119313256573109</v>
      </c>
      <c r="R567" s="60">
        <f>(60*379*((F567/1000)^0.8)*3*24*(MAX('Min rate concentrations'!$R$3:$R$368))/F567)*(inputs!$E$73/inputs!$E$75)</f>
        <v>1.9456875447587431E-3</v>
      </c>
      <c r="S567" s="60">
        <f>(IF(inputs!$C$6="aerial",((0.025*0.112*inputs!$C$7/3.3)*(3*60*379*((F567/1000)^0.8))*MAX(inputs!$H$14:$H$16))/F567,((0.0083*0.112*inputs!$C$7/1)*(3*60*379*((F567/1000)^0.8))*MAX(inputs!$H$14:$H$16))/F567))*(inputs!E$75/inputs!$E$73)</f>
        <v>1.0730586349097493E-2</v>
      </c>
      <c r="T567" s="63">
        <f>IF((((inputs!$P$12/(V567/MAX(K567:S567)))^(1/inputs!$O$12))-1)/inputs!$N$12&lt;0, 0, IF((((inputs!$P$12/(V567/MAX(K567:S567)))^(1/inputs!$O$12))-1)/inputs!$N$12&gt;inputs!$H$17, inputs!$H$17, (((inputs!$P$12/(V567/MAX(K567:S567)))^(1/inputs!$O$12))-1)/inputs!$N$12))</f>
        <v>68.797506571970928</v>
      </c>
      <c r="U567" s="63">
        <f>IF((((inputs!$P$12/(X567/MAX(K567:S567)))^(1/inputs!$O$12))-1)/inputs!$N$12&lt;0, 0, IF((((inputs!$P$12/(X567/MAX(K567:S567)))^(1/inputs!$O$12))-1)/inputs!$N$12&gt;inputs!$H$17, inputs!$H$17, (((inputs!$P$12/(X567/MAX(K567:S567)))^(1/inputs!$O$12))-1)/inputs!$N$12))</f>
        <v>0</v>
      </c>
      <c r="V567" s="54">
        <f>inputs!$E$70*(inputs!$F$70/F567)^(0.25)</f>
        <v>0.95985140978605565</v>
      </c>
      <c r="W567" s="54">
        <f>inputs!$E$76*(inputs!$F$76/F567)^(0.25)</f>
        <v>0.28870520022398632</v>
      </c>
      <c r="X567" s="54">
        <f>inputs!$E$72*(inputs!$F$72/F567)^(0.25)</f>
        <v>42.346385725855399</v>
      </c>
      <c r="Y567" s="54" t="s">
        <v>13</v>
      </c>
      <c r="Z567" s="106">
        <f t="shared" si="68"/>
        <v>42.998066485185426</v>
      </c>
      <c r="AA567" s="106">
        <f t="shared" si="69"/>
        <v>142.95466344859702</v>
      </c>
    </row>
    <row r="568" spans="1:27" x14ac:dyDescent="0.25">
      <c r="A568" s="55" t="s">
        <v>574</v>
      </c>
      <c r="B568" s="49" t="s">
        <v>575</v>
      </c>
      <c r="C568" s="21" t="s">
        <v>61</v>
      </c>
      <c r="D568" s="20" t="s">
        <v>451</v>
      </c>
      <c r="E568" s="20">
        <v>3778</v>
      </c>
      <c r="F568" s="21">
        <v>756</v>
      </c>
      <c r="G568" s="21" t="s">
        <v>177</v>
      </c>
      <c r="H568" s="21">
        <v>0.85</v>
      </c>
      <c r="I568" s="48">
        <f>MAX('Min rate concentrations'!$F$3:$F$368)</f>
        <v>67.5</v>
      </c>
      <c r="J568" s="48">
        <f>MAX('Min rate concentrations'!Y:Y)</f>
        <v>22.5</v>
      </c>
      <c r="K568" s="60">
        <f t="shared" si="73"/>
        <v>32.501506852930319</v>
      </c>
      <c r="L568" s="60">
        <f>(((0.235*F568^0.822)/(1-H568)))*J568/F568</f>
        <v>10.833835617643441</v>
      </c>
      <c r="M568" s="60">
        <f>IF((((0.326*F568^0.818)-(0.398*F568^0.85)/(1-H568)*H568)*(MAX('Min rate concentrations'!$P$3:$P$368)))/F568&gt;0, (((0.326*F568^0.818)-(0.398*F568^0.85)/(1-H568)*H568)*(MAX('Min rate concentrations'!$P$3:$P$368)))/F568, 0)</f>
        <v>0</v>
      </c>
      <c r="N568" s="60">
        <f>IF((((0.326*F568^0.818)-(0.398*F568^0.85)/(1-H568)*H568)*(MAX('Min rate concentrations'!$Q$3:$Q$368)))/F568&gt; 0, (((0.326*F568^0.818)-(0.398*F568^0.85)/(1-H568)*H568)*(MAX('Min rate concentrations'!$Q$3:$Q$368)))/F568, 0)</f>
        <v>0</v>
      </c>
      <c r="O568" s="60">
        <f>((MAX('Min rate concentrations'!$F$3:$F$368))*0.62*6.01*8*(12.3*F568^0.65)*0.079*0.1/F568)*inputs!$E$73/inputs!$E$74</f>
        <v>4.4349364194701355</v>
      </c>
      <c r="P568" s="60">
        <f>((MAX('Min rate concentrations'!Y:Y))*0.62*6.01*8*(12.3*F568^0.65)*0.079*0.1/F568)*inputs!$E$73/inputs!$E$74</f>
        <v>1.4783121398233781</v>
      </c>
      <c r="Q568" s="60">
        <f>(inputs!$C$7*11.2*(12.3*F568^0.65)*0.5/F568)*inputs!$E$73/inputs!$E$74</f>
        <v>0.78119313256573109</v>
      </c>
      <c r="R568" s="60">
        <f>(60*379*((F568/1000)^0.8)*3*24*(MAX('Min rate concentrations'!$R$3:$R$368))/F568)*(inputs!$E$73/inputs!$E$75)</f>
        <v>1.9456875447587431E-3</v>
      </c>
      <c r="S568" s="60">
        <f>(IF(inputs!$C$6="aerial",((0.025*0.112*inputs!$C$7/3.3)*(3*60*379*((F568/1000)^0.8))*MAX(inputs!$H$14:$H$16))/F568,((0.0083*0.112*inputs!$C$7/1)*(3*60*379*((F568/1000)^0.8))*MAX(inputs!$H$14:$H$16))/F568))*(inputs!E$75/inputs!$E$73)</f>
        <v>1.0730586349097493E-2</v>
      </c>
      <c r="T568" s="63">
        <f>IF((((inputs!$P$12/(V568/MAX(K568:S568)))^(1/inputs!$O$12))-1)/inputs!$N$12&lt;0, 0, IF((((inputs!$P$12/(V568/MAX(K568:S568)))^(1/inputs!$O$12))-1)/inputs!$N$12&gt;inputs!$H$17, inputs!$H$17, (((inputs!$P$12/(V568/MAX(K568:S568)))^(1/inputs!$O$12))-1)/inputs!$N$12))</f>
        <v>59.789217764779899</v>
      </c>
      <c r="U568" s="63">
        <f>IF((((inputs!$P$12/(X568/MAX(K568:S568)))^(1/inputs!$O$12))-1)/inputs!$N$12&lt;0, 0, IF((((inputs!$P$12/(X568/MAX(K568:S568)))^(1/inputs!$O$12))-1)/inputs!$N$12&gt;inputs!$H$17, inputs!$H$17, (((inputs!$P$12/(X568/MAX(K568:S568)))^(1/inputs!$O$12))-1)/inputs!$N$12))</f>
        <v>0</v>
      </c>
      <c r="V568" s="54">
        <f>inputs!$E$70*(inputs!$F$70/F568)^(0.25)</f>
        <v>0.95985140978605565</v>
      </c>
      <c r="W568" s="54">
        <f>inputs!$E$76*(inputs!$F$76/F568)^(0.25)</f>
        <v>0.28870520022398632</v>
      </c>
      <c r="X568" s="54">
        <f>inputs!$E$72*(inputs!$F$72/F568)^(0.25)</f>
        <v>42.346385725855399</v>
      </c>
      <c r="Y568" s="54" t="s">
        <v>13</v>
      </c>
      <c r="Z568" s="106">
        <f t="shared" si="68"/>
        <v>33.860977357083513</v>
      </c>
      <c r="AA568" s="106">
        <f t="shared" si="69"/>
        <v>112.57679746577013</v>
      </c>
    </row>
    <row r="569" spans="1:27" x14ac:dyDescent="0.25">
      <c r="A569" s="55" t="s">
        <v>574</v>
      </c>
      <c r="B569" s="49" t="s">
        <v>575</v>
      </c>
      <c r="C569" s="21" t="s">
        <v>61</v>
      </c>
      <c r="D569" s="20" t="s">
        <v>451</v>
      </c>
      <c r="E569" s="20">
        <v>3778</v>
      </c>
      <c r="F569" s="21">
        <v>756</v>
      </c>
      <c r="G569" s="21" t="s">
        <v>154</v>
      </c>
      <c r="H569" s="21">
        <v>9.2999999999999999E-2</v>
      </c>
      <c r="I569" s="48">
        <f>MAX('Min rate concentrations'!$G$3:$G$368)</f>
        <v>7.5</v>
      </c>
      <c r="J569" s="48">
        <f>MAX('Min rate concentrations'!Z:Z)</f>
        <v>3.5</v>
      </c>
      <c r="K569" s="60">
        <f t="shared" si="73"/>
        <v>0.59723459854704741</v>
      </c>
      <c r="L569" s="60"/>
      <c r="M569" s="60">
        <f>IF((((0.326*F569^0.818)-(0.398*F569^0.85)/(1-H569)*H569)*(MAX('Min rate concentrations'!$P$3:$P$368)))/F569&gt;0, (((0.326*F569^0.818)-(0.398*F569^0.85)/(1-H569)*H569)*(MAX('Min rate concentrations'!$P$3:$P$368)))/F569, 0)</f>
        <v>1.1970677166603575E-2</v>
      </c>
      <c r="N569" s="60">
        <f>IF((((0.326*F569^0.818)-(0.398*F569^0.85)/(1-H569)*H569)*(MAX('Min rate concentrations'!$Q$3:$Q$368)))/F569&gt; 0, (((0.326*F569^0.818)-(0.398*F569^0.85)/(1-H569)*H569)*(MAX('Min rate concentrations'!$Q$3:$Q$368)))/F569, 0)</f>
        <v>4.5584981855082703E-2</v>
      </c>
      <c r="O569" s="60">
        <f>((MAX('Min rate concentrations'!$F$3:$F$368))*0.62*6.01*8*(12.3*F569^0.65)*0.079*0.1/F569)*inputs!$E$73/inputs!$E$74</f>
        <v>4.4349364194701355</v>
      </c>
      <c r="P569" s="60"/>
      <c r="Q569" s="60">
        <f>(inputs!$C$7*11.2*(12.3*F569^0.65)*0.5/F569)*inputs!$E$73/inputs!$E$74</f>
        <v>0.78119313256573109</v>
      </c>
      <c r="R569" s="60">
        <f>(60*379*((F569/1000)^0.8)*3*24*(MAX('Min rate concentrations'!$R$3:$R$368))/F569)*(inputs!$E$73/inputs!$E$75)</f>
        <v>1.9456875447587431E-3</v>
      </c>
      <c r="S569" s="60">
        <f>(IF(inputs!$C$6="aerial",((0.025*0.112*inputs!$C$7/3.3)*(3*60*379*((F569/1000)^0.8))*MAX(inputs!$H$14:$H$16))/F569,((0.0083*0.112*inputs!$C$7/1)*(3*60*379*((F569/1000)^0.8))*MAX(inputs!$H$14:$H$16))/F569))*(inputs!E$75/inputs!$E$73)</f>
        <v>1.0730586349097493E-2</v>
      </c>
      <c r="T569" s="63">
        <f>IF((((inputs!$P$12/(V569/MAX(K569:S569)))^(1/inputs!$O$12))-1)/inputs!$N$12&lt;0, 0, IF((((inputs!$P$12/(V569/MAX(K569:S569)))^(1/inputs!$O$12))-1)/inputs!$N$12&gt;inputs!$H$17, inputs!$H$17, (((inputs!$P$12/(V569/MAX(K569:S569)))^(1/inputs!$O$12))-1)/inputs!$N$12))</f>
        <v>10.776800047834037</v>
      </c>
      <c r="U569" s="63">
        <f>IF((((inputs!$P$12/(X569/MAX(K569:S569)))^(1/inputs!$O$12))-1)/inputs!$N$12&lt;0, 0, IF((((inputs!$P$12/(X569/MAX(K569:S569)))^(1/inputs!$O$12))-1)/inputs!$N$12&gt;inputs!$H$17, inputs!$H$17, (((inputs!$P$12/(X569/MAX(K569:S569)))^(1/inputs!$O$12))-1)/inputs!$N$12))</f>
        <v>0</v>
      </c>
      <c r="V569" s="54">
        <f>inputs!$E$70*(inputs!$F$70/F569)^(0.25)</f>
        <v>0.95985140978605565</v>
      </c>
      <c r="W569" s="54">
        <f>inputs!$E$76*(inputs!$F$76/F569)^(0.25)</f>
        <v>0.28870520022398632</v>
      </c>
      <c r="X569" s="54">
        <f>inputs!$E$72*(inputs!$F$72/F569)^(0.25)</f>
        <v>42.346385725855399</v>
      </c>
      <c r="Y569" s="54" t="s">
        <v>13</v>
      </c>
      <c r="Z569" s="106">
        <f t="shared" si="68"/>
        <v>4.6204405955486934</v>
      </c>
      <c r="AA569" s="106">
        <f t="shared" si="69"/>
        <v>15.36147051050475</v>
      </c>
    </row>
    <row r="570" spans="1:27" x14ac:dyDescent="0.25">
      <c r="A570" s="55" t="s">
        <v>449</v>
      </c>
      <c r="B570" s="49" t="s">
        <v>450</v>
      </c>
      <c r="C570" s="21" t="s">
        <v>61</v>
      </c>
      <c r="D570" s="20" t="s">
        <v>451</v>
      </c>
      <c r="E570" s="20">
        <v>1240</v>
      </c>
      <c r="F570" s="21">
        <v>375</v>
      </c>
      <c r="G570" s="21" t="s">
        <v>169</v>
      </c>
      <c r="H570" s="21">
        <v>0.79</v>
      </c>
      <c r="I570" s="48">
        <f>MAX('Min rate concentrations'!$D$3:$D$368)</f>
        <v>120</v>
      </c>
      <c r="J570" s="48">
        <f>MAX('Min rate concentrations'!W:W)</f>
        <v>42.5</v>
      </c>
      <c r="K570" s="60">
        <f t="shared" si="73"/>
        <v>46.757603937875878</v>
      </c>
      <c r="L570" s="60">
        <f>(((0.235*F570^0.822)/(1-H570)))*J570/F570</f>
        <v>16.559984727997705</v>
      </c>
      <c r="M570" s="60">
        <f>IF((((0.326*F570^0.818)-(0.398*F570^0.85)/(1-H570)*H570)*(MAX('Min rate concentrations'!$P$3:$P$368)))/F570&gt;0, (((0.326*F570^0.818)-(0.398*F570^0.85)/(1-H570)*H570)*(MAX('Min rate concentrations'!$P$3:$P$368)))/F570, 0)</f>
        <v>0</v>
      </c>
      <c r="N570" s="60">
        <f>IF((((0.326*F570^0.818)-(0.398*F570^0.85)/(1-H570)*H570)*(MAX('Min rate concentrations'!$Q$3:$Q$368)))/F570&gt; 0, (((0.326*F570^0.818)-(0.398*F570^0.85)/(1-H570)*H570)*(MAX('Min rate concentrations'!$Q$3:$Q$368)))/F570, 0)</f>
        <v>0</v>
      </c>
      <c r="O570" s="60">
        <f>((MAX('Min rate concentrations'!$F$3:$F$368))*0.62*6.01*8*(12.3*F570^0.65)*0.079*0.1/F570)*inputs!$E$73/inputs!$E$74</f>
        <v>5.6683816411024308</v>
      </c>
      <c r="P570" s="60">
        <f>((MAX('Min rate concentrations'!Y:Y))*0.62*6.01*8*(12.3*F570^0.65)*0.079*0.1/F570)*inputs!$E$73/inputs!$E$74</f>
        <v>1.8894605470341432</v>
      </c>
      <c r="Q570" s="60">
        <f>(inputs!$C$7*11.2*(12.3*F570^0.65)*0.5/F570)*inputs!$E$73/inputs!$E$74</f>
        <v>0.99845869071555593</v>
      </c>
      <c r="R570" s="60">
        <f>(60*379*((F570/1000)^0.8)*3*24*(MAX('Min rate concentrations'!$R$3:$R$368))/F570)*(inputs!$E$73/inputs!$E$75)</f>
        <v>2.2385727063142353E-3</v>
      </c>
      <c r="S570" s="60">
        <f>(IF(inputs!$C$6="aerial",((0.025*0.112*inputs!$C$7/3.3)*(3*60*379*((F570/1000)^0.8))*MAX(inputs!$H$14:$H$16))/F570,((0.0083*0.112*inputs!$C$7/1)*(3*60*379*((F570/1000)^0.8))*MAX(inputs!$H$14:$H$16))/F570))*(inputs!E$75/inputs!$E$73)</f>
        <v>1.2345866009445152E-2</v>
      </c>
      <c r="T570" s="63">
        <f>IF((((inputs!$P$12/(V570/MAX(K570:S570)))^(1/inputs!$O$12))-1)/inputs!$N$12&lt;0, 0, IF((((inputs!$P$12/(V570/MAX(K570:S570)))^(1/inputs!$O$12))-1)/inputs!$N$12&gt;inputs!$H$17, inputs!$H$17, (((inputs!$P$12/(V570/MAX(K570:S570)))^(1/inputs!$O$12))-1)/inputs!$N$12))</f>
        <v>66.820352893964767</v>
      </c>
      <c r="U570" s="63">
        <f>IF((((inputs!$P$12/(X570/MAX(K570:S570)))^(1/inputs!$O$12))-1)/inputs!$N$12&lt;0, 0, IF((((inputs!$P$12/(X570/MAX(K570:S570)))^(1/inputs!$O$12))-1)/inputs!$N$12&gt;inputs!$H$17, inputs!$H$17, (((inputs!$P$12/(X570/MAX(K570:S570)))^(1/inputs!$O$12))-1)/inputs!$N$12))</f>
        <v>0</v>
      </c>
      <c r="V570" s="54">
        <f>inputs!$E$70*(inputs!$F$70/F570)^(0.25)</f>
        <v>1.1437382331281429</v>
      </c>
      <c r="W570" s="54">
        <f>inputs!$E$76*(inputs!$F$76/F570)^(0.25)</f>
        <v>0.3440148883801597</v>
      </c>
      <c r="X570" s="54">
        <f>inputs!$E$72*(inputs!$F$72/F570)^(0.25)</f>
        <v>50.459039696829841</v>
      </c>
      <c r="Y570" s="54" t="s">
        <v>13</v>
      </c>
      <c r="Z570" s="106">
        <f t="shared" si="68"/>
        <v>40.881385778276432</v>
      </c>
      <c r="AA570" s="106">
        <f t="shared" si="69"/>
        <v>135.91738473308621</v>
      </c>
    </row>
    <row r="571" spans="1:27" x14ac:dyDescent="0.25">
      <c r="A571" s="55" t="s">
        <v>449</v>
      </c>
      <c r="B571" s="49" t="s">
        <v>450</v>
      </c>
      <c r="C571" s="21" t="s">
        <v>61</v>
      </c>
      <c r="D571" s="20" t="s">
        <v>451</v>
      </c>
      <c r="E571" s="20">
        <v>1240</v>
      </c>
      <c r="F571" s="21">
        <v>375</v>
      </c>
      <c r="G571" s="21" t="s">
        <v>177</v>
      </c>
      <c r="H571" s="21">
        <v>0.85</v>
      </c>
      <c r="I571" s="48">
        <f>MAX('Min rate concentrations'!$F$3:$F$368)</f>
        <v>67.5</v>
      </c>
      <c r="J571" s="48">
        <f>MAX('Min rate concentrations'!Y:Y)</f>
        <v>22.5</v>
      </c>
      <c r="K571" s="60">
        <f t="shared" si="73"/>
        <v>36.82161310107724</v>
      </c>
      <c r="L571" s="60">
        <f>(((0.235*F571^0.822)/(1-H571)))*J571/F571</f>
        <v>12.273871033692412</v>
      </c>
      <c r="M571" s="60">
        <f>IF((((0.326*F571^0.818)-(0.398*F571^0.85)/(1-H571)*H571)*(MAX('Min rate concentrations'!$P$3:$P$368)))/F571&gt;0, (((0.326*F571^0.818)-(0.398*F571^0.85)/(1-H571)*H571)*(MAX('Min rate concentrations'!$P$3:$P$368)))/F571, 0)</f>
        <v>0</v>
      </c>
      <c r="N571" s="60">
        <f>IF((((0.326*F571^0.818)-(0.398*F571^0.85)/(1-H571)*H571)*(MAX('Min rate concentrations'!$Q$3:$Q$368)))/F571&gt; 0, (((0.326*F571^0.818)-(0.398*F571^0.85)/(1-H571)*H571)*(MAX('Min rate concentrations'!$Q$3:$Q$368)))/F571, 0)</f>
        <v>0</v>
      </c>
      <c r="O571" s="60">
        <f>((MAX('Min rate concentrations'!$F$3:$F$368))*0.62*6.01*8*(12.3*F571^0.65)*0.079*0.1/F571)*inputs!$E$73/inputs!$E$74</f>
        <v>5.6683816411024308</v>
      </c>
      <c r="P571" s="60">
        <f>((MAX('Min rate concentrations'!Y:Y))*0.62*6.01*8*(12.3*F571^0.65)*0.079*0.1/F571)*inputs!$E$73/inputs!$E$74</f>
        <v>1.8894605470341432</v>
      </c>
      <c r="Q571" s="60">
        <f>(inputs!$C$7*11.2*(12.3*F571^0.65)*0.5/F571)*inputs!$E$73/inputs!$E$74</f>
        <v>0.99845869071555593</v>
      </c>
      <c r="R571" s="60">
        <f>(60*379*((F571/1000)^0.8)*3*24*(MAX('Min rate concentrations'!$R$3:$R$368))/F571)*(inputs!$E$73/inputs!$E$75)</f>
        <v>2.2385727063142353E-3</v>
      </c>
      <c r="S571" s="60">
        <f>(IF(inputs!$C$6="aerial",((0.025*0.112*inputs!$C$7/3.3)*(3*60*379*((F571/1000)^0.8))*MAX(inputs!$H$14:$H$16))/F571,((0.0083*0.112*inputs!$C$7/1)*(3*60*379*((F571/1000)^0.8))*MAX(inputs!$H$14:$H$16))/F571))*(inputs!E$75/inputs!$E$73)</f>
        <v>1.2345866009445152E-2</v>
      </c>
      <c r="T571" s="63">
        <f>IF((((inputs!$P$12/(V571/MAX(K571:S571)))^(1/inputs!$O$12))-1)/inputs!$N$12&lt;0, 0, IF((((inputs!$P$12/(V571/MAX(K571:S571)))^(1/inputs!$O$12))-1)/inputs!$N$12&gt;inputs!$H$17, inputs!$H$17, (((inputs!$P$12/(V571/MAX(K571:S571)))^(1/inputs!$O$12))-1)/inputs!$N$12))</f>
        <v>57.995137605249965</v>
      </c>
      <c r="U571" s="63">
        <f>IF((((inputs!$P$12/(X571/MAX(K571:S571)))^(1/inputs!$O$12))-1)/inputs!$N$12&lt;0, 0, IF((((inputs!$P$12/(X571/MAX(K571:S571)))^(1/inputs!$O$12))-1)/inputs!$N$12&gt;inputs!$H$17, inputs!$H$17, (((inputs!$P$12/(X571/MAX(K571:S571)))^(1/inputs!$O$12))-1)/inputs!$N$12))</f>
        <v>0</v>
      </c>
      <c r="V571" s="54">
        <f>inputs!$E$70*(inputs!$F$70/F571)^(0.25)</f>
        <v>1.1437382331281429</v>
      </c>
      <c r="W571" s="54">
        <f>inputs!$E$76*(inputs!$F$76/F571)^(0.25)</f>
        <v>0.3440148883801597</v>
      </c>
      <c r="X571" s="54">
        <f>inputs!$E$72*(inputs!$F$72/F571)^(0.25)</f>
        <v>50.459039696829841</v>
      </c>
      <c r="Y571" s="54" t="s">
        <v>13</v>
      </c>
      <c r="Z571" s="106">
        <f t="shared" si="68"/>
        <v>32.194091300392678</v>
      </c>
      <c r="AA571" s="106">
        <f t="shared" si="69"/>
        <v>107.03494047730535</v>
      </c>
    </row>
    <row r="572" spans="1:27" x14ac:dyDescent="0.25">
      <c r="A572" s="55" t="s">
        <v>570</v>
      </c>
      <c r="B572" s="49" t="s">
        <v>571</v>
      </c>
      <c r="C572" s="21" t="s">
        <v>61</v>
      </c>
      <c r="D572" s="20" t="s">
        <v>451</v>
      </c>
      <c r="E572" s="20">
        <v>55</v>
      </c>
      <c r="F572" s="21">
        <v>500</v>
      </c>
      <c r="G572" s="21" t="s">
        <v>169</v>
      </c>
      <c r="H572" s="21">
        <v>0.79</v>
      </c>
      <c r="I572" s="48">
        <f>MAX('Min rate concentrations'!$D$3:$D$368)</f>
        <v>120</v>
      </c>
      <c r="J572" s="48">
        <f>MAX('Min rate concentrations'!W:W)</f>
        <v>42.5</v>
      </c>
      <c r="K572" s="60">
        <f t="shared" si="73"/>
        <v>44.42353891460327</v>
      </c>
      <c r="L572" s="60">
        <f>(((0.235*F572^0.822)/(1-H572)))*J572/F572</f>
        <v>15.73333669892199</v>
      </c>
      <c r="M572" s="60">
        <f>IF((((0.326*F572^0.818)-(0.398*F572^0.85)/(1-H572)*H572)*(MAX('Min rate concentrations'!$P$3:$P$368)))/F572&gt;0, (((0.326*F572^0.818)-(0.398*F572^0.85)/(1-H572)*H572)*(MAX('Min rate concentrations'!$P$3:$P$368)))/F572, 0)</f>
        <v>0</v>
      </c>
      <c r="N572" s="60">
        <f>IF((((0.326*F572^0.818)-(0.398*F572^0.85)/(1-H572)*H572)*(MAX('Min rate concentrations'!$Q$3:$Q$368)))/F572&gt; 0, (((0.326*F572^0.818)-(0.398*F572^0.85)/(1-H572)*H572)*(MAX('Min rate concentrations'!$Q$3:$Q$368)))/F572, 0)</f>
        <v>0</v>
      </c>
      <c r="O572" s="60">
        <f>((MAX('Min rate concentrations'!$F$3:$F$368))*0.62*6.01*8*(12.3*F572^0.65)*0.079*0.1/F572)*inputs!$E$73/inputs!$E$74</f>
        <v>5.1254325773055385</v>
      </c>
      <c r="P572" s="60">
        <f>((MAX('Min rate concentrations'!Y:Y))*0.62*6.01*8*(12.3*F572^0.65)*0.079*0.1/F572)*inputs!$E$73/inputs!$E$74</f>
        <v>1.7084775257685128</v>
      </c>
      <c r="Q572" s="60">
        <f>(inputs!$C$7*11.2*(12.3*F572^0.65)*0.5/F572)*inputs!$E$73/inputs!$E$74</f>
        <v>0.90282077398938998</v>
      </c>
      <c r="R572" s="60">
        <f>(60*379*((F572/1000)^0.8)*3*24*(MAX('Min rate concentrations'!$R$3:$R$368))/F572)*(inputs!$E$73/inputs!$E$75)</f>
        <v>2.1134085351568999E-3</v>
      </c>
      <c r="S572" s="60">
        <f>(IF(inputs!$C$6="aerial",((0.025*0.112*inputs!$C$7/3.3)*(3*60*379*((F572/1000)^0.8))*MAX(inputs!$H$14:$H$16))/F572,((0.0083*0.112*inputs!$C$7/1)*(3*60*379*((F572/1000)^0.8))*MAX(inputs!$H$14:$H$16))/F572))*(inputs!E$75/inputs!$E$73)</f>
        <v>1.1655577915637396E-2</v>
      </c>
      <c r="T572" s="63">
        <f>IF((((inputs!$P$12/(V572/MAX(K572:S572)))^(1/inputs!$O$12))-1)/inputs!$N$12&lt;0, 0, IF((((inputs!$P$12/(V572/MAX(K572:S572)))^(1/inputs!$O$12))-1)/inputs!$N$12&gt;inputs!$H$17, inputs!$H$17, (((inputs!$P$12/(V572/MAX(K572:S572)))^(1/inputs!$O$12))-1)/inputs!$N$12))</f>
        <v>67.626711680223593</v>
      </c>
      <c r="U572" s="63">
        <f>IF((((inputs!$P$12/(X572/MAX(K572:S572)))^(1/inputs!$O$12))-1)/inputs!$N$12&lt;0, 0, IF((((inputs!$P$12/(X572/MAX(K572:S572)))^(1/inputs!$O$12))-1)/inputs!$N$12&gt;inputs!$H$17, inputs!$H$17, (((inputs!$P$12/(X572/MAX(K572:S572)))^(1/inputs!$O$12))-1)/inputs!$N$12))</f>
        <v>0</v>
      </c>
      <c r="V572" s="54">
        <f>inputs!$E$70*(inputs!$F$70/F572)^(0.25)</f>
        <v>1.0643683572898999</v>
      </c>
      <c r="W572" s="54">
        <f>inputs!$E$76*(inputs!$F$76/F572)^(0.25)</f>
        <v>0.32014192673004305</v>
      </c>
      <c r="X572" s="54">
        <f>inputs!$E$72*(inputs!$F$72/F572)^(0.25)</f>
        <v>46.957427527495589</v>
      </c>
      <c r="Y572" s="54" t="s">
        <v>13</v>
      </c>
      <c r="Z572" s="106">
        <f t="shared" si="68"/>
        <v>41.736996980739555</v>
      </c>
      <c r="AA572" s="106">
        <f t="shared" si="69"/>
        <v>138.76201523602074</v>
      </c>
    </row>
    <row r="573" spans="1:27" x14ac:dyDescent="0.25">
      <c r="A573" s="55" t="s">
        <v>570</v>
      </c>
      <c r="B573" s="49" t="s">
        <v>571</v>
      </c>
      <c r="C573" s="21" t="s">
        <v>61</v>
      </c>
      <c r="D573" s="20" t="s">
        <v>451</v>
      </c>
      <c r="E573" s="20">
        <v>55</v>
      </c>
      <c r="F573" s="21">
        <v>500</v>
      </c>
      <c r="G573" s="21" t="s">
        <v>177</v>
      </c>
      <c r="H573" s="21">
        <v>0.85</v>
      </c>
      <c r="I573" s="48">
        <f>MAX('Min rate concentrations'!$F$3:$F$368)</f>
        <v>67.5</v>
      </c>
      <c r="J573" s="48">
        <f>MAX('Min rate concentrations'!Y:Y)</f>
        <v>22.5</v>
      </c>
      <c r="K573" s="60">
        <f t="shared" si="73"/>
        <v>34.983536895250062</v>
      </c>
      <c r="L573" s="60">
        <f>(((0.235*F573^0.822)/(1-H573)))*J573/F573</f>
        <v>11.661178965083355</v>
      </c>
      <c r="M573" s="60">
        <f>IF((((0.326*F573^0.818)-(0.398*F573^0.85)/(1-H573)*H573)*(MAX('Min rate concentrations'!$P$3:$P$368)))/F573&gt;0, (((0.326*F573^0.818)-(0.398*F573^0.85)/(1-H573)*H573)*(MAX('Min rate concentrations'!$P$3:$P$368)))/F573, 0)</f>
        <v>0</v>
      </c>
      <c r="N573" s="60">
        <f>IF((((0.326*F573^0.818)-(0.398*F573^0.85)/(1-H573)*H573)*(MAX('Min rate concentrations'!$Q$3:$Q$368)))/F573&gt; 0, (((0.326*F573^0.818)-(0.398*F573^0.85)/(1-H573)*H573)*(MAX('Min rate concentrations'!$Q$3:$Q$368)))/F573, 0)</f>
        <v>0</v>
      </c>
      <c r="O573" s="60">
        <f>((MAX('Min rate concentrations'!$F$3:$F$368))*0.62*6.01*8*(12.3*F573^0.65)*0.079*0.1/F573)*inputs!$E$73/inputs!$E$74</f>
        <v>5.1254325773055385</v>
      </c>
      <c r="P573" s="60">
        <f>((MAX('Min rate concentrations'!Y:Y))*0.62*6.01*8*(12.3*F573^0.65)*0.079*0.1/F573)*inputs!$E$73/inputs!$E$74</f>
        <v>1.7084775257685128</v>
      </c>
      <c r="Q573" s="60">
        <f>(inputs!$C$7*11.2*(12.3*F573^0.65)*0.5/F573)*inputs!$E$73/inputs!$E$74</f>
        <v>0.90282077398938998</v>
      </c>
      <c r="R573" s="60">
        <f>(60*379*((F573/1000)^0.8)*3*24*(MAX('Min rate concentrations'!$R$3:$R$368))/F573)*(inputs!$E$73/inputs!$E$75)</f>
        <v>2.1134085351568999E-3</v>
      </c>
      <c r="S573" s="60">
        <f>(IF(inputs!$C$6="aerial",((0.025*0.112*inputs!$C$7/3.3)*(3*60*379*((F573/1000)^0.8))*MAX(inputs!$H$14:$H$16))/F573,((0.0083*0.112*inputs!$C$7/1)*(3*60*379*((F573/1000)^0.8))*MAX(inputs!$H$14:$H$16))/F573))*(inputs!E$75/inputs!$E$73)</f>
        <v>1.1655577915637396E-2</v>
      </c>
      <c r="T573" s="63">
        <f>IF((((inputs!$P$12/(V573/MAX(K573:S573)))^(1/inputs!$O$12))-1)/inputs!$N$12&lt;0, 0, IF((((inputs!$P$12/(V573/MAX(K573:S573)))^(1/inputs!$O$12))-1)/inputs!$N$12&gt;inputs!$H$17, inputs!$H$17, (((inputs!$P$12/(V573/MAX(K573:S573)))^(1/inputs!$O$12))-1)/inputs!$N$12))</f>
        <v>58.726832018275303</v>
      </c>
      <c r="U573" s="63">
        <f>IF((((inputs!$P$12/(X573/MAX(K573:S573)))^(1/inputs!$O$12))-1)/inputs!$N$12&lt;0, 0, IF((((inputs!$P$12/(X573/MAX(K573:S573)))^(1/inputs!$O$12))-1)/inputs!$N$12&gt;inputs!$H$17, inputs!$H$17, (((inputs!$P$12/(X573/MAX(K573:S573)))^(1/inputs!$O$12))-1)/inputs!$N$12))</f>
        <v>0</v>
      </c>
      <c r="V573" s="54">
        <f>inputs!$E$70*(inputs!$F$70/F573)^(0.25)</f>
        <v>1.0643683572898999</v>
      </c>
      <c r="W573" s="54">
        <f>inputs!$E$76*(inputs!$F$76/F573)^(0.25)</f>
        <v>0.32014192673004305</v>
      </c>
      <c r="X573" s="54">
        <f>inputs!$E$72*(inputs!$F$72/F573)^(0.25)</f>
        <v>46.957427527495589</v>
      </c>
      <c r="Y573" s="54" t="s">
        <v>13</v>
      </c>
      <c r="Z573" s="106">
        <f t="shared" si="68"/>
        <v>32.867885122332389</v>
      </c>
      <c r="AA573" s="106">
        <f t="shared" si="69"/>
        <v>109.27508699836629</v>
      </c>
    </row>
    <row r="574" spans="1:27" x14ac:dyDescent="0.25">
      <c r="A574" s="55" t="s">
        <v>544</v>
      </c>
      <c r="B574" s="49" t="s">
        <v>545</v>
      </c>
      <c r="C574" s="21" t="s">
        <v>61</v>
      </c>
      <c r="D574" s="20" t="s">
        <v>443</v>
      </c>
      <c r="E574" s="20">
        <v>41</v>
      </c>
      <c r="F574" s="21">
        <v>15</v>
      </c>
      <c r="G574" s="21" t="s">
        <v>182</v>
      </c>
      <c r="H574" s="21">
        <v>0.85</v>
      </c>
      <c r="I574" s="48">
        <f>MAX('Min rate concentrations'!$M$3:$M$368)</f>
        <v>2.8488184789681945</v>
      </c>
      <c r="J574" s="48">
        <f>MAX('Min rate concentrations'!AE:AE)</f>
        <v>1.9699276716269429</v>
      </c>
      <c r="K574" s="60">
        <f t="shared" ref="K574:K605" si="74">(((0.621*F574^0.564)/(1-H574)))*I574/F574</f>
        <v>3.6215070077667764</v>
      </c>
      <c r="L574" s="60">
        <f t="shared" ref="L574:L580" si="75">(((0.621*F574^0.564)/(1-H574)))*J574/F574</f>
        <v>2.5042335692004305</v>
      </c>
      <c r="M574" s="60">
        <f>IF((((0.326*F574^0.818)-(0.398*F574^0.85)/(1-H574)*H574)*(MAX('Min rate concentrations'!$P$3:$P$368)))/F574&gt;0, (((0.326*F574^0.818)-(0.398*F574^0.85)/(1-H574)*H574)*(MAX('Min rate concentrations'!$P$3:$P$368)))/F574, 0)</f>
        <v>0</v>
      </c>
      <c r="N574" s="60">
        <f>IF((((0.326*F574^0.818)-(0.398*F574^0.85)/(1-H574)*H574)*(MAX('Min rate concentrations'!$Q$3:$Q$368)))/F574&gt; 0, (((0.326*F574^0.818)-(0.398*F574^0.85)/(1-H574)*H574)*(MAX('Min rate concentrations'!$Q$3:$Q$368)))/F574, 0)</f>
        <v>0</v>
      </c>
      <c r="O574" s="60">
        <f>((MAX('Min rate concentrations'!$F$3:$F$368))*0.62*6.01*8*(12.3*F574^0.65)*0.079*0.1/F574)*inputs!$E$73/inputs!$E$74</f>
        <v>17.4879170969031</v>
      </c>
      <c r="P574" s="60">
        <f>((MAX('Min rate concentrations'!Y:Y))*0.62*6.01*8*(12.3*F574^0.65)*0.079*0.1/F574)*inputs!$E$73/inputs!$E$74</f>
        <v>5.8293056989677003</v>
      </c>
      <c r="Q574" s="60">
        <f>(inputs!$C$7*11.2*(12.3*F574^0.65)*0.5/F574)*inputs!$E$73/inputs!$E$74</f>
        <v>3.0804141134929148</v>
      </c>
      <c r="R574" s="60">
        <f>(60*379*((F574/1000)^0.8)*3*24*(MAX('Min rate concentrations'!$R$3:$R$368))/F574)*(inputs!$E$73/inputs!$E$75)</f>
        <v>4.2614677494769567E-3</v>
      </c>
      <c r="S574" s="60">
        <f>(IF(inputs!$C$6="aerial",((0.025*0.112*inputs!$C$7/3.3)*(3*60*379*((F574/1000)^0.8))*MAX(inputs!$H$14:$H$16))/F574,((0.0083*0.112*inputs!$C$7/1)*(3*60*379*((F574/1000)^0.8))*MAX(inputs!$H$14:$H$16))/F574))*(inputs!E$75/inputs!$E$73)</f>
        <v>2.3502256455738741E-2</v>
      </c>
      <c r="T574" s="63">
        <f>IF((((inputs!$P$12/(V574/MAX(K574:S574)))^(1/inputs!$O$12))-1)/inputs!$N$12&lt;0, 0, IF((((inputs!$P$12/(V574/MAX(K574:S574)))^(1/inputs!$O$12))-1)/inputs!$N$12&gt;inputs!$H$17, inputs!$H$17, (((inputs!$P$12/(V574/MAX(K574:S574)))^(1/inputs!$O$12))-1)/inputs!$N$12))</f>
        <v>17.564222818912587</v>
      </c>
      <c r="U574" s="63">
        <f>IF((((inputs!$P$12/(X574/MAX(K574:S574)))^(1/inputs!$O$12))-1)/inputs!$N$12&lt;0, 0, IF((((inputs!$P$12/(X574/MAX(K574:S574)))^(1/inputs!$O$12))-1)/inputs!$N$12&gt;inputs!$H$17, inputs!$H$17, (((inputs!$P$12/(X574/MAX(K574:S574)))^(1/inputs!$O$12))-1)/inputs!$N$12))</f>
        <v>0</v>
      </c>
      <c r="V574" s="54">
        <f>inputs!$E$70*(inputs!$F$70/F574)^(0.25)</f>
        <v>2.5574764377400299</v>
      </c>
      <c r="W574" s="54">
        <f>inputs!$E$76*(inputs!$F$76/F574)^(0.25)</f>
        <v>0.76924067569003962</v>
      </c>
      <c r="X574" s="54">
        <f>inputs!$E$72*(inputs!$F$72/F574)^(0.25)</f>
        <v>112.82984284147192</v>
      </c>
      <c r="Y574" s="54" t="s">
        <v>13</v>
      </c>
      <c r="Z574" s="106">
        <f t="shared" si="68"/>
        <v>6.8379582461986166</v>
      </c>
      <c r="AA574" s="106">
        <f t="shared" si="69"/>
        <v>22.733999448502562</v>
      </c>
    </row>
    <row r="575" spans="1:27" x14ac:dyDescent="0.25">
      <c r="A575" s="55" t="s">
        <v>544</v>
      </c>
      <c r="B575" s="49" t="s">
        <v>545</v>
      </c>
      <c r="C575" s="21" t="s">
        <v>61</v>
      </c>
      <c r="D575" s="20" t="s">
        <v>443</v>
      </c>
      <c r="E575" s="20">
        <v>41</v>
      </c>
      <c r="F575" s="21">
        <v>15</v>
      </c>
      <c r="G575" s="21" t="s">
        <v>142</v>
      </c>
      <c r="H575" s="21">
        <v>0.69</v>
      </c>
      <c r="I575" s="48">
        <f>MAX('Min rate concentrations'!$H$3:$H$368)</f>
        <v>47</v>
      </c>
      <c r="J575" s="48">
        <f>MAX('Min rate concentrations'!AA:AA)</f>
        <v>32.5</v>
      </c>
      <c r="K575" s="60">
        <f t="shared" si="74"/>
        <v>28.910258527545217</v>
      </c>
      <c r="L575" s="60">
        <f t="shared" si="75"/>
        <v>19.991136215855736</v>
      </c>
      <c r="M575" s="60">
        <f>IF((((0.326*F575^0.818)-(0.398*F575^0.85)/(1-H575)*H575)*(MAX('Min rate concentrations'!$P$3:$P$368)))/F575&gt;0, (((0.326*F575^0.818)-(0.398*F575^0.85)/(1-H575)*H575)*(MAX('Min rate concentrations'!$P$3:$P$368)))/F575, 0)</f>
        <v>0</v>
      </c>
      <c r="N575" s="60">
        <f>IF((((0.326*F575^0.818)-(0.398*F575^0.85)/(1-H575)*H575)*(MAX('Min rate concentrations'!$Q$3:$Q$368)))/F575&gt; 0, (((0.326*F575^0.818)-(0.398*F575^0.85)/(1-H575)*H575)*(MAX('Min rate concentrations'!$Q$3:$Q$368)))/F575, 0)</f>
        <v>0</v>
      </c>
      <c r="O575" s="60">
        <f>((MAX('Min rate concentrations'!$F$3:$F$368))*0.62*6.01*8*(12.3*F575^0.65)*0.079*0.1/F575)*inputs!$E$73/inputs!$E$74</f>
        <v>17.4879170969031</v>
      </c>
      <c r="P575" s="60">
        <f>((MAX('Min rate concentrations'!Y:Y))*0.62*6.01*8*(12.3*F575^0.65)*0.079*0.1/F575)*inputs!$E$73/inputs!$E$74</f>
        <v>5.8293056989677003</v>
      </c>
      <c r="Q575" s="60">
        <f>(inputs!$C$7*11.2*(12.3*F575^0.65)*0.5/F575)*inputs!$E$73/inputs!$E$74</f>
        <v>3.0804141134929148</v>
      </c>
      <c r="R575" s="60">
        <f>(60*379*((F575/1000)^0.8)*3*24*(MAX('Min rate concentrations'!$R$3:$R$368))/F575)*(inputs!$E$73/inputs!$E$75)</f>
        <v>4.2614677494769567E-3</v>
      </c>
      <c r="S575" s="60">
        <f>(IF(inputs!$C$6="aerial",((0.025*0.112*inputs!$C$7/3.3)*(3*60*379*((F575/1000)^0.8))*MAX(inputs!$H$14:$H$16))/F575,((0.0083*0.112*inputs!$C$7/1)*(3*60*379*((F575/1000)^0.8))*MAX(inputs!$H$14:$H$16))/F575))*(inputs!E$75/inputs!$E$73)</f>
        <v>2.3502256455738741E-2</v>
      </c>
      <c r="T575" s="63">
        <f>IF((((inputs!$P$12/(V575/MAX(K575:S575)))^(1/inputs!$O$12))-1)/inputs!$N$12&lt;0, 0, IF((((inputs!$P$12/(V575/MAX(K575:S575)))^(1/inputs!$O$12))-1)/inputs!$N$12&gt;inputs!$H$17, inputs!$H$17, (((inputs!$P$12/(V575/MAX(K575:S575)))^(1/inputs!$O$12))-1)/inputs!$N$12))</f>
        <v>28.012221766858875</v>
      </c>
      <c r="U575" s="63">
        <f>IF((((inputs!$P$12/(X575/MAX(K575:S575)))^(1/inputs!$O$12))-1)/inputs!$N$12&lt;0, 0, IF((((inputs!$P$12/(X575/MAX(K575:S575)))^(1/inputs!$O$12))-1)/inputs!$N$12&gt;inputs!$H$17, inputs!$H$17, (((inputs!$P$12/(X575/MAX(K575:S575)))^(1/inputs!$O$12))-1)/inputs!$N$12))</f>
        <v>0</v>
      </c>
      <c r="V575" s="54">
        <f>inputs!$E$70*(inputs!$F$70/F575)^(0.25)</f>
        <v>2.5574764377400299</v>
      </c>
      <c r="W575" s="54">
        <f>inputs!$E$76*(inputs!$F$76/F575)^(0.25)</f>
        <v>0.76924067569003962</v>
      </c>
      <c r="X575" s="54">
        <f>inputs!$E$72*(inputs!$F$72/F575)^(0.25)</f>
        <v>112.82984284147192</v>
      </c>
      <c r="Y575" s="54" t="s">
        <v>13</v>
      </c>
      <c r="Z575" s="106">
        <f t="shared" si="68"/>
        <v>11.304213051946004</v>
      </c>
      <c r="AA575" s="106">
        <f t="shared" si="69"/>
        <v>37.582852078917384</v>
      </c>
    </row>
    <row r="576" spans="1:27" x14ac:dyDescent="0.25">
      <c r="A576" s="55" t="s">
        <v>544</v>
      </c>
      <c r="B576" s="49" t="s">
        <v>545</v>
      </c>
      <c r="C576" s="21" t="s">
        <v>61</v>
      </c>
      <c r="D576" s="20" t="s">
        <v>443</v>
      </c>
      <c r="E576" s="20">
        <v>41</v>
      </c>
      <c r="F576" s="21">
        <v>15</v>
      </c>
      <c r="G576" s="21" t="s">
        <v>152</v>
      </c>
      <c r="H576" s="21">
        <v>0.77</v>
      </c>
      <c r="I576" s="48">
        <f>MAX('Min rate concentrations'!$G$3:$G$368)</f>
        <v>7.5</v>
      </c>
      <c r="J576" s="48">
        <f>MAX('Min rate concentrations'!Z:Z)</f>
        <v>3.5</v>
      </c>
      <c r="K576" s="60">
        <f t="shared" si="74"/>
        <v>6.2179788229919186</v>
      </c>
      <c r="L576" s="60">
        <f t="shared" si="75"/>
        <v>2.9017234507295622</v>
      </c>
      <c r="M576" s="60">
        <f>IF((((0.326*F576^0.818)-(0.398*F576^0.85)/(1-H576)*H576)*(MAX('Min rate concentrations'!$P$3:$P$368)))/F576&gt;0, (((0.326*F576^0.818)-(0.398*F576^0.85)/(1-H576)*H576)*(MAX('Min rate concentrations'!$P$3:$P$368)))/F576, 0)</f>
        <v>0</v>
      </c>
      <c r="N576" s="60">
        <f>IF((((0.326*F576^0.818)-(0.398*F576^0.85)/(1-H576)*H576)*(MAX('Min rate concentrations'!$Q$3:$Q$368)))/F576&gt; 0, (((0.326*F576^0.818)-(0.398*F576^0.85)/(1-H576)*H576)*(MAX('Min rate concentrations'!$Q$3:$Q$368)))/F576, 0)</f>
        <v>0</v>
      </c>
      <c r="O576" s="60">
        <f>((MAX('Min rate concentrations'!$F$3:$F$368))*0.62*6.01*8*(12.3*F576^0.65)*0.079*0.1/F576)*inputs!$E$73/inputs!$E$74</f>
        <v>17.4879170969031</v>
      </c>
      <c r="P576" s="60">
        <f>((MAX('Min rate concentrations'!Y:Y))*0.62*6.01*8*(12.3*F576^0.65)*0.079*0.1/F576)*inputs!$E$73/inputs!$E$74</f>
        <v>5.8293056989677003</v>
      </c>
      <c r="Q576" s="60">
        <f>(inputs!$C$7*11.2*(12.3*F576^0.65)*0.5/F576)*inputs!$E$73/inputs!$E$74</f>
        <v>3.0804141134929148</v>
      </c>
      <c r="R576" s="60">
        <f>(60*379*((F576/1000)^0.8)*3*24*(MAX('Min rate concentrations'!$R$3:$R$368))/F576)*(inputs!$E$73/inputs!$E$75)</f>
        <v>4.2614677494769567E-3</v>
      </c>
      <c r="S576" s="60">
        <f>(IF(inputs!$C$6="aerial",((0.025*0.112*inputs!$C$7/3.3)*(3*60*379*((F576/1000)^0.8))*MAX(inputs!$H$14:$H$16))/F576,((0.0083*0.112*inputs!$C$7/1)*(3*60*379*((F576/1000)^0.8))*MAX(inputs!$H$14:$H$16))/F576))*(inputs!E$75/inputs!$E$73)</f>
        <v>2.3502256455738741E-2</v>
      </c>
      <c r="T576" s="63">
        <f>IF((((inputs!$P$12/(V576/MAX(K576:S576)))^(1/inputs!$O$12))-1)/inputs!$N$12&lt;0, 0, IF((((inputs!$P$12/(V576/MAX(K576:S576)))^(1/inputs!$O$12))-1)/inputs!$N$12&gt;inputs!$H$17, inputs!$H$17, (((inputs!$P$12/(V576/MAX(K576:S576)))^(1/inputs!$O$12))-1)/inputs!$N$12))</f>
        <v>17.564222818912587</v>
      </c>
      <c r="U576" s="63">
        <f>IF((((inputs!$P$12/(X576/MAX(K576:S576)))^(1/inputs!$O$12))-1)/inputs!$N$12&lt;0, 0, IF((((inputs!$P$12/(X576/MAX(K576:S576)))^(1/inputs!$O$12))-1)/inputs!$N$12&gt;inputs!$H$17, inputs!$H$17, (((inputs!$P$12/(X576/MAX(K576:S576)))^(1/inputs!$O$12))-1)/inputs!$N$12))</f>
        <v>0</v>
      </c>
      <c r="V576" s="54">
        <f>inputs!$E$70*(inputs!$F$70/F576)^(0.25)</f>
        <v>2.5574764377400299</v>
      </c>
      <c r="W576" s="54">
        <f>inputs!$E$76*(inputs!$F$76/F576)^(0.25)</f>
        <v>0.76924067569003962</v>
      </c>
      <c r="X576" s="54">
        <f>inputs!$E$72*(inputs!$F$72/F576)^(0.25)</f>
        <v>112.82984284147192</v>
      </c>
      <c r="Y576" s="54" t="s">
        <v>13</v>
      </c>
      <c r="Z576" s="106">
        <f t="shared" si="68"/>
        <v>6.8379582461986166</v>
      </c>
      <c r="AA576" s="106">
        <f t="shared" si="69"/>
        <v>22.733999448502562</v>
      </c>
    </row>
    <row r="577" spans="1:27" x14ac:dyDescent="0.25">
      <c r="A577" s="55" t="s">
        <v>544</v>
      </c>
      <c r="B577" s="49" t="s">
        <v>545</v>
      </c>
      <c r="C577" s="21" t="s">
        <v>61</v>
      </c>
      <c r="D577" s="20" t="s">
        <v>443</v>
      </c>
      <c r="E577" s="20">
        <v>41</v>
      </c>
      <c r="F577" s="21">
        <v>15</v>
      </c>
      <c r="G577" s="21" t="s">
        <v>169</v>
      </c>
      <c r="H577" s="21">
        <v>0.79</v>
      </c>
      <c r="I577" s="48">
        <f>MAX('Min rate concentrations'!$D$3:$D$368)</f>
        <v>120</v>
      </c>
      <c r="J577" s="48">
        <f>MAX('Min rate concentrations'!W:W)</f>
        <v>42.5</v>
      </c>
      <c r="K577" s="60">
        <f t="shared" si="74"/>
        <v>108.96267651719174</v>
      </c>
      <c r="L577" s="60">
        <f t="shared" si="75"/>
        <v>38.590947933172075</v>
      </c>
      <c r="M577" s="60">
        <f>IF((((0.326*F577^0.818)-(0.398*F577^0.85)/(1-H577)*H577)*(MAX('Min rate concentrations'!$P$3:$P$368)))/F577&gt;0, (((0.326*F577^0.818)-(0.398*F577^0.85)/(1-H577)*H577)*(MAX('Min rate concentrations'!$P$3:$P$368)))/F577, 0)</f>
        <v>0</v>
      </c>
      <c r="N577" s="60">
        <f>IF((((0.326*F577^0.818)-(0.398*F577^0.85)/(1-H577)*H577)*(MAX('Min rate concentrations'!$Q$3:$Q$368)))/F577&gt; 0, (((0.326*F577^0.818)-(0.398*F577^0.85)/(1-H577)*H577)*(MAX('Min rate concentrations'!$Q$3:$Q$368)))/F577, 0)</f>
        <v>0</v>
      </c>
      <c r="O577" s="60">
        <f>((MAX('Min rate concentrations'!$F$3:$F$368))*0.62*6.01*8*(12.3*F577^0.65)*0.079*0.1/F577)*inputs!$E$73/inputs!$E$74</f>
        <v>17.4879170969031</v>
      </c>
      <c r="P577" s="60">
        <f>((MAX('Min rate concentrations'!Y:Y))*0.62*6.01*8*(12.3*F577^0.65)*0.079*0.1/F577)*inputs!$E$73/inputs!$E$74</f>
        <v>5.8293056989677003</v>
      </c>
      <c r="Q577" s="60">
        <f>(inputs!$C$7*11.2*(12.3*F577^0.65)*0.5/F577)*inputs!$E$73/inputs!$E$74</f>
        <v>3.0804141134929148</v>
      </c>
      <c r="R577" s="60">
        <f>(60*379*((F577/1000)^0.8)*3*24*(MAX('Min rate concentrations'!$R$3:$R$368))/F577)*(inputs!$E$73/inputs!$E$75)</f>
        <v>4.2614677494769567E-3</v>
      </c>
      <c r="S577" s="60">
        <f>(IF(inputs!$C$6="aerial",((0.025*0.112*inputs!$C$7/3.3)*(3*60*379*((F577/1000)^0.8))*MAX(inputs!$H$14:$H$16))/F577,((0.0083*0.112*inputs!$C$7/1)*(3*60*379*((F577/1000)^0.8))*MAX(inputs!$H$14:$H$16))/F577))*(inputs!E$75/inputs!$E$73)</f>
        <v>2.3502256455738741E-2</v>
      </c>
      <c r="T577" s="63">
        <f>IF((((inputs!$P$12/(V577/MAX(K577:S577)))^(1/inputs!$O$12))-1)/inputs!$N$12&lt;0, 0, IF((((inputs!$P$12/(V577/MAX(K577:S577)))^(1/inputs!$O$12))-1)/inputs!$N$12&gt;inputs!$H$17, inputs!$H$17, (((inputs!$P$12/(V577/MAX(K577:S577)))^(1/inputs!$O$12))-1)/inputs!$N$12))</f>
        <v>68.435293271862932</v>
      </c>
      <c r="U577" s="63">
        <f>IF((((inputs!$P$12/(X577/MAX(K577:S577)))^(1/inputs!$O$12))-1)/inputs!$N$12&lt;0, 0, IF((((inputs!$P$12/(X577/MAX(K577:S577)))^(1/inputs!$O$12))-1)/inputs!$N$12&gt;inputs!$H$17, inputs!$H$17, (((inputs!$P$12/(X577/MAX(K577:S577)))^(1/inputs!$O$12))-1)/inputs!$N$12))</f>
        <v>0</v>
      </c>
      <c r="V577" s="54">
        <f>inputs!$E$70*(inputs!$F$70/F577)^(0.25)</f>
        <v>2.5574764377400299</v>
      </c>
      <c r="W577" s="54">
        <f>inputs!$E$76*(inputs!$F$76/F577)^(0.25)</f>
        <v>0.76924067569003962</v>
      </c>
      <c r="X577" s="54">
        <f>inputs!$E$72*(inputs!$F$72/F577)^(0.25)</f>
        <v>112.82984284147192</v>
      </c>
      <c r="Y577" s="54" t="s">
        <v>13</v>
      </c>
      <c r="Z577" s="106">
        <f t="shared" si="68"/>
        <v>42.605544633474317</v>
      </c>
      <c r="AA577" s="106">
        <f t="shared" si="69"/>
        <v>141.64965525184672</v>
      </c>
    </row>
    <row r="578" spans="1:27" x14ac:dyDescent="0.25">
      <c r="A578" s="55" t="s">
        <v>544</v>
      </c>
      <c r="B578" s="49" t="s">
        <v>545</v>
      </c>
      <c r="C578" s="21" t="s">
        <v>61</v>
      </c>
      <c r="D578" s="20" t="s">
        <v>443</v>
      </c>
      <c r="E578" s="20">
        <v>41</v>
      </c>
      <c r="F578" s="21">
        <v>15</v>
      </c>
      <c r="G578" s="21" t="s">
        <v>177</v>
      </c>
      <c r="H578" s="21">
        <v>0.85</v>
      </c>
      <c r="I578" s="48">
        <f>MAX('Min rate concentrations'!$F$3:$F$368)</f>
        <v>67.5</v>
      </c>
      <c r="J578" s="48">
        <f>MAX('Min rate concentrations'!Y:Y)</f>
        <v>22.5</v>
      </c>
      <c r="K578" s="60">
        <f t="shared" si="74"/>
        <v>85.808107757288468</v>
      </c>
      <c r="L578" s="60">
        <f t="shared" si="75"/>
        <v>28.602702585762817</v>
      </c>
      <c r="M578" s="60">
        <f>IF((((0.326*F578^0.818)-(0.398*F578^0.85)/(1-H578)*H578)*(MAX('Min rate concentrations'!$P$3:$P$368)))/F578&gt;0, (((0.326*F578^0.818)-(0.398*F578^0.85)/(1-H578)*H578)*(MAX('Min rate concentrations'!$P$3:$P$368)))/F578, 0)</f>
        <v>0</v>
      </c>
      <c r="N578" s="60">
        <f>IF((((0.326*F578^0.818)-(0.398*F578^0.85)/(1-H578)*H578)*(MAX('Min rate concentrations'!$Q$3:$Q$368)))/F578&gt; 0, (((0.326*F578^0.818)-(0.398*F578^0.85)/(1-H578)*H578)*(MAX('Min rate concentrations'!$Q$3:$Q$368)))/F578, 0)</f>
        <v>0</v>
      </c>
      <c r="O578" s="60">
        <f>((MAX('Min rate concentrations'!$F$3:$F$368))*0.62*6.01*8*(12.3*F578^0.65)*0.079*0.1/F578)*inputs!$E$73/inputs!$E$74</f>
        <v>17.4879170969031</v>
      </c>
      <c r="P578" s="60">
        <f>((MAX('Min rate concentrations'!Y:Y))*0.62*6.01*8*(12.3*F578^0.65)*0.079*0.1/F578)*inputs!$E$73/inputs!$E$74</f>
        <v>5.8293056989677003</v>
      </c>
      <c r="Q578" s="60">
        <f>(inputs!$C$7*11.2*(12.3*F578^0.65)*0.5/F578)*inputs!$E$73/inputs!$E$74</f>
        <v>3.0804141134929148</v>
      </c>
      <c r="R578" s="60">
        <f>(60*379*((F578/1000)^0.8)*3*24*(MAX('Min rate concentrations'!$R$3:$R$368))/F578)*(inputs!$E$73/inputs!$E$75)</f>
        <v>4.2614677494769567E-3</v>
      </c>
      <c r="S578" s="60">
        <f>(IF(inputs!$C$6="aerial",((0.025*0.112*inputs!$C$7/3.3)*(3*60*379*((F578/1000)^0.8))*MAX(inputs!$H$14:$H$16))/F578,((0.0083*0.112*inputs!$C$7/1)*(3*60*379*((F578/1000)^0.8))*MAX(inputs!$H$14:$H$16))/F578))*(inputs!E$75/inputs!$E$73)</f>
        <v>2.3502256455738741E-2</v>
      </c>
      <c r="T578" s="63">
        <f>IF((((inputs!$P$12/(V578/MAX(K578:S578)))^(1/inputs!$O$12))-1)/inputs!$N$12&lt;0, 0, IF((((inputs!$P$12/(V578/MAX(K578:S578)))^(1/inputs!$O$12))-1)/inputs!$N$12&gt;inputs!$H$17, inputs!$H$17, (((inputs!$P$12/(V578/MAX(K578:S578)))^(1/inputs!$O$12))-1)/inputs!$N$12))</f>
        <v>59.46054341717079</v>
      </c>
      <c r="U578" s="63">
        <f>IF((((inputs!$P$12/(X578/MAX(K578:S578)))^(1/inputs!$O$12))-1)/inputs!$N$12&lt;0, 0, IF((((inputs!$P$12/(X578/MAX(K578:S578)))^(1/inputs!$O$12))-1)/inputs!$N$12&gt;inputs!$H$17, inputs!$H$17, (((inputs!$P$12/(X578/MAX(K578:S578)))^(1/inputs!$O$12))-1)/inputs!$N$12))</f>
        <v>0</v>
      </c>
      <c r="V578" s="54">
        <f>inputs!$E$70*(inputs!$F$70/F578)^(0.25)</f>
        <v>2.5574764377400299</v>
      </c>
      <c r="W578" s="54">
        <f>inputs!$E$76*(inputs!$F$76/F578)^(0.25)</f>
        <v>0.76924067569003962</v>
      </c>
      <c r="X578" s="54">
        <f>inputs!$E$72*(inputs!$F$72/F578)^(0.25)</f>
        <v>112.82984284147192</v>
      </c>
      <c r="Y578" s="54" t="s">
        <v>13</v>
      </c>
      <c r="Z578" s="106">
        <f t="shared" si="68"/>
        <v>33.551866398861016</v>
      </c>
      <c r="AA578" s="106">
        <f t="shared" si="69"/>
        <v>111.54910351082926</v>
      </c>
    </row>
    <row r="579" spans="1:27" x14ac:dyDescent="0.25">
      <c r="A579" s="55" t="s">
        <v>544</v>
      </c>
      <c r="B579" s="49" t="s">
        <v>545</v>
      </c>
      <c r="C579" s="21" t="s">
        <v>61</v>
      </c>
      <c r="D579" s="20" t="s">
        <v>443</v>
      </c>
      <c r="E579" s="20">
        <v>41</v>
      </c>
      <c r="F579" s="21">
        <v>15</v>
      </c>
      <c r="G579" s="21" t="s">
        <v>456</v>
      </c>
      <c r="H579" s="21">
        <v>0.68</v>
      </c>
      <c r="I579" s="48">
        <f>MAX('Min rate concentrations'!$J$3:$J$368)</f>
        <v>114.4108103430513</v>
      </c>
      <c r="J579" s="48">
        <f>MAX('Min rate concentrations'!AB:AB)</f>
        <v>40.520495329830666</v>
      </c>
      <c r="K579" s="60">
        <f t="shared" si="74"/>
        <v>68.176216267466955</v>
      </c>
      <c r="L579" s="60">
        <f t="shared" si="75"/>
        <v>24.14574326139455</v>
      </c>
      <c r="M579" s="60">
        <f>IF((((0.326*F579^0.818)-(0.398*F579^0.85)/(1-H579)*H579)*(MAX('Min rate concentrations'!$P$3:$P$368)))/F579&gt;0, (((0.326*F579^0.818)-(0.398*F579^0.85)/(1-H579)*H579)*(MAX('Min rate concentrations'!$P$3:$P$368)))/F579, 0)</f>
        <v>0</v>
      </c>
      <c r="N579" s="60">
        <f>IF((((0.326*F579^0.818)-(0.398*F579^0.85)/(1-H579)*H579)*(MAX('Min rate concentrations'!$Q$3:$Q$368)))/F579&gt; 0, (((0.326*F579^0.818)-(0.398*F579^0.85)/(1-H579)*H579)*(MAX('Min rate concentrations'!$Q$3:$Q$368)))/F579, 0)</f>
        <v>0</v>
      </c>
      <c r="O579" s="60">
        <f>((MAX('Min rate concentrations'!$F$3:$F$368))*0.62*6.01*8*(12.3*F579^0.65)*0.079*0.1/F579)*inputs!$E$73/inputs!$E$74</f>
        <v>17.4879170969031</v>
      </c>
      <c r="P579" s="60">
        <f>((MAX('Min rate concentrations'!Y:Y))*0.62*6.01*8*(12.3*F579^0.65)*0.079*0.1/F579)*inputs!$E$73/inputs!$E$74</f>
        <v>5.8293056989677003</v>
      </c>
      <c r="Q579" s="60">
        <f>(inputs!$C$7*11.2*(12.3*F579^0.65)*0.5/F579)*inputs!$E$73/inputs!$E$74</f>
        <v>3.0804141134929148</v>
      </c>
      <c r="R579" s="60">
        <f>(60*379*((F579/1000)^0.8)*3*24*(MAX('Min rate concentrations'!$R$3:$R$368))/F579)*(inputs!$E$73/inputs!$E$75)</f>
        <v>4.2614677494769567E-3</v>
      </c>
      <c r="S579" s="60">
        <f>(IF(inputs!$C$6="aerial",((0.025*0.112*inputs!$C$7/3.3)*(3*60*379*((F579/1000)^0.8))*MAX(inputs!$H$14:$H$16))/F579,((0.0083*0.112*inputs!$C$7/1)*(3*60*379*((F579/1000)^0.8))*MAX(inputs!$H$14:$H$16))/F579))*(inputs!E$75/inputs!$E$73)</f>
        <v>2.3502256455738741E-2</v>
      </c>
      <c r="T579" s="63">
        <f>IF((((inputs!$P$12/(V579/MAX(K579:S579)))^(1/inputs!$O$12))-1)/inputs!$N$12&lt;0, 0, IF((((inputs!$P$12/(V579/MAX(K579:S579)))^(1/inputs!$O$12))-1)/inputs!$N$12&gt;inputs!$H$17, inputs!$H$17, (((inputs!$P$12/(V579/MAX(K579:S579)))^(1/inputs!$O$12))-1)/inputs!$N$12))</f>
        <v>51.605384662802905</v>
      </c>
      <c r="U579" s="63">
        <f>IF((((inputs!$P$12/(X579/MAX(K579:S579)))^(1/inputs!$O$12))-1)/inputs!$N$12&lt;0, 0, IF((((inputs!$P$12/(X579/MAX(K579:S579)))^(1/inputs!$O$12))-1)/inputs!$N$12&gt;inputs!$H$17, inputs!$H$17, (((inputs!$P$12/(X579/MAX(K579:S579)))^(1/inputs!$O$12))-1)/inputs!$N$12))</f>
        <v>0</v>
      </c>
      <c r="V579" s="54">
        <f>inputs!$E$70*(inputs!$F$70/F579)^(0.25)</f>
        <v>2.5574764377400299</v>
      </c>
      <c r="W579" s="54">
        <f>inputs!$E$76*(inputs!$F$76/F579)^(0.25)</f>
        <v>0.76924067569003962</v>
      </c>
      <c r="X579" s="54">
        <f>inputs!$E$72*(inputs!$F$72/F579)^(0.25)</f>
        <v>112.82984284147192</v>
      </c>
      <c r="Y579" s="54" t="s">
        <v>13</v>
      </c>
      <c r="Z579" s="106">
        <f t="shared" si="68"/>
        <v>26.657612661218636</v>
      </c>
      <c r="AA579" s="106">
        <f t="shared" si="69"/>
        <v>88.627939761908934</v>
      </c>
    </row>
    <row r="580" spans="1:27" x14ac:dyDescent="0.25">
      <c r="A580" s="55" t="s">
        <v>544</v>
      </c>
      <c r="B580" s="49" t="s">
        <v>545</v>
      </c>
      <c r="C580" s="21" t="s">
        <v>61</v>
      </c>
      <c r="D580" s="20" t="s">
        <v>443</v>
      </c>
      <c r="E580" s="20">
        <v>41</v>
      </c>
      <c r="F580" s="21">
        <v>15</v>
      </c>
      <c r="G580" s="21" t="s">
        <v>145</v>
      </c>
      <c r="H580" s="21">
        <v>0.66</v>
      </c>
      <c r="I580" s="48">
        <f>MAX('Min rate concentrations'!$M$3:$M$368)</f>
        <v>2.8488184789681945</v>
      </c>
      <c r="J580" s="48">
        <f>MAX('Min rate concentrations'!AE:AE)</f>
        <v>1.9699276716269429</v>
      </c>
      <c r="K580" s="60">
        <f t="shared" si="74"/>
        <v>1.597723679897108</v>
      </c>
      <c r="L580" s="60">
        <f t="shared" si="75"/>
        <v>1.1048089275884256</v>
      </c>
      <c r="M580" s="60">
        <f>IF((((0.326*F580^0.818)-(0.398*F580^0.85)/(1-H580)*H580)*(MAX('Min rate concentrations'!$P$3:$P$368)))/F580&gt;0, (((0.326*F580^0.818)-(0.398*F580^0.85)/(1-H580)*H580)*(MAX('Min rate concentrations'!$P$3:$P$368)))/F580, 0)</f>
        <v>0</v>
      </c>
      <c r="N580" s="60">
        <f>IF((((0.326*F580^0.818)-(0.398*F580^0.85)/(1-H580)*H580)*(MAX('Min rate concentrations'!$Q$3:$Q$368)))/F580&gt; 0, (((0.326*F580^0.818)-(0.398*F580^0.85)/(1-H580)*H580)*(MAX('Min rate concentrations'!$Q$3:$Q$368)))/F580, 0)</f>
        <v>0</v>
      </c>
      <c r="O580" s="60">
        <f>((MAX('Min rate concentrations'!$F$3:$F$368))*0.62*6.01*8*(12.3*F580^0.65)*0.079*0.1/F580)*inputs!$E$73/inputs!$E$74</f>
        <v>17.4879170969031</v>
      </c>
      <c r="P580" s="60">
        <f>((MAX('Min rate concentrations'!Y:Y))*0.62*6.01*8*(12.3*F580^0.65)*0.079*0.1/F580)*inputs!$E$73/inputs!$E$74</f>
        <v>5.8293056989677003</v>
      </c>
      <c r="Q580" s="60">
        <f>(inputs!$C$7*11.2*(12.3*F580^0.65)*0.5/F580)*inputs!$E$73/inputs!$E$74</f>
        <v>3.0804141134929148</v>
      </c>
      <c r="R580" s="60">
        <f>(60*379*((F580/1000)^0.8)*3*24*(MAX('Min rate concentrations'!$R$3:$R$368))/F580)*(inputs!$E$73/inputs!$E$75)</f>
        <v>4.2614677494769567E-3</v>
      </c>
      <c r="S580" s="60">
        <f>(IF(inputs!$C$6="aerial",((0.025*0.112*inputs!$C$7/3.3)*(3*60*379*((F580/1000)^0.8))*MAX(inputs!$H$14:$H$16))/F580,((0.0083*0.112*inputs!$C$7/1)*(3*60*379*((F580/1000)^0.8))*MAX(inputs!$H$14:$H$16))/F580))*(inputs!E$75/inputs!$E$73)</f>
        <v>2.3502256455738741E-2</v>
      </c>
      <c r="T580" s="63">
        <f>IF((((inputs!$P$12/(V580/MAX(K580:S580)))^(1/inputs!$O$12))-1)/inputs!$N$12&lt;0, 0, IF((((inputs!$P$12/(V580/MAX(K580:S580)))^(1/inputs!$O$12))-1)/inputs!$N$12&gt;inputs!$H$17, inputs!$H$17, (((inputs!$P$12/(V580/MAX(K580:S580)))^(1/inputs!$O$12))-1)/inputs!$N$12))</f>
        <v>17.564222818912587</v>
      </c>
      <c r="U580" s="63">
        <f>IF((((inputs!$P$12/(X580/MAX(K580:S580)))^(1/inputs!$O$12))-1)/inputs!$N$12&lt;0, 0, IF((((inputs!$P$12/(X580/MAX(K580:S580)))^(1/inputs!$O$12))-1)/inputs!$N$12&gt;inputs!$H$17, inputs!$H$17, (((inputs!$P$12/(X580/MAX(K580:S580)))^(1/inputs!$O$12))-1)/inputs!$N$12))</f>
        <v>0</v>
      </c>
      <c r="V580" s="54">
        <f>inputs!$E$70*(inputs!$F$70/F580)^(0.25)</f>
        <v>2.5574764377400299</v>
      </c>
      <c r="W580" s="54">
        <f>inputs!$E$76*(inputs!$F$76/F580)^(0.25)</f>
        <v>0.76924067569003962</v>
      </c>
      <c r="X580" s="54">
        <f>inputs!$E$72*(inputs!$F$72/F580)^(0.25)</f>
        <v>112.82984284147192</v>
      </c>
      <c r="Y580" s="54" t="s">
        <v>13</v>
      </c>
      <c r="Z580" s="106">
        <f t="shared" ref="Z580:Z643" si="76">MAX(K580:S580)/V580</f>
        <v>6.8379582461986166</v>
      </c>
      <c r="AA580" s="106">
        <f t="shared" ref="AA580:AA643" si="77">MAX(K580:S580)/W580</f>
        <v>22.733999448502562</v>
      </c>
    </row>
    <row r="581" spans="1:27" x14ac:dyDescent="0.25">
      <c r="A581" s="55" t="s">
        <v>544</v>
      </c>
      <c r="B581" s="49" t="s">
        <v>545</v>
      </c>
      <c r="C581" s="21" t="s">
        <v>61</v>
      </c>
      <c r="D581" s="20" t="s">
        <v>443</v>
      </c>
      <c r="E581" s="20">
        <v>41</v>
      </c>
      <c r="F581" s="21">
        <v>15</v>
      </c>
      <c r="G581" s="21" t="s">
        <v>154</v>
      </c>
      <c r="H581" s="21">
        <v>9.2999999999999999E-2</v>
      </c>
      <c r="I581" s="48">
        <f>MAX('Min rate concentrations'!$G$3:$G$368)</f>
        <v>7.5</v>
      </c>
      <c r="J581" s="48">
        <f>MAX('Min rate concentrations'!Z:Z)</f>
        <v>3.5</v>
      </c>
      <c r="K581" s="60">
        <f t="shared" si="74"/>
        <v>1.5767752252349958</v>
      </c>
      <c r="L581" s="60"/>
      <c r="M581" s="60">
        <f>IF((((0.326*F581^0.818)-(0.398*F581^0.85)/(1-H581)*H581)*(MAX('Min rate concentrations'!$P$3:$P$368)))/F581&gt;0, (((0.326*F581^0.818)-(0.398*F581^0.85)/(1-H581)*H581)*(MAX('Min rate concentrations'!$P$3:$P$368)))/F581, 0)</f>
        <v>2.4959484999342571E-2</v>
      </c>
      <c r="N581" s="60">
        <f>IF((((0.326*F581^0.818)-(0.398*F581^0.85)/(1-H581)*H581)*(MAX('Min rate concentrations'!$Q$3:$Q$368)))/F581&gt; 0, (((0.326*F581^0.818)-(0.398*F581^0.85)/(1-H581)*H581)*(MAX('Min rate concentrations'!$Q$3:$Q$368)))/F581, 0)</f>
        <v>9.5047059992685437E-2</v>
      </c>
      <c r="O581" s="60">
        <f>((MAX('Min rate concentrations'!$F$3:$F$368))*0.62*6.01*8*(12.3*F581^0.65)*0.079*0.1/F581)*inputs!$E$73/inputs!$E$74</f>
        <v>17.4879170969031</v>
      </c>
      <c r="P581" s="60"/>
      <c r="Q581" s="60">
        <f>(inputs!$C$7*11.2*(12.3*F581^0.65)*0.5/F581)*inputs!$E$73/inputs!$E$74</f>
        <v>3.0804141134929148</v>
      </c>
      <c r="R581" s="60">
        <f>(60*379*((F581/1000)^0.8)*3*24*(MAX('Min rate concentrations'!$R$3:$R$368))/F581)*(inputs!$E$73/inputs!$E$75)</f>
        <v>4.2614677494769567E-3</v>
      </c>
      <c r="S581" s="60">
        <f>(IF(inputs!$C$6="aerial",((0.025*0.112*inputs!$C$7/3.3)*(3*60*379*((F581/1000)^0.8))*MAX(inputs!$H$14:$H$16))/F581,((0.0083*0.112*inputs!$C$7/1)*(3*60*379*((F581/1000)^0.8))*MAX(inputs!$H$14:$H$16))/F581))*(inputs!E$75/inputs!$E$73)</f>
        <v>2.3502256455738741E-2</v>
      </c>
      <c r="T581" s="63">
        <f>IF((((inputs!$P$12/(V581/MAX(K581:S581)))^(1/inputs!$O$12))-1)/inputs!$N$12&lt;0, 0, IF((((inputs!$P$12/(V581/MAX(K581:S581)))^(1/inputs!$O$12))-1)/inputs!$N$12&gt;inputs!$H$17, inputs!$H$17, (((inputs!$P$12/(V581/MAX(K581:S581)))^(1/inputs!$O$12))-1)/inputs!$N$12))</f>
        <v>17.564222818912587</v>
      </c>
      <c r="U581" s="63">
        <f>IF((((inputs!$P$12/(X581/MAX(K581:S581)))^(1/inputs!$O$12))-1)/inputs!$N$12&lt;0, 0, IF((((inputs!$P$12/(X581/MAX(K581:S581)))^(1/inputs!$O$12))-1)/inputs!$N$12&gt;inputs!$H$17, inputs!$H$17, (((inputs!$P$12/(X581/MAX(K581:S581)))^(1/inputs!$O$12))-1)/inputs!$N$12))</f>
        <v>0</v>
      </c>
      <c r="V581" s="54">
        <f>inputs!$E$70*(inputs!$F$70/F581)^(0.25)</f>
        <v>2.5574764377400299</v>
      </c>
      <c r="W581" s="54">
        <f>inputs!$E$76*(inputs!$F$76/F581)^(0.25)</f>
        <v>0.76924067569003962</v>
      </c>
      <c r="X581" s="54">
        <f>inputs!$E$72*(inputs!$F$72/F581)^(0.25)</f>
        <v>112.82984284147192</v>
      </c>
      <c r="Y581" s="54" t="s">
        <v>13</v>
      </c>
      <c r="Z581" s="106">
        <f t="shared" si="76"/>
        <v>6.8379582461986166</v>
      </c>
      <c r="AA581" s="106">
        <f t="shared" si="77"/>
        <v>22.733999448502562</v>
      </c>
    </row>
    <row r="582" spans="1:27" x14ac:dyDescent="0.25">
      <c r="A582" s="55" t="s">
        <v>507</v>
      </c>
      <c r="B582" s="49" t="s">
        <v>508</v>
      </c>
      <c r="C582" s="21" t="s">
        <v>61</v>
      </c>
      <c r="D582" s="20" t="s">
        <v>443</v>
      </c>
      <c r="E582" s="20">
        <v>28</v>
      </c>
      <c r="F582" s="21">
        <v>60</v>
      </c>
      <c r="G582" s="21" t="s">
        <v>169</v>
      </c>
      <c r="H582" s="21">
        <v>0.79</v>
      </c>
      <c r="I582" s="48">
        <f>MAX('Min rate concentrations'!$D$3:$D$368)</f>
        <v>120</v>
      </c>
      <c r="J582" s="48">
        <f>MAX('Min rate concentrations'!W:W)</f>
        <v>42.5</v>
      </c>
      <c r="K582" s="60">
        <f t="shared" si="74"/>
        <v>59.535993645422586</v>
      </c>
      <c r="L582" s="60">
        <f>(((0.621*F582^0.564)/(1-H582)))*J582/F582</f>
        <v>21.085664416087166</v>
      </c>
      <c r="M582" s="60">
        <f>IF((((0.326*F582^0.818)-(0.398*F582^0.85)/(1-H582)*H582)*(MAX('Min rate concentrations'!$P$3:$P$368)))/F582&gt;0, (((0.326*F582^0.818)-(0.398*F582^0.85)/(1-H582)*H582)*(MAX('Min rate concentrations'!$P$3:$P$368)))/F582, 0)</f>
        <v>0</v>
      </c>
      <c r="N582" s="60">
        <f>IF((((0.326*F582^0.818)-(0.398*F582^0.85)/(1-H582)*H582)*(MAX('Min rate concentrations'!$Q$3:$Q$368)))/F582&gt; 0, (((0.326*F582^0.818)-(0.398*F582^0.85)/(1-H582)*H582)*(MAX('Min rate concentrations'!$Q$3:$Q$368)))/F582, 0)</f>
        <v>0</v>
      </c>
      <c r="O582" s="60">
        <f>((MAX('Min rate concentrations'!$F$3:$F$368))*0.62*6.01*8*(12.3*F582^0.65)*0.079*0.1/F582)*inputs!$E$73/inputs!$E$74</f>
        <v>10.765075717445647</v>
      </c>
      <c r="P582" s="60">
        <f>((MAX('Min rate concentrations'!Y:Y))*0.62*6.01*8*(12.3*F582^0.65)*0.079*0.1/F582)*inputs!$E$73/inputs!$E$74</f>
        <v>3.5883585724818818</v>
      </c>
      <c r="Q582" s="60">
        <f>(inputs!$C$7*11.2*(12.3*F582^0.65)*0.5/F582)*inputs!$E$73/inputs!$E$74</f>
        <v>1.8962173133078171</v>
      </c>
      <c r="R582" s="60">
        <f>(60*379*((F582/1000)^0.8)*3*24*(MAX('Min rate concentrations'!$R$3:$R$368))/F582)*(inputs!$E$73/inputs!$E$75)</f>
        <v>3.2295886327660026E-3</v>
      </c>
      <c r="S582" s="60">
        <f>(IF(inputs!$C$6="aerial",((0.025*0.112*inputs!$C$7/3.3)*(3*60*379*((F582/1000)^0.8))*MAX(inputs!$H$14:$H$16))/F582,((0.0083*0.112*inputs!$C$7/1)*(3*60*379*((F582/1000)^0.8))*MAX(inputs!$H$14:$H$16))/F582))*(inputs!E$75/inputs!$E$73)</f>
        <v>1.7811379730169587E-2</v>
      </c>
      <c r="T582" s="63">
        <f>IF((((inputs!$P$12/(V582/MAX(K582:S582)))^(1/inputs!$O$12))-1)/inputs!$N$12&lt;0, 0, IF((((inputs!$P$12/(V582/MAX(K582:S582)))^(1/inputs!$O$12))-1)/inputs!$N$12&gt;inputs!$H$17, inputs!$H$17, (((inputs!$P$12/(V582/MAX(K582:S582)))^(1/inputs!$O$12))-1)/inputs!$N$12))</f>
        <v>58.784944070890788</v>
      </c>
      <c r="U582" s="63">
        <f>IF((((inputs!$P$12/(X582/MAX(K582:S582)))^(1/inputs!$O$12))-1)/inputs!$N$12&lt;0, 0, IF((((inputs!$P$12/(X582/MAX(K582:S582)))^(1/inputs!$O$12))-1)/inputs!$N$12&gt;inputs!$H$17, inputs!$H$17, (((inputs!$P$12/(X582/MAX(K582:S582)))^(1/inputs!$O$12))-1)/inputs!$N$12))</f>
        <v>0</v>
      </c>
      <c r="V582" s="54">
        <f>inputs!$E$70*(inputs!$F$70/F582)^(0.25)</f>
        <v>1.8084089318507901</v>
      </c>
      <c r="W582" s="54">
        <f>inputs!$E$76*(inputs!$F$76/F582)^(0.25)</f>
        <v>0.54393529814494879</v>
      </c>
      <c r="X582" s="54">
        <f>inputs!$E$72*(inputs!$F$72/F582)^(0.25)</f>
        <v>79.78274699341722</v>
      </c>
      <c r="Y582" s="54" t="s">
        <v>13</v>
      </c>
      <c r="Z582" s="106">
        <f t="shared" si="76"/>
        <v>32.92175381178378</v>
      </c>
      <c r="AA582" s="106">
        <f t="shared" si="77"/>
        <v>109.45418296710234</v>
      </c>
    </row>
    <row r="583" spans="1:27" x14ac:dyDescent="0.25">
      <c r="A583" s="55" t="s">
        <v>507</v>
      </c>
      <c r="B583" s="49" t="s">
        <v>508</v>
      </c>
      <c r="C583" s="21" t="s">
        <v>61</v>
      </c>
      <c r="D583" s="20" t="s">
        <v>443</v>
      </c>
      <c r="E583" s="20">
        <v>28</v>
      </c>
      <c r="F583" s="21">
        <v>60</v>
      </c>
      <c r="G583" s="21" t="s">
        <v>177</v>
      </c>
      <c r="H583" s="21">
        <v>0.85</v>
      </c>
      <c r="I583" s="48">
        <f>MAX('Min rate concentrations'!$F$3:$F$368)</f>
        <v>67.5</v>
      </c>
      <c r="J583" s="48">
        <f>MAX('Min rate concentrations'!Y:Y)</f>
        <v>22.5</v>
      </c>
      <c r="K583" s="60">
        <f t="shared" si="74"/>
        <v>46.884594995770271</v>
      </c>
      <c r="L583" s="60">
        <f>(((0.621*F583^0.564)/(1-H583)))*J583/F583</f>
        <v>15.628198331923423</v>
      </c>
      <c r="M583" s="60">
        <f>IF((((0.326*F583^0.818)-(0.398*F583^0.85)/(1-H583)*H583)*(MAX('Min rate concentrations'!$P$3:$P$368)))/F583&gt;0, (((0.326*F583^0.818)-(0.398*F583^0.85)/(1-H583)*H583)*(MAX('Min rate concentrations'!$P$3:$P$368)))/F583, 0)</f>
        <v>0</v>
      </c>
      <c r="N583" s="60">
        <f>IF((((0.326*F583^0.818)-(0.398*F583^0.85)/(1-H583)*H583)*(MAX('Min rate concentrations'!$Q$3:$Q$368)))/F583&gt; 0, (((0.326*F583^0.818)-(0.398*F583^0.85)/(1-H583)*H583)*(MAX('Min rate concentrations'!$Q$3:$Q$368)))/F583, 0)</f>
        <v>0</v>
      </c>
      <c r="O583" s="60">
        <f>((MAX('Min rate concentrations'!$F$3:$F$368))*0.62*6.01*8*(12.3*F583^0.65)*0.079*0.1/F583)*inputs!$E$73/inputs!$E$74</f>
        <v>10.765075717445647</v>
      </c>
      <c r="P583" s="60">
        <f>((MAX('Min rate concentrations'!Y:Y))*0.62*6.01*8*(12.3*F583^0.65)*0.079*0.1/F583)*inputs!$E$73/inputs!$E$74</f>
        <v>3.5883585724818818</v>
      </c>
      <c r="Q583" s="60">
        <f>(inputs!$C$7*11.2*(12.3*F583^0.65)*0.5/F583)*inputs!$E$73/inputs!$E$74</f>
        <v>1.8962173133078171</v>
      </c>
      <c r="R583" s="60">
        <f>(60*379*((F583/1000)^0.8)*3*24*(MAX('Min rate concentrations'!$R$3:$R$368))/F583)*(inputs!$E$73/inputs!$E$75)</f>
        <v>3.2295886327660026E-3</v>
      </c>
      <c r="S583" s="60">
        <f>(IF(inputs!$C$6="aerial",((0.025*0.112*inputs!$C$7/3.3)*(3*60*379*((F583/1000)^0.8))*MAX(inputs!$H$14:$H$16))/F583,((0.0083*0.112*inputs!$C$7/1)*(3*60*379*((F583/1000)^0.8))*MAX(inputs!$H$14:$H$16))/F583))*(inputs!E$75/inputs!$E$73)</f>
        <v>1.7811379730169587E-2</v>
      </c>
      <c r="T583" s="63">
        <f>IF((((inputs!$P$12/(V583/MAX(K583:S583)))^(1/inputs!$O$12))-1)/inputs!$N$12&lt;0, 0, IF((((inputs!$P$12/(V583/MAX(K583:S583)))^(1/inputs!$O$12))-1)/inputs!$N$12&gt;inputs!$H$17, inputs!$H$17, (((inputs!$P$12/(V583/MAX(K583:S583)))^(1/inputs!$O$12))-1)/inputs!$N$12))</f>
        <v>50.703763290974777</v>
      </c>
      <c r="U583" s="63">
        <f>IF((((inputs!$P$12/(X583/MAX(K583:S583)))^(1/inputs!$O$12))-1)/inputs!$N$12&lt;0, 0, IF((((inputs!$P$12/(X583/MAX(K583:S583)))^(1/inputs!$O$12))-1)/inputs!$N$12&gt;inputs!$H$17, inputs!$H$17, (((inputs!$P$12/(X583/MAX(K583:S583)))^(1/inputs!$O$12))-1)/inputs!$N$12))</f>
        <v>0</v>
      </c>
      <c r="V583" s="54">
        <f>inputs!$E$70*(inputs!$F$70/F583)^(0.25)</f>
        <v>1.8084089318507901</v>
      </c>
      <c r="W583" s="54">
        <f>inputs!$E$76*(inputs!$F$76/F583)^(0.25)</f>
        <v>0.54393529814494879</v>
      </c>
      <c r="X583" s="54">
        <f>inputs!$E$72*(inputs!$F$72/F583)^(0.25)</f>
        <v>79.78274699341722</v>
      </c>
      <c r="Y583" s="54" t="s">
        <v>13</v>
      </c>
      <c r="Z583" s="106">
        <f t="shared" si="76"/>
        <v>25.925881126779721</v>
      </c>
      <c r="AA583" s="106">
        <f t="shared" si="77"/>
        <v>86.195169086593069</v>
      </c>
    </row>
    <row r="584" spans="1:27" x14ac:dyDescent="0.25">
      <c r="A584" s="55" t="s">
        <v>507</v>
      </c>
      <c r="B584" s="49" t="s">
        <v>508</v>
      </c>
      <c r="C584" s="21" t="s">
        <v>61</v>
      </c>
      <c r="D584" s="20" t="s">
        <v>443</v>
      </c>
      <c r="E584" s="20">
        <v>28</v>
      </c>
      <c r="F584" s="21">
        <v>60</v>
      </c>
      <c r="G584" s="21" t="s">
        <v>154</v>
      </c>
      <c r="H584" s="21">
        <v>9.2999999999999999E-2</v>
      </c>
      <c r="I584" s="48">
        <f>MAX('Min rate concentrations'!$G$3:$G$368)</f>
        <v>7.5</v>
      </c>
      <c r="J584" s="48">
        <f>MAX('Min rate concentrations'!Z:Z)</f>
        <v>3.5</v>
      </c>
      <c r="K584" s="60">
        <f t="shared" si="74"/>
        <v>0.86153243285134651</v>
      </c>
      <c r="L584" s="60"/>
      <c r="M584" s="60">
        <f>IF((((0.326*F584^0.818)-(0.398*F584^0.85)/(1-H584)*H584)*(MAX('Min rate concentrations'!$P$3:$P$368)))/F584&gt;0, (((0.326*F584^0.818)-(0.398*F584^0.85)/(1-H584)*H584)*(MAX('Min rate concentrations'!$P$3:$P$368)))/F584, 0)</f>
        <v>1.9254624280432158E-2</v>
      </c>
      <c r="N584" s="60">
        <f>IF((((0.326*F584^0.818)-(0.398*F584^0.85)/(1-H584)*H584)*(MAX('Min rate concentrations'!$Q$3:$Q$368)))/F584&gt; 0, (((0.326*F584^0.818)-(0.398*F584^0.85)/(1-H584)*H584)*(MAX('Min rate concentrations'!$Q$3:$Q$368)))/F584, 0)</f>
        <v>7.3322643843294746E-2</v>
      </c>
      <c r="O584" s="60">
        <f>((MAX('Min rate concentrations'!$F$3:$F$368))*0.62*6.01*8*(12.3*F584^0.65)*0.079*0.1/F584)*inputs!$E$73/inputs!$E$74</f>
        <v>10.765075717445647</v>
      </c>
      <c r="P584" s="60"/>
      <c r="Q584" s="60">
        <f>(inputs!$C$7*11.2*(12.3*F584^0.65)*0.5/F584)*inputs!$E$73/inputs!$E$74</f>
        <v>1.8962173133078171</v>
      </c>
      <c r="R584" s="60">
        <f>(60*379*((F584/1000)^0.8)*3*24*(MAX('Min rate concentrations'!$R$3:$R$368))/F584)*(inputs!$E$73/inputs!$E$75)</f>
        <v>3.2295886327660026E-3</v>
      </c>
      <c r="S584" s="60">
        <f>(IF(inputs!$C$6="aerial",((0.025*0.112*inputs!$C$7/3.3)*(3*60*379*((F584/1000)^0.8))*MAX(inputs!$H$14:$H$16))/F584,((0.0083*0.112*inputs!$C$7/1)*(3*60*379*((F584/1000)^0.8))*MAX(inputs!$H$14:$H$16))/F584))*(inputs!E$75/inputs!$E$73)</f>
        <v>1.7811379730169587E-2</v>
      </c>
      <c r="T584" s="63">
        <f>IF((((inputs!$P$12/(V584/MAX(K584:S584)))^(1/inputs!$O$12))-1)/inputs!$N$12&lt;0, 0, IF((((inputs!$P$12/(V584/MAX(K584:S584)))^(1/inputs!$O$12))-1)/inputs!$N$12&gt;inputs!$H$17, inputs!$H$17, (((inputs!$P$12/(V584/MAX(K584:S584)))^(1/inputs!$O$12))-1)/inputs!$N$12))</f>
        <v>15.039283900503317</v>
      </c>
      <c r="U584" s="63">
        <f>IF((((inputs!$P$12/(X584/MAX(K584:S584)))^(1/inputs!$O$12))-1)/inputs!$N$12&lt;0, 0, IF((((inputs!$P$12/(X584/MAX(K584:S584)))^(1/inputs!$O$12))-1)/inputs!$N$12&gt;inputs!$H$17, inputs!$H$17, (((inputs!$P$12/(X584/MAX(K584:S584)))^(1/inputs!$O$12))-1)/inputs!$N$12))</f>
        <v>0</v>
      </c>
      <c r="V584" s="54">
        <f>inputs!$E$70*(inputs!$F$70/F584)^(0.25)</f>
        <v>1.8084089318507901</v>
      </c>
      <c r="W584" s="54">
        <f>inputs!$E$76*(inputs!$F$76/F584)^(0.25)</f>
        <v>0.54393529814494879</v>
      </c>
      <c r="X584" s="54">
        <f>inputs!$E$72*(inputs!$F$72/F584)^(0.25)</f>
        <v>79.78274699341722</v>
      </c>
      <c r="Y584" s="54" t="s">
        <v>13</v>
      </c>
      <c r="Z584" s="106">
        <f t="shared" si="76"/>
        <v>5.9527884030235825</v>
      </c>
      <c r="AA584" s="106">
        <f t="shared" si="77"/>
        <v>19.791096025867681</v>
      </c>
    </row>
    <row r="585" spans="1:27" x14ac:dyDescent="0.25">
      <c r="A585" s="55" t="s">
        <v>550</v>
      </c>
      <c r="B585" s="49" t="s">
        <v>551</v>
      </c>
      <c r="C585" s="21" t="s">
        <v>61</v>
      </c>
      <c r="D585" s="20" t="s">
        <v>443</v>
      </c>
      <c r="E585" s="20">
        <v>50</v>
      </c>
      <c r="F585" s="21">
        <v>12</v>
      </c>
      <c r="G585" s="21" t="s">
        <v>182</v>
      </c>
      <c r="H585" s="21">
        <v>0.85</v>
      </c>
      <c r="I585" s="48">
        <f>MAX('Min rate concentrations'!$M$3:$M$368)</f>
        <v>2.8488184789681945</v>
      </c>
      <c r="J585" s="48">
        <f>MAX('Min rate concentrations'!AE:AE)</f>
        <v>1.9699276716269429</v>
      </c>
      <c r="K585" s="60">
        <f t="shared" si="74"/>
        <v>3.9915547955524517</v>
      </c>
      <c r="L585" s="60">
        <f t="shared" ref="L585:L590" si="78">(((0.621*F585^0.564)/(1-H585)))*J585/F585</f>
        <v>2.7601176777756318</v>
      </c>
      <c r="M585" s="60">
        <f>IF((((0.326*F585^0.818)-(0.398*F585^0.85)/(1-H585)*H585)*(MAX('Min rate concentrations'!$P$3:$P$368)))/F585&gt;0, (((0.326*F585^0.818)-(0.398*F585^0.85)/(1-H585)*H585)*(MAX('Min rate concentrations'!$P$3:$P$368)))/F585, 0)</f>
        <v>0</v>
      </c>
      <c r="N585" s="60">
        <f>IF((((0.326*F585^0.818)-(0.398*F585^0.85)/(1-H585)*H585)*(MAX('Min rate concentrations'!$Q$3:$Q$368)))/F585&gt; 0, (((0.326*F585^0.818)-(0.398*F585^0.85)/(1-H585)*H585)*(MAX('Min rate concentrations'!$Q$3:$Q$368)))/F585, 0)</f>
        <v>0</v>
      </c>
      <c r="O585" s="60">
        <f>((MAX('Min rate concentrations'!$F$3:$F$368))*0.62*6.01*8*(12.3*F585^0.65)*0.079*0.1/F585)*inputs!$E$73/inputs!$E$74</f>
        <v>18.908478773287541</v>
      </c>
      <c r="P585" s="60">
        <f>((MAX('Min rate concentrations'!Y:Y))*0.62*6.01*8*(12.3*F585^0.65)*0.079*0.1/F585)*inputs!$E$73/inputs!$E$74</f>
        <v>6.3028262577625114</v>
      </c>
      <c r="Q585" s="60">
        <f>(inputs!$C$7*11.2*(12.3*F585^0.65)*0.5/F585)*inputs!$E$73/inputs!$E$74</f>
        <v>3.330639352597959</v>
      </c>
      <c r="R585" s="60">
        <f>(60*379*((F585/1000)^0.8)*3*24*(MAX('Min rate concentrations'!$R$3:$R$368))/F585)*(inputs!$E$73/inputs!$E$75)</f>
        <v>4.4559592309452237E-3</v>
      </c>
      <c r="S585" s="60">
        <f>(IF(inputs!$C$6="aerial",((0.025*0.112*inputs!$C$7/3.3)*(3*60*379*((F585/1000)^0.8))*MAX(inputs!$H$14:$H$16))/F585,((0.0083*0.112*inputs!$C$7/1)*(3*60*379*((F585/1000)^0.8))*MAX(inputs!$H$14:$H$16))/F585))*(inputs!E$75/inputs!$E$73)</f>
        <v>2.4574888925264021E-2</v>
      </c>
      <c r="T585" s="63">
        <f>IF((((inputs!$P$12/(V585/MAX(K585:S585)))^(1/inputs!$O$12))-1)/inputs!$N$12&lt;0, 0, IF((((inputs!$P$12/(V585/MAX(K585:S585)))^(1/inputs!$O$12))-1)/inputs!$N$12&gt;inputs!$H$17, inputs!$H$17, (((inputs!$P$12/(V585/MAX(K585:S585)))^(1/inputs!$O$12))-1)/inputs!$N$12))</f>
        <v>17.984115705891043</v>
      </c>
      <c r="U585" s="63">
        <f>IF((((inputs!$P$12/(X585/MAX(K585:S585)))^(1/inputs!$O$12))-1)/inputs!$N$12&lt;0, 0, IF((((inputs!$P$12/(X585/MAX(K585:S585)))^(1/inputs!$O$12))-1)/inputs!$N$12&gt;inputs!$H$17, inputs!$H$17, (((inputs!$P$12/(X585/MAX(K585:S585)))^(1/inputs!$O$12))-1)/inputs!$N$12))</f>
        <v>0</v>
      </c>
      <c r="V585" s="54">
        <f>inputs!$E$70*(inputs!$F$70/F585)^(0.25)</f>
        <v>2.7042020921926482</v>
      </c>
      <c r="W585" s="54">
        <f>inputs!$E$76*(inputs!$F$76/F585)^(0.25)</f>
        <v>0.81337298514425049</v>
      </c>
      <c r="X585" s="54">
        <f>inputs!$E$72*(inputs!$F$72/F585)^(0.25)</f>
        <v>119.30303347908743</v>
      </c>
      <c r="Y585" s="54" t="s">
        <v>13</v>
      </c>
      <c r="Z585" s="106">
        <f t="shared" si="76"/>
        <v>6.9922580223861814</v>
      </c>
      <c r="AA585" s="106">
        <f t="shared" si="77"/>
        <v>23.2469962964582</v>
      </c>
    </row>
    <row r="586" spans="1:27" x14ac:dyDescent="0.25">
      <c r="A586" s="55" t="s">
        <v>550</v>
      </c>
      <c r="B586" s="49" t="s">
        <v>551</v>
      </c>
      <c r="C586" s="21" t="s">
        <v>61</v>
      </c>
      <c r="D586" s="20" t="s">
        <v>443</v>
      </c>
      <c r="E586" s="20">
        <v>50</v>
      </c>
      <c r="F586" s="21">
        <v>12</v>
      </c>
      <c r="G586" s="21" t="s">
        <v>142</v>
      </c>
      <c r="H586" s="21">
        <v>0.69</v>
      </c>
      <c r="I586" s="48">
        <f>MAX('Min rate concentrations'!$H$3:$H$368)</f>
        <v>47</v>
      </c>
      <c r="J586" s="48">
        <f>MAX('Min rate concentrations'!AA:AA)</f>
        <v>32.5</v>
      </c>
      <c r="K586" s="60">
        <f t="shared" si="74"/>
        <v>31.864326320175874</v>
      </c>
      <c r="L586" s="60">
        <f t="shared" si="78"/>
        <v>22.03384266820672</v>
      </c>
      <c r="M586" s="60">
        <f>IF((((0.326*F586^0.818)-(0.398*F586^0.85)/(1-H586)*H586)*(MAX('Min rate concentrations'!$P$3:$P$368)))/F586&gt;0, (((0.326*F586^0.818)-(0.398*F586^0.85)/(1-H586)*H586)*(MAX('Min rate concentrations'!$P$3:$P$368)))/F586, 0)</f>
        <v>0</v>
      </c>
      <c r="N586" s="60">
        <f>IF((((0.326*F586^0.818)-(0.398*F586^0.85)/(1-H586)*H586)*(MAX('Min rate concentrations'!$Q$3:$Q$368)))/F586&gt; 0, (((0.326*F586^0.818)-(0.398*F586^0.85)/(1-H586)*H586)*(MAX('Min rate concentrations'!$Q$3:$Q$368)))/F586, 0)</f>
        <v>0</v>
      </c>
      <c r="O586" s="60">
        <f>((MAX('Min rate concentrations'!$F$3:$F$368))*0.62*6.01*8*(12.3*F586^0.65)*0.079*0.1/F586)*inputs!$E$73/inputs!$E$74</f>
        <v>18.908478773287541</v>
      </c>
      <c r="P586" s="60">
        <f>((MAX('Min rate concentrations'!Y:Y))*0.62*6.01*8*(12.3*F586^0.65)*0.079*0.1/F586)*inputs!$E$73/inputs!$E$74</f>
        <v>6.3028262577625114</v>
      </c>
      <c r="Q586" s="60">
        <f>(inputs!$C$7*11.2*(12.3*F586^0.65)*0.5/F586)*inputs!$E$73/inputs!$E$74</f>
        <v>3.330639352597959</v>
      </c>
      <c r="R586" s="60">
        <f>(60*379*((F586/1000)^0.8)*3*24*(MAX('Min rate concentrations'!$R$3:$R$368))/F586)*(inputs!$E$73/inputs!$E$75)</f>
        <v>4.4559592309452237E-3</v>
      </c>
      <c r="S586" s="60">
        <f>(IF(inputs!$C$6="aerial",((0.025*0.112*inputs!$C$7/3.3)*(3*60*379*((F586/1000)^0.8))*MAX(inputs!$H$14:$H$16))/F586,((0.0083*0.112*inputs!$C$7/1)*(3*60*379*((F586/1000)^0.8))*MAX(inputs!$H$14:$H$16))/F586))*(inputs!E$75/inputs!$E$73)</f>
        <v>2.4574888925264021E-2</v>
      </c>
      <c r="T586" s="63">
        <f>IF((((inputs!$P$12/(V586/MAX(K586:S586)))^(1/inputs!$O$12))-1)/inputs!$N$12&lt;0, 0, IF((((inputs!$P$12/(V586/MAX(K586:S586)))^(1/inputs!$O$12))-1)/inputs!$N$12&gt;inputs!$H$17, inputs!$H$17, (((inputs!$P$12/(V586/MAX(K586:S586)))^(1/inputs!$O$12))-1)/inputs!$N$12))</f>
        <v>28.974157518580039</v>
      </c>
      <c r="U586" s="63">
        <f>IF((((inputs!$P$12/(X586/MAX(K586:S586)))^(1/inputs!$O$12))-1)/inputs!$N$12&lt;0, 0, IF((((inputs!$P$12/(X586/MAX(K586:S586)))^(1/inputs!$O$12))-1)/inputs!$N$12&gt;inputs!$H$17, inputs!$H$17, (((inputs!$P$12/(X586/MAX(K586:S586)))^(1/inputs!$O$12))-1)/inputs!$N$12))</f>
        <v>0</v>
      </c>
      <c r="V586" s="54">
        <f>inputs!$E$70*(inputs!$F$70/F586)^(0.25)</f>
        <v>2.7042020921926482</v>
      </c>
      <c r="W586" s="54">
        <f>inputs!$E$76*(inputs!$F$76/F586)^(0.25)</f>
        <v>0.81337298514425049</v>
      </c>
      <c r="X586" s="54">
        <f>inputs!$E$72*(inputs!$F$72/F586)^(0.25)</f>
        <v>119.30303347908743</v>
      </c>
      <c r="Y586" s="54" t="s">
        <v>13</v>
      </c>
      <c r="Z586" s="106">
        <f t="shared" si="76"/>
        <v>11.78326368882413</v>
      </c>
      <c r="AA586" s="106">
        <f t="shared" si="77"/>
        <v>39.175540498833733</v>
      </c>
    </row>
    <row r="587" spans="1:27" x14ac:dyDescent="0.25">
      <c r="A587" s="55" t="s">
        <v>550</v>
      </c>
      <c r="B587" s="49" t="s">
        <v>551</v>
      </c>
      <c r="C587" s="21" t="s">
        <v>61</v>
      </c>
      <c r="D587" s="20" t="s">
        <v>443</v>
      </c>
      <c r="E587" s="20">
        <v>50</v>
      </c>
      <c r="F587" s="21">
        <v>12</v>
      </c>
      <c r="G587" s="21" t="s">
        <v>152</v>
      </c>
      <c r="H587" s="21">
        <v>0.77</v>
      </c>
      <c r="I587" s="48">
        <f>MAX('Min rate concentrations'!$G$3:$G$368)</f>
        <v>7.5</v>
      </c>
      <c r="J587" s="48">
        <f>MAX('Min rate concentrations'!Z:Z)</f>
        <v>3.5</v>
      </c>
      <c r="K587" s="60">
        <f t="shared" si="74"/>
        <v>6.8533356794087803</v>
      </c>
      <c r="L587" s="60">
        <f t="shared" si="78"/>
        <v>3.198223317057431</v>
      </c>
      <c r="M587" s="60">
        <f>IF((((0.326*F587^0.818)-(0.398*F587^0.85)/(1-H587)*H587)*(MAX('Min rate concentrations'!$P$3:$P$368)))/F587&gt;0, (((0.326*F587^0.818)-(0.398*F587^0.85)/(1-H587)*H587)*(MAX('Min rate concentrations'!$P$3:$P$368)))/F587, 0)</f>
        <v>0</v>
      </c>
      <c r="N587" s="60">
        <f>IF((((0.326*F587^0.818)-(0.398*F587^0.85)/(1-H587)*H587)*(MAX('Min rate concentrations'!$Q$3:$Q$368)))/F587&gt; 0, (((0.326*F587^0.818)-(0.398*F587^0.85)/(1-H587)*H587)*(MAX('Min rate concentrations'!$Q$3:$Q$368)))/F587, 0)</f>
        <v>0</v>
      </c>
      <c r="O587" s="60">
        <f>((MAX('Min rate concentrations'!$F$3:$F$368))*0.62*6.01*8*(12.3*F587^0.65)*0.079*0.1/F587)*inputs!$E$73/inputs!$E$74</f>
        <v>18.908478773287541</v>
      </c>
      <c r="P587" s="60">
        <f>((MAX('Min rate concentrations'!Y:Y))*0.62*6.01*8*(12.3*F587^0.65)*0.079*0.1/F587)*inputs!$E$73/inputs!$E$74</f>
        <v>6.3028262577625114</v>
      </c>
      <c r="Q587" s="60">
        <f>(inputs!$C$7*11.2*(12.3*F587^0.65)*0.5/F587)*inputs!$E$73/inputs!$E$74</f>
        <v>3.330639352597959</v>
      </c>
      <c r="R587" s="60">
        <f>(60*379*((F587/1000)^0.8)*3*24*(MAX('Min rate concentrations'!$R$3:$R$368))/F587)*(inputs!$E$73/inputs!$E$75)</f>
        <v>4.4559592309452237E-3</v>
      </c>
      <c r="S587" s="60">
        <f>(IF(inputs!$C$6="aerial",((0.025*0.112*inputs!$C$7/3.3)*(3*60*379*((F587/1000)^0.8))*MAX(inputs!$H$14:$H$16))/F587,((0.0083*0.112*inputs!$C$7/1)*(3*60*379*((F587/1000)^0.8))*MAX(inputs!$H$14:$H$16))/F587))*(inputs!E$75/inputs!$E$73)</f>
        <v>2.4574888925264021E-2</v>
      </c>
      <c r="T587" s="63">
        <f>IF((((inputs!$P$12/(V587/MAX(K587:S587)))^(1/inputs!$O$12))-1)/inputs!$N$12&lt;0, 0, IF((((inputs!$P$12/(V587/MAX(K587:S587)))^(1/inputs!$O$12))-1)/inputs!$N$12&gt;inputs!$H$17, inputs!$H$17, (((inputs!$P$12/(V587/MAX(K587:S587)))^(1/inputs!$O$12))-1)/inputs!$N$12))</f>
        <v>17.984115705891043</v>
      </c>
      <c r="U587" s="63">
        <f>IF((((inputs!$P$12/(X587/MAX(K587:S587)))^(1/inputs!$O$12))-1)/inputs!$N$12&lt;0, 0, IF((((inputs!$P$12/(X587/MAX(K587:S587)))^(1/inputs!$O$12))-1)/inputs!$N$12&gt;inputs!$H$17, inputs!$H$17, (((inputs!$P$12/(X587/MAX(K587:S587)))^(1/inputs!$O$12))-1)/inputs!$N$12))</f>
        <v>0</v>
      </c>
      <c r="V587" s="54">
        <f>inputs!$E$70*(inputs!$F$70/F587)^(0.25)</f>
        <v>2.7042020921926482</v>
      </c>
      <c r="W587" s="54">
        <f>inputs!$E$76*(inputs!$F$76/F587)^(0.25)</f>
        <v>0.81337298514425049</v>
      </c>
      <c r="X587" s="54">
        <f>inputs!$E$72*(inputs!$F$72/F587)^(0.25)</f>
        <v>119.30303347908743</v>
      </c>
      <c r="Y587" s="54" t="s">
        <v>13</v>
      </c>
      <c r="Z587" s="106">
        <f t="shared" si="76"/>
        <v>6.9922580223861814</v>
      </c>
      <c r="AA587" s="106">
        <f t="shared" si="77"/>
        <v>23.2469962964582</v>
      </c>
    </row>
    <row r="588" spans="1:27" x14ac:dyDescent="0.25">
      <c r="A588" s="55" t="s">
        <v>550</v>
      </c>
      <c r="B588" s="49" t="s">
        <v>551</v>
      </c>
      <c r="C588" s="21" t="s">
        <v>61</v>
      </c>
      <c r="D588" s="20" t="s">
        <v>443</v>
      </c>
      <c r="E588" s="20">
        <v>50</v>
      </c>
      <c r="F588" s="21">
        <v>12</v>
      </c>
      <c r="G588" s="21" t="s">
        <v>169</v>
      </c>
      <c r="H588" s="21">
        <v>0.79</v>
      </c>
      <c r="I588" s="48">
        <f>MAX('Min rate concentrations'!$D$3:$D$368)</f>
        <v>120</v>
      </c>
      <c r="J588" s="48">
        <f>MAX('Min rate concentrations'!W:W)</f>
        <v>42.5</v>
      </c>
      <c r="K588" s="60">
        <f t="shared" si="74"/>
        <v>120.09654904868724</v>
      </c>
      <c r="L588" s="60">
        <f t="shared" si="78"/>
        <v>42.534194454743393</v>
      </c>
      <c r="M588" s="60">
        <f>IF((((0.326*F588^0.818)-(0.398*F588^0.85)/(1-H588)*H588)*(MAX('Min rate concentrations'!$P$3:$P$368)))/F588&gt;0, (((0.326*F588^0.818)-(0.398*F588^0.85)/(1-H588)*H588)*(MAX('Min rate concentrations'!$P$3:$P$368)))/F588, 0)</f>
        <v>0</v>
      </c>
      <c r="N588" s="60">
        <f>IF((((0.326*F588^0.818)-(0.398*F588^0.85)/(1-H588)*H588)*(MAX('Min rate concentrations'!$Q$3:$Q$368)))/F588&gt; 0, (((0.326*F588^0.818)-(0.398*F588^0.85)/(1-H588)*H588)*(MAX('Min rate concentrations'!$Q$3:$Q$368)))/F588, 0)</f>
        <v>0</v>
      </c>
      <c r="O588" s="60">
        <f>((MAX('Min rate concentrations'!$F$3:$F$368))*0.62*6.01*8*(12.3*F588^0.65)*0.079*0.1/F588)*inputs!$E$73/inputs!$E$74</f>
        <v>18.908478773287541</v>
      </c>
      <c r="P588" s="60">
        <f>((MAX('Min rate concentrations'!Y:Y))*0.62*6.01*8*(12.3*F588^0.65)*0.079*0.1/F588)*inputs!$E$73/inputs!$E$74</f>
        <v>6.3028262577625114</v>
      </c>
      <c r="Q588" s="60">
        <f>(inputs!$C$7*11.2*(12.3*F588^0.65)*0.5/F588)*inputs!$E$73/inputs!$E$74</f>
        <v>3.330639352597959</v>
      </c>
      <c r="R588" s="60">
        <f>(60*379*((F588/1000)^0.8)*3*24*(MAX('Min rate concentrations'!$R$3:$R$368))/F588)*(inputs!$E$73/inputs!$E$75)</f>
        <v>4.4559592309452237E-3</v>
      </c>
      <c r="S588" s="60">
        <f>(IF(inputs!$C$6="aerial",((0.025*0.112*inputs!$C$7/3.3)*(3*60*379*((F588/1000)^0.8))*MAX(inputs!$H$14:$H$16))/F588,((0.0083*0.112*inputs!$C$7/1)*(3*60*379*((F588/1000)^0.8))*MAX(inputs!$H$14:$H$16))/F588))*(inputs!E$75/inputs!$E$73)</f>
        <v>2.4574888925264021E-2</v>
      </c>
      <c r="T588" s="63">
        <f>IF((((inputs!$P$12/(V588/MAX(K588:S588)))^(1/inputs!$O$12))-1)/inputs!$N$12&lt;0, 0, IF((((inputs!$P$12/(V588/MAX(K588:S588)))^(1/inputs!$O$12))-1)/inputs!$N$12&gt;inputs!$H$17, inputs!$H$17, (((inputs!$P$12/(V588/MAX(K588:S588)))^(1/inputs!$O$12))-1)/inputs!$N$12))</f>
        <v>70.085421042455124</v>
      </c>
      <c r="U588" s="63">
        <f>IF((((inputs!$P$12/(X588/MAX(K588:S588)))^(1/inputs!$O$12))-1)/inputs!$N$12&lt;0, 0, IF((((inputs!$P$12/(X588/MAX(K588:S588)))^(1/inputs!$O$12))-1)/inputs!$N$12&gt;inputs!$H$17, inputs!$H$17, (((inputs!$P$12/(X588/MAX(K588:S588)))^(1/inputs!$O$12))-1)/inputs!$N$12))</f>
        <v>0</v>
      </c>
      <c r="V588" s="54">
        <f>inputs!$E$70*(inputs!$F$70/F588)^(0.25)</f>
        <v>2.7042020921926482</v>
      </c>
      <c r="W588" s="54">
        <f>inputs!$E$76*(inputs!$F$76/F588)^(0.25)</f>
        <v>0.81337298514425049</v>
      </c>
      <c r="X588" s="54">
        <f>inputs!$E$72*(inputs!$F$72/F588)^(0.25)</f>
        <v>119.30303347908743</v>
      </c>
      <c r="Y588" s="54" t="s">
        <v>13</v>
      </c>
      <c r="Z588" s="106">
        <f t="shared" si="76"/>
        <v>44.411085027787017</v>
      </c>
      <c r="AA588" s="106">
        <f t="shared" si="77"/>
        <v>147.65249306551323</v>
      </c>
    </row>
    <row r="589" spans="1:27" x14ac:dyDescent="0.25">
      <c r="A589" s="55" t="s">
        <v>550</v>
      </c>
      <c r="B589" s="49" t="s">
        <v>551</v>
      </c>
      <c r="C589" s="21" t="s">
        <v>61</v>
      </c>
      <c r="D589" s="20" t="s">
        <v>443</v>
      </c>
      <c r="E589" s="20">
        <v>50</v>
      </c>
      <c r="F589" s="21">
        <v>12</v>
      </c>
      <c r="G589" s="21" t="s">
        <v>456</v>
      </c>
      <c r="H589" s="21">
        <v>0.68</v>
      </c>
      <c r="I589" s="48">
        <f>MAX('Min rate concentrations'!$J$3:$J$368)</f>
        <v>114.4108103430513</v>
      </c>
      <c r="J589" s="48">
        <f>MAX('Min rate concentrations'!AB:AB)</f>
        <v>40.520495329830666</v>
      </c>
      <c r="K589" s="60">
        <f t="shared" si="74"/>
        <v>75.142503494101703</v>
      </c>
      <c r="L589" s="60">
        <f t="shared" si="78"/>
        <v>26.612969987494353</v>
      </c>
      <c r="M589" s="60">
        <f>IF((((0.326*F589^0.818)-(0.398*F589^0.85)/(1-H589)*H589)*(MAX('Min rate concentrations'!$P$3:$P$368)))/F589&gt;0, (((0.326*F589^0.818)-(0.398*F589^0.85)/(1-H589)*H589)*(MAX('Min rate concentrations'!$P$3:$P$368)))/F589, 0)</f>
        <v>0</v>
      </c>
      <c r="N589" s="60">
        <f>IF((((0.326*F589^0.818)-(0.398*F589^0.85)/(1-H589)*H589)*(MAX('Min rate concentrations'!$Q$3:$Q$368)))/F589&gt; 0, (((0.326*F589^0.818)-(0.398*F589^0.85)/(1-H589)*H589)*(MAX('Min rate concentrations'!$Q$3:$Q$368)))/F589, 0)</f>
        <v>0</v>
      </c>
      <c r="O589" s="60">
        <f>((MAX('Min rate concentrations'!$F$3:$F$368))*0.62*6.01*8*(12.3*F589^0.65)*0.079*0.1/F589)*inputs!$E$73/inputs!$E$74</f>
        <v>18.908478773287541</v>
      </c>
      <c r="P589" s="60">
        <f>((MAX('Min rate concentrations'!Y:Y))*0.62*6.01*8*(12.3*F589^0.65)*0.079*0.1/F589)*inputs!$E$73/inputs!$E$74</f>
        <v>6.3028262577625114</v>
      </c>
      <c r="Q589" s="60">
        <f>(inputs!$C$7*11.2*(12.3*F589^0.65)*0.5/F589)*inputs!$E$73/inputs!$E$74</f>
        <v>3.330639352597959</v>
      </c>
      <c r="R589" s="60">
        <f>(60*379*((F589/1000)^0.8)*3*24*(MAX('Min rate concentrations'!$R$3:$R$368))/F589)*(inputs!$E$73/inputs!$E$75)</f>
        <v>4.4559592309452237E-3</v>
      </c>
      <c r="S589" s="60">
        <f>(IF(inputs!$C$6="aerial",((0.025*0.112*inputs!$C$7/3.3)*(3*60*379*((F589/1000)^0.8))*MAX(inputs!$H$14:$H$16))/F589,((0.0083*0.112*inputs!$C$7/1)*(3*60*379*((F589/1000)^0.8))*MAX(inputs!$H$14:$H$16))/F589))*(inputs!E$75/inputs!$E$73)</f>
        <v>2.4574888925264021E-2</v>
      </c>
      <c r="T589" s="63">
        <f>IF((((inputs!$P$12/(V589/MAX(K589:S589)))^(1/inputs!$O$12))-1)/inputs!$N$12&lt;0, 0, IF((((inputs!$P$12/(V589/MAX(K589:S589)))^(1/inputs!$O$12))-1)/inputs!$N$12&gt;inputs!$H$17, inputs!$H$17, (((inputs!$P$12/(V589/MAX(K589:S589)))^(1/inputs!$O$12))-1)/inputs!$N$12))</f>
        <v>52.968987724810049</v>
      </c>
      <c r="U589" s="63">
        <f>IF((((inputs!$P$12/(X589/MAX(K589:S589)))^(1/inputs!$O$12))-1)/inputs!$N$12&lt;0, 0, IF((((inputs!$P$12/(X589/MAX(K589:S589)))^(1/inputs!$O$12))-1)/inputs!$N$12&gt;inputs!$H$17, inputs!$H$17, (((inputs!$P$12/(X589/MAX(K589:S589)))^(1/inputs!$O$12))-1)/inputs!$N$12))</f>
        <v>0</v>
      </c>
      <c r="V589" s="54">
        <f>inputs!$E$70*(inputs!$F$70/F589)^(0.25)</f>
        <v>2.7042020921926482</v>
      </c>
      <c r="W589" s="54">
        <f>inputs!$E$76*(inputs!$F$76/F589)^(0.25)</f>
        <v>0.81337298514425049</v>
      </c>
      <c r="X589" s="54">
        <f>inputs!$E$72*(inputs!$F$72/F589)^(0.25)</f>
        <v>119.30303347908743</v>
      </c>
      <c r="Y589" s="54" t="s">
        <v>13</v>
      </c>
      <c r="Z589" s="106">
        <f t="shared" si="76"/>
        <v>27.787310612267852</v>
      </c>
      <c r="AA589" s="106">
        <f t="shared" si="77"/>
        <v>92.383820051234295</v>
      </c>
    </row>
    <row r="590" spans="1:27" x14ac:dyDescent="0.25">
      <c r="A590" s="55" t="s">
        <v>550</v>
      </c>
      <c r="B590" s="49" t="s">
        <v>551</v>
      </c>
      <c r="C590" s="21" t="s">
        <v>61</v>
      </c>
      <c r="D590" s="20" t="s">
        <v>443</v>
      </c>
      <c r="E590" s="20">
        <v>50</v>
      </c>
      <c r="F590" s="21">
        <v>12</v>
      </c>
      <c r="G590" s="21" t="s">
        <v>145</v>
      </c>
      <c r="H590" s="21">
        <v>0.66</v>
      </c>
      <c r="I590" s="48">
        <f>MAX('Min rate concentrations'!$M$3:$M$368)</f>
        <v>2.8488184789681945</v>
      </c>
      <c r="J590" s="48">
        <f>MAX('Min rate concentrations'!AE:AE)</f>
        <v>1.9699276716269429</v>
      </c>
      <c r="K590" s="60">
        <f t="shared" si="74"/>
        <v>1.7609800568613763</v>
      </c>
      <c r="L590" s="60">
        <f t="shared" si="78"/>
        <v>1.2176989754892495</v>
      </c>
      <c r="M590" s="60">
        <f>IF((((0.326*F590^0.818)-(0.398*F590^0.85)/(1-H590)*H590)*(MAX('Min rate concentrations'!$P$3:$P$368)))/F590&gt;0, (((0.326*F590^0.818)-(0.398*F590^0.85)/(1-H590)*H590)*(MAX('Min rate concentrations'!$P$3:$P$368)))/F590, 0)</f>
        <v>0</v>
      </c>
      <c r="N590" s="60">
        <f>IF((((0.326*F590^0.818)-(0.398*F590^0.85)/(1-H590)*H590)*(MAX('Min rate concentrations'!$Q$3:$Q$368)))/F590&gt; 0, (((0.326*F590^0.818)-(0.398*F590^0.85)/(1-H590)*H590)*(MAX('Min rate concentrations'!$Q$3:$Q$368)))/F590, 0)</f>
        <v>0</v>
      </c>
      <c r="O590" s="60">
        <f>((MAX('Min rate concentrations'!$F$3:$F$368))*0.62*6.01*8*(12.3*F590^0.65)*0.079*0.1/F590)*inputs!$E$73/inputs!$E$74</f>
        <v>18.908478773287541</v>
      </c>
      <c r="P590" s="60">
        <f>((MAX('Min rate concentrations'!Y:Y))*0.62*6.01*8*(12.3*F590^0.65)*0.079*0.1/F590)*inputs!$E$73/inputs!$E$74</f>
        <v>6.3028262577625114</v>
      </c>
      <c r="Q590" s="60">
        <f>(inputs!$C$7*11.2*(12.3*F590^0.65)*0.5/F590)*inputs!$E$73/inputs!$E$74</f>
        <v>3.330639352597959</v>
      </c>
      <c r="R590" s="60">
        <f>(60*379*((F590/1000)^0.8)*3*24*(MAX('Min rate concentrations'!$R$3:$R$368))/F590)*(inputs!$E$73/inputs!$E$75)</f>
        <v>4.4559592309452237E-3</v>
      </c>
      <c r="S590" s="60">
        <f>(IF(inputs!$C$6="aerial",((0.025*0.112*inputs!$C$7/3.3)*(3*60*379*((F590/1000)^0.8))*MAX(inputs!$H$14:$H$16))/F590,((0.0083*0.112*inputs!$C$7/1)*(3*60*379*((F590/1000)^0.8))*MAX(inputs!$H$14:$H$16))/F590))*(inputs!E$75/inputs!$E$73)</f>
        <v>2.4574888925264021E-2</v>
      </c>
      <c r="T590" s="63">
        <f>IF((((inputs!$P$12/(V590/MAX(K590:S590)))^(1/inputs!$O$12))-1)/inputs!$N$12&lt;0, 0, IF((((inputs!$P$12/(V590/MAX(K590:S590)))^(1/inputs!$O$12))-1)/inputs!$N$12&gt;inputs!$H$17, inputs!$H$17, (((inputs!$P$12/(V590/MAX(K590:S590)))^(1/inputs!$O$12))-1)/inputs!$N$12))</f>
        <v>17.984115705891043</v>
      </c>
      <c r="U590" s="63">
        <f>IF((((inputs!$P$12/(X590/MAX(K590:S590)))^(1/inputs!$O$12))-1)/inputs!$N$12&lt;0, 0, IF((((inputs!$P$12/(X590/MAX(K590:S590)))^(1/inputs!$O$12))-1)/inputs!$N$12&gt;inputs!$H$17, inputs!$H$17, (((inputs!$P$12/(X590/MAX(K590:S590)))^(1/inputs!$O$12))-1)/inputs!$N$12))</f>
        <v>0</v>
      </c>
      <c r="V590" s="54">
        <f>inputs!$E$70*(inputs!$F$70/F590)^(0.25)</f>
        <v>2.7042020921926482</v>
      </c>
      <c r="W590" s="54">
        <f>inputs!$E$76*(inputs!$F$76/F590)^(0.25)</f>
        <v>0.81337298514425049</v>
      </c>
      <c r="X590" s="54">
        <f>inputs!$E$72*(inputs!$F$72/F590)^(0.25)</f>
        <v>119.30303347908743</v>
      </c>
      <c r="Y590" s="54" t="s">
        <v>13</v>
      </c>
      <c r="Z590" s="106">
        <f t="shared" si="76"/>
        <v>6.9922580223861814</v>
      </c>
      <c r="AA590" s="106">
        <f t="shared" si="77"/>
        <v>23.2469962964582</v>
      </c>
    </row>
    <row r="591" spans="1:27" x14ac:dyDescent="0.25">
      <c r="A591" s="55" t="s">
        <v>550</v>
      </c>
      <c r="B591" s="49" t="s">
        <v>551</v>
      </c>
      <c r="C591" s="21" t="s">
        <v>61</v>
      </c>
      <c r="D591" s="20" t="s">
        <v>443</v>
      </c>
      <c r="E591" s="20">
        <v>50</v>
      </c>
      <c r="F591" s="21">
        <v>12</v>
      </c>
      <c r="G591" s="21" t="s">
        <v>154</v>
      </c>
      <c r="H591" s="21">
        <v>9.2999999999999999E-2</v>
      </c>
      <c r="I591" s="48">
        <f>MAX('Min rate concentrations'!$G$3:$G$368)</f>
        <v>7.5</v>
      </c>
      <c r="J591" s="48">
        <f>MAX('Min rate concentrations'!Z:Z)</f>
        <v>3.5</v>
      </c>
      <c r="K591" s="60">
        <f t="shared" si="74"/>
        <v>1.7378910763660633</v>
      </c>
      <c r="L591" s="60"/>
      <c r="M591" s="60">
        <f>IF((((0.326*F591^0.818)-(0.398*F591^0.85)/(1-H591)*H591)*(MAX('Min rate concentrations'!$P$3:$P$368)))/F591&gt;0, (((0.326*F591^0.818)-(0.398*F591^0.85)/(1-H591)*H591)*(MAX('Min rate concentrations'!$P$3:$P$368)))/F591, 0)</f>
        <v>2.6023247729384608E-2</v>
      </c>
      <c r="N591" s="60">
        <f>IF((((0.326*F591^0.818)-(0.398*F591^0.85)/(1-H591)*H591)*(MAX('Min rate concentrations'!$Q$3:$Q$368)))/F591&gt; 0, (((0.326*F591^0.818)-(0.398*F591^0.85)/(1-H591)*H591)*(MAX('Min rate concentrations'!$Q$3:$Q$368)))/F591, 0)</f>
        <v>9.9097925626449576E-2</v>
      </c>
      <c r="O591" s="60">
        <f>((MAX('Min rate concentrations'!$F$3:$F$368))*0.62*6.01*8*(12.3*F591^0.65)*0.079*0.1/F591)*inputs!$E$73/inputs!$E$74</f>
        <v>18.908478773287541</v>
      </c>
      <c r="P591" s="60"/>
      <c r="Q591" s="60">
        <f>(inputs!$C$7*11.2*(12.3*F591^0.65)*0.5/F591)*inputs!$E$73/inputs!$E$74</f>
        <v>3.330639352597959</v>
      </c>
      <c r="R591" s="60">
        <f>(60*379*((F591/1000)^0.8)*3*24*(MAX('Min rate concentrations'!$R$3:$R$368))/F591)*(inputs!$E$73/inputs!$E$75)</f>
        <v>4.4559592309452237E-3</v>
      </c>
      <c r="S591" s="60">
        <f>(IF(inputs!$C$6="aerial",((0.025*0.112*inputs!$C$7/3.3)*(3*60*379*((F591/1000)^0.8))*MAX(inputs!$H$14:$H$16))/F591,((0.0083*0.112*inputs!$C$7/1)*(3*60*379*((F591/1000)^0.8))*MAX(inputs!$H$14:$H$16))/F591))*(inputs!E$75/inputs!$E$73)</f>
        <v>2.4574888925264021E-2</v>
      </c>
      <c r="T591" s="63">
        <f>IF((((inputs!$P$12/(V591/MAX(K591:S591)))^(1/inputs!$O$12))-1)/inputs!$N$12&lt;0, 0, IF((((inputs!$P$12/(V591/MAX(K591:S591)))^(1/inputs!$O$12))-1)/inputs!$N$12&gt;inputs!$H$17, inputs!$H$17, (((inputs!$P$12/(V591/MAX(K591:S591)))^(1/inputs!$O$12))-1)/inputs!$N$12))</f>
        <v>17.984115705891043</v>
      </c>
      <c r="U591" s="63">
        <f>IF((((inputs!$P$12/(X591/MAX(K591:S591)))^(1/inputs!$O$12))-1)/inputs!$N$12&lt;0, 0, IF((((inputs!$P$12/(X591/MAX(K591:S591)))^(1/inputs!$O$12))-1)/inputs!$N$12&gt;inputs!$H$17, inputs!$H$17, (((inputs!$P$12/(X591/MAX(K591:S591)))^(1/inputs!$O$12))-1)/inputs!$N$12))</f>
        <v>0</v>
      </c>
      <c r="V591" s="54">
        <f>inputs!$E$70*(inputs!$F$70/F591)^(0.25)</f>
        <v>2.7042020921926482</v>
      </c>
      <c r="W591" s="54">
        <f>inputs!$E$76*(inputs!$F$76/F591)^(0.25)</f>
        <v>0.81337298514425049</v>
      </c>
      <c r="X591" s="54">
        <f>inputs!$E$72*(inputs!$F$72/F591)^(0.25)</f>
        <v>119.30303347908743</v>
      </c>
      <c r="Y591" s="54" t="s">
        <v>13</v>
      </c>
      <c r="Z591" s="106">
        <f t="shared" si="76"/>
        <v>6.9922580223861814</v>
      </c>
      <c r="AA591" s="106">
        <f t="shared" si="77"/>
        <v>23.2469962964582</v>
      </c>
    </row>
    <row r="592" spans="1:27" x14ac:dyDescent="0.25">
      <c r="A592" s="55" t="s">
        <v>490</v>
      </c>
      <c r="B592" s="49" t="s">
        <v>491</v>
      </c>
      <c r="C592" s="21" t="s">
        <v>61</v>
      </c>
      <c r="D592" s="20" t="s">
        <v>443</v>
      </c>
      <c r="E592" s="20">
        <v>42</v>
      </c>
      <c r="F592" s="21">
        <v>90</v>
      </c>
      <c r="G592" s="21" t="s">
        <v>152</v>
      </c>
      <c r="H592" s="21">
        <v>0.77</v>
      </c>
      <c r="I592" s="48">
        <f>MAX('Min rate concentrations'!$G$3:$G$368)</f>
        <v>7.5</v>
      </c>
      <c r="J592" s="48">
        <f>MAX('Min rate concentrations'!Z:Z)</f>
        <v>3.5</v>
      </c>
      <c r="K592" s="60">
        <f t="shared" si="74"/>
        <v>2.8469201968405673</v>
      </c>
      <c r="L592" s="60">
        <f>(((0.621*F592^0.564)/(1-H592)))*J592/F592</f>
        <v>1.3285627585255981</v>
      </c>
      <c r="M592" s="60">
        <f>IF((((0.326*F592^0.818)-(0.398*F592^0.85)/(1-H592)*H592)*(MAX('Min rate concentrations'!$P$3:$P$368)))/F592&gt;0, (((0.326*F592^0.818)-(0.398*F592^0.85)/(1-H592)*H592)*(MAX('Min rate concentrations'!$P$3:$P$368)))/F592, 0)</f>
        <v>0</v>
      </c>
      <c r="N592" s="60">
        <f>IF((((0.326*F592^0.818)-(0.398*F592^0.85)/(1-H592)*H592)*(MAX('Min rate concentrations'!$Q$3:$Q$368)))/F592&gt; 0, (((0.326*F592^0.818)-(0.398*F592^0.85)/(1-H592)*H592)*(MAX('Min rate concentrations'!$Q$3:$Q$368)))/F592, 0)</f>
        <v>0</v>
      </c>
      <c r="O592" s="60">
        <f>((MAX('Min rate concentrations'!$F$3:$F$368))*0.62*6.01*8*(12.3*F592^0.65)*0.079*0.1/F592)*inputs!$E$73/inputs!$E$74</f>
        <v>9.3408231179945691</v>
      </c>
      <c r="P592" s="60">
        <f>((MAX('Min rate concentrations'!Y:Y))*0.62*6.01*8*(12.3*F592^0.65)*0.079*0.1/F592)*inputs!$E$73/inputs!$E$74</f>
        <v>3.1136077059981897</v>
      </c>
      <c r="Q592" s="60">
        <f>(inputs!$C$7*11.2*(12.3*F592^0.65)*0.5/F592)*inputs!$E$73/inputs!$E$74</f>
        <v>1.6453419355131105</v>
      </c>
      <c r="R592" s="60">
        <f>(60*379*((F592/1000)^0.8)*3*24*(MAX('Min rate concentrations'!$R$3:$R$368))/F592)*(inputs!$E$73/inputs!$E$75)</f>
        <v>2.9780292291049864E-3</v>
      </c>
      <c r="S592" s="60">
        <f>(IF(inputs!$C$6="aerial",((0.025*0.112*inputs!$C$7/3.3)*(3*60*379*((F592/1000)^0.8))*MAX(inputs!$H$14:$H$16))/F592,((0.0083*0.112*inputs!$C$7/1)*(3*60*379*((F592/1000)^0.8))*MAX(inputs!$H$14:$H$16))/F592))*(inputs!E$75/inputs!$E$73)</f>
        <v>1.6424014163594652E-2</v>
      </c>
      <c r="T592" s="63">
        <f>IF((((inputs!$P$12/(V592/MAX(K592:S592)))^(1/inputs!$O$12))-1)/inputs!$N$12&lt;0, 0, IF((((inputs!$P$12/(V592/MAX(K592:S592)))^(1/inputs!$O$12))-1)/inputs!$N$12&gt;inputs!$H$17, inputs!$H$17, (((inputs!$P$12/(V592/MAX(K592:S592)))^(1/inputs!$O$12))-1)/inputs!$N$12))</f>
        <v>14.327298300803653</v>
      </c>
      <c r="U592" s="63">
        <f>IF((((inputs!$P$12/(X592/MAX(K592:S592)))^(1/inputs!$O$12))-1)/inputs!$N$12&lt;0, 0, IF((((inputs!$P$12/(X592/MAX(K592:S592)))^(1/inputs!$O$12))-1)/inputs!$N$12&gt;inputs!$H$17, inputs!$H$17, (((inputs!$P$12/(X592/MAX(K592:S592)))^(1/inputs!$O$12))-1)/inputs!$N$12))</f>
        <v>0</v>
      </c>
      <c r="V592" s="54">
        <f>inputs!$E$70*(inputs!$F$70/F592)^(0.25)</f>
        <v>1.6340819341663133</v>
      </c>
      <c r="W592" s="54">
        <f>inputs!$E$76*(inputs!$F$76/F592)^(0.25)</f>
        <v>0.49150102523789407</v>
      </c>
      <c r="X592" s="54">
        <f>inputs!$E$72*(inputs!$F$72/F592)^(0.25)</f>
        <v>72.091850036749122</v>
      </c>
      <c r="Y592" s="54" t="s">
        <v>13</v>
      </c>
      <c r="Z592" s="106">
        <f t="shared" si="76"/>
        <v>5.7162513841511453</v>
      </c>
      <c r="AA592" s="106">
        <f t="shared" si="77"/>
        <v>19.004686945410675</v>
      </c>
    </row>
    <row r="593" spans="1:27" ht="26.4" x14ac:dyDescent="0.25">
      <c r="A593" s="55" t="s">
        <v>490</v>
      </c>
      <c r="B593" s="49" t="s">
        <v>491</v>
      </c>
      <c r="C593" s="21" t="s">
        <v>61</v>
      </c>
      <c r="D593" s="20" t="s">
        <v>443</v>
      </c>
      <c r="E593" s="20">
        <v>42</v>
      </c>
      <c r="F593" s="21">
        <v>90</v>
      </c>
      <c r="G593" s="21" t="s">
        <v>492</v>
      </c>
      <c r="H593" s="21">
        <v>0.85</v>
      </c>
      <c r="I593" s="48">
        <f>MAX('Min rate concentrations'!$F$3:$F$368)</f>
        <v>67.5</v>
      </c>
      <c r="J593" s="48">
        <f>MAX('Min rate concentrations'!Y:Y)</f>
        <v>22.5</v>
      </c>
      <c r="K593" s="60">
        <f t="shared" si="74"/>
        <v>39.287498716399824</v>
      </c>
      <c r="L593" s="60"/>
      <c r="M593" s="60">
        <f>IF((((0.326*F593^0.818)-(0.398*F593^0.85)/(1-H593)*H593)*(MAX('Min rate concentrations'!$P$3:$P$368)))/F593&gt;0, (((0.326*F593^0.818)-(0.398*F593^0.85)/(1-H593)*H593)*(MAX('Min rate concentrations'!$P$3:$P$368)))/F593, 0)</f>
        <v>0</v>
      </c>
      <c r="N593" s="60">
        <f>IF((((0.326*F593^0.818)-(0.398*F593^0.85)/(1-H593)*H593)*(MAX('Min rate concentrations'!$Q$3:$Q$368)))/F593&gt; 0, (((0.326*F593^0.818)-(0.398*F593^0.85)/(1-H593)*H593)*(MAX('Min rate concentrations'!$Q$3:$Q$368)))/F593, 0)</f>
        <v>0</v>
      </c>
      <c r="O593" s="60">
        <f>((MAX('Min rate concentrations'!$F$3:$F$368))*0.62*6.01*8*(12.3*F593^0.65)*0.079*0.1/F593)*inputs!$E$73/inputs!$E$74</f>
        <v>9.3408231179945691</v>
      </c>
      <c r="P593" s="60"/>
      <c r="Q593" s="60">
        <f>(inputs!$C$7*11.2*(12.3*F593^0.65)*0.5/F593)*inputs!$E$73/inputs!$E$74</f>
        <v>1.6453419355131105</v>
      </c>
      <c r="R593" s="60">
        <f>(60*379*((F593/1000)^0.8)*3*24*(MAX('Min rate concentrations'!$R$3:$R$368))/F593)*(inputs!$E$73/inputs!$E$75)</f>
        <v>2.9780292291049864E-3</v>
      </c>
      <c r="S593" s="60">
        <f>(IF(inputs!$C$6="aerial",((0.025*0.112*inputs!$C$7/3.3)*(3*60*379*((F593/1000)^0.8))*MAX(inputs!$H$14:$H$16))/F593,((0.0083*0.112*inputs!$C$7/1)*(3*60*379*((F593/1000)^0.8))*MAX(inputs!$H$14:$H$16))/F593))*(inputs!E$75/inputs!$E$73)</f>
        <v>1.6424014163594652E-2</v>
      </c>
      <c r="T593" s="63">
        <f>IF((((inputs!$P$12/(V593/MAX(K593:S593)))^(1/inputs!$O$12))-1)/inputs!$N$12&lt;0, 0, IF((((inputs!$P$12/(V593/MAX(K593:S593)))^(1/inputs!$O$12))-1)/inputs!$N$12&gt;inputs!$H$17, inputs!$H$17, (((inputs!$P$12/(V593/MAX(K593:S593)))^(1/inputs!$O$12))-1)/inputs!$N$12))</f>
        <v>48.31140722148006</v>
      </c>
      <c r="U593" s="63">
        <f>IF((((inputs!$P$12/(X593/MAX(K593:S593)))^(1/inputs!$O$12))-1)/inputs!$N$12&lt;0, 0, IF((((inputs!$P$12/(X593/MAX(K593:S593)))^(1/inputs!$O$12))-1)/inputs!$N$12&gt;inputs!$H$17, inputs!$H$17, (((inputs!$P$12/(X593/MAX(K593:S593)))^(1/inputs!$O$12))-1)/inputs!$N$12))</f>
        <v>0</v>
      </c>
      <c r="V593" s="54">
        <f>inputs!$E$70*(inputs!$F$70/F593)^(0.25)</f>
        <v>1.6340819341663133</v>
      </c>
      <c r="W593" s="54">
        <f>inputs!$E$76*(inputs!$F$76/F593)^(0.25)</f>
        <v>0.49150102523789407</v>
      </c>
      <c r="X593" s="54">
        <f>inputs!$E$72*(inputs!$F$72/F593)^(0.25)</f>
        <v>72.091850036749122</v>
      </c>
      <c r="Y593" s="54" t="s">
        <v>13</v>
      </c>
      <c r="Z593" s="106">
        <f t="shared" si="76"/>
        <v>24.042551291311948</v>
      </c>
      <c r="AA593" s="106">
        <f t="shared" si="77"/>
        <v>79.933706541881719</v>
      </c>
    </row>
    <row r="594" spans="1:27" x14ac:dyDescent="0.25">
      <c r="A594" s="55" t="s">
        <v>490</v>
      </c>
      <c r="B594" s="49" t="s">
        <v>491</v>
      </c>
      <c r="C594" s="21" t="s">
        <v>61</v>
      </c>
      <c r="D594" s="20" t="s">
        <v>443</v>
      </c>
      <c r="E594" s="20">
        <v>42</v>
      </c>
      <c r="F594" s="21">
        <v>90</v>
      </c>
      <c r="G594" s="21" t="s">
        <v>154</v>
      </c>
      <c r="H594" s="21">
        <v>9.2999999999999999E-2</v>
      </c>
      <c r="I594" s="48">
        <f>MAX('Min rate concentrations'!$G$3:$G$368)</f>
        <v>7.5</v>
      </c>
      <c r="J594" s="48">
        <f>MAX('Min rate concentrations'!Z:Z)</f>
        <v>3.5</v>
      </c>
      <c r="K594" s="60">
        <f t="shared" si="74"/>
        <v>0.72193125167952643</v>
      </c>
      <c r="L594" s="60"/>
      <c r="M594" s="60">
        <f>IF((((0.326*F594^0.818)-(0.398*F594^0.85)/(1-H594)*H594)*(MAX('Min rate concentrations'!$P$3:$P$368)))/F594&gt;0, (((0.326*F594^0.818)-(0.398*F594^0.85)/(1-H594)*H594)*(MAX('Min rate concentrations'!$P$3:$P$368)))/F594, 0)</f>
        <v>1.7846017168197861E-2</v>
      </c>
      <c r="N594" s="60">
        <f>IF((((0.326*F594^0.818)-(0.398*F594^0.85)/(1-H594)*H594)*(MAX('Min rate concentrations'!$Q$3:$Q$368)))/F594&gt; 0, (((0.326*F594^0.818)-(0.398*F594^0.85)/(1-H594)*H594)*(MAX('Min rate concentrations'!$Q$3:$Q$368)))/F594, 0)</f>
        <v>6.7958592273072729E-2</v>
      </c>
      <c r="O594" s="60">
        <f>((MAX('Min rate concentrations'!$F$3:$F$368))*0.62*6.01*8*(12.3*F594^0.65)*0.079*0.1/F594)*inputs!$E$73/inputs!$E$74</f>
        <v>9.3408231179945691</v>
      </c>
      <c r="P594" s="60"/>
      <c r="Q594" s="60">
        <f>(inputs!$C$7*11.2*(12.3*F594^0.65)*0.5/F594)*inputs!$E$73/inputs!$E$74</f>
        <v>1.6453419355131105</v>
      </c>
      <c r="R594" s="60">
        <f>(60*379*((F594/1000)^0.8)*3*24*(MAX('Min rate concentrations'!$R$3:$R$368))/F594)*(inputs!$E$73/inputs!$E$75)</f>
        <v>2.9780292291049864E-3</v>
      </c>
      <c r="S594" s="60">
        <f>(IF(inputs!$C$6="aerial",((0.025*0.112*inputs!$C$7/3.3)*(3*60*379*((F594/1000)^0.8))*MAX(inputs!$H$14:$H$16))/F594,((0.0083*0.112*inputs!$C$7/1)*(3*60*379*((F594/1000)^0.8))*MAX(inputs!$H$14:$H$16))/F594))*(inputs!E$75/inputs!$E$73)</f>
        <v>1.6424014163594652E-2</v>
      </c>
      <c r="T594" s="63">
        <f>IF((((inputs!$P$12/(V594/MAX(K594:S594)))^(1/inputs!$O$12))-1)/inputs!$N$12&lt;0, 0, IF((((inputs!$P$12/(V594/MAX(K594:S594)))^(1/inputs!$O$12))-1)/inputs!$N$12&gt;inputs!$H$17, inputs!$H$17, (((inputs!$P$12/(V594/MAX(K594:S594)))^(1/inputs!$O$12))-1)/inputs!$N$12))</f>
        <v>14.327298300803653</v>
      </c>
      <c r="U594" s="63">
        <f>IF((((inputs!$P$12/(X594/MAX(K594:S594)))^(1/inputs!$O$12))-1)/inputs!$N$12&lt;0, 0, IF((((inputs!$P$12/(X594/MAX(K594:S594)))^(1/inputs!$O$12))-1)/inputs!$N$12&gt;inputs!$H$17, inputs!$H$17, (((inputs!$P$12/(X594/MAX(K594:S594)))^(1/inputs!$O$12))-1)/inputs!$N$12))</f>
        <v>0</v>
      </c>
      <c r="V594" s="54">
        <f>inputs!$E$70*(inputs!$F$70/F594)^(0.25)</f>
        <v>1.6340819341663133</v>
      </c>
      <c r="W594" s="54">
        <f>inputs!$E$76*(inputs!$F$76/F594)^(0.25)</f>
        <v>0.49150102523789407</v>
      </c>
      <c r="X594" s="54">
        <f>inputs!$E$72*(inputs!$F$72/F594)^(0.25)</f>
        <v>72.091850036749122</v>
      </c>
      <c r="Y594" s="54" t="s">
        <v>13</v>
      </c>
      <c r="Z594" s="106">
        <f t="shared" si="76"/>
        <v>5.7162513841511453</v>
      </c>
      <c r="AA594" s="106">
        <f t="shared" si="77"/>
        <v>19.004686945410675</v>
      </c>
    </row>
    <row r="595" spans="1:27" x14ac:dyDescent="0.25">
      <c r="A595" s="55" t="s">
        <v>542</v>
      </c>
      <c r="B595" s="49" t="s">
        <v>543</v>
      </c>
      <c r="C595" s="21" t="s">
        <v>61</v>
      </c>
      <c r="D595" s="20" t="s">
        <v>443</v>
      </c>
      <c r="E595" s="20">
        <v>34</v>
      </c>
      <c r="F595" s="21">
        <v>15</v>
      </c>
      <c r="G595" s="21" t="s">
        <v>182</v>
      </c>
      <c r="H595" s="21">
        <v>0.85</v>
      </c>
      <c r="I595" s="48">
        <f>MAX('Min rate concentrations'!$M$3:$M$368)</f>
        <v>2.8488184789681945</v>
      </c>
      <c r="J595" s="48">
        <f>MAX('Min rate concentrations'!AE:AE)</f>
        <v>1.9699276716269429</v>
      </c>
      <c r="K595" s="60">
        <f t="shared" si="74"/>
        <v>3.6215070077667764</v>
      </c>
      <c r="L595" s="60">
        <f t="shared" ref="L595:L601" si="79">(((0.621*F595^0.564)/(1-H595)))*J595/F595</f>
        <v>2.5042335692004305</v>
      </c>
      <c r="M595" s="60">
        <f>IF((((0.326*F595^0.818)-(0.398*F595^0.85)/(1-H595)*H595)*(MAX('Min rate concentrations'!$P$3:$P$368)))/F595&gt;0, (((0.326*F595^0.818)-(0.398*F595^0.85)/(1-H595)*H595)*(MAX('Min rate concentrations'!$P$3:$P$368)))/F595, 0)</f>
        <v>0</v>
      </c>
      <c r="N595" s="60">
        <f>IF((((0.326*F595^0.818)-(0.398*F595^0.85)/(1-H595)*H595)*(MAX('Min rate concentrations'!$Q$3:$Q$368)))/F595&gt; 0, (((0.326*F595^0.818)-(0.398*F595^0.85)/(1-H595)*H595)*(MAX('Min rate concentrations'!$Q$3:$Q$368)))/F595, 0)</f>
        <v>0</v>
      </c>
      <c r="O595" s="60">
        <f>((MAX('Min rate concentrations'!$F$3:$F$368))*0.62*6.01*8*(12.3*F595^0.65)*0.079*0.1/F595)*inputs!$E$73/inputs!$E$74</f>
        <v>17.4879170969031</v>
      </c>
      <c r="P595" s="60">
        <f>((MAX('Min rate concentrations'!Y:Y))*0.62*6.01*8*(12.3*F595^0.65)*0.079*0.1/F595)*inputs!$E$73/inputs!$E$74</f>
        <v>5.8293056989677003</v>
      </c>
      <c r="Q595" s="60">
        <f>(inputs!$C$7*11.2*(12.3*F595^0.65)*0.5/F595)*inputs!$E$73/inputs!$E$74</f>
        <v>3.0804141134929148</v>
      </c>
      <c r="R595" s="60">
        <f>(60*379*((F595/1000)^0.8)*3*24*(MAX('Min rate concentrations'!$R$3:$R$368))/F595)*(inputs!$E$73/inputs!$E$75)</f>
        <v>4.2614677494769567E-3</v>
      </c>
      <c r="S595" s="60">
        <f>(IF(inputs!$C$6="aerial",((0.025*0.112*inputs!$C$7/3.3)*(3*60*379*((F595/1000)^0.8))*MAX(inputs!$H$14:$H$16))/F595,((0.0083*0.112*inputs!$C$7/1)*(3*60*379*((F595/1000)^0.8))*MAX(inputs!$H$14:$H$16))/F595))*(inputs!E$75/inputs!$E$73)</f>
        <v>2.3502256455738741E-2</v>
      </c>
      <c r="T595" s="63">
        <f>IF((((inputs!$P$12/(V595/MAX(K595:S595)))^(1/inputs!$O$12))-1)/inputs!$N$12&lt;0, 0, IF((((inputs!$P$12/(V595/MAX(K595:S595)))^(1/inputs!$O$12))-1)/inputs!$N$12&gt;inputs!$H$17, inputs!$H$17, (((inputs!$P$12/(V595/MAX(K595:S595)))^(1/inputs!$O$12))-1)/inputs!$N$12))</f>
        <v>17.564222818912587</v>
      </c>
      <c r="U595" s="63">
        <f>IF((((inputs!$P$12/(X595/MAX(K595:S595)))^(1/inputs!$O$12))-1)/inputs!$N$12&lt;0, 0, IF((((inputs!$P$12/(X595/MAX(K595:S595)))^(1/inputs!$O$12))-1)/inputs!$N$12&gt;inputs!$H$17, inputs!$H$17, (((inputs!$P$12/(X595/MAX(K595:S595)))^(1/inputs!$O$12))-1)/inputs!$N$12))</f>
        <v>0</v>
      </c>
      <c r="V595" s="54">
        <f>inputs!$E$70*(inputs!$F$70/F595)^(0.25)</f>
        <v>2.5574764377400299</v>
      </c>
      <c r="W595" s="54">
        <f>inputs!$E$76*(inputs!$F$76/F595)^(0.25)</f>
        <v>0.76924067569003962</v>
      </c>
      <c r="X595" s="54">
        <f>inputs!$E$72*(inputs!$F$72/F595)^(0.25)</f>
        <v>112.82984284147192</v>
      </c>
      <c r="Y595" s="54" t="s">
        <v>13</v>
      </c>
      <c r="Z595" s="106">
        <f t="shared" si="76"/>
        <v>6.8379582461986166</v>
      </c>
      <c r="AA595" s="106">
        <f t="shared" si="77"/>
        <v>22.733999448502562</v>
      </c>
    </row>
    <row r="596" spans="1:27" x14ac:dyDescent="0.25">
      <c r="A596" s="55" t="s">
        <v>542</v>
      </c>
      <c r="B596" s="49" t="s">
        <v>543</v>
      </c>
      <c r="C596" s="21" t="s">
        <v>61</v>
      </c>
      <c r="D596" s="20" t="s">
        <v>443</v>
      </c>
      <c r="E596" s="20">
        <v>34</v>
      </c>
      <c r="F596" s="21">
        <v>15</v>
      </c>
      <c r="G596" s="21" t="s">
        <v>142</v>
      </c>
      <c r="H596" s="21">
        <v>0.69</v>
      </c>
      <c r="I596" s="48">
        <f>MAX('Min rate concentrations'!$H$3:$H$368)</f>
        <v>47</v>
      </c>
      <c r="J596" s="48">
        <f>MAX('Min rate concentrations'!AA:AA)</f>
        <v>32.5</v>
      </c>
      <c r="K596" s="60">
        <f t="shared" si="74"/>
        <v>28.910258527545217</v>
      </c>
      <c r="L596" s="60">
        <f t="shared" si="79"/>
        <v>19.991136215855736</v>
      </c>
      <c r="M596" s="60">
        <f>IF((((0.326*F596^0.818)-(0.398*F596^0.85)/(1-H596)*H596)*(MAX('Min rate concentrations'!$P$3:$P$368)))/F596&gt;0, (((0.326*F596^0.818)-(0.398*F596^0.85)/(1-H596)*H596)*(MAX('Min rate concentrations'!$P$3:$P$368)))/F596, 0)</f>
        <v>0</v>
      </c>
      <c r="N596" s="60">
        <f>IF((((0.326*F596^0.818)-(0.398*F596^0.85)/(1-H596)*H596)*(MAX('Min rate concentrations'!$Q$3:$Q$368)))/F596&gt; 0, (((0.326*F596^0.818)-(0.398*F596^0.85)/(1-H596)*H596)*(MAX('Min rate concentrations'!$Q$3:$Q$368)))/F596, 0)</f>
        <v>0</v>
      </c>
      <c r="O596" s="60">
        <f>((MAX('Min rate concentrations'!$F$3:$F$368))*0.62*6.01*8*(12.3*F596^0.65)*0.079*0.1/F596)*inputs!$E$73/inputs!$E$74</f>
        <v>17.4879170969031</v>
      </c>
      <c r="P596" s="60">
        <f>((MAX('Min rate concentrations'!Y:Y))*0.62*6.01*8*(12.3*F596^0.65)*0.079*0.1/F596)*inputs!$E$73/inputs!$E$74</f>
        <v>5.8293056989677003</v>
      </c>
      <c r="Q596" s="60">
        <f>(inputs!$C$7*11.2*(12.3*F596^0.65)*0.5/F596)*inputs!$E$73/inputs!$E$74</f>
        <v>3.0804141134929148</v>
      </c>
      <c r="R596" s="60">
        <f>(60*379*((F596/1000)^0.8)*3*24*(MAX('Min rate concentrations'!$R$3:$R$368))/F596)*(inputs!$E$73/inputs!$E$75)</f>
        <v>4.2614677494769567E-3</v>
      </c>
      <c r="S596" s="60">
        <f>(IF(inputs!$C$6="aerial",((0.025*0.112*inputs!$C$7/3.3)*(3*60*379*((F596/1000)^0.8))*MAX(inputs!$H$14:$H$16))/F596,((0.0083*0.112*inputs!$C$7/1)*(3*60*379*((F596/1000)^0.8))*MAX(inputs!$H$14:$H$16))/F596))*(inputs!E$75/inputs!$E$73)</f>
        <v>2.3502256455738741E-2</v>
      </c>
      <c r="T596" s="63">
        <f>IF((((inputs!$P$12/(V596/MAX(K596:S596)))^(1/inputs!$O$12))-1)/inputs!$N$12&lt;0, 0, IF((((inputs!$P$12/(V596/MAX(K596:S596)))^(1/inputs!$O$12))-1)/inputs!$N$12&gt;inputs!$H$17, inputs!$H$17, (((inputs!$P$12/(V596/MAX(K596:S596)))^(1/inputs!$O$12))-1)/inputs!$N$12))</f>
        <v>28.012221766858875</v>
      </c>
      <c r="U596" s="63">
        <f>IF((((inputs!$P$12/(X596/MAX(K596:S596)))^(1/inputs!$O$12))-1)/inputs!$N$12&lt;0, 0, IF((((inputs!$P$12/(X596/MAX(K596:S596)))^(1/inputs!$O$12))-1)/inputs!$N$12&gt;inputs!$H$17, inputs!$H$17, (((inputs!$P$12/(X596/MAX(K596:S596)))^(1/inputs!$O$12))-1)/inputs!$N$12))</f>
        <v>0</v>
      </c>
      <c r="V596" s="54">
        <f>inputs!$E$70*(inputs!$F$70/F596)^(0.25)</f>
        <v>2.5574764377400299</v>
      </c>
      <c r="W596" s="54">
        <f>inputs!$E$76*(inputs!$F$76/F596)^(0.25)</f>
        <v>0.76924067569003962</v>
      </c>
      <c r="X596" s="54">
        <f>inputs!$E$72*(inputs!$F$72/F596)^(0.25)</f>
        <v>112.82984284147192</v>
      </c>
      <c r="Y596" s="54" t="s">
        <v>13</v>
      </c>
      <c r="Z596" s="106">
        <f t="shared" si="76"/>
        <v>11.304213051946004</v>
      </c>
      <c r="AA596" s="106">
        <f t="shared" si="77"/>
        <v>37.582852078917384</v>
      </c>
    </row>
    <row r="597" spans="1:27" x14ac:dyDescent="0.25">
      <c r="A597" s="55" t="s">
        <v>542</v>
      </c>
      <c r="B597" s="49" t="s">
        <v>543</v>
      </c>
      <c r="C597" s="21" t="s">
        <v>61</v>
      </c>
      <c r="D597" s="20" t="s">
        <v>443</v>
      </c>
      <c r="E597" s="20">
        <v>34</v>
      </c>
      <c r="F597" s="21">
        <v>15</v>
      </c>
      <c r="G597" s="21" t="s">
        <v>152</v>
      </c>
      <c r="H597" s="21">
        <v>0.77</v>
      </c>
      <c r="I597" s="48">
        <f>MAX('Min rate concentrations'!$G$3:$G$368)</f>
        <v>7.5</v>
      </c>
      <c r="J597" s="48">
        <f>MAX('Min rate concentrations'!Z:Z)</f>
        <v>3.5</v>
      </c>
      <c r="K597" s="60">
        <f t="shared" si="74"/>
        <v>6.2179788229919186</v>
      </c>
      <c r="L597" s="60">
        <f t="shared" si="79"/>
        <v>2.9017234507295622</v>
      </c>
      <c r="M597" s="60">
        <f>IF((((0.326*F597^0.818)-(0.398*F597^0.85)/(1-H597)*H597)*(MAX('Min rate concentrations'!$P$3:$P$368)))/F597&gt;0, (((0.326*F597^0.818)-(0.398*F597^0.85)/(1-H597)*H597)*(MAX('Min rate concentrations'!$P$3:$P$368)))/F597, 0)</f>
        <v>0</v>
      </c>
      <c r="N597" s="60">
        <f>IF((((0.326*F597^0.818)-(0.398*F597^0.85)/(1-H597)*H597)*(MAX('Min rate concentrations'!$Q$3:$Q$368)))/F597&gt; 0, (((0.326*F597^0.818)-(0.398*F597^0.85)/(1-H597)*H597)*(MAX('Min rate concentrations'!$Q$3:$Q$368)))/F597, 0)</f>
        <v>0</v>
      </c>
      <c r="O597" s="60">
        <f>((MAX('Min rate concentrations'!$F$3:$F$368))*0.62*6.01*8*(12.3*F597^0.65)*0.079*0.1/F597)*inputs!$E$73/inputs!$E$74</f>
        <v>17.4879170969031</v>
      </c>
      <c r="P597" s="60">
        <f>((MAX('Min rate concentrations'!Y:Y))*0.62*6.01*8*(12.3*F597^0.65)*0.079*0.1/F597)*inputs!$E$73/inputs!$E$74</f>
        <v>5.8293056989677003</v>
      </c>
      <c r="Q597" s="60">
        <f>(inputs!$C$7*11.2*(12.3*F597^0.65)*0.5/F597)*inputs!$E$73/inputs!$E$74</f>
        <v>3.0804141134929148</v>
      </c>
      <c r="R597" s="60">
        <f>(60*379*((F597/1000)^0.8)*3*24*(MAX('Min rate concentrations'!$R$3:$R$368))/F597)*(inputs!$E$73/inputs!$E$75)</f>
        <v>4.2614677494769567E-3</v>
      </c>
      <c r="S597" s="60">
        <f>(IF(inputs!$C$6="aerial",((0.025*0.112*inputs!$C$7/3.3)*(3*60*379*((F597/1000)^0.8))*MAX(inputs!$H$14:$H$16))/F597,((0.0083*0.112*inputs!$C$7/1)*(3*60*379*((F597/1000)^0.8))*MAX(inputs!$H$14:$H$16))/F597))*(inputs!E$75/inputs!$E$73)</f>
        <v>2.3502256455738741E-2</v>
      </c>
      <c r="T597" s="63">
        <f>IF((((inputs!$P$12/(V597/MAX(K597:S597)))^(1/inputs!$O$12))-1)/inputs!$N$12&lt;0, 0, IF((((inputs!$P$12/(V597/MAX(K597:S597)))^(1/inputs!$O$12))-1)/inputs!$N$12&gt;inputs!$H$17, inputs!$H$17, (((inputs!$P$12/(V597/MAX(K597:S597)))^(1/inputs!$O$12))-1)/inputs!$N$12))</f>
        <v>17.564222818912587</v>
      </c>
      <c r="U597" s="63">
        <f>IF((((inputs!$P$12/(X597/MAX(K597:S597)))^(1/inputs!$O$12))-1)/inputs!$N$12&lt;0, 0, IF((((inputs!$P$12/(X597/MAX(K597:S597)))^(1/inputs!$O$12))-1)/inputs!$N$12&gt;inputs!$H$17, inputs!$H$17, (((inputs!$P$12/(X597/MAX(K597:S597)))^(1/inputs!$O$12))-1)/inputs!$N$12))</f>
        <v>0</v>
      </c>
      <c r="V597" s="54">
        <f>inputs!$E$70*(inputs!$F$70/F597)^(0.25)</f>
        <v>2.5574764377400299</v>
      </c>
      <c r="W597" s="54">
        <f>inputs!$E$76*(inputs!$F$76/F597)^(0.25)</f>
        <v>0.76924067569003962</v>
      </c>
      <c r="X597" s="54">
        <f>inputs!$E$72*(inputs!$F$72/F597)^(0.25)</f>
        <v>112.82984284147192</v>
      </c>
      <c r="Y597" s="54" t="s">
        <v>13</v>
      </c>
      <c r="Z597" s="106">
        <f t="shared" si="76"/>
        <v>6.8379582461986166</v>
      </c>
      <c r="AA597" s="106">
        <f t="shared" si="77"/>
        <v>22.733999448502562</v>
      </c>
    </row>
    <row r="598" spans="1:27" x14ac:dyDescent="0.25">
      <c r="A598" s="55" t="s">
        <v>542</v>
      </c>
      <c r="B598" s="49" t="s">
        <v>543</v>
      </c>
      <c r="C598" s="21" t="s">
        <v>61</v>
      </c>
      <c r="D598" s="20" t="s">
        <v>443</v>
      </c>
      <c r="E598" s="20">
        <v>34</v>
      </c>
      <c r="F598" s="21">
        <v>15</v>
      </c>
      <c r="G598" s="21" t="s">
        <v>169</v>
      </c>
      <c r="H598" s="21">
        <v>0.79</v>
      </c>
      <c r="I598" s="48">
        <f>MAX('Min rate concentrations'!$D$3:$D$368)</f>
        <v>120</v>
      </c>
      <c r="J598" s="48">
        <f>MAX('Min rate concentrations'!W:W)</f>
        <v>42.5</v>
      </c>
      <c r="K598" s="60">
        <f t="shared" si="74"/>
        <v>108.96267651719174</v>
      </c>
      <c r="L598" s="60">
        <f t="shared" si="79"/>
        <v>38.590947933172075</v>
      </c>
      <c r="M598" s="60">
        <f>IF((((0.326*F598^0.818)-(0.398*F598^0.85)/(1-H598)*H598)*(MAX('Min rate concentrations'!$P$3:$P$368)))/F598&gt;0, (((0.326*F598^0.818)-(0.398*F598^0.85)/(1-H598)*H598)*(MAX('Min rate concentrations'!$P$3:$P$368)))/F598, 0)</f>
        <v>0</v>
      </c>
      <c r="N598" s="60">
        <f>IF((((0.326*F598^0.818)-(0.398*F598^0.85)/(1-H598)*H598)*(MAX('Min rate concentrations'!$Q$3:$Q$368)))/F598&gt; 0, (((0.326*F598^0.818)-(0.398*F598^0.85)/(1-H598)*H598)*(MAX('Min rate concentrations'!$Q$3:$Q$368)))/F598, 0)</f>
        <v>0</v>
      </c>
      <c r="O598" s="60">
        <f>((MAX('Min rate concentrations'!$F$3:$F$368))*0.62*6.01*8*(12.3*F598^0.65)*0.079*0.1/F598)*inputs!$E$73/inputs!$E$74</f>
        <v>17.4879170969031</v>
      </c>
      <c r="P598" s="60">
        <f>((MAX('Min rate concentrations'!Y:Y))*0.62*6.01*8*(12.3*F598^0.65)*0.079*0.1/F598)*inputs!$E$73/inputs!$E$74</f>
        <v>5.8293056989677003</v>
      </c>
      <c r="Q598" s="60">
        <f>(inputs!$C$7*11.2*(12.3*F598^0.65)*0.5/F598)*inputs!$E$73/inputs!$E$74</f>
        <v>3.0804141134929148</v>
      </c>
      <c r="R598" s="60">
        <f>(60*379*((F598/1000)^0.8)*3*24*(MAX('Min rate concentrations'!$R$3:$R$368))/F598)*(inputs!$E$73/inputs!$E$75)</f>
        <v>4.2614677494769567E-3</v>
      </c>
      <c r="S598" s="60">
        <f>(IF(inputs!$C$6="aerial",((0.025*0.112*inputs!$C$7/3.3)*(3*60*379*((F598/1000)^0.8))*MAX(inputs!$H$14:$H$16))/F598,((0.0083*0.112*inputs!$C$7/1)*(3*60*379*((F598/1000)^0.8))*MAX(inputs!$H$14:$H$16))/F598))*(inputs!E$75/inputs!$E$73)</f>
        <v>2.3502256455738741E-2</v>
      </c>
      <c r="T598" s="63">
        <f>IF((((inputs!$P$12/(V598/MAX(K598:S598)))^(1/inputs!$O$12))-1)/inputs!$N$12&lt;0, 0, IF((((inputs!$P$12/(V598/MAX(K598:S598)))^(1/inputs!$O$12))-1)/inputs!$N$12&gt;inputs!$H$17, inputs!$H$17, (((inputs!$P$12/(V598/MAX(K598:S598)))^(1/inputs!$O$12))-1)/inputs!$N$12))</f>
        <v>68.435293271862932</v>
      </c>
      <c r="U598" s="63">
        <f>IF((((inputs!$P$12/(X598/MAX(K598:S598)))^(1/inputs!$O$12))-1)/inputs!$N$12&lt;0, 0, IF((((inputs!$P$12/(X598/MAX(K598:S598)))^(1/inputs!$O$12))-1)/inputs!$N$12&gt;inputs!$H$17, inputs!$H$17, (((inputs!$P$12/(X598/MAX(K598:S598)))^(1/inputs!$O$12))-1)/inputs!$N$12))</f>
        <v>0</v>
      </c>
      <c r="V598" s="54">
        <f>inputs!$E$70*(inputs!$F$70/F598)^(0.25)</f>
        <v>2.5574764377400299</v>
      </c>
      <c r="W598" s="54">
        <f>inputs!$E$76*(inputs!$F$76/F598)^(0.25)</f>
        <v>0.76924067569003962</v>
      </c>
      <c r="X598" s="54">
        <f>inputs!$E$72*(inputs!$F$72/F598)^(0.25)</f>
        <v>112.82984284147192</v>
      </c>
      <c r="Y598" s="54" t="s">
        <v>13</v>
      </c>
      <c r="Z598" s="106">
        <f t="shared" si="76"/>
        <v>42.605544633474317</v>
      </c>
      <c r="AA598" s="106">
        <f t="shared" si="77"/>
        <v>141.64965525184672</v>
      </c>
    </row>
    <row r="599" spans="1:27" x14ac:dyDescent="0.25">
      <c r="A599" s="55" t="s">
        <v>542</v>
      </c>
      <c r="B599" s="49" t="s">
        <v>543</v>
      </c>
      <c r="C599" s="21" t="s">
        <v>61</v>
      </c>
      <c r="D599" s="20" t="s">
        <v>443</v>
      </c>
      <c r="E599" s="20">
        <v>34</v>
      </c>
      <c r="F599" s="21">
        <v>15</v>
      </c>
      <c r="G599" s="21" t="s">
        <v>177</v>
      </c>
      <c r="H599" s="21">
        <v>0.85</v>
      </c>
      <c r="I599" s="48">
        <f>MAX('Min rate concentrations'!$F$3:$F$368)</f>
        <v>67.5</v>
      </c>
      <c r="J599" s="48">
        <f>MAX('Min rate concentrations'!Y:Y)</f>
        <v>22.5</v>
      </c>
      <c r="K599" s="60">
        <f t="shared" si="74"/>
        <v>85.808107757288468</v>
      </c>
      <c r="L599" s="60">
        <f t="shared" si="79"/>
        <v>28.602702585762817</v>
      </c>
      <c r="M599" s="60">
        <f>IF((((0.326*F599^0.818)-(0.398*F599^0.85)/(1-H599)*H599)*(MAX('Min rate concentrations'!$P$3:$P$368)))/F599&gt;0, (((0.326*F599^0.818)-(0.398*F599^0.85)/(1-H599)*H599)*(MAX('Min rate concentrations'!$P$3:$P$368)))/F599, 0)</f>
        <v>0</v>
      </c>
      <c r="N599" s="60">
        <f>IF((((0.326*F599^0.818)-(0.398*F599^0.85)/(1-H599)*H599)*(MAX('Min rate concentrations'!$Q$3:$Q$368)))/F599&gt; 0, (((0.326*F599^0.818)-(0.398*F599^0.85)/(1-H599)*H599)*(MAX('Min rate concentrations'!$Q$3:$Q$368)))/F599, 0)</f>
        <v>0</v>
      </c>
      <c r="O599" s="60">
        <f>((MAX('Min rate concentrations'!$F$3:$F$368))*0.62*6.01*8*(12.3*F599^0.65)*0.079*0.1/F599)*inputs!$E$73/inputs!$E$74</f>
        <v>17.4879170969031</v>
      </c>
      <c r="P599" s="60">
        <f>((MAX('Min rate concentrations'!Y:Y))*0.62*6.01*8*(12.3*F599^0.65)*0.079*0.1/F599)*inputs!$E$73/inputs!$E$74</f>
        <v>5.8293056989677003</v>
      </c>
      <c r="Q599" s="60">
        <f>(inputs!$C$7*11.2*(12.3*F599^0.65)*0.5/F599)*inputs!$E$73/inputs!$E$74</f>
        <v>3.0804141134929148</v>
      </c>
      <c r="R599" s="60">
        <f>(60*379*((F599/1000)^0.8)*3*24*(MAX('Min rate concentrations'!$R$3:$R$368))/F599)*(inputs!$E$73/inputs!$E$75)</f>
        <v>4.2614677494769567E-3</v>
      </c>
      <c r="S599" s="60">
        <f>(IF(inputs!$C$6="aerial",((0.025*0.112*inputs!$C$7/3.3)*(3*60*379*((F599/1000)^0.8))*MAX(inputs!$H$14:$H$16))/F599,((0.0083*0.112*inputs!$C$7/1)*(3*60*379*((F599/1000)^0.8))*MAX(inputs!$H$14:$H$16))/F599))*(inputs!E$75/inputs!$E$73)</f>
        <v>2.3502256455738741E-2</v>
      </c>
      <c r="T599" s="63">
        <f>IF((((inputs!$P$12/(V599/MAX(K599:S599)))^(1/inputs!$O$12))-1)/inputs!$N$12&lt;0, 0, IF((((inputs!$P$12/(V599/MAX(K599:S599)))^(1/inputs!$O$12))-1)/inputs!$N$12&gt;inputs!$H$17, inputs!$H$17, (((inputs!$P$12/(V599/MAX(K599:S599)))^(1/inputs!$O$12))-1)/inputs!$N$12))</f>
        <v>59.46054341717079</v>
      </c>
      <c r="U599" s="63">
        <f>IF((((inputs!$P$12/(X599/MAX(K599:S599)))^(1/inputs!$O$12))-1)/inputs!$N$12&lt;0, 0, IF((((inputs!$P$12/(X599/MAX(K599:S599)))^(1/inputs!$O$12))-1)/inputs!$N$12&gt;inputs!$H$17, inputs!$H$17, (((inputs!$P$12/(X599/MAX(K599:S599)))^(1/inputs!$O$12))-1)/inputs!$N$12))</f>
        <v>0</v>
      </c>
      <c r="V599" s="54">
        <f>inputs!$E$70*(inputs!$F$70/F599)^(0.25)</f>
        <v>2.5574764377400299</v>
      </c>
      <c r="W599" s="54">
        <f>inputs!$E$76*(inputs!$F$76/F599)^(0.25)</f>
        <v>0.76924067569003962</v>
      </c>
      <c r="X599" s="54">
        <f>inputs!$E$72*(inputs!$F$72/F599)^(0.25)</f>
        <v>112.82984284147192</v>
      </c>
      <c r="Y599" s="54" t="s">
        <v>13</v>
      </c>
      <c r="Z599" s="106">
        <f t="shared" si="76"/>
        <v>33.551866398861016</v>
      </c>
      <c r="AA599" s="106">
        <f t="shared" si="77"/>
        <v>111.54910351082926</v>
      </c>
    </row>
    <row r="600" spans="1:27" x14ac:dyDescent="0.25">
      <c r="A600" s="55" t="s">
        <v>542</v>
      </c>
      <c r="B600" s="49" t="s">
        <v>543</v>
      </c>
      <c r="C600" s="21" t="s">
        <v>61</v>
      </c>
      <c r="D600" s="20" t="s">
        <v>443</v>
      </c>
      <c r="E600" s="20">
        <v>34</v>
      </c>
      <c r="F600" s="21">
        <v>15</v>
      </c>
      <c r="G600" s="21" t="s">
        <v>456</v>
      </c>
      <c r="H600" s="21">
        <v>0.68</v>
      </c>
      <c r="I600" s="48">
        <f>MAX('Min rate concentrations'!$J$3:$J$368)</f>
        <v>114.4108103430513</v>
      </c>
      <c r="J600" s="48">
        <f>MAX('Min rate concentrations'!AB:AB)</f>
        <v>40.520495329830666</v>
      </c>
      <c r="K600" s="60">
        <f t="shared" si="74"/>
        <v>68.176216267466955</v>
      </c>
      <c r="L600" s="60">
        <f t="shared" si="79"/>
        <v>24.14574326139455</v>
      </c>
      <c r="M600" s="60">
        <f>IF((((0.326*F600^0.818)-(0.398*F600^0.85)/(1-H600)*H600)*(MAX('Min rate concentrations'!$P$3:$P$368)))/F600&gt;0, (((0.326*F600^0.818)-(0.398*F600^0.85)/(1-H600)*H600)*(MAX('Min rate concentrations'!$P$3:$P$368)))/F600, 0)</f>
        <v>0</v>
      </c>
      <c r="N600" s="60">
        <f>IF((((0.326*F600^0.818)-(0.398*F600^0.85)/(1-H600)*H600)*(MAX('Min rate concentrations'!$Q$3:$Q$368)))/F600&gt; 0, (((0.326*F600^0.818)-(0.398*F600^0.85)/(1-H600)*H600)*(MAX('Min rate concentrations'!$Q$3:$Q$368)))/F600, 0)</f>
        <v>0</v>
      </c>
      <c r="O600" s="60">
        <f>((MAX('Min rate concentrations'!$F$3:$F$368))*0.62*6.01*8*(12.3*F600^0.65)*0.079*0.1/F600)*inputs!$E$73/inputs!$E$74</f>
        <v>17.4879170969031</v>
      </c>
      <c r="P600" s="60">
        <f>((MAX('Min rate concentrations'!Y:Y))*0.62*6.01*8*(12.3*F600^0.65)*0.079*0.1/F600)*inputs!$E$73/inputs!$E$74</f>
        <v>5.8293056989677003</v>
      </c>
      <c r="Q600" s="60">
        <f>(inputs!$C$7*11.2*(12.3*F600^0.65)*0.5/F600)*inputs!$E$73/inputs!$E$74</f>
        <v>3.0804141134929148</v>
      </c>
      <c r="R600" s="60">
        <f>(60*379*((F600/1000)^0.8)*3*24*(MAX('Min rate concentrations'!$R$3:$R$368))/F600)*(inputs!$E$73/inputs!$E$75)</f>
        <v>4.2614677494769567E-3</v>
      </c>
      <c r="S600" s="60">
        <f>(IF(inputs!$C$6="aerial",((0.025*0.112*inputs!$C$7/3.3)*(3*60*379*((F600/1000)^0.8))*MAX(inputs!$H$14:$H$16))/F600,((0.0083*0.112*inputs!$C$7/1)*(3*60*379*((F600/1000)^0.8))*MAX(inputs!$H$14:$H$16))/F600))*(inputs!E$75/inputs!$E$73)</f>
        <v>2.3502256455738741E-2</v>
      </c>
      <c r="T600" s="63">
        <f>IF((((inputs!$P$12/(V600/MAX(K600:S600)))^(1/inputs!$O$12))-1)/inputs!$N$12&lt;0, 0, IF((((inputs!$P$12/(V600/MAX(K600:S600)))^(1/inputs!$O$12))-1)/inputs!$N$12&gt;inputs!$H$17, inputs!$H$17, (((inputs!$P$12/(V600/MAX(K600:S600)))^(1/inputs!$O$12))-1)/inputs!$N$12))</f>
        <v>51.605384662802905</v>
      </c>
      <c r="U600" s="63">
        <f>IF((((inputs!$P$12/(X600/MAX(K600:S600)))^(1/inputs!$O$12))-1)/inputs!$N$12&lt;0, 0, IF((((inputs!$P$12/(X600/MAX(K600:S600)))^(1/inputs!$O$12))-1)/inputs!$N$12&gt;inputs!$H$17, inputs!$H$17, (((inputs!$P$12/(X600/MAX(K600:S600)))^(1/inputs!$O$12))-1)/inputs!$N$12))</f>
        <v>0</v>
      </c>
      <c r="V600" s="54">
        <f>inputs!$E$70*(inputs!$F$70/F600)^(0.25)</f>
        <v>2.5574764377400299</v>
      </c>
      <c r="W600" s="54">
        <f>inputs!$E$76*(inputs!$F$76/F600)^(0.25)</f>
        <v>0.76924067569003962</v>
      </c>
      <c r="X600" s="54">
        <f>inputs!$E$72*(inputs!$F$72/F600)^(0.25)</f>
        <v>112.82984284147192</v>
      </c>
      <c r="Y600" s="54" t="s">
        <v>13</v>
      </c>
      <c r="Z600" s="106">
        <f t="shared" si="76"/>
        <v>26.657612661218636</v>
      </c>
      <c r="AA600" s="106">
        <f t="shared" si="77"/>
        <v>88.627939761908934</v>
      </c>
    </row>
    <row r="601" spans="1:27" x14ac:dyDescent="0.25">
      <c r="A601" s="55" t="s">
        <v>542</v>
      </c>
      <c r="B601" s="49" t="s">
        <v>543</v>
      </c>
      <c r="C601" s="21" t="s">
        <v>61</v>
      </c>
      <c r="D601" s="20" t="s">
        <v>443</v>
      </c>
      <c r="E601" s="20">
        <v>34</v>
      </c>
      <c r="F601" s="21">
        <v>15</v>
      </c>
      <c r="G601" s="21" t="s">
        <v>145</v>
      </c>
      <c r="H601" s="21">
        <v>0.66</v>
      </c>
      <c r="I601" s="48">
        <f>MAX('Min rate concentrations'!$M$3:$M$368)</f>
        <v>2.8488184789681945</v>
      </c>
      <c r="J601" s="48">
        <f>MAX('Min rate concentrations'!AE:AE)</f>
        <v>1.9699276716269429</v>
      </c>
      <c r="K601" s="60">
        <f t="shared" si="74"/>
        <v>1.597723679897108</v>
      </c>
      <c r="L601" s="60">
        <f t="shared" si="79"/>
        <v>1.1048089275884256</v>
      </c>
      <c r="M601" s="60">
        <f>IF((((0.326*F601^0.818)-(0.398*F601^0.85)/(1-H601)*H601)*(MAX('Min rate concentrations'!$P$3:$P$368)))/F601&gt;0, (((0.326*F601^0.818)-(0.398*F601^0.85)/(1-H601)*H601)*(MAX('Min rate concentrations'!$P$3:$P$368)))/F601, 0)</f>
        <v>0</v>
      </c>
      <c r="N601" s="60">
        <f>IF((((0.326*F601^0.818)-(0.398*F601^0.85)/(1-H601)*H601)*(MAX('Min rate concentrations'!$Q$3:$Q$368)))/F601&gt; 0, (((0.326*F601^0.818)-(0.398*F601^0.85)/(1-H601)*H601)*(MAX('Min rate concentrations'!$Q$3:$Q$368)))/F601, 0)</f>
        <v>0</v>
      </c>
      <c r="O601" s="60">
        <f>((MAX('Min rate concentrations'!$F$3:$F$368))*0.62*6.01*8*(12.3*F601^0.65)*0.079*0.1/F601)*inputs!$E$73/inputs!$E$74</f>
        <v>17.4879170969031</v>
      </c>
      <c r="P601" s="60">
        <f>((MAX('Min rate concentrations'!Y:Y))*0.62*6.01*8*(12.3*F601^0.65)*0.079*0.1/F601)*inputs!$E$73/inputs!$E$74</f>
        <v>5.8293056989677003</v>
      </c>
      <c r="Q601" s="60">
        <f>(inputs!$C$7*11.2*(12.3*F601^0.65)*0.5/F601)*inputs!$E$73/inputs!$E$74</f>
        <v>3.0804141134929148</v>
      </c>
      <c r="R601" s="60">
        <f>(60*379*((F601/1000)^0.8)*3*24*(MAX('Min rate concentrations'!$R$3:$R$368))/F601)*(inputs!$E$73/inputs!$E$75)</f>
        <v>4.2614677494769567E-3</v>
      </c>
      <c r="S601" s="60">
        <f>(IF(inputs!$C$6="aerial",((0.025*0.112*inputs!$C$7/3.3)*(3*60*379*((F601/1000)^0.8))*MAX(inputs!$H$14:$H$16))/F601,((0.0083*0.112*inputs!$C$7/1)*(3*60*379*((F601/1000)^0.8))*MAX(inputs!$H$14:$H$16))/F601))*(inputs!E$75/inputs!$E$73)</f>
        <v>2.3502256455738741E-2</v>
      </c>
      <c r="T601" s="63">
        <f>IF((((inputs!$P$12/(V601/MAX(K601:S601)))^(1/inputs!$O$12))-1)/inputs!$N$12&lt;0, 0, IF((((inputs!$P$12/(V601/MAX(K601:S601)))^(1/inputs!$O$12))-1)/inputs!$N$12&gt;inputs!$H$17, inputs!$H$17, (((inputs!$P$12/(V601/MAX(K601:S601)))^(1/inputs!$O$12))-1)/inputs!$N$12))</f>
        <v>17.564222818912587</v>
      </c>
      <c r="U601" s="63">
        <f>IF((((inputs!$P$12/(X601/MAX(K601:S601)))^(1/inputs!$O$12))-1)/inputs!$N$12&lt;0, 0, IF((((inputs!$P$12/(X601/MAX(K601:S601)))^(1/inputs!$O$12))-1)/inputs!$N$12&gt;inputs!$H$17, inputs!$H$17, (((inputs!$P$12/(X601/MAX(K601:S601)))^(1/inputs!$O$12))-1)/inputs!$N$12))</f>
        <v>0</v>
      </c>
      <c r="V601" s="54">
        <f>inputs!$E$70*(inputs!$F$70/F601)^(0.25)</f>
        <v>2.5574764377400299</v>
      </c>
      <c r="W601" s="54">
        <f>inputs!$E$76*(inputs!$F$76/F601)^(0.25)</f>
        <v>0.76924067569003962</v>
      </c>
      <c r="X601" s="54">
        <f>inputs!$E$72*(inputs!$F$72/F601)^(0.25)</f>
        <v>112.82984284147192</v>
      </c>
      <c r="Y601" s="54" t="s">
        <v>13</v>
      </c>
      <c r="Z601" s="106">
        <f t="shared" si="76"/>
        <v>6.8379582461986166</v>
      </c>
      <c r="AA601" s="106">
        <f t="shared" si="77"/>
        <v>22.733999448502562</v>
      </c>
    </row>
    <row r="602" spans="1:27" x14ac:dyDescent="0.25">
      <c r="A602" s="55" t="s">
        <v>542</v>
      </c>
      <c r="B602" s="49" t="s">
        <v>543</v>
      </c>
      <c r="C602" s="21" t="s">
        <v>61</v>
      </c>
      <c r="D602" s="20" t="s">
        <v>443</v>
      </c>
      <c r="E602" s="20">
        <v>34</v>
      </c>
      <c r="F602" s="21">
        <v>15</v>
      </c>
      <c r="G602" s="21" t="s">
        <v>154</v>
      </c>
      <c r="H602" s="21">
        <v>9.2999999999999999E-2</v>
      </c>
      <c r="I602" s="48">
        <f>MAX('Min rate concentrations'!$G$3:$G$368)</f>
        <v>7.5</v>
      </c>
      <c r="J602" s="48">
        <f>MAX('Min rate concentrations'!Z:Z)</f>
        <v>3.5</v>
      </c>
      <c r="K602" s="60">
        <f t="shared" si="74"/>
        <v>1.5767752252349958</v>
      </c>
      <c r="L602" s="60"/>
      <c r="M602" s="60">
        <f>IF((((0.326*F602^0.818)-(0.398*F602^0.85)/(1-H602)*H602)*(MAX('Min rate concentrations'!$P$3:$P$368)))/F602&gt;0, (((0.326*F602^0.818)-(0.398*F602^0.85)/(1-H602)*H602)*(MAX('Min rate concentrations'!$P$3:$P$368)))/F602, 0)</f>
        <v>2.4959484999342571E-2</v>
      </c>
      <c r="N602" s="60">
        <f>IF((((0.326*F602^0.818)-(0.398*F602^0.85)/(1-H602)*H602)*(MAX('Min rate concentrations'!$Q$3:$Q$368)))/F602&gt; 0, (((0.326*F602^0.818)-(0.398*F602^0.85)/(1-H602)*H602)*(MAX('Min rate concentrations'!$Q$3:$Q$368)))/F602, 0)</f>
        <v>9.5047059992685437E-2</v>
      </c>
      <c r="O602" s="60">
        <f>((MAX('Min rate concentrations'!$F$3:$F$368))*0.62*6.01*8*(12.3*F602^0.65)*0.079*0.1/F602)*inputs!$E$73/inputs!$E$74</f>
        <v>17.4879170969031</v>
      </c>
      <c r="P602" s="60"/>
      <c r="Q602" s="60">
        <f>(inputs!$C$7*11.2*(12.3*F602^0.65)*0.5/F602)*inputs!$E$73/inputs!$E$74</f>
        <v>3.0804141134929148</v>
      </c>
      <c r="R602" s="60">
        <f>(60*379*((F602/1000)^0.8)*3*24*(MAX('Min rate concentrations'!$R$3:$R$368))/F602)*(inputs!$E$73/inputs!$E$75)</f>
        <v>4.2614677494769567E-3</v>
      </c>
      <c r="S602" s="60">
        <f>(IF(inputs!$C$6="aerial",((0.025*0.112*inputs!$C$7/3.3)*(3*60*379*((F602/1000)^0.8))*MAX(inputs!$H$14:$H$16))/F602,((0.0083*0.112*inputs!$C$7/1)*(3*60*379*((F602/1000)^0.8))*MAX(inputs!$H$14:$H$16))/F602))*(inputs!E$75/inputs!$E$73)</f>
        <v>2.3502256455738741E-2</v>
      </c>
      <c r="T602" s="63">
        <f>IF((((inputs!$P$12/(V602/MAX(K602:S602)))^(1/inputs!$O$12))-1)/inputs!$N$12&lt;0, 0, IF((((inputs!$P$12/(V602/MAX(K602:S602)))^(1/inputs!$O$12))-1)/inputs!$N$12&gt;inputs!$H$17, inputs!$H$17, (((inputs!$P$12/(V602/MAX(K602:S602)))^(1/inputs!$O$12))-1)/inputs!$N$12))</f>
        <v>17.564222818912587</v>
      </c>
      <c r="U602" s="63">
        <f>IF((((inputs!$P$12/(X602/MAX(K602:S602)))^(1/inputs!$O$12))-1)/inputs!$N$12&lt;0, 0, IF((((inputs!$P$12/(X602/MAX(K602:S602)))^(1/inputs!$O$12))-1)/inputs!$N$12&gt;inputs!$H$17, inputs!$H$17, (((inputs!$P$12/(X602/MAX(K602:S602)))^(1/inputs!$O$12))-1)/inputs!$N$12))</f>
        <v>0</v>
      </c>
      <c r="V602" s="54">
        <f>inputs!$E$70*(inputs!$F$70/F602)^(0.25)</f>
        <v>2.5574764377400299</v>
      </c>
      <c r="W602" s="54">
        <f>inputs!$E$76*(inputs!$F$76/F602)^(0.25)</f>
        <v>0.76924067569003962</v>
      </c>
      <c r="X602" s="54">
        <f>inputs!$E$72*(inputs!$F$72/F602)^(0.25)</f>
        <v>112.82984284147192</v>
      </c>
      <c r="Y602" s="54" t="s">
        <v>13</v>
      </c>
      <c r="Z602" s="106">
        <f t="shared" si="76"/>
        <v>6.8379582461986166</v>
      </c>
      <c r="AA602" s="106">
        <f t="shared" si="77"/>
        <v>22.733999448502562</v>
      </c>
    </row>
    <row r="603" spans="1:27" x14ac:dyDescent="0.25">
      <c r="A603" s="55" t="s">
        <v>563</v>
      </c>
      <c r="B603" s="49" t="s">
        <v>564</v>
      </c>
      <c r="C603" s="21" t="s">
        <v>61</v>
      </c>
      <c r="D603" s="20" t="s">
        <v>443</v>
      </c>
      <c r="E603" s="20">
        <v>10</v>
      </c>
      <c r="F603" s="21">
        <v>800</v>
      </c>
      <c r="G603" s="21" t="s">
        <v>142</v>
      </c>
      <c r="H603" s="21">
        <v>0.69</v>
      </c>
      <c r="I603" s="48">
        <f>MAX('Min rate concentrations'!$H$3:$H$368)</f>
        <v>47</v>
      </c>
      <c r="J603" s="48">
        <f>MAX('Min rate concentrations'!AA:AA)</f>
        <v>32.5</v>
      </c>
      <c r="K603" s="60">
        <f t="shared" si="74"/>
        <v>5.10599670194292</v>
      </c>
      <c r="L603" s="60">
        <f>(((0.621*F603^0.564)/(1-H603)))*J603/F603</f>
        <v>3.5307424002796792</v>
      </c>
      <c r="M603" s="60">
        <f>IF((((0.326*F603^0.818)-(0.398*F603^0.85)/(1-H603)*H603)*(MAX('Min rate concentrations'!$P$3:$P$368)))/F603&gt;0, (((0.326*F603^0.818)-(0.398*F603^0.85)/(1-H603)*H603)*(MAX('Min rate concentrations'!$P$3:$P$368)))/F603, 0)</f>
        <v>0</v>
      </c>
      <c r="N603" s="60">
        <f>IF((((0.326*F603^0.818)-(0.398*F603^0.85)/(1-H603)*H603)*(MAX('Min rate concentrations'!$Q$3:$Q$368)))/F603&gt; 0, (((0.326*F603^0.818)-(0.398*F603^0.85)/(1-H603)*H603)*(MAX('Min rate concentrations'!$Q$3:$Q$368)))/F603, 0)</f>
        <v>0</v>
      </c>
      <c r="O603" s="60">
        <f>((MAX('Min rate concentrations'!$F$3:$F$368))*0.62*6.01*8*(12.3*F603^0.65)*0.079*0.1/F603)*inputs!$E$73/inputs!$E$74</f>
        <v>4.347989944372384</v>
      </c>
      <c r="P603" s="60">
        <f>((MAX('Min rate concentrations'!Y:Y))*0.62*6.01*8*(12.3*F603^0.65)*0.079*0.1/F603)*inputs!$E$73/inputs!$E$74</f>
        <v>1.4493299814574612</v>
      </c>
      <c r="Q603" s="60">
        <f>(inputs!$C$7*11.2*(12.3*F603^0.65)*0.5/F603)*inputs!$E$73/inputs!$E$74</f>
        <v>0.76587792106710151</v>
      </c>
      <c r="R603" s="60">
        <f>(60*379*((F603/1000)^0.8)*3*24*(MAX('Min rate concentrations'!$R$3:$R$368))/F603)*(inputs!$E$73/inputs!$E$75)</f>
        <v>1.9237979627382185E-3</v>
      </c>
      <c r="S603" s="60">
        <f>(IF(inputs!$C$6="aerial",((0.025*0.112*inputs!$C$7/3.3)*(3*60*379*((F603/1000)^0.8))*MAX(inputs!$H$14:$H$16))/F603,((0.0083*0.112*inputs!$C$7/1)*(3*60*379*((F603/1000)^0.8))*MAX(inputs!$H$14:$H$16))/F603))*(inputs!E$75/inputs!$E$73)</f>
        <v>1.0609863959395392E-2</v>
      </c>
      <c r="T603" s="63">
        <f>IF((((inputs!$P$12/(V603/MAX(K603:S603)))^(1/inputs!$O$12))-1)/inputs!$N$12&lt;0, 0, IF((((inputs!$P$12/(V603/MAX(K603:S603)))^(1/inputs!$O$12))-1)/inputs!$N$12&gt;inputs!$H$17, inputs!$H$17, (((inputs!$P$12/(V603/MAX(K603:S603)))^(1/inputs!$O$12))-1)/inputs!$N$12))</f>
        <v>13.332803452762459</v>
      </c>
      <c r="U603" s="63">
        <f>IF((((inputs!$P$12/(X603/MAX(K603:S603)))^(1/inputs!$O$12))-1)/inputs!$N$12&lt;0, 0, IF((((inputs!$P$12/(X603/MAX(K603:S603)))^(1/inputs!$O$12))-1)/inputs!$N$12&gt;inputs!$H$17, inputs!$H$17, (((inputs!$P$12/(X603/MAX(K603:S603)))^(1/inputs!$O$12))-1)/inputs!$N$12))</f>
        <v>0</v>
      </c>
      <c r="V603" s="54">
        <f>inputs!$E$70*(inputs!$F$70/F603)^(0.25)</f>
        <v>0.94637216723279016</v>
      </c>
      <c r="W603" s="54">
        <f>inputs!$E$76*(inputs!$F$76/F603)^(0.25)</f>
        <v>0.28465089829711249</v>
      </c>
      <c r="X603" s="54">
        <f>inputs!$E$72*(inputs!$F$72/F603)^(0.25)</f>
        <v>41.751713260270158</v>
      </c>
      <c r="Y603" s="54" t="s">
        <v>13</v>
      </c>
      <c r="Z603" s="106">
        <f t="shared" si="76"/>
        <v>5.3953369284654151</v>
      </c>
      <c r="AA603" s="106">
        <f t="shared" si="77"/>
        <v>17.93775017921563</v>
      </c>
    </row>
    <row r="604" spans="1:27" x14ac:dyDescent="0.25">
      <c r="A604" s="55" t="s">
        <v>563</v>
      </c>
      <c r="B604" s="49" t="s">
        <v>564</v>
      </c>
      <c r="C604" s="21" t="s">
        <v>61</v>
      </c>
      <c r="D604" s="20" t="s">
        <v>443</v>
      </c>
      <c r="E604" s="20">
        <v>10</v>
      </c>
      <c r="F604" s="21">
        <v>800</v>
      </c>
      <c r="G604" s="21" t="s">
        <v>138</v>
      </c>
      <c r="H604" s="21">
        <v>0.68</v>
      </c>
      <c r="I604" s="48">
        <f>MAX('Min rate concentrations'!$L$3:$L$368)</f>
        <v>58.421240152220811</v>
      </c>
      <c r="J604" s="48">
        <f>MAX('Min rate concentrations'!AD:AD)</f>
        <v>40.397666062705881</v>
      </c>
      <c r="K604" s="60">
        <f t="shared" si="74"/>
        <v>6.1484431155321149</v>
      </c>
      <c r="L604" s="60">
        <f>(((0.621*F604^0.564)/(1-H604)))*J604/F604</f>
        <v>4.2515830054211436</v>
      </c>
      <c r="M604" s="60">
        <f>IF((((0.326*F604^0.818)-(0.398*F604^0.85)/(1-H604)*H604)*(MAX('Min rate concentrations'!$P$3:$P$368)))/F604&gt;0, (((0.326*F604^0.818)-(0.398*F604^0.85)/(1-H604)*H604)*(MAX('Min rate concentrations'!$P$3:$P$368)))/F604, 0)</f>
        <v>0</v>
      </c>
      <c r="N604" s="60">
        <f>IF((((0.326*F604^0.818)-(0.398*F604^0.85)/(1-H604)*H604)*(MAX('Min rate concentrations'!$Q$3:$Q$368)))/F604&gt; 0, (((0.326*F604^0.818)-(0.398*F604^0.85)/(1-H604)*H604)*(MAX('Min rate concentrations'!$Q$3:$Q$368)))/F604, 0)</f>
        <v>0</v>
      </c>
      <c r="O604" s="60">
        <f>((MAX('Min rate concentrations'!$F$3:$F$368))*0.62*6.01*8*(12.3*F604^0.65)*0.079*0.1/F604)*inputs!$E$73/inputs!$E$74</f>
        <v>4.347989944372384</v>
      </c>
      <c r="P604" s="60">
        <f>((MAX('Min rate concentrations'!Y:Y))*0.62*6.01*8*(12.3*F604^0.65)*0.079*0.1/F604)*inputs!$E$73/inputs!$E$74</f>
        <v>1.4493299814574612</v>
      </c>
      <c r="Q604" s="60">
        <f>(inputs!$C$7*11.2*(12.3*F604^0.65)*0.5/F604)*inputs!$E$73/inputs!$E$74</f>
        <v>0.76587792106710151</v>
      </c>
      <c r="R604" s="60">
        <f>(60*379*((F604/1000)^0.8)*3*24*(MAX('Min rate concentrations'!$R$3:$R$368))/F604)*(inputs!$E$73/inputs!$E$75)</f>
        <v>1.9237979627382185E-3</v>
      </c>
      <c r="S604" s="60">
        <f>(IF(inputs!$C$6="aerial",((0.025*0.112*inputs!$C$7/3.3)*(3*60*379*((F604/1000)^0.8))*MAX(inputs!$H$14:$H$16))/F604,((0.0083*0.112*inputs!$C$7/1)*(3*60*379*((F604/1000)^0.8))*MAX(inputs!$H$14:$H$16))/F604))*(inputs!E$75/inputs!$E$73)</f>
        <v>1.0609863959395392E-2</v>
      </c>
      <c r="T604" s="63">
        <f>IF((((inputs!$P$12/(V604/MAX(K604:S604)))^(1/inputs!$O$12))-1)/inputs!$N$12&lt;0, 0, IF((((inputs!$P$12/(V604/MAX(K604:S604)))^(1/inputs!$O$12))-1)/inputs!$N$12&gt;inputs!$H$17, inputs!$H$17, (((inputs!$P$12/(V604/MAX(K604:S604)))^(1/inputs!$O$12))-1)/inputs!$N$12))</f>
        <v>16.615600478343499</v>
      </c>
      <c r="U604" s="63">
        <f>IF((((inputs!$P$12/(X604/MAX(K604:S604)))^(1/inputs!$O$12))-1)/inputs!$N$12&lt;0, 0, IF((((inputs!$P$12/(X604/MAX(K604:S604)))^(1/inputs!$O$12))-1)/inputs!$N$12&gt;inputs!$H$17, inputs!$H$17, (((inputs!$P$12/(X604/MAX(K604:S604)))^(1/inputs!$O$12))-1)/inputs!$N$12))</f>
        <v>0</v>
      </c>
      <c r="V604" s="54">
        <f>inputs!$E$70*(inputs!$F$70/F604)^(0.25)</f>
        <v>0.94637216723279016</v>
      </c>
      <c r="W604" s="54">
        <f>inputs!$E$76*(inputs!$F$76/F604)^(0.25)</f>
        <v>0.28465089829711249</v>
      </c>
      <c r="X604" s="54">
        <f>inputs!$E$72*(inputs!$F$72/F604)^(0.25)</f>
        <v>41.751713260270158</v>
      </c>
      <c r="Y604" s="54" t="s">
        <v>13</v>
      </c>
      <c r="Z604" s="106">
        <f t="shared" si="76"/>
        <v>6.4968553898941019</v>
      </c>
      <c r="AA604" s="106">
        <f t="shared" si="77"/>
        <v>21.599942780136608</v>
      </c>
    </row>
    <row r="605" spans="1:27" x14ac:dyDescent="0.25">
      <c r="A605" s="55" t="s">
        <v>563</v>
      </c>
      <c r="B605" s="49" t="s">
        <v>564</v>
      </c>
      <c r="C605" s="21" t="s">
        <v>61</v>
      </c>
      <c r="D605" s="20" t="s">
        <v>443</v>
      </c>
      <c r="E605" s="20">
        <v>10</v>
      </c>
      <c r="F605" s="21">
        <v>800</v>
      </c>
      <c r="G605" s="21" t="s">
        <v>158</v>
      </c>
      <c r="H605" s="21">
        <v>0.85</v>
      </c>
      <c r="I605" s="48">
        <f>MAX('Min rate concentrations'!$F$3:$F$368)</f>
        <v>67.5</v>
      </c>
      <c r="J605" s="48">
        <f>MAX('Min rate concentrations'!Y:Y)</f>
        <v>22.5</v>
      </c>
      <c r="K605" s="60">
        <f t="shared" si="74"/>
        <v>15.155032764277392</v>
      </c>
      <c r="L605" s="60">
        <f>(((0.621*F605^0.564)/(1-H605)))*J605/F605</f>
        <v>5.0516775880924643</v>
      </c>
      <c r="M605" s="60">
        <f>IF((((0.326*F605^0.818)-(0.398*F605^0.85)/(1-H605)*H605)*(MAX('Min rate concentrations'!$P$3:$P$368)))/F605&gt;0, (((0.326*F605^0.818)-(0.398*F605^0.85)/(1-H605)*H605)*(MAX('Min rate concentrations'!$P$3:$P$368)))/F605, 0)</f>
        <v>0</v>
      </c>
      <c r="N605" s="60">
        <f>IF((((0.326*F605^0.818)-(0.398*F605^0.85)/(1-H605)*H605)*(MAX('Min rate concentrations'!$Q$3:$Q$368)))/F605&gt; 0, (((0.326*F605^0.818)-(0.398*F605^0.85)/(1-H605)*H605)*(MAX('Min rate concentrations'!$Q$3:$Q$368)))/F605, 0)</f>
        <v>0</v>
      </c>
      <c r="O605" s="60">
        <f>((MAX('Min rate concentrations'!$F$3:$F$368))*0.62*6.01*8*(12.3*F605^0.65)*0.079*0.1/F605)*inputs!$E$73/inputs!$E$74</f>
        <v>4.347989944372384</v>
      </c>
      <c r="P605" s="60">
        <f>((MAX('Min rate concentrations'!Y:Y))*0.62*6.01*8*(12.3*F605^0.65)*0.079*0.1/F605)*inputs!$E$73/inputs!$E$74</f>
        <v>1.4493299814574612</v>
      </c>
      <c r="Q605" s="60">
        <f>(inputs!$C$7*11.2*(12.3*F605^0.65)*0.5/F605)*inputs!$E$73/inputs!$E$74</f>
        <v>0.76587792106710151</v>
      </c>
      <c r="R605" s="60">
        <f>(60*379*((F605/1000)^0.8)*3*24*(MAX('Min rate concentrations'!$R$3:$R$368))/F605)*(inputs!$E$73/inputs!$E$75)</f>
        <v>1.9237979627382185E-3</v>
      </c>
      <c r="S605" s="60">
        <f>(IF(inputs!$C$6="aerial",((0.025*0.112*inputs!$C$7/3.3)*(3*60*379*((F605/1000)^0.8))*MAX(inputs!$H$14:$H$16))/F605,((0.0083*0.112*inputs!$C$7/1)*(3*60*379*((F605/1000)^0.8))*MAX(inputs!$H$14:$H$16))/F605))*(inputs!E$75/inputs!$E$73)</f>
        <v>1.0609863959395392E-2</v>
      </c>
      <c r="T605" s="63">
        <f>IF((((inputs!$P$12/(V605/MAX(K605:S605)))^(1/inputs!$O$12))-1)/inputs!$N$12&lt;0, 0, IF((((inputs!$P$12/(V605/MAX(K605:S605)))^(1/inputs!$O$12))-1)/inputs!$N$12&gt;inputs!$H$17, inputs!$H$17, (((inputs!$P$12/(V605/MAX(K605:S605)))^(1/inputs!$O$12))-1)/inputs!$N$12))</f>
        <v>36.610776724340354</v>
      </c>
      <c r="U605" s="63">
        <f>IF((((inputs!$P$12/(X605/MAX(K605:S605)))^(1/inputs!$O$12))-1)/inputs!$N$12&lt;0, 0, IF((((inputs!$P$12/(X605/MAX(K605:S605)))^(1/inputs!$O$12))-1)/inputs!$N$12&gt;inputs!$H$17, inputs!$H$17, (((inputs!$P$12/(X605/MAX(K605:S605)))^(1/inputs!$O$12))-1)/inputs!$N$12))</f>
        <v>0</v>
      </c>
      <c r="V605" s="54">
        <f>inputs!$E$70*(inputs!$F$70/F605)^(0.25)</f>
        <v>0.94637216723279016</v>
      </c>
      <c r="W605" s="54">
        <f>inputs!$E$76*(inputs!$F$76/F605)^(0.25)</f>
        <v>0.28465089829711249</v>
      </c>
      <c r="X605" s="54">
        <f>inputs!$E$72*(inputs!$F$72/F605)^(0.25)</f>
        <v>41.751713260270158</v>
      </c>
      <c r="Y605" s="54" t="s">
        <v>13</v>
      </c>
      <c r="Z605" s="106">
        <f t="shared" si="76"/>
        <v>16.013819181296288</v>
      </c>
      <c r="AA605" s="106">
        <f t="shared" si="77"/>
        <v>53.24076914894853</v>
      </c>
    </row>
    <row r="606" spans="1:27" x14ac:dyDescent="0.25">
      <c r="A606" s="55" t="s">
        <v>563</v>
      </c>
      <c r="B606" s="49" t="s">
        <v>564</v>
      </c>
      <c r="C606" s="21" t="s">
        <v>61</v>
      </c>
      <c r="D606" s="20" t="s">
        <v>443</v>
      </c>
      <c r="E606" s="20">
        <v>10</v>
      </c>
      <c r="F606" s="21">
        <v>800</v>
      </c>
      <c r="G606" s="21" t="s">
        <v>154</v>
      </c>
      <c r="H606" s="21">
        <v>9.2999999999999999E-2</v>
      </c>
      <c r="I606" s="48">
        <f>MAX('Min rate concentrations'!$G$3:$G$368)</f>
        <v>7.5</v>
      </c>
      <c r="J606" s="48">
        <f>MAX('Min rate concentrations'!Z:Z)</f>
        <v>3.5</v>
      </c>
      <c r="K606" s="60">
        <f t="shared" ref="K606:K637" si="80">(((0.621*F606^0.564)/(1-H606)))*I606/F606</f>
        <v>0.27848277773387342</v>
      </c>
      <c r="L606" s="60"/>
      <c r="M606" s="60">
        <f>IF((((0.326*F606^0.818)-(0.398*F606^0.85)/(1-H606)*H606)*(MAX('Min rate concentrations'!$P$3:$P$368)))/F606&gt;0, (((0.326*F606^0.818)-(0.398*F606^0.85)/(1-H606)*H606)*(MAX('Min rate concentrations'!$P$3:$P$368)))/F606, 0)</f>
        <v>1.1844131176666918E-2</v>
      </c>
      <c r="N606" s="60">
        <f>IF((((0.326*F606^0.818)-(0.398*F606^0.85)/(1-H606)*H606)*(MAX('Min rate concentrations'!$Q$3:$Q$368)))/F606&gt; 0, (((0.326*F606^0.818)-(0.398*F606^0.85)/(1-H606)*H606)*(MAX('Min rate concentrations'!$Q$3:$Q$368)))/F606, 0)</f>
        <v>4.5103087925874627E-2</v>
      </c>
      <c r="O606" s="60">
        <f>((MAX('Min rate concentrations'!$F$3:$F$368))*0.62*6.01*8*(12.3*F606^0.65)*0.079*0.1/F606)*inputs!$E$73/inputs!$E$74</f>
        <v>4.347989944372384</v>
      </c>
      <c r="P606" s="60"/>
      <c r="Q606" s="60">
        <f>(inputs!$C$7*11.2*(12.3*F606^0.65)*0.5/F606)*inputs!$E$73/inputs!$E$74</f>
        <v>0.76587792106710151</v>
      </c>
      <c r="R606" s="60">
        <f>(60*379*((F606/1000)^0.8)*3*24*(MAX('Min rate concentrations'!$R$3:$R$368))/F606)*(inputs!$E$73/inputs!$E$75)</f>
        <v>1.9237979627382185E-3</v>
      </c>
      <c r="S606" s="60">
        <f>(IF(inputs!$C$6="aerial",((0.025*0.112*inputs!$C$7/3.3)*(3*60*379*((F606/1000)^0.8))*MAX(inputs!$H$14:$H$16))/F606,((0.0083*0.112*inputs!$C$7/1)*(3*60*379*((F606/1000)^0.8))*MAX(inputs!$H$14:$H$16))/F606))*(inputs!E$75/inputs!$E$73)</f>
        <v>1.0609863959395392E-2</v>
      </c>
      <c r="T606" s="63">
        <f>IF((((inputs!$P$12/(V606/MAX(K606:S606)))^(1/inputs!$O$12))-1)/inputs!$N$12&lt;0, 0, IF((((inputs!$P$12/(V606/MAX(K606:S606)))^(1/inputs!$O$12))-1)/inputs!$N$12&gt;inputs!$H$17, inputs!$H$17, (((inputs!$P$12/(V606/MAX(K606:S606)))^(1/inputs!$O$12))-1)/inputs!$N$12))</f>
        <v>10.686554188672709</v>
      </c>
      <c r="U606" s="63">
        <f>IF((((inputs!$P$12/(X606/MAX(K606:S606)))^(1/inputs!$O$12))-1)/inputs!$N$12&lt;0, 0, IF((((inputs!$P$12/(X606/MAX(K606:S606)))^(1/inputs!$O$12))-1)/inputs!$N$12&gt;inputs!$H$17, inputs!$H$17, (((inputs!$P$12/(X606/MAX(K606:S606)))^(1/inputs!$O$12))-1)/inputs!$N$12))</f>
        <v>0</v>
      </c>
      <c r="V606" s="54">
        <f>inputs!$E$70*(inputs!$F$70/F606)^(0.25)</f>
        <v>0.94637216723279016</v>
      </c>
      <c r="W606" s="54">
        <f>inputs!$E$76*(inputs!$F$76/F606)^(0.25)</f>
        <v>0.28465089829711249</v>
      </c>
      <c r="X606" s="54">
        <f>inputs!$E$72*(inputs!$F$72/F606)^(0.25)</f>
        <v>41.751713260270158</v>
      </c>
      <c r="Y606" s="54" t="s">
        <v>13</v>
      </c>
      <c r="Z606" s="106">
        <f t="shared" si="76"/>
        <v>4.5943763932597337</v>
      </c>
      <c r="AA606" s="106">
        <f t="shared" si="77"/>
        <v>15.274815468293536</v>
      </c>
    </row>
    <row r="607" spans="1:27" x14ac:dyDescent="0.25">
      <c r="A607" s="55" t="s">
        <v>563</v>
      </c>
      <c r="B607" s="49" t="s">
        <v>564</v>
      </c>
      <c r="C607" s="21" t="s">
        <v>61</v>
      </c>
      <c r="D607" s="20" t="s">
        <v>443</v>
      </c>
      <c r="E607" s="20">
        <v>6334</v>
      </c>
      <c r="F607" s="21">
        <v>800</v>
      </c>
      <c r="G607" s="21" t="s">
        <v>142</v>
      </c>
      <c r="H607" s="21">
        <v>0.69</v>
      </c>
      <c r="I607" s="48">
        <f>MAX('Min rate concentrations'!$H$3:$H$368)</f>
        <v>47</v>
      </c>
      <c r="J607" s="48">
        <f>MAX('Min rate concentrations'!AA:AA)</f>
        <v>32.5</v>
      </c>
      <c r="K607" s="60">
        <f t="shared" si="80"/>
        <v>5.10599670194292</v>
      </c>
      <c r="L607" s="60">
        <f>(((0.621*F607^0.564)/(1-H607)))*J607/F607</f>
        <v>3.5307424002796792</v>
      </c>
      <c r="M607" s="60">
        <f>IF((((0.326*F607^0.818)-(0.398*F607^0.85)/(1-H607)*H607)*(MAX('Min rate concentrations'!$P$3:$P$368)))/F607&gt;0, (((0.326*F607^0.818)-(0.398*F607^0.85)/(1-H607)*H607)*(MAX('Min rate concentrations'!$P$3:$P$368)))/F607, 0)</f>
        <v>0</v>
      </c>
      <c r="N607" s="60">
        <f>IF((((0.326*F607^0.818)-(0.398*F607^0.85)/(1-H607)*H607)*(MAX('Min rate concentrations'!$Q$3:$Q$368)))/F607&gt; 0, (((0.326*F607^0.818)-(0.398*F607^0.85)/(1-H607)*H607)*(MAX('Min rate concentrations'!$Q$3:$Q$368)))/F607, 0)</f>
        <v>0</v>
      </c>
      <c r="O607" s="60">
        <f>((MAX('Min rate concentrations'!$F$3:$F$368))*0.62*6.01*8*(12.3*F607^0.65)*0.079*0.1/F607)*inputs!$E$73/inputs!$E$74</f>
        <v>4.347989944372384</v>
      </c>
      <c r="P607" s="60">
        <f>((MAX('Min rate concentrations'!Y:Y))*0.62*6.01*8*(12.3*F607^0.65)*0.079*0.1/F607)*inputs!$E$73/inputs!$E$74</f>
        <v>1.4493299814574612</v>
      </c>
      <c r="Q607" s="60">
        <f>(inputs!$C$7*11.2*(12.3*F607^0.65)*0.5/F607)*inputs!$E$73/inputs!$E$74</f>
        <v>0.76587792106710151</v>
      </c>
      <c r="R607" s="60">
        <f>(60*379*((F607/1000)^0.8)*3*24*(MAX('Min rate concentrations'!$R$3:$R$368))/F607)*(inputs!$E$73/inputs!$E$75)</f>
        <v>1.9237979627382185E-3</v>
      </c>
      <c r="S607" s="60">
        <f>(IF(inputs!$C$6="aerial",((0.025*0.112*inputs!$C$7/3.3)*(3*60*379*((F607/1000)^0.8))*MAX(inputs!$H$14:$H$16))/F607,((0.0083*0.112*inputs!$C$7/1)*(3*60*379*((F607/1000)^0.8))*MAX(inputs!$H$14:$H$16))/F607))*(inputs!E$75/inputs!$E$73)</f>
        <v>1.0609863959395392E-2</v>
      </c>
      <c r="T607" s="63">
        <f>IF((((inputs!$P$12/(V607/MAX(K607:S607)))^(1/inputs!$O$12))-1)/inputs!$N$12&lt;0, 0, IF((((inputs!$P$12/(V607/MAX(K607:S607)))^(1/inputs!$O$12))-1)/inputs!$N$12&gt;inputs!$H$17, inputs!$H$17, (((inputs!$P$12/(V607/MAX(K607:S607)))^(1/inputs!$O$12))-1)/inputs!$N$12))</f>
        <v>13.332803452762459</v>
      </c>
      <c r="U607" s="63">
        <f>IF((((inputs!$P$12/(X607/MAX(K607:S607)))^(1/inputs!$O$12))-1)/inputs!$N$12&lt;0, 0, IF((((inputs!$P$12/(X607/MAX(K607:S607)))^(1/inputs!$O$12))-1)/inputs!$N$12&gt;inputs!$H$17, inputs!$H$17, (((inputs!$P$12/(X607/MAX(K607:S607)))^(1/inputs!$O$12))-1)/inputs!$N$12))</f>
        <v>0</v>
      </c>
      <c r="V607" s="54">
        <f>inputs!$E$70*(inputs!$F$70/F607)^(0.25)</f>
        <v>0.94637216723279016</v>
      </c>
      <c r="W607" s="54">
        <f>inputs!$E$76*(inputs!$F$76/F607)^(0.25)</f>
        <v>0.28465089829711249</v>
      </c>
      <c r="X607" s="54">
        <f>inputs!$E$72*(inputs!$F$72/F607)^(0.25)</f>
        <v>41.751713260270158</v>
      </c>
      <c r="Y607" s="54" t="s">
        <v>13</v>
      </c>
      <c r="Z607" s="106">
        <f t="shared" si="76"/>
        <v>5.3953369284654151</v>
      </c>
      <c r="AA607" s="106">
        <f t="shared" si="77"/>
        <v>17.93775017921563</v>
      </c>
    </row>
    <row r="608" spans="1:27" x14ac:dyDescent="0.25">
      <c r="A608" s="55" t="s">
        <v>563</v>
      </c>
      <c r="B608" s="49" t="s">
        <v>564</v>
      </c>
      <c r="C608" s="21" t="s">
        <v>61</v>
      </c>
      <c r="D608" s="20" t="s">
        <v>443</v>
      </c>
      <c r="E608" s="20">
        <v>6334</v>
      </c>
      <c r="F608" s="21">
        <v>800</v>
      </c>
      <c r="G608" s="21" t="s">
        <v>138</v>
      </c>
      <c r="H608" s="21">
        <v>0.68</v>
      </c>
      <c r="I608" s="48">
        <f>MAX('Min rate concentrations'!$L$3:$L$368)</f>
        <v>58.421240152220811</v>
      </c>
      <c r="J608" s="48">
        <f>MAX('Min rate concentrations'!AD:AD)</f>
        <v>40.397666062705881</v>
      </c>
      <c r="K608" s="60">
        <f t="shared" si="80"/>
        <v>6.1484431155321149</v>
      </c>
      <c r="L608" s="60">
        <f>(((0.621*F608^0.564)/(1-H608)))*J608/F608</f>
        <v>4.2515830054211436</v>
      </c>
      <c r="M608" s="60">
        <f>IF((((0.326*F608^0.818)-(0.398*F608^0.85)/(1-H608)*H608)*(MAX('Min rate concentrations'!$P$3:$P$368)))/F608&gt;0, (((0.326*F608^0.818)-(0.398*F608^0.85)/(1-H608)*H608)*(MAX('Min rate concentrations'!$P$3:$P$368)))/F608, 0)</f>
        <v>0</v>
      </c>
      <c r="N608" s="60">
        <f>IF((((0.326*F608^0.818)-(0.398*F608^0.85)/(1-H608)*H608)*(MAX('Min rate concentrations'!$Q$3:$Q$368)))/F608&gt; 0, (((0.326*F608^0.818)-(0.398*F608^0.85)/(1-H608)*H608)*(MAX('Min rate concentrations'!$Q$3:$Q$368)))/F608, 0)</f>
        <v>0</v>
      </c>
      <c r="O608" s="60">
        <f>((MAX('Min rate concentrations'!$F$3:$F$368))*0.62*6.01*8*(12.3*F608^0.65)*0.079*0.1/F608)*inputs!$E$73/inputs!$E$74</f>
        <v>4.347989944372384</v>
      </c>
      <c r="P608" s="60">
        <f>((MAX('Min rate concentrations'!Y:Y))*0.62*6.01*8*(12.3*F608^0.65)*0.079*0.1/F608)*inputs!$E$73/inputs!$E$74</f>
        <v>1.4493299814574612</v>
      </c>
      <c r="Q608" s="60">
        <f>(inputs!$C$7*11.2*(12.3*F608^0.65)*0.5/F608)*inputs!$E$73/inputs!$E$74</f>
        <v>0.76587792106710151</v>
      </c>
      <c r="R608" s="60">
        <f>(60*379*((F608/1000)^0.8)*3*24*(MAX('Min rate concentrations'!$R$3:$R$368))/F608)*(inputs!$E$73/inputs!$E$75)</f>
        <v>1.9237979627382185E-3</v>
      </c>
      <c r="S608" s="60">
        <f>(IF(inputs!$C$6="aerial",((0.025*0.112*inputs!$C$7/3.3)*(3*60*379*((F608/1000)^0.8))*MAX(inputs!$H$14:$H$16))/F608,((0.0083*0.112*inputs!$C$7/1)*(3*60*379*((F608/1000)^0.8))*MAX(inputs!$H$14:$H$16))/F608))*(inputs!E$75/inputs!$E$73)</f>
        <v>1.0609863959395392E-2</v>
      </c>
      <c r="T608" s="63">
        <f>IF((((inputs!$P$12/(V608/MAX(K608:S608)))^(1/inputs!$O$12))-1)/inputs!$N$12&lt;0, 0, IF((((inputs!$P$12/(V608/MAX(K608:S608)))^(1/inputs!$O$12))-1)/inputs!$N$12&gt;inputs!$H$17, inputs!$H$17, (((inputs!$P$12/(V608/MAX(K608:S608)))^(1/inputs!$O$12))-1)/inputs!$N$12))</f>
        <v>16.615600478343499</v>
      </c>
      <c r="U608" s="63">
        <f>IF((((inputs!$P$12/(X608/MAX(K608:S608)))^(1/inputs!$O$12))-1)/inputs!$N$12&lt;0, 0, IF((((inputs!$P$12/(X608/MAX(K608:S608)))^(1/inputs!$O$12))-1)/inputs!$N$12&gt;inputs!$H$17, inputs!$H$17, (((inputs!$P$12/(X608/MAX(K608:S608)))^(1/inputs!$O$12))-1)/inputs!$N$12))</f>
        <v>0</v>
      </c>
      <c r="V608" s="54">
        <f>inputs!$E$70*(inputs!$F$70/F608)^(0.25)</f>
        <v>0.94637216723279016</v>
      </c>
      <c r="W608" s="54">
        <f>inputs!$E$76*(inputs!$F$76/F608)^(0.25)</f>
        <v>0.28465089829711249</v>
      </c>
      <c r="X608" s="54">
        <f>inputs!$E$72*(inputs!$F$72/F608)^(0.25)</f>
        <v>41.751713260270158</v>
      </c>
      <c r="Y608" s="54" t="s">
        <v>13</v>
      </c>
      <c r="Z608" s="106">
        <f t="shared" si="76"/>
        <v>6.4968553898941019</v>
      </c>
      <c r="AA608" s="106">
        <f t="shared" si="77"/>
        <v>21.599942780136608</v>
      </c>
    </row>
    <row r="609" spans="1:27" x14ac:dyDescent="0.25">
      <c r="A609" s="55" t="s">
        <v>563</v>
      </c>
      <c r="B609" s="49" t="s">
        <v>564</v>
      </c>
      <c r="C609" s="21" t="s">
        <v>61</v>
      </c>
      <c r="D609" s="20" t="s">
        <v>443</v>
      </c>
      <c r="E609" s="20">
        <v>6334</v>
      </c>
      <c r="F609" s="21">
        <v>800</v>
      </c>
      <c r="G609" s="21" t="s">
        <v>158</v>
      </c>
      <c r="H609" s="21">
        <v>0.85</v>
      </c>
      <c r="I609" s="48">
        <f>MAX('Min rate concentrations'!$F$3:$F$368)</f>
        <v>67.5</v>
      </c>
      <c r="J609" s="48">
        <f>MAX('Min rate concentrations'!Y:Y)</f>
        <v>22.5</v>
      </c>
      <c r="K609" s="60">
        <f t="shared" si="80"/>
        <v>15.155032764277392</v>
      </c>
      <c r="L609" s="60">
        <f>(((0.621*F609^0.564)/(1-H609)))*J609/F609</f>
        <v>5.0516775880924643</v>
      </c>
      <c r="M609" s="60">
        <f>IF((((0.326*F609^0.818)-(0.398*F609^0.85)/(1-H609)*H609)*(MAX('Min rate concentrations'!$P$3:$P$368)))/F609&gt;0, (((0.326*F609^0.818)-(0.398*F609^0.85)/(1-H609)*H609)*(MAX('Min rate concentrations'!$P$3:$P$368)))/F609, 0)</f>
        <v>0</v>
      </c>
      <c r="N609" s="60">
        <f>IF((((0.326*F609^0.818)-(0.398*F609^0.85)/(1-H609)*H609)*(MAX('Min rate concentrations'!$Q$3:$Q$368)))/F609&gt; 0, (((0.326*F609^0.818)-(0.398*F609^0.85)/(1-H609)*H609)*(MAX('Min rate concentrations'!$Q$3:$Q$368)))/F609, 0)</f>
        <v>0</v>
      </c>
      <c r="O609" s="60">
        <f>((MAX('Min rate concentrations'!$F$3:$F$368))*0.62*6.01*8*(12.3*F609^0.65)*0.079*0.1/F609)*inputs!$E$73/inputs!$E$74</f>
        <v>4.347989944372384</v>
      </c>
      <c r="P609" s="60">
        <f>((MAX('Min rate concentrations'!Y:Y))*0.62*6.01*8*(12.3*F609^0.65)*0.079*0.1/F609)*inputs!$E$73/inputs!$E$74</f>
        <v>1.4493299814574612</v>
      </c>
      <c r="Q609" s="60">
        <f>(inputs!$C$7*11.2*(12.3*F609^0.65)*0.5/F609)*inputs!$E$73/inputs!$E$74</f>
        <v>0.76587792106710151</v>
      </c>
      <c r="R609" s="60">
        <f>(60*379*((F609/1000)^0.8)*3*24*(MAX('Min rate concentrations'!$R$3:$R$368))/F609)*(inputs!$E$73/inputs!$E$75)</f>
        <v>1.9237979627382185E-3</v>
      </c>
      <c r="S609" s="60">
        <f>(IF(inputs!$C$6="aerial",((0.025*0.112*inputs!$C$7/3.3)*(3*60*379*((F609/1000)^0.8))*MAX(inputs!$H$14:$H$16))/F609,((0.0083*0.112*inputs!$C$7/1)*(3*60*379*((F609/1000)^0.8))*MAX(inputs!$H$14:$H$16))/F609))*(inputs!E$75/inputs!$E$73)</f>
        <v>1.0609863959395392E-2</v>
      </c>
      <c r="T609" s="63">
        <f>IF((((inputs!$P$12/(V609/MAX(K609:S609)))^(1/inputs!$O$12))-1)/inputs!$N$12&lt;0, 0, IF((((inputs!$P$12/(V609/MAX(K609:S609)))^(1/inputs!$O$12))-1)/inputs!$N$12&gt;inputs!$H$17, inputs!$H$17, (((inputs!$P$12/(V609/MAX(K609:S609)))^(1/inputs!$O$12))-1)/inputs!$N$12))</f>
        <v>36.610776724340354</v>
      </c>
      <c r="U609" s="63">
        <f>IF((((inputs!$P$12/(X609/MAX(K609:S609)))^(1/inputs!$O$12))-1)/inputs!$N$12&lt;0, 0, IF((((inputs!$P$12/(X609/MAX(K609:S609)))^(1/inputs!$O$12))-1)/inputs!$N$12&gt;inputs!$H$17, inputs!$H$17, (((inputs!$P$12/(X609/MAX(K609:S609)))^(1/inputs!$O$12))-1)/inputs!$N$12))</f>
        <v>0</v>
      </c>
      <c r="V609" s="54">
        <f>inputs!$E$70*(inputs!$F$70/F609)^(0.25)</f>
        <v>0.94637216723279016</v>
      </c>
      <c r="W609" s="54">
        <f>inputs!$E$76*(inputs!$F$76/F609)^(0.25)</f>
        <v>0.28465089829711249</v>
      </c>
      <c r="X609" s="54">
        <f>inputs!$E$72*(inputs!$F$72/F609)^(0.25)</f>
        <v>41.751713260270158</v>
      </c>
      <c r="Y609" s="54" t="s">
        <v>13</v>
      </c>
      <c r="Z609" s="106">
        <f t="shared" si="76"/>
        <v>16.013819181296288</v>
      </c>
      <c r="AA609" s="106">
        <f t="shared" si="77"/>
        <v>53.24076914894853</v>
      </c>
    </row>
    <row r="610" spans="1:27" x14ac:dyDescent="0.25">
      <c r="A610" s="55" t="s">
        <v>563</v>
      </c>
      <c r="B610" s="49" t="s">
        <v>564</v>
      </c>
      <c r="C610" s="21" t="s">
        <v>61</v>
      </c>
      <c r="D610" s="20" t="s">
        <v>443</v>
      </c>
      <c r="E610" s="20">
        <v>6334</v>
      </c>
      <c r="F610" s="21">
        <v>800</v>
      </c>
      <c r="G610" s="21" t="s">
        <v>154</v>
      </c>
      <c r="H610" s="21">
        <v>9.2999999999999999E-2</v>
      </c>
      <c r="I610" s="48">
        <f>MAX('Min rate concentrations'!$G$3:$G$368)</f>
        <v>7.5</v>
      </c>
      <c r="J610" s="48">
        <f>MAX('Min rate concentrations'!Z:Z)</f>
        <v>3.5</v>
      </c>
      <c r="K610" s="60">
        <f t="shared" si="80"/>
        <v>0.27848277773387342</v>
      </c>
      <c r="L610" s="60"/>
      <c r="M610" s="60">
        <f>IF((((0.326*F610^0.818)-(0.398*F610^0.85)/(1-H610)*H610)*(MAX('Min rate concentrations'!$P$3:$P$368)))/F610&gt;0, (((0.326*F610^0.818)-(0.398*F610^0.85)/(1-H610)*H610)*(MAX('Min rate concentrations'!$P$3:$P$368)))/F610, 0)</f>
        <v>1.1844131176666918E-2</v>
      </c>
      <c r="N610" s="60">
        <f>IF((((0.326*F610^0.818)-(0.398*F610^0.85)/(1-H610)*H610)*(MAX('Min rate concentrations'!$Q$3:$Q$368)))/F610&gt; 0, (((0.326*F610^0.818)-(0.398*F610^0.85)/(1-H610)*H610)*(MAX('Min rate concentrations'!$Q$3:$Q$368)))/F610, 0)</f>
        <v>4.5103087925874627E-2</v>
      </c>
      <c r="O610" s="60">
        <f>((MAX('Min rate concentrations'!$F$3:$F$368))*0.62*6.01*8*(12.3*F610^0.65)*0.079*0.1/F610)*inputs!$E$73/inputs!$E$74</f>
        <v>4.347989944372384</v>
      </c>
      <c r="P610" s="60"/>
      <c r="Q610" s="60">
        <f>(inputs!$C$7*11.2*(12.3*F610^0.65)*0.5/F610)*inputs!$E$73/inputs!$E$74</f>
        <v>0.76587792106710151</v>
      </c>
      <c r="R610" s="60">
        <f>(60*379*((F610/1000)^0.8)*3*24*(MAX('Min rate concentrations'!$R$3:$R$368))/F610)*(inputs!$E$73/inputs!$E$75)</f>
        <v>1.9237979627382185E-3</v>
      </c>
      <c r="S610" s="60">
        <f>(IF(inputs!$C$6="aerial",((0.025*0.112*inputs!$C$7/3.3)*(3*60*379*((F610/1000)^0.8))*MAX(inputs!$H$14:$H$16))/F610,((0.0083*0.112*inputs!$C$7/1)*(3*60*379*((F610/1000)^0.8))*MAX(inputs!$H$14:$H$16))/F610))*(inputs!E$75/inputs!$E$73)</f>
        <v>1.0609863959395392E-2</v>
      </c>
      <c r="T610" s="63">
        <f>IF((((inputs!$P$12/(V610/MAX(K610:S610)))^(1/inputs!$O$12))-1)/inputs!$N$12&lt;0, 0, IF((((inputs!$P$12/(V610/MAX(K610:S610)))^(1/inputs!$O$12))-1)/inputs!$N$12&gt;inputs!$H$17, inputs!$H$17, (((inputs!$P$12/(V610/MAX(K610:S610)))^(1/inputs!$O$12))-1)/inputs!$N$12))</f>
        <v>10.686554188672709</v>
      </c>
      <c r="U610" s="63">
        <f>IF((((inputs!$P$12/(X610/MAX(K610:S610)))^(1/inputs!$O$12))-1)/inputs!$N$12&lt;0, 0, IF((((inputs!$P$12/(X610/MAX(K610:S610)))^(1/inputs!$O$12))-1)/inputs!$N$12&gt;inputs!$H$17, inputs!$H$17, (((inputs!$P$12/(X610/MAX(K610:S610)))^(1/inputs!$O$12))-1)/inputs!$N$12))</f>
        <v>0</v>
      </c>
      <c r="V610" s="54">
        <f>inputs!$E$70*(inputs!$F$70/F610)^(0.25)</f>
        <v>0.94637216723279016</v>
      </c>
      <c r="W610" s="54">
        <f>inputs!$E$76*(inputs!$F$76/F610)^(0.25)</f>
        <v>0.28465089829711249</v>
      </c>
      <c r="X610" s="54">
        <f>inputs!$E$72*(inputs!$F$72/F610)^(0.25)</f>
        <v>41.751713260270158</v>
      </c>
      <c r="Y610" s="54" t="s">
        <v>13</v>
      </c>
      <c r="Z610" s="106">
        <f t="shared" si="76"/>
        <v>4.5943763932597337</v>
      </c>
      <c r="AA610" s="106">
        <f t="shared" si="77"/>
        <v>15.274815468293536</v>
      </c>
    </row>
    <row r="611" spans="1:27" ht="26.4" x14ac:dyDescent="0.25">
      <c r="A611" s="55" t="s">
        <v>511</v>
      </c>
      <c r="B611" s="49" t="s">
        <v>512</v>
      </c>
      <c r="C611" s="21" t="s">
        <v>61</v>
      </c>
      <c r="D611" s="20" t="s">
        <v>443</v>
      </c>
      <c r="E611" s="20">
        <v>60</v>
      </c>
      <c r="F611" s="21">
        <v>34</v>
      </c>
      <c r="G611" s="21" t="s">
        <v>169</v>
      </c>
      <c r="H611" s="21">
        <v>0.79</v>
      </c>
      <c r="I611" s="48">
        <f>MAX('Min rate concentrations'!$D$3:$D$368)</f>
        <v>120</v>
      </c>
      <c r="J611" s="48">
        <f>MAX('Min rate concentrations'!W:W)</f>
        <v>42.5</v>
      </c>
      <c r="K611" s="60">
        <f t="shared" si="80"/>
        <v>76.265609193030642</v>
      </c>
      <c r="L611" s="60">
        <f>(((0.621*F611^0.564)/(1-H611)))*J611/F611</f>
        <v>27.010736589198356</v>
      </c>
      <c r="M611" s="60">
        <f>IF((((0.326*F611^0.818)-(0.398*F611^0.85)/(1-H611)*H611)*(MAX('Min rate concentrations'!$P$3:$P$368)))/F611&gt;0, (((0.326*F611^0.818)-(0.398*F611^0.85)/(1-H611)*H611)*(MAX('Min rate concentrations'!$P$3:$P$368)))/F611, 0)</f>
        <v>0</v>
      </c>
      <c r="N611" s="60">
        <f>IF((((0.326*F611^0.818)-(0.398*F611^0.85)/(1-H611)*H611)*(MAX('Min rate concentrations'!$Q$3:$Q$368)))/F611&gt; 0, (((0.326*F611^0.818)-(0.398*F611^0.85)/(1-H611)*H611)*(MAX('Min rate concentrations'!$Q$3:$Q$368)))/F611, 0)</f>
        <v>0</v>
      </c>
      <c r="O611" s="60">
        <f>((MAX('Min rate concentrations'!$F$3:$F$368))*0.62*6.01*8*(12.3*F611^0.65)*0.079*0.1/F611)*inputs!$E$73/inputs!$E$74</f>
        <v>13.132651074214952</v>
      </c>
      <c r="P611" s="60">
        <f>((MAX('Min rate concentrations'!Y:Y))*0.62*6.01*8*(12.3*F611^0.65)*0.079*0.1/F611)*inputs!$E$73/inputs!$E$74</f>
        <v>4.3775503580716499</v>
      </c>
      <c r="Q611" s="60">
        <f>(inputs!$C$7*11.2*(12.3*F611^0.65)*0.5/F611)*inputs!$E$73/inputs!$E$74</f>
        <v>2.3132545455486833</v>
      </c>
      <c r="R611" s="60">
        <f>(60*379*((F611/1000)^0.8)*3*24*(MAX('Min rate concentrations'!$R$3:$R$368))/F611)*(inputs!$E$73/inputs!$E$75)</f>
        <v>3.618109234116487E-3</v>
      </c>
      <c r="S611" s="60">
        <f>(IF(inputs!$C$6="aerial",((0.025*0.112*inputs!$C$7/3.3)*(3*60*379*((F611/1000)^0.8))*MAX(inputs!$H$14:$H$16))/F611,((0.0083*0.112*inputs!$C$7/1)*(3*60*379*((F611/1000)^0.8))*MAX(inputs!$H$14:$H$16))/F611))*(inputs!E$75/inputs!$E$73)</f>
        <v>1.995409471666635E-2</v>
      </c>
      <c r="T611" s="63">
        <f>IF((((inputs!$P$12/(V611/MAX(K611:S611)))^(1/inputs!$O$12))-1)/inputs!$N$12&lt;0, 0, IF((((inputs!$P$12/(V611/MAX(K611:S611)))^(1/inputs!$O$12))-1)/inputs!$N$12&gt;inputs!$H$17, inputs!$H$17, (((inputs!$P$12/(V611/MAX(K611:S611)))^(1/inputs!$O$12))-1)/inputs!$N$12))</f>
        <v>62.616851925597004</v>
      </c>
      <c r="U611" s="63">
        <f>IF((((inputs!$P$12/(X611/MAX(K611:S611)))^(1/inputs!$O$12))-1)/inputs!$N$12&lt;0, 0, IF((((inputs!$P$12/(X611/MAX(K611:S611)))^(1/inputs!$O$12))-1)/inputs!$N$12&gt;inputs!$H$17, inputs!$H$17, (((inputs!$P$12/(X611/MAX(K611:S611)))^(1/inputs!$O$12))-1)/inputs!$N$12))</f>
        <v>0</v>
      </c>
      <c r="V611" s="54">
        <f>inputs!$E$70*(inputs!$F$70/F611)^(0.25)</f>
        <v>2.0843215881497379</v>
      </c>
      <c r="W611" s="54">
        <f>inputs!$E$76*(inputs!$F$76/F611)^(0.25)</f>
        <v>0.62692462114742753</v>
      </c>
      <c r="X611" s="54">
        <f>inputs!$E$72*(inputs!$F$72/F611)^(0.25)</f>
        <v>91.955364183076668</v>
      </c>
      <c r="Y611" s="54" t="s">
        <v>13</v>
      </c>
      <c r="Z611" s="106">
        <f t="shared" si="76"/>
        <v>36.590135431419668</v>
      </c>
      <c r="AA611" s="106">
        <f t="shared" si="77"/>
        <v>121.65036532373807</v>
      </c>
    </row>
    <row r="612" spans="1:27" ht="26.4" x14ac:dyDescent="0.25">
      <c r="A612" s="55" t="s">
        <v>511</v>
      </c>
      <c r="B612" s="49" t="s">
        <v>512</v>
      </c>
      <c r="C612" s="21" t="s">
        <v>61</v>
      </c>
      <c r="D612" s="20" t="s">
        <v>443</v>
      </c>
      <c r="E612" s="20">
        <v>60</v>
      </c>
      <c r="F612" s="21">
        <v>34</v>
      </c>
      <c r="G612" s="21" t="s">
        <v>154</v>
      </c>
      <c r="H612" s="21">
        <v>9.2999999999999999E-2</v>
      </c>
      <c r="I612" s="48">
        <f>MAX('Min rate concentrations'!$G$3:$G$368)</f>
        <v>7.5</v>
      </c>
      <c r="J612" s="48">
        <f>MAX('Min rate concentrations'!Z:Z)</f>
        <v>3.5</v>
      </c>
      <c r="K612" s="60">
        <f t="shared" si="80"/>
        <v>1.1036230657756638</v>
      </c>
      <c r="L612" s="60"/>
      <c r="M612" s="60">
        <f>IF((((0.326*F612^0.818)-(0.398*F612^0.85)/(1-H612)*H612)*(MAX('Min rate concentrations'!$P$3:$P$368)))/F612&gt;0, (((0.326*F612^0.818)-(0.398*F612^0.85)/(1-H612)*H612)*(MAX('Min rate concentrations'!$P$3:$P$368)))/F612, 0)</f>
        <v>2.1415566024772022E-2</v>
      </c>
      <c r="N612" s="60">
        <f>IF((((0.326*F612^0.818)-(0.398*F612^0.85)/(1-H612)*H612)*(MAX('Min rate concentrations'!$Q$3:$Q$368)))/F612&gt; 0, (((0.326*F612^0.818)-(0.398*F612^0.85)/(1-H612)*H612)*(MAX('Min rate concentrations'!$Q$3:$Q$368)))/F612, 0)</f>
        <v>8.1551626116782322E-2</v>
      </c>
      <c r="O612" s="60">
        <f>((MAX('Min rate concentrations'!$F$3:$F$368))*0.62*6.01*8*(12.3*F612^0.65)*0.079*0.1/F612)*inputs!$E$73/inputs!$E$74</f>
        <v>13.132651074214952</v>
      </c>
      <c r="P612" s="60"/>
      <c r="Q612" s="60">
        <f>(inputs!$C$7*11.2*(12.3*F612^0.65)*0.5/F612)*inputs!$E$73/inputs!$E$74</f>
        <v>2.3132545455486833</v>
      </c>
      <c r="R612" s="60">
        <f>(60*379*((F612/1000)^0.8)*3*24*(MAX('Min rate concentrations'!$R$3:$R$368))/F612)*(inputs!$E$73/inputs!$E$75)</f>
        <v>3.618109234116487E-3</v>
      </c>
      <c r="S612" s="60">
        <f>(IF(inputs!$C$6="aerial",((0.025*0.112*inputs!$C$7/3.3)*(3*60*379*((F612/1000)^0.8))*MAX(inputs!$H$14:$H$16))/F612,((0.0083*0.112*inputs!$C$7/1)*(3*60*379*((F612/1000)^0.8))*MAX(inputs!$H$14:$H$16))/F612))*(inputs!E$75/inputs!$E$73)</f>
        <v>1.995409471666635E-2</v>
      </c>
      <c r="T612" s="63">
        <f>IF((((inputs!$P$12/(V612/MAX(K612:S612)))^(1/inputs!$O$12))-1)/inputs!$N$12&lt;0, 0, IF((((inputs!$P$12/(V612/MAX(K612:S612)))^(1/inputs!$O$12))-1)/inputs!$N$12&gt;inputs!$H$17, inputs!$H$17, (((inputs!$P$12/(V612/MAX(K612:S612)))^(1/inputs!$O$12))-1)/inputs!$N$12))</f>
        <v>16.056600750984014</v>
      </c>
      <c r="U612" s="63">
        <f>IF((((inputs!$P$12/(X612/MAX(K612:S612)))^(1/inputs!$O$12))-1)/inputs!$N$12&lt;0, 0, IF((((inputs!$P$12/(X612/MAX(K612:S612)))^(1/inputs!$O$12))-1)/inputs!$N$12&gt;inputs!$H$17, inputs!$H$17, (((inputs!$P$12/(X612/MAX(K612:S612)))^(1/inputs!$O$12))-1)/inputs!$N$12))</f>
        <v>0</v>
      </c>
      <c r="V612" s="54">
        <f>inputs!$E$70*(inputs!$F$70/F612)^(0.25)</f>
        <v>2.0843215881497379</v>
      </c>
      <c r="W612" s="54">
        <f>inputs!$E$76*(inputs!$F$76/F612)^(0.25)</f>
        <v>0.62692462114742753</v>
      </c>
      <c r="X612" s="54">
        <f>inputs!$E$72*(inputs!$F$72/F612)^(0.25)</f>
        <v>91.955364183076668</v>
      </c>
      <c r="Y612" s="54" t="s">
        <v>13</v>
      </c>
      <c r="Z612" s="106">
        <f t="shared" si="76"/>
        <v>6.3006837087327145</v>
      </c>
      <c r="AA612" s="106">
        <f t="shared" si="77"/>
        <v>20.947735391503596</v>
      </c>
    </row>
    <row r="613" spans="1:27" x14ac:dyDescent="0.25">
      <c r="A613" s="55" t="s">
        <v>478</v>
      </c>
      <c r="B613" s="49" t="s">
        <v>479</v>
      </c>
      <c r="C613" s="21" t="s">
        <v>61</v>
      </c>
      <c r="D613" s="20" t="s">
        <v>443</v>
      </c>
      <c r="E613" s="20">
        <v>37</v>
      </c>
      <c r="F613" s="21">
        <v>34</v>
      </c>
      <c r="G613" s="21" t="s">
        <v>142</v>
      </c>
      <c r="H613" s="21">
        <v>0.69</v>
      </c>
      <c r="I613" s="48">
        <f>MAX('Min rate concentrations'!$H$3:$H$368)</f>
        <v>47</v>
      </c>
      <c r="J613" s="48">
        <f>MAX('Min rate concentrations'!AA:AA)</f>
        <v>32.5</v>
      </c>
      <c r="K613" s="60">
        <f t="shared" si="80"/>
        <v>20.234988245570221</v>
      </c>
      <c r="L613" s="60">
        <f>(((0.621*F613^0.564)/(1-H613)))*J613/F613</f>
        <v>13.992279105979408</v>
      </c>
      <c r="M613" s="60">
        <f>IF((((0.326*F613^0.818)-(0.398*F613^0.85)/(1-H613)*H613)*(MAX('Min rate concentrations'!$P$3:$P$368)))/F613&gt;0, (((0.326*F613^0.818)-(0.398*F613^0.85)/(1-H613)*H613)*(MAX('Min rate concentrations'!$P$3:$P$368)))/F613, 0)</f>
        <v>0</v>
      </c>
      <c r="N613" s="60">
        <f>IF((((0.326*F613^0.818)-(0.398*F613^0.85)/(1-H613)*H613)*(MAX('Min rate concentrations'!$Q$3:$Q$368)))/F613&gt; 0, (((0.326*F613^0.818)-(0.398*F613^0.85)/(1-H613)*H613)*(MAX('Min rate concentrations'!$Q$3:$Q$368)))/F613, 0)</f>
        <v>0</v>
      </c>
      <c r="O613" s="60">
        <f>((MAX('Min rate concentrations'!$F$3:$F$368))*0.62*6.01*8*(12.3*F613^0.65)*0.079*0.1/F613)*inputs!$E$73/inputs!$E$74</f>
        <v>13.132651074214952</v>
      </c>
      <c r="P613" s="60">
        <f>((MAX('Min rate concentrations'!Y:Y))*0.62*6.01*8*(12.3*F613^0.65)*0.079*0.1/F613)*inputs!$E$73/inputs!$E$74</f>
        <v>4.3775503580716499</v>
      </c>
      <c r="Q613" s="60">
        <f>(inputs!$C$7*11.2*(12.3*F613^0.65)*0.5/F613)*inputs!$E$73/inputs!$E$74</f>
        <v>2.3132545455486833</v>
      </c>
      <c r="R613" s="60">
        <f>(60*379*((F613/1000)^0.8)*3*24*(MAX('Min rate concentrations'!$R$3:$R$368))/F613)*(inputs!$E$73/inputs!$E$75)</f>
        <v>3.618109234116487E-3</v>
      </c>
      <c r="S613" s="60">
        <f>(IF(inputs!$C$6="aerial",((0.025*0.112*inputs!$C$7/3.3)*(3*60*379*((F613/1000)^0.8))*MAX(inputs!$H$14:$H$16))/F613,((0.0083*0.112*inputs!$C$7/1)*(3*60*379*((F613/1000)^0.8))*MAX(inputs!$H$14:$H$16))/F613))*(inputs!E$75/inputs!$E$73)</f>
        <v>1.995409471666635E-2</v>
      </c>
      <c r="T613" s="63">
        <f>IF((((inputs!$P$12/(V613/MAX(K613:S613)))^(1/inputs!$O$12))-1)/inputs!$N$12&lt;0, 0, IF((((inputs!$P$12/(V613/MAX(K613:S613)))^(1/inputs!$O$12))-1)/inputs!$N$12&gt;inputs!$H$17, inputs!$H$17, (((inputs!$P$12/(V613/MAX(K613:S613)))^(1/inputs!$O$12))-1)/inputs!$N$12))</f>
        <v>24.620383358941449</v>
      </c>
      <c r="U613" s="63">
        <f>IF((((inputs!$P$12/(X613/MAX(K613:S613)))^(1/inputs!$O$12))-1)/inputs!$N$12&lt;0, 0, IF((((inputs!$P$12/(X613/MAX(K613:S613)))^(1/inputs!$O$12))-1)/inputs!$N$12&gt;inputs!$H$17, inputs!$H$17, (((inputs!$P$12/(X613/MAX(K613:S613)))^(1/inputs!$O$12))-1)/inputs!$N$12))</f>
        <v>0</v>
      </c>
      <c r="V613" s="54">
        <f>inputs!$E$70*(inputs!$F$70/F613)^(0.25)</f>
        <v>2.0843215881497379</v>
      </c>
      <c r="W613" s="54">
        <f>inputs!$E$76*(inputs!$F$76/F613)^(0.25)</f>
        <v>0.62692462114742753</v>
      </c>
      <c r="X613" s="54">
        <f>inputs!$E$72*(inputs!$F$72/F613)^(0.25)</f>
        <v>91.955364183076668</v>
      </c>
      <c r="Y613" s="54" t="s">
        <v>13</v>
      </c>
      <c r="Z613" s="106">
        <f t="shared" si="76"/>
        <v>9.7081891588202165</v>
      </c>
      <c r="AA613" s="106">
        <f t="shared" si="77"/>
        <v>32.276588864120818</v>
      </c>
    </row>
    <row r="614" spans="1:27" x14ac:dyDescent="0.25">
      <c r="A614" s="55" t="s">
        <v>478</v>
      </c>
      <c r="B614" s="49" t="s">
        <v>479</v>
      </c>
      <c r="C614" s="21" t="s">
        <v>61</v>
      </c>
      <c r="D614" s="20" t="s">
        <v>443</v>
      </c>
      <c r="E614" s="20">
        <v>37</v>
      </c>
      <c r="F614" s="21">
        <v>34</v>
      </c>
      <c r="G614" s="21" t="s">
        <v>169</v>
      </c>
      <c r="H614" s="21">
        <v>0.79</v>
      </c>
      <c r="I614" s="48">
        <f>MAX('Min rate concentrations'!$D$3:$D$368)</f>
        <v>120</v>
      </c>
      <c r="J614" s="48">
        <f>MAX('Min rate concentrations'!W:W)</f>
        <v>42.5</v>
      </c>
      <c r="K614" s="60">
        <f t="shared" si="80"/>
        <v>76.265609193030642</v>
      </c>
      <c r="L614" s="60">
        <f>(((0.621*F614^0.564)/(1-H614)))*J614/F614</f>
        <v>27.010736589198356</v>
      </c>
      <c r="M614" s="60">
        <f>IF((((0.326*F614^0.818)-(0.398*F614^0.85)/(1-H614)*H614)*(MAX('Min rate concentrations'!$P$3:$P$368)))/F614&gt;0, (((0.326*F614^0.818)-(0.398*F614^0.85)/(1-H614)*H614)*(MAX('Min rate concentrations'!$P$3:$P$368)))/F614, 0)</f>
        <v>0</v>
      </c>
      <c r="N614" s="60">
        <f>IF((((0.326*F614^0.818)-(0.398*F614^0.85)/(1-H614)*H614)*(MAX('Min rate concentrations'!$Q$3:$Q$368)))/F614&gt; 0, (((0.326*F614^0.818)-(0.398*F614^0.85)/(1-H614)*H614)*(MAX('Min rate concentrations'!$Q$3:$Q$368)))/F614, 0)</f>
        <v>0</v>
      </c>
      <c r="O614" s="60">
        <f>((MAX('Min rate concentrations'!$F$3:$F$368))*0.62*6.01*8*(12.3*F614^0.65)*0.079*0.1/F614)*inputs!$E$73/inputs!$E$74</f>
        <v>13.132651074214952</v>
      </c>
      <c r="P614" s="60">
        <f>((MAX('Min rate concentrations'!Y:Y))*0.62*6.01*8*(12.3*F614^0.65)*0.079*0.1/F614)*inputs!$E$73/inputs!$E$74</f>
        <v>4.3775503580716499</v>
      </c>
      <c r="Q614" s="60">
        <f>(inputs!$C$7*11.2*(12.3*F614^0.65)*0.5/F614)*inputs!$E$73/inputs!$E$74</f>
        <v>2.3132545455486833</v>
      </c>
      <c r="R614" s="60">
        <f>(60*379*((F614/1000)^0.8)*3*24*(MAX('Min rate concentrations'!$R$3:$R$368))/F614)*(inputs!$E$73/inputs!$E$75)</f>
        <v>3.618109234116487E-3</v>
      </c>
      <c r="S614" s="60">
        <f>(IF(inputs!$C$6="aerial",((0.025*0.112*inputs!$C$7/3.3)*(3*60*379*((F614/1000)^0.8))*MAX(inputs!$H$14:$H$16))/F614,((0.0083*0.112*inputs!$C$7/1)*(3*60*379*((F614/1000)^0.8))*MAX(inputs!$H$14:$H$16))/F614))*(inputs!E$75/inputs!$E$73)</f>
        <v>1.995409471666635E-2</v>
      </c>
      <c r="T614" s="63">
        <f>IF((((inputs!$P$12/(V614/MAX(K614:S614)))^(1/inputs!$O$12))-1)/inputs!$N$12&lt;0, 0, IF((((inputs!$P$12/(V614/MAX(K614:S614)))^(1/inputs!$O$12))-1)/inputs!$N$12&gt;inputs!$H$17, inputs!$H$17, (((inputs!$P$12/(V614/MAX(K614:S614)))^(1/inputs!$O$12))-1)/inputs!$N$12))</f>
        <v>62.616851925597004</v>
      </c>
      <c r="U614" s="63">
        <f>IF((((inputs!$P$12/(X614/MAX(K614:S614)))^(1/inputs!$O$12))-1)/inputs!$N$12&lt;0, 0, IF((((inputs!$P$12/(X614/MAX(K614:S614)))^(1/inputs!$O$12))-1)/inputs!$N$12&gt;inputs!$H$17, inputs!$H$17, (((inputs!$P$12/(X614/MAX(K614:S614)))^(1/inputs!$O$12))-1)/inputs!$N$12))</f>
        <v>0</v>
      </c>
      <c r="V614" s="54">
        <f>inputs!$E$70*(inputs!$F$70/F614)^(0.25)</f>
        <v>2.0843215881497379</v>
      </c>
      <c r="W614" s="54">
        <f>inputs!$E$76*(inputs!$F$76/F614)^(0.25)</f>
        <v>0.62692462114742753</v>
      </c>
      <c r="X614" s="54">
        <f>inputs!$E$72*(inputs!$F$72/F614)^(0.25)</f>
        <v>91.955364183076668</v>
      </c>
      <c r="Y614" s="54" t="s">
        <v>13</v>
      </c>
      <c r="Z614" s="106">
        <f t="shared" si="76"/>
        <v>36.590135431419668</v>
      </c>
      <c r="AA614" s="106">
        <f t="shared" si="77"/>
        <v>121.65036532373807</v>
      </c>
    </row>
    <row r="615" spans="1:27" x14ac:dyDescent="0.25">
      <c r="A615" s="55" t="s">
        <v>478</v>
      </c>
      <c r="B615" s="49" t="s">
        <v>479</v>
      </c>
      <c r="C615" s="21" t="s">
        <v>61</v>
      </c>
      <c r="D615" s="20" t="s">
        <v>443</v>
      </c>
      <c r="E615" s="20">
        <v>37</v>
      </c>
      <c r="F615" s="21">
        <v>34</v>
      </c>
      <c r="G615" s="21" t="s">
        <v>177</v>
      </c>
      <c r="H615" s="21">
        <v>0.85</v>
      </c>
      <c r="I615" s="48">
        <f>MAX('Min rate concentrations'!$F$3:$F$368)</f>
        <v>67.5</v>
      </c>
      <c r="J615" s="48">
        <f>MAX('Min rate concentrations'!Y:Y)</f>
        <v>22.5</v>
      </c>
      <c r="K615" s="60">
        <f t="shared" si="80"/>
        <v>60.059167239511616</v>
      </c>
      <c r="L615" s="60">
        <f>(((0.621*F615^0.564)/(1-H615)))*J615/F615</f>
        <v>20.019722413170538</v>
      </c>
      <c r="M615" s="60">
        <f>IF((((0.326*F615^0.818)-(0.398*F615^0.85)/(1-H615)*H615)*(MAX('Min rate concentrations'!$P$3:$P$368)))/F615&gt;0, (((0.326*F615^0.818)-(0.398*F615^0.85)/(1-H615)*H615)*(MAX('Min rate concentrations'!$P$3:$P$368)))/F615, 0)</f>
        <v>0</v>
      </c>
      <c r="N615" s="60">
        <f>IF((((0.326*F615^0.818)-(0.398*F615^0.85)/(1-H615)*H615)*(MAX('Min rate concentrations'!$Q$3:$Q$368)))/F615&gt; 0, (((0.326*F615^0.818)-(0.398*F615^0.85)/(1-H615)*H615)*(MAX('Min rate concentrations'!$Q$3:$Q$368)))/F615, 0)</f>
        <v>0</v>
      </c>
      <c r="O615" s="60">
        <f>((MAX('Min rate concentrations'!$F$3:$F$368))*0.62*6.01*8*(12.3*F615^0.65)*0.079*0.1/F615)*inputs!$E$73/inputs!$E$74</f>
        <v>13.132651074214952</v>
      </c>
      <c r="P615" s="60">
        <f>((MAX('Min rate concentrations'!Y:Y))*0.62*6.01*8*(12.3*F615^0.65)*0.079*0.1/F615)*inputs!$E$73/inputs!$E$74</f>
        <v>4.3775503580716499</v>
      </c>
      <c r="Q615" s="60">
        <f>(inputs!$C$7*11.2*(12.3*F615^0.65)*0.5/F615)*inputs!$E$73/inputs!$E$74</f>
        <v>2.3132545455486833</v>
      </c>
      <c r="R615" s="60">
        <f>(60*379*((F615/1000)^0.8)*3*24*(MAX('Min rate concentrations'!$R$3:$R$368))/F615)*(inputs!$E$73/inputs!$E$75)</f>
        <v>3.618109234116487E-3</v>
      </c>
      <c r="S615" s="60">
        <f>(IF(inputs!$C$6="aerial",((0.025*0.112*inputs!$C$7/3.3)*(3*60*379*((F615/1000)^0.8))*MAX(inputs!$H$14:$H$16))/F615,((0.0083*0.112*inputs!$C$7/1)*(3*60*379*((F615/1000)^0.8))*MAX(inputs!$H$14:$H$16))/F615))*(inputs!E$75/inputs!$E$73)</f>
        <v>1.995409471666635E-2</v>
      </c>
      <c r="T615" s="63">
        <f>IF((((inputs!$P$12/(V615/MAX(K615:S615)))^(1/inputs!$O$12))-1)/inputs!$N$12&lt;0, 0, IF((((inputs!$P$12/(V615/MAX(K615:S615)))^(1/inputs!$O$12))-1)/inputs!$N$12&gt;inputs!$H$17, inputs!$H$17, (((inputs!$P$12/(V615/MAX(K615:S615)))^(1/inputs!$O$12))-1)/inputs!$N$12))</f>
        <v>54.180857627014518</v>
      </c>
      <c r="U615" s="63">
        <f>IF((((inputs!$P$12/(X615/MAX(K615:S615)))^(1/inputs!$O$12))-1)/inputs!$N$12&lt;0, 0, IF((((inputs!$P$12/(X615/MAX(K615:S615)))^(1/inputs!$O$12))-1)/inputs!$N$12&gt;inputs!$H$17, inputs!$H$17, (((inputs!$P$12/(X615/MAX(K615:S615)))^(1/inputs!$O$12))-1)/inputs!$N$12))</f>
        <v>0</v>
      </c>
      <c r="V615" s="54">
        <f>inputs!$E$70*(inputs!$F$70/F615)^(0.25)</f>
        <v>2.0843215881497379</v>
      </c>
      <c r="W615" s="54">
        <f>inputs!$E$76*(inputs!$F$76/F615)^(0.25)</f>
        <v>0.62692462114742753</v>
      </c>
      <c r="X615" s="54">
        <f>inputs!$E$72*(inputs!$F$72/F615)^(0.25)</f>
        <v>91.955364183076668</v>
      </c>
      <c r="Y615" s="54" t="s">
        <v>13</v>
      </c>
      <c r="Z615" s="106">
        <f t="shared" si="76"/>
        <v>28.814731652242983</v>
      </c>
      <c r="AA615" s="106">
        <f t="shared" si="77"/>
        <v>95.799662692443704</v>
      </c>
    </row>
    <row r="616" spans="1:27" x14ac:dyDescent="0.25">
      <c r="A616" s="55" t="s">
        <v>478</v>
      </c>
      <c r="B616" s="49" t="s">
        <v>479</v>
      </c>
      <c r="C616" s="21" t="s">
        <v>61</v>
      </c>
      <c r="D616" s="20" t="s">
        <v>443</v>
      </c>
      <c r="E616" s="20">
        <v>37</v>
      </c>
      <c r="F616" s="21">
        <v>34</v>
      </c>
      <c r="G616" s="21" t="s">
        <v>154</v>
      </c>
      <c r="H616" s="21">
        <v>9.2999999999999999E-2</v>
      </c>
      <c r="I616" s="48">
        <f>MAX('Min rate concentrations'!$G$3:$G$368)</f>
        <v>7.5</v>
      </c>
      <c r="J616" s="48">
        <f>MAX('Min rate concentrations'!Z:Z)</f>
        <v>3.5</v>
      </c>
      <c r="K616" s="60">
        <f t="shared" si="80"/>
        <v>1.1036230657756638</v>
      </c>
      <c r="L616" s="60"/>
      <c r="M616" s="60">
        <f>IF((((0.326*F616^0.818)-(0.398*F616^0.85)/(1-H616)*H616)*(MAX('Min rate concentrations'!$P$3:$P$368)))/F616&gt;0, (((0.326*F616^0.818)-(0.398*F616^0.85)/(1-H616)*H616)*(MAX('Min rate concentrations'!$P$3:$P$368)))/F616, 0)</f>
        <v>2.1415566024772022E-2</v>
      </c>
      <c r="N616" s="60">
        <f>IF((((0.326*F616^0.818)-(0.398*F616^0.85)/(1-H616)*H616)*(MAX('Min rate concentrations'!$Q$3:$Q$368)))/F616&gt; 0, (((0.326*F616^0.818)-(0.398*F616^0.85)/(1-H616)*H616)*(MAX('Min rate concentrations'!$Q$3:$Q$368)))/F616, 0)</f>
        <v>8.1551626116782322E-2</v>
      </c>
      <c r="O616" s="60">
        <f>((MAX('Min rate concentrations'!$F$3:$F$368))*0.62*6.01*8*(12.3*F616^0.65)*0.079*0.1/F616)*inputs!$E$73/inputs!$E$74</f>
        <v>13.132651074214952</v>
      </c>
      <c r="P616" s="60"/>
      <c r="Q616" s="60">
        <f>(inputs!$C$7*11.2*(12.3*F616^0.65)*0.5/F616)*inputs!$E$73/inputs!$E$74</f>
        <v>2.3132545455486833</v>
      </c>
      <c r="R616" s="60">
        <f>(60*379*((F616/1000)^0.8)*3*24*(MAX('Min rate concentrations'!$R$3:$R$368))/F616)*(inputs!$E$73/inputs!$E$75)</f>
        <v>3.618109234116487E-3</v>
      </c>
      <c r="S616" s="60">
        <f>(IF(inputs!$C$6="aerial",((0.025*0.112*inputs!$C$7/3.3)*(3*60*379*((F616/1000)^0.8))*MAX(inputs!$H$14:$H$16))/F616,((0.0083*0.112*inputs!$C$7/1)*(3*60*379*((F616/1000)^0.8))*MAX(inputs!$H$14:$H$16))/F616))*(inputs!E$75/inputs!$E$73)</f>
        <v>1.995409471666635E-2</v>
      </c>
      <c r="T616" s="63">
        <f>IF((((inputs!$P$12/(V616/MAX(K616:S616)))^(1/inputs!$O$12))-1)/inputs!$N$12&lt;0, 0, IF((((inputs!$P$12/(V616/MAX(K616:S616)))^(1/inputs!$O$12))-1)/inputs!$N$12&gt;inputs!$H$17, inputs!$H$17, (((inputs!$P$12/(V616/MAX(K616:S616)))^(1/inputs!$O$12))-1)/inputs!$N$12))</f>
        <v>16.056600750984014</v>
      </c>
      <c r="U616" s="63">
        <f>IF((((inputs!$P$12/(X616/MAX(K616:S616)))^(1/inputs!$O$12))-1)/inputs!$N$12&lt;0, 0, IF((((inputs!$P$12/(X616/MAX(K616:S616)))^(1/inputs!$O$12))-1)/inputs!$N$12&gt;inputs!$H$17, inputs!$H$17, (((inputs!$P$12/(X616/MAX(K616:S616)))^(1/inputs!$O$12))-1)/inputs!$N$12))</f>
        <v>0</v>
      </c>
      <c r="V616" s="54">
        <f>inputs!$E$70*(inputs!$F$70/F616)^(0.25)</f>
        <v>2.0843215881497379</v>
      </c>
      <c r="W616" s="54">
        <f>inputs!$E$76*(inputs!$F$76/F616)^(0.25)</f>
        <v>0.62692462114742753</v>
      </c>
      <c r="X616" s="54">
        <f>inputs!$E$72*(inputs!$F$72/F616)^(0.25)</f>
        <v>91.955364183076668</v>
      </c>
      <c r="Y616" s="54" t="s">
        <v>13</v>
      </c>
      <c r="Z616" s="106">
        <f t="shared" si="76"/>
        <v>6.3006837087327145</v>
      </c>
      <c r="AA616" s="106">
        <f t="shared" si="77"/>
        <v>20.947735391503596</v>
      </c>
    </row>
    <row r="617" spans="1:27" x14ac:dyDescent="0.25">
      <c r="A617" s="55" t="s">
        <v>474</v>
      </c>
      <c r="B617" s="49" t="s">
        <v>475</v>
      </c>
      <c r="C617" s="21" t="s">
        <v>61</v>
      </c>
      <c r="D617" s="20" t="s">
        <v>443</v>
      </c>
      <c r="E617" s="20">
        <v>38</v>
      </c>
      <c r="F617" s="21">
        <v>151.4</v>
      </c>
      <c r="G617" s="21" t="s">
        <v>142</v>
      </c>
      <c r="H617" s="21">
        <v>0.69</v>
      </c>
      <c r="I617" s="48">
        <f>MAX('Min rate concentrations'!$H$3:$H$368)</f>
        <v>47</v>
      </c>
      <c r="J617" s="48">
        <f>MAX('Min rate concentrations'!AA:AA)</f>
        <v>32.5</v>
      </c>
      <c r="K617" s="60">
        <f t="shared" si="80"/>
        <v>10.550982014009769</v>
      </c>
      <c r="L617" s="60">
        <f>(((0.621*F617^0.564)/(1-H617)))*J617/F617</f>
        <v>7.2958918181982444</v>
      </c>
      <c r="M617" s="60">
        <f>IF((((0.326*F617^0.818)-(0.398*F617^0.85)/(1-H617)*H617)*(MAX('Min rate concentrations'!$P$3:$P$368)))/F617&gt;0, (((0.326*F617^0.818)-(0.398*F617^0.85)/(1-H617)*H617)*(MAX('Min rate concentrations'!$P$3:$P$368)))/F617, 0)</f>
        <v>0</v>
      </c>
      <c r="N617" s="60">
        <f>IF((((0.326*F617^0.818)-(0.398*F617^0.85)/(1-H617)*H617)*(MAX('Min rate concentrations'!$Q$3:$Q$368)))/F617&gt; 0, (((0.326*F617^0.818)-(0.398*F617^0.85)/(1-H617)*H617)*(MAX('Min rate concentrations'!$Q$3:$Q$368)))/F617, 0)</f>
        <v>0</v>
      </c>
      <c r="O617" s="60">
        <f>((MAX('Min rate concentrations'!$F$3:$F$368))*0.62*6.01*8*(12.3*F617^0.65)*0.079*0.1/F617)*inputs!$E$73/inputs!$E$74</f>
        <v>7.7862074428161447</v>
      </c>
      <c r="P617" s="60">
        <f>((MAX('Min rate concentrations'!Y:Y))*0.62*6.01*8*(12.3*F617^0.65)*0.079*0.1/F617)*inputs!$E$73/inputs!$E$74</f>
        <v>2.5954024809387142</v>
      </c>
      <c r="Q617" s="60">
        <f>(inputs!$C$7*11.2*(12.3*F617^0.65)*0.5/F617)*inputs!$E$73/inputs!$E$74</f>
        <v>1.3715037167966579</v>
      </c>
      <c r="R617" s="60">
        <f>(60*379*((F617/1000)^0.8)*3*24*(MAX('Min rate concentrations'!$R$3:$R$368))/F617)*(inputs!$E$73/inputs!$E$75)</f>
        <v>2.6838131893153982E-3</v>
      </c>
      <c r="S617" s="60">
        <f>(IF(inputs!$C$6="aerial",((0.025*0.112*inputs!$C$7/3.3)*(3*60*379*((F617/1000)^0.8))*MAX(inputs!$H$14:$H$16))/F617,((0.0083*0.112*inputs!$C$7/1)*(3*60*379*((F617/1000)^0.8))*MAX(inputs!$H$14:$H$16))/F617))*(inputs!E$75/inputs!$E$73)</f>
        <v>1.480139462801904E-2</v>
      </c>
      <c r="T617" s="63">
        <f>IF((((inputs!$P$12/(V617/MAX(K617:S617)))^(1/inputs!$O$12))-1)/inputs!$N$12&lt;0, 0, IF((((inputs!$P$12/(V617/MAX(K617:S617)))^(1/inputs!$O$12))-1)/inputs!$N$12&gt;inputs!$H$17, inputs!$H$17, (((inputs!$P$12/(V617/MAX(K617:S617)))^(1/inputs!$O$12))-1)/inputs!$N$12))</f>
        <v>18.945932558163985</v>
      </c>
      <c r="U617" s="63">
        <f>IF((((inputs!$P$12/(X617/MAX(K617:S617)))^(1/inputs!$O$12))-1)/inputs!$N$12&lt;0, 0, IF((((inputs!$P$12/(X617/MAX(K617:S617)))^(1/inputs!$O$12))-1)/inputs!$N$12&gt;inputs!$H$17, inputs!$H$17, (((inputs!$P$12/(X617/MAX(K617:S617)))^(1/inputs!$O$12))-1)/inputs!$N$12))</f>
        <v>0</v>
      </c>
      <c r="V617" s="54">
        <f>inputs!$E$70*(inputs!$F$70/F617)^(0.25)</f>
        <v>1.4348383873608308</v>
      </c>
      <c r="W617" s="54">
        <f>inputs!$E$76*(inputs!$F$76/F617)^(0.25)</f>
        <v>0.43157232430840808</v>
      </c>
      <c r="X617" s="54">
        <f>inputs!$E$72*(inputs!$F$72/F617)^(0.25)</f>
        <v>63.301693560036661</v>
      </c>
      <c r="Y617" s="54" t="s">
        <v>13</v>
      </c>
      <c r="Z617" s="106">
        <f t="shared" si="76"/>
        <v>7.3534288648470802</v>
      </c>
      <c r="AA617" s="106">
        <f t="shared" si="77"/>
        <v>24.447772527855328</v>
      </c>
    </row>
    <row r="618" spans="1:27" x14ac:dyDescent="0.25">
      <c r="A618" s="55" t="s">
        <v>474</v>
      </c>
      <c r="B618" s="49" t="s">
        <v>475</v>
      </c>
      <c r="C618" s="21" t="s">
        <v>61</v>
      </c>
      <c r="D618" s="20" t="s">
        <v>443</v>
      </c>
      <c r="E618" s="20">
        <v>38</v>
      </c>
      <c r="F618" s="21">
        <v>151.4</v>
      </c>
      <c r="G618" s="21" t="s">
        <v>169</v>
      </c>
      <c r="H618" s="21">
        <v>0.79</v>
      </c>
      <c r="I618" s="48">
        <f>MAX('Min rate concentrations'!$D$3:$D$368)</f>
        <v>120</v>
      </c>
      <c r="J618" s="48">
        <f>MAX('Min rate concentrations'!W:W)</f>
        <v>42.5</v>
      </c>
      <c r="K618" s="60">
        <f t="shared" si="80"/>
        <v>39.766619140948691</v>
      </c>
      <c r="L618" s="60">
        <f>(((0.621*F618^0.564)/(1-H618)))*J618/F618</f>
        <v>14.084010945752661</v>
      </c>
      <c r="M618" s="60">
        <f>IF((((0.326*F618^0.818)-(0.398*F618^0.85)/(1-H618)*H618)*(MAX('Min rate concentrations'!$P$3:$P$368)))/F618&gt;0, (((0.326*F618^0.818)-(0.398*F618^0.85)/(1-H618)*H618)*(MAX('Min rate concentrations'!$P$3:$P$368)))/F618, 0)</f>
        <v>0</v>
      </c>
      <c r="N618" s="60">
        <f>IF((((0.326*F618^0.818)-(0.398*F618^0.85)/(1-H618)*H618)*(MAX('Min rate concentrations'!$Q$3:$Q$368)))/F618&gt; 0, (((0.326*F618^0.818)-(0.398*F618^0.85)/(1-H618)*H618)*(MAX('Min rate concentrations'!$Q$3:$Q$368)))/F618, 0)</f>
        <v>0</v>
      </c>
      <c r="O618" s="60">
        <f>((MAX('Min rate concentrations'!$F$3:$F$368))*0.62*6.01*8*(12.3*F618^0.65)*0.079*0.1/F618)*inputs!$E$73/inputs!$E$74</f>
        <v>7.7862074428161447</v>
      </c>
      <c r="P618" s="60">
        <f>((MAX('Min rate concentrations'!Y:Y))*0.62*6.01*8*(12.3*F618^0.65)*0.079*0.1/F618)*inputs!$E$73/inputs!$E$74</f>
        <v>2.5954024809387142</v>
      </c>
      <c r="Q618" s="60">
        <f>(inputs!$C$7*11.2*(12.3*F618^0.65)*0.5/F618)*inputs!$E$73/inputs!$E$74</f>
        <v>1.3715037167966579</v>
      </c>
      <c r="R618" s="60">
        <f>(60*379*((F618/1000)^0.8)*3*24*(MAX('Min rate concentrations'!$R$3:$R$368))/F618)*(inputs!$E$73/inputs!$E$75)</f>
        <v>2.6838131893153982E-3</v>
      </c>
      <c r="S618" s="60">
        <f>(IF(inputs!$C$6="aerial",((0.025*0.112*inputs!$C$7/3.3)*(3*60*379*((F618/1000)^0.8))*MAX(inputs!$H$14:$H$16))/F618,((0.0083*0.112*inputs!$C$7/1)*(3*60*379*((F618/1000)^0.8))*MAX(inputs!$H$14:$H$16))/F618))*(inputs!E$75/inputs!$E$73)</f>
        <v>1.480139462801904E-2</v>
      </c>
      <c r="T618" s="63">
        <f>IF((((inputs!$P$12/(V618/MAX(K618:S618)))^(1/inputs!$O$12))-1)/inputs!$N$12&lt;0, 0, IF((((inputs!$P$12/(V618/MAX(K618:S618)))^(1/inputs!$O$12))-1)/inputs!$N$12&gt;inputs!$H$17, inputs!$H$17, (((inputs!$P$12/(V618/MAX(K618:S618)))^(1/inputs!$O$12))-1)/inputs!$N$12))</f>
        <v>52.882762270993624</v>
      </c>
      <c r="U618" s="63">
        <f>IF((((inputs!$P$12/(X618/MAX(K618:S618)))^(1/inputs!$O$12))-1)/inputs!$N$12&lt;0, 0, IF((((inputs!$P$12/(X618/MAX(K618:S618)))^(1/inputs!$O$12))-1)/inputs!$N$12&gt;inputs!$H$17, inputs!$H$17, (((inputs!$P$12/(X618/MAX(K618:S618)))^(1/inputs!$O$12))-1)/inputs!$N$12))</f>
        <v>0</v>
      </c>
      <c r="V618" s="54">
        <f>inputs!$E$70*(inputs!$F$70/F618)^(0.25)</f>
        <v>1.4348383873608308</v>
      </c>
      <c r="W618" s="54">
        <f>inputs!$E$76*(inputs!$F$76/F618)^(0.25)</f>
        <v>0.43157232430840808</v>
      </c>
      <c r="X618" s="54">
        <f>inputs!$E$72*(inputs!$F$72/F618)^(0.25)</f>
        <v>63.301693560036661</v>
      </c>
      <c r="Y618" s="54" t="s">
        <v>13</v>
      </c>
      <c r="Z618" s="106">
        <f t="shared" si="76"/>
        <v>27.715051040761043</v>
      </c>
      <c r="AA618" s="106">
        <f t="shared" si="77"/>
        <v>92.143580348147779</v>
      </c>
    </row>
    <row r="619" spans="1:27" x14ac:dyDescent="0.25">
      <c r="A619" s="55" t="s">
        <v>474</v>
      </c>
      <c r="B619" s="49" t="s">
        <v>475</v>
      </c>
      <c r="C619" s="21" t="s">
        <v>61</v>
      </c>
      <c r="D619" s="20" t="s">
        <v>443</v>
      </c>
      <c r="E619" s="20">
        <v>38</v>
      </c>
      <c r="F619" s="21">
        <v>151.4</v>
      </c>
      <c r="G619" s="21" t="s">
        <v>177</v>
      </c>
      <c r="H619" s="21">
        <v>0.85</v>
      </c>
      <c r="I619" s="48">
        <f>MAX('Min rate concentrations'!$F$3:$F$368)</f>
        <v>67.5</v>
      </c>
      <c r="J619" s="48">
        <f>MAX('Min rate concentrations'!Y:Y)</f>
        <v>22.5</v>
      </c>
      <c r="K619" s="60">
        <f t="shared" si="80"/>
        <v>31.316212573497086</v>
      </c>
      <c r="L619" s="60">
        <f>(((0.621*F619^0.564)/(1-H619)))*J619/F619</f>
        <v>10.438737524499029</v>
      </c>
      <c r="M619" s="60">
        <f>IF((((0.326*F619^0.818)-(0.398*F619^0.85)/(1-H619)*H619)*(MAX('Min rate concentrations'!$P$3:$P$368)))/F619&gt;0, (((0.326*F619^0.818)-(0.398*F619^0.85)/(1-H619)*H619)*(MAX('Min rate concentrations'!$P$3:$P$368)))/F619, 0)</f>
        <v>0</v>
      </c>
      <c r="N619" s="60">
        <f>IF((((0.326*F619^0.818)-(0.398*F619^0.85)/(1-H619)*H619)*(MAX('Min rate concentrations'!$Q$3:$Q$368)))/F619&gt; 0, (((0.326*F619^0.818)-(0.398*F619^0.85)/(1-H619)*H619)*(MAX('Min rate concentrations'!$Q$3:$Q$368)))/F619, 0)</f>
        <v>0</v>
      </c>
      <c r="O619" s="60">
        <f>((MAX('Min rate concentrations'!$F$3:$F$368))*0.62*6.01*8*(12.3*F619^0.65)*0.079*0.1/F619)*inputs!$E$73/inputs!$E$74</f>
        <v>7.7862074428161447</v>
      </c>
      <c r="P619" s="60">
        <f>((MAX('Min rate concentrations'!Y:Y))*0.62*6.01*8*(12.3*F619^0.65)*0.079*0.1/F619)*inputs!$E$73/inputs!$E$74</f>
        <v>2.5954024809387142</v>
      </c>
      <c r="Q619" s="60">
        <f>(inputs!$C$7*11.2*(12.3*F619^0.65)*0.5/F619)*inputs!$E$73/inputs!$E$74</f>
        <v>1.3715037167966579</v>
      </c>
      <c r="R619" s="60">
        <f>(60*379*((F619/1000)^0.8)*3*24*(MAX('Min rate concentrations'!$R$3:$R$368))/F619)*(inputs!$E$73/inputs!$E$75)</f>
        <v>2.6838131893153982E-3</v>
      </c>
      <c r="S619" s="60">
        <f>(IF(inputs!$C$6="aerial",((0.025*0.112*inputs!$C$7/3.3)*(3*60*379*((F619/1000)^0.8))*MAX(inputs!$H$14:$H$16))/F619,((0.0083*0.112*inputs!$C$7/1)*(3*60*379*((F619/1000)^0.8))*MAX(inputs!$H$14:$H$16))/F619))*(inputs!E$75/inputs!$E$73)</f>
        <v>1.480139462801904E-2</v>
      </c>
      <c r="T619" s="63">
        <f>IF((((inputs!$P$12/(V619/MAX(K619:S619)))^(1/inputs!$O$12))-1)/inputs!$N$12&lt;0, 0, IF((((inputs!$P$12/(V619/MAX(K619:S619)))^(1/inputs!$O$12))-1)/inputs!$N$12&gt;inputs!$H$17, inputs!$H$17, (((inputs!$P$12/(V619/MAX(K619:S619)))^(1/inputs!$O$12))-1)/inputs!$N$12))</f>
        <v>45.348090951021675</v>
      </c>
      <c r="U619" s="63">
        <f>IF((((inputs!$P$12/(X619/MAX(K619:S619)))^(1/inputs!$O$12))-1)/inputs!$N$12&lt;0, 0, IF((((inputs!$P$12/(X619/MAX(K619:S619)))^(1/inputs!$O$12))-1)/inputs!$N$12&gt;inputs!$H$17, inputs!$H$17, (((inputs!$P$12/(X619/MAX(K619:S619)))^(1/inputs!$O$12))-1)/inputs!$N$12))</f>
        <v>0</v>
      </c>
      <c r="V619" s="54">
        <f>inputs!$E$70*(inputs!$F$70/F619)^(0.25)</f>
        <v>1.4348383873608308</v>
      </c>
      <c r="W619" s="54">
        <f>inputs!$E$76*(inputs!$F$76/F619)^(0.25)</f>
        <v>0.43157232430840808</v>
      </c>
      <c r="X619" s="54">
        <f>inputs!$E$72*(inputs!$F$72/F619)^(0.25)</f>
        <v>63.301693560036661</v>
      </c>
      <c r="Y619" s="54" t="s">
        <v>13</v>
      </c>
      <c r="Z619" s="106">
        <f t="shared" si="76"/>
        <v>21.825602694599315</v>
      </c>
      <c r="AA619" s="106">
        <f t="shared" si="77"/>
        <v>72.563069524166352</v>
      </c>
    </row>
    <row r="620" spans="1:27" x14ac:dyDescent="0.25">
      <c r="A620" s="55" t="s">
        <v>474</v>
      </c>
      <c r="B620" s="49" t="s">
        <v>475</v>
      </c>
      <c r="C620" s="21" t="s">
        <v>61</v>
      </c>
      <c r="D620" s="20" t="s">
        <v>443</v>
      </c>
      <c r="E620" s="20">
        <v>38</v>
      </c>
      <c r="F620" s="21">
        <v>151.4</v>
      </c>
      <c r="G620" s="21" t="s">
        <v>154</v>
      </c>
      <c r="H620" s="21">
        <v>9.2999999999999999E-2</v>
      </c>
      <c r="I620" s="48">
        <f>MAX('Min rate concentrations'!$G$3:$G$368)</f>
        <v>7.5</v>
      </c>
      <c r="J620" s="48">
        <f>MAX('Min rate concentrations'!Z:Z)</f>
        <v>3.5</v>
      </c>
      <c r="K620" s="60">
        <f t="shared" si="80"/>
        <v>0.57545410829652865</v>
      </c>
      <c r="L620" s="60"/>
      <c r="M620" s="60">
        <f>IF((((0.326*F620^0.818)-(0.398*F620^0.85)/(1-H620)*H620)*(MAX('Min rate concentrations'!$P$3:$P$368)))/F620&gt;0, (((0.326*F620^0.818)-(0.398*F620^0.85)/(1-H620)*H620)*(MAX('Min rate concentrations'!$P$3:$P$368)))/F620, 0)</f>
        <v>1.6188140624341995E-2</v>
      </c>
      <c r="N620" s="60">
        <f>IF((((0.326*F620^0.818)-(0.398*F620^0.85)/(1-H620)*H620)*(MAX('Min rate concentrations'!$Q$3:$Q$368)))/F620&gt; 0, (((0.326*F620^0.818)-(0.398*F620^0.85)/(1-H620)*H620)*(MAX('Min rate concentrations'!$Q$3:$Q$368)))/F620, 0)</f>
        <v>6.1645309313569159E-2</v>
      </c>
      <c r="O620" s="60">
        <f>((MAX('Min rate concentrations'!$F$3:$F$368))*0.62*6.01*8*(12.3*F620^0.65)*0.079*0.1/F620)*inputs!$E$73/inputs!$E$74</f>
        <v>7.7862074428161447</v>
      </c>
      <c r="P620" s="60"/>
      <c r="Q620" s="60">
        <f>(inputs!$C$7*11.2*(12.3*F620^0.65)*0.5/F620)*inputs!$E$73/inputs!$E$74</f>
        <v>1.3715037167966579</v>
      </c>
      <c r="R620" s="60">
        <f>(60*379*((F620/1000)^0.8)*3*24*(MAX('Min rate concentrations'!$R$3:$R$368))/F620)*(inputs!$E$73/inputs!$E$75)</f>
        <v>2.6838131893153982E-3</v>
      </c>
      <c r="S620" s="60">
        <f>(IF(inputs!$C$6="aerial",((0.025*0.112*inputs!$C$7/3.3)*(3*60*379*((F620/1000)^0.8))*MAX(inputs!$H$14:$H$16))/F620,((0.0083*0.112*inputs!$C$7/1)*(3*60*379*((F620/1000)^0.8))*MAX(inputs!$H$14:$H$16))/F620))*(inputs!E$75/inputs!$E$73)</f>
        <v>1.480139462801904E-2</v>
      </c>
      <c r="T620" s="63">
        <f>IF((((inputs!$P$12/(V620/MAX(K620:S620)))^(1/inputs!$O$12))-1)/inputs!$N$12&lt;0, 0, IF((((inputs!$P$12/(V620/MAX(K620:S620)))^(1/inputs!$O$12))-1)/inputs!$N$12&gt;inputs!$H$17, inputs!$H$17, (((inputs!$P$12/(V620/MAX(K620:S620)))^(1/inputs!$O$12))-1)/inputs!$N$12))</f>
        <v>13.43101362764051</v>
      </c>
      <c r="U620" s="63">
        <f>IF((((inputs!$P$12/(X620/MAX(K620:S620)))^(1/inputs!$O$12))-1)/inputs!$N$12&lt;0, 0, IF((((inputs!$P$12/(X620/MAX(K620:S620)))^(1/inputs!$O$12))-1)/inputs!$N$12&gt;inputs!$H$17, inputs!$H$17, (((inputs!$P$12/(X620/MAX(K620:S620)))^(1/inputs!$O$12))-1)/inputs!$N$12))</f>
        <v>0</v>
      </c>
      <c r="V620" s="54">
        <f>inputs!$E$70*(inputs!$F$70/F620)^(0.25)</f>
        <v>1.4348383873608308</v>
      </c>
      <c r="W620" s="54">
        <f>inputs!$E$76*(inputs!$F$76/F620)^(0.25)</f>
        <v>0.43157232430840808</v>
      </c>
      <c r="X620" s="54">
        <f>inputs!$E$72*(inputs!$F$72/F620)^(0.25)</f>
        <v>63.301693560036661</v>
      </c>
      <c r="Y620" s="54" t="s">
        <v>13</v>
      </c>
      <c r="Z620" s="106">
        <f t="shared" si="76"/>
        <v>5.4265396795925573</v>
      </c>
      <c r="AA620" s="106">
        <f t="shared" si="77"/>
        <v>18.041489234263324</v>
      </c>
    </row>
    <row r="621" spans="1:27" x14ac:dyDescent="0.25">
      <c r="A621" s="55" t="s">
        <v>509</v>
      </c>
      <c r="B621" s="49" t="s">
        <v>510</v>
      </c>
      <c r="C621" s="21" t="s">
        <v>61</v>
      </c>
      <c r="D621" s="20" t="s">
        <v>443</v>
      </c>
      <c r="E621" s="20">
        <v>61</v>
      </c>
      <c r="F621" s="21">
        <v>28</v>
      </c>
      <c r="G621" s="21" t="s">
        <v>169</v>
      </c>
      <c r="H621" s="21">
        <v>0.79</v>
      </c>
      <c r="I621" s="48">
        <f>MAX('Min rate concentrations'!$D$3:$D$368)</f>
        <v>120</v>
      </c>
      <c r="J621" s="48">
        <f>MAX('Min rate concentrations'!W:W)</f>
        <v>42.5</v>
      </c>
      <c r="K621" s="60">
        <f t="shared" si="80"/>
        <v>83.002782187129611</v>
      </c>
      <c r="L621" s="60">
        <f t="shared" ref="L621:L630" si="81">(((0.621*F621^0.564)/(1-H621)))*J621/F621</f>
        <v>29.396818691275069</v>
      </c>
      <c r="M621" s="60">
        <f>IF((((0.326*F621^0.818)-(0.398*F621^0.85)/(1-H621)*H621)*(MAX('Min rate concentrations'!$P$3:$P$368)))/F621&gt;0, (((0.326*F621^0.818)-(0.398*F621^0.85)/(1-H621)*H621)*(MAX('Min rate concentrations'!$P$3:$P$368)))/F621, 0)</f>
        <v>0</v>
      </c>
      <c r="N621" s="60">
        <f>IF((((0.326*F621^0.818)-(0.398*F621^0.85)/(1-H621)*H621)*(MAX('Min rate concentrations'!$Q$3:$Q$368)))/F621&gt; 0, (((0.326*F621^0.818)-(0.398*F621^0.85)/(1-H621)*H621)*(MAX('Min rate concentrations'!$Q$3:$Q$368)))/F621, 0)</f>
        <v>0</v>
      </c>
      <c r="O621" s="60">
        <f>((MAX('Min rate concentrations'!$F$3:$F$368))*0.62*6.01*8*(12.3*F621^0.65)*0.079*0.1/F621)*inputs!$E$73/inputs!$E$74</f>
        <v>14.056096027997818</v>
      </c>
      <c r="P621" s="60">
        <f>((MAX('Min rate concentrations'!Y:Y))*0.62*6.01*8*(12.3*F621^0.65)*0.079*0.1/F621)*inputs!$E$73/inputs!$E$74</f>
        <v>4.6853653426659374</v>
      </c>
      <c r="Q621" s="60">
        <f>(inputs!$C$7*11.2*(12.3*F621^0.65)*0.5/F621)*inputs!$E$73/inputs!$E$74</f>
        <v>2.4759150186573007</v>
      </c>
      <c r="R621" s="60">
        <f>(60*379*((F621/1000)^0.8)*3*24*(MAX('Min rate concentrations'!$R$3:$R$368))/F621)*(inputs!$E$73/inputs!$E$75)</f>
        <v>3.7613682265749677E-3</v>
      </c>
      <c r="S621" s="60">
        <f>(IF(inputs!$C$6="aerial",((0.025*0.112*inputs!$C$7/3.3)*(3*60*379*((F621/1000)^0.8))*MAX(inputs!$H$14:$H$16))/F621,((0.0083*0.112*inputs!$C$7/1)*(3*60*379*((F621/1000)^0.8))*MAX(inputs!$H$14:$H$16))/F621))*(inputs!E$75/inputs!$E$73)</f>
        <v>2.0744176861665149E-2</v>
      </c>
      <c r="T621" s="63">
        <f>IF((((inputs!$P$12/(V621/MAX(K621:S621)))^(1/inputs!$O$12))-1)/inputs!$N$12&lt;0, 0, IF((((inputs!$P$12/(V621/MAX(K621:S621)))^(1/inputs!$O$12))-1)/inputs!$N$12&gt;inputs!$H$17, inputs!$H$17, (((inputs!$P$12/(V621/MAX(K621:S621)))^(1/inputs!$O$12))-1)/inputs!$N$12))</f>
        <v>63.964947092477487</v>
      </c>
      <c r="U621" s="63">
        <f>IF((((inputs!$P$12/(X621/MAX(K621:S621)))^(1/inputs!$O$12))-1)/inputs!$N$12&lt;0, 0, IF((((inputs!$P$12/(X621/MAX(K621:S621)))^(1/inputs!$O$12))-1)/inputs!$N$12&gt;inputs!$H$17, inputs!$H$17, (((inputs!$P$12/(X621/MAX(K621:S621)))^(1/inputs!$O$12))-1)/inputs!$N$12))</f>
        <v>0</v>
      </c>
      <c r="V621" s="54">
        <f>inputs!$E$70*(inputs!$F$70/F621)^(0.25)</f>
        <v>2.1879880622353061</v>
      </c>
      <c r="W621" s="54">
        <f>inputs!$E$76*(inputs!$F$76/F621)^(0.25)</f>
        <v>0.65810554129011889</v>
      </c>
      <c r="X621" s="54">
        <f>inputs!$E$72*(inputs!$F$72/F621)^(0.25)</f>
        <v>96.528885098616442</v>
      </c>
      <c r="Y621" s="54" t="s">
        <v>13</v>
      </c>
      <c r="Z621" s="106">
        <f t="shared" si="76"/>
        <v>37.93566501561795</v>
      </c>
      <c r="AA621" s="106">
        <f t="shared" si="77"/>
        <v>126.12381598309429</v>
      </c>
    </row>
    <row r="622" spans="1:27" x14ac:dyDescent="0.25">
      <c r="A622" s="55" t="s">
        <v>509</v>
      </c>
      <c r="B622" s="49" t="s">
        <v>510</v>
      </c>
      <c r="C622" s="21" t="s">
        <v>61</v>
      </c>
      <c r="D622" s="20" t="s">
        <v>443</v>
      </c>
      <c r="E622" s="20">
        <v>61</v>
      </c>
      <c r="F622" s="21">
        <v>28</v>
      </c>
      <c r="G622" s="21" t="s">
        <v>177</v>
      </c>
      <c r="H622" s="21">
        <v>0.85</v>
      </c>
      <c r="I622" s="48">
        <f>MAX('Min rate concentrations'!$F$3:$F$368)</f>
        <v>67.5</v>
      </c>
      <c r="J622" s="48">
        <f>MAX('Min rate concentrations'!Y:Y)</f>
        <v>22.5</v>
      </c>
      <c r="K622" s="60">
        <f t="shared" si="80"/>
        <v>65.364690972364556</v>
      </c>
      <c r="L622" s="60">
        <f t="shared" si="81"/>
        <v>21.788230324121514</v>
      </c>
      <c r="M622" s="60">
        <f>IF((((0.326*F622^0.818)-(0.398*F622^0.85)/(1-H622)*H622)*(MAX('Min rate concentrations'!$P$3:$P$368)))/F622&gt;0, (((0.326*F622^0.818)-(0.398*F622^0.85)/(1-H622)*H622)*(MAX('Min rate concentrations'!$P$3:$P$368)))/F622, 0)</f>
        <v>0</v>
      </c>
      <c r="N622" s="60">
        <f>IF((((0.326*F622^0.818)-(0.398*F622^0.85)/(1-H622)*H622)*(MAX('Min rate concentrations'!$Q$3:$Q$368)))/F622&gt; 0, (((0.326*F622^0.818)-(0.398*F622^0.85)/(1-H622)*H622)*(MAX('Min rate concentrations'!$Q$3:$Q$368)))/F622, 0)</f>
        <v>0</v>
      </c>
      <c r="O622" s="60">
        <f>((MAX('Min rate concentrations'!$F$3:$F$368))*0.62*6.01*8*(12.3*F622^0.65)*0.079*0.1/F622)*inputs!$E$73/inputs!$E$74</f>
        <v>14.056096027997818</v>
      </c>
      <c r="P622" s="60">
        <f>((MAX('Min rate concentrations'!Y:Y))*0.62*6.01*8*(12.3*F622^0.65)*0.079*0.1/F622)*inputs!$E$73/inputs!$E$74</f>
        <v>4.6853653426659374</v>
      </c>
      <c r="Q622" s="60">
        <f>(inputs!$C$7*11.2*(12.3*F622^0.65)*0.5/F622)*inputs!$E$73/inputs!$E$74</f>
        <v>2.4759150186573007</v>
      </c>
      <c r="R622" s="60">
        <f>(60*379*((F622/1000)^0.8)*3*24*(MAX('Min rate concentrations'!$R$3:$R$368))/F622)*(inputs!$E$73/inputs!$E$75)</f>
        <v>3.7613682265749677E-3</v>
      </c>
      <c r="S622" s="60">
        <f>(IF(inputs!$C$6="aerial",((0.025*0.112*inputs!$C$7/3.3)*(3*60*379*((F622/1000)^0.8))*MAX(inputs!$H$14:$H$16))/F622,((0.0083*0.112*inputs!$C$7/1)*(3*60*379*((F622/1000)^0.8))*MAX(inputs!$H$14:$H$16))/F622))*(inputs!E$75/inputs!$E$73)</f>
        <v>2.0744176861665149E-2</v>
      </c>
      <c r="T622" s="63">
        <f>IF((((inputs!$P$12/(V622/MAX(K622:S622)))^(1/inputs!$O$12))-1)/inputs!$N$12&lt;0, 0, IF((((inputs!$P$12/(V622/MAX(K622:S622)))^(1/inputs!$O$12))-1)/inputs!$N$12&gt;inputs!$H$17, inputs!$H$17, (((inputs!$P$12/(V622/MAX(K622:S622)))^(1/inputs!$O$12))-1)/inputs!$N$12))</f>
        <v>55.404126621712727</v>
      </c>
      <c r="U622" s="63">
        <f>IF((((inputs!$P$12/(X622/MAX(K622:S622)))^(1/inputs!$O$12))-1)/inputs!$N$12&lt;0, 0, IF((((inputs!$P$12/(X622/MAX(K622:S622)))^(1/inputs!$O$12))-1)/inputs!$N$12&gt;inputs!$H$17, inputs!$H$17, (((inputs!$P$12/(X622/MAX(K622:S622)))^(1/inputs!$O$12))-1)/inputs!$N$12))</f>
        <v>0</v>
      </c>
      <c r="V622" s="54">
        <f>inputs!$E$70*(inputs!$F$70/F622)^(0.25)</f>
        <v>2.1879880622353061</v>
      </c>
      <c r="W622" s="54">
        <f>inputs!$E$76*(inputs!$F$76/F622)^(0.25)</f>
        <v>0.65810554129011889</v>
      </c>
      <c r="X622" s="54">
        <f>inputs!$E$72*(inputs!$F$72/F622)^(0.25)</f>
        <v>96.528885098616442</v>
      </c>
      <c r="Y622" s="54" t="s">
        <v>13</v>
      </c>
      <c r="Z622" s="106">
        <f t="shared" si="76"/>
        <v>29.874336199799131</v>
      </c>
      <c r="AA622" s="106">
        <f t="shared" si="77"/>
        <v>99.322505086686732</v>
      </c>
    </row>
    <row r="623" spans="1:27" x14ac:dyDescent="0.25">
      <c r="A623" s="55" t="s">
        <v>540</v>
      </c>
      <c r="B623" s="49" t="s">
        <v>541</v>
      </c>
      <c r="C623" s="21" t="s">
        <v>61</v>
      </c>
      <c r="D623" s="20" t="s">
        <v>443</v>
      </c>
      <c r="E623" s="20">
        <v>31</v>
      </c>
      <c r="F623" s="21">
        <v>17</v>
      </c>
      <c r="G623" s="21" t="s">
        <v>142</v>
      </c>
      <c r="H623" s="21">
        <v>0.69</v>
      </c>
      <c r="I623" s="48">
        <f>MAX('Min rate concentrations'!$H$3:$H$368)</f>
        <v>47</v>
      </c>
      <c r="J623" s="48">
        <f>MAX('Min rate concentrations'!AA:AA)</f>
        <v>32.5</v>
      </c>
      <c r="K623" s="60">
        <f t="shared" si="80"/>
        <v>27.374868053342773</v>
      </c>
      <c r="L623" s="60">
        <f t="shared" si="81"/>
        <v>18.929430036885961</v>
      </c>
      <c r="M623" s="60">
        <f>IF((((0.326*F623^0.818)-(0.398*F623^0.85)/(1-H623)*H623)*(MAX('Min rate concentrations'!$P$3:$P$368)))/F623&gt;0, (((0.326*F623^0.818)-(0.398*F623^0.85)/(1-H623)*H623)*(MAX('Min rate concentrations'!$P$3:$P$368)))/F623, 0)</f>
        <v>0</v>
      </c>
      <c r="N623" s="60">
        <f>IF((((0.326*F623^0.818)-(0.398*F623^0.85)/(1-H623)*H623)*(MAX('Min rate concentrations'!$Q$3:$Q$368)))/F623&gt; 0, (((0.326*F623^0.818)-(0.398*F623^0.85)/(1-H623)*H623)*(MAX('Min rate concentrations'!$Q$3:$Q$368)))/F623, 0)</f>
        <v>0</v>
      </c>
      <c r="O623" s="60">
        <f>((MAX('Min rate concentrations'!$F$3:$F$368))*0.62*6.01*8*(12.3*F623^0.65)*0.079*0.1/F623)*inputs!$E$73/inputs!$E$74</f>
        <v>16.738359991516393</v>
      </c>
      <c r="P623" s="60">
        <f>((MAX('Min rate concentrations'!Y:Y))*0.62*6.01*8*(12.3*F623^0.65)*0.079*0.1/F623)*inputs!$E$73/inputs!$E$74</f>
        <v>5.579453330505463</v>
      </c>
      <c r="Q623" s="60">
        <f>(inputs!$C$7*11.2*(12.3*F623^0.65)*0.5/F623)*inputs!$E$73/inputs!$E$74</f>
        <v>2.9483831647236642</v>
      </c>
      <c r="R623" s="60">
        <f>(60*379*((F623/1000)^0.8)*3*24*(MAX('Min rate concentrations'!$R$3:$R$368))/F623)*(inputs!$E$73/inputs!$E$75)</f>
        <v>4.1561161254291927E-3</v>
      </c>
      <c r="S623" s="60">
        <f>(IF(inputs!$C$6="aerial",((0.025*0.112*inputs!$C$7/3.3)*(3*60*379*((F623/1000)^0.8))*MAX(inputs!$H$14:$H$16))/F623,((0.0083*0.112*inputs!$C$7/1)*(3*60*379*((F623/1000)^0.8))*MAX(inputs!$H$14:$H$16))/F623))*(inputs!E$75/inputs!$E$73)</f>
        <v>2.2921235776489673E-2</v>
      </c>
      <c r="T623" s="63">
        <f>IF((((inputs!$P$12/(V623/MAX(K623:S623)))^(1/inputs!$O$12))-1)/inputs!$N$12&lt;0, 0, IF((((inputs!$P$12/(V623/MAX(K623:S623)))^(1/inputs!$O$12))-1)/inputs!$N$12&gt;inputs!$H$17, inputs!$H$17, (((inputs!$P$12/(V623/MAX(K623:S623)))^(1/inputs!$O$12))-1)/inputs!$N$12))</f>
        <v>27.479730194199366</v>
      </c>
      <c r="U623" s="63">
        <f>IF((((inputs!$P$12/(X623/MAX(K623:S623)))^(1/inputs!$O$12))-1)/inputs!$N$12&lt;0, 0, IF((((inputs!$P$12/(X623/MAX(K623:S623)))^(1/inputs!$O$12))-1)/inputs!$N$12&gt;inputs!$H$17, inputs!$H$17, (((inputs!$P$12/(X623/MAX(K623:S623)))^(1/inputs!$O$12))-1)/inputs!$N$12))</f>
        <v>0</v>
      </c>
      <c r="V623" s="54">
        <f>inputs!$E$70*(inputs!$F$70/F623)^(0.25)</f>
        <v>2.4786900625814394</v>
      </c>
      <c r="W623" s="54">
        <f>inputs!$E$76*(inputs!$F$76/F623)^(0.25)</f>
        <v>0.74554322003890616</v>
      </c>
      <c r="X623" s="54">
        <f>inputs!$E$72*(inputs!$F$72/F623)^(0.25)</f>
        <v>109.35397334918115</v>
      </c>
      <c r="Y623" s="54" t="s">
        <v>13</v>
      </c>
      <c r="Z623" s="106">
        <f t="shared" si="76"/>
        <v>11.044086740249053</v>
      </c>
      <c r="AA623" s="106">
        <f t="shared" si="77"/>
        <v>36.718016229715317</v>
      </c>
    </row>
    <row r="624" spans="1:27" x14ac:dyDescent="0.25">
      <c r="A624" s="55" t="s">
        <v>540</v>
      </c>
      <c r="B624" s="49" t="s">
        <v>541</v>
      </c>
      <c r="C624" s="21" t="s">
        <v>61</v>
      </c>
      <c r="D624" s="20" t="s">
        <v>443</v>
      </c>
      <c r="E624" s="20">
        <v>31</v>
      </c>
      <c r="F624" s="21">
        <v>17</v>
      </c>
      <c r="G624" s="21" t="s">
        <v>152</v>
      </c>
      <c r="H624" s="21">
        <v>0.77</v>
      </c>
      <c r="I624" s="48">
        <f>MAX('Min rate concentrations'!$G$3:$G$368)</f>
        <v>7.5</v>
      </c>
      <c r="J624" s="48">
        <f>MAX('Min rate concentrations'!Z:Z)</f>
        <v>3.5</v>
      </c>
      <c r="K624" s="60">
        <f t="shared" si="80"/>
        <v>5.8877491419076744</v>
      </c>
      <c r="L624" s="60">
        <f t="shared" si="81"/>
        <v>2.7476162662235817</v>
      </c>
      <c r="M624" s="60">
        <f>IF((((0.326*F624^0.818)-(0.398*F624^0.85)/(1-H624)*H624)*(MAX('Min rate concentrations'!$P$3:$P$368)))/F624&gt;0, (((0.326*F624^0.818)-(0.398*F624^0.85)/(1-H624)*H624)*(MAX('Min rate concentrations'!$P$3:$P$368)))/F624, 0)</f>
        <v>0</v>
      </c>
      <c r="N624" s="60">
        <f>IF((((0.326*F624^0.818)-(0.398*F624^0.85)/(1-H624)*H624)*(MAX('Min rate concentrations'!$Q$3:$Q$368)))/F624&gt; 0, (((0.326*F624^0.818)-(0.398*F624^0.85)/(1-H624)*H624)*(MAX('Min rate concentrations'!$Q$3:$Q$368)))/F624, 0)</f>
        <v>0</v>
      </c>
      <c r="O624" s="60">
        <f>((MAX('Min rate concentrations'!$F$3:$F$368))*0.62*6.01*8*(12.3*F624^0.65)*0.079*0.1/F624)*inputs!$E$73/inputs!$E$74</f>
        <v>16.738359991516393</v>
      </c>
      <c r="P624" s="60">
        <f>((MAX('Min rate concentrations'!Y:Y))*0.62*6.01*8*(12.3*F624^0.65)*0.079*0.1/F624)*inputs!$E$73/inputs!$E$74</f>
        <v>5.579453330505463</v>
      </c>
      <c r="Q624" s="60">
        <f>(inputs!$C$7*11.2*(12.3*F624^0.65)*0.5/F624)*inputs!$E$73/inputs!$E$74</f>
        <v>2.9483831647236642</v>
      </c>
      <c r="R624" s="60">
        <f>(60*379*((F624/1000)^0.8)*3*24*(MAX('Min rate concentrations'!$R$3:$R$368))/F624)*(inputs!$E$73/inputs!$E$75)</f>
        <v>4.1561161254291927E-3</v>
      </c>
      <c r="S624" s="60">
        <f>(IF(inputs!$C$6="aerial",((0.025*0.112*inputs!$C$7/3.3)*(3*60*379*((F624/1000)^0.8))*MAX(inputs!$H$14:$H$16))/F624,((0.0083*0.112*inputs!$C$7/1)*(3*60*379*((F624/1000)^0.8))*MAX(inputs!$H$14:$H$16))/F624))*(inputs!E$75/inputs!$E$73)</f>
        <v>2.2921235776489673E-2</v>
      </c>
      <c r="T624" s="63">
        <f>IF((((inputs!$P$12/(V624/MAX(K624:S624)))^(1/inputs!$O$12))-1)/inputs!$N$12&lt;0, 0, IF((((inputs!$P$12/(V624/MAX(K624:S624)))^(1/inputs!$O$12))-1)/inputs!$N$12&gt;inputs!$H$17, inputs!$H$17, (((inputs!$P$12/(V624/MAX(K624:S624)))^(1/inputs!$O$12))-1)/inputs!$N$12))</f>
        <v>17.330364233341403</v>
      </c>
      <c r="U624" s="63">
        <f>IF((((inputs!$P$12/(X624/MAX(K624:S624)))^(1/inputs!$O$12))-1)/inputs!$N$12&lt;0, 0, IF((((inputs!$P$12/(X624/MAX(K624:S624)))^(1/inputs!$O$12))-1)/inputs!$N$12&gt;inputs!$H$17, inputs!$H$17, (((inputs!$P$12/(X624/MAX(K624:S624)))^(1/inputs!$O$12))-1)/inputs!$N$12))</f>
        <v>0</v>
      </c>
      <c r="V624" s="54">
        <f>inputs!$E$70*(inputs!$F$70/F624)^(0.25)</f>
        <v>2.4786900625814394</v>
      </c>
      <c r="W624" s="54">
        <f>inputs!$E$76*(inputs!$F$76/F624)^(0.25)</f>
        <v>0.74554322003890616</v>
      </c>
      <c r="X624" s="54">
        <f>inputs!$E$72*(inputs!$F$72/F624)^(0.25)</f>
        <v>109.35397334918115</v>
      </c>
      <c r="Y624" s="54" t="s">
        <v>13</v>
      </c>
      <c r="Z624" s="106">
        <f t="shared" si="76"/>
        <v>6.7529055948544761</v>
      </c>
      <c r="AA624" s="106">
        <f t="shared" si="77"/>
        <v>22.451226892845867</v>
      </c>
    </row>
    <row r="625" spans="1:27" x14ac:dyDescent="0.25">
      <c r="A625" s="55" t="s">
        <v>540</v>
      </c>
      <c r="B625" s="49" t="s">
        <v>541</v>
      </c>
      <c r="C625" s="21" t="s">
        <v>61</v>
      </c>
      <c r="D625" s="20" t="s">
        <v>443</v>
      </c>
      <c r="E625" s="20">
        <v>31</v>
      </c>
      <c r="F625" s="21">
        <v>17</v>
      </c>
      <c r="G625" s="21" t="s">
        <v>169</v>
      </c>
      <c r="H625" s="21">
        <v>0.79</v>
      </c>
      <c r="I625" s="48">
        <f>MAX('Min rate concentrations'!$D$3:$D$368)</f>
        <v>120</v>
      </c>
      <c r="J625" s="48">
        <f>MAX('Min rate concentrations'!W:W)</f>
        <v>42.5</v>
      </c>
      <c r="K625" s="60">
        <f t="shared" si="80"/>
        <v>103.17579448676307</v>
      </c>
      <c r="L625" s="60">
        <f t="shared" si="81"/>
        <v>36.541427214061919</v>
      </c>
      <c r="M625" s="60">
        <f>IF((((0.326*F625^0.818)-(0.398*F625^0.85)/(1-H625)*H625)*(MAX('Min rate concentrations'!$P$3:$P$368)))/F625&gt;0, (((0.326*F625^0.818)-(0.398*F625^0.85)/(1-H625)*H625)*(MAX('Min rate concentrations'!$P$3:$P$368)))/F625, 0)</f>
        <v>0</v>
      </c>
      <c r="N625" s="60">
        <f>IF((((0.326*F625^0.818)-(0.398*F625^0.85)/(1-H625)*H625)*(MAX('Min rate concentrations'!$Q$3:$Q$368)))/F625&gt; 0, (((0.326*F625^0.818)-(0.398*F625^0.85)/(1-H625)*H625)*(MAX('Min rate concentrations'!$Q$3:$Q$368)))/F625, 0)</f>
        <v>0</v>
      </c>
      <c r="O625" s="60">
        <f>((MAX('Min rate concentrations'!$F$3:$F$368))*0.62*6.01*8*(12.3*F625^0.65)*0.079*0.1/F625)*inputs!$E$73/inputs!$E$74</f>
        <v>16.738359991516393</v>
      </c>
      <c r="P625" s="60">
        <f>((MAX('Min rate concentrations'!Y:Y))*0.62*6.01*8*(12.3*F625^0.65)*0.079*0.1/F625)*inputs!$E$73/inputs!$E$74</f>
        <v>5.579453330505463</v>
      </c>
      <c r="Q625" s="60">
        <f>(inputs!$C$7*11.2*(12.3*F625^0.65)*0.5/F625)*inputs!$E$73/inputs!$E$74</f>
        <v>2.9483831647236642</v>
      </c>
      <c r="R625" s="60">
        <f>(60*379*((F625/1000)^0.8)*3*24*(MAX('Min rate concentrations'!$R$3:$R$368))/F625)*(inputs!$E$73/inputs!$E$75)</f>
        <v>4.1561161254291927E-3</v>
      </c>
      <c r="S625" s="60">
        <f>(IF(inputs!$C$6="aerial",((0.025*0.112*inputs!$C$7/3.3)*(3*60*379*((F625/1000)^0.8))*MAX(inputs!$H$14:$H$16))/F625,((0.0083*0.112*inputs!$C$7/1)*(3*60*379*((F625/1000)^0.8))*MAX(inputs!$H$14:$H$16))/F625))*(inputs!E$75/inputs!$E$73)</f>
        <v>2.2921235776489673E-2</v>
      </c>
      <c r="T625" s="63">
        <f>IF((((inputs!$P$12/(V625/MAX(K625:S625)))^(1/inputs!$O$12))-1)/inputs!$N$12&lt;0, 0, IF((((inputs!$P$12/(V625/MAX(K625:S625)))^(1/inputs!$O$12))-1)/inputs!$N$12&gt;inputs!$H$17, inputs!$H$17, (((inputs!$P$12/(V625/MAX(K625:S625)))^(1/inputs!$O$12))-1)/inputs!$N$12))</f>
        <v>67.52184439538695</v>
      </c>
      <c r="U625" s="63">
        <f>IF((((inputs!$P$12/(X625/MAX(K625:S625)))^(1/inputs!$O$12))-1)/inputs!$N$12&lt;0, 0, IF((((inputs!$P$12/(X625/MAX(K625:S625)))^(1/inputs!$O$12))-1)/inputs!$N$12&gt;inputs!$H$17, inputs!$H$17, (((inputs!$P$12/(X625/MAX(K625:S625)))^(1/inputs!$O$12))-1)/inputs!$N$12))</f>
        <v>0</v>
      </c>
      <c r="V625" s="54">
        <f>inputs!$E$70*(inputs!$F$70/F625)^(0.25)</f>
        <v>2.4786900625814394</v>
      </c>
      <c r="W625" s="54">
        <f>inputs!$E$76*(inputs!$F$76/F625)^(0.25)</f>
        <v>0.74554322003890616</v>
      </c>
      <c r="X625" s="54">
        <f>inputs!$E$72*(inputs!$F$72/F625)^(0.25)</f>
        <v>109.35397334918115</v>
      </c>
      <c r="Y625" s="54" t="s">
        <v>13</v>
      </c>
      <c r="Z625" s="106">
        <f t="shared" si="76"/>
        <v>41.62512935534599</v>
      </c>
      <c r="AA625" s="106">
        <f t="shared" si="77"/>
        <v>138.3900915648845</v>
      </c>
    </row>
    <row r="626" spans="1:27" x14ac:dyDescent="0.25">
      <c r="A626" s="55" t="s">
        <v>540</v>
      </c>
      <c r="B626" s="49" t="s">
        <v>541</v>
      </c>
      <c r="C626" s="21" t="s">
        <v>61</v>
      </c>
      <c r="D626" s="20" t="s">
        <v>443</v>
      </c>
      <c r="E626" s="20">
        <v>31</v>
      </c>
      <c r="F626" s="21">
        <v>17</v>
      </c>
      <c r="G626" s="21" t="s">
        <v>177</v>
      </c>
      <c r="H626" s="21">
        <v>0.85</v>
      </c>
      <c r="I626" s="48">
        <f>MAX('Min rate concentrations'!$F$3:$F$368)</f>
        <v>67.5</v>
      </c>
      <c r="J626" s="48">
        <f>MAX('Min rate concentrations'!Y:Y)</f>
        <v>22.5</v>
      </c>
      <c r="K626" s="60">
        <f t="shared" si="80"/>
        <v>81.250938158325908</v>
      </c>
      <c r="L626" s="60">
        <f t="shared" si="81"/>
        <v>27.083646052775304</v>
      </c>
      <c r="M626" s="60">
        <f>IF((((0.326*F626^0.818)-(0.398*F626^0.85)/(1-H626)*H626)*(MAX('Min rate concentrations'!$P$3:$P$368)))/F626&gt;0, (((0.326*F626^0.818)-(0.398*F626^0.85)/(1-H626)*H626)*(MAX('Min rate concentrations'!$P$3:$P$368)))/F626, 0)</f>
        <v>0</v>
      </c>
      <c r="N626" s="60">
        <f>IF((((0.326*F626^0.818)-(0.398*F626^0.85)/(1-H626)*H626)*(MAX('Min rate concentrations'!$Q$3:$Q$368)))/F626&gt; 0, (((0.326*F626^0.818)-(0.398*F626^0.85)/(1-H626)*H626)*(MAX('Min rate concentrations'!$Q$3:$Q$368)))/F626, 0)</f>
        <v>0</v>
      </c>
      <c r="O626" s="60">
        <f>((MAX('Min rate concentrations'!$F$3:$F$368))*0.62*6.01*8*(12.3*F626^0.65)*0.079*0.1/F626)*inputs!$E$73/inputs!$E$74</f>
        <v>16.738359991516393</v>
      </c>
      <c r="P626" s="60">
        <f>((MAX('Min rate concentrations'!Y:Y))*0.62*6.01*8*(12.3*F626^0.65)*0.079*0.1/F626)*inputs!$E$73/inputs!$E$74</f>
        <v>5.579453330505463</v>
      </c>
      <c r="Q626" s="60">
        <f>(inputs!$C$7*11.2*(12.3*F626^0.65)*0.5/F626)*inputs!$E$73/inputs!$E$74</f>
        <v>2.9483831647236642</v>
      </c>
      <c r="R626" s="60">
        <f>(60*379*((F626/1000)^0.8)*3*24*(MAX('Min rate concentrations'!$R$3:$R$368))/F626)*(inputs!$E$73/inputs!$E$75)</f>
        <v>4.1561161254291927E-3</v>
      </c>
      <c r="S626" s="60">
        <f>(IF(inputs!$C$6="aerial",((0.025*0.112*inputs!$C$7/3.3)*(3*60*379*((F626/1000)^0.8))*MAX(inputs!$H$14:$H$16))/F626,((0.0083*0.112*inputs!$C$7/1)*(3*60*379*((F626/1000)^0.8))*MAX(inputs!$H$14:$H$16))/F626))*(inputs!E$75/inputs!$E$73)</f>
        <v>2.2921235776489673E-2</v>
      </c>
      <c r="T626" s="63">
        <f>IF((((inputs!$P$12/(V626/MAX(K626:S626)))^(1/inputs!$O$12))-1)/inputs!$N$12&lt;0, 0, IF((((inputs!$P$12/(V626/MAX(K626:S626)))^(1/inputs!$O$12))-1)/inputs!$N$12&gt;inputs!$H$17, inputs!$H$17, (((inputs!$P$12/(V626/MAX(K626:S626)))^(1/inputs!$O$12))-1)/inputs!$N$12))</f>
        <v>58.6316748652416</v>
      </c>
      <c r="U626" s="63">
        <f>IF((((inputs!$P$12/(X626/MAX(K626:S626)))^(1/inputs!$O$12))-1)/inputs!$N$12&lt;0, 0, IF((((inputs!$P$12/(X626/MAX(K626:S626)))^(1/inputs!$O$12))-1)/inputs!$N$12&gt;inputs!$H$17, inputs!$H$17, (((inputs!$P$12/(X626/MAX(K626:S626)))^(1/inputs!$O$12))-1)/inputs!$N$12))</f>
        <v>0</v>
      </c>
      <c r="V626" s="54">
        <f>inputs!$E$70*(inputs!$F$70/F626)^(0.25)</f>
        <v>2.4786900625814394</v>
      </c>
      <c r="W626" s="54">
        <f>inputs!$E$76*(inputs!$F$76/F626)^(0.25)</f>
        <v>0.74554322003890616</v>
      </c>
      <c r="X626" s="54">
        <f>inputs!$E$72*(inputs!$F$72/F626)^(0.25)</f>
        <v>109.35397334918115</v>
      </c>
      <c r="Y626" s="54" t="s">
        <v>13</v>
      </c>
      <c r="Z626" s="106">
        <f t="shared" si="76"/>
        <v>32.779789367334963</v>
      </c>
      <c r="AA626" s="106">
        <f t="shared" si="77"/>
        <v>108.98219710734655</v>
      </c>
    </row>
    <row r="627" spans="1:27" x14ac:dyDescent="0.25">
      <c r="A627" s="55" t="s">
        <v>521</v>
      </c>
      <c r="B627" s="49" t="s">
        <v>522</v>
      </c>
      <c r="C627" s="21" t="s">
        <v>61</v>
      </c>
      <c r="D627" s="20" t="s">
        <v>443</v>
      </c>
      <c r="E627" s="20">
        <v>32</v>
      </c>
      <c r="F627" s="21">
        <v>210</v>
      </c>
      <c r="G627" s="21" t="s">
        <v>142</v>
      </c>
      <c r="H627" s="21">
        <v>0.69</v>
      </c>
      <c r="I627" s="48">
        <f>MAX('Min rate concentrations'!$H$3:$H$368)</f>
        <v>47</v>
      </c>
      <c r="J627" s="48">
        <f>MAX('Min rate concentrations'!AA:AA)</f>
        <v>32.5</v>
      </c>
      <c r="K627" s="60">
        <f t="shared" si="80"/>
        <v>9.1482948137877731</v>
      </c>
      <c r="L627" s="60">
        <f t="shared" si="81"/>
        <v>6.3259485414489918</v>
      </c>
      <c r="M627" s="60">
        <f>IF((((0.326*F627^0.818)-(0.398*F627^0.85)/(1-H627)*H627)*(MAX('Min rate concentrations'!$P$3:$P$368)))/F627&gt;0, (((0.326*F627^0.818)-(0.398*F627^0.85)/(1-H627)*H627)*(MAX('Min rate concentrations'!$P$3:$P$368)))/F627, 0)</f>
        <v>0</v>
      </c>
      <c r="N627" s="60">
        <f>IF((((0.326*F627^0.818)-(0.398*F627^0.85)/(1-H627)*H627)*(MAX('Min rate concentrations'!$Q$3:$Q$368)))/F627&gt; 0, (((0.326*F627^0.818)-(0.398*F627^0.85)/(1-H627)*H627)*(MAX('Min rate concentrations'!$Q$3:$Q$368)))/F627, 0)</f>
        <v>0</v>
      </c>
      <c r="O627" s="60">
        <f>((MAX('Min rate concentrations'!$F$3:$F$368))*0.62*6.01*8*(12.3*F627^0.65)*0.079*0.1/F627)*inputs!$E$73/inputs!$E$74</f>
        <v>6.9437371615826669</v>
      </c>
      <c r="P627" s="60">
        <f>((MAX('Min rate concentrations'!Y:Y))*0.62*6.01*8*(12.3*F627^0.65)*0.079*0.1/F627)*inputs!$E$73/inputs!$E$74</f>
        <v>2.3145790538608884</v>
      </c>
      <c r="Q627" s="60">
        <f>(inputs!$C$7*11.2*(12.3*F627^0.65)*0.5/F627)*inputs!$E$73/inputs!$E$74</f>
        <v>1.2231065503342486</v>
      </c>
      <c r="R627" s="60">
        <f>(60*379*((F627/1000)^0.8)*3*24*(MAX('Min rate concentrations'!$R$3:$R$368))/F627)*(inputs!$E$73/inputs!$E$75)</f>
        <v>2.5138166530735795E-3</v>
      </c>
      <c r="S627" s="60">
        <f>(IF(inputs!$C$6="aerial",((0.025*0.112*inputs!$C$7/3.3)*(3*60*379*((F627/1000)^0.8))*MAX(inputs!$H$14:$H$16))/F627,((0.0083*0.112*inputs!$C$7/1)*(3*60*379*((F627/1000)^0.8))*MAX(inputs!$H$14:$H$16))/F627))*(inputs!E$75/inputs!$E$73)</f>
        <v>1.3863853286345647E-2</v>
      </c>
      <c r="T627" s="63">
        <f>IF((((inputs!$P$12/(V627/MAX(K627:S627)))^(1/inputs!$O$12))-1)/inputs!$N$12&lt;0, 0, IF((((inputs!$P$12/(V627/MAX(K627:S627)))^(1/inputs!$O$12))-1)/inputs!$N$12&gt;inputs!$H$17, inputs!$H$17, (((inputs!$P$12/(V627/MAX(K627:S627)))^(1/inputs!$O$12))-1)/inputs!$N$12))</f>
        <v>17.786197919547337</v>
      </c>
      <c r="U627" s="63">
        <f>IF((((inputs!$P$12/(X627/MAX(K627:S627)))^(1/inputs!$O$12))-1)/inputs!$N$12&lt;0, 0, IF((((inputs!$P$12/(X627/MAX(K627:S627)))^(1/inputs!$O$12))-1)/inputs!$N$12&gt;inputs!$H$17, inputs!$H$17, (((inputs!$P$12/(X627/MAX(K627:S627)))^(1/inputs!$O$12))-1)/inputs!$N$12))</f>
        <v>0</v>
      </c>
      <c r="V627" s="54">
        <f>inputs!$E$70*(inputs!$F$70/F627)^(0.25)</f>
        <v>1.3221466601896126</v>
      </c>
      <c r="W627" s="54">
        <f>inputs!$E$76*(inputs!$F$76/F627)^(0.25)</f>
        <v>0.39767677826362474</v>
      </c>
      <c r="X627" s="54">
        <f>inputs!$E$72*(inputs!$F$72/F627)^(0.25)</f>
        <v>58.329999714247613</v>
      </c>
      <c r="Y627" s="54" t="s">
        <v>13</v>
      </c>
      <c r="Z627" s="106">
        <f t="shared" si="76"/>
        <v>6.9192738515678673</v>
      </c>
      <c r="AA627" s="106">
        <f t="shared" si="77"/>
        <v>23.004347535030718</v>
      </c>
    </row>
    <row r="628" spans="1:27" x14ac:dyDescent="0.25">
      <c r="A628" s="55" t="s">
        <v>521</v>
      </c>
      <c r="B628" s="49" t="s">
        <v>522</v>
      </c>
      <c r="C628" s="21" t="s">
        <v>61</v>
      </c>
      <c r="D628" s="20" t="s">
        <v>443</v>
      </c>
      <c r="E628" s="20">
        <v>32</v>
      </c>
      <c r="F628" s="21">
        <v>210</v>
      </c>
      <c r="G628" s="21" t="s">
        <v>152</v>
      </c>
      <c r="H628" s="21">
        <v>0.77</v>
      </c>
      <c r="I628" s="48">
        <f>MAX('Min rate concentrations'!$G$3:$G$368)</f>
        <v>7.5</v>
      </c>
      <c r="J628" s="48">
        <f>MAX('Min rate concentrations'!Z:Z)</f>
        <v>3.5</v>
      </c>
      <c r="K628" s="60">
        <f t="shared" si="80"/>
        <v>1.9676027235945028</v>
      </c>
      <c r="L628" s="60">
        <f t="shared" si="81"/>
        <v>0.91821460434410129</v>
      </c>
      <c r="M628" s="60">
        <f>IF((((0.326*F628^0.818)-(0.398*F628^0.85)/(1-H628)*H628)*(MAX('Min rate concentrations'!$P$3:$P$368)))/F628&gt;0, (((0.326*F628^0.818)-(0.398*F628^0.85)/(1-H628)*H628)*(MAX('Min rate concentrations'!$P$3:$P$368)))/F628, 0)</f>
        <v>0</v>
      </c>
      <c r="N628" s="60">
        <f>IF((((0.326*F628^0.818)-(0.398*F628^0.85)/(1-H628)*H628)*(MAX('Min rate concentrations'!$Q$3:$Q$368)))/F628&gt; 0, (((0.326*F628^0.818)-(0.398*F628^0.85)/(1-H628)*H628)*(MAX('Min rate concentrations'!$Q$3:$Q$368)))/F628, 0)</f>
        <v>0</v>
      </c>
      <c r="O628" s="60">
        <f>((MAX('Min rate concentrations'!$F$3:$F$368))*0.62*6.01*8*(12.3*F628^0.65)*0.079*0.1/F628)*inputs!$E$73/inputs!$E$74</f>
        <v>6.9437371615826669</v>
      </c>
      <c r="P628" s="60">
        <f>((MAX('Min rate concentrations'!Y:Y))*0.62*6.01*8*(12.3*F628^0.65)*0.079*0.1/F628)*inputs!$E$73/inputs!$E$74</f>
        <v>2.3145790538608884</v>
      </c>
      <c r="Q628" s="60">
        <f>(inputs!$C$7*11.2*(12.3*F628^0.65)*0.5/F628)*inputs!$E$73/inputs!$E$74</f>
        <v>1.2231065503342486</v>
      </c>
      <c r="R628" s="60">
        <f>(60*379*((F628/1000)^0.8)*3*24*(MAX('Min rate concentrations'!$R$3:$R$368))/F628)*(inputs!$E$73/inputs!$E$75)</f>
        <v>2.5138166530735795E-3</v>
      </c>
      <c r="S628" s="60">
        <f>(IF(inputs!$C$6="aerial",((0.025*0.112*inputs!$C$7/3.3)*(3*60*379*((F628/1000)^0.8))*MAX(inputs!$H$14:$H$16))/F628,((0.0083*0.112*inputs!$C$7/1)*(3*60*379*((F628/1000)^0.8))*MAX(inputs!$H$14:$H$16))/F628))*(inputs!E$75/inputs!$E$73)</f>
        <v>1.3863853286345647E-2</v>
      </c>
      <c r="T628" s="63">
        <f>IF((((inputs!$P$12/(V628/MAX(K628:S628)))^(1/inputs!$O$12))-1)/inputs!$N$12&lt;0, 0, IF((((inputs!$P$12/(V628/MAX(K628:S628)))^(1/inputs!$O$12))-1)/inputs!$N$12&gt;inputs!$H$17, inputs!$H$17, (((inputs!$P$12/(V628/MAX(K628:S628)))^(1/inputs!$O$12))-1)/inputs!$N$12))</f>
        <v>12.876838117085894</v>
      </c>
      <c r="U628" s="63">
        <f>IF((((inputs!$P$12/(X628/MAX(K628:S628)))^(1/inputs!$O$12))-1)/inputs!$N$12&lt;0, 0, IF((((inputs!$P$12/(X628/MAX(K628:S628)))^(1/inputs!$O$12))-1)/inputs!$N$12&gt;inputs!$H$17, inputs!$H$17, (((inputs!$P$12/(X628/MAX(K628:S628)))^(1/inputs!$O$12))-1)/inputs!$N$12))</f>
        <v>0</v>
      </c>
      <c r="V628" s="54">
        <f>inputs!$E$70*(inputs!$F$70/F628)^(0.25)</f>
        <v>1.3221466601896126</v>
      </c>
      <c r="W628" s="54">
        <f>inputs!$E$76*(inputs!$F$76/F628)^(0.25)</f>
        <v>0.39767677826362474</v>
      </c>
      <c r="X628" s="54">
        <f>inputs!$E$72*(inputs!$F$72/F628)^(0.25)</f>
        <v>58.329999714247613</v>
      </c>
      <c r="Y628" s="54" t="s">
        <v>13</v>
      </c>
      <c r="Z628" s="106">
        <f t="shared" si="76"/>
        <v>5.2518660528831553</v>
      </c>
      <c r="AA628" s="106">
        <f t="shared" si="77"/>
        <v>17.460755923192426</v>
      </c>
    </row>
    <row r="629" spans="1:27" x14ac:dyDescent="0.25">
      <c r="A629" s="55" t="s">
        <v>521</v>
      </c>
      <c r="B629" s="49" t="s">
        <v>522</v>
      </c>
      <c r="C629" s="21" t="s">
        <v>61</v>
      </c>
      <c r="D629" s="20" t="s">
        <v>443</v>
      </c>
      <c r="E629" s="20">
        <v>32</v>
      </c>
      <c r="F629" s="21">
        <v>210</v>
      </c>
      <c r="G629" s="21" t="s">
        <v>169</v>
      </c>
      <c r="H629" s="21">
        <v>0.79</v>
      </c>
      <c r="I629" s="48">
        <f>MAX('Min rate concentrations'!$D$3:$D$368)</f>
        <v>120</v>
      </c>
      <c r="J629" s="48">
        <f>MAX('Min rate concentrations'!W:W)</f>
        <v>42.5</v>
      </c>
      <c r="K629" s="60">
        <f t="shared" si="80"/>
        <v>34.479895346798905</v>
      </c>
      <c r="L629" s="60">
        <f t="shared" si="81"/>
        <v>12.21162960199128</v>
      </c>
      <c r="M629" s="60">
        <f>IF((((0.326*F629^0.818)-(0.398*F629^0.85)/(1-H629)*H629)*(MAX('Min rate concentrations'!$P$3:$P$368)))/F629&gt;0, (((0.326*F629^0.818)-(0.398*F629^0.85)/(1-H629)*H629)*(MAX('Min rate concentrations'!$P$3:$P$368)))/F629, 0)</f>
        <v>0</v>
      </c>
      <c r="N629" s="60">
        <f>IF((((0.326*F629^0.818)-(0.398*F629^0.85)/(1-H629)*H629)*(MAX('Min rate concentrations'!$Q$3:$Q$368)))/F629&gt; 0, (((0.326*F629^0.818)-(0.398*F629^0.85)/(1-H629)*H629)*(MAX('Min rate concentrations'!$Q$3:$Q$368)))/F629, 0)</f>
        <v>0</v>
      </c>
      <c r="O629" s="60">
        <f>((MAX('Min rate concentrations'!$F$3:$F$368))*0.62*6.01*8*(12.3*F629^0.65)*0.079*0.1/F629)*inputs!$E$73/inputs!$E$74</f>
        <v>6.9437371615826669</v>
      </c>
      <c r="P629" s="60">
        <f>((MAX('Min rate concentrations'!Y:Y))*0.62*6.01*8*(12.3*F629^0.65)*0.079*0.1/F629)*inputs!$E$73/inputs!$E$74</f>
        <v>2.3145790538608884</v>
      </c>
      <c r="Q629" s="60">
        <f>(inputs!$C$7*11.2*(12.3*F629^0.65)*0.5/F629)*inputs!$E$73/inputs!$E$74</f>
        <v>1.2231065503342486</v>
      </c>
      <c r="R629" s="60">
        <f>(60*379*((F629/1000)^0.8)*3*24*(MAX('Min rate concentrations'!$R$3:$R$368))/F629)*(inputs!$E$73/inputs!$E$75)</f>
        <v>2.5138166530735795E-3</v>
      </c>
      <c r="S629" s="60">
        <f>(IF(inputs!$C$6="aerial",((0.025*0.112*inputs!$C$7/3.3)*(3*60*379*((F629/1000)^0.8))*MAX(inputs!$H$14:$H$16))/F629,((0.0083*0.112*inputs!$C$7/1)*(3*60*379*((F629/1000)^0.8))*MAX(inputs!$H$14:$H$16))/F629))*(inputs!E$75/inputs!$E$73)</f>
        <v>1.3863853286345647E-2</v>
      </c>
      <c r="T629" s="63">
        <f>IF((((inputs!$P$12/(V629/MAX(K629:S629)))^(1/inputs!$O$12))-1)/inputs!$N$12&lt;0, 0, IF((((inputs!$P$12/(V629/MAX(K629:S629)))^(1/inputs!$O$12))-1)/inputs!$N$12&gt;inputs!$H$17, inputs!$H$17, (((inputs!$P$12/(V629/MAX(K629:S629)))^(1/inputs!$O$12))-1)/inputs!$N$12))</f>
        <v>50.893325522983247</v>
      </c>
      <c r="U629" s="63">
        <f>IF((((inputs!$P$12/(X629/MAX(K629:S629)))^(1/inputs!$O$12))-1)/inputs!$N$12&lt;0, 0, IF((((inputs!$P$12/(X629/MAX(K629:S629)))^(1/inputs!$O$12))-1)/inputs!$N$12&gt;inputs!$H$17, inputs!$H$17, (((inputs!$P$12/(X629/MAX(K629:S629)))^(1/inputs!$O$12))-1)/inputs!$N$12))</f>
        <v>0</v>
      </c>
      <c r="V629" s="54">
        <f>inputs!$E$70*(inputs!$F$70/F629)^(0.25)</f>
        <v>1.3221466601896126</v>
      </c>
      <c r="W629" s="54">
        <f>inputs!$E$76*(inputs!$F$76/F629)^(0.25)</f>
        <v>0.39767677826362474</v>
      </c>
      <c r="X629" s="54">
        <f>inputs!$E$72*(inputs!$F$72/F629)^(0.25)</f>
        <v>58.329999714247613</v>
      </c>
      <c r="Y629" s="54" t="s">
        <v>13</v>
      </c>
      <c r="Z629" s="106">
        <f t="shared" si="76"/>
        <v>26.078722115331782</v>
      </c>
      <c r="AA629" s="106">
        <f t="shared" si="77"/>
        <v>86.703315937501799</v>
      </c>
    </row>
    <row r="630" spans="1:27" x14ac:dyDescent="0.25">
      <c r="A630" s="55" t="s">
        <v>521</v>
      </c>
      <c r="B630" s="49" t="s">
        <v>522</v>
      </c>
      <c r="C630" s="21" t="s">
        <v>61</v>
      </c>
      <c r="D630" s="20" t="s">
        <v>443</v>
      </c>
      <c r="E630" s="20">
        <v>32</v>
      </c>
      <c r="F630" s="21">
        <v>210</v>
      </c>
      <c r="G630" s="21" t="s">
        <v>177</v>
      </c>
      <c r="H630" s="21">
        <v>0.85</v>
      </c>
      <c r="I630" s="48">
        <f>MAX('Min rate concentrations'!$F$3:$F$368)</f>
        <v>67.5</v>
      </c>
      <c r="J630" s="48">
        <f>MAX('Min rate concentrations'!Y:Y)</f>
        <v>22.5</v>
      </c>
      <c r="K630" s="60">
        <f t="shared" si="80"/>
        <v>27.152917585604133</v>
      </c>
      <c r="L630" s="60">
        <f t="shared" si="81"/>
        <v>9.0509725285347109</v>
      </c>
      <c r="M630" s="60">
        <f>IF((((0.326*F630^0.818)-(0.398*F630^0.85)/(1-H630)*H630)*(MAX('Min rate concentrations'!$P$3:$P$368)))/F630&gt;0, (((0.326*F630^0.818)-(0.398*F630^0.85)/(1-H630)*H630)*(MAX('Min rate concentrations'!$P$3:$P$368)))/F630, 0)</f>
        <v>0</v>
      </c>
      <c r="N630" s="60">
        <f>IF((((0.326*F630^0.818)-(0.398*F630^0.85)/(1-H630)*H630)*(MAX('Min rate concentrations'!$Q$3:$Q$368)))/F630&gt; 0, (((0.326*F630^0.818)-(0.398*F630^0.85)/(1-H630)*H630)*(MAX('Min rate concentrations'!$Q$3:$Q$368)))/F630, 0)</f>
        <v>0</v>
      </c>
      <c r="O630" s="60">
        <f>((MAX('Min rate concentrations'!$F$3:$F$368))*0.62*6.01*8*(12.3*F630^0.65)*0.079*0.1/F630)*inputs!$E$73/inputs!$E$74</f>
        <v>6.9437371615826669</v>
      </c>
      <c r="P630" s="60">
        <f>((MAX('Min rate concentrations'!Y:Y))*0.62*6.01*8*(12.3*F630^0.65)*0.079*0.1/F630)*inputs!$E$73/inputs!$E$74</f>
        <v>2.3145790538608884</v>
      </c>
      <c r="Q630" s="60">
        <f>(inputs!$C$7*11.2*(12.3*F630^0.65)*0.5/F630)*inputs!$E$73/inputs!$E$74</f>
        <v>1.2231065503342486</v>
      </c>
      <c r="R630" s="60">
        <f>(60*379*((F630/1000)^0.8)*3*24*(MAX('Min rate concentrations'!$R$3:$R$368))/F630)*(inputs!$E$73/inputs!$E$75)</f>
        <v>2.5138166530735795E-3</v>
      </c>
      <c r="S630" s="60">
        <f>(IF(inputs!$C$6="aerial",((0.025*0.112*inputs!$C$7/3.3)*(3*60*379*((F630/1000)^0.8))*MAX(inputs!$H$14:$H$16))/F630,((0.0083*0.112*inputs!$C$7/1)*(3*60*379*((F630/1000)^0.8))*MAX(inputs!$H$14:$H$16))/F630))*(inputs!E$75/inputs!$E$73)</f>
        <v>1.3863853286345647E-2</v>
      </c>
      <c r="T630" s="63">
        <f>IF((((inputs!$P$12/(V630/MAX(K630:S630)))^(1/inputs!$O$12))-1)/inputs!$N$12&lt;0, 0, IF((((inputs!$P$12/(V630/MAX(K630:S630)))^(1/inputs!$O$12))-1)/inputs!$N$12&gt;inputs!$H$17, inputs!$H$17, (((inputs!$P$12/(V630/MAX(K630:S630)))^(1/inputs!$O$12))-1)/inputs!$N$12))</f>
        <v>43.54286506597844</v>
      </c>
      <c r="U630" s="63">
        <f>IF((((inputs!$P$12/(X630/MAX(K630:S630)))^(1/inputs!$O$12))-1)/inputs!$N$12&lt;0, 0, IF((((inputs!$P$12/(X630/MAX(K630:S630)))^(1/inputs!$O$12))-1)/inputs!$N$12&gt;inputs!$H$17, inputs!$H$17, (((inputs!$P$12/(X630/MAX(K630:S630)))^(1/inputs!$O$12))-1)/inputs!$N$12))</f>
        <v>0</v>
      </c>
      <c r="V630" s="54">
        <f>inputs!$E$70*(inputs!$F$70/F630)^(0.25)</f>
        <v>1.3221466601896126</v>
      </c>
      <c r="W630" s="54">
        <f>inputs!$E$76*(inputs!$F$76/F630)^(0.25)</f>
        <v>0.39767677826362474</v>
      </c>
      <c r="X630" s="54">
        <f>inputs!$E$72*(inputs!$F$72/F630)^(0.25)</f>
        <v>58.329999714247613</v>
      </c>
      <c r="Y630" s="54" t="s">
        <v>13</v>
      </c>
      <c r="Z630" s="106">
        <f t="shared" si="76"/>
        <v>20.536993665823776</v>
      </c>
      <c r="AA630" s="106">
        <f t="shared" si="77"/>
        <v>68.278861300782651</v>
      </c>
    </row>
    <row r="631" spans="1:27" x14ac:dyDescent="0.25">
      <c r="A631" s="55" t="s">
        <v>521</v>
      </c>
      <c r="B631" s="49" t="s">
        <v>522</v>
      </c>
      <c r="C631" s="21" t="s">
        <v>61</v>
      </c>
      <c r="D631" s="20" t="s">
        <v>443</v>
      </c>
      <c r="E631" s="20">
        <v>32</v>
      </c>
      <c r="F631" s="21">
        <v>210</v>
      </c>
      <c r="G631" s="21" t="s">
        <v>154</v>
      </c>
      <c r="H631" s="21">
        <v>9.2999999999999999E-2</v>
      </c>
      <c r="I631" s="48">
        <f>MAX('Min rate concentrations'!$G$3:$G$368)</f>
        <v>7.5</v>
      </c>
      <c r="J631" s="48">
        <f>MAX('Min rate concentrations'!Z:Z)</f>
        <v>3.5</v>
      </c>
      <c r="K631" s="60">
        <f t="shared" si="80"/>
        <v>0.49895107654546372</v>
      </c>
      <c r="L631" s="60"/>
      <c r="M631" s="60">
        <f>IF((((0.326*F631^0.818)-(0.398*F631^0.85)/(1-H631)*H631)*(MAX('Min rate concentrations'!$P$3:$P$368)))/F631&gt;0, (((0.326*F631^0.818)-(0.398*F631^0.85)/(1-H631)*H631)*(MAX('Min rate concentrations'!$P$3:$P$368)))/F631, 0)</f>
        <v>1.5224658653461814E-2</v>
      </c>
      <c r="N631" s="60">
        <f>IF((((0.326*F631^0.818)-(0.398*F631^0.85)/(1-H631)*H631)*(MAX('Min rate concentrations'!$Q$3:$Q$368)))/F631&gt; 0, (((0.326*F631^0.818)-(0.398*F631^0.85)/(1-H631)*H631)*(MAX('Min rate concentrations'!$Q$3:$Q$368)))/F631, 0)</f>
        <v>5.7976318198947538E-2</v>
      </c>
      <c r="O631" s="60">
        <f>((MAX('Min rate concentrations'!$F$3:$F$368))*0.62*6.01*8*(12.3*F631^0.65)*0.079*0.1/F631)*inputs!$E$73/inputs!$E$74</f>
        <v>6.9437371615826669</v>
      </c>
      <c r="P631" s="60"/>
      <c r="Q631" s="60">
        <f>(inputs!$C$7*11.2*(12.3*F631^0.65)*0.5/F631)*inputs!$E$73/inputs!$E$74</f>
        <v>1.2231065503342486</v>
      </c>
      <c r="R631" s="60">
        <f>(60*379*((F631/1000)^0.8)*3*24*(MAX('Min rate concentrations'!$R$3:$R$368))/F631)*(inputs!$E$73/inputs!$E$75)</f>
        <v>2.5138166530735795E-3</v>
      </c>
      <c r="S631" s="60">
        <f>(IF(inputs!$C$6="aerial",((0.025*0.112*inputs!$C$7/3.3)*(3*60*379*((F631/1000)^0.8))*MAX(inputs!$H$14:$H$16))/F631,((0.0083*0.112*inputs!$C$7/1)*(3*60*379*((F631/1000)^0.8))*MAX(inputs!$H$14:$H$16))/F631))*(inputs!E$75/inputs!$E$73)</f>
        <v>1.3863853286345647E-2</v>
      </c>
      <c r="T631" s="63">
        <f>IF((((inputs!$P$12/(V631/MAX(K631:S631)))^(1/inputs!$O$12))-1)/inputs!$N$12&lt;0, 0, IF((((inputs!$P$12/(V631/MAX(K631:S631)))^(1/inputs!$O$12))-1)/inputs!$N$12&gt;inputs!$H$17, inputs!$H$17, (((inputs!$P$12/(V631/MAX(K631:S631)))^(1/inputs!$O$12))-1)/inputs!$N$12))</f>
        <v>12.876838117085894</v>
      </c>
      <c r="U631" s="63">
        <f>IF((((inputs!$P$12/(X631/MAX(K631:S631)))^(1/inputs!$O$12))-1)/inputs!$N$12&lt;0, 0, IF((((inputs!$P$12/(X631/MAX(K631:S631)))^(1/inputs!$O$12))-1)/inputs!$N$12&gt;inputs!$H$17, inputs!$H$17, (((inputs!$P$12/(X631/MAX(K631:S631)))^(1/inputs!$O$12))-1)/inputs!$N$12))</f>
        <v>0</v>
      </c>
      <c r="V631" s="54">
        <f>inputs!$E$70*(inputs!$F$70/F631)^(0.25)</f>
        <v>1.3221466601896126</v>
      </c>
      <c r="W631" s="54">
        <f>inputs!$E$76*(inputs!$F$76/F631)^(0.25)</f>
        <v>0.39767677826362474</v>
      </c>
      <c r="X631" s="54">
        <f>inputs!$E$72*(inputs!$F$72/F631)^(0.25)</f>
        <v>58.329999714247613</v>
      </c>
      <c r="Y631" s="54" t="s">
        <v>13</v>
      </c>
      <c r="Z631" s="106">
        <f t="shared" si="76"/>
        <v>5.2518660528831553</v>
      </c>
      <c r="AA631" s="106">
        <f t="shared" si="77"/>
        <v>17.460755923192426</v>
      </c>
    </row>
    <row r="632" spans="1:27" x14ac:dyDescent="0.25">
      <c r="A632" s="55" t="s">
        <v>472</v>
      </c>
      <c r="B632" s="49" t="s">
        <v>473</v>
      </c>
      <c r="C632" s="21" t="s">
        <v>61</v>
      </c>
      <c r="D632" s="20" t="s">
        <v>443</v>
      </c>
      <c r="E632" s="20">
        <v>16</v>
      </c>
      <c r="F632" s="21">
        <v>56</v>
      </c>
      <c r="G632" s="21" t="s">
        <v>142</v>
      </c>
      <c r="H632" s="21">
        <v>0.69</v>
      </c>
      <c r="I632" s="48">
        <f>MAX('Min rate concentrations'!$H$3:$H$368)</f>
        <v>47</v>
      </c>
      <c r="J632" s="48">
        <f>MAX('Min rate concentrations'!AA:AA)</f>
        <v>32.5</v>
      </c>
      <c r="K632" s="60">
        <f t="shared" si="80"/>
        <v>16.278627465492139</v>
      </c>
      <c r="L632" s="60">
        <f>(((0.621*F632^0.564)/(1-H632)))*J632/F632</f>
        <v>11.256497715499885</v>
      </c>
      <c r="M632" s="60">
        <f>IF((((0.326*F632^0.818)-(0.398*F632^0.85)/(1-H632)*H632)*(MAX('Min rate concentrations'!$P$3:$P$368)))/F632&gt;0, (((0.326*F632^0.818)-(0.398*F632^0.85)/(1-H632)*H632)*(MAX('Min rate concentrations'!$P$3:$P$368)))/F632, 0)</f>
        <v>0</v>
      </c>
      <c r="N632" s="60">
        <f>IF((((0.326*F632^0.818)-(0.398*F632^0.85)/(1-H632)*H632)*(MAX('Min rate concentrations'!$Q$3:$Q$368)))/F632&gt; 0, (((0.326*F632^0.818)-(0.398*F632^0.85)/(1-H632)*H632)*(MAX('Min rate concentrations'!$Q$3:$Q$368)))/F632, 0)</f>
        <v>0</v>
      </c>
      <c r="O632" s="60">
        <f>((MAX('Min rate concentrations'!$F$3:$F$368))*0.62*6.01*8*(12.3*F632^0.65)*0.079*0.1/F632)*inputs!$E$73/inputs!$E$74</f>
        <v>11.028189422076771</v>
      </c>
      <c r="P632" s="60">
        <f>((MAX('Min rate concentrations'!Y:Y))*0.62*6.01*8*(12.3*F632^0.65)*0.079*0.1/F632)*inputs!$E$73/inputs!$E$74</f>
        <v>3.676063140692257</v>
      </c>
      <c r="Q632" s="60">
        <f>(inputs!$C$7*11.2*(12.3*F632^0.65)*0.5/F632)*inputs!$E$73/inputs!$E$74</f>
        <v>1.9425635513822557</v>
      </c>
      <c r="R632" s="60">
        <f>(60*379*((F632/1000)^0.8)*3*24*(MAX('Min rate concentrations'!$R$3:$R$368))/F632)*(inputs!$E$73/inputs!$E$75)</f>
        <v>3.2744612284089816E-3</v>
      </c>
      <c r="S632" s="60">
        <f>(IF(inputs!$C$6="aerial",((0.025*0.112*inputs!$C$7/3.3)*(3*60*379*((F632/1000)^0.8))*MAX(inputs!$H$14:$H$16))/F632,((0.0083*0.112*inputs!$C$7/1)*(3*60*379*((F632/1000)^0.8))*MAX(inputs!$H$14:$H$16))/F632))*(inputs!E$75/inputs!$E$73)</f>
        <v>1.8058854852037023E-2</v>
      </c>
      <c r="T632" s="63">
        <f>IF((((inputs!$P$12/(V632/MAX(K632:S632)))^(1/inputs!$O$12))-1)/inputs!$N$12&lt;0, 0, IF((((inputs!$P$12/(V632/MAX(K632:S632)))^(1/inputs!$O$12))-1)/inputs!$N$12&gt;inputs!$H$17, inputs!$H$17, (((inputs!$P$12/(V632/MAX(K632:S632)))^(1/inputs!$O$12))-1)/inputs!$N$12))</f>
        <v>22.652832107363835</v>
      </c>
      <c r="U632" s="63">
        <f>IF((((inputs!$P$12/(X632/MAX(K632:S632)))^(1/inputs!$O$12))-1)/inputs!$N$12&lt;0, 0, IF((((inputs!$P$12/(X632/MAX(K632:S632)))^(1/inputs!$O$12))-1)/inputs!$N$12&gt;inputs!$H$17, inputs!$H$17, (((inputs!$P$12/(X632/MAX(K632:S632)))^(1/inputs!$O$12))-1)/inputs!$N$12))</f>
        <v>0</v>
      </c>
      <c r="V632" s="54">
        <f>inputs!$E$70*(inputs!$F$70/F632)^(0.25)</f>
        <v>1.83987131815159</v>
      </c>
      <c r="W632" s="54">
        <f>inputs!$E$76*(inputs!$F$76/F632)^(0.25)</f>
        <v>0.55339859052946638</v>
      </c>
      <c r="X632" s="54">
        <f>inputs!$E$72*(inputs!$F$72/F632)^(0.25)</f>
        <v>81.17079344786427</v>
      </c>
      <c r="Y632" s="54" t="s">
        <v>13</v>
      </c>
      <c r="Z632" s="106">
        <f t="shared" si="76"/>
        <v>8.847698915077558</v>
      </c>
      <c r="AA632" s="106">
        <f t="shared" si="77"/>
        <v>29.415737127045254</v>
      </c>
    </row>
    <row r="633" spans="1:27" x14ac:dyDescent="0.25">
      <c r="A633" s="55" t="s">
        <v>472</v>
      </c>
      <c r="B633" s="49" t="s">
        <v>473</v>
      </c>
      <c r="C633" s="21" t="s">
        <v>61</v>
      </c>
      <c r="D633" s="20" t="s">
        <v>443</v>
      </c>
      <c r="E633" s="20">
        <v>16</v>
      </c>
      <c r="F633" s="21">
        <v>56</v>
      </c>
      <c r="G633" s="21" t="s">
        <v>152</v>
      </c>
      <c r="H633" s="21">
        <v>0.77</v>
      </c>
      <c r="I633" s="48">
        <f>MAX('Min rate concentrations'!$G$3:$G$368)</f>
        <v>7.5</v>
      </c>
      <c r="J633" s="48">
        <f>MAX('Min rate concentrations'!Z:Z)</f>
        <v>3.5</v>
      </c>
      <c r="K633" s="60">
        <f t="shared" si="80"/>
        <v>3.5011849081655164</v>
      </c>
      <c r="L633" s="60">
        <f>(((0.621*F633^0.564)/(1-H633)))*J633/F633</f>
        <v>1.6338862904772411</v>
      </c>
      <c r="M633" s="60">
        <f>IF((((0.326*F633^0.818)-(0.398*F633^0.85)/(1-H633)*H633)*(MAX('Min rate concentrations'!$P$3:$P$368)))/F633&gt;0, (((0.326*F633^0.818)-(0.398*F633^0.85)/(1-H633)*H633)*(MAX('Min rate concentrations'!$P$3:$P$368)))/F633, 0)</f>
        <v>0</v>
      </c>
      <c r="N633" s="60">
        <f>IF((((0.326*F633^0.818)-(0.398*F633^0.85)/(1-H633)*H633)*(MAX('Min rate concentrations'!$Q$3:$Q$368)))/F633&gt; 0, (((0.326*F633^0.818)-(0.398*F633^0.85)/(1-H633)*H633)*(MAX('Min rate concentrations'!$Q$3:$Q$368)))/F633, 0)</f>
        <v>0</v>
      </c>
      <c r="O633" s="60">
        <f>((MAX('Min rate concentrations'!$F$3:$F$368))*0.62*6.01*8*(12.3*F633^0.65)*0.079*0.1/F633)*inputs!$E$73/inputs!$E$74</f>
        <v>11.028189422076771</v>
      </c>
      <c r="P633" s="60">
        <f>((MAX('Min rate concentrations'!Y:Y))*0.62*6.01*8*(12.3*F633^0.65)*0.079*0.1/F633)*inputs!$E$73/inputs!$E$74</f>
        <v>3.676063140692257</v>
      </c>
      <c r="Q633" s="60">
        <f>(inputs!$C$7*11.2*(12.3*F633^0.65)*0.5/F633)*inputs!$E$73/inputs!$E$74</f>
        <v>1.9425635513822557</v>
      </c>
      <c r="R633" s="60">
        <f>(60*379*((F633/1000)^0.8)*3*24*(MAX('Min rate concentrations'!$R$3:$R$368))/F633)*(inputs!$E$73/inputs!$E$75)</f>
        <v>3.2744612284089816E-3</v>
      </c>
      <c r="S633" s="60">
        <f>(IF(inputs!$C$6="aerial",((0.025*0.112*inputs!$C$7/3.3)*(3*60*379*((F633/1000)^0.8))*MAX(inputs!$H$14:$H$16))/F633,((0.0083*0.112*inputs!$C$7/1)*(3*60*379*((F633/1000)^0.8))*MAX(inputs!$H$14:$H$16))/F633))*(inputs!E$75/inputs!$E$73)</f>
        <v>1.8058854852037023E-2</v>
      </c>
      <c r="T633" s="63">
        <f>IF((((inputs!$P$12/(V633/MAX(K633:S633)))^(1/inputs!$O$12))-1)/inputs!$N$12&lt;0, 0, IF((((inputs!$P$12/(V633/MAX(K633:S633)))^(1/inputs!$O$12))-1)/inputs!$N$12&gt;inputs!$H$17, inputs!$H$17, (((inputs!$P$12/(V633/MAX(K633:S633)))^(1/inputs!$O$12))-1)/inputs!$N$12))</f>
        <v>15.161606766566123</v>
      </c>
      <c r="U633" s="63">
        <f>IF((((inputs!$P$12/(X633/MAX(K633:S633)))^(1/inputs!$O$12))-1)/inputs!$N$12&lt;0, 0, IF((((inputs!$P$12/(X633/MAX(K633:S633)))^(1/inputs!$O$12))-1)/inputs!$N$12&gt;inputs!$H$17, inputs!$H$17, (((inputs!$P$12/(X633/MAX(K633:S633)))^(1/inputs!$O$12))-1)/inputs!$N$12))</f>
        <v>0</v>
      </c>
      <c r="V633" s="54">
        <f>inputs!$E$70*(inputs!$F$70/F633)^(0.25)</f>
        <v>1.83987131815159</v>
      </c>
      <c r="W633" s="54">
        <f>inputs!$E$76*(inputs!$F$76/F633)^(0.25)</f>
        <v>0.55339859052946638</v>
      </c>
      <c r="X633" s="54">
        <f>inputs!$E$72*(inputs!$F$72/F633)^(0.25)</f>
        <v>81.17079344786427</v>
      </c>
      <c r="Y633" s="54" t="s">
        <v>13</v>
      </c>
      <c r="Z633" s="106">
        <f t="shared" si="76"/>
        <v>5.9940004027869414</v>
      </c>
      <c r="AA633" s="106">
        <f t="shared" si="77"/>
        <v>19.928112595164915</v>
      </c>
    </row>
    <row r="634" spans="1:27" x14ac:dyDescent="0.25">
      <c r="A634" s="55" t="s">
        <v>472</v>
      </c>
      <c r="B634" s="49" t="s">
        <v>473</v>
      </c>
      <c r="C634" s="21" t="s">
        <v>61</v>
      </c>
      <c r="D634" s="20" t="s">
        <v>443</v>
      </c>
      <c r="E634" s="20">
        <v>16</v>
      </c>
      <c r="F634" s="21">
        <v>56</v>
      </c>
      <c r="G634" s="21" t="s">
        <v>169</v>
      </c>
      <c r="H634" s="21">
        <v>0.79</v>
      </c>
      <c r="I634" s="48">
        <f>MAX('Min rate concentrations'!$D$3:$D$368)</f>
        <v>120</v>
      </c>
      <c r="J634" s="48">
        <f>MAX('Min rate concentrations'!W:W)</f>
        <v>42.5</v>
      </c>
      <c r="K634" s="60">
        <f t="shared" si="80"/>
        <v>61.354097438329056</v>
      </c>
      <c r="L634" s="60">
        <f>(((0.621*F634^0.564)/(1-H634)))*J634/F634</f>
        <v>21.729576176074875</v>
      </c>
      <c r="M634" s="60">
        <f>IF((((0.326*F634^0.818)-(0.398*F634^0.85)/(1-H634)*H634)*(MAX('Min rate concentrations'!$P$3:$P$368)))/F634&gt;0, (((0.326*F634^0.818)-(0.398*F634^0.85)/(1-H634)*H634)*(MAX('Min rate concentrations'!$P$3:$P$368)))/F634, 0)</f>
        <v>0</v>
      </c>
      <c r="N634" s="60">
        <f>IF((((0.326*F634^0.818)-(0.398*F634^0.85)/(1-H634)*H634)*(MAX('Min rate concentrations'!$Q$3:$Q$368)))/F634&gt; 0, (((0.326*F634^0.818)-(0.398*F634^0.85)/(1-H634)*H634)*(MAX('Min rate concentrations'!$Q$3:$Q$368)))/F634, 0)</f>
        <v>0</v>
      </c>
      <c r="O634" s="60">
        <f>((MAX('Min rate concentrations'!$F$3:$F$368))*0.62*6.01*8*(12.3*F634^0.65)*0.079*0.1/F634)*inputs!$E$73/inputs!$E$74</f>
        <v>11.028189422076771</v>
      </c>
      <c r="P634" s="60">
        <f>((MAX('Min rate concentrations'!Y:Y))*0.62*6.01*8*(12.3*F634^0.65)*0.079*0.1/F634)*inputs!$E$73/inputs!$E$74</f>
        <v>3.676063140692257</v>
      </c>
      <c r="Q634" s="60">
        <f>(inputs!$C$7*11.2*(12.3*F634^0.65)*0.5/F634)*inputs!$E$73/inputs!$E$74</f>
        <v>1.9425635513822557</v>
      </c>
      <c r="R634" s="60">
        <f>(60*379*((F634/1000)^0.8)*3*24*(MAX('Min rate concentrations'!$R$3:$R$368))/F634)*(inputs!$E$73/inputs!$E$75)</f>
        <v>3.2744612284089816E-3</v>
      </c>
      <c r="S634" s="60">
        <f>(IF(inputs!$C$6="aerial",((0.025*0.112*inputs!$C$7/3.3)*(3*60*379*((F634/1000)^0.8))*MAX(inputs!$H$14:$H$16))/F634,((0.0083*0.112*inputs!$C$7/1)*(3*60*379*((F634/1000)^0.8))*MAX(inputs!$H$14:$H$16))/F634))*(inputs!E$75/inputs!$E$73)</f>
        <v>1.8058854852037023E-2</v>
      </c>
      <c r="T634" s="63">
        <f>IF((((inputs!$P$12/(V634/MAX(K634:S634)))^(1/inputs!$O$12))-1)/inputs!$N$12&lt;0, 0, IF((((inputs!$P$12/(V634/MAX(K634:S634)))^(1/inputs!$O$12))-1)/inputs!$N$12&gt;inputs!$H$17, inputs!$H$17, (((inputs!$P$12/(V634/MAX(K634:S634)))^(1/inputs!$O$12))-1)/inputs!$N$12))</f>
        <v>59.241667091804892</v>
      </c>
      <c r="U634" s="63">
        <f>IF((((inputs!$P$12/(X634/MAX(K634:S634)))^(1/inputs!$O$12))-1)/inputs!$N$12&lt;0, 0, IF((((inputs!$P$12/(X634/MAX(K634:S634)))^(1/inputs!$O$12))-1)/inputs!$N$12&gt;inputs!$H$17, inputs!$H$17, (((inputs!$P$12/(X634/MAX(K634:S634)))^(1/inputs!$O$12))-1)/inputs!$N$12))</f>
        <v>0</v>
      </c>
      <c r="V634" s="54">
        <f>inputs!$E$70*(inputs!$F$70/F634)^(0.25)</f>
        <v>1.83987131815159</v>
      </c>
      <c r="W634" s="54">
        <f>inputs!$E$76*(inputs!$F$76/F634)^(0.25)</f>
        <v>0.55339859052946638</v>
      </c>
      <c r="X634" s="54">
        <f>inputs!$E$72*(inputs!$F$72/F634)^(0.25)</f>
        <v>81.17079344786427</v>
      </c>
      <c r="Y634" s="54" t="s">
        <v>13</v>
      </c>
      <c r="Z634" s="106">
        <f t="shared" si="76"/>
        <v>33.34695031822546</v>
      </c>
      <c r="AA634" s="106">
        <f t="shared" si="77"/>
        <v>110.86782382229826</v>
      </c>
    </row>
    <row r="635" spans="1:27" x14ac:dyDescent="0.25">
      <c r="A635" s="55" t="s">
        <v>472</v>
      </c>
      <c r="B635" s="49" t="s">
        <v>473</v>
      </c>
      <c r="C635" s="21" t="s">
        <v>61</v>
      </c>
      <c r="D635" s="20" t="s">
        <v>443</v>
      </c>
      <c r="E635" s="20">
        <v>16</v>
      </c>
      <c r="F635" s="21">
        <v>56</v>
      </c>
      <c r="G635" s="21" t="s">
        <v>177</v>
      </c>
      <c r="H635" s="21">
        <v>0.85</v>
      </c>
      <c r="I635" s="48">
        <f>MAX('Min rate concentrations'!$F$3:$F$368)</f>
        <v>67.5</v>
      </c>
      <c r="J635" s="48">
        <f>MAX('Min rate concentrations'!Y:Y)</f>
        <v>22.5</v>
      </c>
      <c r="K635" s="60">
        <f t="shared" si="80"/>
        <v>48.316351732684119</v>
      </c>
      <c r="L635" s="60">
        <f>(((0.621*F635^0.564)/(1-H635)))*J635/F635</f>
        <v>16.105450577561374</v>
      </c>
      <c r="M635" s="60">
        <f>IF((((0.326*F635^0.818)-(0.398*F635^0.85)/(1-H635)*H635)*(MAX('Min rate concentrations'!$P$3:$P$368)))/F635&gt;0, (((0.326*F635^0.818)-(0.398*F635^0.85)/(1-H635)*H635)*(MAX('Min rate concentrations'!$P$3:$P$368)))/F635, 0)</f>
        <v>0</v>
      </c>
      <c r="N635" s="60">
        <f>IF((((0.326*F635^0.818)-(0.398*F635^0.85)/(1-H635)*H635)*(MAX('Min rate concentrations'!$Q$3:$Q$368)))/F635&gt; 0, (((0.326*F635^0.818)-(0.398*F635^0.85)/(1-H635)*H635)*(MAX('Min rate concentrations'!$Q$3:$Q$368)))/F635, 0)</f>
        <v>0</v>
      </c>
      <c r="O635" s="60">
        <f>((MAX('Min rate concentrations'!$F$3:$F$368))*0.62*6.01*8*(12.3*F635^0.65)*0.079*0.1/F635)*inputs!$E$73/inputs!$E$74</f>
        <v>11.028189422076771</v>
      </c>
      <c r="P635" s="60">
        <f>((MAX('Min rate concentrations'!Y:Y))*0.62*6.01*8*(12.3*F635^0.65)*0.079*0.1/F635)*inputs!$E$73/inputs!$E$74</f>
        <v>3.676063140692257</v>
      </c>
      <c r="Q635" s="60">
        <f>(inputs!$C$7*11.2*(12.3*F635^0.65)*0.5/F635)*inputs!$E$73/inputs!$E$74</f>
        <v>1.9425635513822557</v>
      </c>
      <c r="R635" s="60">
        <f>(60*379*((F635/1000)^0.8)*3*24*(MAX('Min rate concentrations'!$R$3:$R$368))/F635)*(inputs!$E$73/inputs!$E$75)</f>
        <v>3.2744612284089816E-3</v>
      </c>
      <c r="S635" s="60">
        <f>(IF(inputs!$C$6="aerial",((0.025*0.112*inputs!$C$7/3.3)*(3*60*379*((F635/1000)^0.8))*MAX(inputs!$H$14:$H$16))/F635,((0.0083*0.112*inputs!$C$7/1)*(3*60*379*((F635/1000)^0.8))*MAX(inputs!$H$14:$H$16))/F635))*(inputs!E$75/inputs!$E$73)</f>
        <v>1.8058854852037023E-2</v>
      </c>
      <c r="T635" s="63">
        <f>IF((((inputs!$P$12/(V635/MAX(K635:S635)))^(1/inputs!$O$12))-1)/inputs!$N$12&lt;0, 0, IF((((inputs!$P$12/(V635/MAX(K635:S635)))^(1/inputs!$O$12))-1)/inputs!$N$12&gt;inputs!$H$17, inputs!$H$17, (((inputs!$P$12/(V635/MAX(K635:S635)))^(1/inputs!$O$12))-1)/inputs!$N$12))</f>
        <v>51.118196280851869</v>
      </c>
      <c r="U635" s="63">
        <f>IF((((inputs!$P$12/(X635/MAX(K635:S635)))^(1/inputs!$O$12))-1)/inputs!$N$12&lt;0, 0, IF((((inputs!$P$12/(X635/MAX(K635:S635)))^(1/inputs!$O$12))-1)/inputs!$N$12&gt;inputs!$H$17, inputs!$H$17, (((inputs!$P$12/(X635/MAX(K635:S635)))^(1/inputs!$O$12))-1)/inputs!$N$12))</f>
        <v>0</v>
      </c>
      <c r="V635" s="54">
        <f>inputs!$E$70*(inputs!$F$70/F635)^(0.25)</f>
        <v>1.83987131815159</v>
      </c>
      <c r="W635" s="54">
        <f>inputs!$E$76*(inputs!$F$76/F635)^(0.25)</f>
        <v>0.55339859052946638</v>
      </c>
      <c r="X635" s="54">
        <f>inputs!$E$72*(inputs!$F$72/F635)^(0.25)</f>
        <v>81.17079344786427</v>
      </c>
      <c r="Y635" s="54" t="s">
        <v>13</v>
      </c>
      <c r="Z635" s="106">
        <f t="shared" si="76"/>
        <v>26.260723375602542</v>
      </c>
      <c r="AA635" s="106">
        <f t="shared" si="77"/>
        <v>87.308411260059856</v>
      </c>
    </row>
    <row r="636" spans="1:27" x14ac:dyDescent="0.25">
      <c r="A636" s="55" t="s">
        <v>472</v>
      </c>
      <c r="B636" s="49" t="s">
        <v>473</v>
      </c>
      <c r="C636" s="21" t="s">
        <v>61</v>
      </c>
      <c r="D636" s="20" t="s">
        <v>443</v>
      </c>
      <c r="E636" s="20">
        <v>16</v>
      </c>
      <c r="F636" s="21">
        <v>56</v>
      </c>
      <c r="G636" s="21" t="s">
        <v>154</v>
      </c>
      <c r="H636" s="21">
        <v>9.2999999999999999E-2</v>
      </c>
      <c r="I636" s="48">
        <f>MAX('Min rate concentrations'!$G$3:$G$368)</f>
        <v>7.5</v>
      </c>
      <c r="J636" s="48">
        <f>MAX('Min rate concentrations'!Z:Z)</f>
        <v>3.5</v>
      </c>
      <c r="K636" s="60">
        <f t="shared" si="80"/>
        <v>0.887841817947154</v>
      </c>
      <c r="L636" s="60"/>
      <c r="M636" s="60">
        <f>IF((((0.326*F636^0.818)-(0.398*F636^0.85)/(1-H636)*H636)*(MAX('Min rate concentrations'!$P$3:$P$368)))/F636&gt;0, (((0.326*F636^0.818)-(0.398*F636^0.85)/(1-H636)*H636)*(MAX('Min rate concentrations'!$P$3:$P$368)))/F636, 0)</f>
        <v>1.9505080921746874E-2</v>
      </c>
      <c r="N636" s="60">
        <f>IF((((0.326*F636^0.818)-(0.398*F636^0.85)/(1-H636)*H636)*(MAX('Min rate concentrations'!$Q$3:$Q$368)))/F636&gt; 0, (((0.326*F636^0.818)-(0.398*F636^0.85)/(1-H636)*H636)*(MAX('Min rate concentrations'!$Q$3:$Q$368)))/F636, 0)</f>
        <v>7.4276396190878571E-2</v>
      </c>
      <c r="O636" s="60">
        <f>((MAX('Min rate concentrations'!$F$3:$F$368))*0.62*6.01*8*(12.3*F636^0.65)*0.079*0.1/F636)*inputs!$E$73/inputs!$E$74</f>
        <v>11.028189422076771</v>
      </c>
      <c r="P636" s="60"/>
      <c r="Q636" s="60">
        <f>(inputs!$C$7*11.2*(12.3*F636^0.65)*0.5/F636)*inputs!$E$73/inputs!$E$74</f>
        <v>1.9425635513822557</v>
      </c>
      <c r="R636" s="60">
        <f>(60*379*((F636/1000)^0.8)*3*24*(MAX('Min rate concentrations'!$R$3:$R$368))/F636)*(inputs!$E$73/inputs!$E$75)</f>
        <v>3.2744612284089816E-3</v>
      </c>
      <c r="S636" s="60">
        <f>(IF(inputs!$C$6="aerial",((0.025*0.112*inputs!$C$7/3.3)*(3*60*379*((F636/1000)^0.8))*MAX(inputs!$H$14:$H$16))/F636,((0.0083*0.112*inputs!$C$7/1)*(3*60*379*((F636/1000)^0.8))*MAX(inputs!$H$14:$H$16))/F636))*(inputs!E$75/inputs!$E$73)</f>
        <v>1.8058854852037023E-2</v>
      </c>
      <c r="T636" s="63">
        <f>IF((((inputs!$P$12/(V636/MAX(K636:S636)))^(1/inputs!$O$12))-1)/inputs!$N$12&lt;0, 0, IF((((inputs!$P$12/(V636/MAX(K636:S636)))^(1/inputs!$O$12))-1)/inputs!$N$12&gt;inputs!$H$17, inputs!$H$17, (((inputs!$P$12/(V636/MAX(K636:S636)))^(1/inputs!$O$12))-1)/inputs!$N$12))</f>
        <v>15.161606766566123</v>
      </c>
      <c r="U636" s="63">
        <f>IF((((inputs!$P$12/(X636/MAX(K636:S636)))^(1/inputs!$O$12))-1)/inputs!$N$12&lt;0, 0, IF((((inputs!$P$12/(X636/MAX(K636:S636)))^(1/inputs!$O$12))-1)/inputs!$N$12&gt;inputs!$H$17, inputs!$H$17, (((inputs!$P$12/(X636/MAX(K636:S636)))^(1/inputs!$O$12))-1)/inputs!$N$12))</f>
        <v>0</v>
      </c>
      <c r="V636" s="54">
        <f>inputs!$E$70*(inputs!$F$70/F636)^(0.25)</f>
        <v>1.83987131815159</v>
      </c>
      <c r="W636" s="54">
        <f>inputs!$E$76*(inputs!$F$76/F636)^(0.25)</f>
        <v>0.55339859052946638</v>
      </c>
      <c r="X636" s="54">
        <f>inputs!$E$72*(inputs!$F$72/F636)^(0.25)</f>
        <v>81.17079344786427</v>
      </c>
      <c r="Y636" s="54" t="s">
        <v>13</v>
      </c>
      <c r="Z636" s="106">
        <f t="shared" si="76"/>
        <v>5.9940004027869414</v>
      </c>
      <c r="AA636" s="106">
        <f t="shared" si="77"/>
        <v>19.928112595164915</v>
      </c>
    </row>
    <row r="637" spans="1:27" ht="26.4" x14ac:dyDescent="0.25">
      <c r="A637" s="55" t="s">
        <v>578</v>
      </c>
      <c r="B637" s="49" t="s">
        <v>579</v>
      </c>
      <c r="C637" s="21" t="s">
        <v>61</v>
      </c>
      <c r="D637" s="20" t="s">
        <v>443</v>
      </c>
      <c r="E637" s="20">
        <v>43</v>
      </c>
      <c r="F637" s="21">
        <v>236.4</v>
      </c>
      <c r="G637" s="21" t="s">
        <v>152</v>
      </c>
      <c r="H637" s="21">
        <v>0.77</v>
      </c>
      <c r="I637" s="48">
        <f>MAX('Min rate concentrations'!$G$3:$G$368)</f>
        <v>7.5</v>
      </c>
      <c r="J637" s="48">
        <f>MAX('Min rate concentrations'!Z:Z)</f>
        <v>3.5</v>
      </c>
      <c r="K637" s="60">
        <f t="shared" si="80"/>
        <v>1.8685930519674578</v>
      </c>
      <c r="L637" s="60">
        <f>(((0.621*F637^0.564)/(1-H637)))*J637/F637</f>
        <v>0.87201009091814696</v>
      </c>
      <c r="M637" s="60">
        <f>IF((((0.326*F637^0.818)-(0.398*F637^0.85)/(1-H637)*H637)*(MAX('Min rate concentrations'!$P$3:$P$368)))/F637&gt;0, (((0.326*F637^0.818)-(0.398*F637^0.85)/(1-H637)*H637)*(MAX('Min rate concentrations'!$P$3:$P$368)))/F637, 0)</f>
        <v>0</v>
      </c>
      <c r="N637" s="60">
        <f>IF((((0.326*F637^0.818)-(0.398*F637^0.85)/(1-H637)*H637)*(MAX('Min rate concentrations'!$Q$3:$Q$368)))/F637&gt; 0, (((0.326*F637^0.818)-(0.398*F637^0.85)/(1-H637)*H637)*(MAX('Min rate concentrations'!$Q$3:$Q$368)))/F637, 0)</f>
        <v>0</v>
      </c>
      <c r="O637" s="60">
        <f>((MAX('Min rate concentrations'!$F$3:$F$368))*0.62*6.01*8*(12.3*F637^0.65)*0.079*0.1/F637)*inputs!$E$73/inputs!$E$74</f>
        <v>6.6618279329586656</v>
      </c>
      <c r="P637" s="60">
        <f>((MAX('Min rate concentrations'!Y:Y))*0.62*6.01*8*(12.3*F637^0.65)*0.079*0.1/F637)*inputs!$E$73/inputs!$E$74</f>
        <v>2.2206093109862213</v>
      </c>
      <c r="Q637" s="60">
        <f>(inputs!$C$7*11.2*(12.3*F637^0.65)*0.5/F637)*inputs!$E$73/inputs!$E$74</f>
        <v>1.1734495693590208</v>
      </c>
      <c r="R637" s="60">
        <f>(60*379*((F637/1000)^0.8)*3*24*(MAX('Min rate concentrations'!$R$3:$R$368))/F637)*(inputs!$E$73/inputs!$E$75)</f>
        <v>2.4549800285054474E-3</v>
      </c>
      <c r="S637" s="60">
        <f>(IF(inputs!$C$6="aerial",((0.025*0.112*inputs!$C$7/3.3)*(3*60*379*((F637/1000)^0.8))*MAX(inputs!$H$14:$H$16))/F637,((0.0083*0.112*inputs!$C$7/1)*(3*60*379*((F637/1000)^0.8))*MAX(inputs!$H$14:$H$16))/F637))*(inputs!E$75/inputs!$E$73)</f>
        <v>1.353936568702967E-2</v>
      </c>
      <c r="T637" s="63">
        <f>IF((((inputs!$P$12/(V637/MAX(K637:S637)))^(1/inputs!$O$12))-1)/inputs!$N$12&lt;0, 0, IF((((inputs!$P$12/(V637/MAX(K637:S637)))^(1/inputs!$O$12))-1)/inputs!$N$12&gt;inputs!$H$17, inputs!$H$17, (((inputs!$P$12/(V637/MAX(K637:S637)))^(1/inputs!$O$12))-1)/inputs!$N$12))</f>
        <v>12.678074858695643</v>
      </c>
      <c r="U637" s="63">
        <f>IF((((inputs!$P$12/(X637/MAX(K637:S637)))^(1/inputs!$O$12))-1)/inputs!$N$12&lt;0, 0, IF((((inputs!$P$12/(X637/MAX(K637:S637)))^(1/inputs!$O$12))-1)/inputs!$N$12&gt;inputs!$H$17, inputs!$H$17, (((inputs!$P$12/(X637/MAX(K637:S637)))^(1/inputs!$O$12))-1)/inputs!$N$12))</f>
        <v>0</v>
      </c>
      <c r="V637" s="54">
        <f>inputs!$E$70*(inputs!$F$70/F637)^(0.25)</f>
        <v>1.2835789548257144</v>
      </c>
      <c r="W637" s="54">
        <f>inputs!$E$76*(inputs!$F$76/F637)^(0.25)</f>
        <v>0.38607633991895873</v>
      </c>
      <c r="X637" s="54">
        <f>inputs!$E$72*(inputs!$F$72/F637)^(0.25)</f>
        <v>56.628483301134466</v>
      </c>
      <c r="Y637" s="54" t="s">
        <v>13</v>
      </c>
      <c r="Z637" s="106">
        <f t="shared" si="76"/>
        <v>5.1900414134346846</v>
      </c>
      <c r="AA637" s="106">
        <f t="shared" si="77"/>
        <v>17.255208994047781</v>
      </c>
    </row>
    <row r="638" spans="1:27" ht="26.4" x14ac:dyDescent="0.25">
      <c r="A638" s="55" t="s">
        <v>578</v>
      </c>
      <c r="B638" s="49" t="s">
        <v>579</v>
      </c>
      <c r="C638" s="21" t="s">
        <v>61</v>
      </c>
      <c r="D638" s="20" t="s">
        <v>443</v>
      </c>
      <c r="E638" s="20">
        <v>43</v>
      </c>
      <c r="F638" s="21">
        <v>236.4</v>
      </c>
      <c r="G638" s="21" t="s">
        <v>580</v>
      </c>
      <c r="H638" s="21">
        <v>0.85</v>
      </c>
      <c r="I638" s="48">
        <f>MAX('Min rate concentrations'!$F$3:$F$368)</f>
        <v>67.5</v>
      </c>
      <c r="J638" s="48">
        <f>MAX('Min rate concentrations'!Y:Y)</f>
        <v>22.5</v>
      </c>
      <c r="K638" s="60">
        <f t="shared" ref="K638:K669" si="82">(((0.621*F638^0.564)/(1-H638)))*I638/F638</f>
        <v>25.786584117150912</v>
      </c>
      <c r="L638" s="60"/>
      <c r="M638" s="60">
        <f>IF((((0.326*F638^0.818)-(0.398*F638^0.85)/(1-H638)*H638)*(MAX('Min rate concentrations'!$P$3:$P$368)))/F638&gt;0, (((0.326*F638^0.818)-(0.398*F638^0.85)/(1-H638)*H638)*(MAX('Min rate concentrations'!$P$3:$P$368)))/F638, 0)</f>
        <v>0</v>
      </c>
      <c r="N638" s="60">
        <f>IF((((0.326*F638^0.818)-(0.398*F638^0.85)/(1-H638)*H638)*(MAX('Min rate concentrations'!$Q$3:$Q$368)))/F638&gt; 0, (((0.326*F638^0.818)-(0.398*F638^0.85)/(1-H638)*H638)*(MAX('Min rate concentrations'!$Q$3:$Q$368)))/F638, 0)</f>
        <v>0</v>
      </c>
      <c r="O638" s="60">
        <f>((MAX('Min rate concentrations'!$F$3:$F$368))*0.62*6.01*8*(12.3*F638^0.65)*0.079*0.1/F638)*inputs!$E$73/inputs!$E$74</f>
        <v>6.6618279329586656</v>
      </c>
      <c r="P638" s="60"/>
      <c r="Q638" s="60">
        <f>(inputs!$C$7*11.2*(12.3*F638^0.65)*0.5/F638)*inputs!$E$73/inputs!$E$74</f>
        <v>1.1734495693590208</v>
      </c>
      <c r="R638" s="60">
        <f>(60*379*((F638/1000)^0.8)*3*24*(MAX('Min rate concentrations'!$R$3:$R$368))/F638)*(inputs!$E$73/inputs!$E$75)</f>
        <v>2.4549800285054474E-3</v>
      </c>
      <c r="S638" s="60">
        <f>(IF(inputs!$C$6="aerial",((0.025*0.112*inputs!$C$7/3.3)*(3*60*379*((F638/1000)^0.8))*MAX(inputs!$H$14:$H$16))/F638,((0.0083*0.112*inputs!$C$7/1)*(3*60*379*((F638/1000)^0.8))*MAX(inputs!$H$14:$H$16))/F638))*(inputs!E$75/inputs!$E$73)</f>
        <v>1.353936568702967E-2</v>
      </c>
      <c r="T638" s="63">
        <f>IF((((inputs!$P$12/(V638/MAX(K638:S638)))^(1/inputs!$O$12))-1)/inputs!$N$12&lt;0, 0, IF((((inputs!$P$12/(V638/MAX(K638:S638)))^(1/inputs!$O$12))-1)/inputs!$N$12&gt;inputs!$H$17, inputs!$H$17, (((inputs!$P$12/(V638/MAX(K638:S638)))^(1/inputs!$O$12))-1)/inputs!$N$12))</f>
        <v>42.900430559850356</v>
      </c>
      <c r="U638" s="63">
        <f>IF((((inputs!$P$12/(X638/MAX(K638:S638)))^(1/inputs!$O$12))-1)/inputs!$N$12&lt;0, 0, IF((((inputs!$P$12/(X638/MAX(K638:S638)))^(1/inputs!$O$12))-1)/inputs!$N$12&gt;inputs!$H$17, inputs!$H$17, (((inputs!$P$12/(X638/MAX(K638:S638)))^(1/inputs!$O$12))-1)/inputs!$N$12))</f>
        <v>0</v>
      </c>
      <c r="V638" s="54">
        <f>inputs!$E$70*(inputs!$F$70/F638)^(0.25)</f>
        <v>1.2835789548257144</v>
      </c>
      <c r="W638" s="54">
        <f>inputs!$E$76*(inputs!$F$76/F638)^(0.25)</f>
        <v>0.38607633991895873</v>
      </c>
      <c r="X638" s="54">
        <f>inputs!$E$72*(inputs!$F$72/F638)^(0.25)</f>
        <v>56.628483301134466</v>
      </c>
      <c r="Y638" s="54" t="s">
        <v>13</v>
      </c>
      <c r="Z638" s="106">
        <f t="shared" si="76"/>
        <v>20.08959715349356</v>
      </c>
      <c r="AA638" s="106">
        <f t="shared" si="77"/>
        <v>66.791412606542465</v>
      </c>
    </row>
    <row r="639" spans="1:27" ht="26.4" x14ac:dyDescent="0.25">
      <c r="A639" s="55" t="s">
        <v>578</v>
      </c>
      <c r="B639" s="49" t="s">
        <v>579</v>
      </c>
      <c r="C639" s="21" t="s">
        <v>61</v>
      </c>
      <c r="D639" s="20" t="s">
        <v>443</v>
      </c>
      <c r="E639" s="20">
        <v>43</v>
      </c>
      <c r="F639" s="21">
        <v>236.4</v>
      </c>
      <c r="G639" s="21" t="s">
        <v>581</v>
      </c>
      <c r="H639" s="21">
        <v>6.3E-2</v>
      </c>
      <c r="I639" s="48">
        <f>MAX('Min rate concentrations'!$E$3:$E$368)</f>
        <v>55</v>
      </c>
      <c r="J639" s="48">
        <f>MAX('Min rate concentrations'!X:X)</f>
        <v>18</v>
      </c>
      <c r="K639" s="60">
        <f t="shared" si="82"/>
        <v>3.3636004421755015</v>
      </c>
      <c r="L639" s="60"/>
      <c r="M639" s="60">
        <f>IF((((0.326*F639^0.818)-(0.398*F639^0.85)/(1-H639)*H639)*(MAX('Min rate concentrations'!$P$3:$P$368)))/F639&gt;0, (((0.326*F639^0.818)-(0.398*F639^0.85)/(1-H639)*H639)*(MAX('Min rate concentrations'!$P$3:$P$368)))/F639, 0)</f>
        <v>1.5788478217995061E-2</v>
      </c>
      <c r="N639" s="60">
        <f>IF((((0.326*F639^0.818)-(0.398*F639^0.85)/(1-H639)*H639)*(MAX('Min rate concentrations'!$Q$3:$Q$368)))/F639&gt; 0, (((0.326*F639^0.818)-(0.398*F639^0.85)/(1-H639)*H639)*(MAX('Min rate concentrations'!$Q$3:$Q$368)))/F639, 0)</f>
        <v>6.0123373395665439E-2</v>
      </c>
      <c r="O639" s="60">
        <f>((MAX('Min rate concentrations'!$F$3:$F$368))*0.62*6.01*8*(12.3*F639^0.65)*0.079*0.1/F639)*inputs!$E$73/inputs!$E$74</f>
        <v>6.6618279329586656</v>
      </c>
      <c r="P639" s="60"/>
      <c r="Q639" s="60">
        <f>(inputs!$C$7*11.2*(12.3*F639^0.65)*0.5/F639)*inputs!$E$73/inputs!$E$74</f>
        <v>1.1734495693590208</v>
      </c>
      <c r="R639" s="60">
        <f>(60*379*((F639/1000)^0.8)*3*24*(MAX('Min rate concentrations'!$R$3:$R$368))/F639)*(inputs!$E$73/inputs!$E$75)</f>
        <v>2.4549800285054474E-3</v>
      </c>
      <c r="S639" s="60">
        <f>(IF(inputs!$C$6="aerial",((0.025*0.112*inputs!$C$7/3.3)*(3*60*379*((F639/1000)^0.8))*MAX(inputs!$H$14:$H$16))/F639,((0.0083*0.112*inputs!$C$7/1)*(3*60*379*((F639/1000)^0.8))*MAX(inputs!$H$14:$H$16))/F639))*(inputs!E$75/inputs!$E$73)</f>
        <v>1.353936568702967E-2</v>
      </c>
      <c r="T639" s="63">
        <f>IF((((inputs!$P$12/(V639/MAX(K639:S639)))^(1/inputs!$O$12))-1)/inputs!$N$12&lt;0, 0, IF((((inputs!$P$12/(V639/MAX(K639:S639)))^(1/inputs!$O$12))-1)/inputs!$N$12&gt;inputs!$H$17, inputs!$H$17, (((inputs!$P$12/(V639/MAX(K639:S639)))^(1/inputs!$O$12))-1)/inputs!$N$12))</f>
        <v>12.678074858695643</v>
      </c>
      <c r="U639" s="63">
        <f>IF((((inputs!$P$12/(X639/MAX(K639:S639)))^(1/inputs!$O$12))-1)/inputs!$N$12&lt;0, 0, IF((((inputs!$P$12/(X639/MAX(K639:S639)))^(1/inputs!$O$12))-1)/inputs!$N$12&gt;inputs!$H$17, inputs!$H$17, (((inputs!$P$12/(X639/MAX(K639:S639)))^(1/inputs!$O$12))-1)/inputs!$N$12))</f>
        <v>0</v>
      </c>
      <c r="V639" s="54">
        <f>inputs!$E$70*(inputs!$F$70/F639)^(0.25)</f>
        <v>1.2835789548257144</v>
      </c>
      <c r="W639" s="54">
        <f>inputs!$E$76*(inputs!$F$76/F639)^(0.25)</f>
        <v>0.38607633991895873</v>
      </c>
      <c r="X639" s="54">
        <f>inputs!$E$72*(inputs!$F$72/F639)^(0.25)</f>
        <v>56.628483301134466</v>
      </c>
      <c r="Y639" s="54" t="s">
        <v>13</v>
      </c>
      <c r="Z639" s="106">
        <f t="shared" si="76"/>
        <v>5.1900414134346846</v>
      </c>
      <c r="AA639" s="106">
        <f t="shared" si="77"/>
        <v>17.255208994047781</v>
      </c>
    </row>
    <row r="640" spans="1:27" ht="26.4" x14ac:dyDescent="0.25">
      <c r="A640" s="55" t="s">
        <v>578</v>
      </c>
      <c r="B640" s="49" t="s">
        <v>579</v>
      </c>
      <c r="C640" s="21" t="s">
        <v>61</v>
      </c>
      <c r="D640" s="20" t="s">
        <v>443</v>
      </c>
      <c r="E640" s="20">
        <v>43</v>
      </c>
      <c r="F640" s="21">
        <v>236.4</v>
      </c>
      <c r="G640" s="21" t="s">
        <v>154</v>
      </c>
      <c r="H640" s="21">
        <v>9.2999999999999999E-2</v>
      </c>
      <c r="I640" s="48">
        <f>MAX('Min rate concentrations'!$G$3:$G$368)</f>
        <v>7.5</v>
      </c>
      <c r="J640" s="48">
        <f>MAX('Min rate concentrations'!Z:Z)</f>
        <v>3.5</v>
      </c>
      <c r="K640" s="60">
        <f t="shared" si="82"/>
        <v>0.47384388307884812</v>
      </c>
      <c r="L640" s="60"/>
      <c r="M640" s="60">
        <f>IF((((0.326*F640^0.818)-(0.398*F640^0.85)/(1-H640)*H640)*(MAX('Min rate concentrations'!$P$3:$P$368)))/F640&gt;0, (((0.326*F640^0.818)-(0.398*F640^0.85)/(1-H640)*H640)*(MAX('Min rate concentrations'!$P$3:$P$368)))/F640, 0)</f>
        <v>1.4890178058813052E-2</v>
      </c>
      <c r="N640" s="60">
        <f>IF((((0.326*F640^0.818)-(0.398*F640^0.85)/(1-H640)*H640)*(MAX('Min rate concentrations'!$Q$3:$Q$368)))/F640&gt; 0, (((0.326*F640^0.818)-(0.398*F640^0.85)/(1-H640)*H640)*(MAX('Min rate concentrations'!$Q$3:$Q$368)))/F640, 0)</f>
        <v>5.6702598122319051E-2</v>
      </c>
      <c r="O640" s="60">
        <f>((MAX('Min rate concentrations'!$F$3:$F$368))*0.62*6.01*8*(12.3*F640^0.65)*0.079*0.1/F640)*inputs!$E$73/inputs!$E$74</f>
        <v>6.6618279329586656</v>
      </c>
      <c r="P640" s="60"/>
      <c r="Q640" s="60">
        <f>(inputs!$C$7*11.2*(12.3*F640^0.65)*0.5/F640)*inputs!$E$73/inputs!$E$74</f>
        <v>1.1734495693590208</v>
      </c>
      <c r="R640" s="60">
        <f>(60*379*((F640/1000)^0.8)*3*24*(MAX('Min rate concentrations'!$R$3:$R$368))/F640)*(inputs!$E$73/inputs!$E$75)</f>
        <v>2.4549800285054474E-3</v>
      </c>
      <c r="S640" s="60">
        <f>(IF(inputs!$C$6="aerial",((0.025*0.112*inputs!$C$7/3.3)*(3*60*379*((F640/1000)^0.8))*MAX(inputs!$H$14:$H$16))/F640,((0.0083*0.112*inputs!$C$7/1)*(3*60*379*((F640/1000)^0.8))*MAX(inputs!$H$14:$H$16))/F640))*(inputs!E$75/inputs!$E$73)</f>
        <v>1.353936568702967E-2</v>
      </c>
      <c r="T640" s="63">
        <f>IF((((inputs!$P$12/(V640/MAX(K640:S640)))^(1/inputs!$O$12))-1)/inputs!$N$12&lt;0, 0, IF((((inputs!$P$12/(V640/MAX(K640:S640)))^(1/inputs!$O$12))-1)/inputs!$N$12&gt;inputs!$H$17, inputs!$H$17, (((inputs!$P$12/(V640/MAX(K640:S640)))^(1/inputs!$O$12))-1)/inputs!$N$12))</f>
        <v>12.678074858695643</v>
      </c>
      <c r="U640" s="63">
        <f>IF((((inputs!$P$12/(X640/MAX(K640:S640)))^(1/inputs!$O$12))-1)/inputs!$N$12&lt;0, 0, IF((((inputs!$P$12/(X640/MAX(K640:S640)))^(1/inputs!$O$12))-1)/inputs!$N$12&gt;inputs!$H$17, inputs!$H$17, (((inputs!$P$12/(X640/MAX(K640:S640)))^(1/inputs!$O$12))-1)/inputs!$N$12))</f>
        <v>0</v>
      </c>
      <c r="V640" s="54">
        <f>inputs!$E$70*(inputs!$F$70/F640)^(0.25)</f>
        <v>1.2835789548257144</v>
      </c>
      <c r="W640" s="54">
        <f>inputs!$E$76*(inputs!$F$76/F640)^(0.25)</f>
        <v>0.38607633991895873</v>
      </c>
      <c r="X640" s="54">
        <f>inputs!$E$72*(inputs!$F$72/F640)^(0.25)</f>
        <v>56.628483301134466</v>
      </c>
      <c r="Y640" s="54" t="s">
        <v>13</v>
      </c>
      <c r="Z640" s="106">
        <f t="shared" si="76"/>
        <v>5.1900414134346846</v>
      </c>
      <c r="AA640" s="106">
        <f t="shared" si="77"/>
        <v>17.255208994047781</v>
      </c>
    </row>
    <row r="641" spans="1:27" x14ac:dyDescent="0.25">
      <c r="A641" s="55" t="s">
        <v>611</v>
      </c>
      <c r="B641" s="49" t="s">
        <v>612</v>
      </c>
      <c r="C641" s="21" t="s">
        <v>61</v>
      </c>
      <c r="D641" s="20" t="s">
        <v>443</v>
      </c>
      <c r="E641" s="20">
        <v>5210</v>
      </c>
      <c r="F641" s="21">
        <v>12</v>
      </c>
      <c r="G641" s="21" t="s">
        <v>142</v>
      </c>
      <c r="H641" s="21">
        <v>0.69</v>
      </c>
      <c r="I641" s="48">
        <f>MAX('Min rate concentrations'!$H$3:$H$368)</f>
        <v>47</v>
      </c>
      <c r="J641" s="48">
        <f>MAX('Min rate concentrations'!AA:AA)</f>
        <v>32.5</v>
      </c>
      <c r="K641" s="60">
        <f t="shared" si="82"/>
        <v>31.864326320175874</v>
      </c>
      <c r="L641" s="60">
        <f>(((0.621*F641^0.564)/(1-H641)))*J641/F641</f>
        <v>22.03384266820672</v>
      </c>
      <c r="M641" s="60">
        <f>IF((((0.326*F641^0.818)-(0.398*F641^0.85)/(1-H641)*H641)*(MAX('Min rate concentrations'!$P$3:$P$368)))/F641&gt;0, (((0.326*F641^0.818)-(0.398*F641^0.85)/(1-H641)*H641)*(MAX('Min rate concentrations'!$P$3:$P$368)))/F641, 0)</f>
        <v>0</v>
      </c>
      <c r="N641" s="60">
        <f>IF((((0.326*F641^0.818)-(0.398*F641^0.85)/(1-H641)*H641)*(MAX('Min rate concentrations'!$Q$3:$Q$368)))/F641&gt; 0, (((0.326*F641^0.818)-(0.398*F641^0.85)/(1-H641)*H641)*(MAX('Min rate concentrations'!$Q$3:$Q$368)))/F641, 0)</f>
        <v>0</v>
      </c>
      <c r="O641" s="60">
        <f>((MAX('Min rate concentrations'!$F$3:$F$368))*0.62*6.01*8*(12.3*F641^0.65)*0.079*0.1/F641)*inputs!$E$73/inputs!$E$74</f>
        <v>18.908478773287541</v>
      </c>
      <c r="P641" s="60">
        <f>((MAX('Min rate concentrations'!Y:Y))*0.62*6.01*8*(12.3*F641^0.65)*0.079*0.1/F641)*inputs!$E$73/inputs!$E$74</f>
        <v>6.3028262577625114</v>
      </c>
      <c r="Q641" s="60">
        <f>(inputs!$C$7*11.2*(12.3*F641^0.65)*0.5/F641)*inputs!$E$73/inputs!$E$74</f>
        <v>3.330639352597959</v>
      </c>
      <c r="R641" s="60">
        <f>(60*379*((F641/1000)^0.8)*3*24*(MAX('Min rate concentrations'!$R$3:$R$368))/F641)*(inputs!$E$73/inputs!$E$75)</f>
        <v>4.4559592309452237E-3</v>
      </c>
      <c r="S641" s="60">
        <f>(IF(inputs!$C$6="aerial",((0.025*0.112*inputs!$C$7/3.3)*(3*60*379*((F641/1000)^0.8))*MAX(inputs!$H$14:$H$16))/F641,((0.0083*0.112*inputs!$C$7/1)*(3*60*379*((F641/1000)^0.8))*MAX(inputs!$H$14:$H$16))/F641))*(inputs!E$75/inputs!$E$73)</f>
        <v>2.4574888925264021E-2</v>
      </c>
      <c r="T641" s="63">
        <f>IF((((inputs!$P$12/(V641/MAX(K641:S641)))^(1/inputs!$O$12))-1)/inputs!$N$12&lt;0, 0, IF((((inputs!$P$12/(V641/MAX(K641:S641)))^(1/inputs!$O$12))-1)/inputs!$N$12&gt;inputs!$H$17, inputs!$H$17, (((inputs!$P$12/(V641/MAX(K641:S641)))^(1/inputs!$O$12))-1)/inputs!$N$12))</f>
        <v>28.974157518580039</v>
      </c>
      <c r="U641" s="63">
        <f>IF((((inputs!$P$12/(X641/MAX(K641:S641)))^(1/inputs!$O$12))-1)/inputs!$N$12&lt;0, 0, IF((((inputs!$P$12/(X641/MAX(K641:S641)))^(1/inputs!$O$12))-1)/inputs!$N$12&gt;inputs!$H$17, inputs!$H$17, (((inputs!$P$12/(X641/MAX(K641:S641)))^(1/inputs!$O$12))-1)/inputs!$N$12))</f>
        <v>0</v>
      </c>
      <c r="V641" s="54">
        <f>inputs!$E$70*(inputs!$F$70/F641)^(0.25)</f>
        <v>2.7042020921926482</v>
      </c>
      <c r="W641" s="54">
        <f>inputs!$E$76*(inputs!$F$76/F641)^(0.25)</f>
        <v>0.81337298514425049</v>
      </c>
      <c r="X641" s="54">
        <f>inputs!$E$72*(inputs!$F$72/F641)^(0.25)</f>
        <v>119.30303347908743</v>
      </c>
      <c r="Y641" s="54" t="s">
        <v>13</v>
      </c>
      <c r="Z641" s="106">
        <f t="shared" si="76"/>
        <v>11.78326368882413</v>
      </c>
      <c r="AA641" s="106">
        <f t="shared" si="77"/>
        <v>39.175540498833733</v>
      </c>
    </row>
    <row r="642" spans="1:27" x14ac:dyDescent="0.25">
      <c r="A642" s="55" t="s">
        <v>611</v>
      </c>
      <c r="B642" s="49" t="s">
        <v>612</v>
      </c>
      <c r="C642" s="21" t="s">
        <v>61</v>
      </c>
      <c r="D642" s="20" t="s">
        <v>443</v>
      </c>
      <c r="E642" s="20">
        <v>5210</v>
      </c>
      <c r="F642" s="21">
        <v>12</v>
      </c>
      <c r="G642" s="21" t="s">
        <v>152</v>
      </c>
      <c r="H642" s="21">
        <v>0.77</v>
      </c>
      <c r="I642" s="48">
        <f>MAX('Min rate concentrations'!$G$3:$G$368)</f>
        <v>7.5</v>
      </c>
      <c r="J642" s="48">
        <f>MAX('Min rate concentrations'!Z:Z)</f>
        <v>3.5</v>
      </c>
      <c r="K642" s="60">
        <f t="shared" si="82"/>
        <v>6.8533356794087803</v>
      </c>
      <c r="L642" s="60">
        <f>(((0.621*F642^0.564)/(1-H642)))*J642/F642</f>
        <v>3.198223317057431</v>
      </c>
      <c r="M642" s="60">
        <f>IF((((0.326*F642^0.818)-(0.398*F642^0.85)/(1-H642)*H642)*(MAX('Min rate concentrations'!$P$3:$P$368)))/F642&gt;0, (((0.326*F642^0.818)-(0.398*F642^0.85)/(1-H642)*H642)*(MAX('Min rate concentrations'!$P$3:$P$368)))/F642, 0)</f>
        <v>0</v>
      </c>
      <c r="N642" s="60">
        <f>IF((((0.326*F642^0.818)-(0.398*F642^0.85)/(1-H642)*H642)*(MAX('Min rate concentrations'!$Q$3:$Q$368)))/F642&gt; 0, (((0.326*F642^0.818)-(0.398*F642^0.85)/(1-H642)*H642)*(MAX('Min rate concentrations'!$Q$3:$Q$368)))/F642, 0)</f>
        <v>0</v>
      </c>
      <c r="O642" s="60">
        <f>((MAX('Min rate concentrations'!$F$3:$F$368))*0.62*6.01*8*(12.3*F642^0.65)*0.079*0.1/F642)*inputs!$E$73/inputs!$E$74</f>
        <v>18.908478773287541</v>
      </c>
      <c r="P642" s="60">
        <f>((MAX('Min rate concentrations'!Y:Y))*0.62*6.01*8*(12.3*F642^0.65)*0.079*0.1/F642)*inputs!$E$73/inputs!$E$74</f>
        <v>6.3028262577625114</v>
      </c>
      <c r="Q642" s="60">
        <f>(inputs!$C$7*11.2*(12.3*F642^0.65)*0.5/F642)*inputs!$E$73/inputs!$E$74</f>
        <v>3.330639352597959</v>
      </c>
      <c r="R642" s="60">
        <f>(60*379*((F642/1000)^0.8)*3*24*(MAX('Min rate concentrations'!$R$3:$R$368))/F642)*(inputs!$E$73/inputs!$E$75)</f>
        <v>4.4559592309452237E-3</v>
      </c>
      <c r="S642" s="60">
        <f>(IF(inputs!$C$6="aerial",((0.025*0.112*inputs!$C$7/3.3)*(3*60*379*((F642/1000)^0.8))*MAX(inputs!$H$14:$H$16))/F642,((0.0083*0.112*inputs!$C$7/1)*(3*60*379*((F642/1000)^0.8))*MAX(inputs!$H$14:$H$16))/F642))*(inputs!E$75/inputs!$E$73)</f>
        <v>2.4574888925264021E-2</v>
      </c>
      <c r="T642" s="63">
        <f>IF((((inputs!$P$12/(V642/MAX(K642:S642)))^(1/inputs!$O$12))-1)/inputs!$N$12&lt;0, 0, IF((((inputs!$P$12/(V642/MAX(K642:S642)))^(1/inputs!$O$12))-1)/inputs!$N$12&gt;inputs!$H$17, inputs!$H$17, (((inputs!$P$12/(V642/MAX(K642:S642)))^(1/inputs!$O$12))-1)/inputs!$N$12))</f>
        <v>17.984115705891043</v>
      </c>
      <c r="U642" s="63">
        <f>IF((((inputs!$P$12/(X642/MAX(K642:S642)))^(1/inputs!$O$12))-1)/inputs!$N$12&lt;0, 0, IF((((inputs!$P$12/(X642/MAX(K642:S642)))^(1/inputs!$O$12))-1)/inputs!$N$12&gt;inputs!$H$17, inputs!$H$17, (((inputs!$P$12/(X642/MAX(K642:S642)))^(1/inputs!$O$12))-1)/inputs!$N$12))</f>
        <v>0</v>
      </c>
      <c r="V642" s="54">
        <f>inputs!$E$70*(inputs!$F$70/F642)^(0.25)</f>
        <v>2.7042020921926482</v>
      </c>
      <c r="W642" s="54">
        <f>inputs!$E$76*(inputs!$F$76/F642)^(0.25)</f>
        <v>0.81337298514425049</v>
      </c>
      <c r="X642" s="54">
        <f>inputs!$E$72*(inputs!$F$72/F642)^(0.25)</f>
        <v>119.30303347908743</v>
      </c>
      <c r="Y642" s="54" t="s">
        <v>13</v>
      </c>
      <c r="Z642" s="106">
        <f t="shared" si="76"/>
        <v>6.9922580223861814</v>
      </c>
      <c r="AA642" s="106">
        <f t="shared" si="77"/>
        <v>23.2469962964582</v>
      </c>
    </row>
    <row r="643" spans="1:27" ht="26.4" x14ac:dyDescent="0.25">
      <c r="A643" s="55" t="s">
        <v>611</v>
      </c>
      <c r="B643" s="49" t="s">
        <v>612</v>
      </c>
      <c r="C643" s="21" t="s">
        <v>61</v>
      </c>
      <c r="D643" s="20" t="s">
        <v>443</v>
      </c>
      <c r="E643" s="20">
        <v>5210</v>
      </c>
      <c r="F643" s="21">
        <v>12</v>
      </c>
      <c r="G643" s="21" t="s">
        <v>580</v>
      </c>
      <c r="H643" s="21">
        <v>0.85</v>
      </c>
      <c r="I643" s="48">
        <f>MAX('Min rate concentrations'!$F$3:$F$368)</f>
        <v>67.5</v>
      </c>
      <c r="J643" s="48">
        <f>MAX('Min rate concentrations'!Y:Y)</f>
        <v>22.5</v>
      </c>
      <c r="K643" s="60">
        <f t="shared" si="82"/>
        <v>94.576032375841137</v>
      </c>
      <c r="L643" s="60"/>
      <c r="M643" s="60">
        <f>IF((((0.326*F643^0.818)-(0.398*F643^0.85)/(1-H643)*H643)*(MAX('Min rate concentrations'!$P$3:$P$368)))/F643&gt;0, (((0.326*F643^0.818)-(0.398*F643^0.85)/(1-H643)*H643)*(MAX('Min rate concentrations'!$P$3:$P$368)))/F643, 0)</f>
        <v>0</v>
      </c>
      <c r="N643" s="60">
        <f>IF((((0.326*F643^0.818)-(0.398*F643^0.85)/(1-H643)*H643)*(MAX('Min rate concentrations'!$Q$3:$Q$368)))/F643&gt; 0, (((0.326*F643^0.818)-(0.398*F643^0.85)/(1-H643)*H643)*(MAX('Min rate concentrations'!$Q$3:$Q$368)))/F643, 0)</f>
        <v>0</v>
      </c>
      <c r="O643" s="60">
        <f>((MAX('Min rate concentrations'!$F$3:$F$368))*0.62*6.01*8*(12.3*F643^0.65)*0.079*0.1/F643)*inputs!$E$73/inputs!$E$74</f>
        <v>18.908478773287541</v>
      </c>
      <c r="P643" s="60"/>
      <c r="Q643" s="60">
        <f>(inputs!$C$7*11.2*(12.3*F643^0.65)*0.5/F643)*inputs!$E$73/inputs!$E$74</f>
        <v>3.330639352597959</v>
      </c>
      <c r="R643" s="60">
        <f>(60*379*((F643/1000)^0.8)*3*24*(MAX('Min rate concentrations'!$R$3:$R$368))/F643)*(inputs!$E$73/inputs!$E$75)</f>
        <v>4.4559592309452237E-3</v>
      </c>
      <c r="S643" s="60">
        <f>(IF(inputs!$C$6="aerial",((0.025*0.112*inputs!$C$7/3.3)*(3*60*379*((F643/1000)^0.8))*MAX(inputs!$H$14:$H$16))/F643,((0.0083*0.112*inputs!$C$7/1)*(3*60*379*((F643/1000)^0.8))*MAX(inputs!$H$14:$H$16))/F643))*(inputs!E$75/inputs!$E$73)</f>
        <v>2.4574888925264021E-2</v>
      </c>
      <c r="T643" s="63">
        <f>IF((((inputs!$P$12/(V643/MAX(K643:S643)))^(1/inputs!$O$12))-1)/inputs!$N$12&lt;0, 0, IF((((inputs!$P$12/(V643/MAX(K643:S643)))^(1/inputs!$O$12))-1)/inputs!$N$12&gt;inputs!$H$17, inputs!$H$17, (((inputs!$P$12/(V643/MAX(K643:S643)))^(1/inputs!$O$12))-1)/inputs!$N$12))</f>
        <v>60.957878463424876</v>
      </c>
      <c r="U643" s="63">
        <f>IF((((inputs!$P$12/(X643/MAX(K643:S643)))^(1/inputs!$O$12))-1)/inputs!$N$12&lt;0, 0, IF((((inputs!$P$12/(X643/MAX(K643:S643)))^(1/inputs!$O$12))-1)/inputs!$N$12&gt;inputs!$H$17, inputs!$H$17, (((inputs!$P$12/(X643/MAX(K643:S643)))^(1/inputs!$O$12))-1)/inputs!$N$12))</f>
        <v>0</v>
      </c>
      <c r="V643" s="54">
        <f>inputs!$E$70*(inputs!$F$70/F643)^(0.25)</f>
        <v>2.7042020921926482</v>
      </c>
      <c r="W643" s="54">
        <f>inputs!$E$76*(inputs!$F$76/F643)^(0.25)</f>
        <v>0.81337298514425049</v>
      </c>
      <c r="X643" s="54">
        <f>inputs!$E$72*(inputs!$F$72/F643)^(0.25)</f>
        <v>119.30303347908743</v>
      </c>
      <c r="Y643" s="54" t="s">
        <v>13</v>
      </c>
      <c r="Z643" s="106">
        <f t="shared" si="76"/>
        <v>34.973729459382248</v>
      </c>
      <c r="AA643" s="106">
        <f t="shared" si="77"/>
        <v>116.27633828909158</v>
      </c>
    </row>
    <row r="644" spans="1:27" x14ac:dyDescent="0.25">
      <c r="A644" s="55" t="s">
        <v>611</v>
      </c>
      <c r="B644" s="49" t="s">
        <v>612</v>
      </c>
      <c r="C644" s="21" t="s">
        <v>61</v>
      </c>
      <c r="D644" s="20" t="s">
        <v>443</v>
      </c>
      <c r="E644" s="20">
        <v>5210</v>
      </c>
      <c r="F644" s="21">
        <v>12</v>
      </c>
      <c r="G644" s="21" t="s">
        <v>154</v>
      </c>
      <c r="H644" s="21">
        <v>9.2999999999999999E-2</v>
      </c>
      <c r="I644" s="48">
        <f>MAX('Min rate concentrations'!$G$3:$G$368)</f>
        <v>7.5</v>
      </c>
      <c r="J644" s="48">
        <f>MAX('Min rate concentrations'!Z:Z)</f>
        <v>3.5</v>
      </c>
      <c r="K644" s="60">
        <f t="shared" si="82"/>
        <v>1.7378910763660633</v>
      </c>
      <c r="L644" s="60"/>
      <c r="M644" s="60">
        <f>IF((((0.326*F644^0.818)-(0.398*F644^0.85)/(1-H644)*H644)*(MAX('Min rate concentrations'!$P$3:$P$368)))/F644&gt;0, (((0.326*F644^0.818)-(0.398*F644^0.85)/(1-H644)*H644)*(MAX('Min rate concentrations'!$P$3:$P$368)))/F644, 0)</f>
        <v>2.6023247729384608E-2</v>
      </c>
      <c r="N644" s="60">
        <f>IF((((0.326*F644^0.818)-(0.398*F644^0.85)/(1-H644)*H644)*(MAX('Min rate concentrations'!$Q$3:$Q$368)))/F644&gt; 0, (((0.326*F644^0.818)-(0.398*F644^0.85)/(1-H644)*H644)*(MAX('Min rate concentrations'!$Q$3:$Q$368)))/F644, 0)</f>
        <v>9.9097925626449576E-2</v>
      </c>
      <c r="O644" s="60">
        <f>((MAX('Min rate concentrations'!$F$3:$F$368))*0.62*6.01*8*(12.3*F644^0.65)*0.079*0.1/F644)*inputs!$E$73/inputs!$E$74</f>
        <v>18.908478773287541</v>
      </c>
      <c r="P644" s="60"/>
      <c r="Q644" s="60">
        <f>(inputs!$C$7*11.2*(12.3*F644^0.65)*0.5/F644)*inputs!$E$73/inputs!$E$74</f>
        <v>3.330639352597959</v>
      </c>
      <c r="R644" s="60">
        <f>(60*379*((F644/1000)^0.8)*3*24*(MAX('Min rate concentrations'!$R$3:$R$368))/F644)*(inputs!$E$73/inputs!$E$75)</f>
        <v>4.4559592309452237E-3</v>
      </c>
      <c r="S644" s="60">
        <f>(IF(inputs!$C$6="aerial",((0.025*0.112*inputs!$C$7/3.3)*(3*60*379*((F644/1000)^0.8))*MAX(inputs!$H$14:$H$16))/F644,((0.0083*0.112*inputs!$C$7/1)*(3*60*379*((F644/1000)^0.8))*MAX(inputs!$H$14:$H$16))/F644))*(inputs!E$75/inputs!$E$73)</f>
        <v>2.4574888925264021E-2</v>
      </c>
      <c r="T644" s="63">
        <f>IF((((inputs!$P$12/(V644/MAX(K644:S644)))^(1/inputs!$O$12))-1)/inputs!$N$12&lt;0, 0, IF((((inputs!$P$12/(V644/MAX(K644:S644)))^(1/inputs!$O$12))-1)/inputs!$N$12&gt;inputs!$H$17, inputs!$H$17, (((inputs!$P$12/(V644/MAX(K644:S644)))^(1/inputs!$O$12))-1)/inputs!$N$12))</f>
        <v>17.984115705891043</v>
      </c>
      <c r="U644" s="63">
        <f>IF((((inputs!$P$12/(X644/MAX(K644:S644)))^(1/inputs!$O$12))-1)/inputs!$N$12&lt;0, 0, IF((((inputs!$P$12/(X644/MAX(K644:S644)))^(1/inputs!$O$12))-1)/inputs!$N$12&gt;inputs!$H$17, inputs!$H$17, (((inputs!$P$12/(X644/MAX(K644:S644)))^(1/inputs!$O$12))-1)/inputs!$N$12))</f>
        <v>0</v>
      </c>
      <c r="V644" s="54">
        <f>inputs!$E$70*(inputs!$F$70/F644)^(0.25)</f>
        <v>2.7042020921926482</v>
      </c>
      <c r="W644" s="54">
        <f>inputs!$E$76*(inputs!$F$76/F644)^(0.25)</f>
        <v>0.81337298514425049</v>
      </c>
      <c r="X644" s="54">
        <f>inputs!$E$72*(inputs!$F$72/F644)^(0.25)</f>
        <v>119.30303347908743</v>
      </c>
      <c r="Y644" s="54" t="s">
        <v>13</v>
      </c>
      <c r="Z644" s="106">
        <f t="shared" ref="Z644:Z707" si="83">MAX(K644:S644)/V644</f>
        <v>6.9922580223861814</v>
      </c>
      <c r="AA644" s="106">
        <f t="shared" ref="AA644:AA707" si="84">MAX(K644:S644)/W644</f>
        <v>23.2469962964582</v>
      </c>
    </row>
    <row r="645" spans="1:27" x14ac:dyDescent="0.25">
      <c r="A645" s="55" t="s">
        <v>568</v>
      </c>
      <c r="B645" s="49" t="s">
        <v>569</v>
      </c>
      <c r="C645" s="21" t="s">
        <v>61</v>
      </c>
      <c r="D645" s="20" t="s">
        <v>443</v>
      </c>
      <c r="E645" s="20">
        <v>59</v>
      </c>
      <c r="F645" s="21">
        <v>120</v>
      </c>
      <c r="G645" s="21" t="s">
        <v>169</v>
      </c>
      <c r="H645" s="21">
        <v>0.79</v>
      </c>
      <c r="I645" s="48">
        <f>MAX('Min rate concentrations'!$D$3:$D$368)</f>
        <v>120</v>
      </c>
      <c r="J645" s="48">
        <f>MAX('Min rate concentrations'!W:W)</f>
        <v>42.5</v>
      </c>
      <c r="K645" s="60">
        <f t="shared" si="82"/>
        <v>44.007888156975483</v>
      </c>
      <c r="L645" s="60">
        <f>(((0.621*F645^0.564)/(1-H645)))*J645/F645</f>
        <v>15.586127055595483</v>
      </c>
      <c r="M645" s="60">
        <f>IF((((0.326*F645^0.818)-(0.398*F645^0.85)/(1-H645)*H645)*(MAX('Min rate concentrations'!$P$3:$P$368)))/F645&gt;0, (((0.326*F645^0.818)-(0.398*F645^0.85)/(1-H645)*H645)*(MAX('Min rate concentrations'!$P$3:$P$368)))/F645, 0)</f>
        <v>0</v>
      </c>
      <c r="N645" s="60">
        <f>IF((((0.326*F645^0.818)-(0.398*F645^0.85)/(1-H645)*H645)*(MAX('Min rate concentrations'!$Q$3:$Q$368)))/F645&gt; 0, (((0.326*F645^0.818)-(0.398*F645^0.85)/(1-H645)*H645)*(MAX('Min rate concentrations'!$Q$3:$Q$368)))/F645, 0)</f>
        <v>0</v>
      </c>
      <c r="O645" s="60">
        <f>((MAX('Min rate concentrations'!$F$3:$F$368))*0.62*6.01*8*(12.3*F645^0.65)*0.079*0.1/F645)*inputs!$E$73/inputs!$E$74</f>
        <v>8.4461072205623111</v>
      </c>
      <c r="P645" s="60">
        <f>((MAX('Min rate concentrations'!Y:Y))*0.62*6.01*8*(12.3*F645^0.65)*0.079*0.1/F645)*inputs!$E$73/inputs!$E$74</f>
        <v>2.8153690735207699</v>
      </c>
      <c r="Q645" s="60">
        <f>(inputs!$C$7*11.2*(12.3*F645^0.65)*0.5/F645)*inputs!$E$73/inputs!$E$74</f>
        <v>1.4877419501778142</v>
      </c>
      <c r="R645" s="60">
        <f>(60*379*((F645/1000)^0.8)*3*24*(MAX('Min rate concentrations'!$R$3:$R$368))/F645)*(inputs!$E$73/inputs!$E$75)</f>
        <v>2.8115202034692029E-3</v>
      </c>
      <c r="S645" s="60">
        <f>(IF(inputs!$C$6="aerial",((0.025*0.112*inputs!$C$7/3.3)*(3*60*379*((F645/1000)^0.8))*MAX(inputs!$H$14:$H$16))/F645,((0.0083*0.112*inputs!$C$7/1)*(3*60*379*((F645/1000)^0.8))*MAX(inputs!$H$14:$H$16))/F645))*(inputs!E$75/inputs!$E$73)</f>
        <v>1.5505706657180304E-2</v>
      </c>
      <c r="T645" s="63">
        <f>IF((((inputs!$P$12/(V645/MAX(K645:S645)))^(1/inputs!$O$12))-1)/inputs!$N$12&lt;0, 0, IF((((inputs!$P$12/(V645/MAX(K645:S645)))^(1/inputs!$O$12))-1)/inputs!$N$12&gt;inputs!$H$17, inputs!$H$17, (((inputs!$P$12/(V645/MAX(K645:S645)))^(1/inputs!$O$12))-1)/inputs!$N$12))</f>
        <v>54.326296714606798</v>
      </c>
      <c r="U645" s="63">
        <f>IF((((inputs!$P$12/(X645/MAX(K645:S645)))^(1/inputs!$O$12))-1)/inputs!$N$12&lt;0, 0, IF((((inputs!$P$12/(X645/MAX(K645:S645)))^(1/inputs!$O$12))-1)/inputs!$N$12&gt;inputs!$H$17, inputs!$H$17, (((inputs!$P$12/(X645/MAX(K645:S645)))^(1/inputs!$O$12))-1)/inputs!$N$12))</f>
        <v>0</v>
      </c>
      <c r="V645" s="54">
        <f>inputs!$E$70*(inputs!$F$70/F645)^(0.25)</f>
        <v>1.5206845881061284</v>
      </c>
      <c r="W645" s="54">
        <f>inputs!$E$76*(inputs!$F$76/F645)^(0.25)</f>
        <v>0.45739324234004791</v>
      </c>
      <c r="X645" s="54">
        <f>inputs!$E$72*(inputs!$F$72/F645)^(0.25)</f>
        <v>67.089025945858609</v>
      </c>
      <c r="Y645" s="54" t="s">
        <v>13</v>
      </c>
      <c r="Z645" s="106">
        <f t="shared" si="83"/>
        <v>28.939524015156376</v>
      </c>
      <c r="AA645" s="106">
        <f t="shared" si="84"/>
        <v>96.214556935360065</v>
      </c>
    </row>
    <row r="646" spans="1:27" x14ac:dyDescent="0.25">
      <c r="A646" s="55" t="s">
        <v>568</v>
      </c>
      <c r="B646" s="49" t="s">
        <v>569</v>
      </c>
      <c r="C646" s="21" t="s">
        <v>61</v>
      </c>
      <c r="D646" s="20" t="s">
        <v>443</v>
      </c>
      <c r="E646" s="20">
        <v>59</v>
      </c>
      <c r="F646" s="21">
        <v>120</v>
      </c>
      <c r="G646" s="21" t="s">
        <v>158</v>
      </c>
      <c r="H646" s="21">
        <v>0.85</v>
      </c>
      <c r="I646" s="48">
        <f>MAX('Min rate concentrations'!$F$3:$F$368)</f>
        <v>67.5</v>
      </c>
      <c r="J646" s="48">
        <f>MAX('Min rate concentrations'!Y:Y)</f>
        <v>22.5</v>
      </c>
      <c r="K646" s="60">
        <f t="shared" si="82"/>
        <v>34.656211923618187</v>
      </c>
      <c r="L646" s="60">
        <f>(((0.621*F646^0.564)/(1-H646)))*J646/F646</f>
        <v>11.552070641206061</v>
      </c>
      <c r="M646" s="60">
        <f>IF((((0.326*F646^0.818)-(0.398*F646^0.85)/(1-H646)*H646)*(MAX('Min rate concentrations'!$P$3:$P$368)))/F646&gt;0, (((0.326*F646^0.818)-(0.398*F646^0.85)/(1-H646)*H646)*(MAX('Min rate concentrations'!$P$3:$P$368)))/F646, 0)</f>
        <v>0</v>
      </c>
      <c r="N646" s="60">
        <f>IF((((0.326*F646^0.818)-(0.398*F646^0.85)/(1-H646)*H646)*(MAX('Min rate concentrations'!$Q$3:$Q$368)))/F646&gt; 0, (((0.326*F646^0.818)-(0.398*F646^0.85)/(1-H646)*H646)*(MAX('Min rate concentrations'!$Q$3:$Q$368)))/F646, 0)</f>
        <v>0</v>
      </c>
      <c r="O646" s="60">
        <f>((MAX('Min rate concentrations'!$F$3:$F$368))*0.62*6.01*8*(12.3*F646^0.65)*0.079*0.1/F646)*inputs!$E$73/inputs!$E$74</f>
        <v>8.4461072205623111</v>
      </c>
      <c r="P646" s="60">
        <f>((MAX('Min rate concentrations'!Y:Y))*0.62*6.01*8*(12.3*F646^0.65)*0.079*0.1/F646)*inputs!$E$73/inputs!$E$74</f>
        <v>2.8153690735207699</v>
      </c>
      <c r="Q646" s="60">
        <f>(inputs!$C$7*11.2*(12.3*F646^0.65)*0.5/F646)*inputs!$E$73/inputs!$E$74</f>
        <v>1.4877419501778142</v>
      </c>
      <c r="R646" s="60">
        <f>(60*379*((F646/1000)^0.8)*3*24*(MAX('Min rate concentrations'!$R$3:$R$368))/F646)*(inputs!$E$73/inputs!$E$75)</f>
        <v>2.8115202034692029E-3</v>
      </c>
      <c r="S646" s="60">
        <f>(IF(inputs!$C$6="aerial",((0.025*0.112*inputs!$C$7/3.3)*(3*60*379*((F646/1000)^0.8))*MAX(inputs!$H$14:$H$16))/F646,((0.0083*0.112*inputs!$C$7/1)*(3*60*379*((F646/1000)^0.8))*MAX(inputs!$H$14:$H$16))/F646))*(inputs!E$75/inputs!$E$73)</f>
        <v>1.5505706657180304E-2</v>
      </c>
      <c r="T646" s="63">
        <f>IF((((inputs!$P$12/(V646/MAX(K646:S646)))^(1/inputs!$O$12))-1)/inputs!$N$12&lt;0, 0, IF((((inputs!$P$12/(V646/MAX(K646:S646)))^(1/inputs!$O$12))-1)/inputs!$N$12&gt;inputs!$H$17, inputs!$H$17, (((inputs!$P$12/(V646/MAX(K646:S646)))^(1/inputs!$O$12))-1)/inputs!$N$12))</f>
        <v>46.657962072165958</v>
      </c>
      <c r="U646" s="63">
        <f>IF((((inputs!$P$12/(X646/MAX(K646:S646)))^(1/inputs!$O$12))-1)/inputs!$N$12&lt;0, 0, IF((((inputs!$P$12/(X646/MAX(K646:S646)))^(1/inputs!$O$12))-1)/inputs!$N$12&gt;inputs!$H$17, inputs!$H$17, (((inputs!$P$12/(X646/MAX(K646:S646)))^(1/inputs!$O$12))-1)/inputs!$N$12))</f>
        <v>0</v>
      </c>
      <c r="V646" s="54">
        <f>inputs!$E$70*(inputs!$F$70/F646)^(0.25)</f>
        <v>1.5206845881061284</v>
      </c>
      <c r="W646" s="54">
        <f>inputs!$E$76*(inputs!$F$76/F646)^(0.25)</f>
        <v>0.45739324234004791</v>
      </c>
      <c r="X646" s="54">
        <f>inputs!$E$72*(inputs!$F$72/F646)^(0.25)</f>
        <v>67.089025945858609</v>
      </c>
      <c r="Y646" s="54" t="s">
        <v>13</v>
      </c>
      <c r="Z646" s="106">
        <f t="shared" si="83"/>
        <v>22.78987516193564</v>
      </c>
      <c r="AA646" s="106">
        <f t="shared" si="84"/>
        <v>75.768963586596044</v>
      </c>
    </row>
    <row r="647" spans="1:27" x14ac:dyDescent="0.25">
      <c r="A647" s="55" t="s">
        <v>568</v>
      </c>
      <c r="B647" s="49" t="s">
        <v>569</v>
      </c>
      <c r="C647" s="21" t="s">
        <v>61</v>
      </c>
      <c r="D647" s="20" t="s">
        <v>443</v>
      </c>
      <c r="E647" s="20">
        <v>59</v>
      </c>
      <c r="F647" s="21">
        <v>120</v>
      </c>
      <c r="G647" s="21" t="s">
        <v>154</v>
      </c>
      <c r="H647" s="21">
        <v>9.2999999999999999E-2</v>
      </c>
      <c r="I647" s="48">
        <f>MAX('Min rate concentrations'!$G$3:$G$368)</f>
        <v>7.5</v>
      </c>
      <c r="J647" s="48">
        <f>MAX('Min rate concentrations'!Z:Z)</f>
        <v>3.5</v>
      </c>
      <c r="K647" s="60">
        <f t="shared" si="82"/>
        <v>0.63682859102569256</v>
      </c>
      <c r="L647" s="60"/>
      <c r="M647" s="60">
        <f>IF((((0.326*F647^0.818)-(0.398*F647^0.85)/(1-H647)*H647)*(MAX('Min rate concentrations'!$P$3:$P$368)))/F647&gt;0, (((0.326*F647^0.818)-(0.398*F647^0.85)/(1-H647)*H647)*(MAX('Min rate concentrations'!$P$3:$P$368)))/F647, 0)</f>
        <v>1.6909202628952229E-2</v>
      </c>
      <c r="N647" s="60">
        <f>IF((((0.326*F647^0.818)-(0.398*F647^0.85)/(1-H647)*H647)*(MAX('Min rate concentrations'!$Q$3:$Q$368)))/F647&gt; 0, (((0.326*F647^0.818)-(0.398*F647^0.85)/(1-H647)*H647)*(MAX('Min rate concentrations'!$Q$3:$Q$368)))/F647, 0)</f>
        <v>6.4391152171001512E-2</v>
      </c>
      <c r="O647" s="60">
        <f>((MAX('Min rate concentrations'!$F$3:$F$368))*0.62*6.01*8*(12.3*F647^0.65)*0.079*0.1/F647)*inputs!$E$73/inputs!$E$74</f>
        <v>8.4461072205623111</v>
      </c>
      <c r="P647" s="60"/>
      <c r="Q647" s="60">
        <f>(inputs!$C$7*11.2*(12.3*F647^0.65)*0.5/F647)*inputs!$E$73/inputs!$E$74</f>
        <v>1.4877419501778142</v>
      </c>
      <c r="R647" s="60">
        <f>(60*379*((F647/1000)^0.8)*3*24*(MAX('Min rate concentrations'!$R$3:$R$368))/F647)*(inputs!$E$73/inputs!$E$75)</f>
        <v>2.8115202034692029E-3</v>
      </c>
      <c r="S647" s="60">
        <f>(IF(inputs!$C$6="aerial",((0.025*0.112*inputs!$C$7/3.3)*(3*60*379*((F647/1000)^0.8))*MAX(inputs!$H$14:$H$16))/F647,((0.0083*0.112*inputs!$C$7/1)*(3*60*379*((F647/1000)^0.8))*MAX(inputs!$H$14:$H$16))/F647))*(inputs!E$75/inputs!$E$73)</f>
        <v>1.5505706657180304E-2</v>
      </c>
      <c r="T647" s="63">
        <f>IF((((inputs!$P$12/(V647/MAX(K647:S647)))^(1/inputs!$O$12))-1)/inputs!$N$12&lt;0, 0, IF((((inputs!$P$12/(V647/MAX(K647:S647)))^(1/inputs!$O$12))-1)/inputs!$N$12&gt;inputs!$H$17, inputs!$H$17, (((inputs!$P$12/(V647/MAX(K647:S647)))^(1/inputs!$O$12))-1)/inputs!$N$12))</f>
        <v>13.829210279573683</v>
      </c>
      <c r="U647" s="63">
        <f>IF((((inputs!$P$12/(X647/MAX(K647:S647)))^(1/inputs!$O$12))-1)/inputs!$N$12&lt;0, 0, IF((((inputs!$P$12/(X647/MAX(K647:S647)))^(1/inputs!$O$12))-1)/inputs!$N$12&gt;inputs!$H$17, inputs!$H$17, (((inputs!$P$12/(X647/MAX(K647:S647)))^(1/inputs!$O$12))-1)/inputs!$N$12))</f>
        <v>0</v>
      </c>
      <c r="V647" s="54">
        <f>inputs!$E$70*(inputs!$F$70/F647)^(0.25)</f>
        <v>1.5206845881061284</v>
      </c>
      <c r="W647" s="54">
        <f>inputs!$E$76*(inputs!$F$76/F647)^(0.25)</f>
        <v>0.45739324234004791</v>
      </c>
      <c r="X647" s="54">
        <f>inputs!$E$72*(inputs!$F$72/F647)^(0.25)</f>
        <v>67.089025945858609</v>
      </c>
      <c r="Y647" s="54" t="s">
        <v>13</v>
      </c>
      <c r="Z647" s="106">
        <f t="shared" si="83"/>
        <v>5.5541479716587085</v>
      </c>
      <c r="AA647" s="106">
        <f t="shared" si="84"/>
        <v>18.465745530807542</v>
      </c>
    </row>
    <row r="648" spans="1:27" x14ac:dyDescent="0.25">
      <c r="A648" s="55" t="s">
        <v>584</v>
      </c>
      <c r="B648" s="49" t="s">
        <v>585</v>
      </c>
      <c r="C648" s="21" t="s">
        <v>61</v>
      </c>
      <c r="D648" s="20" t="s">
        <v>443</v>
      </c>
      <c r="E648" s="20">
        <v>8683</v>
      </c>
      <c r="F648" s="21">
        <v>75</v>
      </c>
      <c r="G648" s="21" t="s">
        <v>177</v>
      </c>
      <c r="H648" s="21">
        <v>0.85</v>
      </c>
      <c r="I648" s="48">
        <f>MAX('Min rate concentrations'!$F$3:$F$368)</f>
        <v>67.5</v>
      </c>
      <c r="J648" s="48">
        <f>MAX('Min rate concentrations'!Y:Y)</f>
        <v>22.5</v>
      </c>
      <c r="K648" s="60">
        <f t="shared" si="82"/>
        <v>42.538032929594046</v>
      </c>
      <c r="L648" s="60">
        <f>(((0.621*F648^0.564)/(1-H648)))*J648/F648</f>
        <v>14.179344309864682</v>
      </c>
      <c r="M648" s="60">
        <f>IF((((0.326*F648^0.818)-(0.398*F648^0.85)/(1-H648)*H648)*(MAX('Min rate concentrations'!$P$3:$P$368)))/F648&gt;0, (((0.326*F648^0.818)-(0.398*F648^0.85)/(1-H648)*H648)*(MAX('Min rate concentrations'!$P$3:$P$368)))/F648, 0)</f>
        <v>0</v>
      </c>
      <c r="N648" s="60">
        <f>IF((((0.326*F648^0.818)-(0.398*F648^0.85)/(1-H648)*H648)*(MAX('Min rate concentrations'!$Q$3:$Q$368)))/F648&gt; 0, (((0.326*F648^0.818)-(0.398*F648^0.85)/(1-H648)*H648)*(MAX('Min rate concentrations'!$Q$3:$Q$368)))/F648, 0)</f>
        <v>0</v>
      </c>
      <c r="O648" s="60">
        <f>((MAX('Min rate concentrations'!$F$3:$F$368))*0.62*6.01*8*(12.3*F648^0.65)*0.079*0.1/F648)*inputs!$E$73/inputs!$E$74</f>
        <v>9.9563139872749549</v>
      </c>
      <c r="P648" s="60">
        <f>((MAX('Min rate concentrations'!Y:Y))*0.62*6.01*8*(12.3*F648^0.65)*0.079*0.1/F648)*inputs!$E$73/inputs!$E$74</f>
        <v>3.3187713290916498</v>
      </c>
      <c r="Q648" s="60">
        <f>(inputs!$C$7*11.2*(12.3*F648^0.65)*0.5/F648)*inputs!$E$73/inputs!$E$74</f>
        <v>1.7537577491261036</v>
      </c>
      <c r="R648" s="60">
        <f>(60*379*((F648/1000)^0.8)*3*24*(MAX('Min rate concentrations'!$R$3:$R$368))/F648)*(inputs!$E$73/inputs!$E$75)</f>
        <v>3.0886251622392535E-3</v>
      </c>
      <c r="S648" s="60">
        <f>(IF(inputs!$C$6="aerial",((0.025*0.112*inputs!$C$7/3.3)*(3*60*379*((F648/1000)^0.8))*MAX(inputs!$H$14:$H$16))/F648,((0.0083*0.112*inputs!$C$7/1)*(3*60*379*((F648/1000)^0.8))*MAX(inputs!$H$14:$H$16))/F648))*(inputs!E$75/inputs!$E$73)</f>
        <v>1.7033957529657275E-2</v>
      </c>
      <c r="T648" s="63">
        <f>IF((((inputs!$P$12/(V648/MAX(K648:S648)))^(1/inputs!$O$12))-1)/inputs!$N$12&lt;0, 0, IF((((inputs!$P$12/(V648/MAX(K648:S648)))^(1/inputs!$O$12))-1)/inputs!$N$12&gt;inputs!$H$17, inputs!$H$17, (((inputs!$P$12/(V648/MAX(K648:S648)))^(1/inputs!$O$12))-1)/inputs!$N$12))</f>
        <v>49.378079505649872</v>
      </c>
      <c r="U648" s="63">
        <f>IF((((inputs!$P$12/(X648/MAX(K648:S648)))^(1/inputs!$O$12))-1)/inputs!$N$12&lt;0, 0, IF((((inputs!$P$12/(X648/MAX(K648:S648)))^(1/inputs!$O$12))-1)/inputs!$N$12&gt;inputs!$H$17, inputs!$H$17, (((inputs!$P$12/(X648/MAX(K648:S648)))^(1/inputs!$O$12))-1)/inputs!$N$12))</f>
        <v>0</v>
      </c>
      <c r="V648" s="54">
        <f>inputs!$E$70*(inputs!$F$70/F648)^(0.25)</f>
        <v>1.7102875729442808</v>
      </c>
      <c r="W648" s="54">
        <f>inputs!$E$76*(inputs!$F$76/F648)^(0.25)</f>
        <v>0.51442224406122605</v>
      </c>
      <c r="X648" s="54">
        <f>inputs!$E$72*(inputs!$F$72/F648)^(0.25)</f>
        <v>75.453863512247679</v>
      </c>
      <c r="Y648" s="54" t="s">
        <v>13</v>
      </c>
      <c r="Z648" s="106">
        <f t="shared" si="83"/>
        <v>24.87185991556046</v>
      </c>
      <c r="AA648" s="106">
        <f t="shared" si="84"/>
        <v>82.690889479754318</v>
      </c>
    </row>
    <row r="649" spans="1:27" x14ac:dyDescent="0.25">
      <c r="A649" s="55" t="s">
        <v>538</v>
      </c>
      <c r="B649" s="49" t="s">
        <v>539</v>
      </c>
      <c r="C649" s="21" t="s">
        <v>61</v>
      </c>
      <c r="D649" s="20" t="s">
        <v>443</v>
      </c>
      <c r="E649" s="20">
        <v>51</v>
      </c>
      <c r="F649" s="21">
        <v>5</v>
      </c>
      <c r="G649" s="21" t="s">
        <v>142</v>
      </c>
      <c r="H649" s="21">
        <v>0.69</v>
      </c>
      <c r="I649" s="48">
        <f>MAX('Min rate concentrations'!$H$3:$H$368)</f>
        <v>47</v>
      </c>
      <c r="J649" s="48">
        <f>MAX('Min rate concentrations'!AA:AA)</f>
        <v>32.5</v>
      </c>
      <c r="K649" s="60">
        <f t="shared" si="82"/>
        <v>46.674195652701918</v>
      </c>
      <c r="L649" s="60">
        <f>(((0.621*F649^0.564)/(1-H649)))*J649/F649</f>
        <v>32.27470975984707</v>
      </c>
      <c r="M649" s="60">
        <f>IF((((0.326*F649^0.818)-(0.398*F649^0.85)/(1-H649)*H649)*(MAX('Min rate concentrations'!$P$3:$P$368)))/F649&gt;0, (((0.326*F649^0.818)-(0.398*F649^0.85)/(1-H649)*H649)*(MAX('Min rate concentrations'!$P$3:$P$368)))/F649, 0)</f>
        <v>0</v>
      </c>
      <c r="N649" s="60">
        <f>IF((((0.326*F649^0.818)-(0.398*F649^0.85)/(1-H649)*H649)*(MAX('Min rate concentrations'!$Q$3:$Q$368)))/F649&gt; 0, (((0.326*F649^0.818)-(0.398*F649^0.85)/(1-H649)*H649)*(MAX('Min rate concentrations'!$Q$3:$Q$368)))/F649, 0)</f>
        <v>0</v>
      </c>
      <c r="O649" s="60">
        <f>((MAX('Min rate concentrations'!$F$3:$F$368))*0.62*6.01*8*(12.3*F649^0.65)*0.079*0.1/F649)*inputs!$E$73/inputs!$E$74</f>
        <v>25.688013745628645</v>
      </c>
      <c r="P649" s="60">
        <f>((MAX('Min rate concentrations'!Y:Y))*0.62*6.01*8*(12.3*F649^0.65)*0.079*0.1/F649)*inputs!$E$73/inputs!$E$74</f>
        <v>8.5626712485428804</v>
      </c>
      <c r="Q649" s="60">
        <f>(inputs!$C$7*11.2*(12.3*F649^0.65)*0.5/F649)*inputs!$E$73/inputs!$E$74</f>
        <v>4.5248224617697534</v>
      </c>
      <c r="R649" s="60">
        <f>(60*379*((F649/1000)^0.8)*3*24*(MAX('Min rate concentrations'!$R$3:$R$368))/F649)*(inputs!$E$73/inputs!$E$75)</f>
        <v>5.3086422236971543E-3</v>
      </c>
      <c r="S649" s="60">
        <f>(IF(inputs!$C$6="aerial",((0.025*0.112*inputs!$C$7/3.3)*(3*60*379*((F649/1000)^0.8))*MAX(inputs!$H$14:$H$16))/F649,((0.0083*0.112*inputs!$C$7/1)*(3*60*379*((F649/1000)^0.8))*MAX(inputs!$H$14:$H$16))/F649))*(inputs!E$75/inputs!$E$73)</f>
        <v>2.9277488017692293E-2</v>
      </c>
      <c r="T649" s="63">
        <f>IF((((inputs!$P$12/(V649/MAX(K649:S649)))^(1/inputs!$O$12))-1)/inputs!$N$12&lt;0, 0, IF((((inputs!$P$12/(V649/MAX(K649:S649)))^(1/inputs!$O$12))-1)/inputs!$N$12&gt;inputs!$H$17, inputs!$H$17, (((inputs!$P$12/(V649/MAX(K649:S649)))^(1/inputs!$O$12))-1)/inputs!$N$12))</f>
        <v>32.908972975791329</v>
      </c>
      <c r="U649" s="63">
        <f>IF((((inputs!$P$12/(X649/MAX(K649:S649)))^(1/inputs!$O$12))-1)/inputs!$N$12&lt;0, 0, IF((((inputs!$P$12/(X649/MAX(K649:S649)))^(1/inputs!$O$12))-1)/inputs!$N$12&gt;inputs!$H$17, inputs!$H$17, (((inputs!$P$12/(X649/MAX(K649:S649)))^(1/inputs!$O$12))-1)/inputs!$N$12))</f>
        <v>0</v>
      </c>
      <c r="V649" s="54">
        <f>inputs!$E$70*(inputs!$F$70/F649)^(0.25)</f>
        <v>3.3658282784479656</v>
      </c>
      <c r="W649" s="54">
        <f>inputs!$E$76*(inputs!$F$76/F649)^(0.25)</f>
        <v>1.0123776629816774</v>
      </c>
      <c r="X649" s="54">
        <f>inputs!$E$72*(inputs!$F$72/F649)^(0.25)</f>
        <v>148.49242404917496</v>
      </c>
      <c r="Y649" s="54" t="s">
        <v>13</v>
      </c>
      <c r="Z649" s="106">
        <f t="shared" si="83"/>
        <v>13.867075736324878</v>
      </c>
      <c r="AA649" s="106">
        <f t="shared" si="84"/>
        <v>46.103541553095937</v>
      </c>
    </row>
    <row r="650" spans="1:27" x14ac:dyDescent="0.25">
      <c r="A650" s="55" t="s">
        <v>538</v>
      </c>
      <c r="B650" s="49" t="s">
        <v>539</v>
      </c>
      <c r="C650" s="21" t="s">
        <v>61</v>
      </c>
      <c r="D650" s="20" t="s">
        <v>443</v>
      </c>
      <c r="E650" s="20">
        <v>51</v>
      </c>
      <c r="F650" s="21">
        <v>5</v>
      </c>
      <c r="G650" s="21" t="s">
        <v>169</v>
      </c>
      <c r="H650" s="21">
        <v>0.79</v>
      </c>
      <c r="I650" s="48">
        <f>MAX('Min rate concentrations'!$D$3:$D$368)</f>
        <v>120</v>
      </c>
      <c r="J650" s="48">
        <f>MAX('Min rate concentrations'!W:W)</f>
        <v>42.5</v>
      </c>
      <c r="K650" s="60">
        <f t="shared" si="82"/>
        <v>175.91490154817751</v>
      </c>
      <c r="L650" s="60">
        <f>(((0.621*F650^0.564)/(1-H650)))*J650/F650</f>
        <v>62.303194298312874</v>
      </c>
      <c r="M650" s="60">
        <f>IF((((0.326*F650^0.818)-(0.398*F650^0.85)/(1-H650)*H650)*(MAX('Min rate concentrations'!$P$3:$P$368)))/F650&gt;0, (((0.326*F650^0.818)-(0.398*F650^0.85)/(1-H650)*H650)*(MAX('Min rate concentrations'!$P$3:$P$368)))/F650, 0)</f>
        <v>0</v>
      </c>
      <c r="N650" s="60">
        <f>IF((((0.326*F650^0.818)-(0.398*F650^0.85)/(1-H650)*H650)*(MAX('Min rate concentrations'!$Q$3:$Q$368)))/F650&gt; 0, (((0.326*F650^0.818)-(0.398*F650^0.85)/(1-H650)*H650)*(MAX('Min rate concentrations'!$Q$3:$Q$368)))/F650, 0)</f>
        <v>0</v>
      </c>
      <c r="O650" s="60">
        <f>((MAX('Min rate concentrations'!$F$3:$F$368))*0.62*6.01*8*(12.3*F650^0.65)*0.079*0.1/F650)*inputs!$E$73/inputs!$E$74</f>
        <v>25.688013745628645</v>
      </c>
      <c r="P650" s="60">
        <f>((MAX('Min rate concentrations'!Y:Y))*0.62*6.01*8*(12.3*F650^0.65)*0.079*0.1/F650)*inputs!$E$73/inputs!$E$74</f>
        <v>8.5626712485428804</v>
      </c>
      <c r="Q650" s="60">
        <f>(inputs!$C$7*11.2*(12.3*F650^0.65)*0.5/F650)*inputs!$E$73/inputs!$E$74</f>
        <v>4.5248224617697534</v>
      </c>
      <c r="R650" s="60">
        <f>(60*379*((F650/1000)^0.8)*3*24*(MAX('Min rate concentrations'!$R$3:$R$368))/F650)*(inputs!$E$73/inputs!$E$75)</f>
        <v>5.3086422236971543E-3</v>
      </c>
      <c r="S650" s="60">
        <f>(IF(inputs!$C$6="aerial",((0.025*0.112*inputs!$C$7/3.3)*(3*60*379*((F650/1000)^0.8))*MAX(inputs!$H$14:$H$16))/F650,((0.0083*0.112*inputs!$C$7/1)*(3*60*379*((F650/1000)^0.8))*MAX(inputs!$H$14:$H$16))/F650))*(inputs!E$75/inputs!$E$73)</f>
        <v>2.9277488017692293E-2</v>
      </c>
      <c r="T650" s="63">
        <f>IF((((inputs!$P$12/(V650/MAX(K650:S650)))^(1/inputs!$O$12))-1)/inputs!$N$12&lt;0, 0, IF((((inputs!$P$12/(V650/MAX(K650:S650)))^(1/inputs!$O$12))-1)/inputs!$N$12&gt;inputs!$H$17, inputs!$H$17, (((inputs!$P$12/(V650/MAX(K650:S650)))^(1/inputs!$O$12))-1)/inputs!$N$12))</f>
        <v>76.835298304509493</v>
      </c>
      <c r="U650" s="63">
        <f>IF((((inputs!$P$12/(X650/MAX(K650:S650)))^(1/inputs!$O$12))-1)/inputs!$N$12&lt;0, 0, IF((((inputs!$P$12/(X650/MAX(K650:S650)))^(1/inputs!$O$12))-1)/inputs!$N$12&gt;inputs!$H$17, inputs!$H$17, (((inputs!$P$12/(X650/MAX(K650:S650)))^(1/inputs!$O$12))-1)/inputs!$N$12))</f>
        <v>0</v>
      </c>
      <c r="V650" s="54">
        <f>inputs!$E$70*(inputs!$F$70/F650)^(0.25)</f>
        <v>3.3658282784479656</v>
      </c>
      <c r="W650" s="54">
        <f>inputs!$E$76*(inputs!$F$76/F650)^(0.25)</f>
        <v>1.0123776629816774</v>
      </c>
      <c r="X650" s="54">
        <f>inputs!$E$72*(inputs!$F$72/F650)^(0.25)</f>
        <v>148.49242404917496</v>
      </c>
      <c r="Y650" s="54" t="s">
        <v>13</v>
      </c>
      <c r="Z650" s="106">
        <f t="shared" si="83"/>
        <v>52.264966301042115</v>
      </c>
      <c r="AA650" s="106">
        <f t="shared" si="84"/>
        <v>173.7641079812735</v>
      </c>
    </row>
    <row r="651" spans="1:27" x14ac:dyDescent="0.25">
      <c r="A651" s="55" t="s">
        <v>538</v>
      </c>
      <c r="B651" s="49" t="s">
        <v>539</v>
      </c>
      <c r="C651" s="21" t="s">
        <v>61</v>
      </c>
      <c r="D651" s="20" t="s">
        <v>443</v>
      </c>
      <c r="E651" s="20">
        <v>51</v>
      </c>
      <c r="F651" s="21">
        <v>5</v>
      </c>
      <c r="G651" s="21" t="s">
        <v>177</v>
      </c>
      <c r="H651" s="21">
        <v>0.85</v>
      </c>
      <c r="I651" s="48">
        <f>MAX('Min rate concentrations'!$F$3:$F$368)</f>
        <v>67.5</v>
      </c>
      <c r="J651" s="48">
        <f>MAX('Min rate concentrations'!Y:Y)</f>
        <v>22.5</v>
      </c>
      <c r="K651" s="60">
        <f t="shared" si="82"/>
        <v>138.53298496918973</v>
      </c>
      <c r="L651" s="60">
        <f>(((0.621*F651^0.564)/(1-H651)))*J651/F651</f>
        <v>46.17766165639658</v>
      </c>
      <c r="M651" s="60">
        <f>IF((((0.326*F651^0.818)-(0.398*F651^0.85)/(1-H651)*H651)*(MAX('Min rate concentrations'!$P$3:$P$368)))/F651&gt;0, (((0.326*F651^0.818)-(0.398*F651^0.85)/(1-H651)*H651)*(MAX('Min rate concentrations'!$P$3:$P$368)))/F651, 0)</f>
        <v>0</v>
      </c>
      <c r="N651" s="60">
        <f>IF((((0.326*F651^0.818)-(0.398*F651^0.85)/(1-H651)*H651)*(MAX('Min rate concentrations'!$Q$3:$Q$368)))/F651&gt; 0, (((0.326*F651^0.818)-(0.398*F651^0.85)/(1-H651)*H651)*(MAX('Min rate concentrations'!$Q$3:$Q$368)))/F651, 0)</f>
        <v>0</v>
      </c>
      <c r="O651" s="60">
        <f>((MAX('Min rate concentrations'!$F$3:$F$368))*0.62*6.01*8*(12.3*F651^0.65)*0.079*0.1/F651)*inputs!$E$73/inputs!$E$74</f>
        <v>25.688013745628645</v>
      </c>
      <c r="P651" s="60">
        <f>((MAX('Min rate concentrations'!Y:Y))*0.62*6.01*8*(12.3*F651^0.65)*0.079*0.1/F651)*inputs!$E$73/inputs!$E$74</f>
        <v>8.5626712485428804</v>
      </c>
      <c r="Q651" s="60">
        <f>(inputs!$C$7*11.2*(12.3*F651^0.65)*0.5/F651)*inputs!$E$73/inputs!$E$74</f>
        <v>4.5248224617697534</v>
      </c>
      <c r="R651" s="60">
        <f>(60*379*((F651/1000)^0.8)*3*24*(MAX('Min rate concentrations'!$R$3:$R$368))/F651)*(inputs!$E$73/inputs!$E$75)</f>
        <v>5.3086422236971543E-3</v>
      </c>
      <c r="S651" s="60">
        <f>(IF(inputs!$C$6="aerial",((0.025*0.112*inputs!$C$7/3.3)*(3*60*379*((F651/1000)^0.8))*MAX(inputs!$H$14:$H$16))/F651,((0.0083*0.112*inputs!$C$7/1)*(3*60*379*((F651/1000)^0.8))*MAX(inputs!$H$14:$H$16))/F651))*(inputs!E$75/inputs!$E$73)</f>
        <v>2.9277488017692293E-2</v>
      </c>
      <c r="T651" s="63">
        <f>IF((((inputs!$P$12/(V651/MAX(K651:S651)))^(1/inputs!$O$12))-1)/inputs!$N$12&lt;0, 0, IF((((inputs!$P$12/(V651/MAX(K651:S651)))^(1/inputs!$O$12))-1)/inputs!$N$12&gt;inputs!$H$17, inputs!$H$17, (((inputs!$P$12/(V651/MAX(K651:S651)))^(1/inputs!$O$12))-1)/inputs!$N$12))</f>
        <v>67.082754344254724</v>
      </c>
      <c r="U651" s="63">
        <f>IF((((inputs!$P$12/(X651/MAX(K651:S651)))^(1/inputs!$O$12))-1)/inputs!$N$12&lt;0, 0, IF((((inputs!$P$12/(X651/MAX(K651:S651)))^(1/inputs!$O$12))-1)/inputs!$N$12&gt;inputs!$H$17, inputs!$H$17, (((inputs!$P$12/(X651/MAX(K651:S651)))^(1/inputs!$O$12))-1)/inputs!$N$12))</f>
        <v>0</v>
      </c>
      <c r="V651" s="54">
        <f>inputs!$E$70*(inputs!$F$70/F651)^(0.25)</f>
        <v>3.3658282784479656</v>
      </c>
      <c r="W651" s="54">
        <f>inputs!$E$76*(inputs!$F$76/F651)^(0.25)</f>
        <v>1.0123776629816774</v>
      </c>
      <c r="X651" s="54">
        <f>inputs!$E$72*(inputs!$F$72/F651)^(0.25)</f>
        <v>148.49242404917496</v>
      </c>
      <c r="Y651" s="54" t="s">
        <v>13</v>
      </c>
      <c r="Z651" s="106">
        <f t="shared" si="83"/>
        <v>41.158660962070648</v>
      </c>
      <c r="AA651" s="106">
        <f t="shared" si="84"/>
        <v>136.83923503525281</v>
      </c>
    </row>
    <row r="652" spans="1:27" x14ac:dyDescent="0.25">
      <c r="A652" s="55" t="s">
        <v>538</v>
      </c>
      <c r="B652" s="49" t="s">
        <v>539</v>
      </c>
      <c r="C652" s="21" t="s">
        <v>61</v>
      </c>
      <c r="D652" s="20" t="s">
        <v>443</v>
      </c>
      <c r="E652" s="20">
        <v>51</v>
      </c>
      <c r="F652" s="21">
        <v>5</v>
      </c>
      <c r="G652" s="21" t="s">
        <v>154</v>
      </c>
      <c r="H652" s="21">
        <v>9.2999999999999999E-2</v>
      </c>
      <c r="I652" s="48">
        <f>MAX('Min rate concentrations'!$G$3:$G$368)</f>
        <v>7.5</v>
      </c>
      <c r="J652" s="48">
        <f>MAX('Min rate concentrations'!Z:Z)</f>
        <v>3.5</v>
      </c>
      <c r="K652" s="60">
        <f t="shared" si="82"/>
        <v>2.545626331664641</v>
      </c>
      <c r="L652" s="60"/>
      <c r="M652" s="60">
        <f>IF((((0.326*F652^0.818)-(0.398*F652^0.85)/(1-H652)*H652)*(MAX('Min rate concentrations'!$P$3:$P$368)))/F652&gt;0, (((0.326*F652^0.818)-(0.398*F652^0.85)/(1-H652)*H652)*(MAX('Min rate concentrations'!$P$3:$P$368)))/F652, 0)</f>
        <v>3.0650466437208264E-2</v>
      </c>
      <c r="N652" s="60">
        <f>IF((((0.326*F652^0.818)-(0.398*F652^0.85)/(1-H652)*H652)*(MAX('Min rate concentrations'!$Q$3:$Q$368)))/F652&gt; 0, (((0.326*F652^0.818)-(0.398*F652^0.85)/(1-H652)*H652)*(MAX('Min rate concentrations'!$Q$3:$Q$368)))/F652, 0)</f>
        <v>0.11671862309410071</v>
      </c>
      <c r="O652" s="60">
        <f>((MAX('Min rate concentrations'!$F$3:$F$368))*0.62*6.01*8*(12.3*F652^0.65)*0.079*0.1/F652)*inputs!$E$73/inputs!$E$74</f>
        <v>25.688013745628645</v>
      </c>
      <c r="P652" s="60"/>
      <c r="Q652" s="60">
        <f>(inputs!$C$7*11.2*(12.3*F652^0.65)*0.5/F652)*inputs!$E$73/inputs!$E$74</f>
        <v>4.5248224617697534</v>
      </c>
      <c r="R652" s="60">
        <f>(60*379*((F652/1000)^0.8)*3*24*(MAX('Min rate concentrations'!$R$3:$R$368))/F652)*(inputs!$E$73/inputs!$E$75)</f>
        <v>5.3086422236971543E-3</v>
      </c>
      <c r="S652" s="60">
        <f>(IF(inputs!$C$6="aerial",((0.025*0.112*inputs!$C$7/3.3)*(3*60*379*((F652/1000)^0.8))*MAX(inputs!$H$14:$H$16))/F652,((0.0083*0.112*inputs!$C$7/1)*(3*60*379*((F652/1000)^0.8))*MAX(inputs!$H$14:$H$16))/F652))*(inputs!E$75/inputs!$E$73)</f>
        <v>2.9277488017692293E-2</v>
      </c>
      <c r="T652" s="63">
        <f>IF((((inputs!$P$12/(V652/MAX(K652:S652)))^(1/inputs!$O$12))-1)/inputs!$N$12&lt;0, 0, IF((((inputs!$P$12/(V652/MAX(K652:S652)))^(1/inputs!$O$12))-1)/inputs!$N$12&gt;inputs!$H$17, inputs!$H$17, (((inputs!$P$12/(V652/MAX(K652:S652)))^(1/inputs!$O$12))-1)/inputs!$N$12))</f>
        <v>19.668803314762851</v>
      </c>
      <c r="U652" s="63">
        <f>IF((((inputs!$P$12/(X652/MAX(K652:S652)))^(1/inputs!$O$12))-1)/inputs!$N$12&lt;0, 0, IF((((inputs!$P$12/(X652/MAX(K652:S652)))^(1/inputs!$O$12))-1)/inputs!$N$12&gt;inputs!$H$17, inputs!$H$17, (((inputs!$P$12/(X652/MAX(K652:S652)))^(1/inputs!$O$12))-1)/inputs!$N$12))</f>
        <v>0</v>
      </c>
      <c r="V652" s="54">
        <f>inputs!$E$70*(inputs!$F$70/F652)^(0.25)</f>
        <v>3.3658282784479656</v>
      </c>
      <c r="W652" s="54">
        <f>inputs!$E$76*(inputs!$F$76/F652)^(0.25)</f>
        <v>1.0123776629816774</v>
      </c>
      <c r="X652" s="54">
        <f>inputs!$E$72*(inputs!$F$72/F652)^(0.25)</f>
        <v>148.49242404917496</v>
      </c>
      <c r="Y652" s="54" t="s">
        <v>13</v>
      </c>
      <c r="Z652" s="106">
        <f t="shared" si="83"/>
        <v>7.6320036616585138</v>
      </c>
      <c r="AA652" s="106">
        <f t="shared" si="84"/>
        <v>25.373943622947714</v>
      </c>
    </row>
    <row r="653" spans="1:27" x14ac:dyDescent="0.25">
      <c r="A653" s="55" t="s">
        <v>576</v>
      </c>
      <c r="B653" s="49" t="s">
        <v>577</v>
      </c>
      <c r="C653" s="21" t="s">
        <v>61</v>
      </c>
      <c r="D653" s="20" t="s">
        <v>443</v>
      </c>
      <c r="E653" s="20">
        <v>4228</v>
      </c>
      <c r="F653" s="21">
        <v>32</v>
      </c>
      <c r="G653" s="21" t="s">
        <v>142</v>
      </c>
      <c r="H653" s="21">
        <v>0.69</v>
      </c>
      <c r="I653" s="48">
        <f>MAX('Min rate concentrations'!$H$3:$H$368)</f>
        <v>47</v>
      </c>
      <c r="J653" s="48">
        <f>MAX('Min rate concentrations'!AA:AA)</f>
        <v>32.5</v>
      </c>
      <c r="K653" s="60">
        <f t="shared" si="82"/>
        <v>20.776977703818819</v>
      </c>
      <c r="L653" s="60">
        <f>(((0.621*F653^0.564)/(1-H653)))*J653/F653</f>
        <v>14.367059050513014</v>
      </c>
      <c r="M653" s="60">
        <f>IF((((0.326*F653^0.818)-(0.398*F653^0.85)/(1-H653)*H653)*(MAX('Min rate concentrations'!$P$3:$P$368)))/F653&gt;0, (((0.326*F653^0.818)-(0.398*F653^0.85)/(1-H653)*H653)*(MAX('Min rate concentrations'!$P$3:$P$368)))/F653, 0)</f>
        <v>0</v>
      </c>
      <c r="N653" s="60">
        <f>IF((((0.326*F653^0.818)-(0.398*F653^0.85)/(1-H653)*H653)*(MAX('Min rate concentrations'!$Q$3:$Q$368)))/F653&gt; 0, (((0.326*F653^0.818)-(0.398*F653^0.85)/(1-H653)*H653)*(MAX('Min rate concentrations'!$Q$3:$Q$368)))/F653, 0)</f>
        <v>0</v>
      </c>
      <c r="O653" s="60">
        <f>((MAX('Min rate concentrations'!$F$3:$F$368))*0.62*6.01*8*(12.3*F653^0.65)*0.079*0.1/F653)*inputs!$E$73/inputs!$E$74</f>
        <v>13.414285152219268</v>
      </c>
      <c r="P653" s="60">
        <f>((MAX('Min rate concentrations'!Y:Y))*0.62*6.01*8*(12.3*F653^0.65)*0.079*0.1/F653)*inputs!$E$73/inputs!$E$74</f>
        <v>4.4714283840730893</v>
      </c>
      <c r="Q653" s="60">
        <f>(inputs!$C$7*11.2*(12.3*F653^0.65)*0.5/F653)*inputs!$E$73/inputs!$E$74</f>
        <v>2.3628630600400227</v>
      </c>
      <c r="R653" s="60">
        <f>(60*379*((F653/1000)^0.8)*3*24*(MAX('Min rate concentrations'!$R$3:$R$368))/F653)*(inputs!$E$73/inputs!$E$75)</f>
        <v>3.6622455690601937E-3</v>
      </c>
      <c r="S653" s="60">
        <f>(IF(inputs!$C$6="aerial",((0.025*0.112*inputs!$C$7/3.3)*(3*60*379*((F653/1000)^0.8))*MAX(inputs!$H$14:$H$16))/F653,((0.0083*0.112*inputs!$C$7/1)*(3*60*379*((F653/1000)^0.8))*MAX(inputs!$H$14:$H$16))/F653))*(inputs!E$75/inputs!$E$73)</f>
        <v>2.0197509315542685E-2</v>
      </c>
      <c r="T653" s="63">
        <f>IF((((inputs!$P$12/(V653/MAX(K653:S653)))^(1/inputs!$O$12))-1)/inputs!$N$12&lt;0, 0, IF((((inputs!$P$12/(V653/MAX(K653:S653)))^(1/inputs!$O$12))-1)/inputs!$N$12&gt;inputs!$H$17, inputs!$H$17, (((inputs!$P$12/(V653/MAX(K653:S653)))^(1/inputs!$O$12))-1)/inputs!$N$12))</f>
        <v>24.864529625955548</v>
      </c>
      <c r="U653" s="63">
        <f>IF((((inputs!$P$12/(X653/MAX(K653:S653)))^(1/inputs!$O$12))-1)/inputs!$N$12&lt;0, 0, IF((((inputs!$P$12/(X653/MAX(K653:S653)))^(1/inputs!$O$12))-1)/inputs!$N$12&gt;inputs!$H$17, inputs!$H$17, (((inputs!$P$12/(X653/MAX(K653:S653)))^(1/inputs!$O$12))-1)/inputs!$N$12))</f>
        <v>0</v>
      </c>
      <c r="V653" s="54">
        <f>inputs!$E$70*(inputs!$F$70/F653)^(0.25)</f>
        <v>2.116152497946318</v>
      </c>
      <c r="W653" s="54">
        <f>inputs!$E$76*(inputs!$F$76/F653)^(0.25)</f>
        <v>0.63649875844872272</v>
      </c>
      <c r="X653" s="54">
        <f>inputs!$E$72*(inputs!$F$72/F653)^(0.25)</f>
        <v>93.359669027043438</v>
      </c>
      <c r="Y653" s="54" t="s">
        <v>13</v>
      </c>
      <c r="Z653" s="106">
        <f t="shared" si="83"/>
        <v>9.8182799793410176</v>
      </c>
      <c r="AA653" s="106">
        <f t="shared" si="84"/>
        <v>32.642605233758118</v>
      </c>
    </row>
    <row r="654" spans="1:27" x14ac:dyDescent="0.25">
      <c r="A654" s="55" t="s">
        <v>576</v>
      </c>
      <c r="B654" s="49" t="s">
        <v>577</v>
      </c>
      <c r="C654" s="21" t="s">
        <v>61</v>
      </c>
      <c r="D654" s="20" t="s">
        <v>443</v>
      </c>
      <c r="E654" s="20">
        <v>4228</v>
      </c>
      <c r="F654" s="21">
        <v>32</v>
      </c>
      <c r="G654" s="21" t="s">
        <v>152</v>
      </c>
      <c r="H654" s="21">
        <v>0.77</v>
      </c>
      <c r="I654" s="48">
        <f>MAX('Min rate concentrations'!$G$3:$G$368)</f>
        <v>7.5</v>
      </c>
      <c r="J654" s="48">
        <f>MAX('Min rate concentrations'!Z:Z)</f>
        <v>3.5</v>
      </c>
      <c r="K654" s="60">
        <f t="shared" si="82"/>
        <v>4.4686839187214398</v>
      </c>
      <c r="L654" s="60">
        <f>(((0.621*F654^0.564)/(1-H654)))*J654/F654</f>
        <v>2.0853858287366718</v>
      </c>
      <c r="M654" s="60">
        <f>IF((((0.326*F654^0.818)-(0.398*F654^0.85)/(1-H654)*H654)*(MAX('Min rate concentrations'!$P$3:$P$368)))/F654&gt;0, (((0.326*F654^0.818)-(0.398*F654^0.85)/(1-H654)*H654)*(MAX('Min rate concentrations'!$P$3:$P$368)))/F654, 0)</f>
        <v>0</v>
      </c>
      <c r="N654" s="60">
        <f>IF((((0.326*F654^0.818)-(0.398*F654^0.85)/(1-H654)*H654)*(MAX('Min rate concentrations'!$Q$3:$Q$368)))/F654&gt; 0, (((0.326*F654^0.818)-(0.398*F654^0.85)/(1-H654)*H654)*(MAX('Min rate concentrations'!$Q$3:$Q$368)))/F654, 0)</f>
        <v>0</v>
      </c>
      <c r="O654" s="60">
        <f>((MAX('Min rate concentrations'!$F$3:$F$368))*0.62*6.01*8*(12.3*F654^0.65)*0.079*0.1/F654)*inputs!$E$73/inputs!$E$74</f>
        <v>13.414285152219268</v>
      </c>
      <c r="P654" s="60">
        <f>((MAX('Min rate concentrations'!Y:Y))*0.62*6.01*8*(12.3*F654^0.65)*0.079*0.1/F654)*inputs!$E$73/inputs!$E$74</f>
        <v>4.4714283840730893</v>
      </c>
      <c r="Q654" s="60">
        <f>(inputs!$C$7*11.2*(12.3*F654^0.65)*0.5/F654)*inputs!$E$73/inputs!$E$74</f>
        <v>2.3628630600400227</v>
      </c>
      <c r="R654" s="60">
        <f>(60*379*((F654/1000)^0.8)*3*24*(MAX('Min rate concentrations'!$R$3:$R$368))/F654)*(inputs!$E$73/inputs!$E$75)</f>
        <v>3.6622455690601937E-3</v>
      </c>
      <c r="S654" s="60">
        <f>(IF(inputs!$C$6="aerial",((0.025*0.112*inputs!$C$7/3.3)*(3*60*379*((F654/1000)^0.8))*MAX(inputs!$H$14:$H$16))/F654,((0.0083*0.112*inputs!$C$7/1)*(3*60*379*((F654/1000)^0.8))*MAX(inputs!$H$14:$H$16))/F654))*(inputs!E$75/inputs!$E$73)</f>
        <v>2.0197509315542685E-2</v>
      </c>
      <c r="T654" s="63">
        <f>IF((((inputs!$P$12/(V654/MAX(K654:S654)))^(1/inputs!$O$12))-1)/inputs!$N$12&lt;0, 0, IF((((inputs!$P$12/(V654/MAX(K654:S654)))^(1/inputs!$O$12))-1)/inputs!$N$12&gt;inputs!$H$17, inputs!$H$17, (((inputs!$P$12/(V654/MAX(K654:S654)))^(1/inputs!$O$12))-1)/inputs!$N$12))</f>
        <v>16.166580207273899</v>
      </c>
      <c r="U654" s="63">
        <f>IF((((inputs!$P$12/(X654/MAX(K654:S654)))^(1/inputs!$O$12))-1)/inputs!$N$12&lt;0, 0, IF((((inputs!$P$12/(X654/MAX(K654:S654)))^(1/inputs!$O$12))-1)/inputs!$N$12&gt;inputs!$H$17, inputs!$H$17, (((inputs!$P$12/(X654/MAX(K654:S654)))^(1/inputs!$O$12))-1)/inputs!$N$12))</f>
        <v>0</v>
      </c>
      <c r="V654" s="54">
        <f>inputs!$E$70*(inputs!$F$70/F654)^(0.25)</f>
        <v>2.116152497946318</v>
      </c>
      <c r="W654" s="54">
        <f>inputs!$E$76*(inputs!$F$76/F654)^(0.25)</f>
        <v>0.63649875844872272</v>
      </c>
      <c r="X654" s="54">
        <f>inputs!$E$72*(inputs!$F$72/F654)^(0.25)</f>
        <v>93.359669027043438</v>
      </c>
      <c r="Y654" s="54" t="s">
        <v>13</v>
      </c>
      <c r="Z654" s="106">
        <f t="shared" si="83"/>
        <v>6.3389973856976534</v>
      </c>
      <c r="AA654" s="106">
        <f t="shared" si="84"/>
        <v>21.075115974951178</v>
      </c>
    </row>
    <row r="655" spans="1:27" x14ac:dyDescent="0.25">
      <c r="A655" s="55" t="s">
        <v>576</v>
      </c>
      <c r="B655" s="49" t="s">
        <v>577</v>
      </c>
      <c r="C655" s="21" t="s">
        <v>61</v>
      </c>
      <c r="D655" s="20" t="s">
        <v>443</v>
      </c>
      <c r="E655" s="20">
        <v>4228</v>
      </c>
      <c r="F655" s="21">
        <v>32</v>
      </c>
      <c r="G655" s="21" t="s">
        <v>177</v>
      </c>
      <c r="H655" s="21">
        <v>0.85</v>
      </c>
      <c r="I655" s="48">
        <f>MAX('Min rate concentrations'!$F$3:$F$368)</f>
        <v>67.5</v>
      </c>
      <c r="J655" s="48">
        <f>MAX('Min rate concentrations'!Y:Y)</f>
        <v>22.5</v>
      </c>
      <c r="K655" s="60">
        <f t="shared" si="82"/>
        <v>61.667838078355857</v>
      </c>
      <c r="L655" s="60">
        <f>(((0.621*F655^0.564)/(1-H655)))*J655/F655</f>
        <v>20.555946026118619</v>
      </c>
      <c r="M655" s="60">
        <f>IF((((0.326*F655^0.818)-(0.398*F655^0.85)/(1-H655)*H655)*(MAX('Min rate concentrations'!$P$3:$P$368)))/F655&gt;0, (((0.326*F655^0.818)-(0.398*F655^0.85)/(1-H655)*H655)*(MAX('Min rate concentrations'!$P$3:$P$368)))/F655, 0)</f>
        <v>0</v>
      </c>
      <c r="N655" s="60">
        <f>IF((((0.326*F655^0.818)-(0.398*F655^0.85)/(1-H655)*H655)*(MAX('Min rate concentrations'!$Q$3:$Q$368)))/F655&gt; 0, (((0.326*F655^0.818)-(0.398*F655^0.85)/(1-H655)*H655)*(MAX('Min rate concentrations'!$Q$3:$Q$368)))/F655, 0)</f>
        <v>0</v>
      </c>
      <c r="O655" s="60">
        <f>((MAX('Min rate concentrations'!$F$3:$F$368))*0.62*6.01*8*(12.3*F655^0.65)*0.079*0.1/F655)*inputs!$E$73/inputs!$E$74</f>
        <v>13.414285152219268</v>
      </c>
      <c r="P655" s="60">
        <f>((MAX('Min rate concentrations'!Y:Y))*0.62*6.01*8*(12.3*F655^0.65)*0.079*0.1/F655)*inputs!$E$73/inputs!$E$74</f>
        <v>4.4714283840730893</v>
      </c>
      <c r="Q655" s="60">
        <f>(inputs!$C$7*11.2*(12.3*F655^0.65)*0.5/F655)*inputs!$E$73/inputs!$E$74</f>
        <v>2.3628630600400227</v>
      </c>
      <c r="R655" s="60">
        <f>(60*379*((F655/1000)^0.8)*3*24*(MAX('Min rate concentrations'!$R$3:$R$368))/F655)*(inputs!$E$73/inputs!$E$75)</f>
        <v>3.6622455690601937E-3</v>
      </c>
      <c r="S655" s="60">
        <f>(IF(inputs!$C$6="aerial",((0.025*0.112*inputs!$C$7/3.3)*(3*60*379*((F655/1000)^0.8))*MAX(inputs!$H$14:$H$16))/F655,((0.0083*0.112*inputs!$C$7/1)*(3*60*379*((F655/1000)^0.8))*MAX(inputs!$H$14:$H$16))/F655))*(inputs!E$75/inputs!$E$73)</f>
        <v>2.0197509315542685E-2</v>
      </c>
      <c r="T655" s="63">
        <f>IF((((inputs!$P$12/(V655/MAX(K655:S655)))^(1/inputs!$O$12))-1)/inputs!$N$12&lt;0, 0, IF((((inputs!$P$12/(V655/MAX(K655:S655)))^(1/inputs!$O$12))-1)/inputs!$N$12&gt;inputs!$H$17, inputs!$H$17, (((inputs!$P$12/(V655/MAX(K655:S655)))^(1/inputs!$O$12))-1)/inputs!$N$12))</f>
        <v>54.560892116176824</v>
      </c>
      <c r="U655" s="63">
        <f>IF((((inputs!$P$12/(X655/MAX(K655:S655)))^(1/inputs!$O$12))-1)/inputs!$N$12&lt;0, 0, IF((((inputs!$P$12/(X655/MAX(K655:S655)))^(1/inputs!$O$12))-1)/inputs!$N$12&gt;inputs!$H$17, inputs!$H$17, (((inputs!$P$12/(X655/MAX(K655:S655)))^(1/inputs!$O$12))-1)/inputs!$N$12))</f>
        <v>0</v>
      </c>
      <c r="V655" s="54">
        <f>inputs!$E$70*(inputs!$F$70/F655)^(0.25)</f>
        <v>2.116152497946318</v>
      </c>
      <c r="W655" s="54">
        <f>inputs!$E$76*(inputs!$F$76/F655)^(0.25)</f>
        <v>0.63649875844872272</v>
      </c>
      <c r="X655" s="54">
        <f>inputs!$E$72*(inputs!$F$72/F655)^(0.25)</f>
        <v>93.359669027043438</v>
      </c>
      <c r="Y655" s="54" t="s">
        <v>13</v>
      </c>
      <c r="Z655" s="106">
        <f t="shared" si="83"/>
        <v>29.141490576980257</v>
      </c>
      <c r="AA655" s="106">
        <f t="shared" si="84"/>
        <v>96.886030427856539</v>
      </c>
    </row>
    <row r="656" spans="1:27" x14ac:dyDescent="0.25">
      <c r="A656" s="55" t="s">
        <v>576</v>
      </c>
      <c r="B656" s="49" t="s">
        <v>577</v>
      </c>
      <c r="C656" s="21" t="s">
        <v>61</v>
      </c>
      <c r="D656" s="20" t="s">
        <v>443</v>
      </c>
      <c r="E656" s="20">
        <v>4228</v>
      </c>
      <c r="F656" s="21">
        <v>32</v>
      </c>
      <c r="G656" s="21" t="s">
        <v>154</v>
      </c>
      <c r="H656" s="21">
        <v>9.2999999999999999E-2</v>
      </c>
      <c r="I656" s="48">
        <f>MAX('Min rate concentrations'!$G$3:$G$368)</f>
        <v>7.5</v>
      </c>
      <c r="J656" s="48">
        <f>MAX('Min rate concentrations'!Z:Z)</f>
        <v>3.5</v>
      </c>
      <c r="K656" s="60">
        <f t="shared" si="82"/>
        <v>1.1331833531487665</v>
      </c>
      <c r="L656" s="60"/>
      <c r="M656" s="60">
        <f>IF((((0.326*F656^0.818)-(0.398*F656^0.85)/(1-H656)*H656)*(MAX('Min rate concentrations'!$P$3:$P$368)))/F656&gt;0, (((0.326*F656^0.818)-(0.398*F656^0.85)/(1-H656)*H656)*(MAX('Min rate concentrations'!$P$3:$P$368)))/F656, 0)</f>
        <v>2.1660006344096323E-2</v>
      </c>
      <c r="N656" s="60">
        <f>IF((((0.326*F656^0.818)-(0.398*F656^0.85)/(1-H656)*H656)*(MAX('Min rate concentrations'!$Q$3:$Q$368)))/F656&gt; 0, (((0.326*F656^0.818)-(0.398*F656^0.85)/(1-H656)*H656)*(MAX('Min rate concentrations'!$Q$3:$Q$368)))/F656, 0)</f>
        <v>8.2482467986959546E-2</v>
      </c>
      <c r="O656" s="60">
        <f>((MAX('Min rate concentrations'!$F$3:$F$368))*0.62*6.01*8*(12.3*F656^0.65)*0.079*0.1/F656)*inputs!$E$73/inputs!$E$74</f>
        <v>13.414285152219268</v>
      </c>
      <c r="P656" s="60"/>
      <c r="Q656" s="60">
        <f>(inputs!$C$7*11.2*(12.3*F656^0.65)*0.5/F656)*inputs!$E$73/inputs!$E$74</f>
        <v>2.3628630600400227</v>
      </c>
      <c r="R656" s="60">
        <f>(60*379*((F656/1000)^0.8)*3*24*(MAX('Min rate concentrations'!$R$3:$R$368))/F656)*(inputs!$E$73/inputs!$E$75)</f>
        <v>3.6622455690601937E-3</v>
      </c>
      <c r="S656" s="60">
        <f>(IF(inputs!$C$6="aerial",((0.025*0.112*inputs!$C$7/3.3)*(3*60*379*((F656/1000)^0.8))*MAX(inputs!$H$14:$H$16))/F656,((0.0083*0.112*inputs!$C$7/1)*(3*60*379*((F656/1000)^0.8))*MAX(inputs!$H$14:$H$16))/F656))*(inputs!E$75/inputs!$E$73)</f>
        <v>2.0197509315542685E-2</v>
      </c>
      <c r="T656" s="63">
        <f>IF((((inputs!$P$12/(V656/MAX(K656:S656)))^(1/inputs!$O$12))-1)/inputs!$N$12&lt;0, 0, IF((((inputs!$P$12/(V656/MAX(K656:S656)))^(1/inputs!$O$12))-1)/inputs!$N$12&gt;inputs!$H$17, inputs!$H$17, (((inputs!$P$12/(V656/MAX(K656:S656)))^(1/inputs!$O$12))-1)/inputs!$N$12))</f>
        <v>16.166580207273899</v>
      </c>
      <c r="U656" s="63">
        <f>IF((((inputs!$P$12/(X656/MAX(K656:S656)))^(1/inputs!$O$12))-1)/inputs!$N$12&lt;0, 0, IF((((inputs!$P$12/(X656/MAX(K656:S656)))^(1/inputs!$O$12))-1)/inputs!$N$12&gt;inputs!$H$17, inputs!$H$17, (((inputs!$P$12/(X656/MAX(K656:S656)))^(1/inputs!$O$12))-1)/inputs!$N$12))</f>
        <v>0</v>
      </c>
      <c r="V656" s="54">
        <f>inputs!$E$70*(inputs!$F$70/F656)^(0.25)</f>
        <v>2.116152497946318</v>
      </c>
      <c r="W656" s="54">
        <f>inputs!$E$76*(inputs!$F$76/F656)^(0.25)</f>
        <v>0.63649875844872272</v>
      </c>
      <c r="X656" s="54">
        <f>inputs!$E$72*(inputs!$F$72/F656)^(0.25)</f>
        <v>93.359669027043438</v>
      </c>
      <c r="Y656" s="54" t="s">
        <v>13</v>
      </c>
      <c r="Z656" s="106">
        <f t="shared" si="83"/>
        <v>6.3389973856976534</v>
      </c>
      <c r="AA656" s="106">
        <f t="shared" si="84"/>
        <v>21.075115974951178</v>
      </c>
    </row>
    <row r="657" spans="1:27" x14ac:dyDescent="0.25">
      <c r="A657" s="55" t="s">
        <v>552</v>
      </c>
      <c r="B657" s="49" t="s">
        <v>553</v>
      </c>
      <c r="C657" s="21" t="s">
        <v>61</v>
      </c>
      <c r="D657" s="20" t="s">
        <v>443</v>
      </c>
      <c r="E657" s="20">
        <v>35</v>
      </c>
      <c r="F657" s="21">
        <v>15</v>
      </c>
      <c r="G657" s="21" t="s">
        <v>182</v>
      </c>
      <c r="H657" s="21">
        <v>0.85</v>
      </c>
      <c r="I657" s="48">
        <f>MAX('Min rate concentrations'!$M$3:$M$368)</f>
        <v>2.8488184789681945</v>
      </c>
      <c r="J657" s="48">
        <f>MAX('Min rate concentrations'!AE:AE)</f>
        <v>1.9699276716269429</v>
      </c>
      <c r="K657" s="60">
        <f t="shared" si="82"/>
        <v>3.6215070077667764</v>
      </c>
      <c r="L657" s="60">
        <f t="shared" ref="L657:L663" si="85">(((0.621*F657^0.564)/(1-H657)))*J657/F657</f>
        <v>2.5042335692004305</v>
      </c>
      <c r="M657" s="60">
        <f>IF((((0.326*F657^0.818)-(0.398*F657^0.85)/(1-H657)*H657)*(MAX('Min rate concentrations'!$P$3:$P$368)))/F657&gt;0, (((0.326*F657^0.818)-(0.398*F657^0.85)/(1-H657)*H657)*(MAX('Min rate concentrations'!$P$3:$P$368)))/F657, 0)</f>
        <v>0</v>
      </c>
      <c r="N657" s="60">
        <f>IF((((0.326*F657^0.818)-(0.398*F657^0.85)/(1-H657)*H657)*(MAX('Min rate concentrations'!$Q$3:$Q$368)))/F657&gt; 0, (((0.326*F657^0.818)-(0.398*F657^0.85)/(1-H657)*H657)*(MAX('Min rate concentrations'!$Q$3:$Q$368)))/F657, 0)</f>
        <v>0</v>
      </c>
      <c r="O657" s="60">
        <f>((MAX('Min rate concentrations'!$F$3:$F$368))*0.62*6.01*8*(12.3*F657^0.65)*0.079*0.1/F657)*inputs!$E$73/inputs!$E$74</f>
        <v>17.4879170969031</v>
      </c>
      <c r="P657" s="60">
        <f>((MAX('Min rate concentrations'!Y:Y))*0.62*6.01*8*(12.3*F657^0.65)*0.079*0.1/F657)*inputs!$E$73/inputs!$E$74</f>
        <v>5.8293056989677003</v>
      </c>
      <c r="Q657" s="60">
        <f>(inputs!$C$7*11.2*(12.3*F657^0.65)*0.5/F657)*inputs!$E$73/inputs!$E$74</f>
        <v>3.0804141134929148</v>
      </c>
      <c r="R657" s="60">
        <f>(60*379*((F657/1000)^0.8)*3*24*(MAX('Min rate concentrations'!$R$3:$R$368))/F657)*(inputs!$E$73/inputs!$E$75)</f>
        <v>4.2614677494769567E-3</v>
      </c>
      <c r="S657" s="60">
        <f>(IF(inputs!$C$6="aerial",((0.025*0.112*inputs!$C$7/3.3)*(3*60*379*((F657/1000)^0.8))*MAX(inputs!$H$14:$H$16))/F657,((0.0083*0.112*inputs!$C$7/1)*(3*60*379*((F657/1000)^0.8))*MAX(inputs!$H$14:$H$16))/F657))*(inputs!E$75/inputs!$E$73)</f>
        <v>2.3502256455738741E-2</v>
      </c>
      <c r="T657" s="63">
        <f>IF((((inputs!$P$12/(V657/MAX(K657:S657)))^(1/inputs!$O$12))-1)/inputs!$N$12&lt;0, 0, IF((((inputs!$P$12/(V657/MAX(K657:S657)))^(1/inputs!$O$12))-1)/inputs!$N$12&gt;inputs!$H$17, inputs!$H$17, (((inputs!$P$12/(V657/MAX(K657:S657)))^(1/inputs!$O$12))-1)/inputs!$N$12))</f>
        <v>17.564222818912587</v>
      </c>
      <c r="U657" s="63">
        <f>IF((((inputs!$P$12/(X657/MAX(K657:S657)))^(1/inputs!$O$12))-1)/inputs!$N$12&lt;0, 0, IF((((inputs!$P$12/(X657/MAX(K657:S657)))^(1/inputs!$O$12))-1)/inputs!$N$12&gt;inputs!$H$17, inputs!$H$17, (((inputs!$P$12/(X657/MAX(K657:S657)))^(1/inputs!$O$12))-1)/inputs!$N$12))</f>
        <v>0</v>
      </c>
      <c r="V657" s="54">
        <f>inputs!$E$70*(inputs!$F$70/F657)^(0.25)</f>
        <v>2.5574764377400299</v>
      </c>
      <c r="W657" s="54">
        <f>inputs!$E$76*(inputs!$F$76/F657)^(0.25)</f>
        <v>0.76924067569003962</v>
      </c>
      <c r="X657" s="54">
        <f>inputs!$E$72*(inputs!$F$72/F657)^(0.25)</f>
        <v>112.82984284147192</v>
      </c>
      <c r="Y657" s="54" t="s">
        <v>13</v>
      </c>
      <c r="Z657" s="106">
        <f t="shared" si="83"/>
        <v>6.8379582461986166</v>
      </c>
      <c r="AA657" s="106">
        <f t="shared" si="84"/>
        <v>22.733999448502562</v>
      </c>
    </row>
    <row r="658" spans="1:27" x14ac:dyDescent="0.25">
      <c r="A658" s="55" t="s">
        <v>552</v>
      </c>
      <c r="B658" s="49" t="s">
        <v>553</v>
      </c>
      <c r="C658" s="21" t="s">
        <v>61</v>
      </c>
      <c r="D658" s="20" t="s">
        <v>443</v>
      </c>
      <c r="E658" s="20">
        <v>35</v>
      </c>
      <c r="F658" s="21">
        <v>15</v>
      </c>
      <c r="G658" s="21" t="s">
        <v>142</v>
      </c>
      <c r="H658" s="21">
        <v>0.69</v>
      </c>
      <c r="I658" s="48">
        <f>MAX('Min rate concentrations'!$H$3:$H$368)</f>
        <v>47</v>
      </c>
      <c r="J658" s="48">
        <f>MAX('Min rate concentrations'!AA:AA)</f>
        <v>32.5</v>
      </c>
      <c r="K658" s="60">
        <f t="shared" si="82"/>
        <v>28.910258527545217</v>
      </c>
      <c r="L658" s="60">
        <f t="shared" si="85"/>
        <v>19.991136215855736</v>
      </c>
      <c r="M658" s="60">
        <f>IF((((0.326*F658^0.818)-(0.398*F658^0.85)/(1-H658)*H658)*(MAX('Min rate concentrations'!$P$3:$P$368)))/F658&gt;0, (((0.326*F658^0.818)-(0.398*F658^0.85)/(1-H658)*H658)*(MAX('Min rate concentrations'!$P$3:$P$368)))/F658, 0)</f>
        <v>0</v>
      </c>
      <c r="N658" s="60">
        <f>IF((((0.326*F658^0.818)-(0.398*F658^0.85)/(1-H658)*H658)*(MAX('Min rate concentrations'!$Q$3:$Q$368)))/F658&gt; 0, (((0.326*F658^0.818)-(0.398*F658^0.85)/(1-H658)*H658)*(MAX('Min rate concentrations'!$Q$3:$Q$368)))/F658, 0)</f>
        <v>0</v>
      </c>
      <c r="O658" s="60">
        <f>((MAX('Min rate concentrations'!$F$3:$F$368))*0.62*6.01*8*(12.3*F658^0.65)*0.079*0.1/F658)*inputs!$E$73/inputs!$E$74</f>
        <v>17.4879170969031</v>
      </c>
      <c r="P658" s="60">
        <f>((MAX('Min rate concentrations'!Y:Y))*0.62*6.01*8*(12.3*F658^0.65)*0.079*0.1/F658)*inputs!$E$73/inputs!$E$74</f>
        <v>5.8293056989677003</v>
      </c>
      <c r="Q658" s="60">
        <f>(inputs!$C$7*11.2*(12.3*F658^0.65)*0.5/F658)*inputs!$E$73/inputs!$E$74</f>
        <v>3.0804141134929148</v>
      </c>
      <c r="R658" s="60">
        <f>(60*379*((F658/1000)^0.8)*3*24*(MAX('Min rate concentrations'!$R$3:$R$368))/F658)*(inputs!$E$73/inputs!$E$75)</f>
        <v>4.2614677494769567E-3</v>
      </c>
      <c r="S658" s="60">
        <f>(IF(inputs!$C$6="aerial",((0.025*0.112*inputs!$C$7/3.3)*(3*60*379*((F658/1000)^0.8))*MAX(inputs!$H$14:$H$16))/F658,((0.0083*0.112*inputs!$C$7/1)*(3*60*379*((F658/1000)^0.8))*MAX(inputs!$H$14:$H$16))/F658))*(inputs!E$75/inputs!$E$73)</f>
        <v>2.3502256455738741E-2</v>
      </c>
      <c r="T658" s="63">
        <f>IF((((inputs!$P$12/(V658/MAX(K658:S658)))^(1/inputs!$O$12))-1)/inputs!$N$12&lt;0, 0, IF((((inputs!$P$12/(V658/MAX(K658:S658)))^(1/inputs!$O$12))-1)/inputs!$N$12&gt;inputs!$H$17, inputs!$H$17, (((inputs!$P$12/(V658/MAX(K658:S658)))^(1/inputs!$O$12))-1)/inputs!$N$12))</f>
        <v>28.012221766858875</v>
      </c>
      <c r="U658" s="63">
        <f>IF((((inputs!$P$12/(X658/MAX(K658:S658)))^(1/inputs!$O$12))-1)/inputs!$N$12&lt;0, 0, IF((((inputs!$P$12/(X658/MAX(K658:S658)))^(1/inputs!$O$12))-1)/inputs!$N$12&gt;inputs!$H$17, inputs!$H$17, (((inputs!$P$12/(X658/MAX(K658:S658)))^(1/inputs!$O$12))-1)/inputs!$N$12))</f>
        <v>0</v>
      </c>
      <c r="V658" s="54">
        <f>inputs!$E$70*(inputs!$F$70/F658)^(0.25)</f>
        <v>2.5574764377400299</v>
      </c>
      <c r="W658" s="54">
        <f>inputs!$E$76*(inputs!$F$76/F658)^(0.25)</f>
        <v>0.76924067569003962</v>
      </c>
      <c r="X658" s="54">
        <f>inputs!$E$72*(inputs!$F$72/F658)^(0.25)</f>
        <v>112.82984284147192</v>
      </c>
      <c r="Y658" s="54" t="s">
        <v>13</v>
      </c>
      <c r="Z658" s="106">
        <f t="shared" si="83"/>
        <v>11.304213051946004</v>
      </c>
      <c r="AA658" s="106">
        <f t="shared" si="84"/>
        <v>37.582852078917384</v>
      </c>
    </row>
    <row r="659" spans="1:27" x14ac:dyDescent="0.25">
      <c r="A659" s="55" t="s">
        <v>552</v>
      </c>
      <c r="B659" s="49" t="s">
        <v>553</v>
      </c>
      <c r="C659" s="21" t="s">
        <v>61</v>
      </c>
      <c r="D659" s="20" t="s">
        <v>443</v>
      </c>
      <c r="E659" s="20">
        <v>35</v>
      </c>
      <c r="F659" s="21">
        <v>15</v>
      </c>
      <c r="G659" s="21" t="s">
        <v>152</v>
      </c>
      <c r="H659" s="21">
        <v>0.77</v>
      </c>
      <c r="I659" s="48">
        <f>MAX('Min rate concentrations'!$G$3:$G$368)</f>
        <v>7.5</v>
      </c>
      <c r="J659" s="48">
        <f>MAX('Min rate concentrations'!Z:Z)</f>
        <v>3.5</v>
      </c>
      <c r="K659" s="60">
        <f t="shared" si="82"/>
        <v>6.2179788229919186</v>
      </c>
      <c r="L659" s="60">
        <f t="shared" si="85"/>
        <v>2.9017234507295622</v>
      </c>
      <c r="M659" s="60">
        <f>IF((((0.326*F659^0.818)-(0.398*F659^0.85)/(1-H659)*H659)*(MAX('Min rate concentrations'!$P$3:$P$368)))/F659&gt;0, (((0.326*F659^0.818)-(0.398*F659^0.85)/(1-H659)*H659)*(MAX('Min rate concentrations'!$P$3:$P$368)))/F659, 0)</f>
        <v>0</v>
      </c>
      <c r="N659" s="60">
        <f>IF((((0.326*F659^0.818)-(0.398*F659^0.85)/(1-H659)*H659)*(MAX('Min rate concentrations'!$Q$3:$Q$368)))/F659&gt; 0, (((0.326*F659^0.818)-(0.398*F659^0.85)/(1-H659)*H659)*(MAX('Min rate concentrations'!$Q$3:$Q$368)))/F659, 0)</f>
        <v>0</v>
      </c>
      <c r="O659" s="60">
        <f>((MAX('Min rate concentrations'!$F$3:$F$368))*0.62*6.01*8*(12.3*F659^0.65)*0.079*0.1/F659)*inputs!$E$73/inputs!$E$74</f>
        <v>17.4879170969031</v>
      </c>
      <c r="P659" s="60">
        <f>((MAX('Min rate concentrations'!Y:Y))*0.62*6.01*8*(12.3*F659^0.65)*0.079*0.1/F659)*inputs!$E$73/inputs!$E$74</f>
        <v>5.8293056989677003</v>
      </c>
      <c r="Q659" s="60">
        <f>(inputs!$C$7*11.2*(12.3*F659^0.65)*0.5/F659)*inputs!$E$73/inputs!$E$74</f>
        <v>3.0804141134929148</v>
      </c>
      <c r="R659" s="60">
        <f>(60*379*((F659/1000)^0.8)*3*24*(MAX('Min rate concentrations'!$R$3:$R$368))/F659)*(inputs!$E$73/inputs!$E$75)</f>
        <v>4.2614677494769567E-3</v>
      </c>
      <c r="S659" s="60">
        <f>(IF(inputs!$C$6="aerial",((0.025*0.112*inputs!$C$7/3.3)*(3*60*379*((F659/1000)^0.8))*MAX(inputs!$H$14:$H$16))/F659,((0.0083*0.112*inputs!$C$7/1)*(3*60*379*((F659/1000)^0.8))*MAX(inputs!$H$14:$H$16))/F659))*(inputs!E$75/inputs!$E$73)</f>
        <v>2.3502256455738741E-2</v>
      </c>
      <c r="T659" s="63">
        <f>IF((((inputs!$P$12/(V659/MAX(K659:S659)))^(1/inputs!$O$12))-1)/inputs!$N$12&lt;0, 0, IF((((inputs!$P$12/(V659/MAX(K659:S659)))^(1/inputs!$O$12))-1)/inputs!$N$12&gt;inputs!$H$17, inputs!$H$17, (((inputs!$P$12/(V659/MAX(K659:S659)))^(1/inputs!$O$12))-1)/inputs!$N$12))</f>
        <v>17.564222818912587</v>
      </c>
      <c r="U659" s="63">
        <f>IF((((inputs!$P$12/(X659/MAX(K659:S659)))^(1/inputs!$O$12))-1)/inputs!$N$12&lt;0, 0, IF((((inputs!$P$12/(X659/MAX(K659:S659)))^(1/inputs!$O$12))-1)/inputs!$N$12&gt;inputs!$H$17, inputs!$H$17, (((inputs!$P$12/(X659/MAX(K659:S659)))^(1/inputs!$O$12))-1)/inputs!$N$12))</f>
        <v>0</v>
      </c>
      <c r="V659" s="54">
        <f>inputs!$E$70*(inputs!$F$70/F659)^(0.25)</f>
        <v>2.5574764377400299</v>
      </c>
      <c r="W659" s="54">
        <f>inputs!$E$76*(inputs!$F$76/F659)^(0.25)</f>
        <v>0.76924067569003962</v>
      </c>
      <c r="X659" s="54">
        <f>inputs!$E$72*(inputs!$F$72/F659)^(0.25)</f>
        <v>112.82984284147192</v>
      </c>
      <c r="Y659" s="54" t="s">
        <v>13</v>
      </c>
      <c r="Z659" s="106">
        <f t="shared" si="83"/>
        <v>6.8379582461986166</v>
      </c>
      <c r="AA659" s="106">
        <f t="shared" si="84"/>
        <v>22.733999448502562</v>
      </c>
    </row>
    <row r="660" spans="1:27" x14ac:dyDescent="0.25">
      <c r="A660" s="55" t="s">
        <v>552</v>
      </c>
      <c r="B660" s="49" t="s">
        <v>553</v>
      </c>
      <c r="C660" s="21" t="s">
        <v>61</v>
      </c>
      <c r="D660" s="20" t="s">
        <v>443</v>
      </c>
      <c r="E660" s="20">
        <v>35</v>
      </c>
      <c r="F660" s="21">
        <v>15</v>
      </c>
      <c r="G660" s="21" t="s">
        <v>169</v>
      </c>
      <c r="H660" s="21">
        <v>0.79</v>
      </c>
      <c r="I660" s="48">
        <f>MAX('Min rate concentrations'!$D$3:$D$368)</f>
        <v>120</v>
      </c>
      <c r="J660" s="48">
        <f>MAX('Min rate concentrations'!W:W)</f>
        <v>42.5</v>
      </c>
      <c r="K660" s="60">
        <f t="shared" si="82"/>
        <v>108.96267651719174</v>
      </c>
      <c r="L660" s="60">
        <f t="shared" si="85"/>
        <v>38.590947933172075</v>
      </c>
      <c r="M660" s="60">
        <f>IF((((0.326*F660^0.818)-(0.398*F660^0.85)/(1-H660)*H660)*(MAX('Min rate concentrations'!$P$3:$P$368)))/F660&gt;0, (((0.326*F660^0.818)-(0.398*F660^0.85)/(1-H660)*H660)*(MAX('Min rate concentrations'!$P$3:$P$368)))/F660, 0)</f>
        <v>0</v>
      </c>
      <c r="N660" s="60">
        <f>IF((((0.326*F660^0.818)-(0.398*F660^0.85)/(1-H660)*H660)*(MAX('Min rate concentrations'!$Q$3:$Q$368)))/F660&gt; 0, (((0.326*F660^0.818)-(0.398*F660^0.85)/(1-H660)*H660)*(MAX('Min rate concentrations'!$Q$3:$Q$368)))/F660, 0)</f>
        <v>0</v>
      </c>
      <c r="O660" s="60">
        <f>((MAX('Min rate concentrations'!$F$3:$F$368))*0.62*6.01*8*(12.3*F660^0.65)*0.079*0.1/F660)*inputs!$E$73/inputs!$E$74</f>
        <v>17.4879170969031</v>
      </c>
      <c r="P660" s="60">
        <f>((MAX('Min rate concentrations'!Y:Y))*0.62*6.01*8*(12.3*F660^0.65)*0.079*0.1/F660)*inputs!$E$73/inputs!$E$74</f>
        <v>5.8293056989677003</v>
      </c>
      <c r="Q660" s="60">
        <f>(inputs!$C$7*11.2*(12.3*F660^0.65)*0.5/F660)*inputs!$E$73/inputs!$E$74</f>
        <v>3.0804141134929148</v>
      </c>
      <c r="R660" s="60">
        <f>(60*379*((F660/1000)^0.8)*3*24*(MAX('Min rate concentrations'!$R$3:$R$368))/F660)*(inputs!$E$73/inputs!$E$75)</f>
        <v>4.2614677494769567E-3</v>
      </c>
      <c r="S660" s="60">
        <f>(IF(inputs!$C$6="aerial",((0.025*0.112*inputs!$C$7/3.3)*(3*60*379*((F660/1000)^0.8))*MAX(inputs!$H$14:$H$16))/F660,((0.0083*0.112*inputs!$C$7/1)*(3*60*379*((F660/1000)^0.8))*MAX(inputs!$H$14:$H$16))/F660))*(inputs!E$75/inputs!$E$73)</f>
        <v>2.3502256455738741E-2</v>
      </c>
      <c r="T660" s="63">
        <f>IF((((inputs!$P$12/(V660/MAX(K660:S660)))^(1/inputs!$O$12))-1)/inputs!$N$12&lt;0, 0, IF((((inputs!$P$12/(V660/MAX(K660:S660)))^(1/inputs!$O$12))-1)/inputs!$N$12&gt;inputs!$H$17, inputs!$H$17, (((inputs!$P$12/(V660/MAX(K660:S660)))^(1/inputs!$O$12))-1)/inputs!$N$12))</f>
        <v>68.435293271862932</v>
      </c>
      <c r="U660" s="63">
        <f>IF((((inputs!$P$12/(X660/MAX(K660:S660)))^(1/inputs!$O$12))-1)/inputs!$N$12&lt;0, 0, IF((((inputs!$P$12/(X660/MAX(K660:S660)))^(1/inputs!$O$12))-1)/inputs!$N$12&gt;inputs!$H$17, inputs!$H$17, (((inputs!$P$12/(X660/MAX(K660:S660)))^(1/inputs!$O$12))-1)/inputs!$N$12))</f>
        <v>0</v>
      </c>
      <c r="V660" s="54">
        <f>inputs!$E$70*(inputs!$F$70/F660)^(0.25)</f>
        <v>2.5574764377400299</v>
      </c>
      <c r="W660" s="54">
        <f>inputs!$E$76*(inputs!$F$76/F660)^(0.25)</f>
        <v>0.76924067569003962</v>
      </c>
      <c r="X660" s="54">
        <f>inputs!$E$72*(inputs!$F$72/F660)^(0.25)</f>
        <v>112.82984284147192</v>
      </c>
      <c r="Y660" s="54" t="s">
        <v>13</v>
      </c>
      <c r="Z660" s="106">
        <f t="shared" si="83"/>
        <v>42.605544633474317</v>
      </c>
      <c r="AA660" s="106">
        <f t="shared" si="84"/>
        <v>141.64965525184672</v>
      </c>
    </row>
    <row r="661" spans="1:27" x14ac:dyDescent="0.25">
      <c r="A661" s="55" t="s">
        <v>552</v>
      </c>
      <c r="B661" s="49" t="s">
        <v>553</v>
      </c>
      <c r="C661" s="21" t="s">
        <v>61</v>
      </c>
      <c r="D661" s="20" t="s">
        <v>443</v>
      </c>
      <c r="E661" s="20">
        <v>35</v>
      </c>
      <c r="F661" s="21">
        <v>15</v>
      </c>
      <c r="G661" s="21" t="s">
        <v>177</v>
      </c>
      <c r="H661" s="21">
        <v>0.85</v>
      </c>
      <c r="I661" s="48">
        <f>MAX('Min rate concentrations'!$F$3:$F$368)</f>
        <v>67.5</v>
      </c>
      <c r="J661" s="48">
        <f>MAX('Min rate concentrations'!Y:Y)</f>
        <v>22.5</v>
      </c>
      <c r="K661" s="60">
        <f t="shared" si="82"/>
        <v>85.808107757288468</v>
      </c>
      <c r="L661" s="60">
        <f t="shared" si="85"/>
        <v>28.602702585762817</v>
      </c>
      <c r="M661" s="60">
        <f>IF((((0.326*F661^0.818)-(0.398*F661^0.85)/(1-H661)*H661)*(MAX('Min rate concentrations'!$P$3:$P$368)))/F661&gt;0, (((0.326*F661^0.818)-(0.398*F661^0.85)/(1-H661)*H661)*(MAX('Min rate concentrations'!$P$3:$P$368)))/F661, 0)</f>
        <v>0</v>
      </c>
      <c r="N661" s="60">
        <f>IF((((0.326*F661^0.818)-(0.398*F661^0.85)/(1-H661)*H661)*(MAX('Min rate concentrations'!$Q$3:$Q$368)))/F661&gt; 0, (((0.326*F661^0.818)-(0.398*F661^0.85)/(1-H661)*H661)*(MAX('Min rate concentrations'!$Q$3:$Q$368)))/F661, 0)</f>
        <v>0</v>
      </c>
      <c r="O661" s="60">
        <f>((MAX('Min rate concentrations'!$F$3:$F$368))*0.62*6.01*8*(12.3*F661^0.65)*0.079*0.1/F661)*inputs!$E$73/inputs!$E$74</f>
        <v>17.4879170969031</v>
      </c>
      <c r="P661" s="60">
        <f>((MAX('Min rate concentrations'!Y:Y))*0.62*6.01*8*(12.3*F661^0.65)*0.079*0.1/F661)*inputs!$E$73/inputs!$E$74</f>
        <v>5.8293056989677003</v>
      </c>
      <c r="Q661" s="60">
        <f>(inputs!$C$7*11.2*(12.3*F661^0.65)*0.5/F661)*inputs!$E$73/inputs!$E$74</f>
        <v>3.0804141134929148</v>
      </c>
      <c r="R661" s="60">
        <f>(60*379*((F661/1000)^0.8)*3*24*(MAX('Min rate concentrations'!$R$3:$R$368))/F661)*(inputs!$E$73/inputs!$E$75)</f>
        <v>4.2614677494769567E-3</v>
      </c>
      <c r="S661" s="60">
        <f>(IF(inputs!$C$6="aerial",((0.025*0.112*inputs!$C$7/3.3)*(3*60*379*((F661/1000)^0.8))*MAX(inputs!$H$14:$H$16))/F661,((0.0083*0.112*inputs!$C$7/1)*(3*60*379*((F661/1000)^0.8))*MAX(inputs!$H$14:$H$16))/F661))*(inputs!E$75/inputs!$E$73)</f>
        <v>2.3502256455738741E-2</v>
      </c>
      <c r="T661" s="63">
        <f>IF((((inputs!$P$12/(V661/MAX(K661:S661)))^(1/inputs!$O$12))-1)/inputs!$N$12&lt;0, 0, IF((((inputs!$P$12/(V661/MAX(K661:S661)))^(1/inputs!$O$12))-1)/inputs!$N$12&gt;inputs!$H$17, inputs!$H$17, (((inputs!$P$12/(V661/MAX(K661:S661)))^(1/inputs!$O$12))-1)/inputs!$N$12))</f>
        <v>59.46054341717079</v>
      </c>
      <c r="U661" s="63">
        <f>IF((((inputs!$P$12/(X661/MAX(K661:S661)))^(1/inputs!$O$12))-1)/inputs!$N$12&lt;0, 0, IF((((inputs!$P$12/(X661/MAX(K661:S661)))^(1/inputs!$O$12))-1)/inputs!$N$12&gt;inputs!$H$17, inputs!$H$17, (((inputs!$P$12/(X661/MAX(K661:S661)))^(1/inputs!$O$12))-1)/inputs!$N$12))</f>
        <v>0</v>
      </c>
      <c r="V661" s="54">
        <f>inputs!$E$70*(inputs!$F$70/F661)^(0.25)</f>
        <v>2.5574764377400299</v>
      </c>
      <c r="W661" s="54">
        <f>inputs!$E$76*(inputs!$F$76/F661)^(0.25)</f>
        <v>0.76924067569003962</v>
      </c>
      <c r="X661" s="54">
        <f>inputs!$E$72*(inputs!$F$72/F661)^(0.25)</f>
        <v>112.82984284147192</v>
      </c>
      <c r="Y661" s="54" t="s">
        <v>13</v>
      </c>
      <c r="Z661" s="106">
        <f t="shared" si="83"/>
        <v>33.551866398861016</v>
      </c>
      <c r="AA661" s="106">
        <f t="shared" si="84"/>
        <v>111.54910351082926</v>
      </c>
    </row>
    <row r="662" spans="1:27" x14ac:dyDescent="0.25">
      <c r="A662" s="55" t="s">
        <v>552</v>
      </c>
      <c r="B662" s="49" t="s">
        <v>553</v>
      </c>
      <c r="C662" s="21" t="s">
        <v>61</v>
      </c>
      <c r="D662" s="20" t="s">
        <v>443</v>
      </c>
      <c r="E662" s="20">
        <v>35</v>
      </c>
      <c r="F662" s="21">
        <v>15</v>
      </c>
      <c r="G662" s="21" t="s">
        <v>456</v>
      </c>
      <c r="H662" s="21">
        <v>0.68</v>
      </c>
      <c r="I662" s="48">
        <f>MAX('Min rate concentrations'!$J$3:$J$368)</f>
        <v>114.4108103430513</v>
      </c>
      <c r="J662" s="48">
        <f>MAX('Min rate concentrations'!AB:AB)</f>
        <v>40.520495329830666</v>
      </c>
      <c r="K662" s="60">
        <f t="shared" si="82"/>
        <v>68.176216267466955</v>
      </c>
      <c r="L662" s="60">
        <f t="shared" si="85"/>
        <v>24.14574326139455</v>
      </c>
      <c r="M662" s="60">
        <f>IF((((0.326*F662^0.818)-(0.398*F662^0.85)/(1-H662)*H662)*(MAX('Min rate concentrations'!$P$3:$P$368)))/F662&gt;0, (((0.326*F662^0.818)-(0.398*F662^0.85)/(1-H662)*H662)*(MAX('Min rate concentrations'!$P$3:$P$368)))/F662, 0)</f>
        <v>0</v>
      </c>
      <c r="N662" s="60">
        <f>IF((((0.326*F662^0.818)-(0.398*F662^0.85)/(1-H662)*H662)*(MAX('Min rate concentrations'!$Q$3:$Q$368)))/F662&gt; 0, (((0.326*F662^0.818)-(0.398*F662^0.85)/(1-H662)*H662)*(MAX('Min rate concentrations'!$Q$3:$Q$368)))/F662, 0)</f>
        <v>0</v>
      </c>
      <c r="O662" s="60">
        <f>((MAX('Min rate concentrations'!$F$3:$F$368))*0.62*6.01*8*(12.3*F662^0.65)*0.079*0.1/F662)*inputs!$E$73/inputs!$E$74</f>
        <v>17.4879170969031</v>
      </c>
      <c r="P662" s="60">
        <f>((MAX('Min rate concentrations'!Y:Y))*0.62*6.01*8*(12.3*F662^0.65)*0.079*0.1/F662)*inputs!$E$73/inputs!$E$74</f>
        <v>5.8293056989677003</v>
      </c>
      <c r="Q662" s="60">
        <f>(inputs!$C$7*11.2*(12.3*F662^0.65)*0.5/F662)*inputs!$E$73/inputs!$E$74</f>
        <v>3.0804141134929148</v>
      </c>
      <c r="R662" s="60">
        <f>(60*379*((F662/1000)^0.8)*3*24*(MAX('Min rate concentrations'!$R$3:$R$368))/F662)*(inputs!$E$73/inputs!$E$75)</f>
        <v>4.2614677494769567E-3</v>
      </c>
      <c r="S662" s="60">
        <f>(IF(inputs!$C$6="aerial",((0.025*0.112*inputs!$C$7/3.3)*(3*60*379*((F662/1000)^0.8))*MAX(inputs!$H$14:$H$16))/F662,((0.0083*0.112*inputs!$C$7/1)*(3*60*379*((F662/1000)^0.8))*MAX(inputs!$H$14:$H$16))/F662))*(inputs!E$75/inputs!$E$73)</f>
        <v>2.3502256455738741E-2</v>
      </c>
      <c r="T662" s="63">
        <f>IF((((inputs!$P$12/(V662/MAX(K662:S662)))^(1/inputs!$O$12))-1)/inputs!$N$12&lt;0, 0, IF((((inputs!$P$12/(V662/MAX(K662:S662)))^(1/inputs!$O$12))-1)/inputs!$N$12&gt;inputs!$H$17, inputs!$H$17, (((inputs!$P$12/(V662/MAX(K662:S662)))^(1/inputs!$O$12))-1)/inputs!$N$12))</f>
        <v>51.605384662802905</v>
      </c>
      <c r="U662" s="63">
        <f>IF((((inputs!$P$12/(X662/MAX(K662:S662)))^(1/inputs!$O$12))-1)/inputs!$N$12&lt;0, 0, IF((((inputs!$P$12/(X662/MAX(K662:S662)))^(1/inputs!$O$12))-1)/inputs!$N$12&gt;inputs!$H$17, inputs!$H$17, (((inputs!$P$12/(X662/MAX(K662:S662)))^(1/inputs!$O$12))-1)/inputs!$N$12))</f>
        <v>0</v>
      </c>
      <c r="V662" s="54">
        <f>inputs!$E$70*(inputs!$F$70/F662)^(0.25)</f>
        <v>2.5574764377400299</v>
      </c>
      <c r="W662" s="54">
        <f>inputs!$E$76*(inputs!$F$76/F662)^(0.25)</f>
        <v>0.76924067569003962</v>
      </c>
      <c r="X662" s="54">
        <f>inputs!$E$72*(inputs!$F$72/F662)^(0.25)</f>
        <v>112.82984284147192</v>
      </c>
      <c r="Y662" s="54" t="s">
        <v>13</v>
      </c>
      <c r="Z662" s="106">
        <f t="shared" si="83"/>
        <v>26.657612661218636</v>
      </c>
      <c r="AA662" s="106">
        <f t="shared" si="84"/>
        <v>88.627939761908934</v>
      </c>
    </row>
    <row r="663" spans="1:27" x14ac:dyDescent="0.25">
      <c r="A663" s="55" t="s">
        <v>552</v>
      </c>
      <c r="B663" s="49" t="s">
        <v>553</v>
      </c>
      <c r="C663" s="21" t="s">
        <v>61</v>
      </c>
      <c r="D663" s="20" t="s">
        <v>443</v>
      </c>
      <c r="E663" s="20">
        <v>35</v>
      </c>
      <c r="F663" s="21">
        <v>15</v>
      </c>
      <c r="G663" s="21" t="s">
        <v>145</v>
      </c>
      <c r="H663" s="21">
        <v>0.66</v>
      </c>
      <c r="I663" s="48">
        <f>MAX('Min rate concentrations'!$M$3:$M$368)</f>
        <v>2.8488184789681945</v>
      </c>
      <c r="J663" s="48">
        <f>MAX('Min rate concentrations'!AE:AE)</f>
        <v>1.9699276716269429</v>
      </c>
      <c r="K663" s="60">
        <f t="shared" si="82"/>
        <v>1.597723679897108</v>
      </c>
      <c r="L663" s="60">
        <f t="shared" si="85"/>
        <v>1.1048089275884256</v>
      </c>
      <c r="M663" s="60">
        <f>IF((((0.326*F663^0.818)-(0.398*F663^0.85)/(1-H663)*H663)*(MAX('Min rate concentrations'!$P$3:$P$368)))/F663&gt;0, (((0.326*F663^0.818)-(0.398*F663^0.85)/(1-H663)*H663)*(MAX('Min rate concentrations'!$P$3:$P$368)))/F663, 0)</f>
        <v>0</v>
      </c>
      <c r="N663" s="60">
        <f>IF((((0.326*F663^0.818)-(0.398*F663^0.85)/(1-H663)*H663)*(MAX('Min rate concentrations'!$Q$3:$Q$368)))/F663&gt; 0, (((0.326*F663^0.818)-(0.398*F663^0.85)/(1-H663)*H663)*(MAX('Min rate concentrations'!$Q$3:$Q$368)))/F663, 0)</f>
        <v>0</v>
      </c>
      <c r="O663" s="60">
        <f>((MAX('Min rate concentrations'!$F$3:$F$368))*0.62*6.01*8*(12.3*F663^0.65)*0.079*0.1/F663)*inputs!$E$73/inputs!$E$74</f>
        <v>17.4879170969031</v>
      </c>
      <c r="P663" s="60">
        <f>((MAX('Min rate concentrations'!Y:Y))*0.62*6.01*8*(12.3*F663^0.65)*0.079*0.1/F663)*inputs!$E$73/inputs!$E$74</f>
        <v>5.8293056989677003</v>
      </c>
      <c r="Q663" s="60">
        <f>(inputs!$C$7*11.2*(12.3*F663^0.65)*0.5/F663)*inputs!$E$73/inputs!$E$74</f>
        <v>3.0804141134929148</v>
      </c>
      <c r="R663" s="60">
        <f>(60*379*((F663/1000)^0.8)*3*24*(MAX('Min rate concentrations'!$R$3:$R$368))/F663)*(inputs!$E$73/inputs!$E$75)</f>
        <v>4.2614677494769567E-3</v>
      </c>
      <c r="S663" s="60">
        <f>(IF(inputs!$C$6="aerial",((0.025*0.112*inputs!$C$7/3.3)*(3*60*379*((F663/1000)^0.8))*MAX(inputs!$H$14:$H$16))/F663,((0.0083*0.112*inputs!$C$7/1)*(3*60*379*((F663/1000)^0.8))*MAX(inputs!$H$14:$H$16))/F663))*(inputs!E$75/inputs!$E$73)</f>
        <v>2.3502256455738741E-2</v>
      </c>
      <c r="T663" s="63">
        <f>IF((((inputs!$P$12/(V663/MAX(K663:S663)))^(1/inputs!$O$12))-1)/inputs!$N$12&lt;0, 0, IF((((inputs!$P$12/(V663/MAX(K663:S663)))^(1/inputs!$O$12))-1)/inputs!$N$12&gt;inputs!$H$17, inputs!$H$17, (((inputs!$P$12/(V663/MAX(K663:S663)))^(1/inputs!$O$12))-1)/inputs!$N$12))</f>
        <v>17.564222818912587</v>
      </c>
      <c r="U663" s="63">
        <f>IF((((inputs!$P$12/(X663/MAX(K663:S663)))^(1/inputs!$O$12))-1)/inputs!$N$12&lt;0, 0, IF((((inputs!$P$12/(X663/MAX(K663:S663)))^(1/inputs!$O$12))-1)/inputs!$N$12&gt;inputs!$H$17, inputs!$H$17, (((inputs!$P$12/(X663/MAX(K663:S663)))^(1/inputs!$O$12))-1)/inputs!$N$12))</f>
        <v>0</v>
      </c>
      <c r="V663" s="54">
        <f>inputs!$E$70*(inputs!$F$70/F663)^(0.25)</f>
        <v>2.5574764377400299</v>
      </c>
      <c r="W663" s="54">
        <f>inputs!$E$76*(inputs!$F$76/F663)^(0.25)</f>
        <v>0.76924067569003962</v>
      </c>
      <c r="X663" s="54">
        <f>inputs!$E$72*(inputs!$F$72/F663)^(0.25)</f>
        <v>112.82984284147192</v>
      </c>
      <c r="Y663" s="54" t="s">
        <v>13</v>
      </c>
      <c r="Z663" s="106">
        <f t="shared" si="83"/>
        <v>6.8379582461986166</v>
      </c>
      <c r="AA663" s="106">
        <f t="shared" si="84"/>
        <v>22.733999448502562</v>
      </c>
    </row>
    <row r="664" spans="1:27" x14ac:dyDescent="0.25">
      <c r="A664" s="55" t="s">
        <v>552</v>
      </c>
      <c r="B664" s="49" t="s">
        <v>553</v>
      </c>
      <c r="C664" s="21" t="s">
        <v>61</v>
      </c>
      <c r="D664" s="20" t="s">
        <v>443</v>
      </c>
      <c r="E664" s="20">
        <v>35</v>
      </c>
      <c r="F664" s="21">
        <v>15</v>
      </c>
      <c r="G664" s="21" t="s">
        <v>154</v>
      </c>
      <c r="H664" s="21">
        <v>9.2999999999999999E-2</v>
      </c>
      <c r="I664" s="48">
        <f>MAX('Min rate concentrations'!$G$3:$G$368)</f>
        <v>7.5</v>
      </c>
      <c r="J664" s="48">
        <f>MAX('Min rate concentrations'!Z:Z)</f>
        <v>3.5</v>
      </c>
      <c r="K664" s="60">
        <f t="shared" si="82"/>
        <v>1.5767752252349958</v>
      </c>
      <c r="L664" s="60"/>
      <c r="M664" s="60">
        <f>IF((((0.326*F664^0.818)-(0.398*F664^0.85)/(1-H664)*H664)*(MAX('Min rate concentrations'!$P$3:$P$368)))/F664&gt;0, (((0.326*F664^0.818)-(0.398*F664^0.85)/(1-H664)*H664)*(MAX('Min rate concentrations'!$P$3:$P$368)))/F664, 0)</f>
        <v>2.4959484999342571E-2</v>
      </c>
      <c r="N664" s="60">
        <f>IF((((0.326*F664^0.818)-(0.398*F664^0.85)/(1-H664)*H664)*(MAX('Min rate concentrations'!$Q$3:$Q$368)))/F664&gt; 0, (((0.326*F664^0.818)-(0.398*F664^0.85)/(1-H664)*H664)*(MAX('Min rate concentrations'!$Q$3:$Q$368)))/F664, 0)</f>
        <v>9.5047059992685437E-2</v>
      </c>
      <c r="O664" s="60">
        <f>((MAX('Min rate concentrations'!$F$3:$F$368))*0.62*6.01*8*(12.3*F664^0.65)*0.079*0.1/F664)*inputs!$E$73/inputs!$E$74</f>
        <v>17.4879170969031</v>
      </c>
      <c r="P664" s="60"/>
      <c r="Q664" s="60">
        <f>(inputs!$C$7*11.2*(12.3*F664^0.65)*0.5/F664)*inputs!$E$73/inputs!$E$74</f>
        <v>3.0804141134929148</v>
      </c>
      <c r="R664" s="60">
        <f>(60*379*((F664/1000)^0.8)*3*24*(MAX('Min rate concentrations'!$R$3:$R$368))/F664)*(inputs!$E$73/inputs!$E$75)</f>
        <v>4.2614677494769567E-3</v>
      </c>
      <c r="S664" s="60">
        <f>(IF(inputs!$C$6="aerial",((0.025*0.112*inputs!$C$7/3.3)*(3*60*379*((F664/1000)^0.8))*MAX(inputs!$H$14:$H$16))/F664,((0.0083*0.112*inputs!$C$7/1)*(3*60*379*((F664/1000)^0.8))*MAX(inputs!$H$14:$H$16))/F664))*(inputs!E$75/inputs!$E$73)</f>
        <v>2.3502256455738741E-2</v>
      </c>
      <c r="T664" s="63">
        <f>IF((((inputs!$P$12/(V664/MAX(K664:S664)))^(1/inputs!$O$12))-1)/inputs!$N$12&lt;0, 0, IF((((inputs!$P$12/(V664/MAX(K664:S664)))^(1/inputs!$O$12))-1)/inputs!$N$12&gt;inputs!$H$17, inputs!$H$17, (((inputs!$P$12/(V664/MAX(K664:S664)))^(1/inputs!$O$12))-1)/inputs!$N$12))</f>
        <v>17.564222818912587</v>
      </c>
      <c r="U664" s="63">
        <f>IF((((inputs!$P$12/(X664/MAX(K664:S664)))^(1/inputs!$O$12))-1)/inputs!$N$12&lt;0, 0, IF((((inputs!$P$12/(X664/MAX(K664:S664)))^(1/inputs!$O$12))-1)/inputs!$N$12&gt;inputs!$H$17, inputs!$H$17, (((inputs!$P$12/(X664/MAX(K664:S664)))^(1/inputs!$O$12))-1)/inputs!$N$12))</f>
        <v>0</v>
      </c>
      <c r="V664" s="54">
        <f>inputs!$E$70*(inputs!$F$70/F664)^(0.25)</f>
        <v>2.5574764377400299</v>
      </c>
      <c r="W664" s="54">
        <f>inputs!$E$76*(inputs!$F$76/F664)^(0.25)</f>
        <v>0.76924067569003962</v>
      </c>
      <c r="X664" s="54">
        <f>inputs!$E$72*(inputs!$F$72/F664)^(0.25)</f>
        <v>112.82984284147192</v>
      </c>
      <c r="Y664" s="54" t="s">
        <v>13</v>
      </c>
      <c r="Z664" s="106">
        <f t="shared" si="83"/>
        <v>6.8379582461986166</v>
      </c>
      <c r="AA664" s="106">
        <f t="shared" si="84"/>
        <v>22.733999448502562</v>
      </c>
    </row>
    <row r="665" spans="1:27" x14ac:dyDescent="0.25">
      <c r="A665" s="55" t="s">
        <v>441</v>
      </c>
      <c r="B665" s="49" t="s">
        <v>442</v>
      </c>
      <c r="C665" s="21" t="s">
        <v>61</v>
      </c>
      <c r="D665" s="20" t="s">
        <v>443</v>
      </c>
      <c r="E665" s="20">
        <v>49</v>
      </c>
      <c r="F665" s="21">
        <v>453</v>
      </c>
      <c r="G665" s="21" t="s">
        <v>177</v>
      </c>
      <c r="H665" s="21">
        <v>0.85</v>
      </c>
      <c r="I665" s="48">
        <f>MAX('Min rate concentrations'!$F$3:$F$368)</f>
        <v>67.5</v>
      </c>
      <c r="J665" s="48">
        <f>MAX('Min rate concentrations'!Y:Y)</f>
        <v>22.5</v>
      </c>
      <c r="K665" s="60">
        <f t="shared" si="82"/>
        <v>19.419824369070383</v>
      </c>
      <c r="L665" s="60">
        <f>(((0.621*F665^0.564)/(1-H665)))*J665/F665</f>
        <v>6.4732747896901266</v>
      </c>
      <c r="M665" s="60">
        <f>IF((((0.326*F665^0.818)-(0.398*F665^0.85)/(1-H665)*H665)*(MAX('Min rate concentrations'!$P$3:$P$368)))/F665&gt;0, (((0.326*F665^0.818)-(0.398*F665^0.85)/(1-H665)*H665)*(MAX('Min rate concentrations'!$P$3:$P$368)))/F665, 0)</f>
        <v>0</v>
      </c>
      <c r="N665" s="60">
        <f>IF((((0.326*F665^0.818)-(0.398*F665^0.85)/(1-H665)*H665)*(MAX('Min rate concentrations'!$Q$3:$Q$368)))/F665&gt; 0, (((0.326*F665^0.818)-(0.398*F665^0.85)/(1-H665)*H665)*(MAX('Min rate concentrations'!$Q$3:$Q$368)))/F665, 0)</f>
        <v>0</v>
      </c>
      <c r="O665" s="60">
        <f>((MAX('Min rate concentrations'!$F$3:$F$368))*0.62*6.01*8*(12.3*F665^0.65)*0.079*0.1/F665)*inputs!$E$73/inputs!$E$74</f>
        <v>5.3056140641051064</v>
      </c>
      <c r="P665" s="60">
        <f>((MAX('Min rate concentrations'!Y:Y))*0.62*6.01*8*(12.3*F665^0.65)*0.079*0.1/F665)*inputs!$E$73/inputs!$E$74</f>
        <v>1.7685380213683686</v>
      </c>
      <c r="Q665" s="60">
        <f>(inputs!$C$7*11.2*(12.3*F665^0.65)*0.5/F665)*inputs!$E$73/inputs!$E$74</f>
        <v>0.93455889304908157</v>
      </c>
      <c r="R665" s="60">
        <f>(60*379*((F665/1000)^0.8)*3*24*(MAX('Min rate concentrations'!$R$3:$R$368))/F665)*(inputs!$E$73/inputs!$E$75)</f>
        <v>2.1555485919622008E-3</v>
      </c>
      <c r="S665" s="60">
        <f>(IF(inputs!$C$6="aerial",((0.025*0.112*inputs!$C$7/3.3)*(3*60*379*((F665/1000)^0.8))*MAX(inputs!$H$14:$H$16))/F665,((0.0083*0.112*inputs!$C$7/1)*(3*60*379*((F665/1000)^0.8))*MAX(inputs!$H$14:$H$16))/F665))*(inputs!E$75/inputs!$E$73)</f>
        <v>1.1887982917932477E-2</v>
      </c>
      <c r="T665" s="63">
        <f>IF((((inputs!$P$12/(V665/MAX(K665:S665)))^(1/inputs!$O$12))-1)/inputs!$N$12&lt;0, 0, IF((((inputs!$P$12/(V665/MAX(K665:S665)))^(1/inputs!$O$12))-1)/inputs!$N$12&gt;inputs!$H$17, inputs!$H$17, (((inputs!$P$12/(V665/MAX(K665:S665)))^(1/inputs!$O$12))-1)/inputs!$N$12))</f>
        <v>39.472884170434533</v>
      </c>
      <c r="U665" s="63">
        <f>IF((((inputs!$P$12/(X665/MAX(K665:S665)))^(1/inputs!$O$12))-1)/inputs!$N$12&lt;0, 0, IF((((inputs!$P$12/(X665/MAX(K665:S665)))^(1/inputs!$O$12))-1)/inputs!$N$12&gt;inputs!$H$17, inputs!$H$17, (((inputs!$P$12/(X665/MAX(K665:S665)))^(1/inputs!$O$12))-1)/inputs!$N$12))</f>
        <v>0</v>
      </c>
      <c r="V665" s="54">
        <f>inputs!$E$70*(inputs!$F$70/F665)^(0.25)</f>
        <v>1.0909627079119215</v>
      </c>
      <c r="W665" s="54">
        <f>inputs!$E$76*(inputs!$F$76/F665)^(0.25)</f>
        <v>0.32814100579882199</v>
      </c>
      <c r="X665" s="54">
        <f>inputs!$E$72*(inputs!$F$72/F665)^(0.25)</f>
        <v>48.130707701996535</v>
      </c>
      <c r="Y665" s="54" t="s">
        <v>13</v>
      </c>
      <c r="Z665" s="106">
        <f t="shared" si="83"/>
        <v>17.800630789882359</v>
      </c>
      <c r="AA665" s="106">
        <f t="shared" si="84"/>
        <v>59.181339807851892</v>
      </c>
    </row>
    <row r="666" spans="1:27" x14ac:dyDescent="0.25">
      <c r="A666" s="55" t="s">
        <v>613</v>
      </c>
      <c r="B666" s="49" t="s">
        <v>614</v>
      </c>
      <c r="C666" s="21" t="s">
        <v>61</v>
      </c>
      <c r="D666" s="20" t="s">
        <v>443</v>
      </c>
      <c r="E666" s="20">
        <v>52</v>
      </c>
      <c r="F666" s="21">
        <v>3</v>
      </c>
      <c r="G666" s="21" t="s">
        <v>142</v>
      </c>
      <c r="H666" s="21">
        <v>0.69</v>
      </c>
      <c r="I666" s="48">
        <f>MAX('Min rate concentrations'!$H$3:$H$368)</f>
        <v>47</v>
      </c>
      <c r="J666" s="48">
        <f>MAX('Min rate concentrations'!AA:AA)</f>
        <v>32.5</v>
      </c>
      <c r="K666" s="60">
        <f t="shared" si="82"/>
        <v>58.318037017099591</v>
      </c>
      <c r="L666" s="60">
        <f>(((0.621*F666^0.564)/(1-H666)))*J666/F666</f>
        <v>40.32630219267525</v>
      </c>
      <c r="M666" s="60">
        <f>IF((((0.326*F666^0.818)-(0.398*F666^0.85)/(1-H666)*H666)*(MAX('Min rate concentrations'!$P$3:$P$368)))/F666&gt;0, (((0.326*F666^0.818)-(0.398*F666^0.85)/(1-H666)*H666)*(MAX('Min rate concentrations'!$P$3:$P$368)))/F666, 0)</f>
        <v>0</v>
      </c>
      <c r="N666" s="60">
        <f>IF((((0.326*F666^0.818)-(0.398*F666^0.85)/(1-H666)*H666)*(MAX('Min rate concentrations'!$Q$3:$Q$368)))/F666&gt; 0, (((0.326*F666^0.818)-(0.398*F666^0.85)/(1-H666)*H666)*(MAX('Min rate concentrations'!$Q$3:$Q$368)))/F666, 0)</f>
        <v>0</v>
      </c>
      <c r="O666" s="60">
        <f>((MAX('Min rate concentrations'!$F$3:$F$368))*0.62*6.01*8*(12.3*F666^0.65)*0.079*0.1/F666)*inputs!$E$73/inputs!$E$74</f>
        <v>30.716914390107629</v>
      </c>
      <c r="P666" s="60">
        <f>((MAX('Min rate concentrations'!Y:Y))*0.62*6.01*8*(12.3*F666^0.65)*0.079*0.1/F666)*inputs!$E$73/inputs!$E$74</f>
        <v>10.238971463369209</v>
      </c>
      <c r="Q666" s="60">
        <f>(inputs!$C$7*11.2*(12.3*F666^0.65)*0.5/F666)*inputs!$E$73/inputs!$E$74</f>
        <v>5.4106395910921448</v>
      </c>
      <c r="R666" s="60">
        <f>(60*379*((F666/1000)^0.8)*3*24*(MAX('Min rate concentrations'!$R$3:$R$368))/F666)*(inputs!$E$73/inputs!$E$75)</f>
        <v>5.8796734553137235E-3</v>
      </c>
      <c r="S666" s="60">
        <f>(IF(inputs!$C$6="aerial",((0.025*0.112*inputs!$C$7/3.3)*(3*60*379*((F666/1000)^0.8))*MAX(inputs!$H$14:$H$16))/F666,((0.0083*0.112*inputs!$C$7/1)*(3*60*379*((F666/1000)^0.8))*MAX(inputs!$H$14:$H$16))/F666))*(inputs!E$75/inputs!$E$73)</f>
        <v>3.2426760343251065E-2</v>
      </c>
      <c r="T666" s="63">
        <f>IF((((inputs!$P$12/(V666/MAX(K666:S666)))^(1/inputs!$O$12))-1)/inputs!$N$12&lt;0, 0, IF((((inputs!$P$12/(V666/MAX(K666:S666)))^(1/inputs!$O$12))-1)/inputs!$N$12&gt;inputs!$H$17, inputs!$H$17, (((inputs!$P$12/(V666/MAX(K666:S666)))^(1/inputs!$O$12))-1)/inputs!$N$12))</f>
        <v>35.328206626365251</v>
      </c>
      <c r="U666" s="63">
        <f>IF((((inputs!$P$12/(X666/MAX(K666:S666)))^(1/inputs!$O$12))-1)/inputs!$N$12&lt;0, 0, IF((((inputs!$P$12/(X666/MAX(K666:S666)))^(1/inputs!$O$12))-1)/inputs!$N$12&gt;inputs!$H$17, inputs!$H$17, (((inputs!$P$12/(X666/MAX(K666:S666)))^(1/inputs!$O$12))-1)/inputs!$N$12))</f>
        <v>0</v>
      </c>
      <c r="V666" s="54">
        <f>inputs!$E$70*(inputs!$F$70/F666)^(0.25)</f>
        <v>3.8243192741765424</v>
      </c>
      <c r="W666" s="54">
        <f>inputs!$E$76*(inputs!$F$76/F666)^(0.25)</f>
        <v>1.1502831068588888</v>
      </c>
      <c r="X666" s="54">
        <f>inputs!$E$72*(inputs!$F$72/F666)^(0.25)</f>
        <v>168.71996797837687</v>
      </c>
      <c r="Y666" s="54" t="s">
        <v>13</v>
      </c>
      <c r="Z666" s="106">
        <f t="shared" si="83"/>
        <v>15.249259498517343</v>
      </c>
      <c r="AA666" s="106">
        <f t="shared" si="84"/>
        <v>50.698855498582724</v>
      </c>
    </row>
    <row r="667" spans="1:27" x14ac:dyDescent="0.25">
      <c r="A667" s="55" t="s">
        <v>613</v>
      </c>
      <c r="B667" s="49" t="s">
        <v>614</v>
      </c>
      <c r="C667" s="21" t="s">
        <v>61</v>
      </c>
      <c r="D667" s="20" t="s">
        <v>443</v>
      </c>
      <c r="E667" s="20">
        <v>52</v>
      </c>
      <c r="F667" s="21">
        <v>3</v>
      </c>
      <c r="G667" s="21" t="s">
        <v>152</v>
      </c>
      <c r="H667" s="21">
        <v>0.77</v>
      </c>
      <c r="I667" s="48">
        <f>MAX('Min rate concentrations'!$G$3:$G$368)</f>
        <v>7.5</v>
      </c>
      <c r="J667" s="48">
        <f>MAX('Min rate concentrations'!Z:Z)</f>
        <v>3.5</v>
      </c>
      <c r="K667" s="60">
        <f t="shared" si="82"/>
        <v>12.542963558256853</v>
      </c>
      <c r="L667" s="60">
        <f>(((0.621*F667^0.564)/(1-H667)))*J667/F667</f>
        <v>5.8533829938531987</v>
      </c>
      <c r="M667" s="60">
        <f>IF((((0.326*F667^0.818)-(0.398*F667^0.85)/(1-H667)*H667)*(MAX('Min rate concentrations'!$P$3:$P$368)))/F667&gt;0, (((0.326*F667^0.818)-(0.398*F667^0.85)/(1-H667)*H667)*(MAX('Min rate concentrations'!$P$3:$P$368)))/F667, 0)</f>
        <v>0</v>
      </c>
      <c r="N667" s="60">
        <f>IF((((0.326*F667^0.818)-(0.398*F667^0.85)/(1-H667)*H667)*(MAX('Min rate concentrations'!$Q$3:$Q$368)))/F667&gt; 0, (((0.326*F667^0.818)-(0.398*F667^0.85)/(1-H667)*H667)*(MAX('Min rate concentrations'!$Q$3:$Q$368)))/F667, 0)</f>
        <v>0</v>
      </c>
      <c r="O667" s="60">
        <f>((MAX('Min rate concentrations'!$F$3:$F$368))*0.62*6.01*8*(12.3*F667^0.65)*0.079*0.1/F667)*inputs!$E$73/inputs!$E$74</f>
        <v>30.716914390107629</v>
      </c>
      <c r="P667" s="60">
        <f>((MAX('Min rate concentrations'!Y:Y))*0.62*6.01*8*(12.3*F667^0.65)*0.079*0.1/F667)*inputs!$E$73/inputs!$E$74</f>
        <v>10.238971463369209</v>
      </c>
      <c r="Q667" s="60">
        <f>(inputs!$C$7*11.2*(12.3*F667^0.65)*0.5/F667)*inputs!$E$73/inputs!$E$74</f>
        <v>5.4106395910921448</v>
      </c>
      <c r="R667" s="60">
        <f>(60*379*((F667/1000)^0.8)*3*24*(MAX('Min rate concentrations'!$R$3:$R$368))/F667)*(inputs!$E$73/inputs!$E$75)</f>
        <v>5.8796734553137235E-3</v>
      </c>
      <c r="S667" s="60">
        <f>(IF(inputs!$C$6="aerial",((0.025*0.112*inputs!$C$7/3.3)*(3*60*379*((F667/1000)^0.8))*MAX(inputs!$H$14:$H$16))/F667,((0.0083*0.112*inputs!$C$7/1)*(3*60*379*((F667/1000)^0.8))*MAX(inputs!$H$14:$H$16))/F667))*(inputs!E$75/inputs!$E$73)</f>
        <v>3.2426760343251065E-2</v>
      </c>
      <c r="T667" s="63">
        <f>IF((((inputs!$P$12/(V667/MAX(K667:S667)))^(1/inputs!$O$12))-1)/inputs!$N$12&lt;0, 0, IF((((inputs!$P$12/(V667/MAX(K667:S667)))^(1/inputs!$O$12))-1)/inputs!$N$12&gt;inputs!$H$17, inputs!$H$17, (((inputs!$P$12/(V667/MAX(K667:S667)))^(1/inputs!$O$12))-1)/inputs!$N$12))</f>
        <v>20.679871024221438</v>
      </c>
      <c r="U667" s="63">
        <f>IF((((inputs!$P$12/(X667/MAX(K667:S667)))^(1/inputs!$O$12))-1)/inputs!$N$12&lt;0, 0, IF((((inputs!$P$12/(X667/MAX(K667:S667)))^(1/inputs!$O$12))-1)/inputs!$N$12&gt;inputs!$H$17, inputs!$H$17, (((inputs!$P$12/(X667/MAX(K667:S667)))^(1/inputs!$O$12))-1)/inputs!$N$12))</f>
        <v>0</v>
      </c>
      <c r="V667" s="54">
        <f>inputs!$E$70*(inputs!$F$70/F667)^(0.25)</f>
        <v>3.8243192741765424</v>
      </c>
      <c r="W667" s="54">
        <f>inputs!$E$76*(inputs!$F$76/F667)^(0.25)</f>
        <v>1.1502831068588888</v>
      </c>
      <c r="X667" s="54">
        <f>inputs!$E$72*(inputs!$F$72/F667)^(0.25)</f>
        <v>168.71996797837687</v>
      </c>
      <c r="Y667" s="54" t="s">
        <v>13</v>
      </c>
      <c r="Z667" s="106">
        <f t="shared" si="83"/>
        <v>8.0319952880298242</v>
      </c>
      <c r="AA667" s="106">
        <f t="shared" si="84"/>
        <v>26.703786404363697</v>
      </c>
    </row>
    <row r="668" spans="1:27" ht="26.4" x14ac:dyDescent="0.25">
      <c r="A668" s="55" t="s">
        <v>613</v>
      </c>
      <c r="B668" s="49" t="s">
        <v>614</v>
      </c>
      <c r="C668" s="21" t="s">
        <v>61</v>
      </c>
      <c r="D668" s="20" t="s">
        <v>443</v>
      </c>
      <c r="E668" s="20">
        <v>52</v>
      </c>
      <c r="F668" s="21">
        <v>3</v>
      </c>
      <c r="G668" s="21" t="s">
        <v>580</v>
      </c>
      <c r="H668" s="21">
        <v>0.85</v>
      </c>
      <c r="I668" s="48">
        <f>MAX('Min rate concentrations'!$F$3:$F$368)</f>
        <v>67.5</v>
      </c>
      <c r="J668" s="48">
        <f>MAX('Min rate concentrations'!Y:Y)</f>
        <v>22.5</v>
      </c>
      <c r="K668" s="60">
        <f t="shared" si="82"/>
        <v>173.09289710394455</v>
      </c>
      <c r="L668" s="60"/>
      <c r="M668" s="60">
        <f>IF((((0.326*F668^0.818)-(0.398*F668^0.85)/(1-H668)*H668)*(MAX('Min rate concentrations'!$P$3:$P$368)))/F668&gt;0, (((0.326*F668^0.818)-(0.398*F668^0.85)/(1-H668)*H668)*(MAX('Min rate concentrations'!$P$3:$P$368)))/F668, 0)</f>
        <v>0</v>
      </c>
      <c r="N668" s="60">
        <f>IF((((0.326*F668^0.818)-(0.398*F668^0.85)/(1-H668)*H668)*(MAX('Min rate concentrations'!$Q$3:$Q$368)))/F668&gt; 0, (((0.326*F668^0.818)-(0.398*F668^0.85)/(1-H668)*H668)*(MAX('Min rate concentrations'!$Q$3:$Q$368)))/F668, 0)</f>
        <v>0</v>
      </c>
      <c r="O668" s="60">
        <f>((MAX('Min rate concentrations'!$F$3:$F$368))*0.62*6.01*8*(12.3*F668^0.65)*0.079*0.1/F668)*inputs!$E$73/inputs!$E$74</f>
        <v>30.716914390107629</v>
      </c>
      <c r="P668" s="60"/>
      <c r="Q668" s="60">
        <f>(inputs!$C$7*11.2*(12.3*F668^0.65)*0.5/F668)*inputs!$E$73/inputs!$E$74</f>
        <v>5.4106395910921448</v>
      </c>
      <c r="R668" s="60">
        <f>(60*379*((F668/1000)^0.8)*3*24*(MAX('Min rate concentrations'!$R$3:$R$368))/F668)*(inputs!$E$73/inputs!$E$75)</f>
        <v>5.8796734553137235E-3</v>
      </c>
      <c r="S668" s="60">
        <f>(IF(inputs!$C$6="aerial",((0.025*0.112*inputs!$C$7/3.3)*(3*60*379*((F668/1000)^0.8))*MAX(inputs!$H$14:$H$16))/F668,((0.0083*0.112*inputs!$C$7/1)*(3*60*379*((F668/1000)^0.8))*MAX(inputs!$H$14:$H$16))/F668))*(inputs!E$75/inputs!$E$73)</f>
        <v>3.2426760343251065E-2</v>
      </c>
      <c r="T668" s="63">
        <f>IF((((inputs!$P$12/(V668/MAX(K668:S668)))^(1/inputs!$O$12))-1)/inputs!$N$12&lt;0, 0, IF((((inputs!$P$12/(V668/MAX(K668:S668)))^(1/inputs!$O$12))-1)/inputs!$N$12&gt;inputs!$H$17, inputs!$H$17, (((inputs!$P$12/(V668/MAX(K668:S668)))^(1/inputs!$O$12))-1)/inputs!$N$12))</f>
        <v>70.848497870888551</v>
      </c>
      <c r="U668" s="63">
        <f>IF((((inputs!$P$12/(X668/MAX(K668:S668)))^(1/inputs!$O$12))-1)/inputs!$N$12&lt;0, 0, IF((((inputs!$P$12/(X668/MAX(K668:S668)))^(1/inputs!$O$12))-1)/inputs!$N$12&gt;inputs!$H$17, inputs!$H$17, (((inputs!$P$12/(X668/MAX(K668:S668)))^(1/inputs!$O$12))-1)/inputs!$N$12))</f>
        <v>0</v>
      </c>
      <c r="V668" s="54">
        <f>inputs!$E$70*(inputs!$F$70/F668)^(0.25)</f>
        <v>3.8243192741765424</v>
      </c>
      <c r="W668" s="54">
        <f>inputs!$E$76*(inputs!$F$76/F668)^(0.25)</f>
        <v>1.1502831068588888</v>
      </c>
      <c r="X668" s="54">
        <f>inputs!$E$72*(inputs!$F$72/F668)^(0.25)</f>
        <v>168.71996797837687</v>
      </c>
      <c r="Y668" s="54" t="s">
        <v>13</v>
      </c>
      <c r="Z668" s="106">
        <f t="shared" si="83"/>
        <v>45.261100000918503</v>
      </c>
      <c r="AA668" s="106">
        <f t="shared" si="84"/>
        <v>150.47851791600618</v>
      </c>
    </row>
    <row r="669" spans="1:27" x14ac:dyDescent="0.25">
      <c r="A669" s="55" t="s">
        <v>613</v>
      </c>
      <c r="B669" s="49" t="s">
        <v>614</v>
      </c>
      <c r="C669" s="21" t="s">
        <v>61</v>
      </c>
      <c r="D669" s="20" t="s">
        <v>443</v>
      </c>
      <c r="E669" s="20">
        <v>52</v>
      </c>
      <c r="F669" s="21">
        <v>3</v>
      </c>
      <c r="G669" s="21" t="s">
        <v>154</v>
      </c>
      <c r="H669" s="21">
        <v>9.2999999999999999E-2</v>
      </c>
      <c r="I669" s="48">
        <f>MAX('Min rate concentrations'!$G$3:$G$368)</f>
        <v>7.5</v>
      </c>
      <c r="J669" s="48">
        <f>MAX('Min rate concentrations'!Z:Z)</f>
        <v>3.5</v>
      </c>
      <c r="K669" s="60">
        <f t="shared" si="82"/>
        <v>3.1806853565590694</v>
      </c>
      <c r="L669" s="60"/>
      <c r="M669" s="60">
        <f>IF((((0.326*F669^0.818)-(0.398*F669^0.85)/(1-H669)*H669)*(MAX('Min rate concentrations'!$P$3:$P$368)))/F669&gt;0, (((0.326*F669^0.818)-(0.398*F669^0.85)/(1-H669)*H669)*(MAX('Min rate concentrations'!$P$3:$P$368)))/F669, 0)</f>
        <v>3.3719503998347743E-2</v>
      </c>
      <c r="N669" s="60">
        <f>IF((((0.326*F669^0.818)-(0.398*F669^0.85)/(1-H669)*H669)*(MAX('Min rate concentrations'!$Q$3:$Q$368)))/F669&gt; 0, (((0.326*F669^0.818)-(0.398*F669^0.85)/(1-H669)*H669)*(MAX('Min rate concentrations'!$Q$3:$Q$368)))/F669, 0)</f>
        <v>0.12840568303147973</v>
      </c>
      <c r="O669" s="60">
        <f>((MAX('Min rate concentrations'!$F$3:$F$368))*0.62*6.01*8*(12.3*F669^0.65)*0.079*0.1/F669)*inputs!$E$73/inputs!$E$74</f>
        <v>30.716914390107629</v>
      </c>
      <c r="P669" s="60"/>
      <c r="Q669" s="60">
        <f>(inputs!$C$7*11.2*(12.3*F669^0.65)*0.5/F669)*inputs!$E$73/inputs!$E$74</f>
        <v>5.4106395910921448</v>
      </c>
      <c r="R669" s="60">
        <f>(60*379*((F669/1000)^0.8)*3*24*(MAX('Min rate concentrations'!$R$3:$R$368))/F669)*(inputs!$E$73/inputs!$E$75)</f>
        <v>5.8796734553137235E-3</v>
      </c>
      <c r="S669" s="60">
        <f>(IF(inputs!$C$6="aerial",((0.025*0.112*inputs!$C$7/3.3)*(3*60*379*((F669/1000)^0.8))*MAX(inputs!$H$14:$H$16))/F669,((0.0083*0.112*inputs!$C$7/1)*(3*60*379*((F669/1000)^0.8))*MAX(inputs!$H$14:$H$16))/F669))*(inputs!E$75/inputs!$E$73)</f>
        <v>3.2426760343251065E-2</v>
      </c>
      <c r="T669" s="63">
        <f>IF((((inputs!$P$12/(V669/MAX(K669:S669)))^(1/inputs!$O$12))-1)/inputs!$N$12&lt;0, 0, IF((((inputs!$P$12/(V669/MAX(K669:S669)))^(1/inputs!$O$12))-1)/inputs!$N$12&gt;inputs!$H$17, inputs!$H$17, (((inputs!$P$12/(V669/MAX(K669:S669)))^(1/inputs!$O$12))-1)/inputs!$N$12))</f>
        <v>20.679871024221438</v>
      </c>
      <c r="U669" s="63">
        <f>IF((((inputs!$P$12/(X669/MAX(K669:S669)))^(1/inputs!$O$12))-1)/inputs!$N$12&lt;0, 0, IF((((inputs!$P$12/(X669/MAX(K669:S669)))^(1/inputs!$O$12))-1)/inputs!$N$12&gt;inputs!$H$17, inputs!$H$17, (((inputs!$P$12/(X669/MAX(K669:S669)))^(1/inputs!$O$12))-1)/inputs!$N$12))</f>
        <v>0</v>
      </c>
      <c r="V669" s="54">
        <f>inputs!$E$70*(inputs!$F$70/F669)^(0.25)</f>
        <v>3.8243192741765424</v>
      </c>
      <c r="W669" s="54">
        <f>inputs!$E$76*(inputs!$F$76/F669)^(0.25)</f>
        <v>1.1502831068588888</v>
      </c>
      <c r="X669" s="54">
        <f>inputs!$E$72*(inputs!$F$72/F669)^(0.25)</f>
        <v>168.71996797837687</v>
      </c>
      <c r="Y669" s="54" t="s">
        <v>13</v>
      </c>
      <c r="Z669" s="106">
        <f t="shared" si="83"/>
        <v>8.0319952880298242</v>
      </c>
      <c r="AA669" s="106">
        <f t="shared" si="84"/>
        <v>26.703786404363697</v>
      </c>
    </row>
    <row r="670" spans="1:27" ht="39.6" x14ac:dyDescent="0.25">
      <c r="A670" s="55" t="s">
        <v>444</v>
      </c>
      <c r="B670" s="49" t="s">
        <v>445</v>
      </c>
      <c r="C670" s="21" t="s">
        <v>61</v>
      </c>
      <c r="D670" s="20" t="s">
        <v>443</v>
      </c>
      <c r="E670" s="20">
        <v>10178</v>
      </c>
      <c r="F670" s="21">
        <v>25</v>
      </c>
      <c r="G670" s="21" t="s">
        <v>446</v>
      </c>
      <c r="H670" s="21">
        <v>9.2999999999999999E-2</v>
      </c>
      <c r="I670" s="21">
        <f>MAX('Min rate concentrations'!$D$3:$D$368)</f>
        <v>120</v>
      </c>
      <c r="J670" s="48">
        <f>MAX('Min rate concentrations'!W:W)</f>
        <v>42.5</v>
      </c>
      <c r="K670" s="60">
        <f t="shared" ref="K670:K701" si="86">(((0.621*F670^0.564)/(1-H670)))*I670/F670</f>
        <v>20.191273678535484</v>
      </c>
      <c r="L670" s="60"/>
      <c r="M670" s="60">
        <f>IF((((0.326*F670^0.818)-(0.398*F670^0.85)/(1-H670)*H670)*(MAX('Min rate concentrations'!$P$3:$P$368)))/F670&gt;0, (((0.326*F670^0.818)-(0.398*F670^0.85)/(1-H670)*H670)*(MAX('Min rate concentrations'!$P$3:$P$368)))/F670, 0)</f>
        <v>2.2684337469445207E-2</v>
      </c>
      <c r="N670" s="60">
        <f>IF((((0.326*F670^0.818)-(0.398*F670^0.85)/(1-H670)*H670)*(MAX('Min rate concentrations'!$Q$3:$Q$368)))/F670&gt; 0, (((0.326*F670^0.818)-(0.398*F670^0.85)/(1-H670)*H670)*(MAX('Min rate concentrations'!$Q$3:$Q$368)))/F670, 0)</f>
        <v>8.6383175951325594E-2</v>
      </c>
      <c r="O670" s="60">
        <f>((MAX('Min rate concentrations'!$F$3:$F$368))*0.62*6.01*8*(12.3*F670^0.65)*0.079*0.1/F670)*inputs!$E$73/inputs!$E$74</f>
        <v>14.624836631127746</v>
      </c>
      <c r="P670" s="60"/>
      <c r="Q670" s="60">
        <f>(inputs!$C$7*11.2*(12.3*F670^0.65)*0.5/F670)*inputs!$E$73/inputs!$E$74</f>
        <v>2.5760959933891727</v>
      </c>
      <c r="R670" s="60">
        <f>(60*379*((F670/1000)^0.8)*3*24*(MAX('Min rate concentrations'!$R$3:$R$368))/F670)*(inputs!$E$73/inputs!$E$75)</f>
        <v>3.8475959254764369E-3</v>
      </c>
      <c r="S670" s="60">
        <f>(IF(inputs!$C$6="aerial",((0.025*0.112*inputs!$C$7/3.3)*(3*60*379*((F670/1000)^0.8))*MAX(inputs!$H$14:$H$16))/F670,((0.0083*0.112*inputs!$C$7/1)*(3*60*379*((F670/1000)^0.8))*MAX(inputs!$H$14:$H$16))/F670))*(inputs!E$75/inputs!$E$73)</f>
        <v>2.1219727918790777E-2</v>
      </c>
      <c r="T670" s="63">
        <f>IF((((inputs!$P$12/(V670/MAX(K670:S670)))^(1/inputs!$O$12))-1)/inputs!$N$12&lt;0, 0, IF((((inputs!$P$12/(V670/MAX(K670:S670)))^(1/inputs!$O$12))-1)/inputs!$N$12&gt;inputs!$H$17, inputs!$H$17, (((inputs!$P$12/(V670/MAX(K670:S670)))^(1/inputs!$O$12))-1)/inputs!$N$12))</f>
        <v>22.94025183212549</v>
      </c>
      <c r="U670" s="63">
        <f>IF((((inputs!$P$12/(X670/MAX(K670:S670)))^(1/inputs!$O$12))-1)/inputs!$N$12&lt;0, 0, IF((((inputs!$P$12/(X670/MAX(K670:S670)))^(1/inputs!$O$12))-1)/inputs!$N$12&gt;inputs!$H$17, inputs!$H$17, (((inputs!$P$12/(X670/MAX(K670:S670)))^(1/inputs!$O$12))-1)/inputs!$N$12))</f>
        <v>0</v>
      </c>
      <c r="V670" s="54">
        <f>inputs!$E$70*(inputs!$F$70/F670)^(0.25)</f>
        <v>2.2508650294275583</v>
      </c>
      <c r="W670" s="54">
        <f>inputs!$E$76*(inputs!$F$76/F670)^(0.25)</f>
        <v>0.67701774709368412</v>
      </c>
      <c r="X670" s="54">
        <f>inputs!$E$72*(inputs!$F$72/F670)^(0.25)</f>
        <v>99.302868945333458</v>
      </c>
      <c r="Y670" s="54" t="s">
        <v>13</v>
      </c>
      <c r="Z670" s="106">
        <f t="shared" si="83"/>
        <v>8.9704506554400307</v>
      </c>
      <c r="AA670" s="106">
        <f t="shared" si="84"/>
        <v>29.823846960013981</v>
      </c>
    </row>
    <row r="671" spans="1:27" x14ac:dyDescent="0.25">
      <c r="A671" s="55" t="s">
        <v>530</v>
      </c>
      <c r="B671" s="49" t="s">
        <v>531</v>
      </c>
      <c r="C671" s="21" t="s">
        <v>61</v>
      </c>
      <c r="D671" s="20" t="s">
        <v>443</v>
      </c>
      <c r="E671" s="20">
        <v>29</v>
      </c>
      <c r="F671" s="21">
        <v>14</v>
      </c>
      <c r="G671" s="21" t="s">
        <v>142</v>
      </c>
      <c r="H671" s="21">
        <v>0.69</v>
      </c>
      <c r="I671" s="48">
        <f>MAX('Min rate concentrations'!$H$3:$H$368)</f>
        <v>47</v>
      </c>
      <c r="J671" s="48">
        <f>MAX('Min rate concentrations'!AA:AA)</f>
        <v>32.5</v>
      </c>
      <c r="K671" s="60">
        <f t="shared" si="86"/>
        <v>29.793116903872598</v>
      </c>
      <c r="L671" s="60">
        <f t="shared" ref="L671:L678" si="87">(((0.621*F671^0.564)/(1-H671)))*J671/F671</f>
        <v>20.601623390975732</v>
      </c>
      <c r="M671" s="60">
        <f>IF((((0.326*F671^0.818)-(0.398*F671^0.85)/(1-H671)*H671)*(MAX('Min rate concentrations'!$P$3:$P$368)))/F671&gt;0, (((0.326*F671^0.818)-(0.398*F671^0.85)/(1-H671)*H671)*(MAX('Min rate concentrations'!$P$3:$P$368)))/F671, 0)</f>
        <v>0</v>
      </c>
      <c r="N671" s="60">
        <f>IF((((0.326*F671^0.818)-(0.398*F671^0.85)/(1-H671)*H671)*(MAX('Min rate concentrations'!$Q$3:$Q$368)))/F671&gt; 0, (((0.326*F671^0.818)-(0.398*F671^0.85)/(1-H671)*H671)*(MAX('Min rate concentrations'!$Q$3:$Q$368)))/F671, 0)</f>
        <v>0</v>
      </c>
      <c r="O671" s="60">
        <f>((MAX('Min rate concentrations'!$F$3:$F$368))*0.62*6.01*8*(12.3*F671^0.65)*0.079*0.1/F671)*inputs!$E$73/inputs!$E$74</f>
        <v>17.915346571104685</v>
      </c>
      <c r="P671" s="60">
        <f>((MAX('Min rate concentrations'!Y:Y))*0.62*6.01*8*(12.3*F671^0.65)*0.079*0.1/F671)*inputs!$E$73/inputs!$E$74</f>
        <v>5.9717821903682262</v>
      </c>
      <c r="Q671" s="60">
        <f>(inputs!$C$7*11.2*(12.3*F671^0.65)*0.5/F671)*inputs!$E$73/inputs!$E$74</f>
        <v>3.1557037993690318</v>
      </c>
      <c r="R671" s="60">
        <f>(60*379*((F671/1000)^0.8)*3*24*(MAX('Min rate concentrations'!$R$3:$R$368))/F671)*(inputs!$E$73/inputs!$E$75)</f>
        <v>4.3206774944047777E-3</v>
      </c>
      <c r="S671" s="60">
        <f>(IF(inputs!$C$6="aerial",((0.025*0.112*inputs!$C$7/3.3)*(3*60*379*((F671/1000)^0.8))*MAX(inputs!$H$14:$H$16))/F671,((0.0083*0.112*inputs!$C$7/1)*(3*60*379*((F671/1000)^0.8))*MAX(inputs!$H$14:$H$16))/F671))*(inputs!E$75/inputs!$E$73)</f>
        <v>2.3828801836762302E-2</v>
      </c>
      <c r="T671" s="63">
        <f>IF((((inputs!$P$12/(V671/MAX(K671:S671)))^(1/inputs!$O$12))-1)/inputs!$N$12&lt;0, 0, IF((((inputs!$P$12/(V671/MAX(K671:S671)))^(1/inputs!$O$12))-1)/inputs!$N$12&gt;inputs!$H$17, inputs!$H$17, (((inputs!$P$12/(V671/MAX(K671:S671)))^(1/inputs!$O$12))-1)/inputs!$N$12))</f>
        <v>28.307906516662214</v>
      </c>
      <c r="U671" s="63">
        <f>IF((((inputs!$P$12/(X671/MAX(K671:S671)))^(1/inputs!$O$12))-1)/inputs!$N$12&lt;0, 0, IF((((inputs!$P$12/(X671/MAX(K671:S671)))^(1/inputs!$O$12))-1)/inputs!$N$12&gt;inputs!$H$17, inputs!$H$17, (((inputs!$P$12/(X671/MAX(K671:S671)))^(1/inputs!$O$12))-1)/inputs!$N$12))</f>
        <v>0</v>
      </c>
      <c r="V671" s="54">
        <f>inputs!$E$70*(inputs!$F$70/F671)^(0.25)</f>
        <v>2.6019709711512422</v>
      </c>
      <c r="W671" s="54">
        <f>inputs!$E$76*(inputs!$F$76/F671)^(0.25)</f>
        <v>0.78262379212492639</v>
      </c>
      <c r="X671" s="54">
        <f>inputs!$E$72*(inputs!$F$72/F671)^(0.25)</f>
        <v>114.79283696255482</v>
      </c>
      <c r="Y671" s="54" t="s">
        <v>13</v>
      </c>
      <c r="Z671" s="106">
        <f t="shared" si="83"/>
        <v>11.450211103120274</v>
      </c>
      <c r="AA671" s="106">
        <f t="shared" si="84"/>
        <v>38.068248376375543</v>
      </c>
    </row>
    <row r="672" spans="1:27" x14ac:dyDescent="0.25">
      <c r="A672" s="55" t="s">
        <v>530</v>
      </c>
      <c r="B672" s="49" t="s">
        <v>531</v>
      </c>
      <c r="C672" s="21" t="s">
        <v>61</v>
      </c>
      <c r="D672" s="20" t="s">
        <v>443</v>
      </c>
      <c r="E672" s="20">
        <v>29</v>
      </c>
      <c r="F672" s="21">
        <v>14</v>
      </c>
      <c r="G672" s="21" t="s">
        <v>164</v>
      </c>
      <c r="H672" s="21">
        <v>0.78</v>
      </c>
      <c r="I672" s="48">
        <f>inputs!$C$65*(inputs!$C$62/1000)</f>
        <v>0.82000000000000006</v>
      </c>
      <c r="J672" s="48">
        <f>inputs!$C$65*(inputs!$C$61/1000)</f>
        <v>0.25</v>
      </c>
      <c r="K672" s="60">
        <f t="shared" si="86"/>
        <v>0.73243813510294165</v>
      </c>
      <c r="L672" s="60">
        <f t="shared" si="87"/>
        <v>0.22330430948260416</v>
      </c>
      <c r="M672" s="60">
        <f>IF((((0.326*F672^0.818)-(0.398*F672^0.85)/(1-H672)*H672)*(MAX('Min rate concentrations'!$P$3:$P$368)))/F672&gt;0, (((0.326*F672^0.818)-(0.398*F672^0.85)/(1-H672)*H672)*(MAX('Min rate concentrations'!$P$3:$P$368)))/F672, 0)</f>
        <v>0</v>
      </c>
      <c r="N672" s="60">
        <f>IF((((0.326*F672^0.818)-(0.398*F672^0.85)/(1-H672)*H672)*(MAX('Min rate concentrations'!$Q$3:$Q$368)))/F672&gt; 0, (((0.326*F672^0.818)-(0.398*F672^0.85)/(1-H672)*H672)*(MAX('Min rate concentrations'!$Q$3:$Q$368)))/F672, 0)</f>
        <v>0</v>
      </c>
      <c r="O672" s="60">
        <f>((MAX('Min rate concentrations'!$F$3:$F$368))*0.62*6.01*8*(12.3*F672^0.65)*0.079*0.1/F672)*inputs!$E$73/inputs!$E$74</f>
        <v>17.915346571104685</v>
      </c>
      <c r="P672" s="60">
        <f>((MAX('Min rate concentrations'!Y:Y))*0.62*6.01*8*(12.3*F672^0.65)*0.079*0.1/F672)*inputs!$E$73/inputs!$E$74</f>
        <v>5.9717821903682262</v>
      </c>
      <c r="Q672" s="60">
        <f>(inputs!$C$7*11.2*(12.3*F672^0.65)*0.5/F672)*inputs!$E$73/inputs!$E$74</f>
        <v>3.1557037993690318</v>
      </c>
      <c r="R672" s="60">
        <f>(60*379*((F672/1000)^0.8)*3*24*(MAX('Min rate concentrations'!$R$3:$R$368))/F672)*(inputs!$E$73/inputs!$E$75)</f>
        <v>4.3206774944047777E-3</v>
      </c>
      <c r="S672" s="60">
        <f>(IF(inputs!$C$6="aerial",((0.025*0.112*inputs!$C$7/3.3)*(3*60*379*((F672/1000)^0.8))*MAX(inputs!$H$14:$H$16))/F672,((0.0083*0.112*inputs!$C$7/1)*(3*60*379*((F672/1000)^0.8))*MAX(inputs!$H$14:$H$16))/F672))*(inputs!E$75/inputs!$E$73)</f>
        <v>2.3828801836762302E-2</v>
      </c>
      <c r="T672" s="63">
        <f>IF((((inputs!$P$12/(V672/MAX(K672:S672)))^(1/inputs!$O$12))-1)/inputs!$N$12&lt;0, 0, IF((((inputs!$P$12/(V672/MAX(K672:S672)))^(1/inputs!$O$12))-1)/inputs!$N$12&gt;inputs!$H$17, inputs!$H$17, (((inputs!$P$12/(V672/MAX(K672:S672)))^(1/inputs!$O$12))-1)/inputs!$N$12))</f>
        <v>17.693641082264513</v>
      </c>
      <c r="U672" s="63">
        <f>IF((((inputs!$P$12/(X672/MAX(K672:S672)))^(1/inputs!$O$12))-1)/inputs!$N$12&lt;0, 0, IF((((inputs!$P$12/(X672/MAX(K672:S672)))^(1/inputs!$O$12))-1)/inputs!$N$12&gt;inputs!$H$17, inputs!$H$17, (((inputs!$P$12/(X672/MAX(K672:S672)))^(1/inputs!$O$12))-1)/inputs!$N$12))</f>
        <v>0</v>
      </c>
      <c r="V672" s="54">
        <f>inputs!$E$70*(inputs!$F$70/F672)^(0.25)</f>
        <v>2.6019709711512422</v>
      </c>
      <c r="W672" s="54">
        <f>inputs!$E$76*(inputs!$F$76/F672)^(0.25)</f>
        <v>0.78262379212492639</v>
      </c>
      <c r="X672" s="54">
        <f>inputs!$E$72*(inputs!$F$72/F672)^(0.25)</f>
        <v>114.79283696255482</v>
      </c>
      <c r="Y672" s="54" t="s">
        <v>13</v>
      </c>
      <c r="Z672" s="106">
        <f t="shared" si="83"/>
        <v>6.8852984025329222</v>
      </c>
      <c r="AA672" s="106">
        <f t="shared" si="84"/>
        <v>22.891390156261625</v>
      </c>
    </row>
    <row r="673" spans="1:27" x14ac:dyDescent="0.25">
      <c r="A673" s="55" t="s">
        <v>530</v>
      </c>
      <c r="B673" s="49" t="s">
        <v>531</v>
      </c>
      <c r="C673" s="21" t="s">
        <v>61</v>
      </c>
      <c r="D673" s="20" t="s">
        <v>443</v>
      </c>
      <c r="E673" s="20">
        <v>29</v>
      </c>
      <c r="F673" s="21">
        <v>14</v>
      </c>
      <c r="G673" s="21" t="s">
        <v>138</v>
      </c>
      <c r="H673" s="21">
        <v>0.68</v>
      </c>
      <c r="I673" s="48">
        <f>MAX('Min rate concentrations'!$L$3:$L$368)</f>
        <v>58.421240152220811</v>
      </c>
      <c r="J673" s="48">
        <f>MAX('Min rate concentrations'!AD:AD)</f>
        <v>40.397666062705881</v>
      </c>
      <c r="K673" s="60">
        <f t="shared" si="86"/>
        <v>35.875715401099903</v>
      </c>
      <c r="L673" s="60">
        <f t="shared" si="87"/>
        <v>24.80767554331376</v>
      </c>
      <c r="M673" s="60">
        <f>IF((((0.326*F673^0.818)-(0.398*F673^0.85)/(1-H673)*H673)*(MAX('Min rate concentrations'!$P$3:$P$368)))/F673&gt;0, (((0.326*F673^0.818)-(0.398*F673^0.85)/(1-H673)*H673)*(MAX('Min rate concentrations'!$P$3:$P$368)))/F673, 0)</f>
        <v>0</v>
      </c>
      <c r="N673" s="60">
        <f>IF((((0.326*F673^0.818)-(0.398*F673^0.85)/(1-H673)*H673)*(MAX('Min rate concentrations'!$Q$3:$Q$368)))/F673&gt; 0, (((0.326*F673^0.818)-(0.398*F673^0.85)/(1-H673)*H673)*(MAX('Min rate concentrations'!$Q$3:$Q$368)))/F673, 0)</f>
        <v>0</v>
      </c>
      <c r="O673" s="60">
        <f>((MAX('Min rate concentrations'!$F$3:$F$368))*0.62*6.01*8*(12.3*F673^0.65)*0.079*0.1/F673)*inputs!$E$73/inputs!$E$74</f>
        <v>17.915346571104685</v>
      </c>
      <c r="P673" s="60">
        <f>((MAX('Min rate concentrations'!Y:Y))*0.62*6.01*8*(12.3*F673^0.65)*0.079*0.1/F673)*inputs!$E$73/inputs!$E$74</f>
        <v>5.9717821903682262</v>
      </c>
      <c r="Q673" s="60">
        <f>(inputs!$C$7*11.2*(12.3*F673^0.65)*0.5/F673)*inputs!$E$73/inputs!$E$74</f>
        <v>3.1557037993690318</v>
      </c>
      <c r="R673" s="60">
        <f>(60*379*((F673/1000)^0.8)*3*24*(MAX('Min rate concentrations'!$R$3:$R$368))/F673)*(inputs!$E$73/inputs!$E$75)</f>
        <v>4.3206774944047777E-3</v>
      </c>
      <c r="S673" s="60">
        <f>(IF(inputs!$C$6="aerial",((0.025*0.112*inputs!$C$7/3.3)*(3*60*379*((F673/1000)^0.8))*MAX(inputs!$H$14:$H$16))/F673,((0.0083*0.112*inputs!$C$7/1)*(3*60*379*((F673/1000)^0.8))*MAX(inputs!$H$14:$H$16))/F673))*(inputs!E$75/inputs!$E$73)</f>
        <v>2.3828801836762302E-2</v>
      </c>
      <c r="T673" s="63">
        <f>IF((((inputs!$P$12/(V673/MAX(K673:S673)))^(1/inputs!$O$12))-1)/inputs!$N$12&lt;0, 0, IF((((inputs!$P$12/(V673/MAX(K673:S673)))^(1/inputs!$O$12))-1)/inputs!$N$12&gt;inputs!$H$17, inputs!$H$17, (((inputs!$P$12/(V673/MAX(K673:S673)))^(1/inputs!$O$12))-1)/inputs!$N$12))</f>
        <v>32.766143403972009</v>
      </c>
      <c r="U673" s="63">
        <f>IF((((inputs!$P$12/(X673/MAX(K673:S673)))^(1/inputs!$O$12))-1)/inputs!$N$12&lt;0, 0, IF((((inputs!$P$12/(X673/MAX(K673:S673)))^(1/inputs!$O$12))-1)/inputs!$N$12&gt;inputs!$H$17, inputs!$H$17, (((inputs!$P$12/(X673/MAX(K673:S673)))^(1/inputs!$O$12))-1)/inputs!$N$12))</f>
        <v>0</v>
      </c>
      <c r="V673" s="54">
        <f>inputs!$E$70*(inputs!$F$70/F673)^(0.25)</f>
        <v>2.6019709711512422</v>
      </c>
      <c r="W673" s="54">
        <f>inputs!$E$76*(inputs!$F$76/F673)^(0.25)</f>
        <v>0.78262379212492639</v>
      </c>
      <c r="X673" s="54">
        <f>inputs!$E$72*(inputs!$F$72/F673)^(0.25)</f>
        <v>114.79283696255482</v>
      </c>
      <c r="Y673" s="54" t="s">
        <v>13</v>
      </c>
      <c r="Z673" s="106">
        <f t="shared" si="83"/>
        <v>13.78789994156879</v>
      </c>
      <c r="AA673" s="106">
        <f t="shared" si="84"/>
        <v>45.840307644740292</v>
      </c>
    </row>
    <row r="674" spans="1:27" x14ac:dyDescent="0.25">
      <c r="A674" s="55" t="s">
        <v>530</v>
      </c>
      <c r="B674" s="49" t="s">
        <v>531</v>
      </c>
      <c r="C674" s="21" t="s">
        <v>61</v>
      </c>
      <c r="D674" s="20" t="s">
        <v>443</v>
      </c>
      <c r="E674" s="20">
        <v>29</v>
      </c>
      <c r="F674" s="21">
        <v>14</v>
      </c>
      <c r="G674" s="21" t="s">
        <v>218</v>
      </c>
      <c r="H674" s="21">
        <v>0.68</v>
      </c>
      <c r="I674" s="48">
        <f>MAX('Min rate concentrations'!$K$3:$K$368)</f>
        <v>18.333393099490852</v>
      </c>
      <c r="J674" s="48">
        <f>MAX('Min rate concentrations'!AC:AC)</f>
        <v>6.4930767227363431</v>
      </c>
      <c r="K674" s="60">
        <f t="shared" si="86"/>
        <v>11.258295638026096</v>
      </c>
      <c r="L674" s="60">
        <f t="shared" si="87"/>
        <v>3.9873130384675757</v>
      </c>
      <c r="M674" s="60">
        <f>IF((((0.326*F674^0.818)-(0.398*F674^0.85)/(1-H674)*H674)*(MAX('Min rate concentrations'!$P$3:$P$368)))/F674&gt;0, (((0.326*F674^0.818)-(0.398*F674^0.85)/(1-H674)*H674)*(MAX('Min rate concentrations'!$P$3:$P$368)))/F674, 0)</f>
        <v>0</v>
      </c>
      <c r="N674" s="60">
        <f>IF((((0.326*F674^0.818)-(0.398*F674^0.85)/(1-H674)*H674)*(MAX('Min rate concentrations'!$Q$3:$Q$368)))/F674&gt; 0, (((0.326*F674^0.818)-(0.398*F674^0.85)/(1-H674)*H674)*(MAX('Min rate concentrations'!$Q$3:$Q$368)))/F674, 0)</f>
        <v>0</v>
      </c>
      <c r="O674" s="60">
        <f>((MAX('Min rate concentrations'!$F$3:$F$368))*0.62*6.01*8*(12.3*F674^0.65)*0.079*0.1/F674)*inputs!$E$73/inputs!$E$74</f>
        <v>17.915346571104685</v>
      </c>
      <c r="P674" s="60">
        <f>((MAX('Min rate concentrations'!Y:Y))*0.62*6.01*8*(12.3*F674^0.65)*0.079*0.1/F674)*inputs!$E$73/inputs!$E$74</f>
        <v>5.9717821903682262</v>
      </c>
      <c r="Q674" s="60">
        <f>(inputs!$C$7*11.2*(12.3*F674^0.65)*0.5/F674)*inputs!$E$73/inputs!$E$74</f>
        <v>3.1557037993690318</v>
      </c>
      <c r="R674" s="60">
        <f>(60*379*((F674/1000)^0.8)*3*24*(MAX('Min rate concentrations'!$R$3:$R$368))/F674)*(inputs!$E$73/inputs!$E$75)</f>
        <v>4.3206774944047777E-3</v>
      </c>
      <c r="S674" s="60">
        <f>(IF(inputs!$C$6="aerial",((0.025*0.112*inputs!$C$7/3.3)*(3*60*379*((F674/1000)^0.8))*MAX(inputs!$H$14:$H$16))/F674,((0.0083*0.112*inputs!$C$7/1)*(3*60*379*((F674/1000)^0.8))*MAX(inputs!$H$14:$H$16))/F674))*(inputs!E$75/inputs!$E$73)</f>
        <v>2.3828801836762302E-2</v>
      </c>
      <c r="T674" s="63">
        <f>IF((((inputs!$P$12/(V674/MAX(K674:S674)))^(1/inputs!$O$12))-1)/inputs!$N$12&lt;0, 0, IF((((inputs!$P$12/(V674/MAX(K674:S674)))^(1/inputs!$O$12))-1)/inputs!$N$12&gt;inputs!$H$17, inputs!$H$17, (((inputs!$P$12/(V674/MAX(K674:S674)))^(1/inputs!$O$12))-1)/inputs!$N$12))</f>
        <v>17.693641082264513</v>
      </c>
      <c r="U674" s="63">
        <f>IF((((inputs!$P$12/(X674/MAX(K674:S674)))^(1/inputs!$O$12))-1)/inputs!$N$12&lt;0, 0, IF((((inputs!$P$12/(X674/MAX(K674:S674)))^(1/inputs!$O$12))-1)/inputs!$N$12&gt;inputs!$H$17, inputs!$H$17, (((inputs!$P$12/(X674/MAX(K674:S674)))^(1/inputs!$O$12))-1)/inputs!$N$12))</f>
        <v>0</v>
      </c>
      <c r="V674" s="54">
        <f>inputs!$E$70*(inputs!$F$70/F674)^(0.25)</f>
        <v>2.6019709711512422</v>
      </c>
      <c r="W674" s="54">
        <f>inputs!$E$76*(inputs!$F$76/F674)^(0.25)</f>
        <v>0.78262379212492639</v>
      </c>
      <c r="X674" s="54">
        <f>inputs!$E$72*(inputs!$F$72/F674)^(0.25)</f>
        <v>114.79283696255482</v>
      </c>
      <c r="Y674" s="54" t="s">
        <v>13</v>
      </c>
      <c r="Z674" s="106">
        <f t="shared" si="83"/>
        <v>6.8852984025329222</v>
      </c>
      <c r="AA674" s="106">
        <f t="shared" si="84"/>
        <v>22.891390156261625</v>
      </c>
    </row>
    <row r="675" spans="1:27" x14ac:dyDescent="0.25">
      <c r="A675" s="55" t="s">
        <v>530</v>
      </c>
      <c r="B675" s="49" t="s">
        <v>531</v>
      </c>
      <c r="C675" s="21" t="s">
        <v>61</v>
      </c>
      <c r="D675" s="20" t="s">
        <v>443</v>
      </c>
      <c r="E675" s="20">
        <v>29</v>
      </c>
      <c r="F675" s="21">
        <v>14</v>
      </c>
      <c r="G675" s="21" t="s">
        <v>186</v>
      </c>
      <c r="H675" s="21">
        <v>0.75</v>
      </c>
      <c r="I675" s="48">
        <f>inputs!$C$65*inputs!$C$64/1000</f>
        <v>2.13</v>
      </c>
      <c r="J675" s="48">
        <f>inputs!$C$65*inputs!$C$63/1000</f>
        <v>0.88</v>
      </c>
      <c r="K675" s="60">
        <f t="shared" si="86"/>
        <v>1.6742463907767726</v>
      </c>
      <c r="L675" s="60">
        <f t="shared" si="87"/>
        <v>0.6917074290533145</v>
      </c>
      <c r="M675" s="60">
        <f>IF((((0.326*F675^0.818)-(0.398*F675^0.85)/(1-H675)*H675)*(MAX('Min rate concentrations'!$P$3:$P$368)))/F675&gt;0, (((0.326*F675^0.818)-(0.398*F675^0.85)/(1-H675)*H675)*(MAX('Min rate concentrations'!$P$3:$P$368)))/F675, 0)</f>
        <v>0</v>
      </c>
      <c r="N675" s="60">
        <f>IF((((0.326*F675^0.818)-(0.398*F675^0.85)/(1-H675)*H675)*(MAX('Min rate concentrations'!$Q$3:$Q$368)))/F675&gt; 0, (((0.326*F675^0.818)-(0.398*F675^0.85)/(1-H675)*H675)*(MAX('Min rate concentrations'!$Q$3:$Q$368)))/F675, 0)</f>
        <v>0</v>
      </c>
      <c r="O675" s="60">
        <f>((MAX('Min rate concentrations'!$F$3:$F$368))*0.62*6.01*8*(12.3*F675^0.65)*0.079*0.1/F675)*inputs!$E$73/inputs!$E$74</f>
        <v>17.915346571104685</v>
      </c>
      <c r="P675" s="60">
        <f>((MAX('Min rate concentrations'!Y:Y))*0.62*6.01*8*(12.3*F675^0.65)*0.079*0.1/F675)*inputs!$E$73/inputs!$E$74</f>
        <v>5.9717821903682262</v>
      </c>
      <c r="Q675" s="60">
        <f>(inputs!$C$7*11.2*(12.3*F675^0.65)*0.5/F675)*inputs!$E$73/inputs!$E$74</f>
        <v>3.1557037993690318</v>
      </c>
      <c r="R675" s="60">
        <f>(60*379*((F675/1000)^0.8)*3*24*(MAX('Min rate concentrations'!$R$3:$R$368))/F675)*(inputs!$E$73/inputs!$E$75)</f>
        <v>4.3206774944047777E-3</v>
      </c>
      <c r="S675" s="60">
        <f>(IF(inputs!$C$6="aerial",((0.025*0.112*inputs!$C$7/3.3)*(3*60*379*((F675/1000)^0.8))*MAX(inputs!$H$14:$H$16))/F675,((0.0083*0.112*inputs!$C$7/1)*(3*60*379*((F675/1000)^0.8))*MAX(inputs!$H$14:$H$16))/F675))*(inputs!E$75/inputs!$E$73)</f>
        <v>2.3828801836762302E-2</v>
      </c>
      <c r="T675" s="63">
        <f>IF((((inputs!$P$12/(V675/MAX(K675:S675)))^(1/inputs!$O$12))-1)/inputs!$N$12&lt;0, 0, IF((((inputs!$P$12/(V675/MAX(K675:S675)))^(1/inputs!$O$12))-1)/inputs!$N$12&gt;inputs!$H$17, inputs!$H$17, (((inputs!$P$12/(V675/MAX(K675:S675)))^(1/inputs!$O$12))-1)/inputs!$N$12))</f>
        <v>17.693641082264513</v>
      </c>
      <c r="U675" s="63">
        <f>IF((((inputs!$P$12/(X675/MAX(K675:S675)))^(1/inputs!$O$12))-1)/inputs!$N$12&lt;0, 0, IF((((inputs!$P$12/(X675/MAX(K675:S675)))^(1/inputs!$O$12))-1)/inputs!$N$12&gt;inputs!$H$17, inputs!$H$17, (((inputs!$P$12/(X675/MAX(K675:S675)))^(1/inputs!$O$12))-1)/inputs!$N$12))</f>
        <v>0</v>
      </c>
      <c r="V675" s="54">
        <f>inputs!$E$70*(inputs!$F$70/F675)^(0.25)</f>
        <v>2.6019709711512422</v>
      </c>
      <c r="W675" s="54">
        <f>inputs!$E$76*(inputs!$F$76/F675)^(0.25)</f>
        <v>0.78262379212492639</v>
      </c>
      <c r="X675" s="54">
        <f>inputs!$E$72*(inputs!$F$72/F675)^(0.25)</f>
        <v>114.79283696255482</v>
      </c>
      <c r="Y675" s="54" t="s">
        <v>13</v>
      </c>
      <c r="Z675" s="106">
        <f t="shared" si="83"/>
        <v>6.8852984025329222</v>
      </c>
      <c r="AA675" s="106">
        <f t="shared" si="84"/>
        <v>22.891390156261625</v>
      </c>
    </row>
    <row r="676" spans="1:27" x14ac:dyDescent="0.25">
      <c r="A676" s="55" t="s">
        <v>530</v>
      </c>
      <c r="B676" s="49" t="s">
        <v>531</v>
      </c>
      <c r="C676" s="21" t="s">
        <v>61</v>
      </c>
      <c r="D676" s="20" t="s">
        <v>443</v>
      </c>
      <c r="E676" s="20">
        <v>29</v>
      </c>
      <c r="F676" s="21">
        <v>14</v>
      </c>
      <c r="G676" s="21" t="s">
        <v>456</v>
      </c>
      <c r="H676" s="21">
        <v>0.68</v>
      </c>
      <c r="I676" s="48">
        <f>MAX('Min rate concentrations'!$J$3:$J$368)</f>
        <v>114.4108103430513</v>
      </c>
      <c r="J676" s="48">
        <f>MAX('Min rate concentrations'!AB:AB)</f>
        <v>40.520495329830666</v>
      </c>
      <c r="K676" s="60">
        <f t="shared" si="86"/>
        <v>70.258174252750692</v>
      </c>
      <c r="L676" s="60">
        <f t="shared" si="87"/>
        <v>24.883103381182536</v>
      </c>
      <c r="M676" s="60">
        <f>IF((((0.326*F676^0.818)-(0.398*F676^0.85)/(1-H676)*H676)*(MAX('Min rate concentrations'!$P$3:$P$368)))/F676&gt;0, (((0.326*F676^0.818)-(0.398*F676^0.85)/(1-H676)*H676)*(MAX('Min rate concentrations'!$P$3:$P$368)))/F676, 0)</f>
        <v>0</v>
      </c>
      <c r="N676" s="60">
        <f>IF((((0.326*F676^0.818)-(0.398*F676^0.85)/(1-H676)*H676)*(MAX('Min rate concentrations'!$Q$3:$Q$368)))/F676&gt; 0, (((0.326*F676^0.818)-(0.398*F676^0.85)/(1-H676)*H676)*(MAX('Min rate concentrations'!$Q$3:$Q$368)))/F676, 0)</f>
        <v>0</v>
      </c>
      <c r="O676" s="60">
        <f>((MAX('Min rate concentrations'!$F$3:$F$368))*0.62*6.01*8*(12.3*F676^0.65)*0.079*0.1/F676)*inputs!$E$73/inputs!$E$74</f>
        <v>17.915346571104685</v>
      </c>
      <c r="P676" s="60">
        <f>((MAX('Min rate concentrations'!Y:Y))*0.62*6.01*8*(12.3*F676^0.65)*0.079*0.1/F676)*inputs!$E$73/inputs!$E$74</f>
        <v>5.9717821903682262</v>
      </c>
      <c r="Q676" s="60">
        <f>(inputs!$C$7*11.2*(12.3*F676^0.65)*0.5/F676)*inputs!$E$73/inputs!$E$74</f>
        <v>3.1557037993690318</v>
      </c>
      <c r="R676" s="60">
        <f>(60*379*((F676/1000)^0.8)*3*24*(MAX('Min rate concentrations'!$R$3:$R$368))/F676)*(inputs!$E$73/inputs!$E$75)</f>
        <v>4.3206774944047777E-3</v>
      </c>
      <c r="S676" s="60">
        <f>(IF(inputs!$C$6="aerial",((0.025*0.112*inputs!$C$7/3.3)*(3*60*379*((F676/1000)^0.8))*MAX(inputs!$H$14:$H$16))/F676,((0.0083*0.112*inputs!$C$7/1)*(3*60*379*((F676/1000)^0.8))*MAX(inputs!$H$14:$H$16))/F676))*(inputs!E$75/inputs!$E$73)</f>
        <v>2.3828801836762302E-2</v>
      </c>
      <c r="T676" s="63">
        <f>IF((((inputs!$P$12/(V676/MAX(K676:S676)))^(1/inputs!$O$12))-1)/inputs!$N$12&lt;0, 0, IF((((inputs!$P$12/(V676/MAX(K676:S676)))^(1/inputs!$O$12))-1)/inputs!$N$12&gt;inputs!$H$17, inputs!$H$17, (((inputs!$P$12/(V676/MAX(K676:S676)))^(1/inputs!$O$12))-1)/inputs!$N$12))</f>
        <v>52.024535972543902</v>
      </c>
      <c r="U676" s="63">
        <f>IF((((inputs!$P$12/(X676/MAX(K676:S676)))^(1/inputs!$O$12))-1)/inputs!$N$12&lt;0, 0, IF((((inputs!$P$12/(X676/MAX(K676:S676)))^(1/inputs!$O$12))-1)/inputs!$N$12&gt;inputs!$H$17, inputs!$H$17, (((inputs!$P$12/(X676/MAX(K676:S676)))^(1/inputs!$O$12))-1)/inputs!$N$12))</f>
        <v>0</v>
      </c>
      <c r="V676" s="54">
        <f>inputs!$E$70*(inputs!$F$70/F676)^(0.25)</f>
        <v>2.6019709711512422</v>
      </c>
      <c r="W676" s="54">
        <f>inputs!$E$76*(inputs!$F$76/F676)^(0.25)</f>
        <v>0.78262379212492639</v>
      </c>
      <c r="X676" s="54">
        <f>inputs!$E$72*(inputs!$F$72/F676)^(0.25)</f>
        <v>114.79283696255482</v>
      </c>
      <c r="Y676" s="54" t="s">
        <v>13</v>
      </c>
      <c r="Z676" s="106">
        <f t="shared" si="83"/>
        <v>27.001905490769161</v>
      </c>
      <c r="AA676" s="106">
        <f t="shared" si="84"/>
        <v>89.772602059529163</v>
      </c>
    </row>
    <row r="677" spans="1:27" x14ac:dyDescent="0.25">
      <c r="A677" s="55" t="s">
        <v>530</v>
      </c>
      <c r="B677" s="49" t="s">
        <v>531</v>
      </c>
      <c r="C677" s="21" t="s">
        <v>61</v>
      </c>
      <c r="D677" s="20" t="s">
        <v>443</v>
      </c>
      <c r="E677" s="20">
        <v>29</v>
      </c>
      <c r="F677" s="21">
        <v>14</v>
      </c>
      <c r="G677" s="21" t="s">
        <v>145</v>
      </c>
      <c r="H677" s="21">
        <v>0.66</v>
      </c>
      <c r="I677" s="48">
        <f>MAX('Min rate concentrations'!$M$3:$M$368)</f>
        <v>2.8488184789681945</v>
      </c>
      <c r="J677" s="48">
        <f>MAX('Min rate concentrations'!AE:AE)</f>
        <v>1.9699276716269429</v>
      </c>
      <c r="K677" s="60">
        <f t="shared" si="86"/>
        <v>1.6465147943905951</v>
      </c>
      <c r="L677" s="60">
        <f t="shared" si="87"/>
        <v>1.1385474642062625</v>
      </c>
      <c r="M677" s="60">
        <f>IF((((0.326*F677^0.818)-(0.398*F677^0.85)/(1-H677)*H677)*(MAX('Min rate concentrations'!$P$3:$P$368)))/F677&gt;0, (((0.326*F677^0.818)-(0.398*F677^0.85)/(1-H677)*H677)*(MAX('Min rate concentrations'!$P$3:$P$368)))/F677, 0)</f>
        <v>0</v>
      </c>
      <c r="N677" s="60">
        <f>IF((((0.326*F677^0.818)-(0.398*F677^0.85)/(1-H677)*H677)*(MAX('Min rate concentrations'!$Q$3:$Q$368)))/F677&gt; 0, (((0.326*F677^0.818)-(0.398*F677^0.85)/(1-H677)*H677)*(MAX('Min rate concentrations'!$Q$3:$Q$368)))/F677, 0)</f>
        <v>0</v>
      </c>
      <c r="O677" s="60">
        <f>((MAX('Min rate concentrations'!$F$3:$F$368))*0.62*6.01*8*(12.3*F677^0.65)*0.079*0.1/F677)*inputs!$E$73/inputs!$E$74</f>
        <v>17.915346571104685</v>
      </c>
      <c r="P677" s="60">
        <f>((MAX('Min rate concentrations'!Y:Y))*0.62*6.01*8*(12.3*F677^0.65)*0.079*0.1/F677)*inputs!$E$73/inputs!$E$74</f>
        <v>5.9717821903682262</v>
      </c>
      <c r="Q677" s="60">
        <f>(inputs!$C$7*11.2*(12.3*F677^0.65)*0.5/F677)*inputs!$E$73/inputs!$E$74</f>
        <v>3.1557037993690318</v>
      </c>
      <c r="R677" s="60">
        <f>(60*379*((F677/1000)^0.8)*3*24*(MAX('Min rate concentrations'!$R$3:$R$368))/F677)*(inputs!$E$73/inputs!$E$75)</f>
        <v>4.3206774944047777E-3</v>
      </c>
      <c r="S677" s="60">
        <f>(IF(inputs!$C$6="aerial",((0.025*0.112*inputs!$C$7/3.3)*(3*60*379*((F677/1000)^0.8))*MAX(inputs!$H$14:$H$16))/F677,((0.0083*0.112*inputs!$C$7/1)*(3*60*379*((F677/1000)^0.8))*MAX(inputs!$H$14:$H$16))/F677))*(inputs!E$75/inputs!$E$73)</f>
        <v>2.3828801836762302E-2</v>
      </c>
      <c r="T677" s="63">
        <f>IF((((inputs!$P$12/(V677/MAX(K677:S677)))^(1/inputs!$O$12))-1)/inputs!$N$12&lt;0, 0, IF((((inputs!$P$12/(V677/MAX(K677:S677)))^(1/inputs!$O$12))-1)/inputs!$N$12&gt;inputs!$H$17, inputs!$H$17, (((inputs!$P$12/(V677/MAX(K677:S677)))^(1/inputs!$O$12))-1)/inputs!$N$12))</f>
        <v>17.693641082264513</v>
      </c>
      <c r="U677" s="63">
        <f>IF((((inputs!$P$12/(X677/MAX(K677:S677)))^(1/inputs!$O$12))-1)/inputs!$N$12&lt;0, 0, IF((((inputs!$P$12/(X677/MAX(K677:S677)))^(1/inputs!$O$12))-1)/inputs!$N$12&gt;inputs!$H$17, inputs!$H$17, (((inputs!$P$12/(X677/MAX(K677:S677)))^(1/inputs!$O$12))-1)/inputs!$N$12))</f>
        <v>0</v>
      </c>
      <c r="V677" s="54">
        <f>inputs!$E$70*(inputs!$F$70/F677)^(0.25)</f>
        <v>2.6019709711512422</v>
      </c>
      <c r="W677" s="54">
        <f>inputs!$E$76*(inputs!$F$76/F677)^(0.25)</f>
        <v>0.78262379212492639</v>
      </c>
      <c r="X677" s="54">
        <f>inputs!$E$72*(inputs!$F$72/F677)^(0.25)</f>
        <v>114.79283696255482</v>
      </c>
      <c r="Y677" s="54" t="s">
        <v>13</v>
      </c>
      <c r="Z677" s="106">
        <f t="shared" si="83"/>
        <v>6.8852984025329222</v>
      </c>
      <c r="AA677" s="106">
        <f t="shared" si="84"/>
        <v>22.891390156261625</v>
      </c>
    </row>
    <row r="678" spans="1:27" x14ac:dyDescent="0.25">
      <c r="A678" s="55" t="s">
        <v>523</v>
      </c>
      <c r="B678" s="49" t="s">
        <v>524</v>
      </c>
      <c r="C678" s="21" t="s">
        <v>61</v>
      </c>
      <c r="D678" s="20" t="s">
        <v>443</v>
      </c>
      <c r="E678" s="20">
        <v>62</v>
      </c>
      <c r="F678" s="21">
        <v>400</v>
      </c>
      <c r="G678" s="21" t="s">
        <v>152</v>
      </c>
      <c r="H678" s="21">
        <v>0.77</v>
      </c>
      <c r="I678" s="48">
        <f>MAX('Min rate concentrations'!$G$3:$G$368)</f>
        <v>7.5</v>
      </c>
      <c r="J678" s="48">
        <f>MAX('Min rate concentrations'!Z:Z)</f>
        <v>3.5</v>
      </c>
      <c r="K678" s="60">
        <f t="shared" si="86"/>
        <v>1.4856854541059159</v>
      </c>
      <c r="L678" s="60">
        <f t="shared" si="87"/>
        <v>0.69331987858276067</v>
      </c>
      <c r="M678" s="60">
        <f>IF((((0.326*F678^0.818)-(0.398*F678^0.85)/(1-H678)*H678)*(MAX('Min rate concentrations'!$P$3:$P$368)))/F678&gt;0, (((0.326*F678^0.818)-(0.398*F678^0.85)/(1-H678)*H678)*(MAX('Min rate concentrations'!$P$3:$P$368)))/F678, 0)</f>
        <v>0</v>
      </c>
      <c r="N678" s="60">
        <f>IF((((0.326*F678^0.818)-(0.398*F678^0.85)/(1-H678)*H678)*(MAX('Min rate concentrations'!$Q$3:$Q$368)))/F678&gt; 0, (((0.326*F678^0.818)-(0.398*F678^0.85)/(1-H678)*H678)*(MAX('Min rate concentrations'!$Q$3:$Q$368)))/F678, 0)</f>
        <v>0</v>
      </c>
      <c r="O678" s="60">
        <f>((MAX('Min rate concentrations'!$F$3:$F$368))*0.62*6.01*8*(12.3*F678^0.65)*0.079*0.1/F678)*inputs!$E$73/inputs!$E$74</f>
        <v>5.5417767910771119</v>
      </c>
      <c r="P678" s="60">
        <f>((MAX('Min rate concentrations'!Y:Y))*0.62*6.01*8*(12.3*F678^0.65)*0.079*0.1/F678)*inputs!$E$73/inputs!$E$74</f>
        <v>1.8472589303590372</v>
      </c>
      <c r="Q678" s="60">
        <f>(inputs!$C$7*11.2*(12.3*F678^0.65)*0.5/F678)*inputs!$E$73/inputs!$E$74</f>
        <v>0.97615784352525747</v>
      </c>
      <c r="R678" s="60">
        <f>(60*379*((F678/1000)^0.8)*3*24*(MAX('Min rate concentrations'!$R$3:$R$368))/F678)*(inputs!$E$73/inputs!$E$75)</f>
        <v>2.2098635551440382E-3</v>
      </c>
      <c r="S678" s="60">
        <f>(IF(inputs!$C$6="aerial",((0.025*0.112*inputs!$C$7/3.3)*(3*60*379*((F678/1000)^0.8))*MAX(inputs!$H$14:$H$16))/F678,((0.0083*0.112*inputs!$C$7/1)*(3*60*379*((F678/1000)^0.8))*MAX(inputs!$H$14:$H$16))/F678))*(inputs!E$75/inputs!$E$73)</f>
        <v>1.2187533276899816E-2</v>
      </c>
      <c r="T678" s="63">
        <f>IF((((inputs!$P$12/(V678/MAX(K678:S678)))^(1/inputs!$O$12))-1)/inputs!$N$12&lt;0, 0, IF((((inputs!$P$12/(V678/MAX(K678:S678)))^(1/inputs!$O$12))-1)/inputs!$N$12&gt;inputs!$H$17, inputs!$H$17, (((inputs!$P$12/(V678/MAX(K678:S678)))^(1/inputs!$O$12))-1)/inputs!$N$12))</f>
        <v>11.806766901282218</v>
      </c>
      <c r="U678" s="63">
        <f>IF((((inputs!$P$12/(X678/MAX(K678:S678)))^(1/inputs!$O$12))-1)/inputs!$N$12&lt;0, 0, IF((((inputs!$P$12/(X678/MAX(K678:S678)))^(1/inputs!$O$12))-1)/inputs!$N$12&gt;inputs!$H$17, inputs!$H$17, (((inputs!$P$12/(X678/MAX(K678:S678)))^(1/inputs!$O$12))-1)/inputs!$N$12))</f>
        <v>0</v>
      </c>
      <c r="V678" s="54">
        <f>inputs!$E$70*(inputs!$F$70/F678)^(0.25)</f>
        <v>1.1254325147137791</v>
      </c>
      <c r="W678" s="54">
        <f>inputs!$E$76*(inputs!$F$76/F678)^(0.25)</f>
        <v>0.33850887354684212</v>
      </c>
      <c r="X678" s="54">
        <f>inputs!$E$72*(inputs!$F$72/F678)^(0.25)</f>
        <v>49.651434472666729</v>
      </c>
      <c r="Y678" s="54" t="s">
        <v>13</v>
      </c>
      <c r="Z678" s="106">
        <f t="shared" si="83"/>
        <v>4.9241306951989925</v>
      </c>
      <c r="AA678" s="106">
        <f t="shared" si="84"/>
        <v>16.3711418640559</v>
      </c>
    </row>
    <row r="679" spans="1:27" ht="26.4" x14ac:dyDescent="0.25">
      <c r="A679" s="55" t="s">
        <v>523</v>
      </c>
      <c r="B679" s="49" t="s">
        <v>524</v>
      </c>
      <c r="C679" s="21" t="s">
        <v>61</v>
      </c>
      <c r="D679" s="20" t="s">
        <v>443</v>
      </c>
      <c r="E679" s="20">
        <v>62</v>
      </c>
      <c r="F679" s="21">
        <v>400</v>
      </c>
      <c r="G679" s="21" t="s">
        <v>525</v>
      </c>
      <c r="H679" s="21">
        <v>0.85</v>
      </c>
      <c r="I679" s="48">
        <f>MAX('Min rate concentrations'!$F$3:$F$368)</f>
        <v>67.5</v>
      </c>
      <c r="J679" s="48">
        <f>MAX('Min rate concentrations'!Y:Y)</f>
        <v>22.5</v>
      </c>
      <c r="K679" s="60">
        <f t="shared" si="86"/>
        <v>20.502459266661631</v>
      </c>
      <c r="L679" s="60"/>
      <c r="M679" s="60">
        <f>IF((((0.326*F679^0.818)-(0.398*F679^0.85)/(1-H679)*H679)*(MAX('Min rate concentrations'!$P$3:$P$368)))/F679&gt;0, (((0.326*F679^0.818)-(0.398*F679^0.85)/(1-H679)*H679)*(MAX('Min rate concentrations'!$P$3:$P$368)))/F679, 0)</f>
        <v>0</v>
      </c>
      <c r="N679" s="60">
        <f>IF((((0.326*F679^0.818)-(0.398*F679^0.85)/(1-H679)*H679)*(MAX('Min rate concentrations'!$Q$3:$Q$368)))/F679&gt; 0, (((0.326*F679^0.818)-(0.398*F679^0.85)/(1-H679)*H679)*(MAX('Min rate concentrations'!$Q$3:$Q$368)))/F679, 0)</f>
        <v>0</v>
      </c>
      <c r="O679" s="60">
        <f>((MAX('Min rate concentrations'!$F$3:$F$368))*0.62*6.01*8*(12.3*F679^0.65)*0.079*0.1/F679)*inputs!$E$73/inputs!$E$74</f>
        <v>5.5417767910771119</v>
      </c>
      <c r="P679" s="60"/>
      <c r="Q679" s="60">
        <f>(inputs!$C$7*11.2*(12.3*F679^0.65)*0.5/F679)*inputs!$E$73/inputs!$E$74</f>
        <v>0.97615784352525747</v>
      </c>
      <c r="R679" s="60">
        <f>(60*379*((F679/1000)^0.8)*3*24*(MAX('Min rate concentrations'!$R$3:$R$368))/F679)*(inputs!$E$73/inputs!$E$75)</f>
        <v>2.2098635551440382E-3</v>
      </c>
      <c r="S679" s="60">
        <f>(IF(inputs!$C$6="aerial",((0.025*0.112*inputs!$C$7/3.3)*(3*60*379*((F679/1000)^0.8))*MAX(inputs!$H$14:$H$16))/F679,((0.0083*0.112*inputs!$C$7/1)*(3*60*379*((F679/1000)^0.8))*MAX(inputs!$H$14:$H$16))/F679))*(inputs!E$75/inputs!$E$73)</f>
        <v>1.2187533276899816E-2</v>
      </c>
      <c r="T679" s="63">
        <f>IF((((inputs!$P$12/(V679/MAX(K679:S679)))^(1/inputs!$O$12))-1)/inputs!$N$12&lt;0, 0, IF((((inputs!$P$12/(V679/MAX(K679:S679)))^(1/inputs!$O$12))-1)/inputs!$N$12&gt;inputs!$H$17, inputs!$H$17, (((inputs!$P$12/(V679/MAX(K679:S679)))^(1/inputs!$O$12))-1)/inputs!$N$12))</f>
        <v>40.115659757290473</v>
      </c>
      <c r="U679" s="63">
        <f>IF((((inputs!$P$12/(X679/MAX(K679:S679)))^(1/inputs!$O$12))-1)/inputs!$N$12&lt;0, 0, IF((((inputs!$P$12/(X679/MAX(K679:S679)))^(1/inputs!$O$12))-1)/inputs!$N$12&gt;inputs!$H$17, inputs!$H$17, (((inputs!$P$12/(X679/MAX(K679:S679)))^(1/inputs!$O$12))-1)/inputs!$N$12))</f>
        <v>0</v>
      </c>
      <c r="V679" s="54">
        <f>inputs!$E$70*(inputs!$F$70/F679)^(0.25)</f>
        <v>1.1254325147137791</v>
      </c>
      <c r="W679" s="54">
        <f>inputs!$E$76*(inputs!$F$76/F679)^(0.25)</f>
        <v>0.33850887354684212</v>
      </c>
      <c r="X679" s="54">
        <f>inputs!$E$72*(inputs!$F$72/F679)^(0.25)</f>
        <v>49.651434472666729</v>
      </c>
      <c r="Y679" s="54" t="s">
        <v>13</v>
      </c>
      <c r="Z679" s="106">
        <f t="shared" si="83"/>
        <v>18.217404418847657</v>
      </c>
      <c r="AA679" s="106">
        <f t="shared" si="84"/>
        <v>60.56697731979704</v>
      </c>
    </row>
    <row r="680" spans="1:27" x14ac:dyDescent="0.25">
      <c r="A680" s="55" t="s">
        <v>582</v>
      </c>
      <c r="B680" s="49" t="s">
        <v>583</v>
      </c>
      <c r="C680" s="21" t="s">
        <v>61</v>
      </c>
      <c r="D680" s="20" t="s">
        <v>443</v>
      </c>
      <c r="E680" s="20">
        <v>3194</v>
      </c>
      <c r="F680" s="21">
        <v>75</v>
      </c>
      <c r="G680" s="21" t="s">
        <v>177</v>
      </c>
      <c r="H680" s="21">
        <v>0.85</v>
      </c>
      <c r="I680" s="48">
        <f>MAX('Min rate concentrations'!$F$3:$F$368)</f>
        <v>67.5</v>
      </c>
      <c r="J680" s="48">
        <f>MAX('Min rate concentrations'!Y:Y)</f>
        <v>22.5</v>
      </c>
      <c r="K680" s="60">
        <f t="shared" si="86"/>
        <v>42.538032929594046</v>
      </c>
      <c r="L680" s="60">
        <f>(((0.621*F680^0.564)/(1-H680)))*J680/F680</f>
        <v>14.179344309864682</v>
      </c>
      <c r="M680" s="60">
        <f>IF((((0.326*F680^0.818)-(0.398*F680^0.85)/(1-H680)*H680)*(MAX('Min rate concentrations'!$P$3:$P$368)))/F680&gt;0, (((0.326*F680^0.818)-(0.398*F680^0.85)/(1-H680)*H680)*(MAX('Min rate concentrations'!$P$3:$P$368)))/F680, 0)</f>
        <v>0</v>
      </c>
      <c r="N680" s="60">
        <f>IF((((0.326*F680^0.818)-(0.398*F680^0.85)/(1-H680)*H680)*(MAX('Min rate concentrations'!$Q$3:$Q$368)))/F680&gt; 0, (((0.326*F680^0.818)-(0.398*F680^0.85)/(1-H680)*H680)*(MAX('Min rate concentrations'!$Q$3:$Q$368)))/F680, 0)</f>
        <v>0</v>
      </c>
      <c r="O680" s="60">
        <f>((MAX('Min rate concentrations'!$F$3:$F$368))*0.62*6.01*8*(12.3*F680^0.65)*0.079*0.1/F680)*inputs!$E$73/inputs!$E$74</f>
        <v>9.9563139872749549</v>
      </c>
      <c r="P680" s="60">
        <f>((MAX('Min rate concentrations'!Y:Y))*0.62*6.01*8*(12.3*F680^0.65)*0.079*0.1/F680)*inputs!$E$73/inputs!$E$74</f>
        <v>3.3187713290916498</v>
      </c>
      <c r="Q680" s="60">
        <f>(inputs!$C$7*11.2*(12.3*F680^0.65)*0.5/F680)*inputs!$E$73/inputs!$E$74</f>
        <v>1.7537577491261036</v>
      </c>
      <c r="R680" s="60">
        <f>(60*379*((F680/1000)^0.8)*3*24*(MAX('Min rate concentrations'!$R$3:$R$368))/F680)*(inputs!$E$73/inputs!$E$75)</f>
        <v>3.0886251622392535E-3</v>
      </c>
      <c r="S680" s="60">
        <f>(IF(inputs!$C$6="aerial",((0.025*0.112*inputs!$C$7/3.3)*(3*60*379*((F680/1000)^0.8))*MAX(inputs!$H$14:$H$16))/F680,((0.0083*0.112*inputs!$C$7/1)*(3*60*379*((F680/1000)^0.8))*MAX(inputs!$H$14:$H$16))/F680))*(inputs!E$75/inputs!$E$73)</f>
        <v>1.7033957529657275E-2</v>
      </c>
      <c r="T680" s="63">
        <f>IF((((inputs!$P$12/(V680/MAX(K680:S680)))^(1/inputs!$O$12))-1)/inputs!$N$12&lt;0, 0, IF((((inputs!$P$12/(V680/MAX(K680:S680)))^(1/inputs!$O$12))-1)/inputs!$N$12&gt;inputs!$H$17, inputs!$H$17, (((inputs!$P$12/(V680/MAX(K680:S680)))^(1/inputs!$O$12))-1)/inputs!$N$12))</f>
        <v>49.378079505649872</v>
      </c>
      <c r="U680" s="63">
        <f>IF((((inputs!$P$12/(X680/MAX(K680:S680)))^(1/inputs!$O$12))-1)/inputs!$N$12&lt;0, 0, IF((((inputs!$P$12/(X680/MAX(K680:S680)))^(1/inputs!$O$12))-1)/inputs!$N$12&gt;inputs!$H$17, inputs!$H$17, (((inputs!$P$12/(X680/MAX(K680:S680)))^(1/inputs!$O$12))-1)/inputs!$N$12))</f>
        <v>0</v>
      </c>
      <c r="V680" s="54">
        <f>inputs!$E$70*(inputs!$F$70/F680)^(0.25)</f>
        <v>1.7102875729442808</v>
      </c>
      <c r="W680" s="54">
        <f>inputs!$E$76*(inputs!$F$76/F680)^(0.25)</f>
        <v>0.51442224406122605</v>
      </c>
      <c r="X680" s="54">
        <f>inputs!$E$72*(inputs!$F$72/F680)^(0.25)</f>
        <v>75.453863512247679</v>
      </c>
      <c r="Y680" s="54" t="s">
        <v>13</v>
      </c>
      <c r="Z680" s="106">
        <f t="shared" si="83"/>
        <v>24.87185991556046</v>
      </c>
      <c r="AA680" s="106">
        <f t="shared" si="84"/>
        <v>82.690889479754318</v>
      </c>
    </row>
    <row r="681" spans="1:27" x14ac:dyDescent="0.25">
      <c r="A681" s="55" t="s">
        <v>561</v>
      </c>
      <c r="B681" s="49" t="s">
        <v>562</v>
      </c>
      <c r="C681" s="21" t="s">
        <v>61</v>
      </c>
      <c r="D681" s="20" t="s">
        <v>443</v>
      </c>
      <c r="E681" s="20">
        <v>17</v>
      </c>
      <c r="F681" s="21">
        <v>7.6</v>
      </c>
      <c r="G681" s="21" t="s">
        <v>142</v>
      </c>
      <c r="H681" s="21">
        <v>0.69</v>
      </c>
      <c r="I681" s="48">
        <f>MAX('Min rate concentrations'!$H$3:$H$368)</f>
        <v>47</v>
      </c>
      <c r="J681" s="48">
        <f>MAX('Min rate concentrations'!AA:AA)</f>
        <v>32.5</v>
      </c>
      <c r="K681" s="60">
        <f t="shared" si="86"/>
        <v>38.885979066554825</v>
      </c>
      <c r="L681" s="60">
        <f>(((0.621*F681^0.564)/(1-H681)))*J681/F681</f>
        <v>26.889240843894292</v>
      </c>
      <c r="M681" s="60">
        <f>IF((((0.326*F681^0.818)-(0.398*F681^0.85)/(1-H681)*H681)*(MAX('Min rate concentrations'!$P$3:$P$368)))/F681&gt;0, (((0.326*F681^0.818)-(0.398*F681^0.85)/(1-H681)*H681)*(MAX('Min rate concentrations'!$P$3:$P$368)))/F681, 0)</f>
        <v>0</v>
      </c>
      <c r="N681" s="60">
        <f>IF((((0.326*F681^0.818)-(0.398*F681^0.85)/(1-H681)*H681)*(MAX('Min rate concentrations'!$Q$3:$Q$368)))/F681&gt; 0, (((0.326*F681^0.818)-(0.398*F681^0.85)/(1-H681)*H681)*(MAX('Min rate concentrations'!$Q$3:$Q$368)))/F681, 0)</f>
        <v>0</v>
      </c>
      <c r="O681" s="60">
        <f>((MAX('Min rate concentrations'!$F$3:$F$368))*0.62*6.01*8*(12.3*F681^0.65)*0.079*0.1/F681)*inputs!$E$73/inputs!$E$74</f>
        <v>22.186319821691836</v>
      </c>
      <c r="P681" s="60">
        <f>((MAX('Min rate concentrations'!Y:Y))*0.62*6.01*8*(12.3*F681^0.65)*0.079*0.1/F681)*inputs!$E$73/inputs!$E$74</f>
        <v>7.3954399405639446</v>
      </c>
      <c r="Q681" s="60">
        <f>(inputs!$C$7*11.2*(12.3*F681^0.65)*0.5/F681)*inputs!$E$73/inputs!$E$74</f>
        <v>3.9080155930811151</v>
      </c>
      <c r="R681" s="60">
        <f>(60*379*((F681/1000)^0.8)*3*24*(MAX('Min rate concentrations'!$R$3:$R$368))/F681)*(inputs!$E$73/inputs!$E$75)</f>
        <v>4.8821907037359859E-3</v>
      </c>
      <c r="S681" s="60">
        <f>(IF(inputs!$C$6="aerial",((0.025*0.112*inputs!$C$7/3.3)*(3*60*379*((F681/1000)^0.8))*MAX(inputs!$H$14:$H$16))/F681,((0.0083*0.112*inputs!$C$7/1)*(3*60*379*((F681/1000)^0.8))*MAX(inputs!$H$14:$H$16))/F681))*(inputs!E$75/inputs!$E$73)</f>
        <v>2.6925581684646104E-2</v>
      </c>
      <c r="T681" s="63">
        <f>IF((((inputs!$P$12/(V681/MAX(K681:S681)))^(1/inputs!$O$12))-1)/inputs!$N$12&lt;0, 0, IF((((inputs!$P$12/(V681/MAX(K681:S681)))^(1/inputs!$O$12))-1)/inputs!$N$12&gt;inputs!$H$17, inputs!$H$17, (((inputs!$P$12/(V681/MAX(K681:S681)))^(1/inputs!$O$12))-1)/inputs!$N$12))</f>
        <v>30.994541951626747</v>
      </c>
      <c r="U681" s="63">
        <f>IF((((inputs!$P$12/(X681/MAX(K681:S681)))^(1/inputs!$O$12))-1)/inputs!$N$12&lt;0, 0, IF((((inputs!$P$12/(X681/MAX(K681:S681)))^(1/inputs!$O$12))-1)/inputs!$N$12&gt;inputs!$H$17, inputs!$H$17, (((inputs!$P$12/(X681/MAX(K681:S681)))^(1/inputs!$O$12))-1)/inputs!$N$12))</f>
        <v>0</v>
      </c>
      <c r="V681" s="54">
        <f>inputs!$E$70*(inputs!$F$70/F681)^(0.25)</f>
        <v>3.0313149256603005</v>
      </c>
      <c r="W681" s="54">
        <f>inputs!$E$76*(inputs!$F$76/F681)^(0.25)</f>
        <v>0.91176235574814801</v>
      </c>
      <c r="X681" s="54">
        <f>inputs!$E$72*(inputs!$F$72/F681)^(0.25)</f>
        <v>133.73448201442503</v>
      </c>
      <c r="Y681" s="54" t="s">
        <v>13</v>
      </c>
      <c r="Z681" s="106">
        <f t="shared" si="83"/>
        <v>12.828089466185844</v>
      </c>
      <c r="AA681" s="106">
        <f t="shared" si="84"/>
        <v>42.649248262335718</v>
      </c>
    </row>
    <row r="682" spans="1:27" x14ac:dyDescent="0.25">
      <c r="A682" s="55" t="s">
        <v>561</v>
      </c>
      <c r="B682" s="49" t="s">
        <v>562</v>
      </c>
      <c r="C682" s="21" t="s">
        <v>61</v>
      </c>
      <c r="D682" s="20" t="s">
        <v>443</v>
      </c>
      <c r="E682" s="20">
        <v>17</v>
      </c>
      <c r="F682" s="21">
        <v>7.6</v>
      </c>
      <c r="G682" s="21" t="s">
        <v>169</v>
      </c>
      <c r="H682" s="21">
        <v>0.79</v>
      </c>
      <c r="I682" s="48">
        <f>MAX('Min rate concentrations'!$D$3:$D$368)</f>
        <v>120</v>
      </c>
      <c r="J682" s="48">
        <f>MAX('Min rate concentrations'!W:W)</f>
        <v>42.5</v>
      </c>
      <c r="K682" s="60">
        <f t="shared" si="86"/>
        <v>146.56113690737993</v>
      </c>
      <c r="L682" s="60">
        <f>(((0.621*F682^0.564)/(1-H682)))*J682/F682</f>
        <v>51.907069321363728</v>
      </c>
      <c r="M682" s="60">
        <f>IF((((0.326*F682^0.818)-(0.398*F682^0.85)/(1-H682)*H682)*(MAX('Min rate concentrations'!$P$3:$P$368)))/F682&gt;0, (((0.326*F682^0.818)-(0.398*F682^0.85)/(1-H682)*H682)*(MAX('Min rate concentrations'!$P$3:$P$368)))/F682, 0)</f>
        <v>0</v>
      </c>
      <c r="N682" s="60">
        <f>IF((((0.326*F682^0.818)-(0.398*F682^0.85)/(1-H682)*H682)*(MAX('Min rate concentrations'!$Q$3:$Q$368)))/F682&gt; 0, (((0.326*F682^0.818)-(0.398*F682^0.85)/(1-H682)*H682)*(MAX('Min rate concentrations'!$Q$3:$Q$368)))/F682, 0)</f>
        <v>0</v>
      </c>
      <c r="O682" s="60">
        <f>((MAX('Min rate concentrations'!$F$3:$F$368))*0.62*6.01*8*(12.3*F682^0.65)*0.079*0.1/F682)*inputs!$E$73/inputs!$E$74</f>
        <v>22.186319821691836</v>
      </c>
      <c r="P682" s="60">
        <f>((MAX('Min rate concentrations'!Y:Y))*0.62*6.01*8*(12.3*F682^0.65)*0.079*0.1/F682)*inputs!$E$73/inputs!$E$74</f>
        <v>7.3954399405639446</v>
      </c>
      <c r="Q682" s="60">
        <f>(inputs!$C$7*11.2*(12.3*F682^0.65)*0.5/F682)*inputs!$E$73/inputs!$E$74</f>
        <v>3.9080155930811151</v>
      </c>
      <c r="R682" s="60">
        <f>(60*379*((F682/1000)^0.8)*3*24*(MAX('Min rate concentrations'!$R$3:$R$368))/F682)*(inputs!$E$73/inputs!$E$75)</f>
        <v>4.8821907037359859E-3</v>
      </c>
      <c r="S682" s="60">
        <f>(IF(inputs!$C$6="aerial",((0.025*0.112*inputs!$C$7/3.3)*(3*60*379*((F682/1000)^0.8))*MAX(inputs!$H$14:$H$16))/F682,((0.0083*0.112*inputs!$C$7/1)*(3*60*379*((F682/1000)^0.8))*MAX(inputs!$H$14:$H$16))/F682))*(inputs!E$75/inputs!$E$73)</f>
        <v>2.6925581684646104E-2</v>
      </c>
      <c r="T682" s="63">
        <f>IF((((inputs!$P$12/(V682/MAX(K682:S682)))^(1/inputs!$O$12))-1)/inputs!$N$12&lt;0, 0, IF((((inputs!$P$12/(V682/MAX(K682:S682)))^(1/inputs!$O$12))-1)/inputs!$N$12&gt;inputs!$H$17, inputs!$H$17, (((inputs!$P$12/(V682/MAX(K682:S682)))^(1/inputs!$O$12))-1)/inputs!$N$12))</f>
        <v>73.551237188988139</v>
      </c>
      <c r="U682" s="63">
        <f>IF((((inputs!$P$12/(X682/MAX(K682:S682)))^(1/inputs!$O$12))-1)/inputs!$N$12&lt;0, 0, IF((((inputs!$P$12/(X682/MAX(K682:S682)))^(1/inputs!$O$12))-1)/inputs!$N$12&gt;inputs!$H$17, inputs!$H$17, (((inputs!$P$12/(X682/MAX(K682:S682)))^(1/inputs!$O$12))-1)/inputs!$N$12))</f>
        <v>0</v>
      </c>
      <c r="V682" s="54">
        <f>inputs!$E$70*(inputs!$F$70/F682)^(0.25)</f>
        <v>3.0313149256603005</v>
      </c>
      <c r="W682" s="54">
        <f>inputs!$E$76*(inputs!$F$76/F682)^(0.25)</f>
        <v>0.91176235574814801</v>
      </c>
      <c r="X682" s="54">
        <f>inputs!$E$72*(inputs!$F$72/F682)^(0.25)</f>
        <v>133.73448201442503</v>
      </c>
      <c r="Y682" s="54" t="s">
        <v>13</v>
      </c>
      <c r="Z682" s="106">
        <f t="shared" si="83"/>
        <v>48.34903020690107</v>
      </c>
      <c r="AA682" s="106">
        <f t="shared" si="84"/>
        <v>160.74488706776995</v>
      </c>
    </row>
    <row r="683" spans="1:27" x14ac:dyDescent="0.25">
      <c r="A683" s="55" t="s">
        <v>561</v>
      </c>
      <c r="B683" s="49" t="s">
        <v>562</v>
      </c>
      <c r="C683" s="21" t="s">
        <v>61</v>
      </c>
      <c r="D683" s="20" t="s">
        <v>443</v>
      </c>
      <c r="E683" s="20">
        <v>17</v>
      </c>
      <c r="F683" s="21">
        <v>7.6</v>
      </c>
      <c r="G683" s="21" t="s">
        <v>177</v>
      </c>
      <c r="H683" s="21">
        <v>0.85</v>
      </c>
      <c r="I683" s="48">
        <f>MAX('Min rate concentrations'!$F$3:$F$368)</f>
        <v>67.5</v>
      </c>
      <c r="J683" s="48">
        <f>MAX('Min rate concentrations'!Y:Y)</f>
        <v>22.5</v>
      </c>
      <c r="K683" s="60">
        <f t="shared" si="86"/>
        <v>115.41689531456166</v>
      </c>
      <c r="L683" s="60">
        <f>(((0.621*F683^0.564)/(1-H683)))*J683/F683</f>
        <v>38.472298438187217</v>
      </c>
      <c r="M683" s="60">
        <f>IF((((0.326*F683^0.818)-(0.398*F683^0.85)/(1-H683)*H683)*(MAX('Min rate concentrations'!$P$3:$P$368)))/F683&gt;0, (((0.326*F683^0.818)-(0.398*F683^0.85)/(1-H683)*H683)*(MAX('Min rate concentrations'!$P$3:$P$368)))/F683, 0)</f>
        <v>0</v>
      </c>
      <c r="N683" s="60">
        <f>IF((((0.326*F683^0.818)-(0.398*F683^0.85)/(1-H683)*H683)*(MAX('Min rate concentrations'!$Q$3:$Q$368)))/F683&gt; 0, (((0.326*F683^0.818)-(0.398*F683^0.85)/(1-H683)*H683)*(MAX('Min rate concentrations'!$Q$3:$Q$368)))/F683, 0)</f>
        <v>0</v>
      </c>
      <c r="O683" s="60">
        <f>((MAX('Min rate concentrations'!$F$3:$F$368))*0.62*6.01*8*(12.3*F683^0.65)*0.079*0.1/F683)*inputs!$E$73/inputs!$E$74</f>
        <v>22.186319821691836</v>
      </c>
      <c r="P683" s="60">
        <f>((MAX('Min rate concentrations'!Y:Y))*0.62*6.01*8*(12.3*F683^0.65)*0.079*0.1/F683)*inputs!$E$73/inputs!$E$74</f>
        <v>7.3954399405639446</v>
      </c>
      <c r="Q683" s="60">
        <f>(inputs!$C$7*11.2*(12.3*F683^0.65)*0.5/F683)*inputs!$E$73/inputs!$E$74</f>
        <v>3.9080155930811151</v>
      </c>
      <c r="R683" s="60">
        <f>(60*379*((F683/1000)^0.8)*3*24*(MAX('Min rate concentrations'!$R$3:$R$368))/F683)*(inputs!$E$73/inputs!$E$75)</f>
        <v>4.8821907037359859E-3</v>
      </c>
      <c r="S683" s="60">
        <f>(IF(inputs!$C$6="aerial",((0.025*0.112*inputs!$C$7/3.3)*(3*60*379*((F683/1000)^0.8))*MAX(inputs!$H$14:$H$16))/F683,((0.0083*0.112*inputs!$C$7/1)*(3*60*379*((F683/1000)^0.8))*MAX(inputs!$H$14:$H$16))/F683))*(inputs!E$75/inputs!$E$73)</f>
        <v>2.6925581684646104E-2</v>
      </c>
      <c r="T683" s="63">
        <f>IF((((inputs!$P$12/(V683/MAX(K683:S683)))^(1/inputs!$O$12))-1)/inputs!$N$12&lt;0, 0, IF((((inputs!$P$12/(V683/MAX(K683:S683)))^(1/inputs!$O$12))-1)/inputs!$N$12&gt;inputs!$H$17, inputs!$H$17, (((inputs!$P$12/(V683/MAX(K683:S683)))^(1/inputs!$O$12))-1)/inputs!$N$12))</f>
        <v>64.102779162971814</v>
      </c>
      <c r="U683" s="63">
        <f>IF((((inputs!$P$12/(X683/MAX(K683:S683)))^(1/inputs!$O$12))-1)/inputs!$N$12&lt;0, 0, IF((((inputs!$P$12/(X683/MAX(K683:S683)))^(1/inputs!$O$12))-1)/inputs!$N$12&gt;inputs!$H$17, inputs!$H$17, (((inputs!$P$12/(X683/MAX(K683:S683)))^(1/inputs!$O$12))-1)/inputs!$N$12))</f>
        <v>0</v>
      </c>
      <c r="V683" s="54">
        <f>inputs!$E$70*(inputs!$F$70/F683)^(0.25)</f>
        <v>3.0313149256603005</v>
      </c>
      <c r="W683" s="54">
        <f>inputs!$E$76*(inputs!$F$76/F683)^(0.25)</f>
        <v>0.91176235574814801</v>
      </c>
      <c r="X683" s="54">
        <f>inputs!$E$72*(inputs!$F$72/F683)^(0.25)</f>
        <v>133.73448201442503</v>
      </c>
      <c r="Y683" s="54" t="s">
        <v>13</v>
      </c>
      <c r="Z683" s="106">
        <f t="shared" si="83"/>
        <v>38.074861287934574</v>
      </c>
      <c r="AA683" s="106">
        <f t="shared" si="84"/>
        <v>126.58659856586878</v>
      </c>
    </row>
    <row r="684" spans="1:27" x14ac:dyDescent="0.25">
      <c r="A684" s="55" t="s">
        <v>561</v>
      </c>
      <c r="B684" s="49" t="s">
        <v>562</v>
      </c>
      <c r="C684" s="21" t="s">
        <v>61</v>
      </c>
      <c r="D684" s="20" t="s">
        <v>443</v>
      </c>
      <c r="E684" s="20">
        <v>17</v>
      </c>
      <c r="F684" s="21">
        <v>7.6</v>
      </c>
      <c r="G684" s="21" t="s">
        <v>154</v>
      </c>
      <c r="H684" s="21">
        <v>9.2999999999999999E-2</v>
      </c>
      <c r="I684" s="48">
        <f>MAX('Min rate concentrations'!$G$3:$G$368)</f>
        <v>7.5</v>
      </c>
      <c r="J684" s="48">
        <f>MAX('Min rate concentrations'!Z:Z)</f>
        <v>3.5</v>
      </c>
      <c r="K684" s="60">
        <f t="shared" si="86"/>
        <v>2.1208543791723939</v>
      </c>
      <c r="L684" s="60"/>
      <c r="M684" s="60">
        <f>IF((((0.326*F684^0.818)-(0.398*F684^0.85)/(1-H684)*H684)*(MAX('Min rate concentrations'!$P$3:$P$368)))/F684&gt;0, (((0.326*F684^0.818)-(0.398*F684^0.85)/(1-H684)*H684)*(MAX('Min rate concentrations'!$P$3:$P$368)))/F684, 0)</f>
        <v>2.8343360707416256E-2</v>
      </c>
      <c r="N684" s="60">
        <f>IF((((0.326*F684^0.818)-(0.398*F684^0.85)/(1-H684)*H684)*(MAX('Min rate concentrations'!$Q$3:$Q$368)))/F684&gt; 0, (((0.326*F684^0.818)-(0.398*F684^0.85)/(1-H684)*H684)*(MAX('Min rate concentrations'!$Q$3:$Q$368)))/F684, 0)</f>
        <v>0.1079330405103741</v>
      </c>
      <c r="O684" s="60">
        <f>((MAX('Min rate concentrations'!$F$3:$F$368))*0.62*6.01*8*(12.3*F684^0.65)*0.079*0.1/F684)*inputs!$E$73/inputs!$E$74</f>
        <v>22.186319821691836</v>
      </c>
      <c r="P684" s="60"/>
      <c r="Q684" s="60">
        <f>(inputs!$C$7*11.2*(12.3*F684^0.65)*0.5/F684)*inputs!$E$73/inputs!$E$74</f>
        <v>3.9080155930811151</v>
      </c>
      <c r="R684" s="60">
        <f>(60*379*((F684/1000)^0.8)*3*24*(MAX('Min rate concentrations'!$R$3:$R$368))/F684)*(inputs!$E$73/inputs!$E$75)</f>
        <v>4.8821907037359859E-3</v>
      </c>
      <c r="S684" s="60">
        <f>(IF(inputs!$C$6="aerial",((0.025*0.112*inputs!$C$7/3.3)*(3*60*379*((F684/1000)^0.8))*MAX(inputs!$H$14:$H$16))/F684,((0.0083*0.112*inputs!$C$7/1)*(3*60*379*((F684/1000)^0.8))*MAX(inputs!$H$14:$H$16))/F684))*(inputs!E$75/inputs!$E$73)</f>
        <v>2.6925581684646104E-2</v>
      </c>
      <c r="T684" s="63">
        <f>IF((((inputs!$P$12/(V684/MAX(K684:S684)))^(1/inputs!$O$12))-1)/inputs!$N$12&lt;0, 0, IF((((inputs!$P$12/(V684/MAX(K684:S684)))^(1/inputs!$O$12))-1)/inputs!$N$12&gt;inputs!$H$17, inputs!$H$17, (((inputs!$P$12/(V684/MAX(K684:S684)))^(1/inputs!$O$12))-1)/inputs!$N$12))</f>
        <v>18.855581757224392</v>
      </c>
      <c r="U684" s="63">
        <f>IF((((inputs!$P$12/(X684/MAX(K684:S684)))^(1/inputs!$O$12))-1)/inputs!$N$12&lt;0, 0, IF((((inputs!$P$12/(X684/MAX(K684:S684)))^(1/inputs!$O$12))-1)/inputs!$N$12&gt;inputs!$H$17, inputs!$H$17, (((inputs!$P$12/(X684/MAX(K684:S684)))^(1/inputs!$O$12))-1)/inputs!$N$12))</f>
        <v>0</v>
      </c>
      <c r="V684" s="54">
        <f>inputs!$E$70*(inputs!$F$70/F684)^(0.25)</f>
        <v>3.0313149256603005</v>
      </c>
      <c r="W684" s="54">
        <f>inputs!$E$76*(inputs!$F$76/F684)^(0.25)</f>
        <v>0.91176235574814801</v>
      </c>
      <c r="X684" s="54">
        <f>inputs!$E$72*(inputs!$F$72/F684)^(0.25)</f>
        <v>133.73448201442503</v>
      </c>
      <c r="Y684" s="54" t="s">
        <v>13</v>
      </c>
      <c r="Z684" s="106">
        <f t="shared" si="83"/>
        <v>7.3190415267918985</v>
      </c>
      <c r="AA684" s="106">
        <f t="shared" si="84"/>
        <v>24.333445751318408</v>
      </c>
    </row>
    <row r="685" spans="1:27" x14ac:dyDescent="0.25">
      <c r="A685" s="55" t="s">
        <v>476</v>
      </c>
      <c r="B685" s="49" t="s">
        <v>477</v>
      </c>
      <c r="C685" s="21" t="s">
        <v>61</v>
      </c>
      <c r="D685" s="20" t="s">
        <v>443</v>
      </c>
      <c r="E685" s="20">
        <v>63</v>
      </c>
      <c r="F685" s="21">
        <v>23.2</v>
      </c>
      <c r="G685" s="21" t="s">
        <v>142</v>
      </c>
      <c r="H685" s="21">
        <v>0.69</v>
      </c>
      <c r="I685" s="48">
        <f>MAX('Min rate concentrations'!$H$3:$H$368)</f>
        <v>47</v>
      </c>
      <c r="J685" s="48">
        <f>MAX('Min rate concentrations'!AA:AA)</f>
        <v>32.5</v>
      </c>
      <c r="K685" s="60">
        <f t="shared" si="86"/>
        <v>23.904243432711041</v>
      </c>
      <c r="L685" s="60">
        <f>(((0.621*F685^0.564)/(1-H685)))*J685/F685</f>
        <v>16.529530033257636</v>
      </c>
      <c r="M685" s="60">
        <f>IF((((0.326*F685^0.818)-(0.398*F685^0.85)/(1-H685)*H685)*(MAX('Min rate concentrations'!$P$3:$P$368)))/F685&gt;0, (((0.326*F685^0.818)-(0.398*F685^0.85)/(1-H685)*H685)*(MAX('Min rate concentrations'!$P$3:$P$368)))/F685, 0)</f>
        <v>0</v>
      </c>
      <c r="N685" s="60">
        <f>IF((((0.326*F685^0.818)-(0.398*F685^0.85)/(1-H685)*H685)*(MAX('Min rate concentrations'!$Q$3:$Q$368)))/F685&gt; 0, (((0.326*F685^0.818)-(0.398*F685^0.85)/(1-H685)*H685)*(MAX('Min rate concentrations'!$Q$3:$Q$368)))/F685, 0)</f>
        <v>0</v>
      </c>
      <c r="O685" s="60">
        <f>((MAX('Min rate concentrations'!$F$3:$F$368))*0.62*6.01*8*(12.3*F685^0.65)*0.079*0.1/F685)*inputs!$E$73/inputs!$E$74</f>
        <v>15.012369035977351</v>
      </c>
      <c r="P685" s="60">
        <f>((MAX('Min rate concentrations'!Y:Y))*0.62*6.01*8*(12.3*F685^0.65)*0.079*0.1/F685)*inputs!$E$73/inputs!$E$74</f>
        <v>5.0041230119924478</v>
      </c>
      <c r="Q685" s="60">
        <f>(inputs!$C$7*11.2*(12.3*F685^0.65)*0.5/F685)*inputs!$E$73/inputs!$E$74</f>
        <v>2.6443579986765804</v>
      </c>
      <c r="R685" s="60">
        <f>(60*379*((F685/1000)^0.8)*3*24*(MAX('Min rate concentrations'!$R$3:$R$368))/F685)*(inputs!$E$73/inputs!$E$75)</f>
        <v>3.9055289456767115E-3</v>
      </c>
      <c r="S685" s="60">
        <f>(IF(inputs!$C$6="aerial",((0.025*0.112*inputs!$C$7/3.3)*(3*60*379*((F685/1000)^0.8))*MAX(inputs!$H$14:$H$16))/F685,((0.0083*0.112*inputs!$C$7/1)*(3*60*379*((F685/1000)^0.8))*MAX(inputs!$H$14:$H$16))/F685))*(inputs!E$75/inputs!$E$73)</f>
        <v>2.1539232084502102E-2</v>
      </c>
      <c r="T685" s="63">
        <f>IF((((inputs!$P$12/(V685/MAX(K685:S685)))^(1/inputs!$O$12))-1)/inputs!$N$12&lt;0, 0, IF((((inputs!$P$12/(V685/MAX(K685:S685)))^(1/inputs!$O$12))-1)/inputs!$N$12&gt;inputs!$H$17, inputs!$H$17, (((inputs!$P$12/(V685/MAX(K685:S685)))^(1/inputs!$O$12))-1)/inputs!$N$12))</f>
        <v>26.178495667116508</v>
      </c>
      <c r="U685" s="63">
        <f>IF((((inputs!$P$12/(X685/MAX(K685:S685)))^(1/inputs!$O$12))-1)/inputs!$N$12&lt;0, 0, IF((((inputs!$P$12/(X685/MAX(K685:S685)))^(1/inputs!$O$12))-1)/inputs!$N$12&gt;inputs!$H$17, inputs!$H$17, (((inputs!$P$12/(X685/MAX(K685:S685)))^(1/inputs!$O$12))-1)/inputs!$N$12))</f>
        <v>0</v>
      </c>
      <c r="V685" s="54">
        <f>inputs!$E$70*(inputs!$F$70/F685)^(0.25)</f>
        <v>2.2933083891728261</v>
      </c>
      <c r="W685" s="54">
        <f>inputs!$E$76*(inputs!$F$76/F685)^(0.25)</f>
        <v>0.68978390917721688</v>
      </c>
      <c r="X685" s="54">
        <f>inputs!$E$72*(inputs!$F$72/F685)^(0.25)</f>
        <v>101.17537011056586</v>
      </c>
      <c r="Y685" s="54" t="s">
        <v>13</v>
      </c>
      <c r="Z685" s="106">
        <f t="shared" si="83"/>
        <v>10.423475336142239</v>
      </c>
      <c r="AA685" s="106">
        <f t="shared" si="84"/>
        <v>34.654684046231708</v>
      </c>
    </row>
    <row r="686" spans="1:27" x14ac:dyDescent="0.25">
      <c r="A686" s="55" t="s">
        <v>476</v>
      </c>
      <c r="B686" s="49" t="s">
        <v>477</v>
      </c>
      <c r="C686" s="21" t="s">
        <v>61</v>
      </c>
      <c r="D686" s="20" t="s">
        <v>443</v>
      </c>
      <c r="E686" s="20">
        <v>63</v>
      </c>
      <c r="F686" s="21">
        <v>23.2</v>
      </c>
      <c r="G686" s="21" t="s">
        <v>169</v>
      </c>
      <c r="H686" s="21">
        <v>0.79</v>
      </c>
      <c r="I686" s="48">
        <f>MAX('Min rate concentrations'!$D$3:$D$368)</f>
        <v>120</v>
      </c>
      <c r="J686" s="48">
        <f>MAX('Min rate concentrations'!W:W)</f>
        <v>42.5</v>
      </c>
      <c r="K686" s="60">
        <f t="shared" si="86"/>
        <v>90.09502084061306</v>
      </c>
      <c r="L686" s="60">
        <f>(((0.621*F686^0.564)/(1-H686)))*J686/F686</f>
        <v>31.908653214383797</v>
      </c>
      <c r="M686" s="60">
        <f>IF((((0.326*F686^0.818)-(0.398*F686^0.85)/(1-H686)*H686)*(MAX('Min rate concentrations'!$P$3:$P$368)))/F686&gt;0, (((0.326*F686^0.818)-(0.398*F686^0.85)/(1-H686)*H686)*(MAX('Min rate concentrations'!$P$3:$P$368)))/F686, 0)</f>
        <v>0</v>
      </c>
      <c r="N686" s="60">
        <f>IF((((0.326*F686^0.818)-(0.398*F686^0.85)/(1-H686)*H686)*(MAX('Min rate concentrations'!$Q$3:$Q$368)))/F686&gt; 0, (((0.326*F686^0.818)-(0.398*F686^0.85)/(1-H686)*H686)*(MAX('Min rate concentrations'!$Q$3:$Q$368)))/F686, 0)</f>
        <v>0</v>
      </c>
      <c r="O686" s="60">
        <f>((MAX('Min rate concentrations'!$F$3:$F$368))*0.62*6.01*8*(12.3*F686^0.65)*0.079*0.1/F686)*inputs!$E$73/inputs!$E$74</f>
        <v>15.012369035977351</v>
      </c>
      <c r="P686" s="60">
        <f>((MAX('Min rate concentrations'!Y:Y))*0.62*6.01*8*(12.3*F686^0.65)*0.079*0.1/F686)*inputs!$E$73/inputs!$E$74</f>
        <v>5.0041230119924478</v>
      </c>
      <c r="Q686" s="60">
        <f>(inputs!$C$7*11.2*(12.3*F686^0.65)*0.5/F686)*inputs!$E$73/inputs!$E$74</f>
        <v>2.6443579986765804</v>
      </c>
      <c r="R686" s="60">
        <f>(60*379*((F686/1000)^0.8)*3*24*(MAX('Min rate concentrations'!$R$3:$R$368))/F686)*(inputs!$E$73/inputs!$E$75)</f>
        <v>3.9055289456767115E-3</v>
      </c>
      <c r="S686" s="60">
        <f>(IF(inputs!$C$6="aerial",((0.025*0.112*inputs!$C$7/3.3)*(3*60*379*((F686/1000)^0.8))*MAX(inputs!$H$14:$H$16))/F686,((0.0083*0.112*inputs!$C$7/1)*(3*60*379*((F686/1000)^0.8))*MAX(inputs!$H$14:$H$16))/F686))*(inputs!E$75/inputs!$E$73)</f>
        <v>2.1539232084502102E-2</v>
      </c>
      <c r="T686" s="63">
        <f>IF((((inputs!$P$12/(V686/MAX(K686:S686)))^(1/inputs!$O$12))-1)/inputs!$N$12&lt;0, 0, IF((((inputs!$P$12/(V686/MAX(K686:S686)))^(1/inputs!$O$12))-1)/inputs!$N$12&gt;inputs!$H$17, inputs!$H$17, (((inputs!$P$12/(V686/MAX(K686:S686)))^(1/inputs!$O$12))-1)/inputs!$N$12))</f>
        <v>65.289675328637003</v>
      </c>
      <c r="U686" s="63">
        <f>IF((((inputs!$P$12/(X686/MAX(K686:S686)))^(1/inputs!$O$12))-1)/inputs!$N$12&lt;0, 0, IF((((inputs!$P$12/(X686/MAX(K686:S686)))^(1/inputs!$O$12))-1)/inputs!$N$12&gt;inputs!$H$17, inputs!$H$17, (((inputs!$P$12/(X686/MAX(K686:S686)))^(1/inputs!$O$12))-1)/inputs!$N$12))</f>
        <v>0</v>
      </c>
      <c r="V686" s="54">
        <f>inputs!$E$70*(inputs!$F$70/F686)^(0.25)</f>
        <v>2.2933083891728261</v>
      </c>
      <c r="W686" s="54">
        <f>inputs!$E$76*(inputs!$F$76/F686)^(0.25)</f>
        <v>0.68978390917721688</v>
      </c>
      <c r="X686" s="54">
        <f>inputs!$E$72*(inputs!$F$72/F686)^(0.25)</f>
        <v>101.17537011056586</v>
      </c>
      <c r="Y686" s="54" t="s">
        <v>13</v>
      </c>
      <c r="Z686" s="106">
        <f t="shared" si="83"/>
        <v>39.286046859624257</v>
      </c>
      <c r="AA686" s="106">
        <f t="shared" si="84"/>
        <v>130.61339883686119</v>
      </c>
    </row>
    <row r="687" spans="1:27" x14ac:dyDescent="0.25">
      <c r="A687" s="55" t="s">
        <v>476</v>
      </c>
      <c r="B687" s="49" t="s">
        <v>477</v>
      </c>
      <c r="C687" s="21" t="s">
        <v>61</v>
      </c>
      <c r="D687" s="20" t="s">
        <v>443</v>
      </c>
      <c r="E687" s="20">
        <v>63</v>
      </c>
      <c r="F687" s="21">
        <v>23.2</v>
      </c>
      <c r="G687" s="21" t="s">
        <v>177</v>
      </c>
      <c r="H687" s="21">
        <v>0.85</v>
      </c>
      <c r="I687" s="48">
        <f>MAX('Min rate concentrations'!$F$3:$F$368)</f>
        <v>67.5</v>
      </c>
      <c r="J687" s="48">
        <f>MAX('Min rate concentrations'!Y:Y)</f>
        <v>22.5</v>
      </c>
      <c r="K687" s="60">
        <f t="shared" si="86"/>
        <v>70.949828911982763</v>
      </c>
      <c r="L687" s="60">
        <f>(((0.621*F687^0.564)/(1-H687)))*J687/F687</f>
        <v>23.649942970660923</v>
      </c>
      <c r="M687" s="60">
        <f>IF((((0.326*F687^0.818)-(0.398*F687^0.85)/(1-H687)*H687)*(MAX('Min rate concentrations'!$P$3:$P$368)))/F687&gt;0, (((0.326*F687^0.818)-(0.398*F687^0.85)/(1-H687)*H687)*(MAX('Min rate concentrations'!$P$3:$P$368)))/F687, 0)</f>
        <v>0</v>
      </c>
      <c r="N687" s="60">
        <f>IF((((0.326*F687^0.818)-(0.398*F687^0.85)/(1-H687)*H687)*(MAX('Min rate concentrations'!$Q$3:$Q$368)))/F687&gt; 0, (((0.326*F687^0.818)-(0.398*F687^0.85)/(1-H687)*H687)*(MAX('Min rate concentrations'!$Q$3:$Q$368)))/F687, 0)</f>
        <v>0</v>
      </c>
      <c r="O687" s="60">
        <f>((MAX('Min rate concentrations'!$F$3:$F$368))*0.62*6.01*8*(12.3*F687^0.65)*0.079*0.1/F687)*inputs!$E$73/inputs!$E$74</f>
        <v>15.012369035977351</v>
      </c>
      <c r="P687" s="60">
        <f>((MAX('Min rate concentrations'!Y:Y))*0.62*6.01*8*(12.3*F687^0.65)*0.079*0.1/F687)*inputs!$E$73/inputs!$E$74</f>
        <v>5.0041230119924478</v>
      </c>
      <c r="Q687" s="60">
        <f>(inputs!$C$7*11.2*(12.3*F687^0.65)*0.5/F687)*inputs!$E$73/inputs!$E$74</f>
        <v>2.6443579986765804</v>
      </c>
      <c r="R687" s="60">
        <f>(60*379*((F687/1000)^0.8)*3*24*(MAX('Min rate concentrations'!$R$3:$R$368))/F687)*(inputs!$E$73/inputs!$E$75)</f>
        <v>3.9055289456767115E-3</v>
      </c>
      <c r="S687" s="60">
        <f>(IF(inputs!$C$6="aerial",((0.025*0.112*inputs!$C$7/3.3)*(3*60*379*((F687/1000)^0.8))*MAX(inputs!$H$14:$H$16))/F687,((0.0083*0.112*inputs!$C$7/1)*(3*60*379*((F687/1000)^0.8))*MAX(inputs!$H$14:$H$16))/F687))*(inputs!E$75/inputs!$E$73)</f>
        <v>2.1539232084502102E-2</v>
      </c>
      <c r="T687" s="63">
        <f>IF((((inputs!$P$12/(V687/MAX(K687:S687)))^(1/inputs!$O$12))-1)/inputs!$N$12&lt;0, 0, IF((((inputs!$P$12/(V687/MAX(K687:S687)))^(1/inputs!$O$12))-1)/inputs!$N$12&gt;inputs!$H$17, inputs!$H$17, (((inputs!$P$12/(V687/MAX(K687:S687)))^(1/inputs!$O$12))-1)/inputs!$N$12))</f>
        <v>56.606192334510311</v>
      </c>
      <c r="U687" s="63">
        <f>IF((((inputs!$P$12/(X687/MAX(K687:S687)))^(1/inputs!$O$12))-1)/inputs!$N$12&lt;0, 0, IF((((inputs!$P$12/(X687/MAX(K687:S687)))^(1/inputs!$O$12))-1)/inputs!$N$12&gt;inputs!$H$17, inputs!$H$17, (((inputs!$P$12/(X687/MAX(K687:S687)))^(1/inputs!$O$12))-1)/inputs!$N$12))</f>
        <v>0</v>
      </c>
      <c r="V687" s="54">
        <f>inputs!$E$70*(inputs!$F$70/F687)^(0.25)</f>
        <v>2.2933083891728261</v>
      </c>
      <c r="W687" s="54">
        <f>inputs!$E$76*(inputs!$F$76/F687)^(0.25)</f>
        <v>0.68978390917721688</v>
      </c>
      <c r="X687" s="54">
        <f>inputs!$E$72*(inputs!$F$72/F687)^(0.25)</f>
        <v>101.17537011056586</v>
      </c>
      <c r="Y687" s="54" t="s">
        <v>13</v>
      </c>
      <c r="Z687" s="106">
        <f t="shared" si="83"/>
        <v>30.93776190195409</v>
      </c>
      <c r="AA687" s="106">
        <f t="shared" si="84"/>
        <v>102.85805158402815</v>
      </c>
    </row>
    <row r="688" spans="1:27" x14ac:dyDescent="0.25">
      <c r="A688" s="55" t="s">
        <v>476</v>
      </c>
      <c r="B688" s="49" t="s">
        <v>477</v>
      </c>
      <c r="C688" s="21" t="s">
        <v>61</v>
      </c>
      <c r="D688" s="20" t="s">
        <v>443</v>
      </c>
      <c r="E688" s="20">
        <v>63</v>
      </c>
      <c r="F688" s="21">
        <v>23.2</v>
      </c>
      <c r="G688" s="21" t="s">
        <v>154</v>
      </c>
      <c r="H688" s="21">
        <v>9.2999999999999999E-2</v>
      </c>
      <c r="I688" s="48">
        <f>MAX('Min rate concentrations'!$G$3:$G$368)</f>
        <v>7.5</v>
      </c>
      <c r="J688" s="48">
        <f>MAX('Min rate concentrations'!Z:Z)</f>
        <v>3.5</v>
      </c>
      <c r="K688" s="60">
        <f t="shared" si="86"/>
        <v>1.303745477985718</v>
      </c>
      <c r="L688" s="60"/>
      <c r="M688" s="60">
        <f>IF((((0.326*F688^0.818)-(0.398*F688^0.85)/(1-H688)*H688)*(MAX('Min rate concentrations'!$P$3:$P$368)))/F688&gt;0, (((0.326*F688^0.818)-(0.398*F688^0.85)/(1-H688)*H688)*(MAX('Min rate concentrations'!$P$3:$P$368)))/F688, 0)</f>
        <v>2.3003793192972338E-2</v>
      </c>
      <c r="N688" s="60">
        <f>IF((((0.326*F688^0.818)-(0.398*F688^0.85)/(1-H688)*H688)*(MAX('Min rate concentrations'!$Q$3:$Q$368)))/F688&gt; 0, (((0.326*F688^0.818)-(0.398*F688^0.85)/(1-H688)*H688)*(MAX('Min rate concentrations'!$Q$3:$Q$368)))/F688, 0)</f>
        <v>8.759968051141126E-2</v>
      </c>
      <c r="O688" s="60">
        <f>((MAX('Min rate concentrations'!$F$3:$F$368))*0.62*6.01*8*(12.3*F688^0.65)*0.079*0.1/F688)*inputs!$E$73/inputs!$E$74</f>
        <v>15.012369035977351</v>
      </c>
      <c r="P688" s="60"/>
      <c r="Q688" s="60">
        <f>(inputs!$C$7*11.2*(12.3*F688^0.65)*0.5/F688)*inputs!$E$73/inputs!$E$74</f>
        <v>2.6443579986765804</v>
      </c>
      <c r="R688" s="60">
        <f>(60*379*((F688/1000)^0.8)*3*24*(MAX('Min rate concentrations'!$R$3:$R$368))/F688)*(inputs!$E$73/inputs!$E$75)</f>
        <v>3.9055289456767115E-3</v>
      </c>
      <c r="S688" s="60">
        <f>(IF(inputs!$C$6="aerial",((0.025*0.112*inputs!$C$7/3.3)*(3*60*379*((F688/1000)^0.8))*MAX(inputs!$H$14:$H$16))/F688,((0.0083*0.112*inputs!$C$7/1)*(3*60*379*((F688/1000)^0.8))*MAX(inputs!$H$14:$H$16))/F688))*(inputs!E$75/inputs!$E$73)</f>
        <v>2.1539232084502102E-2</v>
      </c>
      <c r="T688" s="63">
        <f>IF((((inputs!$P$12/(V688/MAX(K688:S688)))^(1/inputs!$O$12))-1)/inputs!$N$12&lt;0, 0, IF((((inputs!$P$12/(V688/MAX(K688:S688)))^(1/inputs!$O$12))-1)/inputs!$N$12&gt;inputs!$H$17, inputs!$H$17, (((inputs!$P$12/(V688/MAX(K688:S688)))^(1/inputs!$O$12))-1)/inputs!$N$12))</f>
        <v>16.754523117223837</v>
      </c>
      <c r="U688" s="63">
        <f>IF((((inputs!$P$12/(X688/MAX(K688:S688)))^(1/inputs!$O$12))-1)/inputs!$N$12&lt;0, 0, IF((((inputs!$P$12/(X688/MAX(K688:S688)))^(1/inputs!$O$12))-1)/inputs!$N$12&gt;inputs!$H$17, inputs!$H$17, (((inputs!$P$12/(X688/MAX(K688:S688)))^(1/inputs!$O$12))-1)/inputs!$N$12))</f>
        <v>0</v>
      </c>
      <c r="V688" s="54">
        <f>inputs!$E$70*(inputs!$F$70/F688)^(0.25)</f>
        <v>2.2933083891728261</v>
      </c>
      <c r="W688" s="54">
        <f>inputs!$E$76*(inputs!$F$76/F688)^(0.25)</f>
        <v>0.68978390917721688</v>
      </c>
      <c r="X688" s="54">
        <f>inputs!$E$72*(inputs!$F$72/F688)^(0.25)</f>
        <v>101.17537011056586</v>
      </c>
      <c r="Y688" s="54" t="s">
        <v>13</v>
      </c>
      <c r="Z688" s="106">
        <f t="shared" si="83"/>
        <v>6.5461623508001754</v>
      </c>
      <c r="AA688" s="106">
        <f t="shared" si="84"/>
        <v>21.763872476938896</v>
      </c>
    </row>
    <row r="689" spans="1:27" x14ac:dyDescent="0.25">
      <c r="A689" s="55" t="s">
        <v>546</v>
      </c>
      <c r="B689" s="49" t="s">
        <v>547</v>
      </c>
      <c r="C689" s="21" t="s">
        <v>61</v>
      </c>
      <c r="D689" s="20" t="s">
        <v>443</v>
      </c>
      <c r="E689" s="20">
        <v>53</v>
      </c>
      <c r="F689" s="21">
        <v>12</v>
      </c>
      <c r="G689" s="21" t="s">
        <v>182</v>
      </c>
      <c r="H689" s="21">
        <v>0.85</v>
      </c>
      <c r="I689" s="48">
        <f>MAX('Min rate concentrations'!$M$3:$M$368)</f>
        <v>2.8488184789681945</v>
      </c>
      <c r="J689" s="48">
        <f>MAX('Min rate concentrations'!AE:AE)</f>
        <v>1.9699276716269429</v>
      </c>
      <c r="K689" s="60">
        <f t="shared" si="86"/>
        <v>3.9915547955524517</v>
      </c>
      <c r="L689" s="60">
        <f>(((0.621*F689^0.564)/(1-H689)))*J689/F689</f>
        <v>2.7601176777756318</v>
      </c>
      <c r="M689" s="60">
        <f>IF((((0.326*F689^0.818)-(0.398*F689^0.85)/(1-H689)*H689)*(MAX('Min rate concentrations'!$P$3:$P$368)))/F689&gt;0, (((0.326*F689^0.818)-(0.398*F689^0.85)/(1-H689)*H689)*(MAX('Min rate concentrations'!$P$3:$P$368)))/F689, 0)</f>
        <v>0</v>
      </c>
      <c r="N689" s="60">
        <f>IF((((0.326*F689^0.818)-(0.398*F689^0.85)/(1-H689)*H689)*(MAX('Min rate concentrations'!$Q$3:$Q$368)))/F689&gt; 0, (((0.326*F689^0.818)-(0.398*F689^0.85)/(1-H689)*H689)*(MAX('Min rate concentrations'!$Q$3:$Q$368)))/F689, 0)</f>
        <v>0</v>
      </c>
      <c r="O689" s="60">
        <f>((MAX('Min rate concentrations'!$F$3:$F$368))*0.62*6.01*8*(12.3*F689^0.65)*0.079*0.1/F689)*inputs!$E$73/inputs!$E$74</f>
        <v>18.908478773287541</v>
      </c>
      <c r="P689" s="60">
        <f>((MAX('Min rate concentrations'!Y:Y))*0.62*6.01*8*(12.3*F689^0.65)*0.079*0.1/F689)*inputs!$E$73/inputs!$E$74</f>
        <v>6.3028262577625114</v>
      </c>
      <c r="Q689" s="60">
        <f>(inputs!$C$7*11.2*(12.3*F689^0.65)*0.5/F689)*inputs!$E$73/inputs!$E$74</f>
        <v>3.330639352597959</v>
      </c>
      <c r="R689" s="60">
        <f>(60*379*((F689/1000)^0.8)*3*24*(MAX('Min rate concentrations'!$R$3:$R$368))/F689)*(inputs!$E$73/inputs!$E$75)</f>
        <v>4.4559592309452237E-3</v>
      </c>
      <c r="S689" s="60">
        <f>(IF(inputs!$C$6="aerial",((0.025*0.112*inputs!$C$7/3.3)*(3*60*379*((F689/1000)^0.8))*MAX(inputs!$H$14:$H$16))/F689,((0.0083*0.112*inputs!$C$7/1)*(3*60*379*((F689/1000)^0.8))*MAX(inputs!$H$14:$H$16))/F689))*(inputs!E$75/inputs!$E$73)</f>
        <v>2.4574888925264021E-2</v>
      </c>
      <c r="T689" s="63">
        <f>IF((((inputs!$P$12/(V689/MAX(K689:S689)))^(1/inputs!$O$12))-1)/inputs!$N$12&lt;0, 0, IF((((inputs!$P$12/(V689/MAX(K689:S689)))^(1/inputs!$O$12))-1)/inputs!$N$12&gt;inputs!$H$17, inputs!$H$17, (((inputs!$P$12/(V689/MAX(K689:S689)))^(1/inputs!$O$12))-1)/inputs!$N$12))</f>
        <v>17.984115705891043</v>
      </c>
      <c r="U689" s="63">
        <f>IF((((inputs!$P$12/(X689/MAX(K689:S689)))^(1/inputs!$O$12))-1)/inputs!$N$12&lt;0, 0, IF((((inputs!$P$12/(X689/MAX(K689:S689)))^(1/inputs!$O$12))-1)/inputs!$N$12&gt;inputs!$H$17, inputs!$H$17, (((inputs!$P$12/(X689/MAX(K689:S689)))^(1/inputs!$O$12))-1)/inputs!$N$12))</f>
        <v>0</v>
      </c>
      <c r="V689" s="54">
        <f>inputs!$E$70*(inputs!$F$70/F689)^(0.25)</f>
        <v>2.7042020921926482</v>
      </c>
      <c r="W689" s="54">
        <f>inputs!$E$76*(inputs!$F$76/F689)^(0.25)</f>
        <v>0.81337298514425049</v>
      </c>
      <c r="X689" s="54">
        <f>inputs!$E$72*(inputs!$F$72/F689)^(0.25)</f>
        <v>119.30303347908743</v>
      </c>
      <c r="Y689" s="54" t="s">
        <v>13</v>
      </c>
      <c r="Z689" s="106">
        <f t="shared" si="83"/>
        <v>6.9922580223861814</v>
      </c>
      <c r="AA689" s="106">
        <f t="shared" si="84"/>
        <v>23.2469962964582</v>
      </c>
    </row>
    <row r="690" spans="1:27" x14ac:dyDescent="0.25">
      <c r="A690" s="55" t="s">
        <v>546</v>
      </c>
      <c r="B690" s="49" t="s">
        <v>547</v>
      </c>
      <c r="C690" s="21" t="s">
        <v>61</v>
      </c>
      <c r="D690" s="20" t="s">
        <v>443</v>
      </c>
      <c r="E690" s="20">
        <v>53</v>
      </c>
      <c r="F690" s="21">
        <v>12</v>
      </c>
      <c r="G690" s="21" t="s">
        <v>142</v>
      </c>
      <c r="H690" s="21">
        <v>0.69</v>
      </c>
      <c r="I690" s="48">
        <f>MAX('Min rate concentrations'!$H$3:$H$368)</f>
        <v>47</v>
      </c>
      <c r="J690" s="48">
        <f>MAX('Min rate concentrations'!AA:AA)</f>
        <v>32.5</v>
      </c>
      <c r="K690" s="60">
        <f t="shared" si="86"/>
        <v>31.864326320175874</v>
      </c>
      <c r="L690" s="60">
        <f>(((0.621*F690^0.564)/(1-H690)))*J690/F690</f>
        <v>22.03384266820672</v>
      </c>
      <c r="M690" s="60">
        <f>IF((((0.326*F690^0.818)-(0.398*F690^0.85)/(1-H690)*H690)*(MAX('Min rate concentrations'!$P$3:$P$368)))/F690&gt;0, (((0.326*F690^0.818)-(0.398*F690^0.85)/(1-H690)*H690)*(MAX('Min rate concentrations'!$P$3:$P$368)))/F690, 0)</f>
        <v>0</v>
      </c>
      <c r="N690" s="60">
        <f>IF((((0.326*F690^0.818)-(0.398*F690^0.85)/(1-H690)*H690)*(MAX('Min rate concentrations'!$Q$3:$Q$368)))/F690&gt; 0, (((0.326*F690^0.818)-(0.398*F690^0.85)/(1-H690)*H690)*(MAX('Min rate concentrations'!$Q$3:$Q$368)))/F690, 0)</f>
        <v>0</v>
      </c>
      <c r="O690" s="60">
        <f>((MAX('Min rate concentrations'!$F$3:$F$368))*0.62*6.01*8*(12.3*F690^0.65)*0.079*0.1/F690)*inputs!$E$73/inputs!$E$74</f>
        <v>18.908478773287541</v>
      </c>
      <c r="P690" s="60">
        <f>((MAX('Min rate concentrations'!Y:Y))*0.62*6.01*8*(12.3*F690^0.65)*0.079*0.1/F690)*inputs!$E$73/inputs!$E$74</f>
        <v>6.3028262577625114</v>
      </c>
      <c r="Q690" s="60">
        <f>(inputs!$C$7*11.2*(12.3*F690^0.65)*0.5/F690)*inputs!$E$73/inputs!$E$74</f>
        <v>3.330639352597959</v>
      </c>
      <c r="R690" s="60">
        <f>(60*379*((F690/1000)^0.8)*3*24*(MAX('Min rate concentrations'!$R$3:$R$368))/F690)*(inputs!$E$73/inputs!$E$75)</f>
        <v>4.4559592309452237E-3</v>
      </c>
      <c r="S690" s="60">
        <f>(IF(inputs!$C$6="aerial",((0.025*0.112*inputs!$C$7/3.3)*(3*60*379*((F690/1000)^0.8))*MAX(inputs!$H$14:$H$16))/F690,((0.0083*0.112*inputs!$C$7/1)*(3*60*379*((F690/1000)^0.8))*MAX(inputs!$H$14:$H$16))/F690))*(inputs!E$75/inputs!$E$73)</f>
        <v>2.4574888925264021E-2</v>
      </c>
      <c r="T690" s="63">
        <f>IF((((inputs!$P$12/(V690/MAX(K690:S690)))^(1/inputs!$O$12))-1)/inputs!$N$12&lt;0, 0, IF((((inputs!$P$12/(V690/MAX(K690:S690)))^(1/inputs!$O$12))-1)/inputs!$N$12&gt;inputs!$H$17, inputs!$H$17, (((inputs!$P$12/(V690/MAX(K690:S690)))^(1/inputs!$O$12))-1)/inputs!$N$12))</f>
        <v>28.974157518580039</v>
      </c>
      <c r="U690" s="63">
        <f>IF((((inputs!$P$12/(X690/MAX(K690:S690)))^(1/inputs!$O$12))-1)/inputs!$N$12&lt;0, 0, IF((((inputs!$P$12/(X690/MAX(K690:S690)))^(1/inputs!$O$12))-1)/inputs!$N$12&gt;inputs!$H$17, inputs!$H$17, (((inputs!$P$12/(X690/MAX(K690:S690)))^(1/inputs!$O$12))-1)/inputs!$N$12))</f>
        <v>0</v>
      </c>
      <c r="V690" s="54">
        <f>inputs!$E$70*(inputs!$F$70/F690)^(0.25)</f>
        <v>2.7042020921926482</v>
      </c>
      <c r="W690" s="54">
        <f>inputs!$E$76*(inputs!$F$76/F690)^(0.25)</f>
        <v>0.81337298514425049</v>
      </c>
      <c r="X690" s="54">
        <f>inputs!$E$72*(inputs!$F$72/F690)^(0.25)</f>
        <v>119.30303347908743</v>
      </c>
      <c r="Y690" s="54" t="s">
        <v>13</v>
      </c>
      <c r="Z690" s="106">
        <f t="shared" si="83"/>
        <v>11.78326368882413</v>
      </c>
      <c r="AA690" s="106">
        <f t="shared" si="84"/>
        <v>39.175540498833733</v>
      </c>
    </row>
    <row r="691" spans="1:27" x14ac:dyDescent="0.25">
      <c r="A691" s="55" t="s">
        <v>546</v>
      </c>
      <c r="B691" s="49" t="s">
        <v>547</v>
      </c>
      <c r="C691" s="21" t="s">
        <v>61</v>
      </c>
      <c r="D691" s="20" t="s">
        <v>443</v>
      </c>
      <c r="E691" s="20">
        <v>53</v>
      </c>
      <c r="F691" s="21">
        <v>12</v>
      </c>
      <c r="G691" s="21" t="s">
        <v>169</v>
      </c>
      <c r="H691" s="21">
        <v>0.79</v>
      </c>
      <c r="I691" s="48">
        <f>MAX('Min rate concentrations'!$D$3:$D$368)</f>
        <v>120</v>
      </c>
      <c r="J691" s="48">
        <f>MAX('Min rate concentrations'!W:W)</f>
        <v>42.5</v>
      </c>
      <c r="K691" s="60">
        <f t="shared" si="86"/>
        <v>120.09654904868724</v>
      </c>
      <c r="L691" s="60">
        <f>(((0.621*F691^0.564)/(1-H691)))*J691/F691</f>
        <v>42.534194454743393</v>
      </c>
      <c r="M691" s="60">
        <f>IF((((0.326*F691^0.818)-(0.398*F691^0.85)/(1-H691)*H691)*(MAX('Min rate concentrations'!$P$3:$P$368)))/F691&gt;0, (((0.326*F691^0.818)-(0.398*F691^0.85)/(1-H691)*H691)*(MAX('Min rate concentrations'!$P$3:$P$368)))/F691, 0)</f>
        <v>0</v>
      </c>
      <c r="N691" s="60">
        <f>IF((((0.326*F691^0.818)-(0.398*F691^0.85)/(1-H691)*H691)*(MAX('Min rate concentrations'!$Q$3:$Q$368)))/F691&gt; 0, (((0.326*F691^0.818)-(0.398*F691^0.85)/(1-H691)*H691)*(MAX('Min rate concentrations'!$Q$3:$Q$368)))/F691, 0)</f>
        <v>0</v>
      </c>
      <c r="O691" s="60">
        <f>((MAX('Min rate concentrations'!$F$3:$F$368))*0.62*6.01*8*(12.3*F691^0.65)*0.079*0.1/F691)*inputs!$E$73/inputs!$E$74</f>
        <v>18.908478773287541</v>
      </c>
      <c r="P691" s="60">
        <f>((MAX('Min rate concentrations'!Y:Y))*0.62*6.01*8*(12.3*F691^0.65)*0.079*0.1/F691)*inputs!$E$73/inputs!$E$74</f>
        <v>6.3028262577625114</v>
      </c>
      <c r="Q691" s="60">
        <f>(inputs!$C$7*11.2*(12.3*F691^0.65)*0.5/F691)*inputs!$E$73/inputs!$E$74</f>
        <v>3.330639352597959</v>
      </c>
      <c r="R691" s="60">
        <f>(60*379*((F691/1000)^0.8)*3*24*(MAX('Min rate concentrations'!$R$3:$R$368))/F691)*(inputs!$E$73/inputs!$E$75)</f>
        <v>4.4559592309452237E-3</v>
      </c>
      <c r="S691" s="60">
        <f>(IF(inputs!$C$6="aerial",((0.025*0.112*inputs!$C$7/3.3)*(3*60*379*((F691/1000)^0.8))*MAX(inputs!$H$14:$H$16))/F691,((0.0083*0.112*inputs!$C$7/1)*(3*60*379*((F691/1000)^0.8))*MAX(inputs!$H$14:$H$16))/F691))*(inputs!E$75/inputs!$E$73)</f>
        <v>2.4574888925264021E-2</v>
      </c>
      <c r="T691" s="63">
        <f>IF((((inputs!$P$12/(V691/MAX(K691:S691)))^(1/inputs!$O$12))-1)/inputs!$N$12&lt;0, 0, IF((((inputs!$P$12/(V691/MAX(K691:S691)))^(1/inputs!$O$12))-1)/inputs!$N$12&gt;inputs!$H$17, inputs!$H$17, (((inputs!$P$12/(V691/MAX(K691:S691)))^(1/inputs!$O$12))-1)/inputs!$N$12))</f>
        <v>70.085421042455124</v>
      </c>
      <c r="U691" s="63">
        <f>IF((((inputs!$P$12/(X691/MAX(K691:S691)))^(1/inputs!$O$12))-1)/inputs!$N$12&lt;0, 0, IF((((inputs!$P$12/(X691/MAX(K691:S691)))^(1/inputs!$O$12))-1)/inputs!$N$12&gt;inputs!$H$17, inputs!$H$17, (((inputs!$P$12/(X691/MAX(K691:S691)))^(1/inputs!$O$12))-1)/inputs!$N$12))</f>
        <v>0</v>
      </c>
      <c r="V691" s="54">
        <f>inputs!$E$70*(inputs!$F$70/F691)^(0.25)</f>
        <v>2.7042020921926482</v>
      </c>
      <c r="W691" s="54">
        <f>inputs!$E$76*(inputs!$F$76/F691)^(0.25)</f>
        <v>0.81337298514425049</v>
      </c>
      <c r="X691" s="54">
        <f>inputs!$E$72*(inputs!$F$72/F691)^(0.25)</f>
        <v>119.30303347908743</v>
      </c>
      <c r="Y691" s="54" t="s">
        <v>13</v>
      </c>
      <c r="Z691" s="106">
        <f t="shared" si="83"/>
        <v>44.411085027787017</v>
      </c>
      <c r="AA691" s="106">
        <f t="shared" si="84"/>
        <v>147.65249306551323</v>
      </c>
    </row>
    <row r="692" spans="1:27" x14ac:dyDescent="0.25">
      <c r="A692" s="55" t="s">
        <v>546</v>
      </c>
      <c r="B692" s="49" t="s">
        <v>547</v>
      </c>
      <c r="C692" s="21" t="s">
        <v>61</v>
      </c>
      <c r="D692" s="20" t="s">
        <v>443</v>
      </c>
      <c r="E692" s="20">
        <v>53</v>
      </c>
      <c r="F692" s="21">
        <v>12</v>
      </c>
      <c r="G692" s="21" t="s">
        <v>456</v>
      </c>
      <c r="H692" s="21">
        <v>0.68</v>
      </c>
      <c r="I692" s="48">
        <f>MAX('Min rate concentrations'!$J$3:$J$368)</f>
        <v>114.4108103430513</v>
      </c>
      <c r="J692" s="48">
        <f>MAX('Min rate concentrations'!AB:AB)</f>
        <v>40.520495329830666</v>
      </c>
      <c r="K692" s="60">
        <f t="shared" si="86"/>
        <v>75.142503494101703</v>
      </c>
      <c r="L692" s="60">
        <f>(((0.621*F692^0.564)/(1-H692)))*J692/F692</f>
        <v>26.612969987494353</v>
      </c>
      <c r="M692" s="60">
        <f>IF((((0.326*F692^0.818)-(0.398*F692^0.85)/(1-H692)*H692)*(MAX('Min rate concentrations'!$P$3:$P$368)))/F692&gt;0, (((0.326*F692^0.818)-(0.398*F692^0.85)/(1-H692)*H692)*(MAX('Min rate concentrations'!$P$3:$P$368)))/F692, 0)</f>
        <v>0</v>
      </c>
      <c r="N692" s="60">
        <f>IF((((0.326*F692^0.818)-(0.398*F692^0.85)/(1-H692)*H692)*(MAX('Min rate concentrations'!$Q$3:$Q$368)))/F692&gt; 0, (((0.326*F692^0.818)-(0.398*F692^0.85)/(1-H692)*H692)*(MAX('Min rate concentrations'!$Q$3:$Q$368)))/F692, 0)</f>
        <v>0</v>
      </c>
      <c r="O692" s="60">
        <f>((MAX('Min rate concentrations'!$F$3:$F$368))*0.62*6.01*8*(12.3*F692^0.65)*0.079*0.1/F692)*inputs!$E$73/inputs!$E$74</f>
        <v>18.908478773287541</v>
      </c>
      <c r="P692" s="60">
        <f>((MAX('Min rate concentrations'!Y:Y))*0.62*6.01*8*(12.3*F692^0.65)*0.079*0.1/F692)*inputs!$E$73/inputs!$E$74</f>
        <v>6.3028262577625114</v>
      </c>
      <c r="Q692" s="60">
        <f>(inputs!$C$7*11.2*(12.3*F692^0.65)*0.5/F692)*inputs!$E$73/inputs!$E$74</f>
        <v>3.330639352597959</v>
      </c>
      <c r="R692" s="60">
        <f>(60*379*((F692/1000)^0.8)*3*24*(MAX('Min rate concentrations'!$R$3:$R$368))/F692)*(inputs!$E$73/inputs!$E$75)</f>
        <v>4.4559592309452237E-3</v>
      </c>
      <c r="S692" s="60">
        <f>(IF(inputs!$C$6="aerial",((0.025*0.112*inputs!$C$7/3.3)*(3*60*379*((F692/1000)^0.8))*MAX(inputs!$H$14:$H$16))/F692,((0.0083*0.112*inputs!$C$7/1)*(3*60*379*((F692/1000)^0.8))*MAX(inputs!$H$14:$H$16))/F692))*(inputs!E$75/inputs!$E$73)</f>
        <v>2.4574888925264021E-2</v>
      </c>
      <c r="T692" s="63">
        <f>IF((((inputs!$P$12/(V692/MAX(K692:S692)))^(1/inputs!$O$12))-1)/inputs!$N$12&lt;0, 0, IF((((inputs!$P$12/(V692/MAX(K692:S692)))^(1/inputs!$O$12))-1)/inputs!$N$12&gt;inputs!$H$17, inputs!$H$17, (((inputs!$P$12/(V692/MAX(K692:S692)))^(1/inputs!$O$12))-1)/inputs!$N$12))</f>
        <v>52.968987724810049</v>
      </c>
      <c r="U692" s="63">
        <f>IF((((inputs!$P$12/(X692/MAX(K692:S692)))^(1/inputs!$O$12))-1)/inputs!$N$12&lt;0, 0, IF((((inputs!$P$12/(X692/MAX(K692:S692)))^(1/inputs!$O$12))-1)/inputs!$N$12&gt;inputs!$H$17, inputs!$H$17, (((inputs!$P$12/(X692/MAX(K692:S692)))^(1/inputs!$O$12))-1)/inputs!$N$12))</f>
        <v>0</v>
      </c>
      <c r="V692" s="54">
        <f>inputs!$E$70*(inputs!$F$70/F692)^(0.25)</f>
        <v>2.7042020921926482</v>
      </c>
      <c r="W692" s="54">
        <f>inputs!$E$76*(inputs!$F$76/F692)^(0.25)</f>
        <v>0.81337298514425049</v>
      </c>
      <c r="X692" s="54">
        <f>inputs!$E$72*(inputs!$F$72/F692)^(0.25)</f>
        <v>119.30303347908743</v>
      </c>
      <c r="Y692" s="54" t="s">
        <v>13</v>
      </c>
      <c r="Z692" s="106">
        <f t="shared" si="83"/>
        <v>27.787310612267852</v>
      </c>
      <c r="AA692" s="106">
        <f t="shared" si="84"/>
        <v>92.383820051234295</v>
      </c>
    </row>
    <row r="693" spans="1:27" x14ac:dyDescent="0.25">
      <c r="A693" s="55" t="s">
        <v>546</v>
      </c>
      <c r="B693" s="49" t="s">
        <v>547</v>
      </c>
      <c r="C693" s="21" t="s">
        <v>61</v>
      </c>
      <c r="D693" s="20" t="s">
        <v>443</v>
      </c>
      <c r="E693" s="20">
        <v>53</v>
      </c>
      <c r="F693" s="21">
        <v>12</v>
      </c>
      <c r="G693" s="21" t="s">
        <v>145</v>
      </c>
      <c r="H693" s="21">
        <v>0.66</v>
      </c>
      <c r="I693" s="48">
        <f>MAX('Min rate concentrations'!$M$3:$M$368)</f>
        <v>2.8488184789681945</v>
      </c>
      <c r="J693" s="48">
        <f>MAX('Min rate concentrations'!AE:AE)</f>
        <v>1.9699276716269429</v>
      </c>
      <c r="K693" s="60">
        <f t="shared" si="86"/>
        <v>1.7609800568613763</v>
      </c>
      <c r="L693" s="60">
        <f>(((0.621*F693^0.564)/(1-H693)))*J693/F693</f>
        <v>1.2176989754892495</v>
      </c>
      <c r="M693" s="60">
        <f>IF((((0.326*F693^0.818)-(0.398*F693^0.85)/(1-H693)*H693)*(MAX('Min rate concentrations'!$P$3:$P$368)))/F693&gt;0, (((0.326*F693^0.818)-(0.398*F693^0.85)/(1-H693)*H693)*(MAX('Min rate concentrations'!$P$3:$P$368)))/F693, 0)</f>
        <v>0</v>
      </c>
      <c r="N693" s="60">
        <f>IF((((0.326*F693^0.818)-(0.398*F693^0.85)/(1-H693)*H693)*(MAX('Min rate concentrations'!$Q$3:$Q$368)))/F693&gt; 0, (((0.326*F693^0.818)-(0.398*F693^0.85)/(1-H693)*H693)*(MAX('Min rate concentrations'!$Q$3:$Q$368)))/F693, 0)</f>
        <v>0</v>
      </c>
      <c r="O693" s="60">
        <f>((MAX('Min rate concentrations'!$F$3:$F$368))*0.62*6.01*8*(12.3*F693^0.65)*0.079*0.1/F693)*inputs!$E$73/inputs!$E$74</f>
        <v>18.908478773287541</v>
      </c>
      <c r="P693" s="60">
        <f>((MAX('Min rate concentrations'!Y:Y))*0.62*6.01*8*(12.3*F693^0.65)*0.079*0.1/F693)*inputs!$E$73/inputs!$E$74</f>
        <v>6.3028262577625114</v>
      </c>
      <c r="Q693" s="60">
        <f>(inputs!$C$7*11.2*(12.3*F693^0.65)*0.5/F693)*inputs!$E$73/inputs!$E$74</f>
        <v>3.330639352597959</v>
      </c>
      <c r="R693" s="60">
        <f>(60*379*((F693/1000)^0.8)*3*24*(MAX('Min rate concentrations'!$R$3:$R$368))/F693)*(inputs!$E$73/inputs!$E$75)</f>
        <v>4.4559592309452237E-3</v>
      </c>
      <c r="S693" s="60">
        <f>(IF(inputs!$C$6="aerial",((0.025*0.112*inputs!$C$7/3.3)*(3*60*379*((F693/1000)^0.8))*MAX(inputs!$H$14:$H$16))/F693,((0.0083*0.112*inputs!$C$7/1)*(3*60*379*((F693/1000)^0.8))*MAX(inputs!$H$14:$H$16))/F693))*(inputs!E$75/inputs!$E$73)</f>
        <v>2.4574888925264021E-2</v>
      </c>
      <c r="T693" s="63">
        <f>IF((((inputs!$P$12/(V693/MAX(K693:S693)))^(1/inputs!$O$12))-1)/inputs!$N$12&lt;0, 0, IF((((inputs!$P$12/(V693/MAX(K693:S693)))^(1/inputs!$O$12))-1)/inputs!$N$12&gt;inputs!$H$17, inputs!$H$17, (((inputs!$P$12/(V693/MAX(K693:S693)))^(1/inputs!$O$12))-1)/inputs!$N$12))</f>
        <v>17.984115705891043</v>
      </c>
      <c r="U693" s="63">
        <f>IF((((inputs!$P$12/(X693/MAX(K693:S693)))^(1/inputs!$O$12))-1)/inputs!$N$12&lt;0, 0, IF((((inputs!$P$12/(X693/MAX(K693:S693)))^(1/inputs!$O$12))-1)/inputs!$N$12&gt;inputs!$H$17, inputs!$H$17, (((inputs!$P$12/(X693/MAX(K693:S693)))^(1/inputs!$O$12))-1)/inputs!$N$12))</f>
        <v>0</v>
      </c>
      <c r="V693" s="54">
        <f>inputs!$E$70*(inputs!$F$70/F693)^(0.25)</f>
        <v>2.7042020921926482</v>
      </c>
      <c r="W693" s="54">
        <f>inputs!$E$76*(inputs!$F$76/F693)^(0.25)</f>
        <v>0.81337298514425049</v>
      </c>
      <c r="X693" s="54">
        <f>inputs!$E$72*(inputs!$F$72/F693)^(0.25)</f>
        <v>119.30303347908743</v>
      </c>
      <c r="Y693" s="54" t="s">
        <v>13</v>
      </c>
      <c r="Z693" s="106">
        <f t="shared" si="83"/>
        <v>6.9922580223861814</v>
      </c>
      <c r="AA693" s="106">
        <f t="shared" si="84"/>
        <v>23.2469962964582</v>
      </c>
    </row>
    <row r="694" spans="1:27" x14ac:dyDescent="0.25">
      <c r="A694" s="55" t="s">
        <v>546</v>
      </c>
      <c r="B694" s="49" t="s">
        <v>547</v>
      </c>
      <c r="C694" s="21" t="s">
        <v>61</v>
      </c>
      <c r="D694" s="20" t="s">
        <v>443</v>
      </c>
      <c r="E694" s="20">
        <v>53</v>
      </c>
      <c r="F694" s="21">
        <v>12</v>
      </c>
      <c r="G694" s="21" t="s">
        <v>154</v>
      </c>
      <c r="H694" s="21">
        <v>9.2999999999999999E-2</v>
      </c>
      <c r="I694" s="48">
        <f>MAX('Min rate concentrations'!$G$3:$G$368)</f>
        <v>7.5</v>
      </c>
      <c r="J694" s="48">
        <f>MAX('Min rate concentrations'!Z:Z)</f>
        <v>3.5</v>
      </c>
      <c r="K694" s="60">
        <f t="shared" si="86"/>
        <v>1.7378910763660633</v>
      </c>
      <c r="L694" s="60"/>
      <c r="M694" s="60">
        <f>IF((((0.326*F694^0.818)-(0.398*F694^0.85)/(1-H694)*H694)*(MAX('Min rate concentrations'!$P$3:$P$368)))/F694&gt;0, (((0.326*F694^0.818)-(0.398*F694^0.85)/(1-H694)*H694)*(MAX('Min rate concentrations'!$P$3:$P$368)))/F694, 0)</f>
        <v>2.6023247729384608E-2</v>
      </c>
      <c r="N694" s="60">
        <f>IF((((0.326*F694^0.818)-(0.398*F694^0.85)/(1-H694)*H694)*(MAX('Min rate concentrations'!$Q$3:$Q$368)))/F694&gt; 0, (((0.326*F694^0.818)-(0.398*F694^0.85)/(1-H694)*H694)*(MAX('Min rate concentrations'!$Q$3:$Q$368)))/F694, 0)</f>
        <v>9.9097925626449576E-2</v>
      </c>
      <c r="O694" s="60">
        <f>((MAX('Min rate concentrations'!$F$3:$F$368))*0.62*6.01*8*(12.3*F694^0.65)*0.079*0.1/F694)*inputs!$E$73/inputs!$E$74</f>
        <v>18.908478773287541</v>
      </c>
      <c r="P694" s="60"/>
      <c r="Q694" s="60">
        <f>(inputs!$C$7*11.2*(12.3*F694^0.65)*0.5/F694)*inputs!$E$73/inputs!$E$74</f>
        <v>3.330639352597959</v>
      </c>
      <c r="R694" s="60">
        <f>(60*379*((F694/1000)^0.8)*3*24*(MAX('Min rate concentrations'!$R$3:$R$368))/F694)*(inputs!$E$73/inputs!$E$75)</f>
        <v>4.4559592309452237E-3</v>
      </c>
      <c r="S694" s="60">
        <f>(IF(inputs!$C$6="aerial",((0.025*0.112*inputs!$C$7/3.3)*(3*60*379*((F694/1000)^0.8))*MAX(inputs!$H$14:$H$16))/F694,((0.0083*0.112*inputs!$C$7/1)*(3*60*379*((F694/1000)^0.8))*MAX(inputs!$H$14:$H$16))/F694))*(inputs!E$75/inputs!$E$73)</f>
        <v>2.4574888925264021E-2</v>
      </c>
      <c r="T694" s="63">
        <f>IF((((inputs!$P$12/(V694/MAX(K694:S694)))^(1/inputs!$O$12))-1)/inputs!$N$12&lt;0, 0, IF((((inputs!$P$12/(V694/MAX(K694:S694)))^(1/inputs!$O$12))-1)/inputs!$N$12&gt;inputs!$H$17, inputs!$H$17, (((inputs!$P$12/(V694/MAX(K694:S694)))^(1/inputs!$O$12))-1)/inputs!$N$12))</f>
        <v>17.984115705891043</v>
      </c>
      <c r="U694" s="63">
        <f>IF((((inputs!$P$12/(X694/MAX(K694:S694)))^(1/inputs!$O$12))-1)/inputs!$N$12&lt;0, 0, IF((((inputs!$P$12/(X694/MAX(K694:S694)))^(1/inputs!$O$12))-1)/inputs!$N$12&gt;inputs!$H$17, inputs!$H$17, (((inputs!$P$12/(X694/MAX(K694:S694)))^(1/inputs!$O$12))-1)/inputs!$N$12))</f>
        <v>0</v>
      </c>
      <c r="V694" s="54">
        <f>inputs!$E$70*(inputs!$F$70/F694)^(0.25)</f>
        <v>2.7042020921926482</v>
      </c>
      <c r="W694" s="54">
        <f>inputs!$E$76*(inputs!$F$76/F694)^(0.25)</f>
        <v>0.81337298514425049</v>
      </c>
      <c r="X694" s="54">
        <f>inputs!$E$72*(inputs!$F$72/F694)^(0.25)</f>
        <v>119.30303347908743</v>
      </c>
      <c r="Y694" s="54" t="s">
        <v>13</v>
      </c>
      <c r="Z694" s="106">
        <f t="shared" si="83"/>
        <v>6.9922580223861814</v>
      </c>
      <c r="AA694" s="106">
        <f t="shared" si="84"/>
        <v>23.2469962964582</v>
      </c>
    </row>
    <row r="695" spans="1:27" x14ac:dyDescent="0.25">
      <c r="A695" s="55" t="s">
        <v>590</v>
      </c>
      <c r="B695" s="49" t="s">
        <v>591</v>
      </c>
      <c r="C695" s="21" t="s">
        <v>61</v>
      </c>
      <c r="D695" s="20" t="s">
        <v>443</v>
      </c>
      <c r="E695" s="20">
        <v>2299</v>
      </c>
      <c r="F695" s="21">
        <v>120</v>
      </c>
      <c r="G695" s="21" t="s">
        <v>169</v>
      </c>
      <c r="H695" s="21">
        <v>0.79</v>
      </c>
      <c r="I695" s="48">
        <f>MAX('Min rate concentrations'!$D$3:$D$368)</f>
        <v>120</v>
      </c>
      <c r="J695" s="48">
        <f>MAX('Min rate concentrations'!W:W)</f>
        <v>42.5</v>
      </c>
      <c r="K695" s="60">
        <f t="shared" si="86"/>
        <v>44.007888156975483</v>
      </c>
      <c r="L695" s="60">
        <f>(((0.621*F695^0.564)/(1-H695)))*J695/F695</f>
        <v>15.586127055595483</v>
      </c>
      <c r="M695" s="60">
        <f>IF((((0.326*F695^0.818)-(0.398*F695^0.85)/(1-H695)*H695)*(MAX('Min rate concentrations'!$P$3:$P$368)))/F695&gt;0, (((0.326*F695^0.818)-(0.398*F695^0.85)/(1-H695)*H695)*(MAX('Min rate concentrations'!$P$3:$P$368)))/F695, 0)</f>
        <v>0</v>
      </c>
      <c r="N695" s="60">
        <f>IF((((0.326*F695^0.818)-(0.398*F695^0.85)/(1-H695)*H695)*(MAX('Min rate concentrations'!$Q$3:$Q$368)))/F695&gt; 0, (((0.326*F695^0.818)-(0.398*F695^0.85)/(1-H695)*H695)*(MAX('Min rate concentrations'!$Q$3:$Q$368)))/F695, 0)</f>
        <v>0</v>
      </c>
      <c r="O695" s="60">
        <f>((MAX('Min rate concentrations'!$F$3:$F$368))*0.62*6.01*8*(12.3*F695^0.65)*0.079*0.1/F695)*inputs!$E$73/inputs!$E$74</f>
        <v>8.4461072205623111</v>
      </c>
      <c r="P695" s="60">
        <f>((MAX('Min rate concentrations'!Y:Y))*0.62*6.01*8*(12.3*F695^0.65)*0.079*0.1/F695)*inputs!$E$73/inputs!$E$74</f>
        <v>2.8153690735207699</v>
      </c>
      <c r="Q695" s="60">
        <f>(inputs!$C$7*11.2*(12.3*F695^0.65)*0.5/F695)*inputs!$E$73/inputs!$E$74</f>
        <v>1.4877419501778142</v>
      </c>
      <c r="R695" s="60">
        <f>(60*379*((F695/1000)^0.8)*3*24*(MAX('Min rate concentrations'!$R$3:$R$368))/F695)*(inputs!$E$73/inputs!$E$75)</f>
        <v>2.8115202034692029E-3</v>
      </c>
      <c r="S695" s="60">
        <f>(IF(inputs!$C$6="aerial",((0.025*0.112*inputs!$C$7/3.3)*(3*60*379*((F695/1000)^0.8))*MAX(inputs!$H$14:$H$16))/F695,((0.0083*0.112*inputs!$C$7/1)*(3*60*379*((F695/1000)^0.8))*MAX(inputs!$H$14:$H$16))/F695))*(inputs!E$75/inputs!$E$73)</f>
        <v>1.5505706657180304E-2</v>
      </c>
      <c r="T695" s="63">
        <f>IF((((inputs!$P$12/(V695/MAX(K695:S695)))^(1/inputs!$O$12))-1)/inputs!$N$12&lt;0, 0, IF((((inputs!$P$12/(V695/MAX(K695:S695)))^(1/inputs!$O$12))-1)/inputs!$N$12&gt;inputs!$H$17, inputs!$H$17, (((inputs!$P$12/(V695/MAX(K695:S695)))^(1/inputs!$O$12))-1)/inputs!$N$12))</f>
        <v>54.326296714606798</v>
      </c>
      <c r="U695" s="63">
        <f>IF((((inputs!$P$12/(X695/MAX(K695:S695)))^(1/inputs!$O$12))-1)/inputs!$N$12&lt;0, 0, IF((((inputs!$P$12/(X695/MAX(K695:S695)))^(1/inputs!$O$12))-1)/inputs!$N$12&gt;inputs!$H$17, inputs!$H$17, (((inputs!$P$12/(X695/MAX(K695:S695)))^(1/inputs!$O$12))-1)/inputs!$N$12))</f>
        <v>0</v>
      </c>
      <c r="V695" s="54">
        <f>inputs!$E$70*(inputs!$F$70/F695)^(0.25)</f>
        <v>1.5206845881061284</v>
      </c>
      <c r="W695" s="54">
        <f>inputs!$E$76*(inputs!$F$76/F695)^(0.25)</f>
        <v>0.45739324234004791</v>
      </c>
      <c r="X695" s="54">
        <f>inputs!$E$72*(inputs!$F$72/F695)^(0.25)</f>
        <v>67.089025945858609</v>
      </c>
      <c r="Y695" s="54" t="s">
        <v>13</v>
      </c>
      <c r="Z695" s="106">
        <f t="shared" si="83"/>
        <v>28.939524015156376</v>
      </c>
      <c r="AA695" s="106">
        <f t="shared" si="84"/>
        <v>96.214556935360065</v>
      </c>
    </row>
    <row r="696" spans="1:27" x14ac:dyDescent="0.25">
      <c r="A696" s="55" t="s">
        <v>590</v>
      </c>
      <c r="B696" s="49" t="s">
        <v>591</v>
      </c>
      <c r="C696" s="21" t="s">
        <v>61</v>
      </c>
      <c r="D696" s="20" t="s">
        <v>443</v>
      </c>
      <c r="E696" s="20">
        <v>2299</v>
      </c>
      <c r="F696" s="21">
        <v>120</v>
      </c>
      <c r="G696" s="21" t="s">
        <v>177</v>
      </c>
      <c r="H696" s="21">
        <v>0.85</v>
      </c>
      <c r="I696" s="48">
        <f>MAX('Min rate concentrations'!$F$3:$F$368)</f>
        <v>67.5</v>
      </c>
      <c r="J696" s="48">
        <f>MAX('Min rate concentrations'!Y:Y)</f>
        <v>22.5</v>
      </c>
      <c r="K696" s="60">
        <f t="shared" si="86"/>
        <v>34.656211923618187</v>
      </c>
      <c r="L696" s="60">
        <f>(((0.621*F696^0.564)/(1-H696)))*J696/F696</f>
        <v>11.552070641206061</v>
      </c>
      <c r="M696" s="60">
        <f>IF((((0.326*F696^0.818)-(0.398*F696^0.85)/(1-H696)*H696)*(MAX('Min rate concentrations'!$P$3:$P$368)))/F696&gt;0, (((0.326*F696^0.818)-(0.398*F696^0.85)/(1-H696)*H696)*(MAX('Min rate concentrations'!$P$3:$P$368)))/F696, 0)</f>
        <v>0</v>
      </c>
      <c r="N696" s="60">
        <f>IF((((0.326*F696^0.818)-(0.398*F696^0.85)/(1-H696)*H696)*(MAX('Min rate concentrations'!$Q$3:$Q$368)))/F696&gt; 0, (((0.326*F696^0.818)-(0.398*F696^0.85)/(1-H696)*H696)*(MAX('Min rate concentrations'!$Q$3:$Q$368)))/F696, 0)</f>
        <v>0</v>
      </c>
      <c r="O696" s="60">
        <f>((MAX('Min rate concentrations'!$F$3:$F$368))*0.62*6.01*8*(12.3*F696^0.65)*0.079*0.1/F696)*inputs!$E$73/inputs!$E$74</f>
        <v>8.4461072205623111</v>
      </c>
      <c r="P696" s="60">
        <f>((MAX('Min rate concentrations'!Y:Y))*0.62*6.01*8*(12.3*F696^0.65)*0.079*0.1/F696)*inputs!$E$73/inputs!$E$74</f>
        <v>2.8153690735207699</v>
      </c>
      <c r="Q696" s="60">
        <f>(inputs!$C$7*11.2*(12.3*F696^0.65)*0.5/F696)*inputs!$E$73/inputs!$E$74</f>
        <v>1.4877419501778142</v>
      </c>
      <c r="R696" s="60">
        <f>(60*379*((F696/1000)^0.8)*3*24*(MAX('Min rate concentrations'!$R$3:$R$368))/F696)*(inputs!$E$73/inputs!$E$75)</f>
        <v>2.8115202034692029E-3</v>
      </c>
      <c r="S696" s="60">
        <f>(IF(inputs!$C$6="aerial",((0.025*0.112*inputs!$C$7/3.3)*(3*60*379*((F696/1000)^0.8))*MAX(inputs!$H$14:$H$16))/F696,((0.0083*0.112*inputs!$C$7/1)*(3*60*379*((F696/1000)^0.8))*MAX(inputs!$H$14:$H$16))/F696))*(inputs!E$75/inputs!$E$73)</f>
        <v>1.5505706657180304E-2</v>
      </c>
      <c r="T696" s="63">
        <f>IF((((inputs!$P$12/(V696/MAX(K696:S696)))^(1/inputs!$O$12))-1)/inputs!$N$12&lt;0, 0, IF((((inputs!$P$12/(V696/MAX(K696:S696)))^(1/inputs!$O$12))-1)/inputs!$N$12&gt;inputs!$H$17, inputs!$H$17, (((inputs!$P$12/(V696/MAX(K696:S696)))^(1/inputs!$O$12))-1)/inputs!$N$12))</f>
        <v>46.657962072165958</v>
      </c>
      <c r="U696" s="63">
        <f>IF((((inputs!$P$12/(X696/MAX(K696:S696)))^(1/inputs!$O$12))-1)/inputs!$N$12&lt;0, 0, IF((((inputs!$P$12/(X696/MAX(K696:S696)))^(1/inputs!$O$12))-1)/inputs!$N$12&gt;inputs!$H$17, inputs!$H$17, (((inputs!$P$12/(X696/MAX(K696:S696)))^(1/inputs!$O$12))-1)/inputs!$N$12))</f>
        <v>0</v>
      </c>
      <c r="V696" s="54">
        <f>inputs!$E$70*(inputs!$F$70/F696)^(0.25)</f>
        <v>1.5206845881061284</v>
      </c>
      <c r="W696" s="54">
        <f>inputs!$E$76*(inputs!$F$76/F696)^(0.25)</f>
        <v>0.45739324234004791</v>
      </c>
      <c r="X696" s="54">
        <f>inputs!$E$72*(inputs!$F$72/F696)^(0.25)</f>
        <v>67.089025945858609</v>
      </c>
      <c r="Y696" s="54" t="s">
        <v>13</v>
      </c>
      <c r="Z696" s="106">
        <f t="shared" si="83"/>
        <v>22.78987516193564</v>
      </c>
      <c r="AA696" s="106">
        <f t="shared" si="84"/>
        <v>75.768963586596044</v>
      </c>
    </row>
    <row r="697" spans="1:27" x14ac:dyDescent="0.25">
      <c r="A697" s="55" t="s">
        <v>590</v>
      </c>
      <c r="B697" s="49" t="s">
        <v>591</v>
      </c>
      <c r="C697" s="21" t="s">
        <v>61</v>
      </c>
      <c r="D697" s="20" t="s">
        <v>443</v>
      </c>
      <c r="E697" s="20">
        <v>2299</v>
      </c>
      <c r="F697" s="21">
        <v>120</v>
      </c>
      <c r="G697" s="21" t="s">
        <v>154</v>
      </c>
      <c r="H697" s="21">
        <v>9.2999999999999999E-2</v>
      </c>
      <c r="I697" s="48">
        <f>MAX('Min rate concentrations'!$G$3:$G$368)</f>
        <v>7.5</v>
      </c>
      <c r="J697" s="48">
        <f>MAX('Min rate concentrations'!Z:Z)</f>
        <v>3.5</v>
      </c>
      <c r="K697" s="60">
        <f t="shared" si="86"/>
        <v>0.63682859102569256</v>
      </c>
      <c r="L697" s="60"/>
      <c r="M697" s="60">
        <f>IF((((0.326*F697^0.818)-(0.398*F697^0.85)/(1-H697)*H697)*(MAX('Min rate concentrations'!$P$3:$P$368)))/F697&gt;0, (((0.326*F697^0.818)-(0.398*F697^0.85)/(1-H697)*H697)*(MAX('Min rate concentrations'!$P$3:$P$368)))/F697, 0)</f>
        <v>1.6909202628952229E-2</v>
      </c>
      <c r="N697" s="60">
        <f>IF((((0.326*F697^0.818)-(0.398*F697^0.85)/(1-H697)*H697)*(MAX('Min rate concentrations'!$Q$3:$Q$368)))/F697&gt; 0, (((0.326*F697^0.818)-(0.398*F697^0.85)/(1-H697)*H697)*(MAX('Min rate concentrations'!$Q$3:$Q$368)))/F697, 0)</f>
        <v>6.4391152171001512E-2</v>
      </c>
      <c r="O697" s="60">
        <f>((MAX('Min rate concentrations'!$F$3:$F$368))*0.62*6.01*8*(12.3*F697^0.65)*0.079*0.1/F697)*inputs!$E$73/inputs!$E$74</f>
        <v>8.4461072205623111</v>
      </c>
      <c r="P697" s="60"/>
      <c r="Q697" s="60">
        <f>(inputs!$C$7*11.2*(12.3*F697^0.65)*0.5/F697)*inputs!$E$73/inputs!$E$74</f>
        <v>1.4877419501778142</v>
      </c>
      <c r="R697" s="60">
        <f>(60*379*((F697/1000)^0.8)*3*24*(MAX('Min rate concentrations'!$R$3:$R$368))/F697)*(inputs!$E$73/inputs!$E$75)</f>
        <v>2.8115202034692029E-3</v>
      </c>
      <c r="S697" s="60">
        <f>(IF(inputs!$C$6="aerial",((0.025*0.112*inputs!$C$7/3.3)*(3*60*379*((F697/1000)^0.8))*MAX(inputs!$H$14:$H$16))/F697,((0.0083*0.112*inputs!$C$7/1)*(3*60*379*((F697/1000)^0.8))*MAX(inputs!$H$14:$H$16))/F697))*(inputs!E$75/inputs!$E$73)</f>
        <v>1.5505706657180304E-2</v>
      </c>
      <c r="T697" s="63">
        <f>IF((((inputs!$P$12/(V697/MAX(K697:S697)))^(1/inputs!$O$12))-1)/inputs!$N$12&lt;0, 0, IF((((inputs!$P$12/(V697/MAX(K697:S697)))^(1/inputs!$O$12))-1)/inputs!$N$12&gt;inputs!$H$17, inputs!$H$17, (((inputs!$P$12/(V697/MAX(K697:S697)))^(1/inputs!$O$12))-1)/inputs!$N$12))</f>
        <v>13.829210279573683</v>
      </c>
      <c r="U697" s="63">
        <f>IF((((inputs!$P$12/(X697/MAX(K697:S697)))^(1/inputs!$O$12))-1)/inputs!$N$12&lt;0, 0, IF((((inputs!$P$12/(X697/MAX(K697:S697)))^(1/inputs!$O$12))-1)/inputs!$N$12&gt;inputs!$H$17, inputs!$H$17, (((inputs!$P$12/(X697/MAX(K697:S697)))^(1/inputs!$O$12))-1)/inputs!$N$12))</f>
        <v>0</v>
      </c>
      <c r="V697" s="54">
        <f>inputs!$E$70*(inputs!$F$70/F697)^(0.25)</f>
        <v>1.5206845881061284</v>
      </c>
      <c r="W697" s="54">
        <f>inputs!$E$76*(inputs!$F$76/F697)^(0.25)</f>
        <v>0.45739324234004791</v>
      </c>
      <c r="X697" s="54">
        <f>inputs!$E$72*(inputs!$F$72/F697)^(0.25)</f>
        <v>67.089025945858609</v>
      </c>
      <c r="Y697" s="54" t="s">
        <v>13</v>
      </c>
      <c r="Z697" s="106">
        <f t="shared" si="83"/>
        <v>5.5541479716587085</v>
      </c>
      <c r="AA697" s="106">
        <f t="shared" si="84"/>
        <v>18.465745530807542</v>
      </c>
    </row>
    <row r="698" spans="1:27" x14ac:dyDescent="0.25">
      <c r="A698" s="55" t="s">
        <v>548</v>
      </c>
      <c r="B698" s="49" t="s">
        <v>549</v>
      </c>
      <c r="C698" s="21" t="s">
        <v>61</v>
      </c>
      <c r="D698" s="20" t="s">
        <v>443</v>
      </c>
      <c r="E698" s="20">
        <v>54</v>
      </c>
      <c r="F698" s="21">
        <v>15</v>
      </c>
      <c r="G698" s="21" t="s">
        <v>182</v>
      </c>
      <c r="H698" s="21">
        <v>0.85</v>
      </c>
      <c r="I698" s="48">
        <f>MAX('Min rate concentrations'!$M$3:$M$368)</f>
        <v>2.8488184789681945</v>
      </c>
      <c r="J698" s="48">
        <f>MAX('Min rate concentrations'!AE:AE)</f>
        <v>1.9699276716269429</v>
      </c>
      <c r="K698" s="60">
        <f t="shared" si="86"/>
        <v>3.6215070077667764</v>
      </c>
      <c r="L698" s="60">
        <f t="shared" ref="L698:L706" si="88">(((0.621*F698^0.564)/(1-H698)))*J698/F698</f>
        <v>2.5042335692004305</v>
      </c>
      <c r="M698" s="60">
        <f>IF((((0.326*F698^0.818)-(0.398*F698^0.85)/(1-H698)*H698)*(MAX('Min rate concentrations'!$P$3:$P$368)))/F698&gt;0, (((0.326*F698^0.818)-(0.398*F698^0.85)/(1-H698)*H698)*(MAX('Min rate concentrations'!$P$3:$P$368)))/F698, 0)</f>
        <v>0</v>
      </c>
      <c r="N698" s="60">
        <f>IF((((0.326*F698^0.818)-(0.398*F698^0.85)/(1-H698)*H698)*(MAX('Min rate concentrations'!$Q$3:$Q$368)))/F698&gt; 0, (((0.326*F698^0.818)-(0.398*F698^0.85)/(1-H698)*H698)*(MAX('Min rate concentrations'!$Q$3:$Q$368)))/F698, 0)</f>
        <v>0</v>
      </c>
      <c r="O698" s="60">
        <f>((MAX('Min rate concentrations'!$F$3:$F$368))*0.62*6.01*8*(12.3*F698^0.65)*0.079*0.1/F698)*inputs!$E$73/inputs!$E$74</f>
        <v>17.4879170969031</v>
      </c>
      <c r="P698" s="60">
        <f>((MAX('Min rate concentrations'!Y:Y))*0.62*6.01*8*(12.3*F698^0.65)*0.079*0.1/F698)*inputs!$E$73/inputs!$E$74</f>
        <v>5.8293056989677003</v>
      </c>
      <c r="Q698" s="60">
        <f>(inputs!$C$7*11.2*(12.3*F698^0.65)*0.5/F698)*inputs!$E$73/inputs!$E$74</f>
        <v>3.0804141134929148</v>
      </c>
      <c r="R698" s="60">
        <f>(60*379*((F698/1000)^0.8)*3*24*(MAX('Min rate concentrations'!$R$3:$R$368))/F698)*(inputs!$E$73/inputs!$E$75)</f>
        <v>4.2614677494769567E-3</v>
      </c>
      <c r="S698" s="60">
        <f>(IF(inputs!$C$6="aerial",((0.025*0.112*inputs!$C$7/3.3)*(3*60*379*((F698/1000)^0.8))*MAX(inputs!$H$14:$H$16))/F698,((0.0083*0.112*inputs!$C$7/1)*(3*60*379*((F698/1000)^0.8))*MAX(inputs!$H$14:$H$16))/F698))*(inputs!E$75/inputs!$E$73)</f>
        <v>2.3502256455738741E-2</v>
      </c>
      <c r="T698" s="63">
        <f>IF((((inputs!$P$12/(V698/MAX(K698:S698)))^(1/inputs!$O$12))-1)/inputs!$N$12&lt;0, 0, IF((((inputs!$P$12/(V698/MAX(K698:S698)))^(1/inputs!$O$12))-1)/inputs!$N$12&gt;inputs!$H$17, inputs!$H$17, (((inputs!$P$12/(V698/MAX(K698:S698)))^(1/inputs!$O$12))-1)/inputs!$N$12))</f>
        <v>17.564222818912587</v>
      </c>
      <c r="U698" s="63">
        <f>IF((((inputs!$P$12/(X698/MAX(K698:S698)))^(1/inputs!$O$12))-1)/inputs!$N$12&lt;0, 0, IF((((inputs!$P$12/(X698/MAX(K698:S698)))^(1/inputs!$O$12))-1)/inputs!$N$12&gt;inputs!$H$17, inputs!$H$17, (((inputs!$P$12/(X698/MAX(K698:S698)))^(1/inputs!$O$12))-1)/inputs!$N$12))</f>
        <v>0</v>
      </c>
      <c r="V698" s="54">
        <f>inputs!$E$70*(inputs!$F$70/F698)^(0.25)</f>
        <v>2.5574764377400299</v>
      </c>
      <c r="W698" s="54">
        <f>inputs!$E$76*(inputs!$F$76/F698)^(0.25)</f>
        <v>0.76924067569003962</v>
      </c>
      <c r="X698" s="54">
        <f>inputs!$E$72*(inputs!$F$72/F698)^(0.25)</f>
        <v>112.82984284147192</v>
      </c>
      <c r="Y698" s="54" t="s">
        <v>13</v>
      </c>
      <c r="Z698" s="106">
        <f t="shared" si="83"/>
        <v>6.8379582461986166</v>
      </c>
      <c r="AA698" s="106">
        <f t="shared" si="84"/>
        <v>22.733999448502562</v>
      </c>
    </row>
    <row r="699" spans="1:27" x14ac:dyDescent="0.25">
      <c r="A699" s="55" t="s">
        <v>548</v>
      </c>
      <c r="B699" s="49" t="s">
        <v>549</v>
      </c>
      <c r="C699" s="21" t="s">
        <v>61</v>
      </c>
      <c r="D699" s="20" t="s">
        <v>443</v>
      </c>
      <c r="E699" s="20">
        <v>54</v>
      </c>
      <c r="F699" s="21">
        <v>15</v>
      </c>
      <c r="G699" s="21" t="s">
        <v>142</v>
      </c>
      <c r="H699" s="21">
        <v>0.69</v>
      </c>
      <c r="I699" s="48">
        <f>MAX('Min rate concentrations'!$H$3:$H$368)</f>
        <v>47</v>
      </c>
      <c r="J699" s="48">
        <f>MAX('Min rate concentrations'!AA:AA)</f>
        <v>32.5</v>
      </c>
      <c r="K699" s="60">
        <f t="shared" si="86"/>
        <v>28.910258527545217</v>
      </c>
      <c r="L699" s="60">
        <f t="shared" si="88"/>
        <v>19.991136215855736</v>
      </c>
      <c r="M699" s="60">
        <f>IF((((0.326*F699^0.818)-(0.398*F699^0.85)/(1-H699)*H699)*(MAX('Min rate concentrations'!$P$3:$P$368)))/F699&gt;0, (((0.326*F699^0.818)-(0.398*F699^0.85)/(1-H699)*H699)*(MAX('Min rate concentrations'!$P$3:$P$368)))/F699, 0)</f>
        <v>0</v>
      </c>
      <c r="N699" s="60">
        <f>IF((((0.326*F699^0.818)-(0.398*F699^0.85)/(1-H699)*H699)*(MAX('Min rate concentrations'!$Q$3:$Q$368)))/F699&gt; 0, (((0.326*F699^0.818)-(0.398*F699^0.85)/(1-H699)*H699)*(MAX('Min rate concentrations'!$Q$3:$Q$368)))/F699, 0)</f>
        <v>0</v>
      </c>
      <c r="O699" s="60">
        <f>((MAX('Min rate concentrations'!$F$3:$F$368))*0.62*6.01*8*(12.3*F699^0.65)*0.079*0.1/F699)*inputs!$E$73/inputs!$E$74</f>
        <v>17.4879170969031</v>
      </c>
      <c r="P699" s="60">
        <f>((MAX('Min rate concentrations'!Y:Y))*0.62*6.01*8*(12.3*F699^0.65)*0.079*0.1/F699)*inputs!$E$73/inputs!$E$74</f>
        <v>5.8293056989677003</v>
      </c>
      <c r="Q699" s="60">
        <f>(inputs!$C$7*11.2*(12.3*F699^0.65)*0.5/F699)*inputs!$E$73/inputs!$E$74</f>
        <v>3.0804141134929148</v>
      </c>
      <c r="R699" s="60">
        <f>(60*379*((F699/1000)^0.8)*3*24*(MAX('Min rate concentrations'!$R$3:$R$368))/F699)*(inputs!$E$73/inputs!$E$75)</f>
        <v>4.2614677494769567E-3</v>
      </c>
      <c r="S699" s="60">
        <f>(IF(inputs!$C$6="aerial",((0.025*0.112*inputs!$C$7/3.3)*(3*60*379*((F699/1000)^0.8))*MAX(inputs!$H$14:$H$16))/F699,((0.0083*0.112*inputs!$C$7/1)*(3*60*379*((F699/1000)^0.8))*MAX(inputs!$H$14:$H$16))/F699))*(inputs!E$75/inputs!$E$73)</f>
        <v>2.3502256455738741E-2</v>
      </c>
      <c r="T699" s="63">
        <f>IF((((inputs!$P$12/(V699/MAX(K699:S699)))^(1/inputs!$O$12))-1)/inputs!$N$12&lt;0, 0, IF((((inputs!$P$12/(V699/MAX(K699:S699)))^(1/inputs!$O$12))-1)/inputs!$N$12&gt;inputs!$H$17, inputs!$H$17, (((inputs!$P$12/(V699/MAX(K699:S699)))^(1/inputs!$O$12))-1)/inputs!$N$12))</f>
        <v>28.012221766858875</v>
      </c>
      <c r="U699" s="63">
        <f>IF((((inputs!$P$12/(X699/MAX(K699:S699)))^(1/inputs!$O$12))-1)/inputs!$N$12&lt;0, 0, IF((((inputs!$P$12/(X699/MAX(K699:S699)))^(1/inputs!$O$12))-1)/inputs!$N$12&gt;inputs!$H$17, inputs!$H$17, (((inputs!$P$12/(X699/MAX(K699:S699)))^(1/inputs!$O$12))-1)/inputs!$N$12))</f>
        <v>0</v>
      </c>
      <c r="V699" s="54">
        <f>inputs!$E$70*(inputs!$F$70/F699)^(0.25)</f>
        <v>2.5574764377400299</v>
      </c>
      <c r="W699" s="54">
        <f>inputs!$E$76*(inputs!$F$76/F699)^(0.25)</f>
        <v>0.76924067569003962</v>
      </c>
      <c r="X699" s="54">
        <f>inputs!$E$72*(inputs!$F$72/F699)^(0.25)</f>
        <v>112.82984284147192</v>
      </c>
      <c r="Y699" s="54" t="s">
        <v>13</v>
      </c>
      <c r="Z699" s="106">
        <f t="shared" si="83"/>
        <v>11.304213051946004</v>
      </c>
      <c r="AA699" s="106">
        <f t="shared" si="84"/>
        <v>37.582852078917384</v>
      </c>
    </row>
    <row r="700" spans="1:27" x14ac:dyDescent="0.25">
      <c r="A700" s="55" t="s">
        <v>548</v>
      </c>
      <c r="B700" s="49" t="s">
        <v>549</v>
      </c>
      <c r="C700" s="21" t="s">
        <v>61</v>
      </c>
      <c r="D700" s="20" t="s">
        <v>443</v>
      </c>
      <c r="E700" s="20">
        <v>54</v>
      </c>
      <c r="F700" s="21">
        <v>15</v>
      </c>
      <c r="G700" s="21" t="s">
        <v>152</v>
      </c>
      <c r="H700" s="21">
        <v>0.77</v>
      </c>
      <c r="I700" s="48">
        <f>MAX('Min rate concentrations'!$G$3:$G$368)</f>
        <v>7.5</v>
      </c>
      <c r="J700" s="48">
        <f>MAX('Min rate concentrations'!Z:Z)</f>
        <v>3.5</v>
      </c>
      <c r="K700" s="60">
        <f t="shared" si="86"/>
        <v>6.2179788229919186</v>
      </c>
      <c r="L700" s="60">
        <f t="shared" si="88"/>
        <v>2.9017234507295622</v>
      </c>
      <c r="M700" s="60">
        <f>IF((((0.326*F700^0.818)-(0.398*F700^0.85)/(1-H700)*H700)*(MAX('Min rate concentrations'!$P$3:$P$368)))/F700&gt;0, (((0.326*F700^0.818)-(0.398*F700^0.85)/(1-H700)*H700)*(MAX('Min rate concentrations'!$P$3:$P$368)))/F700, 0)</f>
        <v>0</v>
      </c>
      <c r="N700" s="60">
        <f>IF((((0.326*F700^0.818)-(0.398*F700^0.85)/(1-H700)*H700)*(MAX('Min rate concentrations'!$Q$3:$Q$368)))/F700&gt; 0, (((0.326*F700^0.818)-(0.398*F700^0.85)/(1-H700)*H700)*(MAX('Min rate concentrations'!$Q$3:$Q$368)))/F700, 0)</f>
        <v>0</v>
      </c>
      <c r="O700" s="60">
        <f>((MAX('Min rate concentrations'!$F$3:$F$368))*0.62*6.01*8*(12.3*F700^0.65)*0.079*0.1/F700)*inputs!$E$73/inputs!$E$74</f>
        <v>17.4879170969031</v>
      </c>
      <c r="P700" s="60">
        <f>((MAX('Min rate concentrations'!Y:Y))*0.62*6.01*8*(12.3*F700^0.65)*0.079*0.1/F700)*inputs!$E$73/inputs!$E$74</f>
        <v>5.8293056989677003</v>
      </c>
      <c r="Q700" s="60">
        <f>(inputs!$C$7*11.2*(12.3*F700^0.65)*0.5/F700)*inputs!$E$73/inputs!$E$74</f>
        <v>3.0804141134929148</v>
      </c>
      <c r="R700" s="60">
        <f>(60*379*((F700/1000)^0.8)*3*24*(MAX('Min rate concentrations'!$R$3:$R$368))/F700)*(inputs!$E$73/inputs!$E$75)</f>
        <v>4.2614677494769567E-3</v>
      </c>
      <c r="S700" s="60">
        <f>(IF(inputs!$C$6="aerial",((0.025*0.112*inputs!$C$7/3.3)*(3*60*379*((F700/1000)^0.8))*MAX(inputs!$H$14:$H$16))/F700,((0.0083*0.112*inputs!$C$7/1)*(3*60*379*((F700/1000)^0.8))*MAX(inputs!$H$14:$H$16))/F700))*(inputs!E$75/inputs!$E$73)</f>
        <v>2.3502256455738741E-2</v>
      </c>
      <c r="T700" s="63">
        <f>IF((((inputs!$P$12/(V700/MAX(K700:S700)))^(1/inputs!$O$12))-1)/inputs!$N$12&lt;0, 0, IF((((inputs!$P$12/(V700/MAX(K700:S700)))^(1/inputs!$O$12))-1)/inputs!$N$12&gt;inputs!$H$17, inputs!$H$17, (((inputs!$P$12/(V700/MAX(K700:S700)))^(1/inputs!$O$12))-1)/inputs!$N$12))</f>
        <v>17.564222818912587</v>
      </c>
      <c r="U700" s="63">
        <f>IF((((inputs!$P$12/(X700/MAX(K700:S700)))^(1/inputs!$O$12))-1)/inputs!$N$12&lt;0, 0, IF((((inputs!$P$12/(X700/MAX(K700:S700)))^(1/inputs!$O$12))-1)/inputs!$N$12&gt;inputs!$H$17, inputs!$H$17, (((inputs!$P$12/(X700/MAX(K700:S700)))^(1/inputs!$O$12))-1)/inputs!$N$12))</f>
        <v>0</v>
      </c>
      <c r="V700" s="54">
        <f>inputs!$E$70*(inputs!$F$70/F700)^(0.25)</f>
        <v>2.5574764377400299</v>
      </c>
      <c r="W700" s="54">
        <f>inputs!$E$76*(inputs!$F$76/F700)^(0.25)</f>
        <v>0.76924067569003962</v>
      </c>
      <c r="X700" s="54">
        <f>inputs!$E$72*(inputs!$F$72/F700)^(0.25)</f>
        <v>112.82984284147192</v>
      </c>
      <c r="Y700" s="54" t="s">
        <v>13</v>
      </c>
      <c r="Z700" s="106">
        <f t="shared" si="83"/>
        <v>6.8379582461986166</v>
      </c>
      <c r="AA700" s="106">
        <f t="shared" si="84"/>
        <v>22.733999448502562</v>
      </c>
    </row>
    <row r="701" spans="1:27" x14ac:dyDescent="0.25">
      <c r="A701" s="55" t="s">
        <v>548</v>
      </c>
      <c r="B701" s="49" t="s">
        <v>549</v>
      </c>
      <c r="C701" s="21" t="s">
        <v>61</v>
      </c>
      <c r="D701" s="20" t="s">
        <v>443</v>
      </c>
      <c r="E701" s="20">
        <v>54</v>
      </c>
      <c r="F701" s="21">
        <v>15</v>
      </c>
      <c r="G701" s="21" t="s">
        <v>169</v>
      </c>
      <c r="H701" s="21">
        <v>0.79</v>
      </c>
      <c r="I701" s="48">
        <f>MAX('Min rate concentrations'!$D$3:$D$368)</f>
        <v>120</v>
      </c>
      <c r="J701" s="48">
        <f>MAX('Min rate concentrations'!W:W)</f>
        <v>42.5</v>
      </c>
      <c r="K701" s="60">
        <f t="shared" si="86"/>
        <v>108.96267651719174</v>
      </c>
      <c r="L701" s="60">
        <f t="shared" si="88"/>
        <v>38.590947933172075</v>
      </c>
      <c r="M701" s="60">
        <f>IF((((0.326*F701^0.818)-(0.398*F701^0.85)/(1-H701)*H701)*(MAX('Min rate concentrations'!$P$3:$P$368)))/F701&gt;0, (((0.326*F701^0.818)-(0.398*F701^0.85)/(1-H701)*H701)*(MAX('Min rate concentrations'!$P$3:$P$368)))/F701, 0)</f>
        <v>0</v>
      </c>
      <c r="N701" s="60">
        <f>IF((((0.326*F701^0.818)-(0.398*F701^0.85)/(1-H701)*H701)*(MAX('Min rate concentrations'!$Q$3:$Q$368)))/F701&gt; 0, (((0.326*F701^0.818)-(0.398*F701^0.85)/(1-H701)*H701)*(MAX('Min rate concentrations'!$Q$3:$Q$368)))/F701, 0)</f>
        <v>0</v>
      </c>
      <c r="O701" s="60">
        <f>((MAX('Min rate concentrations'!$F$3:$F$368))*0.62*6.01*8*(12.3*F701^0.65)*0.079*0.1/F701)*inputs!$E$73/inputs!$E$74</f>
        <v>17.4879170969031</v>
      </c>
      <c r="P701" s="60">
        <f>((MAX('Min rate concentrations'!Y:Y))*0.62*6.01*8*(12.3*F701^0.65)*0.079*0.1/F701)*inputs!$E$73/inputs!$E$74</f>
        <v>5.8293056989677003</v>
      </c>
      <c r="Q701" s="60">
        <f>(inputs!$C$7*11.2*(12.3*F701^0.65)*0.5/F701)*inputs!$E$73/inputs!$E$74</f>
        <v>3.0804141134929148</v>
      </c>
      <c r="R701" s="60">
        <f>(60*379*((F701/1000)^0.8)*3*24*(MAX('Min rate concentrations'!$R$3:$R$368))/F701)*(inputs!$E$73/inputs!$E$75)</f>
        <v>4.2614677494769567E-3</v>
      </c>
      <c r="S701" s="60">
        <f>(IF(inputs!$C$6="aerial",((0.025*0.112*inputs!$C$7/3.3)*(3*60*379*((F701/1000)^0.8))*MAX(inputs!$H$14:$H$16))/F701,((0.0083*0.112*inputs!$C$7/1)*(3*60*379*((F701/1000)^0.8))*MAX(inputs!$H$14:$H$16))/F701))*(inputs!E$75/inputs!$E$73)</f>
        <v>2.3502256455738741E-2</v>
      </c>
      <c r="T701" s="63">
        <f>IF((((inputs!$P$12/(V701/MAX(K701:S701)))^(1/inputs!$O$12))-1)/inputs!$N$12&lt;0, 0, IF((((inputs!$P$12/(V701/MAX(K701:S701)))^(1/inputs!$O$12))-1)/inputs!$N$12&gt;inputs!$H$17, inputs!$H$17, (((inputs!$P$12/(V701/MAX(K701:S701)))^(1/inputs!$O$12))-1)/inputs!$N$12))</f>
        <v>68.435293271862932</v>
      </c>
      <c r="U701" s="63">
        <f>IF((((inputs!$P$12/(X701/MAX(K701:S701)))^(1/inputs!$O$12))-1)/inputs!$N$12&lt;0, 0, IF((((inputs!$P$12/(X701/MAX(K701:S701)))^(1/inputs!$O$12))-1)/inputs!$N$12&gt;inputs!$H$17, inputs!$H$17, (((inputs!$P$12/(X701/MAX(K701:S701)))^(1/inputs!$O$12))-1)/inputs!$N$12))</f>
        <v>0</v>
      </c>
      <c r="V701" s="54">
        <f>inputs!$E$70*(inputs!$F$70/F701)^(0.25)</f>
        <v>2.5574764377400299</v>
      </c>
      <c r="W701" s="54">
        <f>inputs!$E$76*(inputs!$F$76/F701)^(0.25)</f>
        <v>0.76924067569003962</v>
      </c>
      <c r="X701" s="54">
        <f>inputs!$E$72*(inputs!$F$72/F701)^(0.25)</f>
        <v>112.82984284147192</v>
      </c>
      <c r="Y701" s="54" t="s">
        <v>13</v>
      </c>
      <c r="Z701" s="106">
        <f t="shared" si="83"/>
        <v>42.605544633474317</v>
      </c>
      <c r="AA701" s="106">
        <f t="shared" si="84"/>
        <v>141.64965525184672</v>
      </c>
    </row>
    <row r="702" spans="1:27" x14ac:dyDescent="0.25">
      <c r="A702" s="55" t="s">
        <v>548</v>
      </c>
      <c r="B702" s="49" t="s">
        <v>549</v>
      </c>
      <c r="C702" s="21" t="s">
        <v>61</v>
      </c>
      <c r="D702" s="20" t="s">
        <v>443</v>
      </c>
      <c r="E702" s="20">
        <v>54</v>
      </c>
      <c r="F702" s="21">
        <v>15</v>
      </c>
      <c r="G702" s="21" t="s">
        <v>456</v>
      </c>
      <c r="H702" s="21">
        <v>0.68</v>
      </c>
      <c r="I702" s="48">
        <f>MAX('Min rate concentrations'!$J$3:$J$368)</f>
        <v>114.4108103430513</v>
      </c>
      <c r="J702" s="48">
        <f>MAX('Min rate concentrations'!AB:AB)</f>
        <v>40.520495329830666</v>
      </c>
      <c r="K702" s="60">
        <f t="shared" ref="K702:K720" si="89">(((0.621*F702^0.564)/(1-H702)))*I702/F702</f>
        <v>68.176216267466955</v>
      </c>
      <c r="L702" s="60">
        <f t="shared" si="88"/>
        <v>24.14574326139455</v>
      </c>
      <c r="M702" s="60">
        <f>IF((((0.326*F702^0.818)-(0.398*F702^0.85)/(1-H702)*H702)*(MAX('Min rate concentrations'!$P$3:$P$368)))/F702&gt;0, (((0.326*F702^0.818)-(0.398*F702^0.85)/(1-H702)*H702)*(MAX('Min rate concentrations'!$P$3:$P$368)))/F702, 0)</f>
        <v>0</v>
      </c>
      <c r="N702" s="60">
        <f>IF((((0.326*F702^0.818)-(0.398*F702^0.85)/(1-H702)*H702)*(MAX('Min rate concentrations'!$Q$3:$Q$368)))/F702&gt; 0, (((0.326*F702^0.818)-(0.398*F702^0.85)/(1-H702)*H702)*(MAX('Min rate concentrations'!$Q$3:$Q$368)))/F702, 0)</f>
        <v>0</v>
      </c>
      <c r="O702" s="60">
        <f>((MAX('Min rate concentrations'!$F$3:$F$368))*0.62*6.01*8*(12.3*F702^0.65)*0.079*0.1/F702)*inputs!$E$73/inputs!$E$74</f>
        <v>17.4879170969031</v>
      </c>
      <c r="P702" s="60">
        <f>((MAX('Min rate concentrations'!Y:Y))*0.62*6.01*8*(12.3*F702^0.65)*0.079*0.1/F702)*inputs!$E$73/inputs!$E$74</f>
        <v>5.8293056989677003</v>
      </c>
      <c r="Q702" s="60">
        <f>(inputs!$C$7*11.2*(12.3*F702^0.65)*0.5/F702)*inputs!$E$73/inputs!$E$74</f>
        <v>3.0804141134929148</v>
      </c>
      <c r="R702" s="60">
        <f>(60*379*((F702/1000)^0.8)*3*24*(MAX('Min rate concentrations'!$R$3:$R$368))/F702)*(inputs!$E$73/inputs!$E$75)</f>
        <v>4.2614677494769567E-3</v>
      </c>
      <c r="S702" s="60">
        <f>(IF(inputs!$C$6="aerial",((0.025*0.112*inputs!$C$7/3.3)*(3*60*379*((F702/1000)^0.8))*MAX(inputs!$H$14:$H$16))/F702,((0.0083*0.112*inputs!$C$7/1)*(3*60*379*((F702/1000)^0.8))*MAX(inputs!$H$14:$H$16))/F702))*(inputs!E$75/inputs!$E$73)</f>
        <v>2.3502256455738741E-2</v>
      </c>
      <c r="T702" s="63">
        <f>IF((((inputs!$P$12/(V702/MAX(K702:S702)))^(1/inputs!$O$12))-1)/inputs!$N$12&lt;0, 0, IF((((inputs!$P$12/(V702/MAX(K702:S702)))^(1/inputs!$O$12))-1)/inputs!$N$12&gt;inputs!$H$17, inputs!$H$17, (((inputs!$P$12/(V702/MAX(K702:S702)))^(1/inputs!$O$12))-1)/inputs!$N$12))</f>
        <v>51.605384662802905</v>
      </c>
      <c r="U702" s="63">
        <f>IF((((inputs!$P$12/(X702/MAX(K702:S702)))^(1/inputs!$O$12))-1)/inputs!$N$12&lt;0, 0, IF((((inputs!$P$12/(X702/MAX(K702:S702)))^(1/inputs!$O$12))-1)/inputs!$N$12&gt;inputs!$H$17, inputs!$H$17, (((inputs!$P$12/(X702/MAX(K702:S702)))^(1/inputs!$O$12))-1)/inputs!$N$12))</f>
        <v>0</v>
      </c>
      <c r="V702" s="54">
        <f>inputs!$E$70*(inputs!$F$70/F702)^(0.25)</f>
        <v>2.5574764377400299</v>
      </c>
      <c r="W702" s="54">
        <f>inputs!$E$76*(inputs!$F$76/F702)^(0.25)</f>
        <v>0.76924067569003962</v>
      </c>
      <c r="X702" s="54">
        <f>inputs!$E$72*(inputs!$F$72/F702)^(0.25)</f>
        <v>112.82984284147192</v>
      </c>
      <c r="Y702" s="54" t="s">
        <v>13</v>
      </c>
      <c r="Z702" s="106">
        <f t="shared" si="83"/>
        <v>26.657612661218636</v>
      </c>
      <c r="AA702" s="106">
        <f t="shared" si="84"/>
        <v>88.627939761908934</v>
      </c>
    </row>
    <row r="703" spans="1:27" x14ac:dyDescent="0.25">
      <c r="A703" s="55" t="s">
        <v>548</v>
      </c>
      <c r="B703" s="49" t="s">
        <v>549</v>
      </c>
      <c r="C703" s="21" t="s">
        <v>61</v>
      </c>
      <c r="D703" s="20" t="s">
        <v>443</v>
      </c>
      <c r="E703" s="20">
        <v>54</v>
      </c>
      <c r="F703" s="21">
        <v>15</v>
      </c>
      <c r="G703" s="21" t="s">
        <v>145</v>
      </c>
      <c r="H703" s="21">
        <v>0.66</v>
      </c>
      <c r="I703" s="48">
        <f>MAX('Min rate concentrations'!$M$3:$M$368)</f>
        <v>2.8488184789681945</v>
      </c>
      <c r="J703" s="48">
        <f>MAX('Min rate concentrations'!AE:AE)</f>
        <v>1.9699276716269429</v>
      </c>
      <c r="K703" s="60">
        <f t="shared" si="89"/>
        <v>1.597723679897108</v>
      </c>
      <c r="L703" s="60">
        <f t="shared" si="88"/>
        <v>1.1048089275884256</v>
      </c>
      <c r="M703" s="60">
        <f>IF((((0.326*F703^0.818)-(0.398*F703^0.85)/(1-H703)*H703)*(MAX('Min rate concentrations'!$P$3:$P$368)))/F703&gt;0, (((0.326*F703^0.818)-(0.398*F703^0.85)/(1-H703)*H703)*(MAX('Min rate concentrations'!$P$3:$P$368)))/F703, 0)</f>
        <v>0</v>
      </c>
      <c r="N703" s="60">
        <f>IF((((0.326*F703^0.818)-(0.398*F703^0.85)/(1-H703)*H703)*(MAX('Min rate concentrations'!$Q$3:$Q$368)))/F703&gt; 0, (((0.326*F703^0.818)-(0.398*F703^0.85)/(1-H703)*H703)*(MAX('Min rate concentrations'!$Q$3:$Q$368)))/F703, 0)</f>
        <v>0</v>
      </c>
      <c r="O703" s="60">
        <f>((MAX('Min rate concentrations'!$F$3:$F$368))*0.62*6.01*8*(12.3*F703^0.65)*0.079*0.1/F703)*inputs!$E$73/inputs!$E$74</f>
        <v>17.4879170969031</v>
      </c>
      <c r="P703" s="60">
        <f>((MAX('Min rate concentrations'!Y:Y))*0.62*6.01*8*(12.3*F703^0.65)*0.079*0.1/F703)*inputs!$E$73/inputs!$E$74</f>
        <v>5.8293056989677003</v>
      </c>
      <c r="Q703" s="60">
        <f>(inputs!$C$7*11.2*(12.3*F703^0.65)*0.5/F703)*inputs!$E$73/inputs!$E$74</f>
        <v>3.0804141134929148</v>
      </c>
      <c r="R703" s="60">
        <f>(60*379*((F703/1000)^0.8)*3*24*(MAX('Min rate concentrations'!$R$3:$R$368))/F703)*(inputs!$E$73/inputs!$E$75)</f>
        <v>4.2614677494769567E-3</v>
      </c>
      <c r="S703" s="60">
        <f>(IF(inputs!$C$6="aerial",((0.025*0.112*inputs!$C$7/3.3)*(3*60*379*((F703/1000)^0.8))*MAX(inputs!$H$14:$H$16))/F703,((0.0083*0.112*inputs!$C$7/1)*(3*60*379*((F703/1000)^0.8))*MAX(inputs!$H$14:$H$16))/F703))*(inputs!E$75/inputs!$E$73)</f>
        <v>2.3502256455738741E-2</v>
      </c>
      <c r="T703" s="63">
        <f>IF((((inputs!$P$12/(V703/MAX(K703:S703)))^(1/inputs!$O$12))-1)/inputs!$N$12&lt;0, 0, IF((((inputs!$P$12/(V703/MAX(K703:S703)))^(1/inputs!$O$12))-1)/inputs!$N$12&gt;inputs!$H$17, inputs!$H$17, (((inputs!$P$12/(V703/MAX(K703:S703)))^(1/inputs!$O$12))-1)/inputs!$N$12))</f>
        <v>17.564222818912587</v>
      </c>
      <c r="U703" s="63">
        <f>IF((((inputs!$P$12/(X703/MAX(K703:S703)))^(1/inputs!$O$12))-1)/inputs!$N$12&lt;0, 0, IF((((inputs!$P$12/(X703/MAX(K703:S703)))^(1/inputs!$O$12))-1)/inputs!$N$12&gt;inputs!$H$17, inputs!$H$17, (((inputs!$P$12/(X703/MAX(K703:S703)))^(1/inputs!$O$12))-1)/inputs!$N$12))</f>
        <v>0</v>
      </c>
      <c r="V703" s="54">
        <f>inputs!$E$70*(inputs!$F$70/F703)^(0.25)</f>
        <v>2.5574764377400299</v>
      </c>
      <c r="W703" s="54">
        <f>inputs!$E$76*(inputs!$F$76/F703)^(0.25)</f>
        <v>0.76924067569003962</v>
      </c>
      <c r="X703" s="54">
        <f>inputs!$E$72*(inputs!$F$72/F703)^(0.25)</f>
        <v>112.82984284147192</v>
      </c>
      <c r="Y703" s="54" t="s">
        <v>13</v>
      </c>
      <c r="Z703" s="106">
        <f t="shared" si="83"/>
        <v>6.8379582461986166</v>
      </c>
      <c r="AA703" s="106">
        <f t="shared" si="84"/>
        <v>22.733999448502562</v>
      </c>
    </row>
    <row r="704" spans="1:27" ht="26.4" x14ac:dyDescent="0.25">
      <c r="A704" s="55" t="s">
        <v>482</v>
      </c>
      <c r="B704" s="49" t="s">
        <v>483</v>
      </c>
      <c r="C704" s="21" t="s">
        <v>61</v>
      </c>
      <c r="D704" s="20" t="s">
        <v>443</v>
      </c>
      <c r="E704" s="20">
        <v>39</v>
      </c>
      <c r="F704" s="21">
        <v>70</v>
      </c>
      <c r="G704" s="21" t="s">
        <v>142</v>
      </c>
      <c r="H704" s="21">
        <v>0.69</v>
      </c>
      <c r="I704" s="48">
        <f>MAX('Min rate concentrations'!$H$3:$H$368)</f>
        <v>47</v>
      </c>
      <c r="J704" s="48">
        <f>MAX('Min rate concentrations'!AA:AA)</f>
        <v>32.5</v>
      </c>
      <c r="K704" s="60">
        <f t="shared" si="89"/>
        <v>14.769473666951148</v>
      </c>
      <c r="L704" s="60">
        <f t="shared" si="88"/>
        <v>10.212933918636432</v>
      </c>
      <c r="M704" s="60">
        <f>IF((((0.326*F704^0.818)-(0.398*F704^0.85)/(1-H704)*H704)*(MAX('Min rate concentrations'!$P$3:$P$368)))/F704&gt;0, (((0.326*F704^0.818)-(0.398*F704^0.85)/(1-H704)*H704)*(MAX('Min rate concentrations'!$P$3:$P$368)))/F704, 0)</f>
        <v>0</v>
      </c>
      <c r="N704" s="60">
        <f>IF((((0.326*F704^0.818)-(0.398*F704^0.85)/(1-H704)*H704)*(MAX('Min rate concentrations'!$Q$3:$Q$368)))/F704&gt; 0, (((0.326*F704^0.818)-(0.398*F704^0.85)/(1-H704)*H704)*(MAX('Min rate concentrations'!$Q$3:$Q$368)))/F704, 0)</f>
        <v>0</v>
      </c>
      <c r="O704" s="60">
        <f>((MAX('Min rate concentrations'!$F$3:$F$368))*0.62*6.01*8*(12.3*F704^0.65)*0.079*0.1/F704)*inputs!$E$73/inputs!$E$74</f>
        <v>10.199660409206501</v>
      </c>
      <c r="P704" s="60">
        <f>((MAX('Min rate concentrations'!Y:Y))*0.62*6.01*8*(12.3*F704^0.65)*0.079*0.1/F704)*inputs!$E$73/inputs!$E$74</f>
        <v>3.3998868030688318</v>
      </c>
      <c r="Q704" s="60">
        <f>(inputs!$C$7*11.2*(12.3*F704^0.65)*0.5/F704)*inputs!$E$73/inputs!$E$74</f>
        <v>1.7966220735869438</v>
      </c>
      <c r="R704" s="60">
        <f>(60*379*((F704/1000)^0.8)*3*24*(MAX('Min rate concentrations'!$R$3:$R$368))/F704)*(inputs!$E$73/inputs!$E$75)</f>
        <v>3.131539181254485E-3</v>
      </c>
      <c r="S704" s="60">
        <f>(IF(inputs!$C$6="aerial",((0.025*0.112*inputs!$C$7/3.3)*(3*60*379*((F704/1000)^0.8))*MAX(inputs!$H$14:$H$16))/F704,((0.0083*0.112*inputs!$C$7/1)*(3*60*379*((F704/1000)^0.8))*MAX(inputs!$H$14:$H$16))/F704))*(inputs!E$75/inputs!$E$73)</f>
        <v>1.7270630981091047E-2</v>
      </c>
      <c r="T704" s="63">
        <f>IF((((inputs!$P$12/(V704/MAX(K704:S704)))^(1/inputs!$O$12))-1)/inputs!$N$12&lt;0, 0, IF((((inputs!$P$12/(V704/MAX(K704:S704)))^(1/inputs!$O$12))-1)/inputs!$N$12&gt;inputs!$H$17, inputs!$H$17, (((inputs!$P$12/(V704/MAX(K704:S704)))^(1/inputs!$O$12))-1)/inputs!$N$12))</f>
        <v>21.796713723531639</v>
      </c>
      <c r="U704" s="63">
        <f>IF((((inputs!$P$12/(X704/MAX(K704:S704)))^(1/inputs!$O$12))-1)/inputs!$N$12&lt;0, 0, IF((((inputs!$P$12/(X704/MAX(K704:S704)))^(1/inputs!$O$12))-1)/inputs!$N$12&gt;inputs!$H$17, inputs!$H$17, (((inputs!$P$12/(X704/MAX(K704:S704)))^(1/inputs!$O$12))-1)/inputs!$N$12))</f>
        <v>0</v>
      </c>
      <c r="V704" s="54">
        <f>inputs!$E$70*(inputs!$F$70/F704)^(0.25)</f>
        <v>1.7400428607874787</v>
      </c>
      <c r="W704" s="54">
        <f>inputs!$E$76*(inputs!$F$76/F704)^(0.25)</f>
        <v>0.5233720734274272</v>
      </c>
      <c r="X704" s="54">
        <f>inputs!$E$72*(inputs!$F$72/F704)^(0.25)</f>
        <v>76.766596799447598</v>
      </c>
      <c r="Y704" s="54" t="s">
        <v>13</v>
      </c>
      <c r="Z704" s="106">
        <f t="shared" si="83"/>
        <v>8.4879941751934975</v>
      </c>
      <c r="AA704" s="106">
        <f t="shared" si="84"/>
        <v>28.219835212508986</v>
      </c>
    </row>
    <row r="705" spans="1:27" ht="26.4" x14ac:dyDescent="0.25">
      <c r="A705" s="55" t="s">
        <v>482</v>
      </c>
      <c r="B705" s="49" t="s">
        <v>483</v>
      </c>
      <c r="C705" s="21" t="s">
        <v>61</v>
      </c>
      <c r="D705" s="20" t="s">
        <v>443</v>
      </c>
      <c r="E705" s="20">
        <v>39</v>
      </c>
      <c r="F705" s="21">
        <v>70</v>
      </c>
      <c r="G705" s="21" t="s">
        <v>169</v>
      </c>
      <c r="H705" s="21">
        <v>0.79</v>
      </c>
      <c r="I705" s="48">
        <f>MAX('Min rate concentrations'!$D$3:$D$368)</f>
        <v>120</v>
      </c>
      <c r="J705" s="48">
        <f>MAX('Min rate concentrations'!W:W)</f>
        <v>42.5</v>
      </c>
      <c r="K705" s="60">
        <f t="shared" si="89"/>
        <v>55.666101358721669</v>
      </c>
      <c r="L705" s="60">
        <f t="shared" si="88"/>
        <v>19.715077564547258</v>
      </c>
      <c r="M705" s="60">
        <f>IF((((0.326*F705^0.818)-(0.398*F705^0.85)/(1-H705)*H705)*(MAX('Min rate concentrations'!$P$3:$P$368)))/F705&gt;0, (((0.326*F705^0.818)-(0.398*F705^0.85)/(1-H705)*H705)*(MAX('Min rate concentrations'!$P$3:$P$368)))/F705, 0)</f>
        <v>0</v>
      </c>
      <c r="N705" s="60">
        <f>IF((((0.326*F705^0.818)-(0.398*F705^0.85)/(1-H705)*H705)*(MAX('Min rate concentrations'!$Q$3:$Q$368)))/F705&gt; 0, (((0.326*F705^0.818)-(0.398*F705^0.85)/(1-H705)*H705)*(MAX('Min rate concentrations'!$Q$3:$Q$368)))/F705, 0)</f>
        <v>0</v>
      </c>
      <c r="O705" s="60">
        <f>((MAX('Min rate concentrations'!$F$3:$F$368))*0.62*6.01*8*(12.3*F705^0.65)*0.079*0.1/F705)*inputs!$E$73/inputs!$E$74</f>
        <v>10.199660409206501</v>
      </c>
      <c r="P705" s="60">
        <f>((MAX('Min rate concentrations'!Y:Y))*0.62*6.01*8*(12.3*F705^0.65)*0.079*0.1/F705)*inputs!$E$73/inputs!$E$74</f>
        <v>3.3998868030688318</v>
      </c>
      <c r="Q705" s="60">
        <f>(inputs!$C$7*11.2*(12.3*F705^0.65)*0.5/F705)*inputs!$E$73/inputs!$E$74</f>
        <v>1.7966220735869438</v>
      </c>
      <c r="R705" s="60">
        <f>(60*379*((F705/1000)^0.8)*3*24*(MAX('Min rate concentrations'!$R$3:$R$368))/F705)*(inputs!$E$73/inputs!$E$75)</f>
        <v>3.131539181254485E-3</v>
      </c>
      <c r="S705" s="60">
        <f>(IF(inputs!$C$6="aerial",((0.025*0.112*inputs!$C$7/3.3)*(3*60*379*((F705/1000)^0.8))*MAX(inputs!$H$14:$H$16))/F705,((0.0083*0.112*inputs!$C$7/1)*(3*60*379*((F705/1000)^0.8))*MAX(inputs!$H$14:$H$16))/F705))*(inputs!E$75/inputs!$E$73)</f>
        <v>1.7270630981091047E-2</v>
      </c>
      <c r="T705" s="63">
        <f>IF((((inputs!$P$12/(V705/MAX(K705:S705)))^(1/inputs!$O$12))-1)/inputs!$N$12&lt;0, 0, IF((((inputs!$P$12/(V705/MAX(K705:S705)))^(1/inputs!$O$12))-1)/inputs!$N$12&gt;inputs!$H$17, inputs!$H$17, (((inputs!$P$12/(V705/MAX(K705:S705)))^(1/inputs!$O$12))-1)/inputs!$N$12))</f>
        <v>57.773060984226156</v>
      </c>
      <c r="U705" s="63">
        <f>IF((((inputs!$P$12/(X705/MAX(K705:S705)))^(1/inputs!$O$12))-1)/inputs!$N$12&lt;0, 0, IF((((inputs!$P$12/(X705/MAX(K705:S705)))^(1/inputs!$O$12))-1)/inputs!$N$12&gt;inputs!$H$17, inputs!$H$17, (((inputs!$P$12/(X705/MAX(K705:S705)))^(1/inputs!$O$12))-1)/inputs!$N$12))</f>
        <v>0</v>
      </c>
      <c r="V705" s="54">
        <f>inputs!$E$70*(inputs!$F$70/F705)^(0.25)</f>
        <v>1.7400428607874787</v>
      </c>
      <c r="W705" s="54">
        <f>inputs!$E$76*(inputs!$F$76/F705)^(0.25)</f>
        <v>0.5233720734274272</v>
      </c>
      <c r="X705" s="54">
        <f>inputs!$E$72*(inputs!$F$72/F705)^(0.25)</f>
        <v>76.766596799447598</v>
      </c>
      <c r="Y705" s="54" t="s">
        <v>13</v>
      </c>
      <c r="Z705" s="106">
        <f t="shared" si="83"/>
        <v>31.991224246929907</v>
      </c>
      <c r="AA705" s="106">
        <f t="shared" si="84"/>
        <v>106.36047314137129</v>
      </c>
    </row>
    <row r="706" spans="1:27" ht="26.4" x14ac:dyDescent="0.25">
      <c r="A706" s="55" t="s">
        <v>482</v>
      </c>
      <c r="B706" s="49" t="s">
        <v>483</v>
      </c>
      <c r="C706" s="21" t="s">
        <v>61</v>
      </c>
      <c r="D706" s="20" t="s">
        <v>443</v>
      </c>
      <c r="E706" s="20">
        <v>39</v>
      </c>
      <c r="F706" s="21">
        <v>70</v>
      </c>
      <c r="G706" s="21" t="s">
        <v>177</v>
      </c>
      <c r="H706" s="21">
        <v>0.85</v>
      </c>
      <c r="I706" s="48">
        <f>MAX('Min rate concentrations'!$F$3:$F$368)</f>
        <v>67.5</v>
      </c>
      <c r="J706" s="48">
        <f>MAX('Min rate concentrations'!Y:Y)</f>
        <v>22.5</v>
      </c>
      <c r="K706" s="60">
        <f t="shared" si="89"/>
        <v>43.837054819993305</v>
      </c>
      <c r="L706" s="60">
        <f t="shared" si="88"/>
        <v>14.612351606664435</v>
      </c>
      <c r="M706" s="60">
        <f>IF((((0.326*F706^0.818)-(0.398*F706^0.85)/(1-H706)*H706)*(MAX('Min rate concentrations'!$P$3:$P$368)))/F706&gt;0, (((0.326*F706^0.818)-(0.398*F706^0.85)/(1-H706)*H706)*(MAX('Min rate concentrations'!$P$3:$P$368)))/F706, 0)</f>
        <v>0</v>
      </c>
      <c r="N706" s="60">
        <f>IF((((0.326*F706^0.818)-(0.398*F706^0.85)/(1-H706)*H706)*(MAX('Min rate concentrations'!$Q$3:$Q$368)))/F706&gt; 0, (((0.326*F706^0.818)-(0.398*F706^0.85)/(1-H706)*H706)*(MAX('Min rate concentrations'!$Q$3:$Q$368)))/F706, 0)</f>
        <v>0</v>
      </c>
      <c r="O706" s="60">
        <f>((MAX('Min rate concentrations'!$F$3:$F$368))*0.62*6.01*8*(12.3*F706^0.65)*0.079*0.1/F706)*inputs!$E$73/inputs!$E$74</f>
        <v>10.199660409206501</v>
      </c>
      <c r="P706" s="60">
        <f>((MAX('Min rate concentrations'!Y:Y))*0.62*6.01*8*(12.3*F706^0.65)*0.079*0.1/F706)*inputs!$E$73/inputs!$E$74</f>
        <v>3.3998868030688318</v>
      </c>
      <c r="Q706" s="60">
        <f>(inputs!$C$7*11.2*(12.3*F706^0.65)*0.5/F706)*inputs!$E$73/inputs!$E$74</f>
        <v>1.7966220735869438</v>
      </c>
      <c r="R706" s="60">
        <f>(60*379*((F706/1000)^0.8)*3*24*(MAX('Min rate concentrations'!$R$3:$R$368))/F706)*(inputs!$E$73/inputs!$E$75)</f>
        <v>3.131539181254485E-3</v>
      </c>
      <c r="S706" s="60">
        <f>(IF(inputs!$C$6="aerial",((0.025*0.112*inputs!$C$7/3.3)*(3*60*379*((F706/1000)^0.8))*MAX(inputs!$H$14:$H$16))/F706,((0.0083*0.112*inputs!$C$7/1)*(3*60*379*((F706/1000)^0.8))*MAX(inputs!$H$14:$H$16))/F706))*(inputs!E$75/inputs!$E$73)</f>
        <v>1.7270630981091047E-2</v>
      </c>
      <c r="T706" s="63">
        <f>IF((((inputs!$P$12/(V706/MAX(K706:S706)))^(1/inputs!$O$12))-1)/inputs!$N$12&lt;0, 0, IF((((inputs!$P$12/(V706/MAX(K706:S706)))^(1/inputs!$O$12))-1)/inputs!$N$12&gt;inputs!$H$17, inputs!$H$17, (((inputs!$P$12/(V706/MAX(K706:S706)))^(1/inputs!$O$12))-1)/inputs!$N$12))</f>
        <v>49.785574993452236</v>
      </c>
      <c r="U706" s="63">
        <f>IF((((inputs!$P$12/(X706/MAX(K706:S706)))^(1/inputs!$O$12))-1)/inputs!$N$12&lt;0, 0, IF((((inputs!$P$12/(X706/MAX(K706:S706)))^(1/inputs!$O$12))-1)/inputs!$N$12&gt;inputs!$H$17, inputs!$H$17, (((inputs!$P$12/(X706/MAX(K706:S706)))^(1/inputs!$O$12))-1)/inputs!$N$12))</f>
        <v>0</v>
      </c>
      <c r="V706" s="54">
        <f>inputs!$E$70*(inputs!$F$70/F706)^(0.25)</f>
        <v>1.7400428607874787</v>
      </c>
      <c r="W706" s="54">
        <f>inputs!$E$76*(inputs!$F$76/F706)^(0.25)</f>
        <v>0.5233720734274272</v>
      </c>
      <c r="X706" s="54">
        <f>inputs!$E$72*(inputs!$F$72/F706)^(0.25)</f>
        <v>76.766596799447598</v>
      </c>
      <c r="Y706" s="54" t="s">
        <v>13</v>
      </c>
      <c r="Z706" s="106">
        <f t="shared" si="83"/>
        <v>25.193089094457296</v>
      </c>
      <c r="AA706" s="106">
        <f t="shared" si="84"/>
        <v>83.758872598829868</v>
      </c>
    </row>
    <row r="707" spans="1:27" ht="26.4" x14ac:dyDescent="0.25">
      <c r="A707" s="55" t="s">
        <v>482</v>
      </c>
      <c r="B707" s="49" t="s">
        <v>483</v>
      </c>
      <c r="C707" s="21" t="s">
        <v>61</v>
      </c>
      <c r="D707" s="20" t="s">
        <v>443</v>
      </c>
      <c r="E707" s="20">
        <v>39</v>
      </c>
      <c r="F707" s="21">
        <v>70</v>
      </c>
      <c r="G707" s="21" t="s">
        <v>154</v>
      </c>
      <c r="H707" s="21">
        <v>9.2999999999999999E-2</v>
      </c>
      <c r="I707" s="48">
        <f>MAX('Min rate concentrations'!$G$3:$G$368)</f>
        <v>7.5</v>
      </c>
      <c r="J707" s="48">
        <f>MAX('Min rate concentrations'!Z:Z)</f>
        <v>3.5</v>
      </c>
      <c r="K707" s="60">
        <f t="shared" si="89"/>
        <v>0.80553206210939565</v>
      </c>
      <c r="L707" s="60"/>
      <c r="M707" s="60">
        <f>IF((((0.326*F707^0.818)-(0.398*F707^0.85)/(1-H707)*H707)*(MAX('Min rate concentrations'!$P$3:$P$368)))/F707&gt;0, (((0.326*F707^0.818)-(0.398*F707^0.85)/(1-H707)*H707)*(MAX('Min rate concentrations'!$P$3:$P$368)))/F707, 0)</f>
        <v>1.8706524022219603E-2</v>
      </c>
      <c r="N707" s="60">
        <f>IF((((0.326*F707^0.818)-(0.398*F707^0.85)/(1-H707)*H707)*(MAX('Min rate concentrations'!$Q$3:$Q$368)))/F707&gt; 0, (((0.326*F707^0.818)-(0.398*F707^0.85)/(1-H707)*H707)*(MAX('Min rate concentrations'!$Q$3:$Q$368)))/F707, 0)</f>
        <v>7.1235448609670848E-2</v>
      </c>
      <c r="O707" s="60">
        <f>((MAX('Min rate concentrations'!$F$3:$F$368))*0.62*6.01*8*(12.3*F707^0.65)*0.079*0.1/F707)*inputs!$E$73/inputs!$E$74</f>
        <v>10.199660409206501</v>
      </c>
      <c r="P707" s="60"/>
      <c r="Q707" s="60">
        <f>(inputs!$C$7*11.2*(12.3*F707^0.65)*0.5/F707)*inputs!$E$73/inputs!$E$74</f>
        <v>1.7966220735869438</v>
      </c>
      <c r="R707" s="60">
        <f>(60*379*((F707/1000)^0.8)*3*24*(MAX('Min rate concentrations'!$R$3:$R$368))/F707)*(inputs!$E$73/inputs!$E$75)</f>
        <v>3.131539181254485E-3</v>
      </c>
      <c r="S707" s="60">
        <f>(IF(inputs!$C$6="aerial",((0.025*0.112*inputs!$C$7/3.3)*(3*60*379*((F707/1000)^0.8))*MAX(inputs!$H$14:$H$16))/F707,((0.0083*0.112*inputs!$C$7/1)*(3*60*379*((F707/1000)^0.8))*MAX(inputs!$H$14:$H$16))/F707))*(inputs!E$75/inputs!$E$73)</f>
        <v>1.7270630981091047E-2</v>
      </c>
      <c r="T707" s="63">
        <f>IF((((inputs!$P$12/(V707/MAX(K707:S707)))^(1/inputs!$O$12))-1)/inputs!$N$12&lt;0, 0, IF((((inputs!$P$12/(V707/MAX(K707:S707)))^(1/inputs!$O$12))-1)/inputs!$N$12&gt;inputs!$H$17, inputs!$H$17, (((inputs!$P$12/(V707/MAX(K707:S707)))^(1/inputs!$O$12))-1)/inputs!$N$12))</f>
        <v>14.767215186767423</v>
      </c>
      <c r="U707" s="63">
        <f>IF((((inputs!$P$12/(X707/MAX(K707:S707)))^(1/inputs!$O$12))-1)/inputs!$N$12&lt;0, 0, IF((((inputs!$P$12/(X707/MAX(K707:S707)))^(1/inputs!$O$12))-1)/inputs!$N$12&gt;inputs!$H$17, inputs!$H$17, (((inputs!$P$12/(X707/MAX(K707:S707)))^(1/inputs!$O$12))-1)/inputs!$N$12))</f>
        <v>0</v>
      </c>
      <c r="V707" s="54">
        <f>inputs!$E$70*(inputs!$F$70/F707)^(0.25)</f>
        <v>1.7400428607874787</v>
      </c>
      <c r="W707" s="54">
        <f>inputs!$E$76*(inputs!$F$76/F707)^(0.25)</f>
        <v>0.5233720734274272</v>
      </c>
      <c r="X707" s="54">
        <f>inputs!$E$72*(inputs!$F$72/F707)^(0.25)</f>
        <v>76.766596799447598</v>
      </c>
      <c r="Y707" s="54" t="s">
        <v>13</v>
      </c>
      <c r="Z707" s="106">
        <f t="shared" si="83"/>
        <v>5.8617294085448641</v>
      </c>
      <c r="AA707" s="106">
        <f t="shared" si="84"/>
        <v>19.488354322024836</v>
      </c>
    </row>
    <row r="708" spans="1:27" x14ac:dyDescent="0.25">
      <c r="A708" s="55" t="s">
        <v>586</v>
      </c>
      <c r="B708" s="49" t="s">
        <v>587</v>
      </c>
      <c r="C708" s="21" t="s">
        <v>61</v>
      </c>
      <c r="D708" s="20" t="s">
        <v>443</v>
      </c>
      <c r="E708" s="20">
        <v>8684</v>
      </c>
      <c r="F708" s="21">
        <v>75</v>
      </c>
      <c r="G708" s="21" t="s">
        <v>177</v>
      </c>
      <c r="H708" s="21">
        <v>0.85</v>
      </c>
      <c r="I708" s="48">
        <f>MAX('Min rate concentrations'!$F$3:$F$368)</f>
        <v>67.5</v>
      </c>
      <c r="J708" s="48">
        <f>MAX('Min rate concentrations'!Y:Y)</f>
        <v>22.5</v>
      </c>
      <c r="K708" s="60">
        <f t="shared" si="89"/>
        <v>42.538032929594046</v>
      </c>
      <c r="L708" s="60">
        <f>(((0.621*F708^0.564)/(1-H708)))*J708/F708</f>
        <v>14.179344309864682</v>
      </c>
      <c r="M708" s="60">
        <f>IF((((0.326*F708^0.818)-(0.398*F708^0.85)/(1-H708)*H708)*(MAX('Min rate concentrations'!$P$3:$P$368)))/F708&gt;0, (((0.326*F708^0.818)-(0.398*F708^0.85)/(1-H708)*H708)*(MAX('Min rate concentrations'!$P$3:$P$368)))/F708, 0)</f>
        <v>0</v>
      </c>
      <c r="N708" s="60">
        <f>IF((((0.326*F708^0.818)-(0.398*F708^0.85)/(1-H708)*H708)*(MAX('Min rate concentrations'!$Q$3:$Q$368)))/F708&gt; 0, (((0.326*F708^0.818)-(0.398*F708^0.85)/(1-H708)*H708)*(MAX('Min rate concentrations'!$Q$3:$Q$368)))/F708, 0)</f>
        <v>0</v>
      </c>
      <c r="O708" s="60">
        <f>((MAX('Min rate concentrations'!$F$3:$F$368))*0.62*6.01*8*(12.3*F708^0.65)*0.079*0.1/F708)*inputs!$E$73/inputs!$E$74</f>
        <v>9.9563139872749549</v>
      </c>
      <c r="P708" s="60">
        <f>((MAX('Min rate concentrations'!Y:Y))*0.62*6.01*8*(12.3*F708^0.65)*0.079*0.1/F708)*inputs!$E$73/inputs!$E$74</f>
        <v>3.3187713290916498</v>
      </c>
      <c r="Q708" s="60">
        <f>(inputs!$C$7*11.2*(12.3*F708^0.65)*0.5/F708)*inputs!$E$73/inputs!$E$74</f>
        <v>1.7537577491261036</v>
      </c>
      <c r="R708" s="60">
        <f>(60*379*((F708/1000)^0.8)*3*24*(MAX('Min rate concentrations'!$R$3:$R$368))/F708)*(inputs!$E$73/inputs!$E$75)</f>
        <v>3.0886251622392535E-3</v>
      </c>
      <c r="S708" s="60">
        <f>(IF(inputs!$C$6="aerial",((0.025*0.112*inputs!$C$7/3.3)*(3*60*379*((F708/1000)^0.8))*MAX(inputs!$H$14:$H$16))/F708,((0.0083*0.112*inputs!$C$7/1)*(3*60*379*((F708/1000)^0.8))*MAX(inputs!$H$14:$H$16))/F708))*(inputs!E$75/inputs!$E$73)</f>
        <v>1.7033957529657275E-2</v>
      </c>
      <c r="T708" s="63">
        <f>IF((((inputs!$P$12/(V708/MAX(K708:S708)))^(1/inputs!$O$12))-1)/inputs!$N$12&lt;0, 0, IF((((inputs!$P$12/(V708/MAX(K708:S708)))^(1/inputs!$O$12))-1)/inputs!$N$12&gt;inputs!$H$17, inputs!$H$17, (((inputs!$P$12/(V708/MAX(K708:S708)))^(1/inputs!$O$12))-1)/inputs!$N$12))</f>
        <v>49.378079505649872</v>
      </c>
      <c r="U708" s="63">
        <f>IF((((inputs!$P$12/(X708/MAX(K708:S708)))^(1/inputs!$O$12))-1)/inputs!$N$12&lt;0, 0, IF((((inputs!$P$12/(X708/MAX(K708:S708)))^(1/inputs!$O$12))-1)/inputs!$N$12&gt;inputs!$H$17, inputs!$H$17, (((inputs!$P$12/(X708/MAX(K708:S708)))^(1/inputs!$O$12))-1)/inputs!$N$12))</f>
        <v>0</v>
      </c>
      <c r="V708" s="54">
        <f>inputs!$E$70*(inputs!$F$70/F708)^(0.25)</f>
        <v>1.7102875729442808</v>
      </c>
      <c r="W708" s="54">
        <f>inputs!$E$76*(inputs!$F$76/F708)^(0.25)</f>
        <v>0.51442224406122605</v>
      </c>
      <c r="X708" s="54">
        <f>inputs!$E$72*(inputs!$F$72/F708)^(0.25)</f>
        <v>75.453863512247679</v>
      </c>
      <c r="Y708" s="54" t="s">
        <v>13</v>
      </c>
      <c r="Z708" s="106">
        <f t="shared" ref="Z708:Z771" si="90">MAX(K708:S708)/V708</f>
        <v>24.87185991556046</v>
      </c>
      <c r="AA708" s="106">
        <f t="shared" ref="AA708:AA771" si="91">MAX(K708:S708)/W708</f>
        <v>82.690889479754318</v>
      </c>
    </row>
    <row r="709" spans="1:27" x14ac:dyDescent="0.25">
      <c r="A709" s="55" t="s">
        <v>480</v>
      </c>
      <c r="B709" s="49" t="s">
        <v>481</v>
      </c>
      <c r="C709" s="21" t="s">
        <v>61</v>
      </c>
      <c r="D709" s="20" t="s">
        <v>443</v>
      </c>
      <c r="E709" s="20">
        <v>40</v>
      </c>
      <c r="F709" s="21">
        <v>35</v>
      </c>
      <c r="G709" s="21" t="s">
        <v>142</v>
      </c>
      <c r="H709" s="21">
        <v>0.69</v>
      </c>
      <c r="I709" s="48">
        <f>MAX('Min rate concentrations'!$H$3:$H$368)</f>
        <v>47</v>
      </c>
      <c r="J709" s="48">
        <f>MAX('Min rate concentrations'!AA:AA)</f>
        <v>32.5</v>
      </c>
      <c r="K709" s="60">
        <f t="shared" si="89"/>
        <v>19.980856323878459</v>
      </c>
      <c r="L709" s="60">
        <f>(((0.621*F709^0.564)/(1-H709)))*J709/F709</f>
        <v>13.816549585660638</v>
      </c>
      <c r="M709" s="60">
        <f>IF((((0.326*F709^0.818)-(0.398*F709^0.85)/(1-H709)*H709)*(MAX('Min rate concentrations'!$P$3:$P$368)))/F709&gt;0, (((0.326*F709^0.818)-(0.398*F709^0.85)/(1-H709)*H709)*(MAX('Min rate concentrations'!$P$3:$P$368)))/F709, 0)</f>
        <v>0</v>
      </c>
      <c r="N709" s="60">
        <f>IF((((0.326*F709^0.818)-(0.398*F709^0.85)/(1-H709)*H709)*(MAX('Min rate concentrations'!$Q$3:$Q$368)))/F709&gt; 0, (((0.326*F709^0.818)-(0.398*F709^0.85)/(1-H709)*H709)*(MAX('Min rate concentrations'!$Q$3:$Q$368)))/F709, 0)</f>
        <v>0</v>
      </c>
      <c r="O709" s="60">
        <f>((MAX('Min rate concentrations'!$F$3:$F$368))*0.62*6.01*8*(12.3*F709^0.65)*0.079*0.1/F709)*inputs!$E$73/inputs!$E$74</f>
        <v>13.000085569601669</v>
      </c>
      <c r="P709" s="60">
        <f>((MAX('Min rate concentrations'!Y:Y))*0.62*6.01*8*(12.3*F709^0.65)*0.079*0.1/F709)*inputs!$E$73/inputs!$E$74</f>
        <v>4.3333618565338892</v>
      </c>
      <c r="Q709" s="60">
        <f>(inputs!$C$7*11.2*(12.3*F709^0.65)*0.5/F709)*inputs!$E$73/inputs!$E$74</f>
        <v>2.2899037571666074</v>
      </c>
      <c r="R709" s="60">
        <f>(60*379*((F709/1000)^0.8)*3*24*(MAX('Min rate concentrations'!$R$3:$R$368))/F709)*(inputs!$E$73/inputs!$E$75)</f>
        <v>3.597193906115789E-3</v>
      </c>
      <c r="S709" s="60">
        <f>(IF(inputs!$C$6="aerial",((0.025*0.112*inputs!$C$7/3.3)*(3*60*379*((F709/1000)^0.8))*MAX(inputs!$H$14:$H$16))/F709,((0.0083*0.112*inputs!$C$7/1)*(3*60*379*((F709/1000)^0.8))*MAX(inputs!$H$14:$H$16))/F709))*(inputs!E$75/inputs!$E$73)</f>
        <v>1.983874539774011E-2</v>
      </c>
      <c r="T709" s="63">
        <f>IF((((inputs!$P$12/(V709/MAX(K709:S709)))^(1/inputs!$O$12))-1)/inputs!$N$12&lt;0, 0, IF((((inputs!$P$12/(V709/MAX(K709:S709)))^(1/inputs!$O$12))-1)/inputs!$N$12&gt;inputs!$H$17, inputs!$H$17, (((inputs!$P$12/(V709/MAX(K709:S709)))^(1/inputs!$O$12))-1)/inputs!$N$12))</f>
        <v>24.504040445317582</v>
      </c>
      <c r="U709" s="63">
        <f>IF((((inputs!$P$12/(X709/MAX(K709:S709)))^(1/inputs!$O$12))-1)/inputs!$N$12&lt;0, 0, IF((((inputs!$P$12/(X709/MAX(K709:S709)))^(1/inputs!$O$12))-1)/inputs!$N$12&gt;inputs!$H$17, inputs!$H$17, (((inputs!$P$12/(X709/MAX(K709:S709)))^(1/inputs!$O$12))-1)/inputs!$N$12))</f>
        <v>0</v>
      </c>
      <c r="V709" s="54">
        <f>inputs!$E$70*(inputs!$F$70/F709)^(0.25)</f>
        <v>2.069271350458159</v>
      </c>
      <c r="W709" s="54">
        <f>inputs!$E$76*(inputs!$F$76/F709)^(0.25)</f>
        <v>0.62239779351362301</v>
      </c>
      <c r="X709" s="54">
        <f>inputs!$E$72*(inputs!$F$72/F709)^(0.25)</f>
        <v>91.291383108448187</v>
      </c>
      <c r="Y709" s="54" t="s">
        <v>13</v>
      </c>
      <c r="Z709" s="106">
        <f t="shared" si="90"/>
        <v>9.6559865478514855</v>
      </c>
      <c r="AA709" s="106">
        <f t="shared" si="91"/>
        <v>32.103032067450798</v>
      </c>
    </row>
    <row r="710" spans="1:27" x14ac:dyDescent="0.25">
      <c r="A710" s="55" t="s">
        <v>480</v>
      </c>
      <c r="B710" s="49" t="s">
        <v>481</v>
      </c>
      <c r="C710" s="21" t="s">
        <v>61</v>
      </c>
      <c r="D710" s="20" t="s">
        <v>443</v>
      </c>
      <c r="E710" s="20">
        <v>40</v>
      </c>
      <c r="F710" s="21">
        <v>35</v>
      </c>
      <c r="G710" s="21" t="s">
        <v>169</v>
      </c>
      <c r="H710" s="21">
        <v>0.79</v>
      </c>
      <c r="I710" s="48">
        <f>MAX('Min rate concentrations'!$D$3:$D$368)</f>
        <v>120</v>
      </c>
      <c r="J710" s="48">
        <f>MAX('Min rate concentrations'!W:W)</f>
        <v>42.5</v>
      </c>
      <c r="K710" s="60">
        <f t="shared" si="89"/>
        <v>75.307786752611847</v>
      </c>
      <c r="L710" s="60">
        <f>(((0.621*F710^0.564)/(1-H710)))*J710/F710</f>
        <v>26.671507808216699</v>
      </c>
      <c r="M710" s="60">
        <f>IF((((0.326*F710^0.818)-(0.398*F710^0.85)/(1-H710)*H710)*(MAX('Min rate concentrations'!$P$3:$P$368)))/F710&gt;0, (((0.326*F710^0.818)-(0.398*F710^0.85)/(1-H710)*H710)*(MAX('Min rate concentrations'!$P$3:$P$368)))/F710, 0)</f>
        <v>0</v>
      </c>
      <c r="N710" s="60">
        <f>IF((((0.326*F710^0.818)-(0.398*F710^0.85)/(1-H710)*H710)*(MAX('Min rate concentrations'!$Q$3:$Q$368)))/F710&gt; 0, (((0.326*F710^0.818)-(0.398*F710^0.85)/(1-H710)*H710)*(MAX('Min rate concentrations'!$Q$3:$Q$368)))/F710, 0)</f>
        <v>0</v>
      </c>
      <c r="O710" s="60">
        <f>((MAX('Min rate concentrations'!$F$3:$F$368))*0.62*6.01*8*(12.3*F710^0.65)*0.079*0.1/F710)*inputs!$E$73/inputs!$E$74</f>
        <v>13.000085569601669</v>
      </c>
      <c r="P710" s="60">
        <f>((MAX('Min rate concentrations'!Y:Y))*0.62*6.01*8*(12.3*F710^0.65)*0.079*0.1/F710)*inputs!$E$73/inputs!$E$74</f>
        <v>4.3333618565338892</v>
      </c>
      <c r="Q710" s="60">
        <f>(inputs!$C$7*11.2*(12.3*F710^0.65)*0.5/F710)*inputs!$E$73/inputs!$E$74</f>
        <v>2.2899037571666074</v>
      </c>
      <c r="R710" s="60">
        <f>(60*379*((F710/1000)^0.8)*3*24*(MAX('Min rate concentrations'!$R$3:$R$368))/F710)*(inputs!$E$73/inputs!$E$75)</f>
        <v>3.597193906115789E-3</v>
      </c>
      <c r="S710" s="60">
        <f>(IF(inputs!$C$6="aerial",((0.025*0.112*inputs!$C$7/3.3)*(3*60*379*((F710/1000)^0.8))*MAX(inputs!$H$14:$H$16))/F710,((0.0083*0.112*inputs!$C$7/1)*(3*60*379*((F710/1000)^0.8))*MAX(inputs!$H$14:$H$16))/F710))*(inputs!E$75/inputs!$E$73)</f>
        <v>1.983874539774011E-2</v>
      </c>
      <c r="T710" s="63">
        <f>IF((((inputs!$P$12/(V710/MAX(K710:S710)))^(1/inputs!$O$12))-1)/inputs!$N$12&lt;0, 0, IF((((inputs!$P$12/(V710/MAX(K710:S710)))^(1/inputs!$O$12))-1)/inputs!$N$12&gt;inputs!$H$17, inputs!$H$17, (((inputs!$P$12/(V710/MAX(K710:S710)))^(1/inputs!$O$12))-1)/inputs!$N$12))</f>
        <v>62.417274487770335</v>
      </c>
      <c r="U710" s="63">
        <f>IF((((inputs!$P$12/(X710/MAX(K710:S710)))^(1/inputs!$O$12))-1)/inputs!$N$12&lt;0, 0, IF((((inputs!$P$12/(X710/MAX(K710:S710)))^(1/inputs!$O$12))-1)/inputs!$N$12&gt;inputs!$H$17, inputs!$H$17, (((inputs!$P$12/(X710/MAX(K710:S710)))^(1/inputs!$O$12))-1)/inputs!$N$12))</f>
        <v>0</v>
      </c>
      <c r="V710" s="54">
        <f>inputs!$E$70*(inputs!$F$70/F710)^(0.25)</f>
        <v>2.069271350458159</v>
      </c>
      <c r="W710" s="54">
        <f>inputs!$E$76*(inputs!$F$76/F710)^(0.25)</f>
        <v>0.62239779351362301</v>
      </c>
      <c r="X710" s="54">
        <f>inputs!$E$72*(inputs!$F$72/F710)^(0.25)</f>
        <v>91.291383108448187</v>
      </c>
      <c r="Y710" s="54" t="s">
        <v>13</v>
      </c>
      <c r="Z710" s="106">
        <f t="shared" si="90"/>
        <v>36.393383949349072</v>
      </c>
      <c r="AA710" s="106">
        <f t="shared" si="91"/>
        <v>120.99623028461703</v>
      </c>
    </row>
    <row r="711" spans="1:27" x14ac:dyDescent="0.25">
      <c r="A711" s="55" t="s">
        <v>480</v>
      </c>
      <c r="B711" s="49" t="s">
        <v>481</v>
      </c>
      <c r="C711" s="21" t="s">
        <v>61</v>
      </c>
      <c r="D711" s="20" t="s">
        <v>443</v>
      </c>
      <c r="E711" s="20">
        <v>40</v>
      </c>
      <c r="F711" s="21">
        <v>35</v>
      </c>
      <c r="G711" s="21" t="s">
        <v>177</v>
      </c>
      <c r="H711" s="21">
        <v>0.85</v>
      </c>
      <c r="I711" s="48">
        <f>MAX('Min rate concentrations'!$F$3:$F$368)</f>
        <v>67.5</v>
      </c>
      <c r="J711" s="48">
        <f>MAX('Min rate concentrations'!Y:Y)</f>
        <v>22.5</v>
      </c>
      <c r="K711" s="60">
        <f t="shared" si="89"/>
        <v>59.30488206768181</v>
      </c>
      <c r="L711" s="60">
        <f>(((0.621*F711^0.564)/(1-H711)))*J711/F711</f>
        <v>19.768294022560603</v>
      </c>
      <c r="M711" s="60">
        <f>IF((((0.326*F711^0.818)-(0.398*F711^0.85)/(1-H711)*H711)*(MAX('Min rate concentrations'!$P$3:$P$368)))/F711&gt;0, (((0.326*F711^0.818)-(0.398*F711^0.85)/(1-H711)*H711)*(MAX('Min rate concentrations'!$P$3:$P$368)))/F711, 0)</f>
        <v>0</v>
      </c>
      <c r="N711" s="60">
        <f>IF((((0.326*F711^0.818)-(0.398*F711^0.85)/(1-H711)*H711)*(MAX('Min rate concentrations'!$Q$3:$Q$368)))/F711&gt; 0, (((0.326*F711^0.818)-(0.398*F711^0.85)/(1-H711)*H711)*(MAX('Min rate concentrations'!$Q$3:$Q$368)))/F711, 0)</f>
        <v>0</v>
      </c>
      <c r="O711" s="60">
        <f>((MAX('Min rate concentrations'!$F$3:$F$368))*0.62*6.01*8*(12.3*F711^0.65)*0.079*0.1/F711)*inputs!$E$73/inputs!$E$74</f>
        <v>13.000085569601669</v>
      </c>
      <c r="P711" s="60">
        <f>((MAX('Min rate concentrations'!Y:Y))*0.62*6.01*8*(12.3*F711^0.65)*0.079*0.1/F711)*inputs!$E$73/inputs!$E$74</f>
        <v>4.3333618565338892</v>
      </c>
      <c r="Q711" s="60">
        <f>(inputs!$C$7*11.2*(12.3*F711^0.65)*0.5/F711)*inputs!$E$73/inputs!$E$74</f>
        <v>2.2899037571666074</v>
      </c>
      <c r="R711" s="60">
        <f>(60*379*((F711/1000)^0.8)*3*24*(MAX('Min rate concentrations'!$R$3:$R$368))/F711)*(inputs!$E$73/inputs!$E$75)</f>
        <v>3.597193906115789E-3</v>
      </c>
      <c r="S711" s="60">
        <f>(IF(inputs!$C$6="aerial",((0.025*0.112*inputs!$C$7/3.3)*(3*60*379*((F711/1000)^0.8))*MAX(inputs!$H$14:$H$16))/F711,((0.0083*0.112*inputs!$C$7/1)*(3*60*379*((F711/1000)^0.8))*MAX(inputs!$H$14:$H$16))/F711))*(inputs!E$75/inputs!$E$73)</f>
        <v>1.983874539774011E-2</v>
      </c>
      <c r="T711" s="63">
        <f>IF((((inputs!$P$12/(V711/MAX(K711:S711)))^(1/inputs!$O$12))-1)/inputs!$N$12&lt;0, 0, IF((((inputs!$P$12/(V711/MAX(K711:S711)))^(1/inputs!$O$12))-1)/inputs!$N$12&gt;inputs!$H$17, inputs!$H$17, (((inputs!$P$12/(V711/MAX(K711:S711)))^(1/inputs!$O$12))-1)/inputs!$N$12))</f>
        <v>53.999759958442937</v>
      </c>
      <c r="U711" s="63">
        <f>IF((((inputs!$P$12/(X711/MAX(K711:S711)))^(1/inputs!$O$12))-1)/inputs!$N$12&lt;0, 0, IF((((inputs!$P$12/(X711/MAX(K711:S711)))^(1/inputs!$O$12))-1)/inputs!$N$12&gt;inputs!$H$17, inputs!$H$17, (((inputs!$P$12/(X711/MAX(K711:S711)))^(1/inputs!$O$12))-1)/inputs!$N$12))</f>
        <v>0</v>
      </c>
      <c r="V711" s="54">
        <f>inputs!$E$70*(inputs!$F$70/F711)^(0.25)</f>
        <v>2.069271350458159</v>
      </c>
      <c r="W711" s="54">
        <f>inputs!$E$76*(inputs!$F$76/F711)^(0.25)</f>
        <v>0.62239779351362301</v>
      </c>
      <c r="X711" s="54">
        <f>inputs!$E$72*(inputs!$F$72/F711)^(0.25)</f>
        <v>91.291383108448187</v>
      </c>
      <c r="Y711" s="54" t="s">
        <v>13</v>
      </c>
      <c r="Z711" s="106">
        <f t="shared" si="90"/>
        <v>28.659789860112387</v>
      </c>
      <c r="AA711" s="106">
        <f t="shared" si="91"/>
        <v>95.284531349135875</v>
      </c>
    </row>
    <row r="712" spans="1:27" x14ac:dyDescent="0.25">
      <c r="A712" s="55" t="s">
        <v>480</v>
      </c>
      <c r="B712" s="49" t="s">
        <v>481</v>
      </c>
      <c r="C712" s="21" t="s">
        <v>61</v>
      </c>
      <c r="D712" s="20" t="s">
        <v>443</v>
      </c>
      <c r="E712" s="20">
        <v>40</v>
      </c>
      <c r="F712" s="21">
        <v>35</v>
      </c>
      <c r="G712" s="21" t="s">
        <v>154</v>
      </c>
      <c r="H712" s="21">
        <v>9.2999999999999999E-2</v>
      </c>
      <c r="I712" s="48">
        <f>MAX('Min rate concentrations'!$G$3:$G$368)</f>
        <v>7.5</v>
      </c>
      <c r="J712" s="48">
        <f>MAX('Min rate concentrations'!Z:Z)</f>
        <v>3.5</v>
      </c>
      <c r="K712" s="60">
        <f t="shared" si="89"/>
        <v>1.0897626252789749</v>
      </c>
      <c r="L712" s="60"/>
      <c r="M712" s="60">
        <f>IF((((0.326*F712^0.818)-(0.398*F712^0.85)/(1-H712)*H712)*(MAX('Min rate concentrations'!$P$3:$P$368)))/F712&gt;0, (((0.326*F712^0.818)-(0.398*F712^0.85)/(1-H712)*H712)*(MAX('Min rate concentrations'!$P$3:$P$368)))/F712, 0)</f>
        <v>2.1299658798337538E-2</v>
      </c>
      <c r="N712" s="60">
        <f>IF((((0.326*F712^0.818)-(0.398*F712^0.85)/(1-H712)*H712)*(MAX('Min rate concentrations'!$Q$3:$Q$368)))/F712&gt; 0, (((0.326*F712^0.818)-(0.398*F712^0.85)/(1-H712)*H712)*(MAX('Min rate concentrations'!$Q$3:$Q$368)))/F712, 0)</f>
        <v>8.111024517062923E-2</v>
      </c>
      <c r="O712" s="60">
        <f>((MAX('Min rate concentrations'!$F$3:$F$368))*0.62*6.01*8*(12.3*F712^0.65)*0.079*0.1/F712)*inputs!$E$73/inputs!$E$74</f>
        <v>13.000085569601669</v>
      </c>
      <c r="P712" s="60"/>
      <c r="Q712" s="60">
        <f>(inputs!$C$7*11.2*(12.3*F712^0.65)*0.5/F712)*inputs!$E$73/inputs!$E$74</f>
        <v>2.2899037571666074</v>
      </c>
      <c r="R712" s="60">
        <f>(60*379*((F712/1000)^0.8)*3*24*(MAX('Min rate concentrations'!$R$3:$R$368))/F712)*(inputs!$E$73/inputs!$E$75)</f>
        <v>3.597193906115789E-3</v>
      </c>
      <c r="S712" s="60">
        <f>(IF(inputs!$C$6="aerial",((0.025*0.112*inputs!$C$7/3.3)*(3*60*379*((F712/1000)^0.8))*MAX(inputs!$H$14:$H$16))/F712,((0.0083*0.112*inputs!$C$7/1)*(3*60*379*((F712/1000)^0.8))*MAX(inputs!$H$14:$H$16))/F712))*(inputs!E$75/inputs!$E$73)</f>
        <v>1.983874539774011E-2</v>
      </c>
      <c r="T712" s="63">
        <f>IF((((inputs!$P$12/(V712/MAX(K712:S712)))^(1/inputs!$O$12))-1)/inputs!$N$12&lt;0, 0, IF((((inputs!$P$12/(V712/MAX(K712:S712)))^(1/inputs!$O$12))-1)/inputs!$N$12&gt;inputs!$H$17, inputs!$H$17, (((inputs!$P$12/(V712/MAX(K712:S712)))^(1/inputs!$O$12))-1)/inputs!$N$12))</f>
        <v>16.004110060335286</v>
      </c>
      <c r="U712" s="63">
        <f>IF((((inputs!$P$12/(X712/MAX(K712:S712)))^(1/inputs!$O$12))-1)/inputs!$N$12&lt;0, 0, IF((((inputs!$P$12/(X712/MAX(K712:S712)))^(1/inputs!$O$12))-1)/inputs!$N$12&gt;inputs!$H$17, inputs!$H$17, (((inputs!$P$12/(X712/MAX(K712:S712)))^(1/inputs!$O$12))-1)/inputs!$N$12))</f>
        <v>0</v>
      </c>
      <c r="V712" s="54">
        <f>inputs!$E$70*(inputs!$F$70/F712)^(0.25)</f>
        <v>2.069271350458159</v>
      </c>
      <c r="W712" s="54">
        <f>inputs!$E$76*(inputs!$F$76/F712)^(0.25)</f>
        <v>0.62239779351362301</v>
      </c>
      <c r="X712" s="54">
        <f>inputs!$E$72*(inputs!$F$72/F712)^(0.25)</f>
        <v>91.291383108448187</v>
      </c>
      <c r="Y712" s="54" t="s">
        <v>13</v>
      </c>
      <c r="Z712" s="106">
        <f t="shared" si="90"/>
        <v>6.2824460246469416</v>
      </c>
      <c r="AA712" s="106">
        <f t="shared" si="91"/>
        <v>20.887100990850676</v>
      </c>
    </row>
    <row r="713" spans="1:27" x14ac:dyDescent="0.25">
      <c r="A713" s="55" t="s">
        <v>470</v>
      </c>
      <c r="B713" s="49" t="s">
        <v>471</v>
      </c>
      <c r="C713" s="21" t="s">
        <v>61</v>
      </c>
      <c r="D713" s="20" t="s">
        <v>443</v>
      </c>
      <c r="E713" s="20">
        <v>20</v>
      </c>
      <c r="F713" s="21">
        <v>640</v>
      </c>
      <c r="G713" s="21" t="s">
        <v>142</v>
      </c>
      <c r="H713" s="21">
        <v>0.69</v>
      </c>
      <c r="I713" s="48">
        <f>MAX('Min rate concentrations'!$H$3:$H$368)</f>
        <v>47</v>
      </c>
      <c r="J713" s="48">
        <f>MAX('Min rate concentrations'!AA:AA)</f>
        <v>32.5</v>
      </c>
      <c r="K713" s="60">
        <f t="shared" si="89"/>
        <v>5.6277305491901419</v>
      </c>
      <c r="L713" s="60">
        <f>(((0.621*F713^0.564)/(1-H713)))*J713/F713</f>
        <v>3.8915158052910557</v>
      </c>
      <c r="M713" s="60">
        <f>IF((((0.326*F713^0.818)-(0.398*F713^0.85)/(1-H713)*H713)*(MAX('Min rate concentrations'!$P$3:$P$368)))/F713&gt;0, (((0.326*F713^0.818)-(0.398*F713^0.85)/(1-H713)*H713)*(MAX('Min rate concentrations'!$P$3:$P$368)))/F713, 0)</f>
        <v>0</v>
      </c>
      <c r="N713" s="60">
        <f>IF((((0.326*F713^0.818)-(0.398*F713^0.85)/(1-H713)*H713)*(MAX('Min rate concentrations'!$Q$3:$Q$368)))/F713&gt; 0, (((0.326*F713^0.818)-(0.398*F713^0.85)/(1-H713)*H713)*(MAX('Min rate concentrations'!$Q$3:$Q$368)))/F713, 0)</f>
        <v>0</v>
      </c>
      <c r="O713" s="60">
        <f>((MAX('Min rate concentrations'!$F$3:$F$368))*0.62*6.01*8*(12.3*F713^0.65)*0.079*0.1/F713)*inputs!$E$73/inputs!$E$74</f>
        <v>4.701181685278689</v>
      </c>
      <c r="P713" s="60">
        <f>((MAX('Min rate concentrations'!Y:Y))*0.62*6.01*8*(12.3*F713^0.65)*0.079*0.1/F713)*inputs!$E$73/inputs!$E$74</f>
        <v>1.5670605617595628</v>
      </c>
      <c r="Q713" s="60">
        <f>(inputs!$C$7*11.2*(12.3*F713^0.65)*0.5/F713)*inputs!$E$73/inputs!$E$74</f>
        <v>0.82809098037132123</v>
      </c>
      <c r="R713" s="60">
        <f>(60*379*((F713/1000)^0.8)*3*24*(MAX('Min rate concentrations'!$R$3:$R$368))/F713)*(inputs!$E$73/inputs!$E$75)</f>
        <v>2.0115992410335935E-3</v>
      </c>
      <c r="S713" s="60">
        <f>(IF(inputs!$C$6="aerial",((0.025*0.112*inputs!$C$7/3.3)*(3*60*379*((F713/1000)^0.8))*MAX(inputs!$H$14:$H$16))/F713,((0.0083*0.112*inputs!$C$7/1)*(3*60*379*((F713/1000)^0.8))*MAX(inputs!$H$14:$H$16))/F713))*(inputs!E$75/inputs!$E$73)</f>
        <v>1.1094093403556472E-2</v>
      </c>
      <c r="T713" s="63">
        <f>IF((((inputs!$P$12/(V713/MAX(K713:S713)))^(1/inputs!$O$12))-1)/inputs!$N$12&lt;0, 0, IF((((inputs!$P$12/(V713/MAX(K713:S713)))^(1/inputs!$O$12))-1)/inputs!$N$12&gt;inputs!$H$17, inputs!$H$17, (((inputs!$P$12/(V713/MAX(K713:S713)))^(1/inputs!$O$12))-1)/inputs!$N$12))</f>
        <v>14.044826020024589</v>
      </c>
      <c r="U713" s="63">
        <f>IF((((inputs!$P$12/(X713/MAX(K713:S713)))^(1/inputs!$O$12))-1)/inputs!$N$12&lt;0, 0, IF((((inputs!$P$12/(X713/MAX(K713:S713)))^(1/inputs!$O$12))-1)/inputs!$N$12&gt;inputs!$H$17, inputs!$H$17, (((inputs!$P$12/(X713/MAX(K713:S713)))^(1/inputs!$O$12))-1)/inputs!$N$12))</f>
        <v>0</v>
      </c>
      <c r="V713" s="54">
        <f>inputs!$E$70*(inputs!$F$70/F713)^(0.25)</f>
        <v>1.0006667341519202</v>
      </c>
      <c r="W713" s="54">
        <f>inputs!$E$76*(inputs!$F$76/F713)^(0.25)</f>
        <v>0.30098167997190939</v>
      </c>
      <c r="X713" s="54">
        <f>inputs!$E$72*(inputs!$F$72/F713)^(0.25)</f>
        <v>44.147061800820012</v>
      </c>
      <c r="Y713" s="54" t="s">
        <v>13</v>
      </c>
      <c r="Z713" s="106">
        <f t="shared" si="90"/>
        <v>5.6239808490883094</v>
      </c>
      <c r="AA713" s="106">
        <f t="shared" si="91"/>
        <v>18.697917260995347</v>
      </c>
    </row>
    <row r="714" spans="1:27" x14ac:dyDescent="0.25">
      <c r="A714" s="55" t="s">
        <v>470</v>
      </c>
      <c r="B714" s="49" t="s">
        <v>471</v>
      </c>
      <c r="C714" s="21" t="s">
        <v>61</v>
      </c>
      <c r="D714" s="20" t="s">
        <v>443</v>
      </c>
      <c r="E714" s="20">
        <v>20</v>
      </c>
      <c r="F714" s="21">
        <v>640</v>
      </c>
      <c r="G714" s="21" t="s">
        <v>169</v>
      </c>
      <c r="H714" s="21">
        <v>0.79</v>
      </c>
      <c r="I714" s="48">
        <f>MAX('Min rate concentrations'!$D$3:$D$368)</f>
        <v>120</v>
      </c>
      <c r="J714" s="48">
        <f>MAX('Min rate concentrations'!W:W)</f>
        <v>42.5</v>
      </c>
      <c r="K714" s="60">
        <f t="shared" si="89"/>
        <v>21.210899334333678</v>
      </c>
      <c r="L714" s="60">
        <f>(((0.621*F714^0.564)/(1-H714)))*J714/F714</f>
        <v>7.5121935142431768</v>
      </c>
      <c r="M714" s="60">
        <f>IF((((0.326*F714^0.818)-(0.398*F714^0.85)/(1-H714)*H714)*(MAX('Min rate concentrations'!$P$3:$P$368)))/F714&gt;0, (((0.326*F714^0.818)-(0.398*F714^0.85)/(1-H714)*H714)*(MAX('Min rate concentrations'!$P$3:$P$368)))/F714, 0)</f>
        <v>0</v>
      </c>
      <c r="N714" s="60">
        <f>IF((((0.326*F714^0.818)-(0.398*F714^0.85)/(1-H714)*H714)*(MAX('Min rate concentrations'!$Q$3:$Q$368)))/F714&gt; 0, (((0.326*F714^0.818)-(0.398*F714^0.85)/(1-H714)*H714)*(MAX('Min rate concentrations'!$Q$3:$Q$368)))/F714, 0)</f>
        <v>0</v>
      </c>
      <c r="O714" s="60">
        <f>((MAX('Min rate concentrations'!$F$3:$F$368))*0.62*6.01*8*(12.3*F714^0.65)*0.079*0.1/F714)*inputs!$E$73/inputs!$E$74</f>
        <v>4.701181685278689</v>
      </c>
      <c r="P714" s="60">
        <f>((MAX('Min rate concentrations'!Y:Y))*0.62*6.01*8*(12.3*F714^0.65)*0.079*0.1/F714)*inputs!$E$73/inputs!$E$74</f>
        <v>1.5670605617595628</v>
      </c>
      <c r="Q714" s="60">
        <f>(inputs!$C$7*11.2*(12.3*F714^0.65)*0.5/F714)*inputs!$E$73/inputs!$E$74</f>
        <v>0.82809098037132123</v>
      </c>
      <c r="R714" s="60">
        <f>(60*379*((F714/1000)^0.8)*3*24*(MAX('Min rate concentrations'!$R$3:$R$368))/F714)*(inputs!$E$73/inputs!$E$75)</f>
        <v>2.0115992410335935E-3</v>
      </c>
      <c r="S714" s="60">
        <f>(IF(inputs!$C$6="aerial",((0.025*0.112*inputs!$C$7/3.3)*(3*60*379*((F714/1000)^0.8))*MAX(inputs!$H$14:$H$16))/F714,((0.0083*0.112*inputs!$C$7/1)*(3*60*379*((F714/1000)^0.8))*MAX(inputs!$H$14:$H$16))/F714))*(inputs!E$75/inputs!$E$73)</f>
        <v>1.1094093403556472E-2</v>
      </c>
      <c r="T714" s="63">
        <f>IF((((inputs!$P$12/(V714/MAX(K714:S714)))^(1/inputs!$O$12))-1)/inputs!$N$12&lt;0, 0, IF((((inputs!$P$12/(V714/MAX(K714:S714)))^(1/inputs!$O$12))-1)/inputs!$N$12&gt;inputs!$H$17, inputs!$H$17, (((inputs!$P$12/(V714/MAX(K714:S714)))^(1/inputs!$O$12))-1)/inputs!$N$12))</f>
        <v>44.4752860016646</v>
      </c>
      <c r="U714" s="63">
        <f>IF((((inputs!$P$12/(X714/MAX(K714:S714)))^(1/inputs!$O$12))-1)/inputs!$N$12&lt;0, 0, IF((((inputs!$P$12/(X714/MAX(K714:S714)))^(1/inputs!$O$12))-1)/inputs!$N$12&gt;inputs!$H$17, inputs!$H$17, (((inputs!$P$12/(X714/MAX(K714:S714)))^(1/inputs!$O$12))-1)/inputs!$N$12))</f>
        <v>0</v>
      </c>
      <c r="V714" s="54">
        <f>inputs!$E$70*(inputs!$F$70/F714)^(0.25)</f>
        <v>1.0006667341519202</v>
      </c>
      <c r="W714" s="54">
        <f>inputs!$E$76*(inputs!$F$76/F714)^(0.25)</f>
        <v>0.30098167997190939</v>
      </c>
      <c r="X714" s="54">
        <f>inputs!$E$72*(inputs!$F$72/F714)^(0.25)</f>
        <v>44.147061800820012</v>
      </c>
      <c r="Y714" s="54" t="s">
        <v>13</v>
      </c>
      <c r="Z714" s="106">
        <f t="shared" si="90"/>
        <v>21.196766726047137</v>
      </c>
      <c r="AA714" s="106">
        <f t="shared" si="91"/>
        <v>70.47239332411624</v>
      </c>
    </row>
    <row r="715" spans="1:27" x14ac:dyDescent="0.25">
      <c r="A715" s="55" t="s">
        <v>470</v>
      </c>
      <c r="B715" s="49" t="s">
        <v>471</v>
      </c>
      <c r="C715" s="21" t="s">
        <v>61</v>
      </c>
      <c r="D715" s="20" t="s">
        <v>443</v>
      </c>
      <c r="E715" s="20">
        <v>20</v>
      </c>
      <c r="F715" s="21">
        <v>640</v>
      </c>
      <c r="G715" s="21" t="s">
        <v>177</v>
      </c>
      <c r="H715" s="21">
        <v>0.85</v>
      </c>
      <c r="I715" s="48">
        <f>MAX('Min rate concentrations'!$F$3:$F$368)</f>
        <v>67.5</v>
      </c>
      <c r="J715" s="48">
        <f>MAX('Min rate concentrations'!Y:Y)</f>
        <v>22.5</v>
      </c>
      <c r="K715" s="60">
        <f t="shared" si="89"/>
        <v>16.703583225787764</v>
      </c>
      <c r="L715" s="60">
        <f>(((0.621*F715^0.564)/(1-H715)))*J715/F715</f>
        <v>5.5678610752625888</v>
      </c>
      <c r="M715" s="60">
        <f>IF((((0.326*F715^0.818)-(0.398*F715^0.85)/(1-H715)*H715)*(MAX('Min rate concentrations'!$P$3:$P$368)))/F715&gt;0, (((0.326*F715^0.818)-(0.398*F715^0.85)/(1-H715)*H715)*(MAX('Min rate concentrations'!$P$3:$P$368)))/F715, 0)</f>
        <v>0</v>
      </c>
      <c r="N715" s="60">
        <f>IF((((0.326*F715^0.818)-(0.398*F715^0.85)/(1-H715)*H715)*(MAX('Min rate concentrations'!$Q$3:$Q$368)))/F715&gt; 0, (((0.326*F715^0.818)-(0.398*F715^0.85)/(1-H715)*H715)*(MAX('Min rate concentrations'!$Q$3:$Q$368)))/F715, 0)</f>
        <v>0</v>
      </c>
      <c r="O715" s="60">
        <f>((MAX('Min rate concentrations'!$F$3:$F$368))*0.62*6.01*8*(12.3*F715^0.65)*0.079*0.1/F715)*inputs!$E$73/inputs!$E$74</f>
        <v>4.701181685278689</v>
      </c>
      <c r="P715" s="60">
        <f>((MAX('Min rate concentrations'!Y:Y))*0.62*6.01*8*(12.3*F715^0.65)*0.079*0.1/F715)*inputs!$E$73/inputs!$E$74</f>
        <v>1.5670605617595628</v>
      </c>
      <c r="Q715" s="60">
        <f>(inputs!$C$7*11.2*(12.3*F715^0.65)*0.5/F715)*inputs!$E$73/inputs!$E$74</f>
        <v>0.82809098037132123</v>
      </c>
      <c r="R715" s="60">
        <f>(60*379*((F715/1000)^0.8)*3*24*(MAX('Min rate concentrations'!$R$3:$R$368))/F715)*(inputs!$E$73/inputs!$E$75)</f>
        <v>2.0115992410335935E-3</v>
      </c>
      <c r="S715" s="60">
        <f>(IF(inputs!$C$6="aerial",((0.025*0.112*inputs!$C$7/3.3)*(3*60*379*((F715/1000)^0.8))*MAX(inputs!$H$14:$H$16))/F715,((0.0083*0.112*inputs!$C$7/1)*(3*60*379*((F715/1000)^0.8))*MAX(inputs!$H$14:$H$16))/F715))*(inputs!E$75/inputs!$E$73)</f>
        <v>1.1094093403556472E-2</v>
      </c>
      <c r="T715" s="63">
        <f>IF((((inputs!$P$12/(V715/MAX(K715:S715)))^(1/inputs!$O$12))-1)/inputs!$N$12&lt;0, 0, IF((((inputs!$P$12/(V715/MAX(K715:S715)))^(1/inputs!$O$12))-1)/inputs!$N$12&gt;inputs!$H$17, inputs!$H$17, (((inputs!$P$12/(V715/MAX(K715:S715)))^(1/inputs!$O$12))-1)/inputs!$N$12))</f>
        <v>37.719100582537543</v>
      </c>
      <c r="U715" s="63">
        <f>IF((((inputs!$P$12/(X715/MAX(K715:S715)))^(1/inputs!$O$12))-1)/inputs!$N$12&lt;0, 0, IF((((inputs!$P$12/(X715/MAX(K715:S715)))^(1/inputs!$O$12))-1)/inputs!$N$12&gt;inputs!$H$17, inputs!$H$17, (((inputs!$P$12/(X715/MAX(K715:S715)))^(1/inputs!$O$12))-1)/inputs!$N$12))</f>
        <v>0</v>
      </c>
      <c r="V715" s="54">
        <f>inputs!$E$70*(inputs!$F$70/F715)^(0.25)</f>
        <v>1.0006667341519202</v>
      </c>
      <c r="W715" s="54">
        <f>inputs!$E$76*(inputs!$F$76/F715)^(0.25)</f>
        <v>0.30098167997190939</v>
      </c>
      <c r="X715" s="54">
        <f>inputs!$E$72*(inputs!$F$72/F715)^(0.25)</f>
        <v>44.147061800820012</v>
      </c>
      <c r="Y715" s="54" t="s">
        <v>13</v>
      </c>
      <c r="Z715" s="106">
        <f t="shared" si="90"/>
        <v>16.692453796762113</v>
      </c>
      <c r="AA715" s="106">
        <f t="shared" si="91"/>
        <v>55.497009742741511</v>
      </c>
    </row>
    <row r="716" spans="1:27" x14ac:dyDescent="0.25">
      <c r="A716" s="55" t="s">
        <v>470</v>
      </c>
      <c r="B716" s="49" t="s">
        <v>471</v>
      </c>
      <c r="C716" s="21" t="s">
        <v>61</v>
      </c>
      <c r="D716" s="20" t="s">
        <v>443</v>
      </c>
      <c r="E716" s="20">
        <v>20</v>
      </c>
      <c r="F716" s="21">
        <v>640</v>
      </c>
      <c r="G716" s="21" t="s">
        <v>154</v>
      </c>
      <c r="H716" s="21">
        <v>9.2999999999999999E-2</v>
      </c>
      <c r="I716" s="48">
        <f>MAX('Min rate concentrations'!$G$3:$G$368)</f>
        <v>7.5</v>
      </c>
      <c r="J716" s="48">
        <f>MAX('Min rate concentrations'!Z:Z)</f>
        <v>3.5</v>
      </c>
      <c r="K716" s="60">
        <f t="shared" si="89"/>
        <v>0.30693831726916143</v>
      </c>
      <c r="L716" s="60"/>
      <c r="M716" s="60">
        <f>IF((((0.326*F716^0.818)-(0.398*F716^0.85)/(1-H716)*H716)*(MAX('Min rate concentrations'!$P$3:$P$368)))/F716&gt;0, (((0.326*F716^0.818)-(0.398*F716^0.85)/(1-H716)*H716)*(MAX('Min rate concentrations'!$P$3:$P$368)))/F716, 0)</f>
        <v>1.2351151448536752E-2</v>
      </c>
      <c r="N716" s="60">
        <f>IF((((0.326*F716^0.818)-(0.398*F716^0.85)/(1-H716)*H716)*(MAX('Min rate concentrations'!$Q$3:$Q$368)))/F716&gt; 0, (((0.326*F716^0.818)-(0.398*F716^0.85)/(1-H716)*H716)*(MAX('Min rate concentrations'!$Q$3:$Q$368)))/F716, 0)</f>
        <v>4.7033848364208555E-2</v>
      </c>
      <c r="O716" s="60">
        <f>((MAX('Min rate concentrations'!$F$3:$F$368))*0.62*6.01*8*(12.3*F716^0.65)*0.079*0.1/F716)*inputs!$E$73/inputs!$E$74</f>
        <v>4.701181685278689</v>
      </c>
      <c r="P716" s="60"/>
      <c r="Q716" s="60">
        <f>(inputs!$C$7*11.2*(12.3*F716^0.65)*0.5/F716)*inputs!$E$73/inputs!$E$74</f>
        <v>0.82809098037132123</v>
      </c>
      <c r="R716" s="60">
        <f>(60*379*((F716/1000)^0.8)*3*24*(MAX('Min rate concentrations'!$R$3:$R$368))/F716)*(inputs!$E$73/inputs!$E$75)</f>
        <v>2.0115992410335935E-3</v>
      </c>
      <c r="S716" s="60">
        <f>(IF(inputs!$C$6="aerial",((0.025*0.112*inputs!$C$7/3.3)*(3*60*379*((F716/1000)^0.8))*MAX(inputs!$H$14:$H$16))/F716,((0.0083*0.112*inputs!$C$7/1)*(3*60*379*((F716/1000)^0.8))*MAX(inputs!$H$14:$H$16))/F716))*(inputs!E$75/inputs!$E$73)</f>
        <v>1.1094093403556472E-2</v>
      </c>
      <c r="T716" s="63">
        <f>IF((((inputs!$P$12/(V716/MAX(K716:S716)))^(1/inputs!$O$12))-1)/inputs!$N$12&lt;0, 0, IF((((inputs!$P$12/(V716/MAX(K716:S716)))^(1/inputs!$O$12))-1)/inputs!$N$12&gt;inputs!$H$17, inputs!$H$17, (((inputs!$P$12/(V716/MAX(K716:S716)))^(1/inputs!$O$12))-1)/inputs!$N$12))</f>
        <v>11.043740939849281</v>
      </c>
      <c r="U716" s="63">
        <f>IF((((inputs!$P$12/(X716/MAX(K716:S716)))^(1/inputs!$O$12))-1)/inputs!$N$12&lt;0, 0, IF((((inputs!$P$12/(X716/MAX(K716:S716)))^(1/inputs!$O$12))-1)/inputs!$N$12&gt;inputs!$H$17, inputs!$H$17, (((inputs!$P$12/(X716/MAX(K716:S716)))^(1/inputs!$O$12))-1)/inputs!$N$12))</f>
        <v>0</v>
      </c>
      <c r="V716" s="54">
        <f>inputs!$E$70*(inputs!$F$70/F716)^(0.25)</f>
        <v>1.0006667341519202</v>
      </c>
      <c r="W716" s="54">
        <f>inputs!$E$76*(inputs!$F$76/F716)^(0.25)</f>
        <v>0.30098167997190939</v>
      </c>
      <c r="X716" s="54">
        <f>inputs!$E$72*(inputs!$F$72/F716)^(0.25)</f>
        <v>44.147061800820012</v>
      </c>
      <c r="Y716" s="54" t="s">
        <v>13</v>
      </c>
      <c r="Z716" s="106">
        <f t="shared" si="90"/>
        <v>4.6980493353394124</v>
      </c>
      <c r="AA716" s="106">
        <f t="shared" si="91"/>
        <v>15.619494467960475</v>
      </c>
    </row>
    <row r="717" spans="1:27" x14ac:dyDescent="0.25">
      <c r="A717" s="55" t="s">
        <v>592</v>
      </c>
      <c r="B717" s="49" t="s">
        <v>593</v>
      </c>
      <c r="C717" s="21" t="s">
        <v>61</v>
      </c>
      <c r="D717" s="20" t="s">
        <v>443</v>
      </c>
      <c r="E717" s="20">
        <v>2389</v>
      </c>
      <c r="F717" s="21">
        <v>120</v>
      </c>
      <c r="G717" s="21" t="s">
        <v>142</v>
      </c>
      <c r="H717" s="21">
        <v>0.69</v>
      </c>
      <c r="I717" s="48">
        <f>MAX('Min rate concentrations'!$H$3:$H$368)</f>
        <v>47</v>
      </c>
      <c r="J717" s="48">
        <f>MAX('Min rate concentrations'!AA:AA)</f>
        <v>32.5</v>
      </c>
      <c r="K717" s="60">
        <f t="shared" si="89"/>
        <v>11.676286454552361</v>
      </c>
      <c r="L717" s="60">
        <f>(((0.621*F717^0.564)/(1-H717)))*J717/F717</f>
        <v>8.0740278675096118</v>
      </c>
      <c r="M717" s="60">
        <f>IF((((0.326*F717^0.818)-(0.398*F717^0.85)/(1-H717)*H717)*(MAX('Min rate concentrations'!$P$3:$P$368)))/F717&gt;0, (((0.326*F717^0.818)-(0.398*F717^0.85)/(1-H717)*H717)*(MAX('Min rate concentrations'!$P$3:$P$368)))/F717, 0)</f>
        <v>0</v>
      </c>
      <c r="N717" s="60">
        <f>IF((((0.326*F717^0.818)-(0.398*F717^0.85)/(1-H717)*H717)*(MAX('Min rate concentrations'!$Q$3:$Q$368)))/F717&gt; 0, (((0.326*F717^0.818)-(0.398*F717^0.85)/(1-H717)*H717)*(MAX('Min rate concentrations'!$Q$3:$Q$368)))/F717, 0)</f>
        <v>0</v>
      </c>
      <c r="O717" s="60">
        <f>((MAX('Min rate concentrations'!$F$3:$F$368))*0.62*6.01*8*(12.3*F717^0.65)*0.079*0.1/F717)*inputs!$E$73/inputs!$E$74</f>
        <v>8.4461072205623111</v>
      </c>
      <c r="P717" s="60">
        <f>((MAX('Min rate concentrations'!Y:Y))*0.62*6.01*8*(12.3*F717^0.65)*0.079*0.1/F717)*inputs!$E$73/inputs!$E$74</f>
        <v>2.8153690735207699</v>
      </c>
      <c r="Q717" s="60">
        <f>(inputs!$C$7*11.2*(12.3*F717^0.65)*0.5/F717)*inputs!$E$73/inputs!$E$74</f>
        <v>1.4877419501778142</v>
      </c>
      <c r="R717" s="60">
        <f>(60*379*((F717/1000)^0.8)*3*24*(MAX('Min rate concentrations'!$R$3:$R$368))/F717)*(inputs!$E$73/inputs!$E$75)</f>
        <v>2.8115202034692029E-3</v>
      </c>
      <c r="S717" s="60">
        <f>(IF(inputs!$C$6="aerial",((0.025*0.112*inputs!$C$7/3.3)*(3*60*379*((F717/1000)^0.8))*MAX(inputs!$H$14:$H$16))/F717,((0.0083*0.112*inputs!$C$7/1)*(3*60*379*((F717/1000)^0.8))*MAX(inputs!$H$14:$H$16))/F717))*(inputs!E$75/inputs!$E$73)</f>
        <v>1.5505706657180304E-2</v>
      </c>
      <c r="T717" s="63">
        <f>IF((((inputs!$P$12/(V717/MAX(K717:S717)))^(1/inputs!$O$12))-1)/inputs!$N$12&lt;0, 0, IF((((inputs!$P$12/(V717/MAX(K717:S717)))^(1/inputs!$O$12))-1)/inputs!$N$12&gt;inputs!$H$17, inputs!$H$17, (((inputs!$P$12/(V717/MAX(K717:S717)))^(1/inputs!$O$12))-1)/inputs!$N$12))</f>
        <v>19.787435510177264</v>
      </c>
      <c r="U717" s="63">
        <f>IF((((inputs!$P$12/(X717/MAX(K717:S717)))^(1/inputs!$O$12))-1)/inputs!$N$12&lt;0, 0, IF((((inputs!$P$12/(X717/MAX(K717:S717)))^(1/inputs!$O$12))-1)/inputs!$N$12&gt;inputs!$H$17, inputs!$H$17, (((inputs!$P$12/(X717/MAX(K717:S717)))^(1/inputs!$O$12))-1)/inputs!$N$12))</f>
        <v>0</v>
      </c>
      <c r="V717" s="54">
        <f>inputs!$E$70*(inputs!$F$70/F717)^(0.25)</f>
        <v>1.5206845881061284</v>
      </c>
      <c r="W717" s="54">
        <f>inputs!$E$76*(inputs!$F$76/F717)^(0.25)</f>
        <v>0.45739324234004791</v>
      </c>
      <c r="X717" s="54">
        <f>inputs!$E$72*(inputs!$F$72/F717)^(0.25)</f>
        <v>67.089025945858609</v>
      </c>
      <c r="Y717" s="54" t="s">
        <v>13</v>
      </c>
      <c r="Z717" s="106">
        <f t="shared" si="90"/>
        <v>7.6783091943439059</v>
      </c>
      <c r="AA717" s="106">
        <f t="shared" si="91"/>
        <v>25.527894541720521</v>
      </c>
    </row>
    <row r="718" spans="1:27" x14ac:dyDescent="0.25">
      <c r="A718" s="55" t="s">
        <v>592</v>
      </c>
      <c r="B718" s="49" t="s">
        <v>593</v>
      </c>
      <c r="C718" s="21" t="s">
        <v>61</v>
      </c>
      <c r="D718" s="20" t="s">
        <v>443</v>
      </c>
      <c r="E718" s="20">
        <v>2389</v>
      </c>
      <c r="F718" s="21">
        <v>120</v>
      </c>
      <c r="G718" s="21" t="s">
        <v>177</v>
      </c>
      <c r="H718" s="21">
        <v>0.85</v>
      </c>
      <c r="I718" s="48">
        <f>MAX('Min rate concentrations'!$F$3:$F$368)</f>
        <v>67.5</v>
      </c>
      <c r="J718" s="48">
        <f>MAX('Min rate concentrations'!Y:Y)</f>
        <v>22.5</v>
      </c>
      <c r="K718" s="60">
        <f t="shared" si="89"/>
        <v>34.656211923618187</v>
      </c>
      <c r="L718" s="60">
        <f>(((0.621*F718^0.564)/(1-H718)))*J718/F718</f>
        <v>11.552070641206061</v>
      </c>
      <c r="M718" s="60">
        <f>IF((((0.326*F718^0.818)-(0.398*F718^0.85)/(1-H718)*H718)*(MAX('Min rate concentrations'!$P$3:$P$368)))/F718&gt;0, (((0.326*F718^0.818)-(0.398*F718^0.85)/(1-H718)*H718)*(MAX('Min rate concentrations'!$P$3:$P$368)))/F718, 0)</f>
        <v>0</v>
      </c>
      <c r="N718" s="60">
        <f>IF((((0.326*F718^0.818)-(0.398*F718^0.85)/(1-H718)*H718)*(MAX('Min rate concentrations'!$Q$3:$Q$368)))/F718&gt; 0, (((0.326*F718^0.818)-(0.398*F718^0.85)/(1-H718)*H718)*(MAX('Min rate concentrations'!$Q$3:$Q$368)))/F718, 0)</f>
        <v>0</v>
      </c>
      <c r="O718" s="60">
        <f>((MAX('Min rate concentrations'!$F$3:$F$368))*0.62*6.01*8*(12.3*F718^0.65)*0.079*0.1/F718)*inputs!$E$73/inputs!$E$74</f>
        <v>8.4461072205623111</v>
      </c>
      <c r="P718" s="60">
        <f>((MAX('Min rate concentrations'!Y:Y))*0.62*6.01*8*(12.3*F718^0.65)*0.079*0.1/F718)*inputs!$E$73/inputs!$E$74</f>
        <v>2.8153690735207699</v>
      </c>
      <c r="Q718" s="60">
        <f>(inputs!$C$7*11.2*(12.3*F718^0.65)*0.5/F718)*inputs!$E$73/inputs!$E$74</f>
        <v>1.4877419501778142</v>
      </c>
      <c r="R718" s="60">
        <f>(60*379*((F718/1000)^0.8)*3*24*(MAX('Min rate concentrations'!$R$3:$R$368))/F718)*(inputs!$E$73/inputs!$E$75)</f>
        <v>2.8115202034692029E-3</v>
      </c>
      <c r="S718" s="60">
        <f>(IF(inputs!$C$6="aerial",((0.025*0.112*inputs!$C$7/3.3)*(3*60*379*((F718/1000)^0.8))*MAX(inputs!$H$14:$H$16))/F718,((0.0083*0.112*inputs!$C$7/1)*(3*60*379*((F718/1000)^0.8))*MAX(inputs!$H$14:$H$16))/F718))*(inputs!E$75/inputs!$E$73)</f>
        <v>1.5505706657180304E-2</v>
      </c>
      <c r="T718" s="63">
        <f>IF((((inputs!$P$12/(V718/MAX(K718:S718)))^(1/inputs!$O$12))-1)/inputs!$N$12&lt;0, 0, IF((((inputs!$P$12/(V718/MAX(K718:S718)))^(1/inputs!$O$12))-1)/inputs!$N$12&gt;inputs!$H$17, inputs!$H$17, (((inputs!$P$12/(V718/MAX(K718:S718)))^(1/inputs!$O$12))-1)/inputs!$N$12))</f>
        <v>46.657962072165958</v>
      </c>
      <c r="U718" s="63">
        <f>IF((((inputs!$P$12/(X718/MAX(K718:S718)))^(1/inputs!$O$12))-1)/inputs!$N$12&lt;0, 0, IF((((inputs!$P$12/(X718/MAX(K718:S718)))^(1/inputs!$O$12))-1)/inputs!$N$12&gt;inputs!$H$17, inputs!$H$17, (((inputs!$P$12/(X718/MAX(K718:S718)))^(1/inputs!$O$12))-1)/inputs!$N$12))</f>
        <v>0</v>
      </c>
      <c r="V718" s="54">
        <f>inputs!$E$70*(inputs!$F$70/F718)^(0.25)</f>
        <v>1.5206845881061284</v>
      </c>
      <c r="W718" s="54">
        <f>inputs!$E$76*(inputs!$F$76/F718)^(0.25)</f>
        <v>0.45739324234004791</v>
      </c>
      <c r="X718" s="54">
        <f>inputs!$E$72*(inputs!$F$72/F718)^(0.25)</f>
        <v>67.089025945858609</v>
      </c>
      <c r="Y718" s="54" t="s">
        <v>13</v>
      </c>
      <c r="Z718" s="106">
        <f t="shared" si="90"/>
        <v>22.78987516193564</v>
      </c>
      <c r="AA718" s="106">
        <f t="shared" si="91"/>
        <v>75.768963586596044</v>
      </c>
    </row>
    <row r="719" spans="1:27" x14ac:dyDescent="0.25">
      <c r="A719" s="55" t="s">
        <v>592</v>
      </c>
      <c r="B719" s="49" t="s">
        <v>593</v>
      </c>
      <c r="C719" s="21" t="s">
        <v>61</v>
      </c>
      <c r="D719" s="20" t="s">
        <v>443</v>
      </c>
      <c r="E719" s="20">
        <v>2389</v>
      </c>
      <c r="F719" s="21">
        <v>120</v>
      </c>
      <c r="G719" s="21" t="s">
        <v>154</v>
      </c>
      <c r="H719" s="21">
        <v>9.2999999999999999E-2</v>
      </c>
      <c r="I719" s="48">
        <f>MAX('Min rate concentrations'!$G$3:$G$368)</f>
        <v>7.5</v>
      </c>
      <c r="J719" s="48">
        <f>MAX('Min rate concentrations'!Z:Z)</f>
        <v>3.5</v>
      </c>
      <c r="K719" s="60">
        <f t="shared" si="89"/>
        <v>0.63682859102569256</v>
      </c>
      <c r="L719" s="60"/>
      <c r="M719" s="60">
        <f>IF((((0.326*F719^0.818)-(0.398*F719^0.85)/(1-H719)*H719)*(MAX('Min rate concentrations'!$P$3:$P$368)))/F719&gt;0, (((0.326*F719^0.818)-(0.398*F719^0.85)/(1-H719)*H719)*(MAX('Min rate concentrations'!$P$3:$P$368)))/F719, 0)</f>
        <v>1.6909202628952229E-2</v>
      </c>
      <c r="N719" s="60">
        <f>IF((((0.326*F719^0.818)-(0.398*F719^0.85)/(1-H719)*H719)*(MAX('Min rate concentrations'!$Q$3:$Q$368)))/F719&gt; 0, (((0.326*F719^0.818)-(0.398*F719^0.85)/(1-H719)*H719)*(MAX('Min rate concentrations'!$Q$3:$Q$368)))/F719, 0)</f>
        <v>6.4391152171001512E-2</v>
      </c>
      <c r="O719" s="60">
        <f>((MAX('Min rate concentrations'!$F$3:$F$368))*0.62*6.01*8*(12.3*F719^0.65)*0.079*0.1/F719)*inputs!$E$73/inputs!$E$74</f>
        <v>8.4461072205623111</v>
      </c>
      <c r="P719" s="60"/>
      <c r="Q719" s="60">
        <f>(inputs!$C$7*11.2*(12.3*F719^0.65)*0.5/F719)*inputs!$E$73/inputs!$E$74</f>
        <v>1.4877419501778142</v>
      </c>
      <c r="R719" s="60">
        <f>(60*379*((F719/1000)^0.8)*3*24*(MAX('Min rate concentrations'!$R$3:$R$368))/F719)*(inputs!$E$73/inputs!$E$75)</f>
        <v>2.8115202034692029E-3</v>
      </c>
      <c r="S719" s="60">
        <f>(IF(inputs!$C$6="aerial",((0.025*0.112*inputs!$C$7/3.3)*(3*60*379*((F719/1000)^0.8))*MAX(inputs!$H$14:$H$16))/F719,((0.0083*0.112*inputs!$C$7/1)*(3*60*379*((F719/1000)^0.8))*MAX(inputs!$H$14:$H$16))/F719))*(inputs!E$75/inputs!$E$73)</f>
        <v>1.5505706657180304E-2</v>
      </c>
      <c r="T719" s="63">
        <f>IF((((inputs!$P$12/(V719/MAX(K719:S719)))^(1/inputs!$O$12))-1)/inputs!$N$12&lt;0, 0, IF((((inputs!$P$12/(V719/MAX(K719:S719)))^(1/inputs!$O$12))-1)/inputs!$N$12&gt;inputs!$H$17, inputs!$H$17, (((inputs!$P$12/(V719/MAX(K719:S719)))^(1/inputs!$O$12))-1)/inputs!$N$12))</f>
        <v>13.829210279573683</v>
      </c>
      <c r="U719" s="63">
        <f>IF((((inputs!$P$12/(X719/MAX(K719:S719)))^(1/inputs!$O$12))-1)/inputs!$N$12&lt;0, 0, IF((((inputs!$P$12/(X719/MAX(K719:S719)))^(1/inputs!$O$12))-1)/inputs!$N$12&gt;inputs!$H$17, inputs!$H$17, (((inputs!$P$12/(X719/MAX(K719:S719)))^(1/inputs!$O$12))-1)/inputs!$N$12))</f>
        <v>0</v>
      </c>
      <c r="V719" s="54">
        <f>inputs!$E$70*(inputs!$F$70/F719)^(0.25)</f>
        <v>1.5206845881061284</v>
      </c>
      <c r="W719" s="54">
        <f>inputs!$E$76*(inputs!$F$76/F719)^(0.25)</f>
        <v>0.45739324234004791</v>
      </c>
      <c r="X719" s="54">
        <f>inputs!$E$72*(inputs!$F$72/F719)^(0.25)</f>
        <v>67.089025945858609</v>
      </c>
      <c r="Y719" s="54" t="s">
        <v>13</v>
      </c>
      <c r="Z719" s="106">
        <f t="shared" si="90"/>
        <v>5.5541479716587085</v>
      </c>
      <c r="AA719" s="106">
        <f t="shared" si="91"/>
        <v>18.465745530807542</v>
      </c>
    </row>
    <row r="720" spans="1:27" x14ac:dyDescent="0.25">
      <c r="A720" s="55" t="s">
        <v>588</v>
      </c>
      <c r="B720" s="49" t="s">
        <v>589</v>
      </c>
      <c r="C720" s="21" t="s">
        <v>61</v>
      </c>
      <c r="D720" s="20" t="s">
        <v>443</v>
      </c>
      <c r="E720" s="20">
        <v>8685</v>
      </c>
      <c r="F720" s="21">
        <v>75</v>
      </c>
      <c r="G720" s="21" t="s">
        <v>177</v>
      </c>
      <c r="H720" s="21">
        <v>0.85</v>
      </c>
      <c r="I720" s="48">
        <f>MAX('Min rate concentrations'!$F$3:$F$368)</f>
        <v>67.5</v>
      </c>
      <c r="J720" s="48">
        <f>MAX('Min rate concentrations'!Y:Y)</f>
        <v>22.5</v>
      </c>
      <c r="K720" s="60">
        <f t="shared" si="89"/>
        <v>42.538032929594046</v>
      </c>
      <c r="L720" s="60">
        <f>(((0.621*F720^0.564)/(1-H720)))*J720/F720</f>
        <v>14.179344309864682</v>
      </c>
      <c r="M720" s="60">
        <f>IF((((0.326*F720^0.818)-(0.398*F720^0.85)/(1-H720)*H720)*(MAX('Min rate concentrations'!$P$3:$P$368)))/F720&gt;0, (((0.326*F720^0.818)-(0.398*F720^0.85)/(1-H720)*H720)*(MAX('Min rate concentrations'!$P$3:$P$368)))/F720, 0)</f>
        <v>0</v>
      </c>
      <c r="N720" s="60">
        <f>IF((((0.326*F720^0.818)-(0.398*F720^0.85)/(1-H720)*H720)*(MAX('Min rate concentrations'!$Q$3:$Q$368)))/F720&gt; 0, (((0.326*F720^0.818)-(0.398*F720^0.85)/(1-H720)*H720)*(MAX('Min rate concentrations'!$Q$3:$Q$368)))/F720, 0)</f>
        <v>0</v>
      </c>
      <c r="O720" s="60">
        <f>((MAX('Min rate concentrations'!$F$3:$F$368))*0.62*6.01*8*(12.3*F720^0.65)*0.079*0.1/F720)*inputs!$E$73/inputs!$E$74</f>
        <v>9.9563139872749549</v>
      </c>
      <c r="P720" s="60">
        <f>((MAX('Min rate concentrations'!Y:Y))*0.62*6.01*8*(12.3*F720^0.65)*0.079*0.1/F720)*inputs!$E$73/inputs!$E$74</f>
        <v>3.3187713290916498</v>
      </c>
      <c r="Q720" s="60">
        <f>(inputs!$C$7*11.2*(12.3*F720^0.65)*0.5/F720)*inputs!$E$73/inputs!$E$74</f>
        <v>1.7537577491261036</v>
      </c>
      <c r="R720" s="60">
        <f>(60*379*((F720/1000)^0.8)*3*24*(MAX('Min rate concentrations'!$R$3:$R$368))/F720)*(inputs!$E$73/inputs!$E$75)</f>
        <v>3.0886251622392535E-3</v>
      </c>
      <c r="S720" s="60">
        <f>(IF(inputs!$C$6="aerial",((0.025*0.112*inputs!$C$7/3.3)*(3*60*379*((F720/1000)^0.8))*MAX(inputs!$H$14:$H$16))/F720,((0.0083*0.112*inputs!$C$7/1)*(3*60*379*((F720/1000)^0.8))*MAX(inputs!$H$14:$H$16))/F720))*(inputs!E$75/inputs!$E$73)</f>
        <v>1.7033957529657275E-2</v>
      </c>
      <c r="T720" s="63">
        <f>IF((((inputs!$P$12/(V720/MAX(K720:S720)))^(1/inputs!$O$12))-1)/inputs!$N$12&lt;0, 0, IF((((inputs!$P$12/(V720/MAX(K720:S720)))^(1/inputs!$O$12))-1)/inputs!$N$12&gt;inputs!$H$17, inputs!$H$17, (((inputs!$P$12/(V720/MAX(K720:S720)))^(1/inputs!$O$12))-1)/inputs!$N$12))</f>
        <v>49.378079505649872</v>
      </c>
      <c r="U720" s="63">
        <f>IF((((inputs!$P$12/(X720/MAX(K720:S720)))^(1/inputs!$O$12))-1)/inputs!$N$12&lt;0, 0, IF((((inputs!$P$12/(X720/MAX(K720:S720)))^(1/inputs!$O$12))-1)/inputs!$N$12&gt;inputs!$H$17, inputs!$H$17, (((inputs!$P$12/(X720/MAX(K720:S720)))^(1/inputs!$O$12))-1)/inputs!$N$12))</f>
        <v>0</v>
      </c>
      <c r="V720" s="54">
        <f>inputs!$E$70*(inputs!$F$70/F720)^(0.25)</f>
        <v>1.7102875729442808</v>
      </c>
      <c r="W720" s="54">
        <f>inputs!$E$76*(inputs!$F$76/F720)^(0.25)</f>
        <v>0.51442224406122605</v>
      </c>
      <c r="X720" s="54">
        <f>inputs!$E$72*(inputs!$F$72/F720)^(0.25)</f>
        <v>75.453863512247679</v>
      </c>
      <c r="Y720" s="54" t="s">
        <v>13</v>
      </c>
      <c r="Z720" s="106">
        <f t="shared" si="90"/>
        <v>24.87185991556046</v>
      </c>
      <c r="AA720" s="106">
        <f t="shared" si="91"/>
        <v>82.690889479754318</v>
      </c>
    </row>
    <row r="721" spans="1:27" x14ac:dyDescent="0.25">
      <c r="A721" s="103" t="s">
        <v>384</v>
      </c>
      <c r="B721" s="20" t="s">
        <v>385</v>
      </c>
      <c r="C721" s="21" t="s">
        <v>79</v>
      </c>
      <c r="D721" s="105" t="s">
        <v>386</v>
      </c>
      <c r="E721" s="15">
        <v>176</v>
      </c>
      <c r="F721" s="15">
        <v>45000</v>
      </c>
      <c r="G721" s="21" t="s">
        <v>164</v>
      </c>
      <c r="H721" s="20">
        <v>0.78</v>
      </c>
      <c r="I721" s="48">
        <f>inputs!$C$65*(inputs!$C$62/1000)</f>
        <v>0.82000000000000006</v>
      </c>
      <c r="J721" s="48">
        <f>inputs!$C$65*(inputs!$C$61/1000)</f>
        <v>0.25</v>
      </c>
      <c r="K721" s="59">
        <f t="shared" ref="K721:K752" si="92">(((0.013*F721^0.773)/(1-H721)))*I721/F721</f>
        <v>4.2565259286282808E-3</v>
      </c>
      <c r="L721" s="59">
        <f t="shared" ref="L721:L752" si="93">(((0.013*F721^0.773)/(1-H721)))*J721/F721</f>
        <v>1.2977213197037439E-3</v>
      </c>
      <c r="M721" s="59">
        <f>IF((((0.065*F721^0.726)/3.7-(0.301*F721^0.751)/(1-H721)*H721)*(MAX('Min rate concentrations'!$P$3:$P$368)))/F721&gt;0, (((0.065*F721^0.726)/3.7-(0.301*F721^0.751)/(1-H721)*H721)*(MAX('Min rate concentrations'!$P$3:$P$368)))/F721, 0)</f>
        <v>0</v>
      </c>
      <c r="N721" s="59">
        <f>IF((((0.065*F721^0.726)/3.7-(0.301*F721^0.751)/(1-H721)*H721)*(MAX('Min rate concentrations'!$Q$3:$Q$368)))/F721&gt;0, (((0.065*F721^0.726)/3.7-(0.301*F721^0.751)/(1-H721)*H721)*(MAX('Min rate concentrations'!$Q$3:$Q$368)))/F721, 0)</f>
        <v>0</v>
      </c>
      <c r="O721" s="59" t="s">
        <v>13</v>
      </c>
      <c r="P721" s="59" t="s">
        <v>13</v>
      </c>
      <c r="Q721" s="59">
        <f>(inputs!$C$7*11.2)*(25.05*F721^0.63)*0.5*1/F721</f>
        <v>1.331303676813232</v>
      </c>
      <c r="R721" s="59">
        <f>(60*76.9*((F721/1000)^0.76)*3*24*(MAX('Min rate concentrations'!$R$3:$R$368))/F721)</f>
        <v>1.7111399519856844E-4</v>
      </c>
      <c r="S721" s="59">
        <f>(IF(inputs!$C$6="aerial",((0.025*0.112*inputs!$C$7/3.3)*(3*60*76.9*((F721/1000)^0.76))*MAX(inputs!$H$14:$H$16))/F721,((0.0083*0.112*inputs!$C$7/1)*(3*60*76.9*((F721/1000)^0.76))*MAX(inputs!$H$14:$H$16))/F721))</f>
        <v>7.225235254259073E-4</v>
      </c>
      <c r="T721" s="63">
        <f>IF((((inputs!$P$12/(V721/MAX(K721:S721)))^(1/inputs!$O$12))-1)/inputs!$N$12&lt;0, 0, IF((((inputs!$P$12/(V721/MAX(K721:S721)))^(1/inputs!$O$12))-1)/inputs!$N$12&gt;inputs!$H$17, inputs!$H$17, (((inputs!$P$12/(V721/MAX(K721:S721)))^(1/inputs!$O$12))-1)/inputs!$N$12))</f>
        <v>0</v>
      </c>
      <c r="U721" s="63">
        <f>IF((((inputs!$P$12/(X721/MAX(K721:S721)))^(1/inputs!$O$12))-1)/inputs!$N$12&lt;0, 0, IF((((inputs!$P$12/(X721/MAX(K721:S721)))^(1/inputs!$O$12))-1)/inputs!$N$12&gt;inputs!$H$17, inputs!$H$17, (((inputs!$P$12/(X721/MAX(K721:S721)))^(1/inputs!$O$12))-1)/inputs!$N$12))</f>
        <v>0</v>
      </c>
      <c r="V721" s="21">
        <f>inputs!$E$87*(F721/inputs!$F$87)^(1)</f>
        <v>8.5499999999999989</v>
      </c>
      <c r="W721" s="21">
        <f>inputs!$E$90*(F721/inputs!$F$90)^(1)</f>
        <v>9</v>
      </c>
      <c r="X721" s="21">
        <f>inputs!$E$89*(F721/inputs!$F$89)^(1)</f>
        <v>33.607594936708857</v>
      </c>
      <c r="Y721" s="21" t="s">
        <v>13</v>
      </c>
      <c r="Z721" s="63">
        <f t="shared" si="90"/>
        <v>0.15570803237581662</v>
      </c>
      <c r="AA721" s="63">
        <f t="shared" si="91"/>
        <v>0.14792263075702577</v>
      </c>
    </row>
    <row r="722" spans="1:27" x14ac:dyDescent="0.25">
      <c r="A722" s="103" t="s">
        <v>384</v>
      </c>
      <c r="B722" s="20" t="s">
        <v>385</v>
      </c>
      <c r="C722" s="21" t="s">
        <v>79</v>
      </c>
      <c r="D722" s="105" t="s">
        <v>386</v>
      </c>
      <c r="E722" s="15">
        <v>176</v>
      </c>
      <c r="F722" s="15">
        <v>45000</v>
      </c>
      <c r="G722" s="21" t="s">
        <v>138</v>
      </c>
      <c r="H722" s="20">
        <v>0.68</v>
      </c>
      <c r="I722" s="48">
        <f>MAX('Min rate concentrations'!$L$3:$L$368)</f>
        <v>58.421240152220811</v>
      </c>
      <c r="J722" s="48">
        <f>MAX('Min rate concentrations'!AD:AD)</f>
        <v>40.397666062705881</v>
      </c>
      <c r="K722" s="59">
        <f t="shared" si="92"/>
        <v>0.20848984438994073</v>
      </c>
      <c r="L722" s="59">
        <f t="shared" si="93"/>
        <v>0.14416850941857604</v>
      </c>
      <c r="M722" s="59">
        <f>IF((((0.065*F722^0.726)/3.7-(0.301*F722^0.751)/(1-H722)*H722)*(MAX('Min rate concentrations'!$P$3:$P$368)))/F722&gt;0, (((0.065*F722^0.726)/3.7-(0.301*F722^0.751)/(1-H722)*H722)*(MAX('Min rate concentrations'!$P$3:$P$368)))/F722, 0)</f>
        <v>0</v>
      </c>
      <c r="N722" s="59">
        <f>IF((((0.065*F722^0.726)/3.7-(0.301*F722^0.751)/(1-H722)*H722)*(MAX('Min rate concentrations'!$Q$3:$Q$368)))/F722&gt;0, (((0.065*F722^0.726)/3.7-(0.301*F722^0.751)/(1-H722)*H722)*(MAX('Min rate concentrations'!$Q$3:$Q$368)))/F722, 0)</f>
        <v>0</v>
      </c>
      <c r="O722" s="59" t="s">
        <v>13</v>
      </c>
      <c r="P722" s="59" t="s">
        <v>13</v>
      </c>
      <c r="Q722" s="59">
        <f>(inputs!$C$7*11.2)*(25.05*F722^0.63)*0.5*1/F722</f>
        <v>1.331303676813232</v>
      </c>
      <c r="R722" s="59">
        <f>(60*76.9*((F722/1000)^0.76)*3*24*(MAX('Min rate concentrations'!$R$3:$R$368))/F722)</f>
        <v>1.7111399519856844E-4</v>
      </c>
      <c r="S722" s="59">
        <f>(IF(inputs!$C$6="aerial",((0.025*0.112*inputs!$C$7/3.3)*(3*60*76.9*((F722/1000)^0.76))*MAX(inputs!$H$14:$H$16))/F722,((0.0083*0.112*inputs!$C$7/1)*(3*60*76.9*((F722/1000)^0.76))*MAX(inputs!$H$14:$H$16))/F722))</f>
        <v>7.225235254259073E-4</v>
      </c>
      <c r="T722" s="63">
        <f>IF((((inputs!$P$12/(V722/MAX(K722:S722)))^(1/inputs!$O$12))-1)/inputs!$N$12&lt;0, 0, IF((((inputs!$P$12/(V722/MAX(K722:S722)))^(1/inputs!$O$12))-1)/inputs!$N$12&gt;inputs!$H$17, inputs!$H$17, (((inputs!$P$12/(V722/MAX(K722:S722)))^(1/inputs!$O$12))-1)/inputs!$N$12))</f>
        <v>0</v>
      </c>
      <c r="U722" s="63">
        <f>IF((((inputs!$P$12/(X722/MAX(K722:S722)))^(1/inputs!$O$12))-1)/inputs!$N$12&lt;0, 0, IF((((inputs!$P$12/(X722/MAX(K722:S722)))^(1/inputs!$O$12))-1)/inputs!$N$12&gt;inputs!$H$17, inputs!$H$17, (((inputs!$P$12/(X722/MAX(K722:S722)))^(1/inputs!$O$12))-1)/inputs!$N$12))</f>
        <v>0</v>
      </c>
      <c r="V722" s="21">
        <f>inputs!$E$87*(F722/inputs!$F$87)^(1)</f>
        <v>8.5499999999999989</v>
      </c>
      <c r="W722" s="21">
        <f>inputs!$E$90*(F722/inputs!$F$90)^(1)</f>
        <v>9</v>
      </c>
      <c r="X722" s="21">
        <f>inputs!$E$89*(F722/inputs!$F$89)^(1)</f>
        <v>33.607594936708857</v>
      </c>
      <c r="Y722" s="21" t="s">
        <v>13</v>
      </c>
      <c r="Z722" s="63">
        <f t="shared" si="90"/>
        <v>0.15570803237581662</v>
      </c>
      <c r="AA722" s="63">
        <f t="shared" si="91"/>
        <v>0.14792263075702577</v>
      </c>
    </row>
    <row r="723" spans="1:27" x14ac:dyDescent="0.25">
      <c r="A723" s="103" t="s">
        <v>384</v>
      </c>
      <c r="B723" s="20" t="s">
        <v>385</v>
      </c>
      <c r="C723" s="21" t="s">
        <v>79</v>
      </c>
      <c r="D723" s="105" t="s">
        <v>386</v>
      </c>
      <c r="E723" s="15">
        <v>176</v>
      </c>
      <c r="F723" s="15">
        <v>45000</v>
      </c>
      <c r="G723" s="21" t="s">
        <v>186</v>
      </c>
      <c r="H723" s="49">
        <v>0.75</v>
      </c>
      <c r="I723" s="48">
        <f>inputs!$C$65*inputs!$C$64/1000</f>
        <v>2.13</v>
      </c>
      <c r="J723" s="48">
        <f>inputs!$C$65*inputs!$C$63/1000</f>
        <v>0.88</v>
      </c>
      <c r="K723" s="59">
        <f t="shared" si="92"/>
        <v>9.7297953666107898E-3</v>
      </c>
      <c r="L723" s="59">
        <f t="shared" si="93"/>
        <v>4.019821559914317E-3</v>
      </c>
      <c r="M723" s="59">
        <f>IF((((0.065*F723^0.726)/3.7-(0.301*F723^0.751)/(1-H723)*H723)*(MAX('Min rate concentrations'!$P$3:$P$368)))/F723&gt;0, (((0.065*F723^0.726)/3.7-(0.301*F723^0.751)/(1-H723)*H723)*(MAX('Min rate concentrations'!$P$3:$P$368)))/F723, 0)</f>
        <v>0</v>
      </c>
      <c r="N723" s="59">
        <f>IF((((0.065*F723^0.726)/3.7-(0.301*F723^0.751)/(1-H723)*H723)*(MAX('Min rate concentrations'!$Q$3:$Q$368)))/F723&gt;0, (((0.065*F723^0.726)/3.7-(0.301*F723^0.751)/(1-H723)*H723)*(MAX('Min rate concentrations'!$Q$3:$Q$368)))/F723, 0)</f>
        <v>0</v>
      </c>
      <c r="O723" s="59" t="s">
        <v>13</v>
      </c>
      <c r="P723" s="59" t="s">
        <v>13</v>
      </c>
      <c r="Q723" s="59">
        <f>(inputs!$C$7*11.2)*(25.05*F723^0.63)*0.5*1/F723</f>
        <v>1.331303676813232</v>
      </c>
      <c r="R723" s="59">
        <f>(60*76.9*((F723/1000)^0.76)*3*24*(MAX('Min rate concentrations'!$R$3:$R$368))/F723)</f>
        <v>1.7111399519856844E-4</v>
      </c>
      <c r="S723" s="59">
        <f>(IF(inputs!$C$6="aerial",((0.025*0.112*inputs!$C$7/3.3)*(3*60*76.9*((F723/1000)^0.76))*MAX(inputs!$H$14:$H$16))/F723,((0.0083*0.112*inputs!$C$7/1)*(3*60*76.9*((F723/1000)^0.76))*MAX(inputs!$H$14:$H$16))/F723))</f>
        <v>7.225235254259073E-4</v>
      </c>
      <c r="T723" s="63">
        <f>IF((((inputs!$P$12/(V723/MAX(K723:S723)))^(1/inputs!$O$12))-1)/inputs!$N$12&lt;0, 0, IF((((inputs!$P$12/(V723/MAX(K723:S723)))^(1/inputs!$O$12))-1)/inputs!$N$12&gt;inputs!$H$17, inputs!$H$17, (((inputs!$P$12/(V723/MAX(K723:S723)))^(1/inputs!$O$12))-1)/inputs!$N$12))</f>
        <v>0</v>
      </c>
      <c r="U723" s="63">
        <f>IF((((inputs!$P$12/(X723/MAX(K723:S723)))^(1/inputs!$O$12))-1)/inputs!$N$12&lt;0, 0, IF((((inputs!$P$12/(X723/MAX(K723:S723)))^(1/inputs!$O$12))-1)/inputs!$N$12&gt;inputs!$H$17, inputs!$H$17, (((inputs!$P$12/(X723/MAX(K723:S723)))^(1/inputs!$O$12))-1)/inputs!$N$12))</f>
        <v>0</v>
      </c>
      <c r="V723" s="21">
        <f>inputs!$E$87*(F723/inputs!$F$87)^(1)</f>
        <v>8.5499999999999989</v>
      </c>
      <c r="W723" s="21">
        <f>inputs!$E$90*(F723/inputs!$F$90)^(1)</f>
        <v>9</v>
      </c>
      <c r="X723" s="21">
        <f>inputs!$E$89*(F723/inputs!$F$89)^(1)</f>
        <v>33.607594936708857</v>
      </c>
      <c r="Y723" s="21" t="s">
        <v>13</v>
      </c>
      <c r="Z723" s="63">
        <f t="shared" si="90"/>
        <v>0.15570803237581662</v>
      </c>
      <c r="AA723" s="63">
        <f t="shared" si="91"/>
        <v>0.14792263075702577</v>
      </c>
    </row>
    <row r="724" spans="1:27" x14ac:dyDescent="0.25">
      <c r="A724" s="103" t="s">
        <v>384</v>
      </c>
      <c r="B724" s="20" t="s">
        <v>385</v>
      </c>
      <c r="C724" s="21" t="s">
        <v>79</v>
      </c>
      <c r="D724" s="105" t="s">
        <v>386</v>
      </c>
      <c r="E724" s="15">
        <v>176</v>
      </c>
      <c r="F724" s="15">
        <v>45000</v>
      </c>
      <c r="G724" s="21" t="s">
        <v>456</v>
      </c>
      <c r="H724" s="20">
        <v>0.68</v>
      </c>
      <c r="I724" s="48">
        <f>MAX('Min rate concentrations'!$J$3:$J$368)</f>
        <v>114.4108103430513</v>
      </c>
      <c r="J724" s="48">
        <f>MAX('Min rate concentrations'!AB:AB)</f>
        <v>40.520495329830666</v>
      </c>
      <c r="K724" s="59">
        <f t="shared" si="92"/>
        <v>0.40830170641358804</v>
      </c>
      <c r="L724" s="59">
        <f t="shared" si="93"/>
        <v>0.14460685435481244</v>
      </c>
      <c r="M724" s="59">
        <f>IF((((0.065*F724^0.726)/3.7-(0.301*F724^0.751)/(1-H724)*H724)*(MAX('Min rate concentrations'!$P$3:$P$368)))/F724&gt;0, (((0.065*F724^0.726)/3.7-(0.301*F724^0.751)/(1-H724)*H724)*(MAX('Min rate concentrations'!$P$3:$P$368)))/F724, 0)</f>
        <v>0</v>
      </c>
      <c r="N724" s="59">
        <f>IF((((0.065*F724^0.726)/3.7-(0.301*F724^0.751)/(1-H724)*H724)*(MAX('Min rate concentrations'!$Q$3:$Q$368)))/F724&gt;0, (((0.065*F724^0.726)/3.7-(0.301*F724^0.751)/(1-H724)*H724)*(MAX('Min rate concentrations'!$Q$3:$Q$368)))/F724, 0)</f>
        <v>0</v>
      </c>
      <c r="O724" s="59" t="s">
        <v>13</v>
      </c>
      <c r="P724" s="59" t="s">
        <v>13</v>
      </c>
      <c r="Q724" s="59">
        <f>(inputs!$C$7*11.2)*(25.05*F724^0.63)*0.5*1/F724</f>
        <v>1.331303676813232</v>
      </c>
      <c r="R724" s="59">
        <f>(60*76.9*((F724/1000)^0.76)*3*24*(MAX('Min rate concentrations'!$R$3:$R$368))/F724)</f>
        <v>1.7111399519856844E-4</v>
      </c>
      <c r="S724" s="59">
        <f>(IF(inputs!$C$6="aerial",((0.025*0.112*inputs!$C$7/3.3)*(3*60*76.9*((F724/1000)^0.76))*MAX(inputs!$H$14:$H$16))/F724,((0.0083*0.112*inputs!$C$7/1)*(3*60*76.9*((F724/1000)^0.76))*MAX(inputs!$H$14:$H$16))/F724))</f>
        <v>7.225235254259073E-4</v>
      </c>
      <c r="T724" s="63">
        <f>IF((((inputs!$P$12/(V724/MAX(K724:S724)))^(1/inputs!$O$12))-1)/inputs!$N$12&lt;0, 0, IF((((inputs!$P$12/(V724/MAX(K724:S724)))^(1/inputs!$O$12))-1)/inputs!$N$12&gt;inputs!$H$17, inputs!$H$17, (((inputs!$P$12/(V724/MAX(K724:S724)))^(1/inputs!$O$12))-1)/inputs!$N$12))</f>
        <v>0</v>
      </c>
      <c r="U724" s="63">
        <f>IF((((inputs!$P$12/(X724/MAX(K724:S724)))^(1/inputs!$O$12))-1)/inputs!$N$12&lt;0, 0, IF((((inputs!$P$12/(X724/MAX(K724:S724)))^(1/inputs!$O$12))-1)/inputs!$N$12&gt;inputs!$H$17, inputs!$H$17, (((inputs!$P$12/(X724/MAX(K724:S724)))^(1/inputs!$O$12))-1)/inputs!$N$12))</f>
        <v>0</v>
      </c>
      <c r="V724" s="21">
        <f>inputs!$E$87*(F724/inputs!$F$87)^(1)</f>
        <v>8.5499999999999989</v>
      </c>
      <c r="W724" s="21">
        <f>inputs!$E$90*(F724/inputs!$F$90)^(1)</f>
        <v>9</v>
      </c>
      <c r="X724" s="21">
        <f>inputs!$E$89*(F724/inputs!$F$89)^(1)</f>
        <v>33.607594936708857</v>
      </c>
      <c r="Y724" s="21" t="s">
        <v>13</v>
      </c>
      <c r="Z724" s="63">
        <f t="shared" si="90"/>
        <v>0.15570803237581662</v>
      </c>
      <c r="AA724" s="63">
        <f t="shared" si="91"/>
        <v>0.14792263075702577</v>
      </c>
    </row>
    <row r="725" spans="1:27" x14ac:dyDescent="0.25">
      <c r="A725" s="103" t="s">
        <v>384</v>
      </c>
      <c r="B725" s="20" t="s">
        <v>385</v>
      </c>
      <c r="C725" s="21" t="s">
        <v>79</v>
      </c>
      <c r="D725" s="105" t="s">
        <v>386</v>
      </c>
      <c r="E725" s="15">
        <v>176</v>
      </c>
      <c r="F725" s="15">
        <v>45000</v>
      </c>
      <c r="G725" s="21" t="s">
        <v>145</v>
      </c>
      <c r="H725" s="20">
        <v>0.66</v>
      </c>
      <c r="I725" s="48">
        <f>MAX('Min rate concentrations'!$M$3:$M$368)</f>
        <v>2.8488184789681945</v>
      </c>
      <c r="J725" s="48">
        <f>MAX('Min rate concentrations'!AE:AE)</f>
        <v>1.9699276716269429</v>
      </c>
      <c r="K725" s="59">
        <f t="shared" si="92"/>
        <v>9.5686346440831058E-3</v>
      </c>
      <c r="L725" s="59">
        <f t="shared" si="93"/>
        <v>6.6166090623978914E-3</v>
      </c>
      <c r="M725" s="59">
        <f>IF((((0.065*F725^0.726)/3.7-(0.301*F725^0.751)/(1-H725)*H725)*(MAX('Min rate concentrations'!$P$3:$P$368)))/F725&gt;0, (((0.065*F725^0.726)/3.7-(0.301*F725^0.751)/(1-H725)*H725)*(MAX('Min rate concentrations'!$P$3:$P$368)))/F725, 0)</f>
        <v>0</v>
      </c>
      <c r="N725" s="59">
        <f>IF((((0.065*F725^0.726)/3.7-(0.301*F725^0.751)/(1-H725)*H725)*(MAX('Min rate concentrations'!$Q$3:$Q$368)))/F725&gt;0, (((0.065*F725^0.726)/3.7-(0.301*F725^0.751)/(1-H725)*H725)*(MAX('Min rate concentrations'!$Q$3:$Q$368)))/F725, 0)</f>
        <v>0</v>
      </c>
      <c r="O725" s="59" t="s">
        <v>13</v>
      </c>
      <c r="P725" s="59" t="s">
        <v>13</v>
      </c>
      <c r="Q725" s="59">
        <f>(inputs!$C$7*11.2)*(25.05*F725^0.63)*0.5*1/F725</f>
        <v>1.331303676813232</v>
      </c>
      <c r="R725" s="59">
        <f>(60*76.9*((F725/1000)^0.76)*3*24*(MAX('Min rate concentrations'!$R$3:$R$368))/F725)</f>
        <v>1.7111399519856844E-4</v>
      </c>
      <c r="S725" s="59">
        <f>(IF(inputs!$C$6="aerial",((0.025*0.112*inputs!$C$7/3.3)*(3*60*76.9*((F725/1000)^0.76))*MAX(inputs!$H$14:$H$16))/F725,((0.0083*0.112*inputs!$C$7/1)*(3*60*76.9*((F725/1000)^0.76))*MAX(inputs!$H$14:$H$16))/F725))</f>
        <v>7.225235254259073E-4</v>
      </c>
      <c r="T725" s="63">
        <f>IF((((inputs!$P$12/(V725/MAX(K725:S725)))^(1/inputs!$O$12))-1)/inputs!$N$12&lt;0, 0, IF((((inputs!$P$12/(V725/MAX(K725:S725)))^(1/inputs!$O$12))-1)/inputs!$N$12&gt;inputs!$H$17, inputs!$H$17, (((inputs!$P$12/(V725/MAX(K725:S725)))^(1/inputs!$O$12))-1)/inputs!$N$12))</f>
        <v>0</v>
      </c>
      <c r="U725" s="63">
        <f>IF((((inputs!$P$12/(X725/MAX(K725:S725)))^(1/inputs!$O$12))-1)/inputs!$N$12&lt;0, 0, IF((((inputs!$P$12/(X725/MAX(K725:S725)))^(1/inputs!$O$12))-1)/inputs!$N$12&gt;inputs!$H$17, inputs!$H$17, (((inputs!$P$12/(X725/MAX(K725:S725)))^(1/inputs!$O$12))-1)/inputs!$N$12))</f>
        <v>0</v>
      </c>
      <c r="V725" s="21">
        <f>inputs!$E$87*(F725/inputs!$F$87)^(1)</f>
        <v>8.5499999999999989</v>
      </c>
      <c r="W725" s="21">
        <f>inputs!$E$90*(F725/inputs!$F$90)^(1)</f>
        <v>9</v>
      </c>
      <c r="X725" s="21">
        <f>inputs!$E$89*(F725/inputs!$F$89)^(1)</f>
        <v>33.607594936708857</v>
      </c>
      <c r="Y725" s="21" t="s">
        <v>13</v>
      </c>
      <c r="Z725" s="63">
        <f t="shared" si="90"/>
        <v>0.15570803237581662</v>
      </c>
      <c r="AA725" s="63">
        <f t="shared" si="91"/>
        <v>0.14792263075702577</v>
      </c>
    </row>
    <row r="726" spans="1:27" x14ac:dyDescent="0.25">
      <c r="A726" s="103" t="s">
        <v>414</v>
      </c>
      <c r="B726" s="20" t="s">
        <v>415</v>
      </c>
      <c r="C726" s="21" t="s">
        <v>79</v>
      </c>
      <c r="D726" s="105" t="s">
        <v>378</v>
      </c>
      <c r="E726" s="15">
        <v>183</v>
      </c>
      <c r="F726" s="15">
        <v>60</v>
      </c>
      <c r="G726" s="21" t="s">
        <v>182</v>
      </c>
      <c r="H726" s="20">
        <v>0.85</v>
      </c>
      <c r="I726" s="48">
        <f>MAX('Min rate concentrations'!$M$3:$M$368)</f>
        <v>2.8488184789681945</v>
      </c>
      <c r="J726" s="48">
        <f>MAX('Min rate concentrations'!AE:AE)</f>
        <v>1.9699276716269429</v>
      </c>
      <c r="K726" s="59">
        <f t="shared" si="92"/>
        <v>9.747125034479294E-2</v>
      </c>
      <c r="L726" s="59">
        <f t="shared" si="93"/>
        <v>6.7400332685229145E-2</v>
      </c>
      <c r="M726" s="59">
        <f>IF((((0.065*F726^0.726)/3.7-(0.301*F726^0.751)/(1-H726)*H726)*(MAX('Min rate concentrations'!$P$3:$P$368)))/F726&gt;0, (((0.065*F726^0.726)/3.7-(0.301*F726^0.751)/(1-H726)*H726)*(MAX('Min rate concentrations'!$P$3:$P$368)))/F726, 0)</f>
        <v>0</v>
      </c>
      <c r="N726" s="59">
        <f>IF((((0.065*F726^0.726)/3.7-(0.301*F726^0.751)/(1-H726)*H726)*(MAX('Min rate concentrations'!$Q$3:$Q$368)))/F726&gt;0, (((0.065*F726^0.726)/3.7-(0.301*F726^0.751)/(1-H726)*H726)*(MAX('Min rate concentrations'!$Q$3:$Q$368)))/F726, 0)</f>
        <v>0</v>
      </c>
      <c r="O726" s="59" t="s">
        <v>13</v>
      </c>
      <c r="P726" s="59" t="s">
        <v>13</v>
      </c>
      <c r="Q726" s="59">
        <f>(inputs!$C$7*11.2)*(25.05*F726^0.63)*0.5*1/F726</f>
        <v>15.418772440377573</v>
      </c>
      <c r="R726" s="59">
        <f>(60*76.9*((F726/1000)^0.76)*3*24*(MAX('Min rate concentrations'!$R$3:$R$368))/F726)</f>
        <v>8.3810847947640298E-4</v>
      </c>
      <c r="S726" s="59">
        <f>(IF(inputs!$C$6="aerial",((0.025*0.112*inputs!$C$7/3.3)*(3*60*76.9*((F726/1000)^0.76))*MAX(inputs!$H$14:$H$16))/F726,((0.0083*0.112*inputs!$C$7/1)*(3*60*76.9*((F726/1000)^0.76))*MAX(inputs!$H$14:$H$16))/F726))</f>
        <v>3.5388870009020953E-3</v>
      </c>
      <c r="T726" s="63">
        <f>IF((((inputs!$P$12/(V726/MAX(K726:S726)))^(1/inputs!$O$12))-1)/inputs!$N$12&lt;0, 0, IF((((inputs!$P$12/(V726/MAX(K726:S726)))^(1/inputs!$O$12))-1)/inputs!$N$12&gt;inputs!$H$17, inputs!$H$17, (((inputs!$P$12/(V726/MAX(K726:S726)))^(1/inputs!$O$12))-1)/inputs!$N$12))</f>
        <v>367.0800199798781</v>
      </c>
      <c r="U726" s="63">
        <f>IF((((inputs!$P$12/(X726/MAX(K726:S726)))^(1/inputs!$O$12))-1)/inputs!$N$12&lt;0, 0, IF((((inputs!$P$12/(X726/MAX(K726:S726)))^(1/inputs!$O$12))-1)/inputs!$N$12&gt;inputs!$H$17, inputs!$H$17, (((inputs!$P$12/(X726/MAX(K726:S726)))^(1/inputs!$O$12))-1)/inputs!$N$12))</f>
        <v>198.19914920478286</v>
      </c>
      <c r="V726" s="21">
        <f>inputs!$E$87*(F726/inputs!$F$87)^(1)</f>
        <v>1.1399999999999999E-2</v>
      </c>
      <c r="W726" s="21">
        <f>inputs!$E$90*(F726/inputs!$F$90)^(1)</f>
        <v>1.2E-2</v>
      </c>
      <c r="X726" s="21">
        <f>inputs!$E$89*(F726/inputs!$F$89)^(1)</f>
        <v>4.4810126582278481E-2</v>
      </c>
      <c r="Y726" s="21" t="s">
        <v>13</v>
      </c>
      <c r="Z726" s="63">
        <f t="shared" si="90"/>
        <v>1352.5238982787346</v>
      </c>
      <c r="AA726" s="63">
        <f t="shared" si="91"/>
        <v>1284.8977033647977</v>
      </c>
    </row>
    <row r="727" spans="1:27" x14ac:dyDescent="0.25">
      <c r="A727" s="103" t="s">
        <v>414</v>
      </c>
      <c r="B727" s="20" t="s">
        <v>415</v>
      </c>
      <c r="C727" s="21" t="s">
        <v>79</v>
      </c>
      <c r="D727" s="105" t="s">
        <v>378</v>
      </c>
      <c r="E727" s="15">
        <v>183</v>
      </c>
      <c r="F727" s="15">
        <v>60</v>
      </c>
      <c r="G727" s="21" t="s">
        <v>142</v>
      </c>
      <c r="H727" s="21">
        <v>0.69</v>
      </c>
      <c r="I727" s="48">
        <f>MAX('Min rate concentrations'!$H$3:$H$368)</f>
        <v>47</v>
      </c>
      <c r="J727" s="48">
        <f>MAX('Min rate concentrations'!AA:AA)</f>
        <v>32.5</v>
      </c>
      <c r="K727" s="59">
        <f t="shared" si="92"/>
        <v>0.77810674960110893</v>
      </c>
      <c r="L727" s="59">
        <f t="shared" si="93"/>
        <v>0.53805253961778798</v>
      </c>
      <c r="M727" s="59">
        <f>IF((((0.065*F727^0.726)/3.7-(0.301*F727^0.751)/(1-H727)*H727)*(MAX('Min rate concentrations'!$P$3:$P$368)))/F727&gt;0, (((0.065*F727^0.726)/3.7-(0.301*F727^0.751)/(1-H727)*H727)*(MAX('Min rate concentrations'!$P$3:$P$368)))/F727, 0)</f>
        <v>0</v>
      </c>
      <c r="N727" s="59">
        <f>IF((((0.065*F727^0.726)/3.7-(0.301*F727^0.751)/(1-H727)*H727)*(MAX('Min rate concentrations'!$Q$3:$Q$368)))/F727&gt;0, (((0.065*F727^0.726)/3.7-(0.301*F727^0.751)/(1-H727)*H727)*(MAX('Min rate concentrations'!$Q$3:$Q$368)))/F727, 0)</f>
        <v>0</v>
      </c>
      <c r="O727" s="59" t="s">
        <v>13</v>
      </c>
      <c r="P727" s="59" t="s">
        <v>13</v>
      </c>
      <c r="Q727" s="59">
        <f>(inputs!$C$7*11.2)*(25.05*F727^0.63)*0.5*1/F727</f>
        <v>15.418772440377573</v>
      </c>
      <c r="R727" s="59">
        <f>(60*76.9*((F727/1000)^0.76)*3*24*(MAX('Min rate concentrations'!$R$3:$R$368))/F727)</f>
        <v>8.3810847947640298E-4</v>
      </c>
      <c r="S727" s="59">
        <f>(IF(inputs!$C$6="aerial",((0.025*0.112*inputs!$C$7/3.3)*(3*60*76.9*((F727/1000)^0.76))*MAX(inputs!$H$14:$H$16))/F727,((0.0083*0.112*inputs!$C$7/1)*(3*60*76.9*((F727/1000)^0.76))*MAX(inputs!$H$14:$H$16))/F727))</f>
        <v>3.5388870009020953E-3</v>
      </c>
      <c r="T727" s="63">
        <f>IF((((inputs!$P$12/(V727/MAX(K727:S727)))^(1/inputs!$O$12))-1)/inputs!$N$12&lt;0, 0, IF((((inputs!$P$12/(V727/MAX(K727:S727)))^(1/inputs!$O$12))-1)/inputs!$N$12&gt;inputs!$H$17, inputs!$H$17, (((inputs!$P$12/(V727/MAX(K727:S727)))^(1/inputs!$O$12))-1)/inputs!$N$12))</f>
        <v>367.0800199798781</v>
      </c>
      <c r="U727" s="63">
        <f>IF((((inputs!$P$12/(X727/MAX(K727:S727)))^(1/inputs!$O$12))-1)/inputs!$N$12&lt;0, 0, IF((((inputs!$P$12/(X727/MAX(K727:S727)))^(1/inputs!$O$12))-1)/inputs!$N$12&gt;inputs!$H$17, inputs!$H$17, (((inputs!$P$12/(X727/MAX(K727:S727)))^(1/inputs!$O$12))-1)/inputs!$N$12))</f>
        <v>198.19914920478286</v>
      </c>
      <c r="V727" s="21">
        <f>inputs!$E$87*(F727/inputs!$F$87)^(1)</f>
        <v>1.1399999999999999E-2</v>
      </c>
      <c r="W727" s="21">
        <f>inputs!$E$90*(F727/inputs!$F$90)^(1)</f>
        <v>1.2E-2</v>
      </c>
      <c r="X727" s="21">
        <f>inputs!$E$89*(F727/inputs!$F$89)^(1)</f>
        <v>4.4810126582278481E-2</v>
      </c>
      <c r="Y727" s="21" t="s">
        <v>13</v>
      </c>
      <c r="Z727" s="63">
        <f t="shared" si="90"/>
        <v>1352.5238982787346</v>
      </c>
      <c r="AA727" s="63">
        <f t="shared" si="91"/>
        <v>1284.8977033647977</v>
      </c>
    </row>
    <row r="728" spans="1:27" x14ac:dyDescent="0.25">
      <c r="A728" s="103" t="s">
        <v>414</v>
      </c>
      <c r="B728" s="20" t="s">
        <v>415</v>
      </c>
      <c r="C728" s="21" t="s">
        <v>79</v>
      </c>
      <c r="D728" s="105" t="s">
        <v>378</v>
      </c>
      <c r="E728" s="15">
        <v>183</v>
      </c>
      <c r="F728" s="15">
        <v>60</v>
      </c>
      <c r="G728" s="21" t="s">
        <v>138</v>
      </c>
      <c r="H728" s="20">
        <v>0.68</v>
      </c>
      <c r="I728" s="48">
        <f>MAX('Min rate concentrations'!$L$3:$L$368)</f>
        <v>58.421240152220811</v>
      </c>
      <c r="J728" s="48">
        <f>MAX('Min rate concentrations'!AD:AD)</f>
        <v>40.397666062705881</v>
      </c>
      <c r="K728" s="59">
        <f t="shared" si="92"/>
        <v>0.93696595728578502</v>
      </c>
      <c r="L728" s="59">
        <f t="shared" si="93"/>
        <v>0.64790199174017049</v>
      </c>
      <c r="M728" s="59">
        <f>IF((((0.065*F728^0.726)/3.7-(0.301*F728^0.751)/(1-H728)*H728)*(MAX('Min rate concentrations'!$P$3:$P$368)))/F728&gt;0, (((0.065*F728^0.726)/3.7-(0.301*F728^0.751)/(1-H728)*H728)*(MAX('Min rate concentrations'!$P$3:$P$368)))/F728, 0)</f>
        <v>0</v>
      </c>
      <c r="N728" s="59">
        <f>IF((((0.065*F728^0.726)/3.7-(0.301*F728^0.751)/(1-H728)*H728)*(MAX('Min rate concentrations'!$Q$3:$Q$368)))/F728&gt;0, (((0.065*F728^0.726)/3.7-(0.301*F728^0.751)/(1-H728)*H728)*(MAX('Min rate concentrations'!$Q$3:$Q$368)))/F728, 0)</f>
        <v>0</v>
      </c>
      <c r="O728" s="59" t="s">
        <v>13</v>
      </c>
      <c r="P728" s="59" t="s">
        <v>13</v>
      </c>
      <c r="Q728" s="59">
        <f>(inputs!$C$7*11.2)*(25.05*F728^0.63)*0.5*1/F728</f>
        <v>15.418772440377573</v>
      </c>
      <c r="R728" s="59">
        <f>(60*76.9*((F728/1000)^0.76)*3*24*(MAX('Min rate concentrations'!$R$3:$R$368))/F728)</f>
        <v>8.3810847947640298E-4</v>
      </c>
      <c r="S728" s="59">
        <f>(IF(inputs!$C$6="aerial",((0.025*0.112*inputs!$C$7/3.3)*(3*60*76.9*((F728/1000)^0.76))*MAX(inputs!$H$14:$H$16))/F728,((0.0083*0.112*inputs!$C$7/1)*(3*60*76.9*((F728/1000)^0.76))*MAX(inputs!$H$14:$H$16))/F728))</f>
        <v>3.5388870009020953E-3</v>
      </c>
      <c r="T728" s="63">
        <f>IF((((inputs!$P$12/(V728/MAX(K728:S728)))^(1/inputs!$O$12))-1)/inputs!$N$12&lt;0, 0, IF((((inputs!$P$12/(V728/MAX(K728:S728)))^(1/inputs!$O$12))-1)/inputs!$N$12&gt;inputs!$H$17, inputs!$H$17, (((inputs!$P$12/(V728/MAX(K728:S728)))^(1/inputs!$O$12))-1)/inputs!$N$12))</f>
        <v>367.0800199798781</v>
      </c>
      <c r="U728" s="63">
        <f>IF((((inputs!$P$12/(X728/MAX(K728:S728)))^(1/inputs!$O$12))-1)/inputs!$N$12&lt;0, 0, IF((((inputs!$P$12/(X728/MAX(K728:S728)))^(1/inputs!$O$12))-1)/inputs!$N$12&gt;inputs!$H$17, inputs!$H$17, (((inputs!$P$12/(X728/MAX(K728:S728)))^(1/inputs!$O$12))-1)/inputs!$N$12))</f>
        <v>198.19914920478286</v>
      </c>
      <c r="V728" s="21">
        <f>inputs!$E$87*(F728/inputs!$F$87)^(1)</f>
        <v>1.1399999999999999E-2</v>
      </c>
      <c r="W728" s="21">
        <f>inputs!$E$90*(F728/inputs!$F$90)^(1)</f>
        <v>1.2E-2</v>
      </c>
      <c r="X728" s="21">
        <f>inputs!$E$89*(F728/inputs!$F$89)^(1)</f>
        <v>4.4810126582278481E-2</v>
      </c>
      <c r="Y728" s="21" t="s">
        <v>13</v>
      </c>
      <c r="Z728" s="63">
        <f t="shared" si="90"/>
        <v>1352.5238982787346</v>
      </c>
      <c r="AA728" s="63">
        <f t="shared" si="91"/>
        <v>1284.8977033647977</v>
      </c>
    </row>
    <row r="729" spans="1:27" x14ac:dyDescent="0.25">
      <c r="A729" s="103" t="s">
        <v>414</v>
      </c>
      <c r="B729" s="20" t="s">
        <v>415</v>
      </c>
      <c r="C729" s="21" t="s">
        <v>79</v>
      </c>
      <c r="D729" s="105" t="s">
        <v>378</v>
      </c>
      <c r="E729" s="15">
        <v>183</v>
      </c>
      <c r="F729" s="15">
        <v>60</v>
      </c>
      <c r="G729" s="21" t="s">
        <v>456</v>
      </c>
      <c r="H729" s="20">
        <v>0.68</v>
      </c>
      <c r="I729" s="48">
        <f>MAX('Min rate concentrations'!$J$3:$J$368)</f>
        <v>114.4108103430513</v>
      </c>
      <c r="J729" s="48">
        <f>MAX('Min rate concentrations'!AB:AB)</f>
        <v>40.520495329830666</v>
      </c>
      <c r="K729" s="59">
        <f t="shared" si="92"/>
        <v>1.8349325375086958</v>
      </c>
      <c r="L729" s="59">
        <f t="shared" si="93"/>
        <v>0.64987194036766316</v>
      </c>
      <c r="M729" s="59">
        <f>IF((((0.065*F729^0.726)/3.7-(0.301*F729^0.751)/(1-H729)*H729)*(MAX('Min rate concentrations'!$P$3:$P$368)))/F729&gt;0, (((0.065*F729^0.726)/3.7-(0.301*F729^0.751)/(1-H729)*H729)*(MAX('Min rate concentrations'!$P$3:$P$368)))/F729, 0)</f>
        <v>0</v>
      </c>
      <c r="N729" s="59">
        <f>IF((((0.065*F729^0.726)/3.7-(0.301*F729^0.751)/(1-H729)*H729)*(MAX('Min rate concentrations'!$Q$3:$Q$368)))/F729&gt;0, (((0.065*F729^0.726)/3.7-(0.301*F729^0.751)/(1-H729)*H729)*(MAX('Min rate concentrations'!$Q$3:$Q$368)))/F729, 0)</f>
        <v>0</v>
      </c>
      <c r="O729" s="59" t="s">
        <v>13</v>
      </c>
      <c r="P729" s="59" t="s">
        <v>13</v>
      </c>
      <c r="Q729" s="59">
        <f>(inputs!$C$7*11.2)*(25.05*F729^0.63)*0.5*1/F729</f>
        <v>15.418772440377573</v>
      </c>
      <c r="R729" s="59">
        <f>(60*76.9*((F729/1000)^0.76)*3*24*(MAX('Min rate concentrations'!$R$3:$R$368))/F729)</f>
        <v>8.3810847947640298E-4</v>
      </c>
      <c r="S729" s="59">
        <f>(IF(inputs!$C$6="aerial",((0.025*0.112*inputs!$C$7/3.3)*(3*60*76.9*((F729/1000)^0.76))*MAX(inputs!$H$14:$H$16))/F729,((0.0083*0.112*inputs!$C$7/1)*(3*60*76.9*((F729/1000)^0.76))*MAX(inputs!$H$14:$H$16))/F729))</f>
        <v>3.5388870009020953E-3</v>
      </c>
      <c r="T729" s="63">
        <f>IF((((inputs!$P$12/(V729/MAX(K729:S729)))^(1/inputs!$O$12))-1)/inputs!$N$12&lt;0, 0, IF((((inputs!$P$12/(V729/MAX(K729:S729)))^(1/inputs!$O$12))-1)/inputs!$N$12&gt;inputs!$H$17, inputs!$H$17, (((inputs!$P$12/(V729/MAX(K729:S729)))^(1/inputs!$O$12))-1)/inputs!$N$12))</f>
        <v>367.0800199798781</v>
      </c>
      <c r="U729" s="63">
        <f>IF((((inputs!$P$12/(X729/MAX(K729:S729)))^(1/inputs!$O$12))-1)/inputs!$N$12&lt;0, 0, IF((((inputs!$P$12/(X729/MAX(K729:S729)))^(1/inputs!$O$12))-1)/inputs!$N$12&gt;inputs!$H$17, inputs!$H$17, (((inputs!$P$12/(X729/MAX(K729:S729)))^(1/inputs!$O$12))-1)/inputs!$N$12))</f>
        <v>198.19914920478286</v>
      </c>
      <c r="V729" s="21">
        <f>inputs!$E$87*(F729/inputs!$F$87)^(1)</f>
        <v>1.1399999999999999E-2</v>
      </c>
      <c r="W729" s="21">
        <f>inputs!$E$90*(F729/inputs!$F$90)^(1)</f>
        <v>1.2E-2</v>
      </c>
      <c r="X729" s="21">
        <f>inputs!$E$89*(F729/inputs!$F$89)^(1)</f>
        <v>4.4810126582278481E-2</v>
      </c>
      <c r="Y729" s="21" t="s">
        <v>13</v>
      </c>
      <c r="Z729" s="63">
        <f t="shared" si="90"/>
        <v>1352.5238982787346</v>
      </c>
      <c r="AA729" s="63">
        <f t="shared" si="91"/>
        <v>1284.8977033647977</v>
      </c>
    </row>
    <row r="730" spans="1:27" x14ac:dyDescent="0.25">
      <c r="A730" s="103" t="s">
        <v>414</v>
      </c>
      <c r="B730" s="20" t="s">
        <v>415</v>
      </c>
      <c r="C730" s="21" t="s">
        <v>79</v>
      </c>
      <c r="D730" s="105" t="s">
        <v>378</v>
      </c>
      <c r="E730" s="15">
        <v>183</v>
      </c>
      <c r="F730" s="15">
        <v>60</v>
      </c>
      <c r="G730" s="21" t="s">
        <v>145</v>
      </c>
      <c r="H730" s="20">
        <v>0.66</v>
      </c>
      <c r="I730" s="48">
        <f>MAX('Min rate concentrations'!$M$3:$M$368)</f>
        <v>2.8488184789681945</v>
      </c>
      <c r="J730" s="48">
        <f>MAX('Min rate concentrations'!AE:AE)</f>
        <v>1.9699276716269429</v>
      </c>
      <c r="K730" s="59">
        <f t="shared" si="92"/>
        <v>4.3002022210938073E-2</v>
      </c>
      <c r="L730" s="59">
        <f t="shared" si="93"/>
        <v>2.9735440890542284E-2</v>
      </c>
      <c r="M730" s="59">
        <f>IF((((0.065*F730^0.726)/3.7-(0.301*F730^0.751)/(1-H730)*H730)*(MAX('Min rate concentrations'!$P$3:$P$368)))/F730&gt;0, (((0.065*F730^0.726)/3.7-(0.301*F730^0.751)/(1-H730)*H730)*(MAX('Min rate concentrations'!$P$3:$P$368)))/F730, 0)</f>
        <v>0</v>
      </c>
      <c r="N730" s="59">
        <f>IF((((0.065*F730^0.726)/3.7-(0.301*F730^0.751)/(1-H730)*H730)*(MAX('Min rate concentrations'!$Q$3:$Q$368)))/F730&gt;0, (((0.065*F730^0.726)/3.7-(0.301*F730^0.751)/(1-H730)*H730)*(MAX('Min rate concentrations'!$Q$3:$Q$368)))/F730, 0)</f>
        <v>0</v>
      </c>
      <c r="O730" s="59" t="s">
        <v>13</v>
      </c>
      <c r="P730" s="59" t="s">
        <v>13</v>
      </c>
      <c r="Q730" s="59">
        <f>(inputs!$C$7*11.2)*(25.05*F730^0.63)*0.5*1/F730</f>
        <v>15.418772440377573</v>
      </c>
      <c r="R730" s="59">
        <f>(60*76.9*((F730/1000)^0.76)*3*24*(MAX('Min rate concentrations'!$R$3:$R$368))/F730)</f>
        <v>8.3810847947640298E-4</v>
      </c>
      <c r="S730" s="59">
        <f>(IF(inputs!$C$6="aerial",((0.025*0.112*inputs!$C$7/3.3)*(3*60*76.9*((F730/1000)^0.76))*MAX(inputs!$H$14:$H$16))/F730,((0.0083*0.112*inputs!$C$7/1)*(3*60*76.9*((F730/1000)^0.76))*MAX(inputs!$H$14:$H$16))/F730))</f>
        <v>3.5388870009020953E-3</v>
      </c>
      <c r="T730" s="63">
        <f>IF((((inputs!$P$12/(V730/MAX(K730:S730)))^(1/inputs!$O$12))-1)/inputs!$N$12&lt;0, 0, IF((((inputs!$P$12/(V730/MAX(K730:S730)))^(1/inputs!$O$12))-1)/inputs!$N$12&gt;inputs!$H$17, inputs!$H$17, (((inputs!$P$12/(V730/MAX(K730:S730)))^(1/inputs!$O$12))-1)/inputs!$N$12))</f>
        <v>367.0800199798781</v>
      </c>
      <c r="U730" s="63">
        <f>IF((((inputs!$P$12/(X730/MAX(K730:S730)))^(1/inputs!$O$12))-1)/inputs!$N$12&lt;0, 0, IF((((inputs!$P$12/(X730/MAX(K730:S730)))^(1/inputs!$O$12))-1)/inputs!$N$12&gt;inputs!$H$17, inputs!$H$17, (((inputs!$P$12/(X730/MAX(K730:S730)))^(1/inputs!$O$12))-1)/inputs!$N$12))</f>
        <v>198.19914920478286</v>
      </c>
      <c r="V730" s="21">
        <f>inputs!$E$87*(F730/inputs!$F$87)^(1)</f>
        <v>1.1399999999999999E-2</v>
      </c>
      <c r="W730" s="21">
        <f>inputs!$E$90*(F730/inputs!$F$90)^(1)</f>
        <v>1.2E-2</v>
      </c>
      <c r="X730" s="21">
        <f>inputs!$E$89*(F730/inputs!$F$89)^(1)</f>
        <v>4.4810126582278481E-2</v>
      </c>
      <c r="Y730" s="21" t="s">
        <v>13</v>
      </c>
      <c r="Z730" s="63">
        <f t="shared" si="90"/>
        <v>1352.5238982787346</v>
      </c>
      <c r="AA730" s="63">
        <f t="shared" si="91"/>
        <v>1284.8977033647977</v>
      </c>
    </row>
    <row r="731" spans="1:27" ht="26.4" x14ac:dyDescent="0.25">
      <c r="A731" s="103" t="s">
        <v>418</v>
      </c>
      <c r="B731" s="20" t="s">
        <v>419</v>
      </c>
      <c r="C731" s="21" t="s">
        <v>79</v>
      </c>
      <c r="D731" s="105" t="s">
        <v>378</v>
      </c>
      <c r="E731" s="15">
        <v>167</v>
      </c>
      <c r="F731" s="15">
        <v>70</v>
      </c>
      <c r="G731" s="21" t="s">
        <v>634</v>
      </c>
      <c r="H731" s="21">
        <v>0.75</v>
      </c>
      <c r="I731" s="48">
        <f>inputs!$C$65*inputs!$C$64/1000</f>
        <v>2.13</v>
      </c>
      <c r="J731" s="48">
        <f>inputs!$C$65*inputs!$C$63/1000</f>
        <v>0.88</v>
      </c>
      <c r="K731" s="59">
        <f t="shared" si="92"/>
        <v>4.2222669905692387E-2</v>
      </c>
      <c r="L731" s="59">
        <f t="shared" si="93"/>
        <v>1.744410775446446E-2</v>
      </c>
      <c r="M731" s="59">
        <f>IF((((0.065*F731^0.726)/3.7-(0.301*F731^0.751)/(1-H731)*H731)*(MAX('Min rate concentrations'!$P$3:$P$368)))/F731&gt;0, (((0.065*F731^0.726)/3.7-(0.301*F731^0.751)/(1-H731)*H731)*(MAX('Min rate concentrations'!$P$3:$P$368)))/F731, 0)</f>
        <v>0</v>
      </c>
      <c r="N731" s="59">
        <f>IF((((0.065*F731^0.726)/3.7-(0.301*F731^0.751)/(1-H731)*H731)*(MAX('Min rate concentrations'!$Q$3:$Q$368)))/F731&gt;0, (((0.065*F731^0.726)/3.7-(0.301*F731^0.751)/(1-H731)*H731)*(MAX('Min rate concentrations'!$Q$3:$Q$368)))/F731, 0)</f>
        <v>0</v>
      </c>
      <c r="O731" s="59" t="s">
        <v>13</v>
      </c>
      <c r="P731" s="59" t="s">
        <v>13</v>
      </c>
      <c r="Q731" s="59">
        <f>(inputs!$C$7*11.2)*(25.05*F731^0.63)*0.5*1/F731</f>
        <v>14.56396031083232</v>
      </c>
      <c r="R731" s="59">
        <f>(60*76.9*((F731/1000)^0.76)*3*24*(MAX('Min rate concentrations'!$R$3:$R$368))/F731)</f>
        <v>8.0766823939413201E-4</v>
      </c>
      <c r="S731" s="59">
        <f>(IF(inputs!$C$6="aerial",((0.025*0.112*inputs!$C$7/3.3)*(3*60*76.9*((F731/1000)^0.76))*MAX(inputs!$H$14:$H$16))/F731,((0.0083*0.112*inputs!$C$7/1)*(3*60*76.9*((F731/1000)^0.76))*MAX(inputs!$H$14:$H$16))/F731))</f>
        <v>3.4103540334289731E-3</v>
      </c>
      <c r="T731" s="63">
        <f>IF((((inputs!$P$12/(V731/MAX(K731:S731)))^(1/inputs!$O$12))-1)/inputs!$N$12&lt;0, 0, IF((((inputs!$P$12/(V731/MAX(K731:S731)))^(1/inputs!$O$12))-1)/inputs!$N$12&gt;inputs!$H$17, inputs!$H$17, (((inputs!$P$12/(V731/MAX(K731:S731)))^(1/inputs!$O$12))-1)/inputs!$N$12))</f>
        <v>334.52014423611416</v>
      </c>
      <c r="U731" s="63">
        <f>IF((((inputs!$P$12/(X731/MAX(K731:S731)))^(1/inputs!$O$12))-1)/inputs!$N$12&lt;0, 0, IF((((inputs!$P$12/(X731/MAX(K731:S731)))^(1/inputs!$O$12))-1)/inputs!$N$12&gt;inputs!$H$17, inputs!$H$17, (((inputs!$P$12/(X731/MAX(K731:S731)))^(1/inputs!$O$12))-1)/inputs!$N$12))</f>
        <v>179.54007355750068</v>
      </c>
      <c r="V731" s="21">
        <f>inputs!$E$87*(F731/inputs!$F$87)^(1)</f>
        <v>1.3299999999999999E-2</v>
      </c>
      <c r="W731" s="21">
        <f>inputs!$E$90*(F731/inputs!$F$90)^(1)</f>
        <v>1.4E-2</v>
      </c>
      <c r="X731" s="21">
        <f>inputs!$E$89*(F731/inputs!$F$89)^(1)</f>
        <v>5.2278481012658223E-2</v>
      </c>
      <c r="Y731" s="21" t="s">
        <v>13</v>
      </c>
      <c r="Z731" s="63">
        <f t="shared" si="90"/>
        <v>1095.0346098370167</v>
      </c>
      <c r="AA731" s="63">
        <f t="shared" si="91"/>
        <v>1040.2828793451656</v>
      </c>
    </row>
    <row r="732" spans="1:27" x14ac:dyDescent="0.25">
      <c r="A732" s="103" t="s">
        <v>422</v>
      </c>
      <c r="B732" s="20" t="s">
        <v>423</v>
      </c>
      <c r="C732" s="21" t="s">
        <v>79</v>
      </c>
      <c r="D732" s="105" t="s">
        <v>378</v>
      </c>
      <c r="E732" s="15">
        <v>6097</v>
      </c>
      <c r="F732" s="56">
        <v>1000</v>
      </c>
      <c r="G732" s="21" t="s">
        <v>138</v>
      </c>
      <c r="H732" s="20">
        <v>0.68</v>
      </c>
      <c r="I732" s="48">
        <f>MAX('Min rate concentrations'!$L$3:$L$368)</f>
        <v>58.421240152220811</v>
      </c>
      <c r="J732" s="48">
        <f>MAX('Min rate concentrations'!AD:AD)</f>
        <v>40.397666062705881</v>
      </c>
      <c r="K732" s="59">
        <f t="shared" si="92"/>
        <v>0.49472532881095027</v>
      </c>
      <c r="L732" s="59">
        <f t="shared" si="93"/>
        <v>0.3420973018373592</v>
      </c>
      <c r="M732" s="59">
        <f>IF((((0.065*F732^0.726)/3.7-(0.301*F732^0.751)/(1-H732)*H732)*(MAX('Min rate concentrations'!$P$3:$P$368)))/F732&gt;0, (((0.065*F732^0.726)/3.7-(0.301*F732^0.751)/(1-H732)*H732)*(MAX('Min rate concentrations'!$P$3:$P$368)))/F732, 0)</f>
        <v>0</v>
      </c>
      <c r="N732" s="59">
        <f>IF((((0.065*F732^0.726)/3.7-(0.301*F732^0.751)/(1-H732)*H732)*(MAX('Min rate concentrations'!$Q$3:$Q$368)))/F732&gt;0, (((0.065*F732^0.726)/3.7-(0.301*F732^0.751)/(1-H732)*H732)*(MAX('Min rate concentrations'!$Q$3:$Q$368)))/F732, 0)</f>
        <v>0</v>
      </c>
      <c r="O732" s="59" t="s">
        <v>13</v>
      </c>
      <c r="P732" s="59" t="s">
        <v>13</v>
      </c>
      <c r="Q732" s="59">
        <f>(inputs!$C$7*11.2)*(25.05*F732^0.63)*0.5*1/F732</f>
        <v>5.4445972760336421</v>
      </c>
      <c r="R732" s="59">
        <f>(60*76.9*((F732/1000)^0.76)*3*24*(MAX('Min rate concentrations'!$R$3:$R$368))/F732)</f>
        <v>4.2663505281300101E-4</v>
      </c>
      <c r="S732" s="59">
        <f>(IF(inputs!$C$6="aerial",((0.025*0.112*inputs!$C$7/3.3)*(3*60*76.9*((F732/1000)^0.76))*MAX(inputs!$H$14:$H$16))/F732,((0.0083*0.112*inputs!$C$7/1)*(3*60*76.9*((F732/1000)^0.76))*MAX(inputs!$H$14:$H$16))/F732))</f>
        <v>1.8014532480000005E-3</v>
      </c>
      <c r="T732" s="63">
        <f>IF((((inputs!$P$12/(V732/MAX(K732:S732)))^(1/inputs!$O$12))-1)/inputs!$N$12&lt;0, 0, IF((((inputs!$P$12/(V732/MAX(K732:S732)))^(1/inputs!$O$12))-1)/inputs!$N$12&gt;inputs!$H$17, inputs!$H$17, (((inputs!$P$12/(V732/MAX(K732:S732)))^(1/inputs!$O$12))-1)/inputs!$N$12))</f>
        <v>53.995059795067306</v>
      </c>
      <c r="U732" s="63">
        <f>IF((((inputs!$P$12/(X732/MAX(K732:S732)))^(1/inputs!$O$12))-1)/inputs!$N$12&lt;0, 0, IF((((inputs!$P$12/(X732/MAX(K732:S732)))^(1/inputs!$O$12))-1)/inputs!$N$12&gt;inputs!$H$17, inputs!$H$17, (((inputs!$P$12/(X732/MAX(K732:S732)))^(1/inputs!$O$12))-1)/inputs!$N$12))</f>
        <v>18.779669778986928</v>
      </c>
      <c r="V732" s="21">
        <f>inputs!$E$87*(F732/inputs!$F$87)^(1)</f>
        <v>0.19</v>
      </c>
      <c r="W732" s="21">
        <f>inputs!$E$90*(F732/inputs!$F$90)^(1)</f>
        <v>0.2</v>
      </c>
      <c r="X732" s="21">
        <f>inputs!$E$89*(F732/inputs!$F$89)^(1)</f>
        <v>0.74683544303797467</v>
      </c>
      <c r="Y732" s="21" t="s">
        <v>13</v>
      </c>
      <c r="Z732" s="63">
        <f t="shared" si="90"/>
        <v>28.65577513701917</v>
      </c>
      <c r="AA732" s="63">
        <f t="shared" si="91"/>
        <v>27.222986380168209</v>
      </c>
    </row>
    <row r="733" spans="1:27" x14ac:dyDescent="0.25">
      <c r="A733" s="103" t="s">
        <v>422</v>
      </c>
      <c r="B733" s="20" t="s">
        <v>423</v>
      </c>
      <c r="C733" s="21" t="s">
        <v>79</v>
      </c>
      <c r="D733" s="105" t="s">
        <v>378</v>
      </c>
      <c r="E733" s="15">
        <v>6097</v>
      </c>
      <c r="F733" s="56">
        <v>1000</v>
      </c>
      <c r="G733" s="21" t="s">
        <v>456</v>
      </c>
      <c r="H733" s="20">
        <v>0.68</v>
      </c>
      <c r="I733" s="48">
        <f>MAX('Min rate concentrations'!$J$3:$J$368)</f>
        <v>114.4108103430513</v>
      </c>
      <c r="J733" s="48">
        <f>MAX('Min rate concentrations'!AB:AB)</f>
        <v>40.520495329830666</v>
      </c>
      <c r="K733" s="59">
        <f t="shared" si="92"/>
        <v>0.96885868254444552</v>
      </c>
      <c r="L733" s="59">
        <f t="shared" si="93"/>
        <v>0.34313745006782442</v>
      </c>
      <c r="M733" s="59">
        <f>IF((((0.065*F733^0.726)/3.7-(0.301*F733^0.751)/(1-H733)*H733)*(MAX('Min rate concentrations'!$P$3:$P$368)))/F733&gt;0, (((0.065*F733^0.726)/3.7-(0.301*F733^0.751)/(1-H733)*H733)*(MAX('Min rate concentrations'!$P$3:$P$368)))/F733, 0)</f>
        <v>0</v>
      </c>
      <c r="N733" s="59">
        <f>IF((((0.065*F733^0.726)/3.7-(0.301*F733^0.751)/(1-H733)*H733)*(MAX('Min rate concentrations'!$Q$3:$Q$368)))/F733&gt;0, (((0.065*F733^0.726)/3.7-(0.301*F733^0.751)/(1-H733)*H733)*(MAX('Min rate concentrations'!$Q$3:$Q$368)))/F733, 0)</f>
        <v>0</v>
      </c>
      <c r="O733" s="59" t="s">
        <v>13</v>
      </c>
      <c r="P733" s="59" t="s">
        <v>13</v>
      </c>
      <c r="Q733" s="59">
        <f>(inputs!$C$7*11.2)*(25.05*F733^0.63)*0.5*1/F733</f>
        <v>5.4445972760336421</v>
      </c>
      <c r="R733" s="59">
        <f>(60*76.9*((F733/1000)^0.76)*3*24*(MAX('Min rate concentrations'!$R$3:$R$368))/F733)</f>
        <v>4.2663505281300101E-4</v>
      </c>
      <c r="S733" s="59">
        <f>(IF(inputs!$C$6="aerial",((0.025*0.112*inputs!$C$7/3.3)*(3*60*76.9*((F733/1000)^0.76))*MAX(inputs!$H$14:$H$16))/F733,((0.0083*0.112*inputs!$C$7/1)*(3*60*76.9*((F733/1000)^0.76))*MAX(inputs!$H$14:$H$16))/F733))</f>
        <v>1.8014532480000005E-3</v>
      </c>
      <c r="T733" s="63">
        <f>IF((((inputs!$P$12/(V733/MAX(K733:S733)))^(1/inputs!$O$12))-1)/inputs!$N$12&lt;0, 0, IF((((inputs!$P$12/(V733/MAX(K733:S733)))^(1/inputs!$O$12))-1)/inputs!$N$12&gt;inputs!$H$17, inputs!$H$17, (((inputs!$P$12/(V733/MAX(K733:S733)))^(1/inputs!$O$12))-1)/inputs!$N$12))</f>
        <v>53.995059795067306</v>
      </c>
      <c r="U733" s="63">
        <f>IF((((inputs!$P$12/(X733/MAX(K733:S733)))^(1/inputs!$O$12))-1)/inputs!$N$12&lt;0, 0, IF((((inputs!$P$12/(X733/MAX(K733:S733)))^(1/inputs!$O$12))-1)/inputs!$N$12&gt;inputs!$H$17, inputs!$H$17, (((inputs!$P$12/(X733/MAX(K733:S733)))^(1/inputs!$O$12))-1)/inputs!$N$12))</f>
        <v>18.779669778986928</v>
      </c>
      <c r="V733" s="21">
        <f>inputs!$E$87*(F733/inputs!$F$87)^(1)</f>
        <v>0.19</v>
      </c>
      <c r="W733" s="21">
        <f>inputs!$E$90*(F733/inputs!$F$90)^(1)</f>
        <v>0.2</v>
      </c>
      <c r="X733" s="21">
        <f>inputs!$E$89*(F733/inputs!$F$89)^(1)</f>
        <v>0.74683544303797467</v>
      </c>
      <c r="Y733" s="21" t="s">
        <v>13</v>
      </c>
      <c r="Z733" s="63">
        <f t="shared" si="90"/>
        <v>28.65577513701917</v>
      </c>
      <c r="AA733" s="63">
        <f t="shared" si="91"/>
        <v>27.222986380168209</v>
      </c>
    </row>
    <row r="734" spans="1:27" x14ac:dyDescent="0.25">
      <c r="A734" s="103" t="s">
        <v>399</v>
      </c>
      <c r="B734" s="20" t="s">
        <v>400</v>
      </c>
      <c r="C734" s="21" t="s">
        <v>79</v>
      </c>
      <c r="D734" s="105" t="s">
        <v>378</v>
      </c>
      <c r="E734" s="15">
        <v>178</v>
      </c>
      <c r="F734" s="15">
        <v>3.7</v>
      </c>
      <c r="G734" s="21" t="s">
        <v>142</v>
      </c>
      <c r="H734" s="21">
        <v>0.69</v>
      </c>
      <c r="I734" s="48">
        <f>MAX('Min rate concentrations'!$H$3:$H$368)</f>
        <v>47</v>
      </c>
      <c r="J734" s="48">
        <f>MAX('Min rate concentrations'!AA:AA)</f>
        <v>32.5</v>
      </c>
      <c r="K734" s="59">
        <f t="shared" si="92"/>
        <v>1.464528154325577</v>
      </c>
      <c r="L734" s="59">
        <f t="shared" si="93"/>
        <v>1.0127056386293882</v>
      </c>
      <c r="M734" s="59">
        <f>IF((((0.065*F734^0.726)/3.7-(0.301*F734^0.751)/(1-H734)*H734)*(MAX('Min rate concentrations'!$P$3:$P$368)))/F734&gt;0, (((0.065*F734^0.726)/3.7-(0.301*F734^0.751)/(1-H734)*H734)*(MAX('Min rate concentrations'!$P$3:$P$368)))/F734, 0)</f>
        <v>0</v>
      </c>
      <c r="N734" s="59">
        <f>IF((((0.065*F734^0.726)/3.7-(0.301*F734^0.751)/(1-H734)*H734)*(MAX('Min rate concentrations'!$Q$3:$Q$368)))/F734&gt;0, (((0.065*F734^0.726)/3.7-(0.301*F734^0.751)/(1-H734)*H734)*(MAX('Min rate concentrations'!$Q$3:$Q$368)))/F734, 0)</f>
        <v>0</v>
      </c>
      <c r="O734" s="59" t="s">
        <v>13</v>
      </c>
      <c r="P734" s="59" t="s">
        <v>13</v>
      </c>
      <c r="Q734" s="59">
        <f>(inputs!$C$7*11.2)*(25.05*F734^0.63)*0.5*1/F734</f>
        <v>43.224613996945557</v>
      </c>
      <c r="R734" s="59">
        <f>(60*76.9*((F734/1000)^0.76)*3*24*(MAX('Min rate concentrations'!$R$3:$R$368))/F734)</f>
        <v>1.6356414994276973E-3</v>
      </c>
      <c r="S734" s="59">
        <f>(IF(inputs!$C$6="aerial",((0.025*0.112*inputs!$C$7/3.3)*(3*60*76.9*((F734/1000)^0.76))*MAX(inputs!$H$14:$H$16))/F734,((0.0083*0.112*inputs!$C$7/1)*(3*60*76.9*((F734/1000)^0.76))*MAX(inputs!$H$14:$H$16))/F734))</f>
        <v>6.9064453853001015E-3</v>
      </c>
      <c r="T734" s="63">
        <f>IF((((inputs!$P$12/(V734/MAX(K734:S734)))^(1/inputs!$O$12))-1)/inputs!$N$12&lt;0, 0, IF((((inputs!$P$12/(V734/MAX(K734:S734)))^(1/inputs!$O$12))-1)/inputs!$N$12&gt;inputs!$H$17, inputs!$H$17, (((inputs!$P$12/(V734/MAX(K734:S734)))^(1/inputs!$O$12))-1)/inputs!$N$12))</f>
        <v>1000</v>
      </c>
      <c r="U734" s="63">
        <f>IF((((inputs!$P$12/(X734/MAX(K734:S734)))^(1/inputs!$O$12))-1)/inputs!$N$12&lt;0, 0, IF((((inputs!$P$12/(X734/MAX(K734:S734)))^(1/inputs!$O$12))-1)/inputs!$N$12&gt;inputs!$H$17, inputs!$H$17, (((inputs!$P$12/(X734/MAX(K734:S734)))^(1/inputs!$O$12))-1)/inputs!$N$12))</f>
        <v>1000</v>
      </c>
      <c r="V734" s="21">
        <f>inputs!$E$87*(F734/inputs!$F$87)^(1)</f>
        <v>7.0300000000000007E-4</v>
      </c>
      <c r="W734" s="21">
        <f>inputs!$E$90*(F734/inputs!$F$90)^(1)</f>
        <v>7.3999999999999999E-4</v>
      </c>
      <c r="X734" s="21">
        <f>inputs!$E$89*(F734/inputs!$F$89)^(1)</f>
        <v>2.7632911392405065E-3</v>
      </c>
      <c r="Y734" s="21" t="s">
        <v>13</v>
      </c>
      <c r="Z734" s="63">
        <f t="shared" si="90"/>
        <v>61485.937406750432</v>
      </c>
      <c r="AA734" s="63">
        <f t="shared" si="91"/>
        <v>58411.640536412917</v>
      </c>
    </row>
    <row r="735" spans="1:27" x14ac:dyDescent="0.25">
      <c r="A735" s="103" t="s">
        <v>401</v>
      </c>
      <c r="B735" s="20" t="s">
        <v>402</v>
      </c>
      <c r="C735" s="21" t="s">
        <v>79</v>
      </c>
      <c r="D735" s="105" t="s">
        <v>378</v>
      </c>
      <c r="E735" s="15">
        <v>151</v>
      </c>
      <c r="F735" s="15">
        <v>20.6</v>
      </c>
      <c r="G735" s="21" t="s">
        <v>142</v>
      </c>
      <c r="H735" s="21">
        <v>0.69</v>
      </c>
      <c r="I735" s="48">
        <f>MAX('Min rate concentrations'!$H$3:$H$368)</f>
        <v>47</v>
      </c>
      <c r="J735" s="48">
        <f>MAX('Min rate concentrations'!AA:AA)</f>
        <v>32.5</v>
      </c>
      <c r="K735" s="59">
        <f t="shared" si="92"/>
        <v>0.9918172499461344</v>
      </c>
      <c r="L735" s="59">
        <f t="shared" si="93"/>
        <v>0.68583107709041213</v>
      </c>
      <c r="M735" s="59">
        <f>IF((((0.065*F735^0.726)/3.7-(0.301*F735^0.751)/(1-H735)*H735)*(MAX('Min rate concentrations'!$P$3:$P$368)))/F735&gt;0, (((0.065*F735^0.726)/3.7-(0.301*F735^0.751)/(1-H735)*H735)*(MAX('Min rate concentrations'!$P$3:$P$368)))/F735, 0)</f>
        <v>0</v>
      </c>
      <c r="N735" s="59">
        <f>IF((((0.065*F735^0.726)/3.7-(0.301*F735^0.751)/(1-H735)*H735)*(MAX('Min rate concentrations'!$Q$3:$Q$368)))/F735&gt;0, (((0.065*F735^0.726)/3.7-(0.301*F735^0.751)/(1-H735)*H735)*(MAX('Min rate concentrations'!$Q$3:$Q$368)))/F735, 0)</f>
        <v>0</v>
      </c>
      <c r="O735" s="59" t="s">
        <v>13</v>
      </c>
      <c r="P735" s="59" t="s">
        <v>13</v>
      </c>
      <c r="Q735" s="59">
        <f>(inputs!$C$7*11.2)*(25.05*F735^0.63)*0.5*1/F735</f>
        <v>22.899968766882814</v>
      </c>
      <c r="R735" s="59">
        <f>(60*76.9*((F735/1000)^0.76)*3*24*(MAX('Min rate concentrations'!$R$3:$R$368))/F735)</f>
        <v>1.083249261955619E-3</v>
      </c>
      <c r="S735" s="59">
        <f>(IF(inputs!$C$6="aerial",((0.025*0.112*inputs!$C$7/3.3)*(3*60*76.9*((F735/1000)^0.76))*MAX(inputs!$H$14:$H$16))/F735,((0.0083*0.112*inputs!$C$7/1)*(3*60*76.9*((F735/1000)^0.76))*MAX(inputs!$H$14:$H$16))/F735))</f>
        <v>4.5739863344020264E-3</v>
      </c>
      <c r="T735" s="63">
        <f>IF((((inputs!$P$12/(V735/MAX(K735:S735)))^(1/inputs!$O$12))-1)/inputs!$N$12&lt;0, 0, IF((((inputs!$P$12/(V735/MAX(K735:S735)))^(1/inputs!$O$12))-1)/inputs!$N$12&gt;inputs!$H$17, inputs!$H$17, (((inputs!$P$12/(V735/MAX(K735:S735)))^(1/inputs!$O$12))-1)/inputs!$N$12))</f>
        <v>689.19736602021101</v>
      </c>
      <c r="U735" s="63">
        <f>IF((((inputs!$P$12/(X735/MAX(K735:S735)))^(1/inputs!$O$12))-1)/inputs!$N$12&lt;0, 0, IF((((inputs!$P$12/(X735/MAX(K735:S735)))^(1/inputs!$O$12))-1)/inputs!$N$12&gt;inputs!$H$17, inputs!$H$17, (((inputs!$P$12/(X735/MAX(K735:S735)))^(1/inputs!$O$12))-1)/inputs!$N$12))</f>
        <v>382.79481456814079</v>
      </c>
      <c r="V735" s="21">
        <f>inputs!$E$87*(F735/inputs!$F$87)^(1)</f>
        <v>3.9139999999999999E-3</v>
      </c>
      <c r="W735" s="21">
        <f>inputs!$E$90*(F735/inputs!$F$90)^(1)</f>
        <v>4.1200000000000004E-3</v>
      </c>
      <c r="X735" s="21">
        <f>inputs!$E$89*(F735/inputs!$F$89)^(1)</f>
        <v>1.538481012658228E-2</v>
      </c>
      <c r="Y735" s="21" t="s">
        <v>13</v>
      </c>
      <c r="Z735" s="63">
        <f t="shared" si="90"/>
        <v>5850.784048769242</v>
      </c>
      <c r="AA735" s="63">
        <f t="shared" si="91"/>
        <v>5558.2448463307801</v>
      </c>
    </row>
    <row r="736" spans="1:27" x14ac:dyDescent="0.25">
      <c r="A736" s="103" t="s">
        <v>401</v>
      </c>
      <c r="B736" s="20" t="s">
        <v>402</v>
      </c>
      <c r="C736" s="21" t="s">
        <v>79</v>
      </c>
      <c r="D736" s="105" t="s">
        <v>378</v>
      </c>
      <c r="E736" s="15">
        <v>151</v>
      </c>
      <c r="F736" s="15">
        <v>20.6</v>
      </c>
      <c r="G736" s="21" t="s">
        <v>177</v>
      </c>
      <c r="H736" s="20">
        <v>0.85</v>
      </c>
      <c r="I736" s="48">
        <f>MAX('Min rate concentrations'!$F$3:$F$368)</f>
        <v>67.5</v>
      </c>
      <c r="J736" s="48">
        <f>MAX('Min rate concentrations'!Y:Y)</f>
        <v>22.5</v>
      </c>
      <c r="K736" s="59">
        <f t="shared" si="92"/>
        <v>2.9437980078188462</v>
      </c>
      <c r="L736" s="59">
        <f t="shared" si="93"/>
        <v>0.98126600260628194</v>
      </c>
      <c r="M736" s="59">
        <f>IF((((0.065*F736^0.726)/3.7-(0.301*F736^0.751)/(1-H736)*H736)*(MAX('Min rate concentrations'!$P$3:$P$368)))/F736&gt;0, (((0.065*F736^0.726)/3.7-(0.301*F736^0.751)/(1-H736)*H736)*(MAX('Min rate concentrations'!$P$3:$P$368)))/F736, 0)</f>
        <v>0</v>
      </c>
      <c r="N736" s="59">
        <f>IF((((0.065*F736^0.726)/3.7-(0.301*F736^0.751)/(1-H736)*H736)*(MAX('Min rate concentrations'!$Q$3:$Q$368)))/F736&gt;0, (((0.065*F736^0.726)/3.7-(0.301*F736^0.751)/(1-H736)*H736)*(MAX('Min rate concentrations'!$Q$3:$Q$368)))/F736, 0)</f>
        <v>0</v>
      </c>
      <c r="O736" s="59" t="s">
        <v>13</v>
      </c>
      <c r="P736" s="59" t="s">
        <v>13</v>
      </c>
      <c r="Q736" s="59">
        <f>(inputs!$C$7*11.2)*(25.05*F736^0.63)*0.5*1/F736</f>
        <v>22.899968766882814</v>
      </c>
      <c r="R736" s="59">
        <f>(60*76.9*((F736/1000)^0.76)*3*24*(MAX('Min rate concentrations'!$R$3:$R$368))/F736)</f>
        <v>1.083249261955619E-3</v>
      </c>
      <c r="S736" s="59">
        <f>(IF(inputs!$C$6="aerial",((0.025*0.112*inputs!$C$7/3.3)*(3*60*76.9*((F736/1000)^0.76))*MAX(inputs!$H$14:$H$16))/F736,((0.0083*0.112*inputs!$C$7/1)*(3*60*76.9*((F736/1000)^0.76))*MAX(inputs!$H$14:$H$16))/F736))</f>
        <v>4.5739863344020264E-3</v>
      </c>
      <c r="T736" s="63">
        <f>IF((((inputs!$P$12/(V736/MAX(K736:S736)))^(1/inputs!$O$12))-1)/inputs!$N$12&lt;0, 0, IF((((inputs!$P$12/(V736/MAX(K736:S736)))^(1/inputs!$O$12))-1)/inputs!$N$12&gt;inputs!$H$17, inputs!$H$17, (((inputs!$P$12/(V736/MAX(K736:S736)))^(1/inputs!$O$12))-1)/inputs!$N$12))</f>
        <v>689.19736602021101</v>
      </c>
      <c r="U736" s="63">
        <f>IF((((inputs!$P$12/(X736/MAX(K736:S736)))^(1/inputs!$O$12))-1)/inputs!$N$12&lt;0, 0, IF((((inputs!$P$12/(X736/MAX(K736:S736)))^(1/inputs!$O$12))-1)/inputs!$N$12&gt;inputs!$H$17, inputs!$H$17, (((inputs!$P$12/(X736/MAX(K736:S736)))^(1/inputs!$O$12))-1)/inputs!$N$12))</f>
        <v>382.79481456814079</v>
      </c>
      <c r="V736" s="21">
        <f>inputs!$E$87*(F736/inputs!$F$87)^(1)</f>
        <v>3.9139999999999999E-3</v>
      </c>
      <c r="W736" s="21">
        <f>inputs!$E$90*(F736/inputs!$F$90)^(1)</f>
        <v>4.1200000000000004E-3</v>
      </c>
      <c r="X736" s="21">
        <f>inputs!$E$89*(F736/inputs!$F$89)^(1)</f>
        <v>1.538481012658228E-2</v>
      </c>
      <c r="Y736" s="21" t="s">
        <v>13</v>
      </c>
      <c r="Z736" s="63">
        <f t="shared" si="90"/>
        <v>5850.784048769242</v>
      </c>
      <c r="AA736" s="63">
        <f t="shared" si="91"/>
        <v>5558.2448463307801</v>
      </c>
    </row>
    <row r="737" spans="1:27" x14ac:dyDescent="0.25">
      <c r="A737" s="103" t="s">
        <v>401</v>
      </c>
      <c r="B737" s="20" t="s">
        <v>402</v>
      </c>
      <c r="C737" s="21" t="s">
        <v>79</v>
      </c>
      <c r="D737" s="105" t="s">
        <v>378</v>
      </c>
      <c r="E737" s="15">
        <v>151</v>
      </c>
      <c r="F737" s="15">
        <v>20.6</v>
      </c>
      <c r="G737" s="21" t="s">
        <v>145</v>
      </c>
      <c r="H737" s="20">
        <v>0.66</v>
      </c>
      <c r="I737" s="48">
        <f>MAX('Min rate concentrations'!$M$3:$M$368)</f>
        <v>2.8488184789681945</v>
      </c>
      <c r="J737" s="48">
        <f>MAX('Min rate concentrations'!AE:AE)</f>
        <v>1.9699276716269429</v>
      </c>
      <c r="K737" s="59">
        <f t="shared" si="92"/>
        <v>5.4812720019765282E-2</v>
      </c>
      <c r="L737" s="59">
        <f t="shared" si="93"/>
        <v>3.7902412779624924E-2</v>
      </c>
      <c r="M737" s="59">
        <f>IF((((0.065*F737^0.726)/3.7-(0.301*F737^0.751)/(1-H737)*H737)*(MAX('Min rate concentrations'!$P$3:$P$368)))/F737&gt;0, (((0.065*F737^0.726)/3.7-(0.301*F737^0.751)/(1-H737)*H737)*(MAX('Min rate concentrations'!$P$3:$P$368)))/F737, 0)</f>
        <v>0</v>
      </c>
      <c r="N737" s="59">
        <f>IF((((0.065*F737^0.726)/3.7-(0.301*F737^0.751)/(1-H737)*H737)*(MAX('Min rate concentrations'!$Q$3:$Q$368)))/F737&gt;0, (((0.065*F737^0.726)/3.7-(0.301*F737^0.751)/(1-H737)*H737)*(MAX('Min rate concentrations'!$Q$3:$Q$368)))/F737, 0)</f>
        <v>0</v>
      </c>
      <c r="O737" s="59" t="s">
        <v>13</v>
      </c>
      <c r="P737" s="59" t="s">
        <v>13</v>
      </c>
      <c r="Q737" s="59">
        <f>(inputs!$C$7*11.2)*(25.05*F737^0.63)*0.5*1/F737</f>
        <v>22.899968766882814</v>
      </c>
      <c r="R737" s="59">
        <f>(60*76.9*((F737/1000)^0.76)*3*24*(MAX('Min rate concentrations'!$R$3:$R$368))/F737)</f>
        <v>1.083249261955619E-3</v>
      </c>
      <c r="S737" s="59">
        <f>(IF(inputs!$C$6="aerial",((0.025*0.112*inputs!$C$7/3.3)*(3*60*76.9*((F737/1000)^0.76))*MAX(inputs!$H$14:$H$16))/F737,((0.0083*0.112*inputs!$C$7/1)*(3*60*76.9*((F737/1000)^0.76))*MAX(inputs!$H$14:$H$16))/F737))</f>
        <v>4.5739863344020264E-3</v>
      </c>
      <c r="T737" s="63">
        <f>IF((((inputs!$P$12/(V737/MAX(K737:S737)))^(1/inputs!$O$12))-1)/inputs!$N$12&lt;0, 0, IF((((inputs!$P$12/(V737/MAX(K737:S737)))^(1/inputs!$O$12))-1)/inputs!$N$12&gt;inputs!$H$17, inputs!$H$17, (((inputs!$P$12/(V737/MAX(K737:S737)))^(1/inputs!$O$12))-1)/inputs!$N$12))</f>
        <v>689.19736602021101</v>
      </c>
      <c r="U737" s="63">
        <f>IF((((inputs!$P$12/(X737/MAX(K737:S737)))^(1/inputs!$O$12))-1)/inputs!$N$12&lt;0, 0, IF((((inputs!$P$12/(X737/MAX(K737:S737)))^(1/inputs!$O$12))-1)/inputs!$N$12&gt;inputs!$H$17, inputs!$H$17, (((inputs!$P$12/(X737/MAX(K737:S737)))^(1/inputs!$O$12))-1)/inputs!$N$12))</f>
        <v>382.79481456814079</v>
      </c>
      <c r="V737" s="21">
        <f>inputs!$E$87*(F737/inputs!$F$87)^(1)</f>
        <v>3.9139999999999999E-3</v>
      </c>
      <c r="W737" s="21">
        <f>inputs!$E$90*(F737/inputs!$F$90)^(1)</f>
        <v>4.1200000000000004E-3</v>
      </c>
      <c r="X737" s="21">
        <f>inputs!$E$89*(F737/inputs!$F$89)^(1)</f>
        <v>1.538481012658228E-2</v>
      </c>
      <c r="Y737" s="21" t="s">
        <v>13</v>
      </c>
      <c r="Z737" s="63">
        <f t="shared" si="90"/>
        <v>5850.784048769242</v>
      </c>
      <c r="AA737" s="63">
        <f t="shared" si="91"/>
        <v>5558.2448463307801</v>
      </c>
    </row>
    <row r="738" spans="1:27" x14ac:dyDescent="0.25">
      <c r="A738" s="120" t="s">
        <v>436</v>
      </c>
      <c r="B738" s="20" t="s">
        <v>437</v>
      </c>
      <c r="C738" s="21" t="s">
        <v>79</v>
      </c>
      <c r="D738" s="105" t="s">
        <v>378</v>
      </c>
      <c r="E738" s="15">
        <v>175</v>
      </c>
      <c r="F738" s="15">
        <v>9.8000000000000007</v>
      </c>
      <c r="G738" s="21" t="s">
        <v>142</v>
      </c>
      <c r="H738" s="21">
        <v>0.69</v>
      </c>
      <c r="I738" s="48">
        <f>MAX('Min rate concentrations'!$H$3:$H$368)</f>
        <v>47</v>
      </c>
      <c r="J738" s="48">
        <f>MAX('Min rate concentrations'!AA:AA)</f>
        <v>32.5</v>
      </c>
      <c r="K738" s="59">
        <f t="shared" si="92"/>
        <v>1.1740083809082407</v>
      </c>
      <c r="L738" s="59">
        <f t="shared" si="93"/>
        <v>0.81181430594718784</v>
      </c>
      <c r="M738" s="59">
        <f>IF((((0.065*F738^0.726)/3.7-(0.301*F738^0.751)/(1-H738)*H738)*(MAX('Min rate concentrations'!$P$3:$P$368)))/F738&gt;0, (((0.065*F738^0.726)/3.7-(0.301*F738^0.751)/(1-H738)*H738)*(MAX('Min rate concentrations'!$P$3:$P$368)))/F738, 0)</f>
        <v>0</v>
      </c>
      <c r="N738" s="59">
        <f>IF((((0.065*F738^0.726)/3.7-(0.301*F738^0.751)/(1-H738)*H738)*(MAX('Min rate concentrations'!$Q$3:$Q$368)))/F738&gt;0, (((0.065*F738^0.726)/3.7-(0.301*F738^0.751)/(1-H738)*H738)*(MAX('Min rate concentrations'!$Q$3:$Q$368)))/F738, 0)</f>
        <v>0</v>
      </c>
      <c r="O738" s="59" t="s">
        <v>13</v>
      </c>
      <c r="P738" s="59" t="s">
        <v>13</v>
      </c>
      <c r="Q738" s="59">
        <f>(inputs!$C$7*11.2)*(25.05*F738^0.63)*0.5*1/F738</f>
        <v>30.144779642976047</v>
      </c>
      <c r="R738" s="59">
        <f>(60*76.9*((F738/1000)^0.76)*3*24*(MAX('Min rate concentrations'!$R$3:$R$368))/F738)</f>
        <v>1.2946795152368831E-3</v>
      </c>
      <c r="S738" s="59">
        <f>(IF(inputs!$C$6="aerial",((0.025*0.112*inputs!$C$7/3.3)*(3*60*76.9*((F738/1000)^0.76))*MAX(inputs!$H$14:$H$16))/F738,((0.0083*0.112*inputs!$C$7/1)*(3*60*76.9*((F738/1000)^0.76))*MAX(inputs!$H$14:$H$16))/F738))</f>
        <v>5.4667440062990446E-3</v>
      </c>
      <c r="T738" s="63">
        <f>IF((((inputs!$P$12/(V738/MAX(K738:S738)))^(1/inputs!$O$12))-1)/inputs!$N$12&lt;0, 0, IF((((inputs!$P$12/(V738/MAX(K738:S738)))^(1/inputs!$O$12))-1)/inputs!$N$12&gt;inputs!$H$17, inputs!$H$17, (((inputs!$P$12/(V738/MAX(K738:S738)))^(1/inputs!$O$12))-1)/inputs!$N$12))</f>
        <v>1000</v>
      </c>
      <c r="U738" s="63">
        <f>IF((((inputs!$P$12/(X738/MAX(K738:S738)))^(1/inputs!$O$12))-1)/inputs!$N$12&lt;0, 0, IF((((inputs!$P$12/(X738/MAX(K738:S738)))^(1/inputs!$O$12))-1)/inputs!$N$12&gt;inputs!$H$17, inputs!$H$17, (((inputs!$P$12/(X738/MAX(K738:S738)))^(1/inputs!$O$12))-1)/inputs!$N$12))</f>
        <v>593.70607186957625</v>
      </c>
      <c r="V738" s="21">
        <f>inputs!$E$87*(F738/inputs!$F$87)^(1)</f>
        <v>1.8619999999999999E-3</v>
      </c>
      <c r="W738" s="21">
        <f>inputs!$E$90*(F738/inputs!$F$90)^(1)</f>
        <v>1.9600000000000004E-3</v>
      </c>
      <c r="X738" s="21">
        <f>inputs!$E$89*(F738/inputs!$F$89)^(1)</f>
        <v>7.3189873417721521E-3</v>
      </c>
      <c r="Y738" s="21" t="s">
        <v>13</v>
      </c>
      <c r="Z738" s="63">
        <f t="shared" si="90"/>
        <v>16189.462751329778</v>
      </c>
      <c r="AA738" s="63">
        <f t="shared" si="91"/>
        <v>15379.989613763286</v>
      </c>
    </row>
    <row r="739" spans="1:27" x14ac:dyDescent="0.25">
      <c r="A739" s="120" t="s">
        <v>436</v>
      </c>
      <c r="B739" s="20" t="s">
        <v>437</v>
      </c>
      <c r="C739" s="21" t="s">
        <v>79</v>
      </c>
      <c r="D739" s="105" t="s">
        <v>378</v>
      </c>
      <c r="E739" s="15">
        <v>175</v>
      </c>
      <c r="F739" s="15">
        <v>9.8000000000000007</v>
      </c>
      <c r="G739" s="21" t="s">
        <v>158</v>
      </c>
      <c r="H739" s="20">
        <v>0.85</v>
      </c>
      <c r="I739" s="48">
        <f>MAX('Min rate concentrations'!$F$3:$F$368)</f>
        <v>67.5</v>
      </c>
      <c r="J739" s="48">
        <f>MAX('Min rate concentrations'!Y:Y)</f>
        <v>22.5</v>
      </c>
      <c r="K739" s="59">
        <f t="shared" si="92"/>
        <v>3.4845567901425447</v>
      </c>
      <c r="L739" s="59">
        <f t="shared" si="93"/>
        <v>1.1615189300475148</v>
      </c>
      <c r="M739" s="59">
        <f>IF((((0.065*F739^0.726)/3.7-(0.301*F739^0.751)/(1-H739)*H739)*(MAX('Min rate concentrations'!$P$3:$P$368)))/F739&gt;0, (((0.065*F739^0.726)/3.7-(0.301*F739^0.751)/(1-H739)*H739)*(MAX('Min rate concentrations'!$P$3:$P$368)))/F739, 0)</f>
        <v>0</v>
      </c>
      <c r="N739" s="59">
        <f>IF((((0.065*F739^0.726)/3.7-(0.301*F739^0.751)/(1-H739)*H739)*(MAX('Min rate concentrations'!$Q$3:$Q$368)))/F739&gt;0, (((0.065*F739^0.726)/3.7-(0.301*F739^0.751)/(1-H739)*H739)*(MAX('Min rate concentrations'!$Q$3:$Q$368)))/F739, 0)</f>
        <v>0</v>
      </c>
      <c r="O739" s="59" t="s">
        <v>13</v>
      </c>
      <c r="P739" s="59" t="s">
        <v>13</v>
      </c>
      <c r="Q739" s="59">
        <f>(inputs!$C$7*11.2)*(25.05*F739^0.63)*0.5*1/F739</f>
        <v>30.144779642976047</v>
      </c>
      <c r="R739" s="59">
        <f>(60*76.9*((F739/1000)^0.76)*3*24*(MAX('Min rate concentrations'!$R$3:$R$368))/F739)</f>
        <v>1.2946795152368831E-3</v>
      </c>
      <c r="S739" s="59">
        <f>(IF(inputs!$C$6="aerial",((0.025*0.112*inputs!$C$7/3.3)*(3*60*76.9*((F739/1000)^0.76))*MAX(inputs!$H$14:$H$16))/F739,((0.0083*0.112*inputs!$C$7/1)*(3*60*76.9*((F739/1000)^0.76))*MAX(inputs!$H$14:$H$16))/F739))</f>
        <v>5.4667440062990446E-3</v>
      </c>
      <c r="T739" s="63">
        <f>IF((((inputs!$P$12/(V739/MAX(K739:S739)))^(1/inputs!$O$12))-1)/inputs!$N$12&lt;0, 0, IF((((inputs!$P$12/(V739/MAX(K739:S739)))^(1/inputs!$O$12))-1)/inputs!$N$12&gt;inputs!$H$17, inputs!$H$17, (((inputs!$P$12/(V739/MAX(K739:S739)))^(1/inputs!$O$12))-1)/inputs!$N$12))</f>
        <v>1000</v>
      </c>
      <c r="U739" s="63">
        <f>IF((((inputs!$P$12/(X739/MAX(K739:S739)))^(1/inputs!$O$12))-1)/inputs!$N$12&lt;0, 0, IF((((inputs!$P$12/(X739/MAX(K739:S739)))^(1/inputs!$O$12))-1)/inputs!$N$12&gt;inputs!$H$17, inputs!$H$17, (((inputs!$P$12/(X739/MAX(K739:S739)))^(1/inputs!$O$12))-1)/inputs!$N$12))</f>
        <v>593.70607186957625</v>
      </c>
      <c r="V739" s="21">
        <f>inputs!$E$87*(F739/inputs!$F$87)^(1)</f>
        <v>1.8619999999999999E-3</v>
      </c>
      <c r="W739" s="21">
        <f>inputs!$E$90*(F739/inputs!$F$90)^(1)</f>
        <v>1.9600000000000004E-3</v>
      </c>
      <c r="X739" s="21">
        <f>inputs!$E$89*(F739/inputs!$F$89)^(1)</f>
        <v>7.3189873417721521E-3</v>
      </c>
      <c r="Y739" s="21" t="s">
        <v>13</v>
      </c>
      <c r="Z739" s="63">
        <f t="shared" si="90"/>
        <v>16189.462751329778</v>
      </c>
      <c r="AA739" s="63">
        <f t="shared" si="91"/>
        <v>15379.989613763286</v>
      </c>
    </row>
    <row r="740" spans="1:27" x14ac:dyDescent="0.25">
      <c r="A740" s="120" t="s">
        <v>436</v>
      </c>
      <c r="B740" s="20" t="s">
        <v>437</v>
      </c>
      <c r="C740" s="21" t="s">
        <v>79</v>
      </c>
      <c r="D740" s="105" t="s">
        <v>378</v>
      </c>
      <c r="E740" s="15">
        <v>175</v>
      </c>
      <c r="F740" s="15">
        <v>9.8000000000000007</v>
      </c>
      <c r="G740" s="21" t="s">
        <v>145</v>
      </c>
      <c r="H740" s="20">
        <v>0.66</v>
      </c>
      <c r="I740" s="48">
        <f>MAX('Min rate concentrations'!$M$3:$M$368)</f>
        <v>2.8488184789681945</v>
      </c>
      <c r="J740" s="48">
        <f>MAX('Min rate concentrations'!AE:AE)</f>
        <v>1.9699276716269429</v>
      </c>
      <c r="K740" s="59">
        <f t="shared" si="92"/>
        <v>6.4881501795896593E-2</v>
      </c>
      <c r="L740" s="59">
        <f t="shared" si="93"/>
        <v>4.4864868263119993E-2</v>
      </c>
      <c r="M740" s="59">
        <f>IF((((0.065*F740^0.726)/3.7-(0.301*F740^0.751)/(1-H740)*H740)*(MAX('Min rate concentrations'!$P$3:$P$368)))/F740&gt;0, (((0.065*F740^0.726)/3.7-(0.301*F740^0.751)/(1-H740)*H740)*(MAX('Min rate concentrations'!$P$3:$P$368)))/F740, 0)</f>
        <v>0</v>
      </c>
      <c r="N740" s="59">
        <f>IF((((0.065*F740^0.726)/3.7-(0.301*F740^0.751)/(1-H740)*H740)*(MAX('Min rate concentrations'!$Q$3:$Q$368)))/F740&gt;0, (((0.065*F740^0.726)/3.7-(0.301*F740^0.751)/(1-H740)*H740)*(MAX('Min rate concentrations'!$Q$3:$Q$368)))/F740, 0)</f>
        <v>0</v>
      </c>
      <c r="O740" s="59" t="s">
        <v>13</v>
      </c>
      <c r="P740" s="59" t="s">
        <v>13</v>
      </c>
      <c r="Q740" s="59">
        <f>(inputs!$C$7*11.2)*(25.05*F740^0.63)*0.5*1/F740</f>
        <v>30.144779642976047</v>
      </c>
      <c r="R740" s="59">
        <f>(60*76.9*((F740/1000)^0.76)*3*24*(MAX('Min rate concentrations'!$R$3:$R$368))/F740)</f>
        <v>1.2946795152368831E-3</v>
      </c>
      <c r="S740" s="59">
        <f>(IF(inputs!$C$6="aerial",((0.025*0.112*inputs!$C$7/3.3)*(3*60*76.9*((F740/1000)^0.76))*MAX(inputs!$H$14:$H$16))/F740,((0.0083*0.112*inputs!$C$7/1)*(3*60*76.9*((F740/1000)^0.76))*MAX(inputs!$H$14:$H$16))/F740))</f>
        <v>5.4667440062990446E-3</v>
      </c>
      <c r="T740" s="63">
        <f>IF((((inputs!$P$12/(V740/MAX(K740:S740)))^(1/inputs!$O$12))-1)/inputs!$N$12&lt;0, 0, IF((((inputs!$P$12/(V740/MAX(K740:S740)))^(1/inputs!$O$12))-1)/inputs!$N$12&gt;inputs!$H$17, inputs!$H$17, (((inputs!$P$12/(V740/MAX(K740:S740)))^(1/inputs!$O$12))-1)/inputs!$N$12))</f>
        <v>1000</v>
      </c>
      <c r="U740" s="63">
        <f>IF((((inputs!$P$12/(X740/MAX(K740:S740)))^(1/inputs!$O$12))-1)/inputs!$N$12&lt;0, 0, IF((((inputs!$P$12/(X740/MAX(K740:S740)))^(1/inputs!$O$12))-1)/inputs!$N$12&gt;inputs!$H$17, inputs!$H$17, (((inputs!$P$12/(X740/MAX(K740:S740)))^(1/inputs!$O$12))-1)/inputs!$N$12))</f>
        <v>593.70607186957625</v>
      </c>
      <c r="V740" s="21">
        <f>inputs!$E$87*(F740/inputs!$F$87)^(1)</f>
        <v>1.8619999999999999E-3</v>
      </c>
      <c r="W740" s="21">
        <f>inputs!$E$90*(F740/inputs!$F$90)^(1)</f>
        <v>1.9600000000000004E-3</v>
      </c>
      <c r="X740" s="21">
        <f>inputs!$E$89*(F740/inputs!$F$89)^(1)</f>
        <v>7.3189873417721521E-3</v>
      </c>
      <c r="Y740" s="21" t="s">
        <v>13</v>
      </c>
      <c r="Z740" s="63">
        <f t="shared" si="90"/>
        <v>16189.462751329778</v>
      </c>
      <c r="AA740" s="63">
        <f t="shared" si="91"/>
        <v>15379.989613763286</v>
      </c>
    </row>
    <row r="741" spans="1:27" x14ac:dyDescent="0.25">
      <c r="A741" s="103" t="s">
        <v>420</v>
      </c>
      <c r="B741" s="20" t="s">
        <v>421</v>
      </c>
      <c r="C741" s="21" t="s">
        <v>79</v>
      </c>
      <c r="D741" s="105" t="s">
        <v>378</v>
      </c>
      <c r="E741" s="15">
        <v>180</v>
      </c>
      <c r="F741" s="15">
        <v>50</v>
      </c>
      <c r="G741" s="21" t="s">
        <v>164</v>
      </c>
      <c r="H741" s="20">
        <v>0.78</v>
      </c>
      <c r="I741" s="48">
        <f>inputs!$C$65*(inputs!$C$62/1000)</f>
        <v>0.82000000000000006</v>
      </c>
      <c r="J741" s="48">
        <f>inputs!$C$65*(inputs!$C$61/1000)</f>
        <v>0.25</v>
      </c>
      <c r="K741" s="59">
        <f t="shared" si="92"/>
        <v>1.9937391312813794E-2</v>
      </c>
      <c r="L741" s="59">
        <f t="shared" si="93"/>
        <v>6.0784729612237175E-3</v>
      </c>
      <c r="M741" s="59">
        <f>IF((((0.065*F741^0.726)/3.7-(0.301*F741^0.751)/(1-H741)*H741)*(MAX('Min rate concentrations'!$P$3:$P$368)))/F741&gt;0, (((0.065*F741^0.726)/3.7-(0.301*F741^0.751)/(1-H741)*H741)*(MAX('Min rate concentrations'!$P$3:$P$368)))/F741, 0)</f>
        <v>0</v>
      </c>
      <c r="N741" s="59">
        <f>IF((((0.065*F741^0.726)/3.7-(0.301*F741^0.751)/(1-H741)*H741)*(MAX('Min rate concentrations'!$Q$3:$Q$368)))/F741&gt;0, (((0.065*F741^0.726)/3.7-(0.301*F741^0.751)/(1-H741)*H741)*(MAX('Min rate concentrations'!$Q$3:$Q$368)))/F741, 0)</f>
        <v>0</v>
      </c>
      <c r="O741" s="59" t="s">
        <v>13</v>
      </c>
      <c r="P741" s="59" t="s">
        <v>13</v>
      </c>
      <c r="Q741" s="59">
        <f>(inputs!$C$7*11.2)*(25.05*F741^0.63)*0.5*1/F741</f>
        <v>16.494792626544143</v>
      </c>
      <c r="R741" s="59">
        <f>(60*76.9*((F741/1000)^0.76)*3*24*(MAX('Min rate concentrations'!$R$3:$R$368))/F741)</f>
        <v>8.755959289380033E-4</v>
      </c>
      <c r="S741" s="59">
        <f>(IF(inputs!$C$6="aerial",((0.025*0.112*inputs!$C$7/3.3)*(3*60*76.9*((F741/1000)^0.76))*MAX(inputs!$H$14:$H$16))/F741,((0.0083*0.112*inputs!$C$7/1)*(3*60*76.9*((F741/1000)^0.76))*MAX(inputs!$H$14:$H$16))/F741))</f>
        <v>3.6971765909078092E-3</v>
      </c>
      <c r="T741" s="63">
        <f>IF((((inputs!$P$12/(V741/MAX(K741:S741)))^(1/inputs!$O$12))-1)/inputs!$N$12&lt;0, 0, IF((((inputs!$P$12/(V741/MAX(K741:S741)))^(1/inputs!$O$12))-1)/inputs!$N$12&gt;inputs!$H$17, inputs!$H$17, (((inputs!$P$12/(V741/MAX(K741:S741)))^(1/inputs!$O$12))-1)/inputs!$N$12))</f>
        <v>409.38016530738128</v>
      </c>
      <c r="U741" s="63">
        <f>IF((((inputs!$P$12/(X741/MAX(K741:S741)))^(1/inputs!$O$12))-1)/inputs!$N$12&lt;0, 0, IF((((inputs!$P$12/(X741/MAX(K741:S741)))^(1/inputs!$O$12))-1)/inputs!$N$12&gt;inputs!$H$17, inputs!$H$17, (((inputs!$P$12/(X741/MAX(K741:S741)))^(1/inputs!$O$12))-1)/inputs!$N$12))</f>
        <v>222.44007744935962</v>
      </c>
      <c r="V741" s="21">
        <f>inputs!$E$87*(F741/inputs!$F$87)^(1)</f>
        <v>9.4999999999999998E-3</v>
      </c>
      <c r="W741" s="21">
        <f>inputs!$E$90*(F741/inputs!$F$90)^(1)</f>
        <v>0.01</v>
      </c>
      <c r="X741" s="21">
        <f>inputs!$E$89*(F741/inputs!$F$89)^(1)</f>
        <v>3.7341772151898732E-2</v>
      </c>
      <c r="Y741" s="21" t="s">
        <v>13</v>
      </c>
      <c r="Z741" s="63">
        <f t="shared" si="90"/>
        <v>1736.2939606888572</v>
      </c>
      <c r="AA741" s="63">
        <f t="shared" si="91"/>
        <v>1649.4792626544142</v>
      </c>
    </row>
    <row r="742" spans="1:27" ht="26.4" x14ac:dyDescent="0.25">
      <c r="A742" s="103" t="s">
        <v>420</v>
      </c>
      <c r="B742" s="20" t="s">
        <v>421</v>
      </c>
      <c r="C742" s="21" t="s">
        <v>79</v>
      </c>
      <c r="D742" s="105" t="s">
        <v>378</v>
      </c>
      <c r="E742" s="15">
        <v>180</v>
      </c>
      <c r="F742" s="15">
        <v>50</v>
      </c>
      <c r="G742" s="21" t="s">
        <v>634</v>
      </c>
      <c r="H742" s="21">
        <v>0.75</v>
      </c>
      <c r="I742" s="48">
        <f>inputs!$C$65*inputs!$C$64/1000</f>
        <v>2.13</v>
      </c>
      <c r="J742" s="48">
        <f>inputs!$C$65*inputs!$C$63/1000</f>
        <v>0.88</v>
      </c>
      <c r="K742" s="59">
        <f t="shared" si="92"/>
        <v>4.5573958874070938E-2</v>
      </c>
      <c r="L742" s="59">
        <f t="shared" si="93"/>
        <v>1.8828677844686587E-2</v>
      </c>
      <c r="M742" s="59">
        <f>IF((((0.065*F742^0.726)/3.7-(0.301*F742^0.751)/(1-H742)*H742)*(MAX('Min rate concentrations'!$P$3:$P$368)))/F742&gt;0, (((0.065*F742^0.726)/3.7-(0.301*F742^0.751)/(1-H742)*H742)*(MAX('Min rate concentrations'!$P$3:$P$368)))/F742, 0)</f>
        <v>0</v>
      </c>
      <c r="N742" s="59">
        <f>IF((((0.065*F742^0.726)/3.7-(0.301*F742^0.751)/(1-H742)*H742)*(MAX('Min rate concentrations'!$Q$3:$Q$368)))/F742&gt;0, (((0.065*F742^0.726)/3.7-(0.301*F742^0.751)/(1-H742)*H742)*(MAX('Min rate concentrations'!$Q$3:$Q$368)))/F742, 0)</f>
        <v>0</v>
      </c>
      <c r="O742" s="59" t="s">
        <v>13</v>
      </c>
      <c r="P742" s="59" t="s">
        <v>13</v>
      </c>
      <c r="Q742" s="59">
        <f>(inputs!$C$7*11.2)*(25.05*F742^0.63)*0.5*1/F742</f>
        <v>16.494792626544143</v>
      </c>
      <c r="R742" s="59">
        <f>(60*76.9*((F742/1000)^0.76)*3*24*(MAX('Min rate concentrations'!$R$3:$R$368))/F742)</f>
        <v>8.755959289380033E-4</v>
      </c>
      <c r="S742" s="59">
        <f>(IF(inputs!$C$6="aerial",((0.025*0.112*inputs!$C$7/3.3)*(3*60*76.9*((F742/1000)^0.76))*MAX(inputs!$H$14:$H$16))/F742,((0.0083*0.112*inputs!$C$7/1)*(3*60*76.9*((F742/1000)^0.76))*MAX(inputs!$H$14:$H$16))/F742))</f>
        <v>3.6971765909078092E-3</v>
      </c>
      <c r="T742" s="63">
        <f>IF((((inputs!$P$12/(V742/MAX(K742:S742)))^(1/inputs!$O$12))-1)/inputs!$N$12&lt;0, 0, IF((((inputs!$P$12/(V742/MAX(K742:S742)))^(1/inputs!$O$12))-1)/inputs!$N$12&gt;inputs!$H$17, inputs!$H$17, (((inputs!$P$12/(V742/MAX(K742:S742)))^(1/inputs!$O$12))-1)/inputs!$N$12))</f>
        <v>409.38016530738128</v>
      </c>
      <c r="U742" s="63">
        <f>IF((((inputs!$P$12/(X742/MAX(K742:S742)))^(1/inputs!$O$12))-1)/inputs!$N$12&lt;0, 0, IF((((inputs!$P$12/(X742/MAX(K742:S742)))^(1/inputs!$O$12))-1)/inputs!$N$12&gt;inputs!$H$17, inputs!$H$17, (((inputs!$P$12/(X742/MAX(K742:S742)))^(1/inputs!$O$12))-1)/inputs!$N$12))</f>
        <v>222.44007744935962</v>
      </c>
      <c r="V742" s="21">
        <f>inputs!$E$87*(F742/inputs!$F$87)^(1)</f>
        <v>9.4999999999999998E-3</v>
      </c>
      <c r="W742" s="21">
        <f>inputs!$E$90*(F742/inputs!$F$90)^(1)</f>
        <v>0.01</v>
      </c>
      <c r="X742" s="21">
        <f>inputs!$E$89*(F742/inputs!$F$89)^(1)</f>
        <v>3.7341772151898732E-2</v>
      </c>
      <c r="Y742" s="21" t="s">
        <v>13</v>
      </c>
      <c r="Z742" s="63">
        <f t="shared" si="90"/>
        <v>1736.2939606888572</v>
      </c>
      <c r="AA742" s="63">
        <f t="shared" si="91"/>
        <v>1649.4792626544142</v>
      </c>
    </row>
    <row r="743" spans="1:27" x14ac:dyDescent="0.25">
      <c r="A743" s="103" t="s">
        <v>379</v>
      </c>
      <c r="B743" s="20" t="s">
        <v>380</v>
      </c>
      <c r="C743" s="21" t="s">
        <v>79</v>
      </c>
      <c r="D743" s="105" t="s">
        <v>378</v>
      </c>
      <c r="E743" s="15">
        <v>162</v>
      </c>
      <c r="F743" s="15">
        <v>78</v>
      </c>
      <c r="G743" s="21" t="s">
        <v>142</v>
      </c>
      <c r="H743" s="21">
        <v>0.69</v>
      </c>
      <c r="I743" s="48">
        <f>MAX('Min rate concentrations'!$H$3:$H$368)</f>
        <v>47</v>
      </c>
      <c r="J743" s="48">
        <f>MAX('Min rate concentrations'!AA:AA)</f>
        <v>32.5</v>
      </c>
      <c r="K743" s="59">
        <f t="shared" si="92"/>
        <v>0.73311826818996484</v>
      </c>
      <c r="L743" s="59">
        <f t="shared" si="93"/>
        <v>0.506943483322848</v>
      </c>
      <c r="M743" s="59">
        <f>IF((((0.065*F743^0.726)/3.7-(0.301*F743^0.751)/(1-H743)*H743)*(MAX('Min rate concentrations'!$P$3:$P$368)))/F743&gt;0, (((0.065*F743^0.726)/3.7-(0.301*F743^0.751)/(1-H743)*H743)*(MAX('Min rate concentrations'!$P$3:$P$368)))/F743, 0)</f>
        <v>0</v>
      </c>
      <c r="N743" s="59">
        <f>IF((((0.065*F743^0.726)/3.7-(0.301*F743^0.751)/(1-H743)*H743)*(MAX('Min rate concentrations'!$Q$3:$Q$368)))/F743&gt;0, (((0.065*F743^0.726)/3.7-(0.301*F743^0.751)/(1-H743)*H743)*(MAX('Min rate concentrations'!$Q$3:$Q$368)))/F743, 0)</f>
        <v>0</v>
      </c>
      <c r="O743" s="59" t="s">
        <v>13</v>
      </c>
      <c r="P743" s="59" t="s">
        <v>13</v>
      </c>
      <c r="Q743" s="59">
        <f>(inputs!$C$7*11.2)*(25.05*F743^0.63)*0.5*1/F743</f>
        <v>13.992353178216476</v>
      </c>
      <c r="R743" s="59">
        <f>(60*76.9*((F743/1000)^0.76)*3*24*(MAX('Min rate concentrations'!$R$3:$R$368))/F743)</f>
        <v>7.8696212312380541E-4</v>
      </c>
      <c r="S743" s="59">
        <f>(IF(inputs!$C$6="aerial",((0.025*0.112*inputs!$C$7/3.3)*(3*60*76.9*((F743/1000)^0.76))*MAX(inputs!$H$14:$H$16))/F743,((0.0083*0.112*inputs!$C$7/1)*(3*60*76.9*((F743/1000)^0.76))*MAX(inputs!$H$14:$H$16))/F743))</f>
        <v>3.3229231011539483E-3</v>
      </c>
      <c r="T743" s="63">
        <f>IF((((inputs!$P$12/(V743/MAX(K743:S743)))^(1/inputs!$O$12))-1)/inputs!$N$12&lt;0, 0, IF((((inputs!$P$12/(V743/MAX(K743:S743)))^(1/inputs!$O$12))-1)/inputs!$N$12&gt;inputs!$H$17, inputs!$H$17, (((inputs!$P$12/(V743/MAX(K743:S743)))^(1/inputs!$O$12))-1)/inputs!$N$12))</f>
        <v>313.27766657028144</v>
      </c>
      <c r="U743" s="63">
        <f>IF((((inputs!$P$12/(X743/MAX(K743:S743)))^(1/inputs!$O$12))-1)/inputs!$N$12&lt;0, 0, IF((((inputs!$P$12/(X743/MAX(K743:S743)))^(1/inputs!$O$12))-1)/inputs!$N$12&gt;inputs!$H$17, inputs!$H$17, (((inputs!$P$12/(X743/MAX(K743:S743)))^(1/inputs!$O$12))-1)/inputs!$N$12))</f>
        <v>167.36665493570544</v>
      </c>
      <c r="V743" s="21">
        <f>inputs!$E$87*(F743/inputs!$F$87)^(1)</f>
        <v>1.482E-2</v>
      </c>
      <c r="W743" s="21">
        <f>inputs!$E$90*(F743/inputs!$F$90)^(1)</f>
        <v>1.5599999999999999E-2</v>
      </c>
      <c r="X743" s="21">
        <f>inputs!$E$89*(F743/inputs!$F$89)^(1)</f>
        <v>5.8253164556962021E-2</v>
      </c>
      <c r="Y743" s="21" t="s">
        <v>13</v>
      </c>
      <c r="Z743" s="63">
        <f t="shared" si="90"/>
        <v>944.15338584456651</v>
      </c>
      <c r="AA743" s="63">
        <f t="shared" si="91"/>
        <v>896.94571655233824</v>
      </c>
    </row>
    <row r="744" spans="1:27" x14ac:dyDescent="0.25">
      <c r="A744" s="103" t="s">
        <v>379</v>
      </c>
      <c r="B744" s="20" t="s">
        <v>380</v>
      </c>
      <c r="C744" s="21" t="s">
        <v>79</v>
      </c>
      <c r="D744" s="105" t="s">
        <v>378</v>
      </c>
      <c r="E744" s="15">
        <v>162</v>
      </c>
      <c r="F744" s="15">
        <v>78</v>
      </c>
      <c r="G744" s="21" t="s">
        <v>152</v>
      </c>
      <c r="H744" s="20">
        <v>0.77</v>
      </c>
      <c r="I744" s="48">
        <f>MAX('Min rate concentrations'!$G$3:$G$368)</f>
        <v>7.5</v>
      </c>
      <c r="J744" s="48">
        <f>MAX('Min rate concentrations'!Z:Z)</f>
        <v>3.5</v>
      </c>
      <c r="K744" s="59">
        <f t="shared" si="92"/>
        <v>0.15767807340810996</v>
      </c>
      <c r="L744" s="59">
        <f t="shared" si="93"/>
        <v>7.3583100923784645E-2</v>
      </c>
      <c r="M744" s="59">
        <f>IF((((0.065*F744^0.726)/3.7-(0.301*F744^0.751)/(1-H744)*H744)*(MAX('Min rate concentrations'!$P$3:$P$368)))/F744&gt;0, (((0.065*F744^0.726)/3.7-(0.301*F744^0.751)/(1-H744)*H744)*(MAX('Min rate concentrations'!$P$3:$P$368)))/F744, 0)</f>
        <v>0</v>
      </c>
      <c r="N744" s="59">
        <f>IF((((0.065*F744^0.726)/3.7-(0.301*F744^0.751)/(1-H744)*H744)*(MAX('Min rate concentrations'!$Q$3:$Q$368)))/F744&gt;0, (((0.065*F744^0.726)/3.7-(0.301*F744^0.751)/(1-H744)*H744)*(MAX('Min rate concentrations'!$Q$3:$Q$368)))/F744, 0)</f>
        <v>0</v>
      </c>
      <c r="O744" s="59" t="s">
        <v>13</v>
      </c>
      <c r="P744" s="59" t="s">
        <v>13</v>
      </c>
      <c r="Q744" s="59">
        <f>(inputs!$C$7*11.2)*(25.05*F744^0.63)*0.5*1/F744</f>
        <v>13.992353178216476</v>
      </c>
      <c r="R744" s="59">
        <f>(60*76.9*((F744/1000)^0.76)*3*24*(MAX('Min rate concentrations'!$R$3:$R$368))/F744)</f>
        <v>7.8696212312380541E-4</v>
      </c>
      <c r="S744" s="59">
        <f>(IF(inputs!$C$6="aerial",((0.025*0.112*inputs!$C$7/3.3)*(3*60*76.9*((F744/1000)^0.76))*MAX(inputs!$H$14:$H$16))/F744,((0.0083*0.112*inputs!$C$7/1)*(3*60*76.9*((F744/1000)^0.76))*MAX(inputs!$H$14:$H$16))/F744))</f>
        <v>3.3229231011539483E-3</v>
      </c>
      <c r="T744" s="63">
        <f>IF((((inputs!$P$12/(V744/MAX(K744:S744)))^(1/inputs!$O$12))-1)/inputs!$N$12&lt;0, 0, IF((((inputs!$P$12/(V744/MAX(K744:S744)))^(1/inputs!$O$12))-1)/inputs!$N$12&gt;inputs!$H$17, inputs!$H$17, (((inputs!$P$12/(V744/MAX(K744:S744)))^(1/inputs!$O$12))-1)/inputs!$N$12))</f>
        <v>313.27766657028144</v>
      </c>
      <c r="U744" s="63">
        <f>IF((((inputs!$P$12/(X744/MAX(K744:S744)))^(1/inputs!$O$12))-1)/inputs!$N$12&lt;0, 0, IF((((inputs!$P$12/(X744/MAX(K744:S744)))^(1/inputs!$O$12))-1)/inputs!$N$12&gt;inputs!$H$17, inputs!$H$17, (((inputs!$P$12/(X744/MAX(K744:S744)))^(1/inputs!$O$12))-1)/inputs!$N$12))</f>
        <v>167.36665493570544</v>
      </c>
      <c r="V744" s="21">
        <f>inputs!$E$87*(F744/inputs!$F$87)^(1)</f>
        <v>1.482E-2</v>
      </c>
      <c r="W744" s="21">
        <f>inputs!$E$90*(F744/inputs!$F$90)^(1)</f>
        <v>1.5599999999999999E-2</v>
      </c>
      <c r="X744" s="21">
        <f>inputs!$E$89*(F744/inputs!$F$89)^(1)</f>
        <v>5.8253164556962021E-2</v>
      </c>
      <c r="Y744" s="21" t="s">
        <v>13</v>
      </c>
      <c r="Z744" s="63">
        <f t="shared" si="90"/>
        <v>944.15338584456651</v>
      </c>
      <c r="AA744" s="63">
        <f t="shared" si="91"/>
        <v>896.94571655233824</v>
      </c>
    </row>
    <row r="745" spans="1:27" x14ac:dyDescent="0.25">
      <c r="A745" s="103" t="s">
        <v>379</v>
      </c>
      <c r="B745" s="20" t="s">
        <v>380</v>
      </c>
      <c r="C745" s="21" t="s">
        <v>79</v>
      </c>
      <c r="D745" s="105" t="s">
        <v>378</v>
      </c>
      <c r="E745" s="15">
        <v>162</v>
      </c>
      <c r="F745" s="15">
        <v>78</v>
      </c>
      <c r="G745" s="21" t="s">
        <v>145</v>
      </c>
      <c r="H745" s="20">
        <v>0.66</v>
      </c>
      <c r="I745" s="48">
        <f>MAX('Min rate concentrations'!$M$3:$M$368)</f>
        <v>2.8488184789681945</v>
      </c>
      <c r="J745" s="48">
        <f>MAX('Min rate concentrations'!AE:AE)</f>
        <v>1.9699276716269429</v>
      </c>
      <c r="K745" s="59">
        <f t="shared" si="92"/>
        <v>4.0515736520870295E-2</v>
      </c>
      <c r="L745" s="59">
        <f t="shared" si="93"/>
        <v>2.8016200785708181E-2</v>
      </c>
      <c r="M745" s="59">
        <f>IF((((0.065*F745^0.726)/3.7-(0.301*F745^0.751)/(1-H745)*H745)*(MAX('Min rate concentrations'!$P$3:$P$368)))/F745&gt;0, (((0.065*F745^0.726)/3.7-(0.301*F745^0.751)/(1-H745)*H745)*(MAX('Min rate concentrations'!$P$3:$P$368)))/F745, 0)</f>
        <v>0</v>
      </c>
      <c r="N745" s="59">
        <f>IF((((0.065*F745^0.726)/3.7-(0.301*F745^0.751)/(1-H745)*H745)*(MAX('Min rate concentrations'!$Q$3:$Q$368)))/F745&gt;0, (((0.065*F745^0.726)/3.7-(0.301*F745^0.751)/(1-H745)*H745)*(MAX('Min rate concentrations'!$Q$3:$Q$368)))/F745, 0)</f>
        <v>0</v>
      </c>
      <c r="O745" s="59" t="s">
        <v>13</v>
      </c>
      <c r="P745" s="59" t="s">
        <v>13</v>
      </c>
      <c r="Q745" s="59">
        <f>(inputs!$C$7*11.2)*(25.05*F745^0.63)*0.5*1/F745</f>
        <v>13.992353178216476</v>
      </c>
      <c r="R745" s="59">
        <f>(60*76.9*((F745/1000)^0.76)*3*24*(MAX('Min rate concentrations'!$R$3:$R$368))/F745)</f>
        <v>7.8696212312380541E-4</v>
      </c>
      <c r="S745" s="59">
        <f>(IF(inputs!$C$6="aerial",((0.025*0.112*inputs!$C$7/3.3)*(3*60*76.9*((F745/1000)^0.76))*MAX(inputs!$H$14:$H$16))/F745,((0.0083*0.112*inputs!$C$7/1)*(3*60*76.9*((F745/1000)^0.76))*MAX(inputs!$H$14:$H$16))/F745))</f>
        <v>3.3229231011539483E-3</v>
      </c>
      <c r="T745" s="63">
        <f>IF((((inputs!$P$12/(V745/MAX(K745:S745)))^(1/inputs!$O$12))-1)/inputs!$N$12&lt;0, 0, IF((((inputs!$P$12/(V745/MAX(K745:S745)))^(1/inputs!$O$12))-1)/inputs!$N$12&gt;inputs!$H$17, inputs!$H$17, (((inputs!$P$12/(V745/MAX(K745:S745)))^(1/inputs!$O$12))-1)/inputs!$N$12))</f>
        <v>313.27766657028144</v>
      </c>
      <c r="U745" s="63">
        <f>IF((((inputs!$P$12/(X745/MAX(K745:S745)))^(1/inputs!$O$12))-1)/inputs!$N$12&lt;0, 0, IF((((inputs!$P$12/(X745/MAX(K745:S745)))^(1/inputs!$O$12))-1)/inputs!$N$12&gt;inputs!$H$17, inputs!$H$17, (((inputs!$P$12/(X745/MAX(K745:S745)))^(1/inputs!$O$12))-1)/inputs!$N$12))</f>
        <v>167.36665493570544</v>
      </c>
      <c r="V745" s="21">
        <f>inputs!$E$87*(F745/inputs!$F$87)^(1)</f>
        <v>1.482E-2</v>
      </c>
      <c r="W745" s="21">
        <f>inputs!$E$90*(F745/inputs!$F$90)^(1)</f>
        <v>1.5599999999999999E-2</v>
      </c>
      <c r="X745" s="21">
        <f>inputs!$E$89*(F745/inputs!$F$89)^(1)</f>
        <v>5.8253164556962021E-2</v>
      </c>
      <c r="Y745" s="21" t="s">
        <v>13</v>
      </c>
      <c r="Z745" s="63">
        <f t="shared" si="90"/>
        <v>944.15338584456651</v>
      </c>
      <c r="AA745" s="63">
        <f t="shared" si="91"/>
        <v>896.94571655233824</v>
      </c>
    </row>
    <row r="746" spans="1:27" x14ac:dyDescent="0.25">
      <c r="A746" s="103" t="s">
        <v>391</v>
      </c>
      <c r="B746" s="20" t="s">
        <v>392</v>
      </c>
      <c r="C746" s="21" t="s">
        <v>79</v>
      </c>
      <c r="D746" s="105" t="s">
        <v>378</v>
      </c>
      <c r="E746" s="15">
        <v>173</v>
      </c>
      <c r="F746" s="15">
        <v>550</v>
      </c>
      <c r="G746" s="21" t="s">
        <v>182</v>
      </c>
      <c r="H746" s="20">
        <v>0.85</v>
      </c>
      <c r="I746" s="48">
        <f>MAX('Min rate concentrations'!$M$3:$M$368)</f>
        <v>2.8488184789681945</v>
      </c>
      <c r="J746" s="48">
        <f>MAX('Min rate concentrations'!AE:AE)</f>
        <v>1.9699276716269429</v>
      </c>
      <c r="K746" s="59">
        <f t="shared" si="92"/>
        <v>5.8946027242639497E-2</v>
      </c>
      <c r="L746" s="59">
        <f t="shared" si="93"/>
        <v>4.0760550752889015E-2</v>
      </c>
      <c r="M746" s="59">
        <f>IF((((0.065*F746^0.726)/3.7-(0.301*F746^0.751)/(1-H746)*H746)*(MAX('Min rate concentrations'!$P$3:$P$368)))/F746&gt;0, (((0.065*F746^0.726)/3.7-(0.301*F746^0.751)/(1-H746)*H746)*(MAX('Min rate concentrations'!$P$3:$P$368)))/F746, 0)</f>
        <v>0</v>
      </c>
      <c r="N746" s="59">
        <f>IF((((0.065*F746^0.726)/3.7-(0.301*F746^0.751)/(1-H746)*H746)*(MAX('Min rate concentrations'!$Q$3:$Q$368)))/F746&gt;0, (((0.065*F746^0.726)/3.7-(0.301*F746^0.751)/(1-H746)*H746)*(MAX('Min rate concentrations'!$Q$3:$Q$368)))/F746, 0)</f>
        <v>0</v>
      </c>
      <c r="O746" s="59" t="s">
        <v>13</v>
      </c>
      <c r="P746" s="59" t="s">
        <v>13</v>
      </c>
      <c r="Q746" s="59">
        <f>(inputs!$C$7*11.2)*(25.05*F746^0.63)*0.5*1/F746</f>
        <v>6.7925300191794715</v>
      </c>
      <c r="R746" s="59">
        <f>(60*76.9*((F746/1000)^0.76)*3*24*(MAX('Min rate concentrations'!$R$3:$R$368))/F746)</f>
        <v>4.9245833138709374E-4</v>
      </c>
      <c r="S746" s="59">
        <f>(IF(inputs!$C$6="aerial",((0.025*0.112*inputs!$C$7/3.3)*(3*60*76.9*((F746/1000)^0.76))*MAX(inputs!$H$14:$H$16))/F746,((0.0083*0.112*inputs!$C$7/1)*(3*60*76.9*((F746/1000)^0.76))*MAX(inputs!$H$14:$H$16))/F746))</f>
        <v>2.0793899955772847E-3</v>
      </c>
      <c r="T746" s="63">
        <f>IF((((inputs!$P$12/(V746/MAX(K746:S746)))^(1/inputs!$O$12))-1)/inputs!$N$12&lt;0, 0, IF((((inputs!$P$12/(V746/MAX(K746:S746)))^(1/inputs!$O$12))-1)/inputs!$N$12&gt;inputs!$H$17, inputs!$H$17, (((inputs!$P$12/(V746/MAX(K746:S746)))^(1/inputs!$O$12))-1)/inputs!$N$12))</f>
        <v>86.603934037532397</v>
      </c>
      <c r="U746" s="63">
        <f>IF((((inputs!$P$12/(X746/MAX(K746:S746)))^(1/inputs!$O$12))-1)/inputs!$N$12&lt;0, 0, IF((((inputs!$P$12/(X746/MAX(K746:S746)))^(1/inputs!$O$12))-1)/inputs!$N$12&gt;inputs!$H$17, inputs!$H$17, (((inputs!$P$12/(X746/MAX(K746:S746)))^(1/inputs!$O$12))-1)/inputs!$N$12))</f>
        <v>37.466824977341858</v>
      </c>
      <c r="V746" s="21">
        <f>inputs!$E$87*(F746/inputs!$F$87)^(1)</f>
        <v>0.1045</v>
      </c>
      <c r="W746" s="21">
        <f>inputs!$E$90*(F746/inputs!$F$90)^(1)</f>
        <v>0.11000000000000001</v>
      </c>
      <c r="X746" s="21">
        <f>inputs!$E$89*(F746/inputs!$F$89)^(1)</f>
        <v>0.4107594936708861</v>
      </c>
      <c r="Y746" s="21" t="s">
        <v>13</v>
      </c>
      <c r="Z746" s="63">
        <f t="shared" si="90"/>
        <v>65.000287264875325</v>
      </c>
      <c r="AA746" s="63">
        <f t="shared" si="91"/>
        <v>61.750272901631554</v>
      </c>
    </row>
    <row r="747" spans="1:27" x14ac:dyDescent="0.25">
      <c r="A747" s="103" t="s">
        <v>391</v>
      </c>
      <c r="B747" s="20" t="s">
        <v>392</v>
      </c>
      <c r="C747" s="21" t="s">
        <v>79</v>
      </c>
      <c r="D747" s="105" t="s">
        <v>378</v>
      </c>
      <c r="E747" s="15">
        <v>173</v>
      </c>
      <c r="F747" s="15">
        <v>550</v>
      </c>
      <c r="G747" s="21" t="s">
        <v>142</v>
      </c>
      <c r="H747" s="21">
        <v>0.69</v>
      </c>
      <c r="I747" s="48">
        <f>MAX('Min rate concentrations'!$H$3:$H$368)</f>
        <v>47</v>
      </c>
      <c r="J747" s="48">
        <f>MAX('Min rate concentrations'!AA:AA)</f>
        <v>32.5</v>
      </c>
      <c r="K747" s="59">
        <f t="shared" si="92"/>
        <v>0.47056236066965446</v>
      </c>
      <c r="L747" s="59">
        <f t="shared" si="93"/>
        <v>0.3253888664205058</v>
      </c>
      <c r="M747" s="59">
        <f>IF((((0.065*F747^0.726)/3.7-(0.301*F747^0.751)/(1-H747)*H747)*(MAX('Min rate concentrations'!$P$3:$P$368)))/F747&gt;0, (((0.065*F747^0.726)/3.7-(0.301*F747^0.751)/(1-H747)*H747)*(MAX('Min rate concentrations'!$P$3:$P$368)))/F747, 0)</f>
        <v>0</v>
      </c>
      <c r="N747" s="59">
        <f>IF((((0.065*F747^0.726)/3.7-(0.301*F747^0.751)/(1-H747)*H747)*(MAX('Min rate concentrations'!$Q$3:$Q$368)))/F747&gt;0, (((0.065*F747^0.726)/3.7-(0.301*F747^0.751)/(1-H747)*H747)*(MAX('Min rate concentrations'!$Q$3:$Q$368)))/F747, 0)</f>
        <v>0</v>
      </c>
      <c r="O747" s="59" t="s">
        <v>13</v>
      </c>
      <c r="P747" s="59" t="s">
        <v>13</v>
      </c>
      <c r="Q747" s="59">
        <f>(inputs!$C$7*11.2)*(25.05*F747^0.63)*0.5*1/F747</f>
        <v>6.7925300191794715</v>
      </c>
      <c r="R747" s="59">
        <f>(60*76.9*((F747/1000)^0.76)*3*24*(MAX('Min rate concentrations'!$R$3:$R$368))/F747)</f>
        <v>4.9245833138709374E-4</v>
      </c>
      <c r="S747" s="59">
        <f>(IF(inputs!$C$6="aerial",((0.025*0.112*inputs!$C$7/3.3)*(3*60*76.9*((F747/1000)^0.76))*MAX(inputs!$H$14:$H$16))/F747,((0.0083*0.112*inputs!$C$7/1)*(3*60*76.9*((F747/1000)^0.76))*MAX(inputs!$H$14:$H$16))/F747))</f>
        <v>2.0793899955772847E-3</v>
      </c>
      <c r="T747" s="63">
        <f>IF((((inputs!$P$12/(V747/MAX(K747:S747)))^(1/inputs!$O$12))-1)/inputs!$N$12&lt;0, 0, IF((((inputs!$P$12/(V747/MAX(K747:S747)))^(1/inputs!$O$12))-1)/inputs!$N$12&gt;inputs!$H$17, inputs!$H$17, (((inputs!$P$12/(V747/MAX(K747:S747)))^(1/inputs!$O$12))-1)/inputs!$N$12))</f>
        <v>86.603934037532397</v>
      </c>
      <c r="U747" s="63">
        <f>IF((((inputs!$P$12/(X747/MAX(K747:S747)))^(1/inputs!$O$12))-1)/inputs!$N$12&lt;0, 0, IF((((inputs!$P$12/(X747/MAX(K747:S747)))^(1/inputs!$O$12))-1)/inputs!$N$12&gt;inputs!$H$17, inputs!$H$17, (((inputs!$P$12/(X747/MAX(K747:S747)))^(1/inputs!$O$12))-1)/inputs!$N$12))</f>
        <v>37.466824977341858</v>
      </c>
      <c r="V747" s="21">
        <f>inputs!$E$87*(F747/inputs!$F$87)^(1)</f>
        <v>0.1045</v>
      </c>
      <c r="W747" s="21">
        <f>inputs!$E$90*(F747/inputs!$F$90)^(1)</f>
        <v>0.11000000000000001</v>
      </c>
      <c r="X747" s="21">
        <f>inputs!$E$89*(F747/inputs!$F$89)^(1)</f>
        <v>0.4107594936708861</v>
      </c>
      <c r="Y747" s="21" t="s">
        <v>13</v>
      </c>
      <c r="Z747" s="63">
        <f t="shared" si="90"/>
        <v>65.000287264875325</v>
      </c>
      <c r="AA747" s="63">
        <f t="shared" si="91"/>
        <v>61.750272901631554</v>
      </c>
    </row>
    <row r="748" spans="1:27" x14ac:dyDescent="0.25">
      <c r="A748" s="103" t="s">
        <v>391</v>
      </c>
      <c r="B748" s="20" t="s">
        <v>392</v>
      </c>
      <c r="C748" s="21" t="s">
        <v>79</v>
      </c>
      <c r="D748" s="105" t="s">
        <v>378</v>
      </c>
      <c r="E748" s="15">
        <v>173</v>
      </c>
      <c r="F748" s="15">
        <v>550</v>
      </c>
      <c r="G748" s="21" t="s">
        <v>138</v>
      </c>
      <c r="H748" s="20">
        <v>0.68</v>
      </c>
      <c r="I748" s="48">
        <f>MAX('Min rate concentrations'!$L$3:$L$368)</f>
        <v>58.421240152220811</v>
      </c>
      <c r="J748" s="48">
        <f>MAX('Min rate concentrations'!AD:AD)</f>
        <v>40.397666062705881</v>
      </c>
      <c r="K748" s="59">
        <f t="shared" si="92"/>
        <v>0.56663293687341298</v>
      </c>
      <c r="L748" s="59">
        <f t="shared" si="93"/>
        <v>0.3918206478379983</v>
      </c>
      <c r="M748" s="59">
        <f>IF((((0.065*F748^0.726)/3.7-(0.301*F748^0.751)/(1-H748)*H748)*(MAX('Min rate concentrations'!$P$3:$P$368)))/F748&gt;0, (((0.065*F748^0.726)/3.7-(0.301*F748^0.751)/(1-H748)*H748)*(MAX('Min rate concentrations'!$P$3:$P$368)))/F748, 0)</f>
        <v>0</v>
      </c>
      <c r="N748" s="59">
        <f>IF((((0.065*F748^0.726)/3.7-(0.301*F748^0.751)/(1-H748)*H748)*(MAX('Min rate concentrations'!$Q$3:$Q$368)))/F748&gt;0, (((0.065*F748^0.726)/3.7-(0.301*F748^0.751)/(1-H748)*H748)*(MAX('Min rate concentrations'!$Q$3:$Q$368)))/F748, 0)</f>
        <v>0</v>
      </c>
      <c r="O748" s="59" t="s">
        <v>13</v>
      </c>
      <c r="P748" s="59" t="s">
        <v>13</v>
      </c>
      <c r="Q748" s="59">
        <f>(inputs!$C$7*11.2)*(25.05*F748^0.63)*0.5*1/F748</f>
        <v>6.7925300191794715</v>
      </c>
      <c r="R748" s="59">
        <f>(60*76.9*((F748/1000)^0.76)*3*24*(MAX('Min rate concentrations'!$R$3:$R$368))/F748)</f>
        <v>4.9245833138709374E-4</v>
      </c>
      <c r="S748" s="59">
        <f>(IF(inputs!$C$6="aerial",((0.025*0.112*inputs!$C$7/3.3)*(3*60*76.9*((F748/1000)^0.76))*MAX(inputs!$H$14:$H$16))/F748,((0.0083*0.112*inputs!$C$7/1)*(3*60*76.9*((F748/1000)^0.76))*MAX(inputs!$H$14:$H$16))/F748))</f>
        <v>2.0793899955772847E-3</v>
      </c>
      <c r="T748" s="63">
        <f>IF((((inputs!$P$12/(V748/MAX(K748:S748)))^(1/inputs!$O$12))-1)/inputs!$N$12&lt;0, 0, IF((((inputs!$P$12/(V748/MAX(K748:S748)))^(1/inputs!$O$12))-1)/inputs!$N$12&gt;inputs!$H$17, inputs!$H$17, (((inputs!$P$12/(V748/MAX(K748:S748)))^(1/inputs!$O$12))-1)/inputs!$N$12))</f>
        <v>86.603934037532397</v>
      </c>
      <c r="U748" s="63">
        <f>IF((((inputs!$P$12/(X748/MAX(K748:S748)))^(1/inputs!$O$12))-1)/inputs!$N$12&lt;0, 0, IF((((inputs!$P$12/(X748/MAX(K748:S748)))^(1/inputs!$O$12))-1)/inputs!$N$12&gt;inputs!$H$17, inputs!$H$17, (((inputs!$P$12/(X748/MAX(K748:S748)))^(1/inputs!$O$12))-1)/inputs!$N$12))</f>
        <v>37.466824977341858</v>
      </c>
      <c r="V748" s="21">
        <f>inputs!$E$87*(F748/inputs!$F$87)^(1)</f>
        <v>0.1045</v>
      </c>
      <c r="W748" s="21">
        <f>inputs!$E$90*(F748/inputs!$F$90)^(1)</f>
        <v>0.11000000000000001</v>
      </c>
      <c r="X748" s="21">
        <f>inputs!$E$89*(F748/inputs!$F$89)^(1)</f>
        <v>0.4107594936708861</v>
      </c>
      <c r="Y748" s="21" t="s">
        <v>13</v>
      </c>
      <c r="Z748" s="63">
        <f t="shared" si="90"/>
        <v>65.000287264875325</v>
      </c>
      <c r="AA748" s="63">
        <f t="shared" si="91"/>
        <v>61.750272901631554</v>
      </c>
    </row>
    <row r="749" spans="1:27" x14ac:dyDescent="0.25">
      <c r="A749" s="103" t="s">
        <v>391</v>
      </c>
      <c r="B749" s="20" t="s">
        <v>392</v>
      </c>
      <c r="C749" s="21" t="s">
        <v>79</v>
      </c>
      <c r="D749" s="105" t="s">
        <v>378</v>
      </c>
      <c r="E749" s="15">
        <v>173</v>
      </c>
      <c r="F749" s="15">
        <v>550</v>
      </c>
      <c r="G749" s="21" t="s">
        <v>186</v>
      </c>
      <c r="H749" s="49">
        <v>0.75</v>
      </c>
      <c r="I749" s="48">
        <f>inputs!$C$65*inputs!$C$64/1000</f>
        <v>2.13</v>
      </c>
      <c r="J749" s="48">
        <f>inputs!$C$65*inputs!$C$63/1000</f>
        <v>0.88</v>
      </c>
      <c r="K749" s="59">
        <f t="shared" si="92"/>
        <v>2.644360227661046E-2</v>
      </c>
      <c r="L749" s="59">
        <f t="shared" si="93"/>
        <v>1.0925056339632491E-2</v>
      </c>
      <c r="M749" s="59">
        <f>IF((((0.065*F749^0.726)/3.7-(0.301*F749^0.751)/(1-H749)*H749)*(MAX('Min rate concentrations'!$P$3:$P$368)))/F749&gt;0, (((0.065*F749^0.726)/3.7-(0.301*F749^0.751)/(1-H749)*H749)*(MAX('Min rate concentrations'!$P$3:$P$368)))/F749, 0)</f>
        <v>0</v>
      </c>
      <c r="N749" s="59">
        <f>IF((((0.065*F749^0.726)/3.7-(0.301*F749^0.751)/(1-H749)*H749)*(MAX('Min rate concentrations'!$Q$3:$Q$368)))/F749&gt;0, (((0.065*F749^0.726)/3.7-(0.301*F749^0.751)/(1-H749)*H749)*(MAX('Min rate concentrations'!$Q$3:$Q$368)))/F749, 0)</f>
        <v>0</v>
      </c>
      <c r="O749" s="59" t="s">
        <v>13</v>
      </c>
      <c r="P749" s="59" t="s">
        <v>13</v>
      </c>
      <c r="Q749" s="59">
        <f>(inputs!$C$7*11.2)*(25.05*F749^0.63)*0.5*1/F749</f>
        <v>6.7925300191794715</v>
      </c>
      <c r="R749" s="59">
        <f>(60*76.9*((F749/1000)^0.76)*3*24*(MAX('Min rate concentrations'!$R$3:$R$368))/F749)</f>
        <v>4.9245833138709374E-4</v>
      </c>
      <c r="S749" s="59">
        <f>(IF(inputs!$C$6="aerial",((0.025*0.112*inputs!$C$7/3.3)*(3*60*76.9*((F749/1000)^0.76))*MAX(inputs!$H$14:$H$16))/F749,((0.0083*0.112*inputs!$C$7/1)*(3*60*76.9*((F749/1000)^0.76))*MAX(inputs!$H$14:$H$16))/F749))</f>
        <v>2.0793899955772847E-3</v>
      </c>
      <c r="T749" s="63">
        <f>IF((((inputs!$P$12/(V749/MAX(K749:S749)))^(1/inputs!$O$12))-1)/inputs!$N$12&lt;0, 0, IF((((inputs!$P$12/(V749/MAX(K749:S749)))^(1/inputs!$O$12))-1)/inputs!$N$12&gt;inputs!$H$17, inputs!$H$17, (((inputs!$P$12/(V749/MAX(K749:S749)))^(1/inputs!$O$12))-1)/inputs!$N$12))</f>
        <v>86.603934037532397</v>
      </c>
      <c r="U749" s="63">
        <f>IF((((inputs!$P$12/(X749/MAX(K749:S749)))^(1/inputs!$O$12))-1)/inputs!$N$12&lt;0, 0, IF((((inputs!$P$12/(X749/MAX(K749:S749)))^(1/inputs!$O$12))-1)/inputs!$N$12&gt;inputs!$H$17, inputs!$H$17, (((inputs!$P$12/(X749/MAX(K749:S749)))^(1/inputs!$O$12))-1)/inputs!$N$12))</f>
        <v>37.466824977341858</v>
      </c>
      <c r="V749" s="21">
        <f>inputs!$E$87*(F749/inputs!$F$87)^(1)</f>
        <v>0.1045</v>
      </c>
      <c r="W749" s="21">
        <f>inputs!$E$90*(F749/inputs!$F$90)^(1)</f>
        <v>0.11000000000000001</v>
      </c>
      <c r="X749" s="21">
        <f>inputs!$E$89*(F749/inputs!$F$89)^(1)</f>
        <v>0.4107594936708861</v>
      </c>
      <c r="Y749" s="21" t="s">
        <v>13</v>
      </c>
      <c r="Z749" s="63">
        <f t="shared" si="90"/>
        <v>65.000287264875325</v>
      </c>
      <c r="AA749" s="63">
        <f t="shared" si="91"/>
        <v>61.750272901631554</v>
      </c>
    </row>
    <row r="750" spans="1:27" x14ac:dyDescent="0.25">
      <c r="A750" s="103" t="s">
        <v>391</v>
      </c>
      <c r="B750" s="20" t="s">
        <v>392</v>
      </c>
      <c r="C750" s="21" t="s">
        <v>79</v>
      </c>
      <c r="D750" s="105" t="s">
        <v>378</v>
      </c>
      <c r="E750" s="15">
        <v>173</v>
      </c>
      <c r="F750" s="15">
        <v>550</v>
      </c>
      <c r="G750" s="21" t="s">
        <v>456</v>
      </c>
      <c r="H750" s="20">
        <v>0.68</v>
      </c>
      <c r="I750" s="48">
        <f>MAX('Min rate concentrations'!$J$3:$J$368)</f>
        <v>114.4108103430513</v>
      </c>
      <c r="J750" s="48">
        <f>MAX('Min rate concentrations'!AB:AB)</f>
        <v>40.520495329830666</v>
      </c>
      <c r="K750" s="59">
        <f t="shared" si="92"/>
        <v>1.1096808849971975</v>
      </c>
      <c r="L750" s="59">
        <f t="shared" si="93"/>
        <v>0.39301198010317412</v>
      </c>
      <c r="M750" s="59">
        <f>IF((((0.065*F750^0.726)/3.7-(0.301*F750^0.751)/(1-H750)*H750)*(MAX('Min rate concentrations'!$P$3:$P$368)))/F750&gt;0, (((0.065*F750^0.726)/3.7-(0.301*F750^0.751)/(1-H750)*H750)*(MAX('Min rate concentrations'!$P$3:$P$368)))/F750, 0)</f>
        <v>0</v>
      </c>
      <c r="N750" s="59">
        <f>IF((((0.065*F750^0.726)/3.7-(0.301*F750^0.751)/(1-H750)*H750)*(MAX('Min rate concentrations'!$Q$3:$Q$368)))/F750&gt;0, (((0.065*F750^0.726)/3.7-(0.301*F750^0.751)/(1-H750)*H750)*(MAX('Min rate concentrations'!$Q$3:$Q$368)))/F750, 0)</f>
        <v>0</v>
      </c>
      <c r="O750" s="59" t="s">
        <v>13</v>
      </c>
      <c r="P750" s="59" t="s">
        <v>13</v>
      </c>
      <c r="Q750" s="59">
        <f>(inputs!$C$7*11.2)*(25.05*F750^0.63)*0.5*1/F750</f>
        <v>6.7925300191794715</v>
      </c>
      <c r="R750" s="59">
        <f>(60*76.9*((F750/1000)^0.76)*3*24*(MAX('Min rate concentrations'!$R$3:$R$368))/F750)</f>
        <v>4.9245833138709374E-4</v>
      </c>
      <c r="S750" s="59">
        <f>(IF(inputs!$C$6="aerial",((0.025*0.112*inputs!$C$7/3.3)*(3*60*76.9*((F750/1000)^0.76))*MAX(inputs!$H$14:$H$16))/F750,((0.0083*0.112*inputs!$C$7/1)*(3*60*76.9*((F750/1000)^0.76))*MAX(inputs!$H$14:$H$16))/F750))</f>
        <v>2.0793899955772847E-3</v>
      </c>
      <c r="T750" s="63">
        <f>IF((((inputs!$P$12/(V750/MAX(K750:S750)))^(1/inputs!$O$12))-1)/inputs!$N$12&lt;0, 0, IF((((inputs!$P$12/(V750/MAX(K750:S750)))^(1/inputs!$O$12))-1)/inputs!$N$12&gt;inputs!$H$17, inputs!$H$17, (((inputs!$P$12/(V750/MAX(K750:S750)))^(1/inputs!$O$12))-1)/inputs!$N$12))</f>
        <v>86.603934037532397</v>
      </c>
      <c r="U750" s="63">
        <f>IF((((inputs!$P$12/(X750/MAX(K750:S750)))^(1/inputs!$O$12))-1)/inputs!$N$12&lt;0, 0, IF((((inputs!$P$12/(X750/MAX(K750:S750)))^(1/inputs!$O$12))-1)/inputs!$N$12&gt;inputs!$H$17, inputs!$H$17, (((inputs!$P$12/(X750/MAX(K750:S750)))^(1/inputs!$O$12))-1)/inputs!$N$12))</f>
        <v>37.466824977341858</v>
      </c>
      <c r="V750" s="21">
        <f>inputs!$E$87*(F750/inputs!$F$87)^(1)</f>
        <v>0.1045</v>
      </c>
      <c r="W750" s="21">
        <f>inputs!$E$90*(F750/inputs!$F$90)^(1)</f>
        <v>0.11000000000000001</v>
      </c>
      <c r="X750" s="21">
        <f>inputs!$E$89*(F750/inputs!$F$89)^(1)</f>
        <v>0.4107594936708861</v>
      </c>
      <c r="Y750" s="21" t="s">
        <v>13</v>
      </c>
      <c r="Z750" s="63">
        <f t="shared" si="90"/>
        <v>65.000287264875325</v>
      </c>
      <c r="AA750" s="63">
        <f t="shared" si="91"/>
        <v>61.750272901631554</v>
      </c>
    </row>
    <row r="751" spans="1:27" x14ac:dyDescent="0.25">
      <c r="A751" s="103" t="s">
        <v>391</v>
      </c>
      <c r="B751" s="20" t="s">
        <v>392</v>
      </c>
      <c r="C751" s="21" t="s">
        <v>79</v>
      </c>
      <c r="D751" s="105" t="s">
        <v>378</v>
      </c>
      <c r="E751" s="15">
        <v>173</v>
      </c>
      <c r="F751" s="15">
        <v>550</v>
      </c>
      <c r="G751" s="21" t="s">
        <v>145</v>
      </c>
      <c r="H751" s="20">
        <v>0.66</v>
      </c>
      <c r="I751" s="48">
        <f>MAX('Min rate concentrations'!$M$3:$M$368)</f>
        <v>2.8488184789681945</v>
      </c>
      <c r="J751" s="48">
        <f>MAX('Min rate concentrations'!AE:AE)</f>
        <v>1.9699276716269429</v>
      </c>
      <c r="K751" s="59">
        <f t="shared" si="92"/>
        <v>2.6005600254105667E-2</v>
      </c>
      <c r="L751" s="59">
        <f t="shared" si="93"/>
        <v>1.7982595920392218E-2</v>
      </c>
      <c r="M751" s="59">
        <f>IF((((0.065*F751^0.726)/3.7-(0.301*F751^0.751)/(1-H751)*H751)*(MAX('Min rate concentrations'!$P$3:$P$368)))/F751&gt;0, (((0.065*F751^0.726)/3.7-(0.301*F751^0.751)/(1-H751)*H751)*(MAX('Min rate concentrations'!$P$3:$P$368)))/F751, 0)</f>
        <v>0</v>
      </c>
      <c r="N751" s="59">
        <f>IF((((0.065*F751^0.726)/3.7-(0.301*F751^0.751)/(1-H751)*H751)*(MAX('Min rate concentrations'!$Q$3:$Q$368)))/F751&gt;0, (((0.065*F751^0.726)/3.7-(0.301*F751^0.751)/(1-H751)*H751)*(MAX('Min rate concentrations'!$Q$3:$Q$368)))/F751, 0)</f>
        <v>0</v>
      </c>
      <c r="O751" s="59" t="s">
        <v>13</v>
      </c>
      <c r="P751" s="59" t="s">
        <v>13</v>
      </c>
      <c r="Q751" s="59">
        <f>(inputs!$C$7*11.2)*(25.05*F751^0.63)*0.5*1/F751</f>
        <v>6.7925300191794715</v>
      </c>
      <c r="R751" s="59">
        <f>(60*76.9*((F751/1000)^0.76)*3*24*(MAX('Min rate concentrations'!$R$3:$R$368))/F751)</f>
        <v>4.9245833138709374E-4</v>
      </c>
      <c r="S751" s="59">
        <f>(IF(inputs!$C$6="aerial",((0.025*0.112*inputs!$C$7/3.3)*(3*60*76.9*((F751/1000)^0.76))*MAX(inputs!$H$14:$H$16))/F751,((0.0083*0.112*inputs!$C$7/1)*(3*60*76.9*((F751/1000)^0.76))*MAX(inputs!$H$14:$H$16))/F751))</f>
        <v>2.0793899955772847E-3</v>
      </c>
      <c r="T751" s="63">
        <f>IF((((inputs!$P$12/(V751/MAX(K751:S751)))^(1/inputs!$O$12))-1)/inputs!$N$12&lt;0, 0, IF((((inputs!$P$12/(V751/MAX(K751:S751)))^(1/inputs!$O$12))-1)/inputs!$N$12&gt;inputs!$H$17, inputs!$H$17, (((inputs!$P$12/(V751/MAX(K751:S751)))^(1/inputs!$O$12))-1)/inputs!$N$12))</f>
        <v>86.603934037532397</v>
      </c>
      <c r="U751" s="63">
        <f>IF((((inputs!$P$12/(X751/MAX(K751:S751)))^(1/inputs!$O$12))-1)/inputs!$N$12&lt;0, 0, IF((((inputs!$P$12/(X751/MAX(K751:S751)))^(1/inputs!$O$12))-1)/inputs!$N$12&gt;inputs!$H$17, inputs!$H$17, (((inputs!$P$12/(X751/MAX(K751:S751)))^(1/inputs!$O$12))-1)/inputs!$N$12))</f>
        <v>37.466824977341858</v>
      </c>
      <c r="V751" s="21">
        <f>inputs!$E$87*(F751/inputs!$F$87)^(1)</f>
        <v>0.1045</v>
      </c>
      <c r="W751" s="21">
        <f>inputs!$E$90*(F751/inputs!$F$90)^(1)</f>
        <v>0.11000000000000001</v>
      </c>
      <c r="X751" s="21">
        <f>inputs!$E$89*(F751/inputs!$F$89)^(1)</f>
        <v>0.4107594936708861</v>
      </c>
      <c r="Y751" s="21" t="s">
        <v>13</v>
      </c>
      <c r="Z751" s="63">
        <f t="shared" si="90"/>
        <v>65.000287264875325</v>
      </c>
      <c r="AA751" s="63">
        <f t="shared" si="91"/>
        <v>61.750272901631554</v>
      </c>
    </row>
    <row r="752" spans="1:27" x14ac:dyDescent="0.25">
      <c r="A752" s="103" t="s">
        <v>426</v>
      </c>
      <c r="B752" s="20" t="s">
        <v>427</v>
      </c>
      <c r="C752" s="21" t="s">
        <v>79</v>
      </c>
      <c r="D752" s="105" t="s">
        <v>378</v>
      </c>
      <c r="E752" s="15">
        <v>7800</v>
      </c>
      <c r="F752" s="56">
        <v>130</v>
      </c>
      <c r="G752" s="21" t="s">
        <v>182</v>
      </c>
      <c r="H752" s="20">
        <v>0.85</v>
      </c>
      <c r="I752" s="48">
        <f>MAX('Min rate concentrations'!$M$3:$M$368)</f>
        <v>2.8488184789681945</v>
      </c>
      <c r="J752" s="48">
        <f>MAX('Min rate concentrations'!AE:AE)</f>
        <v>1.9699276716269429</v>
      </c>
      <c r="K752" s="59">
        <f t="shared" si="92"/>
        <v>8.1780870691562937E-2</v>
      </c>
      <c r="L752" s="59">
        <f t="shared" si="93"/>
        <v>5.6550602073953085E-2</v>
      </c>
      <c r="M752" s="59">
        <f>IF((((0.065*F752^0.726)/3.7-(0.301*F752^0.751)/(1-H752)*H752)*(MAX('Min rate concentrations'!$P$3:$P$368)))/F752&gt;0, (((0.065*F752^0.726)/3.7-(0.301*F752^0.751)/(1-H752)*H752)*(MAX('Min rate concentrations'!$P$3:$P$368)))/F752, 0)</f>
        <v>0</v>
      </c>
      <c r="N752" s="59">
        <f>IF((((0.065*F752^0.726)/3.7-(0.301*F752^0.751)/(1-H752)*H752)*(MAX('Min rate concentrations'!$Q$3:$Q$368)))/F752&gt;0, (((0.065*F752^0.726)/3.7-(0.301*F752^0.751)/(1-H752)*H752)*(MAX('Min rate concentrations'!$Q$3:$Q$368)))/F752, 0)</f>
        <v>0</v>
      </c>
      <c r="O752" s="59" t="s">
        <v>13</v>
      </c>
      <c r="P752" s="59" t="s">
        <v>13</v>
      </c>
      <c r="Q752" s="59">
        <f>(inputs!$C$7*11.2)*(25.05*F752^0.63)*0.5*1/F752</f>
        <v>11.5826176757261</v>
      </c>
      <c r="R752" s="59">
        <f>(60*76.9*((F752/1000)^0.76)*3*24*(MAX('Min rate concentrations'!$R$3:$R$368))/F752)</f>
        <v>6.9616170587593717E-4</v>
      </c>
      <c r="S752" s="59">
        <f>(IF(inputs!$C$6="aerial",((0.025*0.112*inputs!$C$7/3.3)*(3*60*76.9*((F752/1000)^0.76))*MAX(inputs!$H$14:$H$16))/F752,((0.0083*0.112*inputs!$C$7/1)*(3*60*76.9*((F752/1000)^0.76))*MAX(inputs!$H$14:$H$16))/F752))</f>
        <v>2.9395211619733354E-3</v>
      </c>
      <c r="T752" s="63">
        <f>IF((((inputs!$P$12/(V752/MAX(K752:S752)))^(1/inputs!$O$12))-1)/inputs!$N$12&lt;0, 0, IF((((inputs!$P$12/(V752/MAX(K752:S752)))^(1/inputs!$O$12))-1)/inputs!$N$12&gt;inputs!$H$17, inputs!$H$17, (((inputs!$P$12/(V752/MAX(K752:S752)))^(1/inputs!$O$12))-1)/inputs!$N$12))</f>
        <v>228.61510203684281</v>
      </c>
      <c r="U752" s="63">
        <f>IF((((inputs!$P$12/(X752/MAX(K752:S752)))^(1/inputs!$O$12))-1)/inputs!$N$12&lt;0, 0, IF((((inputs!$P$12/(X752/MAX(K752:S752)))^(1/inputs!$O$12))-1)/inputs!$N$12&gt;inputs!$H$17, inputs!$H$17, (((inputs!$P$12/(X752/MAX(K752:S752)))^(1/inputs!$O$12))-1)/inputs!$N$12))</f>
        <v>118.84911117865035</v>
      </c>
      <c r="V752" s="21">
        <f>inputs!$E$87*(F752/inputs!$F$87)^(1)</f>
        <v>2.47E-2</v>
      </c>
      <c r="W752" s="21">
        <f>inputs!$E$90*(F752/inputs!$F$90)^(1)</f>
        <v>2.5999999999999999E-2</v>
      </c>
      <c r="X752" s="21">
        <f>inputs!$E$89*(F752/inputs!$F$89)^(1)</f>
        <v>9.7088607594936691E-2</v>
      </c>
      <c r="Y752" s="21" t="s">
        <v>13</v>
      </c>
      <c r="Z752" s="63">
        <f t="shared" si="90"/>
        <v>468.93188970551012</v>
      </c>
      <c r="AA752" s="63">
        <f t="shared" si="91"/>
        <v>445.4852952202346</v>
      </c>
    </row>
    <row r="753" spans="1:27" x14ac:dyDescent="0.25">
      <c r="A753" s="103" t="s">
        <v>426</v>
      </c>
      <c r="B753" s="20" t="s">
        <v>427</v>
      </c>
      <c r="C753" s="21" t="s">
        <v>79</v>
      </c>
      <c r="D753" s="105" t="s">
        <v>378</v>
      </c>
      <c r="E753" s="15">
        <v>7800</v>
      </c>
      <c r="F753" s="56">
        <v>130</v>
      </c>
      <c r="G753" s="21" t="s">
        <v>456</v>
      </c>
      <c r="H753" s="20">
        <v>0.68</v>
      </c>
      <c r="I753" s="48">
        <f>MAX('Min rate concentrations'!$J$3:$J$368)</f>
        <v>114.4108103430513</v>
      </c>
      <c r="J753" s="48">
        <f>MAX('Min rate concentrations'!AB:AB)</f>
        <v>40.520495329830666</v>
      </c>
      <c r="K753" s="59">
        <f t="shared" ref="K753:K784" si="94">(((0.013*F753^0.773)/(1-H753)))*I753/F753</f>
        <v>1.539555305250649</v>
      </c>
      <c r="L753" s="59">
        <f t="shared" ref="L753:L773" si="95">(((0.013*F753^0.773)/(1-H753)))*J753/F753</f>
        <v>0.54525917060960483</v>
      </c>
      <c r="M753" s="59">
        <f>IF((((0.065*F753^0.726)/3.7-(0.301*F753^0.751)/(1-H753)*H753)*(MAX('Min rate concentrations'!$P$3:$P$368)))/F753&gt;0, (((0.065*F753^0.726)/3.7-(0.301*F753^0.751)/(1-H753)*H753)*(MAX('Min rate concentrations'!$P$3:$P$368)))/F753, 0)</f>
        <v>0</v>
      </c>
      <c r="N753" s="59">
        <f>IF((((0.065*F753^0.726)/3.7-(0.301*F753^0.751)/(1-H753)*H753)*(MAX('Min rate concentrations'!$Q$3:$Q$368)))/F753&gt;0, (((0.065*F753^0.726)/3.7-(0.301*F753^0.751)/(1-H753)*H753)*(MAX('Min rate concentrations'!$Q$3:$Q$368)))/F753, 0)</f>
        <v>0</v>
      </c>
      <c r="O753" s="59" t="s">
        <v>13</v>
      </c>
      <c r="P753" s="59" t="s">
        <v>13</v>
      </c>
      <c r="Q753" s="59">
        <f>(inputs!$C$7*11.2)*(25.05*F753^0.63)*0.5*1/F753</f>
        <v>11.5826176757261</v>
      </c>
      <c r="R753" s="59">
        <f>(60*76.9*((F753/1000)^0.76)*3*24*(MAX('Min rate concentrations'!$R$3:$R$368))/F753)</f>
        <v>6.9616170587593717E-4</v>
      </c>
      <c r="S753" s="59">
        <f>(IF(inputs!$C$6="aerial",((0.025*0.112*inputs!$C$7/3.3)*(3*60*76.9*((F753/1000)^0.76))*MAX(inputs!$H$14:$H$16))/F753,((0.0083*0.112*inputs!$C$7/1)*(3*60*76.9*((F753/1000)^0.76))*MAX(inputs!$H$14:$H$16))/F753))</f>
        <v>2.9395211619733354E-3</v>
      </c>
      <c r="T753" s="63">
        <f>IF((((inputs!$P$12/(V753/MAX(K753:S753)))^(1/inputs!$O$12))-1)/inputs!$N$12&lt;0, 0, IF((((inputs!$P$12/(V753/MAX(K753:S753)))^(1/inputs!$O$12))-1)/inputs!$N$12&gt;inputs!$H$17, inputs!$H$17, (((inputs!$P$12/(V753/MAX(K753:S753)))^(1/inputs!$O$12))-1)/inputs!$N$12))</f>
        <v>228.61510203684281</v>
      </c>
      <c r="U753" s="63">
        <f>IF((((inputs!$P$12/(X753/MAX(K753:S753)))^(1/inputs!$O$12))-1)/inputs!$N$12&lt;0, 0, IF((((inputs!$P$12/(X753/MAX(K753:S753)))^(1/inputs!$O$12))-1)/inputs!$N$12&gt;inputs!$H$17, inputs!$H$17, (((inputs!$P$12/(X753/MAX(K753:S753)))^(1/inputs!$O$12))-1)/inputs!$N$12))</f>
        <v>118.84911117865035</v>
      </c>
      <c r="V753" s="21">
        <f>inputs!$E$87*(F753/inputs!$F$87)^(1)</f>
        <v>2.47E-2</v>
      </c>
      <c r="W753" s="21">
        <f>inputs!$E$90*(F753/inputs!$F$90)^(1)</f>
        <v>2.5999999999999999E-2</v>
      </c>
      <c r="X753" s="21">
        <f>inputs!$E$89*(F753/inputs!$F$89)^(1)</f>
        <v>9.7088607594936691E-2</v>
      </c>
      <c r="Y753" s="21" t="s">
        <v>13</v>
      </c>
      <c r="Z753" s="63">
        <f t="shared" si="90"/>
        <v>468.93188970551012</v>
      </c>
      <c r="AA753" s="63">
        <f t="shared" si="91"/>
        <v>445.4852952202346</v>
      </c>
    </row>
    <row r="754" spans="1:27" x14ac:dyDescent="0.25">
      <c r="A754" s="103" t="s">
        <v>426</v>
      </c>
      <c r="B754" s="20" t="s">
        <v>427</v>
      </c>
      <c r="C754" s="21" t="s">
        <v>79</v>
      </c>
      <c r="D754" s="105" t="s">
        <v>378</v>
      </c>
      <c r="E754" s="15">
        <v>7800</v>
      </c>
      <c r="F754" s="56">
        <v>130</v>
      </c>
      <c r="G754" s="21" t="s">
        <v>145</v>
      </c>
      <c r="H754" s="20">
        <v>0.66</v>
      </c>
      <c r="I754" s="48">
        <f>MAX('Min rate concentrations'!$M$3:$M$368)</f>
        <v>2.8488184789681945</v>
      </c>
      <c r="J754" s="48">
        <f>MAX('Min rate concentrations'!AE:AE)</f>
        <v>1.9699276716269429</v>
      </c>
      <c r="K754" s="59">
        <f t="shared" si="94"/>
        <v>3.6079795893336597E-2</v>
      </c>
      <c r="L754" s="59">
        <f t="shared" si="95"/>
        <v>2.494879503262637E-2</v>
      </c>
      <c r="M754" s="59">
        <f>IF((((0.065*F754^0.726)/3.7-(0.301*F754^0.751)/(1-H754)*H754)*(MAX('Min rate concentrations'!$P$3:$P$368)))/F754&gt;0, (((0.065*F754^0.726)/3.7-(0.301*F754^0.751)/(1-H754)*H754)*(MAX('Min rate concentrations'!$P$3:$P$368)))/F754, 0)</f>
        <v>0</v>
      </c>
      <c r="N754" s="59">
        <f>IF((((0.065*F754^0.726)/3.7-(0.301*F754^0.751)/(1-H754)*H754)*(MAX('Min rate concentrations'!$Q$3:$Q$368)))/F754&gt;0, (((0.065*F754^0.726)/3.7-(0.301*F754^0.751)/(1-H754)*H754)*(MAX('Min rate concentrations'!$Q$3:$Q$368)))/F754, 0)</f>
        <v>0</v>
      </c>
      <c r="O754" s="59" t="s">
        <v>13</v>
      </c>
      <c r="P754" s="59" t="s">
        <v>13</v>
      </c>
      <c r="Q754" s="59">
        <f>(inputs!$C$7*11.2)*(25.05*F754^0.63)*0.5*1/F754</f>
        <v>11.5826176757261</v>
      </c>
      <c r="R754" s="59">
        <f>(60*76.9*((F754/1000)^0.76)*3*24*(MAX('Min rate concentrations'!$R$3:$R$368))/F754)</f>
        <v>6.9616170587593717E-4</v>
      </c>
      <c r="S754" s="59">
        <f>(IF(inputs!$C$6="aerial",((0.025*0.112*inputs!$C$7/3.3)*(3*60*76.9*((F754/1000)^0.76))*MAX(inputs!$H$14:$H$16))/F754,((0.0083*0.112*inputs!$C$7/1)*(3*60*76.9*((F754/1000)^0.76))*MAX(inputs!$H$14:$H$16))/F754))</f>
        <v>2.9395211619733354E-3</v>
      </c>
      <c r="T754" s="63">
        <f>IF((((inputs!$P$12/(V754/MAX(K754:S754)))^(1/inputs!$O$12))-1)/inputs!$N$12&lt;0, 0, IF((((inputs!$P$12/(V754/MAX(K754:S754)))^(1/inputs!$O$12))-1)/inputs!$N$12&gt;inputs!$H$17, inputs!$H$17, (((inputs!$P$12/(V754/MAX(K754:S754)))^(1/inputs!$O$12))-1)/inputs!$N$12))</f>
        <v>228.61510203684281</v>
      </c>
      <c r="U754" s="63">
        <f>IF((((inputs!$P$12/(X754/MAX(K754:S754)))^(1/inputs!$O$12))-1)/inputs!$N$12&lt;0, 0, IF((((inputs!$P$12/(X754/MAX(K754:S754)))^(1/inputs!$O$12))-1)/inputs!$N$12&gt;inputs!$H$17, inputs!$H$17, (((inputs!$P$12/(X754/MAX(K754:S754)))^(1/inputs!$O$12))-1)/inputs!$N$12))</f>
        <v>118.84911117865035</v>
      </c>
      <c r="V754" s="21">
        <f>inputs!$E$87*(F754/inputs!$F$87)^(1)</f>
        <v>2.47E-2</v>
      </c>
      <c r="W754" s="21">
        <f>inputs!$E$90*(F754/inputs!$F$90)^(1)</f>
        <v>2.5999999999999999E-2</v>
      </c>
      <c r="X754" s="21">
        <f>inputs!$E$89*(F754/inputs!$F$89)^(1)</f>
        <v>9.7088607594936691E-2</v>
      </c>
      <c r="Y754" s="21" t="s">
        <v>13</v>
      </c>
      <c r="Z754" s="63">
        <f t="shared" si="90"/>
        <v>468.93188970551012</v>
      </c>
      <c r="AA754" s="63">
        <f t="shared" si="91"/>
        <v>445.4852952202346</v>
      </c>
    </row>
    <row r="755" spans="1:27" ht="26.4" x14ac:dyDescent="0.25">
      <c r="A755" s="120" t="s">
        <v>432</v>
      </c>
      <c r="B755" s="20" t="s">
        <v>433</v>
      </c>
      <c r="C755" s="21" t="s">
        <v>79</v>
      </c>
      <c r="D755" s="105" t="s">
        <v>378</v>
      </c>
      <c r="E755" s="15">
        <v>187</v>
      </c>
      <c r="F755" s="15">
        <v>140</v>
      </c>
      <c r="G755" s="21" t="s">
        <v>634</v>
      </c>
      <c r="H755" s="21">
        <v>0.75</v>
      </c>
      <c r="I755" s="48">
        <f>inputs!$C$65*inputs!$C$64/1000</f>
        <v>2.13</v>
      </c>
      <c r="J755" s="48">
        <f>inputs!$C$65*inputs!$C$63/1000</f>
        <v>0.88</v>
      </c>
      <c r="K755" s="59">
        <f t="shared" si="94"/>
        <v>3.6075460453795331E-2</v>
      </c>
      <c r="L755" s="59">
        <f t="shared" si="95"/>
        <v>1.4904415586544551E-2</v>
      </c>
      <c r="M755" s="59">
        <f>IF((((0.065*F755^0.726)/3.7-(0.301*F755^0.751)/(1-H755)*H755)*(MAX('Min rate concentrations'!$P$3:$P$368)))/F755&gt;0, (((0.065*F755^0.726)/3.7-(0.301*F755^0.751)/(1-H755)*H755)*(MAX('Min rate concentrations'!$P$3:$P$368)))/F755, 0)</f>
        <v>0</v>
      </c>
      <c r="N755" s="59">
        <f>IF((((0.065*F755^0.726)/3.7-(0.301*F755^0.751)/(1-H755)*H755)*(MAX('Min rate concentrations'!$Q$3:$Q$368)))/F755&gt;0, (((0.065*F755^0.726)/3.7-(0.301*F755^0.751)/(1-H755)*H755)*(MAX('Min rate concentrations'!$Q$3:$Q$368)))/F755, 0)</f>
        <v>0</v>
      </c>
      <c r="O755" s="59" t="s">
        <v>13</v>
      </c>
      <c r="P755" s="59" t="s">
        <v>13</v>
      </c>
      <c r="Q755" s="59">
        <f>(inputs!$C$7*11.2)*(25.05*F755^0.63)*0.5*1/F755</f>
        <v>11.269337572192416</v>
      </c>
      <c r="R755" s="59">
        <f>(60*76.9*((F755/1000)^0.76)*3*24*(MAX('Min rate concentrations'!$R$3:$R$368))/F755)</f>
        <v>6.8388929565107656E-4</v>
      </c>
      <c r="S755" s="59">
        <f>(IF(inputs!$C$6="aerial",((0.025*0.112*inputs!$C$7/3.3)*(3*60*76.9*((F755/1000)^0.76))*MAX(inputs!$H$14:$H$16))/F755,((0.0083*0.112*inputs!$C$7/1)*(3*60*76.9*((F755/1000)^0.76))*MAX(inputs!$H$14:$H$16))/F755))</f>
        <v>2.8877012913026199E-3</v>
      </c>
      <c r="T755" s="63">
        <f>IF((((inputs!$P$12/(V755/MAX(K755:S755)))^(1/inputs!$O$12))-1)/inputs!$N$12&lt;0, 0, IF((((inputs!$P$12/(V755/MAX(K755:S755)))^(1/inputs!$O$12))-1)/inputs!$N$12&gt;inputs!$H$17, inputs!$H$17, (((inputs!$P$12/(V755/MAX(K755:S755)))^(1/inputs!$O$12))-1)/inputs!$N$12))</f>
        <v>218.21417327534243</v>
      </c>
      <c r="U755" s="63">
        <f>IF((((inputs!$P$12/(X755/MAX(K755:S755)))^(1/inputs!$O$12))-1)/inputs!$N$12&lt;0, 0, IF((((inputs!$P$12/(X755/MAX(K755:S755)))^(1/inputs!$O$12))-1)/inputs!$N$12&gt;inputs!$H$17, inputs!$H$17, (((inputs!$P$12/(X755/MAX(K755:S755)))^(1/inputs!$O$12))-1)/inputs!$N$12))</f>
        <v>112.88865487684765</v>
      </c>
      <c r="V755" s="21">
        <f>inputs!$E$87*(F755/inputs!$F$87)^(1)</f>
        <v>2.6599999999999999E-2</v>
      </c>
      <c r="W755" s="21">
        <f>inputs!$E$90*(F755/inputs!$F$90)^(1)</f>
        <v>2.8000000000000001E-2</v>
      </c>
      <c r="X755" s="21">
        <f>inputs!$E$89*(F755/inputs!$F$89)^(1)</f>
        <v>0.10455696202531645</v>
      </c>
      <c r="Y755" s="21" t="s">
        <v>13</v>
      </c>
      <c r="Z755" s="63">
        <f t="shared" si="90"/>
        <v>423.65930722527884</v>
      </c>
      <c r="AA755" s="63">
        <f t="shared" si="91"/>
        <v>402.47634186401484</v>
      </c>
    </row>
    <row r="756" spans="1:27" x14ac:dyDescent="0.25">
      <c r="A756" s="103" t="s">
        <v>424</v>
      </c>
      <c r="B756" s="20" t="s">
        <v>425</v>
      </c>
      <c r="C756" s="21" t="s">
        <v>79</v>
      </c>
      <c r="D756" s="105" t="s">
        <v>378</v>
      </c>
      <c r="E756" s="15">
        <v>3722</v>
      </c>
      <c r="F756" s="56">
        <v>1000</v>
      </c>
      <c r="G756" s="21" t="s">
        <v>456</v>
      </c>
      <c r="H756" s="20">
        <v>0.68</v>
      </c>
      <c r="I756" s="48">
        <f>MAX('Min rate concentrations'!$J$3:$J$368)</f>
        <v>114.4108103430513</v>
      </c>
      <c r="J756" s="48">
        <f>MAX('Min rate concentrations'!AB:AB)</f>
        <v>40.520495329830666</v>
      </c>
      <c r="K756" s="59">
        <f t="shared" si="94"/>
        <v>0.96885868254444552</v>
      </c>
      <c r="L756" s="59">
        <f t="shared" si="95"/>
        <v>0.34313745006782442</v>
      </c>
      <c r="M756" s="59">
        <f>IF((((0.065*F756^0.726)/3.7-(0.301*F756^0.751)/(1-H756)*H756)*(MAX('Min rate concentrations'!$P$3:$P$368)))/F756&gt;0, (((0.065*F756^0.726)/3.7-(0.301*F756^0.751)/(1-H756)*H756)*(MAX('Min rate concentrations'!$P$3:$P$368)))/F756, 0)</f>
        <v>0</v>
      </c>
      <c r="N756" s="59">
        <f>IF((((0.065*F756^0.726)/3.7-(0.301*F756^0.751)/(1-H756)*H756)*(MAX('Min rate concentrations'!$Q$3:$Q$368)))/F756&gt;0, (((0.065*F756^0.726)/3.7-(0.301*F756^0.751)/(1-H756)*H756)*(MAX('Min rate concentrations'!$Q$3:$Q$368)))/F756, 0)</f>
        <v>0</v>
      </c>
      <c r="O756" s="59" t="s">
        <v>13</v>
      </c>
      <c r="P756" s="59" t="s">
        <v>13</v>
      </c>
      <c r="Q756" s="59">
        <f>(inputs!$C$7*11.2)*(25.05*F756^0.63)*0.5*1/F756</f>
        <v>5.4445972760336421</v>
      </c>
      <c r="R756" s="59">
        <f>(60*76.9*((F756/1000)^0.76)*3*24*(MAX('Min rate concentrations'!$R$3:$R$368))/F756)</f>
        <v>4.2663505281300101E-4</v>
      </c>
      <c r="S756" s="59">
        <f>(IF(inputs!$C$6="aerial",((0.025*0.112*inputs!$C$7/3.3)*(3*60*76.9*((F756/1000)^0.76))*MAX(inputs!$H$14:$H$16))/F756,((0.0083*0.112*inputs!$C$7/1)*(3*60*76.9*((F756/1000)^0.76))*MAX(inputs!$H$14:$H$16))/F756))</f>
        <v>1.8014532480000005E-3</v>
      </c>
      <c r="T756" s="63">
        <f>IF((((inputs!$P$12/(V756/MAX(K756:S756)))^(1/inputs!$O$12))-1)/inputs!$N$12&lt;0, 0, IF((((inputs!$P$12/(V756/MAX(K756:S756)))^(1/inputs!$O$12))-1)/inputs!$N$12&gt;inputs!$H$17, inputs!$H$17, (((inputs!$P$12/(V756/MAX(K756:S756)))^(1/inputs!$O$12))-1)/inputs!$N$12))</f>
        <v>53.995059795067306</v>
      </c>
      <c r="U756" s="63">
        <f>IF((((inputs!$P$12/(X756/MAX(K756:S756)))^(1/inputs!$O$12))-1)/inputs!$N$12&lt;0, 0, IF((((inputs!$P$12/(X756/MAX(K756:S756)))^(1/inputs!$O$12))-1)/inputs!$N$12&gt;inputs!$H$17, inputs!$H$17, (((inputs!$P$12/(X756/MAX(K756:S756)))^(1/inputs!$O$12))-1)/inputs!$N$12))</f>
        <v>18.779669778986928</v>
      </c>
      <c r="V756" s="21">
        <f>inputs!$E$87*(F756/inputs!$F$87)^(1)</f>
        <v>0.19</v>
      </c>
      <c r="W756" s="21">
        <f>inputs!$E$90*(F756/inputs!$F$90)^(1)</f>
        <v>0.2</v>
      </c>
      <c r="X756" s="21">
        <f>inputs!$E$89*(F756/inputs!$F$89)^(1)</f>
        <v>0.74683544303797467</v>
      </c>
      <c r="Y756" s="21" t="s">
        <v>13</v>
      </c>
      <c r="Z756" s="63">
        <f t="shared" si="90"/>
        <v>28.65577513701917</v>
      </c>
      <c r="AA756" s="63">
        <f t="shared" si="91"/>
        <v>27.222986380168209</v>
      </c>
    </row>
    <row r="757" spans="1:27" x14ac:dyDescent="0.25">
      <c r="A757" s="103" t="s">
        <v>397</v>
      </c>
      <c r="B757" s="20" t="s">
        <v>398</v>
      </c>
      <c r="C757" s="21" t="s">
        <v>79</v>
      </c>
      <c r="D757" s="105" t="s">
        <v>378</v>
      </c>
      <c r="E757" s="15">
        <v>164</v>
      </c>
      <c r="F757" s="15">
        <v>70</v>
      </c>
      <c r="G757" s="21" t="s">
        <v>456</v>
      </c>
      <c r="H757" s="20">
        <v>0.68</v>
      </c>
      <c r="I757" s="48">
        <f>MAX('Min rate concentrations'!$J$3:$J$368)</f>
        <v>114.4108103430513</v>
      </c>
      <c r="J757" s="48">
        <f>MAX('Min rate concentrations'!AB:AB)</f>
        <v>40.520495329830666</v>
      </c>
      <c r="K757" s="59">
        <f t="shared" si="94"/>
        <v>1.77183460928603</v>
      </c>
      <c r="L757" s="59">
        <f t="shared" si="95"/>
        <v>0.62752475745546887</v>
      </c>
      <c r="M757" s="59">
        <f>IF((((0.065*F757^0.726)/3.7-(0.301*F757^0.751)/(1-H757)*H757)*(MAX('Min rate concentrations'!$P$3:$P$368)))/F757&gt;0, (((0.065*F757^0.726)/3.7-(0.301*F757^0.751)/(1-H757)*H757)*(MAX('Min rate concentrations'!$P$3:$P$368)))/F757, 0)</f>
        <v>0</v>
      </c>
      <c r="N757" s="59">
        <f>IF((((0.065*F757^0.726)/3.7-(0.301*F757^0.751)/(1-H757)*H757)*(MAX('Min rate concentrations'!$Q$3:$Q$368)))/F757&gt;0, (((0.065*F757^0.726)/3.7-(0.301*F757^0.751)/(1-H757)*H757)*(MAX('Min rate concentrations'!$Q$3:$Q$368)))/F757, 0)</f>
        <v>0</v>
      </c>
      <c r="O757" s="59" t="s">
        <v>13</v>
      </c>
      <c r="P757" s="59" t="s">
        <v>13</v>
      </c>
      <c r="Q757" s="59">
        <f>(inputs!$C$7*11.2)*(25.05*F757^0.63)*0.5*1/F757</f>
        <v>14.56396031083232</v>
      </c>
      <c r="R757" s="59">
        <f>(60*76.9*((F757/1000)^0.76)*3*24*(MAX('Min rate concentrations'!$R$3:$R$368))/F757)</f>
        <v>8.0766823939413201E-4</v>
      </c>
      <c r="S757" s="59">
        <f>(IF(inputs!$C$6="aerial",((0.025*0.112*inputs!$C$7/3.3)*(3*60*76.9*((F757/1000)^0.76))*MAX(inputs!$H$14:$H$16))/F757,((0.0083*0.112*inputs!$C$7/1)*(3*60*76.9*((F757/1000)^0.76))*MAX(inputs!$H$14:$H$16))/F757))</f>
        <v>3.4103540334289731E-3</v>
      </c>
      <c r="T757" s="63">
        <f>IF((((inputs!$P$12/(V757/MAX(K757:S757)))^(1/inputs!$O$12))-1)/inputs!$N$12&lt;0, 0, IF((((inputs!$P$12/(V757/MAX(K757:S757)))^(1/inputs!$O$12))-1)/inputs!$N$12&gt;inputs!$H$17, inputs!$H$17, (((inputs!$P$12/(V757/MAX(K757:S757)))^(1/inputs!$O$12))-1)/inputs!$N$12))</f>
        <v>334.52014423611416</v>
      </c>
      <c r="U757" s="63">
        <f>IF((((inputs!$P$12/(X757/MAX(K757:S757)))^(1/inputs!$O$12))-1)/inputs!$N$12&lt;0, 0, IF((((inputs!$P$12/(X757/MAX(K757:S757)))^(1/inputs!$O$12))-1)/inputs!$N$12&gt;inputs!$H$17, inputs!$H$17, (((inputs!$P$12/(X757/MAX(K757:S757)))^(1/inputs!$O$12))-1)/inputs!$N$12))</f>
        <v>179.54007355750068</v>
      </c>
      <c r="V757" s="21">
        <f>inputs!$E$87*(F757/inputs!$F$87)^(1)</f>
        <v>1.3299999999999999E-2</v>
      </c>
      <c r="W757" s="21">
        <f>inputs!$E$90*(F757/inputs!$F$90)^(1)</f>
        <v>1.4E-2</v>
      </c>
      <c r="X757" s="21">
        <f>inputs!$E$89*(F757/inputs!$F$89)^(1)</f>
        <v>5.2278481012658223E-2</v>
      </c>
      <c r="Y757" s="21" t="s">
        <v>13</v>
      </c>
      <c r="Z757" s="63">
        <f t="shared" si="90"/>
        <v>1095.0346098370167</v>
      </c>
      <c r="AA757" s="63">
        <f t="shared" si="91"/>
        <v>1040.2828793451656</v>
      </c>
    </row>
    <row r="758" spans="1:27" x14ac:dyDescent="0.25">
      <c r="A758" s="103" t="s">
        <v>397</v>
      </c>
      <c r="B758" s="20" t="s">
        <v>398</v>
      </c>
      <c r="C758" s="21" t="s">
        <v>79</v>
      </c>
      <c r="D758" s="105" t="s">
        <v>378</v>
      </c>
      <c r="E758" s="15">
        <v>164</v>
      </c>
      <c r="F758" s="15">
        <v>70</v>
      </c>
      <c r="G758" s="21" t="s">
        <v>145</v>
      </c>
      <c r="H758" s="20">
        <v>0.66</v>
      </c>
      <c r="I758" s="48">
        <f>MAX('Min rate concentrations'!$M$3:$M$368)</f>
        <v>2.8488184789681945</v>
      </c>
      <c r="J758" s="48">
        <f>MAX('Min rate concentrations'!AE:AE)</f>
        <v>1.9699276716269429</v>
      </c>
      <c r="K758" s="59">
        <f t="shared" si="94"/>
        <v>4.1523309258047071E-2</v>
      </c>
      <c r="L758" s="59">
        <f t="shared" si="95"/>
        <v>2.8712926614607021E-2</v>
      </c>
      <c r="M758" s="59">
        <f>IF((((0.065*F758^0.726)/3.7-(0.301*F758^0.751)/(1-H758)*H758)*(MAX('Min rate concentrations'!$P$3:$P$368)))/F758&gt;0, (((0.065*F758^0.726)/3.7-(0.301*F758^0.751)/(1-H758)*H758)*(MAX('Min rate concentrations'!$P$3:$P$368)))/F758, 0)</f>
        <v>0</v>
      </c>
      <c r="N758" s="59">
        <f>IF((((0.065*F758^0.726)/3.7-(0.301*F758^0.751)/(1-H758)*H758)*(MAX('Min rate concentrations'!$Q$3:$Q$368)))/F758&gt;0, (((0.065*F758^0.726)/3.7-(0.301*F758^0.751)/(1-H758)*H758)*(MAX('Min rate concentrations'!$Q$3:$Q$368)))/F758, 0)</f>
        <v>0</v>
      </c>
      <c r="O758" s="59" t="s">
        <v>13</v>
      </c>
      <c r="P758" s="59" t="s">
        <v>13</v>
      </c>
      <c r="Q758" s="59">
        <f>(inputs!$C$7*11.2)*(25.05*F758^0.63)*0.5*1/F758</f>
        <v>14.56396031083232</v>
      </c>
      <c r="R758" s="59">
        <f>(60*76.9*((F758/1000)^0.76)*3*24*(MAX('Min rate concentrations'!$R$3:$R$368))/F758)</f>
        <v>8.0766823939413201E-4</v>
      </c>
      <c r="S758" s="59">
        <f>(IF(inputs!$C$6="aerial",((0.025*0.112*inputs!$C$7/3.3)*(3*60*76.9*((F758/1000)^0.76))*MAX(inputs!$H$14:$H$16))/F758,((0.0083*0.112*inputs!$C$7/1)*(3*60*76.9*((F758/1000)^0.76))*MAX(inputs!$H$14:$H$16))/F758))</f>
        <v>3.4103540334289731E-3</v>
      </c>
      <c r="T758" s="63">
        <f>IF((((inputs!$P$12/(V758/MAX(K758:S758)))^(1/inputs!$O$12))-1)/inputs!$N$12&lt;0, 0, IF((((inputs!$P$12/(V758/MAX(K758:S758)))^(1/inputs!$O$12))-1)/inputs!$N$12&gt;inputs!$H$17, inputs!$H$17, (((inputs!$P$12/(V758/MAX(K758:S758)))^(1/inputs!$O$12))-1)/inputs!$N$12))</f>
        <v>334.52014423611416</v>
      </c>
      <c r="U758" s="63">
        <f>IF((((inputs!$P$12/(X758/MAX(K758:S758)))^(1/inputs!$O$12))-1)/inputs!$N$12&lt;0, 0, IF((((inputs!$P$12/(X758/MAX(K758:S758)))^(1/inputs!$O$12))-1)/inputs!$N$12&gt;inputs!$H$17, inputs!$H$17, (((inputs!$P$12/(X758/MAX(K758:S758)))^(1/inputs!$O$12))-1)/inputs!$N$12))</f>
        <v>179.54007355750068</v>
      </c>
      <c r="V758" s="21">
        <f>inputs!$E$87*(F758/inputs!$F$87)^(1)</f>
        <v>1.3299999999999999E-2</v>
      </c>
      <c r="W758" s="21">
        <f>inputs!$E$90*(F758/inputs!$F$90)^(1)</f>
        <v>1.4E-2</v>
      </c>
      <c r="X758" s="21">
        <f>inputs!$E$89*(F758/inputs!$F$89)^(1)</f>
        <v>5.2278481012658223E-2</v>
      </c>
      <c r="Y758" s="21" t="s">
        <v>13</v>
      </c>
      <c r="Z758" s="63">
        <f t="shared" si="90"/>
        <v>1095.0346098370167</v>
      </c>
      <c r="AA758" s="63">
        <f t="shared" si="91"/>
        <v>1040.2828793451656</v>
      </c>
    </row>
    <row r="759" spans="1:27" x14ac:dyDescent="0.25">
      <c r="A759" s="103" t="s">
        <v>389</v>
      </c>
      <c r="B759" s="20" t="s">
        <v>390</v>
      </c>
      <c r="C759" s="21" t="s">
        <v>79</v>
      </c>
      <c r="D759" s="105" t="s">
        <v>378</v>
      </c>
      <c r="E759" s="15">
        <v>165</v>
      </c>
      <c r="F759" s="15">
        <v>4135</v>
      </c>
      <c r="G759" s="21" t="s">
        <v>142</v>
      </c>
      <c r="H759" s="21">
        <v>0.69</v>
      </c>
      <c r="I759" s="48">
        <f>MAX('Min rate concentrations'!$H$3:$H$368)</f>
        <v>47</v>
      </c>
      <c r="J759" s="48">
        <f>MAX('Min rate concentrations'!AA:AA)</f>
        <v>32.5</v>
      </c>
      <c r="K759" s="59">
        <f t="shared" si="94"/>
        <v>0.29767308936258868</v>
      </c>
      <c r="L759" s="59">
        <f t="shared" si="95"/>
        <v>0.20583777455923688</v>
      </c>
      <c r="M759" s="59">
        <f>IF((((0.065*F759^0.726)/3.7-(0.301*F759^0.751)/(1-H759)*H759)*(MAX('Min rate concentrations'!$P$3:$P$368)))/F759&gt;0, (((0.065*F759^0.726)/3.7-(0.301*F759^0.751)/(1-H759)*H759)*(MAX('Min rate concentrations'!$P$3:$P$368)))/F759, 0)</f>
        <v>0</v>
      </c>
      <c r="N759" s="59">
        <f>IF((((0.065*F759^0.726)/3.7-(0.301*F759^0.751)/(1-H759)*H759)*(MAX('Min rate concentrations'!$Q$3:$Q$368)))/F759&gt;0, (((0.065*F759^0.726)/3.7-(0.301*F759^0.751)/(1-H759)*H759)*(MAX('Min rate concentrations'!$Q$3:$Q$368)))/F759, 0)</f>
        <v>0</v>
      </c>
      <c r="O759" s="59" t="s">
        <v>13</v>
      </c>
      <c r="P759" s="59" t="s">
        <v>13</v>
      </c>
      <c r="Q759" s="59">
        <f>(inputs!$C$7*11.2)*(25.05*F759^0.63)*0.5*1/F759</f>
        <v>3.2201034293372794</v>
      </c>
      <c r="R759" s="59">
        <f>(60*76.9*((F759/1000)^0.76)*3*24*(MAX('Min rate concentrations'!$R$3:$R$368))/F759)</f>
        <v>3.0346066931199393E-4</v>
      </c>
      <c r="S759" s="59">
        <f>(IF(inputs!$C$6="aerial",((0.025*0.112*inputs!$C$7/3.3)*(3*60*76.9*((F759/1000)^0.76))*MAX(inputs!$H$14:$H$16))/F759,((0.0083*0.112*inputs!$C$7/1)*(3*60*76.9*((F759/1000)^0.76))*MAX(inputs!$H$14:$H$16))/F759))</f>
        <v>1.2813532427021588E-3</v>
      </c>
      <c r="T759" s="63">
        <f>IF((((inputs!$P$12/(V759/MAX(K759:S759)))^(1/inputs!$O$12))-1)/inputs!$N$12&lt;0, 0, IF((((inputs!$P$12/(V759/MAX(K759:S759)))^(1/inputs!$O$12))-1)/inputs!$N$12&gt;inputs!$H$17, inputs!$H$17, (((inputs!$P$12/(V759/MAX(K759:S759)))^(1/inputs!$O$12))-1)/inputs!$N$12))</f>
        <v>8.9088188112791418</v>
      </c>
      <c r="U759" s="63">
        <f>IF((((inputs!$P$12/(X759/MAX(K759:S759)))^(1/inputs!$O$12))-1)/inputs!$N$12&lt;0, 0, IF((((inputs!$P$12/(X759/MAX(K759:S759)))^(1/inputs!$O$12))-1)/inputs!$N$12&gt;inputs!$H$17, inputs!$H$17, (((inputs!$P$12/(X759/MAX(K759:S759)))^(1/inputs!$O$12))-1)/inputs!$N$12))</f>
        <v>0</v>
      </c>
      <c r="V759" s="21">
        <f>inputs!$E$87*(F759/inputs!$F$87)^(1)</f>
        <v>0.78564999999999996</v>
      </c>
      <c r="W759" s="21">
        <f>inputs!$E$90*(F759/inputs!$F$90)^(1)</f>
        <v>0.82700000000000007</v>
      </c>
      <c r="X759" s="21">
        <f>inputs!$E$89*(F759/inputs!$F$89)^(1)</f>
        <v>3.0881645569620253</v>
      </c>
      <c r="Y759" s="21" t="s">
        <v>13</v>
      </c>
      <c r="Z759" s="63">
        <f t="shared" si="90"/>
        <v>4.0986487995128611</v>
      </c>
      <c r="AA759" s="63">
        <f t="shared" si="91"/>
        <v>3.8937163595372177</v>
      </c>
    </row>
    <row r="760" spans="1:27" x14ac:dyDescent="0.25">
      <c r="A760" s="103" t="s">
        <v>389</v>
      </c>
      <c r="B760" s="20" t="s">
        <v>390</v>
      </c>
      <c r="C760" s="21" t="s">
        <v>79</v>
      </c>
      <c r="D760" s="105" t="s">
        <v>378</v>
      </c>
      <c r="E760" s="15">
        <v>165</v>
      </c>
      <c r="F760" s="15">
        <v>4135</v>
      </c>
      <c r="G760" s="21" t="s">
        <v>152</v>
      </c>
      <c r="H760" s="20">
        <v>0.77</v>
      </c>
      <c r="I760" s="48">
        <f>MAX('Min rate concentrations'!$G$3:$G$368)</f>
        <v>7.5</v>
      </c>
      <c r="J760" s="48">
        <f>MAX('Min rate concentrations'!Z:Z)</f>
        <v>3.5</v>
      </c>
      <c r="K760" s="59">
        <f t="shared" si="94"/>
        <v>6.4023120515080384E-2</v>
      </c>
      <c r="L760" s="59">
        <f t="shared" si="95"/>
        <v>2.9877456240370848E-2</v>
      </c>
      <c r="M760" s="59">
        <f>IF((((0.065*F760^0.726)/3.7-(0.301*F760^0.751)/(1-H760)*H760)*(MAX('Min rate concentrations'!$P$3:$P$368)))/F760&gt;0, (((0.065*F760^0.726)/3.7-(0.301*F760^0.751)/(1-H760)*H760)*(MAX('Min rate concentrations'!$P$3:$P$368)))/F760, 0)</f>
        <v>0</v>
      </c>
      <c r="N760" s="59">
        <f>IF((((0.065*F760^0.726)/3.7-(0.301*F760^0.751)/(1-H760)*H760)*(MAX('Min rate concentrations'!$Q$3:$Q$368)))/F760&gt;0, (((0.065*F760^0.726)/3.7-(0.301*F760^0.751)/(1-H760)*H760)*(MAX('Min rate concentrations'!$Q$3:$Q$368)))/F760, 0)</f>
        <v>0</v>
      </c>
      <c r="O760" s="59" t="s">
        <v>13</v>
      </c>
      <c r="P760" s="59" t="s">
        <v>13</v>
      </c>
      <c r="Q760" s="59">
        <f>(inputs!$C$7*11.2)*(25.05*F760^0.63)*0.5*1/F760</f>
        <v>3.2201034293372794</v>
      </c>
      <c r="R760" s="59">
        <f>(60*76.9*((F760/1000)^0.76)*3*24*(MAX('Min rate concentrations'!$R$3:$R$368))/F760)</f>
        <v>3.0346066931199393E-4</v>
      </c>
      <c r="S760" s="59">
        <f>(IF(inputs!$C$6="aerial",((0.025*0.112*inputs!$C$7/3.3)*(3*60*76.9*((F760/1000)^0.76))*MAX(inputs!$H$14:$H$16))/F760,((0.0083*0.112*inputs!$C$7/1)*(3*60*76.9*((F760/1000)^0.76))*MAX(inputs!$H$14:$H$16))/F760))</f>
        <v>1.2813532427021588E-3</v>
      </c>
      <c r="T760" s="63">
        <f>IF((((inputs!$P$12/(V760/MAX(K760:S760)))^(1/inputs!$O$12))-1)/inputs!$N$12&lt;0, 0, IF((((inputs!$P$12/(V760/MAX(K760:S760)))^(1/inputs!$O$12))-1)/inputs!$N$12&gt;inputs!$H$17, inputs!$H$17, (((inputs!$P$12/(V760/MAX(K760:S760)))^(1/inputs!$O$12))-1)/inputs!$N$12))</f>
        <v>8.9088188112791418</v>
      </c>
      <c r="U760" s="63">
        <f>IF((((inputs!$P$12/(X760/MAX(K760:S760)))^(1/inputs!$O$12))-1)/inputs!$N$12&lt;0, 0, IF((((inputs!$P$12/(X760/MAX(K760:S760)))^(1/inputs!$O$12))-1)/inputs!$N$12&gt;inputs!$H$17, inputs!$H$17, (((inputs!$P$12/(X760/MAX(K760:S760)))^(1/inputs!$O$12))-1)/inputs!$N$12))</f>
        <v>0</v>
      </c>
      <c r="V760" s="21">
        <f>inputs!$E$87*(F760/inputs!$F$87)^(1)</f>
        <v>0.78564999999999996</v>
      </c>
      <c r="W760" s="21">
        <f>inputs!$E$90*(F760/inputs!$F$90)^(1)</f>
        <v>0.82700000000000007</v>
      </c>
      <c r="X760" s="21">
        <f>inputs!$E$89*(F760/inputs!$F$89)^(1)</f>
        <v>3.0881645569620253</v>
      </c>
      <c r="Y760" s="21" t="s">
        <v>13</v>
      </c>
      <c r="Z760" s="63">
        <f t="shared" si="90"/>
        <v>4.0986487995128611</v>
      </c>
      <c r="AA760" s="63">
        <f t="shared" si="91"/>
        <v>3.8937163595372177</v>
      </c>
    </row>
    <row r="761" spans="1:27" x14ac:dyDescent="0.25">
      <c r="A761" s="103" t="s">
        <v>389</v>
      </c>
      <c r="B761" s="20" t="s">
        <v>390</v>
      </c>
      <c r="C761" s="21" t="s">
        <v>79</v>
      </c>
      <c r="D761" s="105" t="s">
        <v>378</v>
      </c>
      <c r="E761" s="15">
        <v>165</v>
      </c>
      <c r="F761" s="15">
        <v>4135</v>
      </c>
      <c r="G761" s="21" t="s">
        <v>177</v>
      </c>
      <c r="H761" s="20">
        <v>0.85</v>
      </c>
      <c r="I761" s="48">
        <f>MAX('Min rate concentrations'!$F$3:$F$368)</f>
        <v>67.5</v>
      </c>
      <c r="J761" s="48">
        <f>MAX('Min rate concentrations'!Y:Y)</f>
        <v>22.5</v>
      </c>
      <c r="K761" s="59">
        <f t="shared" si="94"/>
        <v>0.88351906310810902</v>
      </c>
      <c r="L761" s="59">
        <f t="shared" si="95"/>
        <v>0.29450635436936973</v>
      </c>
      <c r="M761" s="59">
        <f>IF((((0.065*F761^0.726)/3.7-(0.301*F761^0.751)/(1-H761)*H761)*(MAX('Min rate concentrations'!$P$3:$P$368)))/F761&gt;0, (((0.065*F761^0.726)/3.7-(0.301*F761^0.751)/(1-H761)*H761)*(MAX('Min rate concentrations'!$P$3:$P$368)))/F761, 0)</f>
        <v>0</v>
      </c>
      <c r="N761" s="59">
        <f>IF((((0.065*F761^0.726)/3.7-(0.301*F761^0.751)/(1-H761)*H761)*(MAX('Min rate concentrations'!$Q$3:$Q$368)))/F761&gt;0, (((0.065*F761^0.726)/3.7-(0.301*F761^0.751)/(1-H761)*H761)*(MAX('Min rate concentrations'!$Q$3:$Q$368)))/F761, 0)</f>
        <v>0</v>
      </c>
      <c r="O761" s="59" t="s">
        <v>13</v>
      </c>
      <c r="P761" s="59" t="s">
        <v>13</v>
      </c>
      <c r="Q761" s="59">
        <f>(inputs!$C$7*11.2)*(25.05*F761^0.63)*0.5*1/F761</f>
        <v>3.2201034293372794</v>
      </c>
      <c r="R761" s="59">
        <f>(60*76.9*((F761/1000)^0.76)*3*24*(MAX('Min rate concentrations'!$R$3:$R$368))/F761)</f>
        <v>3.0346066931199393E-4</v>
      </c>
      <c r="S761" s="59">
        <f>(IF(inputs!$C$6="aerial",((0.025*0.112*inputs!$C$7/3.3)*(3*60*76.9*((F761/1000)^0.76))*MAX(inputs!$H$14:$H$16))/F761,((0.0083*0.112*inputs!$C$7/1)*(3*60*76.9*((F761/1000)^0.76))*MAX(inputs!$H$14:$H$16))/F761))</f>
        <v>1.2813532427021588E-3</v>
      </c>
      <c r="T761" s="63">
        <f>IF((((inputs!$P$12/(V761/MAX(K761:S761)))^(1/inputs!$O$12))-1)/inputs!$N$12&lt;0, 0, IF((((inputs!$P$12/(V761/MAX(K761:S761)))^(1/inputs!$O$12))-1)/inputs!$N$12&gt;inputs!$H$17, inputs!$H$17, (((inputs!$P$12/(V761/MAX(K761:S761)))^(1/inputs!$O$12))-1)/inputs!$N$12))</f>
        <v>8.9088188112791418</v>
      </c>
      <c r="U761" s="63">
        <f>IF((((inputs!$P$12/(X761/MAX(K761:S761)))^(1/inputs!$O$12))-1)/inputs!$N$12&lt;0, 0, IF((((inputs!$P$12/(X761/MAX(K761:S761)))^(1/inputs!$O$12))-1)/inputs!$N$12&gt;inputs!$H$17, inputs!$H$17, (((inputs!$P$12/(X761/MAX(K761:S761)))^(1/inputs!$O$12))-1)/inputs!$N$12))</f>
        <v>0</v>
      </c>
      <c r="V761" s="21">
        <f>inputs!$E$87*(F761/inputs!$F$87)^(1)</f>
        <v>0.78564999999999996</v>
      </c>
      <c r="W761" s="21">
        <f>inputs!$E$90*(F761/inputs!$F$90)^(1)</f>
        <v>0.82700000000000007</v>
      </c>
      <c r="X761" s="21">
        <f>inputs!$E$89*(F761/inputs!$F$89)^(1)</f>
        <v>3.0881645569620253</v>
      </c>
      <c r="Y761" s="21" t="s">
        <v>13</v>
      </c>
      <c r="Z761" s="63">
        <f t="shared" si="90"/>
        <v>4.0986487995128611</v>
      </c>
      <c r="AA761" s="63">
        <f t="shared" si="91"/>
        <v>3.8937163595372177</v>
      </c>
    </row>
    <row r="762" spans="1:27" x14ac:dyDescent="0.25">
      <c r="A762" s="120" t="s">
        <v>428</v>
      </c>
      <c r="B762" s="20" t="s">
        <v>429</v>
      </c>
      <c r="C762" s="21" t="s">
        <v>79</v>
      </c>
      <c r="D762" s="105" t="s">
        <v>378</v>
      </c>
      <c r="E762" s="15">
        <v>177</v>
      </c>
      <c r="F762" s="15">
        <v>0.15</v>
      </c>
      <c r="G762" s="21" t="s">
        <v>142</v>
      </c>
      <c r="H762" s="21">
        <v>0.69</v>
      </c>
      <c r="I762" s="48">
        <f>MAX('Min rate concentrations'!$H$3:$H$368)</f>
        <v>47</v>
      </c>
      <c r="J762" s="48">
        <f>MAX('Min rate concentrations'!AA:AA)</f>
        <v>32.5</v>
      </c>
      <c r="K762" s="59">
        <f t="shared" si="94"/>
        <v>3.0318436452511275</v>
      </c>
      <c r="L762" s="59">
        <f t="shared" si="95"/>
        <v>2.0964876270353541</v>
      </c>
      <c r="M762" s="59">
        <f>IF((((0.065*F762^0.726)/3.7-(0.301*F762^0.751)/(1-H762)*H762)*(MAX('Min rate concentrations'!$P$3:$P$368)))/F762&gt;0, (((0.065*F762^0.726)/3.7-(0.301*F762^0.751)/(1-H762)*H762)*(MAX('Min rate concentrations'!$P$3:$P$368)))/F762, 0)</f>
        <v>0</v>
      </c>
      <c r="N762" s="59">
        <f>IF((((0.065*F762^0.726)/3.7-(0.301*F762^0.751)/(1-H762)*H762)*(MAX('Min rate concentrations'!$Q$3:$Q$368)))/F762&gt;0, (((0.065*F762^0.726)/3.7-(0.301*F762^0.751)/(1-H762)*H762)*(MAX('Min rate concentrations'!$Q$3:$Q$368)))/F762, 0)</f>
        <v>0</v>
      </c>
      <c r="O762" s="59" t="s">
        <v>13</v>
      </c>
      <c r="P762" s="59" t="s">
        <v>13</v>
      </c>
      <c r="Q762" s="59">
        <f>(inputs!$C$7*11.2)*(25.05*F762^0.63)*0.5*1/F762</f>
        <v>141.51810212597272</v>
      </c>
      <c r="R762" s="59">
        <f>(60*76.9*((F762/1000)^0.76)*3*24*(MAX('Min rate concentrations'!$R$3:$R$368))/F762)</f>
        <v>3.5301619739953622E-3</v>
      </c>
      <c r="S762" s="59">
        <f>(IF(inputs!$C$6="aerial",((0.025*0.112*inputs!$C$7/3.3)*(3*60*76.9*((F762/1000)^0.76))*MAX(inputs!$H$14:$H$16))/F762,((0.0083*0.112*inputs!$C$7/1)*(3*60*76.9*((F762/1000)^0.76))*MAX(inputs!$H$14:$H$16))/F762))</f>
        <v>1.490599919554066E-2</v>
      </c>
      <c r="T762" s="63">
        <f>IF((((inputs!$P$12/(V762/MAX(K762:S762)))^(1/inputs!$O$12))-1)/inputs!$N$12&lt;0, 0, IF((((inputs!$P$12/(V762/MAX(K762:S762)))^(1/inputs!$O$12))-1)/inputs!$N$12&gt;inputs!$H$17, inputs!$H$17, (((inputs!$P$12/(V762/MAX(K762:S762)))^(1/inputs!$O$12))-1)/inputs!$N$12))</f>
        <v>1000</v>
      </c>
      <c r="U762" s="63">
        <f>IF((((inputs!$P$12/(X762/MAX(K762:S762)))^(1/inputs!$O$12))-1)/inputs!$N$12&lt;0, 0, IF((((inputs!$P$12/(X762/MAX(K762:S762)))^(1/inputs!$O$12))-1)/inputs!$N$12&gt;inputs!$H$17, inputs!$H$17, (((inputs!$P$12/(X762/MAX(K762:S762)))^(1/inputs!$O$12))-1)/inputs!$N$12))</f>
        <v>1000</v>
      </c>
      <c r="V762" s="21">
        <f>inputs!$E$87*(F762/inputs!$F$87)^(1)</f>
        <v>2.8500000000000002E-5</v>
      </c>
      <c r="W762" s="21">
        <f>inputs!$E$90*(F762/inputs!$F$90)^(1)</f>
        <v>3.0000000000000001E-5</v>
      </c>
      <c r="X762" s="21">
        <f>inputs!$E$89*(F762/inputs!$F$89)^(1)</f>
        <v>1.120253164556962E-4</v>
      </c>
      <c r="Y762" s="21" t="s">
        <v>13</v>
      </c>
      <c r="Z762" s="63">
        <f t="shared" si="90"/>
        <v>4965547.4430165859</v>
      </c>
      <c r="AA762" s="63">
        <f t="shared" si="91"/>
        <v>4717270.0708657568</v>
      </c>
    </row>
    <row r="763" spans="1:27" x14ac:dyDescent="0.25">
      <c r="A763" s="119" t="s">
        <v>642</v>
      </c>
      <c r="B763" s="20" t="s">
        <v>641</v>
      </c>
      <c r="C763" s="21" t="s">
        <v>79</v>
      </c>
      <c r="D763" s="105" t="s">
        <v>378</v>
      </c>
      <c r="E763" s="15">
        <v>3271</v>
      </c>
      <c r="F763" s="15">
        <v>150</v>
      </c>
      <c r="G763" s="21" t="s">
        <v>182</v>
      </c>
      <c r="H763" s="20">
        <v>0.85</v>
      </c>
      <c r="I763" s="48">
        <f>MAX('Min rate concentrations'!$M$3:$M$368)</f>
        <v>2.8488184789681945</v>
      </c>
      <c r="J763" s="48">
        <f>MAX('Min rate concentrations'!AE:AE)</f>
        <v>1.9699276716269429</v>
      </c>
      <c r="K763" s="59">
        <f t="shared" si="94"/>
        <v>7.9166994046927133E-2</v>
      </c>
      <c r="L763" s="59">
        <f t="shared" si="95"/>
        <v>5.4743134181385787E-2</v>
      </c>
      <c r="M763" s="59">
        <f>IF((((0.065*F763^0.726)/3.7-(0.301*F763^0.751)/(1-H763)*H763)*(MAX('Min rate concentrations'!$P$3:$P$368)))/F763&gt;0, (((0.065*F763^0.726)/3.7-(0.301*F763^0.751)/(1-H763)*H763)*(MAX('Min rate concentrations'!$P$3:$P$368)))/F763, 0)</f>
        <v>0</v>
      </c>
      <c r="N763" s="59">
        <f>IF((((0.065*F763^0.726)/3.7-(0.301*F763^0.751)/(1-H763)*H763)*(MAX('Min rate concentrations'!$Q$3:$Q$368)))/F763&gt;0, (((0.065*F763^0.726)/3.7-(0.301*F763^0.751)/(1-H763)*H763)*(MAX('Min rate concentrations'!$Q$3:$Q$368)))/F763, 0)</f>
        <v>0</v>
      </c>
      <c r="O763" s="59" t="s">
        <v>13</v>
      </c>
      <c r="P763" s="59" t="s">
        <v>13</v>
      </c>
      <c r="Q763" s="59">
        <f>(inputs!$C$7*11.2)*(25.05*F763^0.63)*0.5*1/F763</f>
        <v>10.985301872605104</v>
      </c>
      <c r="R763" s="59">
        <f>(60*76.9*((F763/1000)^0.76)*3*24*(MAX('Min rate concentrations'!$R$3:$R$368))/F763)</f>
        <v>6.7265849694957559E-4</v>
      </c>
      <c r="S763" s="59">
        <f>(IF(inputs!$C$6="aerial",((0.025*0.112*inputs!$C$7/3.3)*(3*60*76.9*((F763/1000)^0.76))*MAX(inputs!$H$14:$H$16))/F763,((0.0083*0.112*inputs!$C$7/1)*(3*60*76.9*((F763/1000)^0.76))*MAX(inputs!$H$14:$H$16))/F763))</f>
        <v>2.8402795929094492E-3</v>
      </c>
      <c r="T763" s="63">
        <f>IF((((inputs!$P$12/(V763/MAX(K763:S763)))^(1/inputs!$O$12))-1)/inputs!$N$12&lt;0, 0, IF((((inputs!$P$12/(V763/MAX(K763:S763)))^(1/inputs!$O$12))-1)/inputs!$N$12&gt;inputs!$H$17, inputs!$H$17, (((inputs!$P$12/(V763/MAX(K763:S763)))^(1/inputs!$O$12))-1)/inputs!$N$12))</f>
        <v>208.90969485688782</v>
      </c>
      <c r="U763" s="63">
        <f>IF((((inputs!$P$12/(X763/MAX(K763:S763)))^(1/inputs!$O$12))-1)/inputs!$N$12&lt;0, 0, IF((((inputs!$P$12/(X763/MAX(K763:S763)))^(1/inputs!$O$12))-1)/inputs!$N$12&gt;inputs!$H$17, inputs!$H$17, (((inputs!$P$12/(X763/MAX(K763:S763)))^(1/inputs!$O$12))-1)/inputs!$N$12))</f>
        <v>107.55654095741104</v>
      </c>
      <c r="V763" s="21">
        <f>inputs!$E$87*(F763/inputs!$F$87)^(1)</f>
        <v>2.8499999999999998E-2</v>
      </c>
      <c r="W763" s="21">
        <f>inputs!$E$90*(F763/inputs!$F$90)^(1)</f>
        <v>3.0000000000000002E-2</v>
      </c>
      <c r="X763" s="21">
        <f>inputs!$E$89*(F763/inputs!$F$89)^(1)</f>
        <v>0.1120253164556962</v>
      </c>
      <c r="Y763" s="21" t="s">
        <v>13</v>
      </c>
      <c r="Z763" s="63">
        <f t="shared" si="90"/>
        <v>385.44918851245984</v>
      </c>
      <c r="AA763" s="63">
        <f t="shared" si="91"/>
        <v>366.17672908683676</v>
      </c>
    </row>
    <row r="764" spans="1:27" ht="26.4" x14ac:dyDescent="0.25">
      <c r="A764" s="119" t="s">
        <v>642</v>
      </c>
      <c r="B764" s="20" t="s">
        <v>641</v>
      </c>
      <c r="C764" s="21" t="s">
        <v>79</v>
      </c>
      <c r="D764" s="105" t="s">
        <v>378</v>
      </c>
      <c r="E764" s="15">
        <v>3271</v>
      </c>
      <c r="F764" s="15">
        <v>150</v>
      </c>
      <c r="G764" s="21" t="s">
        <v>634</v>
      </c>
      <c r="H764" s="21">
        <v>0.75</v>
      </c>
      <c r="I764" s="48">
        <f>inputs!$C$65*inputs!$C$64/1000</f>
        <v>2.13</v>
      </c>
      <c r="J764" s="48">
        <f>inputs!$C$65*inputs!$C$63/1000</f>
        <v>0.88</v>
      </c>
      <c r="K764" s="59">
        <f t="shared" si="94"/>
        <v>3.5514870160705127E-2</v>
      </c>
      <c r="L764" s="59">
        <f t="shared" si="95"/>
        <v>1.4672810207239676E-2</v>
      </c>
      <c r="M764" s="59">
        <f>IF((((0.065*F764^0.726)/3.7-(0.301*F764^0.751)/(1-H764)*H764)*(MAX('Min rate concentrations'!$P$3:$P$368)))/F764&gt;0, (((0.065*F764^0.726)/3.7-(0.301*F764^0.751)/(1-H764)*H764)*(MAX('Min rate concentrations'!$P$3:$P$368)))/F764, 0)</f>
        <v>0</v>
      </c>
      <c r="N764" s="59">
        <f>IF((((0.065*F764^0.726)/3.7-(0.301*F764^0.751)/(1-H764)*H764)*(MAX('Min rate concentrations'!$Q$3:$Q$368)))/F764&gt;0, (((0.065*F764^0.726)/3.7-(0.301*F764^0.751)/(1-H764)*H764)*(MAX('Min rate concentrations'!$Q$3:$Q$368)))/F764, 0)</f>
        <v>0</v>
      </c>
      <c r="O764" s="59" t="s">
        <v>13</v>
      </c>
      <c r="P764" s="59" t="s">
        <v>13</v>
      </c>
      <c r="Q764" s="59">
        <f>(inputs!$C$7*11.2)*(25.05*F764^0.63)*0.5*1/F764</f>
        <v>10.985301872605104</v>
      </c>
      <c r="R764" s="59">
        <f>(60*76.9*((F764/1000)^0.76)*3*24*(MAX('Min rate concentrations'!$R$3:$R$368))/F764)</f>
        <v>6.7265849694957559E-4</v>
      </c>
      <c r="S764" s="59">
        <f>(IF(inputs!$C$6="aerial",((0.025*0.112*inputs!$C$7/3.3)*(3*60*76.9*((F764/1000)^0.76))*MAX(inputs!$H$14:$H$16))/F764,((0.0083*0.112*inputs!$C$7/1)*(3*60*76.9*((F764/1000)^0.76))*MAX(inputs!$H$14:$H$16))/F764))</f>
        <v>2.8402795929094492E-3</v>
      </c>
      <c r="T764" s="63">
        <f>IF((((inputs!$P$12/(V764/MAX(K764:S764)))^(1/inputs!$O$12))-1)/inputs!$N$12&lt;0, 0, IF((((inputs!$P$12/(V764/MAX(K764:S764)))^(1/inputs!$O$12))-1)/inputs!$N$12&gt;inputs!$H$17, inputs!$H$17, (((inputs!$P$12/(V764/MAX(K764:S764)))^(1/inputs!$O$12))-1)/inputs!$N$12))</f>
        <v>208.90969485688782</v>
      </c>
      <c r="U764" s="63">
        <f>IF((((inputs!$P$12/(X764/MAX(K764:S764)))^(1/inputs!$O$12))-1)/inputs!$N$12&lt;0, 0, IF((((inputs!$P$12/(X764/MAX(K764:S764)))^(1/inputs!$O$12))-1)/inputs!$N$12&gt;inputs!$H$17, inputs!$H$17, (((inputs!$P$12/(X764/MAX(K764:S764)))^(1/inputs!$O$12))-1)/inputs!$N$12))</f>
        <v>107.55654095741104</v>
      </c>
      <c r="V764" s="21">
        <f>inputs!$E$87*(F764/inputs!$F$87)^(1)</f>
        <v>2.8499999999999998E-2</v>
      </c>
      <c r="W764" s="21">
        <f>inputs!$E$90*(F764/inputs!$F$90)^(1)</f>
        <v>3.0000000000000002E-2</v>
      </c>
      <c r="X764" s="21">
        <f>inputs!$E$89*(F764/inputs!$F$89)^(1)</f>
        <v>0.1120253164556962</v>
      </c>
      <c r="Y764" s="21" t="s">
        <v>13</v>
      </c>
      <c r="Z764" s="63">
        <f t="shared" si="90"/>
        <v>385.44918851245984</v>
      </c>
      <c r="AA764" s="63">
        <f t="shared" si="91"/>
        <v>366.17672908683676</v>
      </c>
    </row>
    <row r="765" spans="1:27" x14ac:dyDescent="0.25">
      <c r="A765" s="103" t="s">
        <v>387</v>
      </c>
      <c r="B765" s="20" t="s">
        <v>388</v>
      </c>
      <c r="C765" s="21" t="s">
        <v>79</v>
      </c>
      <c r="D765" s="105" t="s">
        <v>378</v>
      </c>
      <c r="E765" s="15">
        <v>166</v>
      </c>
      <c r="F765" s="15">
        <v>85</v>
      </c>
      <c r="G765" s="21" t="s">
        <v>142</v>
      </c>
      <c r="H765" s="21">
        <v>0.69</v>
      </c>
      <c r="I765" s="48">
        <f>MAX('Min rate concentrations'!$H$3:$H$368)</f>
        <v>47</v>
      </c>
      <c r="J765" s="48">
        <f>MAX('Min rate concentrations'!AA:AA)</f>
        <v>32.5</v>
      </c>
      <c r="K765" s="59">
        <f t="shared" si="94"/>
        <v>0.71895452305628305</v>
      </c>
      <c r="L765" s="59">
        <f t="shared" si="95"/>
        <v>0.49714940424104681</v>
      </c>
      <c r="M765" s="59">
        <f>IF((((0.065*F765^0.726)/3.7-(0.301*F765^0.751)/(1-H765)*H765)*(MAX('Min rate concentrations'!$P$3:$P$368)))/F765&gt;0, (((0.065*F765^0.726)/3.7-(0.301*F765^0.751)/(1-H765)*H765)*(MAX('Min rate concentrations'!$P$3:$P$368)))/F765, 0)</f>
        <v>0</v>
      </c>
      <c r="N765" s="59">
        <f>IF((((0.065*F765^0.726)/3.7-(0.301*F765^0.751)/(1-H765)*H765)*(MAX('Min rate concentrations'!$Q$3:$Q$368)))/F765&gt;0, (((0.065*F765^0.726)/3.7-(0.301*F765^0.751)/(1-H765)*H765)*(MAX('Min rate concentrations'!$Q$3:$Q$368)))/F765, 0)</f>
        <v>0</v>
      </c>
      <c r="O765" s="59" t="s">
        <v>13</v>
      </c>
      <c r="P765" s="59" t="s">
        <v>13</v>
      </c>
      <c r="Q765" s="59">
        <f>(inputs!$C$7*11.2)*(25.05*F765^0.63)*0.5*1/F765</f>
        <v>13.554414394087216</v>
      </c>
      <c r="R765" s="59">
        <f>(60*76.9*((F765/1000)^0.76)*3*24*(MAX('Min rate concentrations'!$R$3:$R$368))/F765)</f>
        <v>7.7089635555086314E-4</v>
      </c>
      <c r="S765" s="59">
        <f>(IF(inputs!$C$6="aerial",((0.025*0.112*inputs!$C$7/3.3)*(3*60*76.9*((F765/1000)^0.76))*MAX(inputs!$H$14:$H$16))/F765,((0.0083*0.112*inputs!$C$7/1)*(3*60*76.9*((F765/1000)^0.76))*MAX(inputs!$H$14:$H$16))/F765))</f>
        <v>3.2550858970023808E-3</v>
      </c>
      <c r="T765" s="63">
        <f>IF((((inputs!$P$12/(V765/MAX(K765:S765)))^(1/inputs!$O$12))-1)/inputs!$N$12&lt;0, 0, IF((((inputs!$P$12/(V765/MAX(K765:S765)))^(1/inputs!$O$12))-1)/inputs!$N$12&gt;inputs!$H$17, inputs!$H$17, (((inputs!$P$12/(V765/MAX(K765:S765)))^(1/inputs!$O$12))-1)/inputs!$N$12))</f>
        <v>297.29630585780421</v>
      </c>
      <c r="U765" s="63">
        <f>IF((((inputs!$P$12/(X765/MAX(K765:S765)))^(1/inputs!$O$12))-1)/inputs!$N$12&lt;0, 0, IF((((inputs!$P$12/(X765/MAX(K765:S765)))^(1/inputs!$O$12))-1)/inputs!$N$12&gt;inputs!$H$17, inputs!$H$17, (((inputs!$P$12/(X765/MAX(K765:S765)))^(1/inputs!$O$12))-1)/inputs!$N$12))</f>
        <v>158.20822261159776</v>
      </c>
      <c r="V765" s="21">
        <f>inputs!$E$87*(F765/inputs!$F$87)^(1)</f>
        <v>1.6149999999999998E-2</v>
      </c>
      <c r="W765" s="21">
        <f>inputs!$E$90*(F765/inputs!$F$90)^(1)</f>
        <v>1.7000000000000001E-2</v>
      </c>
      <c r="X765" s="21">
        <f>inputs!$E$89*(F765/inputs!$F$89)^(1)</f>
        <v>6.3481012658227851E-2</v>
      </c>
      <c r="Y765" s="21" t="s">
        <v>13</v>
      </c>
      <c r="Z765" s="63">
        <f t="shared" si="90"/>
        <v>839.28262502088035</v>
      </c>
      <c r="AA765" s="63">
        <f t="shared" si="91"/>
        <v>797.31849376983621</v>
      </c>
    </row>
    <row r="766" spans="1:27" x14ac:dyDescent="0.25">
      <c r="A766" s="103" t="s">
        <v>387</v>
      </c>
      <c r="B766" s="20" t="s">
        <v>388</v>
      </c>
      <c r="C766" s="21" t="s">
        <v>79</v>
      </c>
      <c r="D766" s="105" t="s">
        <v>378</v>
      </c>
      <c r="E766" s="15">
        <v>166</v>
      </c>
      <c r="F766" s="15">
        <v>85</v>
      </c>
      <c r="G766" s="21" t="s">
        <v>138</v>
      </c>
      <c r="H766" s="20">
        <v>0.68</v>
      </c>
      <c r="I766" s="48">
        <f>MAX('Min rate concentrations'!$L$3:$L$368)</f>
        <v>58.421240152220811</v>
      </c>
      <c r="J766" s="48">
        <f>MAX('Min rate concentrations'!AD:AD)</f>
        <v>40.397666062705881</v>
      </c>
      <c r="K766" s="59">
        <f t="shared" si="94"/>
        <v>0.86573714119008749</v>
      </c>
      <c r="L766" s="59">
        <f t="shared" si="95"/>
        <v>0.59864802316335841</v>
      </c>
      <c r="M766" s="59">
        <f>IF((((0.065*F766^0.726)/3.7-(0.301*F766^0.751)/(1-H766)*H766)*(MAX('Min rate concentrations'!$P$3:$P$368)))/F766&gt;0, (((0.065*F766^0.726)/3.7-(0.301*F766^0.751)/(1-H766)*H766)*(MAX('Min rate concentrations'!$P$3:$P$368)))/F766, 0)</f>
        <v>0</v>
      </c>
      <c r="N766" s="59">
        <f>IF((((0.065*F766^0.726)/3.7-(0.301*F766^0.751)/(1-H766)*H766)*(MAX('Min rate concentrations'!$Q$3:$Q$368)))/F766&gt;0, (((0.065*F766^0.726)/3.7-(0.301*F766^0.751)/(1-H766)*H766)*(MAX('Min rate concentrations'!$Q$3:$Q$368)))/F766, 0)</f>
        <v>0</v>
      </c>
      <c r="O766" s="59" t="s">
        <v>13</v>
      </c>
      <c r="P766" s="59" t="s">
        <v>13</v>
      </c>
      <c r="Q766" s="59">
        <f>(inputs!$C$7*11.2)*(25.05*F766^0.63)*0.5*1/F766</f>
        <v>13.554414394087216</v>
      </c>
      <c r="R766" s="59">
        <f>(60*76.9*((F766/1000)^0.76)*3*24*(MAX('Min rate concentrations'!$R$3:$R$368))/F766)</f>
        <v>7.7089635555086314E-4</v>
      </c>
      <c r="S766" s="59">
        <f>(IF(inputs!$C$6="aerial",((0.025*0.112*inputs!$C$7/3.3)*(3*60*76.9*((F766/1000)^0.76))*MAX(inputs!$H$14:$H$16))/F766,((0.0083*0.112*inputs!$C$7/1)*(3*60*76.9*((F766/1000)^0.76))*MAX(inputs!$H$14:$H$16))/F766))</f>
        <v>3.2550858970023808E-3</v>
      </c>
      <c r="T766" s="63">
        <f>IF((((inputs!$P$12/(V766/MAX(K766:S766)))^(1/inputs!$O$12))-1)/inputs!$N$12&lt;0, 0, IF((((inputs!$P$12/(V766/MAX(K766:S766)))^(1/inputs!$O$12))-1)/inputs!$N$12&gt;inputs!$H$17, inputs!$H$17, (((inputs!$P$12/(V766/MAX(K766:S766)))^(1/inputs!$O$12))-1)/inputs!$N$12))</f>
        <v>297.29630585780421</v>
      </c>
      <c r="U766" s="63">
        <f>IF((((inputs!$P$12/(X766/MAX(K766:S766)))^(1/inputs!$O$12))-1)/inputs!$N$12&lt;0, 0, IF((((inputs!$P$12/(X766/MAX(K766:S766)))^(1/inputs!$O$12))-1)/inputs!$N$12&gt;inputs!$H$17, inputs!$H$17, (((inputs!$P$12/(X766/MAX(K766:S766)))^(1/inputs!$O$12))-1)/inputs!$N$12))</f>
        <v>158.20822261159776</v>
      </c>
      <c r="V766" s="21">
        <f>inputs!$E$87*(F766/inputs!$F$87)^(1)</f>
        <v>1.6149999999999998E-2</v>
      </c>
      <c r="W766" s="21">
        <f>inputs!$E$90*(F766/inputs!$F$90)^(1)</f>
        <v>1.7000000000000001E-2</v>
      </c>
      <c r="X766" s="21">
        <f>inputs!$E$89*(F766/inputs!$F$89)^(1)</f>
        <v>6.3481012658227851E-2</v>
      </c>
      <c r="Y766" s="21" t="s">
        <v>13</v>
      </c>
      <c r="Z766" s="63">
        <f t="shared" si="90"/>
        <v>839.28262502088035</v>
      </c>
      <c r="AA766" s="63">
        <f t="shared" si="91"/>
        <v>797.31849376983621</v>
      </c>
    </row>
    <row r="767" spans="1:27" x14ac:dyDescent="0.25">
      <c r="A767" s="103" t="s">
        <v>387</v>
      </c>
      <c r="B767" s="20" t="s">
        <v>388</v>
      </c>
      <c r="C767" s="21" t="s">
        <v>79</v>
      </c>
      <c r="D767" s="105" t="s">
        <v>378</v>
      </c>
      <c r="E767" s="15">
        <v>166</v>
      </c>
      <c r="F767" s="15">
        <v>85</v>
      </c>
      <c r="G767" s="21" t="s">
        <v>456</v>
      </c>
      <c r="H767" s="20">
        <v>0.68</v>
      </c>
      <c r="I767" s="48">
        <f>MAX('Min rate concentrations'!$J$3:$J$368)</f>
        <v>114.4108103430513</v>
      </c>
      <c r="J767" s="48">
        <f>MAX('Min rate concentrations'!AB:AB)</f>
        <v>40.520495329830666</v>
      </c>
      <c r="K767" s="59">
        <f t="shared" si="94"/>
        <v>1.6954396656002733</v>
      </c>
      <c r="L767" s="59">
        <f t="shared" si="95"/>
        <v>0.60046821490009683</v>
      </c>
      <c r="M767" s="59">
        <f>IF((((0.065*F767^0.726)/3.7-(0.301*F767^0.751)/(1-H767)*H767)*(MAX('Min rate concentrations'!$P$3:$P$368)))/F767&gt;0, (((0.065*F767^0.726)/3.7-(0.301*F767^0.751)/(1-H767)*H767)*(MAX('Min rate concentrations'!$P$3:$P$368)))/F767, 0)</f>
        <v>0</v>
      </c>
      <c r="N767" s="59">
        <f>IF((((0.065*F767^0.726)/3.7-(0.301*F767^0.751)/(1-H767)*H767)*(MAX('Min rate concentrations'!$Q$3:$Q$368)))/F767&gt;0, (((0.065*F767^0.726)/3.7-(0.301*F767^0.751)/(1-H767)*H767)*(MAX('Min rate concentrations'!$Q$3:$Q$368)))/F767, 0)</f>
        <v>0</v>
      </c>
      <c r="O767" s="59" t="s">
        <v>13</v>
      </c>
      <c r="P767" s="59" t="s">
        <v>13</v>
      </c>
      <c r="Q767" s="59">
        <f>(inputs!$C$7*11.2)*(25.05*F767^0.63)*0.5*1/F767</f>
        <v>13.554414394087216</v>
      </c>
      <c r="R767" s="59">
        <f>(60*76.9*((F767/1000)^0.76)*3*24*(MAX('Min rate concentrations'!$R$3:$R$368))/F767)</f>
        <v>7.7089635555086314E-4</v>
      </c>
      <c r="S767" s="59">
        <f>(IF(inputs!$C$6="aerial",((0.025*0.112*inputs!$C$7/3.3)*(3*60*76.9*((F767/1000)^0.76))*MAX(inputs!$H$14:$H$16))/F767,((0.0083*0.112*inputs!$C$7/1)*(3*60*76.9*((F767/1000)^0.76))*MAX(inputs!$H$14:$H$16))/F767))</f>
        <v>3.2550858970023808E-3</v>
      </c>
      <c r="T767" s="63">
        <f>IF((((inputs!$P$12/(V767/MAX(K767:S767)))^(1/inputs!$O$12))-1)/inputs!$N$12&lt;0, 0, IF((((inputs!$P$12/(V767/MAX(K767:S767)))^(1/inputs!$O$12))-1)/inputs!$N$12&gt;inputs!$H$17, inputs!$H$17, (((inputs!$P$12/(V767/MAX(K767:S767)))^(1/inputs!$O$12))-1)/inputs!$N$12))</f>
        <v>297.29630585780421</v>
      </c>
      <c r="U767" s="63">
        <f>IF((((inputs!$P$12/(X767/MAX(K767:S767)))^(1/inputs!$O$12))-1)/inputs!$N$12&lt;0, 0, IF((((inputs!$P$12/(X767/MAX(K767:S767)))^(1/inputs!$O$12))-1)/inputs!$N$12&gt;inputs!$H$17, inputs!$H$17, (((inputs!$P$12/(X767/MAX(K767:S767)))^(1/inputs!$O$12))-1)/inputs!$N$12))</f>
        <v>158.20822261159776</v>
      </c>
      <c r="V767" s="21">
        <f>inputs!$E$87*(F767/inputs!$F$87)^(1)</f>
        <v>1.6149999999999998E-2</v>
      </c>
      <c r="W767" s="21">
        <f>inputs!$E$90*(F767/inputs!$F$90)^(1)</f>
        <v>1.7000000000000001E-2</v>
      </c>
      <c r="X767" s="21">
        <f>inputs!$E$89*(F767/inputs!$F$89)^(1)</f>
        <v>6.3481012658227851E-2</v>
      </c>
      <c r="Y767" s="21" t="s">
        <v>13</v>
      </c>
      <c r="Z767" s="63">
        <f t="shared" si="90"/>
        <v>839.28262502088035</v>
      </c>
      <c r="AA767" s="63">
        <f t="shared" si="91"/>
        <v>797.31849376983621</v>
      </c>
    </row>
    <row r="768" spans="1:27" x14ac:dyDescent="0.25">
      <c r="A768" s="103" t="s">
        <v>387</v>
      </c>
      <c r="B768" s="20" t="s">
        <v>388</v>
      </c>
      <c r="C768" s="21" t="s">
        <v>79</v>
      </c>
      <c r="D768" s="105" t="s">
        <v>378</v>
      </c>
      <c r="E768" s="15">
        <v>166</v>
      </c>
      <c r="F768" s="15">
        <v>85</v>
      </c>
      <c r="G768" s="21" t="s">
        <v>145</v>
      </c>
      <c r="H768" s="20">
        <v>0.66</v>
      </c>
      <c r="I768" s="48">
        <f>MAX('Min rate concentrations'!$M$3:$M$368)</f>
        <v>2.8488184789681945</v>
      </c>
      <c r="J768" s="48">
        <f>MAX('Min rate concentrations'!AE:AE)</f>
        <v>1.9699276716269429</v>
      </c>
      <c r="K768" s="59">
        <f t="shared" si="94"/>
        <v>3.9732978007156229E-2</v>
      </c>
      <c r="L768" s="59">
        <f t="shared" si="95"/>
        <v>2.7474931600693132E-2</v>
      </c>
      <c r="M768" s="59">
        <f>IF((((0.065*F768^0.726)/3.7-(0.301*F768^0.751)/(1-H768)*H768)*(MAX('Min rate concentrations'!$P$3:$P$368)))/F768&gt;0, (((0.065*F768^0.726)/3.7-(0.301*F768^0.751)/(1-H768)*H768)*(MAX('Min rate concentrations'!$P$3:$P$368)))/F768, 0)</f>
        <v>0</v>
      </c>
      <c r="N768" s="59">
        <f>IF((((0.065*F768^0.726)/3.7-(0.301*F768^0.751)/(1-H768)*H768)*(MAX('Min rate concentrations'!$Q$3:$Q$368)))/F768&gt;0, (((0.065*F768^0.726)/3.7-(0.301*F768^0.751)/(1-H768)*H768)*(MAX('Min rate concentrations'!$Q$3:$Q$368)))/F768, 0)</f>
        <v>0</v>
      </c>
      <c r="O768" s="59" t="s">
        <v>13</v>
      </c>
      <c r="P768" s="59" t="s">
        <v>13</v>
      </c>
      <c r="Q768" s="59">
        <f>(inputs!$C$7*11.2)*(25.05*F768^0.63)*0.5*1/F768</f>
        <v>13.554414394087216</v>
      </c>
      <c r="R768" s="59">
        <f>(60*76.9*((F768/1000)^0.76)*3*24*(MAX('Min rate concentrations'!$R$3:$R$368))/F768)</f>
        <v>7.7089635555086314E-4</v>
      </c>
      <c r="S768" s="59">
        <f>(IF(inputs!$C$6="aerial",((0.025*0.112*inputs!$C$7/3.3)*(3*60*76.9*((F768/1000)^0.76))*MAX(inputs!$H$14:$H$16))/F768,((0.0083*0.112*inputs!$C$7/1)*(3*60*76.9*((F768/1000)^0.76))*MAX(inputs!$H$14:$H$16))/F768))</f>
        <v>3.2550858970023808E-3</v>
      </c>
      <c r="T768" s="63">
        <f>IF((((inputs!$P$12/(V768/MAX(K768:S768)))^(1/inputs!$O$12))-1)/inputs!$N$12&lt;0, 0, IF((((inputs!$P$12/(V768/MAX(K768:S768)))^(1/inputs!$O$12))-1)/inputs!$N$12&gt;inputs!$H$17, inputs!$H$17, (((inputs!$P$12/(V768/MAX(K768:S768)))^(1/inputs!$O$12))-1)/inputs!$N$12))</f>
        <v>297.29630585780421</v>
      </c>
      <c r="U768" s="63">
        <f>IF((((inputs!$P$12/(X768/MAX(K768:S768)))^(1/inputs!$O$12))-1)/inputs!$N$12&lt;0, 0, IF((((inputs!$P$12/(X768/MAX(K768:S768)))^(1/inputs!$O$12))-1)/inputs!$N$12&gt;inputs!$H$17, inputs!$H$17, (((inputs!$P$12/(X768/MAX(K768:S768)))^(1/inputs!$O$12))-1)/inputs!$N$12))</f>
        <v>158.20822261159776</v>
      </c>
      <c r="V768" s="21">
        <f>inputs!$E$87*(F768/inputs!$F$87)^(1)</f>
        <v>1.6149999999999998E-2</v>
      </c>
      <c r="W768" s="21">
        <f>inputs!$E$90*(F768/inputs!$F$90)^(1)</f>
        <v>1.7000000000000001E-2</v>
      </c>
      <c r="X768" s="21">
        <f>inputs!$E$89*(F768/inputs!$F$89)^(1)</f>
        <v>6.3481012658227851E-2</v>
      </c>
      <c r="Y768" s="21" t="s">
        <v>13</v>
      </c>
      <c r="Z768" s="63">
        <f t="shared" si="90"/>
        <v>839.28262502088035</v>
      </c>
      <c r="AA768" s="63">
        <f t="shared" si="91"/>
        <v>797.31849376983621</v>
      </c>
    </row>
    <row r="769" spans="1:27" x14ac:dyDescent="0.25">
      <c r="A769" s="120" t="s">
        <v>430</v>
      </c>
      <c r="B769" s="20" t="s">
        <v>431</v>
      </c>
      <c r="C769" s="21" t="s">
        <v>79</v>
      </c>
      <c r="D769" s="105" t="s">
        <v>378</v>
      </c>
      <c r="E769" s="15">
        <v>1783</v>
      </c>
      <c r="F769" s="56">
        <v>104</v>
      </c>
      <c r="G769" s="21" t="s">
        <v>182</v>
      </c>
      <c r="H769" s="20">
        <v>0.85</v>
      </c>
      <c r="I769" s="48">
        <f>MAX('Min rate concentrations'!$M$3:$M$368)</f>
        <v>2.8488184789681945</v>
      </c>
      <c r="J769" s="48">
        <f>MAX('Min rate concentrations'!AE:AE)</f>
        <v>1.9699276716269429</v>
      </c>
      <c r="K769" s="59">
        <f t="shared" si="94"/>
        <v>8.6030075289113744E-2</v>
      </c>
      <c r="L769" s="59">
        <f t="shared" si="95"/>
        <v>5.948888184885525E-2</v>
      </c>
      <c r="M769" s="59">
        <f>IF((((0.065*F769^0.726)/3.7-(0.301*F769^0.751)/(1-H769)*H769)*(MAX('Min rate concentrations'!$P$3:$P$368)))/F769&gt;0, (((0.065*F769^0.726)/3.7-(0.301*F769^0.751)/(1-H769)*H769)*(MAX('Min rate concentrations'!$P$3:$P$368)))/F769, 0)</f>
        <v>0</v>
      </c>
      <c r="N769" s="59">
        <f>IF((((0.065*F769^0.726)/3.7-(0.301*F769^0.751)/(1-H769)*H769)*(MAX('Min rate concentrations'!$Q$3:$Q$368)))/F769&gt;0, (((0.065*F769^0.726)/3.7-(0.301*F769^0.751)/(1-H769)*H769)*(MAX('Min rate concentrations'!$Q$3:$Q$368)))/F769, 0)</f>
        <v>0</v>
      </c>
      <c r="O769" s="59" t="s">
        <v>13</v>
      </c>
      <c r="P769" s="59" t="s">
        <v>13</v>
      </c>
      <c r="Q769" s="59">
        <f>(inputs!$C$7*11.2)*(25.05*F769^0.63)*0.5*1/F769</f>
        <v>12.57950134821162</v>
      </c>
      <c r="R769" s="59">
        <f>(60*76.9*((F769/1000)^0.76)*3*24*(MAX('Min rate concentrations'!$R$3:$R$368))/F769)</f>
        <v>7.3446065100886025E-4</v>
      </c>
      <c r="S769" s="59">
        <f>(IF(inputs!$C$6="aerial",((0.025*0.112*inputs!$C$7/3.3)*(3*60*76.9*((F769/1000)^0.76))*MAX(inputs!$H$14:$H$16))/F769,((0.0083*0.112*inputs!$C$7/1)*(3*60*76.9*((F769/1000)^0.76))*MAX(inputs!$H$14:$H$16))/F769))</f>
        <v>3.1012372672248158E-3</v>
      </c>
      <c r="T769" s="63">
        <f>IF((((inputs!$P$12/(V769/MAX(K769:S769)))^(1/inputs!$O$12))-1)/inputs!$N$12&lt;0, 0, IF((((inputs!$P$12/(V769/MAX(K769:S769)))^(1/inputs!$O$12))-1)/inputs!$N$12&gt;inputs!$H$17, inputs!$H$17, (((inputs!$P$12/(V769/MAX(K769:S769)))^(1/inputs!$O$12))-1)/inputs!$N$12))</f>
        <v>262.6565467110151</v>
      </c>
      <c r="U769" s="63">
        <f>IF((((inputs!$P$12/(X769/MAX(K769:S769)))^(1/inputs!$O$12))-1)/inputs!$N$12&lt;0, 0, IF((((inputs!$P$12/(X769/MAX(K769:S769)))^(1/inputs!$O$12))-1)/inputs!$N$12&gt;inputs!$H$17, inputs!$H$17, (((inputs!$P$12/(X769/MAX(K769:S769)))^(1/inputs!$O$12))-1)/inputs!$N$12))</f>
        <v>138.35722897113928</v>
      </c>
      <c r="V769" s="21">
        <f>inputs!$E$87*(F769/inputs!$F$87)^(1)</f>
        <v>1.976E-2</v>
      </c>
      <c r="W769" s="21">
        <f>inputs!$E$90*(F769/inputs!$F$90)^(1)</f>
        <v>2.0800000000000003E-2</v>
      </c>
      <c r="X769" s="21">
        <f>inputs!$E$89*(F769/inputs!$F$89)^(1)</f>
        <v>7.7670886075949366E-2</v>
      </c>
      <c r="Y769" s="21" t="s">
        <v>13</v>
      </c>
      <c r="Z769" s="63">
        <f t="shared" si="90"/>
        <v>636.61444069896868</v>
      </c>
      <c r="AA769" s="63">
        <f t="shared" si="91"/>
        <v>604.78371866402017</v>
      </c>
    </row>
    <row r="770" spans="1:27" x14ac:dyDescent="0.25">
      <c r="A770" s="120" t="s">
        <v>430</v>
      </c>
      <c r="B770" s="20" t="s">
        <v>431</v>
      </c>
      <c r="C770" s="21" t="s">
        <v>79</v>
      </c>
      <c r="D770" s="105" t="s">
        <v>378</v>
      </c>
      <c r="E770" s="15">
        <v>1783</v>
      </c>
      <c r="F770" s="56">
        <v>104</v>
      </c>
      <c r="G770" s="21" t="s">
        <v>164</v>
      </c>
      <c r="H770" s="20">
        <v>0.78</v>
      </c>
      <c r="I770" s="48">
        <f>inputs!$C$65*(inputs!$C$62/1000)</f>
        <v>0.82000000000000006</v>
      </c>
      <c r="J770" s="48">
        <f>inputs!$C$65*(inputs!$C$61/1000)</f>
        <v>0.25</v>
      </c>
      <c r="K770" s="59">
        <f t="shared" si="94"/>
        <v>1.6883712794495312E-2</v>
      </c>
      <c r="L770" s="59">
        <f t="shared" si="95"/>
        <v>5.147473412955887E-3</v>
      </c>
      <c r="M770" s="59">
        <f>IF((((0.065*F770^0.726)/3.7-(0.301*F770^0.751)/(1-H770)*H770)*(MAX('Min rate concentrations'!$P$3:$P$368)))/F770&gt;0, (((0.065*F770^0.726)/3.7-(0.301*F770^0.751)/(1-H770)*H770)*(MAX('Min rate concentrations'!$P$3:$P$368)))/F770, 0)</f>
        <v>0</v>
      </c>
      <c r="N770" s="59">
        <f>IF((((0.065*F770^0.726)/3.7-(0.301*F770^0.751)/(1-H770)*H770)*(MAX('Min rate concentrations'!$Q$3:$Q$368)))/F770&gt;0, (((0.065*F770^0.726)/3.7-(0.301*F770^0.751)/(1-H770)*H770)*(MAX('Min rate concentrations'!$Q$3:$Q$368)))/F770, 0)</f>
        <v>0</v>
      </c>
      <c r="O770" s="59" t="s">
        <v>13</v>
      </c>
      <c r="P770" s="59" t="s">
        <v>13</v>
      </c>
      <c r="Q770" s="59">
        <f>(inputs!$C$7*11.2)*(25.05*F770^0.63)*0.5*1/F770</f>
        <v>12.57950134821162</v>
      </c>
      <c r="R770" s="59">
        <f>(60*76.9*((F770/1000)^0.76)*3*24*(MAX('Min rate concentrations'!$R$3:$R$368))/F770)</f>
        <v>7.3446065100886025E-4</v>
      </c>
      <c r="S770" s="59">
        <f>(IF(inputs!$C$6="aerial",((0.025*0.112*inputs!$C$7/3.3)*(3*60*76.9*((F770/1000)^0.76))*MAX(inputs!$H$14:$H$16))/F770,((0.0083*0.112*inputs!$C$7/1)*(3*60*76.9*((F770/1000)^0.76))*MAX(inputs!$H$14:$H$16))/F770))</f>
        <v>3.1012372672248158E-3</v>
      </c>
      <c r="T770" s="63">
        <f>IF((((inputs!$P$12/(V770/MAX(K770:S770)))^(1/inputs!$O$12))-1)/inputs!$N$12&lt;0, 0, IF((((inputs!$P$12/(V770/MAX(K770:S770)))^(1/inputs!$O$12))-1)/inputs!$N$12&gt;inputs!$H$17, inputs!$H$17, (((inputs!$P$12/(V770/MAX(K770:S770)))^(1/inputs!$O$12))-1)/inputs!$N$12))</f>
        <v>262.6565467110151</v>
      </c>
      <c r="U770" s="63">
        <f>IF((((inputs!$P$12/(X770/MAX(K770:S770)))^(1/inputs!$O$12))-1)/inputs!$N$12&lt;0, 0, IF((((inputs!$P$12/(X770/MAX(K770:S770)))^(1/inputs!$O$12))-1)/inputs!$N$12&gt;inputs!$H$17, inputs!$H$17, (((inputs!$P$12/(X770/MAX(K770:S770)))^(1/inputs!$O$12))-1)/inputs!$N$12))</f>
        <v>138.35722897113928</v>
      </c>
      <c r="V770" s="21">
        <f>inputs!$E$87*(F770/inputs!$F$87)^(1)</f>
        <v>1.976E-2</v>
      </c>
      <c r="W770" s="21">
        <f>inputs!$E$90*(F770/inputs!$F$90)^(1)</f>
        <v>2.0800000000000003E-2</v>
      </c>
      <c r="X770" s="21">
        <f>inputs!$E$89*(F770/inputs!$F$89)^(1)</f>
        <v>7.7670886075949366E-2</v>
      </c>
      <c r="Y770" s="21" t="s">
        <v>13</v>
      </c>
      <c r="Z770" s="63">
        <f t="shared" si="90"/>
        <v>636.61444069896868</v>
      </c>
      <c r="AA770" s="63">
        <f t="shared" si="91"/>
        <v>604.78371866402017</v>
      </c>
    </row>
    <row r="771" spans="1:27" ht="26.4" x14ac:dyDescent="0.25">
      <c r="A771" s="120" t="s">
        <v>430</v>
      </c>
      <c r="B771" s="20" t="s">
        <v>431</v>
      </c>
      <c r="C771" s="21" t="s">
        <v>79</v>
      </c>
      <c r="D771" s="105" t="s">
        <v>378</v>
      </c>
      <c r="E771" s="15">
        <v>1783</v>
      </c>
      <c r="F771" s="56">
        <v>104</v>
      </c>
      <c r="G771" s="21" t="s">
        <v>634</v>
      </c>
      <c r="H771" s="21">
        <v>0.75</v>
      </c>
      <c r="I771" s="48">
        <f>inputs!$C$65*inputs!$C$64/1000</f>
        <v>2.13</v>
      </c>
      <c r="J771" s="48">
        <f>inputs!$C$65*inputs!$C$63/1000</f>
        <v>0.88</v>
      </c>
      <c r="K771" s="59">
        <f t="shared" si="94"/>
        <v>3.8593696660978047E-2</v>
      </c>
      <c r="L771" s="59">
        <f t="shared" si="95"/>
        <v>1.5944813643972152E-2</v>
      </c>
      <c r="M771" s="59">
        <f>IF((((0.065*F771^0.726)/3.7-(0.301*F771^0.751)/(1-H771)*H771)*(MAX('Min rate concentrations'!$P$3:$P$368)))/F771&gt;0, (((0.065*F771^0.726)/3.7-(0.301*F771^0.751)/(1-H771)*H771)*(MAX('Min rate concentrations'!$P$3:$P$368)))/F771, 0)</f>
        <v>0</v>
      </c>
      <c r="N771" s="59">
        <f>IF((((0.065*F771^0.726)/3.7-(0.301*F771^0.751)/(1-H771)*H771)*(MAX('Min rate concentrations'!$Q$3:$Q$368)))/F771&gt;0, (((0.065*F771^0.726)/3.7-(0.301*F771^0.751)/(1-H771)*H771)*(MAX('Min rate concentrations'!$Q$3:$Q$368)))/F771, 0)</f>
        <v>0</v>
      </c>
      <c r="O771" s="59" t="s">
        <v>13</v>
      </c>
      <c r="P771" s="59" t="s">
        <v>13</v>
      </c>
      <c r="Q771" s="59">
        <f>(inputs!$C$7*11.2)*(25.05*F771^0.63)*0.5*1/F771</f>
        <v>12.57950134821162</v>
      </c>
      <c r="R771" s="59">
        <f>(60*76.9*((F771/1000)^0.76)*3*24*(MAX('Min rate concentrations'!$R$3:$R$368))/F771)</f>
        <v>7.3446065100886025E-4</v>
      </c>
      <c r="S771" s="59">
        <f>(IF(inputs!$C$6="aerial",((0.025*0.112*inputs!$C$7/3.3)*(3*60*76.9*((F771/1000)^0.76))*MAX(inputs!$H$14:$H$16))/F771,((0.0083*0.112*inputs!$C$7/1)*(3*60*76.9*((F771/1000)^0.76))*MAX(inputs!$H$14:$H$16))/F771))</f>
        <v>3.1012372672248158E-3</v>
      </c>
      <c r="T771" s="63">
        <f>IF((((inputs!$P$12/(V771/MAX(K771:S771)))^(1/inputs!$O$12))-1)/inputs!$N$12&lt;0, 0, IF((((inputs!$P$12/(V771/MAX(K771:S771)))^(1/inputs!$O$12))-1)/inputs!$N$12&gt;inputs!$H$17, inputs!$H$17, (((inputs!$P$12/(V771/MAX(K771:S771)))^(1/inputs!$O$12))-1)/inputs!$N$12))</f>
        <v>262.6565467110151</v>
      </c>
      <c r="U771" s="63">
        <f>IF((((inputs!$P$12/(X771/MAX(K771:S771)))^(1/inputs!$O$12))-1)/inputs!$N$12&lt;0, 0, IF((((inputs!$P$12/(X771/MAX(K771:S771)))^(1/inputs!$O$12))-1)/inputs!$N$12&gt;inputs!$H$17, inputs!$H$17, (((inputs!$P$12/(X771/MAX(K771:S771)))^(1/inputs!$O$12))-1)/inputs!$N$12))</f>
        <v>138.35722897113928</v>
      </c>
      <c r="V771" s="21">
        <f>inputs!$E$87*(F771/inputs!$F$87)^(1)</f>
        <v>1.976E-2</v>
      </c>
      <c r="W771" s="21">
        <f>inputs!$E$90*(F771/inputs!$F$90)^(1)</f>
        <v>2.0800000000000003E-2</v>
      </c>
      <c r="X771" s="21">
        <f>inputs!$E$89*(F771/inputs!$F$89)^(1)</f>
        <v>7.7670886075949366E-2</v>
      </c>
      <c r="Y771" s="21" t="s">
        <v>13</v>
      </c>
      <c r="Z771" s="63">
        <f t="shared" si="90"/>
        <v>636.61444069896868</v>
      </c>
      <c r="AA771" s="63">
        <f t="shared" si="91"/>
        <v>604.78371866402017</v>
      </c>
    </row>
    <row r="772" spans="1:27" x14ac:dyDescent="0.25">
      <c r="A772" s="120" t="s">
        <v>430</v>
      </c>
      <c r="B772" s="20" t="s">
        <v>431</v>
      </c>
      <c r="C772" s="21" t="s">
        <v>79</v>
      </c>
      <c r="D772" s="105" t="s">
        <v>378</v>
      </c>
      <c r="E772" s="15">
        <v>1783</v>
      </c>
      <c r="F772" s="56">
        <v>104</v>
      </c>
      <c r="G772" s="21" t="s">
        <v>456</v>
      </c>
      <c r="H772" s="20">
        <v>0.68</v>
      </c>
      <c r="I772" s="48">
        <f>MAX('Min rate concentrations'!$J$3:$J$368)</f>
        <v>114.4108103430513</v>
      </c>
      <c r="J772" s="48">
        <f>MAX('Min rate concentrations'!AB:AB)</f>
        <v>40.520495329830666</v>
      </c>
      <c r="K772" s="59">
        <f t="shared" si="94"/>
        <v>1.619548162087886</v>
      </c>
      <c r="L772" s="59">
        <f t="shared" si="95"/>
        <v>0.573589974072793</v>
      </c>
      <c r="M772" s="59">
        <f>IF((((0.065*F772^0.726)/3.7-(0.301*F772^0.751)/(1-H772)*H772)*(MAX('Min rate concentrations'!$P$3:$P$368)))/F772&gt;0, (((0.065*F772^0.726)/3.7-(0.301*F772^0.751)/(1-H772)*H772)*(MAX('Min rate concentrations'!$P$3:$P$368)))/F772, 0)</f>
        <v>0</v>
      </c>
      <c r="N772" s="59">
        <f>IF((((0.065*F772^0.726)/3.7-(0.301*F772^0.751)/(1-H772)*H772)*(MAX('Min rate concentrations'!$Q$3:$Q$368)))/F772&gt;0, (((0.065*F772^0.726)/3.7-(0.301*F772^0.751)/(1-H772)*H772)*(MAX('Min rate concentrations'!$Q$3:$Q$368)))/F772, 0)</f>
        <v>0</v>
      </c>
      <c r="O772" s="59" t="s">
        <v>13</v>
      </c>
      <c r="P772" s="59" t="s">
        <v>13</v>
      </c>
      <c r="Q772" s="59">
        <f>(inputs!$C$7*11.2)*(25.05*F772^0.63)*0.5*1/F772</f>
        <v>12.57950134821162</v>
      </c>
      <c r="R772" s="59">
        <f>(60*76.9*((F772/1000)^0.76)*3*24*(MAX('Min rate concentrations'!$R$3:$R$368))/F772)</f>
        <v>7.3446065100886025E-4</v>
      </c>
      <c r="S772" s="59">
        <f>(IF(inputs!$C$6="aerial",((0.025*0.112*inputs!$C$7/3.3)*(3*60*76.9*((F772/1000)^0.76))*MAX(inputs!$H$14:$H$16))/F772,((0.0083*0.112*inputs!$C$7/1)*(3*60*76.9*((F772/1000)^0.76))*MAX(inputs!$H$14:$H$16))/F772))</f>
        <v>3.1012372672248158E-3</v>
      </c>
      <c r="T772" s="63">
        <f>IF((((inputs!$P$12/(V772/MAX(K772:S772)))^(1/inputs!$O$12))-1)/inputs!$N$12&lt;0, 0, IF((((inputs!$P$12/(V772/MAX(K772:S772)))^(1/inputs!$O$12))-1)/inputs!$N$12&gt;inputs!$H$17, inputs!$H$17, (((inputs!$P$12/(V772/MAX(K772:S772)))^(1/inputs!$O$12))-1)/inputs!$N$12))</f>
        <v>262.6565467110151</v>
      </c>
      <c r="U772" s="63">
        <f>IF((((inputs!$P$12/(X772/MAX(K772:S772)))^(1/inputs!$O$12))-1)/inputs!$N$12&lt;0, 0, IF((((inputs!$P$12/(X772/MAX(K772:S772)))^(1/inputs!$O$12))-1)/inputs!$N$12&gt;inputs!$H$17, inputs!$H$17, (((inputs!$P$12/(X772/MAX(K772:S772)))^(1/inputs!$O$12))-1)/inputs!$N$12))</f>
        <v>138.35722897113928</v>
      </c>
      <c r="V772" s="21">
        <f>inputs!$E$87*(F772/inputs!$F$87)^(1)</f>
        <v>1.976E-2</v>
      </c>
      <c r="W772" s="21">
        <f>inputs!$E$90*(F772/inputs!$F$90)^(1)</f>
        <v>2.0800000000000003E-2</v>
      </c>
      <c r="X772" s="21">
        <f>inputs!$E$89*(F772/inputs!$F$89)^(1)</f>
        <v>7.7670886075949366E-2</v>
      </c>
      <c r="Y772" s="21" t="s">
        <v>13</v>
      </c>
      <c r="Z772" s="63">
        <f t="shared" ref="Z772:Z820" si="96">MAX(K772:S772)/V772</f>
        <v>636.61444069896868</v>
      </c>
      <c r="AA772" s="63">
        <f t="shared" ref="AA772:AA820" si="97">MAX(K772:S772)/W772</f>
        <v>604.78371866402017</v>
      </c>
    </row>
    <row r="773" spans="1:27" x14ac:dyDescent="0.25">
      <c r="A773" s="120" t="s">
        <v>430</v>
      </c>
      <c r="B773" s="20" t="s">
        <v>431</v>
      </c>
      <c r="C773" s="21" t="s">
        <v>79</v>
      </c>
      <c r="D773" s="105" t="s">
        <v>378</v>
      </c>
      <c r="E773" s="15">
        <v>1783</v>
      </c>
      <c r="F773" s="56">
        <v>104</v>
      </c>
      <c r="G773" s="21" t="s">
        <v>145</v>
      </c>
      <c r="H773" s="20">
        <v>0.66</v>
      </c>
      <c r="I773" s="48">
        <f>MAX('Min rate concentrations'!$M$3:$M$368)</f>
        <v>2.8488184789681945</v>
      </c>
      <c r="J773" s="48">
        <f>MAX('Min rate concentrations'!AE:AE)</f>
        <v>1.9699276716269429</v>
      </c>
      <c r="K773" s="59">
        <f t="shared" si="94"/>
        <v>3.7954444980491366E-2</v>
      </c>
      <c r="L773" s="59">
        <f t="shared" si="95"/>
        <v>2.6245094933318499E-2</v>
      </c>
      <c r="M773" s="59">
        <f>IF((((0.065*F773^0.726)/3.7-(0.301*F773^0.751)/(1-H773)*H773)*(MAX('Min rate concentrations'!$P$3:$P$368)))/F773&gt;0, (((0.065*F773^0.726)/3.7-(0.301*F773^0.751)/(1-H773)*H773)*(MAX('Min rate concentrations'!$P$3:$P$368)))/F773, 0)</f>
        <v>0</v>
      </c>
      <c r="N773" s="59">
        <f>IF((((0.065*F773^0.726)/3.7-(0.301*F773^0.751)/(1-H773)*H773)*(MAX('Min rate concentrations'!$Q$3:$Q$368)))/F773&gt;0, (((0.065*F773^0.726)/3.7-(0.301*F773^0.751)/(1-H773)*H773)*(MAX('Min rate concentrations'!$Q$3:$Q$368)))/F773, 0)</f>
        <v>0</v>
      </c>
      <c r="O773" s="59" t="s">
        <v>13</v>
      </c>
      <c r="P773" s="59" t="s">
        <v>13</v>
      </c>
      <c r="Q773" s="59">
        <f>(inputs!$C$7*11.2)*(25.05*F773^0.63)*0.5*1/F773</f>
        <v>12.57950134821162</v>
      </c>
      <c r="R773" s="59">
        <f>(60*76.9*((F773/1000)^0.76)*3*24*(MAX('Min rate concentrations'!$R$3:$R$368))/F773)</f>
        <v>7.3446065100886025E-4</v>
      </c>
      <c r="S773" s="59">
        <f>(IF(inputs!$C$6="aerial",((0.025*0.112*inputs!$C$7/3.3)*(3*60*76.9*((F773/1000)^0.76))*MAX(inputs!$H$14:$H$16))/F773,((0.0083*0.112*inputs!$C$7/1)*(3*60*76.9*((F773/1000)^0.76))*MAX(inputs!$H$14:$H$16))/F773))</f>
        <v>3.1012372672248158E-3</v>
      </c>
      <c r="T773" s="63">
        <f>IF((((inputs!$P$12/(V773/MAX(K773:S773)))^(1/inputs!$O$12))-1)/inputs!$N$12&lt;0, 0, IF((((inputs!$P$12/(V773/MAX(K773:S773)))^(1/inputs!$O$12))-1)/inputs!$N$12&gt;inputs!$H$17, inputs!$H$17, (((inputs!$P$12/(V773/MAX(K773:S773)))^(1/inputs!$O$12))-1)/inputs!$N$12))</f>
        <v>262.6565467110151</v>
      </c>
      <c r="U773" s="63">
        <f>IF((((inputs!$P$12/(X773/MAX(K773:S773)))^(1/inputs!$O$12))-1)/inputs!$N$12&lt;0, 0, IF((((inputs!$P$12/(X773/MAX(K773:S773)))^(1/inputs!$O$12))-1)/inputs!$N$12&gt;inputs!$H$17, inputs!$H$17, (((inputs!$P$12/(X773/MAX(K773:S773)))^(1/inputs!$O$12))-1)/inputs!$N$12))</f>
        <v>138.35722897113928</v>
      </c>
      <c r="V773" s="21">
        <f>inputs!$E$87*(F773/inputs!$F$87)^(1)</f>
        <v>1.976E-2</v>
      </c>
      <c r="W773" s="21">
        <f>inputs!$E$90*(F773/inputs!$F$90)^(1)</f>
        <v>2.0800000000000003E-2</v>
      </c>
      <c r="X773" s="21">
        <f>inputs!$E$89*(F773/inputs!$F$89)^(1)</f>
        <v>7.7670886075949366E-2</v>
      </c>
      <c r="Y773" s="21" t="s">
        <v>13</v>
      </c>
      <c r="Z773" s="63">
        <f t="shared" si="96"/>
        <v>636.61444069896868</v>
      </c>
      <c r="AA773" s="63">
        <f t="shared" si="97"/>
        <v>604.78371866402017</v>
      </c>
    </row>
    <row r="774" spans="1:27" x14ac:dyDescent="0.25">
      <c r="A774" s="120" t="s">
        <v>430</v>
      </c>
      <c r="B774" s="20" t="s">
        <v>431</v>
      </c>
      <c r="C774" s="21" t="s">
        <v>79</v>
      </c>
      <c r="D774" s="105" t="s">
        <v>378</v>
      </c>
      <c r="E774" s="15">
        <v>1783</v>
      </c>
      <c r="F774" s="56">
        <v>104</v>
      </c>
      <c r="G774" s="21" t="s">
        <v>146</v>
      </c>
      <c r="H774" s="20">
        <v>0.84</v>
      </c>
      <c r="I774" s="48">
        <f>MAX('Min rate concentrations'!$I$3:$I$368)</f>
        <v>9.4775690500787988</v>
      </c>
      <c r="J774" s="48" t="s">
        <v>13</v>
      </c>
      <c r="K774" s="59">
        <f t="shared" si="94"/>
        <v>0.26832044087603801</v>
      </c>
      <c r="L774" s="48" t="s">
        <v>13</v>
      </c>
      <c r="M774" s="59">
        <f>IF((((0.065*F774^0.726)/3.7-(0.301*F774^0.751)/(1-H774)*H774)*(MAX('Min rate concentrations'!$P$3:$P$368)))/F774&gt;0, (((0.065*F774^0.726)/3.7-(0.301*F774^0.751)/(1-H774)*H774)*(MAX('Min rate concentrations'!$P$3:$P$368)))/F774, 0)</f>
        <v>0</v>
      </c>
      <c r="N774" s="59">
        <f>IF((((0.065*F774^0.726)/3.7-(0.301*F774^0.751)/(1-H774)*H774)*(MAX('Min rate concentrations'!$Q$3:$Q$368)))/F774&gt;0, (((0.065*F774^0.726)/3.7-(0.301*F774^0.751)/(1-H774)*H774)*(MAX('Min rate concentrations'!$Q$3:$Q$368)))/F774, 0)</f>
        <v>0</v>
      </c>
      <c r="O774" s="59" t="s">
        <v>13</v>
      </c>
      <c r="P774" s="59" t="s">
        <v>13</v>
      </c>
      <c r="Q774" s="59">
        <f>(inputs!$C$7*11.2)*(25.05*F774^0.63)*0.5*1/F774</f>
        <v>12.57950134821162</v>
      </c>
      <c r="R774" s="59">
        <f>(60*76.9*((F774/1000)^0.76)*3*24*(MAX('Min rate concentrations'!$R$3:$R$368))/F774)</f>
        <v>7.3446065100886025E-4</v>
      </c>
      <c r="S774" s="59">
        <f>(IF(inputs!$C$6="aerial",((0.025*0.112*inputs!$C$7/3.3)*(3*60*76.9*((F774/1000)^0.76))*MAX(inputs!$H$14:$H$16))/F774,((0.0083*0.112*inputs!$C$7/1)*(3*60*76.9*((F774/1000)^0.76))*MAX(inputs!$H$14:$H$16))/F774))</f>
        <v>3.1012372672248158E-3</v>
      </c>
      <c r="T774" s="63">
        <f>IF((((inputs!$P$12/(V774/MAX(K774:S774)))^(1/inputs!$O$12))-1)/inputs!$N$12&lt;0, 0, IF((((inputs!$P$12/(V774/MAX(K774:S774)))^(1/inputs!$O$12))-1)/inputs!$N$12&gt;inputs!$H$17, inputs!$H$17, (((inputs!$P$12/(V774/MAX(K774:S774)))^(1/inputs!$O$12))-1)/inputs!$N$12))</f>
        <v>262.6565467110151</v>
      </c>
      <c r="U774" s="63">
        <f>IF((((inputs!$P$12/(X774/MAX(K774:S774)))^(1/inputs!$O$12))-1)/inputs!$N$12&lt;0, 0, IF((((inputs!$P$12/(X774/MAX(K774:S774)))^(1/inputs!$O$12))-1)/inputs!$N$12&gt;inputs!$H$17, inputs!$H$17, (((inputs!$P$12/(X774/MAX(K774:S774)))^(1/inputs!$O$12))-1)/inputs!$N$12))</f>
        <v>138.35722897113928</v>
      </c>
      <c r="V774" s="21">
        <f>inputs!$E$87*(F774/inputs!$F$87)^(1)</f>
        <v>1.976E-2</v>
      </c>
      <c r="W774" s="21">
        <f>inputs!$E$90*(F774/inputs!$F$90)^(1)</f>
        <v>2.0800000000000003E-2</v>
      </c>
      <c r="X774" s="21">
        <f>inputs!$E$89*(F774/inputs!$F$89)^(1)</f>
        <v>7.7670886075949366E-2</v>
      </c>
      <c r="Y774" s="21" t="s">
        <v>13</v>
      </c>
      <c r="Z774" s="63">
        <f t="shared" si="96"/>
        <v>636.61444069896868</v>
      </c>
      <c r="AA774" s="63">
        <f t="shared" si="97"/>
        <v>604.78371866402017</v>
      </c>
    </row>
    <row r="775" spans="1:27" x14ac:dyDescent="0.25">
      <c r="A775" s="103" t="s">
        <v>393</v>
      </c>
      <c r="B775" s="20" t="s">
        <v>394</v>
      </c>
      <c r="C775" s="21" t="s">
        <v>79</v>
      </c>
      <c r="D775" s="105" t="s">
        <v>378</v>
      </c>
      <c r="E775" s="15">
        <v>156</v>
      </c>
      <c r="F775" s="15">
        <v>140</v>
      </c>
      <c r="G775" s="21" t="s">
        <v>142</v>
      </c>
      <c r="H775" s="21">
        <v>0.69</v>
      </c>
      <c r="I775" s="48">
        <f>MAX('Min rate concentrations'!$H$3:$H$368)</f>
        <v>47</v>
      </c>
      <c r="J775" s="48">
        <f>MAX('Min rate concentrations'!AA:AA)</f>
        <v>32.5</v>
      </c>
      <c r="K775" s="59">
        <f t="shared" si="94"/>
        <v>0.64196071532953969</v>
      </c>
      <c r="L775" s="59">
        <f t="shared" ref="L775:L785" si="98">(((0.013*F775^0.773)/(1-H775)))*J775/F775</f>
        <v>0.44390900528106475</v>
      </c>
      <c r="M775" s="59">
        <f>IF((((0.065*F775^0.726)/3.7-(0.301*F775^0.751)/(1-H775)*H775)*(MAX('Min rate concentrations'!$P$3:$P$368)))/F775&gt;0, (((0.065*F775^0.726)/3.7-(0.301*F775^0.751)/(1-H775)*H775)*(MAX('Min rate concentrations'!$P$3:$P$368)))/F775, 0)</f>
        <v>0</v>
      </c>
      <c r="N775" s="59">
        <f>IF((((0.065*F775^0.726)/3.7-(0.301*F775^0.751)/(1-H775)*H775)*(MAX('Min rate concentrations'!$Q$3:$Q$368)))/F775&gt;0, (((0.065*F775^0.726)/3.7-(0.301*F775^0.751)/(1-H775)*H775)*(MAX('Min rate concentrations'!$Q$3:$Q$368)))/F775, 0)</f>
        <v>0</v>
      </c>
      <c r="O775" s="59" t="s">
        <v>13</v>
      </c>
      <c r="P775" s="59" t="s">
        <v>13</v>
      </c>
      <c r="Q775" s="59">
        <f>(inputs!$C$7*11.2)*(25.05*F775^0.63)*0.5*1/F775</f>
        <v>11.269337572192416</v>
      </c>
      <c r="R775" s="59">
        <f>(60*76.9*((F775/1000)^0.76)*3*24*(MAX('Min rate concentrations'!$R$3:$R$368))/F775)</f>
        <v>6.8388929565107656E-4</v>
      </c>
      <c r="S775" s="59">
        <f>(IF(inputs!$C$6="aerial",((0.025*0.112*inputs!$C$7/3.3)*(3*60*76.9*((F775/1000)^0.76))*MAX(inputs!$H$14:$H$16))/F775,((0.0083*0.112*inputs!$C$7/1)*(3*60*76.9*((F775/1000)^0.76))*MAX(inputs!$H$14:$H$16))/F775))</f>
        <v>2.8877012913026199E-3</v>
      </c>
      <c r="T775" s="63">
        <f>IF((((inputs!$P$12/(V775/MAX(K775:S775)))^(1/inputs!$O$12))-1)/inputs!$N$12&lt;0, 0, IF((((inputs!$P$12/(V775/MAX(K775:S775)))^(1/inputs!$O$12))-1)/inputs!$N$12&gt;inputs!$H$17, inputs!$H$17, (((inputs!$P$12/(V775/MAX(K775:S775)))^(1/inputs!$O$12))-1)/inputs!$N$12))</f>
        <v>218.21417327534243</v>
      </c>
      <c r="U775" s="63">
        <f>IF((((inputs!$P$12/(X775/MAX(K775:S775)))^(1/inputs!$O$12))-1)/inputs!$N$12&lt;0, 0, IF((((inputs!$P$12/(X775/MAX(K775:S775)))^(1/inputs!$O$12))-1)/inputs!$N$12&gt;inputs!$H$17, inputs!$H$17, (((inputs!$P$12/(X775/MAX(K775:S775)))^(1/inputs!$O$12))-1)/inputs!$N$12))</f>
        <v>112.88865487684765</v>
      </c>
      <c r="V775" s="21">
        <f>inputs!$E$87*(F775/inputs!$F$87)^(1)</f>
        <v>2.6599999999999999E-2</v>
      </c>
      <c r="W775" s="21">
        <f>inputs!$E$90*(F775/inputs!$F$90)^(1)</f>
        <v>2.8000000000000001E-2</v>
      </c>
      <c r="X775" s="21">
        <f>inputs!$E$89*(F775/inputs!$F$89)^(1)</f>
        <v>0.10455696202531645</v>
      </c>
      <c r="Y775" s="21" t="s">
        <v>13</v>
      </c>
      <c r="Z775" s="63">
        <f t="shared" si="96"/>
        <v>423.65930722527884</v>
      </c>
      <c r="AA775" s="63">
        <f t="shared" si="97"/>
        <v>402.47634186401484</v>
      </c>
    </row>
    <row r="776" spans="1:27" x14ac:dyDescent="0.25">
      <c r="A776" s="103" t="s">
        <v>393</v>
      </c>
      <c r="B776" s="20" t="s">
        <v>394</v>
      </c>
      <c r="C776" s="21" t="s">
        <v>79</v>
      </c>
      <c r="D776" s="105" t="s">
        <v>378</v>
      </c>
      <c r="E776" s="15">
        <v>156</v>
      </c>
      <c r="F776" s="15">
        <v>140</v>
      </c>
      <c r="G776" s="21" t="s">
        <v>138</v>
      </c>
      <c r="H776" s="20">
        <v>0.68</v>
      </c>
      <c r="I776" s="48">
        <f>MAX('Min rate concentrations'!$L$3:$L$368)</f>
        <v>58.421240152220811</v>
      </c>
      <c r="J776" s="48">
        <f>MAX('Min rate concentrations'!AD:AD)</f>
        <v>40.397666062705881</v>
      </c>
      <c r="K776" s="59">
        <f t="shared" si="94"/>
        <v>0.7730241852894375</v>
      </c>
      <c r="L776" s="59">
        <f t="shared" si="98"/>
        <v>0.53453800046610034</v>
      </c>
      <c r="M776" s="59">
        <f>IF((((0.065*F776^0.726)/3.7-(0.301*F776^0.751)/(1-H776)*H776)*(MAX('Min rate concentrations'!$P$3:$P$368)))/F776&gt;0, (((0.065*F776^0.726)/3.7-(0.301*F776^0.751)/(1-H776)*H776)*(MAX('Min rate concentrations'!$P$3:$P$368)))/F776, 0)</f>
        <v>0</v>
      </c>
      <c r="N776" s="59">
        <f>IF((((0.065*F776^0.726)/3.7-(0.301*F776^0.751)/(1-H776)*H776)*(MAX('Min rate concentrations'!$Q$3:$Q$368)))/F776&gt;0, (((0.065*F776^0.726)/3.7-(0.301*F776^0.751)/(1-H776)*H776)*(MAX('Min rate concentrations'!$Q$3:$Q$368)))/F776, 0)</f>
        <v>0</v>
      </c>
      <c r="O776" s="59" t="s">
        <v>13</v>
      </c>
      <c r="P776" s="59" t="s">
        <v>13</v>
      </c>
      <c r="Q776" s="59">
        <f>(inputs!$C$7*11.2)*(25.05*F776^0.63)*0.5*1/F776</f>
        <v>11.269337572192416</v>
      </c>
      <c r="R776" s="59">
        <f>(60*76.9*((F776/1000)^0.76)*3*24*(MAX('Min rate concentrations'!$R$3:$R$368))/F776)</f>
        <v>6.8388929565107656E-4</v>
      </c>
      <c r="S776" s="59">
        <f>(IF(inputs!$C$6="aerial",((0.025*0.112*inputs!$C$7/3.3)*(3*60*76.9*((F776/1000)^0.76))*MAX(inputs!$H$14:$H$16))/F776,((0.0083*0.112*inputs!$C$7/1)*(3*60*76.9*((F776/1000)^0.76))*MAX(inputs!$H$14:$H$16))/F776))</f>
        <v>2.8877012913026199E-3</v>
      </c>
      <c r="T776" s="63">
        <f>IF((((inputs!$P$12/(V776/MAX(K776:S776)))^(1/inputs!$O$12))-1)/inputs!$N$12&lt;0, 0, IF((((inputs!$P$12/(V776/MAX(K776:S776)))^(1/inputs!$O$12))-1)/inputs!$N$12&gt;inputs!$H$17, inputs!$H$17, (((inputs!$P$12/(V776/MAX(K776:S776)))^(1/inputs!$O$12))-1)/inputs!$N$12))</f>
        <v>218.21417327534243</v>
      </c>
      <c r="U776" s="63">
        <f>IF((((inputs!$P$12/(X776/MAX(K776:S776)))^(1/inputs!$O$12))-1)/inputs!$N$12&lt;0, 0, IF((((inputs!$P$12/(X776/MAX(K776:S776)))^(1/inputs!$O$12))-1)/inputs!$N$12&gt;inputs!$H$17, inputs!$H$17, (((inputs!$P$12/(X776/MAX(K776:S776)))^(1/inputs!$O$12))-1)/inputs!$N$12))</f>
        <v>112.88865487684765</v>
      </c>
      <c r="V776" s="21">
        <f>inputs!$E$87*(F776/inputs!$F$87)^(1)</f>
        <v>2.6599999999999999E-2</v>
      </c>
      <c r="W776" s="21">
        <f>inputs!$E$90*(F776/inputs!$F$90)^(1)</f>
        <v>2.8000000000000001E-2</v>
      </c>
      <c r="X776" s="21">
        <f>inputs!$E$89*(F776/inputs!$F$89)^(1)</f>
        <v>0.10455696202531645</v>
      </c>
      <c r="Y776" s="21" t="s">
        <v>13</v>
      </c>
      <c r="Z776" s="63">
        <f t="shared" si="96"/>
        <v>423.65930722527884</v>
      </c>
      <c r="AA776" s="63">
        <f t="shared" si="97"/>
        <v>402.47634186401484</v>
      </c>
    </row>
    <row r="777" spans="1:27" x14ac:dyDescent="0.25">
      <c r="A777" s="103" t="s">
        <v>393</v>
      </c>
      <c r="B777" s="20" t="s">
        <v>394</v>
      </c>
      <c r="C777" s="21" t="s">
        <v>79</v>
      </c>
      <c r="D777" s="105" t="s">
        <v>378</v>
      </c>
      <c r="E777" s="15">
        <v>156</v>
      </c>
      <c r="F777" s="15">
        <v>140</v>
      </c>
      <c r="G777" s="21" t="s">
        <v>218</v>
      </c>
      <c r="H777" s="20">
        <v>0.68</v>
      </c>
      <c r="I777" s="48">
        <f>MAX('Min rate concentrations'!$K$3:$K$368)</f>
        <v>18.333393099490852</v>
      </c>
      <c r="J777" s="48">
        <f>MAX('Min rate concentrations'!AC:AC)</f>
        <v>6.4930767227363431</v>
      </c>
      <c r="K777" s="59">
        <f t="shared" si="94"/>
        <v>0.24258567992391675</v>
      </c>
      <c r="L777" s="59">
        <f t="shared" si="98"/>
        <v>8.591576163972052E-2</v>
      </c>
      <c r="M777" s="59">
        <f>IF((((0.065*F777^0.726)/3.7-(0.301*F777^0.751)/(1-H777)*H777)*(MAX('Min rate concentrations'!$P$3:$P$368)))/F777&gt;0, (((0.065*F777^0.726)/3.7-(0.301*F777^0.751)/(1-H777)*H777)*(MAX('Min rate concentrations'!$P$3:$P$368)))/F777, 0)</f>
        <v>0</v>
      </c>
      <c r="N777" s="59">
        <f>IF((((0.065*F777^0.726)/3.7-(0.301*F777^0.751)/(1-H777)*H777)*(MAX('Min rate concentrations'!$Q$3:$Q$368)))/F777&gt;0, (((0.065*F777^0.726)/3.7-(0.301*F777^0.751)/(1-H777)*H777)*(MAX('Min rate concentrations'!$Q$3:$Q$368)))/F777, 0)</f>
        <v>0</v>
      </c>
      <c r="O777" s="59" t="s">
        <v>13</v>
      </c>
      <c r="P777" s="59" t="s">
        <v>13</v>
      </c>
      <c r="Q777" s="59">
        <f>(inputs!$C$7*11.2)*(25.05*F777^0.63)*0.5*1/F777</f>
        <v>11.269337572192416</v>
      </c>
      <c r="R777" s="59">
        <f>(60*76.9*((F777/1000)^0.76)*3*24*(MAX('Min rate concentrations'!$R$3:$R$368))/F777)</f>
        <v>6.8388929565107656E-4</v>
      </c>
      <c r="S777" s="59">
        <f>(IF(inputs!$C$6="aerial",((0.025*0.112*inputs!$C$7/3.3)*(3*60*76.9*((F777/1000)^0.76))*MAX(inputs!$H$14:$H$16))/F777,((0.0083*0.112*inputs!$C$7/1)*(3*60*76.9*((F777/1000)^0.76))*MAX(inputs!$H$14:$H$16))/F777))</f>
        <v>2.8877012913026199E-3</v>
      </c>
      <c r="T777" s="63">
        <f>IF((((inputs!$P$12/(V777/MAX(K777:S777)))^(1/inputs!$O$12))-1)/inputs!$N$12&lt;0, 0, IF((((inputs!$P$12/(V777/MAX(K777:S777)))^(1/inputs!$O$12))-1)/inputs!$N$12&gt;inputs!$H$17, inputs!$H$17, (((inputs!$P$12/(V777/MAX(K777:S777)))^(1/inputs!$O$12))-1)/inputs!$N$12))</f>
        <v>218.21417327534243</v>
      </c>
      <c r="U777" s="63">
        <f>IF((((inputs!$P$12/(X777/MAX(K777:S777)))^(1/inputs!$O$12))-1)/inputs!$N$12&lt;0, 0, IF((((inputs!$P$12/(X777/MAX(K777:S777)))^(1/inputs!$O$12))-1)/inputs!$N$12&gt;inputs!$H$17, inputs!$H$17, (((inputs!$P$12/(X777/MAX(K777:S777)))^(1/inputs!$O$12))-1)/inputs!$N$12))</f>
        <v>112.88865487684765</v>
      </c>
      <c r="V777" s="21">
        <f>inputs!$E$87*(F777/inputs!$F$87)^(1)</f>
        <v>2.6599999999999999E-2</v>
      </c>
      <c r="W777" s="21">
        <f>inputs!$E$90*(F777/inputs!$F$90)^(1)</f>
        <v>2.8000000000000001E-2</v>
      </c>
      <c r="X777" s="21">
        <f>inputs!$E$89*(F777/inputs!$F$89)^(1)</f>
        <v>0.10455696202531645</v>
      </c>
      <c r="Y777" s="21" t="s">
        <v>13</v>
      </c>
      <c r="Z777" s="63">
        <f t="shared" si="96"/>
        <v>423.65930722527884</v>
      </c>
      <c r="AA777" s="63">
        <f t="shared" si="97"/>
        <v>402.47634186401484</v>
      </c>
    </row>
    <row r="778" spans="1:27" x14ac:dyDescent="0.25">
      <c r="A778" s="103" t="s">
        <v>393</v>
      </c>
      <c r="B778" s="20" t="s">
        <v>394</v>
      </c>
      <c r="C778" s="21" t="s">
        <v>79</v>
      </c>
      <c r="D778" s="105" t="s">
        <v>378</v>
      </c>
      <c r="E778" s="15">
        <v>156</v>
      </c>
      <c r="F778" s="15">
        <v>140</v>
      </c>
      <c r="G778" s="21" t="s">
        <v>456</v>
      </c>
      <c r="H778" s="20">
        <v>0.68</v>
      </c>
      <c r="I778" s="48">
        <f>MAX('Min rate concentrations'!$J$3:$J$368)</f>
        <v>114.4108103430513</v>
      </c>
      <c r="J778" s="48">
        <f>MAX('Min rate concentrations'!AB:AB)</f>
        <v>40.520495329830666</v>
      </c>
      <c r="K778" s="59">
        <f t="shared" si="94"/>
        <v>1.5138727494195372</v>
      </c>
      <c r="L778" s="59">
        <f t="shared" si="98"/>
        <v>0.53616326541941939</v>
      </c>
      <c r="M778" s="59">
        <f>IF((((0.065*F778^0.726)/3.7-(0.301*F778^0.751)/(1-H778)*H778)*(MAX('Min rate concentrations'!$P$3:$P$368)))/F778&gt;0, (((0.065*F778^0.726)/3.7-(0.301*F778^0.751)/(1-H778)*H778)*(MAX('Min rate concentrations'!$P$3:$P$368)))/F778, 0)</f>
        <v>0</v>
      </c>
      <c r="N778" s="59">
        <f>IF((((0.065*F778^0.726)/3.7-(0.301*F778^0.751)/(1-H778)*H778)*(MAX('Min rate concentrations'!$Q$3:$Q$368)))/F778&gt;0, (((0.065*F778^0.726)/3.7-(0.301*F778^0.751)/(1-H778)*H778)*(MAX('Min rate concentrations'!$Q$3:$Q$368)))/F778, 0)</f>
        <v>0</v>
      </c>
      <c r="O778" s="59" t="s">
        <v>13</v>
      </c>
      <c r="P778" s="59" t="s">
        <v>13</v>
      </c>
      <c r="Q778" s="59">
        <f>(inputs!$C$7*11.2)*(25.05*F778^0.63)*0.5*1/F778</f>
        <v>11.269337572192416</v>
      </c>
      <c r="R778" s="59">
        <f>(60*76.9*((F778/1000)^0.76)*3*24*(MAX('Min rate concentrations'!$R$3:$R$368))/F778)</f>
        <v>6.8388929565107656E-4</v>
      </c>
      <c r="S778" s="59">
        <f>(IF(inputs!$C$6="aerial",((0.025*0.112*inputs!$C$7/3.3)*(3*60*76.9*((F778/1000)^0.76))*MAX(inputs!$H$14:$H$16))/F778,((0.0083*0.112*inputs!$C$7/1)*(3*60*76.9*((F778/1000)^0.76))*MAX(inputs!$H$14:$H$16))/F778))</f>
        <v>2.8877012913026199E-3</v>
      </c>
      <c r="T778" s="63">
        <f>IF((((inputs!$P$12/(V778/MAX(K778:S778)))^(1/inputs!$O$12))-1)/inputs!$N$12&lt;0, 0, IF((((inputs!$P$12/(V778/MAX(K778:S778)))^(1/inputs!$O$12))-1)/inputs!$N$12&gt;inputs!$H$17, inputs!$H$17, (((inputs!$P$12/(V778/MAX(K778:S778)))^(1/inputs!$O$12))-1)/inputs!$N$12))</f>
        <v>218.21417327534243</v>
      </c>
      <c r="U778" s="63">
        <f>IF((((inputs!$P$12/(X778/MAX(K778:S778)))^(1/inputs!$O$12))-1)/inputs!$N$12&lt;0, 0, IF((((inputs!$P$12/(X778/MAX(K778:S778)))^(1/inputs!$O$12))-1)/inputs!$N$12&gt;inputs!$H$17, inputs!$H$17, (((inputs!$P$12/(X778/MAX(K778:S778)))^(1/inputs!$O$12))-1)/inputs!$N$12))</f>
        <v>112.88865487684765</v>
      </c>
      <c r="V778" s="21">
        <f>inputs!$E$87*(F778/inputs!$F$87)^(1)</f>
        <v>2.6599999999999999E-2</v>
      </c>
      <c r="W778" s="21">
        <f>inputs!$E$90*(F778/inputs!$F$90)^(1)</f>
        <v>2.8000000000000001E-2</v>
      </c>
      <c r="X778" s="21">
        <f>inputs!$E$89*(F778/inputs!$F$89)^(1)</f>
        <v>0.10455696202531645</v>
      </c>
      <c r="Y778" s="21" t="s">
        <v>13</v>
      </c>
      <c r="Z778" s="63">
        <f t="shared" si="96"/>
        <v>423.65930722527884</v>
      </c>
      <c r="AA778" s="63">
        <f t="shared" si="97"/>
        <v>402.47634186401484</v>
      </c>
    </row>
    <row r="779" spans="1:27" x14ac:dyDescent="0.25">
      <c r="A779" s="103" t="s">
        <v>393</v>
      </c>
      <c r="B779" s="20" t="s">
        <v>394</v>
      </c>
      <c r="C779" s="21" t="s">
        <v>79</v>
      </c>
      <c r="D779" s="105" t="s">
        <v>378</v>
      </c>
      <c r="E779" s="15">
        <v>156</v>
      </c>
      <c r="F779" s="15">
        <v>140</v>
      </c>
      <c r="G779" s="21" t="s">
        <v>145</v>
      </c>
      <c r="H779" s="20">
        <v>0.66</v>
      </c>
      <c r="I779" s="48">
        <f>MAX('Min rate concentrations'!$M$3:$M$368)</f>
        <v>2.8488184789681945</v>
      </c>
      <c r="J779" s="48">
        <f>MAX('Min rate concentrations'!AE:AE)</f>
        <v>1.9699276716269429</v>
      </c>
      <c r="K779" s="59">
        <f t="shared" si="94"/>
        <v>3.5477919904052226E-2</v>
      </c>
      <c r="L779" s="59">
        <f t="shared" si="98"/>
        <v>2.4532604188972282E-2</v>
      </c>
      <c r="M779" s="59">
        <f>IF((((0.065*F779^0.726)/3.7-(0.301*F779^0.751)/(1-H779)*H779)*(MAX('Min rate concentrations'!$P$3:$P$368)))/F779&gt;0, (((0.065*F779^0.726)/3.7-(0.301*F779^0.751)/(1-H779)*H779)*(MAX('Min rate concentrations'!$P$3:$P$368)))/F779, 0)</f>
        <v>0</v>
      </c>
      <c r="N779" s="59">
        <f>IF((((0.065*F779^0.726)/3.7-(0.301*F779^0.751)/(1-H779)*H779)*(MAX('Min rate concentrations'!$Q$3:$Q$368)))/F779&gt;0, (((0.065*F779^0.726)/3.7-(0.301*F779^0.751)/(1-H779)*H779)*(MAX('Min rate concentrations'!$Q$3:$Q$368)))/F779, 0)</f>
        <v>0</v>
      </c>
      <c r="O779" s="59" t="s">
        <v>13</v>
      </c>
      <c r="P779" s="59" t="s">
        <v>13</v>
      </c>
      <c r="Q779" s="59">
        <f>(inputs!$C$7*11.2)*(25.05*F779^0.63)*0.5*1/F779</f>
        <v>11.269337572192416</v>
      </c>
      <c r="R779" s="59">
        <f>(60*76.9*((F779/1000)^0.76)*3*24*(MAX('Min rate concentrations'!$R$3:$R$368))/F779)</f>
        <v>6.8388929565107656E-4</v>
      </c>
      <c r="S779" s="59">
        <f>(IF(inputs!$C$6="aerial",((0.025*0.112*inputs!$C$7/3.3)*(3*60*76.9*((F779/1000)^0.76))*MAX(inputs!$H$14:$H$16))/F779,((0.0083*0.112*inputs!$C$7/1)*(3*60*76.9*((F779/1000)^0.76))*MAX(inputs!$H$14:$H$16))/F779))</f>
        <v>2.8877012913026199E-3</v>
      </c>
      <c r="T779" s="63">
        <f>IF((((inputs!$P$12/(V779/MAX(K779:S779)))^(1/inputs!$O$12))-1)/inputs!$N$12&lt;0, 0, IF((((inputs!$P$12/(V779/MAX(K779:S779)))^(1/inputs!$O$12))-1)/inputs!$N$12&gt;inputs!$H$17, inputs!$H$17, (((inputs!$P$12/(V779/MAX(K779:S779)))^(1/inputs!$O$12))-1)/inputs!$N$12))</f>
        <v>218.21417327534243</v>
      </c>
      <c r="U779" s="63">
        <f>IF((((inputs!$P$12/(X779/MAX(K779:S779)))^(1/inputs!$O$12))-1)/inputs!$N$12&lt;0, 0, IF((((inputs!$P$12/(X779/MAX(K779:S779)))^(1/inputs!$O$12))-1)/inputs!$N$12&gt;inputs!$H$17, inputs!$H$17, (((inputs!$P$12/(X779/MAX(K779:S779)))^(1/inputs!$O$12))-1)/inputs!$N$12))</f>
        <v>112.88865487684765</v>
      </c>
      <c r="V779" s="21">
        <f>inputs!$E$87*(F779/inputs!$F$87)^(1)</f>
        <v>2.6599999999999999E-2</v>
      </c>
      <c r="W779" s="21">
        <f>inputs!$E$90*(F779/inputs!$F$90)^(1)</f>
        <v>2.8000000000000001E-2</v>
      </c>
      <c r="X779" s="21">
        <f>inputs!$E$89*(F779/inputs!$F$89)^(1)</f>
        <v>0.10455696202531645</v>
      </c>
      <c r="Y779" s="21" t="s">
        <v>13</v>
      </c>
      <c r="Z779" s="63">
        <f t="shared" si="96"/>
        <v>423.65930722527884</v>
      </c>
      <c r="AA779" s="63">
        <f t="shared" si="97"/>
        <v>402.47634186401484</v>
      </c>
    </row>
    <row r="780" spans="1:27" x14ac:dyDescent="0.25">
      <c r="A780" s="120" t="s">
        <v>434</v>
      </c>
      <c r="B780" s="20" t="s">
        <v>435</v>
      </c>
      <c r="C780" s="21" t="s">
        <v>79</v>
      </c>
      <c r="D780" s="105" t="s">
        <v>378</v>
      </c>
      <c r="E780" s="15">
        <v>152</v>
      </c>
      <c r="F780" s="15">
        <v>113</v>
      </c>
      <c r="G780" s="21" t="s">
        <v>182</v>
      </c>
      <c r="H780" s="20">
        <v>0.85</v>
      </c>
      <c r="I780" s="48">
        <f>MAX('Min rate concentrations'!$M$3:$M$368)</f>
        <v>2.8488184789681945</v>
      </c>
      <c r="J780" s="48">
        <f>MAX('Min rate concentrations'!AE:AE)</f>
        <v>1.9699276716269429</v>
      </c>
      <c r="K780" s="59">
        <f t="shared" si="94"/>
        <v>8.4424415845872777E-2</v>
      </c>
      <c r="L780" s="59">
        <f t="shared" si="98"/>
        <v>5.8378585425337561E-2</v>
      </c>
      <c r="M780" s="59">
        <f>IF((((0.065*F780^0.726)/3.7-(0.301*F780^0.751)/(1-H780)*H780)*(MAX('Min rate concentrations'!$P$3:$P$368)))/F780&gt;0, (((0.065*F780^0.726)/3.7-(0.301*F780^0.751)/(1-H780)*H780)*(MAX('Min rate concentrations'!$P$3:$P$368)))/F780, 0)</f>
        <v>0</v>
      </c>
      <c r="N780" s="59">
        <f>IF((((0.065*F780^0.726)/3.7-(0.301*F780^0.751)/(1-H780)*H780)*(MAX('Min rate concentrations'!$Q$3:$Q$368)))/F780&gt;0, (((0.065*F780^0.726)/3.7-(0.301*F780^0.751)/(1-H780)*H780)*(MAX('Min rate concentrations'!$Q$3:$Q$368)))/F780, 0)</f>
        <v>0</v>
      </c>
      <c r="O780" s="59" t="s">
        <v>13</v>
      </c>
      <c r="P780" s="59" t="s">
        <v>13</v>
      </c>
      <c r="Q780" s="59">
        <f>(inputs!$C$7*11.2)*(25.05*F780^0.63)*0.5*1/F780</f>
        <v>12.199070396019255</v>
      </c>
      <c r="R780" s="59">
        <f>(60*76.9*((F780/1000)^0.76)*3*24*(MAX('Min rate concentrations'!$R$3:$R$368))/F780)</f>
        <v>7.1997548368696958E-4</v>
      </c>
      <c r="S780" s="59">
        <f>(IF(inputs!$C$6="aerial",((0.025*0.112*inputs!$C$7/3.3)*(3*60*76.9*((F780/1000)^0.76))*MAX(inputs!$H$14:$H$16))/F780,((0.0083*0.112*inputs!$C$7/1)*(3*60*76.9*((F780/1000)^0.76))*MAX(inputs!$H$14:$H$16))/F780))</f>
        <v>3.0400740984983096E-3</v>
      </c>
      <c r="T780" s="63">
        <f>IF((((inputs!$P$12/(V780/MAX(K780:S780)))^(1/inputs!$O$12))-1)/inputs!$N$12&lt;0, 0, IF((((inputs!$P$12/(V780/MAX(K780:S780)))^(1/inputs!$O$12))-1)/inputs!$N$12&gt;inputs!$H$17, inputs!$H$17, (((inputs!$P$12/(V780/MAX(K780:S780)))^(1/inputs!$O$12))-1)/inputs!$N$12))</f>
        <v>249.49816779782773</v>
      </c>
      <c r="U780" s="63">
        <f>IF((((inputs!$P$12/(X780/MAX(K780:S780)))^(1/inputs!$O$12))-1)/inputs!$N$12&lt;0, 0, IF((((inputs!$P$12/(X780/MAX(K780:S780)))^(1/inputs!$O$12))-1)/inputs!$N$12&gt;inputs!$H$17, inputs!$H$17, (((inputs!$P$12/(X780/MAX(K780:S780)))^(1/inputs!$O$12))-1)/inputs!$N$12))</f>
        <v>130.8165617564068</v>
      </c>
      <c r="V780" s="21">
        <f>inputs!$E$87*(F780/inputs!$F$87)^(1)</f>
        <v>2.1469999999999996E-2</v>
      </c>
      <c r="W780" s="21">
        <f>inputs!$E$90*(F780/inputs!$F$90)^(1)</f>
        <v>2.2600000000000002E-2</v>
      </c>
      <c r="X780" s="21">
        <f>inputs!$E$89*(F780/inputs!$F$89)^(1)</f>
        <v>8.439240506329114E-2</v>
      </c>
      <c r="Y780" s="21" t="s">
        <v>13</v>
      </c>
      <c r="Z780" s="63">
        <f t="shared" si="96"/>
        <v>568.19144834742701</v>
      </c>
      <c r="AA780" s="63">
        <f t="shared" si="97"/>
        <v>539.78187593005555</v>
      </c>
    </row>
    <row r="781" spans="1:27" ht="26.4" x14ac:dyDescent="0.25">
      <c r="A781" s="120" t="s">
        <v>434</v>
      </c>
      <c r="B781" s="20" t="s">
        <v>435</v>
      </c>
      <c r="C781" s="21" t="s">
        <v>79</v>
      </c>
      <c r="D781" s="105" t="s">
        <v>378</v>
      </c>
      <c r="E781" s="15">
        <v>152</v>
      </c>
      <c r="F781" s="15">
        <v>113</v>
      </c>
      <c r="G781" s="21" t="s">
        <v>634</v>
      </c>
      <c r="H781" s="21">
        <v>0.75</v>
      </c>
      <c r="I781" s="48">
        <f>inputs!$C$65*inputs!$C$64/1000</f>
        <v>2.13</v>
      </c>
      <c r="J781" s="48">
        <f>inputs!$C$65*inputs!$C$63/1000</f>
        <v>0.88</v>
      </c>
      <c r="K781" s="59">
        <f t="shared" si="94"/>
        <v>3.7873386545183955E-2</v>
      </c>
      <c r="L781" s="59">
        <f t="shared" si="98"/>
        <v>1.5647220732282575E-2</v>
      </c>
      <c r="M781" s="59">
        <f>IF((((0.065*F781^0.726)/3.7-(0.301*F781^0.751)/(1-H781)*H781)*(MAX('Min rate concentrations'!$P$3:$P$368)))/F781&gt;0, (((0.065*F781^0.726)/3.7-(0.301*F781^0.751)/(1-H781)*H781)*(MAX('Min rate concentrations'!$P$3:$P$368)))/F781, 0)</f>
        <v>0</v>
      </c>
      <c r="N781" s="59">
        <f>IF((((0.065*F781^0.726)/3.7-(0.301*F781^0.751)/(1-H781)*H781)*(MAX('Min rate concentrations'!$Q$3:$Q$368)))/F781&gt;0, (((0.065*F781^0.726)/3.7-(0.301*F781^0.751)/(1-H781)*H781)*(MAX('Min rate concentrations'!$Q$3:$Q$368)))/F781, 0)</f>
        <v>0</v>
      </c>
      <c r="O781" s="59" t="s">
        <v>13</v>
      </c>
      <c r="P781" s="59" t="s">
        <v>13</v>
      </c>
      <c r="Q781" s="59">
        <f>(inputs!$C$7*11.2)*(25.05*F781^0.63)*0.5*1/F781</f>
        <v>12.199070396019255</v>
      </c>
      <c r="R781" s="59">
        <f>(60*76.9*((F781/1000)^0.76)*3*24*(MAX('Min rate concentrations'!$R$3:$R$368))/F781)</f>
        <v>7.1997548368696958E-4</v>
      </c>
      <c r="S781" s="59">
        <f>(IF(inputs!$C$6="aerial",((0.025*0.112*inputs!$C$7/3.3)*(3*60*76.9*((F781/1000)^0.76))*MAX(inputs!$H$14:$H$16))/F781,((0.0083*0.112*inputs!$C$7/1)*(3*60*76.9*((F781/1000)^0.76))*MAX(inputs!$H$14:$H$16))/F781))</f>
        <v>3.0400740984983096E-3</v>
      </c>
      <c r="T781" s="63">
        <f>IF((((inputs!$P$12/(V781/MAX(K781:S781)))^(1/inputs!$O$12))-1)/inputs!$N$12&lt;0, 0, IF((((inputs!$P$12/(V781/MAX(K781:S781)))^(1/inputs!$O$12))-1)/inputs!$N$12&gt;inputs!$H$17, inputs!$H$17, (((inputs!$P$12/(V781/MAX(K781:S781)))^(1/inputs!$O$12))-1)/inputs!$N$12))</f>
        <v>249.49816779782773</v>
      </c>
      <c r="U781" s="63">
        <f>IF((((inputs!$P$12/(X781/MAX(K781:S781)))^(1/inputs!$O$12))-1)/inputs!$N$12&lt;0, 0, IF((((inputs!$P$12/(X781/MAX(K781:S781)))^(1/inputs!$O$12))-1)/inputs!$N$12&gt;inputs!$H$17, inputs!$H$17, (((inputs!$P$12/(X781/MAX(K781:S781)))^(1/inputs!$O$12))-1)/inputs!$N$12))</f>
        <v>130.8165617564068</v>
      </c>
      <c r="V781" s="21">
        <f>inputs!$E$87*(F781/inputs!$F$87)^(1)</f>
        <v>2.1469999999999996E-2</v>
      </c>
      <c r="W781" s="21">
        <f>inputs!$E$90*(F781/inputs!$F$90)^(1)</f>
        <v>2.2600000000000002E-2</v>
      </c>
      <c r="X781" s="21">
        <f>inputs!$E$89*(F781/inputs!$F$89)^(1)</f>
        <v>8.439240506329114E-2</v>
      </c>
      <c r="Y781" s="21" t="s">
        <v>13</v>
      </c>
      <c r="Z781" s="63">
        <f t="shared" si="96"/>
        <v>568.19144834742701</v>
      </c>
      <c r="AA781" s="63">
        <f t="shared" si="97"/>
        <v>539.78187593005555</v>
      </c>
    </row>
    <row r="782" spans="1:27" x14ac:dyDescent="0.25">
      <c r="A782" s="120" t="s">
        <v>434</v>
      </c>
      <c r="B782" s="20" t="s">
        <v>435</v>
      </c>
      <c r="C782" s="21" t="s">
        <v>79</v>
      </c>
      <c r="D782" s="105" t="s">
        <v>378</v>
      </c>
      <c r="E782" s="15">
        <v>152</v>
      </c>
      <c r="F782" s="15">
        <v>113</v>
      </c>
      <c r="G782" s="21" t="s">
        <v>456</v>
      </c>
      <c r="H782" s="20">
        <v>0.68</v>
      </c>
      <c r="I782" s="48">
        <f>MAX('Min rate concentrations'!$J$3:$J$368)</f>
        <v>114.4108103430513</v>
      </c>
      <c r="J782" s="48">
        <f>MAX('Min rate concentrations'!AB:AB)</f>
        <v>40.520495329830666</v>
      </c>
      <c r="K782" s="59">
        <f t="shared" si="94"/>
        <v>1.5893210259206696</v>
      </c>
      <c r="L782" s="59">
        <f t="shared" si="98"/>
        <v>0.56288453001357042</v>
      </c>
      <c r="M782" s="59">
        <f>IF((((0.065*F782^0.726)/3.7-(0.301*F782^0.751)/(1-H782)*H782)*(MAX('Min rate concentrations'!$P$3:$P$368)))/F782&gt;0, (((0.065*F782^0.726)/3.7-(0.301*F782^0.751)/(1-H782)*H782)*(MAX('Min rate concentrations'!$P$3:$P$368)))/F782, 0)</f>
        <v>0</v>
      </c>
      <c r="N782" s="59">
        <f>IF((((0.065*F782^0.726)/3.7-(0.301*F782^0.751)/(1-H782)*H782)*(MAX('Min rate concentrations'!$Q$3:$Q$368)))/F782&gt;0, (((0.065*F782^0.726)/3.7-(0.301*F782^0.751)/(1-H782)*H782)*(MAX('Min rate concentrations'!$Q$3:$Q$368)))/F782, 0)</f>
        <v>0</v>
      </c>
      <c r="O782" s="59" t="s">
        <v>13</v>
      </c>
      <c r="P782" s="59" t="s">
        <v>13</v>
      </c>
      <c r="Q782" s="59">
        <f>(inputs!$C$7*11.2)*(25.05*F782^0.63)*0.5*1/F782</f>
        <v>12.199070396019255</v>
      </c>
      <c r="R782" s="59">
        <f>(60*76.9*((F782/1000)^0.76)*3*24*(MAX('Min rate concentrations'!$R$3:$R$368))/F782)</f>
        <v>7.1997548368696958E-4</v>
      </c>
      <c r="S782" s="59">
        <f>(IF(inputs!$C$6="aerial",((0.025*0.112*inputs!$C$7/3.3)*(3*60*76.9*((F782/1000)^0.76))*MAX(inputs!$H$14:$H$16))/F782,((0.0083*0.112*inputs!$C$7/1)*(3*60*76.9*((F782/1000)^0.76))*MAX(inputs!$H$14:$H$16))/F782))</f>
        <v>3.0400740984983096E-3</v>
      </c>
      <c r="T782" s="63">
        <f>IF((((inputs!$P$12/(V782/MAX(K782:S782)))^(1/inputs!$O$12))-1)/inputs!$N$12&lt;0, 0, IF((((inputs!$P$12/(V782/MAX(K782:S782)))^(1/inputs!$O$12))-1)/inputs!$N$12&gt;inputs!$H$17, inputs!$H$17, (((inputs!$P$12/(V782/MAX(K782:S782)))^(1/inputs!$O$12))-1)/inputs!$N$12))</f>
        <v>249.49816779782773</v>
      </c>
      <c r="U782" s="63">
        <f>IF((((inputs!$P$12/(X782/MAX(K782:S782)))^(1/inputs!$O$12))-1)/inputs!$N$12&lt;0, 0, IF((((inputs!$P$12/(X782/MAX(K782:S782)))^(1/inputs!$O$12))-1)/inputs!$N$12&gt;inputs!$H$17, inputs!$H$17, (((inputs!$P$12/(X782/MAX(K782:S782)))^(1/inputs!$O$12))-1)/inputs!$N$12))</f>
        <v>130.8165617564068</v>
      </c>
      <c r="V782" s="21">
        <f>inputs!$E$87*(F782/inputs!$F$87)^(1)</f>
        <v>2.1469999999999996E-2</v>
      </c>
      <c r="W782" s="21">
        <f>inputs!$E$90*(F782/inputs!$F$90)^(1)</f>
        <v>2.2600000000000002E-2</v>
      </c>
      <c r="X782" s="21">
        <f>inputs!$E$89*(F782/inputs!$F$89)^(1)</f>
        <v>8.439240506329114E-2</v>
      </c>
      <c r="Y782" s="21" t="s">
        <v>13</v>
      </c>
      <c r="Z782" s="63">
        <f t="shared" si="96"/>
        <v>568.19144834742701</v>
      </c>
      <c r="AA782" s="63">
        <f t="shared" si="97"/>
        <v>539.78187593005555</v>
      </c>
    </row>
    <row r="783" spans="1:27" x14ac:dyDescent="0.25">
      <c r="A783" s="103" t="s">
        <v>416</v>
      </c>
      <c r="B783" s="20" t="s">
        <v>417</v>
      </c>
      <c r="C783" s="21" t="s">
        <v>79</v>
      </c>
      <c r="D783" s="105" t="s">
        <v>378</v>
      </c>
      <c r="E783" s="15">
        <v>179</v>
      </c>
      <c r="F783" s="15">
        <v>1.5</v>
      </c>
      <c r="G783" s="21" t="s">
        <v>142</v>
      </c>
      <c r="H783" s="21">
        <v>0.69</v>
      </c>
      <c r="I783" s="48">
        <f>MAX('Min rate concentrations'!$H$3:$H$368)</f>
        <v>47</v>
      </c>
      <c r="J783" s="48">
        <f>MAX('Min rate concentrations'!AA:AA)</f>
        <v>32.5</v>
      </c>
      <c r="K783" s="59">
        <f t="shared" si="94"/>
        <v>1.7976568774363344</v>
      </c>
      <c r="L783" s="59">
        <f t="shared" si="98"/>
        <v>1.2430606067378909</v>
      </c>
      <c r="M783" s="59">
        <f>IF((((0.065*F783^0.726)/3.7-(0.301*F783^0.751)/(1-H783)*H783)*(MAX('Min rate concentrations'!$P$3:$P$368)))/F783&gt;0, (((0.065*F783^0.726)/3.7-(0.301*F783^0.751)/(1-H783)*H783)*(MAX('Min rate concentrations'!$P$3:$P$368)))/F783, 0)</f>
        <v>0</v>
      </c>
      <c r="N783" s="59">
        <f>IF((((0.065*F783^0.726)/3.7-(0.301*F783^0.751)/(1-H783)*H783)*(MAX('Min rate concentrations'!$Q$3:$Q$368)))/F783&gt;0, (((0.065*F783^0.726)/3.7-(0.301*F783^0.751)/(1-H783)*H783)*(MAX('Min rate concentrations'!$Q$3:$Q$368)))/F783, 0)</f>
        <v>0</v>
      </c>
      <c r="O783" s="59" t="s">
        <v>13</v>
      </c>
      <c r="P783" s="59" t="s">
        <v>13</v>
      </c>
      <c r="Q783" s="59">
        <f>(inputs!$C$7*11.2)*(25.05*F783^0.63)*0.5*1/F783</f>
        <v>60.368723906612097</v>
      </c>
      <c r="R783" s="59">
        <f>(60*76.9*((F783/1000)^0.76)*3*24*(MAX('Min rate concentrations'!$R$3:$R$368))/F783)</f>
        <v>2.0313961851059076E-3</v>
      </c>
      <c r="S783" s="59">
        <f>(IF(inputs!$C$6="aerial",((0.025*0.112*inputs!$C$7/3.3)*(3*60*76.9*((F783/1000)^0.76))*MAX(inputs!$H$14:$H$16))/F783,((0.0083*0.112*inputs!$C$7/1)*(3*60*76.9*((F783/1000)^0.76))*MAX(inputs!$H$14:$H$16))/F783))</f>
        <v>8.5775072430296345E-3</v>
      </c>
      <c r="T783" s="63">
        <f>IF((((inputs!$P$12/(V783/MAX(K783:S783)))^(1/inputs!$O$12))-1)/inputs!$N$12&lt;0, 0, IF((((inputs!$P$12/(V783/MAX(K783:S783)))^(1/inputs!$O$12))-1)/inputs!$N$12&gt;inputs!$H$17, inputs!$H$17, (((inputs!$P$12/(V783/MAX(K783:S783)))^(1/inputs!$O$12))-1)/inputs!$N$12))</f>
        <v>1000</v>
      </c>
      <c r="U783" s="63">
        <f>IF((((inputs!$P$12/(X783/MAX(K783:S783)))^(1/inputs!$O$12))-1)/inputs!$N$12&lt;0, 0, IF((((inputs!$P$12/(X783/MAX(K783:S783)))^(1/inputs!$O$12))-1)/inputs!$N$12&gt;inputs!$H$17, inputs!$H$17, (((inputs!$P$12/(X783/MAX(K783:S783)))^(1/inputs!$O$12))-1)/inputs!$N$12))</f>
        <v>1000</v>
      </c>
      <c r="V783" s="21">
        <f>inputs!$E$87*(F783/inputs!$F$87)^(1)</f>
        <v>2.8499999999999999E-4</v>
      </c>
      <c r="W783" s="21">
        <f>inputs!$E$90*(F783/inputs!$F$90)^(1)</f>
        <v>2.9999999999999997E-4</v>
      </c>
      <c r="X783" s="21">
        <f>inputs!$E$89*(F783/inputs!$F$89)^(1)</f>
        <v>1.1202531645569619E-3</v>
      </c>
      <c r="Y783" s="21" t="s">
        <v>13</v>
      </c>
      <c r="Z783" s="63">
        <f t="shared" si="96"/>
        <v>211820.08388284946</v>
      </c>
      <c r="AA783" s="63">
        <f t="shared" si="97"/>
        <v>201229.07968870702</v>
      </c>
    </row>
    <row r="784" spans="1:27" x14ac:dyDescent="0.25">
      <c r="A784" s="185" t="s">
        <v>871</v>
      </c>
      <c r="B784" s="54" t="s">
        <v>873</v>
      </c>
      <c r="C784" s="21" t="s">
        <v>79</v>
      </c>
      <c r="D784" s="186" t="s">
        <v>378</v>
      </c>
      <c r="E784" s="21">
        <v>10732</v>
      </c>
      <c r="F784" s="21">
        <v>8.9</v>
      </c>
      <c r="G784" s="20" t="s">
        <v>142</v>
      </c>
      <c r="H784" s="21">
        <v>0.69</v>
      </c>
      <c r="I784" s="48">
        <f>MAX('Min rate concentrations'!$H$3:$H$368)</f>
        <v>47</v>
      </c>
      <c r="J784" s="48">
        <f>MAX('Min rate concentrations'!AA:AA)</f>
        <v>32.5</v>
      </c>
      <c r="K784" s="59">
        <f t="shared" si="94"/>
        <v>1.1999633586541045</v>
      </c>
      <c r="L784" s="59">
        <f t="shared" si="98"/>
        <v>0.82976189694166813</v>
      </c>
      <c r="M784" s="59">
        <f>IF((((0.065*F784^0.726)/3.7-(0.301*F784^0.751)/(1-H784)*H784)*(MAX('Min rate concentrations'!$P$3:$P$368)))/F784&gt;0, (((0.065*F784^0.726)/3.7-(0.301*F784^0.751)/(1-H784)*H784)*(MAX('Min rate concentrations'!$P$3:$P$368)))/F784, 0)</f>
        <v>0</v>
      </c>
      <c r="N784" s="59">
        <f>IF((((0.065*F784^0.726)/3.7-(0.301*F784^0.751)/(1-H784)*H784)*(MAX('Min rate concentrations'!$Q$3:$Q$368)))/F784&gt;0, (((0.065*F784^0.726)/3.7-(0.301*F784^0.751)/(1-H784)*H784)*(MAX('Min rate concentrations'!$Q$3:$Q$368)))/F784, 0)</f>
        <v>0</v>
      </c>
      <c r="O784" s="59" t="s">
        <v>13</v>
      </c>
      <c r="P784" s="59" t="s">
        <v>13</v>
      </c>
      <c r="Q784" s="59">
        <f>(inputs!$C$7*11.2)*(25.05*F784^0.63)*0.5*1/F784</f>
        <v>31.238592586838482</v>
      </c>
      <c r="R784" s="59">
        <f>(60*76.9*((F784/1000)^0.76)*3*24*(MAX('Min rate concentrations'!$R$3:$R$368))/F784)</f>
        <v>1.3249605058486733E-3</v>
      </c>
      <c r="S784" s="59">
        <f>(IF(inputs!$C$6="aerial",((0.025*0.112*inputs!$C$7/3.3)*(3*60*76.9*((F784/1000)^0.76))*MAX(inputs!$H$14:$H$16))/F784,((0.0083*0.112*inputs!$C$7/1)*(3*60*76.9*((F784/1000)^0.76))*MAX(inputs!$H$14:$H$16))/F784))</f>
        <v>5.5946045478335368E-3</v>
      </c>
      <c r="T784" s="63">
        <f>IF((((inputs!$P$12/(V784/MAX(K784:S784)))^(1/inputs!$O$12))-1)/inputs!$N$12&lt;0, 0, IF((((inputs!$P$12/(V784/MAX(K784:S784)))^(1/inputs!$O$12))-1)/inputs!$N$12&gt;inputs!$H$17, inputs!$H$17, (((inputs!$P$12/(V784/MAX(K784:S784)))^(1/inputs!$O$12))-1)/inputs!$N$12))</f>
        <v>1000</v>
      </c>
      <c r="U784" s="63">
        <f>IF((((inputs!$P$12/(X784/MAX(K784:S784)))^(1/inputs!$O$12))-1)/inputs!$N$12&lt;0, 0, IF((((inputs!$P$12/(X784/MAX(K784:S784)))^(1/inputs!$O$12))-1)/inputs!$N$12&gt;inputs!$H$17, inputs!$H$17, (((inputs!$P$12/(X784/MAX(K784:S784)))^(1/inputs!$O$12))-1)/inputs!$N$12))</f>
        <v>628.01718291349493</v>
      </c>
      <c r="V784" s="21">
        <f>inputs!$E$87*(F784/inputs!$F$87)^(1)</f>
        <v>1.6910000000000002E-3</v>
      </c>
      <c r="W784" s="21">
        <f>inputs!$E$90*(F784/inputs!$F$90)^(1)</f>
        <v>1.7800000000000001E-3</v>
      </c>
      <c r="X784" s="21">
        <f>inputs!$E$89*(F784/inputs!$F$89)^(1)</f>
        <v>6.6468354430379746E-3</v>
      </c>
      <c r="Y784" s="21" t="s">
        <v>13</v>
      </c>
      <c r="Z784" s="63">
        <f t="shared" si="96"/>
        <v>18473.443280211992</v>
      </c>
      <c r="AA784" s="63">
        <f t="shared" si="97"/>
        <v>17549.771116201395</v>
      </c>
    </row>
    <row r="785" spans="1:27" x14ac:dyDescent="0.25">
      <c r="A785" s="103" t="s">
        <v>376</v>
      </c>
      <c r="B785" s="20" t="s">
        <v>377</v>
      </c>
      <c r="C785" s="21" t="s">
        <v>79</v>
      </c>
      <c r="D785" s="105" t="s">
        <v>378</v>
      </c>
      <c r="E785" s="15">
        <v>163</v>
      </c>
      <c r="F785" s="15">
        <v>0.72</v>
      </c>
      <c r="G785" s="21" t="s">
        <v>142</v>
      </c>
      <c r="H785" s="21">
        <v>0.69</v>
      </c>
      <c r="I785" s="48">
        <f>MAX('Min rate concentrations'!$H$3:$H$368)</f>
        <v>47</v>
      </c>
      <c r="J785" s="48">
        <f>MAX('Min rate concentrations'!AA:AA)</f>
        <v>32.5</v>
      </c>
      <c r="K785" s="59">
        <f t="shared" ref="K785:K820" si="99">(((0.013*F785^0.773)/(1-H785)))*I785/F785</f>
        <v>2.1235624618106561</v>
      </c>
      <c r="L785" s="59">
        <f t="shared" si="98"/>
        <v>1.4684208512520494</v>
      </c>
      <c r="M785" s="59">
        <f>IF((((0.065*F785^0.726)/3.7-(0.301*F785^0.751)/(1-H785)*H785)*(MAX('Min rate concentrations'!$P$3:$P$368)))/F785&gt;0, (((0.065*F785^0.726)/3.7-(0.301*F785^0.751)/(1-H785)*H785)*(MAX('Min rate concentrations'!$P$3:$P$368)))/F785, 0)</f>
        <v>0</v>
      </c>
      <c r="N785" s="59">
        <f>IF((((0.065*F785^0.726)/3.7-(0.301*F785^0.751)/(1-H785)*H785)*(MAX('Min rate concentrations'!$Q$3:$Q$368)))/F785&gt;0, (((0.065*F785^0.726)/3.7-(0.301*F785^0.751)/(1-H785)*H785)*(MAX('Min rate concentrations'!$Q$3:$Q$368)))/F785, 0)</f>
        <v>0</v>
      </c>
      <c r="O785" s="59" t="s">
        <v>13</v>
      </c>
      <c r="P785" s="59" t="s">
        <v>13</v>
      </c>
      <c r="Q785" s="59">
        <f>(inputs!$C$7*11.2)*(25.05*F785^0.63)*0.5*1/F785</f>
        <v>79.205025452599855</v>
      </c>
      <c r="R785" s="59">
        <f>(60*76.9*((F785/1000)^0.76)*3*24*(MAX('Min rate concentrations'!$R$3:$R$368))/F785)</f>
        <v>2.4226838015506381E-3</v>
      </c>
      <c r="S785" s="59">
        <f>(IF(inputs!$C$6="aerial",((0.025*0.112*inputs!$C$7/3.3)*(3*60*76.9*((F785/1000)^0.76))*MAX(inputs!$H$14:$H$16))/F785,((0.0083*0.112*inputs!$C$7/1)*(3*60*76.9*((F785/1000)^0.76))*MAX(inputs!$H$14:$H$16))/F785))</f>
        <v>1.0229707039785433E-2</v>
      </c>
      <c r="T785" s="63">
        <f>IF((((inputs!$P$12/(V785/MAX(K785:S785)))^(1/inputs!$O$12))-1)/inputs!$N$12&lt;0, 0, IF((((inputs!$P$12/(V785/MAX(K785:S785)))^(1/inputs!$O$12))-1)/inputs!$N$12&gt;inputs!$H$17, inputs!$H$17, (((inputs!$P$12/(V785/MAX(K785:S785)))^(1/inputs!$O$12))-1)/inputs!$N$12))</f>
        <v>1000</v>
      </c>
      <c r="U785" s="63">
        <f>IF((((inputs!$P$12/(X785/MAX(K785:S785)))^(1/inputs!$O$12))-1)/inputs!$N$12&lt;0, 0, IF((((inputs!$P$12/(X785/MAX(K785:S785)))^(1/inputs!$O$12))-1)/inputs!$N$12&gt;inputs!$H$17, inputs!$H$17, (((inputs!$P$12/(X785/MAX(K785:S785)))^(1/inputs!$O$12))-1)/inputs!$N$12))</f>
        <v>1000</v>
      </c>
      <c r="V785" s="21">
        <f>inputs!$E$87*(F785/inputs!$F$87)^(1)</f>
        <v>1.3679999999999999E-4</v>
      </c>
      <c r="W785" s="21">
        <f>inputs!$E$90*(F785/inputs!$F$90)^(1)</f>
        <v>1.44E-4</v>
      </c>
      <c r="X785" s="21">
        <f>inputs!$E$89*(F785/inputs!$F$89)^(1)</f>
        <v>5.3772151898734172E-4</v>
      </c>
      <c r="Y785" s="21" t="s">
        <v>13</v>
      </c>
      <c r="Z785" s="63">
        <f t="shared" si="96"/>
        <v>578984.10418567155</v>
      </c>
      <c r="AA785" s="63">
        <f t="shared" si="97"/>
        <v>550034.89897638792</v>
      </c>
    </row>
    <row r="786" spans="1:27" x14ac:dyDescent="0.25">
      <c r="A786" s="103" t="s">
        <v>376</v>
      </c>
      <c r="B786" s="20" t="s">
        <v>377</v>
      </c>
      <c r="C786" s="21" t="s">
        <v>79</v>
      </c>
      <c r="D786" s="105" t="s">
        <v>378</v>
      </c>
      <c r="E786" s="15">
        <v>163</v>
      </c>
      <c r="F786" s="15">
        <v>0.72</v>
      </c>
      <c r="G786" s="21" t="s">
        <v>146</v>
      </c>
      <c r="H786" s="20">
        <v>0.84</v>
      </c>
      <c r="I786" s="48">
        <f>MAX('Min rate concentrations'!$I$3:$I$368)</f>
        <v>9.4775690500787988</v>
      </c>
      <c r="J786" s="48" t="s">
        <v>13</v>
      </c>
      <c r="K786" s="59">
        <f t="shared" si="99"/>
        <v>0.82967088534965439</v>
      </c>
      <c r="L786" s="48" t="s">
        <v>13</v>
      </c>
      <c r="M786" s="59">
        <f>IF((((0.065*F786^0.726)/3.7-(0.301*F786^0.751)/(1-H786)*H786)*(MAX('Min rate concentrations'!$P$3:$P$368)))/F786&gt;0, (((0.065*F786^0.726)/3.7-(0.301*F786^0.751)/(1-H786)*H786)*(MAX('Min rate concentrations'!$P$3:$P$368)))/F786, 0)</f>
        <v>0</v>
      </c>
      <c r="N786" s="59">
        <f>IF((((0.065*F786^0.726)/3.7-(0.301*F786^0.751)/(1-H786)*H786)*(MAX('Min rate concentrations'!$Q$3:$Q$368)))/F786&gt;0, (((0.065*F786^0.726)/3.7-(0.301*F786^0.751)/(1-H786)*H786)*(MAX('Min rate concentrations'!$Q$3:$Q$368)))/F786, 0)</f>
        <v>0</v>
      </c>
      <c r="O786" s="59" t="s">
        <v>13</v>
      </c>
      <c r="P786" s="59" t="s">
        <v>13</v>
      </c>
      <c r="Q786" s="59">
        <f>(inputs!$C$7*11.2)*(25.05*F786^0.63)*0.5*1/F786</f>
        <v>79.205025452599855</v>
      </c>
      <c r="R786" s="59">
        <f>(60*76.9*((F786/1000)^0.76)*3*24*(MAX('Min rate concentrations'!$R$3:$R$368))/F786)</f>
        <v>2.4226838015506381E-3</v>
      </c>
      <c r="S786" s="59">
        <f>(IF(inputs!$C$6="aerial",((0.025*0.112*inputs!$C$7/3.3)*(3*60*76.9*((F786/1000)^0.76))*MAX(inputs!$H$14:$H$16))/F786,((0.0083*0.112*inputs!$C$7/1)*(3*60*76.9*((F786/1000)^0.76))*MAX(inputs!$H$14:$H$16))/F786))</f>
        <v>1.0229707039785433E-2</v>
      </c>
      <c r="T786" s="63">
        <f>IF((((inputs!$P$12/(V786/MAX(K786:S786)))^(1/inputs!$O$12))-1)/inputs!$N$12&lt;0, 0, IF((((inputs!$P$12/(V786/MAX(K786:S786)))^(1/inputs!$O$12))-1)/inputs!$N$12&gt;inputs!$H$17, inputs!$H$17, (((inputs!$P$12/(V786/MAX(K786:S786)))^(1/inputs!$O$12))-1)/inputs!$N$12))</f>
        <v>1000</v>
      </c>
      <c r="U786" s="63">
        <f>IF((((inputs!$P$12/(X786/MAX(K786:S786)))^(1/inputs!$O$12))-1)/inputs!$N$12&lt;0, 0, IF((((inputs!$P$12/(X786/MAX(K786:S786)))^(1/inputs!$O$12))-1)/inputs!$N$12&gt;inputs!$H$17, inputs!$H$17, (((inputs!$P$12/(X786/MAX(K786:S786)))^(1/inputs!$O$12))-1)/inputs!$N$12))</f>
        <v>1000</v>
      </c>
      <c r="V786" s="21">
        <f>inputs!$E$87*(F786/inputs!$F$87)^(1)</f>
        <v>1.3679999999999999E-4</v>
      </c>
      <c r="W786" s="21">
        <f>inputs!$E$90*(F786/inputs!$F$90)^(1)</f>
        <v>1.44E-4</v>
      </c>
      <c r="X786" s="21">
        <f>inputs!$E$89*(F786/inputs!$F$89)^(1)</f>
        <v>5.3772151898734172E-4</v>
      </c>
      <c r="Y786" s="21" t="s">
        <v>13</v>
      </c>
      <c r="Z786" s="63">
        <f t="shared" si="96"/>
        <v>578984.10418567155</v>
      </c>
      <c r="AA786" s="63">
        <f t="shared" si="97"/>
        <v>550034.89897638792</v>
      </c>
    </row>
    <row r="787" spans="1:27" x14ac:dyDescent="0.25">
      <c r="A787" s="103" t="s">
        <v>395</v>
      </c>
      <c r="B787" s="20" t="s">
        <v>396</v>
      </c>
      <c r="C787" s="21" t="s">
        <v>79</v>
      </c>
      <c r="D787" s="105" t="s">
        <v>378</v>
      </c>
      <c r="E787" s="15">
        <v>174</v>
      </c>
      <c r="F787" s="15">
        <v>128</v>
      </c>
      <c r="G787" s="21" t="s">
        <v>138</v>
      </c>
      <c r="H787" s="20">
        <v>0.68</v>
      </c>
      <c r="I787" s="48">
        <f>MAX('Min rate concentrations'!$L$3:$L$368)</f>
        <v>58.421240152220811</v>
      </c>
      <c r="J787" s="48">
        <f>MAX('Min rate concentrations'!AD:AD)</f>
        <v>40.397666062705881</v>
      </c>
      <c r="K787" s="59">
        <f t="shared" si="99"/>
        <v>0.78891003927921022</v>
      </c>
      <c r="L787" s="59">
        <f t="shared" ref="L787:L796" si="100">(((0.013*F787^0.773)/(1-H787)))*J787/F787</f>
        <v>0.54552289950158162</v>
      </c>
      <c r="M787" s="59">
        <f>IF((((0.065*F787^0.726)/3.7-(0.301*F787^0.751)/(1-H787)*H787)*(MAX('Min rate concentrations'!$P$3:$P$368)))/F787&gt;0, (((0.065*F787^0.726)/3.7-(0.301*F787^0.751)/(1-H787)*H787)*(MAX('Min rate concentrations'!$P$3:$P$368)))/F787, 0)</f>
        <v>0</v>
      </c>
      <c r="N787" s="59">
        <f>IF((((0.065*F787^0.726)/3.7-(0.301*F787^0.751)/(1-H787)*H787)*(MAX('Min rate concentrations'!$Q$3:$Q$368)))/F787&gt;0, (((0.065*F787^0.726)/3.7-(0.301*F787^0.751)/(1-H787)*H787)*(MAX('Min rate concentrations'!$Q$3:$Q$368)))/F787, 0)</f>
        <v>0</v>
      </c>
      <c r="O787" s="59" t="s">
        <v>13</v>
      </c>
      <c r="P787" s="59" t="s">
        <v>13</v>
      </c>
      <c r="Q787" s="59">
        <f>(inputs!$C$7*11.2)*(25.05*F787^0.63)*0.5*1/F787</f>
        <v>11.649252875091161</v>
      </c>
      <c r="R787" s="59">
        <f>(60*76.9*((F787/1000)^0.76)*3*24*(MAX('Min rate concentrations'!$R$3:$R$368))/F787)</f>
        <v>6.9875695237107765E-4</v>
      </c>
      <c r="S787" s="59">
        <f>(IF(inputs!$C$6="aerial",((0.025*0.112*inputs!$C$7/3.3)*(3*60*76.9*((F787/1000)^0.76))*MAX(inputs!$H$14:$H$16))/F787,((0.0083*0.112*inputs!$C$7/1)*(3*60*76.9*((F787/1000)^0.76))*MAX(inputs!$H$14:$H$16))/F787))</f>
        <v>2.9504795096224694E-3</v>
      </c>
      <c r="T787" s="63">
        <f>IF((((inputs!$P$12/(V787/MAX(K787:S787)))^(1/inputs!$O$12))-1)/inputs!$N$12&lt;0, 0, IF((((inputs!$P$12/(V787/MAX(K787:S787)))^(1/inputs!$O$12))-1)/inputs!$N$12&gt;inputs!$H$17, inputs!$H$17, (((inputs!$P$12/(V787/MAX(K787:S787)))^(1/inputs!$O$12))-1)/inputs!$N$12))</f>
        <v>230.84594901807043</v>
      </c>
      <c r="U787" s="63">
        <f>IF((((inputs!$P$12/(X787/MAX(K787:S787)))^(1/inputs!$O$12))-1)/inputs!$N$12&lt;0, 0, IF((((inputs!$P$12/(X787/MAX(K787:S787)))^(1/inputs!$O$12))-1)/inputs!$N$12&gt;inputs!$H$17, inputs!$H$17, (((inputs!$P$12/(X787/MAX(K787:S787)))^(1/inputs!$O$12))-1)/inputs!$N$12))</f>
        <v>120.12754181234861</v>
      </c>
      <c r="V787" s="21">
        <f>inputs!$E$87*(F787/inputs!$F$87)^(1)</f>
        <v>2.4320000000000001E-2</v>
      </c>
      <c r="W787" s="21">
        <f>inputs!$E$90*(F787/inputs!$F$90)^(1)</f>
        <v>2.5600000000000001E-2</v>
      </c>
      <c r="X787" s="21">
        <f>inputs!$E$89*(F787/inputs!$F$89)^(1)</f>
        <v>9.5594936708860753E-2</v>
      </c>
      <c r="Y787" s="21" t="s">
        <v>13</v>
      </c>
      <c r="Z787" s="63">
        <f t="shared" si="96"/>
        <v>478.99888466657734</v>
      </c>
      <c r="AA787" s="63">
        <f t="shared" si="97"/>
        <v>455.04894043324845</v>
      </c>
    </row>
    <row r="788" spans="1:27" x14ac:dyDescent="0.25">
      <c r="A788" s="103" t="s">
        <v>395</v>
      </c>
      <c r="B788" s="20" t="s">
        <v>396</v>
      </c>
      <c r="C788" s="21" t="s">
        <v>79</v>
      </c>
      <c r="D788" s="105" t="s">
        <v>378</v>
      </c>
      <c r="E788" s="15">
        <v>174</v>
      </c>
      <c r="F788" s="15">
        <v>128</v>
      </c>
      <c r="G788" s="21" t="s">
        <v>456</v>
      </c>
      <c r="H788" s="20">
        <v>0.68</v>
      </c>
      <c r="I788" s="48">
        <f>MAX('Min rate concentrations'!$J$3:$J$368)</f>
        <v>114.4108103430513</v>
      </c>
      <c r="J788" s="48">
        <f>MAX('Min rate concentrations'!AB:AB)</f>
        <v>40.520495329830666</v>
      </c>
      <c r="K788" s="59">
        <f t="shared" si="99"/>
        <v>1.544983239769034</v>
      </c>
      <c r="L788" s="59">
        <f t="shared" si="100"/>
        <v>0.54718156408486618</v>
      </c>
      <c r="M788" s="59">
        <f>IF((((0.065*F788^0.726)/3.7-(0.301*F788^0.751)/(1-H788)*H788)*(MAX('Min rate concentrations'!$P$3:$P$368)))/F788&gt;0, (((0.065*F788^0.726)/3.7-(0.301*F788^0.751)/(1-H788)*H788)*(MAX('Min rate concentrations'!$P$3:$P$368)))/F788, 0)</f>
        <v>0</v>
      </c>
      <c r="N788" s="59">
        <f>IF((((0.065*F788^0.726)/3.7-(0.301*F788^0.751)/(1-H788)*H788)*(MAX('Min rate concentrations'!$Q$3:$Q$368)))/F788&gt;0, (((0.065*F788^0.726)/3.7-(0.301*F788^0.751)/(1-H788)*H788)*(MAX('Min rate concentrations'!$Q$3:$Q$368)))/F788, 0)</f>
        <v>0</v>
      </c>
      <c r="O788" s="59" t="s">
        <v>13</v>
      </c>
      <c r="P788" s="59" t="s">
        <v>13</v>
      </c>
      <c r="Q788" s="59">
        <f>(inputs!$C$7*11.2)*(25.05*F788^0.63)*0.5*1/F788</f>
        <v>11.649252875091161</v>
      </c>
      <c r="R788" s="59">
        <f>(60*76.9*((F788/1000)^0.76)*3*24*(MAX('Min rate concentrations'!$R$3:$R$368))/F788)</f>
        <v>6.9875695237107765E-4</v>
      </c>
      <c r="S788" s="59">
        <f>(IF(inputs!$C$6="aerial",((0.025*0.112*inputs!$C$7/3.3)*(3*60*76.9*((F788/1000)^0.76))*MAX(inputs!$H$14:$H$16))/F788,((0.0083*0.112*inputs!$C$7/1)*(3*60*76.9*((F788/1000)^0.76))*MAX(inputs!$H$14:$H$16))/F788))</f>
        <v>2.9504795096224694E-3</v>
      </c>
      <c r="T788" s="63">
        <f>IF((((inputs!$P$12/(V788/MAX(K788:S788)))^(1/inputs!$O$12))-1)/inputs!$N$12&lt;0, 0, IF((((inputs!$P$12/(V788/MAX(K788:S788)))^(1/inputs!$O$12))-1)/inputs!$N$12&gt;inputs!$H$17, inputs!$H$17, (((inputs!$P$12/(V788/MAX(K788:S788)))^(1/inputs!$O$12))-1)/inputs!$N$12))</f>
        <v>230.84594901807043</v>
      </c>
      <c r="U788" s="63">
        <f>IF((((inputs!$P$12/(X788/MAX(K788:S788)))^(1/inputs!$O$12))-1)/inputs!$N$12&lt;0, 0, IF((((inputs!$P$12/(X788/MAX(K788:S788)))^(1/inputs!$O$12))-1)/inputs!$N$12&gt;inputs!$H$17, inputs!$H$17, (((inputs!$P$12/(X788/MAX(K788:S788)))^(1/inputs!$O$12))-1)/inputs!$N$12))</f>
        <v>120.12754181234861</v>
      </c>
      <c r="V788" s="21">
        <f>inputs!$E$87*(F788/inputs!$F$87)^(1)</f>
        <v>2.4320000000000001E-2</v>
      </c>
      <c r="W788" s="21">
        <f>inputs!$E$90*(F788/inputs!$F$90)^(1)</f>
        <v>2.5600000000000001E-2</v>
      </c>
      <c r="X788" s="21">
        <f>inputs!$E$89*(F788/inputs!$F$89)^(1)</f>
        <v>9.5594936708860753E-2</v>
      </c>
      <c r="Y788" s="21" t="s">
        <v>13</v>
      </c>
      <c r="Z788" s="63">
        <f t="shared" si="96"/>
        <v>478.99888466657734</v>
      </c>
      <c r="AA788" s="63">
        <f t="shared" si="97"/>
        <v>455.04894043324845</v>
      </c>
    </row>
    <row r="789" spans="1:27" x14ac:dyDescent="0.25">
      <c r="A789" s="103" t="s">
        <v>395</v>
      </c>
      <c r="B789" s="20" t="s">
        <v>396</v>
      </c>
      <c r="C789" s="21" t="s">
        <v>79</v>
      </c>
      <c r="D789" s="105" t="s">
        <v>378</v>
      </c>
      <c r="E789" s="15">
        <v>174</v>
      </c>
      <c r="F789" s="15">
        <v>128</v>
      </c>
      <c r="G789" s="21" t="s">
        <v>145</v>
      </c>
      <c r="H789" s="20">
        <v>0.66</v>
      </c>
      <c r="I789" s="48">
        <f>MAX('Min rate concentrations'!$M$3:$M$368)</f>
        <v>2.8488184789681945</v>
      </c>
      <c r="J789" s="48">
        <f>MAX('Min rate concentrations'!AE:AE)</f>
        <v>1.9699276716269429</v>
      </c>
      <c r="K789" s="59">
        <f t="shared" si="99"/>
        <v>3.6207000657516114E-2</v>
      </c>
      <c r="L789" s="59">
        <f t="shared" si="100"/>
        <v>2.5036755773814333E-2</v>
      </c>
      <c r="M789" s="59">
        <f>IF((((0.065*F789^0.726)/3.7-(0.301*F789^0.751)/(1-H789)*H789)*(MAX('Min rate concentrations'!$P$3:$P$368)))/F789&gt;0, (((0.065*F789^0.726)/3.7-(0.301*F789^0.751)/(1-H789)*H789)*(MAX('Min rate concentrations'!$P$3:$P$368)))/F789, 0)</f>
        <v>0</v>
      </c>
      <c r="N789" s="59">
        <f>IF((((0.065*F789^0.726)/3.7-(0.301*F789^0.751)/(1-H789)*H789)*(MAX('Min rate concentrations'!$Q$3:$Q$368)))/F789&gt;0, (((0.065*F789^0.726)/3.7-(0.301*F789^0.751)/(1-H789)*H789)*(MAX('Min rate concentrations'!$Q$3:$Q$368)))/F789, 0)</f>
        <v>0</v>
      </c>
      <c r="O789" s="59" t="s">
        <v>13</v>
      </c>
      <c r="P789" s="59" t="s">
        <v>13</v>
      </c>
      <c r="Q789" s="59">
        <f>(inputs!$C$7*11.2)*(25.05*F789^0.63)*0.5*1/F789</f>
        <v>11.649252875091161</v>
      </c>
      <c r="R789" s="59">
        <f>(60*76.9*((F789/1000)^0.76)*3*24*(MAX('Min rate concentrations'!$R$3:$R$368))/F789)</f>
        <v>6.9875695237107765E-4</v>
      </c>
      <c r="S789" s="59">
        <f>(IF(inputs!$C$6="aerial",((0.025*0.112*inputs!$C$7/3.3)*(3*60*76.9*((F789/1000)^0.76))*MAX(inputs!$H$14:$H$16))/F789,((0.0083*0.112*inputs!$C$7/1)*(3*60*76.9*((F789/1000)^0.76))*MAX(inputs!$H$14:$H$16))/F789))</f>
        <v>2.9504795096224694E-3</v>
      </c>
      <c r="T789" s="63">
        <f>IF((((inputs!$P$12/(V789/MAX(K789:S789)))^(1/inputs!$O$12))-1)/inputs!$N$12&lt;0, 0, IF((((inputs!$P$12/(V789/MAX(K789:S789)))^(1/inputs!$O$12))-1)/inputs!$N$12&gt;inputs!$H$17, inputs!$H$17, (((inputs!$P$12/(V789/MAX(K789:S789)))^(1/inputs!$O$12))-1)/inputs!$N$12))</f>
        <v>230.84594901807043</v>
      </c>
      <c r="U789" s="63">
        <f>IF((((inputs!$P$12/(X789/MAX(K789:S789)))^(1/inputs!$O$12))-1)/inputs!$N$12&lt;0, 0, IF((((inputs!$P$12/(X789/MAX(K789:S789)))^(1/inputs!$O$12))-1)/inputs!$N$12&gt;inputs!$H$17, inputs!$H$17, (((inputs!$P$12/(X789/MAX(K789:S789)))^(1/inputs!$O$12))-1)/inputs!$N$12))</f>
        <v>120.12754181234861</v>
      </c>
      <c r="V789" s="21">
        <f>inputs!$E$87*(F789/inputs!$F$87)^(1)</f>
        <v>2.4320000000000001E-2</v>
      </c>
      <c r="W789" s="21">
        <f>inputs!$E$90*(F789/inputs!$F$90)^(1)</f>
        <v>2.5600000000000001E-2</v>
      </c>
      <c r="X789" s="21">
        <f>inputs!$E$89*(F789/inputs!$F$89)^(1)</f>
        <v>9.5594936708860753E-2</v>
      </c>
      <c r="Y789" s="21" t="s">
        <v>13</v>
      </c>
      <c r="Z789" s="63">
        <f t="shared" si="96"/>
        <v>478.99888466657734</v>
      </c>
      <c r="AA789" s="63">
        <f t="shared" si="97"/>
        <v>455.04894043324845</v>
      </c>
    </row>
    <row r="790" spans="1:27" x14ac:dyDescent="0.25">
      <c r="A790" s="114" t="s">
        <v>636</v>
      </c>
      <c r="B790" s="20" t="s">
        <v>635</v>
      </c>
      <c r="C790" s="21" t="s">
        <v>79</v>
      </c>
      <c r="D790" s="105" t="s">
        <v>383</v>
      </c>
      <c r="E790" s="15">
        <v>168</v>
      </c>
      <c r="F790" s="56">
        <v>2380</v>
      </c>
      <c r="G790" s="21" t="s">
        <v>241</v>
      </c>
      <c r="H790" s="20">
        <v>0.8</v>
      </c>
      <c r="I790" s="48">
        <f>inputs!$C$65*inputs!$C$60/1000</f>
        <v>2.8</v>
      </c>
      <c r="J790" s="48">
        <f>inputs!$C$65*inputs!$C$59/1000</f>
        <v>2.8</v>
      </c>
      <c r="K790" s="59">
        <f t="shared" si="99"/>
        <v>3.1159352098138929E-2</v>
      </c>
      <c r="L790" s="59">
        <f t="shared" si="100"/>
        <v>3.1159352098138929E-2</v>
      </c>
      <c r="M790" s="59">
        <f>IF((((0.065*F790^0.726)/3.7-(0.301*F790^0.751)/(1-H790)*H790)*(MAX('Min rate concentrations'!$P$3:$P$368)))/F790&gt;0, (((0.065*F790^0.726)/3.7-(0.301*F790^0.751)/(1-H790)*H790)*(MAX('Min rate concentrations'!$P$3:$P$368)))/F790, 0)</f>
        <v>0</v>
      </c>
      <c r="N790" s="59">
        <f>IF((((0.065*F790^0.726)/3.7-(0.301*F790^0.751)/(1-H790)*H790)*(MAX('Min rate concentrations'!$Q$3:$Q$368)))/F790&gt;0, (((0.065*F790^0.726)/3.7-(0.301*F790^0.751)/(1-H790)*H790)*(MAX('Min rate concentrations'!$Q$3:$Q$368)))/F790, 0)</f>
        <v>0</v>
      </c>
      <c r="O790" s="59" t="s">
        <v>13</v>
      </c>
      <c r="P790" s="59" t="s">
        <v>13</v>
      </c>
      <c r="Q790" s="59">
        <f>(inputs!$C$7*11.2)*(16.61*F790^0.61)*0.5*1/F790</f>
        <v>2.2421396073120672</v>
      </c>
      <c r="R790" s="59">
        <f>(60*76.9*((F790/1000)^0.76)*3*24*(MAX('Min rate concentrations'!$R$3:$R$368))/F790)</f>
        <v>3.4647991566001256E-4</v>
      </c>
      <c r="S790" s="59">
        <f>(IF(inputs!$C$6="aerial",((0.025*0.112*inputs!$C$7/3.3)*(3*60*76.9*((F790/1000)^0.76))*MAX(inputs!$H$14:$H$16))/F790,((0.0083*0.112*inputs!$C$7/1)*(3*60*76.9*((F790/1000)^0.76))*MAX(inputs!$H$14:$H$16))/F790))</f>
        <v>1.4630006730977064E-3</v>
      </c>
      <c r="T790" s="63">
        <f>IF((((inputs!$P$12/(V790/MAX(K790:S790)))^(1/inputs!$O$12))-1)/inputs!$N$12&lt;0, 0, IF((((inputs!$P$12/(V790/MAX(K790:S790)))^(1/inputs!$O$12))-1)/inputs!$N$12&gt;inputs!$H$17, inputs!$H$17, (((inputs!$P$12/(V790/MAX(K790:S790)))^(1/inputs!$O$12))-1)/inputs!$N$12))</f>
        <v>11.92024058639965</v>
      </c>
      <c r="U790" s="63">
        <f>IF((((inputs!$P$12/(X790/MAX(K790:S790)))^(1/inputs!$O$12))-1)/inputs!$N$12&lt;0, 0, IF((((inputs!$P$12/(X790/MAX(K790:S790)))^(1/inputs!$O$12))-1)/inputs!$N$12&gt;inputs!$H$17, inputs!$H$17, (((inputs!$P$12/(X790/MAX(K790:S790)))^(1/inputs!$O$12))-1)/inputs!$N$12))</f>
        <v>0</v>
      </c>
      <c r="V790" s="21">
        <f>inputs!$E$87*(F790/inputs!$F$87)^(1)</f>
        <v>0.45219999999999999</v>
      </c>
      <c r="W790" s="21">
        <f>inputs!$E$90*(F790/inputs!$F$90)^(1)</f>
        <v>0.47600000000000003</v>
      </c>
      <c r="X790" s="21">
        <f>inputs!$E$89*(F790/inputs!$F$89)^(1)</f>
        <v>1.7774683544303798</v>
      </c>
      <c r="Y790" s="21" t="s">
        <v>13</v>
      </c>
      <c r="Z790" s="63">
        <f t="shared" si="96"/>
        <v>4.9582919224061639</v>
      </c>
      <c r="AA790" s="63">
        <f t="shared" si="97"/>
        <v>4.7103773262858555</v>
      </c>
    </row>
    <row r="791" spans="1:27" x14ac:dyDescent="0.25">
      <c r="A791" s="103" t="s">
        <v>381</v>
      </c>
      <c r="B791" s="20" t="s">
        <v>382</v>
      </c>
      <c r="C791" s="21" t="s">
        <v>79</v>
      </c>
      <c r="D791" s="105" t="s">
        <v>383</v>
      </c>
      <c r="E791" s="15">
        <v>182</v>
      </c>
      <c r="F791" s="15">
        <v>110</v>
      </c>
      <c r="G791" s="21" t="s">
        <v>182</v>
      </c>
      <c r="H791" s="20">
        <v>0.85</v>
      </c>
      <c r="I791" s="48">
        <f>MAX('Min rate concentrations'!$M$3:$M$368)</f>
        <v>2.8488184789681945</v>
      </c>
      <c r="J791" s="48">
        <f>MAX('Min rate concentrations'!AE:AE)</f>
        <v>1.9699276716269429</v>
      </c>
      <c r="K791" s="59">
        <f t="shared" si="99"/>
        <v>8.4941657532570936E-2</v>
      </c>
      <c r="L791" s="59">
        <f t="shared" si="100"/>
        <v>5.8736252549118205E-2</v>
      </c>
      <c r="M791" s="59">
        <f>IF((((0.065*F791^0.726)/3.7-(0.301*F791^0.751)/(1-H791)*H791)*(MAX('Min rate concentrations'!$P$3:$P$368)))/F791&gt;0, (((0.065*F791^0.726)/3.7-(0.301*F791^0.751)/(1-H791)*H791)*(MAX('Min rate concentrations'!$P$3:$P$368)))/F791, 0)</f>
        <v>0</v>
      </c>
      <c r="N791" s="59">
        <f>IF((((0.065*F791^0.726)/3.7-(0.301*F791^0.751)/(1-H791)*H791)*(MAX('Min rate concentrations'!$Q$3:$Q$368)))/F791&gt;0, (((0.065*F791^0.726)/3.7-(0.301*F791^0.751)/(1-H791)*H791)*(MAX('Min rate concentrations'!$Q$3:$Q$368)))/F791, 0)</f>
        <v>0</v>
      </c>
      <c r="O791" s="59" t="s">
        <v>13</v>
      </c>
      <c r="P791" s="59" t="s">
        <v>13</v>
      </c>
      <c r="Q791" s="59">
        <f>(inputs!$C$7*11.2)*(16.61*F791^0.61)*0.5*1/F791</f>
        <v>7.4367728509103141</v>
      </c>
      <c r="R791" s="59">
        <f>(60*76.9*((F791/1000)^0.76)*3*24*(MAX('Min rate concentrations'!$R$3:$R$368))/F791)</f>
        <v>7.2463997817999275E-4</v>
      </c>
      <c r="S791" s="59">
        <f>(IF(inputs!$C$6="aerial",((0.025*0.112*inputs!$C$7/3.3)*(3*60*76.9*((F791/1000)^0.76))*MAX(inputs!$H$14:$H$16))/F791,((0.0083*0.112*inputs!$C$7/1)*(3*60*76.9*((F791/1000)^0.76))*MAX(inputs!$H$14:$H$16))/F791))</f>
        <v>3.0597697814932498E-3</v>
      </c>
      <c r="T791" s="63">
        <f>IF((((inputs!$P$12/(V791/MAX(K791:S791)))^(1/inputs!$O$12))-1)/inputs!$N$12&lt;0, 0, IF((((inputs!$P$12/(V791/MAX(K791:S791)))^(1/inputs!$O$12))-1)/inputs!$N$12&gt;inputs!$H$17, inputs!$H$17, (((inputs!$P$12/(V791/MAX(K791:S791)))^(1/inputs!$O$12))-1)/inputs!$N$12))</f>
        <v>201.31246063733929</v>
      </c>
      <c r="U791" s="63">
        <f>IF((((inputs!$P$12/(X791/MAX(K791:S791)))^(1/inputs!$O$12))-1)/inputs!$N$12&lt;0, 0, IF((((inputs!$P$12/(X791/MAX(K791:S791)))^(1/inputs!$O$12))-1)/inputs!$N$12&gt;inputs!$H$17, inputs!$H$17, (((inputs!$P$12/(X791/MAX(K791:S791)))^(1/inputs!$O$12))-1)/inputs!$N$12))</f>
        <v>103.20279682373365</v>
      </c>
      <c r="V791" s="21">
        <f>inputs!$E$87*(F791/inputs!$F$87)^(1)</f>
        <v>2.0900000000000002E-2</v>
      </c>
      <c r="W791" s="21">
        <f>inputs!$E$90*(F791/inputs!$F$90)^(1)</f>
        <v>2.1999999999999999E-2</v>
      </c>
      <c r="X791" s="21">
        <f>inputs!$E$89*(F791/inputs!$F$89)^(1)</f>
        <v>8.2151898734177206E-2</v>
      </c>
      <c r="Y791" s="21" t="s">
        <v>13</v>
      </c>
      <c r="Z791" s="63">
        <f t="shared" si="96"/>
        <v>355.82645219666574</v>
      </c>
      <c r="AA791" s="63">
        <f t="shared" si="97"/>
        <v>338.03512958683245</v>
      </c>
    </row>
    <row r="792" spans="1:27" x14ac:dyDescent="0.25">
      <c r="A792" s="103" t="s">
        <v>381</v>
      </c>
      <c r="B792" s="20" t="s">
        <v>382</v>
      </c>
      <c r="C792" s="21" t="s">
        <v>79</v>
      </c>
      <c r="D792" s="105" t="s">
        <v>383</v>
      </c>
      <c r="E792" s="15">
        <v>182</v>
      </c>
      <c r="F792" s="15">
        <v>110</v>
      </c>
      <c r="G792" s="21" t="s">
        <v>142</v>
      </c>
      <c r="H792" s="21">
        <v>0.69</v>
      </c>
      <c r="I792" s="48">
        <f>MAX('Min rate concentrations'!$H$3:$H$368)</f>
        <v>47</v>
      </c>
      <c r="J792" s="48">
        <f>MAX('Min rate concentrations'!AA:AA)</f>
        <v>32.5</v>
      </c>
      <c r="K792" s="59">
        <f t="shared" si="99"/>
        <v>0.67808381255601857</v>
      </c>
      <c r="L792" s="59">
        <f t="shared" si="100"/>
        <v>0.46888774272490641</v>
      </c>
      <c r="M792" s="59">
        <f>IF((((0.065*F792^0.726)/3.7-(0.301*F792^0.751)/(1-H792)*H792)*(MAX('Min rate concentrations'!$P$3:$P$368)))/F792&gt;0, (((0.065*F792^0.726)/3.7-(0.301*F792^0.751)/(1-H792)*H792)*(MAX('Min rate concentrations'!$P$3:$P$368)))/F792, 0)</f>
        <v>0</v>
      </c>
      <c r="N792" s="59">
        <f>IF((((0.065*F792^0.726)/3.7-(0.301*F792^0.751)/(1-H792)*H792)*(MAX('Min rate concentrations'!$Q$3:$Q$368)))/F792&gt;0, (((0.065*F792^0.726)/3.7-(0.301*F792^0.751)/(1-H792)*H792)*(MAX('Min rate concentrations'!$Q$3:$Q$368)))/F792, 0)</f>
        <v>0</v>
      </c>
      <c r="O792" s="59" t="s">
        <v>13</v>
      </c>
      <c r="P792" s="59" t="s">
        <v>13</v>
      </c>
      <c r="Q792" s="59">
        <f>(inputs!$C$7*11.2)*(16.61*F792^0.61)*0.5*1/F792</f>
        <v>7.4367728509103141</v>
      </c>
      <c r="R792" s="59">
        <f>(60*76.9*((F792/1000)^0.76)*3*24*(MAX('Min rate concentrations'!$R$3:$R$368))/F792)</f>
        <v>7.2463997817999275E-4</v>
      </c>
      <c r="S792" s="59">
        <f>(IF(inputs!$C$6="aerial",((0.025*0.112*inputs!$C$7/3.3)*(3*60*76.9*((F792/1000)^0.76))*MAX(inputs!$H$14:$H$16))/F792,((0.0083*0.112*inputs!$C$7/1)*(3*60*76.9*((F792/1000)^0.76))*MAX(inputs!$H$14:$H$16))/F792))</f>
        <v>3.0597697814932498E-3</v>
      </c>
      <c r="T792" s="63">
        <f>IF((((inputs!$P$12/(V792/MAX(K792:S792)))^(1/inputs!$O$12))-1)/inputs!$N$12&lt;0, 0, IF((((inputs!$P$12/(V792/MAX(K792:S792)))^(1/inputs!$O$12))-1)/inputs!$N$12&gt;inputs!$H$17, inputs!$H$17, (((inputs!$P$12/(V792/MAX(K792:S792)))^(1/inputs!$O$12))-1)/inputs!$N$12))</f>
        <v>201.31246063733929</v>
      </c>
      <c r="U792" s="63">
        <f>IF((((inputs!$P$12/(X792/MAX(K792:S792)))^(1/inputs!$O$12))-1)/inputs!$N$12&lt;0, 0, IF((((inputs!$P$12/(X792/MAX(K792:S792)))^(1/inputs!$O$12))-1)/inputs!$N$12&gt;inputs!$H$17, inputs!$H$17, (((inputs!$P$12/(X792/MAX(K792:S792)))^(1/inputs!$O$12))-1)/inputs!$N$12))</f>
        <v>103.20279682373365</v>
      </c>
      <c r="V792" s="21">
        <f>inputs!$E$87*(F792/inputs!$F$87)^(1)</f>
        <v>2.0900000000000002E-2</v>
      </c>
      <c r="W792" s="21">
        <f>inputs!$E$90*(F792/inputs!$F$90)^(1)</f>
        <v>2.1999999999999999E-2</v>
      </c>
      <c r="X792" s="21">
        <f>inputs!$E$89*(F792/inputs!$F$89)^(1)</f>
        <v>8.2151898734177206E-2</v>
      </c>
      <c r="Y792" s="21" t="s">
        <v>13</v>
      </c>
      <c r="Z792" s="63">
        <f t="shared" si="96"/>
        <v>355.82645219666574</v>
      </c>
      <c r="AA792" s="63">
        <f t="shared" si="97"/>
        <v>338.03512958683245</v>
      </c>
    </row>
    <row r="793" spans="1:27" x14ac:dyDescent="0.25">
      <c r="A793" s="103" t="s">
        <v>381</v>
      </c>
      <c r="B793" s="20" t="s">
        <v>382</v>
      </c>
      <c r="C793" s="21" t="s">
        <v>79</v>
      </c>
      <c r="D793" s="105" t="s">
        <v>383</v>
      </c>
      <c r="E793" s="15">
        <v>182</v>
      </c>
      <c r="F793" s="15">
        <v>110</v>
      </c>
      <c r="G793" s="21" t="s">
        <v>164</v>
      </c>
      <c r="H793" s="20">
        <v>0.78</v>
      </c>
      <c r="I793" s="48">
        <f>inputs!$C$65*(inputs!$C$62/1000)</f>
        <v>0.82000000000000006</v>
      </c>
      <c r="J793" s="48">
        <f>inputs!$C$65*(inputs!$C$61/1000)</f>
        <v>0.25</v>
      </c>
      <c r="K793" s="59">
        <f t="shared" si="99"/>
        <v>1.6670106881212763E-2</v>
      </c>
      <c r="L793" s="59">
        <f t="shared" si="100"/>
        <v>5.0823496589063296E-3</v>
      </c>
      <c r="M793" s="59">
        <f>IF((((0.065*F793^0.726)/3.7-(0.301*F793^0.751)/(1-H793)*H793)*(MAX('Min rate concentrations'!$P$3:$P$368)))/F793&gt;0, (((0.065*F793^0.726)/3.7-(0.301*F793^0.751)/(1-H793)*H793)*(MAX('Min rate concentrations'!$P$3:$P$368)))/F793, 0)</f>
        <v>0</v>
      </c>
      <c r="N793" s="59">
        <f>IF((((0.065*F793^0.726)/3.7-(0.301*F793^0.751)/(1-H793)*H793)*(MAX('Min rate concentrations'!$Q$3:$Q$368)))/F793&gt;0, (((0.065*F793^0.726)/3.7-(0.301*F793^0.751)/(1-H793)*H793)*(MAX('Min rate concentrations'!$Q$3:$Q$368)))/F793, 0)</f>
        <v>0</v>
      </c>
      <c r="O793" s="59" t="s">
        <v>13</v>
      </c>
      <c r="P793" s="59" t="s">
        <v>13</v>
      </c>
      <c r="Q793" s="59">
        <f>(inputs!$C$7*11.2)*(16.61*F793^0.61)*0.5*1/F793</f>
        <v>7.4367728509103141</v>
      </c>
      <c r="R793" s="59">
        <f>(60*76.9*((F793/1000)^0.76)*3*24*(MAX('Min rate concentrations'!$R$3:$R$368))/F793)</f>
        <v>7.2463997817999275E-4</v>
      </c>
      <c r="S793" s="59">
        <f>(IF(inputs!$C$6="aerial",((0.025*0.112*inputs!$C$7/3.3)*(3*60*76.9*((F793/1000)^0.76))*MAX(inputs!$H$14:$H$16))/F793,((0.0083*0.112*inputs!$C$7/1)*(3*60*76.9*((F793/1000)^0.76))*MAX(inputs!$H$14:$H$16))/F793))</f>
        <v>3.0597697814932498E-3</v>
      </c>
      <c r="T793" s="63">
        <f>IF((((inputs!$P$12/(V793/MAX(K793:S793)))^(1/inputs!$O$12))-1)/inputs!$N$12&lt;0, 0, IF((((inputs!$P$12/(V793/MAX(K793:S793)))^(1/inputs!$O$12))-1)/inputs!$N$12&gt;inputs!$H$17, inputs!$H$17, (((inputs!$P$12/(V793/MAX(K793:S793)))^(1/inputs!$O$12))-1)/inputs!$N$12))</f>
        <v>201.31246063733929</v>
      </c>
      <c r="U793" s="63">
        <f>IF((((inputs!$P$12/(X793/MAX(K793:S793)))^(1/inputs!$O$12))-1)/inputs!$N$12&lt;0, 0, IF((((inputs!$P$12/(X793/MAX(K793:S793)))^(1/inputs!$O$12))-1)/inputs!$N$12&gt;inputs!$H$17, inputs!$H$17, (((inputs!$P$12/(X793/MAX(K793:S793)))^(1/inputs!$O$12))-1)/inputs!$N$12))</f>
        <v>103.20279682373365</v>
      </c>
      <c r="V793" s="21">
        <f>inputs!$E$87*(F793/inputs!$F$87)^(1)</f>
        <v>2.0900000000000002E-2</v>
      </c>
      <c r="W793" s="21">
        <f>inputs!$E$90*(F793/inputs!$F$90)^(1)</f>
        <v>2.1999999999999999E-2</v>
      </c>
      <c r="X793" s="21">
        <f>inputs!$E$89*(F793/inputs!$F$89)^(1)</f>
        <v>8.2151898734177206E-2</v>
      </c>
      <c r="Y793" s="21" t="s">
        <v>13</v>
      </c>
      <c r="Z793" s="63">
        <f t="shared" si="96"/>
        <v>355.82645219666574</v>
      </c>
      <c r="AA793" s="63">
        <f t="shared" si="97"/>
        <v>338.03512958683245</v>
      </c>
    </row>
    <row r="794" spans="1:27" x14ac:dyDescent="0.25">
      <c r="A794" s="103" t="s">
        <v>381</v>
      </c>
      <c r="B794" s="20" t="s">
        <v>382</v>
      </c>
      <c r="C794" s="21" t="s">
        <v>79</v>
      </c>
      <c r="D794" s="105" t="s">
        <v>383</v>
      </c>
      <c r="E794" s="15">
        <v>182</v>
      </c>
      <c r="F794" s="15">
        <v>110</v>
      </c>
      <c r="G794" s="21" t="s">
        <v>218</v>
      </c>
      <c r="H794" s="20">
        <v>0.68</v>
      </c>
      <c r="I794" s="48">
        <f>MAX('Min rate concentrations'!$K$3:$K$368)</f>
        <v>18.333393099490852</v>
      </c>
      <c r="J794" s="48">
        <f>MAX('Min rate concentrations'!AC:AC)</f>
        <v>6.4930767227363431</v>
      </c>
      <c r="K794" s="59">
        <f t="shared" si="99"/>
        <v>0.25623596395593073</v>
      </c>
      <c r="L794" s="59">
        <f t="shared" si="100"/>
        <v>9.0750237234392128E-2</v>
      </c>
      <c r="M794" s="59">
        <f>IF((((0.065*F794^0.726)/3.7-(0.301*F794^0.751)/(1-H794)*H794)*(MAX('Min rate concentrations'!$P$3:$P$368)))/F794&gt;0, (((0.065*F794^0.726)/3.7-(0.301*F794^0.751)/(1-H794)*H794)*(MAX('Min rate concentrations'!$P$3:$P$368)))/F794, 0)</f>
        <v>0</v>
      </c>
      <c r="N794" s="59">
        <f>IF((((0.065*F794^0.726)/3.7-(0.301*F794^0.751)/(1-H794)*H794)*(MAX('Min rate concentrations'!$Q$3:$Q$368)))/F794&gt;0, (((0.065*F794^0.726)/3.7-(0.301*F794^0.751)/(1-H794)*H794)*(MAX('Min rate concentrations'!$Q$3:$Q$368)))/F794, 0)</f>
        <v>0</v>
      </c>
      <c r="O794" s="59" t="s">
        <v>13</v>
      </c>
      <c r="P794" s="59" t="s">
        <v>13</v>
      </c>
      <c r="Q794" s="59">
        <f>(inputs!$C$7*11.2)*(16.61*F794^0.61)*0.5*1/F794</f>
        <v>7.4367728509103141</v>
      </c>
      <c r="R794" s="59">
        <f>(60*76.9*((F794/1000)^0.76)*3*24*(MAX('Min rate concentrations'!$R$3:$R$368))/F794)</f>
        <v>7.2463997817999275E-4</v>
      </c>
      <c r="S794" s="59">
        <f>(IF(inputs!$C$6="aerial",((0.025*0.112*inputs!$C$7/3.3)*(3*60*76.9*((F794/1000)^0.76))*MAX(inputs!$H$14:$H$16))/F794,((0.0083*0.112*inputs!$C$7/1)*(3*60*76.9*((F794/1000)^0.76))*MAX(inputs!$H$14:$H$16))/F794))</f>
        <v>3.0597697814932498E-3</v>
      </c>
      <c r="T794" s="63">
        <f>IF((((inputs!$P$12/(V794/MAX(K794:S794)))^(1/inputs!$O$12))-1)/inputs!$N$12&lt;0, 0, IF((((inputs!$P$12/(V794/MAX(K794:S794)))^(1/inputs!$O$12))-1)/inputs!$N$12&gt;inputs!$H$17, inputs!$H$17, (((inputs!$P$12/(V794/MAX(K794:S794)))^(1/inputs!$O$12))-1)/inputs!$N$12))</f>
        <v>201.31246063733929</v>
      </c>
      <c r="U794" s="63">
        <f>IF((((inputs!$P$12/(X794/MAX(K794:S794)))^(1/inputs!$O$12))-1)/inputs!$N$12&lt;0, 0, IF((((inputs!$P$12/(X794/MAX(K794:S794)))^(1/inputs!$O$12))-1)/inputs!$N$12&gt;inputs!$H$17, inputs!$H$17, (((inputs!$P$12/(X794/MAX(K794:S794)))^(1/inputs!$O$12))-1)/inputs!$N$12))</f>
        <v>103.20279682373365</v>
      </c>
      <c r="V794" s="21">
        <f>inputs!$E$87*(F794/inputs!$F$87)^(1)</f>
        <v>2.0900000000000002E-2</v>
      </c>
      <c r="W794" s="21">
        <f>inputs!$E$90*(F794/inputs!$F$90)^(1)</f>
        <v>2.1999999999999999E-2</v>
      </c>
      <c r="X794" s="21">
        <f>inputs!$E$89*(F794/inputs!$F$89)^(1)</f>
        <v>8.2151898734177206E-2</v>
      </c>
      <c r="Y794" s="21" t="s">
        <v>13</v>
      </c>
      <c r="Z794" s="63">
        <f t="shared" si="96"/>
        <v>355.82645219666574</v>
      </c>
      <c r="AA794" s="63">
        <f t="shared" si="97"/>
        <v>338.03512958683245</v>
      </c>
    </row>
    <row r="795" spans="1:27" x14ac:dyDescent="0.25">
      <c r="A795" s="103" t="s">
        <v>381</v>
      </c>
      <c r="B795" s="20" t="s">
        <v>382</v>
      </c>
      <c r="C795" s="21" t="s">
        <v>79</v>
      </c>
      <c r="D795" s="105" t="s">
        <v>383</v>
      </c>
      <c r="E795" s="15">
        <v>182</v>
      </c>
      <c r="F795" s="15">
        <v>110</v>
      </c>
      <c r="G795" s="21" t="s">
        <v>177</v>
      </c>
      <c r="H795" s="20">
        <v>0.85</v>
      </c>
      <c r="I795" s="48">
        <f>MAX('Min rate concentrations'!$F$3:$F$368)</f>
        <v>67.5</v>
      </c>
      <c r="J795" s="48">
        <f>MAX('Min rate concentrations'!Y:Y)</f>
        <v>22.5</v>
      </c>
      <c r="K795" s="59">
        <f t="shared" si="99"/>
        <v>2.0126104649269059</v>
      </c>
      <c r="L795" s="59">
        <f t="shared" si="100"/>
        <v>0.67087015497563529</v>
      </c>
      <c r="M795" s="59">
        <f>IF((((0.065*F795^0.726)/3.7-(0.301*F795^0.751)/(1-H795)*H795)*(MAX('Min rate concentrations'!$P$3:$P$368)))/F795&gt;0, (((0.065*F795^0.726)/3.7-(0.301*F795^0.751)/(1-H795)*H795)*(MAX('Min rate concentrations'!$P$3:$P$368)))/F795, 0)</f>
        <v>0</v>
      </c>
      <c r="N795" s="59">
        <f>IF((((0.065*F795^0.726)/3.7-(0.301*F795^0.751)/(1-H795)*H795)*(MAX('Min rate concentrations'!$Q$3:$Q$368)))/F795&gt;0, (((0.065*F795^0.726)/3.7-(0.301*F795^0.751)/(1-H795)*H795)*(MAX('Min rate concentrations'!$Q$3:$Q$368)))/F795, 0)</f>
        <v>0</v>
      </c>
      <c r="O795" s="59" t="s">
        <v>13</v>
      </c>
      <c r="P795" s="59" t="s">
        <v>13</v>
      </c>
      <c r="Q795" s="59">
        <f>(inputs!$C$7*11.2)*(16.61*F795^0.61)*0.5*1/F795</f>
        <v>7.4367728509103141</v>
      </c>
      <c r="R795" s="59">
        <f>(60*76.9*((F795/1000)^0.76)*3*24*(MAX('Min rate concentrations'!$R$3:$R$368))/F795)</f>
        <v>7.2463997817999275E-4</v>
      </c>
      <c r="S795" s="59">
        <f>(IF(inputs!$C$6="aerial",((0.025*0.112*inputs!$C$7/3.3)*(3*60*76.9*((F795/1000)^0.76))*MAX(inputs!$H$14:$H$16))/F795,((0.0083*0.112*inputs!$C$7/1)*(3*60*76.9*((F795/1000)^0.76))*MAX(inputs!$H$14:$H$16))/F795))</f>
        <v>3.0597697814932498E-3</v>
      </c>
      <c r="T795" s="63">
        <f>IF((((inputs!$P$12/(V795/MAX(K795:S795)))^(1/inputs!$O$12))-1)/inputs!$N$12&lt;0, 0, IF((((inputs!$P$12/(V795/MAX(K795:S795)))^(1/inputs!$O$12))-1)/inputs!$N$12&gt;inputs!$H$17, inputs!$H$17, (((inputs!$P$12/(V795/MAX(K795:S795)))^(1/inputs!$O$12))-1)/inputs!$N$12))</f>
        <v>201.31246063733929</v>
      </c>
      <c r="U795" s="63">
        <f>IF((((inputs!$P$12/(X795/MAX(K795:S795)))^(1/inputs!$O$12))-1)/inputs!$N$12&lt;0, 0, IF((((inputs!$P$12/(X795/MAX(K795:S795)))^(1/inputs!$O$12))-1)/inputs!$N$12&gt;inputs!$H$17, inputs!$H$17, (((inputs!$P$12/(X795/MAX(K795:S795)))^(1/inputs!$O$12))-1)/inputs!$N$12))</f>
        <v>103.20279682373365</v>
      </c>
      <c r="V795" s="21">
        <f>inputs!$E$87*(F795/inputs!$F$87)^(1)</f>
        <v>2.0900000000000002E-2</v>
      </c>
      <c r="W795" s="21">
        <f>inputs!$E$90*(F795/inputs!$F$90)^(1)</f>
        <v>2.1999999999999999E-2</v>
      </c>
      <c r="X795" s="21">
        <f>inputs!$E$89*(F795/inputs!$F$89)^(1)</f>
        <v>8.2151898734177206E-2</v>
      </c>
      <c r="Y795" s="21" t="s">
        <v>13</v>
      </c>
      <c r="Z795" s="63">
        <f t="shared" si="96"/>
        <v>355.82645219666574</v>
      </c>
      <c r="AA795" s="63">
        <f t="shared" si="97"/>
        <v>338.03512958683245</v>
      </c>
    </row>
    <row r="796" spans="1:27" x14ac:dyDescent="0.25">
      <c r="A796" s="103" t="s">
        <v>381</v>
      </c>
      <c r="B796" s="20" t="s">
        <v>382</v>
      </c>
      <c r="C796" s="21" t="s">
        <v>79</v>
      </c>
      <c r="D796" s="105" t="s">
        <v>383</v>
      </c>
      <c r="E796" s="15">
        <v>182</v>
      </c>
      <c r="F796" s="15">
        <v>110</v>
      </c>
      <c r="G796" s="21" t="s">
        <v>145</v>
      </c>
      <c r="H796" s="20">
        <v>0.66</v>
      </c>
      <c r="I796" s="48">
        <f>MAX('Min rate concentrations'!$M$3:$M$368)</f>
        <v>2.8488184789681945</v>
      </c>
      <c r="J796" s="48">
        <f>MAX('Min rate concentrations'!AE:AE)</f>
        <v>1.9699276716269429</v>
      </c>
      <c r="K796" s="59">
        <f t="shared" si="99"/>
        <v>3.7474260676134248E-2</v>
      </c>
      <c r="L796" s="59">
        <f t="shared" si="100"/>
        <v>2.5913052595199212E-2</v>
      </c>
      <c r="M796" s="59">
        <f>IF((((0.065*F796^0.726)/3.7-(0.301*F796^0.751)/(1-H796)*H796)*(MAX('Min rate concentrations'!$P$3:$P$368)))/F796&gt;0, (((0.065*F796^0.726)/3.7-(0.301*F796^0.751)/(1-H796)*H796)*(MAX('Min rate concentrations'!$P$3:$P$368)))/F796, 0)</f>
        <v>0</v>
      </c>
      <c r="N796" s="59">
        <f>IF((((0.065*F796^0.726)/3.7-(0.301*F796^0.751)/(1-H796)*H796)*(MAX('Min rate concentrations'!$Q$3:$Q$368)))/F796&gt;0, (((0.065*F796^0.726)/3.7-(0.301*F796^0.751)/(1-H796)*H796)*(MAX('Min rate concentrations'!$Q$3:$Q$368)))/F796, 0)</f>
        <v>0</v>
      </c>
      <c r="O796" s="59" t="s">
        <v>13</v>
      </c>
      <c r="P796" s="59" t="s">
        <v>13</v>
      </c>
      <c r="Q796" s="59">
        <f>(inputs!$C$7*11.2)*(16.61*F796^0.61)*0.5*1/F796</f>
        <v>7.4367728509103141</v>
      </c>
      <c r="R796" s="59">
        <f>(60*76.9*((F796/1000)^0.76)*3*24*(MAX('Min rate concentrations'!$R$3:$R$368))/F796)</f>
        <v>7.2463997817999275E-4</v>
      </c>
      <c r="S796" s="59">
        <f>(IF(inputs!$C$6="aerial",((0.025*0.112*inputs!$C$7/3.3)*(3*60*76.9*((F796/1000)^0.76))*MAX(inputs!$H$14:$H$16))/F796,((0.0083*0.112*inputs!$C$7/1)*(3*60*76.9*((F796/1000)^0.76))*MAX(inputs!$H$14:$H$16))/F796))</f>
        <v>3.0597697814932498E-3</v>
      </c>
      <c r="T796" s="63">
        <f>IF((((inputs!$P$12/(V796/MAX(K796:S796)))^(1/inputs!$O$12))-1)/inputs!$N$12&lt;0, 0, IF((((inputs!$P$12/(V796/MAX(K796:S796)))^(1/inputs!$O$12))-1)/inputs!$N$12&gt;inputs!$H$17, inputs!$H$17, (((inputs!$P$12/(V796/MAX(K796:S796)))^(1/inputs!$O$12))-1)/inputs!$N$12))</f>
        <v>201.31246063733929</v>
      </c>
      <c r="U796" s="63">
        <f>IF((((inputs!$P$12/(X796/MAX(K796:S796)))^(1/inputs!$O$12))-1)/inputs!$N$12&lt;0, 0, IF((((inputs!$P$12/(X796/MAX(K796:S796)))^(1/inputs!$O$12))-1)/inputs!$N$12&gt;inputs!$H$17, inputs!$H$17, (((inputs!$P$12/(X796/MAX(K796:S796)))^(1/inputs!$O$12))-1)/inputs!$N$12))</f>
        <v>103.20279682373365</v>
      </c>
      <c r="V796" s="21">
        <f>inputs!$E$87*(F796/inputs!$F$87)^(1)</f>
        <v>2.0900000000000002E-2</v>
      </c>
      <c r="W796" s="21">
        <f>inputs!$E$90*(F796/inputs!$F$90)^(1)</f>
        <v>2.1999999999999999E-2</v>
      </c>
      <c r="X796" s="21">
        <f>inputs!$E$89*(F796/inputs!$F$89)^(1)</f>
        <v>8.2151898734177206E-2</v>
      </c>
      <c r="Y796" s="21" t="s">
        <v>13</v>
      </c>
      <c r="Z796" s="63">
        <f t="shared" si="96"/>
        <v>355.82645219666574</v>
      </c>
      <c r="AA796" s="63">
        <f t="shared" si="97"/>
        <v>338.03512958683245</v>
      </c>
    </row>
    <row r="797" spans="1:27" x14ac:dyDescent="0.25">
      <c r="A797" s="103" t="s">
        <v>381</v>
      </c>
      <c r="B797" s="20" t="s">
        <v>382</v>
      </c>
      <c r="C797" s="21" t="s">
        <v>79</v>
      </c>
      <c r="D797" s="105" t="s">
        <v>383</v>
      </c>
      <c r="E797" s="15">
        <v>182</v>
      </c>
      <c r="F797" s="15">
        <v>110</v>
      </c>
      <c r="G797" s="21" t="s">
        <v>146</v>
      </c>
      <c r="H797" s="20">
        <v>0.84</v>
      </c>
      <c r="I797" s="48">
        <f>MAX('Min rate concentrations'!$I$3:$I$368)</f>
        <v>9.4775690500787988</v>
      </c>
      <c r="J797" s="48" t="s">
        <v>13</v>
      </c>
      <c r="K797" s="59">
        <f t="shared" si="99"/>
        <v>0.26492575905911037</v>
      </c>
      <c r="L797" s="48" t="s">
        <v>13</v>
      </c>
      <c r="M797" s="59">
        <f>IF((((0.065*F797^0.726)/3.7-(0.301*F797^0.751)/(1-H797)*H797)*(MAX('Min rate concentrations'!$P$3:$P$368)))/F797&gt;0, (((0.065*F797^0.726)/3.7-(0.301*F797^0.751)/(1-H797)*H797)*(MAX('Min rate concentrations'!$P$3:$P$368)))/F797, 0)</f>
        <v>0</v>
      </c>
      <c r="N797" s="59">
        <f>IF((((0.065*F797^0.726)/3.7-(0.301*F797^0.751)/(1-H797)*H797)*(MAX('Min rate concentrations'!$Q$3:$Q$368)))/F797&gt;0, (((0.065*F797^0.726)/3.7-(0.301*F797^0.751)/(1-H797)*H797)*(MAX('Min rate concentrations'!$Q$3:$Q$368)))/F797, 0)</f>
        <v>0</v>
      </c>
      <c r="O797" s="59" t="s">
        <v>13</v>
      </c>
      <c r="P797" s="59" t="s">
        <v>13</v>
      </c>
      <c r="Q797" s="59">
        <f>(inputs!$C$7*11.2)*(16.61*F797^0.61)*0.5*1/F797</f>
        <v>7.4367728509103141</v>
      </c>
      <c r="R797" s="59">
        <f>(60*76.9*((F797/1000)^0.76)*3*24*(MAX('Min rate concentrations'!$R$3:$R$368))/F797)</f>
        <v>7.2463997817999275E-4</v>
      </c>
      <c r="S797" s="59">
        <f>(IF(inputs!$C$6="aerial",((0.025*0.112*inputs!$C$7/3.3)*(3*60*76.9*((F797/1000)^0.76))*MAX(inputs!$H$14:$H$16))/F797,((0.0083*0.112*inputs!$C$7/1)*(3*60*76.9*((F797/1000)^0.76))*MAX(inputs!$H$14:$H$16))/F797))</f>
        <v>3.0597697814932498E-3</v>
      </c>
      <c r="T797" s="63">
        <f>IF((((inputs!$P$12/(V797/MAX(K797:S797)))^(1/inputs!$O$12))-1)/inputs!$N$12&lt;0, 0, IF((((inputs!$P$12/(V797/MAX(K797:S797)))^(1/inputs!$O$12))-1)/inputs!$N$12&gt;inputs!$H$17, inputs!$H$17, (((inputs!$P$12/(V797/MAX(K797:S797)))^(1/inputs!$O$12))-1)/inputs!$N$12))</f>
        <v>201.31246063733929</v>
      </c>
      <c r="U797" s="63">
        <f>IF((((inputs!$P$12/(X797/MAX(K797:S797)))^(1/inputs!$O$12))-1)/inputs!$N$12&lt;0, 0, IF((((inputs!$P$12/(X797/MAX(K797:S797)))^(1/inputs!$O$12))-1)/inputs!$N$12&gt;inputs!$H$17, inputs!$H$17, (((inputs!$P$12/(X797/MAX(K797:S797)))^(1/inputs!$O$12))-1)/inputs!$N$12))</f>
        <v>103.20279682373365</v>
      </c>
      <c r="V797" s="21">
        <f>inputs!$E$87*(F797/inputs!$F$87)^(1)</f>
        <v>2.0900000000000002E-2</v>
      </c>
      <c r="W797" s="21">
        <f>inputs!$E$90*(F797/inputs!$F$90)^(1)</f>
        <v>2.1999999999999999E-2</v>
      </c>
      <c r="X797" s="21">
        <f>inputs!$E$89*(F797/inputs!$F$89)^(1)</f>
        <v>8.2151898734177206E-2</v>
      </c>
      <c r="Y797" s="21" t="s">
        <v>13</v>
      </c>
      <c r="Z797" s="63">
        <f t="shared" si="96"/>
        <v>355.82645219666574</v>
      </c>
      <c r="AA797" s="63">
        <f t="shared" si="97"/>
        <v>338.03512958683245</v>
      </c>
    </row>
    <row r="798" spans="1:27" ht="26.4" x14ac:dyDescent="0.25">
      <c r="A798" s="103" t="s">
        <v>403</v>
      </c>
      <c r="B798" s="20" t="s">
        <v>404</v>
      </c>
      <c r="C798" s="21" t="s">
        <v>79</v>
      </c>
      <c r="D798" s="105" t="s">
        <v>383</v>
      </c>
      <c r="E798" s="15">
        <v>185</v>
      </c>
      <c r="F798" s="15">
        <v>3600</v>
      </c>
      <c r="G798" s="21" t="s">
        <v>169</v>
      </c>
      <c r="H798" s="20">
        <v>0.79</v>
      </c>
      <c r="I798" s="48">
        <f>MAX('Min rate concentrations'!$D$3:$D$368)</f>
        <v>120</v>
      </c>
      <c r="J798" s="48">
        <f>MAX('Min rate concentrations'!W:W)</f>
        <v>42.5</v>
      </c>
      <c r="K798" s="59">
        <f t="shared" si="99"/>
        <v>1.1577762486881056</v>
      </c>
      <c r="L798" s="59">
        <f t="shared" ref="L798:L812" si="101">(((0.013*F798^0.773)/(1-H798)))*J798/F798</f>
        <v>0.41004575474370408</v>
      </c>
      <c r="M798" s="59">
        <f>IF((((0.065*F798^0.726)/3.7-(0.301*F798^0.751)/(1-H798)*H798)*(MAX('Min rate concentrations'!$P$3:$P$368)))/F798&gt;0, (((0.065*F798^0.726)/3.7-(0.301*F798^0.751)/(1-H798)*H798)*(MAX('Min rate concentrations'!$P$3:$P$368)))/F798, 0)</f>
        <v>0</v>
      </c>
      <c r="N798" s="59">
        <f>IF((((0.065*F798^0.726)/3.7-(0.301*F798^0.751)/(1-H798)*H798)*(MAX('Min rate concentrations'!$Q$3:$Q$368)))/F798&gt;0, (((0.065*F798^0.726)/3.7-(0.301*F798^0.751)/(1-H798)*H798)*(MAX('Min rate concentrations'!$Q$3:$Q$368)))/F798, 0)</f>
        <v>0</v>
      </c>
      <c r="O798" s="59" t="s">
        <v>13</v>
      </c>
      <c r="P798" s="59" t="s">
        <v>13</v>
      </c>
      <c r="Q798" s="59">
        <f>(inputs!$C$7*11.2)*(16.61*F798^0.61)*0.5*1/F798</f>
        <v>1.9079618580245745</v>
      </c>
      <c r="R798" s="59">
        <f>(60*76.9*((F798/1000)^0.76)*3*24*(MAX('Min rate concentrations'!$R$3:$R$368))/F798)</f>
        <v>3.1372124838079216E-4</v>
      </c>
      <c r="S798" s="59">
        <f>(IF(inputs!$C$6="aerial",((0.025*0.112*inputs!$C$7/3.3)*(3*60*76.9*((F798/1000)^0.76))*MAX(inputs!$H$14:$H$16))/F798,((0.0083*0.112*inputs!$C$7/1)*(3*60*76.9*((F798/1000)^0.76))*MAX(inputs!$H$14:$H$16))/F798))</f>
        <v>1.3246782188567768E-3</v>
      </c>
      <c r="T798" s="63">
        <f>IF((((inputs!$P$12/(V798/MAX(K798:S798)))^(1/inputs!$O$12))-1)/inputs!$N$12&lt;0, 0, IF((((inputs!$P$12/(V798/MAX(K798:S798)))^(1/inputs!$O$12))-1)/inputs!$N$12&gt;inputs!$H$17, inputs!$H$17, (((inputs!$P$12/(V798/MAX(K798:S798)))^(1/inputs!$O$12))-1)/inputs!$N$12))</f>
        <v>3.4902084635405961</v>
      </c>
      <c r="U798" s="63">
        <f>IF((((inputs!$P$12/(X798/MAX(K798:S798)))^(1/inputs!$O$12))-1)/inputs!$N$12&lt;0, 0, IF((((inputs!$P$12/(X798/MAX(K798:S798)))^(1/inputs!$O$12))-1)/inputs!$N$12&gt;inputs!$H$17, inputs!$H$17, (((inputs!$P$12/(X798/MAX(K798:S798)))^(1/inputs!$O$12))-1)/inputs!$N$12))</f>
        <v>0</v>
      </c>
      <c r="V798" s="21">
        <f>inputs!$E$87*(F798/inputs!$F$87)^(1)</f>
        <v>0.68399999999999994</v>
      </c>
      <c r="W798" s="21">
        <f>inputs!$E$90*(F798/inputs!$F$90)^(1)</f>
        <v>0.72000000000000008</v>
      </c>
      <c r="X798" s="21">
        <f>inputs!$E$89*(F798/inputs!$F$89)^(1)</f>
        <v>2.688607594936709</v>
      </c>
      <c r="Y798" s="21" t="s">
        <v>13</v>
      </c>
      <c r="Z798" s="63">
        <f t="shared" si="96"/>
        <v>2.7894179210885595</v>
      </c>
      <c r="AA798" s="63">
        <f t="shared" si="97"/>
        <v>2.6499470250341308</v>
      </c>
    </row>
    <row r="799" spans="1:27" ht="26.4" x14ac:dyDescent="0.25">
      <c r="A799" s="103" t="s">
        <v>403</v>
      </c>
      <c r="B799" s="20" t="s">
        <v>404</v>
      </c>
      <c r="C799" s="21" t="s">
        <v>79</v>
      </c>
      <c r="D799" s="105" t="s">
        <v>383</v>
      </c>
      <c r="E799" s="15">
        <v>185</v>
      </c>
      <c r="F799" s="15">
        <v>3600</v>
      </c>
      <c r="G799" s="21" t="s">
        <v>158</v>
      </c>
      <c r="H799" s="20">
        <v>0.85</v>
      </c>
      <c r="I799" s="48">
        <f>MAX('Min rate concentrations'!$F$3:$F$368)</f>
        <v>67.5</v>
      </c>
      <c r="J799" s="48">
        <f>MAX('Min rate concentrations'!Y:Y)</f>
        <v>22.5</v>
      </c>
      <c r="K799" s="59">
        <f t="shared" si="99"/>
        <v>0.91174879584188284</v>
      </c>
      <c r="L799" s="59">
        <f t="shared" si="101"/>
        <v>0.3039162652806276</v>
      </c>
      <c r="M799" s="59">
        <f>IF((((0.065*F799^0.726)/3.7-(0.301*F799^0.751)/(1-H799)*H799)*(MAX('Min rate concentrations'!$P$3:$P$368)))/F799&gt;0, (((0.065*F799^0.726)/3.7-(0.301*F799^0.751)/(1-H799)*H799)*(MAX('Min rate concentrations'!$P$3:$P$368)))/F799, 0)</f>
        <v>0</v>
      </c>
      <c r="N799" s="59">
        <f>IF((((0.065*F799^0.726)/3.7-(0.301*F799^0.751)/(1-H799)*H799)*(MAX('Min rate concentrations'!$Q$3:$Q$368)))/F799&gt;0, (((0.065*F799^0.726)/3.7-(0.301*F799^0.751)/(1-H799)*H799)*(MAX('Min rate concentrations'!$Q$3:$Q$368)))/F799, 0)</f>
        <v>0</v>
      </c>
      <c r="O799" s="59" t="s">
        <v>13</v>
      </c>
      <c r="P799" s="59" t="s">
        <v>13</v>
      </c>
      <c r="Q799" s="59">
        <f>(inputs!$C$7*11.2)*(16.61*F799^0.61)*0.5*1/F799</f>
        <v>1.9079618580245745</v>
      </c>
      <c r="R799" s="59">
        <f>(60*76.9*((F799/1000)^0.76)*3*24*(MAX('Min rate concentrations'!$R$3:$R$368))/F799)</f>
        <v>3.1372124838079216E-4</v>
      </c>
      <c r="S799" s="59">
        <f>(IF(inputs!$C$6="aerial",((0.025*0.112*inputs!$C$7/3.3)*(3*60*76.9*((F799/1000)^0.76))*MAX(inputs!$H$14:$H$16))/F799,((0.0083*0.112*inputs!$C$7/1)*(3*60*76.9*((F799/1000)^0.76))*MAX(inputs!$H$14:$H$16))/F799))</f>
        <v>1.3246782188567768E-3</v>
      </c>
      <c r="T799" s="63">
        <f>IF((((inputs!$P$12/(V799/MAX(K799:S799)))^(1/inputs!$O$12))-1)/inputs!$N$12&lt;0, 0, IF((((inputs!$P$12/(V799/MAX(K799:S799)))^(1/inputs!$O$12))-1)/inputs!$N$12&gt;inputs!$H$17, inputs!$H$17, (((inputs!$P$12/(V799/MAX(K799:S799)))^(1/inputs!$O$12))-1)/inputs!$N$12))</f>
        <v>3.4902084635405961</v>
      </c>
      <c r="U799" s="63">
        <f>IF((((inputs!$P$12/(X799/MAX(K799:S799)))^(1/inputs!$O$12))-1)/inputs!$N$12&lt;0, 0, IF((((inputs!$P$12/(X799/MAX(K799:S799)))^(1/inputs!$O$12))-1)/inputs!$N$12&gt;inputs!$H$17, inputs!$H$17, (((inputs!$P$12/(X799/MAX(K799:S799)))^(1/inputs!$O$12))-1)/inputs!$N$12))</f>
        <v>0</v>
      </c>
      <c r="V799" s="21">
        <f>inputs!$E$87*(F799/inputs!$F$87)^(1)</f>
        <v>0.68399999999999994</v>
      </c>
      <c r="W799" s="21">
        <f>inputs!$E$90*(F799/inputs!$F$90)^(1)</f>
        <v>0.72000000000000008</v>
      </c>
      <c r="X799" s="21">
        <f>inputs!$E$89*(F799/inputs!$F$89)^(1)</f>
        <v>2.688607594936709</v>
      </c>
      <c r="Y799" s="21" t="s">
        <v>13</v>
      </c>
      <c r="Z799" s="63">
        <f t="shared" si="96"/>
        <v>2.7894179210885595</v>
      </c>
      <c r="AA799" s="63">
        <f t="shared" si="97"/>
        <v>2.6499470250341308</v>
      </c>
    </row>
    <row r="800" spans="1:27" x14ac:dyDescent="0.25">
      <c r="A800" s="114" t="s">
        <v>640</v>
      </c>
      <c r="B800" s="20" t="s">
        <v>639</v>
      </c>
      <c r="C800" s="21" t="s">
        <v>79</v>
      </c>
      <c r="D800" s="105" t="s">
        <v>383</v>
      </c>
      <c r="E800" s="15">
        <v>169</v>
      </c>
      <c r="F800" s="15">
        <v>26</v>
      </c>
      <c r="G800" s="21" t="s">
        <v>164</v>
      </c>
      <c r="H800" s="20">
        <v>0.78</v>
      </c>
      <c r="I800" s="48">
        <f>inputs!$C$65*(inputs!$C$62/1000)</f>
        <v>0.82000000000000006</v>
      </c>
      <c r="J800" s="48">
        <f>inputs!$C$65*(inputs!$C$61/1000)</f>
        <v>0.25</v>
      </c>
      <c r="K800" s="59">
        <f t="shared" si="99"/>
        <v>2.3127866610166262E-2</v>
      </c>
      <c r="L800" s="59">
        <f t="shared" si="101"/>
        <v>7.051178844562884E-3</v>
      </c>
      <c r="M800" s="59">
        <f>IF((((0.065*F800^0.726)/3.7-(0.301*F800^0.751)/(1-H800)*H800)*(MAX('Min rate concentrations'!$P$3:$P$368)))/F800&gt;0, (((0.065*F800^0.726)/3.7-(0.301*F800^0.751)/(1-H800)*H800)*(MAX('Min rate concentrations'!$P$3:$P$368)))/F800, 0)</f>
        <v>0</v>
      </c>
      <c r="N800" s="59">
        <f>IF((((0.065*F800^0.726)/3.7-(0.301*F800^0.751)/(1-H800)*H800)*(MAX('Min rate concentrations'!$Q$3:$Q$368)))/F800&gt;0, (((0.065*F800^0.726)/3.7-(0.301*F800^0.751)/(1-H800)*H800)*(MAX('Min rate concentrations'!$Q$3:$Q$368)))/F800, 0)</f>
        <v>0</v>
      </c>
      <c r="O800" s="59" t="s">
        <v>13</v>
      </c>
      <c r="P800" s="59" t="s">
        <v>13</v>
      </c>
      <c r="Q800" s="59">
        <f>(inputs!$C$7*11.2)*(16.61*F800^0.61)*0.5*1/F800</f>
        <v>13.052330379627971</v>
      </c>
      <c r="R800" s="59">
        <f>(60*76.9*((F800/1000)^0.76)*3*24*(MAX('Min rate concentrations'!$R$3:$R$368))/F800)</f>
        <v>1.0243843411782032E-3</v>
      </c>
      <c r="S800" s="59">
        <f>(IF(inputs!$C$6="aerial",((0.025*0.112*inputs!$C$7/3.3)*(3*60*76.9*((F800/1000)^0.76))*MAX(inputs!$H$14:$H$16))/F800,((0.0083*0.112*inputs!$C$7/1)*(3*60*76.9*((F800/1000)^0.76))*MAX(inputs!$H$14:$H$16))/F800))</f>
        <v>4.3254310363116518E-3</v>
      </c>
      <c r="T800" s="63">
        <f>IF((((inputs!$P$12/(V800/MAX(K800:S800)))^(1/inputs!$O$12))-1)/inputs!$N$12&lt;0, 0, IF((((inputs!$P$12/(V800/MAX(K800:S800)))^(1/inputs!$O$12))-1)/inputs!$N$12&gt;inputs!$H$17, inputs!$H$17, (((inputs!$P$12/(V800/MAX(K800:S800)))^(1/inputs!$O$12))-1)/inputs!$N$12))</f>
        <v>490.91801313083351</v>
      </c>
      <c r="U800" s="63">
        <f>IF((((inputs!$P$12/(X800/MAX(K800:S800)))^(1/inputs!$O$12))-1)/inputs!$N$12&lt;0, 0, IF((((inputs!$P$12/(X800/MAX(K800:S800)))^(1/inputs!$O$12))-1)/inputs!$N$12&gt;inputs!$H$17, inputs!$H$17, (((inputs!$P$12/(X800/MAX(K800:S800)))^(1/inputs!$O$12))-1)/inputs!$N$12))</f>
        <v>269.16694098617052</v>
      </c>
      <c r="V800" s="21">
        <f>inputs!$E$87*(F800/inputs!$F$87)^(1)</f>
        <v>4.9399999999999999E-3</v>
      </c>
      <c r="W800" s="21">
        <f>inputs!$E$90*(F800/inputs!$F$90)^(1)</f>
        <v>5.2000000000000006E-3</v>
      </c>
      <c r="X800" s="21">
        <f>inputs!$E$89*(F800/inputs!$F$89)^(1)</f>
        <v>1.9417721518987342E-2</v>
      </c>
      <c r="Y800" s="21" t="s">
        <v>13</v>
      </c>
      <c r="Z800" s="63">
        <f t="shared" si="96"/>
        <v>2642.1721416250953</v>
      </c>
      <c r="AA800" s="63">
        <f t="shared" si="97"/>
        <v>2510.0635345438404</v>
      </c>
    </row>
    <row r="801" spans="1:27" x14ac:dyDescent="0.25">
      <c r="A801" s="114" t="s">
        <v>640</v>
      </c>
      <c r="B801" s="20" t="s">
        <v>639</v>
      </c>
      <c r="C801" s="21" t="s">
        <v>79</v>
      </c>
      <c r="D801" s="105" t="s">
        <v>383</v>
      </c>
      <c r="E801" s="15">
        <v>169</v>
      </c>
      <c r="F801" s="15">
        <v>26</v>
      </c>
      <c r="G801" s="21" t="s">
        <v>195</v>
      </c>
      <c r="H801" s="20">
        <v>0.82</v>
      </c>
      <c r="I801" s="48">
        <f>inputs!$C$65*(inputs!$C$62/1000)</f>
        <v>0.82000000000000006</v>
      </c>
      <c r="J801" s="48">
        <f>inputs!$C$65*(inputs!$C$61/1000)</f>
        <v>0.25</v>
      </c>
      <c r="K801" s="59">
        <f t="shared" si="99"/>
        <v>2.8267392523536532E-2</v>
      </c>
      <c r="L801" s="59">
        <f t="shared" si="101"/>
        <v>8.6181074766879667E-3</v>
      </c>
      <c r="M801" s="59">
        <f>IF((((0.065*F801^0.726)/3.7-(0.301*F801^0.751)/(1-H801)*H801)*(MAX('Min rate concentrations'!$P$3:$P$368)))/F801&gt;0, (((0.065*F801^0.726)/3.7-(0.301*F801^0.751)/(1-H801)*H801)*(MAX('Min rate concentrations'!$P$3:$P$368)))/F801, 0)</f>
        <v>0</v>
      </c>
      <c r="N801" s="59">
        <f>IF((((0.065*F801^0.726)/3.7-(0.301*F801^0.751)/(1-H801)*H801)*(MAX('Min rate concentrations'!$Q$3:$Q$368)))/F801&gt;0, (((0.065*F801^0.726)/3.7-(0.301*F801^0.751)/(1-H801)*H801)*(MAX('Min rate concentrations'!$Q$3:$Q$368)))/F801, 0)</f>
        <v>0</v>
      </c>
      <c r="O801" s="59" t="s">
        <v>13</v>
      </c>
      <c r="P801" s="59" t="s">
        <v>13</v>
      </c>
      <c r="Q801" s="59">
        <f>(inputs!$C$7*11.2)*(16.61*F801^0.61)*0.5*1/F801</f>
        <v>13.052330379627971</v>
      </c>
      <c r="R801" s="59">
        <f>(60*76.9*((F801/1000)^0.76)*3*24*(MAX('Min rate concentrations'!$R$3:$R$368))/F801)</f>
        <v>1.0243843411782032E-3</v>
      </c>
      <c r="S801" s="59">
        <f>(IF(inputs!$C$6="aerial",((0.025*0.112*inputs!$C$7/3.3)*(3*60*76.9*((F801/1000)^0.76))*MAX(inputs!$H$14:$H$16))/F801,((0.0083*0.112*inputs!$C$7/1)*(3*60*76.9*((F801/1000)^0.76))*MAX(inputs!$H$14:$H$16))/F801))</f>
        <v>4.3254310363116518E-3</v>
      </c>
      <c r="T801" s="63">
        <f>IF((((inputs!$P$12/(V801/MAX(K801:S801)))^(1/inputs!$O$12))-1)/inputs!$N$12&lt;0, 0, IF((((inputs!$P$12/(V801/MAX(K801:S801)))^(1/inputs!$O$12))-1)/inputs!$N$12&gt;inputs!$H$17, inputs!$H$17, (((inputs!$P$12/(V801/MAX(K801:S801)))^(1/inputs!$O$12))-1)/inputs!$N$12))</f>
        <v>490.91801313083351</v>
      </c>
      <c r="U801" s="63">
        <f>IF((((inputs!$P$12/(X801/MAX(K801:S801)))^(1/inputs!$O$12))-1)/inputs!$N$12&lt;0, 0, IF((((inputs!$P$12/(X801/MAX(K801:S801)))^(1/inputs!$O$12))-1)/inputs!$N$12&gt;inputs!$H$17, inputs!$H$17, (((inputs!$P$12/(X801/MAX(K801:S801)))^(1/inputs!$O$12))-1)/inputs!$N$12))</f>
        <v>269.16694098617052</v>
      </c>
      <c r="V801" s="21">
        <f>inputs!$E$87*(F801/inputs!$F$87)^(1)</f>
        <v>4.9399999999999999E-3</v>
      </c>
      <c r="W801" s="21">
        <f>inputs!$E$90*(F801/inputs!$F$90)^(1)</f>
        <v>5.2000000000000006E-3</v>
      </c>
      <c r="X801" s="21">
        <f>inputs!$E$89*(F801/inputs!$F$89)^(1)</f>
        <v>1.9417721518987342E-2</v>
      </c>
      <c r="Y801" s="21" t="s">
        <v>13</v>
      </c>
      <c r="Z801" s="63">
        <f t="shared" si="96"/>
        <v>2642.1721416250953</v>
      </c>
      <c r="AA801" s="63">
        <f t="shared" si="97"/>
        <v>2510.0635345438404</v>
      </c>
    </row>
    <row r="802" spans="1:27" x14ac:dyDescent="0.25">
      <c r="A802" s="103" t="s">
        <v>407</v>
      </c>
      <c r="B802" s="20" t="s">
        <v>409</v>
      </c>
      <c r="C802" s="21" t="s">
        <v>79</v>
      </c>
      <c r="D802" s="105" t="s">
        <v>383</v>
      </c>
      <c r="E802" s="15">
        <v>3532</v>
      </c>
      <c r="F802" s="15">
        <v>4500</v>
      </c>
      <c r="G802" s="21" t="s">
        <v>152</v>
      </c>
      <c r="H802" s="20">
        <v>0.77</v>
      </c>
      <c r="I802" s="48">
        <f>MAX('Min rate concentrations'!$G$3:$G$368)</f>
        <v>7.5</v>
      </c>
      <c r="J802" s="48">
        <f>MAX('Min rate concentrations'!Z:Z)</f>
        <v>3.5</v>
      </c>
      <c r="K802" s="59">
        <f t="shared" si="99"/>
        <v>6.2805479990702698E-2</v>
      </c>
      <c r="L802" s="59">
        <f t="shared" si="101"/>
        <v>2.9309223995661254E-2</v>
      </c>
      <c r="M802" s="59">
        <f>IF((((0.065*F802^0.726)/3.7-(0.301*F802^0.751)/(1-H802)*H802)*(MAX('Min rate concentrations'!$P$3:$P$368)))/F802&gt;0, (((0.065*F802^0.726)/3.7-(0.301*F802^0.751)/(1-H802)*H802)*(MAX('Min rate concentrations'!$P$3:$P$368)))/F802, 0)</f>
        <v>0</v>
      </c>
      <c r="N802" s="59">
        <f>IF((((0.065*F802^0.726)/3.7-(0.301*F802^0.751)/(1-H802)*H802)*(MAX('Min rate concentrations'!$Q$3:$Q$368)))/F802&gt;0, (((0.065*F802^0.726)/3.7-(0.301*F802^0.751)/(1-H802)*H802)*(MAX('Min rate concentrations'!$Q$3:$Q$368)))/F802, 0)</f>
        <v>0</v>
      </c>
      <c r="O802" s="59" t="s">
        <v>13</v>
      </c>
      <c r="P802" s="59" t="s">
        <v>13</v>
      </c>
      <c r="Q802" s="59">
        <f>(inputs!$C$7*11.2)*(16.61*F802^0.61)*0.5*1/F802</f>
        <v>1.7489394877878099</v>
      </c>
      <c r="R802" s="59">
        <f>(60*76.9*((F802/1000)^0.76)*3*24*(MAX('Min rate concentrations'!$R$3:$R$368))/F802)</f>
        <v>2.9736204266668905E-4</v>
      </c>
      <c r="S802" s="59">
        <f>(IF(inputs!$C$6="aerial",((0.025*0.112*inputs!$C$7/3.3)*(3*60*76.9*((F802/1000)^0.76))*MAX(inputs!$H$14:$H$16))/F802,((0.0083*0.112*inputs!$C$7/1)*(3*60*76.9*((F802/1000)^0.76))*MAX(inputs!$H$14:$H$16))/F802))</f>
        <v>1.2556019812760626E-3</v>
      </c>
      <c r="T802" s="63">
        <f>IF((((inputs!$P$12/(V802/MAX(K802:S802)))^(1/inputs!$O$12))-1)/inputs!$N$12&lt;0, 0, IF((((inputs!$P$12/(V802/MAX(K802:S802)))^(1/inputs!$O$12))-1)/inputs!$N$12&gt;inputs!$H$17, inputs!$H$17, (((inputs!$P$12/(V802/MAX(K802:S802)))^(1/inputs!$O$12))-1)/inputs!$N$12))</f>
        <v>0</v>
      </c>
      <c r="U802" s="63">
        <f>IF((((inputs!$P$12/(X802/MAX(K802:S802)))^(1/inputs!$O$12))-1)/inputs!$N$12&lt;0, 0, IF((((inputs!$P$12/(X802/MAX(K802:S802)))^(1/inputs!$O$12))-1)/inputs!$N$12&gt;inputs!$H$17, inputs!$H$17, (((inputs!$P$12/(X802/MAX(K802:S802)))^(1/inputs!$O$12))-1)/inputs!$N$12))</f>
        <v>0</v>
      </c>
      <c r="V802" s="21">
        <f>inputs!$E$87*(F802/inputs!$F$87)^(1)</f>
        <v>0.85499999999999998</v>
      </c>
      <c r="W802" s="21">
        <f>inputs!$E$90*(F802/inputs!$F$90)^(1)</f>
        <v>0.9</v>
      </c>
      <c r="X802" s="21">
        <f>inputs!$E$89*(F802/inputs!$F$89)^(1)</f>
        <v>3.3607594936708858</v>
      </c>
      <c r="Y802" s="21" t="s">
        <v>13</v>
      </c>
      <c r="Z802" s="63">
        <f t="shared" si="96"/>
        <v>2.0455432605705379</v>
      </c>
      <c r="AA802" s="63">
        <f t="shared" si="97"/>
        <v>1.9432660975420111</v>
      </c>
    </row>
    <row r="803" spans="1:27" x14ac:dyDescent="0.25">
      <c r="A803" s="103" t="s">
        <v>407</v>
      </c>
      <c r="B803" s="20" t="s">
        <v>409</v>
      </c>
      <c r="C803" s="21" t="s">
        <v>79</v>
      </c>
      <c r="D803" s="105" t="s">
        <v>383</v>
      </c>
      <c r="E803" s="15">
        <v>3532</v>
      </c>
      <c r="F803" s="15">
        <v>4500</v>
      </c>
      <c r="G803" s="21" t="s">
        <v>169</v>
      </c>
      <c r="H803" s="20">
        <v>0.79</v>
      </c>
      <c r="I803" s="48">
        <f>MAX('Min rate concentrations'!$D$3:$D$368)</f>
        <v>120</v>
      </c>
      <c r="J803" s="48">
        <f>MAX('Min rate concentrations'!W:W)</f>
        <v>42.5</v>
      </c>
      <c r="K803" s="59">
        <f t="shared" si="99"/>
        <v>1.1005912684085044</v>
      </c>
      <c r="L803" s="59">
        <f t="shared" si="101"/>
        <v>0.38979274089467858</v>
      </c>
      <c r="M803" s="59">
        <f>IF((((0.065*F803^0.726)/3.7-(0.301*F803^0.751)/(1-H803)*H803)*(MAX('Min rate concentrations'!$P$3:$P$368)))/F803&gt;0, (((0.065*F803^0.726)/3.7-(0.301*F803^0.751)/(1-H803)*H803)*(MAX('Min rate concentrations'!$P$3:$P$368)))/F803, 0)</f>
        <v>0</v>
      </c>
      <c r="N803" s="59">
        <f>IF((((0.065*F803^0.726)/3.7-(0.301*F803^0.751)/(1-H803)*H803)*(MAX('Min rate concentrations'!$Q$3:$Q$368)))/F803&gt;0, (((0.065*F803^0.726)/3.7-(0.301*F803^0.751)/(1-H803)*H803)*(MAX('Min rate concentrations'!$Q$3:$Q$368)))/F803, 0)</f>
        <v>0</v>
      </c>
      <c r="O803" s="59" t="s">
        <v>13</v>
      </c>
      <c r="P803" s="59" t="s">
        <v>13</v>
      </c>
      <c r="Q803" s="59">
        <f>(inputs!$C$7*11.2)*(16.61*F803^0.61)*0.5*1/F803</f>
        <v>1.7489394877878099</v>
      </c>
      <c r="R803" s="59">
        <f>(60*76.9*((F803/1000)^0.76)*3*24*(MAX('Min rate concentrations'!$R$3:$R$368))/F803)</f>
        <v>2.9736204266668905E-4</v>
      </c>
      <c r="S803" s="59">
        <f>(IF(inputs!$C$6="aerial",((0.025*0.112*inputs!$C$7/3.3)*(3*60*76.9*((F803/1000)^0.76))*MAX(inputs!$H$14:$H$16))/F803,((0.0083*0.112*inputs!$C$7/1)*(3*60*76.9*((F803/1000)^0.76))*MAX(inputs!$H$14:$H$16))/F803))</f>
        <v>1.2556019812760626E-3</v>
      </c>
      <c r="T803" s="63">
        <f>IF((((inputs!$P$12/(V803/MAX(K803:S803)))^(1/inputs!$O$12))-1)/inputs!$N$12&lt;0, 0, IF((((inputs!$P$12/(V803/MAX(K803:S803)))^(1/inputs!$O$12))-1)/inputs!$N$12&gt;inputs!$H$17, inputs!$H$17, (((inputs!$P$12/(V803/MAX(K803:S803)))^(1/inputs!$O$12))-1)/inputs!$N$12))</f>
        <v>0</v>
      </c>
      <c r="U803" s="63">
        <f>IF((((inputs!$P$12/(X803/MAX(K803:S803)))^(1/inputs!$O$12))-1)/inputs!$N$12&lt;0, 0, IF((((inputs!$P$12/(X803/MAX(K803:S803)))^(1/inputs!$O$12))-1)/inputs!$N$12&gt;inputs!$H$17, inputs!$H$17, (((inputs!$P$12/(X803/MAX(K803:S803)))^(1/inputs!$O$12))-1)/inputs!$N$12))</f>
        <v>0</v>
      </c>
      <c r="V803" s="21">
        <f>inputs!$E$87*(F803/inputs!$F$87)^(1)</f>
        <v>0.85499999999999998</v>
      </c>
      <c r="W803" s="21">
        <f>inputs!$E$90*(F803/inputs!$F$90)^(1)</f>
        <v>0.9</v>
      </c>
      <c r="X803" s="21">
        <f>inputs!$E$89*(F803/inputs!$F$89)^(1)</f>
        <v>3.3607594936708858</v>
      </c>
      <c r="Y803" s="21" t="s">
        <v>13</v>
      </c>
      <c r="Z803" s="63">
        <f t="shared" si="96"/>
        <v>2.0455432605705379</v>
      </c>
      <c r="AA803" s="63">
        <f t="shared" si="97"/>
        <v>1.9432660975420111</v>
      </c>
    </row>
    <row r="804" spans="1:27" x14ac:dyDescent="0.25">
      <c r="A804" s="103" t="s">
        <v>407</v>
      </c>
      <c r="B804" s="20" t="s">
        <v>409</v>
      </c>
      <c r="C804" s="21" t="s">
        <v>79</v>
      </c>
      <c r="D804" s="105" t="s">
        <v>383</v>
      </c>
      <c r="E804" s="15">
        <v>3532</v>
      </c>
      <c r="F804" s="15">
        <v>4500</v>
      </c>
      <c r="G804" s="21" t="s">
        <v>177</v>
      </c>
      <c r="H804" s="20">
        <v>0.85</v>
      </c>
      <c r="I804" s="48">
        <f>MAX('Min rate concentrations'!$F$3:$F$368)</f>
        <v>67.5</v>
      </c>
      <c r="J804" s="48">
        <f>MAX('Min rate concentrations'!Y:Y)</f>
        <v>22.5</v>
      </c>
      <c r="K804" s="59">
        <f t="shared" si="99"/>
        <v>0.86671562387169687</v>
      </c>
      <c r="L804" s="59">
        <f t="shared" si="101"/>
        <v>0.28890520795723229</v>
      </c>
      <c r="M804" s="59">
        <f>IF((((0.065*F804^0.726)/3.7-(0.301*F804^0.751)/(1-H804)*H804)*(MAX('Min rate concentrations'!$P$3:$P$368)))/F804&gt;0, (((0.065*F804^0.726)/3.7-(0.301*F804^0.751)/(1-H804)*H804)*(MAX('Min rate concentrations'!$P$3:$P$368)))/F804, 0)</f>
        <v>0</v>
      </c>
      <c r="N804" s="59">
        <f>IF((((0.065*F804^0.726)/3.7-(0.301*F804^0.751)/(1-H804)*H804)*(MAX('Min rate concentrations'!$Q$3:$Q$368)))/F804&gt;0, (((0.065*F804^0.726)/3.7-(0.301*F804^0.751)/(1-H804)*H804)*(MAX('Min rate concentrations'!$Q$3:$Q$368)))/F804, 0)</f>
        <v>0</v>
      </c>
      <c r="O804" s="59" t="s">
        <v>13</v>
      </c>
      <c r="P804" s="59" t="s">
        <v>13</v>
      </c>
      <c r="Q804" s="59">
        <f>(inputs!$C$7*11.2)*(16.61*F804^0.61)*0.5*1/F804</f>
        <v>1.7489394877878099</v>
      </c>
      <c r="R804" s="59">
        <f>(60*76.9*((F804/1000)^0.76)*3*24*(MAX('Min rate concentrations'!$R$3:$R$368))/F804)</f>
        <v>2.9736204266668905E-4</v>
      </c>
      <c r="S804" s="59">
        <f>(IF(inputs!$C$6="aerial",((0.025*0.112*inputs!$C$7/3.3)*(3*60*76.9*((F804/1000)^0.76))*MAX(inputs!$H$14:$H$16))/F804,((0.0083*0.112*inputs!$C$7/1)*(3*60*76.9*((F804/1000)^0.76))*MAX(inputs!$H$14:$H$16))/F804))</f>
        <v>1.2556019812760626E-3</v>
      </c>
      <c r="T804" s="63">
        <f>IF((((inputs!$P$12/(V804/MAX(K804:S804)))^(1/inputs!$O$12))-1)/inputs!$N$12&lt;0, 0, IF((((inputs!$P$12/(V804/MAX(K804:S804)))^(1/inputs!$O$12))-1)/inputs!$N$12&gt;inputs!$H$17, inputs!$H$17, (((inputs!$P$12/(V804/MAX(K804:S804)))^(1/inputs!$O$12))-1)/inputs!$N$12))</f>
        <v>0</v>
      </c>
      <c r="U804" s="63">
        <f>IF((((inputs!$P$12/(X804/MAX(K804:S804)))^(1/inputs!$O$12))-1)/inputs!$N$12&lt;0, 0, IF((((inputs!$P$12/(X804/MAX(K804:S804)))^(1/inputs!$O$12))-1)/inputs!$N$12&gt;inputs!$H$17, inputs!$H$17, (((inputs!$P$12/(X804/MAX(K804:S804)))^(1/inputs!$O$12))-1)/inputs!$N$12))</f>
        <v>0</v>
      </c>
      <c r="V804" s="21">
        <f>inputs!$E$87*(F804/inputs!$F$87)^(1)</f>
        <v>0.85499999999999998</v>
      </c>
      <c r="W804" s="21">
        <f>inputs!$E$90*(F804/inputs!$F$90)^(1)</f>
        <v>0.9</v>
      </c>
      <c r="X804" s="21">
        <f>inputs!$E$89*(F804/inputs!$F$89)^(1)</f>
        <v>3.3607594936708858</v>
      </c>
      <c r="Y804" s="21" t="s">
        <v>13</v>
      </c>
      <c r="Z804" s="63">
        <f t="shared" si="96"/>
        <v>2.0455432605705379</v>
      </c>
      <c r="AA804" s="63">
        <f t="shared" si="97"/>
        <v>1.9432660975420111</v>
      </c>
    </row>
    <row r="805" spans="1:27" ht="26.4" x14ac:dyDescent="0.25">
      <c r="A805" s="103" t="s">
        <v>407</v>
      </c>
      <c r="B805" s="20" t="s">
        <v>408</v>
      </c>
      <c r="C805" s="21" t="s">
        <v>79</v>
      </c>
      <c r="D805" s="105" t="s">
        <v>383</v>
      </c>
      <c r="E805" s="15">
        <v>181</v>
      </c>
      <c r="F805" s="15">
        <v>4500</v>
      </c>
      <c r="G805" s="21" t="s">
        <v>152</v>
      </c>
      <c r="H805" s="20">
        <v>0.77</v>
      </c>
      <c r="I805" s="48">
        <f>MAX('Min rate concentrations'!$G$3:$G$368)</f>
        <v>7.5</v>
      </c>
      <c r="J805" s="48">
        <f>MAX('Min rate concentrations'!Z:Z)</f>
        <v>3.5</v>
      </c>
      <c r="K805" s="59">
        <f t="shared" si="99"/>
        <v>6.2805479990702698E-2</v>
      </c>
      <c r="L805" s="59">
        <f t="shared" si="101"/>
        <v>2.9309223995661254E-2</v>
      </c>
      <c r="M805" s="59">
        <f>IF((((0.065*F805^0.726)/3.7-(0.301*F805^0.751)/(1-H805)*H805)*(MAX('Min rate concentrations'!$P$3:$P$368)))/F805&gt;0, (((0.065*F805^0.726)/3.7-(0.301*F805^0.751)/(1-H805)*H805)*(MAX('Min rate concentrations'!$P$3:$P$368)))/F805, 0)</f>
        <v>0</v>
      </c>
      <c r="N805" s="59">
        <f>IF((((0.065*F805^0.726)/3.7-(0.301*F805^0.751)/(1-H805)*H805)*(MAX('Min rate concentrations'!$Q$3:$Q$368)))/F805&gt;0, (((0.065*F805^0.726)/3.7-(0.301*F805^0.751)/(1-H805)*H805)*(MAX('Min rate concentrations'!$Q$3:$Q$368)))/F805, 0)</f>
        <v>0</v>
      </c>
      <c r="O805" s="59" t="s">
        <v>13</v>
      </c>
      <c r="P805" s="59" t="s">
        <v>13</v>
      </c>
      <c r="Q805" s="59">
        <f>(inputs!$C$7*11.2)*(16.61*F805^0.61)*0.5*1/F805</f>
        <v>1.7489394877878099</v>
      </c>
      <c r="R805" s="59">
        <f>(60*76.9*((F805/1000)^0.76)*3*24*(MAX('Min rate concentrations'!$R$3:$R$368))/F805)</f>
        <v>2.9736204266668905E-4</v>
      </c>
      <c r="S805" s="59">
        <f>(IF(inputs!$C$6="aerial",((0.025*0.112*inputs!$C$7/3.3)*(3*60*76.9*((F805/1000)^0.76))*MAX(inputs!$H$14:$H$16))/F805,((0.0083*0.112*inputs!$C$7/1)*(3*60*76.9*((F805/1000)^0.76))*MAX(inputs!$H$14:$H$16))/F805))</f>
        <v>1.2556019812760626E-3</v>
      </c>
      <c r="T805" s="63">
        <f>IF((((inputs!$P$12/(V805/MAX(K805:S805)))^(1/inputs!$O$12))-1)/inputs!$N$12&lt;0, 0, IF((((inputs!$P$12/(V805/MAX(K805:S805)))^(1/inputs!$O$12))-1)/inputs!$N$12&gt;inputs!$H$17, inputs!$H$17, (((inputs!$P$12/(V805/MAX(K805:S805)))^(1/inputs!$O$12))-1)/inputs!$N$12))</f>
        <v>0</v>
      </c>
      <c r="U805" s="63">
        <f>IF((((inputs!$P$12/(X805/MAX(K805:S805)))^(1/inputs!$O$12))-1)/inputs!$N$12&lt;0, 0, IF((((inputs!$P$12/(X805/MAX(K805:S805)))^(1/inputs!$O$12))-1)/inputs!$N$12&gt;inputs!$H$17, inputs!$H$17, (((inputs!$P$12/(X805/MAX(K805:S805)))^(1/inputs!$O$12))-1)/inputs!$N$12))</f>
        <v>0</v>
      </c>
      <c r="V805" s="21">
        <f>inputs!$E$87*(F805/inputs!$F$87)^(1)</f>
        <v>0.85499999999999998</v>
      </c>
      <c r="W805" s="21">
        <f>inputs!$E$90*(F805/inputs!$F$90)^(1)</f>
        <v>0.9</v>
      </c>
      <c r="X805" s="21">
        <f>inputs!$E$89*(F805/inputs!$F$89)^(1)</f>
        <v>3.3607594936708858</v>
      </c>
      <c r="Y805" s="21" t="s">
        <v>13</v>
      </c>
      <c r="Z805" s="63">
        <f t="shared" si="96"/>
        <v>2.0455432605705379</v>
      </c>
      <c r="AA805" s="63">
        <f t="shared" si="97"/>
        <v>1.9432660975420111</v>
      </c>
    </row>
    <row r="806" spans="1:27" ht="26.4" x14ac:dyDescent="0.25">
      <c r="A806" s="103" t="s">
        <v>407</v>
      </c>
      <c r="B806" s="20" t="s">
        <v>408</v>
      </c>
      <c r="C806" s="21" t="s">
        <v>79</v>
      </c>
      <c r="D806" s="105" t="s">
        <v>383</v>
      </c>
      <c r="E806" s="15">
        <v>181</v>
      </c>
      <c r="F806" s="15">
        <v>4500</v>
      </c>
      <c r="G806" s="21" t="s">
        <v>169</v>
      </c>
      <c r="H806" s="20">
        <v>0.79</v>
      </c>
      <c r="I806" s="48">
        <f>MAX('Min rate concentrations'!$D$3:$D$368)</f>
        <v>120</v>
      </c>
      <c r="J806" s="48">
        <f>MAX('Min rate concentrations'!W:W)</f>
        <v>42.5</v>
      </c>
      <c r="K806" s="59">
        <f t="shared" si="99"/>
        <v>1.1005912684085044</v>
      </c>
      <c r="L806" s="59">
        <f t="shared" si="101"/>
        <v>0.38979274089467858</v>
      </c>
      <c r="M806" s="59">
        <f>IF((((0.065*F806^0.726)/3.7-(0.301*F806^0.751)/(1-H806)*H806)*(MAX('Min rate concentrations'!$P$3:$P$368)))/F806&gt;0, (((0.065*F806^0.726)/3.7-(0.301*F806^0.751)/(1-H806)*H806)*(MAX('Min rate concentrations'!$P$3:$P$368)))/F806, 0)</f>
        <v>0</v>
      </c>
      <c r="N806" s="59">
        <f>IF((((0.065*F806^0.726)/3.7-(0.301*F806^0.751)/(1-H806)*H806)*(MAX('Min rate concentrations'!$Q$3:$Q$368)))/F806&gt;0, (((0.065*F806^0.726)/3.7-(0.301*F806^0.751)/(1-H806)*H806)*(MAX('Min rate concentrations'!$Q$3:$Q$368)))/F806, 0)</f>
        <v>0</v>
      </c>
      <c r="O806" s="59" t="s">
        <v>13</v>
      </c>
      <c r="P806" s="59" t="s">
        <v>13</v>
      </c>
      <c r="Q806" s="59">
        <f>(inputs!$C$7*11.2)*(16.61*F806^0.61)*0.5*1/F806</f>
        <v>1.7489394877878099</v>
      </c>
      <c r="R806" s="59">
        <f>(60*76.9*((F806/1000)^0.76)*3*24*(MAX('Min rate concentrations'!$R$3:$R$368))/F806)</f>
        <v>2.9736204266668905E-4</v>
      </c>
      <c r="S806" s="59">
        <f>(IF(inputs!$C$6="aerial",((0.025*0.112*inputs!$C$7/3.3)*(3*60*76.9*((F806/1000)^0.76))*MAX(inputs!$H$14:$H$16))/F806,((0.0083*0.112*inputs!$C$7/1)*(3*60*76.9*((F806/1000)^0.76))*MAX(inputs!$H$14:$H$16))/F806))</f>
        <v>1.2556019812760626E-3</v>
      </c>
      <c r="T806" s="63">
        <f>IF((((inputs!$P$12/(V806/MAX(K806:S806)))^(1/inputs!$O$12))-1)/inputs!$N$12&lt;0, 0, IF((((inputs!$P$12/(V806/MAX(K806:S806)))^(1/inputs!$O$12))-1)/inputs!$N$12&gt;inputs!$H$17, inputs!$H$17, (((inputs!$P$12/(V806/MAX(K806:S806)))^(1/inputs!$O$12))-1)/inputs!$N$12))</f>
        <v>0</v>
      </c>
      <c r="U806" s="63">
        <f>IF((((inputs!$P$12/(X806/MAX(K806:S806)))^(1/inputs!$O$12))-1)/inputs!$N$12&lt;0, 0, IF((((inputs!$P$12/(X806/MAX(K806:S806)))^(1/inputs!$O$12))-1)/inputs!$N$12&gt;inputs!$H$17, inputs!$H$17, (((inputs!$P$12/(X806/MAX(K806:S806)))^(1/inputs!$O$12))-1)/inputs!$N$12))</f>
        <v>0</v>
      </c>
      <c r="V806" s="21">
        <f>inputs!$E$87*(F806/inputs!$F$87)^(1)</f>
        <v>0.85499999999999998</v>
      </c>
      <c r="W806" s="21">
        <f>inputs!$E$90*(F806/inputs!$F$90)^(1)</f>
        <v>0.9</v>
      </c>
      <c r="X806" s="21">
        <f>inputs!$E$89*(F806/inputs!$F$89)^(1)</f>
        <v>3.3607594936708858</v>
      </c>
      <c r="Y806" s="21" t="s">
        <v>13</v>
      </c>
      <c r="Z806" s="63">
        <f t="shared" si="96"/>
        <v>2.0455432605705379</v>
      </c>
      <c r="AA806" s="63">
        <f t="shared" si="97"/>
        <v>1.9432660975420111</v>
      </c>
    </row>
    <row r="807" spans="1:27" ht="26.4" x14ac:dyDescent="0.25">
      <c r="A807" s="103" t="s">
        <v>407</v>
      </c>
      <c r="B807" s="20" t="s">
        <v>408</v>
      </c>
      <c r="C807" s="21" t="s">
        <v>79</v>
      </c>
      <c r="D807" s="105" t="s">
        <v>383</v>
      </c>
      <c r="E807" s="15">
        <v>181</v>
      </c>
      <c r="F807" s="15">
        <v>4500</v>
      </c>
      <c r="G807" s="21" t="s">
        <v>177</v>
      </c>
      <c r="H807" s="20">
        <v>0.85</v>
      </c>
      <c r="I807" s="48">
        <f>MAX('Min rate concentrations'!$F$3:$F$368)</f>
        <v>67.5</v>
      </c>
      <c r="J807" s="48">
        <f>MAX('Min rate concentrations'!Y:Y)</f>
        <v>22.5</v>
      </c>
      <c r="K807" s="59">
        <f t="shared" si="99"/>
        <v>0.86671562387169687</v>
      </c>
      <c r="L807" s="59">
        <f t="shared" si="101"/>
        <v>0.28890520795723229</v>
      </c>
      <c r="M807" s="59">
        <f>IF((((0.065*F807^0.726)/3.7-(0.301*F807^0.751)/(1-H807)*H807)*(MAX('Min rate concentrations'!$P$3:$P$368)))/F807&gt;0, (((0.065*F807^0.726)/3.7-(0.301*F807^0.751)/(1-H807)*H807)*(MAX('Min rate concentrations'!$P$3:$P$368)))/F807, 0)</f>
        <v>0</v>
      </c>
      <c r="N807" s="59">
        <f>IF((((0.065*F807^0.726)/3.7-(0.301*F807^0.751)/(1-H807)*H807)*(MAX('Min rate concentrations'!$Q$3:$Q$368)))/F807&gt;0, (((0.065*F807^0.726)/3.7-(0.301*F807^0.751)/(1-H807)*H807)*(MAX('Min rate concentrations'!$Q$3:$Q$368)))/F807, 0)</f>
        <v>0</v>
      </c>
      <c r="O807" s="59" t="s">
        <v>13</v>
      </c>
      <c r="P807" s="59" t="s">
        <v>13</v>
      </c>
      <c r="Q807" s="59">
        <f>(inputs!$C$7*11.2)*(16.61*F807^0.61)*0.5*1/F807</f>
        <v>1.7489394877878099</v>
      </c>
      <c r="R807" s="59">
        <f>(60*76.9*((F807/1000)^0.76)*3*24*(MAX('Min rate concentrations'!$R$3:$R$368))/F807)</f>
        <v>2.9736204266668905E-4</v>
      </c>
      <c r="S807" s="59">
        <f>(IF(inputs!$C$6="aerial",((0.025*0.112*inputs!$C$7/3.3)*(3*60*76.9*((F807/1000)^0.76))*MAX(inputs!$H$14:$H$16))/F807,((0.0083*0.112*inputs!$C$7/1)*(3*60*76.9*((F807/1000)^0.76))*MAX(inputs!$H$14:$H$16))/F807))</f>
        <v>1.2556019812760626E-3</v>
      </c>
      <c r="T807" s="63">
        <f>IF((((inputs!$P$12/(V807/MAX(K807:S807)))^(1/inputs!$O$12))-1)/inputs!$N$12&lt;0, 0, IF((((inputs!$P$12/(V807/MAX(K807:S807)))^(1/inputs!$O$12))-1)/inputs!$N$12&gt;inputs!$H$17, inputs!$H$17, (((inputs!$P$12/(V807/MAX(K807:S807)))^(1/inputs!$O$12))-1)/inputs!$N$12))</f>
        <v>0</v>
      </c>
      <c r="U807" s="63">
        <f>IF((((inputs!$P$12/(X807/MAX(K807:S807)))^(1/inputs!$O$12))-1)/inputs!$N$12&lt;0, 0, IF((((inputs!$P$12/(X807/MAX(K807:S807)))^(1/inputs!$O$12))-1)/inputs!$N$12&gt;inputs!$H$17, inputs!$H$17, (((inputs!$P$12/(X807/MAX(K807:S807)))^(1/inputs!$O$12))-1)/inputs!$N$12))</f>
        <v>0</v>
      </c>
      <c r="V807" s="21">
        <f>inputs!$E$87*(F807/inputs!$F$87)^(1)</f>
        <v>0.85499999999999998</v>
      </c>
      <c r="W807" s="21">
        <f>inputs!$E$90*(F807/inputs!$F$90)^(1)</f>
        <v>0.9</v>
      </c>
      <c r="X807" s="21">
        <f>inputs!$E$89*(F807/inputs!$F$89)^(1)</f>
        <v>3.3607594936708858</v>
      </c>
      <c r="Y807" s="21" t="s">
        <v>13</v>
      </c>
      <c r="Z807" s="63">
        <f t="shared" si="96"/>
        <v>2.0455432605705379</v>
      </c>
      <c r="AA807" s="63">
        <f t="shared" si="97"/>
        <v>1.9432660975420111</v>
      </c>
    </row>
    <row r="808" spans="1:27" x14ac:dyDescent="0.25">
      <c r="A808" s="114" t="s">
        <v>638</v>
      </c>
      <c r="B808" s="20" t="s">
        <v>637</v>
      </c>
      <c r="C808" s="21" t="s">
        <v>79</v>
      </c>
      <c r="D808" s="105" t="s">
        <v>383</v>
      </c>
      <c r="E808" s="15">
        <v>170</v>
      </c>
      <c r="F808" s="56">
        <v>2450</v>
      </c>
      <c r="G808" s="21" t="s">
        <v>241</v>
      </c>
      <c r="H808" s="20">
        <v>0.8</v>
      </c>
      <c r="I808" s="48">
        <f>inputs!$C$65*inputs!$C$60/1000</f>
        <v>2.8</v>
      </c>
      <c r="J808" s="48">
        <f>inputs!$C$65*inputs!$C$59/1000</f>
        <v>2.8</v>
      </c>
      <c r="K808" s="59">
        <f t="shared" si="99"/>
        <v>3.0954991338863352E-2</v>
      </c>
      <c r="L808" s="59">
        <f t="shared" si="101"/>
        <v>3.0954991338863352E-2</v>
      </c>
      <c r="M808" s="59">
        <f>IF((((0.065*F808^0.726)/3.7-(0.301*F808^0.751)/(1-H808)*H808)*(MAX('Min rate concentrations'!$P$3:$P$368)))/F808&gt;0, (((0.065*F808^0.726)/3.7-(0.301*F808^0.751)/(1-H808)*H808)*(MAX('Min rate concentrations'!$P$3:$P$368)))/F808, 0)</f>
        <v>0</v>
      </c>
      <c r="N808" s="59">
        <f>IF((((0.065*F808^0.726)/3.7-(0.301*F808^0.751)/(1-H808)*H808)*(MAX('Min rate concentrations'!$Q$3:$Q$368)))/F808&gt;0, (((0.065*F808^0.726)/3.7-(0.301*F808^0.751)/(1-H808)*H808)*(MAX('Min rate concentrations'!$Q$3:$Q$368)))/F808, 0)</f>
        <v>0</v>
      </c>
      <c r="O808" s="59" t="s">
        <v>13</v>
      </c>
      <c r="P808" s="59" t="s">
        <v>13</v>
      </c>
      <c r="Q808" s="59">
        <f>(inputs!$C$7*11.2)*(16.61*F808^0.61)*0.5*1/F808</f>
        <v>2.2169346477762479</v>
      </c>
      <c r="R808" s="59">
        <f>(60*76.9*((F808/1000)^0.76)*3*24*(MAX('Min rate concentrations'!$R$3:$R$368))/F808)</f>
        <v>3.440778172190699E-4</v>
      </c>
      <c r="S808" s="59">
        <f>(IF(inputs!$C$6="aerial",((0.025*0.112*inputs!$C$7/3.3)*(3*60*76.9*((F808/1000)^0.76))*MAX(inputs!$H$14:$H$16))/F808,((0.0083*0.112*inputs!$C$7/1)*(3*60*76.9*((F808/1000)^0.76))*MAX(inputs!$H$14:$H$16))/F808))</f>
        <v>1.4528578871031653E-3</v>
      </c>
      <c r="T808" s="63">
        <f>IF((((inputs!$P$12/(V808/MAX(K808:S808)))^(1/inputs!$O$12))-1)/inputs!$N$12&lt;0, 0, IF((((inputs!$P$12/(V808/MAX(K808:S808)))^(1/inputs!$O$12))-1)/inputs!$N$12&gt;inputs!$H$17, inputs!$H$17, (((inputs!$P$12/(V808/MAX(K808:S808)))^(1/inputs!$O$12))-1)/inputs!$N$12))</f>
        <v>11.263375574265144</v>
      </c>
      <c r="U808" s="63">
        <f>IF((((inputs!$P$12/(X808/MAX(K808:S808)))^(1/inputs!$O$12))-1)/inputs!$N$12&lt;0, 0, IF((((inputs!$P$12/(X808/MAX(K808:S808)))^(1/inputs!$O$12))-1)/inputs!$N$12&gt;inputs!$H$17, inputs!$H$17, (((inputs!$P$12/(X808/MAX(K808:S808)))^(1/inputs!$O$12))-1)/inputs!$N$12))</f>
        <v>0</v>
      </c>
      <c r="V808" s="21">
        <f>inputs!$E$87*(F808/inputs!$F$87)^(1)</f>
        <v>0.46549999999999997</v>
      </c>
      <c r="W808" s="21">
        <f>inputs!$E$90*(F808/inputs!$F$90)^(1)</f>
        <v>0.49000000000000005</v>
      </c>
      <c r="X808" s="21">
        <f>inputs!$E$89*(F808/inputs!$F$89)^(1)</f>
        <v>1.829746835443038</v>
      </c>
      <c r="Y808" s="21" t="s">
        <v>13</v>
      </c>
      <c r="Z808" s="63">
        <f t="shared" si="96"/>
        <v>4.7624804463506942</v>
      </c>
      <c r="AA808" s="63">
        <f t="shared" si="97"/>
        <v>4.5243564240331589</v>
      </c>
    </row>
    <row r="809" spans="1:27" x14ac:dyDescent="0.25">
      <c r="A809" s="114" t="s">
        <v>638</v>
      </c>
      <c r="B809" s="20" t="s">
        <v>637</v>
      </c>
      <c r="C809" s="21" t="s">
        <v>79</v>
      </c>
      <c r="D809" s="105" t="s">
        <v>383</v>
      </c>
      <c r="E809" s="15">
        <v>170</v>
      </c>
      <c r="F809" s="56">
        <v>2450</v>
      </c>
      <c r="G809" s="21" t="s">
        <v>164</v>
      </c>
      <c r="H809" s="20">
        <v>0.78</v>
      </c>
      <c r="I809" s="48">
        <f>inputs!$C$65*(inputs!$C$62/1000)</f>
        <v>0.82000000000000006</v>
      </c>
      <c r="J809" s="48">
        <f>inputs!$C$65*(inputs!$C$61/1000)</f>
        <v>0.25</v>
      </c>
      <c r="K809" s="59">
        <f t="shared" si="99"/>
        <v>8.2412639278792044E-3</v>
      </c>
      <c r="L809" s="59">
        <f t="shared" si="101"/>
        <v>2.5125804658168304E-3</v>
      </c>
      <c r="M809" s="59">
        <f>IF((((0.065*F809^0.726)/3.7-(0.301*F809^0.751)/(1-H809)*H809)*(MAX('Min rate concentrations'!$P$3:$P$368)))/F809&gt;0, (((0.065*F809^0.726)/3.7-(0.301*F809^0.751)/(1-H809)*H809)*(MAX('Min rate concentrations'!$P$3:$P$368)))/F809, 0)</f>
        <v>0</v>
      </c>
      <c r="N809" s="59">
        <f>IF((((0.065*F809^0.726)/3.7-(0.301*F809^0.751)/(1-H809)*H809)*(MAX('Min rate concentrations'!$Q$3:$Q$368)))/F809&gt;0, (((0.065*F809^0.726)/3.7-(0.301*F809^0.751)/(1-H809)*H809)*(MAX('Min rate concentrations'!$Q$3:$Q$368)))/F809, 0)</f>
        <v>0</v>
      </c>
      <c r="O809" s="59" t="s">
        <v>13</v>
      </c>
      <c r="P809" s="59" t="s">
        <v>13</v>
      </c>
      <c r="Q809" s="59">
        <f>(inputs!$C$7*11.2)*(16.61*F809^0.61)*0.5*1/F809</f>
        <v>2.2169346477762479</v>
      </c>
      <c r="R809" s="59">
        <f>(60*76.9*((F809/1000)^0.76)*3*24*(MAX('Min rate concentrations'!$R$3:$R$368))/F809)</f>
        <v>3.440778172190699E-4</v>
      </c>
      <c r="S809" s="59">
        <f>(IF(inputs!$C$6="aerial",((0.025*0.112*inputs!$C$7/3.3)*(3*60*76.9*((F809/1000)^0.76))*MAX(inputs!$H$14:$H$16))/F809,((0.0083*0.112*inputs!$C$7/1)*(3*60*76.9*((F809/1000)^0.76))*MAX(inputs!$H$14:$H$16))/F809))</f>
        <v>1.4528578871031653E-3</v>
      </c>
      <c r="T809" s="63">
        <f>IF((((inputs!$P$12/(V809/MAX(K809:S809)))^(1/inputs!$O$12))-1)/inputs!$N$12&lt;0, 0, IF((((inputs!$P$12/(V809/MAX(K809:S809)))^(1/inputs!$O$12))-1)/inputs!$N$12&gt;inputs!$H$17, inputs!$H$17, (((inputs!$P$12/(V809/MAX(K809:S809)))^(1/inputs!$O$12))-1)/inputs!$N$12))</f>
        <v>11.263375574265144</v>
      </c>
      <c r="U809" s="63">
        <f>IF((((inputs!$P$12/(X809/MAX(K809:S809)))^(1/inputs!$O$12))-1)/inputs!$N$12&lt;0, 0, IF((((inputs!$P$12/(X809/MAX(K809:S809)))^(1/inputs!$O$12))-1)/inputs!$N$12&gt;inputs!$H$17, inputs!$H$17, (((inputs!$P$12/(X809/MAX(K809:S809)))^(1/inputs!$O$12))-1)/inputs!$N$12))</f>
        <v>0</v>
      </c>
      <c r="V809" s="21">
        <f>inputs!$E$87*(F809/inputs!$F$87)^(1)</f>
        <v>0.46549999999999997</v>
      </c>
      <c r="W809" s="21">
        <f>inputs!$E$90*(F809/inputs!$F$90)^(1)</f>
        <v>0.49000000000000005</v>
      </c>
      <c r="X809" s="21">
        <f>inputs!$E$89*(F809/inputs!$F$89)^(1)</f>
        <v>1.829746835443038</v>
      </c>
      <c r="Y809" s="21" t="s">
        <v>13</v>
      </c>
      <c r="Z809" s="63">
        <f t="shared" si="96"/>
        <v>4.7624804463506942</v>
      </c>
      <c r="AA809" s="63">
        <f t="shared" si="97"/>
        <v>4.5243564240331589</v>
      </c>
    </row>
    <row r="810" spans="1:27" ht="26.4" x14ac:dyDescent="0.25">
      <c r="A810" s="103" t="s">
        <v>410</v>
      </c>
      <c r="B810" s="20" t="s">
        <v>411</v>
      </c>
      <c r="C810" s="21" t="s">
        <v>79</v>
      </c>
      <c r="D810" s="105" t="s">
        <v>383</v>
      </c>
      <c r="E810" s="15">
        <v>171</v>
      </c>
      <c r="F810" s="15">
        <v>220</v>
      </c>
      <c r="G810" s="21" t="s">
        <v>632</v>
      </c>
      <c r="H810" s="20">
        <v>0.8</v>
      </c>
      <c r="I810" s="48">
        <f>inputs!$C$65*inputs!$C$60/1000</f>
        <v>2.8</v>
      </c>
      <c r="J810" s="48">
        <f>inputs!$C$65*inputs!$C$59/1000</f>
        <v>2.8</v>
      </c>
      <c r="K810" s="59">
        <f t="shared" si="99"/>
        <v>5.3498479559782867E-2</v>
      </c>
      <c r="L810" s="59">
        <f t="shared" si="101"/>
        <v>5.3498479559782867E-2</v>
      </c>
      <c r="M810" s="59">
        <f>IF((((0.065*F810^0.726)/3.7-(0.301*F810^0.751)/(1-H810)*H810)*(MAX('Min rate concentrations'!$P$3:$P$368)))/F810&gt;0, (((0.065*F810^0.726)/3.7-(0.301*F810^0.751)/(1-H810)*H810)*(MAX('Min rate concentrations'!$P$3:$P$368)))/F810, 0)</f>
        <v>0</v>
      </c>
      <c r="N810" s="59">
        <f>IF((((0.065*F810^0.726)/3.7-(0.301*F810^0.751)/(1-H810)*H810)*(MAX('Min rate concentrations'!$Q$3:$Q$368)))/F810&gt;0, (((0.065*F810^0.726)/3.7-(0.301*F810^0.751)/(1-H810)*H810)*(MAX('Min rate concentrations'!$Q$3:$Q$368)))/F810, 0)</f>
        <v>0</v>
      </c>
      <c r="O810" s="59" t="s">
        <v>13</v>
      </c>
      <c r="P810" s="59" t="s">
        <v>13</v>
      </c>
      <c r="Q810" s="59">
        <f>(inputs!$C$7*11.2)*(16.61*F810^0.61)*0.5*1/F810</f>
        <v>5.6752215243248711</v>
      </c>
      <c r="R810" s="59">
        <f>(60*76.9*((F810/1000)^0.76)*3*24*(MAX('Min rate concentrations'!$R$3:$R$368))/F810)</f>
        <v>6.135855046743926E-4</v>
      </c>
      <c r="S810" s="59">
        <f>(IF(inputs!$C$6="aerial",((0.025*0.112*inputs!$C$7/3.3)*(3*60*76.9*((F810/1000)^0.76))*MAX(inputs!$H$14:$H$16))/F810,((0.0083*0.112*inputs!$C$7/1)*(3*60*76.9*((F810/1000)^0.76))*MAX(inputs!$H$14:$H$16))/F810))</f>
        <v>2.590845719387923E-3</v>
      </c>
      <c r="T810" s="63">
        <f>IF((((inputs!$P$12/(V810/MAX(K810:S810)))^(1/inputs!$O$12))-1)/inputs!$N$12&lt;0, 0, IF((((inputs!$P$12/(V810/MAX(K810:S810)))^(1/inputs!$O$12))-1)/inputs!$N$12&gt;inputs!$H$17, inputs!$H$17, (((inputs!$P$12/(V810/MAX(K810:S810)))^(1/inputs!$O$12))-1)/inputs!$N$12))</f>
        <v>126.80719359228443</v>
      </c>
      <c r="U810" s="63">
        <f>IF((((inputs!$P$12/(X810/MAX(K810:S810)))^(1/inputs!$O$12))-1)/inputs!$N$12&lt;0, 0, IF((((inputs!$P$12/(X810/MAX(K810:S810)))^(1/inputs!$O$12))-1)/inputs!$N$12&gt;inputs!$H$17, inputs!$H$17, (((inputs!$P$12/(X810/MAX(K810:S810)))^(1/inputs!$O$12))-1)/inputs!$N$12))</f>
        <v>60.506091687169977</v>
      </c>
      <c r="V810" s="21">
        <f>inputs!$E$87*(F810/inputs!$F$87)^(1)</f>
        <v>4.1800000000000004E-2</v>
      </c>
      <c r="W810" s="21">
        <f>inputs!$E$90*(F810/inputs!$F$90)^(1)</f>
        <v>4.3999999999999997E-2</v>
      </c>
      <c r="X810" s="21">
        <f>inputs!$E$89*(F810/inputs!$F$89)^(1)</f>
        <v>0.16430379746835441</v>
      </c>
      <c r="Y810" s="21" t="s">
        <v>13</v>
      </c>
      <c r="Z810" s="63">
        <f t="shared" si="96"/>
        <v>135.77084986423137</v>
      </c>
      <c r="AA810" s="63">
        <f t="shared" si="97"/>
        <v>128.9823073710198</v>
      </c>
    </row>
    <row r="811" spans="1:27" x14ac:dyDescent="0.25">
      <c r="A811" s="103" t="s">
        <v>410</v>
      </c>
      <c r="B811" s="20" t="s">
        <v>411</v>
      </c>
      <c r="C811" s="21" t="s">
        <v>79</v>
      </c>
      <c r="D811" s="105" t="s">
        <v>383</v>
      </c>
      <c r="E811" s="15">
        <v>171</v>
      </c>
      <c r="F811" s="15">
        <v>220</v>
      </c>
      <c r="G811" s="21" t="s">
        <v>142</v>
      </c>
      <c r="H811" s="21">
        <v>0.69</v>
      </c>
      <c r="I811" s="48">
        <f>MAX('Min rate concentrations'!$H$3:$H$368)</f>
        <v>47</v>
      </c>
      <c r="J811" s="48">
        <f>MAX('Min rate concentrations'!AA:AA)</f>
        <v>32.5</v>
      </c>
      <c r="K811" s="59">
        <f t="shared" si="99"/>
        <v>0.57936141458751023</v>
      </c>
      <c r="L811" s="59">
        <f t="shared" si="101"/>
        <v>0.40062225476795915</v>
      </c>
      <c r="M811" s="59">
        <f>IF((((0.065*F811^0.726)/3.7-(0.301*F811^0.751)/(1-H811)*H811)*(MAX('Min rate concentrations'!$P$3:$P$368)))/F811&gt;0, (((0.065*F811^0.726)/3.7-(0.301*F811^0.751)/(1-H811)*H811)*(MAX('Min rate concentrations'!$P$3:$P$368)))/F811, 0)</f>
        <v>0</v>
      </c>
      <c r="N811" s="59">
        <f>IF((((0.065*F811^0.726)/3.7-(0.301*F811^0.751)/(1-H811)*H811)*(MAX('Min rate concentrations'!$Q$3:$Q$368)))/F811&gt;0, (((0.065*F811^0.726)/3.7-(0.301*F811^0.751)/(1-H811)*H811)*(MAX('Min rate concentrations'!$Q$3:$Q$368)))/F811, 0)</f>
        <v>0</v>
      </c>
      <c r="O811" s="59" t="s">
        <v>13</v>
      </c>
      <c r="P811" s="59" t="s">
        <v>13</v>
      </c>
      <c r="Q811" s="59">
        <f>(inputs!$C$7*11.2)*(16.61*F811^0.61)*0.5*1/F811</f>
        <v>5.6752215243248711</v>
      </c>
      <c r="R811" s="59">
        <f>(60*76.9*((F811/1000)^0.76)*3*24*(MAX('Min rate concentrations'!$R$3:$R$368))/F811)</f>
        <v>6.135855046743926E-4</v>
      </c>
      <c r="S811" s="59">
        <f>(IF(inputs!$C$6="aerial",((0.025*0.112*inputs!$C$7/3.3)*(3*60*76.9*((F811/1000)^0.76))*MAX(inputs!$H$14:$H$16))/F811,((0.0083*0.112*inputs!$C$7/1)*(3*60*76.9*((F811/1000)^0.76))*MAX(inputs!$H$14:$H$16))/F811))</f>
        <v>2.590845719387923E-3</v>
      </c>
      <c r="T811" s="63">
        <f>IF((((inputs!$P$12/(V811/MAX(K811:S811)))^(1/inputs!$O$12))-1)/inputs!$N$12&lt;0, 0, IF((((inputs!$P$12/(V811/MAX(K811:S811)))^(1/inputs!$O$12))-1)/inputs!$N$12&gt;inputs!$H$17, inputs!$H$17, (((inputs!$P$12/(V811/MAX(K811:S811)))^(1/inputs!$O$12))-1)/inputs!$N$12))</f>
        <v>126.80719359228443</v>
      </c>
      <c r="U811" s="63">
        <f>IF((((inputs!$P$12/(X811/MAX(K811:S811)))^(1/inputs!$O$12))-1)/inputs!$N$12&lt;0, 0, IF((((inputs!$P$12/(X811/MAX(K811:S811)))^(1/inputs!$O$12))-1)/inputs!$N$12&gt;inputs!$H$17, inputs!$H$17, (((inputs!$P$12/(X811/MAX(K811:S811)))^(1/inputs!$O$12))-1)/inputs!$N$12))</f>
        <v>60.506091687169977</v>
      </c>
      <c r="V811" s="21">
        <f>inputs!$E$87*(F811/inputs!$F$87)^(1)</f>
        <v>4.1800000000000004E-2</v>
      </c>
      <c r="W811" s="21">
        <f>inputs!$E$90*(F811/inputs!$F$90)^(1)</f>
        <v>4.3999999999999997E-2</v>
      </c>
      <c r="X811" s="21">
        <f>inputs!$E$89*(F811/inputs!$F$89)^(1)</f>
        <v>0.16430379746835441</v>
      </c>
      <c r="Y811" s="21" t="s">
        <v>13</v>
      </c>
      <c r="Z811" s="63">
        <f t="shared" si="96"/>
        <v>135.77084986423137</v>
      </c>
      <c r="AA811" s="63">
        <f t="shared" si="97"/>
        <v>128.9823073710198</v>
      </c>
    </row>
    <row r="812" spans="1:27" x14ac:dyDescent="0.25">
      <c r="A812" s="103" t="s">
        <v>410</v>
      </c>
      <c r="B812" s="20" t="s">
        <v>411</v>
      </c>
      <c r="C812" s="21" t="s">
        <v>79</v>
      </c>
      <c r="D812" s="105" t="s">
        <v>383</v>
      </c>
      <c r="E812" s="15">
        <v>171</v>
      </c>
      <c r="F812" s="15">
        <v>220</v>
      </c>
      <c r="G812" s="21" t="s">
        <v>164</v>
      </c>
      <c r="H812" s="20">
        <v>0.78</v>
      </c>
      <c r="I812" s="48">
        <f>inputs!$C$65*(inputs!$C$62/1000)</f>
        <v>0.82000000000000006</v>
      </c>
      <c r="J812" s="48">
        <f>inputs!$C$65*(inputs!$C$61/1000)</f>
        <v>0.25</v>
      </c>
      <c r="K812" s="59">
        <f t="shared" si="99"/>
        <v>1.4243101700981153E-2</v>
      </c>
      <c r="L812" s="59">
        <f t="shared" si="101"/>
        <v>4.3424090551771807E-3</v>
      </c>
      <c r="M812" s="59">
        <f>IF((((0.065*F812^0.726)/3.7-(0.301*F812^0.751)/(1-H812)*H812)*(MAX('Min rate concentrations'!$P$3:$P$368)))/F812&gt;0, (((0.065*F812^0.726)/3.7-(0.301*F812^0.751)/(1-H812)*H812)*(MAX('Min rate concentrations'!$P$3:$P$368)))/F812, 0)</f>
        <v>0</v>
      </c>
      <c r="N812" s="59">
        <f>IF((((0.065*F812^0.726)/3.7-(0.301*F812^0.751)/(1-H812)*H812)*(MAX('Min rate concentrations'!$Q$3:$Q$368)))/F812&gt;0, (((0.065*F812^0.726)/3.7-(0.301*F812^0.751)/(1-H812)*H812)*(MAX('Min rate concentrations'!$Q$3:$Q$368)))/F812, 0)</f>
        <v>0</v>
      </c>
      <c r="O812" s="59" t="s">
        <v>13</v>
      </c>
      <c r="P812" s="59" t="s">
        <v>13</v>
      </c>
      <c r="Q812" s="59">
        <f>(inputs!$C$7*11.2)*(16.61*F812^0.61)*0.5*1/F812</f>
        <v>5.6752215243248711</v>
      </c>
      <c r="R812" s="59">
        <f>(60*76.9*((F812/1000)^0.76)*3*24*(MAX('Min rate concentrations'!$R$3:$R$368))/F812)</f>
        <v>6.135855046743926E-4</v>
      </c>
      <c r="S812" s="59">
        <f>(IF(inputs!$C$6="aerial",((0.025*0.112*inputs!$C$7/3.3)*(3*60*76.9*((F812/1000)^0.76))*MAX(inputs!$H$14:$H$16))/F812,((0.0083*0.112*inputs!$C$7/1)*(3*60*76.9*((F812/1000)^0.76))*MAX(inputs!$H$14:$H$16))/F812))</f>
        <v>2.590845719387923E-3</v>
      </c>
      <c r="T812" s="63">
        <f>IF((((inputs!$P$12/(V812/MAX(K812:S812)))^(1/inputs!$O$12))-1)/inputs!$N$12&lt;0, 0, IF((((inputs!$P$12/(V812/MAX(K812:S812)))^(1/inputs!$O$12))-1)/inputs!$N$12&gt;inputs!$H$17, inputs!$H$17, (((inputs!$P$12/(V812/MAX(K812:S812)))^(1/inputs!$O$12))-1)/inputs!$N$12))</f>
        <v>126.80719359228443</v>
      </c>
      <c r="U812" s="63">
        <f>IF((((inputs!$P$12/(X812/MAX(K812:S812)))^(1/inputs!$O$12))-1)/inputs!$N$12&lt;0, 0, IF((((inputs!$P$12/(X812/MAX(K812:S812)))^(1/inputs!$O$12))-1)/inputs!$N$12&gt;inputs!$H$17, inputs!$H$17, (((inputs!$P$12/(X812/MAX(K812:S812)))^(1/inputs!$O$12))-1)/inputs!$N$12))</f>
        <v>60.506091687169977</v>
      </c>
      <c r="V812" s="21">
        <f>inputs!$E$87*(F812/inputs!$F$87)^(1)</f>
        <v>4.1800000000000004E-2</v>
      </c>
      <c r="W812" s="21">
        <f>inputs!$E$90*(F812/inputs!$F$90)^(1)</f>
        <v>4.3999999999999997E-2</v>
      </c>
      <c r="X812" s="21">
        <f>inputs!$E$89*(F812/inputs!$F$89)^(1)</f>
        <v>0.16430379746835441</v>
      </c>
      <c r="Y812" s="21" t="s">
        <v>13</v>
      </c>
      <c r="Z812" s="63">
        <f t="shared" si="96"/>
        <v>135.77084986423137</v>
      </c>
      <c r="AA812" s="63">
        <f t="shared" si="97"/>
        <v>128.9823073710198</v>
      </c>
    </row>
    <row r="813" spans="1:27" x14ac:dyDescent="0.25">
      <c r="A813" s="103" t="s">
        <v>410</v>
      </c>
      <c r="B813" s="20" t="s">
        <v>411</v>
      </c>
      <c r="C813" s="21" t="s">
        <v>79</v>
      </c>
      <c r="D813" s="105" t="s">
        <v>383</v>
      </c>
      <c r="E813" s="15">
        <v>171</v>
      </c>
      <c r="F813" s="15">
        <v>220</v>
      </c>
      <c r="G813" s="21" t="s">
        <v>146</v>
      </c>
      <c r="H813" s="20">
        <v>0.84</v>
      </c>
      <c r="I813" s="48">
        <f>MAX('Min rate concentrations'!$I$3:$I$368)</f>
        <v>9.4775690500787988</v>
      </c>
      <c r="J813" s="48" t="s">
        <v>13</v>
      </c>
      <c r="K813" s="59">
        <f t="shared" si="99"/>
        <v>0.22635514915271035</v>
      </c>
      <c r="L813" s="48" t="s">
        <v>13</v>
      </c>
      <c r="M813" s="59">
        <f>IF((((0.065*F813^0.726)/3.7-(0.301*F813^0.751)/(1-H813)*H813)*(MAX('Min rate concentrations'!$P$3:$P$368)))/F813&gt;0, (((0.065*F813^0.726)/3.7-(0.301*F813^0.751)/(1-H813)*H813)*(MAX('Min rate concentrations'!$P$3:$P$368)))/F813, 0)</f>
        <v>0</v>
      </c>
      <c r="N813" s="59">
        <f>IF((((0.065*F813^0.726)/3.7-(0.301*F813^0.751)/(1-H813)*H813)*(MAX('Min rate concentrations'!$Q$3:$Q$368)))/F813&gt;0, (((0.065*F813^0.726)/3.7-(0.301*F813^0.751)/(1-H813)*H813)*(MAX('Min rate concentrations'!$Q$3:$Q$368)))/F813, 0)</f>
        <v>0</v>
      </c>
      <c r="O813" s="59" t="s">
        <v>13</v>
      </c>
      <c r="P813" s="59" t="s">
        <v>13</v>
      </c>
      <c r="Q813" s="59">
        <f>(inputs!$C$7*11.2)*(16.61*F813^0.61)*0.5*1/F813</f>
        <v>5.6752215243248711</v>
      </c>
      <c r="R813" s="59">
        <f>(60*76.9*((F813/1000)^0.76)*3*24*(MAX('Min rate concentrations'!$R$3:$R$368))/F813)</f>
        <v>6.135855046743926E-4</v>
      </c>
      <c r="S813" s="59">
        <f>(IF(inputs!$C$6="aerial",((0.025*0.112*inputs!$C$7/3.3)*(3*60*76.9*((F813/1000)^0.76))*MAX(inputs!$H$14:$H$16))/F813,((0.0083*0.112*inputs!$C$7/1)*(3*60*76.9*((F813/1000)^0.76))*MAX(inputs!$H$14:$H$16))/F813))</f>
        <v>2.590845719387923E-3</v>
      </c>
      <c r="T813" s="63">
        <f>IF((((inputs!$P$12/(V813/MAX(K813:S813)))^(1/inputs!$O$12))-1)/inputs!$N$12&lt;0, 0, IF((((inputs!$P$12/(V813/MAX(K813:S813)))^(1/inputs!$O$12))-1)/inputs!$N$12&gt;inputs!$H$17, inputs!$H$17, (((inputs!$P$12/(V813/MAX(K813:S813)))^(1/inputs!$O$12))-1)/inputs!$N$12))</f>
        <v>126.80719359228443</v>
      </c>
      <c r="U813" s="63">
        <f>IF((((inputs!$P$12/(X813/MAX(K813:S813)))^(1/inputs!$O$12))-1)/inputs!$N$12&lt;0, 0, IF((((inputs!$P$12/(X813/MAX(K813:S813)))^(1/inputs!$O$12))-1)/inputs!$N$12&gt;inputs!$H$17, inputs!$H$17, (((inputs!$P$12/(X813/MAX(K813:S813)))^(1/inputs!$O$12))-1)/inputs!$N$12))</f>
        <v>60.506091687169977</v>
      </c>
      <c r="V813" s="21">
        <f>inputs!$E$87*(F813/inputs!$F$87)^(1)</f>
        <v>4.1800000000000004E-2</v>
      </c>
      <c r="W813" s="21">
        <f>inputs!$E$90*(F813/inputs!$F$90)^(1)</f>
        <v>4.3999999999999997E-2</v>
      </c>
      <c r="X813" s="21">
        <f>inputs!$E$89*(F813/inputs!$F$89)^(1)</f>
        <v>0.16430379746835441</v>
      </c>
      <c r="Y813" s="21" t="s">
        <v>13</v>
      </c>
      <c r="Z813" s="63">
        <f t="shared" si="96"/>
        <v>135.77084986423137</v>
      </c>
      <c r="AA813" s="63">
        <f t="shared" si="97"/>
        <v>128.9823073710198</v>
      </c>
    </row>
    <row r="814" spans="1:27" x14ac:dyDescent="0.25">
      <c r="A814" s="103" t="s">
        <v>405</v>
      </c>
      <c r="B814" s="20" t="s">
        <v>406</v>
      </c>
      <c r="C814" s="21" t="s">
        <v>79</v>
      </c>
      <c r="D814" s="105" t="s">
        <v>383</v>
      </c>
      <c r="E814" s="15">
        <v>10291</v>
      </c>
      <c r="F814" s="15">
        <v>11000</v>
      </c>
      <c r="G814" s="21" t="s">
        <v>169</v>
      </c>
      <c r="H814" s="20">
        <v>0.79</v>
      </c>
      <c r="I814" s="48">
        <f>MAX('Min rate concentrations'!$D$3:$D$368)</f>
        <v>120</v>
      </c>
      <c r="J814" s="48">
        <f>MAX('Min rate concentrations'!W:W)</f>
        <v>42.5</v>
      </c>
      <c r="K814" s="59">
        <f t="shared" si="99"/>
        <v>0.89848155131627394</v>
      </c>
      <c r="L814" s="59">
        <f t="shared" ref="L814:L820" si="102">(((0.013*F814^0.773)/(1-H814)))*J814/F814</f>
        <v>0.31821221609118033</v>
      </c>
      <c r="M814" s="59">
        <f>IF((((0.065*F814^0.726)/3.7-(0.301*F814^0.751)/(1-H814)*H814)*(MAX('Min rate concentrations'!$P$3:$P$368)))/F814&gt;0, (((0.065*F814^0.726)/3.7-(0.301*F814^0.751)/(1-H814)*H814)*(MAX('Min rate concentrations'!$P$3:$P$368)))/F814, 0)</f>
        <v>0</v>
      </c>
      <c r="N814" s="59">
        <f>IF((((0.065*F814^0.726)/3.7-(0.301*F814^0.751)/(1-H814)*H814)*(MAX('Min rate concentrations'!$Q$3:$Q$368)))/F814&gt;0, (((0.065*F814^0.726)/3.7-(0.301*F814^0.751)/(1-H814)*H814)*(MAX('Min rate concentrations'!$Q$3:$Q$368)))/F814, 0)</f>
        <v>0</v>
      </c>
      <c r="O814" s="59" t="s">
        <v>13</v>
      </c>
      <c r="P814" s="59" t="s">
        <v>13</v>
      </c>
      <c r="Q814" s="59">
        <f>(inputs!$C$7*11.2)*(16.61*F814^0.61)*0.5*1/F814</f>
        <v>1.2341970856957851</v>
      </c>
      <c r="R814" s="59">
        <f>(60*76.9*((F814/1000)^0.76)*3*24*(MAX('Min rate concentrations'!$R$3:$R$368))/F814)</f>
        <v>2.3995084864586127E-4</v>
      </c>
      <c r="S814" s="59">
        <f>(IF(inputs!$C$6="aerial",((0.025*0.112*inputs!$C$7/3.3)*(3*60*76.9*((F814/1000)^0.76))*MAX(inputs!$H$14:$H$16))/F814,((0.0083*0.112*inputs!$C$7/1)*(3*60*76.9*((F814/1000)^0.76))*MAX(inputs!$H$14:$H$16))/F814))</f>
        <v>1.0131849992244023E-3</v>
      </c>
      <c r="T814" s="63">
        <f>IF((((inputs!$P$12/(V814/MAX(K814:S814)))^(1/inputs!$O$12))-1)/inputs!$N$12&lt;0, 0, IF((((inputs!$P$12/(V814/MAX(K814:S814)))^(1/inputs!$O$12))-1)/inputs!$N$12&gt;inputs!$H$17, inputs!$H$17, (((inputs!$P$12/(V814/MAX(K814:S814)))^(1/inputs!$O$12))-1)/inputs!$N$12))</f>
        <v>0</v>
      </c>
      <c r="U814" s="63">
        <f>IF((((inputs!$P$12/(X814/MAX(K814:S814)))^(1/inputs!$O$12))-1)/inputs!$N$12&lt;0, 0, IF((((inputs!$P$12/(X814/MAX(K814:S814)))^(1/inputs!$O$12))-1)/inputs!$N$12&gt;inputs!$H$17, inputs!$H$17, (((inputs!$P$12/(X814/MAX(K814:S814)))^(1/inputs!$O$12))-1)/inputs!$N$12))</f>
        <v>0</v>
      </c>
      <c r="V814" s="21">
        <f>inputs!$E$87*(F814/inputs!$F$87)^(1)</f>
        <v>2.09</v>
      </c>
      <c r="W814" s="21">
        <f>inputs!$E$90*(F814/inputs!$F$90)^(1)</f>
        <v>2.2000000000000002</v>
      </c>
      <c r="X814" s="21">
        <f>inputs!$E$89*(F814/inputs!$F$89)^(1)</f>
        <v>8.2151898734177209</v>
      </c>
      <c r="Y814" s="21" t="s">
        <v>13</v>
      </c>
      <c r="Z814" s="63">
        <f t="shared" si="96"/>
        <v>0.59052492138554313</v>
      </c>
      <c r="AA814" s="63">
        <f t="shared" si="97"/>
        <v>0.5609986753162659</v>
      </c>
    </row>
    <row r="815" spans="1:27" x14ac:dyDescent="0.25">
      <c r="A815" s="103" t="s">
        <v>405</v>
      </c>
      <c r="B815" s="20" t="s">
        <v>406</v>
      </c>
      <c r="C815" s="21" t="s">
        <v>79</v>
      </c>
      <c r="D815" s="105" t="s">
        <v>383</v>
      </c>
      <c r="E815" s="15">
        <v>10291</v>
      </c>
      <c r="F815" s="15">
        <v>11000</v>
      </c>
      <c r="G815" s="21" t="s">
        <v>177</v>
      </c>
      <c r="H815" s="20">
        <v>0.85</v>
      </c>
      <c r="I815" s="48">
        <f>MAX('Min rate concentrations'!$F$3:$F$368)</f>
        <v>67.5</v>
      </c>
      <c r="J815" s="48">
        <f>MAX('Min rate concentrations'!Y:Y)</f>
        <v>22.5</v>
      </c>
      <c r="K815" s="59">
        <f t="shared" si="99"/>
        <v>0.70755422166156556</v>
      </c>
      <c r="L815" s="59">
        <f t="shared" si="102"/>
        <v>0.23585140722052181</v>
      </c>
      <c r="M815" s="59">
        <f>IF((((0.065*F815^0.726)/3.7-(0.301*F815^0.751)/(1-H815)*H815)*(MAX('Min rate concentrations'!$P$3:$P$368)))/F815&gt;0, (((0.065*F815^0.726)/3.7-(0.301*F815^0.751)/(1-H815)*H815)*(MAX('Min rate concentrations'!$P$3:$P$368)))/F815, 0)</f>
        <v>0</v>
      </c>
      <c r="N815" s="59">
        <f>IF((((0.065*F815^0.726)/3.7-(0.301*F815^0.751)/(1-H815)*H815)*(MAX('Min rate concentrations'!$Q$3:$Q$368)))/F815&gt;0, (((0.065*F815^0.726)/3.7-(0.301*F815^0.751)/(1-H815)*H815)*(MAX('Min rate concentrations'!$Q$3:$Q$368)))/F815, 0)</f>
        <v>0</v>
      </c>
      <c r="O815" s="59" t="s">
        <v>13</v>
      </c>
      <c r="P815" s="59" t="s">
        <v>13</v>
      </c>
      <c r="Q815" s="59">
        <f>(inputs!$C$7*11.2)*(16.61*F815^0.61)*0.5*1/F815</f>
        <v>1.2341970856957851</v>
      </c>
      <c r="R815" s="59">
        <f>(60*76.9*((F815/1000)^0.76)*3*24*(MAX('Min rate concentrations'!$R$3:$R$368))/F815)</f>
        <v>2.3995084864586127E-4</v>
      </c>
      <c r="S815" s="59">
        <f>(IF(inputs!$C$6="aerial",((0.025*0.112*inputs!$C$7/3.3)*(3*60*76.9*((F815/1000)^0.76))*MAX(inputs!$H$14:$H$16))/F815,((0.0083*0.112*inputs!$C$7/1)*(3*60*76.9*((F815/1000)^0.76))*MAX(inputs!$H$14:$H$16))/F815))</f>
        <v>1.0131849992244023E-3</v>
      </c>
      <c r="T815" s="63">
        <f>IF((((inputs!$P$12/(V815/MAX(K815:S815)))^(1/inputs!$O$12))-1)/inputs!$N$12&lt;0, 0, IF((((inputs!$P$12/(V815/MAX(K815:S815)))^(1/inputs!$O$12))-1)/inputs!$N$12&gt;inputs!$H$17, inputs!$H$17, (((inputs!$P$12/(V815/MAX(K815:S815)))^(1/inputs!$O$12))-1)/inputs!$N$12))</f>
        <v>0</v>
      </c>
      <c r="U815" s="63">
        <f>IF((((inputs!$P$12/(X815/MAX(K815:S815)))^(1/inputs!$O$12))-1)/inputs!$N$12&lt;0, 0, IF((((inputs!$P$12/(X815/MAX(K815:S815)))^(1/inputs!$O$12))-1)/inputs!$N$12&gt;inputs!$H$17, inputs!$H$17, (((inputs!$P$12/(X815/MAX(K815:S815)))^(1/inputs!$O$12))-1)/inputs!$N$12))</f>
        <v>0</v>
      </c>
      <c r="V815" s="21">
        <f>inputs!$E$87*(F815/inputs!$F$87)^(1)</f>
        <v>2.09</v>
      </c>
      <c r="W815" s="21">
        <f>inputs!$E$90*(F815/inputs!$F$90)^(1)</f>
        <v>2.2000000000000002</v>
      </c>
      <c r="X815" s="21">
        <f>inputs!$E$89*(F815/inputs!$F$89)^(1)</f>
        <v>8.2151898734177209</v>
      </c>
      <c r="Y815" s="21" t="s">
        <v>13</v>
      </c>
      <c r="Z815" s="63">
        <f t="shared" si="96"/>
        <v>0.59052492138554313</v>
      </c>
      <c r="AA815" s="63">
        <f t="shared" si="97"/>
        <v>0.5609986753162659</v>
      </c>
    </row>
    <row r="816" spans="1:27" ht="26.4" x14ac:dyDescent="0.25">
      <c r="A816" s="103" t="s">
        <v>412</v>
      </c>
      <c r="B816" s="20" t="s">
        <v>413</v>
      </c>
      <c r="C816" s="21" t="s">
        <v>79</v>
      </c>
      <c r="D816" s="105" t="s">
        <v>383</v>
      </c>
      <c r="E816" s="15">
        <v>6620</v>
      </c>
      <c r="F816" s="15">
        <v>88</v>
      </c>
      <c r="G816" s="21" t="s">
        <v>241</v>
      </c>
      <c r="H816" s="20">
        <v>0.8</v>
      </c>
      <c r="I816" s="48">
        <f>inputs!$C$65*inputs!$C$60/1000</f>
        <v>2.8</v>
      </c>
      <c r="J816" s="48">
        <f>inputs!$C$65*inputs!$C$59/1000</f>
        <v>2.8</v>
      </c>
      <c r="K816" s="59">
        <f t="shared" si="99"/>
        <v>6.586790059436122E-2</v>
      </c>
      <c r="L816" s="59">
        <f t="shared" si="102"/>
        <v>6.586790059436122E-2</v>
      </c>
      <c r="M816" s="59">
        <f>IF((((0.065*F816^0.726)/3.7-(0.301*F816^0.751)/(1-H816)*H816)*(MAX('Min rate concentrations'!$P$3:$P$368)))/F816&gt;0, (((0.065*F816^0.726)/3.7-(0.301*F816^0.751)/(1-H816)*H816)*(MAX('Min rate concentrations'!$P$3:$P$368)))/F816, 0)</f>
        <v>0</v>
      </c>
      <c r="N816" s="59">
        <f>IF((((0.065*F816^0.726)/3.7-(0.301*F816^0.751)/(1-H816)*H816)*(MAX('Min rate concentrations'!$Q$3:$Q$368)))/F816&gt;0, (((0.065*F816^0.726)/3.7-(0.301*F816^0.751)/(1-H816)*H816)*(MAX('Min rate concentrations'!$Q$3:$Q$368)))/F816, 0)</f>
        <v>0</v>
      </c>
      <c r="O816" s="59" t="s">
        <v>13</v>
      </c>
      <c r="P816" s="59" t="s">
        <v>13</v>
      </c>
      <c r="Q816" s="59">
        <f>(inputs!$C$7*11.2)*(16.61*F816^0.61)*0.5*1/F816</f>
        <v>8.1129616235476352</v>
      </c>
      <c r="R816" s="59">
        <f>(60*76.9*((F816/1000)^0.76)*3*24*(MAX('Min rate concentrations'!$R$3:$R$368))/F816)</f>
        <v>7.6450563946413091E-4</v>
      </c>
      <c r="S816" s="59">
        <f>(IF(inputs!$C$6="aerial",((0.025*0.112*inputs!$C$7/3.3)*(3*60*76.9*((F816/1000)^0.76))*MAX(inputs!$H$14:$H$16))/F816,((0.0083*0.112*inputs!$C$7/1)*(3*60*76.9*((F816/1000)^0.76))*MAX(inputs!$H$14:$H$16))/F816))</f>
        <v>3.2281012969898365E-3</v>
      </c>
      <c r="T816" s="63">
        <f>IF((((inputs!$P$12/(V816/MAX(K816:S816)))^(1/inputs!$O$12))-1)/inputs!$N$12&lt;0, 0, IF((((inputs!$P$12/(V816/MAX(K816:S816)))^(1/inputs!$O$12))-1)/inputs!$N$12&gt;inputs!$H$17, inputs!$H$17, (((inputs!$P$12/(V816/MAX(K816:S816)))^(1/inputs!$O$12))-1)/inputs!$N$12))</f>
        <v>232.2117573498802</v>
      </c>
      <c r="U816" s="63">
        <f>IF((((inputs!$P$12/(X816/MAX(K816:S816)))^(1/inputs!$O$12))-1)/inputs!$N$12&lt;0, 0, IF((((inputs!$P$12/(X816/MAX(K816:S816)))^(1/inputs!$O$12))-1)/inputs!$N$12&gt;inputs!$H$17, inputs!$H$17, (((inputs!$P$12/(X816/MAX(K816:S816)))^(1/inputs!$O$12))-1)/inputs!$N$12))</f>
        <v>120.91024507520756</v>
      </c>
      <c r="V816" s="21">
        <f>inputs!$E$87*(F816/inputs!$F$87)^(1)</f>
        <v>1.6719999999999999E-2</v>
      </c>
      <c r="W816" s="21">
        <f>inputs!$E$90*(F816/inputs!$F$90)^(1)</f>
        <v>1.7600000000000001E-2</v>
      </c>
      <c r="X816" s="21">
        <f>inputs!$E$89*(F816/inputs!$F$89)^(1)</f>
        <v>6.572151898734177E-2</v>
      </c>
      <c r="Y816" s="21" t="s">
        <v>13</v>
      </c>
      <c r="Z816" s="63">
        <f t="shared" si="96"/>
        <v>485.22497748490645</v>
      </c>
      <c r="AA816" s="63">
        <f t="shared" si="97"/>
        <v>460.96372861066106</v>
      </c>
    </row>
    <row r="817" spans="1:27" ht="26.4" x14ac:dyDescent="0.25">
      <c r="A817" s="103" t="s">
        <v>412</v>
      </c>
      <c r="B817" s="20" t="s">
        <v>413</v>
      </c>
      <c r="C817" s="21" t="s">
        <v>79</v>
      </c>
      <c r="D817" s="105" t="s">
        <v>383</v>
      </c>
      <c r="E817" s="15">
        <v>6620</v>
      </c>
      <c r="F817" s="15">
        <v>88</v>
      </c>
      <c r="G817" s="21" t="s">
        <v>164</v>
      </c>
      <c r="H817" s="20">
        <v>0.78</v>
      </c>
      <c r="I817" s="48">
        <f>inputs!$C$65*(inputs!$C$62/1000)</f>
        <v>0.82000000000000006</v>
      </c>
      <c r="J817" s="48">
        <f>inputs!$C$65*(inputs!$C$61/1000)</f>
        <v>0.25</v>
      </c>
      <c r="K817" s="59">
        <f t="shared" si="99"/>
        <v>1.7536259249148121E-2</v>
      </c>
      <c r="L817" s="59">
        <f t="shared" si="102"/>
        <v>5.3464205027890606E-3</v>
      </c>
      <c r="M817" s="59">
        <f>IF((((0.065*F817^0.726)/3.7-(0.301*F817^0.751)/(1-H817)*H817)*(MAX('Min rate concentrations'!$P$3:$P$368)))/F817&gt;0, (((0.065*F817^0.726)/3.7-(0.301*F817^0.751)/(1-H817)*H817)*(MAX('Min rate concentrations'!$P$3:$P$368)))/F817, 0)</f>
        <v>0</v>
      </c>
      <c r="N817" s="59">
        <f>IF((((0.065*F817^0.726)/3.7-(0.301*F817^0.751)/(1-H817)*H817)*(MAX('Min rate concentrations'!$Q$3:$Q$368)))/F817&gt;0, (((0.065*F817^0.726)/3.7-(0.301*F817^0.751)/(1-H817)*H817)*(MAX('Min rate concentrations'!$Q$3:$Q$368)))/F817, 0)</f>
        <v>0</v>
      </c>
      <c r="O817" s="59" t="s">
        <v>13</v>
      </c>
      <c r="P817" s="59" t="s">
        <v>13</v>
      </c>
      <c r="Q817" s="59">
        <f>(inputs!$C$7*11.2)*(16.61*F817^0.61)*0.5*1/F817</f>
        <v>8.1129616235476352</v>
      </c>
      <c r="R817" s="59">
        <f>(60*76.9*((F817/1000)^0.76)*3*24*(MAX('Min rate concentrations'!$R$3:$R$368))/F817)</f>
        <v>7.6450563946413091E-4</v>
      </c>
      <c r="S817" s="59">
        <f>(IF(inputs!$C$6="aerial",((0.025*0.112*inputs!$C$7/3.3)*(3*60*76.9*((F817/1000)^0.76))*MAX(inputs!$H$14:$H$16))/F817,((0.0083*0.112*inputs!$C$7/1)*(3*60*76.9*((F817/1000)^0.76))*MAX(inputs!$H$14:$H$16))/F817))</f>
        <v>3.2281012969898365E-3</v>
      </c>
      <c r="T817" s="63">
        <f>IF((((inputs!$P$12/(V817/MAX(K817:S817)))^(1/inputs!$O$12))-1)/inputs!$N$12&lt;0, 0, IF((((inputs!$P$12/(V817/MAX(K817:S817)))^(1/inputs!$O$12))-1)/inputs!$N$12&gt;inputs!$H$17, inputs!$H$17, (((inputs!$P$12/(V817/MAX(K817:S817)))^(1/inputs!$O$12))-1)/inputs!$N$12))</f>
        <v>232.2117573498802</v>
      </c>
      <c r="U817" s="63">
        <f>IF((((inputs!$P$12/(X817/MAX(K817:S817)))^(1/inputs!$O$12))-1)/inputs!$N$12&lt;0, 0, IF((((inputs!$P$12/(X817/MAX(K817:S817)))^(1/inputs!$O$12))-1)/inputs!$N$12&gt;inputs!$H$17, inputs!$H$17, (((inputs!$P$12/(X817/MAX(K817:S817)))^(1/inputs!$O$12))-1)/inputs!$N$12))</f>
        <v>120.91024507520756</v>
      </c>
      <c r="V817" s="21">
        <f>inputs!$E$87*(F817/inputs!$F$87)^(1)</f>
        <v>1.6719999999999999E-2</v>
      </c>
      <c r="W817" s="21">
        <f>inputs!$E$90*(F817/inputs!$F$90)^(1)</f>
        <v>1.7600000000000001E-2</v>
      </c>
      <c r="X817" s="21">
        <f>inputs!$E$89*(F817/inputs!$F$89)^(1)</f>
        <v>6.572151898734177E-2</v>
      </c>
      <c r="Y817" s="21" t="s">
        <v>13</v>
      </c>
      <c r="Z817" s="63">
        <f t="shared" si="96"/>
        <v>485.22497748490645</v>
      </c>
      <c r="AA817" s="63">
        <f t="shared" si="97"/>
        <v>460.96372861066106</v>
      </c>
    </row>
    <row r="818" spans="1:27" ht="26.4" x14ac:dyDescent="0.25">
      <c r="A818" s="103" t="s">
        <v>412</v>
      </c>
      <c r="B818" s="20" t="s">
        <v>413</v>
      </c>
      <c r="C818" s="21" t="s">
        <v>79</v>
      </c>
      <c r="D818" s="105" t="s">
        <v>383</v>
      </c>
      <c r="E818" s="15">
        <v>6620</v>
      </c>
      <c r="F818" s="15">
        <v>88</v>
      </c>
      <c r="G818" s="21" t="s">
        <v>633</v>
      </c>
      <c r="H818" s="21">
        <v>0.75</v>
      </c>
      <c r="I818" s="48">
        <f>inputs!$C$65*inputs!$C$64/1000</f>
        <v>2.13</v>
      </c>
      <c r="J818" s="48">
        <f>inputs!$C$65*inputs!$C$63/1000</f>
        <v>0.88</v>
      </c>
      <c r="K818" s="59">
        <f t="shared" si="99"/>
        <v>4.0085322361711251E-2</v>
      </c>
      <c r="L818" s="59">
        <f t="shared" si="102"/>
        <v>1.6561072149439391E-2</v>
      </c>
      <c r="M818" s="59">
        <f>IF((((0.065*F818^0.726)/3.7-(0.301*F818^0.751)/(1-H818)*H818)*(MAX('Min rate concentrations'!$P$3:$P$368)))/F818&gt;0, (((0.065*F818^0.726)/3.7-(0.301*F818^0.751)/(1-H818)*H818)*(MAX('Min rate concentrations'!$P$3:$P$368)))/F818, 0)</f>
        <v>0</v>
      </c>
      <c r="N818" s="59">
        <f>IF((((0.065*F818^0.726)/3.7-(0.301*F818^0.751)/(1-H818)*H818)*(MAX('Min rate concentrations'!$Q$3:$Q$368)))/F818&gt;0, (((0.065*F818^0.726)/3.7-(0.301*F818^0.751)/(1-H818)*H818)*(MAX('Min rate concentrations'!$Q$3:$Q$368)))/F818, 0)</f>
        <v>0</v>
      </c>
      <c r="O818" s="59" t="s">
        <v>13</v>
      </c>
      <c r="P818" s="59" t="s">
        <v>13</v>
      </c>
      <c r="Q818" s="59">
        <f>(inputs!$C$7*11.2)*(16.61*F818^0.61)*0.5*1/F818</f>
        <v>8.1129616235476352</v>
      </c>
      <c r="R818" s="59">
        <f>(60*76.9*((F818/1000)^0.76)*3*24*(MAX('Min rate concentrations'!$R$3:$R$368))/F818)</f>
        <v>7.6450563946413091E-4</v>
      </c>
      <c r="S818" s="59">
        <f>(IF(inputs!$C$6="aerial",((0.025*0.112*inputs!$C$7/3.3)*(3*60*76.9*((F818/1000)^0.76))*MAX(inputs!$H$14:$H$16))/F818,((0.0083*0.112*inputs!$C$7/1)*(3*60*76.9*((F818/1000)^0.76))*MAX(inputs!$H$14:$H$16))/F818))</f>
        <v>3.2281012969898365E-3</v>
      </c>
      <c r="T818" s="63">
        <f>IF((((inputs!$P$12/(V818/MAX(K818:S818)))^(1/inputs!$O$12))-1)/inputs!$N$12&lt;0, 0, IF((((inputs!$P$12/(V818/MAX(K818:S818)))^(1/inputs!$O$12))-1)/inputs!$N$12&gt;inputs!$H$17, inputs!$H$17, (((inputs!$P$12/(V818/MAX(K818:S818)))^(1/inputs!$O$12))-1)/inputs!$N$12))</f>
        <v>232.2117573498802</v>
      </c>
      <c r="U818" s="63">
        <f>IF((((inputs!$P$12/(X818/MAX(K818:S818)))^(1/inputs!$O$12))-1)/inputs!$N$12&lt;0, 0, IF((((inputs!$P$12/(X818/MAX(K818:S818)))^(1/inputs!$O$12))-1)/inputs!$N$12&gt;inputs!$H$17, inputs!$H$17, (((inputs!$P$12/(X818/MAX(K818:S818)))^(1/inputs!$O$12))-1)/inputs!$N$12))</f>
        <v>120.91024507520756</v>
      </c>
      <c r="V818" s="21">
        <f>inputs!$E$87*(F818/inputs!$F$87)^(1)</f>
        <v>1.6719999999999999E-2</v>
      </c>
      <c r="W818" s="21">
        <f>inputs!$E$90*(F818/inputs!$F$90)^(1)</f>
        <v>1.7600000000000001E-2</v>
      </c>
      <c r="X818" s="21">
        <f>inputs!$E$89*(F818/inputs!$F$89)^(1)</f>
        <v>6.572151898734177E-2</v>
      </c>
      <c r="Y818" s="21" t="s">
        <v>13</v>
      </c>
      <c r="Z818" s="63">
        <f t="shared" si="96"/>
        <v>485.22497748490645</v>
      </c>
      <c r="AA818" s="63">
        <f t="shared" si="97"/>
        <v>460.96372861066106</v>
      </c>
    </row>
    <row r="819" spans="1:27" ht="26.4" x14ac:dyDescent="0.25">
      <c r="A819" s="114" t="s">
        <v>631</v>
      </c>
      <c r="B819" s="20" t="s">
        <v>630</v>
      </c>
      <c r="C819" s="21" t="s">
        <v>79</v>
      </c>
      <c r="D819" s="105" t="s">
        <v>383</v>
      </c>
      <c r="E819" s="15">
        <v>172</v>
      </c>
      <c r="F819" s="15">
        <v>200</v>
      </c>
      <c r="G819" s="21" t="s">
        <v>632</v>
      </c>
      <c r="H819" s="20">
        <v>0.8</v>
      </c>
      <c r="I819" s="48">
        <f>inputs!$C$65*inputs!$C$60/1000</f>
        <v>2.8</v>
      </c>
      <c r="J819" s="48">
        <f>inputs!$C$65*inputs!$C$59/1000</f>
        <v>2.8</v>
      </c>
      <c r="K819" s="59">
        <f t="shared" si="99"/>
        <v>5.4668553011593152E-2</v>
      </c>
      <c r="L819" s="59">
        <f t="shared" si="102"/>
        <v>5.4668553011593152E-2</v>
      </c>
      <c r="M819" s="59">
        <f>IF((((0.065*F819^0.726)/3.7-(0.301*F819^0.751)/(1-H819)*H819)*(MAX('Min rate concentrations'!$P$3:$P$368)))/F819&gt;0, (((0.065*F819^0.726)/3.7-(0.301*F819^0.751)/(1-H819)*H819)*(MAX('Min rate concentrations'!$P$3:$P$368)))/F819, 0)</f>
        <v>0</v>
      </c>
      <c r="N819" s="59">
        <f>IF((((0.065*F819^0.726)/3.7-(0.301*F819^0.751)/(1-H819)*H819)*(MAX('Min rate concentrations'!$Q$3:$Q$368)))/F819&gt;0, (((0.065*F819^0.726)/3.7-(0.301*F819^0.751)/(1-H819)*H819)*(MAX('Min rate concentrations'!$Q$3:$Q$368)))/F819, 0)</f>
        <v>0</v>
      </c>
      <c r="O819" s="59" t="s">
        <v>13</v>
      </c>
      <c r="P819" s="59" t="s">
        <v>13</v>
      </c>
      <c r="Q819" s="59">
        <f>(inputs!$C$7*11.2)*(16.61*F819^0.61)*0.5*1/F819</f>
        <v>5.8901447201918806</v>
      </c>
      <c r="R819" s="59">
        <f>(60*76.9*((F819/1000)^0.76)*3*24*(MAX('Min rate concentrations'!$R$3:$R$368))/F819)</f>
        <v>6.2778268872097165E-4</v>
      </c>
      <c r="S819" s="59">
        <f>(IF(inputs!$C$6="aerial",((0.025*0.112*inputs!$C$7/3.3)*(3*60*76.9*((F819/1000)^0.76))*MAX(inputs!$H$14:$H$16))/F819,((0.0083*0.112*inputs!$C$7/1)*(3*60*76.9*((F819/1000)^0.76))*MAX(inputs!$H$14:$H$16))/F819))</f>
        <v>2.6507928876867586E-3</v>
      </c>
      <c r="T819" s="63">
        <f>IF((((inputs!$P$12/(V819/MAX(K819:S819)))^(1/inputs!$O$12))-1)/inputs!$N$12&lt;0, 0, IF((((inputs!$P$12/(V819/MAX(K819:S819)))^(1/inputs!$O$12))-1)/inputs!$N$12&gt;inputs!$H$17, inputs!$H$17, (((inputs!$P$12/(V819/MAX(K819:S819)))^(1/inputs!$O$12))-1)/inputs!$N$12))</f>
        <v>135.40491510005026</v>
      </c>
      <c r="U819" s="63">
        <f>IF((((inputs!$P$12/(X819/MAX(K819:S819)))^(1/inputs!$O$12))-1)/inputs!$N$12&lt;0, 0, IF((((inputs!$P$12/(X819/MAX(K819:S819)))^(1/inputs!$O$12))-1)/inputs!$N$12&gt;inputs!$H$17, inputs!$H$17, (((inputs!$P$12/(X819/MAX(K819:S819)))^(1/inputs!$O$12))-1)/inputs!$N$12))</f>
        <v>65.433184691767593</v>
      </c>
      <c r="V819" s="21">
        <f>inputs!$E$87*(F819/inputs!$F$87)^(1)</f>
        <v>3.7999999999999999E-2</v>
      </c>
      <c r="W819" s="21">
        <f>inputs!$E$90*(F819/inputs!$F$90)^(1)</f>
        <v>0.04</v>
      </c>
      <c r="X819" s="21">
        <f>inputs!$E$89*(F819/inputs!$F$89)^(1)</f>
        <v>0.14936708860759493</v>
      </c>
      <c r="Y819" s="21" t="s">
        <v>13</v>
      </c>
      <c r="Z819" s="63">
        <f t="shared" si="96"/>
        <v>155.00380842610213</v>
      </c>
      <c r="AA819" s="63">
        <f t="shared" si="97"/>
        <v>147.253618004797</v>
      </c>
    </row>
    <row r="820" spans="1:27" x14ac:dyDescent="0.25">
      <c r="A820" s="114" t="s">
        <v>631</v>
      </c>
      <c r="B820" s="20" t="s">
        <v>630</v>
      </c>
      <c r="C820" s="21" t="s">
        <v>79</v>
      </c>
      <c r="D820" s="105" t="s">
        <v>383</v>
      </c>
      <c r="E820" s="15">
        <v>172</v>
      </c>
      <c r="F820" s="15">
        <v>200</v>
      </c>
      <c r="G820" s="21" t="s">
        <v>164</v>
      </c>
      <c r="H820" s="20">
        <v>0.78</v>
      </c>
      <c r="I820" s="48">
        <f>inputs!$C$65*(inputs!$C$62/1000)</f>
        <v>0.82000000000000006</v>
      </c>
      <c r="J820" s="48">
        <f>inputs!$C$65*(inputs!$C$61/1000)</f>
        <v>0.25</v>
      </c>
      <c r="K820" s="59">
        <f t="shared" si="99"/>
        <v>1.4554614762826747E-2</v>
      </c>
      <c r="L820" s="59">
        <f t="shared" si="102"/>
        <v>4.4373825496423006E-3</v>
      </c>
      <c r="M820" s="59">
        <f>IF((((0.065*F820^0.726)/3.7-(0.301*F820^0.751)/(1-H820)*H820)*(MAX('Min rate concentrations'!$P$3:$P$368)))/F820&gt;0, (((0.065*F820^0.726)/3.7-(0.301*F820^0.751)/(1-H820)*H820)*(MAX('Min rate concentrations'!$P$3:$P$368)))/F820, 0)</f>
        <v>0</v>
      </c>
      <c r="N820" s="59">
        <f>IF((((0.065*F820^0.726)/3.7-(0.301*F820^0.751)/(1-H820)*H820)*(MAX('Min rate concentrations'!$Q$3:$Q$368)))/F820&gt;0, (((0.065*F820^0.726)/3.7-(0.301*F820^0.751)/(1-H820)*H820)*(MAX('Min rate concentrations'!$Q$3:$Q$368)))/F820, 0)</f>
        <v>0</v>
      </c>
      <c r="O820" s="59" t="s">
        <v>13</v>
      </c>
      <c r="P820" s="59" t="s">
        <v>13</v>
      </c>
      <c r="Q820" s="59">
        <f>(inputs!$C$7*11.2)*(16.61*F820^0.61)*0.5*1/F820</f>
        <v>5.8901447201918806</v>
      </c>
      <c r="R820" s="59">
        <f>(60*76.9*((F820/1000)^0.76)*3*24*(MAX('Min rate concentrations'!$R$3:$R$368))/F820)</f>
        <v>6.2778268872097165E-4</v>
      </c>
      <c r="S820" s="59">
        <f>(IF(inputs!$C$6="aerial",((0.025*0.112*inputs!$C$7/3.3)*(3*60*76.9*((F820/1000)^0.76))*MAX(inputs!$H$14:$H$16))/F820,((0.0083*0.112*inputs!$C$7/1)*(3*60*76.9*((F820/1000)^0.76))*MAX(inputs!$H$14:$H$16))/F820))</f>
        <v>2.6507928876867586E-3</v>
      </c>
      <c r="T820" s="63">
        <f>IF((((inputs!$P$12/(V820/MAX(K820:S820)))^(1/inputs!$O$12))-1)/inputs!$N$12&lt;0, 0, IF((((inputs!$P$12/(V820/MAX(K820:S820)))^(1/inputs!$O$12))-1)/inputs!$N$12&gt;inputs!$H$17, inputs!$H$17, (((inputs!$P$12/(V820/MAX(K820:S820)))^(1/inputs!$O$12))-1)/inputs!$N$12))</f>
        <v>135.40491510005026</v>
      </c>
      <c r="U820" s="63">
        <f>IF((((inputs!$P$12/(X820/MAX(K820:S820)))^(1/inputs!$O$12))-1)/inputs!$N$12&lt;0, 0, IF((((inputs!$P$12/(X820/MAX(K820:S820)))^(1/inputs!$O$12))-1)/inputs!$N$12&gt;inputs!$H$17, inputs!$H$17, (((inputs!$P$12/(X820/MAX(K820:S820)))^(1/inputs!$O$12))-1)/inputs!$N$12))</f>
        <v>65.433184691767593</v>
      </c>
      <c r="V820" s="21">
        <f>inputs!$E$87*(F820/inputs!$F$87)^(1)</f>
        <v>3.7999999999999999E-2</v>
      </c>
      <c r="W820" s="21">
        <f>inputs!$E$90*(F820/inputs!$F$90)^(1)</f>
        <v>0.04</v>
      </c>
      <c r="X820" s="21">
        <f>inputs!$E$89*(F820/inputs!$F$89)^(1)</f>
        <v>0.14936708860759493</v>
      </c>
      <c r="Y820" s="21" t="s">
        <v>13</v>
      </c>
      <c r="Z820" s="63">
        <f t="shared" si="96"/>
        <v>155.00380842610213</v>
      </c>
      <c r="AA820" s="63">
        <f t="shared" si="97"/>
        <v>147.253618004797</v>
      </c>
    </row>
  </sheetData>
  <sheetProtection algorithmName="SHA-512" hashValue="+JbU+Ml9eGhtVPwooxgqk02Hs9b83PyBOlm8vLtUr9DT0lABPzcoAUZpWFr9Qr0Avg8MNrzHtwMB2BPnFQ0FEA==" saltValue="glZsNOXToFE1T8AClGRHEQ==" spinCount="100000" sheet="1" objects="1" scenarios="1"/>
  <sortState ref="A2:AA818">
    <sortCondition ref="C2:C818"/>
    <sortCondition ref="D2:D818"/>
    <sortCondition ref="B2:B818"/>
    <sortCondition ref="E2:E818"/>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A820"/>
  <sheetViews>
    <sheetView topLeftCell="L706" workbookViewId="0">
      <selection activeCell="V720" sqref="V720"/>
    </sheetView>
  </sheetViews>
  <sheetFormatPr defaultRowHeight="14.4" x14ac:dyDescent="0.3"/>
  <cols>
    <col min="3" max="3" width="18.109375" customWidth="1"/>
    <col min="7" max="7" width="11.33203125" customWidth="1"/>
    <col min="9" max="9" width="12.6640625" customWidth="1"/>
    <col min="10" max="11" width="12.109375" customWidth="1"/>
    <col min="12" max="12" width="11" customWidth="1"/>
    <col min="14" max="14" width="11.5546875" bestFit="1" customWidth="1"/>
  </cols>
  <sheetData>
    <row r="1" spans="1:27" x14ac:dyDescent="0.3">
      <c r="A1" t="s">
        <v>117</v>
      </c>
      <c r="B1" t="s">
        <v>118</v>
      </c>
      <c r="C1" t="s">
        <v>57</v>
      </c>
      <c r="D1" t="s">
        <v>119</v>
      </c>
      <c r="E1" t="s">
        <v>120</v>
      </c>
      <c r="F1" t="s">
        <v>123</v>
      </c>
      <c r="G1" t="s">
        <v>121</v>
      </c>
      <c r="H1" t="s">
        <v>122</v>
      </c>
      <c r="I1" t="s">
        <v>742</v>
      </c>
      <c r="J1" t="s">
        <v>745</v>
      </c>
      <c r="K1" t="s">
        <v>743</v>
      </c>
      <c r="L1" t="s">
        <v>744</v>
      </c>
      <c r="M1" t="s">
        <v>124</v>
      </c>
      <c r="N1" t="s">
        <v>125</v>
      </c>
      <c r="O1" t="s">
        <v>746</v>
      </c>
      <c r="P1" t="s">
        <v>747</v>
      </c>
      <c r="Q1" t="s">
        <v>126</v>
      </c>
      <c r="R1" t="s">
        <v>127</v>
      </c>
      <c r="S1" t="s">
        <v>128</v>
      </c>
      <c r="T1" t="s">
        <v>129</v>
      </c>
      <c r="U1" t="s">
        <v>130</v>
      </c>
      <c r="V1" t="s">
        <v>131</v>
      </c>
      <c r="W1" t="s">
        <v>71</v>
      </c>
      <c r="X1" t="s">
        <v>132</v>
      </c>
      <c r="Y1" t="s">
        <v>75</v>
      </c>
      <c r="Z1" t="s">
        <v>133</v>
      </c>
      <c r="AA1" t="s">
        <v>134</v>
      </c>
    </row>
    <row r="2" spans="1:27" x14ac:dyDescent="0.3">
      <c r="A2" t="s">
        <v>671</v>
      </c>
      <c r="B2" t="s">
        <v>672</v>
      </c>
      <c r="C2" t="s">
        <v>702</v>
      </c>
      <c r="D2" t="s">
        <v>704</v>
      </c>
      <c r="E2">
        <v>9694</v>
      </c>
      <c r="F2">
        <v>1.9</v>
      </c>
      <c r="G2" t="s">
        <v>142</v>
      </c>
      <c r="H2">
        <v>0.69</v>
      </c>
      <c r="I2">
        <f>MAX('Min rate concentrations'!$H$3:$H$368)</f>
        <v>47</v>
      </c>
      <c r="J2">
        <f>MAX('Min rate concentrations'!AA:AA)</f>
        <v>32.5</v>
      </c>
      <c r="K2">
        <f t="shared" ref="K2:K61" si="0">(((0.013*F2^0.773)/(1-H2)))*I2/F2</f>
        <v>1.703736583877987</v>
      </c>
      <c r="L2">
        <f>(((0.013*F2^0.773)/(1-H2)))*J2/F2</f>
        <v>1.1781157228943528</v>
      </c>
      <c r="M2" s="251">
        <f>IF((((0.065*F2^0.726)/3.7-(0.301*F2^0.751)/(1-H2)*H2)*(MAX('Min rate concentrations'!$P$3:$P$368)))/F2&gt;0, (((0.065*F2^0.726)/3.7-(0.301*F2^0.751)/(1-H2)*H2)*(MAX('Min rate concentrations'!$P$3:$P$368)))/F2, 0)</f>
        <v>0</v>
      </c>
      <c r="N2" s="252">
        <f>IF((((0.065*F2^0.726)/3.7-(0.301*F2^0.751)/(1-H2)*H2)*(MAX('Min rate concentrations'!$Q$3:$Q$368)))/F2&gt;0, (((0.065*F2^0.726)/3.7-(0.301*F2^0.751)/(1-H2)*H2)*(MAX('Min rate concentrations'!$Q$3:$Q$368)))/F2, 0)</f>
        <v>0</v>
      </c>
      <c r="O2" t="s">
        <v>13</v>
      </c>
      <c r="P2" t="s">
        <v>13</v>
      </c>
      <c r="Q2">
        <f>(inputs!$C$7*11.2)*(1.131*F2^0.579)*0.5*1/F2</f>
        <v>2.4169372229025541</v>
      </c>
      <c r="R2">
        <f>(60*76.9*((F2/1000)^0.76)*3*24*(MAX('Min rate concentrations'!$R$3:$R$368))/F2)</f>
        <v>1.9193566002110949E-3</v>
      </c>
      <c r="S2">
        <f>(IF(inputs!$C$6="aerial",((0.025*0.112*inputs!$C$7/3.3)*(3*60*76.9*((F2/1000)^0.76))*MAX(inputs!$H$14:$H$16))/F2,((0.0083*0.112*inputs!$C$7/1)*(3*60*76.9*((F2/1000)^0.76))*MAX(inputs!$H$14:$H$16))/F2))</f>
        <v>8.1044235787068215E-3</v>
      </c>
      <c r="T2">
        <f>IF((((inputs!$P$12/(V2/MAX(K2:S2)))^(1/inputs!$O$12))-1)/inputs!$N$12&lt;0, 0, IF((((inputs!$P$12/(V2/MAX(K2:S2)))^(1/inputs!$O$12))-1)/inputs!$N$12&gt;inputs!$H$17, inputs!$H$17, (((inputs!$P$12/(V2/MAX(K2:S2)))^(1/inputs!$O$12))-1)/inputs!$N$12))</f>
        <v>729.64625921179902</v>
      </c>
      <c r="U2">
        <f>IF((((inputs!$P$12/(X2/MAX(K2:S2)))^(1/inputs!$O$12))-1)/inputs!$N$12&lt;0, 0, IF((((inputs!$P$12/(X2/MAX(K2:S2)))^(1/inputs!$O$12))-1)/inputs!$N$12&gt;inputs!$H$17, inputs!$H$17, (((inputs!$P$12/(X2/MAX(K2:S2)))^(1/inputs!$O$12))-1)/inputs!$N$12))</f>
        <v>405.97484645309754</v>
      </c>
      <c r="V2">
        <f>inputs!$E$87*(F2/inputs!$F$87)^(1)</f>
        <v>3.6099999999999999E-4</v>
      </c>
      <c r="W2">
        <f>inputs!$E$90*(F2/inputs!$F$90)^(1)</f>
        <v>3.8000000000000002E-4</v>
      </c>
      <c r="X2">
        <f>inputs!$E$89*(F2/inputs!$F$89)^(1)</f>
        <v>1.4189873417721518E-3</v>
      </c>
      <c r="Y2" t="s">
        <v>13</v>
      </c>
      <c r="Z2">
        <f t="shared" ref="Z2:Z65" si="1">MAX(K2:S2)/V2</f>
        <v>6695.1169609489034</v>
      </c>
      <c r="AA2">
        <f t="shared" ref="AA2:AA65" si="2">MAX(K2:S2)/W2</f>
        <v>6360.361112901458</v>
      </c>
    </row>
    <row r="3" spans="1:27" x14ac:dyDescent="0.3">
      <c r="A3" t="s">
        <v>671</v>
      </c>
      <c r="B3" t="s">
        <v>672</v>
      </c>
      <c r="C3" t="s">
        <v>702</v>
      </c>
      <c r="D3" t="s">
        <v>704</v>
      </c>
      <c r="E3">
        <v>9694</v>
      </c>
      <c r="F3">
        <v>1.9</v>
      </c>
      <c r="G3" t="s">
        <v>146</v>
      </c>
      <c r="H3">
        <v>0.84</v>
      </c>
      <c r="I3">
        <f>MAX('Min rate concentrations'!$I$3:$I$368)</f>
        <v>9.4775690500787988</v>
      </c>
      <c r="J3" t="s">
        <v>13</v>
      </c>
      <c r="K3">
        <f t="shared" si="0"/>
        <v>0.66564589710414712</v>
      </c>
      <c r="L3" t="s">
        <v>13</v>
      </c>
      <c r="M3">
        <f>IF((((0.065*F3^0.726)/3.7-(0.301*F3^0.751)/(1-H3)*H3)*(MAX('Min rate concentrations'!$P$3:$P$368)))/F3&gt;0, (((0.065*F3^0.726)/3.7-(0.301*F3^0.751)/(1-H3)*H3)*(MAX('Min rate concentrations'!$P$3:$P$368)))/F3, 0)</f>
        <v>0</v>
      </c>
      <c r="N3">
        <f>IF((((0.065*F3^0.726)/3.7-(0.301*F3^0.751)/(1-H3)*H3)*(MAX('Min rate concentrations'!$Q$3:$Q$368)))/F3&gt;0, (((0.065*F3^0.726)/3.7-(0.301*F3^0.751)/(1-H3)*H3)*(MAX('Min rate concentrations'!$Q$3:$Q$368)))/F3, 0)</f>
        <v>0</v>
      </c>
      <c r="O3" t="s">
        <v>13</v>
      </c>
      <c r="P3" t="s">
        <v>13</v>
      </c>
      <c r="Q3">
        <f>(inputs!$C$7*11.2)*(1.131*F3^0.579)*0.5*1/F3</f>
        <v>2.4169372229025541</v>
      </c>
      <c r="R3">
        <f>(60*76.9*((F3/1000)^0.76)*3*24*(MAX('Min rate concentrations'!$R$3:$R$368))/F3)</f>
        <v>1.9193566002110949E-3</v>
      </c>
      <c r="S3">
        <f>(IF(inputs!$C$6="aerial",((0.025*0.112*inputs!$C$7/3.3)*(3*60*76.9*((F3/1000)^0.76))*MAX(inputs!$H$14:$H$16))/F3,((0.0083*0.112*inputs!$C$7/1)*(3*60*76.9*((F3/1000)^0.76))*MAX(inputs!$H$14:$H$16))/F3))</f>
        <v>8.1044235787068215E-3</v>
      </c>
      <c r="T3">
        <f>IF((((inputs!$P$12/(V3/MAX(K3:S3)))^(1/inputs!$O$12))-1)/inputs!$N$12&lt;0, 0, IF((((inputs!$P$12/(V3/MAX(K3:S3)))^(1/inputs!$O$12))-1)/inputs!$N$12&gt;inputs!$H$17, inputs!$H$17, (((inputs!$P$12/(V3/MAX(K3:S3)))^(1/inputs!$O$12))-1)/inputs!$N$12))</f>
        <v>729.64625921179902</v>
      </c>
      <c r="U3">
        <f>IF((((inputs!$P$12/(X3/MAX(K3:S3)))^(1/inputs!$O$12))-1)/inputs!$N$12&lt;0, 0, IF((((inputs!$P$12/(X3/MAX(K3:S3)))^(1/inputs!$O$12))-1)/inputs!$N$12&gt;inputs!$H$17, inputs!$H$17, (((inputs!$P$12/(X3/MAX(K3:S3)))^(1/inputs!$O$12))-1)/inputs!$N$12))</f>
        <v>405.97484645309754</v>
      </c>
      <c r="V3">
        <f>inputs!$E$87*(F3/inputs!$F$87)^(1)</f>
        <v>3.6099999999999999E-4</v>
      </c>
      <c r="W3">
        <f>inputs!$E$90*(F3/inputs!$F$90)^(1)</f>
        <v>3.8000000000000002E-4</v>
      </c>
      <c r="X3">
        <f>inputs!$E$89*(F3/inputs!$F$89)^(1)</f>
        <v>1.4189873417721518E-3</v>
      </c>
      <c r="Y3" t="s">
        <v>13</v>
      </c>
      <c r="Z3">
        <f t="shared" si="1"/>
        <v>6695.1169609489034</v>
      </c>
      <c r="AA3">
        <f t="shared" si="2"/>
        <v>6360.361112901458</v>
      </c>
    </row>
    <row r="4" spans="1:27" x14ac:dyDescent="0.3">
      <c r="A4" t="s">
        <v>657</v>
      </c>
      <c r="B4" t="s">
        <v>658</v>
      </c>
      <c r="C4" t="s">
        <v>702</v>
      </c>
      <c r="D4" t="s">
        <v>704</v>
      </c>
      <c r="E4">
        <v>204</v>
      </c>
      <c r="F4">
        <v>14</v>
      </c>
      <c r="G4" t="s">
        <v>142</v>
      </c>
      <c r="H4">
        <v>0.69</v>
      </c>
      <c r="I4">
        <f>MAX('Min rate concentrations'!$H$3:$H$368)</f>
        <v>47</v>
      </c>
      <c r="J4">
        <f>MAX('Min rate concentrations'!AA:AA)</f>
        <v>32.5</v>
      </c>
      <c r="K4">
        <f t="shared" si="0"/>
        <v>1.0827007866197562</v>
      </c>
      <c r="L4">
        <f t="shared" ref="L4:L16" si="3">(((0.013*F4^0.773)/(1-H4)))*J4/F4</f>
        <v>0.74867607585408658</v>
      </c>
      <c r="M4">
        <f>IF((((0.065*F4^0.726)/3.7-(0.301*F4^0.751)/(1-H4)*H4)*(MAX('Min rate concentrations'!$P$3:$P$368)))/F4&gt;0, (((0.065*F4^0.726)/3.7-(0.301*F4^0.751)/(1-H4)*H4)*(MAX('Min rate concentrations'!$P$3:$P$368)))/F4, 0)</f>
        <v>0</v>
      </c>
      <c r="N4">
        <f>IF((((0.065*F4^0.726)/3.7-(0.301*F4^0.751)/(1-H4)*H4)*(MAX('Min rate concentrations'!$Q$3:$Q$368)))/F4&gt;0, (((0.065*F4^0.726)/3.7-(0.301*F4^0.751)/(1-H4)*H4)*(MAX('Min rate concentrations'!$Q$3:$Q$368)))/F4, 0)</f>
        <v>0</v>
      </c>
      <c r="O4" t="s">
        <v>13</v>
      </c>
      <c r="P4" t="s">
        <v>13</v>
      </c>
      <c r="Q4">
        <f>(inputs!$C$7*11.2)*(1.131*F4^0.579)*0.5*1/F4</f>
        <v>1.0425592197021285</v>
      </c>
      <c r="R4">
        <f>(60*76.9*((F4/1000)^0.76)*3*24*(MAX('Min rate concentrations'!$R$3:$R$368))/F4)</f>
        <v>1.1884633847552672E-3</v>
      </c>
      <c r="S4">
        <f>(IF(inputs!$C$6="aerial",((0.025*0.112*inputs!$C$7/3.3)*(3*60*76.9*((F4/1000)^0.76))*MAX(inputs!$H$14:$H$16))/F4,((0.0083*0.112*inputs!$C$7/1)*(3*60*76.9*((F4/1000)^0.76))*MAX(inputs!$H$14:$H$16))/F4))</f>
        <v>5.0182496972063341E-3</v>
      </c>
      <c r="T4">
        <f>IF((((inputs!$P$12/(V4/MAX(K4:S4)))^(1/inputs!$O$12))-1)/inputs!$N$12&lt;0, 0, IF((((inputs!$P$12/(V4/MAX(K4:S4)))^(1/inputs!$O$12))-1)/inputs!$N$12&gt;inputs!$H$17, inputs!$H$17, (((inputs!$P$12/(V4/MAX(K4:S4)))^(1/inputs!$O$12))-1)/inputs!$N$12))</f>
        <v>214.22878545217165</v>
      </c>
      <c r="U4">
        <f>IF((((inputs!$P$12/(X4/MAX(K4:S4)))^(1/inputs!$O$12))-1)/inputs!$N$12&lt;0, 0, IF((((inputs!$P$12/(X4/MAX(K4:S4)))^(1/inputs!$O$12))-1)/inputs!$N$12&gt;inputs!$H$17, inputs!$H$17, (((inputs!$P$12/(X4/MAX(K4:S4)))^(1/inputs!$O$12))-1)/inputs!$N$12))</f>
        <v>110.60475018809768</v>
      </c>
      <c r="V4">
        <f>inputs!$E$87*(F4/inputs!$F$87)^(1)</f>
        <v>2.66E-3</v>
      </c>
      <c r="W4">
        <f>inputs!$E$90*(F4/inputs!$F$90)^(1)</f>
        <v>2.8E-3</v>
      </c>
      <c r="X4">
        <f>inputs!$E$89*(F4/inputs!$F$89)^(1)</f>
        <v>1.0455696202531645E-2</v>
      </c>
      <c r="Y4" t="s">
        <v>13</v>
      </c>
      <c r="Z4">
        <f t="shared" si="1"/>
        <v>407.0303709096828</v>
      </c>
      <c r="AA4">
        <f t="shared" si="2"/>
        <v>386.67885236419863</v>
      </c>
    </row>
    <row r="5" spans="1:27" x14ac:dyDescent="0.3">
      <c r="A5" t="s">
        <v>689</v>
      </c>
      <c r="B5" t="s">
        <v>690</v>
      </c>
      <c r="C5" t="s">
        <v>702</v>
      </c>
      <c r="D5" t="s">
        <v>704</v>
      </c>
      <c r="E5">
        <v>205</v>
      </c>
      <c r="F5">
        <v>8.6999999999999993</v>
      </c>
      <c r="G5" t="s">
        <v>182</v>
      </c>
      <c r="H5">
        <v>0.85</v>
      </c>
      <c r="I5">
        <f>MAX('Min rate concentrations'!$M$3:$M$368)</f>
        <v>2.8488184789681945</v>
      </c>
      <c r="J5">
        <f>MAX('Min rate concentrations'!AE:AE)</f>
        <v>1.9699276716269429</v>
      </c>
      <c r="K5">
        <f t="shared" si="0"/>
        <v>0.15109357623849215</v>
      </c>
      <c r="L5">
        <f t="shared" si="3"/>
        <v>0.1044796005904467</v>
      </c>
      <c r="M5">
        <f>IF((((0.065*F5^0.726)/3.7-(0.301*F5^0.751)/(1-H5)*H5)*(MAX('Min rate concentrations'!$P$3:$P$368)))/F5&gt;0, (((0.065*F5^0.726)/3.7-(0.301*F5^0.751)/(1-H5)*H5)*(MAX('Min rate concentrations'!$P$3:$P$368)))/F5, 0)</f>
        <v>0</v>
      </c>
      <c r="N5">
        <f>IF((((0.065*F5^0.726)/3.7-(0.301*F5^0.751)/(1-H5)*H5)*(MAX('Min rate concentrations'!$Q$3:$Q$368)))/F5&gt;0, (((0.065*F5^0.726)/3.7-(0.301*F5^0.751)/(1-H5)*H5)*(MAX('Min rate concentrations'!$Q$3:$Q$368)))/F5, 0)</f>
        <v>0</v>
      </c>
      <c r="O5" t="s">
        <v>13</v>
      </c>
      <c r="P5" t="s">
        <v>13</v>
      </c>
      <c r="Q5">
        <f>(inputs!$C$7*11.2)*(1.131*F5^0.579)*0.5*1/F5</f>
        <v>1.2737465799313981</v>
      </c>
      <c r="R5">
        <f>(60*76.9*((F5/1000)^0.76)*3*24*(MAX('Min rate concentrations'!$R$3:$R$368))/F5)</f>
        <v>1.3322076220028903E-3</v>
      </c>
      <c r="S5">
        <f>(IF(inputs!$C$6="aerial",((0.025*0.112*inputs!$C$7/3.3)*(3*60*76.9*((F5/1000)^0.76))*MAX(inputs!$H$14:$H$16))/F5,((0.0083*0.112*inputs!$C$7/1)*(3*60*76.9*((F5/1000)^0.76))*MAX(inputs!$H$14:$H$16))/F5))</f>
        <v>5.6252052705087303E-3</v>
      </c>
      <c r="T5">
        <f>IF((((inputs!$P$12/(V5/MAX(K5:S5)))^(1/inputs!$O$12))-1)/inputs!$N$12&lt;0, 0, IF((((inputs!$P$12/(V5/MAX(K5:S5)))^(1/inputs!$O$12))-1)/inputs!$N$12&gt;inputs!$H$17, inputs!$H$17, (((inputs!$P$12/(V5/MAX(K5:S5)))^(1/inputs!$O$12))-1)/inputs!$N$12))</f>
        <v>286.17158530503656</v>
      </c>
      <c r="U5">
        <f>IF((((inputs!$P$12/(X5/MAX(K5:S5)))^(1/inputs!$O$12))-1)/inputs!$N$12&lt;0, 0, IF((((inputs!$P$12/(X5/MAX(K5:S5)))^(1/inputs!$O$12))-1)/inputs!$N$12&gt;inputs!$H$17, inputs!$H$17, (((inputs!$P$12/(X5/MAX(K5:S5)))^(1/inputs!$O$12))-1)/inputs!$N$12))</f>
        <v>151.83298322240191</v>
      </c>
      <c r="V5">
        <f>inputs!$E$87*(F5/inputs!$F$87)^(1)</f>
        <v>1.6529999999999997E-3</v>
      </c>
      <c r="W5">
        <f>inputs!$E$90*(F5/inputs!$F$90)^(1)</f>
        <v>1.7399999999999998E-3</v>
      </c>
      <c r="X5">
        <f>inputs!$E$89*(F5/inputs!$F$89)^(1)</f>
        <v>6.4974683544303784E-3</v>
      </c>
      <c r="Y5" t="s">
        <v>13</v>
      </c>
      <c r="Z5">
        <f t="shared" si="1"/>
        <v>770.56659402988396</v>
      </c>
      <c r="AA5">
        <f t="shared" si="2"/>
        <v>732.0382643283898</v>
      </c>
    </row>
    <row r="6" spans="1:27" x14ac:dyDescent="0.3">
      <c r="A6" t="s">
        <v>689</v>
      </c>
      <c r="B6" t="s">
        <v>690</v>
      </c>
      <c r="C6" t="s">
        <v>702</v>
      </c>
      <c r="D6" t="s">
        <v>704</v>
      </c>
      <c r="E6">
        <v>205</v>
      </c>
      <c r="F6">
        <v>8.6999999999999993</v>
      </c>
      <c r="G6" t="s">
        <v>142</v>
      </c>
      <c r="H6">
        <v>0.69</v>
      </c>
      <c r="I6">
        <f>MAX('Min rate concentrations'!$H$3:$H$368)</f>
        <v>47</v>
      </c>
      <c r="J6">
        <f>MAX('Min rate concentrations'!AA:AA)</f>
        <v>32.5</v>
      </c>
      <c r="K6">
        <f t="shared" si="0"/>
        <v>1.206170343323405</v>
      </c>
      <c r="L6">
        <f t="shared" si="3"/>
        <v>0.83405396080873762</v>
      </c>
      <c r="M6">
        <f>IF((((0.065*F6^0.726)/3.7-(0.301*F6^0.751)/(1-H6)*H6)*(MAX('Min rate concentrations'!$P$3:$P$368)))/F6&gt;0, (((0.065*F6^0.726)/3.7-(0.301*F6^0.751)/(1-H6)*H6)*(MAX('Min rate concentrations'!$P$3:$P$368)))/F6, 0)</f>
        <v>0</v>
      </c>
      <c r="N6">
        <f>IF((((0.065*F6^0.726)/3.7-(0.301*F6^0.751)/(1-H6)*H6)*(MAX('Min rate concentrations'!$Q$3:$Q$368)))/F6&gt;0, (((0.065*F6^0.726)/3.7-(0.301*F6^0.751)/(1-H6)*H6)*(MAX('Min rate concentrations'!$Q$3:$Q$368)))/F6, 0)</f>
        <v>0</v>
      </c>
      <c r="O6" t="s">
        <v>13</v>
      </c>
      <c r="P6" t="s">
        <v>13</v>
      </c>
      <c r="Q6">
        <f>(inputs!$C$7*11.2)*(1.131*F6^0.579)*0.5*1/F6</f>
        <v>1.2737465799313981</v>
      </c>
      <c r="R6">
        <f>(60*76.9*((F6/1000)^0.76)*3*24*(MAX('Min rate concentrations'!$R$3:$R$368))/F6)</f>
        <v>1.3322076220028903E-3</v>
      </c>
      <c r="S6">
        <f>(IF(inputs!$C$6="aerial",((0.025*0.112*inputs!$C$7/3.3)*(3*60*76.9*((F6/1000)^0.76))*MAX(inputs!$H$14:$H$16))/F6,((0.0083*0.112*inputs!$C$7/1)*(3*60*76.9*((F6/1000)^0.76))*MAX(inputs!$H$14:$H$16))/F6))</f>
        <v>5.6252052705087303E-3</v>
      </c>
      <c r="T6">
        <f>IF((((inputs!$P$12/(V6/MAX(K6:S6)))^(1/inputs!$O$12))-1)/inputs!$N$12&lt;0, 0, IF((((inputs!$P$12/(V6/MAX(K6:S6)))^(1/inputs!$O$12))-1)/inputs!$N$12&gt;inputs!$H$17, inputs!$H$17, (((inputs!$P$12/(V6/MAX(K6:S6)))^(1/inputs!$O$12))-1)/inputs!$N$12))</f>
        <v>286.17158530503656</v>
      </c>
      <c r="U6">
        <f>IF((((inputs!$P$12/(X6/MAX(K6:S6)))^(1/inputs!$O$12))-1)/inputs!$N$12&lt;0, 0, IF((((inputs!$P$12/(X6/MAX(K6:S6)))^(1/inputs!$O$12))-1)/inputs!$N$12&gt;inputs!$H$17, inputs!$H$17, (((inputs!$P$12/(X6/MAX(K6:S6)))^(1/inputs!$O$12))-1)/inputs!$N$12))</f>
        <v>151.83298322240191</v>
      </c>
      <c r="V6">
        <f>inputs!$E$87*(F6/inputs!$F$87)^(1)</f>
        <v>1.6529999999999997E-3</v>
      </c>
      <c r="W6">
        <f>inputs!$E$90*(F6/inputs!$F$90)^(1)</f>
        <v>1.7399999999999998E-3</v>
      </c>
      <c r="X6">
        <f>inputs!$E$89*(F6/inputs!$F$89)^(1)</f>
        <v>6.4974683544303784E-3</v>
      </c>
      <c r="Y6" t="s">
        <v>13</v>
      </c>
      <c r="Z6">
        <f t="shared" si="1"/>
        <v>770.56659402988396</v>
      </c>
      <c r="AA6">
        <f t="shared" si="2"/>
        <v>732.0382643283898</v>
      </c>
    </row>
    <row r="7" spans="1:27" x14ac:dyDescent="0.3">
      <c r="A7" t="s">
        <v>689</v>
      </c>
      <c r="B7" t="s">
        <v>690</v>
      </c>
      <c r="C7" t="s">
        <v>702</v>
      </c>
      <c r="D7" t="s">
        <v>704</v>
      </c>
      <c r="E7">
        <v>205</v>
      </c>
      <c r="F7">
        <v>8.6999999999999993</v>
      </c>
      <c r="G7" t="s">
        <v>456</v>
      </c>
      <c r="H7">
        <v>0.68</v>
      </c>
      <c r="I7">
        <f>MAX('Min rate concentrations'!$J$3:$J$368)</f>
        <v>114.4108103430513</v>
      </c>
      <c r="J7">
        <f>MAX('Min rate concentrations'!AB:AB)</f>
        <v>40.520495329830666</v>
      </c>
      <c r="K7">
        <f t="shared" si="0"/>
        <v>2.8443927647160927</v>
      </c>
      <c r="L7">
        <f t="shared" si="3"/>
        <v>1.0073891041702829</v>
      </c>
      <c r="M7">
        <f>IF((((0.065*F7^0.726)/3.7-(0.301*F7^0.751)/(1-H7)*H7)*(MAX('Min rate concentrations'!$P$3:$P$368)))/F7&gt;0, (((0.065*F7^0.726)/3.7-(0.301*F7^0.751)/(1-H7)*H7)*(MAX('Min rate concentrations'!$P$3:$P$368)))/F7, 0)</f>
        <v>0</v>
      </c>
      <c r="N7">
        <f>IF((((0.065*F7^0.726)/3.7-(0.301*F7^0.751)/(1-H7)*H7)*(MAX('Min rate concentrations'!$Q$3:$Q$368)))/F7&gt;0, (((0.065*F7^0.726)/3.7-(0.301*F7^0.751)/(1-H7)*H7)*(MAX('Min rate concentrations'!$Q$3:$Q$368)))/F7, 0)</f>
        <v>0</v>
      </c>
      <c r="O7" t="s">
        <v>13</v>
      </c>
      <c r="P7" t="s">
        <v>13</v>
      </c>
      <c r="Q7">
        <f>(inputs!$C$7*11.2)*(1.131*F7^0.579)*0.5*1/F7</f>
        <v>1.2737465799313981</v>
      </c>
      <c r="R7">
        <f>(60*76.9*((F7/1000)^0.76)*3*24*(MAX('Min rate concentrations'!$R$3:$R$368))/F7)</f>
        <v>1.3322076220028903E-3</v>
      </c>
      <c r="S7">
        <f>(IF(inputs!$C$6="aerial",((0.025*0.112*inputs!$C$7/3.3)*(3*60*76.9*((F7/1000)^0.76))*MAX(inputs!$H$14:$H$16))/F7,((0.0083*0.112*inputs!$C$7/1)*(3*60*76.9*((F7/1000)^0.76))*MAX(inputs!$H$14:$H$16))/F7))</f>
        <v>5.6252052705087303E-3</v>
      </c>
      <c r="T7">
        <f>IF((((inputs!$P$12/(V7/MAX(K7:S7)))^(1/inputs!$O$12))-1)/inputs!$N$12&lt;0, 0, IF((((inputs!$P$12/(V7/MAX(K7:S7)))^(1/inputs!$O$12))-1)/inputs!$N$12&gt;inputs!$H$17, inputs!$H$17, (((inputs!$P$12/(V7/MAX(K7:S7)))^(1/inputs!$O$12))-1)/inputs!$N$12))</f>
        <v>407.78108020333048</v>
      </c>
      <c r="U7">
        <f>IF((((inputs!$P$12/(X7/MAX(K7:S7)))^(1/inputs!$O$12))-1)/inputs!$N$12&lt;0, 0, IF((((inputs!$P$12/(X7/MAX(K7:S7)))^(1/inputs!$O$12))-1)/inputs!$N$12&gt;inputs!$H$17, inputs!$H$17, (((inputs!$P$12/(X7/MAX(K7:S7)))^(1/inputs!$O$12))-1)/inputs!$N$12))</f>
        <v>221.52369035508011</v>
      </c>
      <c r="V7">
        <f>inputs!$E$87*(F7/inputs!$F$87)^(1)</f>
        <v>1.6529999999999997E-3</v>
      </c>
      <c r="W7">
        <f>inputs!$E$90*(F7/inputs!$F$90)^(1)</f>
        <v>1.7399999999999998E-3</v>
      </c>
      <c r="X7">
        <f>inputs!$E$89*(F7/inputs!$F$89)^(1)</f>
        <v>6.4974683544303784E-3</v>
      </c>
      <c r="Y7" t="s">
        <v>13</v>
      </c>
      <c r="Z7">
        <f t="shared" si="1"/>
        <v>1720.7457741779149</v>
      </c>
      <c r="AA7">
        <f t="shared" si="2"/>
        <v>1634.708485469019</v>
      </c>
    </row>
    <row r="8" spans="1:27" x14ac:dyDescent="0.3">
      <c r="A8" t="s">
        <v>687</v>
      </c>
      <c r="B8" t="s">
        <v>688</v>
      </c>
      <c r="C8" t="s">
        <v>702</v>
      </c>
      <c r="D8" t="s">
        <v>704</v>
      </c>
      <c r="E8">
        <v>206</v>
      </c>
      <c r="F8">
        <v>13</v>
      </c>
      <c r="G8" t="s">
        <v>142</v>
      </c>
      <c r="H8">
        <v>0.69</v>
      </c>
      <c r="I8">
        <f>MAX('Min rate concentrations'!$H$3:$H$368)</f>
        <v>47</v>
      </c>
      <c r="J8">
        <f>MAX('Min rate concentrations'!AA:AA)</f>
        <v>32.5</v>
      </c>
      <c r="K8">
        <f t="shared" si="0"/>
        <v>1.1010685942253902</v>
      </c>
      <c r="L8">
        <f t="shared" si="3"/>
        <v>0.76137721941117398</v>
      </c>
      <c r="M8">
        <f>IF((((0.065*F8^0.726)/3.7-(0.301*F8^0.751)/(1-H8)*H8)*(MAX('Min rate concentrations'!$P$3:$P$368)))/F8&gt;0, (((0.065*F8^0.726)/3.7-(0.301*F8^0.751)/(1-H8)*H8)*(MAX('Min rate concentrations'!$P$3:$P$368)))/F8, 0)</f>
        <v>0</v>
      </c>
      <c r="N8">
        <f>IF((((0.065*F8^0.726)/3.7-(0.301*F8^0.751)/(1-H8)*H8)*(MAX('Min rate concentrations'!$Q$3:$Q$368)))/F8&gt;0, (((0.065*F8^0.726)/3.7-(0.301*F8^0.751)/(1-H8)*H8)*(MAX('Min rate concentrations'!$Q$3:$Q$368)))/F8, 0)</f>
        <v>0</v>
      </c>
      <c r="O8" t="s">
        <v>13</v>
      </c>
      <c r="P8" t="s">
        <v>13</v>
      </c>
      <c r="Q8">
        <f>(inputs!$C$7*11.2)*(1.131*F8^0.579)*0.5*1/F8</f>
        <v>1.0755992356910249</v>
      </c>
      <c r="R8">
        <f>(60*76.9*((F8/1000)^0.76)*3*24*(MAX('Min rate concentrations'!$R$3:$R$368))/F8)</f>
        <v>1.2097903894147818E-3</v>
      </c>
      <c r="S8">
        <f>(IF(inputs!$C$6="aerial",((0.025*0.112*inputs!$C$7/3.3)*(3*60*76.9*((F8/1000)^0.76))*MAX(inputs!$H$14:$H$16))/F8,((0.0083*0.112*inputs!$C$7/1)*(3*60*76.9*((F8/1000)^0.76))*MAX(inputs!$H$14:$H$16))/F8))</f>
        <v>5.1083023114035873E-3</v>
      </c>
      <c r="T8">
        <f>IF((((inputs!$P$12/(V8/MAX(K8:S8)))^(1/inputs!$O$12))-1)/inputs!$N$12&lt;0, 0, IF((((inputs!$P$12/(V8/MAX(K8:S8)))^(1/inputs!$O$12))-1)/inputs!$N$12&gt;inputs!$H$17, inputs!$H$17, (((inputs!$P$12/(V8/MAX(K8:S8)))^(1/inputs!$O$12))-1)/inputs!$N$12))</f>
        <v>223.37372681200418</v>
      </c>
      <c r="U8">
        <f>IF((((inputs!$P$12/(X8/MAX(K8:S8)))^(1/inputs!$O$12))-1)/inputs!$N$12&lt;0, 0, IF((((inputs!$P$12/(X8/MAX(K8:S8)))^(1/inputs!$O$12))-1)/inputs!$N$12&gt;inputs!$H$17, inputs!$H$17, (((inputs!$P$12/(X8/MAX(K8:S8)))^(1/inputs!$O$12))-1)/inputs!$N$12))</f>
        <v>115.84543826583869</v>
      </c>
      <c r="V8">
        <f>inputs!$E$87*(F8/inputs!$F$87)^(1)</f>
        <v>2.47E-3</v>
      </c>
      <c r="W8">
        <f>inputs!$E$90*(F8/inputs!$F$90)^(1)</f>
        <v>2.6000000000000003E-3</v>
      </c>
      <c r="X8">
        <f>inputs!$E$89*(F8/inputs!$F$89)^(1)</f>
        <v>9.7088607594936708E-3</v>
      </c>
      <c r="Y8" t="s">
        <v>13</v>
      </c>
      <c r="Z8">
        <f t="shared" si="1"/>
        <v>445.77675879570455</v>
      </c>
      <c r="AA8">
        <f t="shared" si="2"/>
        <v>423.48792085591924</v>
      </c>
    </row>
    <row r="9" spans="1:27" x14ac:dyDescent="0.3">
      <c r="A9" t="s">
        <v>687</v>
      </c>
      <c r="B9" t="s">
        <v>688</v>
      </c>
      <c r="C9" t="s">
        <v>702</v>
      </c>
      <c r="D9" t="s">
        <v>704</v>
      </c>
      <c r="E9">
        <v>206</v>
      </c>
      <c r="F9">
        <v>13</v>
      </c>
      <c r="G9" t="s">
        <v>164</v>
      </c>
      <c r="H9">
        <v>0.78</v>
      </c>
      <c r="I9">
        <f>inputs!$C$66*(inputs!$C$62/1000)</f>
        <v>8.2000000000000011</v>
      </c>
      <c r="J9">
        <f>inputs!$C$65*(inputs!$C$61/1000)</f>
        <v>0.25</v>
      </c>
      <c r="K9">
        <f t="shared" si="0"/>
        <v>0.27068823660744123</v>
      </c>
      <c r="L9">
        <f t="shared" si="3"/>
        <v>8.2526901404707687E-3</v>
      </c>
      <c r="M9">
        <f>IF((((0.065*F9^0.726)/3.7-(0.301*F9^0.751)/(1-H9)*H9)*(MAX('Min rate concentrations'!$P$3:$P$368)))/F9&gt;0, (((0.065*F9^0.726)/3.7-(0.301*F9^0.751)/(1-H9)*H9)*(MAX('Min rate concentrations'!$P$3:$P$368)))/F9, 0)</f>
        <v>0</v>
      </c>
      <c r="N9">
        <f>IF((((0.065*F9^0.726)/3.7-(0.301*F9^0.751)/(1-H9)*H9)*(MAX('Min rate concentrations'!$Q$3:$Q$368)))/F9&gt;0, (((0.065*F9^0.726)/3.7-(0.301*F9^0.751)/(1-H9)*H9)*(MAX('Min rate concentrations'!$Q$3:$Q$368)))/F9, 0)</f>
        <v>0</v>
      </c>
      <c r="O9" t="s">
        <v>13</v>
      </c>
      <c r="P9" t="s">
        <v>13</v>
      </c>
      <c r="Q9">
        <f>(inputs!$C$7*11.2)*(1.131*F9^0.579)*0.5*1/F9</f>
        <v>1.0755992356910249</v>
      </c>
      <c r="R9">
        <f>(60*76.9*((F9/1000)^0.76)*3*24*(MAX('Min rate concentrations'!$R$3:$R$368))/F9)</f>
        <v>1.2097903894147818E-3</v>
      </c>
      <c r="S9">
        <f>(IF(inputs!$C$6="aerial",((0.025*0.112*inputs!$C$7/3.3)*(3*60*76.9*((F9/1000)^0.76))*MAX(inputs!$H$14:$H$16))/F9,((0.0083*0.112*inputs!$C$7/1)*(3*60*76.9*((F9/1000)^0.76))*MAX(inputs!$H$14:$H$16))/F9))</f>
        <v>5.1083023114035873E-3</v>
      </c>
      <c r="T9">
        <f>IF((((inputs!$P$12/(V9/MAX(K9:S9)))^(1/inputs!$O$12))-1)/inputs!$N$12&lt;0, 0, IF((((inputs!$P$12/(V9/MAX(K9:S9)))^(1/inputs!$O$12))-1)/inputs!$N$12&gt;inputs!$H$17, inputs!$H$17, (((inputs!$P$12/(V9/MAX(K9:S9)))^(1/inputs!$O$12))-1)/inputs!$N$12))</f>
        <v>220.98762981153973</v>
      </c>
      <c r="U9">
        <f>IF((((inputs!$P$12/(X9/MAX(K9:S9)))^(1/inputs!$O$12))-1)/inputs!$N$12&lt;0, 0, IF((((inputs!$P$12/(X9/MAX(K9:S9)))^(1/inputs!$O$12))-1)/inputs!$N$12&gt;inputs!$H$17, inputs!$H$17, (((inputs!$P$12/(X9/MAX(K9:S9)))^(1/inputs!$O$12))-1)/inputs!$N$12))</f>
        <v>114.47803856248001</v>
      </c>
      <c r="V9">
        <f>inputs!$E$87*(F9/inputs!$F$87)^(1)</f>
        <v>2.47E-3</v>
      </c>
      <c r="W9">
        <f>inputs!$E$90*(F9/inputs!$F$90)^(1)</f>
        <v>2.6000000000000003E-3</v>
      </c>
      <c r="X9">
        <f>inputs!$E$89*(F9/inputs!$F$89)^(1)</f>
        <v>9.7088607594936708E-3</v>
      </c>
      <c r="Y9" t="s">
        <v>13</v>
      </c>
      <c r="Z9">
        <f t="shared" si="1"/>
        <v>435.46527760770238</v>
      </c>
      <c r="AA9">
        <f t="shared" si="2"/>
        <v>413.6920137273172</v>
      </c>
    </row>
    <row r="10" spans="1:27" x14ac:dyDescent="0.3">
      <c r="A10" t="s">
        <v>687</v>
      </c>
      <c r="B10" t="s">
        <v>688</v>
      </c>
      <c r="C10" t="s">
        <v>702</v>
      </c>
      <c r="D10" t="s">
        <v>704</v>
      </c>
      <c r="E10">
        <v>206</v>
      </c>
      <c r="F10">
        <v>13</v>
      </c>
      <c r="G10" t="s">
        <v>138</v>
      </c>
      <c r="H10">
        <v>0.68</v>
      </c>
      <c r="I10">
        <f>MAX('Min rate concentrations'!$L$3:$L$368)</f>
        <v>58.421240152220811</v>
      </c>
      <c r="J10">
        <f>MAX('Min rate concentrations'!AD:AD)</f>
        <v>40.397666062705881</v>
      </c>
      <c r="K10">
        <f t="shared" si="0"/>
        <v>1.325864079645346</v>
      </c>
      <c r="L10">
        <f t="shared" si="3"/>
        <v>0.91682090613773937</v>
      </c>
      <c r="M10">
        <f>IF((((0.065*F10^0.726)/3.7-(0.301*F10^0.751)/(1-H10)*H10)*(MAX('Min rate concentrations'!$P$3:$P$368)))/F10&gt;0, (((0.065*F10^0.726)/3.7-(0.301*F10^0.751)/(1-H10)*H10)*(MAX('Min rate concentrations'!$P$3:$P$368)))/F10, 0)</f>
        <v>0</v>
      </c>
      <c r="N10">
        <f>IF((((0.065*F10^0.726)/3.7-(0.301*F10^0.751)/(1-H10)*H10)*(MAX('Min rate concentrations'!$Q$3:$Q$368)))/F10&gt;0, (((0.065*F10^0.726)/3.7-(0.301*F10^0.751)/(1-H10)*H10)*(MAX('Min rate concentrations'!$Q$3:$Q$368)))/F10, 0)</f>
        <v>0</v>
      </c>
      <c r="O10" t="s">
        <v>13</v>
      </c>
      <c r="P10" t="s">
        <v>13</v>
      </c>
      <c r="Q10">
        <f>(inputs!$C$7*11.2)*(1.131*F10^0.579)*0.5*1/F10</f>
        <v>1.0755992356910249</v>
      </c>
      <c r="R10">
        <f>(60*76.9*((F10/1000)^0.76)*3*24*(MAX('Min rate concentrations'!$R$3:$R$368))/F10)</f>
        <v>1.2097903894147818E-3</v>
      </c>
      <c r="S10">
        <f>(IF(inputs!$C$6="aerial",((0.025*0.112*inputs!$C$7/3.3)*(3*60*76.9*((F10/1000)^0.76))*MAX(inputs!$H$14:$H$16))/F10,((0.0083*0.112*inputs!$C$7/1)*(3*60*76.9*((F10/1000)^0.76))*MAX(inputs!$H$14:$H$16))/F10))</f>
        <v>5.1083023114035873E-3</v>
      </c>
      <c r="T10">
        <f>IF((((inputs!$P$12/(V10/MAX(K10:S10)))^(1/inputs!$O$12))-1)/inputs!$N$12&lt;0, 0, IF((((inputs!$P$12/(V10/MAX(K10:S10)))^(1/inputs!$O$12))-1)/inputs!$N$12&gt;inputs!$H$17, inputs!$H$17, (((inputs!$P$12/(V10/MAX(K10:S10)))^(1/inputs!$O$12))-1)/inputs!$N$12))</f>
        <v>243.14325336841179</v>
      </c>
      <c r="U10">
        <f>IF((((inputs!$P$12/(X10/MAX(K10:S10)))^(1/inputs!$O$12))-1)/inputs!$N$12&lt;0, 0, IF((((inputs!$P$12/(X10/MAX(K10:S10)))^(1/inputs!$O$12))-1)/inputs!$N$12&gt;inputs!$H$17, inputs!$H$17, (((inputs!$P$12/(X10/MAX(K10:S10)))^(1/inputs!$O$12))-1)/inputs!$N$12))</f>
        <v>127.17475335383054</v>
      </c>
      <c r="V10">
        <f>inputs!$E$87*(F10/inputs!$F$87)^(1)</f>
        <v>2.47E-3</v>
      </c>
      <c r="W10">
        <f>inputs!$E$90*(F10/inputs!$F$90)^(1)</f>
        <v>2.6000000000000003E-3</v>
      </c>
      <c r="X10">
        <f>inputs!$E$89*(F10/inputs!$F$89)^(1)</f>
        <v>9.7088607594936708E-3</v>
      </c>
      <c r="Y10" t="s">
        <v>13</v>
      </c>
      <c r="Z10">
        <f t="shared" si="1"/>
        <v>536.78707677949228</v>
      </c>
      <c r="AA10">
        <f t="shared" si="2"/>
        <v>509.94772294051762</v>
      </c>
    </row>
    <row r="11" spans="1:27" x14ac:dyDescent="0.3">
      <c r="A11" t="s">
        <v>687</v>
      </c>
      <c r="B11" t="s">
        <v>688</v>
      </c>
      <c r="C11" t="s">
        <v>702</v>
      </c>
      <c r="D11" t="s">
        <v>704</v>
      </c>
      <c r="E11">
        <v>206</v>
      </c>
      <c r="F11">
        <v>13</v>
      </c>
      <c r="G11" t="s">
        <v>634</v>
      </c>
      <c r="H11">
        <v>0.75</v>
      </c>
      <c r="I11">
        <f>inputs!$C$65*inputs!$C$64/1000</f>
        <v>2.13</v>
      </c>
      <c r="J11">
        <f>inputs!$C$65*inputs!$C$63/1000</f>
        <v>0.88</v>
      </c>
      <c r="K11">
        <f t="shared" si="0"/>
        <v>6.1875369597193627E-2</v>
      </c>
      <c r="L11">
        <f t="shared" si="3"/>
        <v>2.5563532979122248E-2</v>
      </c>
      <c r="M11">
        <f>IF((((0.065*F11^0.726)/3.7-(0.301*F11^0.751)/(1-H11)*H11)*(MAX('Min rate concentrations'!$P$3:$P$368)))/F11&gt;0, (((0.065*F11^0.726)/3.7-(0.301*F11^0.751)/(1-H11)*H11)*(MAX('Min rate concentrations'!$P$3:$P$368)))/F11, 0)</f>
        <v>0</v>
      </c>
      <c r="N11">
        <f>IF((((0.065*F11^0.726)/3.7-(0.301*F11^0.751)/(1-H11)*H11)*(MAX('Min rate concentrations'!$Q$3:$Q$368)))/F11&gt;0, (((0.065*F11^0.726)/3.7-(0.301*F11^0.751)/(1-H11)*H11)*(MAX('Min rate concentrations'!$Q$3:$Q$368)))/F11, 0)</f>
        <v>0</v>
      </c>
      <c r="O11" t="s">
        <v>13</v>
      </c>
      <c r="P11" t="s">
        <v>13</v>
      </c>
      <c r="Q11">
        <f>(inputs!$C$7*11.2)*(1.131*F11^0.579)*0.5*1/F11</f>
        <v>1.0755992356910249</v>
      </c>
      <c r="R11">
        <f>(60*76.9*((F11/1000)^0.76)*3*24*(MAX('Min rate concentrations'!$R$3:$R$368))/F11)</f>
        <v>1.2097903894147818E-3</v>
      </c>
      <c r="S11">
        <f>(IF(inputs!$C$6="aerial",((0.025*0.112*inputs!$C$7/3.3)*(3*60*76.9*((F11/1000)^0.76))*MAX(inputs!$H$14:$H$16))/F11,((0.0083*0.112*inputs!$C$7/1)*(3*60*76.9*((F11/1000)^0.76))*MAX(inputs!$H$14:$H$16))/F11))</f>
        <v>5.1083023114035873E-3</v>
      </c>
      <c r="T11">
        <f>IF((((inputs!$P$12/(V11/MAX(K11:S11)))^(1/inputs!$O$12))-1)/inputs!$N$12&lt;0, 0, IF((((inputs!$P$12/(V11/MAX(K11:S11)))^(1/inputs!$O$12))-1)/inputs!$N$12&gt;inputs!$H$17, inputs!$H$17, (((inputs!$P$12/(V11/MAX(K11:S11)))^(1/inputs!$O$12))-1)/inputs!$N$12))</f>
        <v>220.98762981153973</v>
      </c>
      <c r="U11">
        <f>IF((((inputs!$P$12/(X11/MAX(K11:S11)))^(1/inputs!$O$12))-1)/inputs!$N$12&lt;0, 0, IF((((inputs!$P$12/(X11/MAX(K11:S11)))^(1/inputs!$O$12))-1)/inputs!$N$12&gt;inputs!$H$17, inputs!$H$17, (((inputs!$P$12/(X11/MAX(K11:S11)))^(1/inputs!$O$12))-1)/inputs!$N$12))</f>
        <v>114.47803856248001</v>
      </c>
      <c r="V11">
        <f>inputs!$E$87*(F11/inputs!$F$87)^(1)</f>
        <v>2.47E-3</v>
      </c>
      <c r="W11">
        <f>inputs!$E$90*(F11/inputs!$F$90)^(1)</f>
        <v>2.6000000000000003E-3</v>
      </c>
      <c r="X11">
        <f>inputs!$E$89*(F11/inputs!$F$89)^(1)</f>
        <v>9.7088607594936708E-3</v>
      </c>
      <c r="Y11" t="s">
        <v>13</v>
      </c>
      <c r="Z11">
        <f t="shared" si="1"/>
        <v>435.46527760770238</v>
      </c>
      <c r="AA11">
        <f t="shared" si="2"/>
        <v>413.6920137273172</v>
      </c>
    </row>
    <row r="12" spans="1:27" x14ac:dyDescent="0.3">
      <c r="A12" t="s">
        <v>691</v>
      </c>
      <c r="B12" t="s">
        <v>692</v>
      </c>
      <c r="C12" t="s">
        <v>702</v>
      </c>
      <c r="D12" t="s">
        <v>704</v>
      </c>
      <c r="E12">
        <v>5819</v>
      </c>
      <c r="F12">
        <v>11</v>
      </c>
      <c r="G12" t="s">
        <v>182</v>
      </c>
      <c r="H12">
        <v>0.85</v>
      </c>
      <c r="I12">
        <f>MAX('Min rate concentrations'!$M$3:$M$368)</f>
        <v>2.8488184789681945</v>
      </c>
      <c r="J12">
        <f>MAX('Min rate concentrations'!AE:AE)</f>
        <v>1.9699276716269429</v>
      </c>
      <c r="K12">
        <f t="shared" si="0"/>
        <v>0.14325860949309185</v>
      </c>
      <c r="L12">
        <f t="shared" si="3"/>
        <v>9.9061804436712433E-2</v>
      </c>
      <c r="M12">
        <f>IF((((0.065*F12^0.726)/3.7-(0.301*F12^0.751)/(1-H12)*H12)*(MAX('Min rate concentrations'!$P$3:$P$368)))/F12&gt;0, (((0.065*F12^0.726)/3.7-(0.301*F12^0.751)/(1-H12)*H12)*(MAX('Min rate concentrations'!$P$3:$P$368)))/F12, 0)</f>
        <v>0</v>
      </c>
      <c r="N12">
        <f>IF((((0.065*F12^0.726)/3.7-(0.301*F12^0.751)/(1-H12)*H12)*(MAX('Min rate concentrations'!$Q$3:$Q$368)))/F12&gt;0, (((0.065*F12^0.726)/3.7-(0.301*F12^0.751)/(1-H12)*H12)*(MAX('Min rate concentrations'!$Q$3:$Q$368)))/F12, 0)</f>
        <v>0</v>
      </c>
      <c r="O12" t="s">
        <v>13</v>
      </c>
      <c r="P12" t="s">
        <v>13</v>
      </c>
      <c r="Q12">
        <f>(inputs!$C$7*11.2)*(1.131*F12^0.579)*0.5*1/F12</f>
        <v>1.153969461387895</v>
      </c>
      <c r="R12">
        <f>(60*76.9*((F12/1000)^0.76)*3*24*(MAX('Min rate concentrations'!$R$3:$R$368))/F12)</f>
        <v>1.2592799546261209E-3</v>
      </c>
      <c r="S12">
        <f>(IF(inputs!$C$6="aerial",((0.025*0.112*inputs!$C$7/3.3)*(3*60*76.9*((F12/1000)^0.76))*MAX(inputs!$H$14:$H$16))/F12,((0.0083*0.112*inputs!$C$7/1)*(3*60*76.9*((F12/1000)^0.76))*MAX(inputs!$H$14:$H$16))/F12))</f>
        <v>5.3172704620612658E-3</v>
      </c>
      <c r="T12">
        <f>IF((((inputs!$P$12/(V12/MAX(K12:S12)))^(1/inputs!$O$12))-1)/inputs!$N$12&lt;0, 0, IF((((inputs!$P$12/(V12/MAX(K12:S12)))^(1/inputs!$O$12))-1)/inputs!$N$12&gt;inputs!$H$17, inputs!$H$17, (((inputs!$P$12/(V12/MAX(K12:S12)))^(1/inputs!$O$12))-1)/inputs!$N$12))</f>
        <v>246.27651808852838</v>
      </c>
      <c r="U12">
        <f>IF((((inputs!$P$12/(X12/MAX(K12:S12)))^(1/inputs!$O$12))-1)/inputs!$N$12&lt;0, 0, IF((((inputs!$P$12/(X12/MAX(K12:S12)))^(1/inputs!$O$12))-1)/inputs!$N$12&gt;inputs!$H$17, inputs!$H$17, (((inputs!$P$12/(X12/MAX(K12:S12)))^(1/inputs!$O$12))-1)/inputs!$N$12))</f>
        <v>128.97033217899894</v>
      </c>
      <c r="V12">
        <f>inputs!$E$87*(F12/inputs!$F$87)^(1)</f>
        <v>2.0899999999999998E-3</v>
      </c>
      <c r="W12">
        <f>inputs!$E$90*(F12/inputs!$F$90)^(1)</f>
        <v>2.2000000000000001E-3</v>
      </c>
      <c r="X12">
        <f>inputs!$E$89*(F12/inputs!$F$89)^(1)</f>
        <v>8.2151898734177213E-3</v>
      </c>
      <c r="Y12" t="s">
        <v>13</v>
      </c>
      <c r="Z12">
        <f t="shared" si="1"/>
        <v>552.1384982717201</v>
      </c>
      <c r="AA12">
        <f t="shared" si="2"/>
        <v>524.5315733581341</v>
      </c>
    </row>
    <row r="13" spans="1:27" x14ac:dyDescent="0.3">
      <c r="A13" t="s">
        <v>691</v>
      </c>
      <c r="B13" t="s">
        <v>692</v>
      </c>
      <c r="C13" t="s">
        <v>702</v>
      </c>
      <c r="D13" t="s">
        <v>704</v>
      </c>
      <c r="E13">
        <v>5819</v>
      </c>
      <c r="F13">
        <v>11</v>
      </c>
      <c r="G13" t="s">
        <v>142</v>
      </c>
      <c r="H13">
        <v>0.69</v>
      </c>
      <c r="I13">
        <f>MAX('Min rate concentrations'!$H$3:$H$368)</f>
        <v>47</v>
      </c>
      <c r="J13">
        <f>MAX('Min rate concentrations'!AA:AA)</f>
        <v>32.5</v>
      </c>
      <c r="K13">
        <f t="shared" si="0"/>
        <v>1.1436243055334847</v>
      </c>
      <c r="L13">
        <f t="shared" si="3"/>
        <v>0.79080404106038837</v>
      </c>
      <c r="M13">
        <f>IF((((0.065*F13^0.726)/3.7-(0.301*F13^0.751)/(1-H13)*H13)*(MAX('Min rate concentrations'!$P$3:$P$368)))/F13&gt;0, (((0.065*F13^0.726)/3.7-(0.301*F13^0.751)/(1-H13)*H13)*(MAX('Min rate concentrations'!$P$3:$P$368)))/F13, 0)</f>
        <v>0</v>
      </c>
      <c r="N13">
        <f>IF((((0.065*F13^0.726)/3.7-(0.301*F13^0.751)/(1-H13)*H13)*(MAX('Min rate concentrations'!$Q$3:$Q$368)))/F13&gt;0, (((0.065*F13^0.726)/3.7-(0.301*F13^0.751)/(1-H13)*H13)*(MAX('Min rate concentrations'!$Q$3:$Q$368)))/F13, 0)</f>
        <v>0</v>
      </c>
      <c r="O13" t="s">
        <v>13</v>
      </c>
      <c r="P13" t="s">
        <v>13</v>
      </c>
      <c r="Q13">
        <f>(inputs!$C$7*11.2)*(1.131*F13^0.579)*0.5*1/F13</f>
        <v>1.153969461387895</v>
      </c>
      <c r="R13">
        <f>(60*76.9*((F13/1000)^0.76)*3*24*(MAX('Min rate concentrations'!$R$3:$R$368))/F13)</f>
        <v>1.2592799546261209E-3</v>
      </c>
      <c r="S13">
        <f>(IF(inputs!$C$6="aerial",((0.025*0.112*inputs!$C$7/3.3)*(3*60*76.9*((F13/1000)^0.76))*MAX(inputs!$H$14:$H$16))/F13,((0.0083*0.112*inputs!$C$7/1)*(3*60*76.9*((F13/1000)^0.76))*MAX(inputs!$H$14:$H$16))/F13))</f>
        <v>5.3172704620612658E-3</v>
      </c>
      <c r="T13">
        <f>IF((((inputs!$P$12/(V13/MAX(K13:S13)))^(1/inputs!$O$12))-1)/inputs!$N$12&lt;0, 0, IF((((inputs!$P$12/(V13/MAX(K13:S13)))^(1/inputs!$O$12))-1)/inputs!$N$12&gt;inputs!$H$17, inputs!$H$17, (((inputs!$P$12/(V13/MAX(K13:S13)))^(1/inputs!$O$12))-1)/inputs!$N$12))</f>
        <v>246.27651808852838</v>
      </c>
      <c r="U13">
        <f>IF((((inputs!$P$12/(X13/MAX(K13:S13)))^(1/inputs!$O$12))-1)/inputs!$N$12&lt;0, 0, IF((((inputs!$P$12/(X13/MAX(K13:S13)))^(1/inputs!$O$12))-1)/inputs!$N$12&gt;inputs!$H$17, inputs!$H$17, (((inputs!$P$12/(X13/MAX(K13:S13)))^(1/inputs!$O$12))-1)/inputs!$N$12))</f>
        <v>128.97033217899894</v>
      </c>
      <c r="V13">
        <f>inputs!$E$87*(F13/inputs!$F$87)^(1)</f>
        <v>2.0899999999999998E-3</v>
      </c>
      <c r="W13">
        <f>inputs!$E$90*(F13/inputs!$F$90)^(1)</f>
        <v>2.2000000000000001E-3</v>
      </c>
      <c r="X13">
        <f>inputs!$E$89*(F13/inputs!$F$89)^(1)</f>
        <v>8.2151898734177213E-3</v>
      </c>
      <c r="Y13" t="s">
        <v>13</v>
      </c>
      <c r="Z13">
        <f t="shared" si="1"/>
        <v>552.1384982717201</v>
      </c>
      <c r="AA13">
        <f t="shared" si="2"/>
        <v>524.5315733581341</v>
      </c>
    </row>
    <row r="14" spans="1:27" x14ac:dyDescent="0.3">
      <c r="A14" t="s">
        <v>691</v>
      </c>
      <c r="B14" t="s">
        <v>692</v>
      </c>
      <c r="C14" t="s">
        <v>702</v>
      </c>
      <c r="D14" t="s">
        <v>704</v>
      </c>
      <c r="E14">
        <v>5819</v>
      </c>
      <c r="F14">
        <v>11</v>
      </c>
      <c r="G14" t="s">
        <v>195</v>
      </c>
      <c r="H14">
        <v>0.82</v>
      </c>
      <c r="I14">
        <f>inputs!$C$65*(inputs!$C$62/1000)</f>
        <v>0.82000000000000006</v>
      </c>
      <c r="J14">
        <f>inputs!$C$65*(inputs!$C$61/1000)</f>
        <v>0.25</v>
      </c>
      <c r="K14">
        <f t="shared" si="0"/>
        <v>3.4362801237188149E-2</v>
      </c>
      <c r="L14">
        <f t="shared" si="3"/>
        <v>1.0476463791825655E-2</v>
      </c>
      <c r="M14">
        <f>IF((((0.065*F14^0.726)/3.7-(0.301*F14^0.751)/(1-H14)*H14)*(MAX('Min rate concentrations'!$P$3:$P$368)))/F14&gt;0, (((0.065*F14^0.726)/3.7-(0.301*F14^0.751)/(1-H14)*H14)*(MAX('Min rate concentrations'!$P$3:$P$368)))/F14, 0)</f>
        <v>0</v>
      </c>
      <c r="N14">
        <f>IF((((0.065*F14^0.726)/3.7-(0.301*F14^0.751)/(1-H14)*H14)*(MAX('Min rate concentrations'!$Q$3:$Q$368)))/F14&gt;0, (((0.065*F14^0.726)/3.7-(0.301*F14^0.751)/(1-H14)*H14)*(MAX('Min rate concentrations'!$Q$3:$Q$368)))/F14, 0)</f>
        <v>0</v>
      </c>
      <c r="O14" t="s">
        <v>13</v>
      </c>
      <c r="P14" t="s">
        <v>13</v>
      </c>
      <c r="Q14">
        <f>(inputs!$C$7*11.2)*(1.131*F14^0.579)*0.5*1/F14</f>
        <v>1.153969461387895</v>
      </c>
      <c r="R14">
        <f>(60*76.9*((F14/1000)^0.76)*3*24*(MAX('Min rate concentrations'!$R$3:$R$368))/F14)</f>
        <v>1.2592799546261209E-3</v>
      </c>
      <c r="S14">
        <f>(IF(inputs!$C$6="aerial",((0.025*0.112*inputs!$C$7/3.3)*(3*60*76.9*((F14/1000)^0.76))*MAX(inputs!$H$14:$H$16))/F14,((0.0083*0.112*inputs!$C$7/1)*(3*60*76.9*((F14/1000)^0.76))*MAX(inputs!$H$14:$H$16))/F14))</f>
        <v>5.3172704620612658E-3</v>
      </c>
      <c r="T14">
        <f>IF((((inputs!$P$12/(V14/MAX(K14:S14)))^(1/inputs!$O$12))-1)/inputs!$N$12&lt;0, 0, IF((((inputs!$P$12/(V14/MAX(K14:S14)))^(1/inputs!$O$12))-1)/inputs!$N$12&gt;inputs!$H$17, inputs!$H$17, (((inputs!$P$12/(V14/MAX(K14:S14)))^(1/inputs!$O$12))-1)/inputs!$N$12))</f>
        <v>246.27651808852838</v>
      </c>
      <c r="U14">
        <f>IF((((inputs!$P$12/(X14/MAX(K14:S14)))^(1/inputs!$O$12))-1)/inputs!$N$12&lt;0, 0, IF((((inputs!$P$12/(X14/MAX(K14:S14)))^(1/inputs!$O$12))-1)/inputs!$N$12&gt;inputs!$H$17, inputs!$H$17, (((inputs!$P$12/(X14/MAX(K14:S14)))^(1/inputs!$O$12))-1)/inputs!$N$12))</f>
        <v>128.97033217899894</v>
      </c>
      <c r="V14">
        <f>inputs!$E$87*(F14/inputs!$F$87)^(1)</f>
        <v>2.0899999999999998E-3</v>
      </c>
      <c r="W14">
        <f>inputs!$E$90*(F14/inputs!$F$90)^(1)</f>
        <v>2.2000000000000001E-3</v>
      </c>
      <c r="X14">
        <f>inputs!$E$89*(F14/inputs!$F$89)^(1)</f>
        <v>8.2151898734177213E-3</v>
      </c>
      <c r="Y14" t="s">
        <v>13</v>
      </c>
      <c r="Z14">
        <f t="shared" si="1"/>
        <v>552.1384982717201</v>
      </c>
      <c r="AA14">
        <f t="shared" si="2"/>
        <v>524.5315733581341</v>
      </c>
    </row>
    <row r="15" spans="1:27" x14ac:dyDescent="0.3">
      <c r="A15" t="s">
        <v>698</v>
      </c>
      <c r="B15" t="s">
        <v>699</v>
      </c>
      <c r="C15" t="s">
        <v>702</v>
      </c>
      <c r="D15" t="s">
        <v>704</v>
      </c>
      <c r="E15">
        <v>208</v>
      </c>
      <c r="F15">
        <v>21</v>
      </c>
      <c r="G15" t="s">
        <v>182</v>
      </c>
      <c r="H15">
        <v>0.85</v>
      </c>
      <c r="I15">
        <f>MAX('Min rate concentrations'!$M$3:$M$368)</f>
        <v>2.8488184789681945</v>
      </c>
      <c r="J15">
        <f>MAX('Min rate concentrations'!AE:AE)</f>
        <v>1.9699276716269429</v>
      </c>
      <c r="K15">
        <f t="shared" si="0"/>
        <v>0.12370096599263729</v>
      </c>
      <c r="L15">
        <f t="shared" si="3"/>
        <v>8.5537902016185371E-2</v>
      </c>
      <c r="M15">
        <f>IF((((0.065*F15^0.726)/3.7-(0.301*F15^0.751)/(1-H15)*H15)*(MAX('Min rate concentrations'!$P$3:$P$368)))/F15&gt;0, (((0.065*F15^0.726)/3.7-(0.301*F15^0.751)/(1-H15)*H15)*(MAX('Min rate concentrations'!$P$3:$P$368)))/F15, 0)</f>
        <v>0</v>
      </c>
      <c r="N15">
        <f>IF((((0.065*F15^0.726)/3.7-(0.301*F15^0.751)/(1-H15)*H15)*(MAX('Min rate concentrations'!$Q$3:$Q$368)))/F15&gt;0, (((0.065*F15^0.726)/3.7-(0.301*F15^0.751)/(1-H15)*H15)*(MAX('Min rate concentrations'!$Q$3:$Q$368)))/F15, 0)</f>
        <v>0</v>
      </c>
      <c r="O15" t="s">
        <v>13</v>
      </c>
      <c r="P15" t="s">
        <v>13</v>
      </c>
      <c r="Q15">
        <f>(inputs!$C$7*11.2)*(1.131*F15^0.579)*0.5*1/F15</f>
        <v>0.87895433654767885</v>
      </c>
      <c r="R15">
        <f>(60*76.9*((F15/1000)^0.76)*3*24*(MAX('Min rate concentrations'!$R$3:$R$368))/F15)</f>
        <v>1.0782610164340883E-3</v>
      </c>
      <c r="S15">
        <f>(IF(inputs!$C$6="aerial",((0.025*0.112*inputs!$C$7/3.3)*(3*60*76.9*((F15/1000)^0.76))*MAX(inputs!$H$14:$H$16))/F15,((0.0083*0.112*inputs!$C$7/1)*(3*60*76.9*((F15/1000)^0.76))*MAX(inputs!$H$14:$H$16))/F15))</f>
        <v>4.5529236227534317E-3</v>
      </c>
      <c r="T15">
        <f>IF((((inputs!$P$12/(V15/MAX(K15:S15)))^(1/inputs!$O$12))-1)/inputs!$N$12&lt;0, 0, IF((((inputs!$P$12/(V15/MAX(K15:S15)))^(1/inputs!$O$12))-1)/inputs!$N$12&gt;inputs!$H$17, inputs!$H$17, (((inputs!$P$12/(V15/MAX(K15:S15)))^(1/inputs!$O$12))-1)/inputs!$N$12))</f>
        <v>160.59370194142062</v>
      </c>
      <c r="U15">
        <f>IF((((inputs!$P$12/(X15/MAX(K15:S15)))^(1/inputs!$O$12))-1)/inputs!$N$12&lt;0, 0, IF((((inputs!$P$12/(X15/MAX(K15:S15)))^(1/inputs!$O$12))-1)/inputs!$N$12&gt;inputs!$H$17, inputs!$H$17, (((inputs!$P$12/(X15/MAX(K15:S15)))^(1/inputs!$O$12))-1)/inputs!$N$12))</f>
        <v>79.868113216530617</v>
      </c>
      <c r="V15">
        <f>inputs!$E$87*(F15/inputs!$F$87)^(1)</f>
        <v>3.9899999999999996E-3</v>
      </c>
      <c r="W15">
        <f>inputs!$E$90*(F15/inputs!$F$90)^(1)</f>
        <v>4.1999999999999997E-3</v>
      </c>
      <c r="X15">
        <f>inputs!$E$89*(F15/inputs!$F$89)^(1)</f>
        <v>1.5683544303797467E-2</v>
      </c>
      <c r="Y15" t="s">
        <v>13</v>
      </c>
      <c r="Z15">
        <f t="shared" si="1"/>
        <v>220.28930740543331</v>
      </c>
      <c r="AA15">
        <f t="shared" si="2"/>
        <v>209.27484203516164</v>
      </c>
    </row>
    <row r="16" spans="1:27" x14ac:dyDescent="0.3">
      <c r="A16" t="s">
        <v>698</v>
      </c>
      <c r="B16" t="s">
        <v>699</v>
      </c>
      <c r="C16" t="s">
        <v>702</v>
      </c>
      <c r="D16" t="s">
        <v>704</v>
      </c>
      <c r="E16">
        <v>208</v>
      </c>
      <c r="F16">
        <v>21</v>
      </c>
      <c r="G16" t="s">
        <v>142</v>
      </c>
      <c r="H16">
        <v>0.69</v>
      </c>
      <c r="I16">
        <f>MAX('Min rate concentrations'!$H$3:$H$368)</f>
        <v>47</v>
      </c>
      <c r="J16">
        <f>MAX('Min rate concentrations'!AA:AA)</f>
        <v>32.5</v>
      </c>
      <c r="K16">
        <f t="shared" si="0"/>
        <v>0.98749688990924356</v>
      </c>
      <c r="L16">
        <f t="shared" si="3"/>
        <v>0.68284359408617912</v>
      </c>
      <c r="M16">
        <f>IF((((0.065*F16^0.726)/3.7-(0.301*F16^0.751)/(1-H16)*H16)*(MAX('Min rate concentrations'!$P$3:$P$368)))/F16&gt;0, (((0.065*F16^0.726)/3.7-(0.301*F16^0.751)/(1-H16)*H16)*(MAX('Min rate concentrations'!$P$3:$P$368)))/F16, 0)</f>
        <v>0</v>
      </c>
      <c r="N16">
        <f>IF((((0.065*F16^0.726)/3.7-(0.301*F16^0.751)/(1-H16)*H16)*(MAX('Min rate concentrations'!$Q$3:$Q$368)))/F16&gt;0, (((0.065*F16^0.726)/3.7-(0.301*F16^0.751)/(1-H16)*H16)*(MAX('Min rate concentrations'!$Q$3:$Q$368)))/F16, 0)</f>
        <v>0</v>
      </c>
      <c r="O16" t="s">
        <v>13</v>
      </c>
      <c r="P16" t="s">
        <v>13</v>
      </c>
      <c r="Q16">
        <f>(inputs!$C$7*11.2)*(1.131*F16^0.579)*0.5*1/F16</f>
        <v>0.87895433654767885</v>
      </c>
      <c r="R16">
        <f>(60*76.9*((F16/1000)^0.76)*3*24*(MAX('Min rate concentrations'!$R$3:$R$368))/F16)</f>
        <v>1.0782610164340883E-3</v>
      </c>
      <c r="S16">
        <f>(IF(inputs!$C$6="aerial",((0.025*0.112*inputs!$C$7/3.3)*(3*60*76.9*((F16/1000)^0.76))*MAX(inputs!$H$14:$H$16))/F16,((0.0083*0.112*inputs!$C$7/1)*(3*60*76.9*((F16/1000)^0.76))*MAX(inputs!$H$14:$H$16))/F16))</f>
        <v>4.5529236227534317E-3</v>
      </c>
      <c r="T16">
        <f>IF((((inputs!$P$12/(V16/MAX(K16:S16)))^(1/inputs!$O$12))-1)/inputs!$N$12&lt;0, 0, IF((((inputs!$P$12/(V16/MAX(K16:S16)))^(1/inputs!$O$12))-1)/inputs!$N$12&gt;inputs!$H$17, inputs!$H$17, (((inputs!$P$12/(V16/MAX(K16:S16)))^(1/inputs!$O$12))-1)/inputs!$N$12))</f>
        <v>169.76423863996578</v>
      </c>
      <c r="U16">
        <f>IF((((inputs!$P$12/(X16/MAX(K16:S16)))^(1/inputs!$O$12))-1)/inputs!$N$12&lt;0, 0, IF((((inputs!$P$12/(X16/MAX(K16:S16)))^(1/inputs!$O$12))-1)/inputs!$N$12&gt;inputs!$H$17, inputs!$H$17, (((inputs!$P$12/(X16/MAX(K16:S16)))^(1/inputs!$O$12))-1)/inputs!$N$12))</f>
        <v>85.123469205323175</v>
      </c>
      <c r="V16">
        <f>inputs!$E$87*(F16/inputs!$F$87)^(1)</f>
        <v>3.9899999999999996E-3</v>
      </c>
      <c r="W16">
        <f>inputs!$E$90*(F16/inputs!$F$90)^(1)</f>
        <v>4.1999999999999997E-3</v>
      </c>
      <c r="X16">
        <f>inputs!$E$89*(F16/inputs!$F$89)^(1)</f>
        <v>1.5683544303797467E-2</v>
      </c>
      <c r="Y16" t="s">
        <v>13</v>
      </c>
      <c r="Z16">
        <f t="shared" si="1"/>
        <v>247.4929548644721</v>
      </c>
      <c r="AA16">
        <f t="shared" si="2"/>
        <v>235.11830712124848</v>
      </c>
    </row>
    <row r="17" spans="1:27" x14ac:dyDescent="0.3">
      <c r="A17" t="s">
        <v>698</v>
      </c>
      <c r="B17" t="s">
        <v>699</v>
      </c>
      <c r="C17" t="s">
        <v>702</v>
      </c>
      <c r="D17" t="s">
        <v>704</v>
      </c>
      <c r="E17">
        <v>208</v>
      </c>
      <c r="F17">
        <v>21</v>
      </c>
      <c r="G17" t="s">
        <v>146</v>
      </c>
      <c r="H17">
        <v>0.84</v>
      </c>
      <c r="I17">
        <f>MAX('Min rate concentrations'!$I$3:$I$368)</f>
        <v>9.4775690500787988</v>
      </c>
      <c r="J17" t="s">
        <v>13</v>
      </c>
      <c r="K17">
        <f t="shared" si="0"/>
        <v>0.38581272445005382</v>
      </c>
      <c r="L17" t="s">
        <v>13</v>
      </c>
      <c r="M17">
        <f>IF((((0.065*F17^0.726)/3.7-(0.301*F17^0.751)/(1-H17)*H17)*(MAX('Min rate concentrations'!$P$3:$P$368)))/F17&gt;0, (((0.065*F17^0.726)/3.7-(0.301*F17^0.751)/(1-H17)*H17)*(MAX('Min rate concentrations'!$P$3:$P$368)))/F17, 0)</f>
        <v>0</v>
      </c>
      <c r="N17">
        <f>IF((((0.065*F17^0.726)/3.7-(0.301*F17^0.751)/(1-H17)*H17)*(MAX('Min rate concentrations'!$Q$3:$Q$368)))/F17&gt;0, (((0.065*F17^0.726)/3.7-(0.301*F17^0.751)/(1-H17)*H17)*(MAX('Min rate concentrations'!$Q$3:$Q$368)))/F17, 0)</f>
        <v>0</v>
      </c>
      <c r="O17" t="s">
        <v>13</v>
      </c>
      <c r="P17" t="s">
        <v>13</v>
      </c>
      <c r="Q17">
        <f>(inputs!$C$7*11.2)*(1.131*F17^0.579)*0.5*1/F17</f>
        <v>0.87895433654767885</v>
      </c>
      <c r="R17">
        <f>(60*76.9*((F17/1000)^0.76)*3*24*(MAX('Min rate concentrations'!$R$3:$R$368))/F17)</f>
        <v>1.0782610164340883E-3</v>
      </c>
      <c r="S17">
        <f>(IF(inputs!$C$6="aerial",((0.025*0.112*inputs!$C$7/3.3)*(3*60*76.9*((F17/1000)^0.76))*MAX(inputs!$H$14:$H$16))/F17,((0.0083*0.112*inputs!$C$7/1)*(3*60*76.9*((F17/1000)^0.76))*MAX(inputs!$H$14:$H$16))/F17))</f>
        <v>4.5529236227534317E-3</v>
      </c>
      <c r="T17">
        <f>IF((((inputs!$P$12/(V17/MAX(K17:S17)))^(1/inputs!$O$12))-1)/inputs!$N$12&lt;0, 0, IF((((inputs!$P$12/(V17/MAX(K17:S17)))^(1/inputs!$O$12))-1)/inputs!$N$12&gt;inputs!$H$17, inputs!$H$17, (((inputs!$P$12/(V17/MAX(K17:S17)))^(1/inputs!$O$12))-1)/inputs!$N$12))</f>
        <v>160.59370194142062</v>
      </c>
      <c r="U17">
        <f>IF((((inputs!$P$12/(X17/MAX(K17:S17)))^(1/inputs!$O$12))-1)/inputs!$N$12&lt;0, 0, IF((((inputs!$P$12/(X17/MAX(K17:S17)))^(1/inputs!$O$12))-1)/inputs!$N$12&gt;inputs!$H$17, inputs!$H$17, (((inputs!$P$12/(X17/MAX(K17:S17)))^(1/inputs!$O$12))-1)/inputs!$N$12))</f>
        <v>79.868113216530617</v>
      </c>
      <c r="V17">
        <f>inputs!$E$87*(F17/inputs!$F$87)^(1)</f>
        <v>3.9899999999999996E-3</v>
      </c>
      <c r="W17">
        <f>inputs!$E$90*(F17/inputs!$F$90)^(1)</f>
        <v>4.1999999999999997E-3</v>
      </c>
      <c r="X17">
        <f>inputs!$E$89*(F17/inputs!$F$89)^(1)</f>
        <v>1.5683544303797467E-2</v>
      </c>
      <c r="Y17" t="s">
        <v>13</v>
      </c>
      <c r="Z17">
        <f t="shared" si="1"/>
        <v>220.28930740543331</v>
      </c>
      <c r="AA17">
        <f t="shared" si="2"/>
        <v>209.27484203516164</v>
      </c>
    </row>
    <row r="18" spans="1:27" x14ac:dyDescent="0.3">
      <c r="A18" t="s">
        <v>667</v>
      </c>
      <c r="B18" t="s">
        <v>668</v>
      </c>
      <c r="C18" t="s">
        <v>702</v>
      </c>
      <c r="D18" t="s">
        <v>704</v>
      </c>
      <c r="E18">
        <v>193</v>
      </c>
      <c r="F18">
        <v>3.9</v>
      </c>
      <c r="G18" t="s">
        <v>142</v>
      </c>
      <c r="H18">
        <v>0.69</v>
      </c>
      <c r="I18">
        <f>MAX('Min rate concentrations'!$H$3:$H$368)</f>
        <v>47</v>
      </c>
      <c r="J18">
        <f>MAX('Min rate concentrations'!AA:AA)</f>
        <v>32.5</v>
      </c>
      <c r="K18">
        <f t="shared" si="0"/>
        <v>1.447131012219008</v>
      </c>
      <c r="L18">
        <f t="shared" ref="L18:L30" si="4">(((0.013*F18^0.773)/(1-H18)))*J18/F18</f>
        <v>1.0006756999386757</v>
      </c>
      <c r="M18">
        <f>IF((((0.065*F18^0.726)/3.7-(0.301*F18^0.751)/(1-H18)*H18)*(MAX('Min rate concentrations'!$P$3:$P$368)))/F18&gt;0, (((0.065*F18^0.726)/3.7-(0.301*F18^0.751)/(1-H18)*H18)*(MAX('Min rate concentrations'!$P$3:$P$368)))/F18, 0)</f>
        <v>0</v>
      </c>
      <c r="N18">
        <f>IF((((0.065*F18^0.726)/3.7-(0.301*F18^0.751)/(1-H18)*H18)*(MAX('Min rate concentrations'!$Q$3:$Q$368)))/F18&gt;0, (((0.065*F18^0.726)/3.7-(0.301*F18^0.751)/(1-H18)*H18)*(MAX('Min rate concentrations'!$Q$3:$Q$368)))/F18, 0)</f>
        <v>0</v>
      </c>
      <c r="O18" t="s">
        <v>13</v>
      </c>
      <c r="P18" t="s">
        <v>13</v>
      </c>
      <c r="Q18">
        <f>(inputs!$C$7*11.2)*(1.131*F18^0.579)*0.5*1/F18</f>
        <v>1.785592843758439</v>
      </c>
      <c r="R18">
        <f>(60*76.9*((F18/1000)^0.76)*3*24*(MAX('Min rate concentrations'!$R$3:$R$368))/F18)</f>
        <v>1.6151059944379078E-3</v>
      </c>
      <c r="S18">
        <f>(IF(inputs!$C$6="aerial",((0.025*0.112*inputs!$C$7/3.3)*(3*60*76.9*((F18/1000)^0.76))*MAX(inputs!$H$14:$H$16))/F18,((0.0083*0.112*inputs!$C$7/1)*(3*60*76.9*((F18/1000)^0.76))*MAX(inputs!$H$14:$H$16))/F18))</f>
        <v>6.8197348538534723E-3</v>
      </c>
      <c r="T18">
        <f>IF((((inputs!$P$12/(V18/MAX(K18:S18)))^(1/inputs!$O$12))-1)/inputs!$N$12&lt;0, 0, IF((((inputs!$P$12/(V18/MAX(K18:S18)))^(1/inputs!$O$12))-1)/inputs!$N$12&gt;inputs!$H$17, inputs!$H$17, (((inputs!$P$12/(V18/MAX(K18:S18)))^(1/inputs!$O$12))-1)/inputs!$N$12))</f>
        <v>471.82150708355067</v>
      </c>
      <c r="U18">
        <f>IF((((inputs!$P$12/(X18/MAX(K18:S18)))^(1/inputs!$O$12))-1)/inputs!$N$12&lt;0, 0, IF((((inputs!$P$12/(X18/MAX(K18:S18)))^(1/inputs!$O$12))-1)/inputs!$N$12&gt;inputs!$H$17, inputs!$H$17, (((inputs!$P$12/(X18/MAX(K18:S18)))^(1/inputs!$O$12))-1)/inputs!$N$12))</f>
        <v>258.22331350616474</v>
      </c>
      <c r="V18">
        <f>inputs!$E$87*(F18/inputs!$F$87)^(1)</f>
        <v>7.4100000000000001E-4</v>
      </c>
      <c r="W18">
        <f>inputs!$E$90*(F18/inputs!$F$90)^(1)</f>
        <v>7.7999999999999999E-4</v>
      </c>
      <c r="X18">
        <f>inputs!$E$89*(F18/inputs!$F$89)^(1)</f>
        <v>2.9126582278481013E-3</v>
      </c>
      <c r="Y18" t="s">
        <v>13</v>
      </c>
      <c r="Z18">
        <f t="shared" si="1"/>
        <v>2409.7069416443169</v>
      </c>
      <c r="AA18">
        <f t="shared" si="2"/>
        <v>2289.2215945621015</v>
      </c>
    </row>
    <row r="19" spans="1:27" x14ac:dyDescent="0.3">
      <c r="A19" t="s">
        <v>665</v>
      </c>
      <c r="B19" t="s">
        <v>666</v>
      </c>
      <c r="C19" t="s">
        <v>702</v>
      </c>
      <c r="D19" t="s">
        <v>704</v>
      </c>
      <c r="E19">
        <v>196</v>
      </c>
      <c r="F19">
        <v>8.9</v>
      </c>
      <c r="G19" t="s">
        <v>142</v>
      </c>
      <c r="H19">
        <v>0.69</v>
      </c>
      <c r="I19">
        <f>MAX('Min rate concentrations'!$H$3:$H$368)</f>
        <v>47</v>
      </c>
      <c r="J19">
        <f>MAX('Min rate concentrations'!AA:AA)</f>
        <v>32.5</v>
      </c>
      <c r="K19">
        <f t="shared" si="0"/>
        <v>1.1999633586541045</v>
      </c>
      <c r="L19">
        <f t="shared" si="4"/>
        <v>0.82976189694166813</v>
      </c>
      <c r="M19">
        <f>IF((((0.065*F19^0.726)/3.7-(0.301*F19^0.751)/(1-H19)*H19)*(MAX('Min rate concentrations'!$P$3:$P$368)))/F19&gt;0, (((0.065*F19^0.726)/3.7-(0.301*F19^0.751)/(1-H19)*H19)*(MAX('Min rate concentrations'!$P$3:$P$368)))/F19, 0)</f>
        <v>0</v>
      </c>
      <c r="N19">
        <f>IF((((0.065*F19^0.726)/3.7-(0.301*F19^0.751)/(1-H19)*H19)*(MAX('Min rate concentrations'!$Q$3:$Q$368)))/F19&gt;0, (((0.065*F19^0.726)/3.7-(0.301*F19^0.751)/(1-H19)*H19)*(MAX('Min rate concentrations'!$Q$3:$Q$368)))/F19, 0)</f>
        <v>0</v>
      </c>
      <c r="O19" t="s">
        <v>13</v>
      </c>
      <c r="P19" t="s">
        <v>13</v>
      </c>
      <c r="Q19">
        <f>(inputs!$C$7*11.2)*(1.131*F19^0.579)*0.5*1/F19</f>
        <v>1.2616167417218662</v>
      </c>
      <c r="R19">
        <f>(60*76.9*((F19/1000)^0.76)*3*24*(MAX('Min rate concentrations'!$R$3:$R$368))/F19)</f>
        <v>1.3249605058486733E-3</v>
      </c>
      <c r="S19">
        <f>(IF(inputs!$C$6="aerial",((0.025*0.112*inputs!$C$7/3.3)*(3*60*76.9*((F19/1000)^0.76))*MAX(inputs!$H$14:$H$16))/F19,((0.0083*0.112*inputs!$C$7/1)*(3*60*76.9*((F19/1000)^0.76))*MAX(inputs!$H$14:$H$16))/F19))</f>
        <v>5.5946045478335368E-3</v>
      </c>
      <c r="T19">
        <f>IF((((inputs!$P$12/(V19/MAX(K19:S19)))^(1/inputs!$O$12))-1)/inputs!$N$12&lt;0, 0, IF((((inputs!$P$12/(V19/MAX(K19:S19)))^(1/inputs!$O$12))-1)/inputs!$N$12&gt;inputs!$H$17, inputs!$H$17, (((inputs!$P$12/(V19/MAX(K19:S19)))^(1/inputs!$O$12))-1)/inputs!$N$12))</f>
        <v>282.06513471629057</v>
      </c>
      <c r="U19">
        <f>IF((((inputs!$P$12/(X19/MAX(K19:S19)))^(1/inputs!$O$12))-1)/inputs!$N$12&lt;0, 0, IF((((inputs!$P$12/(X19/MAX(K19:S19)))^(1/inputs!$O$12))-1)/inputs!$N$12&gt;inputs!$H$17, inputs!$H$17, (((inputs!$P$12/(X19/MAX(K19:S19)))^(1/inputs!$O$12))-1)/inputs!$N$12))</f>
        <v>149.47970114048505</v>
      </c>
      <c r="V19">
        <f>inputs!$E$87*(F19/inputs!$F$87)^(1)</f>
        <v>1.6910000000000002E-3</v>
      </c>
      <c r="W19">
        <f>inputs!$E$90*(F19/inputs!$F$90)^(1)</f>
        <v>1.7800000000000001E-3</v>
      </c>
      <c r="X19">
        <f>inputs!$E$89*(F19/inputs!$F$89)^(1)</f>
        <v>6.6468354430379746E-3</v>
      </c>
      <c r="Y19" t="s">
        <v>13</v>
      </c>
      <c r="Z19">
        <f t="shared" si="1"/>
        <v>746.07731621636071</v>
      </c>
      <c r="AA19">
        <f t="shared" si="2"/>
        <v>708.7734504055428</v>
      </c>
    </row>
    <row r="20" spans="1:27" x14ac:dyDescent="0.3">
      <c r="A20" t="s">
        <v>663</v>
      </c>
      <c r="B20" t="s">
        <v>664</v>
      </c>
      <c r="C20" t="s">
        <v>702</v>
      </c>
      <c r="D20" t="s">
        <v>704</v>
      </c>
      <c r="E20">
        <v>190</v>
      </c>
      <c r="F20">
        <v>8</v>
      </c>
      <c r="G20" t="s">
        <v>182</v>
      </c>
      <c r="H20">
        <v>0.85</v>
      </c>
      <c r="I20">
        <f>MAX('Min rate concentrations'!$M$3:$M$368)</f>
        <v>2.8488184789681945</v>
      </c>
      <c r="J20">
        <f>MAX('Min rate concentrations'!AE:AE)</f>
        <v>1.9699276716269429</v>
      </c>
      <c r="K20">
        <f t="shared" si="0"/>
        <v>0.15399812883629896</v>
      </c>
      <c r="L20">
        <f t="shared" si="4"/>
        <v>0.10648806781233437</v>
      </c>
      <c r="M20">
        <f>IF((((0.065*F20^0.726)/3.7-(0.301*F20^0.751)/(1-H20)*H20)*(MAX('Min rate concentrations'!$P$3:$P$368)))/F20&gt;0, (((0.065*F20^0.726)/3.7-(0.301*F20^0.751)/(1-H20)*H20)*(MAX('Min rate concentrations'!$P$3:$P$368)))/F20, 0)</f>
        <v>0</v>
      </c>
      <c r="N20">
        <f>IF((((0.065*F20^0.726)/3.7-(0.301*F20^0.751)/(1-H20)*H20)*(MAX('Min rate concentrations'!$Q$3:$Q$368)))/F20&gt;0, (((0.065*F20^0.726)/3.7-(0.301*F20^0.751)/(1-H20)*H20)*(MAX('Min rate concentrations'!$Q$3:$Q$368)))/F20, 0)</f>
        <v>0</v>
      </c>
      <c r="O20" t="s">
        <v>13</v>
      </c>
      <c r="P20" t="s">
        <v>13</v>
      </c>
      <c r="Q20">
        <f>(inputs!$C$7*11.2)*(1.131*F20^0.579)*0.5*1/F20</f>
        <v>1.3195314682159063</v>
      </c>
      <c r="R20">
        <f>(60*76.9*((F20/1000)^0.76)*3*24*(MAX('Min rate concentrations'!$R$3:$R$368))/F20)</f>
        <v>1.3592988135249188E-3</v>
      </c>
      <c r="S20">
        <f>(IF(inputs!$C$6="aerial",((0.025*0.112*inputs!$C$7/3.3)*(3*60*76.9*((F20/1000)^0.76))*MAX(inputs!$H$14:$H$16))/F20,((0.0083*0.112*inputs!$C$7/1)*(3*60*76.9*((F20/1000)^0.76))*MAX(inputs!$H$14:$H$16))/F20))</f>
        <v>5.7395969845457362E-3</v>
      </c>
      <c r="T20">
        <f>IF((((inputs!$P$12/(V20/MAX(K20:S20)))^(1/inputs!$O$12))-1)/inputs!$N$12&lt;0, 0, IF((((inputs!$P$12/(V20/MAX(K20:S20)))^(1/inputs!$O$12))-1)/inputs!$N$12&gt;inputs!$H$17, inputs!$H$17, (((inputs!$P$12/(V20/MAX(K20:S20)))^(1/inputs!$O$12))-1)/inputs!$N$12))</f>
        <v>301.80256273720795</v>
      </c>
      <c r="U20">
        <f>IF((((inputs!$P$12/(X20/MAX(K20:S20)))^(1/inputs!$O$12))-1)/inputs!$N$12&lt;0, 0, IF((((inputs!$P$12/(X20/MAX(K20:S20)))^(1/inputs!$O$12))-1)/inputs!$N$12&gt;inputs!$H$17, inputs!$H$17, (((inputs!$P$12/(X20/MAX(K20:S20)))^(1/inputs!$O$12))-1)/inputs!$N$12))</f>
        <v>160.7906215329138</v>
      </c>
      <c r="V20">
        <f>inputs!$E$87*(F20/inputs!$F$87)^(1)</f>
        <v>1.5200000000000001E-3</v>
      </c>
      <c r="W20">
        <f>inputs!$E$90*(F20/inputs!$F$90)^(1)</f>
        <v>1.6000000000000001E-3</v>
      </c>
      <c r="X20">
        <f>inputs!$E$89*(F20/inputs!$F$89)^(1)</f>
        <v>5.9746835443037971E-3</v>
      </c>
      <c r="Y20" t="s">
        <v>13</v>
      </c>
      <c r="Z20">
        <f t="shared" si="1"/>
        <v>868.11280803678039</v>
      </c>
      <c r="AA20">
        <f t="shared" si="2"/>
        <v>824.70716763494136</v>
      </c>
    </row>
    <row r="21" spans="1:27" x14ac:dyDescent="0.3">
      <c r="A21" t="s">
        <v>663</v>
      </c>
      <c r="B21" t="s">
        <v>664</v>
      </c>
      <c r="C21" t="s">
        <v>702</v>
      </c>
      <c r="D21" t="s">
        <v>704</v>
      </c>
      <c r="E21">
        <v>190</v>
      </c>
      <c r="F21">
        <v>8</v>
      </c>
      <c r="G21" t="s">
        <v>142</v>
      </c>
      <c r="H21">
        <v>0.69</v>
      </c>
      <c r="I21">
        <f>MAX('Min rate concentrations'!$H$3:$H$368)</f>
        <v>47</v>
      </c>
      <c r="J21">
        <f>MAX('Min rate concentrations'!AA:AA)</f>
        <v>32.5</v>
      </c>
      <c r="K21">
        <f t="shared" si="0"/>
        <v>1.2293572007088416</v>
      </c>
      <c r="L21">
        <f t="shared" si="4"/>
        <v>0.85008742602207132</v>
      </c>
      <c r="M21">
        <f>IF((((0.065*F21^0.726)/3.7-(0.301*F21^0.751)/(1-H21)*H21)*(MAX('Min rate concentrations'!$P$3:$P$368)))/F21&gt;0, (((0.065*F21^0.726)/3.7-(0.301*F21^0.751)/(1-H21)*H21)*(MAX('Min rate concentrations'!$P$3:$P$368)))/F21, 0)</f>
        <v>0</v>
      </c>
      <c r="N21">
        <f>IF((((0.065*F21^0.726)/3.7-(0.301*F21^0.751)/(1-H21)*H21)*(MAX('Min rate concentrations'!$Q$3:$Q$368)))/F21&gt;0, (((0.065*F21^0.726)/3.7-(0.301*F21^0.751)/(1-H21)*H21)*(MAX('Min rate concentrations'!$Q$3:$Q$368)))/F21, 0)</f>
        <v>0</v>
      </c>
      <c r="O21" t="s">
        <v>13</v>
      </c>
      <c r="P21" t="s">
        <v>13</v>
      </c>
      <c r="Q21">
        <f>(inputs!$C$7*11.2)*(1.131*F21^0.579)*0.5*1/F21</f>
        <v>1.3195314682159063</v>
      </c>
      <c r="R21">
        <f>(60*76.9*((F21/1000)^0.76)*3*24*(MAX('Min rate concentrations'!$R$3:$R$368))/F21)</f>
        <v>1.3592988135249188E-3</v>
      </c>
      <c r="S21">
        <f>(IF(inputs!$C$6="aerial",((0.025*0.112*inputs!$C$7/3.3)*(3*60*76.9*((F21/1000)^0.76))*MAX(inputs!$H$14:$H$16))/F21,((0.0083*0.112*inputs!$C$7/1)*(3*60*76.9*((F21/1000)^0.76))*MAX(inputs!$H$14:$H$16))/F21))</f>
        <v>5.7395969845457362E-3</v>
      </c>
      <c r="T21">
        <f>IF((((inputs!$P$12/(V21/MAX(K21:S21)))^(1/inputs!$O$12))-1)/inputs!$N$12&lt;0, 0, IF((((inputs!$P$12/(V21/MAX(K21:S21)))^(1/inputs!$O$12))-1)/inputs!$N$12&gt;inputs!$H$17, inputs!$H$17, (((inputs!$P$12/(V21/MAX(K21:S21)))^(1/inputs!$O$12))-1)/inputs!$N$12))</f>
        <v>301.80256273720795</v>
      </c>
      <c r="U21">
        <f>IF((((inputs!$P$12/(X21/MAX(K21:S21)))^(1/inputs!$O$12))-1)/inputs!$N$12&lt;0, 0, IF((((inputs!$P$12/(X21/MAX(K21:S21)))^(1/inputs!$O$12))-1)/inputs!$N$12&gt;inputs!$H$17, inputs!$H$17, (((inputs!$P$12/(X21/MAX(K21:S21)))^(1/inputs!$O$12))-1)/inputs!$N$12))</f>
        <v>160.7906215329138</v>
      </c>
      <c r="V21">
        <f>inputs!$E$87*(F21/inputs!$F$87)^(1)</f>
        <v>1.5200000000000001E-3</v>
      </c>
      <c r="W21">
        <f>inputs!$E$90*(F21/inputs!$F$90)^(1)</f>
        <v>1.6000000000000001E-3</v>
      </c>
      <c r="X21">
        <f>inputs!$E$89*(F21/inputs!$F$89)^(1)</f>
        <v>5.9746835443037971E-3</v>
      </c>
      <c r="Y21" t="s">
        <v>13</v>
      </c>
      <c r="Z21">
        <f t="shared" si="1"/>
        <v>868.11280803678039</v>
      </c>
      <c r="AA21">
        <f t="shared" si="2"/>
        <v>824.70716763494136</v>
      </c>
    </row>
    <row r="22" spans="1:27" x14ac:dyDescent="0.3">
      <c r="A22" t="s">
        <v>669</v>
      </c>
      <c r="B22" t="s">
        <v>670</v>
      </c>
      <c r="C22" t="s">
        <v>702</v>
      </c>
      <c r="D22" t="s">
        <v>704</v>
      </c>
      <c r="E22">
        <v>9378</v>
      </c>
      <c r="F22">
        <v>3</v>
      </c>
      <c r="G22" t="s">
        <v>142</v>
      </c>
      <c r="H22">
        <v>0.69</v>
      </c>
      <c r="I22">
        <f>MAX('Min rate concentrations'!$H$3:$H$368)</f>
        <v>47</v>
      </c>
      <c r="J22">
        <f>MAX('Min rate concentrations'!AA:AA)</f>
        <v>32.5</v>
      </c>
      <c r="K22">
        <f t="shared" si="0"/>
        <v>1.5359355468590252</v>
      </c>
      <c r="L22">
        <f t="shared" si="4"/>
        <v>1.0620830909131558</v>
      </c>
      <c r="M22">
        <f>IF((((0.065*F22^0.726)/3.7-(0.301*F22^0.751)/(1-H22)*H22)*(MAX('Min rate concentrations'!$P$3:$P$368)))/F22&gt;0, (((0.065*F22^0.726)/3.7-(0.301*F22^0.751)/(1-H22)*H22)*(MAX('Min rate concentrations'!$P$3:$P$368)))/F22, 0)</f>
        <v>0</v>
      </c>
      <c r="N22">
        <f>IF((((0.065*F22^0.726)/3.7-(0.301*F22^0.751)/(1-H22)*H22)*(MAX('Min rate concentrations'!$Q$3:$Q$368)))/F22&gt;0, (((0.065*F22^0.726)/3.7-(0.301*F22^0.751)/(1-H22)*H22)*(MAX('Min rate concentrations'!$Q$3:$Q$368)))/F22, 0)</f>
        <v>0</v>
      </c>
      <c r="O22" t="s">
        <v>13</v>
      </c>
      <c r="P22" t="s">
        <v>13</v>
      </c>
      <c r="Q22">
        <f>(inputs!$C$7*11.2)*(1.131*F22^0.579)*0.5*1/F22</f>
        <v>1.9941259634554307</v>
      </c>
      <c r="R22">
        <f>(60*76.9*((F22/1000)^0.76)*3*24*(MAX('Min rate concentrations'!$R$3:$R$368))/F22)</f>
        <v>1.7200751972895458E-3</v>
      </c>
      <c r="S22">
        <f>(IF(inputs!$C$6="aerial",((0.025*0.112*inputs!$C$7/3.3)*(3*60*76.9*((F22/1000)^0.76))*MAX(inputs!$H$14:$H$16))/F22,((0.0083*0.112*inputs!$C$7/1)*(3*60*76.9*((F22/1000)^0.76))*MAX(inputs!$H$14:$H$16))/F22))</f>
        <v>7.2629640497909606E-3</v>
      </c>
      <c r="T22">
        <f>IF((((inputs!$P$12/(V22/MAX(K22:S22)))^(1/inputs!$O$12))-1)/inputs!$N$12&lt;0, 0, IF((((inputs!$P$12/(V22/MAX(K22:S22)))^(1/inputs!$O$12))-1)/inputs!$N$12&gt;inputs!$H$17, inputs!$H$17, (((inputs!$P$12/(V22/MAX(K22:S22)))^(1/inputs!$O$12))-1)/inputs!$N$12))</f>
        <v>553.74253709103971</v>
      </c>
      <c r="U22">
        <f>IF((((inputs!$P$12/(X22/MAX(K22:S22)))^(1/inputs!$O$12))-1)/inputs!$N$12&lt;0, 0, IF((((inputs!$P$12/(X22/MAX(K22:S22)))^(1/inputs!$O$12))-1)/inputs!$N$12&gt;inputs!$H$17, inputs!$H$17, (((inputs!$P$12/(X22/MAX(K22:S22)))^(1/inputs!$O$12))-1)/inputs!$N$12))</f>
        <v>305.16976711189687</v>
      </c>
      <c r="V22">
        <f>inputs!$E$87*(F22/inputs!$F$87)^(1)</f>
        <v>5.6999999999999998E-4</v>
      </c>
      <c r="W22">
        <f>inputs!$E$90*(F22/inputs!$F$90)^(1)</f>
        <v>5.9999999999999995E-4</v>
      </c>
      <c r="X22">
        <f>inputs!$E$89*(F22/inputs!$F$89)^(1)</f>
        <v>2.2405063291139238E-3</v>
      </c>
      <c r="Y22" t="s">
        <v>13</v>
      </c>
      <c r="Z22">
        <f t="shared" si="1"/>
        <v>3498.4666025533875</v>
      </c>
      <c r="AA22">
        <f t="shared" si="2"/>
        <v>3323.543272425718</v>
      </c>
    </row>
    <row r="23" spans="1:27" x14ac:dyDescent="0.3">
      <c r="A23" t="s">
        <v>669</v>
      </c>
      <c r="B23" t="s">
        <v>670</v>
      </c>
      <c r="C23" t="s">
        <v>702</v>
      </c>
      <c r="D23" t="s">
        <v>704</v>
      </c>
      <c r="E23">
        <v>9378</v>
      </c>
      <c r="F23">
        <v>3</v>
      </c>
      <c r="G23" t="s">
        <v>164</v>
      </c>
      <c r="H23">
        <v>0.78</v>
      </c>
      <c r="I23">
        <f>inputs!$C$65*(inputs!$C$62/1000)</f>
        <v>0.82000000000000006</v>
      </c>
      <c r="J23">
        <f>inputs!$C$65*(inputs!$C$61/1000)</f>
        <v>0.25</v>
      </c>
      <c r="K23">
        <f t="shared" si="0"/>
        <v>3.7759653386031371E-2</v>
      </c>
      <c r="L23">
        <f t="shared" si="4"/>
        <v>1.1512089446960782E-2</v>
      </c>
      <c r="M23">
        <f>IF((((0.065*F23^0.726)/3.7-(0.301*F23^0.751)/(1-H23)*H23)*(MAX('Min rate concentrations'!$P$3:$P$368)))/F23&gt;0, (((0.065*F23^0.726)/3.7-(0.301*F23^0.751)/(1-H23)*H23)*(MAX('Min rate concentrations'!$P$3:$P$368)))/F23, 0)</f>
        <v>0</v>
      </c>
      <c r="N23">
        <f>IF((((0.065*F23^0.726)/3.7-(0.301*F23^0.751)/(1-H23)*H23)*(MAX('Min rate concentrations'!$Q$3:$Q$368)))/F23&gt;0, (((0.065*F23^0.726)/3.7-(0.301*F23^0.751)/(1-H23)*H23)*(MAX('Min rate concentrations'!$Q$3:$Q$368)))/F23, 0)</f>
        <v>0</v>
      </c>
      <c r="O23" t="s">
        <v>13</v>
      </c>
      <c r="P23" t="s">
        <v>13</v>
      </c>
      <c r="Q23">
        <f>(inputs!$C$7*11.2)*(1.131*F23^0.579)*0.5*1/F23</f>
        <v>1.9941259634554307</v>
      </c>
      <c r="R23">
        <f>(60*76.9*((F23/1000)^0.76)*3*24*(MAX('Min rate concentrations'!$R$3:$R$368))/F23)</f>
        <v>1.7200751972895458E-3</v>
      </c>
      <c r="S23">
        <f>(IF(inputs!$C$6="aerial",((0.025*0.112*inputs!$C$7/3.3)*(3*60*76.9*((F23/1000)^0.76))*MAX(inputs!$H$14:$H$16))/F23,((0.0083*0.112*inputs!$C$7/1)*(3*60*76.9*((F23/1000)^0.76))*MAX(inputs!$H$14:$H$16))/F23))</f>
        <v>7.2629640497909606E-3</v>
      </c>
      <c r="T23">
        <f>IF((((inputs!$P$12/(V23/MAX(K23:S23)))^(1/inputs!$O$12))-1)/inputs!$N$12&lt;0, 0, IF((((inputs!$P$12/(V23/MAX(K23:S23)))^(1/inputs!$O$12))-1)/inputs!$N$12&gt;inputs!$H$17, inputs!$H$17, (((inputs!$P$12/(V23/MAX(K23:S23)))^(1/inputs!$O$12))-1)/inputs!$N$12))</f>
        <v>553.74253709103971</v>
      </c>
      <c r="U23">
        <f>IF((((inputs!$P$12/(X23/MAX(K23:S23)))^(1/inputs!$O$12))-1)/inputs!$N$12&lt;0, 0, IF((((inputs!$P$12/(X23/MAX(K23:S23)))^(1/inputs!$O$12))-1)/inputs!$N$12&gt;inputs!$H$17, inputs!$H$17, (((inputs!$P$12/(X23/MAX(K23:S23)))^(1/inputs!$O$12))-1)/inputs!$N$12))</f>
        <v>305.16976711189687</v>
      </c>
      <c r="V23">
        <f>inputs!$E$87*(F23/inputs!$F$87)^(1)</f>
        <v>5.6999999999999998E-4</v>
      </c>
      <c r="W23">
        <f>inputs!$E$90*(F23/inputs!$F$90)^(1)</f>
        <v>5.9999999999999995E-4</v>
      </c>
      <c r="X23">
        <f>inputs!$E$89*(F23/inputs!$F$89)^(1)</f>
        <v>2.2405063291139238E-3</v>
      </c>
      <c r="Y23" t="s">
        <v>13</v>
      </c>
      <c r="Z23">
        <f t="shared" si="1"/>
        <v>3498.4666025533875</v>
      </c>
      <c r="AA23">
        <f t="shared" si="2"/>
        <v>3323.543272425718</v>
      </c>
    </row>
    <row r="24" spans="1:27" x14ac:dyDescent="0.3">
      <c r="A24" t="s">
        <v>693</v>
      </c>
      <c r="B24" t="s">
        <v>694</v>
      </c>
      <c r="C24" t="s">
        <v>702</v>
      </c>
      <c r="D24" t="s">
        <v>704</v>
      </c>
      <c r="E24">
        <v>1740</v>
      </c>
      <c r="F24">
        <v>13.84</v>
      </c>
      <c r="G24" t="s">
        <v>142</v>
      </c>
      <c r="H24">
        <v>0.69</v>
      </c>
      <c r="I24">
        <f>MAX('Min rate concentrations'!$H$3:$H$368)</f>
        <v>47</v>
      </c>
      <c r="J24">
        <f>MAX('Min rate concentrations'!AA:AA)</f>
        <v>32.5</v>
      </c>
      <c r="K24">
        <f t="shared" si="0"/>
        <v>1.0855294843857939</v>
      </c>
      <c r="L24">
        <f t="shared" si="4"/>
        <v>0.75063209026677247</v>
      </c>
      <c r="M24">
        <f>IF((((0.065*F24^0.726)/3.7-(0.301*F24^0.751)/(1-H24)*H24)*(MAX('Min rate concentrations'!$P$3:$P$368)))/F24&gt;0, (((0.065*F24^0.726)/3.7-(0.301*F24^0.751)/(1-H24)*H24)*(MAX('Min rate concentrations'!$P$3:$P$368)))/F24, 0)</f>
        <v>0</v>
      </c>
      <c r="N24">
        <f>IF((((0.065*F24^0.726)/3.7-(0.301*F24^0.751)/(1-H24)*H24)*(MAX('Min rate concentrations'!$Q$3:$Q$368)))/F24&gt;0, (((0.065*F24^0.726)/3.7-(0.301*F24^0.751)/(1-H24)*H24)*(MAX('Min rate concentrations'!$Q$3:$Q$368)))/F24, 0)</f>
        <v>0</v>
      </c>
      <c r="O24" t="s">
        <v>13</v>
      </c>
      <c r="P24" t="s">
        <v>13</v>
      </c>
      <c r="Q24">
        <f>(inputs!$C$7*11.2)*(1.131*F24^0.579)*0.5*1/F24</f>
        <v>1.0476165298273163</v>
      </c>
      <c r="R24">
        <f>(60*76.9*((F24/1000)^0.76)*3*24*(MAX('Min rate concentrations'!$R$3:$R$368))/F24)</f>
        <v>1.1917464668909279E-3</v>
      </c>
      <c r="S24">
        <f>(IF(inputs!$C$6="aerial",((0.025*0.112*inputs!$C$7/3.3)*(3*60*76.9*((F24/1000)^0.76))*MAX(inputs!$H$14:$H$16))/F24,((0.0083*0.112*inputs!$C$7/1)*(3*60*76.9*((F24/1000)^0.76))*MAX(inputs!$H$14:$H$16))/F24))</f>
        <v>5.0321124094653029E-3</v>
      </c>
      <c r="T24">
        <f>IF((((inputs!$P$12/(V24/MAX(K24:S24)))^(1/inputs!$O$12))-1)/inputs!$N$12&lt;0, 0, IF((((inputs!$P$12/(V24/MAX(K24:S24)))^(1/inputs!$O$12))-1)/inputs!$N$12&gt;inputs!$H$17, inputs!$H$17, (((inputs!$P$12/(V24/MAX(K24:S24)))^(1/inputs!$O$12))-1)/inputs!$N$12))</f>
        <v>215.62512777804133</v>
      </c>
      <c r="U24">
        <f>IF((((inputs!$P$12/(X24/MAX(K24:S24)))^(1/inputs!$O$12))-1)/inputs!$N$12&lt;0, 0, IF((((inputs!$P$12/(X24/MAX(K24:S24)))^(1/inputs!$O$12))-1)/inputs!$N$12&gt;inputs!$H$17, inputs!$H$17, (((inputs!$P$12/(X24/MAX(K24:S24)))^(1/inputs!$O$12))-1)/inputs!$N$12))</f>
        <v>111.40495155535545</v>
      </c>
      <c r="V24">
        <f>inputs!$E$87*(F24/inputs!$F$87)^(1)</f>
        <v>2.6295999999999997E-3</v>
      </c>
      <c r="W24">
        <f>inputs!$E$90*(F24/inputs!$F$90)^(1)</f>
        <v>2.7680000000000001E-3</v>
      </c>
      <c r="X24">
        <f>inputs!$E$89*(F24/inputs!$F$89)^(1)</f>
        <v>1.0336202531645569E-2</v>
      </c>
      <c r="Y24" t="s">
        <v>13</v>
      </c>
      <c r="Z24">
        <f t="shared" si="1"/>
        <v>412.81163841869255</v>
      </c>
      <c r="AA24">
        <f t="shared" si="2"/>
        <v>392.17105649775789</v>
      </c>
    </row>
    <row r="25" spans="1:27" x14ac:dyDescent="0.3">
      <c r="A25" t="s">
        <v>693</v>
      </c>
      <c r="B25" t="s">
        <v>694</v>
      </c>
      <c r="C25" t="s">
        <v>702</v>
      </c>
      <c r="D25" t="s">
        <v>704</v>
      </c>
      <c r="E25">
        <v>1740</v>
      </c>
      <c r="F25">
        <v>13.84</v>
      </c>
      <c r="G25" t="s">
        <v>164</v>
      </c>
      <c r="H25">
        <v>0.78</v>
      </c>
      <c r="I25">
        <f>inputs!$C$65*(inputs!$C$62/1000)</f>
        <v>0.82000000000000006</v>
      </c>
      <c r="J25">
        <f>inputs!$C$65*(inputs!$C$61/1000)</f>
        <v>0.25</v>
      </c>
      <c r="K25">
        <f t="shared" si="0"/>
        <v>2.6686808020393513E-2</v>
      </c>
      <c r="L25">
        <f t="shared" si="4"/>
        <v>8.1362219574370453E-3</v>
      </c>
      <c r="M25">
        <f>IF((((0.065*F25^0.726)/3.7-(0.301*F25^0.751)/(1-H25)*H25)*(MAX('Min rate concentrations'!$P$3:$P$368)))/F25&gt;0, (((0.065*F25^0.726)/3.7-(0.301*F25^0.751)/(1-H25)*H25)*(MAX('Min rate concentrations'!$P$3:$P$368)))/F25, 0)</f>
        <v>0</v>
      </c>
      <c r="N25">
        <f>IF((((0.065*F25^0.726)/3.7-(0.301*F25^0.751)/(1-H25)*H25)*(MAX('Min rate concentrations'!$Q$3:$Q$368)))/F25&gt;0, (((0.065*F25^0.726)/3.7-(0.301*F25^0.751)/(1-H25)*H25)*(MAX('Min rate concentrations'!$Q$3:$Q$368)))/F25, 0)</f>
        <v>0</v>
      </c>
      <c r="O25" t="s">
        <v>13</v>
      </c>
      <c r="P25" t="s">
        <v>13</v>
      </c>
      <c r="Q25">
        <f>(inputs!$C$7*11.2)*(1.131*F25^0.579)*0.5*1/F25</f>
        <v>1.0476165298273163</v>
      </c>
      <c r="R25">
        <f>(60*76.9*((F25/1000)^0.76)*3*24*(MAX('Min rate concentrations'!$R$3:$R$368))/F25)</f>
        <v>1.1917464668909279E-3</v>
      </c>
      <c r="S25">
        <f>(IF(inputs!$C$6="aerial",((0.025*0.112*inputs!$C$7/3.3)*(3*60*76.9*((F25/1000)^0.76))*MAX(inputs!$H$14:$H$16))/F25,((0.0083*0.112*inputs!$C$7/1)*(3*60*76.9*((F25/1000)^0.76))*MAX(inputs!$H$14:$H$16))/F25))</f>
        <v>5.0321124094653029E-3</v>
      </c>
      <c r="T25">
        <f>IF((((inputs!$P$12/(V25/MAX(K25:S25)))^(1/inputs!$O$12))-1)/inputs!$N$12&lt;0, 0, IF((((inputs!$P$12/(V25/MAX(K25:S25)))^(1/inputs!$O$12))-1)/inputs!$N$12&gt;inputs!$H$17, inputs!$H$17, (((inputs!$P$12/(V25/MAX(K25:S25)))^(1/inputs!$O$12))-1)/inputs!$N$12))</f>
        <v>212.12072855180637</v>
      </c>
      <c r="U25">
        <f>IF((((inputs!$P$12/(X25/MAX(K25:S25)))^(1/inputs!$O$12))-1)/inputs!$N$12&lt;0, 0, IF((((inputs!$P$12/(X25/MAX(K25:S25)))^(1/inputs!$O$12))-1)/inputs!$N$12&gt;inputs!$H$17, inputs!$H$17, (((inputs!$P$12/(X25/MAX(K25:S25)))^(1/inputs!$O$12))-1)/inputs!$N$12))</f>
        <v>109.39668681948284</v>
      </c>
      <c r="V25">
        <f>inputs!$E$87*(F25/inputs!$F$87)^(1)</f>
        <v>2.6295999999999997E-3</v>
      </c>
      <c r="W25">
        <f>inputs!$E$90*(F25/inputs!$F$90)^(1)</f>
        <v>2.7680000000000001E-3</v>
      </c>
      <c r="X25">
        <f>inputs!$E$89*(F25/inputs!$F$89)^(1)</f>
        <v>1.0336202531645569E-2</v>
      </c>
      <c r="Y25" t="s">
        <v>13</v>
      </c>
      <c r="Z25">
        <f t="shared" si="1"/>
        <v>398.39387352727277</v>
      </c>
      <c r="AA25">
        <f t="shared" si="2"/>
        <v>378.47417985090908</v>
      </c>
    </row>
    <row r="26" spans="1:27" x14ac:dyDescent="0.3">
      <c r="A26" t="s">
        <v>693</v>
      </c>
      <c r="B26" t="s">
        <v>695</v>
      </c>
      <c r="C26" t="s">
        <v>702</v>
      </c>
      <c r="D26" t="s">
        <v>704</v>
      </c>
      <c r="E26">
        <v>207</v>
      </c>
      <c r="F26">
        <v>13.84</v>
      </c>
      <c r="G26" t="s">
        <v>142</v>
      </c>
      <c r="H26">
        <v>0.69</v>
      </c>
      <c r="I26">
        <f>MAX('Min rate concentrations'!$H$3:$H$368)</f>
        <v>47</v>
      </c>
      <c r="J26">
        <f>MAX('Min rate concentrations'!AA:AA)</f>
        <v>32.5</v>
      </c>
      <c r="K26">
        <f t="shared" si="0"/>
        <v>1.0855294843857939</v>
      </c>
      <c r="L26">
        <f t="shared" si="4"/>
        <v>0.75063209026677247</v>
      </c>
      <c r="M26">
        <f>IF((((0.065*F26^0.726)/3.7-(0.301*F26^0.751)/(1-H26)*H26)*(MAX('Min rate concentrations'!$P$3:$P$368)))/F26&gt;0, (((0.065*F26^0.726)/3.7-(0.301*F26^0.751)/(1-H26)*H26)*(MAX('Min rate concentrations'!$P$3:$P$368)))/F26, 0)</f>
        <v>0</v>
      </c>
      <c r="N26">
        <f>IF((((0.065*F26^0.726)/3.7-(0.301*F26^0.751)/(1-H26)*H26)*(MAX('Min rate concentrations'!$Q$3:$Q$368)))/F26&gt;0, (((0.065*F26^0.726)/3.7-(0.301*F26^0.751)/(1-H26)*H26)*(MAX('Min rate concentrations'!$Q$3:$Q$368)))/F26, 0)</f>
        <v>0</v>
      </c>
      <c r="O26" t="s">
        <v>13</v>
      </c>
      <c r="P26" t="s">
        <v>13</v>
      </c>
      <c r="Q26">
        <f>(inputs!$C$7*11.2)*(1.131*F26^0.579)*0.5*1/F26</f>
        <v>1.0476165298273163</v>
      </c>
      <c r="R26">
        <f>(60*76.9*((F26/1000)^0.76)*3*24*(MAX('Min rate concentrations'!$R$3:$R$368))/F26)</f>
        <v>1.1917464668909279E-3</v>
      </c>
      <c r="S26">
        <f>(IF(inputs!$C$6="aerial",((0.025*0.112*inputs!$C$7/3.3)*(3*60*76.9*((F26/1000)^0.76))*MAX(inputs!$H$14:$H$16))/F26,((0.0083*0.112*inputs!$C$7/1)*(3*60*76.9*((F26/1000)^0.76))*MAX(inputs!$H$14:$H$16))/F26))</f>
        <v>5.0321124094653029E-3</v>
      </c>
      <c r="T26">
        <f>IF((((inputs!$P$12/(V26/MAX(K26:S26)))^(1/inputs!$O$12))-1)/inputs!$N$12&lt;0, 0, IF((((inputs!$P$12/(V26/MAX(K26:S26)))^(1/inputs!$O$12))-1)/inputs!$N$12&gt;inputs!$H$17, inputs!$H$17, (((inputs!$P$12/(V26/MAX(K26:S26)))^(1/inputs!$O$12))-1)/inputs!$N$12))</f>
        <v>215.62512777804133</v>
      </c>
      <c r="U26">
        <f>IF((((inputs!$P$12/(X26/MAX(K26:S26)))^(1/inputs!$O$12))-1)/inputs!$N$12&lt;0, 0, IF((((inputs!$P$12/(X26/MAX(K26:S26)))^(1/inputs!$O$12))-1)/inputs!$N$12&gt;inputs!$H$17, inputs!$H$17, (((inputs!$P$12/(X26/MAX(K26:S26)))^(1/inputs!$O$12))-1)/inputs!$N$12))</f>
        <v>111.40495155535545</v>
      </c>
      <c r="V26">
        <f>inputs!$E$87*(F26/inputs!$F$87)^(1)</f>
        <v>2.6295999999999997E-3</v>
      </c>
      <c r="W26">
        <f>inputs!$E$90*(F26/inputs!$F$90)^(1)</f>
        <v>2.7680000000000001E-3</v>
      </c>
      <c r="X26">
        <f>inputs!$E$89*(F26/inputs!$F$89)^(1)</f>
        <v>1.0336202531645569E-2</v>
      </c>
      <c r="Y26" t="s">
        <v>13</v>
      </c>
      <c r="Z26">
        <f t="shared" si="1"/>
        <v>412.81163841869255</v>
      </c>
      <c r="AA26">
        <f t="shared" si="2"/>
        <v>392.17105649775789</v>
      </c>
    </row>
    <row r="27" spans="1:27" x14ac:dyDescent="0.3">
      <c r="A27" t="s">
        <v>693</v>
      </c>
      <c r="B27" t="s">
        <v>695</v>
      </c>
      <c r="C27" t="s">
        <v>702</v>
      </c>
      <c r="D27" t="s">
        <v>704</v>
      </c>
      <c r="E27">
        <v>207</v>
      </c>
      <c r="F27">
        <v>13.84</v>
      </c>
      <c r="G27" t="s">
        <v>164</v>
      </c>
      <c r="H27">
        <v>0.78</v>
      </c>
      <c r="I27">
        <f>inputs!$C$65*(inputs!$C$62/1000)</f>
        <v>0.82000000000000006</v>
      </c>
      <c r="J27">
        <f>inputs!$C$65*(inputs!$C$61/1000)</f>
        <v>0.25</v>
      </c>
      <c r="K27">
        <f t="shared" si="0"/>
        <v>2.6686808020393513E-2</v>
      </c>
      <c r="L27">
        <f t="shared" si="4"/>
        <v>8.1362219574370453E-3</v>
      </c>
      <c r="M27">
        <f>IF((((0.065*F27^0.726)/3.7-(0.301*F27^0.751)/(1-H27)*H27)*(MAX('Min rate concentrations'!$P$3:$P$368)))/F27&gt;0, (((0.065*F27^0.726)/3.7-(0.301*F27^0.751)/(1-H27)*H27)*(MAX('Min rate concentrations'!$P$3:$P$368)))/F27, 0)</f>
        <v>0</v>
      </c>
      <c r="N27">
        <f>IF((((0.065*F27^0.726)/3.7-(0.301*F27^0.751)/(1-H27)*H27)*(MAX('Min rate concentrations'!$Q$3:$Q$368)))/F27&gt;0, (((0.065*F27^0.726)/3.7-(0.301*F27^0.751)/(1-H27)*H27)*(MAX('Min rate concentrations'!$Q$3:$Q$368)))/F27, 0)</f>
        <v>0</v>
      </c>
      <c r="O27" t="s">
        <v>13</v>
      </c>
      <c r="P27" t="s">
        <v>13</v>
      </c>
      <c r="Q27">
        <f>(inputs!$C$7*11.2)*(1.131*F27^0.579)*0.5*1/F27</f>
        <v>1.0476165298273163</v>
      </c>
      <c r="R27">
        <f>(60*76.9*((F27/1000)^0.76)*3*24*(MAX('Min rate concentrations'!$R$3:$R$368))/F27)</f>
        <v>1.1917464668909279E-3</v>
      </c>
      <c r="S27">
        <f>(IF(inputs!$C$6="aerial",((0.025*0.112*inputs!$C$7/3.3)*(3*60*76.9*((F27/1000)^0.76))*MAX(inputs!$H$14:$H$16))/F27,((0.0083*0.112*inputs!$C$7/1)*(3*60*76.9*((F27/1000)^0.76))*MAX(inputs!$H$14:$H$16))/F27))</f>
        <v>5.0321124094653029E-3</v>
      </c>
      <c r="T27">
        <f>IF((((inputs!$P$12/(V27/MAX(K27:S27)))^(1/inputs!$O$12))-1)/inputs!$N$12&lt;0, 0, IF((((inputs!$P$12/(V27/MAX(K27:S27)))^(1/inputs!$O$12))-1)/inputs!$N$12&gt;inputs!$H$17, inputs!$H$17, (((inputs!$P$12/(V27/MAX(K27:S27)))^(1/inputs!$O$12))-1)/inputs!$N$12))</f>
        <v>212.12072855180637</v>
      </c>
      <c r="U27">
        <f>IF((((inputs!$P$12/(X27/MAX(K27:S27)))^(1/inputs!$O$12))-1)/inputs!$N$12&lt;0, 0, IF((((inputs!$P$12/(X27/MAX(K27:S27)))^(1/inputs!$O$12))-1)/inputs!$N$12&gt;inputs!$H$17, inputs!$H$17, (((inputs!$P$12/(X27/MAX(K27:S27)))^(1/inputs!$O$12))-1)/inputs!$N$12))</f>
        <v>109.39668681948284</v>
      </c>
      <c r="V27">
        <f>inputs!$E$87*(F27/inputs!$F$87)^(1)</f>
        <v>2.6295999999999997E-3</v>
      </c>
      <c r="W27">
        <f>inputs!$E$90*(F27/inputs!$F$90)^(1)</f>
        <v>2.7680000000000001E-3</v>
      </c>
      <c r="X27">
        <f>inputs!$E$89*(F27/inputs!$F$89)^(1)</f>
        <v>1.0336202531645569E-2</v>
      </c>
      <c r="Y27" t="s">
        <v>13</v>
      </c>
      <c r="Z27">
        <f t="shared" si="1"/>
        <v>398.39387352727277</v>
      </c>
      <c r="AA27">
        <f t="shared" si="2"/>
        <v>378.47417985090908</v>
      </c>
    </row>
    <row r="28" spans="1:27" x14ac:dyDescent="0.3">
      <c r="A28" t="s">
        <v>696</v>
      </c>
      <c r="B28" t="s">
        <v>697</v>
      </c>
      <c r="C28" t="s">
        <v>702</v>
      </c>
      <c r="D28" t="s">
        <v>704</v>
      </c>
      <c r="E28">
        <v>4090</v>
      </c>
      <c r="F28">
        <v>8</v>
      </c>
      <c r="G28" t="s">
        <v>182</v>
      </c>
      <c r="H28">
        <v>0.85</v>
      </c>
      <c r="I28">
        <f>MAX('Min rate concentrations'!$M$3:$M$368)</f>
        <v>2.8488184789681945</v>
      </c>
      <c r="J28">
        <f>MAX('Min rate concentrations'!AE:AE)</f>
        <v>1.9699276716269429</v>
      </c>
      <c r="K28">
        <f t="shared" si="0"/>
        <v>0.15399812883629896</v>
      </c>
      <c r="L28">
        <f t="shared" si="4"/>
        <v>0.10648806781233437</v>
      </c>
      <c r="M28">
        <f>IF((((0.065*F28^0.726)/3.7-(0.301*F28^0.751)/(1-H28)*H28)*(MAX('Min rate concentrations'!$P$3:$P$368)))/F28&gt;0, (((0.065*F28^0.726)/3.7-(0.301*F28^0.751)/(1-H28)*H28)*(MAX('Min rate concentrations'!$P$3:$P$368)))/F28, 0)</f>
        <v>0</v>
      </c>
      <c r="N28">
        <f>IF((((0.065*F28^0.726)/3.7-(0.301*F28^0.751)/(1-H28)*H28)*(MAX('Min rate concentrations'!$Q$3:$Q$368)))/F28&gt;0, (((0.065*F28^0.726)/3.7-(0.301*F28^0.751)/(1-H28)*H28)*(MAX('Min rate concentrations'!$Q$3:$Q$368)))/F28, 0)</f>
        <v>0</v>
      </c>
      <c r="O28" t="s">
        <v>13</v>
      </c>
      <c r="P28" t="s">
        <v>13</v>
      </c>
      <c r="Q28">
        <f>(inputs!$C$7*11.2)*(1.131*F28^0.579)*0.5*1/F28</f>
        <v>1.3195314682159063</v>
      </c>
      <c r="R28">
        <f>(60*76.9*((F28/1000)^0.76)*3*24*(MAX('Min rate concentrations'!$R$3:$R$368))/F28)</f>
        <v>1.3592988135249188E-3</v>
      </c>
      <c r="S28">
        <f>(IF(inputs!$C$6="aerial",((0.025*0.112*inputs!$C$7/3.3)*(3*60*76.9*((F28/1000)^0.76))*MAX(inputs!$H$14:$H$16))/F28,((0.0083*0.112*inputs!$C$7/1)*(3*60*76.9*((F28/1000)^0.76))*MAX(inputs!$H$14:$H$16))/F28))</f>
        <v>5.7395969845457362E-3</v>
      </c>
      <c r="T28">
        <f>IF((((inputs!$P$12/(V28/MAX(K28:S28)))^(1/inputs!$O$12))-1)/inputs!$N$12&lt;0, 0, IF((((inputs!$P$12/(V28/MAX(K28:S28)))^(1/inputs!$O$12))-1)/inputs!$N$12&gt;inputs!$H$17, inputs!$H$17, (((inputs!$P$12/(V28/MAX(K28:S28)))^(1/inputs!$O$12))-1)/inputs!$N$12))</f>
        <v>301.80256273720795</v>
      </c>
      <c r="U28">
        <f>IF((((inputs!$P$12/(X28/MAX(K28:S28)))^(1/inputs!$O$12))-1)/inputs!$N$12&lt;0, 0, IF((((inputs!$P$12/(X28/MAX(K28:S28)))^(1/inputs!$O$12))-1)/inputs!$N$12&gt;inputs!$H$17, inputs!$H$17, (((inputs!$P$12/(X28/MAX(K28:S28)))^(1/inputs!$O$12))-1)/inputs!$N$12))</f>
        <v>160.7906215329138</v>
      </c>
      <c r="V28">
        <f>inputs!$E$87*(F28/inputs!$F$87)^(1)</f>
        <v>1.5200000000000001E-3</v>
      </c>
      <c r="W28">
        <f>inputs!$E$90*(F28/inputs!$F$90)^(1)</f>
        <v>1.6000000000000001E-3</v>
      </c>
      <c r="X28">
        <f>inputs!$E$89*(F28/inputs!$F$89)^(1)</f>
        <v>5.9746835443037971E-3</v>
      </c>
      <c r="Y28" t="s">
        <v>13</v>
      </c>
      <c r="Z28">
        <f t="shared" si="1"/>
        <v>868.11280803678039</v>
      </c>
      <c r="AA28">
        <f t="shared" si="2"/>
        <v>824.70716763494136</v>
      </c>
    </row>
    <row r="29" spans="1:27" x14ac:dyDescent="0.3">
      <c r="A29" t="s">
        <v>696</v>
      </c>
      <c r="B29" t="s">
        <v>697</v>
      </c>
      <c r="C29" t="s">
        <v>702</v>
      </c>
      <c r="D29" t="s">
        <v>704</v>
      </c>
      <c r="E29">
        <v>4090</v>
      </c>
      <c r="F29">
        <v>8</v>
      </c>
      <c r="G29" t="s">
        <v>142</v>
      </c>
      <c r="H29">
        <v>0.69</v>
      </c>
      <c r="I29">
        <f>MAX('Min rate concentrations'!$H$3:$H$368)</f>
        <v>47</v>
      </c>
      <c r="J29">
        <f>MAX('Min rate concentrations'!AA:AA)</f>
        <v>32.5</v>
      </c>
      <c r="K29">
        <f t="shared" si="0"/>
        <v>1.2293572007088416</v>
      </c>
      <c r="L29">
        <f t="shared" si="4"/>
        <v>0.85008742602207132</v>
      </c>
      <c r="M29">
        <f>IF((((0.065*F29^0.726)/3.7-(0.301*F29^0.751)/(1-H29)*H29)*(MAX('Min rate concentrations'!$P$3:$P$368)))/F29&gt;0, (((0.065*F29^0.726)/3.7-(0.301*F29^0.751)/(1-H29)*H29)*(MAX('Min rate concentrations'!$P$3:$P$368)))/F29, 0)</f>
        <v>0</v>
      </c>
      <c r="N29">
        <f>IF((((0.065*F29^0.726)/3.7-(0.301*F29^0.751)/(1-H29)*H29)*(MAX('Min rate concentrations'!$Q$3:$Q$368)))/F29&gt;0, (((0.065*F29^0.726)/3.7-(0.301*F29^0.751)/(1-H29)*H29)*(MAX('Min rate concentrations'!$Q$3:$Q$368)))/F29, 0)</f>
        <v>0</v>
      </c>
      <c r="O29" t="s">
        <v>13</v>
      </c>
      <c r="P29" t="s">
        <v>13</v>
      </c>
      <c r="Q29">
        <f>(inputs!$C$7*11.2)*(1.131*F29^0.579)*0.5*1/F29</f>
        <v>1.3195314682159063</v>
      </c>
      <c r="R29">
        <f>(60*76.9*((F29/1000)^0.76)*3*24*(MAX('Min rate concentrations'!$R$3:$R$368))/F29)</f>
        <v>1.3592988135249188E-3</v>
      </c>
      <c r="S29">
        <f>(IF(inputs!$C$6="aerial",((0.025*0.112*inputs!$C$7/3.3)*(3*60*76.9*((F29/1000)^0.76))*MAX(inputs!$H$14:$H$16))/F29,((0.0083*0.112*inputs!$C$7/1)*(3*60*76.9*((F29/1000)^0.76))*MAX(inputs!$H$14:$H$16))/F29))</f>
        <v>5.7395969845457362E-3</v>
      </c>
      <c r="T29">
        <f>IF((((inputs!$P$12/(V29/MAX(K29:S29)))^(1/inputs!$O$12))-1)/inputs!$N$12&lt;0, 0, IF((((inputs!$P$12/(V29/MAX(K29:S29)))^(1/inputs!$O$12))-1)/inputs!$N$12&gt;inputs!$H$17, inputs!$H$17, (((inputs!$P$12/(V29/MAX(K29:S29)))^(1/inputs!$O$12))-1)/inputs!$N$12))</f>
        <v>301.80256273720795</v>
      </c>
      <c r="U29">
        <f>IF((((inputs!$P$12/(X29/MAX(K29:S29)))^(1/inputs!$O$12))-1)/inputs!$N$12&lt;0, 0, IF((((inputs!$P$12/(X29/MAX(K29:S29)))^(1/inputs!$O$12))-1)/inputs!$N$12&gt;inputs!$H$17, inputs!$H$17, (((inputs!$P$12/(X29/MAX(K29:S29)))^(1/inputs!$O$12))-1)/inputs!$N$12))</f>
        <v>160.7906215329138</v>
      </c>
      <c r="V29">
        <f>inputs!$E$87*(F29/inputs!$F$87)^(1)</f>
        <v>1.5200000000000001E-3</v>
      </c>
      <c r="W29">
        <f>inputs!$E$90*(F29/inputs!$F$90)^(1)</f>
        <v>1.6000000000000001E-3</v>
      </c>
      <c r="X29">
        <f>inputs!$E$89*(F29/inputs!$F$89)^(1)</f>
        <v>5.9746835443037971E-3</v>
      </c>
      <c r="Y29" t="s">
        <v>13</v>
      </c>
      <c r="Z29">
        <f t="shared" si="1"/>
        <v>868.11280803678039</v>
      </c>
      <c r="AA29">
        <f t="shared" si="2"/>
        <v>824.70716763494136</v>
      </c>
    </row>
    <row r="30" spans="1:27" x14ac:dyDescent="0.3">
      <c r="A30" t="s">
        <v>677</v>
      </c>
      <c r="B30" t="s">
        <v>678</v>
      </c>
      <c r="C30" t="s">
        <v>702</v>
      </c>
      <c r="D30" t="s">
        <v>704</v>
      </c>
      <c r="E30">
        <v>195</v>
      </c>
      <c r="F30">
        <v>57</v>
      </c>
      <c r="G30" t="s">
        <v>142</v>
      </c>
      <c r="H30">
        <v>0.69</v>
      </c>
      <c r="I30">
        <f>MAX('Min rate concentrations'!$H$3:$H$368)</f>
        <v>47</v>
      </c>
      <c r="J30">
        <f>MAX('Min rate concentrations'!AA:AA)</f>
        <v>32.5</v>
      </c>
      <c r="K30">
        <f t="shared" si="0"/>
        <v>0.78721964650423537</v>
      </c>
      <c r="L30">
        <f t="shared" si="4"/>
        <v>0.54435401088058821</v>
      </c>
      <c r="M30">
        <f>IF((((0.065*F30^0.726)/3.7-(0.301*F30^0.751)/(1-H30)*H30)*(MAX('Min rate concentrations'!$P$3:$P$368)))/F30&gt;0, (((0.065*F30^0.726)/3.7-(0.301*F30^0.751)/(1-H30)*H30)*(MAX('Min rate concentrations'!$P$3:$P$368)))/F30, 0)</f>
        <v>0</v>
      </c>
      <c r="N30">
        <f>IF((((0.065*F30^0.726)/3.7-(0.301*F30^0.751)/(1-H30)*H30)*(MAX('Min rate concentrations'!$Q$3:$Q$368)))/F30&gt;0, (((0.065*F30^0.726)/3.7-(0.301*F30^0.751)/(1-H30)*H30)*(MAX('Min rate concentrations'!$Q$3:$Q$368)))/F30, 0)</f>
        <v>0</v>
      </c>
      <c r="O30" t="s">
        <v>13</v>
      </c>
      <c r="P30" t="s">
        <v>13</v>
      </c>
      <c r="Q30">
        <f>(inputs!$C$7*11.2)*(1.131*F30^0.579)*0.5*1/F30</f>
        <v>0.57729436989306571</v>
      </c>
      <c r="R30">
        <f>(60*76.9*((F30/1000)^0.76)*3*24*(MAX('Min rate concentrations'!$R$3:$R$368))/F30)</f>
        <v>8.4848968954204251E-4</v>
      </c>
      <c r="S30">
        <f>(IF(inputs!$C$6="aerial",((0.025*0.112*inputs!$C$7/3.3)*(3*60*76.9*((F30/1000)^0.76))*MAX(inputs!$H$14:$H$16))/F30,((0.0083*0.112*inputs!$C$7/1)*(3*60*76.9*((F30/1000)^0.76))*MAX(inputs!$H$14:$H$16))/F30))</f>
        <v>3.5827213376909048E-3</v>
      </c>
      <c r="T30">
        <f>IF((((inputs!$P$12/(V30/MAX(K30:S30)))^(1/inputs!$O$12))-1)/inputs!$N$12&lt;0, 0, IF((((inputs!$P$12/(V30/MAX(K30:S30)))^(1/inputs!$O$12))-1)/inputs!$N$12&gt;inputs!$H$17, inputs!$H$17, (((inputs!$P$12/(V30/MAX(K30:S30)))^(1/inputs!$O$12))-1)/inputs!$N$12))</f>
        <v>91.958207608243512</v>
      </c>
      <c r="U30">
        <f>IF((((inputs!$P$12/(X30/MAX(K30:S30)))^(1/inputs!$O$12))-1)/inputs!$N$12&lt;0, 0, IF((((inputs!$P$12/(X30/MAX(K30:S30)))^(1/inputs!$O$12))-1)/inputs!$N$12&gt;inputs!$H$17, inputs!$H$17, (((inputs!$P$12/(X30/MAX(K30:S30)))^(1/inputs!$O$12))-1)/inputs!$N$12))</f>
        <v>40.53519650241676</v>
      </c>
      <c r="V30">
        <f>inputs!$E$87*(F30/inputs!$F$87)^(1)</f>
        <v>1.0829999999999999E-2</v>
      </c>
      <c r="W30">
        <f>inputs!$E$90*(F30/inputs!$F$90)^(1)</f>
        <v>1.1399999999999999E-2</v>
      </c>
      <c r="X30">
        <f>inputs!$E$89*(F30/inputs!$F$89)^(1)</f>
        <v>4.2569620253164554E-2</v>
      </c>
      <c r="Y30" t="s">
        <v>13</v>
      </c>
      <c r="Z30">
        <f t="shared" si="1"/>
        <v>72.688794691065141</v>
      </c>
      <c r="AA30">
        <f t="shared" si="2"/>
        <v>69.054354956511887</v>
      </c>
    </row>
    <row r="31" spans="1:27" x14ac:dyDescent="0.3">
      <c r="A31" t="s">
        <v>677</v>
      </c>
      <c r="B31" t="s">
        <v>678</v>
      </c>
      <c r="C31" t="s">
        <v>702</v>
      </c>
      <c r="D31" t="s">
        <v>704</v>
      </c>
      <c r="E31">
        <v>195</v>
      </c>
      <c r="F31">
        <v>57</v>
      </c>
      <c r="G31" t="s">
        <v>146</v>
      </c>
      <c r="H31">
        <v>0.84</v>
      </c>
      <c r="I31">
        <f>MAX('Min rate concentrations'!$I$3:$I$368)</f>
        <v>9.4775690500787988</v>
      </c>
      <c r="J31" t="s">
        <v>13</v>
      </c>
      <c r="K31">
        <f t="shared" si="0"/>
        <v>0.30756487403856103</v>
      </c>
      <c r="L31" t="s">
        <v>13</v>
      </c>
      <c r="M31">
        <f>IF((((0.065*F31^0.726)/3.7-(0.301*F31^0.751)/(1-H31)*H31)*(MAX('Min rate concentrations'!$P$3:$P$368)))/F31&gt;0, (((0.065*F31^0.726)/3.7-(0.301*F31^0.751)/(1-H31)*H31)*(MAX('Min rate concentrations'!$P$3:$P$368)))/F31, 0)</f>
        <v>0</v>
      </c>
      <c r="N31">
        <f>IF((((0.065*F31^0.726)/3.7-(0.301*F31^0.751)/(1-H31)*H31)*(MAX('Min rate concentrations'!$Q$3:$Q$368)))/F31&gt;0, (((0.065*F31^0.726)/3.7-(0.301*F31^0.751)/(1-H31)*H31)*(MAX('Min rate concentrations'!$Q$3:$Q$368)))/F31, 0)</f>
        <v>0</v>
      </c>
      <c r="O31" t="s">
        <v>13</v>
      </c>
      <c r="P31" t="s">
        <v>13</v>
      </c>
      <c r="Q31">
        <f>(inputs!$C$7*11.2)*(1.131*F31^0.579)*0.5*1/F31</f>
        <v>0.57729436989306571</v>
      </c>
      <c r="R31">
        <f>(60*76.9*((F31/1000)^0.76)*3*24*(MAX('Min rate concentrations'!$R$3:$R$368))/F31)</f>
        <v>8.4848968954204251E-4</v>
      </c>
      <c r="S31">
        <f>(IF(inputs!$C$6="aerial",((0.025*0.112*inputs!$C$7/3.3)*(3*60*76.9*((F31/1000)^0.76))*MAX(inputs!$H$14:$H$16))/F31,((0.0083*0.112*inputs!$C$7/1)*(3*60*76.9*((F31/1000)^0.76))*MAX(inputs!$H$14:$H$16))/F31))</f>
        <v>3.5827213376909048E-3</v>
      </c>
      <c r="T31">
        <f>IF((((inputs!$P$12/(V31/MAX(K31:S31)))^(1/inputs!$O$12))-1)/inputs!$N$12&lt;0, 0, IF((((inputs!$P$12/(V31/MAX(K31:S31)))^(1/inputs!$O$12))-1)/inputs!$N$12&gt;inputs!$H$17, inputs!$H$17, (((inputs!$P$12/(V31/MAX(K31:S31)))^(1/inputs!$O$12))-1)/inputs!$N$12))</f>
        <v>77.682885151320406</v>
      </c>
      <c r="U31">
        <f>IF((((inputs!$P$12/(X31/MAX(K31:S31)))^(1/inputs!$O$12))-1)/inputs!$N$12&lt;0, 0, IF((((inputs!$P$12/(X31/MAX(K31:S31)))^(1/inputs!$O$12))-1)/inputs!$N$12&gt;inputs!$H$17, inputs!$H$17, (((inputs!$P$12/(X31/MAX(K31:S31)))^(1/inputs!$O$12))-1)/inputs!$N$12))</f>
        <v>32.354442874568825</v>
      </c>
      <c r="V31">
        <f>inputs!$E$87*(F31/inputs!$F$87)^(1)</f>
        <v>1.0829999999999999E-2</v>
      </c>
      <c r="W31">
        <f>inputs!$E$90*(F31/inputs!$F$90)^(1)</f>
        <v>1.1399999999999999E-2</v>
      </c>
      <c r="X31">
        <f>inputs!$E$89*(F31/inputs!$F$89)^(1)</f>
        <v>4.2569620253164554E-2</v>
      </c>
      <c r="Y31" t="s">
        <v>13</v>
      </c>
      <c r="Z31">
        <f t="shared" si="1"/>
        <v>53.305112640172275</v>
      </c>
      <c r="AA31">
        <f t="shared" si="2"/>
        <v>50.639857008163666</v>
      </c>
    </row>
    <row r="32" spans="1:27" x14ac:dyDescent="0.3">
      <c r="A32" t="s">
        <v>673</v>
      </c>
      <c r="B32" t="s">
        <v>674</v>
      </c>
      <c r="C32" t="s">
        <v>702</v>
      </c>
      <c r="D32" t="s">
        <v>704</v>
      </c>
      <c r="E32">
        <v>3628</v>
      </c>
      <c r="F32">
        <v>1.4E-2</v>
      </c>
      <c r="G32" t="s">
        <v>142</v>
      </c>
      <c r="H32">
        <v>0.69</v>
      </c>
      <c r="I32">
        <f>MAX('Min rate concentrations'!$H$3:$H$368)</f>
        <v>47</v>
      </c>
      <c r="J32">
        <f>MAX('Min rate concentrations'!AA:AA)</f>
        <v>32.5</v>
      </c>
      <c r="K32">
        <f t="shared" si="0"/>
        <v>5.1940778220675154</v>
      </c>
      <c r="L32">
        <f t="shared" ref="L32:L38" si="5">(((0.013*F32^0.773)/(1-H32)))*J32/F32</f>
        <v>3.5916495578126435</v>
      </c>
      <c r="M32">
        <f>IF((((0.065*F32^0.726)/3.7-(0.301*F32^0.751)/(1-H32)*H32)*(MAX('Min rate concentrations'!$P$3:$P$368)))/F32&gt;0, (((0.065*F32^0.726)/3.7-(0.301*F32^0.751)/(1-H32)*H32)*(MAX('Min rate concentrations'!$P$3:$P$368)))/F32, 0)</f>
        <v>0</v>
      </c>
      <c r="N32">
        <f>IF((((0.065*F32^0.726)/3.7-(0.301*F32^0.751)/(1-H32)*H32)*(MAX('Min rate concentrations'!$Q$3:$Q$368)))/F32&gt;0, (((0.065*F32^0.726)/3.7-(0.301*F32^0.751)/(1-H32)*H32)*(MAX('Min rate concentrations'!$Q$3:$Q$368)))/F32, 0)</f>
        <v>0</v>
      </c>
      <c r="O32" t="s">
        <v>13</v>
      </c>
      <c r="P32" t="s">
        <v>13</v>
      </c>
      <c r="Q32">
        <f>(inputs!$C$7*11.2)*(1.131*F32^0.579)*0.5*1/F32</f>
        <v>19.102962944362865</v>
      </c>
      <c r="R32">
        <f>(60*76.9*((F32/1000)^0.76)*3*24*(MAX('Min rate concentrations'!$R$3:$R$368))/F32)</f>
        <v>6.2371445055326054E-3</v>
      </c>
      <c r="S32">
        <f>(IF(inputs!$C$6="aerial",((0.025*0.112*inputs!$C$7/3.3)*(3*60*76.9*((F32/1000)^0.76))*MAX(inputs!$H$14:$H$16))/F32,((0.0083*0.112*inputs!$C$7/1)*(3*60*76.9*((F32/1000)^0.76))*MAX(inputs!$H$14:$H$16))/F32))</f>
        <v>2.6336148784900482E-2</v>
      </c>
      <c r="T32">
        <f>IF((((inputs!$P$12/(V32/MAX(K32:S32)))^(1/inputs!$O$12))-1)/inputs!$N$12&lt;0, 0, IF((((inputs!$P$12/(V32/MAX(K32:S32)))^(1/inputs!$O$12))-1)/inputs!$N$12&gt;inputs!$H$17, inputs!$H$17, (((inputs!$P$12/(V32/MAX(K32:S32)))^(1/inputs!$O$12))-1)/inputs!$N$12))</f>
        <v>1000</v>
      </c>
      <c r="U32">
        <f>IF((((inputs!$P$12/(X32/MAX(K32:S32)))^(1/inputs!$O$12))-1)/inputs!$N$12&lt;0, 0, IF((((inputs!$P$12/(X32/MAX(K32:S32)))^(1/inputs!$O$12))-1)/inputs!$N$12&gt;inputs!$H$17, inputs!$H$17, (((inputs!$P$12/(X32/MAX(K32:S32)))^(1/inputs!$O$12))-1)/inputs!$N$12))</f>
        <v>1000</v>
      </c>
      <c r="V32">
        <f>inputs!$E$87*(F32/inputs!$F$87)^(1)</f>
        <v>2.6600000000000004E-6</v>
      </c>
      <c r="W32">
        <f>inputs!$E$90*(F32/inputs!$F$90)^(1)</f>
        <v>2.7999999999999999E-6</v>
      </c>
      <c r="X32">
        <f>inputs!$E$89*(F32/inputs!$F$89)^(1)</f>
        <v>1.0455696202531645E-5</v>
      </c>
      <c r="Y32" t="s">
        <v>13</v>
      </c>
      <c r="Z32">
        <f t="shared" si="1"/>
        <v>7181565.016677768</v>
      </c>
      <c r="AA32">
        <f t="shared" si="2"/>
        <v>6822486.7658438804</v>
      </c>
    </row>
    <row r="33" spans="1:27" x14ac:dyDescent="0.3">
      <c r="A33" t="s">
        <v>700</v>
      </c>
      <c r="B33" t="s">
        <v>701</v>
      </c>
      <c r="C33" t="s">
        <v>702</v>
      </c>
      <c r="D33" t="s">
        <v>704</v>
      </c>
      <c r="E33">
        <v>10517</v>
      </c>
      <c r="F33">
        <v>6</v>
      </c>
      <c r="G33" t="s">
        <v>142</v>
      </c>
      <c r="H33">
        <v>0.69</v>
      </c>
      <c r="I33">
        <f>MAX('Min rate concentrations'!$H$3:$H$368)</f>
        <v>47</v>
      </c>
      <c r="J33">
        <f>MAX('Min rate concentrations'!AA:AA)</f>
        <v>32.5</v>
      </c>
      <c r="K33">
        <f t="shared" si="0"/>
        <v>1.31231829261515</v>
      </c>
      <c r="L33">
        <f t="shared" si="5"/>
        <v>0.90745413851047596</v>
      </c>
      <c r="M33">
        <f>IF((((0.065*F33^0.726)/3.7-(0.301*F33^0.751)/(1-H33)*H33)*(MAX('Min rate concentrations'!$P$3:$P$368)))/F33&gt;0, (((0.065*F33^0.726)/3.7-(0.301*F33^0.751)/(1-H33)*H33)*(MAX('Min rate concentrations'!$P$3:$P$368)))/F33, 0)</f>
        <v>0</v>
      </c>
      <c r="N33">
        <f>IF((((0.065*F33^0.726)/3.7-(0.301*F33^0.751)/(1-H33)*H33)*(MAX('Min rate concentrations'!$Q$3:$Q$368)))/F33&gt;0, (((0.065*F33^0.726)/3.7-(0.301*F33^0.751)/(1-H33)*H33)*(MAX('Min rate concentrations'!$Q$3:$Q$368)))/F33, 0)</f>
        <v>0</v>
      </c>
      <c r="O33" t="s">
        <v>13</v>
      </c>
      <c r="P33" t="s">
        <v>13</v>
      </c>
      <c r="Q33">
        <f>(inputs!$C$7*11.2)*(1.131*F33^0.579)*0.5*1/F33</f>
        <v>1.4894260996934188</v>
      </c>
      <c r="R33">
        <f>(60*76.9*((F33/1000)^0.76)*3*24*(MAX('Min rate concentrations'!$R$3:$R$368))/F33)</f>
        <v>1.4564656102159718E-3</v>
      </c>
      <c r="S33">
        <f>(IF(inputs!$C$6="aerial",((0.025*0.112*inputs!$C$7/3.3)*(3*60*76.9*((F33/1000)^0.76))*MAX(inputs!$H$14:$H$16))/F33,((0.0083*0.112*inputs!$C$7/1)*(3*60*76.9*((F33/1000)^0.76))*MAX(inputs!$H$14:$H$16))/F33))</f>
        <v>6.1498807630180514E-3</v>
      </c>
      <c r="T33">
        <f>IF((((inputs!$P$12/(V33/MAX(K33:S33)))^(1/inputs!$O$12))-1)/inputs!$N$12&lt;0, 0, IF((((inputs!$P$12/(V33/MAX(K33:S33)))^(1/inputs!$O$12))-1)/inputs!$N$12&gt;inputs!$H$17, inputs!$H$17, (((inputs!$P$12/(V33/MAX(K33:S33)))^(1/inputs!$O$12))-1)/inputs!$N$12))</f>
        <v>361.55057891002133</v>
      </c>
      <c r="U33">
        <f>IF((((inputs!$P$12/(X33/MAX(K33:S33)))^(1/inputs!$O$12))-1)/inputs!$N$12&lt;0, 0, IF((((inputs!$P$12/(X33/MAX(K33:S33)))^(1/inputs!$O$12))-1)/inputs!$N$12&gt;inputs!$H$17, inputs!$H$17, (((inputs!$P$12/(X33/MAX(K33:S33)))^(1/inputs!$O$12))-1)/inputs!$N$12))</f>
        <v>195.03039450738794</v>
      </c>
      <c r="V33">
        <f>inputs!$E$87*(F33/inputs!$F$87)^(1)</f>
        <v>1.14E-3</v>
      </c>
      <c r="W33">
        <f>inputs!$E$90*(F33/inputs!$F$90)^(1)</f>
        <v>1.1999999999999999E-3</v>
      </c>
      <c r="X33">
        <f>inputs!$E$89*(F33/inputs!$F$89)^(1)</f>
        <v>4.4810126582278476E-3</v>
      </c>
      <c r="Y33" t="s">
        <v>13</v>
      </c>
      <c r="Z33">
        <f t="shared" si="1"/>
        <v>1306.5141225380867</v>
      </c>
      <c r="AA33">
        <f t="shared" si="2"/>
        <v>1241.1884164111825</v>
      </c>
    </row>
    <row r="34" spans="1:27" x14ac:dyDescent="0.3">
      <c r="A34" t="s">
        <v>700</v>
      </c>
      <c r="B34" t="s">
        <v>701</v>
      </c>
      <c r="C34" t="s">
        <v>702</v>
      </c>
      <c r="D34" t="s">
        <v>704</v>
      </c>
      <c r="E34">
        <v>10517</v>
      </c>
      <c r="F34">
        <v>6</v>
      </c>
      <c r="G34" t="s">
        <v>164</v>
      </c>
      <c r="H34">
        <v>0.78</v>
      </c>
      <c r="I34">
        <f>inputs!$C$65*(inputs!$C$62/1000)</f>
        <v>0.82000000000000006</v>
      </c>
      <c r="J34">
        <f>inputs!$C$65*(inputs!$C$61/1000)</f>
        <v>0.25</v>
      </c>
      <c r="K34">
        <f t="shared" si="0"/>
        <v>3.2262215665645182E-2</v>
      </c>
      <c r="L34">
        <f t="shared" si="5"/>
        <v>9.8360413614771904E-3</v>
      </c>
      <c r="M34">
        <f>IF((((0.065*F34^0.726)/3.7-(0.301*F34^0.751)/(1-H34)*H34)*(MAX('Min rate concentrations'!$P$3:$P$368)))/F34&gt;0, (((0.065*F34^0.726)/3.7-(0.301*F34^0.751)/(1-H34)*H34)*(MAX('Min rate concentrations'!$P$3:$P$368)))/F34, 0)</f>
        <v>0</v>
      </c>
      <c r="N34">
        <f>IF((((0.065*F34^0.726)/3.7-(0.301*F34^0.751)/(1-H34)*H34)*(MAX('Min rate concentrations'!$Q$3:$Q$368)))/F34&gt;0, (((0.065*F34^0.726)/3.7-(0.301*F34^0.751)/(1-H34)*H34)*(MAX('Min rate concentrations'!$Q$3:$Q$368)))/F34, 0)</f>
        <v>0</v>
      </c>
      <c r="O34" t="s">
        <v>13</v>
      </c>
      <c r="P34" t="s">
        <v>13</v>
      </c>
      <c r="Q34">
        <f>(inputs!$C$7*11.2)*(1.131*F34^0.579)*0.5*1/F34</f>
        <v>1.4894260996934188</v>
      </c>
      <c r="R34">
        <f>(60*76.9*((F34/1000)^0.76)*3*24*(MAX('Min rate concentrations'!$R$3:$R$368))/F34)</f>
        <v>1.4564656102159718E-3</v>
      </c>
      <c r="S34">
        <f>(IF(inputs!$C$6="aerial",((0.025*0.112*inputs!$C$7/3.3)*(3*60*76.9*((F34/1000)^0.76))*MAX(inputs!$H$14:$H$16))/F34,((0.0083*0.112*inputs!$C$7/1)*(3*60*76.9*((F34/1000)^0.76))*MAX(inputs!$H$14:$H$16))/F34))</f>
        <v>6.1498807630180514E-3</v>
      </c>
      <c r="T34">
        <f>IF((((inputs!$P$12/(V34/MAX(K34:S34)))^(1/inputs!$O$12))-1)/inputs!$N$12&lt;0, 0, IF((((inputs!$P$12/(V34/MAX(K34:S34)))^(1/inputs!$O$12))-1)/inputs!$N$12&gt;inputs!$H$17, inputs!$H$17, (((inputs!$P$12/(V34/MAX(K34:S34)))^(1/inputs!$O$12))-1)/inputs!$N$12))</f>
        <v>361.55057891002133</v>
      </c>
      <c r="U34">
        <f>IF((((inputs!$P$12/(X34/MAX(K34:S34)))^(1/inputs!$O$12))-1)/inputs!$N$12&lt;0, 0, IF((((inputs!$P$12/(X34/MAX(K34:S34)))^(1/inputs!$O$12))-1)/inputs!$N$12&gt;inputs!$H$17, inputs!$H$17, (((inputs!$P$12/(X34/MAX(K34:S34)))^(1/inputs!$O$12))-1)/inputs!$N$12))</f>
        <v>195.03039450738794</v>
      </c>
      <c r="V34">
        <f>inputs!$E$87*(F34/inputs!$F$87)^(1)</f>
        <v>1.14E-3</v>
      </c>
      <c r="W34">
        <f>inputs!$E$90*(F34/inputs!$F$90)^(1)</f>
        <v>1.1999999999999999E-3</v>
      </c>
      <c r="X34">
        <f>inputs!$E$89*(F34/inputs!$F$89)^(1)</f>
        <v>4.4810126582278476E-3</v>
      </c>
      <c r="Y34" t="s">
        <v>13</v>
      </c>
      <c r="Z34">
        <f t="shared" si="1"/>
        <v>1306.5141225380867</v>
      </c>
      <c r="AA34">
        <f t="shared" si="2"/>
        <v>1241.1884164111825</v>
      </c>
    </row>
    <row r="35" spans="1:27" x14ac:dyDescent="0.3">
      <c r="A35" t="s">
        <v>655</v>
      </c>
      <c r="B35" t="s">
        <v>656</v>
      </c>
      <c r="C35" t="s">
        <v>702</v>
      </c>
      <c r="D35" t="s">
        <v>704</v>
      </c>
      <c r="E35">
        <v>202</v>
      </c>
      <c r="F35">
        <v>15</v>
      </c>
      <c r="G35" t="s">
        <v>142</v>
      </c>
      <c r="H35">
        <v>0.69</v>
      </c>
      <c r="I35">
        <f>MAX('Min rate concentrations'!$H$3:$H$368)</f>
        <v>47</v>
      </c>
      <c r="J35">
        <f>MAX('Min rate concentrations'!AA:AA)</f>
        <v>32.5</v>
      </c>
      <c r="K35">
        <f t="shared" si="0"/>
        <v>1.0658762875374075</v>
      </c>
      <c r="L35">
        <f t="shared" si="5"/>
        <v>0.73704211372267536</v>
      </c>
      <c r="M35">
        <f>IF((((0.065*F35^0.726)/3.7-(0.301*F35^0.751)/(1-H35)*H35)*(MAX('Min rate concentrations'!$P$3:$P$368)))/F35&gt;0, (((0.065*F35^0.726)/3.7-(0.301*F35^0.751)/(1-H35)*H35)*(MAX('Min rate concentrations'!$P$3:$P$368)))/F35, 0)</f>
        <v>0</v>
      </c>
      <c r="N35">
        <f>IF((((0.065*F35^0.726)/3.7-(0.301*F35^0.751)/(1-H35)*H35)*(MAX('Min rate concentrations'!$Q$3:$Q$368)))/F35&gt;0, (((0.065*F35^0.726)/3.7-(0.301*F35^0.751)/(1-H35)*H35)*(MAX('Min rate concentrations'!$Q$3:$Q$368)))/F35, 0)</f>
        <v>0</v>
      </c>
      <c r="O35" t="s">
        <v>13</v>
      </c>
      <c r="P35" t="s">
        <v>13</v>
      </c>
      <c r="Q35">
        <f>(inputs!$C$7*11.2)*(1.131*F35^0.579)*0.5*1/F35</f>
        <v>1.0127126064668197</v>
      </c>
      <c r="R35">
        <f>(60*76.9*((F35/1000)^0.76)*3*24*(MAX('Min rate concentrations'!$R$3:$R$368))/F35)</f>
        <v>1.1689464934642817E-3</v>
      </c>
      <c r="S35">
        <f>(IF(inputs!$C$6="aerial",((0.025*0.112*inputs!$C$7/3.3)*(3*60*76.9*((F35/1000)^0.76))*MAX(inputs!$H$14:$H$16))/F35,((0.0083*0.112*inputs!$C$7/1)*(3*60*76.9*((F35/1000)^0.76))*MAX(inputs!$H$14:$H$16))/F35))</f>
        <v>4.9358402304379772E-3</v>
      </c>
      <c r="T35">
        <f>IF((((inputs!$P$12/(V35/MAX(K35:S35)))^(1/inputs!$O$12))-1)/inputs!$N$12&lt;0, 0, IF((((inputs!$P$12/(V35/MAX(K35:S35)))^(1/inputs!$O$12))-1)/inputs!$N$12&gt;inputs!$H$17, inputs!$H$17, (((inputs!$P$12/(V35/MAX(K35:S35)))^(1/inputs!$O$12))-1)/inputs!$N$12))</f>
        <v>206.0137581746074</v>
      </c>
      <c r="U35">
        <f>IF((((inputs!$P$12/(X35/MAX(K35:S35)))^(1/inputs!$O$12))-1)/inputs!$N$12&lt;0, 0, IF((((inputs!$P$12/(X35/MAX(K35:S35)))^(1/inputs!$O$12))-1)/inputs!$N$12&gt;inputs!$H$17, inputs!$H$17, (((inputs!$P$12/(X35/MAX(K35:S35)))^(1/inputs!$O$12))-1)/inputs!$N$12))</f>
        <v>105.89696762090166</v>
      </c>
      <c r="V35">
        <f>inputs!$E$87*(F35/inputs!$F$87)^(1)</f>
        <v>2.8499999999999997E-3</v>
      </c>
      <c r="W35">
        <f>inputs!$E$90*(F35/inputs!$F$90)^(1)</f>
        <v>3.0000000000000001E-3</v>
      </c>
      <c r="X35">
        <f>inputs!$E$89*(F35/inputs!$F$89)^(1)</f>
        <v>1.120253164556962E-2</v>
      </c>
      <c r="Y35" t="s">
        <v>13</v>
      </c>
      <c r="Z35">
        <f t="shared" si="1"/>
        <v>373.99167983768689</v>
      </c>
      <c r="AA35">
        <f t="shared" si="2"/>
        <v>355.29209584580246</v>
      </c>
    </row>
    <row r="36" spans="1:27" x14ac:dyDescent="0.3">
      <c r="A36" t="s">
        <v>659</v>
      </c>
      <c r="B36" t="s">
        <v>660</v>
      </c>
      <c r="C36" t="s">
        <v>702</v>
      </c>
      <c r="D36" t="s">
        <v>704</v>
      </c>
      <c r="E36">
        <v>1707</v>
      </c>
      <c r="F36">
        <v>2.2999999999999998</v>
      </c>
      <c r="G36" t="s">
        <v>142</v>
      </c>
      <c r="H36">
        <v>0.69</v>
      </c>
      <c r="I36">
        <f>MAX('Min rate concentrations'!$H$3:$H$368)</f>
        <v>47</v>
      </c>
      <c r="J36">
        <f>MAX('Min rate concentrations'!AA:AA)</f>
        <v>32.5</v>
      </c>
      <c r="K36">
        <f t="shared" si="0"/>
        <v>1.6314256929607003</v>
      </c>
      <c r="L36">
        <f t="shared" si="5"/>
        <v>1.1281135110898461</v>
      </c>
      <c r="M36">
        <f>IF((((0.065*F36^0.726)/3.7-(0.301*F36^0.751)/(1-H36)*H36)*(MAX('Min rate concentrations'!$P$3:$P$368)))/F36&gt;0, (((0.065*F36^0.726)/3.7-(0.301*F36^0.751)/(1-H36)*H36)*(MAX('Min rate concentrations'!$P$3:$P$368)))/F36, 0)</f>
        <v>0</v>
      </c>
      <c r="N36">
        <f>IF((((0.065*F36^0.726)/3.7-(0.301*F36^0.751)/(1-H36)*H36)*(MAX('Min rate concentrations'!$Q$3:$Q$368)))/F36&gt;0, (((0.065*F36^0.726)/3.7-(0.301*F36^0.751)/(1-H36)*H36)*(MAX('Min rate concentrations'!$Q$3:$Q$368)))/F36, 0)</f>
        <v>0</v>
      </c>
      <c r="O36" t="s">
        <v>13</v>
      </c>
      <c r="P36" t="s">
        <v>13</v>
      </c>
      <c r="Q36">
        <f>(inputs!$C$7*11.2)*(1.131*F36^0.579)*0.5*1/F36</f>
        <v>2.2301455971878101</v>
      </c>
      <c r="R36">
        <f>(60*76.9*((F36/1000)^0.76)*3*24*(MAX('Min rate concentrations'!$R$3:$R$368))/F36)</f>
        <v>1.8333351032886218E-3</v>
      </c>
      <c r="S36">
        <f>(IF(inputs!$C$6="aerial",((0.025*0.112*inputs!$C$7/3.3)*(3*60*76.9*((F36/1000)^0.76))*MAX(inputs!$H$14:$H$16))/F36,((0.0083*0.112*inputs!$C$7/1)*(3*60*76.9*((F36/1000)^0.76))*MAX(inputs!$H$14:$H$16))/F36))</f>
        <v>7.7412004820412656E-3</v>
      </c>
      <c r="T36">
        <f>IF((((inputs!$P$12/(V36/MAX(K36:S36)))^(1/inputs!$O$12))-1)/inputs!$N$12&lt;0, 0, IF((((inputs!$P$12/(V36/MAX(K36:S36)))^(1/inputs!$O$12))-1)/inputs!$N$12&gt;inputs!$H$17, inputs!$H$17, (((inputs!$P$12/(V36/MAX(K36:S36)))^(1/inputs!$O$12))-1)/inputs!$N$12))</f>
        <v>650.38614402962901</v>
      </c>
      <c r="U36">
        <f>IF((((inputs!$P$12/(X36/MAX(K36:S36)))^(1/inputs!$O$12))-1)/inputs!$N$12&lt;0, 0, IF((((inputs!$P$12/(X36/MAX(K36:S36)))^(1/inputs!$O$12))-1)/inputs!$N$12&gt;inputs!$H$17, inputs!$H$17, (((inputs!$P$12/(X36/MAX(K36:S36)))^(1/inputs!$O$12))-1)/inputs!$N$12))</f>
        <v>360.55328229741542</v>
      </c>
      <c r="V36">
        <f>inputs!$E$87*(F36/inputs!$F$87)^(1)</f>
        <v>4.37E-4</v>
      </c>
      <c r="W36">
        <f>inputs!$E$90*(F36/inputs!$F$90)^(1)</f>
        <v>4.6000000000000001E-4</v>
      </c>
      <c r="X36">
        <f>inputs!$E$89*(F36/inputs!$F$89)^(1)</f>
        <v>1.7177215189873418E-3</v>
      </c>
      <c r="Y36" t="s">
        <v>13</v>
      </c>
      <c r="Z36">
        <f t="shared" si="1"/>
        <v>5103.3080027181013</v>
      </c>
      <c r="AA36">
        <f t="shared" si="2"/>
        <v>4848.1426025821957</v>
      </c>
    </row>
    <row r="37" spans="1:27" x14ac:dyDescent="0.3">
      <c r="A37" t="s">
        <v>645</v>
      </c>
      <c r="B37" t="s">
        <v>648</v>
      </c>
      <c r="C37" t="s">
        <v>702</v>
      </c>
      <c r="D37" t="s">
        <v>703</v>
      </c>
      <c r="E37">
        <v>4773</v>
      </c>
      <c r="F37">
        <v>31</v>
      </c>
      <c r="G37" t="s">
        <v>182</v>
      </c>
      <c r="H37">
        <v>0.85</v>
      </c>
      <c r="I37">
        <f>MAX('Min rate concentrations'!$M$3:$M$368)</f>
        <v>2.8488184789681945</v>
      </c>
      <c r="J37">
        <f>MAX('Min rate concentrations'!AE:AE)</f>
        <v>1.9699276716269429</v>
      </c>
      <c r="K37">
        <f t="shared" si="0"/>
        <v>0.11323423920033235</v>
      </c>
      <c r="L37">
        <f t="shared" si="5"/>
        <v>7.8300271787463849E-2</v>
      </c>
      <c r="M37">
        <f>IF((((0.065*F37^0.726)/3.7-(0.301*F37^0.751)/(1-H37)*H37)*(MAX('Min rate concentrations'!$P$3:$P$368)))/F37&gt;0, (((0.065*F37^0.726)/3.7-(0.301*F37^0.751)/(1-H37)*H37)*(MAX('Min rate concentrations'!$P$3:$P$368)))/F37, 0)</f>
        <v>0</v>
      </c>
      <c r="N37">
        <f>IF((((0.065*F37^0.726)/3.7-(0.301*F37^0.751)/(1-H37)*H37)*(MAX('Min rate concentrations'!$Q$3:$Q$368)))/F37&gt;0, (((0.065*F37^0.726)/3.7-(0.301*F37^0.751)/(1-H37)*H37)*(MAX('Min rate concentrations'!$Q$3:$Q$368)))/F37, 0)</f>
        <v>0</v>
      </c>
      <c r="O37" t="s">
        <v>13</v>
      </c>
      <c r="P37" t="s">
        <v>13</v>
      </c>
      <c r="Q37">
        <f>(inputs!$C$7*11.2)*(8.42*F37^0.694)*0.5*1/F37</f>
        <v>8.243534209308697</v>
      </c>
      <c r="R37">
        <f>(60*76.9*((F37/1000)^0.76)*3*24*(MAX('Min rate concentrations'!$R$3:$R$368))/F37)</f>
        <v>9.8204124492080446E-4</v>
      </c>
      <c r="S37">
        <f>(IF(inputs!$C$6="aerial",((0.025*0.112*inputs!$C$7/3.3)*(3*60*76.9*((F37/1000)^0.76))*MAX(inputs!$H$14:$H$16))/F37,((0.0083*0.112*inputs!$C$7/1)*(3*60*76.9*((F37/1000)^0.76))*MAX(inputs!$H$14:$H$16))/F37))</f>
        <v>4.1466386286547457E-3</v>
      </c>
      <c r="T37">
        <f>IF((((inputs!$P$12/(V37/MAX(K37:S37)))^(1/inputs!$O$12))-1)/inputs!$N$12&lt;0, 0, IF((((inputs!$P$12/(V37/MAX(K37:S37)))^(1/inputs!$O$12))-1)/inputs!$N$12&gt;inputs!$H$17, inputs!$H$17, (((inputs!$P$12/(V37/MAX(K37:S37)))^(1/inputs!$O$12))-1)/inputs!$N$12))</f>
        <v>372.62111335458241</v>
      </c>
      <c r="U37">
        <f>IF((((inputs!$P$12/(X37/MAX(K37:S37)))^(1/inputs!$O$12))-1)/inputs!$N$12&lt;0, 0, IF((((inputs!$P$12/(X37/MAX(K37:S37)))^(1/inputs!$O$12))-1)/inputs!$N$12&gt;inputs!$H$17, inputs!$H$17, (((inputs!$P$12/(X37/MAX(K37:S37)))^(1/inputs!$O$12))-1)/inputs!$N$12))</f>
        <v>201.37458148409871</v>
      </c>
      <c r="V37">
        <f>inputs!$E$87*(F37/inputs!$F$87)^(1)</f>
        <v>5.8899999999999994E-3</v>
      </c>
      <c r="W37">
        <f>inputs!$E$90*(F37/inputs!$F$90)^(1)</f>
        <v>6.1999999999999998E-3</v>
      </c>
      <c r="X37">
        <f>inputs!$E$89*(F37/inputs!$F$89)^(1)</f>
        <v>2.3151898734177216E-2</v>
      </c>
      <c r="Y37" t="s">
        <v>13</v>
      </c>
      <c r="Z37">
        <f t="shared" si="1"/>
        <v>1399.5813598147195</v>
      </c>
      <c r="AA37">
        <f t="shared" si="2"/>
        <v>1329.6022918239835</v>
      </c>
    </row>
    <row r="38" spans="1:27" x14ac:dyDescent="0.3">
      <c r="A38" t="s">
        <v>645</v>
      </c>
      <c r="B38" t="s">
        <v>648</v>
      </c>
      <c r="C38" t="s">
        <v>702</v>
      </c>
      <c r="D38" t="s">
        <v>703</v>
      </c>
      <c r="E38">
        <v>4773</v>
      </c>
      <c r="F38">
        <v>31</v>
      </c>
      <c r="G38" t="s">
        <v>142</v>
      </c>
      <c r="H38">
        <v>0.69</v>
      </c>
      <c r="I38">
        <f>MAX('Min rate concentrations'!$H$3:$H$368)</f>
        <v>47</v>
      </c>
      <c r="J38">
        <f>MAX('Min rate concentrations'!AA:AA)</f>
        <v>32.5</v>
      </c>
      <c r="K38">
        <f t="shared" si="0"/>
        <v>0.90394168019854437</v>
      </c>
      <c r="L38">
        <f t="shared" si="5"/>
        <v>0.62506605545644012</v>
      </c>
      <c r="M38">
        <f>IF((((0.065*F38^0.726)/3.7-(0.301*F38^0.751)/(1-H38)*H38)*(MAX('Min rate concentrations'!$P$3:$P$368)))/F38&gt;0, (((0.065*F38^0.726)/3.7-(0.301*F38^0.751)/(1-H38)*H38)*(MAX('Min rate concentrations'!$P$3:$P$368)))/F38, 0)</f>
        <v>0</v>
      </c>
      <c r="N38">
        <f>IF((((0.065*F38^0.726)/3.7-(0.301*F38^0.751)/(1-H38)*H38)*(MAX('Min rate concentrations'!$Q$3:$Q$368)))/F38&gt;0, (((0.065*F38^0.726)/3.7-(0.301*F38^0.751)/(1-H38)*H38)*(MAX('Min rate concentrations'!$Q$3:$Q$368)))/F38, 0)</f>
        <v>0</v>
      </c>
      <c r="O38" t="s">
        <v>13</v>
      </c>
      <c r="P38" t="s">
        <v>13</v>
      </c>
      <c r="Q38">
        <f>(inputs!$C$7*11.2)*(8.42*F38^0.694)*0.5*1/F38</f>
        <v>8.243534209308697</v>
      </c>
      <c r="R38">
        <f>(60*76.9*((F38/1000)^0.76)*3*24*(MAX('Min rate concentrations'!$R$3:$R$368))/F38)</f>
        <v>9.8204124492080446E-4</v>
      </c>
      <c r="S38">
        <f>(IF(inputs!$C$6="aerial",((0.025*0.112*inputs!$C$7/3.3)*(3*60*76.9*((F38/1000)^0.76))*MAX(inputs!$H$14:$H$16))/F38,((0.0083*0.112*inputs!$C$7/1)*(3*60*76.9*((F38/1000)^0.76))*MAX(inputs!$H$14:$H$16))/F38))</f>
        <v>4.1466386286547457E-3</v>
      </c>
      <c r="T38">
        <f>IF((((inputs!$P$12/(V38/MAX(K38:S38)))^(1/inputs!$O$12))-1)/inputs!$N$12&lt;0, 0, IF((((inputs!$P$12/(V38/MAX(K38:S38)))^(1/inputs!$O$12))-1)/inputs!$N$12&gt;inputs!$H$17, inputs!$H$17, (((inputs!$P$12/(V38/MAX(K38:S38)))^(1/inputs!$O$12))-1)/inputs!$N$12))</f>
        <v>372.62111335458241</v>
      </c>
      <c r="U38">
        <f>IF((((inputs!$P$12/(X38/MAX(K38:S38)))^(1/inputs!$O$12))-1)/inputs!$N$12&lt;0, 0, IF((((inputs!$P$12/(X38/MAX(K38:S38)))^(1/inputs!$O$12))-1)/inputs!$N$12&gt;inputs!$H$17, inputs!$H$17, (((inputs!$P$12/(X38/MAX(K38:S38)))^(1/inputs!$O$12))-1)/inputs!$N$12))</f>
        <v>201.37458148409871</v>
      </c>
      <c r="V38">
        <f>inputs!$E$87*(F38/inputs!$F$87)^(1)</f>
        <v>5.8899999999999994E-3</v>
      </c>
      <c r="W38">
        <f>inputs!$E$90*(F38/inputs!$F$90)^(1)</f>
        <v>6.1999999999999998E-3</v>
      </c>
      <c r="X38">
        <f>inputs!$E$89*(F38/inputs!$F$89)^(1)</f>
        <v>2.3151898734177216E-2</v>
      </c>
      <c r="Y38" t="s">
        <v>13</v>
      </c>
      <c r="Z38">
        <f t="shared" si="1"/>
        <v>1399.5813598147195</v>
      </c>
      <c r="AA38">
        <f t="shared" si="2"/>
        <v>1329.6022918239835</v>
      </c>
    </row>
    <row r="39" spans="1:27" x14ac:dyDescent="0.3">
      <c r="A39" t="s">
        <v>645</v>
      </c>
      <c r="B39" t="s">
        <v>648</v>
      </c>
      <c r="C39" t="s">
        <v>702</v>
      </c>
      <c r="D39" t="s">
        <v>703</v>
      </c>
      <c r="E39">
        <v>4773</v>
      </c>
      <c r="F39">
        <v>31</v>
      </c>
      <c r="G39" t="s">
        <v>146</v>
      </c>
      <c r="H39">
        <v>0.84</v>
      </c>
      <c r="I39">
        <f>MAX('Min rate concentrations'!$I$3:$I$368)</f>
        <v>9.4775690500787988</v>
      </c>
      <c r="J39" t="s">
        <v>13</v>
      </c>
      <c r="K39">
        <f t="shared" si="0"/>
        <v>0.35316789950944744</v>
      </c>
      <c r="L39" t="s">
        <v>13</v>
      </c>
      <c r="M39">
        <f>IF((((0.065*F39^0.726)/3.7-(0.301*F39^0.751)/(1-H39)*H39)*(MAX('Min rate concentrations'!$P$3:$P$368)))/F39&gt;0, (((0.065*F39^0.726)/3.7-(0.301*F39^0.751)/(1-H39)*H39)*(MAX('Min rate concentrations'!$P$3:$P$368)))/F39, 0)</f>
        <v>0</v>
      </c>
      <c r="N39">
        <f>IF((((0.065*F39^0.726)/3.7-(0.301*F39^0.751)/(1-H39)*H39)*(MAX('Min rate concentrations'!$Q$3:$Q$368)))/F39&gt;0, (((0.065*F39^0.726)/3.7-(0.301*F39^0.751)/(1-H39)*H39)*(MAX('Min rate concentrations'!$Q$3:$Q$368)))/F39, 0)</f>
        <v>0</v>
      </c>
      <c r="O39" t="s">
        <v>13</v>
      </c>
      <c r="P39" t="s">
        <v>13</v>
      </c>
      <c r="Q39">
        <f>(inputs!$C$7*11.2)*(8.42*F39^0.694)*0.5*1/F39</f>
        <v>8.243534209308697</v>
      </c>
      <c r="R39">
        <f>(60*76.9*((F39/1000)^0.76)*3*24*(MAX('Min rate concentrations'!$R$3:$R$368))/F39)</f>
        <v>9.8204124492080446E-4</v>
      </c>
      <c r="S39">
        <f>(IF(inputs!$C$6="aerial",((0.025*0.112*inputs!$C$7/3.3)*(3*60*76.9*((F39/1000)^0.76))*MAX(inputs!$H$14:$H$16))/F39,((0.0083*0.112*inputs!$C$7/1)*(3*60*76.9*((F39/1000)^0.76))*MAX(inputs!$H$14:$H$16))/F39))</f>
        <v>4.1466386286547457E-3</v>
      </c>
      <c r="T39">
        <f>IF((((inputs!$P$12/(V39/MAX(K39:S39)))^(1/inputs!$O$12))-1)/inputs!$N$12&lt;0, 0, IF((((inputs!$P$12/(V39/MAX(K39:S39)))^(1/inputs!$O$12))-1)/inputs!$N$12&gt;inputs!$H$17, inputs!$H$17, (((inputs!$P$12/(V39/MAX(K39:S39)))^(1/inputs!$O$12))-1)/inputs!$N$12))</f>
        <v>372.62111335458241</v>
      </c>
      <c r="U39">
        <f>IF((((inputs!$P$12/(X39/MAX(K39:S39)))^(1/inputs!$O$12))-1)/inputs!$N$12&lt;0, 0, IF((((inputs!$P$12/(X39/MAX(K39:S39)))^(1/inputs!$O$12))-1)/inputs!$N$12&gt;inputs!$H$17, inputs!$H$17, (((inputs!$P$12/(X39/MAX(K39:S39)))^(1/inputs!$O$12))-1)/inputs!$N$12))</f>
        <v>201.37458148409871</v>
      </c>
      <c r="V39">
        <f>inputs!$E$87*(F39/inputs!$F$87)^(1)</f>
        <v>5.8899999999999994E-3</v>
      </c>
      <c r="W39">
        <f>inputs!$E$90*(F39/inputs!$F$90)^(1)</f>
        <v>6.1999999999999998E-3</v>
      </c>
      <c r="X39">
        <f>inputs!$E$89*(F39/inputs!$F$89)^(1)</f>
        <v>2.3151898734177216E-2</v>
      </c>
      <c r="Y39" t="s">
        <v>13</v>
      </c>
      <c r="Z39">
        <f t="shared" si="1"/>
        <v>1399.5813598147195</v>
      </c>
      <c r="AA39">
        <f t="shared" si="2"/>
        <v>1329.6022918239835</v>
      </c>
    </row>
    <row r="40" spans="1:27" x14ac:dyDescent="0.3">
      <c r="A40" t="s">
        <v>645</v>
      </c>
      <c r="B40" t="s">
        <v>646</v>
      </c>
      <c r="C40" t="s">
        <v>702</v>
      </c>
      <c r="D40" t="s">
        <v>703</v>
      </c>
      <c r="E40">
        <v>8395</v>
      </c>
      <c r="F40">
        <v>31</v>
      </c>
      <c r="G40" t="s">
        <v>182</v>
      </c>
      <c r="H40">
        <v>0.85</v>
      </c>
      <c r="I40">
        <f>MAX('Min rate concentrations'!$M$3:$M$368)</f>
        <v>2.8488184789681945</v>
      </c>
      <c r="J40">
        <f>MAX('Min rate concentrations'!AE:AE)</f>
        <v>1.9699276716269429</v>
      </c>
      <c r="K40">
        <f t="shared" si="0"/>
        <v>0.11323423920033235</v>
      </c>
      <c r="L40">
        <f>(((0.013*F40^0.773)/(1-H40)))*J40/F40</f>
        <v>7.8300271787463849E-2</v>
      </c>
      <c r="M40">
        <f>IF((((0.065*F40^0.726)/3.7-(0.301*F40^0.751)/(1-H40)*H40)*(MAX('Min rate concentrations'!$P$3:$P$368)))/F40&gt;0, (((0.065*F40^0.726)/3.7-(0.301*F40^0.751)/(1-H40)*H40)*(MAX('Min rate concentrations'!$P$3:$P$368)))/F40, 0)</f>
        <v>0</v>
      </c>
      <c r="N40">
        <f>IF((((0.065*F40^0.726)/3.7-(0.301*F40^0.751)/(1-H40)*H40)*(MAX('Min rate concentrations'!$Q$3:$Q$368)))/F40&gt;0, (((0.065*F40^0.726)/3.7-(0.301*F40^0.751)/(1-H40)*H40)*(MAX('Min rate concentrations'!$Q$3:$Q$368)))/F40, 0)</f>
        <v>0</v>
      </c>
      <c r="O40" t="s">
        <v>13</v>
      </c>
      <c r="P40" t="s">
        <v>13</v>
      </c>
      <c r="Q40">
        <f>(inputs!$C$7*11.2)*(8.42*F40^0.694)*0.5*1/F40</f>
        <v>8.243534209308697</v>
      </c>
      <c r="R40">
        <f>(60*76.9*((F40/1000)^0.76)*3*24*(MAX('Min rate concentrations'!$R$3:$R$368))/F40)</f>
        <v>9.8204124492080446E-4</v>
      </c>
      <c r="S40">
        <f>(IF(inputs!$C$6="aerial",((0.025*0.112*inputs!$C$7/3.3)*(3*60*76.9*((F40/1000)^0.76))*MAX(inputs!$H$14:$H$16))/F40,((0.0083*0.112*inputs!$C$7/1)*(3*60*76.9*((F40/1000)^0.76))*MAX(inputs!$H$14:$H$16))/F40))</f>
        <v>4.1466386286547457E-3</v>
      </c>
      <c r="T40">
        <f>IF((((inputs!$P$12/(V40/MAX(K40:S40)))^(1/inputs!$O$12))-1)/inputs!$N$12&lt;0, 0, IF((((inputs!$P$12/(V40/MAX(K40:S40)))^(1/inputs!$O$12))-1)/inputs!$N$12&gt;inputs!$H$17, inputs!$H$17, (((inputs!$P$12/(V40/MAX(K40:S40)))^(1/inputs!$O$12))-1)/inputs!$N$12))</f>
        <v>372.62111335458241</v>
      </c>
      <c r="U40">
        <f>IF((((inputs!$P$12/(X40/MAX(K40:S40)))^(1/inputs!$O$12))-1)/inputs!$N$12&lt;0, 0, IF((((inputs!$P$12/(X40/MAX(K40:S40)))^(1/inputs!$O$12))-1)/inputs!$N$12&gt;inputs!$H$17, inputs!$H$17, (((inputs!$P$12/(X40/MAX(K40:S40)))^(1/inputs!$O$12))-1)/inputs!$N$12))</f>
        <v>201.37458148409871</v>
      </c>
      <c r="V40">
        <f>inputs!$E$87*(F40/inputs!$F$87)^(1)</f>
        <v>5.8899999999999994E-3</v>
      </c>
      <c r="W40">
        <f>inputs!$E$90*(F40/inputs!$F$90)^(1)</f>
        <v>6.1999999999999998E-3</v>
      </c>
      <c r="X40">
        <f>inputs!$E$89*(F40/inputs!$F$89)^(1)</f>
        <v>2.3151898734177216E-2</v>
      </c>
      <c r="Y40" t="s">
        <v>13</v>
      </c>
      <c r="Z40">
        <f t="shared" si="1"/>
        <v>1399.5813598147195</v>
      </c>
      <c r="AA40">
        <f t="shared" si="2"/>
        <v>1329.6022918239835</v>
      </c>
    </row>
    <row r="41" spans="1:27" x14ac:dyDescent="0.3">
      <c r="A41" t="s">
        <v>645</v>
      </c>
      <c r="B41" t="s">
        <v>646</v>
      </c>
      <c r="C41" t="s">
        <v>702</v>
      </c>
      <c r="D41" t="s">
        <v>703</v>
      </c>
      <c r="E41">
        <v>8395</v>
      </c>
      <c r="F41">
        <v>31</v>
      </c>
      <c r="G41" t="s">
        <v>142</v>
      </c>
      <c r="H41">
        <v>0.69</v>
      </c>
      <c r="I41">
        <f>MAX('Min rate concentrations'!$H$3:$H$368)</f>
        <v>47</v>
      </c>
      <c r="J41">
        <f>MAX('Min rate concentrations'!AA:AA)</f>
        <v>32.5</v>
      </c>
      <c r="K41">
        <f t="shared" si="0"/>
        <v>0.90394168019854437</v>
      </c>
      <c r="L41">
        <f>(((0.013*F41^0.773)/(1-H41)))*J41/F41</f>
        <v>0.62506605545644012</v>
      </c>
      <c r="M41">
        <f>IF((((0.065*F41^0.726)/3.7-(0.301*F41^0.751)/(1-H41)*H41)*(MAX('Min rate concentrations'!$P$3:$P$368)))/F41&gt;0, (((0.065*F41^0.726)/3.7-(0.301*F41^0.751)/(1-H41)*H41)*(MAX('Min rate concentrations'!$P$3:$P$368)))/F41, 0)</f>
        <v>0</v>
      </c>
      <c r="N41">
        <f>IF((((0.065*F41^0.726)/3.7-(0.301*F41^0.751)/(1-H41)*H41)*(MAX('Min rate concentrations'!$Q$3:$Q$368)))/F41&gt;0, (((0.065*F41^0.726)/3.7-(0.301*F41^0.751)/(1-H41)*H41)*(MAX('Min rate concentrations'!$Q$3:$Q$368)))/F41, 0)</f>
        <v>0</v>
      </c>
      <c r="O41" t="s">
        <v>13</v>
      </c>
      <c r="P41" t="s">
        <v>13</v>
      </c>
      <c r="Q41">
        <f>(inputs!$C$7*11.2)*(8.42*F41^0.694)*0.5*1/F41</f>
        <v>8.243534209308697</v>
      </c>
      <c r="R41">
        <f>(60*76.9*((F41/1000)^0.76)*3*24*(MAX('Min rate concentrations'!$R$3:$R$368))/F41)</f>
        <v>9.8204124492080446E-4</v>
      </c>
      <c r="S41">
        <f>(IF(inputs!$C$6="aerial",((0.025*0.112*inputs!$C$7/3.3)*(3*60*76.9*((F41/1000)^0.76))*MAX(inputs!$H$14:$H$16))/F41,((0.0083*0.112*inputs!$C$7/1)*(3*60*76.9*((F41/1000)^0.76))*MAX(inputs!$H$14:$H$16))/F41))</f>
        <v>4.1466386286547457E-3</v>
      </c>
      <c r="T41">
        <f>IF((((inputs!$P$12/(V41/MAX(K41:S41)))^(1/inputs!$O$12))-1)/inputs!$N$12&lt;0, 0, IF((((inputs!$P$12/(V41/MAX(K41:S41)))^(1/inputs!$O$12))-1)/inputs!$N$12&gt;inputs!$H$17, inputs!$H$17, (((inputs!$P$12/(V41/MAX(K41:S41)))^(1/inputs!$O$12))-1)/inputs!$N$12))</f>
        <v>372.62111335458241</v>
      </c>
      <c r="U41">
        <f>IF((((inputs!$P$12/(X41/MAX(K41:S41)))^(1/inputs!$O$12))-1)/inputs!$N$12&lt;0, 0, IF((((inputs!$P$12/(X41/MAX(K41:S41)))^(1/inputs!$O$12))-1)/inputs!$N$12&gt;inputs!$H$17, inputs!$H$17, (((inputs!$P$12/(X41/MAX(K41:S41)))^(1/inputs!$O$12))-1)/inputs!$N$12))</f>
        <v>201.37458148409871</v>
      </c>
      <c r="V41">
        <f>inputs!$E$87*(F41/inputs!$F$87)^(1)</f>
        <v>5.8899999999999994E-3</v>
      </c>
      <c r="W41">
        <f>inputs!$E$90*(F41/inputs!$F$90)^(1)</f>
        <v>6.1999999999999998E-3</v>
      </c>
      <c r="X41">
        <f>inputs!$E$89*(F41/inputs!$F$89)^(1)</f>
        <v>2.3151898734177216E-2</v>
      </c>
      <c r="Y41" t="s">
        <v>13</v>
      </c>
      <c r="Z41">
        <f t="shared" si="1"/>
        <v>1399.5813598147195</v>
      </c>
      <c r="AA41">
        <f t="shared" si="2"/>
        <v>1329.6022918239835</v>
      </c>
    </row>
    <row r="42" spans="1:27" x14ac:dyDescent="0.3">
      <c r="A42" t="s">
        <v>645</v>
      </c>
      <c r="B42" t="s">
        <v>646</v>
      </c>
      <c r="C42" t="s">
        <v>702</v>
      </c>
      <c r="D42" t="s">
        <v>703</v>
      </c>
      <c r="E42">
        <v>8395</v>
      </c>
      <c r="F42">
        <v>31</v>
      </c>
      <c r="G42" t="s">
        <v>146</v>
      </c>
      <c r="H42">
        <v>0.84</v>
      </c>
      <c r="I42">
        <f>MAX('Min rate concentrations'!$I$3:$I$368)</f>
        <v>9.4775690500787988</v>
      </c>
      <c r="J42" t="s">
        <v>13</v>
      </c>
      <c r="K42">
        <f t="shared" si="0"/>
        <v>0.35316789950944744</v>
      </c>
      <c r="L42" t="s">
        <v>13</v>
      </c>
      <c r="M42">
        <f>IF((((0.065*F42^0.726)/3.7-(0.301*F42^0.751)/(1-H42)*H42)*(MAX('Min rate concentrations'!$P$3:$P$368)))/F42&gt;0, (((0.065*F42^0.726)/3.7-(0.301*F42^0.751)/(1-H42)*H42)*(MAX('Min rate concentrations'!$P$3:$P$368)))/F42, 0)</f>
        <v>0</v>
      </c>
      <c r="N42">
        <f>IF((((0.065*F42^0.726)/3.7-(0.301*F42^0.751)/(1-H42)*H42)*(MAX('Min rate concentrations'!$Q$3:$Q$368)))/F42&gt;0, (((0.065*F42^0.726)/3.7-(0.301*F42^0.751)/(1-H42)*H42)*(MAX('Min rate concentrations'!$Q$3:$Q$368)))/F42, 0)</f>
        <v>0</v>
      </c>
      <c r="O42" t="s">
        <v>13</v>
      </c>
      <c r="P42" t="s">
        <v>13</v>
      </c>
      <c r="Q42">
        <f>(inputs!$C$7*11.2)*(8.42*F42^0.694)*0.5*1/F42</f>
        <v>8.243534209308697</v>
      </c>
      <c r="R42">
        <f>(60*76.9*((F42/1000)^0.76)*3*24*(MAX('Min rate concentrations'!$R$3:$R$368))/F42)</f>
        <v>9.8204124492080446E-4</v>
      </c>
      <c r="S42">
        <f>(IF(inputs!$C$6="aerial",((0.025*0.112*inputs!$C$7/3.3)*(3*60*76.9*((F42/1000)^0.76))*MAX(inputs!$H$14:$H$16))/F42,((0.0083*0.112*inputs!$C$7/1)*(3*60*76.9*((F42/1000)^0.76))*MAX(inputs!$H$14:$H$16))/F42))</f>
        <v>4.1466386286547457E-3</v>
      </c>
      <c r="T42">
        <f>IF((((inputs!$P$12/(V42/MAX(K42:S42)))^(1/inputs!$O$12))-1)/inputs!$N$12&lt;0, 0, IF((((inputs!$P$12/(V42/MAX(K42:S42)))^(1/inputs!$O$12))-1)/inputs!$N$12&gt;inputs!$H$17, inputs!$H$17, (((inputs!$P$12/(V42/MAX(K42:S42)))^(1/inputs!$O$12))-1)/inputs!$N$12))</f>
        <v>372.62111335458241</v>
      </c>
      <c r="U42">
        <f>IF((((inputs!$P$12/(X42/MAX(K42:S42)))^(1/inputs!$O$12))-1)/inputs!$N$12&lt;0, 0, IF((((inputs!$P$12/(X42/MAX(K42:S42)))^(1/inputs!$O$12))-1)/inputs!$N$12&gt;inputs!$H$17, inputs!$H$17, (((inputs!$P$12/(X42/MAX(K42:S42)))^(1/inputs!$O$12))-1)/inputs!$N$12))</f>
        <v>201.37458148409871</v>
      </c>
      <c r="V42">
        <f>inputs!$E$87*(F42/inputs!$F$87)^(1)</f>
        <v>5.8899999999999994E-3</v>
      </c>
      <c r="W42">
        <f>inputs!$E$90*(F42/inputs!$F$90)^(1)</f>
        <v>6.1999999999999998E-3</v>
      </c>
      <c r="X42">
        <f>inputs!$E$89*(F42/inputs!$F$89)^(1)</f>
        <v>2.3151898734177216E-2</v>
      </c>
      <c r="Y42" t="s">
        <v>13</v>
      </c>
      <c r="Z42">
        <f t="shared" si="1"/>
        <v>1399.5813598147195</v>
      </c>
      <c r="AA42">
        <f t="shared" si="2"/>
        <v>1329.6022918239835</v>
      </c>
    </row>
    <row r="43" spans="1:27" x14ac:dyDescent="0.3">
      <c r="A43" t="s">
        <v>645</v>
      </c>
      <c r="B43" t="s">
        <v>647</v>
      </c>
      <c r="C43" t="s">
        <v>702</v>
      </c>
      <c r="D43" t="s">
        <v>703</v>
      </c>
      <c r="E43">
        <v>203</v>
      </c>
      <c r="F43">
        <v>31</v>
      </c>
      <c r="G43" t="s">
        <v>182</v>
      </c>
      <c r="H43">
        <v>0.85</v>
      </c>
      <c r="I43">
        <f>MAX('Min rate concentrations'!$M$3:$M$368)</f>
        <v>2.8488184789681945</v>
      </c>
      <c r="J43">
        <f>MAX('Min rate concentrations'!AE:AE)</f>
        <v>1.9699276716269429</v>
      </c>
      <c r="K43">
        <f t="shared" si="0"/>
        <v>0.11323423920033235</v>
      </c>
      <c r="L43">
        <f>(((0.013*F43^0.773)/(1-H43)))*J43/F43</f>
        <v>7.8300271787463849E-2</v>
      </c>
      <c r="M43">
        <f>IF((((0.065*F43^0.726)/3.7-(0.301*F43^0.751)/(1-H43)*H43)*(MAX('Min rate concentrations'!$P$3:$P$368)))/F43&gt;0, (((0.065*F43^0.726)/3.7-(0.301*F43^0.751)/(1-H43)*H43)*(MAX('Min rate concentrations'!$P$3:$P$368)))/F43, 0)</f>
        <v>0</v>
      </c>
      <c r="N43">
        <f>IF((((0.065*F43^0.726)/3.7-(0.301*F43^0.751)/(1-H43)*H43)*(MAX('Min rate concentrations'!$Q$3:$Q$368)))/F43&gt;0, (((0.065*F43^0.726)/3.7-(0.301*F43^0.751)/(1-H43)*H43)*(MAX('Min rate concentrations'!$Q$3:$Q$368)))/F43, 0)</f>
        <v>0</v>
      </c>
      <c r="O43" t="s">
        <v>13</v>
      </c>
      <c r="P43" t="s">
        <v>13</v>
      </c>
      <c r="Q43">
        <f>(inputs!$C$7*11.2)*(8.42*F43^0.694)*0.5*1/F43</f>
        <v>8.243534209308697</v>
      </c>
      <c r="R43">
        <f>(60*76.9*((F43/1000)^0.76)*3*24*(MAX('Min rate concentrations'!$R$3:$R$368))/F43)</f>
        <v>9.8204124492080446E-4</v>
      </c>
      <c r="S43">
        <f>(IF(inputs!$C$6="aerial",((0.025*0.112*inputs!$C$7/3.3)*(3*60*76.9*((F43/1000)^0.76))*MAX(inputs!$H$14:$H$16))/F43,((0.0083*0.112*inputs!$C$7/1)*(3*60*76.9*((F43/1000)^0.76))*MAX(inputs!$H$14:$H$16))/F43))</f>
        <v>4.1466386286547457E-3</v>
      </c>
      <c r="T43">
        <f>IF((((inputs!$P$12/(V43/MAX(K43:S43)))^(1/inputs!$O$12))-1)/inputs!$N$12&lt;0, 0, IF((((inputs!$P$12/(V43/MAX(K43:S43)))^(1/inputs!$O$12))-1)/inputs!$N$12&gt;inputs!$H$17, inputs!$H$17, (((inputs!$P$12/(V43/MAX(K43:S43)))^(1/inputs!$O$12))-1)/inputs!$N$12))</f>
        <v>372.62111335458241</v>
      </c>
      <c r="U43">
        <f>IF((((inputs!$P$12/(X43/MAX(K43:S43)))^(1/inputs!$O$12))-1)/inputs!$N$12&lt;0, 0, IF((((inputs!$P$12/(X43/MAX(K43:S43)))^(1/inputs!$O$12))-1)/inputs!$N$12&gt;inputs!$H$17, inputs!$H$17, (((inputs!$P$12/(X43/MAX(K43:S43)))^(1/inputs!$O$12))-1)/inputs!$N$12))</f>
        <v>201.37458148409871</v>
      </c>
      <c r="V43">
        <f>inputs!$E$87*(F43/inputs!$F$87)^(1)</f>
        <v>5.8899999999999994E-3</v>
      </c>
      <c r="W43">
        <f>inputs!$E$90*(F43/inputs!$F$90)^(1)</f>
        <v>6.1999999999999998E-3</v>
      </c>
      <c r="X43">
        <f>inputs!$E$89*(F43/inputs!$F$89)^(1)</f>
        <v>2.3151898734177216E-2</v>
      </c>
      <c r="Y43" t="s">
        <v>13</v>
      </c>
      <c r="Z43">
        <f t="shared" si="1"/>
        <v>1399.5813598147195</v>
      </c>
      <c r="AA43">
        <f t="shared" si="2"/>
        <v>1329.6022918239835</v>
      </c>
    </row>
    <row r="44" spans="1:27" x14ac:dyDescent="0.3">
      <c r="A44" t="s">
        <v>645</v>
      </c>
      <c r="B44" t="s">
        <v>647</v>
      </c>
      <c r="C44" t="s">
        <v>702</v>
      </c>
      <c r="D44" t="s">
        <v>703</v>
      </c>
      <c r="E44">
        <v>203</v>
      </c>
      <c r="F44">
        <v>31</v>
      </c>
      <c r="G44" t="s">
        <v>142</v>
      </c>
      <c r="H44">
        <v>0.69</v>
      </c>
      <c r="I44">
        <f>MAX('Min rate concentrations'!$H$3:$H$368)</f>
        <v>47</v>
      </c>
      <c r="J44">
        <f>MAX('Min rate concentrations'!AA:AA)</f>
        <v>32.5</v>
      </c>
      <c r="K44">
        <f t="shared" si="0"/>
        <v>0.90394168019854437</v>
      </c>
      <c r="L44">
        <f>(((0.013*F44^0.773)/(1-H44)))*J44/F44</f>
        <v>0.62506605545644012</v>
      </c>
      <c r="M44">
        <f>IF((((0.065*F44^0.726)/3.7-(0.301*F44^0.751)/(1-H44)*H44)*(MAX('Min rate concentrations'!$P$3:$P$368)))/F44&gt;0, (((0.065*F44^0.726)/3.7-(0.301*F44^0.751)/(1-H44)*H44)*(MAX('Min rate concentrations'!$P$3:$P$368)))/F44, 0)</f>
        <v>0</v>
      </c>
      <c r="N44">
        <f>IF((((0.065*F44^0.726)/3.7-(0.301*F44^0.751)/(1-H44)*H44)*(MAX('Min rate concentrations'!$Q$3:$Q$368)))/F44&gt;0, (((0.065*F44^0.726)/3.7-(0.301*F44^0.751)/(1-H44)*H44)*(MAX('Min rate concentrations'!$Q$3:$Q$368)))/F44, 0)</f>
        <v>0</v>
      </c>
      <c r="O44" t="s">
        <v>13</v>
      </c>
      <c r="P44" t="s">
        <v>13</v>
      </c>
      <c r="Q44">
        <f>(inputs!$C$7*11.2)*(8.42*F44^0.694)*0.5*1/F44</f>
        <v>8.243534209308697</v>
      </c>
      <c r="R44">
        <f>(60*76.9*((F44/1000)^0.76)*3*24*(MAX('Min rate concentrations'!$R$3:$R$368))/F44)</f>
        <v>9.8204124492080446E-4</v>
      </c>
      <c r="S44">
        <f>(IF(inputs!$C$6="aerial",((0.025*0.112*inputs!$C$7/3.3)*(3*60*76.9*((F44/1000)^0.76))*MAX(inputs!$H$14:$H$16))/F44,((0.0083*0.112*inputs!$C$7/1)*(3*60*76.9*((F44/1000)^0.76))*MAX(inputs!$H$14:$H$16))/F44))</f>
        <v>4.1466386286547457E-3</v>
      </c>
      <c r="T44">
        <f>IF((((inputs!$P$12/(V44/MAX(K44:S44)))^(1/inputs!$O$12))-1)/inputs!$N$12&lt;0, 0, IF((((inputs!$P$12/(V44/MAX(K44:S44)))^(1/inputs!$O$12))-1)/inputs!$N$12&gt;inputs!$H$17, inputs!$H$17, (((inputs!$P$12/(V44/MAX(K44:S44)))^(1/inputs!$O$12))-1)/inputs!$N$12))</f>
        <v>372.62111335458241</v>
      </c>
      <c r="U44">
        <f>IF((((inputs!$P$12/(X44/MAX(K44:S44)))^(1/inputs!$O$12))-1)/inputs!$N$12&lt;0, 0, IF((((inputs!$P$12/(X44/MAX(K44:S44)))^(1/inputs!$O$12))-1)/inputs!$N$12&gt;inputs!$H$17, inputs!$H$17, (((inputs!$P$12/(X44/MAX(K44:S44)))^(1/inputs!$O$12))-1)/inputs!$N$12))</f>
        <v>201.37458148409871</v>
      </c>
      <c r="V44">
        <f>inputs!$E$87*(F44/inputs!$F$87)^(1)</f>
        <v>5.8899999999999994E-3</v>
      </c>
      <c r="W44">
        <f>inputs!$E$90*(F44/inputs!$F$90)^(1)</f>
        <v>6.1999999999999998E-3</v>
      </c>
      <c r="X44">
        <f>inputs!$E$89*(F44/inputs!$F$89)^(1)</f>
        <v>2.3151898734177216E-2</v>
      </c>
      <c r="Y44" t="s">
        <v>13</v>
      </c>
      <c r="Z44">
        <f t="shared" si="1"/>
        <v>1399.5813598147195</v>
      </c>
      <c r="AA44">
        <f t="shared" si="2"/>
        <v>1329.6022918239835</v>
      </c>
    </row>
    <row r="45" spans="1:27" x14ac:dyDescent="0.3">
      <c r="A45" t="s">
        <v>645</v>
      </c>
      <c r="B45" t="s">
        <v>647</v>
      </c>
      <c r="C45" t="s">
        <v>702</v>
      </c>
      <c r="D45" t="s">
        <v>703</v>
      </c>
      <c r="E45">
        <v>203</v>
      </c>
      <c r="F45">
        <v>31</v>
      </c>
      <c r="G45" t="s">
        <v>146</v>
      </c>
      <c r="H45">
        <v>0.84</v>
      </c>
      <c r="I45">
        <f>MAX('Min rate concentrations'!$I$3:$I$368)</f>
        <v>9.4775690500787988</v>
      </c>
      <c r="J45" t="s">
        <v>13</v>
      </c>
      <c r="K45">
        <f t="shared" si="0"/>
        <v>0.35316789950944744</v>
      </c>
      <c r="L45" t="s">
        <v>13</v>
      </c>
      <c r="M45">
        <f>IF((((0.065*F45^0.726)/3.7-(0.301*F45^0.751)/(1-H45)*H45)*(MAX('Min rate concentrations'!$P$3:$P$368)))/F45&gt;0, (((0.065*F45^0.726)/3.7-(0.301*F45^0.751)/(1-H45)*H45)*(MAX('Min rate concentrations'!$P$3:$P$368)))/F45, 0)</f>
        <v>0</v>
      </c>
      <c r="N45">
        <f>IF((((0.065*F45^0.726)/3.7-(0.301*F45^0.751)/(1-H45)*H45)*(MAX('Min rate concentrations'!$Q$3:$Q$368)))/F45&gt;0, (((0.065*F45^0.726)/3.7-(0.301*F45^0.751)/(1-H45)*H45)*(MAX('Min rate concentrations'!$Q$3:$Q$368)))/F45, 0)</f>
        <v>0</v>
      </c>
      <c r="O45" t="s">
        <v>13</v>
      </c>
      <c r="P45" t="s">
        <v>13</v>
      </c>
      <c r="Q45">
        <f>(inputs!$C$7*11.2)*(8.42*F45^0.694)*0.5*1/F45</f>
        <v>8.243534209308697</v>
      </c>
      <c r="R45">
        <f>(60*76.9*((F45/1000)^0.76)*3*24*(MAX('Min rate concentrations'!$R$3:$R$368))/F45)</f>
        <v>9.8204124492080446E-4</v>
      </c>
      <c r="S45">
        <f>(IF(inputs!$C$6="aerial",((0.025*0.112*inputs!$C$7/3.3)*(3*60*76.9*((F45/1000)^0.76))*MAX(inputs!$H$14:$H$16))/F45,((0.0083*0.112*inputs!$C$7/1)*(3*60*76.9*((F45/1000)^0.76))*MAX(inputs!$H$14:$H$16))/F45))</f>
        <v>4.1466386286547457E-3</v>
      </c>
      <c r="T45">
        <f>IF((((inputs!$P$12/(V45/MAX(K45:S45)))^(1/inputs!$O$12))-1)/inputs!$N$12&lt;0, 0, IF((((inputs!$P$12/(V45/MAX(K45:S45)))^(1/inputs!$O$12))-1)/inputs!$N$12&gt;inputs!$H$17, inputs!$H$17, (((inputs!$P$12/(V45/MAX(K45:S45)))^(1/inputs!$O$12))-1)/inputs!$N$12))</f>
        <v>372.62111335458241</v>
      </c>
      <c r="U45">
        <f>IF((((inputs!$P$12/(X45/MAX(K45:S45)))^(1/inputs!$O$12))-1)/inputs!$N$12&lt;0, 0, IF((((inputs!$P$12/(X45/MAX(K45:S45)))^(1/inputs!$O$12))-1)/inputs!$N$12&gt;inputs!$H$17, inputs!$H$17, (((inputs!$P$12/(X45/MAX(K45:S45)))^(1/inputs!$O$12))-1)/inputs!$N$12))</f>
        <v>201.37458148409871</v>
      </c>
      <c r="V45">
        <f>inputs!$E$87*(F45/inputs!$F$87)^(1)</f>
        <v>5.8899999999999994E-3</v>
      </c>
      <c r="W45">
        <f>inputs!$E$90*(F45/inputs!$F$90)^(1)</f>
        <v>6.1999999999999998E-3</v>
      </c>
      <c r="X45">
        <f>inputs!$E$89*(F45/inputs!$F$89)^(1)</f>
        <v>2.3151898734177216E-2</v>
      </c>
      <c r="Y45" t="s">
        <v>13</v>
      </c>
      <c r="Z45">
        <f t="shared" si="1"/>
        <v>1399.5813598147195</v>
      </c>
      <c r="AA45">
        <f t="shared" si="2"/>
        <v>1329.6022918239835</v>
      </c>
    </row>
    <row r="46" spans="1:27" x14ac:dyDescent="0.3">
      <c r="A46" t="s">
        <v>683</v>
      </c>
      <c r="B46" t="s">
        <v>684</v>
      </c>
      <c r="C46" t="s">
        <v>702</v>
      </c>
      <c r="D46" t="s">
        <v>703</v>
      </c>
      <c r="E46">
        <v>198</v>
      </c>
      <c r="F46">
        <v>1.2</v>
      </c>
      <c r="G46" t="s">
        <v>142</v>
      </c>
      <c r="H46">
        <v>0.69</v>
      </c>
      <c r="I46">
        <f>MAX('Min rate concentrations'!$H$3:$H$368)</f>
        <v>47</v>
      </c>
      <c r="J46">
        <f>MAX('Min rate concentrations'!AA:AA)</f>
        <v>32.5</v>
      </c>
      <c r="K46">
        <f t="shared" si="0"/>
        <v>1.8910602834385815</v>
      </c>
      <c r="L46">
        <f>(((0.013*F46^0.773)/(1-H46)))*J46/F46</f>
        <v>1.3076480683351894</v>
      </c>
      <c r="M46">
        <f>IF((((0.065*F46^0.726)/3.7-(0.301*F46^0.751)/(1-H46)*H46)*(MAX('Min rate concentrations'!$P$3:$P$368)))/F46&gt;0, (((0.065*F46^0.726)/3.7-(0.301*F46^0.751)/(1-H46)*H46)*(MAX('Min rate concentrations'!$P$3:$P$368)))/F46, 0)</f>
        <v>0</v>
      </c>
      <c r="N46">
        <f>IF((((0.065*F46^0.726)/3.7-(0.301*F46^0.751)/(1-H46)*H46)*(MAX('Min rate concentrations'!$Q$3:$Q$368)))/F46&gt;0, (((0.065*F46^0.726)/3.7-(0.301*F46^0.751)/(1-H46)*H46)*(MAX('Min rate concentrations'!$Q$3:$Q$368)))/F46, 0)</f>
        <v>0</v>
      </c>
      <c r="O46" t="s">
        <v>13</v>
      </c>
      <c r="P46" t="s">
        <v>13</v>
      </c>
      <c r="Q46">
        <f>(inputs!$C$7*11.2)*(8.42*F46^0.694)*0.5*1/F46</f>
        <v>22.296703647820159</v>
      </c>
      <c r="R46">
        <f>(60*76.9*((F46/1000)^0.76)*3*24*(MAX('Min rate concentrations'!$R$3:$R$368))/F46)</f>
        <v>2.1431523049555441E-3</v>
      </c>
      <c r="S46">
        <f>(IF(inputs!$C$6="aerial",((0.025*0.112*inputs!$C$7/3.3)*(3*60*76.9*((F46/1000)^0.76))*MAX(inputs!$H$14:$H$16))/F46,((0.0083*0.112*inputs!$C$7/1)*(3*60*76.9*((F46/1000)^0.76))*MAX(inputs!$H$14:$H$16))/F46))</f>
        <v>9.0493939850110738E-3</v>
      </c>
      <c r="T46">
        <f>IF((((inputs!$P$12/(V46/MAX(K46:S46)))^(1/inputs!$O$12))-1)/inputs!$N$12&lt;0, 0, IF((((inputs!$P$12/(V46/MAX(K46:S46)))^(1/inputs!$O$12))-1)/inputs!$N$12&gt;inputs!$H$17, inputs!$H$17, (((inputs!$P$12/(V46/MAX(K46:S46)))^(1/inputs!$O$12))-1)/inputs!$N$12))</f>
        <v>1000</v>
      </c>
      <c r="U46">
        <f>IF((((inputs!$P$12/(X46/MAX(K46:S46)))^(1/inputs!$O$12))-1)/inputs!$N$12&lt;0, 0, IF((((inputs!$P$12/(X46/MAX(K46:S46)))^(1/inputs!$O$12))-1)/inputs!$N$12&gt;inputs!$H$17, inputs!$H$17, (((inputs!$P$12/(X46/MAX(K46:S46)))^(1/inputs!$O$12))-1)/inputs!$N$12))</f>
        <v>1000</v>
      </c>
      <c r="V46">
        <f>inputs!$E$87*(F46/inputs!$F$87)^(1)</f>
        <v>2.2800000000000001E-4</v>
      </c>
      <c r="W46">
        <f>inputs!$E$90*(F46/inputs!$F$90)^(1)</f>
        <v>2.4000000000000001E-4</v>
      </c>
      <c r="X46">
        <f>inputs!$E$89*(F46/inputs!$F$89)^(1)</f>
        <v>8.962025316455696E-4</v>
      </c>
      <c r="Y46" t="s">
        <v>13</v>
      </c>
      <c r="Z46">
        <f t="shared" si="1"/>
        <v>97792.559858860346</v>
      </c>
      <c r="AA46">
        <f t="shared" si="2"/>
        <v>92902.93186591733</v>
      </c>
    </row>
    <row r="47" spans="1:27" x14ac:dyDescent="0.3">
      <c r="A47" t="s">
        <v>661</v>
      </c>
      <c r="B47" t="s">
        <v>662</v>
      </c>
      <c r="C47" t="s">
        <v>702</v>
      </c>
      <c r="D47" t="s">
        <v>703</v>
      </c>
      <c r="E47">
        <v>191</v>
      </c>
      <c r="F47">
        <v>2.2999999999999998</v>
      </c>
      <c r="G47" t="s">
        <v>142</v>
      </c>
      <c r="H47">
        <v>0.69</v>
      </c>
      <c r="I47">
        <f>MAX('Min rate concentrations'!$H$3:$H$368)</f>
        <v>47</v>
      </c>
      <c r="J47">
        <f>MAX('Min rate concentrations'!AA:AA)</f>
        <v>32.5</v>
      </c>
      <c r="K47">
        <f t="shared" si="0"/>
        <v>1.6314256929607003</v>
      </c>
      <c r="L47">
        <f>(((0.013*F47^0.773)/(1-H47)))*J47/F47</f>
        <v>1.1281135110898461</v>
      </c>
      <c r="M47">
        <f>IF((((0.065*F47^0.726)/3.7-(0.301*F47^0.751)/(1-H47)*H47)*(MAX('Min rate concentrations'!$P$3:$P$368)))/F47&gt;0, (((0.065*F47^0.726)/3.7-(0.301*F47^0.751)/(1-H47)*H47)*(MAX('Min rate concentrations'!$P$3:$P$368)))/F47, 0)</f>
        <v>0</v>
      </c>
      <c r="N47">
        <f>IF((((0.065*F47^0.726)/3.7-(0.301*F47^0.751)/(1-H47)*H47)*(MAX('Min rate concentrations'!$Q$3:$Q$368)))/F47&gt;0, (((0.065*F47^0.726)/3.7-(0.301*F47^0.751)/(1-H47)*H47)*(MAX('Min rate concentrations'!$Q$3:$Q$368)))/F47, 0)</f>
        <v>0</v>
      </c>
      <c r="O47" t="s">
        <v>13</v>
      </c>
      <c r="P47" t="s">
        <v>13</v>
      </c>
      <c r="Q47">
        <f>(inputs!$C$7*11.2)*(8.42*F47^0.694)*0.5*1/F47</f>
        <v>18.271803035180817</v>
      </c>
      <c r="R47">
        <f>(60*76.9*((F47/1000)^0.76)*3*24*(MAX('Min rate concentrations'!$R$3:$R$368))/F47)</f>
        <v>1.8333351032886218E-3</v>
      </c>
      <c r="S47">
        <f>(IF(inputs!$C$6="aerial",((0.025*0.112*inputs!$C$7/3.3)*(3*60*76.9*((F47/1000)^0.76))*MAX(inputs!$H$14:$H$16))/F47,((0.0083*0.112*inputs!$C$7/1)*(3*60*76.9*((F47/1000)^0.76))*MAX(inputs!$H$14:$H$16))/F47))</f>
        <v>7.7412004820412656E-3</v>
      </c>
      <c r="T47">
        <f>IF((((inputs!$P$12/(V47/MAX(K47:S47)))^(1/inputs!$O$12))-1)/inputs!$N$12&lt;0, 0, IF((((inputs!$P$12/(V47/MAX(K47:S47)))^(1/inputs!$O$12))-1)/inputs!$N$12&gt;inputs!$H$17, inputs!$H$17, (((inputs!$P$12/(V47/MAX(K47:S47)))^(1/inputs!$O$12))-1)/inputs!$N$12))</f>
        <v>1000</v>
      </c>
      <c r="U47">
        <f>IF((((inputs!$P$12/(X47/MAX(K47:S47)))^(1/inputs!$O$12))-1)/inputs!$N$12&lt;0, 0, IF((((inputs!$P$12/(X47/MAX(K47:S47)))^(1/inputs!$O$12))-1)/inputs!$N$12&gt;inputs!$H$17, inputs!$H$17, (((inputs!$P$12/(X47/MAX(K47:S47)))^(1/inputs!$O$12))-1)/inputs!$N$12))</f>
        <v>886.73901809006338</v>
      </c>
      <c r="V47">
        <f>inputs!$E$87*(F47/inputs!$F$87)^(1)</f>
        <v>4.37E-4</v>
      </c>
      <c r="W47">
        <f>inputs!$E$90*(F47/inputs!$F$90)^(1)</f>
        <v>4.6000000000000001E-4</v>
      </c>
      <c r="X47">
        <f>inputs!$E$89*(F47/inputs!$F$89)^(1)</f>
        <v>1.7177215189873418E-3</v>
      </c>
      <c r="Y47" t="s">
        <v>13</v>
      </c>
      <c r="Z47">
        <f t="shared" si="1"/>
        <v>41811.906258995004</v>
      </c>
      <c r="AA47">
        <f t="shared" si="2"/>
        <v>39721.310946045254</v>
      </c>
    </row>
    <row r="48" spans="1:27" x14ac:dyDescent="0.3">
      <c r="A48" t="s">
        <v>649</v>
      </c>
      <c r="B48" t="s">
        <v>650</v>
      </c>
      <c r="C48" t="s">
        <v>702</v>
      </c>
      <c r="D48" t="s">
        <v>703</v>
      </c>
      <c r="E48">
        <v>199</v>
      </c>
      <c r="F48">
        <v>3.9</v>
      </c>
      <c r="G48" t="s">
        <v>146</v>
      </c>
      <c r="H48">
        <v>0.84</v>
      </c>
      <c r="I48">
        <f>MAX('Min rate concentrations'!$I$3:$I$368)</f>
        <v>9.4775690500787988</v>
      </c>
      <c r="J48" t="s">
        <v>13</v>
      </c>
      <c r="K48">
        <f t="shared" si="0"/>
        <v>0.5653907006347052</v>
      </c>
      <c r="L48" t="s">
        <v>13</v>
      </c>
      <c r="M48">
        <f>IF((((0.065*F48^0.726)/3.7-(0.301*F48^0.751)/(1-H48)*H48)*(MAX('Min rate concentrations'!$P$3:$P$368)))/F48&gt;0, (((0.065*F48^0.726)/3.7-(0.301*F48^0.751)/(1-H48)*H48)*(MAX('Min rate concentrations'!$P$3:$P$368)))/F48, 0)</f>
        <v>0</v>
      </c>
      <c r="N48">
        <f>IF((((0.065*F48^0.726)/3.7-(0.301*F48^0.751)/(1-H48)*H48)*(MAX('Min rate concentrations'!$Q$3:$Q$368)))/F48&gt;0, (((0.065*F48^0.726)/3.7-(0.301*F48^0.751)/(1-H48)*H48)*(MAX('Min rate concentrations'!$Q$3:$Q$368)))/F48, 0)</f>
        <v>0</v>
      </c>
      <c r="O48" t="s">
        <v>13</v>
      </c>
      <c r="P48" t="s">
        <v>13</v>
      </c>
      <c r="Q48">
        <f>(inputs!$C$7*11.2)*(8.42*F48^0.694)*0.5*1/F48</f>
        <v>15.54548775791233</v>
      </c>
      <c r="R48">
        <f>(60*76.9*((F48/1000)^0.76)*3*24*(MAX('Min rate concentrations'!$R$3:$R$368))/F48)</f>
        <v>1.6151059944379078E-3</v>
      </c>
      <c r="S48">
        <f>(IF(inputs!$C$6="aerial",((0.025*0.112*inputs!$C$7/3.3)*(3*60*76.9*((F48/1000)^0.76))*MAX(inputs!$H$14:$H$16))/F48,((0.0083*0.112*inputs!$C$7/1)*(3*60*76.9*((F48/1000)^0.76))*MAX(inputs!$H$14:$H$16))/F48))</f>
        <v>6.8197348538534723E-3</v>
      </c>
      <c r="T48">
        <f>IF((((inputs!$P$12/(V48/MAX(K48:S48)))^(1/inputs!$O$12))-1)/inputs!$N$12&lt;0, 0, IF((((inputs!$P$12/(V48/MAX(K48:S48)))^(1/inputs!$O$12))-1)/inputs!$N$12&gt;inputs!$H$17, inputs!$H$17, (((inputs!$P$12/(V48/MAX(K48:S48)))^(1/inputs!$O$12))-1)/inputs!$N$12))</f>
        <v>1000</v>
      </c>
      <c r="U48">
        <f>IF((((inputs!$P$12/(X48/MAX(K48:S48)))^(1/inputs!$O$12))-1)/inputs!$N$12&lt;0, 0, IF((((inputs!$P$12/(X48/MAX(K48:S48)))^(1/inputs!$O$12))-1)/inputs!$N$12&gt;inputs!$H$17, inputs!$H$17, (((inputs!$P$12/(X48/MAX(K48:S48)))^(1/inputs!$O$12))-1)/inputs!$N$12))</f>
        <v>662.87415699944086</v>
      </c>
      <c r="V48">
        <f>inputs!$E$87*(F48/inputs!$F$87)^(1)</f>
        <v>7.4100000000000001E-4</v>
      </c>
      <c r="W48">
        <f>inputs!$E$90*(F48/inputs!$F$90)^(1)</f>
        <v>7.7999999999999999E-4</v>
      </c>
      <c r="X48">
        <f>inputs!$E$89*(F48/inputs!$F$89)^(1)</f>
        <v>2.9126582278481013E-3</v>
      </c>
      <c r="Y48" t="s">
        <v>13</v>
      </c>
      <c r="Z48">
        <f t="shared" si="1"/>
        <v>20979.065800151591</v>
      </c>
      <c r="AA48">
        <f t="shared" si="2"/>
        <v>19930.112510144012</v>
      </c>
    </row>
    <row r="49" spans="1:27" x14ac:dyDescent="0.3">
      <c r="A49" t="s">
        <v>681</v>
      </c>
      <c r="B49" t="s">
        <v>682</v>
      </c>
      <c r="C49" t="s">
        <v>702</v>
      </c>
      <c r="D49" t="s">
        <v>703</v>
      </c>
      <c r="E49">
        <v>3849</v>
      </c>
      <c r="F49">
        <v>8.1</v>
      </c>
      <c r="G49" t="s">
        <v>142</v>
      </c>
      <c r="H49">
        <v>0.69</v>
      </c>
      <c r="I49">
        <f>MAX('Min rate concentrations'!$H$3:$H$368)</f>
        <v>47</v>
      </c>
      <c r="J49">
        <f>MAX('Min rate concentrations'!AA:AA)</f>
        <v>32.5</v>
      </c>
      <c r="K49">
        <f t="shared" si="0"/>
        <v>1.2258954048114588</v>
      </c>
      <c r="L49">
        <f>(((0.013*F49^0.773)/(1-H49)))*J49/F49</f>
        <v>0.84769363098664696</v>
      </c>
      <c r="M49">
        <f>IF((((0.065*F49^0.726)/3.7-(0.301*F49^0.751)/(1-H49)*H49)*(MAX('Min rate concentrations'!$P$3:$P$368)))/F49&gt;0, (((0.065*F49^0.726)/3.7-(0.301*F49^0.751)/(1-H49)*H49)*(MAX('Min rate concentrations'!$P$3:$P$368)))/F49, 0)</f>
        <v>0</v>
      </c>
      <c r="N49">
        <f>IF((((0.065*F49^0.726)/3.7-(0.301*F49^0.751)/(1-H49)*H49)*(MAX('Min rate concentrations'!$Q$3:$Q$368)))/F49&gt;0, (((0.065*F49^0.726)/3.7-(0.301*F49^0.751)/(1-H49)*H49)*(MAX('Min rate concentrations'!$Q$3:$Q$368)))/F49, 0)</f>
        <v>0</v>
      </c>
      <c r="O49" t="s">
        <v>13</v>
      </c>
      <c r="P49" t="s">
        <v>13</v>
      </c>
      <c r="Q49">
        <f>(inputs!$C$7*11.2)*(8.42*F49^0.694)*0.5*1/F49</f>
        <v>12.430073797616148</v>
      </c>
      <c r="R49">
        <f>(60*76.9*((F49/1000)^0.76)*3*24*(MAX('Min rate concentrations'!$R$3:$R$368))/F49)</f>
        <v>1.3552522287691505E-3</v>
      </c>
      <c r="S49">
        <f>(IF(inputs!$C$6="aerial",((0.025*0.112*inputs!$C$7/3.3)*(3*60*76.9*((F49/1000)^0.76))*MAX(inputs!$H$14:$H$16))/F49,((0.0083*0.112*inputs!$C$7/1)*(3*60*76.9*((F49/1000)^0.76))*MAX(inputs!$H$14:$H$16))/F49))</f>
        <v>5.7225104062078305E-3</v>
      </c>
      <c r="T49">
        <f>IF((((inputs!$P$12/(V49/MAX(K49:S49)))^(1/inputs!$O$12))-1)/inputs!$N$12&lt;0, 0, IF((((inputs!$P$12/(V49/MAX(K49:S49)))^(1/inputs!$O$12))-1)/inputs!$N$12&gt;inputs!$H$17, inputs!$H$17, (((inputs!$P$12/(V49/MAX(K49:S49)))^(1/inputs!$O$12))-1)/inputs!$N$12))</f>
        <v>789.76153346175272</v>
      </c>
      <c r="U49">
        <f>IF((((inputs!$P$12/(X49/MAX(K49:S49)))^(1/inputs!$O$12))-1)/inputs!$N$12&lt;0, 0, IF((((inputs!$P$12/(X49/MAX(K49:S49)))^(1/inputs!$O$12))-1)/inputs!$N$12&gt;inputs!$H$17, inputs!$H$17, (((inputs!$P$12/(X49/MAX(K49:S49)))^(1/inputs!$O$12))-1)/inputs!$N$12))</f>
        <v>440.42508387459145</v>
      </c>
      <c r="V49">
        <f>inputs!$E$87*(F49/inputs!$F$87)^(1)</f>
        <v>1.539E-3</v>
      </c>
      <c r="W49">
        <f>inputs!$E$90*(F49/inputs!$F$90)^(1)</f>
        <v>1.6200000000000001E-3</v>
      </c>
      <c r="X49">
        <f>inputs!$E$89*(F49/inputs!$F$89)^(1)</f>
        <v>6.0493670886075943E-3</v>
      </c>
      <c r="Y49" t="s">
        <v>13</v>
      </c>
      <c r="Z49">
        <f t="shared" si="1"/>
        <v>8076.7211160598745</v>
      </c>
      <c r="AA49">
        <f t="shared" si="2"/>
        <v>7672.8850602568809</v>
      </c>
    </row>
    <row r="50" spans="1:27" x14ac:dyDescent="0.3">
      <c r="A50" t="s">
        <v>679</v>
      </c>
      <c r="B50" t="s">
        <v>680</v>
      </c>
      <c r="C50" t="s">
        <v>702</v>
      </c>
      <c r="D50" t="s">
        <v>703</v>
      </c>
      <c r="E50">
        <v>192</v>
      </c>
      <c r="F50">
        <v>0.24</v>
      </c>
      <c r="G50" t="s">
        <v>142</v>
      </c>
      <c r="H50">
        <v>0.69</v>
      </c>
      <c r="I50">
        <f>MAX('Min rate concentrations'!$H$3:$H$368)</f>
        <v>47</v>
      </c>
      <c r="J50">
        <f>MAX('Min rate concentrations'!AA:AA)</f>
        <v>32.5</v>
      </c>
      <c r="K50">
        <f t="shared" si="0"/>
        <v>2.7250317363727672</v>
      </c>
      <c r="L50">
        <f>(((0.013*F50^0.773)/(1-H50)))*J50/F50</f>
        <v>1.8843304560024452</v>
      </c>
      <c r="M50">
        <f>IF((((0.065*F50^0.726)/3.7-(0.301*F50^0.751)/(1-H50)*H50)*(MAX('Min rate concentrations'!$P$3:$P$368)))/F50&gt;0, (((0.065*F50^0.726)/3.7-(0.301*F50^0.751)/(1-H50)*H50)*(MAX('Min rate concentrations'!$P$3:$P$368)))/F50, 0)</f>
        <v>0</v>
      </c>
      <c r="N50">
        <f>IF((((0.065*F50^0.726)/3.7-(0.301*F50^0.751)/(1-H50)*H50)*(MAX('Min rate concentrations'!$Q$3:$Q$368)))/F50&gt;0, (((0.065*F50^0.726)/3.7-(0.301*F50^0.751)/(1-H50)*H50)*(MAX('Min rate concentrations'!$Q$3:$Q$368)))/F50, 0)</f>
        <v>0</v>
      </c>
      <c r="O50" t="s">
        <v>13</v>
      </c>
      <c r="P50" t="s">
        <v>13</v>
      </c>
      <c r="Q50">
        <f>(inputs!$C$7*11.2)*(8.42*F50^0.694)*0.5*1/F50</f>
        <v>36.485935233585593</v>
      </c>
      <c r="R50">
        <f>(60*76.9*((F50/1000)^0.76)*3*24*(MAX('Min rate concentrations'!$R$3:$R$368))/F50)</f>
        <v>3.1535944069116567E-3</v>
      </c>
      <c r="S50">
        <f>(IF(inputs!$C$6="aerial",((0.025*0.112*inputs!$C$7/3.3)*(3*60*76.9*((F50/1000)^0.76))*MAX(inputs!$H$14:$H$16))/F50,((0.0083*0.112*inputs!$C$7/1)*(3*60*76.9*((F50/1000)^0.76))*MAX(inputs!$H$14:$H$16))/F50))</f>
        <v>1.3315954349620001E-2</v>
      </c>
      <c r="T50">
        <f>IF((((inputs!$P$12/(V50/MAX(K50:S50)))^(1/inputs!$O$12))-1)/inputs!$N$12&lt;0, 0, IF((((inputs!$P$12/(V50/MAX(K50:S50)))^(1/inputs!$O$12))-1)/inputs!$N$12&gt;inputs!$H$17, inputs!$H$17, (((inputs!$P$12/(V50/MAX(K50:S50)))^(1/inputs!$O$12))-1)/inputs!$N$12))</f>
        <v>1000</v>
      </c>
      <c r="U50">
        <f>IF((((inputs!$P$12/(X50/MAX(K50:S50)))^(1/inputs!$O$12))-1)/inputs!$N$12&lt;0, 0, IF((((inputs!$P$12/(X50/MAX(K50:S50)))^(1/inputs!$O$12))-1)/inputs!$N$12&gt;inputs!$H$17, inputs!$H$17, (((inputs!$P$12/(X50/MAX(K50:S50)))^(1/inputs!$O$12))-1)/inputs!$N$12))</f>
        <v>1000</v>
      </c>
      <c r="V50">
        <f>inputs!$E$87*(F50/inputs!$F$87)^(1)</f>
        <v>4.5599999999999997E-5</v>
      </c>
      <c r="W50">
        <f>inputs!$E$90*(F50/inputs!$F$90)^(1)</f>
        <v>4.7999999999999994E-5</v>
      </c>
      <c r="X50">
        <f>inputs!$E$89*(F50/inputs!$F$89)^(1)</f>
        <v>1.7924050632911389E-4</v>
      </c>
      <c r="Y50" t="s">
        <v>13</v>
      </c>
      <c r="Z50">
        <f t="shared" si="1"/>
        <v>800130.15863126307</v>
      </c>
      <c r="AA50">
        <f t="shared" si="2"/>
        <v>760123.6506997</v>
      </c>
    </row>
    <row r="51" spans="1:27" x14ac:dyDescent="0.3">
      <c r="A51" t="s">
        <v>643</v>
      </c>
      <c r="B51" t="s">
        <v>644</v>
      </c>
      <c r="C51" t="s">
        <v>702</v>
      </c>
      <c r="D51" t="s">
        <v>703</v>
      </c>
      <c r="E51">
        <v>9943</v>
      </c>
      <c r="F51">
        <v>4.3</v>
      </c>
      <c r="G51" t="s">
        <v>164</v>
      </c>
      <c r="H51">
        <v>0.78</v>
      </c>
      <c r="I51">
        <f>inputs!$C$65*(inputs!$C$62/1000)</f>
        <v>0.82000000000000006</v>
      </c>
      <c r="J51">
        <f>inputs!$C$65*(inputs!$C$61/1000)</f>
        <v>0.25</v>
      </c>
      <c r="K51">
        <f t="shared" si="0"/>
        <v>3.4796629937502516E-2</v>
      </c>
      <c r="L51">
        <f>(((0.013*F51^0.773)/(1-H51)))*J51/F51</f>
        <v>1.0608728639482475E-2</v>
      </c>
      <c r="M51">
        <f>IF((((0.065*F51^0.726)/3.7-(0.301*F51^0.751)/(1-H51)*H51)*(MAX('Min rate concentrations'!$P$3:$P$368)))/F51&gt;0, (((0.065*F51^0.726)/3.7-(0.301*F51^0.751)/(1-H51)*H51)*(MAX('Min rate concentrations'!$P$3:$P$368)))/F51, 0)</f>
        <v>0</v>
      </c>
      <c r="N51">
        <f>IF((((0.065*F51^0.726)/3.7-(0.301*F51^0.751)/(1-H51)*H51)*(MAX('Min rate concentrations'!$Q$3:$Q$368)))/F51&gt;0, (((0.065*F51^0.726)/3.7-(0.301*F51^0.751)/(1-H51)*H51)*(MAX('Min rate concentrations'!$Q$3:$Q$368)))/F51, 0)</f>
        <v>0</v>
      </c>
      <c r="O51" t="s">
        <v>13</v>
      </c>
      <c r="P51" t="s">
        <v>13</v>
      </c>
      <c r="Q51">
        <f>(inputs!$C$7*11.2)*(8.42*F51^0.694)*0.5*1/F51</f>
        <v>15.087899251698612</v>
      </c>
      <c r="R51">
        <f>(60*76.9*((F51/1000)^0.76)*3*24*(MAX('Min rate concentrations'!$R$3:$R$368))/F51)</f>
        <v>1.5776988368809844E-3</v>
      </c>
      <c r="S51">
        <f>(IF(inputs!$C$6="aerial",((0.025*0.112*inputs!$C$7/3.3)*(3*60*76.9*((F51/1000)^0.76))*MAX(inputs!$H$14:$H$16))/F51,((0.0083*0.112*inputs!$C$7/1)*(3*60*76.9*((F51/1000)^0.76))*MAX(inputs!$H$14:$H$16))/F51))</f>
        <v>6.66178429391928E-3</v>
      </c>
      <c r="T51">
        <f>IF((((inputs!$P$12/(V51/MAX(K51:S51)))^(1/inputs!$O$12))-1)/inputs!$N$12&lt;0, 0, IF((((inputs!$P$12/(V51/MAX(K51:S51)))^(1/inputs!$O$12))-1)/inputs!$N$12&gt;inputs!$H$17, inputs!$H$17, (((inputs!$P$12/(V51/MAX(K51:S51)))^(1/inputs!$O$12))-1)/inputs!$N$12))</f>
        <v>1000</v>
      </c>
      <c r="U51">
        <f>IF((((inputs!$P$12/(X51/MAX(K51:S51)))^(1/inputs!$O$12))-1)/inputs!$N$12&lt;0, 0, IF((((inputs!$P$12/(X51/MAX(K51:S51)))^(1/inputs!$O$12))-1)/inputs!$N$12&gt;inputs!$H$17, inputs!$H$17, (((inputs!$P$12/(X51/MAX(K51:S51)))^(1/inputs!$O$12))-1)/inputs!$N$12))</f>
        <v>627.93041364956991</v>
      </c>
      <c r="V51">
        <f>inputs!$E$87*(F51/inputs!$F$87)^(1)</f>
        <v>8.1699999999999991E-4</v>
      </c>
      <c r="W51">
        <f>inputs!$E$90*(F51/inputs!$F$90)^(1)</f>
        <v>8.5999999999999998E-4</v>
      </c>
      <c r="X51">
        <f>inputs!$E$89*(F51/inputs!$F$89)^(1)</f>
        <v>3.211392405063291E-3</v>
      </c>
      <c r="Y51" t="s">
        <v>13</v>
      </c>
      <c r="Z51">
        <f t="shared" si="1"/>
        <v>18467.440944551548</v>
      </c>
      <c r="AA51">
        <f t="shared" si="2"/>
        <v>17544.068897323967</v>
      </c>
    </row>
    <row r="52" spans="1:27" x14ac:dyDescent="0.3">
      <c r="A52" t="s">
        <v>643</v>
      </c>
      <c r="B52" t="s">
        <v>644</v>
      </c>
      <c r="C52" t="s">
        <v>702</v>
      </c>
      <c r="D52" t="s">
        <v>703</v>
      </c>
      <c r="E52">
        <v>9943</v>
      </c>
      <c r="F52">
        <v>4.3</v>
      </c>
      <c r="G52" t="s">
        <v>634</v>
      </c>
      <c r="H52">
        <v>0.75</v>
      </c>
      <c r="I52">
        <f>inputs!$C$65*inputs!$C$64/1000</f>
        <v>2.13</v>
      </c>
      <c r="J52">
        <f>inputs!$C$65*inputs!$C$63/1000</f>
        <v>0.88</v>
      </c>
      <c r="K52">
        <f t="shared" si="0"/>
        <v>7.95400038473838E-2</v>
      </c>
      <c r="L52">
        <f>(((0.013*F52^0.773)/(1-H52)))*J52/F52</f>
        <v>3.286159783366091E-2</v>
      </c>
      <c r="M52">
        <f>IF((((0.065*F52^0.726)/3.7-(0.301*F52^0.751)/(1-H52)*H52)*(MAX('Min rate concentrations'!$P$3:$P$368)))/F52&gt;0, (((0.065*F52^0.726)/3.7-(0.301*F52^0.751)/(1-H52)*H52)*(MAX('Min rate concentrations'!$P$3:$P$368)))/F52, 0)</f>
        <v>0</v>
      </c>
      <c r="N52">
        <f>IF((((0.065*F52^0.726)/3.7-(0.301*F52^0.751)/(1-H52)*H52)*(MAX('Min rate concentrations'!$Q$3:$Q$368)))/F52&gt;0, (((0.065*F52^0.726)/3.7-(0.301*F52^0.751)/(1-H52)*H52)*(MAX('Min rate concentrations'!$Q$3:$Q$368)))/F52, 0)</f>
        <v>0</v>
      </c>
      <c r="O52" t="s">
        <v>13</v>
      </c>
      <c r="P52" t="s">
        <v>13</v>
      </c>
      <c r="Q52">
        <f>(inputs!$C$7*11.2)*(8.42*F52^0.694)*0.5*1/F52</f>
        <v>15.087899251698612</v>
      </c>
      <c r="R52">
        <f>(60*76.9*((F52/1000)^0.76)*3*24*(MAX('Min rate concentrations'!$R$3:$R$368))/F52)</f>
        <v>1.5776988368809844E-3</v>
      </c>
      <c r="S52">
        <f>(IF(inputs!$C$6="aerial",((0.025*0.112*inputs!$C$7/3.3)*(3*60*76.9*((F52/1000)^0.76))*MAX(inputs!$H$14:$H$16))/F52,((0.0083*0.112*inputs!$C$7/1)*(3*60*76.9*((F52/1000)^0.76))*MAX(inputs!$H$14:$H$16))/F52))</f>
        <v>6.66178429391928E-3</v>
      </c>
      <c r="T52">
        <f>IF((((inputs!$P$12/(V52/MAX(K52:S52)))^(1/inputs!$O$12))-1)/inputs!$N$12&lt;0, 0, IF((((inputs!$P$12/(V52/MAX(K52:S52)))^(1/inputs!$O$12))-1)/inputs!$N$12&gt;inputs!$H$17, inputs!$H$17, (((inputs!$P$12/(V52/MAX(K52:S52)))^(1/inputs!$O$12))-1)/inputs!$N$12))</f>
        <v>1000</v>
      </c>
      <c r="U52">
        <f>IF((((inputs!$P$12/(X52/MAX(K52:S52)))^(1/inputs!$O$12))-1)/inputs!$N$12&lt;0, 0, IF((((inputs!$P$12/(X52/MAX(K52:S52)))^(1/inputs!$O$12))-1)/inputs!$N$12&gt;inputs!$H$17, inputs!$H$17, (((inputs!$P$12/(X52/MAX(K52:S52)))^(1/inputs!$O$12))-1)/inputs!$N$12))</f>
        <v>627.93041364956991</v>
      </c>
      <c r="V52">
        <f>inputs!$E$87*(F52/inputs!$F$87)^(1)</f>
        <v>8.1699999999999991E-4</v>
      </c>
      <c r="W52">
        <f>inputs!$E$90*(F52/inputs!$F$90)^(1)</f>
        <v>8.5999999999999998E-4</v>
      </c>
      <c r="X52">
        <f>inputs!$E$89*(F52/inputs!$F$89)^(1)</f>
        <v>3.211392405063291E-3</v>
      </c>
      <c r="Y52" t="s">
        <v>13</v>
      </c>
      <c r="Z52">
        <f t="shared" si="1"/>
        <v>18467.440944551548</v>
      </c>
      <c r="AA52">
        <f t="shared" si="2"/>
        <v>17544.068897323967</v>
      </c>
    </row>
    <row r="53" spans="1:27" x14ac:dyDescent="0.3">
      <c r="A53" t="s">
        <v>643</v>
      </c>
      <c r="B53" t="s">
        <v>644</v>
      </c>
      <c r="C53" t="s">
        <v>702</v>
      </c>
      <c r="D53" t="s">
        <v>703</v>
      </c>
      <c r="E53">
        <v>9943</v>
      </c>
      <c r="F53">
        <v>4.3</v>
      </c>
      <c r="G53" t="s">
        <v>146</v>
      </c>
      <c r="H53">
        <v>0.84</v>
      </c>
      <c r="I53">
        <f>MAX('Min rate concentrations'!$I$3:$I$368)</f>
        <v>9.4775690500787988</v>
      </c>
      <c r="J53" t="s">
        <v>13</v>
      </c>
      <c r="K53">
        <f t="shared" si="0"/>
        <v>0.55299727017833999</v>
      </c>
      <c r="L53" t="s">
        <v>13</v>
      </c>
      <c r="M53">
        <f>IF((((0.065*F53^0.726)/3.7-(0.301*F53^0.751)/(1-H53)*H53)*(MAX('Min rate concentrations'!$P$3:$P$368)))/F53&gt;0, (((0.065*F53^0.726)/3.7-(0.301*F53^0.751)/(1-H53)*H53)*(MAX('Min rate concentrations'!$P$3:$P$368)))/F53, 0)</f>
        <v>0</v>
      </c>
      <c r="N53">
        <f>IF((((0.065*F53^0.726)/3.7-(0.301*F53^0.751)/(1-H53)*H53)*(MAX('Min rate concentrations'!$Q$3:$Q$368)))/F53&gt;0, (((0.065*F53^0.726)/3.7-(0.301*F53^0.751)/(1-H53)*H53)*(MAX('Min rate concentrations'!$Q$3:$Q$368)))/F53, 0)</f>
        <v>0</v>
      </c>
      <c r="O53" t="s">
        <v>13</v>
      </c>
      <c r="P53" t="s">
        <v>13</v>
      </c>
      <c r="Q53">
        <f>(inputs!$C$7*11.2)*(8.42*F53^0.694)*0.5*1/F53</f>
        <v>15.087899251698612</v>
      </c>
      <c r="R53">
        <f>(60*76.9*((F53/1000)^0.76)*3*24*(MAX('Min rate concentrations'!$R$3:$R$368))/F53)</f>
        <v>1.5776988368809844E-3</v>
      </c>
      <c r="S53">
        <f>(IF(inputs!$C$6="aerial",((0.025*0.112*inputs!$C$7/3.3)*(3*60*76.9*((F53/1000)^0.76))*MAX(inputs!$H$14:$H$16))/F53,((0.0083*0.112*inputs!$C$7/1)*(3*60*76.9*((F53/1000)^0.76))*MAX(inputs!$H$14:$H$16))/F53))</f>
        <v>6.66178429391928E-3</v>
      </c>
      <c r="T53">
        <f>IF((((inputs!$P$12/(V53/MAX(K53:S53)))^(1/inputs!$O$12))-1)/inputs!$N$12&lt;0, 0, IF((((inputs!$P$12/(V53/MAX(K53:S53)))^(1/inputs!$O$12))-1)/inputs!$N$12&gt;inputs!$H$17, inputs!$H$17, (((inputs!$P$12/(V53/MAX(K53:S53)))^(1/inputs!$O$12))-1)/inputs!$N$12))</f>
        <v>1000</v>
      </c>
      <c r="U53">
        <f>IF((((inputs!$P$12/(X53/MAX(K53:S53)))^(1/inputs!$O$12))-1)/inputs!$N$12&lt;0, 0, IF((((inputs!$P$12/(X53/MAX(K53:S53)))^(1/inputs!$O$12))-1)/inputs!$N$12&gt;inputs!$H$17, inputs!$H$17, (((inputs!$P$12/(X53/MAX(K53:S53)))^(1/inputs!$O$12))-1)/inputs!$N$12))</f>
        <v>627.93041364956991</v>
      </c>
      <c r="V53">
        <f>inputs!$E$87*(F53/inputs!$F$87)^(1)</f>
        <v>8.1699999999999991E-4</v>
      </c>
      <c r="W53">
        <f>inputs!$E$90*(F53/inputs!$F$90)^(1)</f>
        <v>8.5999999999999998E-4</v>
      </c>
      <c r="X53">
        <f>inputs!$E$89*(F53/inputs!$F$89)^(1)</f>
        <v>3.211392405063291E-3</v>
      </c>
      <c r="Y53" t="s">
        <v>13</v>
      </c>
      <c r="Z53">
        <f t="shared" si="1"/>
        <v>18467.440944551548</v>
      </c>
      <c r="AA53">
        <f t="shared" si="2"/>
        <v>17544.068897323967</v>
      </c>
    </row>
    <row r="54" spans="1:27" x14ac:dyDescent="0.3">
      <c r="A54" t="s">
        <v>651</v>
      </c>
      <c r="B54" t="s">
        <v>652</v>
      </c>
      <c r="C54" t="s">
        <v>702</v>
      </c>
      <c r="D54" t="s">
        <v>703</v>
      </c>
      <c r="E54">
        <v>188</v>
      </c>
      <c r="F54">
        <v>3</v>
      </c>
      <c r="G54" t="s">
        <v>142</v>
      </c>
      <c r="H54">
        <v>0.69</v>
      </c>
      <c r="I54">
        <f>MAX('Min rate concentrations'!$H$3:$H$368)</f>
        <v>47</v>
      </c>
      <c r="J54">
        <f>MAX('Min rate concentrations'!AA:AA)</f>
        <v>32.5</v>
      </c>
      <c r="K54">
        <f t="shared" si="0"/>
        <v>1.5359355468590252</v>
      </c>
      <c r="L54">
        <f>(((0.013*F54^0.773)/(1-H54)))*J54/F54</f>
        <v>1.0620830909131558</v>
      </c>
      <c r="M54">
        <f>IF((((0.065*F54^0.726)/3.7-(0.301*F54^0.751)/(1-H54)*H54)*(MAX('Min rate concentrations'!$P$3:$P$368)))/F54&gt;0, (((0.065*F54^0.726)/3.7-(0.301*F54^0.751)/(1-H54)*H54)*(MAX('Min rate concentrations'!$P$3:$P$368)))/F54, 0)</f>
        <v>0</v>
      </c>
      <c r="N54">
        <f>IF((((0.065*F54^0.726)/3.7-(0.301*F54^0.751)/(1-H54)*H54)*(MAX('Min rate concentrations'!$Q$3:$Q$368)))/F54&gt;0, (((0.065*F54^0.726)/3.7-(0.301*F54^0.751)/(1-H54)*H54)*(MAX('Min rate concentrations'!$Q$3:$Q$368)))/F54, 0)</f>
        <v>0</v>
      </c>
      <c r="O54" t="s">
        <v>13</v>
      </c>
      <c r="P54" t="s">
        <v>13</v>
      </c>
      <c r="Q54">
        <f>(inputs!$C$7*11.2)*(8.42*F54^0.694)*0.5*1/F54</f>
        <v>16.84500013887752</v>
      </c>
      <c r="R54">
        <f>(60*76.9*((F54/1000)^0.76)*3*24*(MAX('Min rate concentrations'!$R$3:$R$368))/F54)</f>
        <v>1.7200751972895458E-3</v>
      </c>
      <c r="S54">
        <f>(IF(inputs!$C$6="aerial",((0.025*0.112*inputs!$C$7/3.3)*(3*60*76.9*((F54/1000)^0.76))*MAX(inputs!$H$14:$H$16))/F54,((0.0083*0.112*inputs!$C$7/1)*(3*60*76.9*((F54/1000)^0.76))*MAX(inputs!$H$14:$H$16))/F54))</f>
        <v>7.2629640497909606E-3</v>
      </c>
      <c r="T54">
        <f>IF((((inputs!$P$12/(V54/MAX(K54:S54)))^(1/inputs!$O$12))-1)/inputs!$N$12&lt;0, 0, IF((((inputs!$P$12/(V54/MAX(K54:S54)))^(1/inputs!$O$12))-1)/inputs!$N$12&gt;inputs!$H$17, inputs!$H$17, (((inputs!$P$12/(V54/MAX(K54:S54)))^(1/inputs!$O$12))-1)/inputs!$N$12))</f>
        <v>1000</v>
      </c>
      <c r="U54">
        <f>IF((((inputs!$P$12/(X54/MAX(K54:S54)))^(1/inputs!$O$12))-1)/inputs!$N$12&lt;0, 0, IF((((inputs!$P$12/(X54/MAX(K54:S54)))^(1/inputs!$O$12))-1)/inputs!$N$12&gt;inputs!$H$17, inputs!$H$17, (((inputs!$P$12/(X54/MAX(K54:S54)))^(1/inputs!$O$12))-1)/inputs!$N$12))</f>
        <v>766.2648479541175</v>
      </c>
      <c r="V54">
        <f>inputs!$E$87*(F54/inputs!$F$87)^(1)</f>
        <v>5.6999999999999998E-4</v>
      </c>
      <c r="W54">
        <f>inputs!$E$90*(F54/inputs!$F$90)^(1)</f>
        <v>5.9999999999999995E-4</v>
      </c>
      <c r="X54">
        <f>inputs!$E$89*(F54/inputs!$F$89)^(1)</f>
        <v>2.2405063291139238E-3</v>
      </c>
      <c r="Y54" t="s">
        <v>13</v>
      </c>
      <c r="Z54">
        <f t="shared" si="1"/>
        <v>29552.631822592142</v>
      </c>
      <c r="AA54">
        <f t="shared" si="2"/>
        <v>28075.000231462534</v>
      </c>
    </row>
    <row r="55" spans="1:27" x14ac:dyDescent="0.3">
      <c r="A55" t="s">
        <v>651</v>
      </c>
      <c r="B55" t="s">
        <v>652</v>
      </c>
      <c r="C55" t="s">
        <v>702</v>
      </c>
      <c r="D55" t="s">
        <v>703</v>
      </c>
      <c r="E55">
        <v>188</v>
      </c>
      <c r="F55">
        <v>3</v>
      </c>
      <c r="G55" t="s">
        <v>146</v>
      </c>
      <c r="H55">
        <v>0.84</v>
      </c>
      <c r="I55">
        <f>MAX('Min rate concentrations'!$I$3:$I$368)</f>
        <v>9.4775690500787988</v>
      </c>
      <c r="J55" t="s">
        <v>13</v>
      </c>
      <c r="K55">
        <f t="shared" si="0"/>
        <v>0.60008642454339833</v>
      </c>
      <c r="L55" t="s">
        <v>13</v>
      </c>
      <c r="M55">
        <f>IF((((0.065*F55^0.726)/3.7-(0.301*F55^0.751)/(1-H55)*H55)*(MAX('Min rate concentrations'!$P$3:$P$368)))/F55&gt;0, (((0.065*F55^0.726)/3.7-(0.301*F55^0.751)/(1-H55)*H55)*(MAX('Min rate concentrations'!$P$3:$P$368)))/F55, 0)</f>
        <v>0</v>
      </c>
      <c r="N55">
        <f>IF((((0.065*F55^0.726)/3.7-(0.301*F55^0.751)/(1-H55)*H55)*(MAX('Min rate concentrations'!$Q$3:$Q$368)))/F55&gt;0, (((0.065*F55^0.726)/3.7-(0.301*F55^0.751)/(1-H55)*H55)*(MAX('Min rate concentrations'!$Q$3:$Q$368)))/F55, 0)</f>
        <v>0</v>
      </c>
      <c r="O55" t="s">
        <v>13</v>
      </c>
      <c r="P55" t="s">
        <v>13</v>
      </c>
      <c r="Q55">
        <f>(inputs!$C$7*11.2)*(8.42*F55^0.694)*0.5*1/F55</f>
        <v>16.84500013887752</v>
      </c>
      <c r="R55">
        <f>(60*76.9*((F55/1000)^0.76)*3*24*(MAX('Min rate concentrations'!$R$3:$R$368))/F55)</f>
        <v>1.7200751972895458E-3</v>
      </c>
      <c r="S55">
        <f>(IF(inputs!$C$6="aerial",((0.025*0.112*inputs!$C$7/3.3)*(3*60*76.9*((F55/1000)^0.76))*MAX(inputs!$H$14:$H$16))/F55,((0.0083*0.112*inputs!$C$7/1)*(3*60*76.9*((F55/1000)^0.76))*MAX(inputs!$H$14:$H$16))/F55))</f>
        <v>7.2629640497909606E-3</v>
      </c>
      <c r="T55">
        <f>IF((((inputs!$P$12/(V55/MAX(K55:S55)))^(1/inputs!$O$12))-1)/inputs!$N$12&lt;0, 0, IF((((inputs!$P$12/(V55/MAX(K55:S55)))^(1/inputs!$O$12))-1)/inputs!$N$12&gt;inputs!$H$17, inputs!$H$17, (((inputs!$P$12/(V55/MAX(K55:S55)))^(1/inputs!$O$12))-1)/inputs!$N$12))</f>
        <v>1000</v>
      </c>
      <c r="U55">
        <f>IF((((inputs!$P$12/(X55/MAX(K55:S55)))^(1/inputs!$O$12))-1)/inputs!$N$12&lt;0, 0, IF((((inputs!$P$12/(X55/MAX(K55:S55)))^(1/inputs!$O$12))-1)/inputs!$N$12&gt;inputs!$H$17, inputs!$H$17, (((inputs!$P$12/(X55/MAX(K55:S55)))^(1/inputs!$O$12))-1)/inputs!$N$12))</f>
        <v>766.2648479541175</v>
      </c>
      <c r="V55">
        <f>inputs!$E$87*(F55/inputs!$F$87)^(1)</f>
        <v>5.6999999999999998E-4</v>
      </c>
      <c r="W55">
        <f>inputs!$E$90*(F55/inputs!$F$90)^(1)</f>
        <v>5.9999999999999995E-4</v>
      </c>
      <c r="X55">
        <f>inputs!$E$89*(F55/inputs!$F$89)^(1)</f>
        <v>2.2405063291139238E-3</v>
      </c>
      <c r="Y55" t="s">
        <v>13</v>
      </c>
      <c r="Z55">
        <f t="shared" si="1"/>
        <v>29552.631822592142</v>
      </c>
      <c r="AA55">
        <f t="shared" si="2"/>
        <v>28075.000231462534</v>
      </c>
    </row>
    <row r="56" spans="1:27" x14ac:dyDescent="0.3">
      <c r="A56" t="s">
        <v>685</v>
      </c>
      <c r="B56" t="s">
        <v>686</v>
      </c>
      <c r="C56" t="s">
        <v>702</v>
      </c>
      <c r="D56" t="s">
        <v>703</v>
      </c>
      <c r="E56">
        <v>200</v>
      </c>
      <c r="F56">
        <v>1.3</v>
      </c>
      <c r="G56" t="s">
        <v>142</v>
      </c>
      <c r="H56">
        <v>0.69</v>
      </c>
      <c r="I56">
        <f>MAX('Min rate concentrations'!$H$3:$H$368)</f>
        <v>47</v>
      </c>
      <c r="J56">
        <f>MAX('Min rate concentrations'!AA:AA)</f>
        <v>32.5</v>
      </c>
      <c r="K56">
        <f t="shared" si="0"/>
        <v>1.8570105687513594</v>
      </c>
      <c r="L56">
        <f>(((0.013*F56^0.773)/(1-H56)))*J56/F56</f>
        <v>1.2841030528599826</v>
      </c>
      <c r="M56">
        <f>IF((((0.065*F56^0.726)/3.7-(0.301*F56^0.751)/(1-H56)*H56)*(MAX('Min rate concentrations'!$P$3:$P$368)))/F56&gt;0, (((0.065*F56^0.726)/3.7-(0.301*F56^0.751)/(1-H56)*H56)*(MAX('Min rate concentrations'!$P$3:$P$368)))/F56, 0)</f>
        <v>0</v>
      </c>
      <c r="N56">
        <f>IF((((0.065*F56^0.726)/3.7-(0.301*F56^0.751)/(1-H56)*H56)*(MAX('Min rate concentrations'!$Q$3:$Q$368)))/F56&gt;0, (((0.065*F56^0.726)/3.7-(0.301*F56^0.751)/(1-H56)*H56)*(MAX('Min rate concentrations'!$Q$3:$Q$368)))/F56, 0)</f>
        <v>0</v>
      </c>
      <c r="O56" t="s">
        <v>13</v>
      </c>
      <c r="P56" t="s">
        <v>13</v>
      </c>
      <c r="Q56">
        <f>(inputs!$C$7*11.2)*(8.42*F56^0.694)*0.5*1/F56</f>
        <v>21.75722269866144</v>
      </c>
      <c r="R56">
        <f>(60*76.9*((F56/1000)^0.76)*3*24*(MAX('Min rate concentrations'!$R$3:$R$368))/F56)</f>
        <v>2.1023747413380371E-3</v>
      </c>
      <c r="S56">
        <f>(IF(inputs!$C$6="aerial",((0.025*0.112*inputs!$C$7/3.3)*(3*60*76.9*((F56/1000)^0.76))*MAX(inputs!$H$14:$H$16))/F56,((0.0083*0.112*inputs!$C$7/1)*(3*60*76.9*((F56/1000)^0.76))*MAX(inputs!$H$14:$H$16))/F56))</f>
        <v>8.8772119902595006E-3</v>
      </c>
      <c r="T56">
        <f>IF((((inputs!$P$12/(V56/MAX(K56:S56)))^(1/inputs!$O$12))-1)/inputs!$N$12&lt;0, 0, IF((((inputs!$P$12/(V56/MAX(K56:S56)))^(1/inputs!$O$12))-1)/inputs!$N$12&gt;inputs!$H$17, inputs!$H$17, (((inputs!$P$12/(V56/MAX(K56:S56)))^(1/inputs!$O$12))-1)/inputs!$N$12))</f>
        <v>1000</v>
      </c>
      <c r="U56">
        <f>IF((((inputs!$P$12/(X56/MAX(K56:S56)))^(1/inputs!$O$12))-1)/inputs!$N$12&lt;0, 0, IF((((inputs!$P$12/(X56/MAX(K56:S56)))^(1/inputs!$O$12))-1)/inputs!$N$12&gt;inputs!$H$17, inputs!$H$17, (((inputs!$P$12/(X56/MAX(K56:S56)))^(1/inputs!$O$12))-1)/inputs!$N$12))</f>
        <v>1000</v>
      </c>
      <c r="V56">
        <f>inputs!$E$87*(F56/inputs!$F$87)^(1)</f>
        <v>2.4700000000000004E-4</v>
      </c>
      <c r="W56">
        <f>inputs!$E$90*(F56/inputs!$F$90)^(1)</f>
        <v>2.5999999999999998E-4</v>
      </c>
      <c r="X56">
        <f>inputs!$E$89*(F56/inputs!$F$89)^(1)</f>
        <v>9.7088607594936704E-4</v>
      </c>
      <c r="Y56" t="s">
        <v>13</v>
      </c>
      <c r="Z56">
        <f t="shared" si="1"/>
        <v>88085.921856928893</v>
      </c>
      <c r="AA56">
        <f t="shared" si="2"/>
        <v>83681.625764082477</v>
      </c>
    </row>
    <row r="57" spans="1:27" x14ac:dyDescent="0.3">
      <c r="A57" t="s">
        <v>653</v>
      </c>
      <c r="B57" t="s">
        <v>654</v>
      </c>
      <c r="C57" t="s">
        <v>702</v>
      </c>
      <c r="D57" t="s">
        <v>703</v>
      </c>
      <c r="E57">
        <v>201</v>
      </c>
      <c r="F57">
        <v>4.5999999999999996</v>
      </c>
      <c r="G57" t="s">
        <v>142</v>
      </c>
      <c r="H57">
        <v>0.69</v>
      </c>
      <c r="I57">
        <f>MAX('Min rate concentrations'!$H$3:$H$368)</f>
        <v>47</v>
      </c>
      <c r="J57">
        <f>MAX('Min rate concentrations'!AA:AA)</f>
        <v>32.5</v>
      </c>
      <c r="K57">
        <f t="shared" si="0"/>
        <v>1.393906003603405</v>
      </c>
      <c r="L57">
        <f>(((0.013*F57^0.773)/(1-H57)))*J57/F57</f>
        <v>0.96387117270448219</v>
      </c>
      <c r="M57">
        <f>IF((((0.065*F57^0.726)/3.7-(0.301*F57^0.751)/(1-H57)*H57)*(MAX('Min rate concentrations'!$P$3:$P$368)))/F57&gt;0, (((0.065*F57^0.726)/3.7-(0.301*F57^0.751)/(1-H57)*H57)*(MAX('Min rate concentrations'!$P$3:$P$368)))/F57, 0)</f>
        <v>0</v>
      </c>
      <c r="N57">
        <f>IF((((0.065*F57^0.726)/3.7-(0.301*F57^0.751)/(1-H57)*H57)*(MAX('Min rate concentrations'!$Q$3:$Q$368)))/F57&gt;0, (((0.065*F57^0.726)/3.7-(0.301*F57^0.751)/(1-H57)*H57)*(MAX('Min rate concentrations'!$Q$3:$Q$368)))/F57, 0)</f>
        <v>0</v>
      </c>
      <c r="O57" t="s">
        <v>13</v>
      </c>
      <c r="P57" t="s">
        <v>13</v>
      </c>
      <c r="Q57">
        <f>(inputs!$C$7*11.2)*(8.42*F57^0.694)*0.5*1/F57</f>
        <v>14.779720676097172</v>
      </c>
      <c r="R57">
        <f>(60*76.9*((F57/1000)^0.76)*3*24*(MAX('Min rate concentrations'!$R$3:$R$368))/F57)</f>
        <v>1.5523679046993116E-3</v>
      </c>
      <c r="S57">
        <f>(IF(inputs!$C$6="aerial",((0.025*0.112*inputs!$C$7/3.3)*(3*60*76.9*((F57/1000)^0.76))*MAX(inputs!$H$14:$H$16))/F57,((0.0083*0.112*inputs!$C$7/1)*(3*60*76.9*((F57/1000)^0.76))*MAX(inputs!$H$14:$H$16))/F57))</f>
        <v>6.5548252202269836E-3</v>
      </c>
      <c r="T57">
        <f>IF((((inputs!$P$12/(V57/MAX(K57:S57)))^(1/inputs!$O$12))-1)/inputs!$N$12&lt;0, 0, IF((((inputs!$P$12/(V57/MAX(K57:S57)))^(1/inputs!$O$12))-1)/inputs!$N$12&gt;inputs!$H$17, inputs!$H$17, (((inputs!$P$12/(V57/MAX(K57:S57)))^(1/inputs!$O$12))-1)/inputs!$N$12))</f>
        <v>1000</v>
      </c>
      <c r="U57">
        <f>IF((((inputs!$P$12/(X57/MAX(K57:S57)))^(1/inputs!$O$12))-1)/inputs!$N$12&lt;0, 0, IF((((inputs!$P$12/(X57/MAX(K57:S57)))^(1/inputs!$O$12))-1)/inputs!$N$12&gt;inputs!$H$17, inputs!$H$17, (((inputs!$P$12/(X57/MAX(K57:S57)))^(1/inputs!$O$12))-1)/inputs!$N$12))</f>
        <v>604.83066675119608</v>
      </c>
      <c r="V57">
        <f>inputs!$E$87*(F57/inputs!$F$87)^(1)</f>
        <v>8.7399999999999999E-4</v>
      </c>
      <c r="W57">
        <f>inputs!$E$90*(F57/inputs!$F$90)^(1)</f>
        <v>9.2000000000000003E-4</v>
      </c>
      <c r="X57">
        <f>inputs!$E$89*(F57/inputs!$F$89)^(1)</f>
        <v>3.4354430379746836E-3</v>
      </c>
      <c r="Y57" t="s">
        <v>13</v>
      </c>
      <c r="Z57">
        <f t="shared" si="1"/>
        <v>16910.435556175253</v>
      </c>
      <c r="AA57">
        <f t="shared" si="2"/>
        <v>16064.913778366492</v>
      </c>
    </row>
    <row r="58" spans="1:27" x14ac:dyDescent="0.3">
      <c r="A58" t="s">
        <v>653</v>
      </c>
      <c r="B58" t="s">
        <v>654</v>
      </c>
      <c r="C58" t="s">
        <v>702</v>
      </c>
      <c r="D58" t="s">
        <v>703</v>
      </c>
      <c r="E58">
        <v>201</v>
      </c>
      <c r="F58">
        <v>4.5999999999999996</v>
      </c>
      <c r="G58" t="s">
        <v>164</v>
      </c>
      <c r="H58">
        <v>0.78</v>
      </c>
      <c r="I58">
        <f>inputs!$C$65*(inputs!$C$62/1000)</f>
        <v>0.82000000000000006</v>
      </c>
      <c r="J58">
        <f>inputs!$C$65*(inputs!$C$61/1000)</f>
        <v>0.25</v>
      </c>
      <c r="K58">
        <f t="shared" si="0"/>
        <v>3.4267979314892234E-2</v>
      </c>
      <c r="L58">
        <f>(((0.013*F58^0.773)/(1-H58)))*J58/F58</f>
        <v>1.044755466917446E-2</v>
      </c>
      <c r="M58">
        <f>IF((((0.065*F58^0.726)/3.7-(0.301*F58^0.751)/(1-H58)*H58)*(MAX('Min rate concentrations'!$P$3:$P$368)))/F58&gt;0, (((0.065*F58^0.726)/3.7-(0.301*F58^0.751)/(1-H58)*H58)*(MAX('Min rate concentrations'!$P$3:$P$368)))/F58, 0)</f>
        <v>0</v>
      </c>
      <c r="N58">
        <f>IF((((0.065*F58^0.726)/3.7-(0.301*F58^0.751)/(1-H58)*H58)*(MAX('Min rate concentrations'!$Q$3:$Q$368)))/F58&gt;0, (((0.065*F58^0.726)/3.7-(0.301*F58^0.751)/(1-H58)*H58)*(MAX('Min rate concentrations'!$Q$3:$Q$368)))/F58, 0)</f>
        <v>0</v>
      </c>
      <c r="O58" t="s">
        <v>13</v>
      </c>
      <c r="P58" t="s">
        <v>13</v>
      </c>
      <c r="Q58">
        <f>(inputs!$C$7*11.2)*(8.42*F58^0.694)*0.5*1/F58</f>
        <v>14.779720676097172</v>
      </c>
      <c r="R58">
        <f>(60*76.9*((F58/1000)^0.76)*3*24*(MAX('Min rate concentrations'!$R$3:$R$368))/F58)</f>
        <v>1.5523679046993116E-3</v>
      </c>
      <c r="S58">
        <f>(IF(inputs!$C$6="aerial",((0.025*0.112*inputs!$C$7/3.3)*(3*60*76.9*((F58/1000)^0.76))*MAX(inputs!$H$14:$H$16))/F58,((0.0083*0.112*inputs!$C$7/1)*(3*60*76.9*((F58/1000)^0.76))*MAX(inputs!$H$14:$H$16))/F58))</f>
        <v>6.5548252202269836E-3</v>
      </c>
      <c r="T58">
        <f>IF((((inputs!$P$12/(V58/MAX(K58:S58)))^(1/inputs!$O$12))-1)/inputs!$N$12&lt;0, 0, IF((((inputs!$P$12/(V58/MAX(K58:S58)))^(1/inputs!$O$12))-1)/inputs!$N$12&gt;inputs!$H$17, inputs!$H$17, (((inputs!$P$12/(V58/MAX(K58:S58)))^(1/inputs!$O$12))-1)/inputs!$N$12))</f>
        <v>1000</v>
      </c>
      <c r="U58">
        <f>IF((((inputs!$P$12/(X58/MAX(K58:S58)))^(1/inputs!$O$12))-1)/inputs!$N$12&lt;0, 0, IF((((inputs!$P$12/(X58/MAX(K58:S58)))^(1/inputs!$O$12))-1)/inputs!$N$12&gt;inputs!$H$17, inputs!$H$17, (((inputs!$P$12/(X58/MAX(K58:S58)))^(1/inputs!$O$12))-1)/inputs!$N$12))</f>
        <v>604.83066675119608</v>
      </c>
      <c r="V58">
        <f>inputs!$E$87*(F58/inputs!$F$87)^(1)</f>
        <v>8.7399999999999999E-4</v>
      </c>
      <c r="W58">
        <f>inputs!$E$90*(F58/inputs!$F$90)^(1)</f>
        <v>9.2000000000000003E-4</v>
      </c>
      <c r="X58">
        <f>inputs!$E$89*(F58/inputs!$F$89)^(1)</f>
        <v>3.4354430379746836E-3</v>
      </c>
      <c r="Y58" t="s">
        <v>13</v>
      </c>
      <c r="Z58">
        <f t="shared" si="1"/>
        <v>16910.435556175253</v>
      </c>
      <c r="AA58">
        <f t="shared" si="2"/>
        <v>16064.913778366492</v>
      </c>
    </row>
    <row r="59" spans="1:27" x14ac:dyDescent="0.3">
      <c r="A59" t="s">
        <v>675</v>
      </c>
      <c r="B59" t="s">
        <v>676</v>
      </c>
      <c r="C59" t="s">
        <v>702</v>
      </c>
      <c r="D59" t="s">
        <v>703</v>
      </c>
      <c r="E59">
        <v>7482</v>
      </c>
      <c r="F59">
        <v>0.8</v>
      </c>
      <c r="G59" t="s">
        <v>142</v>
      </c>
      <c r="H59">
        <v>0.69</v>
      </c>
      <c r="I59">
        <f>MAX('Min rate concentrations'!$H$3:$H$368)</f>
        <v>47</v>
      </c>
      <c r="J59">
        <f>MAX('Min rate concentrations'!AA:AA)</f>
        <v>32.5</v>
      </c>
      <c r="K59">
        <f t="shared" si="0"/>
        <v>2.0733761061389306</v>
      </c>
      <c r="L59">
        <f>(((0.013*F59^0.773)/(1-H59)))*J59/F59</f>
        <v>1.4337175202024521</v>
      </c>
      <c r="M59">
        <f>IF((((0.065*F59^0.726)/3.7-(0.301*F59^0.751)/(1-H59)*H59)*(MAX('Min rate concentrations'!$P$3:$P$368)))/F59&gt;0, (((0.065*F59^0.726)/3.7-(0.301*F59^0.751)/(1-H59)*H59)*(MAX('Min rate concentrations'!$P$3:$P$368)))/F59, 0)</f>
        <v>0</v>
      </c>
      <c r="N59">
        <f>IF((((0.065*F59^0.726)/3.7-(0.301*F59^0.751)/(1-H59)*H59)*(MAX('Min rate concentrations'!$Q$3:$Q$368)))/F59&gt;0, (((0.065*F59^0.726)/3.7-(0.301*F59^0.751)/(1-H59)*H59)*(MAX('Min rate concentrations'!$Q$3:$Q$368)))/F59, 0)</f>
        <v>0</v>
      </c>
      <c r="O59" t="s">
        <v>13</v>
      </c>
      <c r="P59" t="s">
        <v>13</v>
      </c>
      <c r="Q59">
        <f>(inputs!$C$7*11.2)*(8.42*F59^0.694)*0.5*1/F59</f>
        <v>25.242047916961916</v>
      </c>
      <c r="R59">
        <f>(60*76.9*((F59/1000)^0.76)*3*24*(MAX('Min rate concentrations'!$R$3:$R$368))/F59)</f>
        <v>2.3621906046616473E-3</v>
      </c>
      <c r="S59">
        <f>(IF(inputs!$C$6="aerial",((0.025*0.112*inputs!$C$7/3.3)*(3*60*76.9*((F59/1000)^0.76))*MAX(inputs!$H$14:$H$16))/F59,((0.0083*0.112*inputs!$C$7/1)*(3*60*76.9*((F59/1000)^0.76))*MAX(inputs!$H$14:$H$16))/F59))</f>
        <v>9.9742763964310033E-3</v>
      </c>
      <c r="T59">
        <f>IF((((inputs!$P$12/(V59/MAX(K59:S59)))^(1/inputs!$O$12))-1)/inputs!$N$12&lt;0, 0, IF((((inputs!$P$12/(V59/MAX(K59:S59)))^(1/inputs!$O$12))-1)/inputs!$N$12&gt;inputs!$H$17, inputs!$H$17, (((inputs!$P$12/(V59/MAX(K59:S59)))^(1/inputs!$O$12))-1)/inputs!$N$12))</f>
        <v>1000</v>
      </c>
      <c r="U59">
        <f>IF((((inputs!$P$12/(X59/MAX(K59:S59)))^(1/inputs!$O$12))-1)/inputs!$N$12&lt;0, 0, IF((((inputs!$P$12/(X59/MAX(K59:S59)))^(1/inputs!$O$12))-1)/inputs!$N$12&gt;inputs!$H$17, inputs!$H$17, (((inputs!$P$12/(X59/MAX(K59:S59)))^(1/inputs!$O$12))-1)/inputs!$N$12))</f>
        <v>1000</v>
      </c>
      <c r="V59">
        <f>inputs!$E$87*(F59/inputs!$F$87)^(1)</f>
        <v>1.5200000000000001E-4</v>
      </c>
      <c r="W59">
        <f>inputs!$E$90*(F59/inputs!$F$90)^(1)</f>
        <v>1.6000000000000001E-4</v>
      </c>
      <c r="X59">
        <f>inputs!$E$89*(F59/inputs!$F$89)^(1)</f>
        <v>5.9746835443037977E-4</v>
      </c>
      <c r="Y59" t="s">
        <v>13</v>
      </c>
      <c r="Z59">
        <f t="shared" si="1"/>
        <v>166066.10471685469</v>
      </c>
      <c r="AA59">
        <f t="shared" si="2"/>
        <v>157762.79948101196</v>
      </c>
    </row>
    <row r="60" spans="1:27" x14ac:dyDescent="0.3">
      <c r="A60" t="s">
        <v>675</v>
      </c>
      <c r="B60" t="s">
        <v>676</v>
      </c>
      <c r="C60" t="s">
        <v>702</v>
      </c>
      <c r="D60" t="s">
        <v>703</v>
      </c>
      <c r="E60">
        <v>7482</v>
      </c>
      <c r="F60">
        <v>0.8</v>
      </c>
      <c r="G60" t="s">
        <v>164</v>
      </c>
      <c r="H60">
        <v>0.78</v>
      </c>
      <c r="I60">
        <f>inputs!$C$65*(inputs!$C$62/1000)</f>
        <v>0.82000000000000006</v>
      </c>
      <c r="J60">
        <f>inputs!$C$65*(inputs!$C$61/1000)</f>
        <v>0.25</v>
      </c>
      <c r="K60">
        <f t="shared" si="0"/>
        <v>5.0972166942022855E-2</v>
      </c>
      <c r="L60">
        <f>(((0.013*F60^0.773)/(1-H60)))*J60/F60</f>
        <v>1.5540294799397211E-2</v>
      </c>
      <c r="M60">
        <f>IF((((0.065*F60^0.726)/3.7-(0.301*F60^0.751)/(1-H60)*H60)*(MAX('Min rate concentrations'!$P$3:$P$368)))/F60&gt;0, (((0.065*F60^0.726)/3.7-(0.301*F60^0.751)/(1-H60)*H60)*(MAX('Min rate concentrations'!$P$3:$P$368)))/F60, 0)</f>
        <v>0</v>
      </c>
      <c r="N60">
        <f>IF((((0.065*F60^0.726)/3.7-(0.301*F60^0.751)/(1-H60)*H60)*(MAX('Min rate concentrations'!$Q$3:$Q$368)))/F60&gt;0, (((0.065*F60^0.726)/3.7-(0.301*F60^0.751)/(1-H60)*H60)*(MAX('Min rate concentrations'!$Q$3:$Q$368)))/F60, 0)</f>
        <v>0</v>
      </c>
      <c r="O60" t="s">
        <v>13</v>
      </c>
      <c r="P60" t="s">
        <v>13</v>
      </c>
      <c r="Q60">
        <f>(inputs!$C$7*11.2)*(8.42*F60^0.694)*0.5*1/F60</f>
        <v>25.242047916961916</v>
      </c>
      <c r="R60">
        <f>(60*76.9*((F60/1000)^0.76)*3*24*(MAX('Min rate concentrations'!$R$3:$R$368))/F60)</f>
        <v>2.3621906046616473E-3</v>
      </c>
      <c r="S60">
        <f>(IF(inputs!$C$6="aerial",((0.025*0.112*inputs!$C$7/3.3)*(3*60*76.9*((F60/1000)^0.76))*MAX(inputs!$H$14:$H$16))/F60,((0.0083*0.112*inputs!$C$7/1)*(3*60*76.9*((F60/1000)^0.76))*MAX(inputs!$H$14:$H$16))/F60))</f>
        <v>9.9742763964310033E-3</v>
      </c>
      <c r="T60">
        <f>IF((((inputs!$P$12/(V60/MAX(K60:S60)))^(1/inputs!$O$12))-1)/inputs!$N$12&lt;0, 0, IF((((inputs!$P$12/(V60/MAX(K60:S60)))^(1/inputs!$O$12))-1)/inputs!$N$12&gt;inputs!$H$17, inputs!$H$17, (((inputs!$P$12/(V60/MAX(K60:S60)))^(1/inputs!$O$12))-1)/inputs!$N$12))</f>
        <v>1000</v>
      </c>
      <c r="U60">
        <f>IF((((inputs!$P$12/(X60/MAX(K60:S60)))^(1/inputs!$O$12))-1)/inputs!$N$12&lt;0, 0, IF((((inputs!$P$12/(X60/MAX(K60:S60)))^(1/inputs!$O$12))-1)/inputs!$N$12&gt;inputs!$H$17, inputs!$H$17, (((inputs!$P$12/(X60/MAX(K60:S60)))^(1/inputs!$O$12))-1)/inputs!$N$12))</f>
        <v>1000</v>
      </c>
      <c r="V60">
        <f>inputs!$E$87*(F60/inputs!$F$87)^(1)</f>
        <v>1.5200000000000001E-4</v>
      </c>
      <c r="W60">
        <f>inputs!$E$90*(F60/inputs!$F$90)^(1)</f>
        <v>1.6000000000000001E-4</v>
      </c>
      <c r="X60">
        <f>inputs!$E$89*(F60/inputs!$F$89)^(1)</f>
        <v>5.9746835443037977E-4</v>
      </c>
      <c r="Y60" t="s">
        <v>13</v>
      </c>
      <c r="Z60">
        <f t="shared" si="1"/>
        <v>166066.10471685469</v>
      </c>
      <c r="AA60">
        <f t="shared" si="2"/>
        <v>157762.79948101196</v>
      </c>
    </row>
    <row r="61" spans="1:27" x14ac:dyDescent="0.3">
      <c r="A61" t="s">
        <v>675</v>
      </c>
      <c r="B61" t="s">
        <v>676</v>
      </c>
      <c r="C61" t="s">
        <v>702</v>
      </c>
      <c r="D61" t="s">
        <v>703</v>
      </c>
      <c r="E61">
        <v>7482</v>
      </c>
      <c r="F61">
        <v>0.8</v>
      </c>
      <c r="G61" t="s">
        <v>146</v>
      </c>
      <c r="H61">
        <v>0.84</v>
      </c>
      <c r="I61">
        <f>MAX('Min rate concentrations'!$I$3:$I$368)</f>
        <v>9.4775690500787988</v>
      </c>
      <c r="J61" t="s">
        <v>13</v>
      </c>
      <c r="K61">
        <f t="shared" si="0"/>
        <v>0.81006319360927126</v>
      </c>
      <c r="L61" t="s">
        <v>13</v>
      </c>
      <c r="M61">
        <f>IF((((0.065*F61^0.726)/3.7-(0.301*F61^0.751)/(1-H61)*H61)*(MAX('Min rate concentrations'!$P$3:$P$368)))/F61&gt;0, (((0.065*F61^0.726)/3.7-(0.301*F61^0.751)/(1-H61)*H61)*(MAX('Min rate concentrations'!$P$3:$P$368)))/F61, 0)</f>
        <v>0</v>
      </c>
      <c r="N61">
        <f>IF((((0.065*F61^0.726)/3.7-(0.301*F61^0.751)/(1-H61)*H61)*(MAX('Min rate concentrations'!$Q$3:$Q$368)))/F61&gt;0, (((0.065*F61^0.726)/3.7-(0.301*F61^0.751)/(1-H61)*H61)*(MAX('Min rate concentrations'!$Q$3:$Q$368)))/F61, 0)</f>
        <v>0</v>
      </c>
      <c r="O61" t="s">
        <v>13</v>
      </c>
      <c r="P61" t="s">
        <v>13</v>
      </c>
      <c r="Q61">
        <f>(inputs!$C$7*11.2)*(8.42*F61^0.694)*0.5*1/F61</f>
        <v>25.242047916961916</v>
      </c>
      <c r="R61">
        <f>(60*76.9*((F61/1000)^0.76)*3*24*(MAX('Min rate concentrations'!$R$3:$R$368))/F61)</f>
        <v>2.3621906046616473E-3</v>
      </c>
      <c r="S61">
        <f>(IF(inputs!$C$6="aerial",((0.025*0.112*inputs!$C$7/3.3)*(3*60*76.9*((F61/1000)^0.76))*MAX(inputs!$H$14:$H$16))/F61,((0.0083*0.112*inputs!$C$7/1)*(3*60*76.9*((F61/1000)^0.76))*MAX(inputs!$H$14:$H$16))/F61))</f>
        <v>9.9742763964310033E-3</v>
      </c>
      <c r="T61">
        <f>IF((((inputs!$P$12/(V61/MAX(K61:S61)))^(1/inputs!$O$12))-1)/inputs!$N$12&lt;0, 0, IF((((inputs!$P$12/(V61/MAX(K61:S61)))^(1/inputs!$O$12))-1)/inputs!$N$12&gt;inputs!$H$17, inputs!$H$17, (((inputs!$P$12/(V61/MAX(K61:S61)))^(1/inputs!$O$12))-1)/inputs!$N$12))</f>
        <v>1000</v>
      </c>
      <c r="U61">
        <f>IF((((inputs!$P$12/(X61/MAX(K61:S61)))^(1/inputs!$O$12))-1)/inputs!$N$12&lt;0, 0, IF((((inputs!$P$12/(X61/MAX(K61:S61)))^(1/inputs!$O$12))-1)/inputs!$N$12&gt;inputs!$H$17, inputs!$H$17, (((inputs!$P$12/(X61/MAX(K61:S61)))^(1/inputs!$O$12))-1)/inputs!$N$12))</f>
        <v>1000</v>
      </c>
      <c r="V61">
        <f>inputs!$E$87*(F61/inputs!$F$87)^(1)</f>
        <v>1.5200000000000001E-4</v>
      </c>
      <c r="W61">
        <f>inputs!$E$90*(F61/inputs!$F$90)^(1)</f>
        <v>1.6000000000000001E-4</v>
      </c>
      <c r="X61">
        <f>inputs!$E$89*(F61/inputs!$F$89)^(1)</f>
        <v>5.9746835443037977E-4</v>
      </c>
      <c r="Y61" t="s">
        <v>13</v>
      </c>
      <c r="Z61">
        <f t="shared" si="1"/>
        <v>166066.10471685469</v>
      </c>
      <c r="AA61">
        <f t="shared" si="2"/>
        <v>157762.79948101196</v>
      </c>
    </row>
    <row r="62" spans="1:27" x14ac:dyDescent="0.3">
      <c r="A62" t="s">
        <v>338</v>
      </c>
      <c r="B62" t="s">
        <v>339</v>
      </c>
      <c r="C62" t="s">
        <v>73</v>
      </c>
      <c r="D62" t="s">
        <v>137</v>
      </c>
      <c r="E62">
        <v>1221</v>
      </c>
      <c r="F62">
        <v>380</v>
      </c>
      <c r="G62" t="s">
        <v>164</v>
      </c>
      <c r="H62">
        <v>0.78</v>
      </c>
      <c r="I62">
        <f>inputs!$C$65*(inputs!$C$62/1000)</f>
        <v>0.82000000000000006</v>
      </c>
      <c r="J62">
        <f>inputs!$C$65*(inputs!$C$61/1000)</f>
        <v>0.25</v>
      </c>
      <c r="K62">
        <f t="shared" ref="K62:K71" si="6">((0.301*F62^0.751)/(1-H62))*I62/F62</f>
        <v>0.2556180700823838</v>
      </c>
      <c r="L62">
        <f t="shared" ref="L62:L71" si="7">((0.301*F62^0.751)/(1-H62))*J62/F62</f>
        <v>7.7932338439751142E-2</v>
      </c>
      <c r="M62">
        <f>IF((((1.18*F62^0.874)/3.7-(0.301*F62^0.751)/(1-H62)*H62)*(MAX('Min rate concentrations'!$P$3:$P$368)))/F62&gt;0, (((1.18*F62^0.874)/3.7-(0.301*F62^0.751)/(1-H62)*H62)*(MAX('Min rate concentrations'!$P$3:$P$368)))/F62, 0)</f>
        <v>0</v>
      </c>
      <c r="N62">
        <f>IF((((1.18*F62^0.874)/3.7-(0.301*F62^0.751)/(1-H62)*H62)*(MAX('Min rate concentrations'!$Q$3:$Q$368)))/F62&gt;0, (((1.18*F62^0.874)/3.7-(0.301*F62^0.751)/(1-H62)*H62)*(MAX('Min rate concentrations'!$Q$3:$Q$368)))/F62, 0)</f>
        <v>0</v>
      </c>
      <c r="O62">
        <f>((MAX('Min rate concentrations'!$F$3:$F$368))*0.62*6.01*8*(10*F62^0.667)*0.079*0.1/F62)*inputs!$E$80/(10^(0.84+0.62*LOG10(inputs!$E$80)))</f>
        <v>3.3848095504777449</v>
      </c>
      <c r="P62">
        <f>((MAX('Min rate concentrations'!Y:Y))*0.62*6.01*8*(10*F62^0.667)*0.079*0.1/F62)*inputs!$E$80/(10^(0.84+0.62*LOG10(inputs!$E$80)))</f>
        <v>1.1282698501592481</v>
      </c>
      <c r="Q62">
        <f>(inputs!$C$7*11.2*(10*F62^0.667)*0.5/F62)*inputs!$E$80/(10^(0.84+0.62*LOG10(inputs!$E$80)))</f>
        <v>0.59621823759810022</v>
      </c>
      <c r="R62">
        <f>(60*284*((F62/1000)^0.77)*3*24*(MAX('Min rate concentrations'!$R$3:$R$368))/F62)*(inputs!$E$73*3.4/inputs!$E$75)</f>
        <v>5.8557870889460887E-3</v>
      </c>
      <c r="S62">
        <f>(IF(inputs!$C$6="aerial",((0.025*0.112*inputs!$C$7/3.3)*(3*60*284*((F62/1000)^0.77))*MAX(inputs!$H$14:$H$16))/F62,((0.0083*0.112*inputs!$C$7/1)*(3*60*284*((F62/1000)^0.77))*MAX(inputs!$H$14:$H$16))/F62))*(inputs!E$75*3.4/inputs!$E$73)</f>
        <v>3.2295025565195583E-2</v>
      </c>
      <c r="T62">
        <f>IF((((inputs!$P$12/(V62/MAX(K62:S62)))^(1/inputs!$O$12))-1)/inputs!$N$12&lt;0, 0, IF((((inputs!$P$12/(V62/MAX(K62:S62)))^(1/inputs!$O$12))-1)/inputs!$N$12&gt;inputs!$H$17, inputs!$H$17, (((inputs!$P$12/(V62/MAX(K62:S62)))^(1/inputs!$O$12))-1)/inputs!$N$12))</f>
        <v>183.54168678735365</v>
      </c>
      <c r="U62">
        <f>IF((((inputs!$P$12/(X62/MAX(K62:S62)))^(1/inputs!$O$12))-1)/inputs!$N$12&lt;0, 0, IF((((inputs!$P$12/(X62/MAX(K62:S62)))^(1/inputs!$O$12))-1)/inputs!$N$12&gt;inputs!$H$17, inputs!$H$17, (((inputs!$P$12/(X62/MAX(K62:S62)))^(1/inputs!$O$12))-1)/inputs!$N$12))</f>
        <v>0</v>
      </c>
      <c r="V62">
        <f>inputs!$E$78*(F62/inputs!$F$78)^(inputs!$E$84-1)</f>
        <v>1.1594009988906985E-2</v>
      </c>
      <c r="W62">
        <f>inputs!$E$85*(F62/inputs!$F$85)^(inputs!$E$84-1)</f>
        <v>0.53539002324690754</v>
      </c>
      <c r="X62">
        <f>inputs!$E$80*(F62/inputs!$F$80)^(inputs!$E$84-1)</f>
        <v>1.9992412260485786</v>
      </c>
      <c r="Y62">
        <f>inputs!$E$82*(F62/inputs!$F$82)^(inputs!$E$84-1)</f>
        <v>0.92141868859208143</v>
      </c>
      <c r="Z62">
        <f t="shared" si="1"/>
        <v>291.94468123766427</v>
      </c>
      <c r="AA62">
        <f t="shared" si="2"/>
        <v>6.3221378873486431</v>
      </c>
    </row>
    <row r="63" spans="1:27" x14ac:dyDescent="0.3">
      <c r="A63" t="s">
        <v>191</v>
      </c>
      <c r="B63" t="s">
        <v>192</v>
      </c>
      <c r="C63" t="s">
        <v>73</v>
      </c>
      <c r="D63" t="s">
        <v>137</v>
      </c>
      <c r="E63">
        <v>8386</v>
      </c>
      <c r="F63">
        <v>441</v>
      </c>
      <c r="G63" t="s">
        <v>142</v>
      </c>
      <c r="H63">
        <v>0.69</v>
      </c>
      <c r="I63">
        <f>MAX('Min rate concentrations'!$H$3:$H$368)</f>
        <v>47</v>
      </c>
      <c r="J63">
        <f>MAX('Min rate concentrations'!AA:AA)</f>
        <v>32.5</v>
      </c>
      <c r="K63">
        <f t="shared" si="6"/>
        <v>10.019301623693254</v>
      </c>
      <c r="L63">
        <f t="shared" si="7"/>
        <v>6.9282404844687386</v>
      </c>
      <c r="M63">
        <f>IF((((1.18*F63^0.874)/3.7-(0.301*F63^0.751)/(1-H63)*H63)*(MAX('Min rate concentrations'!$P$3:$P$368)))/F63&gt;0, (((1.18*F63^0.874)/3.7-(0.301*F63^0.751)/(1-H63)*H63)*(MAX('Min rate concentrations'!$P$3:$P$368)))/F63, 0)</f>
        <v>1.4266302307921165E-4</v>
      </c>
      <c r="N63">
        <f>IF((((1.18*F63^0.874)/3.7-(0.301*F63^0.751)/(1-H63)*H63)*(MAX('Min rate concentrations'!$Q$3:$Q$368)))/F63&gt;0, (((1.18*F63^0.874)/3.7-(0.301*F63^0.751)/(1-H63)*H63)*(MAX('Min rate concentrations'!$Q$3:$Q$368)))/F63, 0)</f>
        <v>5.4326845741027336E-4</v>
      </c>
      <c r="O63">
        <f>((MAX('Min rate concentrations'!$F$3:$F$368))*0.62*6.01*8*(10*F63^0.667)*0.079*0.1/F63)*inputs!$E$80/(10^(0.84+0.62*LOG10(inputs!$E$80)))</f>
        <v>3.2210993863931954</v>
      </c>
      <c r="P63">
        <f>((MAX('Min rate concentrations'!Y:Y))*0.62*6.01*8*(10*F63^0.667)*0.079*0.1/F63)*inputs!$E$80/(10^(0.84+0.62*LOG10(inputs!$E$80)))</f>
        <v>1.0736997954643983</v>
      </c>
      <c r="Q63">
        <f>(inputs!$C$7*11.2*(10*F63^0.667)*0.5/F63)*inputs!$E$80/(10^(0.84+0.62*LOG10(inputs!$E$80)))</f>
        <v>0.56738146434637937</v>
      </c>
      <c r="R63">
        <f>(60*284*((F63/1000)^0.77)*3*24*(MAX('Min rate concentrations'!$R$3:$R$368))/F63)*(inputs!$E$73*3.4/inputs!$E$75)</f>
        <v>5.6586734107008521E-3</v>
      </c>
      <c r="S63">
        <f>(IF(inputs!$C$6="aerial",((0.025*0.112*inputs!$C$7/3.3)*(3*60*284*((F63/1000)^0.77))*MAX(inputs!$H$14:$H$16))/F63,((0.0083*0.112*inputs!$C$7/1)*(3*60*284*((F63/1000)^0.77))*MAX(inputs!$H$14:$H$16))/F63))*(inputs!E$75*3.4/inputs!$E$73)</f>
        <v>3.1207931519341994E-2</v>
      </c>
      <c r="T63">
        <f>IF((((inputs!$P$12/(V63/MAX(K63:S63)))^(1/inputs!$O$12))-1)/inputs!$N$12&lt;0, 0, IF((((inputs!$P$12/(V63/MAX(K63:S63)))^(1/inputs!$O$12))-1)/inputs!$N$12&gt;inputs!$H$17, inputs!$H$17, (((inputs!$P$12/(V63/MAX(K63:S63)))^(1/inputs!$O$12))-1)/inputs!$N$12))</f>
        <v>308.66268764854772</v>
      </c>
      <c r="U63">
        <f>IF((((inputs!$P$12/(X63/MAX(K63:S63)))^(1/inputs!$O$12))-1)/inputs!$N$12&lt;0, 0, IF((((inputs!$P$12/(X63/MAX(K63:S63)))^(1/inputs!$O$12))-1)/inputs!$N$12&gt;inputs!$H$17, inputs!$H$17, (((inputs!$P$12/(X63/MAX(K63:S63)))^(1/inputs!$O$12))-1)/inputs!$N$12))</f>
        <v>13.015803997388604</v>
      </c>
      <c r="V63">
        <f>inputs!$E$78*(F63/inputs!$F$78)^(inputs!$E$84-1)</f>
        <v>1.0972644854266207E-2</v>
      </c>
      <c r="W63">
        <f>inputs!$E$85*(F63/inputs!$F$85)^(inputs!$E$84-1)</f>
        <v>0.50669652598423132</v>
      </c>
      <c r="X63">
        <f>inputs!$E$80*(F63/inputs!$F$80)^(inputs!$E$84-1)</f>
        <v>1.8920946223461801</v>
      </c>
      <c r="Y63">
        <f>inputs!$E$82*(F63/inputs!$F$82)^(inputs!$E$84-1)</f>
        <v>0.87203651210220912</v>
      </c>
      <c r="Z63">
        <f t="shared" si="1"/>
        <v>913.11636863902606</v>
      </c>
      <c r="AA63">
        <f t="shared" si="2"/>
        <v>19.773772090170322</v>
      </c>
    </row>
    <row r="64" spans="1:27" x14ac:dyDescent="0.3">
      <c r="A64" t="s">
        <v>191</v>
      </c>
      <c r="B64" t="s">
        <v>192</v>
      </c>
      <c r="C64" t="s">
        <v>73</v>
      </c>
      <c r="D64" t="s">
        <v>137</v>
      </c>
      <c r="E64">
        <v>8386</v>
      </c>
      <c r="F64">
        <v>441</v>
      </c>
      <c r="G64" t="s">
        <v>138</v>
      </c>
      <c r="H64">
        <v>0.68</v>
      </c>
      <c r="I64">
        <f>MAX('Min rate concentrations'!$L$3:$L$368)</f>
        <v>58.421240152220811</v>
      </c>
      <c r="J64">
        <f>MAX('Min rate concentrations'!AD:AD)</f>
        <v>40.397666062705881</v>
      </c>
      <c r="K64">
        <f t="shared" si="6"/>
        <v>12.064854265807785</v>
      </c>
      <c r="L64">
        <f t="shared" si="7"/>
        <v>8.3427183752926179</v>
      </c>
      <c r="M64">
        <f>IF((((1.18*F64^0.874)/3.7-(0.301*F64^0.751)/(1-H64)*H64)*(MAX('Min rate concentrations'!$P$3:$P$368)))/F64&gt;0, (((1.18*F64^0.874)/3.7-(0.301*F64^0.751)/(1-H64)*H64)*(MAX('Min rate concentrations'!$P$3:$P$368)))/F64, 0)</f>
        <v>1.1096057771223574E-3</v>
      </c>
      <c r="N64">
        <f>IF((((1.18*F64^0.874)/3.7-(0.301*F64^0.751)/(1-H64)*H64)*(MAX('Min rate concentrations'!$Q$3:$Q$368)))/F64&gt;0, (((1.18*F64^0.874)/3.7-(0.301*F64^0.751)/(1-H64)*H64)*(MAX('Min rate concentrations'!$Q$3:$Q$368)))/F64, 0)</f>
        <v>4.2254384202701691E-3</v>
      </c>
      <c r="O64">
        <f>((MAX('Min rate concentrations'!$F$3:$F$368))*0.62*6.01*8*(10*F64^0.667)*0.079*0.1/F64)*inputs!$E$80/(10^(0.84+0.62*LOG10(inputs!$E$80)))</f>
        <v>3.2210993863931954</v>
      </c>
      <c r="P64">
        <f>((MAX('Min rate concentrations'!Y:Y))*0.62*6.01*8*(10*F64^0.667)*0.079*0.1/F64)*inputs!$E$80/(10^(0.84+0.62*LOG10(inputs!$E$80)))</f>
        <v>1.0736997954643983</v>
      </c>
      <c r="Q64">
        <f>(inputs!$C$7*11.2*(10*F64^0.667)*0.5/F64)*inputs!$E$80/(10^(0.84+0.62*LOG10(inputs!$E$80)))</f>
        <v>0.56738146434637937</v>
      </c>
      <c r="R64">
        <f>(60*284*((F64/1000)^0.77)*3*24*(MAX('Min rate concentrations'!$R$3:$R$368))/F64)*(inputs!$E$73*3.4/inputs!$E$75)</f>
        <v>5.6586734107008521E-3</v>
      </c>
      <c r="S64">
        <f>(IF(inputs!$C$6="aerial",((0.025*0.112*inputs!$C$7/3.3)*(3*60*284*((F64/1000)^0.77))*MAX(inputs!$H$14:$H$16))/F64,((0.0083*0.112*inputs!$C$7/1)*(3*60*284*((F64/1000)^0.77))*MAX(inputs!$H$14:$H$16))/F64))*(inputs!E$75*3.4/inputs!$E$73)</f>
        <v>3.1207931519341994E-2</v>
      </c>
      <c r="T64">
        <f>IF((((inputs!$P$12/(V64/MAX(K64:S64)))^(1/inputs!$O$12))-1)/inputs!$N$12&lt;0, 0, IF((((inputs!$P$12/(V64/MAX(K64:S64)))^(1/inputs!$O$12))-1)/inputs!$N$12&gt;inputs!$H$17, inputs!$H$17, (((inputs!$P$12/(V64/MAX(K64:S64)))^(1/inputs!$O$12))-1)/inputs!$N$12))</f>
        <v>335.12679546459123</v>
      </c>
      <c r="U64">
        <f>IF((((inputs!$P$12/(X64/MAX(K64:S64)))^(1/inputs!$O$12))-1)/inputs!$N$12&lt;0, 0, IF((((inputs!$P$12/(X64/MAX(K64:S64)))^(1/inputs!$O$12))-1)/inputs!$N$12&gt;inputs!$H$17, inputs!$H$17, (((inputs!$P$12/(X64/MAX(K64:S64)))^(1/inputs!$O$12))-1)/inputs!$N$12))</f>
        <v>16.273718803835472</v>
      </c>
      <c r="V64">
        <f>inputs!$E$78*(F64/inputs!$F$78)^(inputs!$E$84-1)</f>
        <v>1.0972644854266207E-2</v>
      </c>
      <c r="W64">
        <f>inputs!$E$85*(F64/inputs!$F$85)^(inputs!$E$84-1)</f>
        <v>0.50669652598423132</v>
      </c>
      <c r="X64">
        <f>inputs!$E$80*(F64/inputs!$F$80)^(inputs!$E$84-1)</f>
        <v>1.8920946223461801</v>
      </c>
      <c r="Y64">
        <f>inputs!$E$82*(F64/inputs!$F$82)^(inputs!$E$84-1)</f>
        <v>0.87203651210220912</v>
      </c>
      <c r="Z64">
        <f t="shared" si="1"/>
        <v>1099.5393021507412</v>
      </c>
      <c r="AA64">
        <f t="shared" si="2"/>
        <v>23.810809127559029</v>
      </c>
    </row>
    <row r="65" spans="1:27" x14ac:dyDescent="0.3">
      <c r="A65" t="s">
        <v>191</v>
      </c>
      <c r="B65" t="s">
        <v>192</v>
      </c>
      <c r="C65" t="s">
        <v>73</v>
      </c>
      <c r="D65" t="s">
        <v>137</v>
      </c>
      <c r="E65">
        <v>8386</v>
      </c>
      <c r="F65">
        <v>441</v>
      </c>
      <c r="G65" t="s">
        <v>456</v>
      </c>
      <c r="H65">
        <v>0.68</v>
      </c>
      <c r="I65">
        <f>MAX('Min rate concentrations'!$J$3:$J$368)</f>
        <v>114.4108103430513</v>
      </c>
      <c r="J65">
        <f>MAX('Min rate concentrations'!AB:AB)</f>
        <v>40.520495329830666</v>
      </c>
      <c r="K65">
        <f t="shared" si="6"/>
        <v>23.627532548526627</v>
      </c>
      <c r="L65">
        <f t="shared" si="7"/>
        <v>8.3680844442698472</v>
      </c>
      <c r="M65">
        <f>IF((((1.18*F65^0.874)/3.7-(0.301*F65^0.751)/(1-H65)*H65)*(MAX('Min rate concentrations'!$P$3:$P$368)))/F65&gt;0, (((1.18*F65^0.874)/3.7-(0.301*F65^0.751)/(1-H65)*H65)*(MAX('Min rate concentrations'!$P$3:$P$368)))/F65, 0)</f>
        <v>1.1096057771223574E-3</v>
      </c>
      <c r="N65">
        <f>IF((((1.18*F65^0.874)/3.7-(0.301*F65^0.751)/(1-H65)*H65)*(MAX('Min rate concentrations'!$Q$3:$Q$368)))/F65&gt;0, (((1.18*F65^0.874)/3.7-(0.301*F65^0.751)/(1-H65)*H65)*(MAX('Min rate concentrations'!$Q$3:$Q$368)))/F65, 0)</f>
        <v>4.2254384202701691E-3</v>
      </c>
      <c r="O65">
        <f>((MAX('Min rate concentrations'!$F$3:$F$368))*0.62*6.01*8*(10*F65^0.667)*0.079*0.1/F65)*inputs!$E$80/(10^(0.84+0.62*LOG10(inputs!$E$80)))</f>
        <v>3.2210993863931954</v>
      </c>
      <c r="P65">
        <f>((MAX('Min rate concentrations'!Y:Y))*0.62*6.01*8*(10*F65^0.667)*0.079*0.1/F65)*inputs!$E$80/(10^(0.84+0.62*LOG10(inputs!$E$80)))</f>
        <v>1.0736997954643983</v>
      </c>
      <c r="Q65">
        <f>(inputs!$C$7*11.2*(10*F65^0.667)*0.5/F65)*inputs!$E$80/(10^(0.84+0.62*LOG10(inputs!$E$80)))</f>
        <v>0.56738146434637937</v>
      </c>
      <c r="R65">
        <f>(60*284*((F65/1000)^0.77)*3*24*(MAX('Min rate concentrations'!$R$3:$R$368))/F65)*(inputs!$E$73*3.4/inputs!$E$75)</f>
        <v>5.6586734107008521E-3</v>
      </c>
      <c r="S65">
        <f>(IF(inputs!$C$6="aerial",((0.025*0.112*inputs!$C$7/3.3)*(3*60*284*((F65/1000)^0.77))*MAX(inputs!$H$14:$H$16))/F65,((0.0083*0.112*inputs!$C$7/1)*(3*60*284*((F65/1000)^0.77))*MAX(inputs!$H$14:$H$16))/F65))*(inputs!E$75*3.4/inputs!$E$73)</f>
        <v>3.1207931519341994E-2</v>
      </c>
      <c r="T65">
        <f>IF((((inputs!$P$12/(V65/MAX(K65:S65)))^(1/inputs!$O$12))-1)/inputs!$N$12&lt;0, 0, IF((((inputs!$P$12/(V65/MAX(K65:S65)))^(1/inputs!$O$12))-1)/inputs!$N$12&gt;inputs!$H$17, inputs!$H$17, (((inputs!$P$12/(V65/MAX(K65:S65)))^(1/inputs!$O$12))-1)/inputs!$N$12))</f>
        <v>449.44467272882832</v>
      </c>
      <c r="U65">
        <f>IF((((inputs!$P$12/(X65/MAX(K65:S65)))^(1/inputs!$O$12))-1)/inputs!$N$12&lt;0, 0, IF((((inputs!$P$12/(X65/MAX(K65:S65)))^(1/inputs!$O$12))-1)/inputs!$N$12&gt;inputs!$H$17, inputs!$H$17, (((inputs!$P$12/(X65/MAX(K65:S65)))^(1/inputs!$O$12))-1)/inputs!$N$12))</f>
        <v>30.347040586289413</v>
      </c>
      <c r="V65">
        <f>inputs!$E$78*(F65/inputs!$F$78)^(inputs!$E$84-1)</f>
        <v>1.0972644854266207E-2</v>
      </c>
      <c r="W65">
        <f>inputs!$E$85*(F65/inputs!$F$85)^(inputs!$E$84-1)</f>
        <v>0.50669652598423132</v>
      </c>
      <c r="X65">
        <f>inputs!$E$80*(F65/inputs!$F$80)^(inputs!$E$84-1)</f>
        <v>1.8920946223461801</v>
      </c>
      <c r="Y65">
        <f>inputs!$E$82*(F65/inputs!$F$82)^(inputs!$E$84-1)</f>
        <v>0.87203651210220912</v>
      </c>
      <c r="Z65">
        <f t="shared" si="1"/>
        <v>2153.312429440396</v>
      </c>
      <c r="AA65">
        <f t="shared" si="2"/>
        <v>46.630539853478155</v>
      </c>
    </row>
    <row r="66" spans="1:27" x14ac:dyDescent="0.3">
      <c r="A66" t="s">
        <v>189</v>
      </c>
      <c r="B66" t="s">
        <v>190</v>
      </c>
      <c r="C66" t="s">
        <v>73</v>
      </c>
      <c r="D66" t="s">
        <v>137</v>
      </c>
      <c r="E66">
        <v>127</v>
      </c>
      <c r="F66">
        <v>380</v>
      </c>
      <c r="G66" t="s">
        <v>182</v>
      </c>
      <c r="H66">
        <v>0.85</v>
      </c>
      <c r="I66">
        <f>MAX('Min rate concentrations'!$M$3:$M$368)</f>
        <v>2.8488184789681945</v>
      </c>
      <c r="J66">
        <f>MAX('Min rate concentrations'!AE:AE)</f>
        <v>1.9699276716269429</v>
      </c>
      <c r="K66">
        <f t="shared" si="6"/>
        <v>1.3024885036906826</v>
      </c>
      <c r="L66">
        <f t="shared" si="7"/>
        <v>0.90065694404142949</v>
      </c>
      <c r="M66">
        <f>IF((((1.18*F66^0.874)/3.7-(0.301*F66^0.751)/(1-H66)*H66)*(MAX('Min rate concentrations'!$P$3:$P$368)))/F66&gt;0, (((1.18*F66^0.874)/3.7-(0.301*F66^0.751)/(1-H66)*H66)*(MAX('Min rate concentrations'!$P$3:$P$368)))/F66, 0)</f>
        <v>0</v>
      </c>
      <c r="N66">
        <f>IF((((1.18*F66^0.874)/3.7-(0.301*F66^0.751)/(1-H66)*H66)*(MAX('Min rate concentrations'!$Q$3:$Q$368)))/F66&gt;0, (((1.18*F66^0.874)/3.7-(0.301*F66^0.751)/(1-H66)*H66)*(MAX('Min rate concentrations'!$Q$3:$Q$368)))/F66, 0)</f>
        <v>0</v>
      </c>
      <c r="O66">
        <f>((MAX('Min rate concentrations'!$F$3:$F$368))*0.62*6.01*8*(10*F66^0.667)*0.079*0.1/F66)*inputs!$E$80/(10^(0.84+0.62*LOG10(inputs!$E$80)))</f>
        <v>3.3848095504777449</v>
      </c>
      <c r="P66">
        <f>((MAX('Min rate concentrations'!Y:Y))*0.62*6.01*8*(10*F66^0.667)*0.079*0.1/F66)*inputs!$E$80/(10^(0.84+0.62*LOG10(inputs!$E$80)))</f>
        <v>1.1282698501592481</v>
      </c>
      <c r="Q66">
        <f>(inputs!$C$7*11.2*(10*F66^0.667)*0.5/F66)*inputs!$E$80/(10^(0.84+0.62*LOG10(inputs!$E$80)))</f>
        <v>0.59621823759810022</v>
      </c>
      <c r="R66">
        <f>(60*284*((F66/1000)^0.77)*3*24*(MAX('Min rate concentrations'!$R$3:$R$368))/F66)*(inputs!$E$73*3.4/inputs!$E$75)</f>
        <v>5.8557870889460887E-3</v>
      </c>
      <c r="S66">
        <f>(IF(inputs!$C$6="aerial",((0.025*0.112*inputs!$C$7/3.3)*(3*60*284*((F66/1000)^0.77))*MAX(inputs!$H$14:$H$16))/F66,((0.0083*0.112*inputs!$C$7/1)*(3*60*284*((F66/1000)^0.77))*MAX(inputs!$H$14:$H$16))/F66))*(inputs!E$75*3.4/inputs!$E$73)</f>
        <v>3.2295025565195583E-2</v>
      </c>
      <c r="T66">
        <f>IF((((inputs!$P$12/(V66/MAX(K66:S66)))^(1/inputs!$O$12))-1)/inputs!$N$12&lt;0, 0, IF((((inputs!$P$12/(V66/MAX(K66:S66)))^(1/inputs!$O$12))-1)/inputs!$N$12&gt;inputs!$H$17, inputs!$H$17, (((inputs!$P$12/(V66/MAX(K66:S66)))^(1/inputs!$O$12))-1)/inputs!$N$12))</f>
        <v>183.54168678735365</v>
      </c>
      <c r="U66">
        <f>IF((((inputs!$P$12/(X66/MAX(K66:S66)))^(1/inputs!$O$12))-1)/inputs!$N$12&lt;0, 0, IF((((inputs!$P$12/(X66/MAX(K66:S66)))^(1/inputs!$O$12))-1)/inputs!$N$12&gt;inputs!$H$17, inputs!$H$17, (((inputs!$P$12/(X66/MAX(K66:S66)))^(1/inputs!$O$12))-1)/inputs!$N$12))</f>
        <v>0</v>
      </c>
      <c r="V66">
        <f>inputs!$E$78*(F66/inputs!$F$78)^(inputs!$E$84-1)</f>
        <v>1.1594009988906985E-2</v>
      </c>
      <c r="W66">
        <f>inputs!$E$85*(F66/inputs!$F$85)^(inputs!$E$84-1)</f>
        <v>0.53539002324690754</v>
      </c>
      <c r="X66">
        <f>inputs!$E$80*(F66/inputs!$F$80)^(inputs!$E$84-1)</f>
        <v>1.9992412260485786</v>
      </c>
      <c r="Y66">
        <f>inputs!$E$82*(F66/inputs!$F$82)^(inputs!$E$84-1)</f>
        <v>0.92141868859208143</v>
      </c>
      <c r="Z66">
        <f t="shared" ref="Z66:Z129" si="8">MAX(K66:S66)/V66</f>
        <v>291.94468123766427</v>
      </c>
      <c r="AA66">
        <f t="shared" ref="AA66:AA129" si="9">MAX(K66:S66)/W66</f>
        <v>6.3221378873486431</v>
      </c>
    </row>
    <row r="67" spans="1:27" x14ac:dyDescent="0.3">
      <c r="A67" t="s">
        <v>189</v>
      </c>
      <c r="B67" t="s">
        <v>190</v>
      </c>
      <c r="C67" t="s">
        <v>73</v>
      </c>
      <c r="D67" t="s">
        <v>137</v>
      </c>
      <c r="E67">
        <v>127</v>
      </c>
      <c r="F67">
        <v>380</v>
      </c>
      <c r="G67" t="s">
        <v>142</v>
      </c>
      <c r="H67">
        <v>0.69</v>
      </c>
      <c r="I67">
        <f>MAX('Min rate concentrations'!$H$3:$H$368)</f>
        <v>47</v>
      </c>
      <c r="J67">
        <f>MAX('Min rate concentrations'!AA:AA)</f>
        <v>32.5</v>
      </c>
      <c r="K67">
        <f t="shared" si="6"/>
        <v>10.39768231570357</v>
      </c>
      <c r="L67">
        <f t="shared" si="7"/>
        <v>7.1898867076673625</v>
      </c>
      <c r="M67">
        <f>IF((((1.18*F67^0.874)/3.7-(0.301*F67^0.751)/(1-H67)*H67)*(MAX('Min rate concentrations'!$P$3:$P$368)))/F67&gt;0, (((1.18*F67^0.874)/3.7-(0.301*F67^0.751)/(1-H67)*H67)*(MAX('Min rate concentrations'!$P$3:$P$368)))/F67, 0)</f>
        <v>0</v>
      </c>
      <c r="N67">
        <f>IF((((1.18*F67^0.874)/3.7-(0.301*F67^0.751)/(1-H67)*H67)*(MAX('Min rate concentrations'!$Q$3:$Q$368)))/F67&gt;0, (((1.18*F67^0.874)/3.7-(0.301*F67^0.751)/(1-H67)*H67)*(MAX('Min rate concentrations'!$Q$3:$Q$368)))/F67, 0)</f>
        <v>0</v>
      </c>
      <c r="O67">
        <f>((MAX('Min rate concentrations'!$F$3:$F$368))*0.62*6.01*8*(10*F67^0.667)*0.079*0.1/F67)*inputs!$E$80/(10^(0.84+0.62*LOG10(inputs!$E$80)))</f>
        <v>3.3848095504777449</v>
      </c>
      <c r="P67">
        <f>((MAX('Min rate concentrations'!Y:Y))*0.62*6.01*8*(10*F67^0.667)*0.079*0.1/F67)*inputs!$E$80/(10^(0.84+0.62*LOG10(inputs!$E$80)))</f>
        <v>1.1282698501592481</v>
      </c>
      <c r="Q67">
        <f>(inputs!$C$7*11.2*(10*F67^0.667)*0.5/F67)*inputs!$E$80/(10^(0.84+0.62*LOG10(inputs!$E$80)))</f>
        <v>0.59621823759810022</v>
      </c>
      <c r="R67">
        <f>(60*284*((F67/1000)^0.77)*3*24*(MAX('Min rate concentrations'!$R$3:$R$368))/F67)*(inputs!$E$73*3.4/inputs!$E$75)</f>
        <v>5.8557870889460887E-3</v>
      </c>
      <c r="S67">
        <f>(IF(inputs!$C$6="aerial",((0.025*0.112*inputs!$C$7/3.3)*(3*60*284*((F67/1000)^0.77))*MAX(inputs!$H$14:$H$16))/F67,((0.0083*0.112*inputs!$C$7/1)*(3*60*284*((F67/1000)^0.77))*MAX(inputs!$H$14:$H$16))/F67))*(inputs!E$75*3.4/inputs!$E$73)</f>
        <v>3.2295025565195583E-2</v>
      </c>
      <c r="T67">
        <f>IF((((inputs!$P$12/(V67/MAX(K67:S67)))^(1/inputs!$O$12))-1)/inputs!$N$12&lt;0, 0, IF((((inputs!$P$12/(V67/MAX(K67:S67)))^(1/inputs!$O$12))-1)/inputs!$N$12&gt;inputs!$H$17, inputs!$H$17, (((inputs!$P$12/(V67/MAX(K67:S67)))^(1/inputs!$O$12))-1)/inputs!$N$12))</f>
        <v>306.20145942752998</v>
      </c>
      <c r="U67">
        <f>IF((((inputs!$P$12/(X67/MAX(K67:S67)))^(1/inputs!$O$12))-1)/inputs!$N$12&lt;0, 0, IF((((inputs!$P$12/(X67/MAX(K67:S67)))^(1/inputs!$O$12))-1)/inputs!$N$12&gt;inputs!$H$17, inputs!$H$17, (((inputs!$P$12/(X67/MAX(K67:S67)))^(1/inputs!$O$12))-1)/inputs!$N$12))</f>
        <v>12.712809771434083</v>
      </c>
      <c r="V67">
        <f>inputs!$E$78*(F67/inputs!$F$78)^(inputs!$E$84-1)</f>
        <v>1.1594009988906985E-2</v>
      </c>
      <c r="W67">
        <f>inputs!$E$85*(F67/inputs!$F$85)^(inputs!$E$84-1)</f>
        <v>0.53539002324690754</v>
      </c>
      <c r="X67">
        <f>inputs!$E$80*(F67/inputs!$F$80)^(inputs!$E$84-1)</f>
        <v>1.9992412260485786</v>
      </c>
      <c r="Y67">
        <f>inputs!$E$82*(F67/inputs!$F$82)^(inputs!$E$84-1)</f>
        <v>0.92141868859208143</v>
      </c>
      <c r="Z67">
        <f t="shared" si="8"/>
        <v>896.81502134739856</v>
      </c>
      <c r="AA67">
        <f t="shared" si="9"/>
        <v>19.420762181271421</v>
      </c>
    </row>
    <row r="68" spans="1:27" x14ac:dyDescent="0.3">
      <c r="A68" t="s">
        <v>189</v>
      </c>
      <c r="B68" t="s">
        <v>190</v>
      </c>
      <c r="C68" t="s">
        <v>73</v>
      </c>
      <c r="D68" t="s">
        <v>137</v>
      </c>
      <c r="E68">
        <v>127</v>
      </c>
      <c r="F68">
        <v>380</v>
      </c>
      <c r="G68" t="s">
        <v>138</v>
      </c>
      <c r="H68">
        <v>0.68</v>
      </c>
      <c r="I68">
        <f>MAX('Min rate concentrations'!$L$3:$L$368)</f>
        <v>58.421240152220811</v>
      </c>
      <c r="J68">
        <f>MAX('Min rate concentrations'!AD:AD)</f>
        <v>40.397666062705881</v>
      </c>
      <c r="K68">
        <f t="shared" si="6"/>
        <v>12.520485613935341</v>
      </c>
      <c r="L68">
        <f t="shared" si="7"/>
        <v>8.6577826053808202</v>
      </c>
      <c r="M68">
        <f>IF((((1.18*F68^0.874)/3.7-(0.301*F68^0.751)/(1-H68)*H68)*(MAX('Min rate concentrations'!$P$3:$P$368)))/F68&gt;0, (((1.18*F68^0.874)/3.7-(0.301*F68^0.751)/(1-H68)*H68)*(MAX('Min rate concentrations'!$P$3:$P$368)))/F68, 0)</f>
        <v>7.4680025260605602E-4</v>
      </c>
      <c r="N68">
        <f>IF((((1.18*F68^0.874)/3.7-(0.301*F68^0.751)/(1-H68)*H68)*(MAX('Min rate concentrations'!$Q$3:$Q$368)))/F68&gt;0, (((1.18*F68^0.874)/3.7-(0.301*F68^0.751)/(1-H68)*H68)*(MAX('Min rate concentrations'!$Q$3:$Q$368)))/F68, 0)</f>
        <v>2.8438554887598878E-3</v>
      </c>
      <c r="O68">
        <f>((MAX('Min rate concentrations'!$F$3:$F$368))*0.62*6.01*8*(10*F68^0.667)*0.079*0.1/F68)*inputs!$E$80/(10^(0.84+0.62*LOG10(inputs!$E$80)))</f>
        <v>3.3848095504777449</v>
      </c>
      <c r="P68">
        <f>((MAX('Min rate concentrations'!Y:Y))*0.62*6.01*8*(10*F68^0.667)*0.079*0.1/F68)*inputs!$E$80/(10^(0.84+0.62*LOG10(inputs!$E$80)))</f>
        <v>1.1282698501592481</v>
      </c>
      <c r="Q68">
        <f>(inputs!$C$7*11.2*(10*F68^0.667)*0.5/F68)*inputs!$E$80/(10^(0.84+0.62*LOG10(inputs!$E$80)))</f>
        <v>0.59621823759810022</v>
      </c>
      <c r="R68">
        <f>(60*284*((F68/1000)^0.77)*3*24*(MAX('Min rate concentrations'!$R$3:$R$368))/F68)*(inputs!$E$73*3.4/inputs!$E$75)</f>
        <v>5.8557870889460887E-3</v>
      </c>
      <c r="S68">
        <f>(IF(inputs!$C$6="aerial",((0.025*0.112*inputs!$C$7/3.3)*(3*60*284*((F68/1000)^0.77))*MAX(inputs!$H$14:$H$16))/F68,((0.0083*0.112*inputs!$C$7/1)*(3*60*284*((F68/1000)^0.77))*MAX(inputs!$H$14:$H$16))/F68))*(inputs!E$75*3.4/inputs!$E$73)</f>
        <v>3.2295025565195583E-2</v>
      </c>
      <c r="T68">
        <f>IF((((inputs!$P$12/(V68/MAX(K68:S68)))^(1/inputs!$O$12))-1)/inputs!$N$12&lt;0, 0, IF((((inputs!$P$12/(V68/MAX(K68:S68)))^(1/inputs!$O$12))-1)/inputs!$N$12&gt;inputs!$H$17, inputs!$H$17, (((inputs!$P$12/(V68/MAX(K68:S68)))^(1/inputs!$O$12))-1)/inputs!$N$12))</f>
        <v>332.47237820524401</v>
      </c>
      <c r="U68">
        <f>IF((((inputs!$P$12/(X68/MAX(K68:S68)))^(1/inputs!$O$12))-1)/inputs!$N$12&lt;0, 0, IF((((inputs!$P$12/(X68/MAX(K68:S68)))^(1/inputs!$O$12))-1)/inputs!$N$12&gt;inputs!$H$17, inputs!$H$17, (((inputs!$P$12/(X68/MAX(K68:S68)))^(1/inputs!$O$12))-1)/inputs!$N$12))</f>
        <v>15.946941670375008</v>
      </c>
      <c r="V68">
        <f>inputs!$E$78*(F68/inputs!$F$78)^(inputs!$E$84-1)</f>
        <v>1.1594009988906985E-2</v>
      </c>
      <c r="W68">
        <f>inputs!$E$85*(F68/inputs!$F$85)^(inputs!$E$84-1)</f>
        <v>0.53539002324690754</v>
      </c>
      <c r="X68">
        <f>inputs!$E$80*(F68/inputs!$F$80)^(inputs!$E$84-1)</f>
        <v>1.9992412260485786</v>
      </c>
      <c r="Y68">
        <f>inputs!$E$82*(F68/inputs!$F$82)^(inputs!$E$84-1)</f>
        <v>0.92141868859208143</v>
      </c>
      <c r="Z68">
        <f t="shared" si="8"/>
        <v>1079.9098522353179</v>
      </c>
      <c r="AA68">
        <f t="shared" si="9"/>
        <v>23.385728292066489</v>
      </c>
    </row>
    <row r="69" spans="1:27" x14ac:dyDescent="0.3">
      <c r="A69" t="s">
        <v>189</v>
      </c>
      <c r="B69" t="s">
        <v>190</v>
      </c>
      <c r="C69" t="s">
        <v>73</v>
      </c>
      <c r="D69" t="s">
        <v>137</v>
      </c>
      <c r="E69">
        <v>127</v>
      </c>
      <c r="F69">
        <v>380</v>
      </c>
      <c r="G69" t="s">
        <v>456</v>
      </c>
      <c r="H69">
        <v>0.68</v>
      </c>
      <c r="I69">
        <f>MAX('Min rate concentrations'!$J$3:$J$368)</f>
        <v>114.4108103430513</v>
      </c>
      <c r="J69">
        <f>MAX('Min rate concentrations'!AB:AB)</f>
        <v>40.520495329830666</v>
      </c>
      <c r="K69">
        <f t="shared" si="6"/>
        <v>24.519830480257347</v>
      </c>
      <c r="L69">
        <f t="shared" si="7"/>
        <v>8.6841066284244786</v>
      </c>
      <c r="M69">
        <f>IF((((1.18*F69^0.874)/3.7-(0.301*F69^0.751)/(1-H69)*H69)*(MAX('Min rate concentrations'!$P$3:$P$368)))/F69&gt;0, (((1.18*F69^0.874)/3.7-(0.301*F69^0.751)/(1-H69)*H69)*(MAX('Min rate concentrations'!$P$3:$P$368)))/F69, 0)</f>
        <v>7.4680025260605602E-4</v>
      </c>
      <c r="N69">
        <f>IF((((1.18*F69^0.874)/3.7-(0.301*F69^0.751)/(1-H69)*H69)*(MAX('Min rate concentrations'!$Q$3:$Q$368)))/F69&gt;0, (((1.18*F69^0.874)/3.7-(0.301*F69^0.751)/(1-H69)*H69)*(MAX('Min rate concentrations'!$Q$3:$Q$368)))/F69, 0)</f>
        <v>2.8438554887598878E-3</v>
      </c>
      <c r="O69">
        <f>((MAX('Min rate concentrations'!$F$3:$F$368))*0.62*6.01*8*(10*F69^0.667)*0.079*0.1/F69)*inputs!$E$80/(10^(0.84+0.62*LOG10(inputs!$E$80)))</f>
        <v>3.3848095504777449</v>
      </c>
      <c r="P69">
        <f>((MAX('Min rate concentrations'!Y:Y))*0.62*6.01*8*(10*F69^0.667)*0.079*0.1/F69)*inputs!$E$80/(10^(0.84+0.62*LOG10(inputs!$E$80)))</f>
        <v>1.1282698501592481</v>
      </c>
      <c r="Q69">
        <f>(inputs!$C$7*11.2*(10*F69^0.667)*0.5/F69)*inputs!$E$80/(10^(0.84+0.62*LOG10(inputs!$E$80)))</f>
        <v>0.59621823759810022</v>
      </c>
      <c r="R69">
        <f>(60*284*((F69/1000)^0.77)*3*24*(MAX('Min rate concentrations'!$R$3:$R$368))/F69)*(inputs!$E$73*3.4/inputs!$E$75)</f>
        <v>5.8557870889460887E-3</v>
      </c>
      <c r="S69">
        <f>(IF(inputs!$C$6="aerial",((0.025*0.112*inputs!$C$7/3.3)*(3*60*284*((F69/1000)^0.77))*MAX(inputs!$H$14:$H$16))/F69,((0.0083*0.112*inputs!$C$7/1)*(3*60*284*((F69/1000)^0.77))*MAX(inputs!$H$14:$H$16))/F69))*(inputs!E$75*3.4/inputs!$E$73)</f>
        <v>3.2295025565195583E-2</v>
      </c>
      <c r="T69">
        <f>IF((((inputs!$P$12/(V69/MAX(K69:S69)))^(1/inputs!$O$12))-1)/inputs!$N$12&lt;0, 0, IF((((inputs!$P$12/(V69/MAX(K69:S69)))^(1/inputs!$O$12))-1)/inputs!$N$12&gt;inputs!$H$17, inputs!$H$17, (((inputs!$P$12/(V69/MAX(K69:S69)))^(1/inputs!$O$12))-1)/inputs!$N$12))</f>
        <v>445.95573042423734</v>
      </c>
      <c r="U69">
        <f>IF((((inputs!$P$12/(X69/MAX(K69:S69)))^(1/inputs!$O$12))-1)/inputs!$N$12&lt;0, 0, IF((((inputs!$P$12/(X69/MAX(K69:S69)))^(1/inputs!$O$12))-1)/inputs!$N$12&gt;inputs!$H$17, inputs!$H$17, (((inputs!$P$12/(X69/MAX(K69:S69)))^(1/inputs!$O$12))-1)/inputs!$N$12))</f>
        <v>29.917527644762071</v>
      </c>
      <c r="V69">
        <f>inputs!$E$78*(F69/inputs!$F$78)^(inputs!$E$84-1)</f>
        <v>1.1594009988906985E-2</v>
      </c>
      <c r="W69">
        <f>inputs!$E$85*(F69/inputs!$F$85)^(inputs!$E$84-1)</f>
        <v>0.53539002324690754</v>
      </c>
      <c r="X69">
        <f>inputs!$E$80*(F69/inputs!$F$80)^(inputs!$E$84-1)</f>
        <v>1.9992412260485786</v>
      </c>
      <c r="Y69">
        <f>inputs!$E$82*(F69/inputs!$F$82)^(inputs!$E$84-1)</f>
        <v>0.92141868859208143</v>
      </c>
      <c r="Z69">
        <f t="shared" si="8"/>
        <v>2114.8705671047064</v>
      </c>
      <c r="AA69">
        <f t="shared" si="9"/>
        <v>45.798071341627256</v>
      </c>
    </row>
    <row r="70" spans="1:27" x14ac:dyDescent="0.3">
      <c r="A70" t="s">
        <v>189</v>
      </c>
      <c r="B70" t="s">
        <v>190</v>
      </c>
      <c r="C70" t="s">
        <v>73</v>
      </c>
      <c r="D70" t="s">
        <v>137</v>
      </c>
      <c r="E70">
        <v>127</v>
      </c>
      <c r="F70">
        <v>380</v>
      </c>
      <c r="G70" t="s">
        <v>145</v>
      </c>
      <c r="H70">
        <v>0.66</v>
      </c>
      <c r="I70">
        <f>MAX('Min rate concentrations'!$M$3:$M$368)</f>
        <v>2.8488184789681945</v>
      </c>
      <c r="J70">
        <f>MAX('Min rate concentrations'!AE:AE)</f>
        <v>1.9699276716269429</v>
      </c>
      <c r="K70">
        <f t="shared" si="6"/>
        <v>0.57462728104000715</v>
      </c>
      <c r="L70">
        <f t="shared" si="7"/>
        <v>0.39734865178298368</v>
      </c>
      <c r="M70">
        <f>IF((((1.18*F70^0.874)/3.7-(0.301*F70^0.751)/(1-H70)*H70)*(MAX('Min rate concentrations'!$P$3:$P$368)))/F70&gt;0, (((1.18*F70^0.874)/3.7-(0.301*F70^0.751)/(1-H70)*H70)*(MAX('Min rate concentrations'!$P$3:$P$368)))/F70, 0)</f>
        <v>2.5766381964670831E-3</v>
      </c>
      <c r="N70">
        <f>IF((((1.18*F70^0.874)/3.7-(0.301*F70^0.751)/(1-H70)*H70)*(MAX('Min rate concentrations'!$Q$3:$Q$368)))/F70&gt;0, (((1.18*F70^0.874)/3.7-(0.301*F70^0.751)/(1-H70)*H70)*(MAX('Min rate concentrations'!$Q$3:$Q$368)))/F70, 0)</f>
        <v>9.811976699258913E-3</v>
      </c>
      <c r="O70">
        <f>((MAX('Min rate concentrations'!$F$3:$F$368))*0.62*6.01*8*(10*F70^0.667)*0.079*0.1/F70)*inputs!$E$80/(10^(0.84+0.62*LOG10(inputs!$E$80)))</f>
        <v>3.3848095504777449</v>
      </c>
      <c r="P70">
        <f>((MAX('Min rate concentrations'!Y:Y))*0.62*6.01*8*(10*F70^0.667)*0.079*0.1/F70)*inputs!$E$80/(10^(0.84+0.62*LOG10(inputs!$E$80)))</f>
        <v>1.1282698501592481</v>
      </c>
      <c r="Q70">
        <f>(inputs!$C$7*11.2*(10*F70^0.667)*0.5/F70)*inputs!$E$80/(10^(0.84+0.62*LOG10(inputs!$E$80)))</f>
        <v>0.59621823759810022</v>
      </c>
      <c r="R70">
        <f>(60*284*((F70/1000)^0.77)*3*24*(MAX('Min rate concentrations'!$R$3:$R$368))/F70)*(inputs!$E$73*3.4/inputs!$E$75)</f>
        <v>5.8557870889460887E-3</v>
      </c>
      <c r="S70">
        <f>(IF(inputs!$C$6="aerial",((0.025*0.112*inputs!$C$7/3.3)*(3*60*284*((F70/1000)^0.77))*MAX(inputs!$H$14:$H$16))/F70,((0.0083*0.112*inputs!$C$7/1)*(3*60*284*((F70/1000)^0.77))*MAX(inputs!$H$14:$H$16))/F70))*(inputs!E$75*3.4/inputs!$E$73)</f>
        <v>3.2295025565195583E-2</v>
      </c>
      <c r="T70">
        <f>IF((((inputs!$P$12/(V70/MAX(K70:S70)))^(1/inputs!$O$12))-1)/inputs!$N$12&lt;0, 0, IF((((inputs!$P$12/(V70/MAX(K70:S70)))^(1/inputs!$O$12))-1)/inputs!$N$12&gt;inputs!$H$17, inputs!$H$17, (((inputs!$P$12/(V70/MAX(K70:S70)))^(1/inputs!$O$12))-1)/inputs!$N$12))</f>
        <v>183.54168678735365</v>
      </c>
      <c r="U70">
        <f>IF((((inputs!$P$12/(X70/MAX(K70:S70)))^(1/inputs!$O$12))-1)/inputs!$N$12&lt;0, 0, IF((((inputs!$P$12/(X70/MAX(K70:S70)))^(1/inputs!$O$12))-1)/inputs!$N$12&gt;inputs!$H$17, inputs!$H$17, (((inputs!$P$12/(X70/MAX(K70:S70)))^(1/inputs!$O$12))-1)/inputs!$N$12))</f>
        <v>0</v>
      </c>
      <c r="V70">
        <f>inputs!$E$78*(F70/inputs!$F$78)^(inputs!$E$84-1)</f>
        <v>1.1594009988906985E-2</v>
      </c>
      <c r="W70">
        <f>inputs!$E$85*(F70/inputs!$F$85)^(inputs!$E$84-1)</f>
        <v>0.53539002324690754</v>
      </c>
      <c r="X70">
        <f>inputs!$E$80*(F70/inputs!$F$80)^(inputs!$E$84-1)</f>
        <v>1.9992412260485786</v>
      </c>
      <c r="Y70">
        <f>inputs!$E$82*(F70/inputs!$F$82)^(inputs!$E$84-1)</f>
        <v>0.92141868859208143</v>
      </c>
      <c r="Z70">
        <f t="shared" si="8"/>
        <v>291.94468123766427</v>
      </c>
      <c r="AA70">
        <f t="shared" si="9"/>
        <v>6.3221378873486431</v>
      </c>
    </row>
    <row r="71" spans="1:27" x14ac:dyDescent="0.3">
      <c r="A71" t="s">
        <v>135</v>
      </c>
      <c r="B71" t="s">
        <v>136</v>
      </c>
      <c r="C71" t="s">
        <v>73</v>
      </c>
      <c r="D71" t="s">
        <v>137</v>
      </c>
      <c r="E71">
        <v>128</v>
      </c>
      <c r="F71">
        <v>82</v>
      </c>
      <c r="G71" t="s">
        <v>138</v>
      </c>
      <c r="H71">
        <v>0.68</v>
      </c>
      <c r="I71">
        <f>MAX('Min rate concentrations'!$L$3:$L$368)</f>
        <v>58.421240152220811</v>
      </c>
      <c r="J71">
        <f>MAX('Min rate concentrations'!AD:AD)</f>
        <v>40.397666062705881</v>
      </c>
      <c r="K71">
        <f t="shared" si="6"/>
        <v>18.342040154297688</v>
      </c>
      <c r="L71">
        <f t="shared" si="7"/>
        <v>12.683325638610105</v>
      </c>
      <c r="M71">
        <f>IF((((1.18*F71^0.874)/3.7-(0.301*F71^0.751)/(1-H71)*H71)*(MAX('Min rate concentrations'!$P$3:$P$368)))/F71&gt;0, (((1.18*F71^0.874)/3.7-(0.301*F71^0.751)/(1-H71)*H71)*(MAX('Min rate concentrations'!$P$3:$P$368)))/F71, 0)</f>
        <v>0</v>
      </c>
      <c r="N71">
        <f>IF((((1.18*F71^0.874)/3.7-(0.301*F71^0.751)/(1-H71)*H71)*(MAX('Min rate concentrations'!$Q$3:$Q$368)))/F71&gt;0, (((1.18*F71^0.874)/3.7-(0.301*F71^0.751)/(1-H71)*H71)*(MAX('Min rate concentrations'!$Q$3:$Q$368)))/F71, 0)</f>
        <v>0</v>
      </c>
      <c r="O71">
        <f>((MAX('Min rate concentrations'!$F$3:$F$368))*0.62*6.01*8*(10*F71^0.667)*0.079*0.1/F71)*inputs!$E$80/(10^(0.84+0.62*LOG10(inputs!$E$80)))</f>
        <v>5.6402994598290137</v>
      </c>
      <c r="P71">
        <f>((MAX('Min rate concentrations'!Y:Y))*0.62*6.01*8*(10*F71^0.667)*0.079*0.1/F71)*inputs!$E$80/(10^(0.84+0.62*LOG10(inputs!$E$80)))</f>
        <v>1.8800998199430048</v>
      </c>
      <c r="Q71">
        <f>(inputs!$C$7*11.2*(10*F71^0.667)*0.5/F71)*inputs!$E$80/(10^(0.84+0.62*LOG10(inputs!$E$80)))</f>
        <v>0.99351214693604462</v>
      </c>
      <c r="R71">
        <f>(60*284*((F71/1000)^0.77)*3*24*(MAX('Min rate concentrations'!$R$3:$R$368))/F71)*(inputs!$E$73*3.4/inputs!$E$75)</f>
        <v>8.3321737747732352E-3</v>
      </c>
      <c r="S71">
        <f>(IF(inputs!$C$6="aerial",((0.025*0.112*inputs!$C$7/3.3)*(3*60*284*((F71/1000)^0.77))*MAX(inputs!$H$14:$H$16))/F71,((0.0083*0.112*inputs!$C$7/1)*(3*60*284*((F71/1000)^0.77))*MAX(inputs!$H$14:$H$16))/F71))*(inputs!E$75*3.4/inputs!$E$73)</f>
        <v>4.5952450282543252E-2</v>
      </c>
      <c r="T71">
        <f>IF((((inputs!$P$12/(V71/MAX(K71:S71)))^(1/inputs!$O$12))-1)/inputs!$N$12&lt;0, 0, IF((((inputs!$P$12/(V71/MAX(K71:S71)))^(1/inputs!$O$12))-1)/inputs!$N$12&gt;inputs!$H$17, inputs!$H$17, (((inputs!$P$12/(V71/MAX(K71:S71)))^(1/inputs!$O$12))-1)/inputs!$N$12))</f>
        <v>306.2335241877804</v>
      </c>
      <c r="U71">
        <f>IF((((inputs!$P$12/(X71/MAX(K71:S71)))^(1/inputs!$O$12))-1)/inputs!$N$12&lt;0, 0, IF((((inputs!$P$12/(X71/MAX(K71:S71)))^(1/inputs!$O$12))-1)/inputs!$N$12&gt;inputs!$H$17, inputs!$H$17, (((inputs!$P$12/(X71/MAX(K71:S71)))^(1/inputs!$O$12))-1)/inputs!$N$12))</f>
        <v>12.716757165312282</v>
      </c>
      <c r="V71">
        <f>inputs!$E$78*(F71/inputs!$F$78)^(inputs!$E$84-1)</f>
        <v>2.0447606345010017E-2</v>
      </c>
      <c r="W71">
        <f>inputs!$E$85*(F71/inputs!$F$85)^(inputs!$E$84-1)</f>
        <v>0.94423279321588605</v>
      </c>
      <c r="X71">
        <f>inputs!$E$80*(F71/inputs!$F$80)^(inputs!$E$84-1)</f>
        <v>3.5259325822618526</v>
      </c>
      <c r="Y71">
        <f>inputs!$E$82*(F71/inputs!$F$82)^(inputs!$E$84-1)</f>
        <v>1.6250466095244802</v>
      </c>
      <c r="Z71">
        <f t="shared" si="8"/>
        <v>897.02627509619651</v>
      </c>
      <c r="AA71">
        <f t="shared" si="9"/>
        <v>19.425336936062152</v>
      </c>
    </row>
    <row r="72" spans="1:27" x14ac:dyDescent="0.3">
      <c r="A72" t="s">
        <v>175</v>
      </c>
      <c r="B72" t="s">
        <v>176</v>
      </c>
      <c r="C72" t="s">
        <v>73</v>
      </c>
      <c r="D72" t="s">
        <v>172</v>
      </c>
      <c r="E72">
        <v>69</v>
      </c>
      <c r="F72">
        <v>460</v>
      </c>
      <c r="G72" t="s">
        <v>173</v>
      </c>
      <c r="H72">
        <v>0.8</v>
      </c>
      <c r="I72">
        <f>inputs!$C$65*inputs!$C$60/1000</f>
        <v>2.8</v>
      </c>
      <c r="J72">
        <f>inputs!$C$65*inputs!$C$59/1000</f>
        <v>2.8</v>
      </c>
      <c r="K72">
        <f>(((0.301*F72^0.751)/(1-H72)))*I72/F72</f>
        <v>0.91551998958237779</v>
      </c>
      <c r="M72">
        <f>IF((((1.18*F72^0.874)/3.7-(0.301*F72^0.751)/(1-H72)*H72)*(MAX('Min rate concentrations'!$P$3:$P$368)))/F72&gt;0, (((1.18*F72^0.874)/3.7-(0.301*F72^0.751)/(1-H72)*H72)*(MAX('Min rate concentrations'!$P$3:$P$368)))/F72, 0)</f>
        <v>0</v>
      </c>
      <c r="N72">
        <f>IF((((1.18*F72^0.874)/3.7-(0.301*F72^0.751)/(1-H72)*H72)*(MAX('Min rate concentrations'!$Q$3:$Q$368)))/F72&gt;0, (((1.18*F72^0.874)/3.7-(0.301*F72^0.751)/(1-H72)*H72)*(MAX('Min rate concentrations'!$Q$3:$Q$368)))/F72, 0)</f>
        <v>0</v>
      </c>
      <c r="O72">
        <f>((MAX('Min rate concentrations'!$F$3:$F$368))*0.62*6.01*8*(10*F72^0.667)*0.079*0.1/F72)*inputs!$E$80/(10^(0.84+0.62*LOG10(inputs!$E$80)))</f>
        <v>3.1761705709329711</v>
      </c>
      <c r="P72">
        <f>((MAX('Min rate concentrations'!Y:Y))*0.62*6.01*8*(10*F72^0.667)*0.079*0.1/F72)*inputs!$E$80/(10^(0.84+0.62*LOG10(inputs!$E$80)))</f>
        <v>1.0587235236443238</v>
      </c>
      <c r="Q72">
        <f>(inputs!$C$7*11.2*(10*F72^0.667)*0.5/F72)*inputs!$E$80/(10^(0.84+0.62*LOG10(inputs!$E$80)))</f>
        <v>0.55946746541332748</v>
      </c>
      <c r="R72">
        <f>(60*284*((F72/1000)^0.77)*3*24*(MAX('Min rate concentrations'!$R$3:$R$368))/F72)*(inputs!$E$73*3.4/inputs!$E$75)</f>
        <v>5.604039706195091E-3</v>
      </c>
      <c r="S72">
        <f>(IF(inputs!$C$6="aerial",((0.025*0.112*inputs!$C$7/3.3)*(3*60*284*((F72/1000)^0.77))*MAX(inputs!$H$14:$H$16))/F72,((0.0083*0.112*inputs!$C$7/1)*(3*60*284*((F72/1000)^0.77))*MAX(inputs!$H$14:$H$16))/F72))*(inputs!E$75*3.4/inputs!$E$73)</f>
        <v>3.0906623282390286E-2</v>
      </c>
      <c r="T72">
        <f>IF((((inputs!$P$12/(V72/MAX(K72:S72)))^(1/inputs!$O$12))-1)/inputs!$N$12&lt;0, 0, IF((((inputs!$P$12/(V72/MAX(K72:S72)))^(1/inputs!$O$12))-1)/inputs!$N$12&gt;inputs!$H$17, inputs!$H$17, (((inputs!$P$12/(V72/MAX(K72:S72)))^(1/inputs!$O$12))-1)/inputs!$N$12))</f>
        <v>184.15220428806293</v>
      </c>
      <c r="U72">
        <f>IF((((inputs!$P$12/(X72/MAX(K72:S72)))^(1/inputs!$O$12))-1)/inputs!$N$12&lt;0, 0, IF((((inputs!$P$12/(X72/MAX(K72:S72)))^(1/inputs!$O$12))-1)/inputs!$N$12&gt;inputs!$H$17, inputs!$H$17, (((inputs!$P$12/(X72/MAX(K72:S72)))^(1/inputs!$O$12))-1)/inputs!$N$12))</f>
        <v>0</v>
      </c>
      <c r="V72">
        <f>inputs!$E$78*(F72/inputs!$F$78)^(inputs!$E$84-1)</f>
        <v>1.0802722080610554E-2</v>
      </c>
      <c r="W72">
        <f>inputs!$E$85*(F72/inputs!$F$85)^(inputs!$E$84-1)</f>
        <v>0.49884980532203388</v>
      </c>
      <c r="X72">
        <f>inputs!$E$80*(F72/inputs!$F$80)^(inputs!$E$84-1)</f>
        <v>1.8627935768354429</v>
      </c>
      <c r="Y72">
        <f>inputs!$E$82*(F72/inputs!$F$82)^(inputs!$E$84-1)</f>
        <v>0.85853212324852302</v>
      </c>
      <c r="Z72">
        <f t="shared" si="8"/>
        <v>294.01576262280912</v>
      </c>
      <c r="AA72">
        <f t="shared" si="9"/>
        <v>6.3669876925833124</v>
      </c>
    </row>
    <row r="73" spans="1:27" x14ac:dyDescent="0.3">
      <c r="A73" t="s">
        <v>175</v>
      </c>
      <c r="B73" t="s">
        <v>176</v>
      </c>
      <c r="C73" t="s">
        <v>73</v>
      </c>
      <c r="D73" t="s">
        <v>172</v>
      </c>
      <c r="E73">
        <v>69</v>
      </c>
      <c r="F73">
        <v>460</v>
      </c>
      <c r="G73" t="s">
        <v>164</v>
      </c>
      <c r="H73">
        <v>0.78</v>
      </c>
      <c r="I73">
        <f>inputs!$C$65*(inputs!$C$62/1000)</f>
        <v>0.82000000000000006</v>
      </c>
      <c r="J73">
        <f>inputs!$C$65*(inputs!$C$61/1000)</f>
        <v>0.25</v>
      </c>
      <c r="K73">
        <f t="shared" ref="K73:K81" si="10">((0.301*F73^0.751)/(1-H73))*I73/F73</f>
        <v>0.24374233488881489</v>
      </c>
      <c r="L73">
        <f>((0.301*F73^0.751)/(1-H73))*J73/F73</f>
        <v>7.4311687466102103E-2</v>
      </c>
      <c r="M73">
        <f>IF((((1.18*F73^0.874)/3.7-(0.301*F73^0.751)/(1-H73)*H73)*(MAX('Min rate concentrations'!$P$3:$P$368)))/F73&gt;0, (((1.18*F73^0.874)/3.7-(0.301*F73^0.751)/(1-H73)*H73)*(MAX('Min rate concentrations'!$P$3:$P$368)))/F73, 0)</f>
        <v>0</v>
      </c>
      <c r="N73">
        <f>IF((((1.18*F73^0.874)/3.7-(0.301*F73^0.751)/(1-H73)*H73)*(MAX('Min rate concentrations'!$Q$3:$Q$368)))/F73&gt;0, (((1.18*F73^0.874)/3.7-(0.301*F73^0.751)/(1-H73)*H73)*(MAX('Min rate concentrations'!$Q$3:$Q$368)))/F73, 0)</f>
        <v>0</v>
      </c>
      <c r="O73">
        <f>((MAX('Min rate concentrations'!$F$3:$F$368))*0.62*6.01*8*(10*F73^0.667)*0.079*0.1/F73)*inputs!$E$80/(10^(0.84+0.62*LOG10(inputs!$E$80)))</f>
        <v>3.1761705709329711</v>
      </c>
      <c r="P73">
        <f>((MAX('Min rate concentrations'!Y:Y))*0.62*6.01*8*(10*F73^0.667)*0.079*0.1/F73)*inputs!$E$80/(10^(0.84+0.62*LOG10(inputs!$E$80)))</f>
        <v>1.0587235236443238</v>
      </c>
      <c r="Q73">
        <f>(inputs!$C$7*11.2*(10*F73^0.667)*0.5/F73)*inputs!$E$80/(10^(0.84+0.62*LOG10(inputs!$E$80)))</f>
        <v>0.55946746541332748</v>
      </c>
      <c r="R73">
        <f>(60*284*((F73/1000)^0.77)*3*24*(MAX('Min rate concentrations'!$R$3:$R$368))/F73)*(inputs!$E$73*3.4/inputs!$E$75)</f>
        <v>5.604039706195091E-3</v>
      </c>
      <c r="S73">
        <f>(IF(inputs!$C$6="aerial",((0.025*0.112*inputs!$C$7/3.3)*(3*60*284*((F73/1000)^0.77))*MAX(inputs!$H$14:$H$16))/F73,((0.0083*0.112*inputs!$C$7/1)*(3*60*284*((F73/1000)^0.77))*MAX(inputs!$H$14:$H$16))/F73))*(inputs!E$75*3.4/inputs!$E$73)</f>
        <v>3.0906623282390286E-2</v>
      </c>
      <c r="T73">
        <f>IF((((inputs!$P$12/(V73/MAX(K73:S73)))^(1/inputs!$O$12))-1)/inputs!$N$12&lt;0, 0, IF((((inputs!$P$12/(V73/MAX(K73:S73)))^(1/inputs!$O$12))-1)/inputs!$N$12&gt;inputs!$H$17, inputs!$H$17, (((inputs!$P$12/(V73/MAX(K73:S73)))^(1/inputs!$O$12))-1)/inputs!$N$12))</f>
        <v>184.15220428806293</v>
      </c>
      <c r="U73">
        <f>IF((((inputs!$P$12/(X73/MAX(K73:S73)))^(1/inputs!$O$12))-1)/inputs!$N$12&lt;0, 0, IF((((inputs!$P$12/(X73/MAX(K73:S73)))^(1/inputs!$O$12))-1)/inputs!$N$12&gt;inputs!$H$17, inputs!$H$17, (((inputs!$P$12/(X73/MAX(K73:S73)))^(1/inputs!$O$12))-1)/inputs!$N$12))</f>
        <v>0</v>
      </c>
      <c r="V73">
        <f>inputs!$E$78*(F73/inputs!$F$78)^(inputs!$E$84-1)</f>
        <v>1.0802722080610554E-2</v>
      </c>
      <c r="W73">
        <f>inputs!$E$85*(F73/inputs!$F$85)^(inputs!$E$84-1)</f>
        <v>0.49884980532203388</v>
      </c>
      <c r="X73">
        <f>inputs!$E$80*(F73/inputs!$F$80)^(inputs!$E$84-1)</f>
        <v>1.8627935768354429</v>
      </c>
      <c r="Y73">
        <f>inputs!$E$82*(F73/inputs!$F$82)^(inputs!$E$84-1)</f>
        <v>0.85853212324852302</v>
      </c>
      <c r="Z73">
        <f t="shared" si="8"/>
        <v>294.01576262280912</v>
      </c>
      <c r="AA73">
        <f t="shared" si="9"/>
        <v>6.3669876925833124</v>
      </c>
    </row>
    <row r="74" spans="1:27" x14ac:dyDescent="0.3">
      <c r="A74" t="s">
        <v>175</v>
      </c>
      <c r="B74" t="s">
        <v>176</v>
      </c>
      <c r="C74" t="s">
        <v>73</v>
      </c>
      <c r="D74" t="s">
        <v>172</v>
      </c>
      <c r="E74">
        <v>69</v>
      </c>
      <c r="F74">
        <v>460</v>
      </c>
      <c r="G74" t="s">
        <v>169</v>
      </c>
      <c r="H74">
        <v>0.79</v>
      </c>
      <c r="I74">
        <f>MAX('Min rate concentrations'!$D$3:$D$368)</f>
        <v>120</v>
      </c>
      <c r="J74">
        <f>MAX('Min rate concentrations'!W:W)</f>
        <v>42.5</v>
      </c>
      <c r="K74">
        <f t="shared" si="10"/>
        <v>37.368162840097064</v>
      </c>
      <c r="L74">
        <f>((0.301*F74^0.751)/(1-H74))*J74/F74</f>
        <v>13.234557672534375</v>
      </c>
      <c r="M74">
        <f>IF((((1.18*F74^0.874)/3.7-(0.301*F74^0.751)/(1-H74)*H74)*(MAX('Min rate concentrations'!$P$3:$P$368)))/F74&gt;0, (((1.18*F74^0.874)/3.7-(0.301*F74^0.751)/(1-H74)*H74)*(MAX('Min rate concentrations'!$P$3:$P$368)))/F74, 0)</f>
        <v>0</v>
      </c>
      <c r="N74">
        <f>IF((((1.18*F74^0.874)/3.7-(0.301*F74^0.751)/(1-H74)*H74)*(MAX('Min rate concentrations'!$Q$3:$Q$368)))/F74&gt;0, (((1.18*F74^0.874)/3.7-(0.301*F74^0.751)/(1-H74)*H74)*(MAX('Min rate concentrations'!$Q$3:$Q$368)))/F74, 0)</f>
        <v>0</v>
      </c>
      <c r="O74">
        <f>((MAX('Min rate concentrations'!$F$3:$F$368))*0.62*6.01*8*(10*F74^0.667)*0.079*0.1/F74)*inputs!$E$80/(10^(0.84+0.62*LOG10(inputs!$E$80)))</f>
        <v>3.1761705709329711</v>
      </c>
      <c r="P74">
        <f>((MAX('Min rate concentrations'!Y:Y))*0.62*6.01*8*(10*F74^0.667)*0.079*0.1/F74)*inputs!$E$80/(10^(0.84+0.62*LOG10(inputs!$E$80)))</f>
        <v>1.0587235236443238</v>
      </c>
      <c r="Q74">
        <f>(inputs!$C$7*11.2*(10*F74^0.667)*0.5/F74)*inputs!$E$80/(10^(0.84+0.62*LOG10(inputs!$E$80)))</f>
        <v>0.55946746541332748</v>
      </c>
      <c r="R74">
        <f>(60*284*((F74/1000)^0.77)*3*24*(MAX('Min rate concentrations'!$R$3:$R$368))/F74)*(inputs!$E$73*3.4/inputs!$E$75)</f>
        <v>5.604039706195091E-3</v>
      </c>
      <c r="S74">
        <f>(IF(inputs!$C$6="aerial",((0.025*0.112*inputs!$C$7/3.3)*(3*60*284*((F74/1000)^0.77))*MAX(inputs!$H$14:$H$16))/F74,((0.0083*0.112*inputs!$C$7/1)*(3*60*284*((F74/1000)^0.77))*MAX(inputs!$H$14:$H$16))/F74))*(inputs!E$75*3.4/inputs!$E$73)</f>
        <v>3.0906623282390286E-2</v>
      </c>
      <c r="T74">
        <f>IF((((inputs!$P$12/(V74/MAX(K74:S74)))^(1/inputs!$O$12))-1)/inputs!$N$12&lt;0, 0, IF((((inputs!$P$12/(V74/MAX(K74:S74)))^(1/inputs!$O$12))-1)/inputs!$N$12&gt;inputs!$H$17, inputs!$H$17, (((inputs!$P$12/(V74/MAX(K74:S74)))^(1/inputs!$O$12))-1)/inputs!$N$12))</f>
        <v>551.07176980425083</v>
      </c>
      <c r="U74">
        <f>IF((((inputs!$P$12/(X74/MAX(K74:S74)))^(1/inputs!$O$12))-1)/inputs!$N$12&lt;0, 0, IF((((inputs!$P$12/(X74/MAX(K74:S74)))^(1/inputs!$O$12))-1)/inputs!$N$12&gt;inputs!$H$17, inputs!$H$17, (((inputs!$P$12/(X74/MAX(K74:S74)))^(1/inputs!$O$12))-1)/inputs!$N$12))</f>
        <v>42.858039506022955</v>
      </c>
      <c r="V74">
        <f>inputs!$E$78*(F74/inputs!$F$78)^(inputs!$E$84-1)</f>
        <v>1.0802722080610554E-2</v>
      </c>
      <c r="W74">
        <f>inputs!$E$85*(F74/inputs!$F$85)^(inputs!$E$84-1)</f>
        <v>0.49884980532203388</v>
      </c>
      <c r="X74">
        <f>inputs!$E$80*(F74/inputs!$F$80)^(inputs!$E$84-1)</f>
        <v>1.8627935768354429</v>
      </c>
      <c r="Y74">
        <f>inputs!$E$82*(F74/inputs!$F$82)^(inputs!$E$84-1)</f>
        <v>0.85853212324852302</v>
      </c>
      <c r="Z74">
        <f t="shared" si="8"/>
        <v>3459.1432197601321</v>
      </c>
      <c r="AA74">
        <f t="shared" si="9"/>
        <v>74.908644729196482</v>
      </c>
    </row>
    <row r="75" spans="1:27" x14ac:dyDescent="0.3">
      <c r="A75" t="s">
        <v>175</v>
      </c>
      <c r="B75" t="s">
        <v>176</v>
      </c>
      <c r="C75" t="s">
        <v>73</v>
      </c>
      <c r="D75" t="s">
        <v>172</v>
      </c>
      <c r="E75">
        <v>69</v>
      </c>
      <c r="F75">
        <v>460</v>
      </c>
      <c r="G75" t="s">
        <v>177</v>
      </c>
      <c r="H75">
        <v>0.85</v>
      </c>
      <c r="I75">
        <f>MAX('Min rate concentrations'!$F$3:$F$368)</f>
        <v>67.5</v>
      </c>
      <c r="J75">
        <f>MAX('Min rate concentrations'!Y:Y)</f>
        <v>22.5</v>
      </c>
      <c r="K75">
        <f t="shared" si="10"/>
        <v>29.427428236576425</v>
      </c>
      <c r="L75">
        <f>((0.301*F75^0.751)/(1-H75))*J75/F75</f>
        <v>9.8091427455254756</v>
      </c>
      <c r="M75">
        <f>IF((((1.18*F75^0.874)/3.7-(0.301*F75^0.751)/(1-H75)*H75)*(MAX('Min rate concentrations'!$P$3:$P$368)))/F75&gt;0, (((1.18*F75^0.874)/3.7-(0.301*F75^0.751)/(1-H75)*H75)*(MAX('Min rate concentrations'!$P$3:$P$368)))/F75, 0)</f>
        <v>0</v>
      </c>
      <c r="N75">
        <f>IF((((1.18*F75^0.874)/3.7-(0.301*F75^0.751)/(1-H75)*H75)*(MAX('Min rate concentrations'!$Q$3:$Q$368)))/F75&gt;0, (((1.18*F75^0.874)/3.7-(0.301*F75^0.751)/(1-H75)*H75)*(MAX('Min rate concentrations'!$Q$3:$Q$368)))/F75, 0)</f>
        <v>0</v>
      </c>
      <c r="O75">
        <f>((MAX('Min rate concentrations'!$F$3:$F$368))*0.62*6.01*8*(10*F75^0.667)*0.079*0.1/F75)*inputs!$E$80/(10^(0.84+0.62*LOG10(inputs!$E$80)))</f>
        <v>3.1761705709329711</v>
      </c>
      <c r="P75">
        <f>((MAX('Min rate concentrations'!Y:Y))*0.62*6.01*8*(10*F75^0.667)*0.079*0.1/F75)*inputs!$E$80/(10^(0.84+0.62*LOG10(inputs!$E$80)))</f>
        <v>1.0587235236443238</v>
      </c>
      <c r="Q75">
        <f>(inputs!$C$7*11.2*(10*F75^0.667)*0.5/F75)*inputs!$E$80/(10^(0.84+0.62*LOG10(inputs!$E$80)))</f>
        <v>0.55946746541332748</v>
      </c>
      <c r="R75">
        <f>(60*284*((F75/1000)^0.77)*3*24*(MAX('Min rate concentrations'!$R$3:$R$368))/F75)*(inputs!$E$73*3.4/inputs!$E$75)</f>
        <v>5.604039706195091E-3</v>
      </c>
      <c r="S75">
        <f>(IF(inputs!$C$6="aerial",((0.025*0.112*inputs!$C$7/3.3)*(3*60*284*((F75/1000)^0.77))*MAX(inputs!$H$14:$H$16))/F75,((0.0083*0.112*inputs!$C$7/1)*(3*60*284*((F75/1000)^0.77))*MAX(inputs!$H$14:$H$16))/F75))*(inputs!E$75*3.4/inputs!$E$73)</f>
        <v>3.0906623282390286E-2</v>
      </c>
      <c r="T75">
        <f>IF((((inputs!$P$12/(V75/MAX(K75:S75)))^(1/inputs!$O$12))-1)/inputs!$N$12&lt;0, 0, IF((((inputs!$P$12/(V75/MAX(K75:S75)))^(1/inputs!$O$12))-1)/inputs!$N$12&gt;inputs!$H$17, inputs!$H$17, (((inputs!$P$12/(V75/MAX(K75:S75)))^(1/inputs!$O$12))-1)/inputs!$N$12))</f>
        <v>497.40754594121717</v>
      </c>
      <c r="U75">
        <f>IF((((inputs!$P$12/(X75/MAX(K75:S75)))^(1/inputs!$O$12))-1)/inputs!$N$12&lt;0, 0, IF((((inputs!$P$12/(X75/MAX(K75:S75)))^(1/inputs!$O$12))-1)/inputs!$N$12&gt;inputs!$H$17, inputs!$H$17, (((inputs!$P$12/(X75/MAX(K75:S75)))^(1/inputs!$O$12))-1)/inputs!$N$12))</f>
        <v>36.251602186648583</v>
      </c>
      <c r="V75">
        <f>inputs!$E$78*(F75/inputs!$F$78)^(inputs!$E$84-1)</f>
        <v>1.0802722080610554E-2</v>
      </c>
      <c r="W75">
        <f>inputs!$E$85*(F75/inputs!$F$85)^(inputs!$E$84-1)</f>
        <v>0.49884980532203388</v>
      </c>
      <c r="X75">
        <f>inputs!$E$80*(F75/inputs!$F$80)^(inputs!$E$84-1)</f>
        <v>1.8627935768354429</v>
      </c>
      <c r="Y75">
        <f>inputs!$E$82*(F75/inputs!$F$82)^(inputs!$E$84-1)</f>
        <v>0.85853212324852302</v>
      </c>
      <c r="Z75">
        <f t="shared" si="8"/>
        <v>2724.0752855611026</v>
      </c>
      <c r="AA75">
        <f t="shared" si="9"/>
        <v>58.990557724242201</v>
      </c>
    </row>
    <row r="76" spans="1:27" x14ac:dyDescent="0.3">
      <c r="A76" t="s">
        <v>175</v>
      </c>
      <c r="B76" t="s">
        <v>176</v>
      </c>
      <c r="C76" t="s">
        <v>73</v>
      </c>
      <c r="D76" t="s">
        <v>172</v>
      </c>
      <c r="E76">
        <v>69</v>
      </c>
      <c r="F76">
        <v>460</v>
      </c>
      <c r="G76" t="s">
        <v>154</v>
      </c>
      <c r="H76">
        <v>9.2999999999999999E-2</v>
      </c>
      <c r="I76">
        <f>MAX('Min rate concentrations'!$G$3:$G$368)</f>
        <v>7.5</v>
      </c>
      <c r="J76">
        <f>MAX('Min rate concentrations'!Z:Z)</f>
        <v>3.5</v>
      </c>
      <c r="K76">
        <f t="shared" si="10"/>
        <v>0.54074656811055544</v>
      </c>
      <c r="M76">
        <f>IF((((1.18*F76^0.874)/3.7-(0.301*F76^0.751)/(1-H76)*H76)*(MAX('Min rate concentrations'!$P$3:$P$368)))/F76&gt;0, (((1.18*F76^0.874)/3.7-(0.301*F76^0.751)/(1-H76)*H76)*(MAX('Min rate concentrations'!$P$3:$P$368)))/F76, 0)</f>
        <v>2.040557563627772E-2</v>
      </c>
      <c r="N76">
        <f>IF((((1.18*F76^0.874)/3.7-(0.301*F76^0.751)/(1-H76)*H76)*(MAX('Min rate concentrations'!$Q$3:$Q$368)))/F76&gt;0, (((1.18*F76^0.874)/3.7-(0.301*F76^0.751)/(1-H76)*H76)*(MAX('Min rate concentrations'!$Q$3:$Q$368)))/F76, 0)</f>
        <v>7.7705528448910502E-2</v>
      </c>
      <c r="O76">
        <f>((MAX('Min rate concentrations'!$F$3:$F$368))*0.62*6.01*8*(10*F76^0.667)*0.079*0.1/F76)*inputs!$E$80/(10^(0.84+0.62*LOG10(inputs!$E$80)))</f>
        <v>3.1761705709329711</v>
      </c>
      <c r="P76">
        <f>((MAX('Min rate concentrations'!Y:Y))*0.62*6.01*8*(10*F76^0.667)*0.079*0.1/F76)*inputs!$E$80/(10^(0.84+0.62*LOG10(inputs!$E$80)))</f>
        <v>1.0587235236443238</v>
      </c>
      <c r="Q76">
        <f>(inputs!$C$7*11.2*(10*F76^0.667)*0.5/F76)*inputs!$E$80/(10^(0.84+0.62*LOG10(inputs!$E$80)))</f>
        <v>0.55946746541332748</v>
      </c>
      <c r="R76">
        <f>(60*284*((F76/1000)^0.77)*3*24*(MAX('Min rate concentrations'!$R$3:$R$368))/F76)*(inputs!$E$73*3.4/inputs!$E$75)</f>
        <v>5.604039706195091E-3</v>
      </c>
      <c r="S76">
        <f>(IF(inputs!$C$6="aerial",((0.025*0.112*inputs!$C$7/3.3)*(3*60*284*((F76/1000)^0.77))*MAX(inputs!$H$14:$H$16))/F76,((0.0083*0.112*inputs!$C$7/1)*(3*60*284*((F76/1000)^0.77))*MAX(inputs!$H$14:$H$16))/F76))*(inputs!E$75*3.4/inputs!$E$73)</f>
        <v>3.0906623282390286E-2</v>
      </c>
      <c r="T76">
        <f>IF((((inputs!$P$12/(V76/MAX(K76:S76)))^(1/inputs!$O$12))-1)/inputs!$N$12&lt;0, 0, IF((((inputs!$P$12/(V76/MAX(K76:S76)))^(1/inputs!$O$12))-1)/inputs!$N$12&gt;inputs!$H$17, inputs!$H$17, (((inputs!$P$12/(V76/MAX(K76:S76)))^(1/inputs!$O$12))-1)/inputs!$N$12))</f>
        <v>184.15220428806293</v>
      </c>
      <c r="U76">
        <f>IF((((inputs!$P$12/(X76/MAX(K76:S76)))^(1/inputs!$O$12))-1)/inputs!$N$12&lt;0, 0, IF((((inputs!$P$12/(X76/MAX(K76:S76)))^(1/inputs!$O$12))-1)/inputs!$N$12&gt;inputs!$H$17, inputs!$H$17, (((inputs!$P$12/(X76/MAX(K76:S76)))^(1/inputs!$O$12))-1)/inputs!$N$12))</f>
        <v>0</v>
      </c>
      <c r="V76">
        <f>inputs!$E$78*(F76/inputs!$F$78)^(inputs!$E$84-1)</f>
        <v>1.0802722080610554E-2</v>
      </c>
      <c r="W76">
        <f>inputs!$E$85*(F76/inputs!$F$85)^(inputs!$E$84-1)</f>
        <v>0.49884980532203388</v>
      </c>
      <c r="X76">
        <f>inputs!$E$80*(F76/inputs!$F$80)^(inputs!$E$84-1)</f>
        <v>1.8627935768354429</v>
      </c>
      <c r="Y76">
        <f>inputs!$E$82*(F76/inputs!$F$82)^(inputs!$E$84-1)</f>
        <v>0.85853212324852302</v>
      </c>
      <c r="Z76">
        <f t="shared" si="8"/>
        <v>294.01576262280912</v>
      </c>
      <c r="AA76">
        <f t="shared" si="9"/>
        <v>6.3669876925833124</v>
      </c>
    </row>
    <row r="77" spans="1:27" x14ac:dyDescent="0.3">
      <c r="A77" t="s">
        <v>175</v>
      </c>
      <c r="B77" t="s">
        <v>176</v>
      </c>
      <c r="C77" t="s">
        <v>73</v>
      </c>
      <c r="D77" t="s">
        <v>172</v>
      </c>
      <c r="E77">
        <v>69</v>
      </c>
      <c r="F77">
        <v>460</v>
      </c>
      <c r="G77" t="s">
        <v>146</v>
      </c>
      <c r="H77">
        <v>0.84</v>
      </c>
      <c r="I77">
        <f>MAX('Min rate concentrations'!$I$3:$I$368)</f>
        <v>9.4775690500787988</v>
      </c>
      <c r="J77" t="s">
        <v>13</v>
      </c>
      <c r="K77">
        <f t="shared" si="10"/>
        <v>3.8736178205332163</v>
      </c>
      <c r="L77" t="s">
        <v>13</v>
      </c>
      <c r="M77">
        <f>IF((((1.18*F77^0.874)/3.7-(0.301*F77^0.751)/(1-H77)*H77)*(MAX('Min rate concentrations'!$P$3:$P$368)))/F77&gt;0, (((1.18*F77^0.874)/3.7-(0.301*F77^0.751)/(1-H77)*H77)*(MAX('Min rate concentrations'!$P$3:$P$368)))/F77, 0)</f>
        <v>0</v>
      </c>
      <c r="N77">
        <f>IF((((1.18*F77^0.874)/3.7-(0.301*F77^0.751)/(1-H77)*H77)*(MAX('Min rate concentrations'!$Q$3:$Q$368)))/F77&gt;0, (((1.18*F77^0.874)/3.7-(0.301*F77^0.751)/(1-H77)*H77)*(MAX('Min rate concentrations'!$Q$3:$Q$368)))/F77, 0)</f>
        <v>0</v>
      </c>
      <c r="O77">
        <f>((MAX('Min rate concentrations'!$F$3:$F$368))*0.62*6.01*8*(10*F77^0.667)*0.079*0.1/F77)*inputs!$E$80/(10^(0.84+0.62*LOG10(inputs!$E$80)))</f>
        <v>3.1761705709329711</v>
      </c>
      <c r="P77">
        <f>((MAX('Min rate concentrations'!Y:Y))*0.62*6.01*8*(10*F77^0.667)*0.079*0.1/F77)*inputs!$E$80/(10^(0.84+0.62*LOG10(inputs!$E$80)))</f>
        <v>1.0587235236443238</v>
      </c>
      <c r="Q77">
        <f>(inputs!$C$7*11.2*(10*F77^0.667)*0.5/F77)*inputs!$E$80/(10^(0.84+0.62*LOG10(inputs!$E$80)))</f>
        <v>0.55946746541332748</v>
      </c>
      <c r="R77">
        <f>(60*284*((F77/1000)^0.77)*3*24*(MAX('Min rate concentrations'!$R$3:$R$368))/F77)*(inputs!$E$73*3.4/inputs!$E$75)</f>
        <v>5.604039706195091E-3</v>
      </c>
      <c r="S77">
        <f>(IF(inputs!$C$6="aerial",((0.025*0.112*inputs!$C$7/3.3)*(3*60*284*((F77/1000)^0.77))*MAX(inputs!$H$14:$H$16))/F77,((0.0083*0.112*inputs!$C$7/1)*(3*60*284*((F77/1000)^0.77))*MAX(inputs!$H$14:$H$16))/F77))*(inputs!E$75*3.4/inputs!$E$73)</f>
        <v>3.0906623282390286E-2</v>
      </c>
      <c r="T77">
        <f>IF((((inputs!$P$12/(V77/MAX(K77:S77)))^(1/inputs!$O$12))-1)/inputs!$N$12&lt;0, 0, IF((((inputs!$P$12/(V77/MAX(K77:S77)))^(1/inputs!$O$12))-1)/inputs!$N$12&gt;inputs!$H$17, inputs!$H$17, (((inputs!$P$12/(V77/MAX(K77:S77)))^(1/inputs!$O$12))-1)/inputs!$N$12))</f>
        <v>202.03357283696681</v>
      </c>
      <c r="U77">
        <f>IF((((inputs!$P$12/(X77/MAX(K77:S77)))^(1/inputs!$O$12))-1)/inputs!$N$12&lt;0, 0, IF((((inputs!$P$12/(X77/MAX(K77:S77)))^(1/inputs!$O$12))-1)/inputs!$N$12&gt;inputs!$H$17, inputs!$H$17, (((inputs!$P$12/(X77/MAX(K77:S77)))^(1/inputs!$O$12))-1)/inputs!$N$12))</f>
        <v>0</v>
      </c>
      <c r="V77">
        <f>inputs!$E$78*(F77/inputs!$F$78)^(inputs!$E$84-1)</f>
        <v>1.0802722080610554E-2</v>
      </c>
      <c r="W77">
        <f>inputs!$E$85*(F77/inputs!$F$85)^(inputs!$E$84-1)</f>
        <v>0.49884980532203388</v>
      </c>
      <c r="X77">
        <f>inputs!$E$80*(F77/inputs!$F$80)^(inputs!$E$84-1)</f>
        <v>1.8627935768354429</v>
      </c>
      <c r="Y77">
        <f>inputs!$E$82*(F77/inputs!$F$82)^(inputs!$E$84-1)</f>
        <v>0.85853212324852302</v>
      </c>
      <c r="Z77">
        <f t="shared" si="8"/>
        <v>358.57793911831203</v>
      </c>
      <c r="AA77">
        <f t="shared" si="9"/>
        <v>7.7650983907522857</v>
      </c>
    </row>
    <row r="78" spans="1:27" x14ac:dyDescent="0.3">
      <c r="A78" t="s">
        <v>187</v>
      </c>
      <c r="B78" t="s">
        <v>188</v>
      </c>
      <c r="C78" t="s">
        <v>73</v>
      </c>
      <c r="D78" t="s">
        <v>172</v>
      </c>
      <c r="E78">
        <v>73</v>
      </c>
      <c r="F78">
        <v>1500</v>
      </c>
      <c r="G78" t="s">
        <v>152</v>
      </c>
      <c r="H78">
        <v>0.77</v>
      </c>
      <c r="I78">
        <f>MAX('Min rate concentrations'!$G$3:$G$368)</f>
        <v>7.5</v>
      </c>
      <c r="J78">
        <f>MAX('Min rate concentrations'!Z:Z)</f>
        <v>3.5</v>
      </c>
      <c r="K78">
        <f t="shared" si="10"/>
        <v>1.5887413516008464</v>
      </c>
      <c r="L78">
        <f>((0.301*F78^0.751)/(1-H78))*J78/F78</f>
        <v>0.74141263074706165</v>
      </c>
      <c r="M78">
        <f>IF((((1.18*F78^0.874)/3.7-(0.301*F78^0.751)/(1-H78)*H78)*(MAX('Min rate concentrations'!$P$3:$P$368)))/F78&gt;0, (((1.18*F78^0.874)/3.7-(0.301*F78^0.751)/(1-H78)*H78)*(MAX('Min rate concentrations'!$P$3:$P$368)))/F78, 0)</f>
        <v>0</v>
      </c>
      <c r="N78">
        <f>IF((((1.18*F78^0.874)/3.7-(0.301*F78^0.751)/(1-H78)*H78)*(MAX('Min rate concentrations'!$Q$3:$Q$368)))/F78&gt;0, (((1.18*F78^0.874)/3.7-(0.301*F78^0.751)/(1-H78)*H78)*(MAX('Min rate concentrations'!$Q$3:$Q$368)))/F78, 0)</f>
        <v>0</v>
      </c>
      <c r="O78">
        <f>((MAX('Min rate concentrations'!$F$3:$F$368))*0.62*6.01*8*(10*F78^0.667)*0.079*0.1/F78)*inputs!$E$80/(10^(0.84+0.62*LOG10(inputs!$E$80)))</f>
        <v>2.1427119225049047</v>
      </c>
      <c r="P78">
        <f>((MAX('Min rate concentrations'!Y:Y))*0.62*6.01*8*(10*F78^0.667)*0.079*0.1/F78)*inputs!$E$80/(10^(0.84+0.62*LOG10(inputs!$E$80)))</f>
        <v>0.71423730750163483</v>
      </c>
      <c r="Q78">
        <f>(inputs!$C$7*11.2*(10*F78^0.667)*0.5/F78)*inputs!$E$80/(10^(0.84+0.62*LOG10(inputs!$E$80)))</f>
        <v>0.37742859888113856</v>
      </c>
      <c r="R78">
        <f>(60*284*((F78/1000)^0.77)*3*24*(MAX('Min rate concentrations'!$R$3:$R$368))/F78)*(inputs!$E$73*3.4/inputs!$E$75)</f>
        <v>4.2700652891856121E-3</v>
      </c>
      <c r="S78">
        <f>(IF(inputs!$C$6="aerial",((0.025*0.112*inputs!$C$7/3.3)*(3*60*284*((F78/1000)^0.77))*MAX(inputs!$H$14:$H$16))/F78,((0.0083*0.112*inputs!$C$7/1)*(3*60*284*((F78/1000)^0.77))*MAX(inputs!$H$14:$H$16))/F78))*(inputs!E$75*3.4/inputs!$E$73)</f>
        <v>2.3549672415450279E-2</v>
      </c>
      <c r="T78">
        <f>IF((((inputs!$P$12/(V78/MAX(K78:S78)))^(1/inputs!$O$12))-1)/inputs!$N$12&lt;0, 0, IF((((inputs!$P$12/(V78/MAX(K78:S78)))^(1/inputs!$O$12))-1)/inputs!$N$12&gt;inputs!$H$17, inputs!$H$17, (((inputs!$P$12/(V78/MAX(K78:S78)))^(1/inputs!$O$12))-1)/inputs!$N$12))</f>
        <v>187.96854344369868</v>
      </c>
      <c r="U78">
        <f>IF((((inputs!$P$12/(X78/MAX(K78:S78)))^(1/inputs!$O$12))-1)/inputs!$N$12&lt;0, 0, IF((((inputs!$P$12/(X78/MAX(K78:S78)))^(1/inputs!$O$12))-1)/inputs!$N$12&gt;inputs!$H$17, inputs!$H$17, (((inputs!$P$12/(X78/MAX(K78:S78)))^(1/inputs!$O$12))-1)/inputs!$N$12))</f>
        <v>0</v>
      </c>
      <c r="V78">
        <f>inputs!$E$78*(F78/inputs!$F$78)^(inputs!$E$84-1)</f>
        <v>6.9758933946425274E-3</v>
      </c>
      <c r="W78">
        <f>inputs!$E$85*(F78/inputs!$F$85)^(inputs!$E$84-1)</f>
        <v>0.32213390624115795</v>
      </c>
      <c r="X78">
        <f>inputs!$E$80*(F78/inputs!$F$80)^(inputs!$E$84-1)</f>
        <v>1.2029050929258429</v>
      </c>
      <c r="Y78">
        <f>inputs!$E$82*(F78/inputs!$F$82)^(inputs!$E$84-1)</f>
        <v>0.55439994873211673</v>
      </c>
      <c r="Z78">
        <f t="shared" si="8"/>
        <v>307.15949933387793</v>
      </c>
      <c r="AA78">
        <f t="shared" si="9"/>
        <v>6.6516187243599685</v>
      </c>
    </row>
    <row r="79" spans="1:27" x14ac:dyDescent="0.3">
      <c r="A79" t="s">
        <v>187</v>
      </c>
      <c r="B79" t="s">
        <v>188</v>
      </c>
      <c r="C79" t="s">
        <v>73</v>
      </c>
      <c r="D79" t="s">
        <v>172</v>
      </c>
      <c r="E79">
        <v>73</v>
      </c>
      <c r="F79">
        <v>1500</v>
      </c>
      <c r="G79" t="s">
        <v>169</v>
      </c>
      <c r="H79">
        <v>0.79</v>
      </c>
      <c r="I79">
        <f>MAX('Min rate concentrations'!$D$3:$D$368)</f>
        <v>120</v>
      </c>
      <c r="J79">
        <f>MAX('Min rate concentrations'!W:W)</f>
        <v>42.5</v>
      </c>
      <c r="K79">
        <f t="shared" si="10"/>
        <v>27.840800828052927</v>
      </c>
      <c r="L79">
        <f>((0.301*F79^0.751)/(1-H79))*J79/F79</f>
        <v>9.8602836266020795</v>
      </c>
      <c r="M79">
        <f>IF((((1.18*F79^0.874)/3.7-(0.301*F79^0.751)/(1-H79)*H79)*(MAX('Min rate concentrations'!$P$3:$P$368)))/F79&gt;0, (((1.18*F79^0.874)/3.7-(0.301*F79^0.751)/(1-H79)*H79)*(MAX('Min rate concentrations'!$P$3:$P$368)))/F79, 0)</f>
        <v>0</v>
      </c>
      <c r="N79">
        <f>IF((((1.18*F79^0.874)/3.7-(0.301*F79^0.751)/(1-H79)*H79)*(MAX('Min rate concentrations'!$Q$3:$Q$368)))/F79&gt;0, (((1.18*F79^0.874)/3.7-(0.301*F79^0.751)/(1-H79)*H79)*(MAX('Min rate concentrations'!$Q$3:$Q$368)))/F79, 0)</f>
        <v>0</v>
      </c>
      <c r="O79">
        <f>((MAX('Min rate concentrations'!$F$3:$F$368))*0.62*6.01*8*(10*F79^0.667)*0.079*0.1/F79)*inputs!$E$80/(10^(0.84+0.62*LOG10(inputs!$E$80)))</f>
        <v>2.1427119225049047</v>
      </c>
      <c r="P79">
        <f>((MAX('Min rate concentrations'!Y:Y))*0.62*6.01*8*(10*F79^0.667)*0.079*0.1/F79)*inputs!$E$80/(10^(0.84+0.62*LOG10(inputs!$E$80)))</f>
        <v>0.71423730750163483</v>
      </c>
      <c r="Q79">
        <f>(inputs!$C$7*11.2*(10*F79^0.667)*0.5/F79)*inputs!$E$80/(10^(0.84+0.62*LOG10(inputs!$E$80)))</f>
        <v>0.37742859888113856</v>
      </c>
      <c r="R79">
        <f>(60*284*((F79/1000)^0.77)*3*24*(MAX('Min rate concentrations'!$R$3:$R$368))/F79)*(inputs!$E$73*3.4/inputs!$E$75)</f>
        <v>4.2700652891856121E-3</v>
      </c>
      <c r="S79">
        <f>(IF(inputs!$C$6="aerial",((0.025*0.112*inputs!$C$7/3.3)*(3*60*284*((F79/1000)^0.77))*MAX(inputs!$H$14:$H$16))/F79,((0.0083*0.112*inputs!$C$7/1)*(3*60*284*((F79/1000)^0.77))*MAX(inputs!$H$14:$H$16))/F79))*(inputs!E$75*3.4/inputs!$E$73)</f>
        <v>2.3549672415450279E-2</v>
      </c>
      <c r="T79">
        <f>IF((((inputs!$P$12/(V79/MAX(K79:S79)))^(1/inputs!$O$12))-1)/inputs!$N$12&lt;0, 0, IF((((inputs!$P$12/(V79/MAX(K79:S79)))^(1/inputs!$O$12))-1)/inputs!$N$12&gt;inputs!$H$17, inputs!$H$17, (((inputs!$P$12/(V79/MAX(K79:S79)))^(1/inputs!$O$12))-1)/inputs!$N$12))</f>
        <v>585.78584215123942</v>
      </c>
      <c r="U79">
        <f>IF((((inputs!$P$12/(X79/MAX(K79:S79)))^(1/inputs!$O$12))-1)/inputs!$N$12&lt;0, 0, IF((((inputs!$P$12/(X79/MAX(K79:S79)))^(1/inputs!$O$12))-1)/inputs!$N$12&gt;inputs!$H$17, inputs!$H$17, (((inputs!$P$12/(X79/MAX(K79:S79)))^(1/inputs!$O$12))-1)/inputs!$N$12))</f>
        <v>47.131582036814798</v>
      </c>
      <c r="V79">
        <f>inputs!$E$78*(F79/inputs!$F$78)^(inputs!$E$84-1)</f>
        <v>6.9758933946425274E-3</v>
      </c>
      <c r="W79">
        <f>inputs!$E$85*(F79/inputs!$F$85)^(inputs!$E$84-1)</f>
        <v>0.32213390624115795</v>
      </c>
      <c r="X79">
        <f>inputs!$E$80*(F79/inputs!$F$80)^(inputs!$E$84-1)</f>
        <v>1.2029050929258429</v>
      </c>
      <c r="Y79">
        <f>inputs!$E$82*(F79/inputs!$F$82)^(inputs!$E$84-1)</f>
        <v>0.55439994873211673</v>
      </c>
      <c r="Z79">
        <f t="shared" si="8"/>
        <v>3991.0014750848413</v>
      </c>
      <c r="AA79">
        <f t="shared" si="9"/>
        <v>86.426173366583058</v>
      </c>
    </row>
    <row r="80" spans="1:27" x14ac:dyDescent="0.3">
      <c r="A80" t="s">
        <v>187</v>
      </c>
      <c r="B80" t="s">
        <v>188</v>
      </c>
      <c r="C80" t="s">
        <v>73</v>
      </c>
      <c r="D80" t="s">
        <v>172</v>
      </c>
      <c r="E80">
        <v>73</v>
      </c>
      <c r="F80">
        <v>1500</v>
      </c>
      <c r="G80" t="s">
        <v>158</v>
      </c>
      <c r="H80">
        <v>0.85</v>
      </c>
      <c r="I80">
        <f>MAX('Min rate concentrations'!$F$3:$F$368)</f>
        <v>67.5</v>
      </c>
      <c r="J80">
        <f>MAX('Min rate concentrations'!Y:Y)</f>
        <v>22.5</v>
      </c>
      <c r="K80">
        <f t="shared" si="10"/>
        <v>21.924630652091675</v>
      </c>
      <c r="L80">
        <f>((0.301*F80^0.751)/(1-H80))*J80/F80</f>
        <v>7.3082102173638912</v>
      </c>
      <c r="M80">
        <f>IF((((1.18*F80^0.874)/3.7-(0.301*F80^0.751)/(1-H80)*H80)*(MAX('Min rate concentrations'!$P$3:$P$368)))/F80&gt;0, (((1.18*F80^0.874)/3.7-(0.301*F80^0.751)/(1-H80)*H80)*(MAX('Min rate concentrations'!$P$3:$P$368)))/F80, 0)</f>
        <v>0</v>
      </c>
      <c r="N80">
        <f>IF((((1.18*F80^0.874)/3.7-(0.301*F80^0.751)/(1-H80)*H80)*(MAX('Min rate concentrations'!$Q$3:$Q$368)))/F80&gt;0, (((1.18*F80^0.874)/3.7-(0.301*F80^0.751)/(1-H80)*H80)*(MAX('Min rate concentrations'!$Q$3:$Q$368)))/F80, 0)</f>
        <v>0</v>
      </c>
      <c r="O80">
        <f>((MAX('Min rate concentrations'!$F$3:$F$368))*0.62*6.01*8*(10*F80^0.667)*0.079*0.1/F80)*inputs!$E$80/(10^(0.84+0.62*LOG10(inputs!$E$80)))</f>
        <v>2.1427119225049047</v>
      </c>
      <c r="P80">
        <f>((MAX('Min rate concentrations'!Y:Y))*0.62*6.01*8*(10*F80^0.667)*0.079*0.1/F80)*inputs!$E$80/(10^(0.84+0.62*LOG10(inputs!$E$80)))</f>
        <v>0.71423730750163483</v>
      </c>
      <c r="Q80">
        <f>(inputs!$C$7*11.2*(10*F80^0.667)*0.5/F80)*inputs!$E$80/(10^(0.84+0.62*LOG10(inputs!$E$80)))</f>
        <v>0.37742859888113856</v>
      </c>
      <c r="R80">
        <f>(60*284*((F80/1000)^0.77)*3*24*(MAX('Min rate concentrations'!$R$3:$R$368))/F80)*(inputs!$E$73*3.4/inputs!$E$75)</f>
        <v>4.2700652891856121E-3</v>
      </c>
      <c r="S80">
        <f>(IF(inputs!$C$6="aerial",((0.025*0.112*inputs!$C$7/3.3)*(3*60*284*((F80/1000)^0.77))*MAX(inputs!$H$14:$H$16))/F80,((0.0083*0.112*inputs!$C$7/1)*(3*60*284*((F80/1000)^0.77))*MAX(inputs!$H$14:$H$16))/F80))*(inputs!E$75*3.4/inputs!$E$73)</f>
        <v>2.3549672415450279E-2</v>
      </c>
      <c r="T80">
        <f>IF((((inputs!$P$12/(V80/MAX(K80:S80)))^(1/inputs!$O$12))-1)/inputs!$N$12&lt;0, 0, IF((((inputs!$P$12/(V80/MAX(K80:S80)))^(1/inputs!$O$12))-1)/inputs!$N$12&gt;inputs!$H$17, inputs!$H$17, (((inputs!$P$12/(V80/MAX(K80:S80)))^(1/inputs!$O$12))-1)/inputs!$N$12))</f>
        <v>528.90728677928121</v>
      </c>
      <c r="U80">
        <f>IF((((inputs!$P$12/(X80/MAX(K80:S80)))^(1/inputs!$O$12))-1)/inputs!$N$12&lt;0, 0, IF((((inputs!$P$12/(X80/MAX(K80:S80)))^(1/inputs!$O$12))-1)/inputs!$N$12&gt;inputs!$H$17, inputs!$H$17, (((inputs!$P$12/(X80/MAX(K80:S80)))^(1/inputs!$O$12))-1)/inputs!$N$12))</f>
        <v>40.129438265193954</v>
      </c>
      <c r="V80">
        <f>inputs!$E$78*(F80/inputs!$F$78)^(inputs!$E$84-1)</f>
        <v>6.9758933946425274E-3</v>
      </c>
      <c r="W80">
        <f>inputs!$E$85*(F80/inputs!$F$85)^(inputs!$E$84-1)</f>
        <v>0.32213390624115795</v>
      </c>
      <c r="X80">
        <f>inputs!$E$80*(F80/inputs!$F$80)^(inputs!$E$84-1)</f>
        <v>1.2029050929258429</v>
      </c>
      <c r="Y80">
        <f>inputs!$E$82*(F80/inputs!$F$82)^(inputs!$E$84-1)</f>
        <v>0.55439994873211673</v>
      </c>
      <c r="Z80">
        <f t="shared" si="8"/>
        <v>3142.9136616293117</v>
      </c>
      <c r="AA80">
        <f t="shared" si="9"/>
        <v>68.060611526184132</v>
      </c>
    </row>
    <row r="81" spans="1:27" x14ac:dyDescent="0.3">
      <c r="A81" t="s">
        <v>187</v>
      </c>
      <c r="B81" t="s">
        <v>188</v>
      </c>
      <c r="C81" t="s">
        <v>73</v>
      </c>
      <c r="D81" t="s">
        <v>172</v>
      </c>
      <c r="E81">
        <v>73</v>
      </c>
      <c r="F81">
        <v>1500</v>
      </c>
      <c r="G81" t="s">
        <v>154</v>
      </c>
      <c r="H81">
        <v>9.2999999999999999E-2</v>
      </c>
      <c r="I81">
        <f>MAX('Min rate concentrations'!$G$3:$G$368)</f>
        <v>7.5</v>
      </c>
      <c r="J81">
        <f>MAX('Min rate concentrations'!Z:Z)</f>
        <v>3.5</v>
      </c>
      <c r="K81">
        <f t="shared" si="10"/>
        <v>0.4028781817730922</v>
      </c>
      <c r="M81">
        <f>IF((((1.18*F81^0.874)/3.7-(0.301*F81^0.751)/(1-H81)*H81)*(MAX('Min rate concentrations'!$P$3:$P$368)))/F81&gt;0, (((1.18*F81^0.874)/3.7-(0.301*F81^0.751)/(1-H81)*H81)*(MAX('Min rate concentrations'!$P$3:$P$368)))/F81, 0)</f>
        <v>1.7695492349568753E-2</v>
      </c>
      <c r="N81">
        <f>IF((((1.18*F81^0.874)/3.7-(0.301*F81^0.751)/(1-H81)*H81)*(MAX('Min rate concentrations'!$Q$3:$Q$368)))/F81&gt;0, (((1.18*F81^0.874)/3.7-(0.301*F81^0.751)/(1-H81)*H81)*(MAX('Min rate concentrations'!$Q$3:$Q$368)))/F81, 0)</f>
        <v>6.7385385675780909E-2</v>
      </c>
      <c r="O81">
        <f>((MAX('Min rate concentrations'!$F$3:$F$368))*0.62*6.01*8*(10*F81^0.667)*0.079*0.1/F81)*inputs!$E$80/(10^(0.84+0.62*LOG10(inputs!$E$80)))</f>
        <v>2.1427119225049047</v>
      </c>
      <c r="P81">
        <f>((MAX('Min rate concentrations'!Y:Y))*0.62*6.01*8*(10*F81^0.667)*0.079*0.1/F81)*inputs!$E$80/(10^(0.84+0.62*LOG10(inputs!$E$80)))</f>
        <v>0.71423730750163483</v>
      </c>
      <c r="Q81">
        <f>(inputs!$C$7*11.2*(10*F81^0.667)*0.5/F81)*inputs!$E$80/(10^(0.84+0.62*LOG10(inputs!$E$80)))</f>
        <v>0.37742859888113856</v>
      </c>
      <c r="R81">
        <f>(60*284*((F81/1000)^0.77)*3*24*(MAX('Min rate concentrations'!$R$3:$R$368))/F81)*(inputs!$E$73*3.4/inputs!$E$75)</f>
        <v>4.2700652891856121E-3</v>
      </c>
      <c r="S81">
        <f>(IF(inputs!$C$6="aerial",((0.025*0.112*inputs!$C$7/3.3)*(3*60*284*((F81/1000)^0.77))*MAX(inputs!$H$14:$H$16))/F81,((0.0083*0.112*inputs!$C$7/1)*(3*60*284*((F81/1000)^0.77))*MAX(inputs!$H$14:$H$16))/F81))*(inputs!E$75*3.4/inputs!$E$73)</f>
        <v>2.3549672415450279E-2</v>
      </c>
      <c r="T81">
        <f>IF((((inputs!$P$12/(V81/MAX(K81:S81)))^(1/inputs!$O$12))-1)/inputs!$N$12&lt;0, 0, IF((((inputs!$P$12/(V81/MAX(K81:S81)))^(1/inputs!$O$12))-1)/inputs!$N$12&gt;inputs!$H$17, inputs!$H$17, (((inputs!$P$12/(V81/MAX(K81:S81)))^(1/inputs!$O$12))-1)/inputs!$N$12))</f>
        <v>187.96854344369868</v>
      </c>
      <c r="U81">
        <f>IF((((inputs!$P$12/(X81/MAX(K81:S81)))^(1/inputs!$O$12))-1)/inputs!$N$12&lt;0, 0, IF((((inputs!$P$12/(X81/MAX(K81:S81)))^(1/inputs!$O$12))-1)/inputs!$N$12&gt;inputs!$H$17, inputs!$H$17, (((inputs!$P$12/(X81/MAX(K81:S81)))^(1/inputs!$O$12))-1)/inputs!$N$12))</f>
        <v>0</v>
      </c>
      <c r="V81">
        <f>inputs!$E$78*(F81/inputs!$F$78)^(inputs!$E$84-1)</f>
        <v>6.9758933946425274E-3</v>
      </c>
      <c r="W81">
        <f>inputs!$E$85*(F81/inputs!$F$85)^(inputs!$E$84-1)</f>
        <v>0.32213390624115795</v>
      </c>
      <c r="X81">
        <f>inputs!$E$80*(F81/inputs!$F$80)^(inputs!$E$84-1)</f>
        <v>1.2029050929258429</v>
      </c>
      <c r="Y81">
        <f>inputs!$E$82*(F81/inputs!$F$82)^(inputs!$E$84-1)</f>
        <v>0.55439994873211673</v>
      </c>
      <c r="Z81">
        <f t="shared" si="8"/>
        <v>307.15949933387793</v>
      </c>
      <c r="AA81">
        <f t="shared" si="9"/>
        <v>6.6516187243599685</v>
      </c>
    </row>
    <row r="82" spans="1:27" x14ac:dyDescent="0.3">
      <c r="A82" t="s">
        <v>170</v>
      </c>
      <c r="B82" t="s">
        <v>171</v>
      </c>
      <c r="C82" t="s">
        <v>73</v>
      </c>
      <c r="D82" t="s">
        <v>172</v>
      </c>
      <c r="E82">
        <v>70</v>
      </c>
      <c r="F82">
        <v>420</v>
      </c>
      <c r="G82" t="s">
        <v>173</v>
      </c>
      <c r="H82">
        <v>0.8</v>
      </c>
      <c r="I82">
        <f>inputs!$C$65*inputs!$C$60/1000</f>
        <v>2.8</v>
      </c>
      <c r="J82">
        <f>inputs!$C$65*inputs!$C$59/1000</f>
        <v>2.8</v>
      </c>
      <c r="K82">
        <f>(((0.301*F82^0.751)/(1-H82)))*I82/F82</f>
        <v>0.93649498915020435</v>
      </c>
      <c r="M82">
        <f>IF((((1.18*F82^0.874)/3.7-(0.301*F82^0.751)/(1-H82)*H82)*(MAX('Min rate concentrations'!$P$3:$P$368)))/F82&gt;0, (((1.18*F82^0.874)/3.7-(0.301*F82^0.751)/(1-H82)*H82)*(MAX('Min rate concentrations'!$P$3:$P$368)))/F82, 0)</f>
        <v>0</v>
      </c>
      <c r="N82">
        <f>IF((((1.18*F82^0.874)/3.7-(0.301*F82^0.751)/(1-H82)*H82)*(MAX('Min rate concentrations'!$Q$3:$Q$368)))/F82&gt;0, (((1.18*F82^0.874)/3.7-(0.301*F82^0.751)/(1-H82)*H82)*(MAX('Min rate concentrations'!$Q$3:$Q$368)))/F82, 0)</f>
        <v>0</v>
      </c>
      <c r="O82">
        <f>((MAX('Min rate concentrations'!$F$3:$F$368))*0.62*6.01*8*(10*F82^0.667)*0.079*0.1/F82)*inputs!$E$80/(10^(0.84+0.62*LOG10(inputs!$E$80)))</f>
        <v>3.2738604367729089</v>
      </c>
      <c r="P82">
        <f>((MAX('Min rate concentrations'!Y:Y))*0.62*6.01*8*(10*F82^0.667)*0.079*0.1/F82)*inputs!$E$80/(10^(0.84+0.62*LOG10(inputs!$E$80)))</f>
        <v>1.091286812257636</v>
      </c>
      <c r="Q82">
        <f>(inputs!$C$7*11.2*(10*F82^0.667)*0.5/F82)*inputs!$E$80/(10^(0.84+0.62*LOG10(inputs!$E$80)))</f>
        <v>0.57667507451915179</v>
      </c>
      <c r="R82">
        <f>(60*284*((F82/1000)^0.77)*3*24*(MAX('Min rate concentrations'!$R$3:$R$368))/F82)*(inputs!$E$73*3.4/inputs!$E$75)</f>
        <v>5.7225311872717653E-3</v>
      </c>
      <c r="S82">
        <f>(IF(inputs!$C$6="aerial",((0.025*0.112*inputs!$C$7/3.3)*(3*60*284*((F82/1000)^0.77))*MAX(inputs!$H$14:$H$16))/F82,((0.0083*0.112*inputs!$C$7/1)*(3*60*284*((F82/1000)^0.77))*MAX(inputs!$H$14:$H$16))/F82))*(inputs!E$75*3.4/inputs!$E$73)</f>
        <v>3.1560111080444396E-2</v>
      </c>
      <c r="T82">
        <f>IF((((inputs!$P$12/(V82/MAX(K82:S82)))^(1/inputs!$O$12))-1)/inputs!$N$12&lt;0, 0, IF((((inputs!$P$12/(V82/MAX(K82:S82)))^(1/inputs!$O$12))-1)/inputs!$N$12&gt;inputs!$H$17, inputs!$H$17, (((inputs!$P$12/(V82/MAX(K82:S82)))^(1/inputs!$O$12))-1)/inputs!$N$12))</f>
        <v>183.86128480843439</v>
      </c>
      <c r="U82">
        <f>IF((((inputs!$P$12/(X82/MAX(K82:S82)))^(1/inputs!$O$12))-1)/inputs!$N$12&lt;0, 0, IF((((inputs!$P$12/(X82/MAX(K82:S82)))^(1/inputs!$O$12))-1)/inputs!$N$12&gt;inputs!$H$17, inputs!$H$17, (((inputs!$P$12/(X82/MAX(K82:S82)))^(1/inputs!$O$12))-1)/inputs!$N$12))</f>
        <v>0</v>
      </c>
      <c r="V82">
        <f>inputs!$E$78*(F82/inputs!$F$78)^(inputs!$E$84-1)</f>
        <v>1.117252573011749E-2</v>
      </c>
      <c r="W82">
        <f>inputs!$E$85*(F82/inputs!$F$85)^(inputs!$E$84-1)</f>
        <v>0.51592665661815518</v>
      </c>
      <c r="X82">
        <f>inputs!$E$80*(F82/inputs!$F$80)^(inputs!$E$84-1)</f>
        <v>1.9265615658526047</v>
      </c>
      <c r="Y82">
        <f>inputs!$E$82*(F82/inputs!$F$82)^(inputs!$E$84-1)</f>
        <v>0.88792178170933744</v>
      </c>
      <c r="Z82">
        <f t="shared" si="8"/>
        <v>293.02778224512366</v>
      </c>
      <c r="AA82">
        <f t="shared" si="9"/>
        <v>6.345592720935799</v>
      </c>
    </row>
    <row r="83" spans="1:27" x14ac:dyDescent="0.3">
      <c r="A83" t="s">
        <v>170</v>
      </c>
      <c r="B83" t="s">
        <v>171</v>
      </c>
      <c r="C83" t="s">
        <v>73</v>
      </c>
      <c r="D83" t="s">
        <v>172</v>
      </c>
      <c r="E83">
        <v>70</v>
      </c>
      <c r="F83">
        <v>420</v>
      </c>
      <c r="G83" t="s">
        <v>142</v>
      </c>
      <c r="H83">
        <v>0.69</v>
      </c>
      <c r="I83">
        <f>MAX('Min rate concentrations'!$H$3:$H$368)</f>
        <v>47</v>
      </c>
      <c r="J83">
        <f>MAX('Min rate concentrations'!AA:AA)</f>
        <v>32.5</v>
      </c>
      <c r="K83">
        <f t="shared" ref="K83:K146" si="11">((0.301*F83^0.751)/(1-H83))*I83/F83</f>
        <v>10.141766011534468</v>
      </c>
      <c r="L83">
        <f>((0.301*F83^0.751)/(1-H83))*J83/F83</f>
        <v>7.0129233058483011</v>
      </c>
      <c r="M83">
        <f>IF((((1.18*F83^0.874)/3.7-(0.301*F83^0.751)/(1-H83)*H83)*(MAX('Min rate concentrations'!$P$3:$P$368)))/F83&gt;0, (((1.18*F83^0.874)/3.7-(0.301*F83^0.751)/(1-H83)*H83)*(MAX('Min rate concentrations'!$P$3:$P$368)))/F83, 0)</f>
        <v>1.4239078955626124E-5</v>
      </c>
      <c r="N83">
        <f>IF((((1.18*F83^0.874)/3.7-(0.301*F83^0.751)/(1-H83)*H83)*(MAX('Min rate concentrations'!$Q$3:$Q$368)))/F83&gt;0, (((1.18*F83^0.874)/3.7-(0.301*F83^0.751)/(1-H83)*H83)*(MAX('Min rate concentrations'!$Q$3:$Q$368)))/F83, 0)</f>
        <v>5.4223177752731228E-5</v>
      </c>
      <c r="O83">
        <f>((MAX('Min rate concentrations'!$F$3:$F$368))*0.62*6.01*8*(10*F83^0.667)*0.079*0.1/F83)*inputs!$E$80/(10^(0.84+0.62*LOG10(inputs!$E$80)))</f>
        <v>3.2738604367729089</v>
      </c>
      <c r="P83">
        <f>((MAX('Min rate concentrations'!Y:Y))*0.62*6.01*8*(10*F83^0.667)*0.079*0.1/F83)*inputs!$E$80/(10^(0.84+0.62*LOG10(inputs!$E$80)))</f>
        <v>1.091286812257636</v>
      </c>
      <c r="Q83">
        <f>(inputs!$C$7*11.2*(10*F83^0.667)*0.5/F83)*inputs!$E$80/(10^(0.84+0.62*LOG10(inputs!$E$80)))</f>
        <v>0.57667507451915179</v>
      </c>
      <c r="R83">
        <f>(60*284*((F83/1000)^0.77)*3*24*(MAX('Min rate concentrations'!$R$3:$R$368))/F83)*(inputs!$E$73*3.4/inputs!$E$75)</f>
        <v>5.7225311872717653E-3</v>
      </c>
      <c r="S83">
        <f>(IF(inputs!$C$6="aerial",((0.025*0.112*inputs!$C$7/3.3)*(3*60*284*((F83/1000)^0.77))*MAX(inputs!$H$14:$H$16))/F83,((0.0083*0.112*inputs!$C$7/1)*(3*60*284*((F83/1000)^0.77))*MAX(inputs!$H$14:$H$16))/F83))*(inputs!E$75*3.4/inputs!$E$73)</f>
        <v>3.1560111080444396E-2</v>
      </c>
      <c r="T83">
        <f>IF((((inputs!$P$12/(V83/MAX(K83:S83)))^(1/inputs!$O$12))-1)/inputs!$N$12&lt;0, 0, IF((((inputs!$P$12/(V83/MAX(K83:S83)))^(1/inputs!$O$12))-1)/inputs!$N$12&gt;inputs!$H$17, inputs!$H$17, (((inputs!$P$12/(V83/MAX(K83:S83)))^(1/inputs!$O$12))-1)/inputs!$N$12))</f>
        <v>307.85408506637356</v>
      </c>
      <c r="U83">
        <f>IF((((inputs!$P$12/(X83/MAX(K83:S83)))^(1/inputs!$O$12))-1)/inputs!$N$12&lt;0, 0, IF((((inputs!$P$12/(X83/MAX(K83:S83)))^(1/inputs!$O$12))-1)/inputs!$N$12&gt;inputs!$H$17, inputs!$H$17, (((inputs!$P$12/(X83/MAX(K83:S83)))^(1/inputs!$O$12))-1)/inputs!$N$12))</f>
        <v>12.91625942391164</v>
      </c>
      <c r="V83">
        <f>inputs!$E$78*(F83/inputs!$F$78)^(inputs!$E$84-1)</f>
        <v>1.117252573011749E-2</v>
      </c>
      <c r="W83">
        <f>inputs!$E$85*(F83/inputs!$F$85)^(inputs!$E$84-1)</f>
        <v>0.51592665661815518</v>
      </c>
      <c r="X83">
        <f>inputs!$E$80*(F83/inputs!$F$80)^(inputs!$E$84-1)</f>
        <v>1.9265615658526047</v>
      </c>
      <c r="Y83">
        <f>inputs!$E$82*(F83/inputs!$F$82)^(inputs!$E$84-1)</f>
        <v>0.88792178170933744</v>
      </c>
      <c r="Z83">
        <f t="shared" si="8"/>
        <v>907.74156681470606</v>
      </c>
      <c r="AA83">
        <f t="shared" si="9"/>
        <v>19.657379360881787</v>
      </c>
    </row>
    <row r="84" spans="1:27" x14ac:dyDescent="0.3">
      <c r="A84" t="s">
        <v>170</v>
      </c>
      <c r="B84" t="s">
        <v>171</v>
      </c>
      <c r="C84" t="s">
        <v>73</v>
      </c>
      <c r="D84" t="s">
        <v>172</v>
      </c>
      <c r="E84">
        <v>70</v>
      </c>
      <c r="F84">
        <v>420</v>
      </c>
      <c r="G84" t="s">
        <v>169</v>
      </c>
      <c r="H84">
        <v>0.79</v>
      </c>
      <c r="I84">
        <f>MAX('Min rate concentrations'!$D$3:$D$368)</f>
        <v>120</v>
      </c>
      <c r="J84">
        <f>MAX('Min rate concentrations'!W:W)</f>
        <v>42.5</v>
      </c>
      <c r="K84">
        <f t="shared" si="11"/>
        <v>38.224285271436905</v>
      </c>
      <c r="L84">
        <f>((0.301*F84^0.751)/(1-H84))*J84/F84</f>
        <v>13.537767700300572</v>
      </c>
      <c r="M84">
        <f>IF((((1.18*F84^0.874)/3.7-(0.301*F84^0.751)/(1-H84)*H84)*(MAX('Min rate concentrations'!$P$3:$P$368)))/F84&gt;0, (((1.18*F84^0.874)/3.7-(0.301*F84^0.751)/(1-H84)*H84)*(MAX('Min rate concentrations'!$P$3:$P$368)))/F84, 0)</f>
        <v>0</v>
      </c>
      <c r="N84">
        <f>IF((((1.18*F84^0.874)/3.7-(0.301*F84^0.751)/(1-H84)*H84)*(MAX('Min rate concentrations'!$Q$3:$Q$368)))/F84&gt;0, (((1.18*F84^0.874)/3.7-(0.301*F84^0.751)/(1-H84)*H84)*(MAX('Min rate concentrations'!$Q$3:$Q$368)))/F84, 0)</f>
        <v>0</v>
      </c>
      <c r="O84">
        <f>((MAX('Min rate concentrations'!$F$3:$F$368))*0.62*6.01*8*(10*F84^0.667)*0.079*0.1/F84)*inputs!$E$80/(10^(0.84+0.62*LOG10(inputs!$E$80)))</f>
        <v>3.2738604367729089</v>
      </c>
      <c r="P84">
        <f>((MAX('Min rate concentrations'!Y:Y))*0.62*6.01*8*(10*F84^0.667)*0.079*0.1/F84)*inputs!$E$80/(10^(0.84+0.62*LOG10(inputs!$E$80)))</f>
        <v>1.091286812257636</v>
      </c>
      <c r="Q84">
        <f>(inputs!$C$7*11.2*(10*F84^0.667)*0.5/F84)*inputs!$E$80/(10^(0.84+0.62*LOG10(inputs!$E$80)))</f>
        <v>0.57667507451915179</v>
      </c>
      <c r="R84">
        <f>(60*284*((F84/1000)^0.77)*3*24*(MAX('Min rate concentrations'!$R$3:$R$368))/F84)*(inputs!$E$73*3.4/inputs!$E$75)</f>
        <v>5.7225311872717653E-3</v>
      </c>
      <c r="S84">
        <f>(IF(inputs!$C$6="aerial",((0.025*0.112*inputs!$C$7/3.3)*(3*60*284*((F84/1000)^0.77))*MAX(inputs!$H$14:$H$16))/F84,((0.0083*0.112*inputs!$C$7/1)*(3*60*284*((F84/1000)^0.77))*MAX(inputs!$H$14:$H$16))/F84))*(inputs!E$75*3.4/inputs!$E$73)</f>
        <v>3.1560111080444396E-2</v>
      </c>
      <c r="T84">
        <f>IF((((inputs!$P$12/(V84/MAX(K84:S84)))^(1/inputs!$O$12))-1)/inputs!$N$12&lt;0, 0, IF((((inputs!$P$12/(V84/MAX(K84:S84)))^(1/inputs!$O$12))-1)/inputs!$N$12&gt;inputs!$H$17, inputs!$H$17, (((inputs!$P$12/(V84/MAX(K84:S84)))^(1/inputs!$O$12))-1)/inputs!$N$12))</f>
        <v>548.4827696012934</v>
      </c>
      <c r="U84">
        <f>IF((((inputs!$P$12/(X84/MAX(K84:S84)))^(1/inputs!$O$12))-1)/inputs!$N$12&lt;0, 0, IF((((inputs!$P$12/(X84/MAX(K84:S84)))^(1/inputs!$O$12))-1)/inputs!$N$12&gt;inputs!$H$17, inputs!$H$17, (((inputs!$P$12/(X84/MAX(K84:S84)))^(1/inputs!$O$12))-1)/inputs!$N$12))</f>
        <v>42.539315664896684</v>
      </c>
      <c r="V84">
        <f>inputs!$E$78*(F84/inputs!$F$78)^(inputs!$E$84-1)</f>
        <v>1.117252573011749E-2</v>
      </c>
      <c r="W84">
        <f>inputs!$E$85*(F84/inputs!$F$85)^(inputs!$E$84-1)</f>
        <v>0.51592665661815518</v>
      </c>
      <c r="X84">
        <f>inputs!$E$80*(F84/inputs!$F$80)^(inputs!$E$84-1)</f>
        <v>1.9265615658526047</v>
      </c>
      <c r="Y84">
        <f>inputs!$E$82*(F84/inputs!$F$82)^(inputs!$E$84-1)</f>
        <v>0.88792178170933744</v>
      </c>
      <c r="Z84">
        <f t="shared" si="8"/>
        <v>3421.275206231719</v>
      </c>
      <c r="AA84">
        <f t="shared" si="9"/>
        <v>74.088603062290019</v>
      </c>
    </row>
    <row r="85" spans="1:27" x14ac:dyDescent="0.3">
      <c r="A85" t="s">
        <v>170</v>
      </c>
      <c r="B85" t="s">
        <v>171</v>
      </c>
      <c r="C85" t="s">
        <v>73</v>
      </c>
      <c r="D85" t="s">
        <v>172</v>
      </c>
      <c r="E85">
        <v>70</v>
      </c>
      <c r="F85">
        <v>420</v>
      </c>
      <c r="G85" t="s">
        <v>158</v>
      </c>
      <c r="H85">
        <v>0.85</v>
      </c>
      <c r="I85">
        <f>MAX('Min rate concentrations'!$F$3:$F$368)</f>
        <v>67.5</v>
      </c>
      <c r="J85">
        <f>MAX('Min rate concentrations'!Y:Y)</f>
        <v>22.5</v>
      </c>
      <c r="K85">
        <f t="shared" si="11"/>
        <v>30.101624651256557</v>
      </c>
      <c r="L85">
        <f>((0.301*F85^0.751)/(1-H85))*J85/F85</f>
        <v>10.033874883752185</v>
      </c>
      <c r="M85">
        <f>IF((((1.18*F85^0.874)/3.7-(0.301*F85^0.751)/(1-H85)*H85)*(MAX('Min rate concentrations'!$P$3:$P$368)))/F85&gt;0, (((1.18*F85^0.874)/3.7-(0.301*F85^0.751)/(1-H85)*H85)*(MAX('Min rate concentrations'!$P$3:$P$368)))/F85, 0)</f>
        <v>0</v>
      </c>
      <c r="N85">
        <f>IF((((1.18*F85^0.874)/3.7-(0.301*F85^0.751)/(1-H85)*H85)*(MAX('Min rate concentrations'!$Q$3:$Q$368)))/F85&gt;0, (((1.18*F85^0.874)/3.7-(0.301*F85^0.751)/(1-H85)*H85)*(MAX('Min rate concentrations'!$Q$3:$Q$368)))/F85, 0)</f>
        <v>0</v>
      </c>
      <c r="O85">
        <f>((MAX('Min rate concentrations'!$F$3:$F$368))*0.62*6.01*8*(10*F85^0.667)*0.079*0.1/F85)*inputs!$E$80/(10^(0.84+0.62*LOG10(inputs!$E$80)))</f>
        <v>3.2738604367729089</v>
      </c>
      <c r="P85">
        <f>((MAX('Min rate concentrations'!Y:Y))*0.62*6.01*8*(10*F85^0.667)*0.079*0.1/F85)*inputs!$E$80/(10^(0.84+0.62*LOG10(inputs!$E$80)))</f>
        <v>1.091286812257636</v>
      </c>
      <c r="Q85">
        <f>(inputs!$C$7*11.2*(10*F85^0.667)*0.5/F85)*inputs!$E$80/(10^(0.84+0.62*LOG10(inputs!$E$80)))</f>
        <v>0.57667507451915179</v>
      </c>
      <c r="R85">
        <f>(60*284*((F85/1000)^0.77)*3*24*(MAX('Min rate concentrations'!$R$3:$R$368))/F85)*(inputs!$E$73*3.4/inputs!$E$75)</f>
        <v>5.7225311872717653E-3</v>
      </c>
      <c r="S85">
        <f>(IF(inputs!$C$6="aerial",((0.025*0.112*inputs!$C$7/3.3)*(3*60*284*((F85/1000)^0.77))*MAX(inputs!$H$14:$H$16))/F85,((0.0083*0.112*inputs!$C$7/1)*(3*60*284*((F85/1000)^0.77))*MAX(inputs!$H$14:$H$16))/F85))*(inputs!E$75*3.4/inputs!$E$73)</f>
        <v>3.1560111080444396E-2</v>
      </c>
      <c r="T85">
        <f>IF((((inputs!$P$12/(V85/MAX(K85:S85)))^(1/inputs!$O$12))-1)/inputs!$N$12&lt;0, 0, IF((((inputs!$P$12/(V85/MAX(K85:S85)))^(1/inputs!$O$12))-1)/inputs!$N$12&gt;inputs!$H$17, inputs!$H$17, (((inputs!$P$12/(V85/MAX(K85:S85)))^(1/inputs!$O$12))-1)/inputs!$N$12))</f>
        <v>495.05827286810501</v>
      </c>
      <c r="U85">
        <f>IF((((inputs!$P$12/(X85/MAX(K85:S85)))^(1/inputs!$O$12))-1)/inputs!$N$12&lt;0, 0, IF((((inputs!$P$12/(X85/MAX(K85:S85)))^(1/inputs!$O$12))-1)/inputs!$N$12&gt;inputs!$H$17, inputs!$H$17, (((inputs!$P$12/(X85/MAX(K85:S85)))^(1/inputs!$O$12))-1)/inputs!$N$12))</f>
        <v>35.962390414142142</v>
      </c>
      <c r="V85">
        <f>inputs!$E$78*(F85/inputs!$F$78)^(inputs!$E$84-1)</f>
        <v>1.117252573011749E-2</v>
      </c>
      <c r="W85">
        <f>inputs!$E$85*(F85/inputs!$F$85)^(inputs!$E$84-1)</f>
        <v>0.51592665661815518</v>
      </c>
      <c r="X85">
        <f>inputs!$E$80*(F85/inputs!$F$80)^(inputs!$E$84-1)</f>
        <v>1.9265615658526047</v>
      </c>
      <c r="Y85">
        <f>inputs!$E$82*(F85/inputs!$F$82)^(inputs!$E$84-1)</f>
        <v>0.88792178170933744</v>
      </c>
      <c r="Z85">
        <f t="shared" si="8"/>
        <v>2694.2542249074786</v>
      </c>
      <c r="AA85">
        <f t="shared" si="9"/>
        <v>58.34477491155338</v>
      </c>
    </row>
    <row r="86" spans="1:27" x14ac:dyDescent="0.3">
      <c r="A86" t="s">
        <v>170</v>
      </c>
      <c r="B86" t="s">
        <v>171</v>
      </c>
      <c r="C86" t="s">
        <v>73</v>
      </c>
      <c r="D86" t="s">
        <v>172</v>
      </c>
      <c r="E86">
        <v>70</v>
      </c>
      <c r="F86">
        <v>420</v>
      </c>
      <c r="G86" t="s">
        <v>154</v>
      </c>
      <c r="H86">
        <v>9.2999999999999999E-2</v>
      </c>
      <c r="I86">
        <f>MAX('Min rate concentrations'!$G$3:$G$368)</f>
        <v>7.5</v>
      </c>
      <c r="J86">
        <f>MAX('Min rate concentrations'!Z:Z)</f>
        <v>3.5</v>
      </c>
      <c r="K86">
        <f t="shared" si="11"/>
        <v>0.55313532986505987</v>
      </c>
      <c r="M86">
        <f>IF((((1.18*F86^0.874)/3.7-(0.301*F86^0.751)/(1-H86)*H86)*(MAX('Min rate concentrations'!$P$3:$P$368)))/F86&gt;0, (((1.18*F86^0.874)/3.7-(0.301*F86^0.751)/(1-H86)*H86)*(MAX('Min rate concentrations'!$P$3:$P$368)))/F86, 0)</f>
        <v>2.0629741389620846E-2</v>
      </c>
      <c r="N86">
        <f>IF((((1.18*F86^0.874)/3.7-(0.301*F86^0.751)/(1-H86)*H86)*(MAX('Min rate concentrations'!$Q$3:$Q$368)))/F86&gt;0, (((1.18*F86^0.874)/3.7-(0.301*F86^0.751)/(1-H86)*H86)*(MAX('Min rate concentrations'!$Q$3:$Q$368)))/F86, 0)</f>
        <v>7.8559163682444783E-2</v>
      </c>
      <c r="O86">
        <f>((MAX('Min rate concentrations'!$F$3:$F$368))*0.62*6.01*8*(10*F86^0.667)*0.079*0.1/F86)*inputs!$E$80/(10^(0.84+0.62*LOG10(inputs!$E$80)))</f>
        <v>3.2738604367729089</v>
      </c>
      <c r="P86">
        <f>((MAX('Min rate concentrations'!Y:Y))*0.62*6.01*8*(10*F86^0.667)*0.079*0.1/F86)*inputs!$E$80/(10^(0.84+0.62*LOG10(inputs!$E$80)))</f>
        <v>1.091286812257636</v>
      </c>
      <c r="Q86">
        <f>(inputs!$C$7*11.2*(10*F86^0.667)*0.5/F86)*inputs!$E$80/(10^(0.84+0.62*LOG10(inputs!$E$80)))</f>
        <v>0.57667507451915179</v>
      </c>
      <c r="R86">
        <f>(60*284*((F86/1000)^0.77)*3*24*(MAX('Min rate concentrations'!$R$3:$R$368))/F86)*(inputs!$E$73*3.4/inputs!$E$75)</f>
        <v>5.7225311872717653E-3</v>
      </c>
      <c r="S86">
        <f>(IF(inputs!$C$6="aerial",((0.025*0.112*inputs!$C$7/3.3)*(3*60*284*((F86/1000)^0.77))*MAX(inputs!$H$14:$H$16))/F86,((0.0083*0.112*inputs!$C$7/1)*(3*60*284*((F86/1000)^0.77))*MAX(inputs!$H$14:$H$16))/F86))*(inputs!E$75*3.4/inputs!$E$73)</f>
        <v>3.1560111080444396E-2</v>
      </c>
      <c r="T86">
        <f>IF((((inputs!$P$12/(V86/MAX(K86:S86)))^(1/inputs!$O$12))-1)/inputs!$N$12&lt;0, 0, IF((((inputs!$P$12/(V86/MAX(K86:S86)))^(1/inputs!$O$12))-1)/inputs!$N$12&gt;inputs!$H$17, inputs!$H$17, (((inputs!$P$12/(V86/MAX(K86:S86)))^(1/inputs!$O$12))-1)/inputs!$N$12))</f>
        <v>183.86128480843439</v>
      </c>
      <c r="U86">
        <f>IF((((inputs!$P$12/(X86/MAX(K86:S86)))^(1/inputs!$O$12))-1)/inputs!$N$12&lt;0, 0, IF((((inputs!$P$12/(X86/MAX(K86:S86)))^(1/inputs!$O$12))-1)/inputs!$N$12&gt;inputs!$H$17, inputs!$H$17, (((inputs!$P$12/(X86/MAX(K86:S86)))^(1/inputs!$O$12))-1)/inputs!$N$12))</f>
        <v>0</v>
      </c>
      <c r="V86">
        <f>inputs!$E$78*(F86/inputs!$F$78)^(inputs!$E$84-1)</f>
        <v>1.117252573011749E-2</v>
      </c>
      <c r="W86">
        <f>inputs!$E$85*(F86/inputs!$F$85)^(inputs!$E$84-1)</f>
        <v>0.51592665661815518</v>
      </c>
      <c r="X86">
        <f>inputs!$E$80*(F86/inputs!$F$80)^(inputs!$E$84-1)</f>
        <v>1.9265615658526047</v>
      </c>
      <c r="Y86">
        <f>inputs!$E$82*(F86/inputs!$F$82)^(inputs!$E$84-1)</f>
        <v>0.88792178170933744</v>
      </c>
      <c r="Z86">
        <f t="shared" si="8"/>
        <v>293.02778224512366</v>
      </c>
      <c r="AA86">
        <f t="shared" si="9"/>
        <v>6.345592720935799</v>
      </c>
    </row>
    <row r="87" spans="1:27" x14ac:dyDescent="0.3">
      <c r="A87" t="s">
        <v>170</v>
      </c>
      <c r="B87" t="s">
        <v>171</v>
      </c>
      <c r="C87" t="s">
        <v>73</v>
      </c>
      <c r="D87" t="s">
        <v>172</v>
      </c>
      <c r="E87">
        <v>70</v>
      </c>
      <c r="F87">
        <v>420</v>
      </c>
      <c r="G87" t="s">
        <v>174</v>
      </c>
      <c r="H87">
        <v>0.83</v>
      </c>
      <c r="I87">
        <f>inputs!$C$65*(inputs!$C$62/1000)</f>
        <v>0.82000000000000006</v>
      </c>
      <c r="J87">
        <f>inputs!$C$65*(inputs!$C$61/1000)</f>
        <v>0.25</v>
      </c>
      <c r="K87">
        <f t="shared" si="11"/>
        <v>0.32265793743830562</v>
      </c>
      <c r="M87">
        <f>IF((((1.18*F87^0.874)/3.7-(0.301*F87^0.751)/(1-H87)*H87)*(MAX('Min rate concentrations'!$P$3:$P$368)))/F87&gt;0, (((1.18*F87^0.874)/3.7-(0.301*F87^0.751)/(1-H87)*H87)*(MAX('Min rate concentrations'!$P$3:$P$368)))/F87, 0)</f>
        <v>0</v>
      </c>
      <c r="N87">
        <f>IF((((1.18*F87^0.874)/3.7-(0.301*F87^0.751)/(1-H87)*H87)*(MAX('Min rate concentrations'!$Q$3:$Q$368)))/F87&gt;0, (((1.18*F87^0.874)/3.7-(0.301*F87^0.751)/(1-H87)*H87)*(MAX('Min rate concentrations'!$Q$3:$Q$368)))/F87, 0)</f>
        <v>0</v>
      </c>
      <c r="O87">
        <f>((MAX('Min rate concentrations'!$F$3:$F$368))*0.62*6.01*8*(10*F87^0.667)*0.079*0.1/F87)*inputs!$E$80/(10^(0.84+0.62*LOG10(inputs!$E$80)))</f>
        <v>3.2738604367729089</v>
      </c>
      <c r="P87">
        <f>((MAX('Min rate concentrations'!Y:Y))*0.62*6.01*8*(10*F87^0.667)*0.079*0.1/F87)*inputs!$E$80/(10^(0.84+0.62*LOG10(inputs!$E$80)))</f>
        <v>1.091286812257636</v>
      </c>
      <c r="Q87">
        <f>(inputs!$C$7*11.2*(10*F87^0.667)*0.5/F87)*inputs!$E$80/(10^(0.84+0.62*LOG10(inputs!$E$80)))</f>
        <v>0.57667507451915179</v>
      </c>
      <c r="R87">
        <f>(60*284*((F87/1000)^0.77)*3*24*(MAX('Min rate concentrations'!$R$3:$R$368))/F87)*(inputs!$E$73*3.4/inputs!$E$75)</f>
        <v>5.7225311872717653E-3</v>
      </c>
      <c r="S87">
        <f>(IF(inputs!$C$6="aerial",((0.025*0.112*inputs!$C$7/3.3)*(3*60*284*((F87/1000)^0.77))*MAX(inputs!$H$14:$H$16))/F87,((0.0083*0.112*inputs!$C$7/1)*(3*60*284*((F87/1000)^0.77))*MAX(inputs!$H$14:$H$16))/F87))*(inputs!E$75*3.4/inputs!$E$73)</f>
        <v>3.1560111080444396E-2</v>
      </c>
      <c r="T87">
        <f>IF((((inputs!$P$12/(V87/MAX(K87:S87)))^(1/inputs!$O$12))-1)/inputs!$N$12&lt;0, 0, IF((((inputs!$P$12/(V87/MAX(K87:S87)))^(1/inputs!$O$12))-1)/inputs!$N$12&gt;inputs!$H$17, inputs!$H$17, (((inputs!$P$12/(V87/MAX(K87:S87)))^(1/inputs!$O$12))-1)/inputs!$N$12))</f>
        <v>183.86128480843439</v>
      </c>
      <c r="U87">
        <f>IF((((inputs!$P$12/(X87/MAX(K87:S87)))^(1/inputs!$O$12))-1)/inputs!$N$12&lt;0, 0, IF((((inputs!$P$12/(X87/MAX(K87:S87)))^(1/inputs!$O$12))-1)/inputs!$N$12&gt;inputs!$H$17, inputs!$H$17, (((inputs!$P$12/(X87/MAX(K87:S87)))^(1/inputs!$O$12))-1)/inputs!$N$12))</f>
        <v>0</v>
      </c>
      <c r="V87">
        <f>inputs!$E$78*(F87/inputs!$F$78)^(inputs!$E$84-1)</f>
        <v>1.117252573011749E-2</v>
      </c>
      <c r="W87">
        <f>inputs!$E$85*(F87/inputs!$F$85)^(inputs!$E$84-1)</f>
        <v>0.51592665661815518</v>
      </c>
      <c r="X87">
        <f>inputs!$E$80*(F87/inputs!$F$80)^(inputs!$E$84-1)</f>
        <v>1.9265615658526047</v>
      </c>
      <c r="Y87">
        <f>inputs!$E$82*(F87/inputs!$F$82)^(inputs!$E$84-1)</f>
        <v>0.88792178170933744</v>
      </c>
      <c r="Z87">
        <f t="shared" si="8"/>
        <v>293.02778224512366</v>
      </c>
      <c r="AA87">
        <f t="shared" si="9"/>
        <v>6.345592720935799</v>
      </c>
    </row>
    <row r="88" spans="1:27" x14ac:dyDescent="0.3">
      <c r="A88" t="s">
        <v>342</v>
      </c>
      <c r="B88" t="s">
        <v>343</v>
      </c>
      <c r="C88" t="s">
        <v>73</v>
      </c>
      <c r="D88" t="s">
        <v>172</v>
      </c>
      <c r="E88">
        <v>146</v>
      </c>
      <c r="F88">
        <v>1075</v>
      </c>
      <c r="G88" t="s">
        <v>241</v>
      </c>
      <c r="H88">
        <v>0.8</v>
      </c>
      <c r="I88">
        <f>inputs!$C$65*inputs!$C$60/1000</f>
        <v>2.8</v>
      </c>
      <c r="J88">
        <f>inputs!$C$65*inputs!$C$59/1000</f>
        <v>2.8</v>
      </c>
      <c r="K88">
        <f t="shared" si="11"/>
        <v>0.74109489843852361</v>
      </c>
      <c r="L88">
        <f t="shared" ref="L88:L112" si="12">((0.301*F88^0.751)/(1-H88))*J88/F88</f>
        <v>0.74109489843852361</v>
      </c>
      <c r="M88">
        <f>IF((((1.18*F88^0.874)/3.7-(0.301*F88^0.751)/(1-H88)*H88)*(MAX('Min rate concentrations'!$P$3:$P$368)))/F88&gt;0, (((1.18*F88^0.874)/3.7-(0.301*F88^0.751)/(1-H88)*H88)*(MAX('Min rate concentrations'!$P$3:$P$368)))/F88, 0)</f>
        <v>0</v>
      </c>
      <c r="N88">
        <f>IF((((1.18*F88^0.874)/3.7-(0.301*F88^0.751)/(1-H88)*H88)*(MAX('Min rate concentrations'!$Q$3:$Q$368)))/F88&gt;0, (((1.18*F88^0.874)/3.7-(0.301*F88^0.751)/(1-H88)*H88)*(MAX('Min rate concentrations'!$Q$3:$Q$368)))/F88, 0)</f>
        <v>0</v>
      </c>
      <c r="O88">
        <f>((MAX('Min rate concentrations'!$F$3:$F$368))*0.62*6.01*8*(10*F88^0.667)*0.079*0.1/F88)*inputs!$E$80/(10^(0.84+0.62*LOG10(inputs!$E$80)))</f>
        <v>2.3941047967970794</v>
      </c>
      <c r="P88">
        <f>((MAX('Min rate concentrations'!Y:Y))*0.62*6.01*8*(10*F88^0.667)*0.079*0.1/F88)*inputs!$E$80/(10^(0.84+0.62*LOG10(inputs!$E$80)))</f>
        <v>0.79803493226569322</v>
      </c>
      <c r="Q88">
        <f>(inputs!$C$7*11.2*(10*F88^0.667)*0.5/F88)*inputs!$E$80/(10^(0.84+0.62*LOG10(inputs!$E$80)))</f>
        <v>0.42171026797358308</v>
      </c>
      <c r="R88">
        <f>(60*284*((F88/1000)^0.77)*3*24*(MAX('Min rate concentrations'!$R$3:$R$368))/F88)*(inputs!$E$73*3.4/inputs!$E$75)</f>
        <v>4.6101128681225369E-3</v>
      </c>
      <c r="S88">
        <f>(IF(inputs!$C$6="aerial",((0.025*0.112*inputs!$C$7/3.3)*(3*60*284*((F88/1000)^0.77))*MAX(inputs!$H$14:$H$16))/F88,((0.0083*0.112*inputs!$C$7/1)*(3*60*284*((F88/1000)^0.77))*MAX(inputs!$H$14:$H$16))/F88))*(inputs!E$75*3.4/inputs!$E$73)</f>
        <v>2.5425055705235729E-2</v>
      </c>
      <c r="T88">
        <f>IF((((inputs!$P$12/(V88/MAX(K88:S88)))^(1/inputs!$O$12))-1)/inputs!$N$12&lt;0, 0, IF((((inputs!$P$12/(V88/MAX(K88:S88)))^(1/inputs!$O$12))-1)/inputs!$N$12&gt;inputs!$H$17, inputs!$H$17, (((inputs!$P$12/(V88/MAX(K88:S88)))^(1/inputs!$O$12))-1)/inputs!$N$12))</f>
        <v>186.886030775752</v>
      </c>
      <c r="U88">
        <f>IF((((inputs!$P$12/(X88/MAX(K88:S88)))^(1/inputs!$O$12))-1)/inputs!$N$12&lt;0, 0, IF((((inputs!$P$12/(X88/MAX(K88:S88)))^(1/inputs!$O$12))-1)/inputs!$N$12&gt;inputs!$H$17, inputs!$H$17, (((inputs!$P$12/(X88/MAX(K88:S88)))^(1/inputs!$O$12))-1)/inputs!$N$12))</f>
        <v>0</v>
      </c>
      <c r="V88">
        <f>inputs!$E$78*(F88/inputs!$F$78)^(inputs!$E$84-1)</f>
        <v>7.8910077366186188E-3</v>
      </c>
      <c r="W88">
        <f>inputs!$E$85*(F88/inputs!$F$85)^(inputs!$E$84-1)</f>
        <v>0.36439220076504825</v>
      </c>
      <c r="X88">
        <f>inputs!$E$80*(F88/inputs!$F$80)^(inputs!$E$84-1)</f>
        <v>1.3607050534897371</v>
      </c>
      <c r="Y88">
        <f>inputs!$E$82*(F88/inputs!$F$82)^(inputs!$E$84-1)</f>
        <v>0.62712745696284811</v>
      </c>
      <c r="Z88">
        <f t="shared" si="8"/>
        <v>303.39658465763699</v>
      </c>
      <c r="AA88">
        <f t="shared" si="9"/>
        <v>6.5701318298542386</v>
      </c>
    </row>
    <row r="89" spans="1:27" x14ac:dyDescent="0.3">
      <c r="A89" t="s">
        <v>342</v>
      </c>
      <c r="B89" t="s">
        <v>343</v>
      </c>
      <c r="C89" t="s">
        <v>73</v>
      </c>
      <c r="D89" t="s">
        <v>172</v>
      </c>
      <c r="E89">
        <v>146</v>
      </c>
      <c r="F89">
        <v>1075</v>
      </c>
      <c r="G89" t="s">
        <v>164</v>
      </c>
      <c r="H89">
        <v>0.78</v>
      </c>
      <c r="I89">
        <f>inputs!$C$65*(inputs!$C$62/1000)</f>
        <v>0.82000000000000006</v>
      </c>
      <c r="J89">
        <f>inputs!$C$65*(inputs!$C$61/1000)</f>
        <v>0.25</v>
      </c>
      <c r="K89">
        <f t="shared" si="11"/>
        <v>0.19730448594791863</v>
      </c>
      <c r="L89">
        <f t="shared" si="12"/>
        <v>6.0153806691438598E-2</v>
      </c>
      <c r="M89">
        <f>IF((((1.18*F89^0.874)/3.7-(0.301*F89^0.751)/(1-H89)*H89)*(MAX('Min rate concentrations'!$P$3:$P$368)))/F89&gt;0, (((1.18*F89^0.874)/3.7-(0.301*F89^0.751)/(1-H89)*H89)*(MAX('Min rate concentrations'!$P$3:$P$368)))/F89, 0)</f>
        <v>0</v>
      </c>
      <c r="N89">
        <f>IF((((1.18*F89^0.874)/3.7-(0.301*F89^0.751)/(1-H89)*H89)*(MAX('Min rate concentrations'!$Q$3:$Q$368)))/F89&gt;0, (((1.18*F89^0.874)/3.7-(0.301*F89^0.751)/(1-H89)*H89)*(MAX('Min rate concentrations'!$Q$3:$Q$368)))/F89, 0)</f>
        <v>0</v>
      </c>
      <c r="O89">
        <f>((MAX('Min rate concentrations'!$F$3:$F$368))*0.62*6.01*8*(10*F89^0.667)*0.079*0.1/F89)*inputs!$E$80/(10^(0.84+0.62*LOG10(inputs!$E$80)))</f>
        <v>2.3941047967970794</v>
      </c>
      <c r="P89">
        <f>((MAX('Min rate concentrations'!Y:Y))*0.62*6.01*8*(10*F89^0.667)*0.079*0.1/F89)*inputs!$E$80/(10^(0.84+0.62*LOG10(inputs!$E$80)))</f>
        <v>0.79803493226569322</v>
      </c>
      <c r="Q89">
        <f>(inputs!$C$7*11.2*(10*F89^0.667)*0.5/F89)*inputs!$E$80/(10^(0.84+0.62*LOG10(inputs!$E$80)))</f>
        <v>0.42171026797358308</v>
      </c>
      <c r="R89">
        <f>(60*284*((F89/1000)^0.77)*3*24*(MAX('Min rate concentrations'!$R$3:$R$368))/F89)*(inputs!$E$73*3.4/inputs!$E$75)</f>
        <v>4.6101128681225369E-3</v>
      </c>
      <c r="S89">
        <f>(IF(inputs!$C$6="aerial",((0.025*0.112*inputs!$C$7/3.3)*(3*60*284*((F89/1000)^0.77))*MAX(inputs!$H$14:$H$16))/F89,((0.0083*0.112*inputs!$C$7/1)*(3*60*284*((F89/1000)^0.77))*MAX(inputs!$H$14:$H$16))/F89))*(inputs!E$75*3.4/inputs!$E$73)</f>
        <v>2.5425055705235729E-2</v>
      </c>
      <c r="T89">
        <f>IF((((inputs!$P$12/(V89/MAX(K89:S89)))^(1/inputs!$O$12))-1)/inputs!$N$12&lt;0, 0, IF((((inputs!$P$12/(V89/MAX(K89:S89)))^(1/inputs!$O$12))-1)/inputs!$N$12&gt;inputs!$H$17, inputs!$H$17, (((inputs!$P$12/(V89/MAX(K89:S89)))^(1/inputs!$O$12))-1)/inputs!$N$12))</f>
        <v>186.886030775752</v>
      </c>
      <c r="U89">
        <f>IF((((inputs!$P$12/(X89/MAX(K89:S89)))^(1/inputs!$O$12))-1)/inputs!$N$12&lt;0, 0, IF((((inputs!$P$12/(X89/MAX(K89:S89)))^(1/inputs!$O$12))-1)/inputs!$N$12&gt;inputs!$H$17, inputs!$H$17, (((inputs!$P$12/(X89/MAX(K89:S89)))^(1/inputs!$O$12))-1)/inputs!$N$12))</f>
        <v>0</v>
      </c>
      <c r="V89">
        <f>inputs!$E$78*(F89/inputs!$F$78)^(inputs!$E$84-1)</f>
        <v>7.8910077366186188E-3</v>
      </c>
      <c r="W89">
        <f>inputs!$E$85*(F89/inputs!$F$85)^(inputs!$E$84-1)</f>
        <v>0.36439220076504825</v>
      </c>
      <c r="X89">
        <f>inputs!$E$80*(F89/inputs!$F$80)^(inputs!$E$84-1)</f>
        <v>1.3607050534897371</v>
      </c>
      <c r="Y89">
        <f>inputs!$E$82*(F89/inputs!$F$82)^(inputs!$E$84-1)</f>
        <v>0.62712745696284811</v>
      </c>
      <c r="Z89">
        <f t="shared" si="8"/>
        <v>303.39658465763699</v>
      </c>
      <c r="AA89">
        <f t="shared" si="9"/>
        <v>6.5701318298542386</v>
      </c>
    </row>
    <row r="90" spans="1:27" x14ac:dyDescent="0.3">
      <c r="A90" t="s">
        <v>342</v>
      </c>
      <c r="B90" t="s">
        <v>343</v>
      </c>
      <c r="C90" t="s">
        <v>73</v>
      </c>
      <c r="D90" t="s">
        <v>172</v>
      </c>
      <c r="E90">
        <v>146</v>
      </c>
      <c r="F90">
        <v>1075</v>
      </c>
      <c r="G90" t="s">
        <v>177</v>
      </c>
      <c r="H90">
        <v>0.85</v>
      </c>
      <c r="I90">
        <f>MAX('Min rate concentrations'!$F$3:$F$368)</f>
        <v>67.5</v>
      </c>
      <c r="J90">
        <f>MAX('Min rate concentrations'!Y:Y)</f>
        <v>22.5</v>
      </c>
      <c r="K90">
        <f t="shared" si="11"/>
        <v>23.820907449809681</v>
      </c>
      <c r="L90">
        <f t="shared" si="12"/>
        <v>7.9403024832698934</v>
      </c>
      <c r="M90">
        <f>IF((((1.18*F90^0.874)/3.7-(0.301*F90^0.751)/(1-H90)*H90)*(MAX('Min rate concentrations'!$P$3:$P$368)))/F90&gt;0, (((1.18*F90^0.874)/3.7-(0.301*F90^0.751)/(1-H90)*H90)*(MAX('Min rate concentrations'!$P$3:$P$368)))/F90, 0)</f>
        <v>0</v>
      </c>
      <c r="N90">
        <f>IF((((1.18*F90^0.874)/3.7-(0.301*F90^0.751)/(1-H90)*H90)*(MAX('Min rate concentrations'!$Q$3:$Q$368)))/F90&gt;0, (((1.18*F90^0.874)/3.7-(0.301*F90^0.751)/(1-H90)*H90)*(MAX('Min rate concentrations'!$Q$3:$Q$368)))/F90, 0)</f>
        <v>0</v>
      </c>
      <c r="O90">
        <f>((MAX('Min rate concentrations'!$F$3:$F$368))*0.62*6.01*8*(10*F90^0.667)*0.079*0.1/F90)*inputs!$E$80/(10^(0.84+0.62*LOG10(inputs!$E$80)))</f>
        <v>2.3941047967970794</v>
      </c>
      <c r="P90">
        <f>((MAX('Min rate concentrations'!Y:Y))*0.62*6.01*8*(10*F90^0.667)*0.079*0.1/F90)*inputs!$E$80/(10^(0.84+0.62*LOG10(inputs!$E$80)))</f>
        <v>0.79803493226569322</v>
      </c>
      <c r="Q90">
        <f>(inputs!$C$7*11.2*(10*F90^0.667)*0.5/F90)*inputs!$E$80/(10^(0.84+0.62*LOG10(inputs!$E$80)))</f>
        <v>0.42171026797358308</v>
      </c>
      <c r="R90">
        <f>(60*284*((F90/1000)^0.77)*3*24*(MAX('Min rate concentrations'!$R$3:$R$368))/F90)*(inputs!$E$73*3.4/inputs!$E$75)</f>
        <v>4.6101128681225369E-3</v>
      </c>
      <c r="S90">
        <f>(IF(inputs!$C$6="aerial",((0.025*0.112*inputs!$C$7/3.3)*(3*60*284*((F90/1000)^0.77))*MAX(inputs!$H$14:$H$16))/F90,((0.0083*0.112*inputs!$C$7/1)*(3*60*284*((F90/1000)^0.77))*MAX(inputs!$H$14:$H$16))/F90))*(inputs!E$75*3.4/inputs!$E$73)</f>
        <v>2.5425055705235729E-2</v>
      </c>
      <c r="T90">
        <f>IF((((inputs!$P$12/(V90/MAX(K90:S90)))^(1/inputs!$O$12))-1)/inputs!$N$12&lt;0, 0, IF((((inputs!$P$12/(V90/MAX(K90:S90)))^(1/inputs!$O$12))-1)/inputs!$N$12&gt;inputs!$H$17, inputs!$H$17, (((inputs!$P$12/(V90/MAX(K90:S90)))^(1/inputs!$O$12))-1)/inputs!$N$12))</f>
        <v>519.84287709362843</v>
      </c>
      <c r="U90">
        <f>IF((((inputs!$P$12/(X90/MAX(K90:S90)))^(1/inputs!$O$12))-1)/inputs!$N$12&lt;0, 0, IF((((inputs!$P$12/(X90/MAX(K90:S90)))^(1/inputs!$O$12))-1)/inputs!$N$12&gt;inputs!$H$17, inputs!$H$17, (((inputs!$P$12/(X90/MAX(K90:S90)))^(1/inputs!$O$12))-1)/inputs!$N$12))</f>
        <v>39.013546706261984</v>
      </c>
      <c r="V90">
        <f>inputs!$E$78*(F90/inputs!$F$78)^(inputs!$E$84-1)</f>
        <v>7.8910077366186188E-3</v>
      </c>
      <c r="W90">
        <f>inputs!$E$85*(F90/inputs!$F$85)^(inputs!$E$84-1)</f>
        <v>0.36439220076504825</v>
      </c>
      <c r="X90">
        <f>inputs!$E$80*(F90/inputs!$F$80)^(inputs!$E$84-1)</f>
        <v>1.3607050534897371</v>
      </c>
      <c r="Y90">
        <f>inputs!$E$82*(F90/inputs!$F$82)^(inputs!$E$84-1)</f>
        <v>0.62712745696284811</v>
      </c>
      <c r="Z90">
        <f t="shared" si="8"/>
        <v>3018.7408560338322</v>
      </c>
      <c r="AA90">
        <f t="shared" si="9"/>
        <v>65.371617174564221</v>
      </c>
    </row>
    <row r="91" spans="1:27" x14ac:dyDescent="0.3">
      <c r="A91" t="s">
        <v>317</v>
      </c>
      <c r="B91" t="s">
        <v>318</v>
      </c>
      <c r="C91" t="s">
        <v>73</v>
      </c>
      <c r="D91" t="s">
        <v>172</v>
      </c>
      <c r="E91">
        <v>147</v>
      </c>
      <c r="F91">
        <v>773</v>
      </c>
      <c r="G91" t="s">
        <v>241</v>
      </c>
      <c r="H91">
        <v>0.8</v>
      </c>
      <c r="I91">
        <f>inputs!$C$65*inputs!$C$60/1000</f>
        <v>2.8</v>
      </c>
      <c r="J91">
        <f>inputs!$C$65*inputs!$C$59/1000</f>
        <v>2.8</v>
      </c>
      <c r="K91">
        <f t="shared" si="11"/>
        <v>0.80452183831489099</v>
      </c>
      <c r="L91">
        <f t="shared" si="12"/>
        <v>0.80452183831489099</v>
      </c>
      <c r="M91">
        <f>IF((((1.18*F91^0.874)/3.7-(0.301*F91^0.751)/(1-H91)*H91)*(MAX('Min rate concentrations'!$P$3:$P$368)))/F91&gt;0, (((1.18*F91^0.874)/3.7-(0.301*F91^0.751)/(1-H91)*H91)*(MAX('Min rate concentrations'!$P$3:$P$368)))/F91, 0)</f>
        <v>0</v>
      </c>
      <c r="N91">
        <f>IF((((1.18*F91^0.874)/3.7-(0.301*F91^0.751)/(1-H91)*H91)*(MAX('Min rate concentrations'!$Q$3:$Q$368)))/F91&gt;0, (((1.18*F91^0.874)/3.7-(0.301*F91^0.751)/(1-H91)*H91)*(MAX('Min rate concentrations'!$Q$3:$Q$368)))/F91, 0)</f>
        <v>0</v>
      </c>
      <c r="O91">
        <f>((MAX('Min rate concentrations'!$F$3:$F$368))*0.62*6.01*8*(10*F91^0.667)*0.079*0.1/F91)*inputs!$E$80/(10^(0.84+0.62*LOG10(inputs!$E$80)))</f>
        <v>2.6720119981079749</v>
      </c>
      <c r="P91">
        <f>((MAX('Min rate concentrations'!Y:Y))*0.62*6.01*8*(10*F91^0.667)*0.079*0.1/F91)*inputs!$E$80/(10^(0.84+0.62*LOG10(inputs!$E$80)))</f>
        <v>0.89067066603599165</v>
      </c>
      <c r="Q91">
        <f>(inputs!$C$7*11.2*(10*F91^0.667)*0.5/F91)*inputs!$E$80/(10^(0.84+0.62*LOG10(inputs!$E$80)))</f>
        <v>0.47066231071348136</v>
      </c>
      <c r="R91">
        <f>(60*284*((F91/1000)^0.77)*3*24*(MAX('Min rate concentrations'!$R$3:$R$368))/F91)*(inputs!$E$73*3.4/inputs!$E$75)</f>
        <v>4.9734095208041123E-3</v>
      </c>
      <c r="S91">
        <f>(IF(inputs!$C$6="aerial",((0.025*0.112*inputs!$C$7/3.3)*(3*60*284*((F91/1000)^0.77))*MAX(inputs!$H$14:$H$16))/F91,((0.0083*0.112*inputs!$C$7/1)*(3*60*284*((F91/1000)^0.77))*MAX(inputs!$H$14:$H$16))/F91))*(inputs!E$75*3.4/inputs!$E$73)</f>
        <v>2.7428659065106709E-2</v>
      </c>
      <c r="T91">
        <f>IF((((inputs!$P$12/(V91/MAX(K91:S91)))^(1/inputs!$O$12))-1)/inputs!$N$12&lt;0, 0, IF((((inputs!$P$12/(V91/MAX(K91:S91)))^(1/inputs!$O$12))-1)/inputs!$N$12&gt;inputs!$H$17, inputs!$H$17, (((inputs!$P$12/(V91/MAX(K91:S91)))^(1/inputs!$O$12))-1)/inputs!$N$12))</f>
        <v>185.81972800999202</v>
      </c>
      <c r="U91">
        <f>IF((((inputs!$P$12/(X91/MAX(K91:S91)))^(1/inputs!$O$12))-1)/inputs!$N$12&lt;0, 0, IF((((inputs!$P$12/(X91/MAX(K91:S91)))^(1/inputs!$O$12))-1)/inputs!$N$12&gt;inputs!$H$17, inputs!$H$17, (((inputs!$P$12/(X91/MAX(K91:S91)))^(1/inputs!$O$12))-1)/inputs!$N$12))</f>
        <v>0</v>
      </c>
      <c r="V91">
        <f>inputs!$E$78*(F91/inputs!$F$78)^(inputs!$E$84-1)</f>
        <v>8.9151198958738638E-3</v>
      </c>
      <c r="W91">
        <f>inputs!$E$85*(F91/inputs!$F$85)^(inputs!$E$84-1)</f>
        <v>0.41168381369928875</v>
      </c>
      <c r="X91">
        <f>inputs!$E$80*(F91/inputs!$F$80)^(inputs!$E$84-1)</f>
        <v>1.5373003169783566</v>
      </c>
      <c r="Y91">
        <f>inputs!$E$82*(F91/inputs!$F$82)^(inputs!$E$84-1)</f>
        <v>0.70851742330365974</v>
      </c>
      <c r="Z91">
        <f t="shared" si="8"/>
        <v>299.71688875935899</v>
      </c>
      <c r="AA91">
        <f t="shared" si="9"/>
        <v>6.4904470595963852</v>
      </c>
    </row>
    <row r="92" spans="1:27" x14ac:dyDescent="0.3">
      <c r="A92" t="s">
        <v>317</v>
      </c>
      <c r="B92" t="s">
        <v>318</v>
      </c>
      <c r="C92" t="s">
        <v>73</v>
      </c>
      <c r="D92" t="s">
        <v>172</v>
      </c>
      <c r="E92">
        <v>1473</v>
      </c>
      <c r="F92">
        <v>773</v>
      </c>
      <c r="G92" t="s">
        <v>164</v>
      </c>
      <c r="H92">
        <v>0.78</v>
      </c>
      <c r="I92">
        <f>inputs!$C$65*(inputs!$C$62/1000)</f>
        <v>0.82000000000000006</v>
      </c>
      <c r="J92">
        <f>inputs!$C$65*(inputs!$C$61/1000)</f>
        <v>0.25</v>
      </c>
      <c r="K92">
        <f t="shared" si="11"/>
        <v>0.21419087903188655</v>
      </c>
      <c r="L92">
        <f t="shared" si="12"/>
        <v>6.5302097265819065E-2</v>
      </c>
      <c r="M92">
        <f>IF((((1.18*F92^0.874)/3.7-(0.301*F92^0.751)/(1-H92)*H92)*(MAX('Min rate concentrations'!$P$3:$P$368)))/F92&gt;0, (((1.18*F92^0.874)/3.7-(0.301*F92^0.751)/(1-H92)*H92)*(MAX('Min rate concentrations'!$P$3:$P$368)))/F92, 0)</f>
        <v>0</v>
      </c>
      <c r="N92">
        <f>IF((((1.18*F92^0.874)/3.7-(0.301*F92^0.751)/(1-H92)*H92)*(MAX('Min rate concentrations'!$Q$3:$Q$368)))/F92&gt;0, (((1.18*F92^0.874)/3.7-(0.301*F92^0.751)/(1-H92)*H92)*(MAX('Min rate concentrations'!$Q$3:$Q$368)))/F92, 0)</f>
        <v>0</v>
      </c>
      <c r="O92">
        <f>((MAX('Min rate concentrations'!$F$3:$F$368))*0.62*6.01*8*(10*F92^0.667)*0.079*0.1/F92)*inputs!$E$80/(10^(0.84+0.62*LOG10(inputs!$E$80)))</f>
        <v>2.6720119981079749</v>
      </c>
      <c r="P92">
        <f>((MAX('Min rate concentrations'!Y:Y))*0.62*6.01*8*(10*F92^0.667)*0.079*0.1/F92)*inputs!$E$80/(10^(0.84+0.62*LOG10(inputs!$E$80)))</f>
        <v>0.89067066603599165</v>
      </c>
      <c r="Q92">
        <f>(inputs!$C$7*11.2*(10*F92^0.667)*0.5/F92)*inputs!$E$80/(10^(0.84+0.62*LOG10(inputs!$E$80)))</f>
        <v>0.47066231071348136</v>
      </c>
      <c r="R92">
        <f>(60*284*((F92/1000)^0.77)*3*24*(MAX('Min rate concentrations'!$R$3:$R$368))/F92)*(inputs!$E$73*3.4/inputs!$E$75)</f>
        <v>4.9734095208041123E-3</v>
      </c>
      <c r="S92">
        <f>(IF(inputs!$C$6="aerial",((0.025*0.112*inputs!$C$7/3.3)*(3*60*284*((F92/1000)^0.77))*MAX(inputs!$H$14:$H$16))/F92,((0.0083*0.112*inputs!$C$7/1)*(3*60*284*((F92/1000)^0.77))*MAX(inputs!$H$14:$H$16))/F92))*(inputs!E$75*3.4/inputs!$E$73)</f>
        <v>2.7428659065106709E-2</v>
      </c>
      <c r="T92">
        <f>IF((((inputs!$P$12/(V92/MAX(K92:S92)))^(1/inputs!$O$12))-1)/inputs!$N$12&lt;0, 0, IF((((inputs!$P$12/(V92/MAX(K92:S92)))^(1/inputs!$O$12))-1)/inputs!$N$12&gt;inputs!$H$17, inputs!$H$17, (((inputs!$P$12/(V92/MAX(K92:S92)))^(1/inputs!$O$12))-1)/inputs!$N$12))</f>
        <v>185.81972800999202</v>
      </c>
      <c r="U92">
        <f>IF((((inputs!$P$12/(X92/MAX(K92:S92)))^(1/inputs!$O$12))-1)/inputs!$N$12&lt;0, 0, IF((((inputs!$P$12/(X92/MAX(K92:S92)))^(1/inputs!$O$12))-1)/inputs!$N$12&gt;inputs!$H$17, inputs!$H$17, (((inputs!$P$12/(X92/MAX(K92:S92)))^(1/inputs!$O$12))-1)/inputs!$N$12))</f>
        <v>0</v>
      </c>
      <c r="V92">
        <f>inputs!$E$78*(F92/inputs!$F$78)^(inputs!$E$84-1)</f>
        <v>8.9151198958738638E-3</v>
      </c>
      <c r="W92">
        <f>inputs!$E$85*(F92/inputs!$F$85)^(inputs!$E$84-1)</f>
        <v>0.41168381369928875</v>
      </c>
      <c r="X92">
        <f>inputs!$E$80*(F92/inputs!$F$80)^(inputs!$E$84-1)</f>
        <v>1.5373003169783566</v>
      </c>
      <c r="Y92">
        <f>inputs!$E$82*(F92/inputs!$F$82)^(inputs!$E$84-1)</f>
        <v>0.70851742330365974</v>
      </c>
      <c r="Z92">
        <f t="shared" si="8"/>
        <v>299.71688875935899</v>
      </c>
      <c r="AA92">
        <f t="shared" si="9"/>
        <v>6.4904470595963852</v>
      </c>
    </row>
    <row r="93" spans="1:27" x14ac:dyDescent="0.3">
      <c r="A93" t="s">
        <v>147</v>
      </c>
      <c r="B93" t="s">
        <v>148</v>
      </c>
      <c r="C93" t="s">
        <v>73</v>
      </c>
      <c r="D93" t="s">
        <v>149</v>
      </c>
      <c r="E93">
        <v>148</v>
      </c>
      <c r="F93">
        <v>6.4</v>
      </c>
      <c r="G93" t="s">
        <v>142</v>
      </c>
      <c r="H93">
        <v>0.69</v>
      </c>
      <c r="I93">
        <f>MAX('Min rate concentrations'!$H$3:$H$368)</f>
        <v>47</v>
      </c>
      <c r="J93">
        <f>MAX('Min rate concentrations'!AA:AA)</f>
        <v>32.5</v>
      </c>
      <c r="K93">
        <f t="shared" si="11"/>
        <v>28.74510147875171</v>
      </c>
      <c r="L93">
        <f t="shared" si="12"/>
        <v>19.876931873604907</v>
      </c>
      <c r="M93">
        <f>IF((((1.18*F93^0.874)/3.7-(0.301*F93^0.751)/(1-H93)*H93)*(MAX('Min rate concentrations'!$P$3:$P$368)))/F93&gt;0, (((1.18*F93^0.874)/3.7-(0.301*F93^0.751)/(1-H93)*H93)*(MAX('Min rate concentrations'!$P$3:$P$368)))/F93, 0)</f>
        <v>0</v>
      </c>
      <c r="N93">
        <f>IF((((1.18*F93^0.874)/3.7-(0.301*F93^0.751)/(1-H93)*H93)*(MAX('Min rate concentrations'!$Q$3:$Q$368)))/F93&gt;0, (((1.18*F93^0.874)/3.7-(0.301*F93^0.751)/(1-H93)*H93)*(MAX('Min rate concentrations'!$Q$3:$Q$368)))/F93, 0)</f>
        <v>0</v>
      </c>
      <c r="O93">
        <f>((MAX('Min rate concentrations'!$F$3:$F$368))*0.62*6.01*8*(10*F93^0.667)*0.079*0.1/F93)*inputs!$E$80/(10^(0.84+0.62*LOG10(inputs!$E$80)))</f>
        <v>13.186946494337173</v>
      </c>
      <c r="P93">
        <f>((MAX('Min rate concentrations'!Y:Y))*0.62*6.01*8*(10*F93^0.667)*0.079*0.1/F93)*inputs!$E$80/(10^(0.84+0.62*LOG10(inputs!$E$80)))</f>
        <v>4.3956488314457243</v>
      </c>
      <c r="Q93">
        <f>(inputs!$C$7*11.2*(10*F93^0.667)*0.5/F93)*inputs!$E$80/(10^(0.84+0.62*LOG10(inputs!$E$80)))</f>
        <v>2.3228184277146235</v>
      </c>
      <c r="R93">
        <f>(60*284*((F93/1000)^0.77)*3*24*(MAX('Min rate concentrations'!$R$3:$R$368))/F93)*(inputs!$E$73*3.4/inputs!$E$75)</f>
        <v>1.4980079251729525E-2</v>
      </c>
      <c r="S93">
        <f>(IF(inputs!$C$6="aerial",((0.025*0.112*inputs!$C$7/3.3)*(3*60*284*((F93/1000)^0.77))*MAX(inputs!$H$14:$H$16))/F93,((0.0083*0.112*inputs!$C$7/1)*(3*60*284*((F93/1000)^0.77))*MAX(inputs!$H$14:$H$16))/F93))*(inputs!E$75*3.4/inputs!$E$73)</f>
        <v>8.2616057424029568E-2</v>
      </c>
      <c r="T93">
        <f>IF((((inputs!$P$12/(V93/MAX(K93:S93)))^(1/inputs!$O$12))-1)/inputs!$N$12&lt;0, 0, IF((((inputs!$P$12/(V93/MAX(K93:S93)))^(1/inputs!$O$12))-1)/inputs!$N$12&gt;inputs!$H$17, inputs!$H$17, (((inputs!$P$12/(V93/MAX(K93:S93)))^(1/inputs!$O$12))-1)/inputs!$N$12))</f>
        <v>245.26163331961965</v>
      </c>
      <c r="U93">
        <f>IF((((inputs!$P$12/(X93/MAX(K93:S93)))^(1/inputs!$O$12))-1)/inputs!$N$12&lt;0, 0, IF((((inputs!$P$12/(X93/MAX(K93:S93)))^(1/inputs!$O$12))-1)/inputs!$N$12&gt;inputs!$H$17, inputs!$H$17, (((inputs!$P$12/(X93/MAX(K93:S93)))^(1/inputs!$O$12))-1)/inputs!$N$12))</f>
        <v>5.2106954678149675</v>
      </c>
      <c r="V93">
        <f>inputs!$E$78*(F93/inputs!$F$78)^(inputs!$E$84-1)</f>
        <v>5.2537210583032415E-2</v>
      </c>
      <c r="W93">
        <f>inputs!$E$85*(F93/inputs!$F$85)^(inputs!$E$84-1)</f>
        <v>2.426071602688789</v>
      </c>
      <c r="X93">
        <f>inputs!$E$80*(F93/inputs!$F$80)^(inputs!$E$84-1)</f>
        <v>9.0593813011796538</v>
      </c>
      <c r="Y93">
        <f>inputs!$E$82*(F93/inputs!$F$82)^(inputs!$E$84-1)</f>
        <v>4.1753256831778396</v>
      </c>
      <c r="Z93">
        <f t="shared" si="8"/>
        <v>547.13794584357549</v>
      </c>
      <c r="AA93">
        <f t="shared" si="9"/>
        <v>11.848414303557169</v>
      </c>
    </row>
    <row r="94" spans="1:27" x14ac:dyDescent="0.3">
      <c r="A94" t="s">
        <v>199</v>
      </c>
      <c r="B94" t="s">
        <v>200</v>
      </c>
      <c r="C94" t="s">
        <v>73</v>
      </c>
      <c r="D94" t="s">
        <v>201</v>
      </c>
      <c r="E94">
        <v>111</v>
      </c>
      <c r="F94">
        <v>33.799999999999997</v>
      </c>
      <c r="G94" t="s">
        <v>142</v>
      </c>
      <c r="H94">
        <v>0.69</v>
      </c>
      <c r="I94">
        <f>MAX('Min rate concentrations'!$H$3:$H$368)</f>
        <v>47</v>
      </c>
      <c r="J94">
        <f>MAX('Min rate concentrations'!AA:AA)</f>
        <v>32.5</v>
      </c>
      <c r="K94">
        <f t="shared" si="11"/>
        <v>18.993386301223843</v>
      </c>
      <c r="L94">
        <f t="shared" si="12"/>
        <v>13.133724569995209</v>
      </c>
      <c r="M94">
        <f>IF((((1.18*F94^0.874)/3.7-(0.301*F94^0.751)/(1-H94)*H94)*(MAX('Min rate concentrations'!$P$3:$P$368)))/F94&gt;0, (((1.18*F94^0.874)/3.7-(0.301*F94^0.751)/(1-H94)*H94)*(MAX('Min rate concentrations'!$P$3:$P$368)))/F94, 0)</f>
        <v>0</v>
      </c>
      <c r="N94">
        <f>IF((((1.18*F94^0.874)/3.7-(0.301*F94^0.751)/(1-H94)*H94)*(MAX('Min rate concentrations'!$Q$3:$Q$368)))/F94&gt;0, (((1.18*F94^0.874)/3.7-(0.301*F94^0.751)/(1-H94)*H94)*(MAX('Min rate concentrations'!$Q$3:$Q$368)))/F94, 0)</f>
        <v>0</v>
      </c>
      <c r="O94">
        <f>((MAX('Min rate concentrations'!$F$3:$F$368))*0.62*6.01*8*(10*F94^0.667)*0.079*0.1/F94)*inputs!$E$80/(10^(0.84+0.62*LOG10(inputs!$E$80)))</f>
        <v>7.5765747829310728</v>
      </c>
      <c r="P94">
        <f>((MAX('Min rate concentrations'!Y:Y))*0.62*6.01*8*(10*F94^0.667)*0.079*0.1/F94)*inputs!$E$80/(10^(0.84+0.62*LOG10(inputs!$E$80)))</f>
        <v>2.5255249276436906</v>
      </c>
      <c r="Q94">
        <f>(inputs!$C$7*11.2*(10*F94^0.667)*0.5/F94)*inputs!$E$80/(10^(0.84+0.62*LOG10(inputs!$E$80)))</f>
        <v>1.3345779125067128</v>
      </c>
      <c r="R94">
        <f>(60*284*((F94/1000)^0.77)*3*24*(MAX('Min rate concentrations'!$R$3:$R$368))/F94)*(inputs!$E$73*3.4/inputs!$E$75)</f>
        <v>1.0216088910838762E-2</v>
      </c>
      <c r="S94">
        <f>(IF(inputs!$C$6="aerial",((0.025*0.112*inputs!$C$7/3.3)*(3*60*284*((F94/1000)^0.77))*MAX(inputs!$H$14:$H$16))/F94,((0.0083*0.112*inputs!$C$7/1)*(3*60*284*((F94/1000)^0.77))*MAX(inputs!$H$14:$H$16))/F94))*(inputs!E$75*3.4/inputs!$E$73)</f>
        <v>5.6342358002505318E-2</v>
      </c>
      <c r="T94">
        <f>IF((((inputs!$P$12/(V94/MAX(K94:S94)))^(1/inputs!$O$12))-1)/inputs!$N$12&lt;0, 0, IF((((inputs!$P$12/(V94/MAX(K94:S94)))^(1/inputs!$O$12))-1)/inputs!$N$12&gt;inputs!$H$17, inputs!$H$17, (((inputs!$P$12/(V94/MAX(K94:S94)))^(1/inputs!$O$12))-1)/inputs!$N$12))</f>
        <v>268.62611715199381</v>
      </c>
      <c r="U94">
        <f>IF((((inputs!$P$12/(X94/MAX(K94:S94)))^(1/inputs!$O$12))-1)/inputs!$N$12&lt;0, 0, IF((((inputs!$P$12/(X94/MAX(K94:S94)))^(1/inputs!$O$12))-1)/inputs!$N$12&gt;inputs!$H$17, inputs!$H$17, (((inputs!$P$12/(X94/MAX(K94:S94)))^(1/inputs!$O$12))-1)/inputs!$N$12))</f>
        <v>8.0870251121619567</v>
      </c>
      <c r="V94">
        <f>inputs!$E$78*(F94/inputs!$F$78)^(inputs!$E$84-1)</f>
        <v>2.8382746730274414E-2</v>
      </c>
      <c r="W94">
        <f>inputs!$E$85*(F94/inputs!$F$85)^(inputs!$E$84-1)</f>
        <v>1.3106629583959224</v>
      </c>
      <c r="X94">
        <f>inputs!$E$80*(F94/inputs!$F$80)^(inputs!$E$84-1)</f>
        <v>4.8942477560354058</v>
      </c>
      <c r="Y94">
        <f>inputs!$E$82*(F94/inputs!$F$82)^(inputs!$E$84-1)</f>
        <v>2.2556814506691771</v>
      </c>
      <c r="Z94">
        <f t="shared" si="8"/>
        <v>669.18774570061521</v>
      </c>
      <c r="AA94">
        <f t="shared" si="9"/>
        <v>14.491434414587584</v>
      </c>
    </row>
    <row r="95" spans="1:27" x14ac:dyDescent="0.3">
      <c r="A95" t="s">
        <v>977</v>
      </c>
      <c r="B95" t="s">
        <v>347</v>
      </c>
      <c r="C95" t="s">
        <v>73</v>
      </c>
      <c r="D95" t="s">
        <v>185</v>
      </c>
      <c r="E95">
        <v>96</v>
      </c>
      <c r="F95">
        <v>39</v>
      </c>
      <c r="G95" t="s">
        <v>186</v>
      </c>
      <c r="H95">
        <v>0.75</v>
      </c>
      <c r="I95">
        <f>inputs!$C$65*inputs!$C$64/1000</f>
        <v>2.13</v>
      </c>
      <c r="J95">
        <f>inputs!$C$65*inputs!$C$63/1000</f>
        <v>0.88</v>
      </c>
      <c r="K95">
        <f t="shared" si="11"/>
        <v>1.0299852448202287</v>
      </c>
      <c r="L95">
        <f t="shared" si="12"/>
        <v>0.42553381006657343</v>
      </c>
      <c r="M95">
        <f>IF((((1.18*F95^0.874)/3.7-(0.301*F95^0.751)/(1-H95)*H95)*(MAX('Min rate concentrations'!$P$3:$P$368)))/F95&gt;0, (((1.18*F95^0.874)/3.7-(0.301*F95^0.751)/(1-H95)*H95)*(MAX('Min rate concentrations'!$P$3:$P$368)))/F95, 0)</f>
        <v>0</v>
      </c>
      <c r="N95">
        <f>IF((((1.18*F95^0.874)/3.7-(0.301*F95^0.751)/(1-H95)*H95)*(MAX('Min rate concentrations'!$Q$3:$Q$368)))/F95&gt;0, (((1.18*F95^0.874)/3.7-(0.301*F95^0.751)/(1-H95)*H95)*(MAX('Min rate concentrations'!$Q$3:$Q$368)))/F95, 0)</f>
        <v>0</v>
      </c>
      <c r="O95">
        <f>((MAX('Min rate concentrations'!$F$3:$F$368))*0.62*6.01*8*(10*F95^0.667)*0.079*0.1/F95)*inputs!$E$80/(10^(0.84+0.62*LOG10(inputs!$E$80)))</f>
        <v>7.2239987349183759</v>
      </c>
      <c r="P95">
        <f>((MAX('Min rate concentrations'!Y:Y))*0.62*6.01*8*(10*F95^0.667)*0.079*0.1/F95)*inputs!$E$80/(10^(0.84+0.62*LOG10(inputs!$E$80)))</f>
        <v>2.407999578306125</v>
      </c>
      <c r="Q95">
        <f>(inputs!$C$7*11.2*(10*F95^0.667)*0.5/F95)*inputs!$E$80/(10^(0.84+0.62*LOG10(inputs!$E$80)))</f>
        <v>1.2724733046017387</v>
      </c>
      <c r="R95">
        <f>(60*284*((F95/1000)^0.77)*3*24*(MAX('Min rate concentrations'!$R$3:$R$368))/F95)*(inputs!$E$73*3.4/inputs!$E$75)</f>
        <v>9.8853180167296963E-3</v>
      </c>
      <c r="S95">
        <f>(IF(inputs!$C$6="aerial",((0.025*0.112*inputs!$C$7/3.3)*(3*60*284*((F95/1000)^0.77))*MAX(inputs!$H$14:$H$16))/F95,((0.0083*0.112*inputs!$C$7/1)*(3*60*284*((F95/1000)^0.77))*MAX(inputs!$H$14:$H$16))/F95))*(inputs!E$75*3.4/inputs!$E$73)</f>
        <v>5.4518136199489343E-2</v>
      </c>
      <c r="T95">
        <f>IF((((inputs!$P$12/(V95/MAX(K95:S95)))^(1/inputs!$O$12))-1)/inputs!$N$12&lt;0, 0, IF((((inputs!$P$12/(V95/MAX(K95:S95)))^(1/inputs!$O$12))-1)/inputs!$N$12&gt;inputs!$H$17, inputs!$H$17, (((inputs!$P$12/(V95/MAX(K95:S95)))^(1/inputs!$O$12))-1)/inputs!$N$12))</f>
        <v>176.40026381594936</v>
      </c>
      <c r="U95">
        <f>IF((((inputs!$P$12/(X95/MAX(K95:S95)))^(1/inputs!$O$12))-1)/inputs!$N$12&lt;0, 0, IF((((inputs!$P$12/(X95/MAX(K95:S95)))^(1/inputs!$O$12))-1)/inputs!$N$12&gt;inputs!$H$17, inputs!$H$17, (((inputs!$P$12/(X95/MAX(K95:S95)))^(1/inputs!$O$12))-1)/inputs!$N$12))</f>
        <v>0</v>
      </c>
      <c r="V95">
        <f>inputs!$E$78*(F95/inputs!$F$78)^(inputs!$E$84-1)</f>
        <v>2.6919047967817342E-2</v>
      </c>
      <c r="W95">
        <f>inputs!$E$85*(F95/inputs!$F$85)^(inputs!$E$84-1)</f>
        <v>1.2430720459154132</v>
      </c>
      <c r="X95">
        <f>inputs!$E$80*(F95/inputs!$F$80)^(inputs!$E$84-1)</f>
        <v>4.6418513106967962</v>
      </c>
      <c r="Y95">
        <f>inputs!$E$82*(F95/inputs!$F$82)^(inputs!$E$84-1)</f>
        <v>2.1393559174423253</v>
      </c>
      <c r="Z95">
        <f t="shared" si="8"/>
        <v>268.36011227272667</v>
      </c>
      <c r="AA95">
        <f t="shared" si="9"/>
        <v>5.8114079217335597</v>
      </c>
    </row>
    <row r="96" spans="1:27" x14ac:dyDescent="0.3">
      <c r="A96" t="s">
        <v>292</v>
      </c>
      <c r="B96" t="s">
        <v>293</v>
      </c>
      <c r="C96" t="s">
        <v>73</v>
      </c>
      <c r="D96" t="s">
        <v>185</v>
      </c>
      <c r="E96">
        <v>91</v>
      </c>
      <c r="F96">
        <v>270</v>
      </c>
      <c r="G96" t="s">
        <v>142</v>
      </c>
      <c r="H96">
        <v>0.69</v>
      </c>
      <c r="I96">
        <f>MAX('Min rate concentrations'!$H$3:$H$368)</f>
        <v>47</v>
      </c>
      <c r="J96">
        <f>MAX('Min rate concentrations'!AA:AA)</f>
        <v>32.5</v>
      </c>
      <c r="K96">
        <f t="shared" si="11"/>
        <v>11.321216154971356</v>
      </c>
      <c r="L96">
        <f t="shared" si="12"/>
        <v>7.8285005326929591</v>
      </c>
      <c r="M96">
        <f>IF((((1.18*F96^0.874)/3.7-(0.301*F96^0.751)/(1-H96)*H96)*(MAX('Min rate concentrations'!$P$3:$P$368)))/F96&gt;0, (((1.18*F96^0.874)/3.7-(0.301*F96^0.751)/(1-H96)*H96)*(MAX('Min rate concentrations'!$P$3:$P$368)))/F96, 0)</f>
        <v>0</v>
      </c>
      <c r="N96">
        <f>IF((((1.18*F96^0.874)/3.7-(0.301*F96^0.751)/(1-H96)*H96)*(MAX('Min rate concentrations'!$Q$3:$Q$368)))/F96&gt;0, (((1.18*F96^0.874)/3.7-(0.301*F96^0.751)/(1-H96)*H96)*(MAX('Min rate concentrations'!$Q$3:$Q$368)))/F96, 0)</f>
        <v>0</v>
      </c>
      <c r="O96">
        <f>((MAX('Min rate concentrations'!$F$3:$F$368))*0.62*6.01*8*(10*F96^0.667)*0.079*0.1/F96)*inputs!$E$80/(10^(0.84+0.62*LOG10(inputs!$E$80)))</f>
        <v>3.7927834035080275</v>
      </c>
      <c r="P96">
        <f>((MAX('Min rate concentrations'!Y:Y))*0.62*6.01*8*(10*F96^0.667)*0.079*0.1/F96)*inputs!$E$80/(10^(0.84+0.62*LOG10(inputs!$E$80)))</f>
        <v>1.2642611345026755</v>
      </c>
      <c r="Q96">
        <f>(inputs!$C$7*11.2*(10*F96^0.667)*0.5/F96)*inputs!$E$80/(10^(0.84+0.62*LOG10(inputs!$E$80)))</f>
        <v>0.66808090756884941</v>
      </c>
      <c r="R96">
        <f>(60*284*((F96/1000)^0.77)*3*24*(MAX('Min rate concentrations'!$R$3:$R$368))/F96)*(inputs!$E$73*3.4/inputs!$E$75)</f>
        <v>6.3346385480028498E-3</v>
      </c>
      <c r="S96">
        <f>(IF(inputs!$C$6="aerial",((0.025*0.112*inputs!$C$7/3.3)*(3*60*284*((F96/1000)^0.77))*MAX(inputs!$H$14:$H$16))/F96,((0.0083*0.112*inputs!$C$7/1)*(3*60*284*((F96/1000)^0.77))*MAX(inputs!$H$14:$H$16))/F96))*(inputs!E$75*3.4/inputs!$E$73)</f>
        <v>3.4935920781717637E-2</v>
      </c>
      <c r="T96">
        <f>IF((((inputs!$P$12/(V96/MAX(K96:S96)))^(1/inputs!$O$12))-1)/inputs!$N$12&lt;0, 0, IF((((inputs!$P$12/(V96/MAX(K96:S96)))^(1/inputs!$O$12))-1)/inputs!$N$12&gt;inputs!$H$17, inputs!$H$17, (((inputs!$P$12/(V96/MAX(K96:S96)))^(1/inputs!$O$12))-1)/inputs!$N$12))</f>
        <v>300.61929449833332</v>
      </c>
      <c r="U96">
        <f>IF((((inputs!$P$12/(X96/MAX(K96:S96)))^(1/inputs!$O$12))-1)/inputs!$N$12&lt;0, 0, IF((((inputs!$P$12/(X96/MAX(K96:S96)))^(1/inputs!$O$12))-1)/inputs!$N$12&gt;inputs!$H$17, inputs!$H$17, (((inputs!$P$12/(X96/MAX(K96:S96)))^(1/inputs!$O$12))-1)/inputs!$N$12))</f>
        <v>12.025606639506382</v>
      </c>
      <c r="V96">
        <f>inputs!$E$78*(F96/inputs!$F$78)^(inputs!$E$84-1)</f>
        <v>1.3156761686377191E-2</v>
      </c>
      <c r="W96">
        <f>inputs!$E$85*(F96/inputs!$F$85)^(inputs!$E$84-1)</f>
        <v>0.60755501779480292</v>
      </c>
      <c r="X96">
        <f>inputs!$E$80*(F96/inputs!$F$80)^(inputs!$E$84-1)</f>
        <v>2.2687181044236309</v>
      </c>
      <c r="Y96">
        <f>inputs!$E$82*(F96/inputs!$F$82)^(inputs!$E$84-1)</f>
        <v>1.0456163234962925</v>
      </c>
      <c r="Z96">
        <f t="shared" si="8"/>
        <v>860.48652585184391</v>
      </c>
      <c r="AA96">
        <f t="shared" si="9"/>
        <v>18.634059177164119</v>
      </c>
    </row>
    <row r="97" spans="1:27" x14ac:dyDescent="0.3">
      <c r="A97" t="s">
        <v>292</v>
      </c>
      <c r="B97" t="s">
        <v>293</v>
      </c>
      <c r="C97" t="s">
        <v>73</v>
      </c>
      <c r="D97" t="s">
        <v>185</v>
      </c>
      <c r="E97">
        <v>91</v>
      </c>
      <c r="F97">
        <v>270</v>
      </c>
      <c r="G97" t="s">
        <v>152</v>
      </c>
      <c r="H97">
        <v>0.77</v>
      </c>
      <c r="I97">
        <f>MAX('Min rate concentrations'!$G$3:$G$368)</f>
        <v>7.5</v>
      </c>
      <c r="J97">
        <f>MAX('Min rate concentrations'!Z:Z)</f>
        <v>3.5</v>
      </c>
      <c r="K97">
        <f t="shared" si="11"/>
        <v>2.434951670703831</v>
      </c>
      <c r="L97">
        <f t="shared" si="12"/>
        <v>1.1363107796617877</v>
      </c>
      <c r="M97">
        <f>IF((((1.18*F97^0.874)/3.7-(0.301*F97^0.751)/(1-H97)*H97)*(MAX('Min rate concentrations'!$P$3:$P$368)))/F97&gt;0, (((1.18*F97^0.874)/3.7-(0.301*F97^0.751)/(1-H97)*H97)*(MAX('Min rate concentrations'!$P$3:$P$368)))/F97, 0)</f>
        <v>0</v>
      </c>
      <c r="N97">
        <f>IF((((1.18*F97^0.874)/3.7-(0.301*F97^0.751)/(1-H97)*H97)*(MAX('Min rate concentrations'!$Q$3:$Q$368)))/F97&gt;0, (((1.18*F97^0.874)/3.7-(0.301*F97^0.751)/(1-H97)*H97)*(MAX('Min rate concentrations'!$Q$3:$Q$368)))/F97, 0)</f>
        <v>0</v>
      </c>
      <c r="O97">
        <f>((MAX('Min rate concentrations'!$F$3:$F$368))*0.62*6.01*8*(10*F97^0.667)*0.079*0.1/F97)*inputs!$E$80/(10^(0.84+0.62*LOG10(inputs!$E$80)))</f>
        <v>3.7927834035080275</v>
      </c>
      <c r="P97">
        <f>((MAX('Min rate concentrations'!Y:Y))*0.62*6.01*8*(10*F97^0.667)*0.079*0.1/F97)*inputs!$E$80/(10^(0.84+0.62*LOG10(inputs!$E$80)))</f>
        <v>1.2642611345026755</v>
      </c>
      <c r="Q97">
        <f>(inputs!$C$7*11.2*(10*F97^0.667)*0.5/F97)*inputs!$E$80/(10^(0.84+0.62*LOG10(inputs!$E$80)))</f>
        <v>0.66808090756884941</v>
      </c>
      <c r="R97">
        <f>(60*284*((F97/1000)^0.77)*3*24*(MAX('Min rate concentrations'!$R$3:$R$368))/F97)*(inputs!$E$73*3.4/inputs!$E$75)</f>
        <v>6.3346385480028498E-3</v>
      </c>
      <c r="S97">
        <f>(IF(inputs!$C$6="aerial",((0.025*0.112*inputs!$C$7/3.3)*(3*60*284*((F97/1000)^0.77))*MAX(inputs!$H$14:$H$16))/F97,((0.0083*0.112*inputs!$C$7/1)*(3*60*284*((F97/1000)^0.77))*MAX(inputs!$H$14:$H$16))/F97))*(inputs!E$75*3.4/inputs!$E$73)</f>
        <v>3.4935920781717637E-2</v>
      </c>
      <c r="T97">
        <f>IF((((inputs!$P$12/(V97/MAX(K97:S97)))^(1/inputs!$O$12))-1)/inputs!$N$12&lt;0, 0, IF((((inputs!$P$12/(V97/MAX(K97:S97)))^(1/inputs!$O$12))-1)/inputs!$N$12&gt;inputs!$H$17, inputs!$H$17, (((inputs!$P$12/(V97/MAX(K97:S97)))^(1/inputs!$O$12))-1)/inputs!$N$12))</f>
        <v>182.4539946808309</v>
      </c>
      <c r="U97">
        <f>IF((((inputs!$P$12/(X97/MAX(K97:S97)))^(1/inputs!$O$12))-1)/inputs!$N$12&lt;0, 0, IF((((inputs!$P$12/(X97/MAX(K97:S97)))^(1/inputs!$O$12))-1)/inputs!$N$12&gt;inputs!$H$17, inputs!$H$17, (((inputs!$P$12/(X97/MAX(K97:S97)))^(1/inputs!$O$12))-1)/inputs!$N$12))</f>
        <v>0</v>
      </c>
      <c r="V97">
        <f>inputs!$E$78*(F97/inputs!$F$78)^(inputs!$E$84-1)</f>
        <v>1.3156761686377191E-2</v>
      </c>
      <c r="W97">
        <f>inputs!$E$85*(F97/inputs!$F$85)^(inputs!$E$84-1)</f>
        <v>0.60755501779480292</v>
      </c>
      <c r="X97">
        <f>inputs!$E$80*(F97/inputs!$F$80)^(inputs!$E$84-1)</f>
        <v>2.2687181044236309</v>
      </c>
      <c r="Y97">
        <f>inputs!$E$82*(F97/inputs!$F$82)^(inputs!$E$84-1)</f>
        <v>1.0456163234962925</v>
      </c>
      <c r="Z97">
        <f t="shared" si="8"/>
        <v>288.27636267328313</v>
      </c>
      <c r="AA97">
        <f t="shared" si="9"/>
        <v>6.2426994962109115</v>
      </c>
    </row>
    <row r="98" spans="1:27" x14ac:dyDescent="0.3">
      <c r="A98" t="s">
        <v>978</v>
      </c>
      <c r="B98" t="s">
        <v>266</v>
      </c>
      <c r="C98" t="s">
        <v>73</v>
      </c>
      <c r="D98" t="s">
        <v>185</v>
      </c>
      <c r="E98">
        <v>104</v>
      </c>
      <c r="F98">
        <v>166</v>
      </c>
      <c r="G98" t="s">
        <v>164</v>
      </c>
      <c r="H98">
        <v>0.78</v>
      </c>
      <c r="I98">
        <f>inputs!$C$65*(inputs!$C$62/1000)</f>
        <v>0.82000000000000006</v>
      </c>
      <c r="J98">
        <f>inputs!$C$65*(inputs!$C$61/1000)</f>
        <v>0.25</v>
      </c>
      <c r="K98">
        <f t="shared" si="11"/>
        <v>0.31415990232273266</v>
      </c>
      <c r="L98">
        <f t="shared" si="12"/>
        <v>9.5780458025223378E-2</v>
      </c>
      <c r="M98">
        <f>IF((((1.18*F98^0.874)/3.7-(0.301*F98^0.751)/(1-H98)*H98)*(MAX('Min rate concentrations'!$P$3:$P$368)))/F98&gt;0, (((1.18*F98^0.874)/3.7-(0.301*F98^0.751)/(1-H98)*H98)*(MAX('Min rate concentrations'!$P$3:$P$368)))/F98, 0)</f>
        <v>0</v>
      </c>
      <c r="N98">
        <f>IF((((1.18*F98^0.874)/3.7-(0.301*F98^0.751)/(1-H98)*H98)*(MAX('Min rate concentrations'!$Q$3:$Q$368)))/F98&gt;0, (((1.18*F98^0.874)/3.7-(0.301*F98^0.751)/(1-H98)*H98)*(MAX('Min rate concentrations'!$Q$3:$Q$368)))/F98, 0)</f>
        <v>0</v>
      </c>
      <c r="O98">
        <f>((MAX('Min rate concentrations'!$F$3:$F$368))*0.62*6.01*8*(10*F98^0.667)*0.079*0.1/F98)*inputs!$E$80/(10^(0.84+0.62*LOG10(inputs!$E$80)))</f>
        <v>4.4597055141345994</v>
      </c>
      <c r="P98">
        <f>((MAX('Min rate concentrations'!Y:Y))*0.62*6.01*8*(10*F98^0.667)*0.079*0.1/F98)*inputs!$E$80/(10^(0.84+0.62*LOG10(inputs!$E$80)))</f>
        <v>1.4865685047115329</v>
      </c>
      <c r="Q98">
        <f>(inputs!$C$7*11.2*(10*F98^0.667)*0.5/F98)*inputs!$E$80/(10^(0.84+0.62*LOG10(inputs!$E$80)))</f>
        <v>0.78555609176550723</v>
      </c>
      <c r="R98">
        <f>(60*284*((F98/1000)^0.77)*3*24*(MAX('Min rate concentrations'!$R$3:$R$368))/F98)*(inputs!$E$73*3.4/inputs!$E$75)</f>
        <v>7.084523492366079E-3</v>
      </c>
      <c r="S98">
        <f>(IF(inputs!$C$6="aerial",((0.025*0.112*inputs!$C$7/3.3)*(3*60*284*((F98/1000)^0.77))*MAX(inputs!$H$14:$H$16))/F98,((0.0083*0.112*inputs!$C$7/1)*(3*60*284*((F98/1000)^0.77))*MAX(inputs!$H$14:$H$16))/F98))*(inputs!E$75*3.4/inputs!$E$73)</f>
        <v>3.9071582321543952E-2</v>
      </c>
      <c r="T98">
        <f>IF((((inputs!$P$12/(V98/MAX(K98:S98)))^(1/inputs!$O$12))-1)/inputs!$N$12&lt;0, 0, IF((((inputs!$P$12/(V98/MAX(K98:S98)))^(1/inputs!$O$12))-1)/inputs!$N$12&gt;inputs!$H$17, inputs!$H$17, (((inputs!$P$12/(V98/MAX(K98:S98)))^(1/inputs!$O$12))-1)/inputs!$N$12))</f>
        <v>180.91542737168831</v>
      </c>
      <c r="U98">
        <f>IF((((inputs!$P$12/(X98/MAX(K98:S98)))^(1/inputs!$O$12))-1)/inputs!$N$12&lt;0, 0, IF((((inputs!$P$12/(X98/MAX(K98:S98)))^(1/inputs!$O$12))-1)/inputs!$N$12&gt;inputs!$H$17, inputs!$H$17, (((inputs!$P$12/(X98/MAX(K98:S98)))^(1/inputs!$O$12))-1)/inputs!$N$12))</f>
        <v>0</v>
      </c>
      <c r="V98">
        <f>inputs!$E$78*(F98/inputs!$F$78)^(inputs!$E$84-1)</f>
        <v>1.5751198636649078E-2</v>
      </c>
      <c r="W98">
        <f>inputs!$E$85*(F98/inputs!$F$85)^(inputs!$E$84-1)</f>
        <v>0.72736133678605042</v>
      </c>
      <c r="X98">
        <f>inputs!$E$80*(F98/inputs!$F$80)^(inputs!$E$84-1)</f>
        <v>2.7160961310365175</v>
      </c>
      <c r="Y98">
        <f>inputs!$E$82*(F98/inputs!$F$82)^(inputs!$E$84-1)</f>
        <v>1.2518057863863215</v>
      </c>
      <c r="Z98">
        <f t="shared" si="8"/>
        <v>283.13435802644165</v>
      </c>
      <c r="AA98">
        <f t="shared" si="9"/>
        <v>6.131348050255796</v>
      </c>
    </row>
    <row r="99" spans="1:27" x14ac:dyDescent="0.3">
      <c r="A99" t="s">
        <v>978</v>
      </c>
      <c r="B99" t="s">
        <v>266</v>
      </c>
      <c r="C99" t="s">
        <v>73</v>
      </c>
      <c r="D99" t="s">
        <v>185</v>
      </c>
      <c r="E99">
        <v>104</v>
      </c>
      <c r="F99">
        <v>166</v>
      </c>
      <c r="G99" t="s">
        <v>186</v>
      </c>
      <c r="H99">
        <v>0.75</v>
      </c>
      <c r="I99">
        <f>inputs!$C$65*inputs!$C$64/1000</f>
        <v>2.13</v>
      </c>
      <c r="J99">
        <f>inputs!$C$65*inputs!$C$63/1000</f>
        <v>0.88</v>
      </c>
      <c r="K99">
        <f t="shared" si="11"/>
        <v>0.71812356208991468</v>
      </c>
      <c r="L99">
        <f t="shared" si="12"/>
        <v>0.29668954677893189</v>
      </c>
      <c r="M99">
        <f>IF((((1.18*F99^0.874)/3.7-(0.301*F99^0.751)/(1-H99)*H99)*(MAX('Min rate concentrations'!$P$3:$P$368)))/F99&gt;0, (((1.18*F99^0.874)/3.7-(0.301*F99^0.751)/(1-H99)*H99)*(MAX('Min rate concentrations'!$P$3:$P$368)))/F99, 0)</f>
        <v>0</v>
      </c>
      <c r="N99">
        <f>IF((((1.18*F99^0.874)/3.7-(0.301*F99^0.751)/(1-H99)*H99)*(MAX('Min rate concentrations'!$Q$3:$Q$368)))/F99&gt;0, (((1.18*F99^0.874)/3.7-(0.301*F99^0.751)/(1-H99)*H99)*(MAX('Min rate concentrations'!$Q$3:$Q$368)))/F99, 0)</f>
        <v>0</v>
      </c>
      <c r="O99">
        <f>((MAX('Min rate concentrations'!$F$3:$F$368))*0.62*6.01*8*(10*F99^0.667)*0.079*0.1/F99)*inputs!$E$80/(10^(0.84+0.62*LOG10(inputs!$E$80)))</f>
        <v>4.4597055141345994</v>
      </c>
      <c r="P99">
        <f>((MAX('Min rate concentrations'!Y:Y))*0.62*6.01*8*(10*F99^0.667)*0.079*0.1/F99)*inputs!$E$80/(10^(0.84+0.62*LOG10(inputs!$E$80)))</f>
        <v>1.4865685047115329</v>
      </c>
      <c r="Q99">
        <f>(inputs!$C$7*11.2*(10*F99^0.667)*0.5/F99)*inputs!$E$80/(10^(0.84+0.62*LOG10(inputs!$E$80)))</f>
        <v>0.78555609176550723</v>
      </c>
      <c r="R99">
        <f>(60*284*((F99/1000)^0.77)*3*24*(MAX('Min rate concentrations'!$R$3:$R$368))/F99)*(inputs!$E$73*3.4/inputs!$E$75)</f>
        <v>7.084523492366079E-3</v>
      </c>
      <c r="S99">
        <f>(IF(inputs!$C$6="aerial",((0.025*0.112*inputs!$C$7/3.3)*(3*60*284*((F99/1000)^0.77))*MAX(inputs!$H$14:$H$16))/F99,((0.0083*0.112*inputs!$C$7/1)*(3*60*284*((F99/1000)^0.77))*MAX(inputs!$H$14:$H$16))/F99))*(inputs!E$75*3.4/inputs!$E$73)</f>
        <v>3.9071582321543952E-2</v>
      </c>
      <c r="T99">
        <f>IF((((inputs!$P$12/(V99/MAX(K99:S99)))^(1/inputs!$O$12))-1)/inputs!$N$12&lt;0, 0, IF((((inputs!$P$12/(V99/MAX(K99:S99)))^(1/inputs!$O$12))-1)/inputs!$N$12&gt;inputs!$H$17, inputs!$H$17, (((inputs!$P$12/(V99/MAX(K99:S99)))^(1/inputs!$O$12))-1)/inputs!$N$12))</f>
        <v>180.91542737168831</v>
      </c>
      <c r="U99">
        <f>IF((((inputs!$P$12/(X99/MAX(K99:S99)))^(1/inputs!$O$12))-1)/inputs!$N$12&lt;0, 0, IF((((inputs!$P$12/(X99/MAX(K99:S99)))^(1/inputs!$O$12))-1)/inputs!$N$12&gt;inputs!$H$17, inputs!$H$17, (((inputs!$P$12/(X99/MAX(K99:S99)))^(1/inputs!$O$12))-1)/inputs!$N$12))</f>
        <v>0</v>
      </c>
      <c r="V99">
        <f>inputs!$E$78*(F99/inputs!$F$78)^(inputs!$E$84-1)</f>
        <v>1.5751198636649078E-2</v>
      </c>
      <c r="W99">
        <f>inputs!$E$85*(F99/inputs!$F$85)^(inputs!$E$84-1)</f>
        <v>0.72736133678605042</v>
      </c>
      <c r="X99">
        <f>inputs!$E$80*(F99/inputs!$F$80)^(inputs!$E$84-1)</f>
        <v>2.7160961310365175</v>
      </c>
      <c r="Y99">
        <f>inputs!$E$82*(F99/inputs!$F$82)^(inputs!$E$84-1)</f>
        <v>1.2518057863863215</v>
      </c>
      <c r="Z99">
        <f t="shared" si="8"/>
        <v>283.13435802644165</v>
      </c>
      <c r="AA99">
        <f t="shared" si="9"/>
        <v>6.131348050255796</v>
      </c>
    </row>
    <row r="100" spans="1:27" x14ac:dyDescent="0.3">
      <c r="A100" t="s">
        <v>979</v>
      </c>
      <c r="B100" t="s">
        <v>345</v>
      </c>
      <c r="C100" t="s">
        <v>73</v>
      </c>
      <c r="D100" t="s">
        <v>185</v>
      </c>
      <c r="E100">
        <v>134</v>
      </c>
      <c r="F100">
        <v>39</v>
      </c>
      <c r="G100" t="s">
        <v>186</v>
      </c>
      <c r="H100">
        <v>0.75</v>
      </c>
      <c r="I100">
        <f>inputs!$C$65*inputs!$C$64/1000</f>
        <v>2.13</v>
      </c>
      <c r="J100">
        <f>inputs!$C$65*inputs!$C$63/1000</f>
        <v>0.88</v>
      </c>
      <c r="K100">
        <f t="shared" si="11"/>
        <v>1.0299852448202287</v>
      </c>
      <c r="L100">
        <f t="shared" si="12"/>
        <v>0.42553381006657343</v>
      </c>
      <c r="M100">
        <f>IF((((1.18*F100^0.874)/3.7-(0.301*F100^0.751)/(1-H100)*H100)*(MAX('Min rate concentrations'!$P$3:$P$368)))/F100&gt;0, (((1.18*F100^0.874)/3.7-(0.301*F100^0.751)/(1-H100)*H100)*(MAX('Min rate concentrations'!$P$3:$P$368)))/F100, 0)</f>
        <v>0</v>
      </c>
      <c r="N100">
        <f>IF((((1.18*F100^0.874)/3.7-(0.301*F100^0.751)/(1-H100)*H100)*(MAX('Min rate concentrations'!$Q$3:$Q$368)))/F100&gt;0, (((1.18*F100^0.874)/3.7-(0.301*F100^0.751)/(1-H100)*H100)*(MAX('Min rate concentrations'!$Q$3:$Q$368)))/F100, 0)</f>
        <v>0</v>
      </c>
      <c r="O100">
        <f>((MAX('Min rate concentrations'!$F$3:$F$368))*0.62*6.01*8*(10*F100^0.667)*0.079*0.1/F100)*inputs!$E$80/(10^(0.84+0.62*LOG10(inputs!$E$80)))</f>
        <v>7.2239987349183759</v>
      </c>
      <c r="P100">
        <f>((MAX('Min rate concentrations'!Y:Y))*0.62*6.01*8*(10*F100^0.667)*0.079*0.1/F100)*inputs!$E$80/(10^(0.84+0.62*LOG10(inputs!$E$80)))</f>
        <v>2.407999578306125</v>
      </c>
      <c r="Q100">
        <f>(inputs!$C$7*11.2*(10*F100^0.667)*0.5/F100)*inputs!$E$80/(10^(0.84+0.62*LOG10(inputs!$E$80)))</f>
        <v>1.2724733046017387</v>
      </c>
      <c r="R100">
        <f>(60*284*((F100/1000)^0.77)*3*24*(MAX('Min rate concentrations'!$R$3:$R$368))/F100)*(inputs!$E$73*3.4/inputs!$E$75)</f>
        <v>9.8853180167296963E-3</v>
      </c>
      <c r="S100">
        <f>(IF(inputs!$C$6="aerial",((0.025*0.112*inputs!$C$7/3.3)*(3*60*284*((F100/1000)^0.77))*MAX(inputs!$H$14:$H$16))/F100,((0.0083*0.112*inputs!$C$7/1)*(3*60*284*((F100/1000)^0.77))*MAX(inputs!$H$14:$H$16))/F100))*(inputs!E$75*3.4/inputs!$E$73)</f>
        <v>5.4518136199489343E-2</v>
      </c>
      <c r="T100">
        <f>IF((((inputs!$P$12/(V100/MAX(K100:S100)))^(1/inputs!$O$12))-1)/inputs!$N$12&lt;0, 0, IF((((inputs!$P$12/(V100/MAX(K100:S100)))^(1/inputs!$O$12))-1)/inputs!$N$12&gt;inputs!$H$17, inputs!$H$17, (((inputs!$P$12/(V100/MAX(K100:S100)))^(1/inputs!$O$12))-1)/inputs!$N$12))</f>
        <v>176.40026381594936</v>
      </c>
      <c r="U100">
        <f>IF((((inputs!$P$12/(X100/MAX(K100:S100)))^(1/inputs!$O$12))-1)/inputs!$N$12&lt;0, 0, IF((((inputs!$P$12/(X100/MAX(K100:S100)))^(1/inputs!$O$12))-1)/inputs!$N$12&gt;inputs!$H$17, inputs!$H$17, (((inputs!$P$12/(X100/MAX(K100:S100)))^(1/inputs!$O$12))-1)/inputs!$N$12))</f>
        <v>0</v>
      </c>
      <c r="V100">
        <f>inputs!$E$78*(F100/inputs!$F$78)^(inputs!$E$84-1)</f>
        <v>2.6919047967817342E-2</v>
      </c>
      <c r="W100">
        <f>inputs!$E$85*(F100/inputs!$F$85)^(inputs!$E$84-1)</f>
        <v>1.2430720459154132</v>
      </c>
      <c r="X100">
        <f>inputs!$E$80*(F100/inputs!$F$80)^(inputs!$E$84-1)</f>
        <v>4.6418513106967962</v>
      </c>
      <c r="Y100">
        <f>inputs!$E$82*(F100/inputs!$F$82)^(inputs!$E$84-1)</f>
        <v>2.1393559174423253</v>
      </c>
      <c r="Z100">
        <f t="shared" si="8"/>
        <v>268.36011227272667</v>
      </c>
      <c r="AA100">
        <f t="shared" si="9"/>
        <v>5.8114079217335597</v>
      </c>
    </row>
    <row r="101" spans="1:27" x14ac:dyDescent="0.3">
      <c r="A101" t="s">
        <v>183</v>
      </c>
      <c r="B101" t="s">
        <v>184</v>
      </c>
      <c r="C101" t="s">
        <v>73</v>
      </c>
      <c r="D101" t="s">
        <v>185</v>
      </c>
      <c r="E101">
        <v>143</v>
      </c>
      <c r="F101">
        <v>222</v>
      </c>
      <c r="G101" t="s">
        <v>164</v>
      </c>
      <c r="H101">
        <v>0.78</v>
      </c>
      <c r="I101">
        <f>inputs!$C$65*(inputs!$C$62/1000)</f>
        <v>0.82000000000000006</v>
      </c>
      <c r="J101">
        <f>inputs!$C$65*(inputs!$C$61/1000)</f>
        <v>0.25</v>
      </c>
      <c r="K101">
        <f t="shared" si="11"/>
        <v>0.29222392960363835</v>
      </c>
      <c r="L101">
        <f t="shared" si="12"/>
        <v>8.9092661464523895E-2</v>
      </c>
      <c r="M101">
        <f>IF((((1.18*F101^0.874)/3.7-(0.301*F101^0.751)/(1-H101)*H101)*(MAX('Min rate concentrations'!$P$3:$P$368)))/F101&gt;0, (((1.18*F101^0.874)/3.7-(0.301*F101^0.751)/(1-H101)*H101)*(MAX('Min rate concentrations'!$P$3:$P$368)))/F101, 0)</f>
        <v>0</v>
      </c>
      <c r="N101">
        <f>IF((((1.18*F101^0.874)/3.7-(0.301*F101^0.751)/(1-H101)*H101)*(MAX('Min rate concentrations'!$Q$3:$Q$368)))/F101&gt;0, (((1.18*F101^0.874)/3.7-(0.301*F101^0.751)/(1-H101)*H101)*(MAX('Min rate concentrations'!$Q$3:$Q$368)))/F101, 0)</f>
        <v>0</v>
      </c>
      <c r="O101">
        <f>((MAX('Min rate concentrations'!$F$3:$F$368))*0.62*6.01*8*(10*F101^0.667)*0.079*0.1/F101)*inputs!$E$80/(10^(0.84+0.62*LOG10(inputs!$E$80)))</f>
        <v>4.0482435714605671</v>
      </c>
      <c r="P101">
        <f>((MAX('Min rate concentrations'!Y:Y))*0.62*6.01*8*(10*F101^0.667)*0.079*0.1/F101)*inputs!$E$80/(10^(0.84+0.62*LOG10(inputs!$E$80)))</f>
        <v>1.3494145238201889</v>
      </c>
      <c r="Q101">
        <f>(inputs!$C$7*11.2*(10*F101^0.667)*0.5/F101)*inputs!$E$80/(10^(0.84+0.62*LOG10(inputs!$E$80)))</f>
        <v>0.71307901125585893</v>
      </c>
      <c r="R101">
        <f>(60*284*((F101/1000)^0.77)*3*24*(MAX('Min rate concentrations'!$R$3:$R$368))/F101)*(inputs!$E$73*3.4/inputs!$E$75)</f>
        <v>6.6263492302369295E-3</v>
      </c>
      <c r="S101">
        <f>(IF(inputs!$C$6="aerial",((0.025*0.112*inputs!$C$7/3.3)*(3*60*284*((F101/1000)^0.77))*MAX(inputs!$H$14:$H$16))/F101,((0.0083*0.112*inputs!$C$7/1)*(3*60*284*((F101/1000)^0.77))*MAX(inputs!$H$14:$H$16))/F101))*(inputs!E$75*3.4/inputs!$E$73)</f>
        <v>3.6544723116449677E-2</v>
      </c>
      <c r="T101">
        <f>IF((((inputs!$P$12/(V101/MAX(K101:S101)))^(1/inputs!$O$12))-1)/inputs!$N$12&lt;0, 0, IF((((inputs!$P$12/(V101/MAX(K101:S101)))^(1/inputs!$O$12))-1)/inputs!$N$12&gt;inputs!$H$17, inputs!$H$17, (((inputs!$P$12/(V101/MAX(K101:S101)))^(1/inputs!$O$12))-1)/inputs!$N$12))</f>
        <v>181.83350966950724</v>
      </c>
      <c r="U101">
        <f>IF((((inputs!$P$12/(X101/MAX(K101:S101)))^(1/inputs!$O$12))-1)/inputs!$N$12&lt;0, 0, IF((((inputs!$P$12/(X101/MAX(K101:S101)))^(1/inputs!$O$12))-1)/inputs!$N$12&gt;inputs!$H$17, inputs!$H$17, (((inputs!$P$12/(X101/MAX(K101:S101)))^(1/inputs!$O$12))-1)/inputs!$N$12))</f>
        <v>0</v>
      </c>
      <c r="V101">
        <f>inputs!$E$78*(F101/inputs!$F$78)^(inputs!$E$84-1)</f>
        <v>1.4145001583331419E-2</v>
      </c>
      <c r="W101">
        <f>inputs!$E$85*(F101/inputs!$F$85)^(inputs!$E$84-1)</f>
        <v>0.65319011573848906</v>
      </c>
      <c r="X101">
        <f>inputs!$E$80*(F101/inputs!$F$80)^(inputs!$E$84-1)</f>
        <v>2.439127647377902</v>
      </c>
      <c r="Y101">
        <f>inputs!$E$82*(F101/inputs!$F$82)^(inputs!$E$84-1)</f>
        <v>1.124155388991076</v>
      </c>
      <c r="Z101">
        <f t="shared" si="8"/>
        <v>286.19604936849561</v>
      </c>
      <c r="AA101">
        <f t="shared" si="9"/>
        <v>6.1976497713589414</v>
      </c>
    </row>
    <row r="102" spans="1:27" x14ac:dyDescent="0.3">
      <c r="A102" t="s">
        <v>183</v>
      </c>
      <c r="B102" t="s">
        <v>184</v>
      </c>
      <c r="C102" t="s">
        <v>73</v>
      </c>
      <c r="D102" t="s">
        <v>185</v>
      </c>
      <c r="E102">
        <v>143</v>
      </c>
      <c r="F102">
        <v>222</v>
      </c>
      <c r="G102" t="s">
        <v>186</v>
      </c>
      <c r="H102">
        <v>0.75</v>
      </c>
      <c r="I102">
        <f>inputs!$C$65*inputs!$C$64/1000</f>
        <v>2.13</v>
      </c>
      <c r="J102">
        <f>inputs!$C$65*inputs!$C$63/1000</f>
        <v>0.88</v>
      </c>
      <c r="K102">
        <f t="shared" si="11"/>
        <v>0.66798113859641417</v>
      </c>
      <c r="L102">
        <f t="shared" si="12"/>
        <v>0.27597342815250919</v>
      </c>
      <c r="M102">
        <f>IF((((1.18*F102^0.874)/3.7-(0.301*F102^0.751)/(1-H102)*H102)*(MAX('Min rate concentrations'!$P$3:$P$368)))/F102&gt;0, (((1.18*F102^0.874)/3.7-(0.301*F102^0.751)/(1-H102)*H102)*(MAX('Min rate concentrations'!$P$3:$P$368)))/F102, 0)</f>
        <v>0</v>
      </c>
      <c r="N102">
        <f>IF((((1.18*F102^0.874)/3.7-(0.301*F102^0.751)/(1-H102)*H102)*(MAX('Min rate concentrations'!$Q$3:$Q$368)))/F102&gt;0, (((1.18*F102^0.874)/3.7-(0.301*F102^0.751)/(1-H102)*H102)*(MAX('Min rate concentrations'!$Q$3:$Q$368)))/F102, 0)</f>
        <v>0</v>
      </c>
      <c r="O102">
        <f>((MAX('Min rate concentrations'!$F$3:$F$368))*0.62*6.01*8*(10*F102^0.667)*0.079*0.1/F102)*inputs!$E$80/(10^(0.84+0.62*LOG10(inputs!$E$80)))</f>
        <v>4.0482435714605671</v>
      </c>
      <c r="P102">
        <f>((MAX('Min rate concentrations'!Y:Y))*0.62*6.01*8*(10*F102^0.667)*0.079*0.1/F102)*inputs!$E$80/(10^(0.84+0.62*LOG10(inputs!$E$80)))</f>
        <v>1.3494145238201889</v>
      </c>
      <c r="Q102">
        <f>(inputs!$C$7*11.2*(10*F102^0.667)*0.5/F102)*inputs!$E$80/(10^(0.84+0.62*LOG10(inputs!$E$80)))</f>
        <v>0.71307901125585893</v>
      </c>
      <c r="R102">
        <f>(60*284*((F102/1000)^0.77)*3*24*(MAX('Min rate concentrations'!$R$3:$R$368))/F102)*(inputs!$E$73*3.4/inputs!$E$75)</f>
        <v>6.6263492302369295E-3</v>
      </c>
      <c r="S102">
        <f>(IF(inputs!$C$6="aerial",((0.025*0.112*inputs!$C$7/3.3)*(3*60*284*((F102/1000)^0.77))*MAX(inputs!$H$14:$H$16))/F102,((0.0083*0.112*inputs!$C$7/1)*(3*60*284*((F102/1000)^0.77))*MAX(inputs!$H$14:$H$16))/F102))*(inputs!E$75*3.4/inputs!$E$73)</f>
        <v>3.6544723116449677E-2</v>
      </c>
      <c r="T102">
        <f>IF((((inputs!$P$12/(V102/MAX(K102:S102)))^(1/inputs!$O$12))-1)/inputs!$N$12&lt;0, 0, IF((((inputs!$P$12/(V102/MAX(K102:S102)))^(1/inputs!$O$12))-1)/inputs!$N$12&gt;inputs!$H$17, inputs!$H$17, (((inputs!$P$12/(V102/MAX(K102:S102)))^(1/inputs!$O$12))-1)/inputs!$N$12))</f>
        <v>181.83350966950724</v>
      </c>
      <c r="U102">
        <f>IF((((inputs!$P$12/(X102/MAX(K102:S102)))^(1/inputs!$O$12))-1)/inputs!$N$12&lt;0, 0, IF((((inputs!$P$12/(X102/MAX(K102:S102)))^(1/inputs!$O$12))-1)/inputs!$N$12&gt;inputs!$H$17, inputs!$H$17, (((inputs!$P$12/(X102/MAX(K102:S102)))^(1/inputs!$O$12))-1)/inputs!$N$12))</f>
        <v>0</v>
      </c>
      <c r="V102">
        <f>inputs!$E$78*(F102/inputs!$F$78)^(inputs!$E$84-1)</f>
        <v>1.4145001583331419E-2</v>
      </c>
      <c r="W102">
        <f>inputs!$E$85*(F102/inputs!$F$85)^(inputs!$E$84-1)</f>
        <v>0.65319011573848906</v>
      </c>
      <c r="X102">
        <f>inputs!$E$80*(F102/inputs!$F$80)^(inputs!$E$84-1)</f>
        <v>2.439127647377902</v>
      </c>
      <c r="Y102">
        <f>inputs!$E$82*(F102/inputs!$F$82)^(inputs!$E$84-1)</f>
        <v>1.124155388991076</v>
      </c>
      <c r="Z102">
        <f t="shared" si="8"/>
        <v>286.19604936849561</v>
      </c>
      <c r="AA102">
        <f t="shared" si="9"/>
        <v>6.1976497713589414</v>
      </c>
    </row>
    <row r="103" spans="1:27" x14ac:dyDescent="0.3">
      <c r="A103" t="s">
        <v>210</v>
      </c>
      <c r="B103" t="s">
        <v>212</v>
      </c>
      <c r="C103" t="s">
        <v>73</v>
      </c>
      <c r="D103" t="s">
        <v>185</v>
      </c>
      <c r="E103">
        <v>131</v>
      </c>
      <c r="F103">
        <v>40</v>
      </c>
      <c r="G103" t="s">
        <v>142</v>
      </c>
      <c r="H103">
        <v>0.69</v>
      </c>
      <c r="I103">
        <f>MAX('Min rate concentrations'!$H$3:$H$368)</f>
        <v>47</v>
      </c>
      <c r="J103">
        <f>MAX('Min rate concentrations'!AA:AA)</f>
        <v>32.5</v>
      </c>
      <c r="K103">
        <f t="shared" si="11"/>
        <v>18.213345323373996</v>
      </c>
      <c r="L103">
        <f t="shared" si="12"/>
        <v>12.594334532120318</v>
      </c>
      <c r="M103">
        <f>IF((((1.18*F103^0.874)/3.7-(0.301*F103^0.751)/(1-H103)*H103)*(MAX('Min rate concentrations'!$P$3:$P$368)))/F103&gt;0, (((1.18*F103^0.874)/3.7-(0.301*F103^0.751)/(1-H103)*H103)*(MAX('Min rate concentrations'!$P$3:$P$368)))/F103, 0)</f>
        <v>0</v>
      </c>
      <c r="N103">
        <f>IF((((1.18*F103^0.874)/3.7-(0.301*F103^0.751)/(1-H103)*H103)*(MAX('Min rate concentrations'!$Q$3:$Q$368)))/F103&gt;0, (((1.18*F103^0.874)/3.7-(0.301*F103^0.751)/(1-H103)*H103)*(MAX('Min rate concentrations'!$Q$3:$Q$368)))/F103, 0)</f>
        <v>0</v>
      </c>
      <c r="O103">
        <f>((MAX('Min rate concentrations'!$F$3:$F$368))*0.62*6.01*8*(10*F103^0.667)*0.079*0.1/F103)*inputs!$E$80/(10^(0.84+0.62*LOG10(inputs!$E$80)))</f>
        <v>7.1633504461813917</v>
      </c>
      <c r="P103">
        <f>((MAX('Min rate concentrations'!Y:Y))*0.62*6.01*8*(10*F103^0.667)*0.079*0.1/F103)*inputs!$E$80/(10^(0.84+0.62*LOG10(inputs!$E$80)))</f>
        <v>2.3877834820604642</v>
      </c>
      <c r="Q103">
        <f>(inputs!$C$7*11.2*(10*F103^0.667)*0.5/F103)*inputs!$E$80/(10^(0.84+0.62*LOG10(inputs!$E$80)))</f>
        <v>1.2617903945931084</v>
      </c>
      <c r="R103">
        <f>(60*284*((F103/1000)^0.77)*3*24*(MAX('Min rate concentrations'!$R$3:$R$368))/F103)*(inputs!$E$73*3.4/inputs!$E$75)</f>
        <v>9.8279221355870392E-3</v>
      </c>
      <c r="S103">
        <f>(IF(inputs!$C$6="aerial",((0.025*0.112*inputs!$C$7/3.3)*(3*60*284*((F103/1000)^0.77))*MAX(inputs!$H$14:$H$16))/F103,((0.0083*0.112*inputs!$C$7/1)*(3*60*284*((F103/1000)^0.77))*MAX(inputs!$H$14:$H$16))/F103))*(inputs!E$75*3.4/inputs!$E$73)</f>
        <v>5.4201594388681704E-2</v>
      </c>
      <c r="T103">
        <f>IF((((inputs!$P$12/(V103/MAX(K103:S103)))^(1/inputs!$O$12))-1)/inputs!$N$12&lt;0, 0, IF((((inputs!$P$12/(V103/MAX(K103:S103)))^(1/inputs!$O$12))-1)/inputs!$N$12&gt;inputs!$H$17, inputs!$H$17, (((inputs!$P$12/(V103/MAX(K103:S103)))^(1/inputs!$O$12))-1)/inputs!$N$12))</f>
        <v>271.0990655166284</v>
      </c>
      <c r="U103">
        <f>IF((((inputs!$P$12/(X103/MAX(K103:S103)))^(1/inputs!$O$12))-1)/inputs!$N$12&lt;0, 0, IF((((inputs!$P$12/(X103/MAX(K103:S103)))^(1/inputs!$O$12))-1)/inputs!$N$12&gt;inputs!$H$17, inputs!$H$17, (((inputs!$P$12/(X103/MAX(K103:S103)))^(1/inputs!$O$12))-1)/inputs!$N$12))</f>
        <v>8.3914621689002526</v>
      </c>
      <c r="V103">
        <f>inputs!$E$78*(F103/inputs!$F$78)^(inputs!$E$84-1)</f>
        <v>2.6668058808446828E-2</v>
      </c>
      <c r="W103">
        <f>inputs!$E$85*(F103/inputs!$F$85)^(inputs!$E$84-1)</f>
        <v>1.2314818288982921</v>
      </c>
      <c r="X103">
        <f>inputs!$E$80*(F103/inputs!$F$80)^(inputs!$E$84-1)</f>
        <v>4.5985713863923561</v>
      </c>
      <c r="Y103">
        <f>inputs!$E$82*(F103/inputs!$F$82)^(inputs!$E$84-1)</f>
        <v>2.1194088842502481</v>
      </c>
      <c r="Z103">
        <f t="shared" si="8"/>
        <v>682.96479523305652</v>
      </c>
      <c r="AA103">
        <f t="shared" si="9"/>
        <v>14.789779999976139</v>
      </c>
    </row>
    <row r="104" spans="1:27" x14ac:dyDescent="0.3">
      <c r="A104" t="s">
        <v>210</v>
      </c>
      <c r="B104" t="s">
        <v>212</v>
      </c>
      <c r="C104" t="s">
        <v>73</v>
      </c>
      <c r="D104" t="s">
        <v>185</v>
      </c>
      <c r="E104">
        <v>131</v>
      </c>
      <c r="F104">
        <v>40</v>
      </c>
      <c r="G104" t="s">
        <v>164</v>
      </c>
      <c r="H104">
        <v>0.78</v>
      </c>
      <c r="I104">
        <f>inputs!$C$65*(inputs!$C$62/1000)</f>
        <v>0.82000000000000006</v>
      </c>
      <c r="J104">
        <f>inputs!$C$65*(inputs!$C$61/1000)</f>
        <v>0.25</v>
      </c>
      <c r="K104">
        <f t="shared" si="11"/>
        <v>0.44775941791118673</v>
      </c>
      <c r="L104">
        <f t="shared" si="12"/>
        <v>0.13651201765584961</v>
      </c>
      <c r="M104">
        <f>IF((((1.18*F104^0.874)/3.7-(0.301*F104^0.751)/(1-H104)*H104)*(MAX('Min rate concentrations'!$P$3:$P$368)))/F104&gt;0, (((1.18*F104^0.874)/3.7-(0.301*F104^0.751)/(1-H104)*H104)*(MAX('Min rate concentrations'!$P$3:$P$368)))/F104, 0)</f>
        <v>0</v>
      </c>
      <c r="N104">
        <f>IF((((1.18*F104^0.874)/3.7-(0.301*F104^0.751)/(1-H104)*H104)*(MAX('Min rate concentrations'!$Q$3:$Q$368)))/F104&gt;0, (((1.18*F104^0.874)/3.7-(0.301*F104^0.751)/(1-H104)*H104)*(MAX('Min rate concentrations'!$Q$3:$Q$368)))/F104, 0)</f>
        <v>0</v>
      </c>
      <c r="O104">
        <f>((MAX('Min rate concentrations'!$F$3:$F$368))*0.62*6.01*8*(10*F104^0.667)*0.079*0.1/F104)*inputs!$E$80/(10^(0.84+0.62*LOG10(inputs!$E$80)))</f>
        <v>7.1633504461813917</v>
      </c>
      <c r="P104">
        <f>((MAX('Min rate concentrations'!Y:Y))*0.62*6.01*8*(10*F104^0.667)*0.079*0.1/F104)*inputs!$E$80/(10^(0.84+0.62*LOG10(inputs!$E$80)))</f>
        <v>2.3877834820604642</v>
      </c>
      <c r="Q104">
        <f>(inputs!$C$7*11.2*(10*F104^0.667)*0.5/F104)*inputs!$E$80/(10^(0.84+0.62*LOG10(inputs!$E$80)))</f>
        <v>1.2617903945931084</v>
      </c>
      <c r="R104">
        <f>(60*284*((F104/1000)^0.77)*3*24*(MAX('Min rate concentrations'!$R$3:$R$368))/F104)*(inputs!$E$73*3.4/inputs!$E$75)</f>
        <v>9.8279221355870392E-3</v>
      </c>
      <c r="S104">
        <f>(IF(inputs!$C$6="aerial",((0.025*0.112*inputs!$C$7/3.3)*(3*60*284*((F104/1000)^0.77))*MAX(inputs!$H$14:$H$16))/F104,((0.0083*0.112*inputs!$C$7/1)*(3*60*284*((F104/1000)^0.77))*MAX(inputs!$H$14:$H$16))/F104))*(inputs!E$75*3.4/inputs!$E$73)</f>
        <v>5.4201594388681704E-2</v>
      </c>
      <c r="T104">
        <f>IF((((inputs!$P$12/(V104/MAX(K104:S104)))^(1/inputs!$O$12))-1)/inputs!$N$12&lt;0, 0, IF((((inputs!$P$12/(V104/MAX(K104:S104)))^(1/inputs!$O$12))-1)/inputs!$N$12&gt;inputs!$H$17, inputs!$H$17, (((inputs!$P$12/(V104/MAX(K104:S104)))^(1/inputs!$O$12))-1)/inputs!$N$12))</f>
        <v>176.47834458264853</v>
      </c>
      <c r="U104">
        <f>IF((((inputs!$P$12/(X104/MAX(K104:S104)))^(1/inputs!$O$12))-1)/inputs!$N$12&lt;0, 0, IF((((inputs!$P$12/(X104/MAX(K104:S104)))^(1/inputs!$O$12))-1)/inputs!$N$12&gt;inputs!$H$17, inputs!$H$17, (((inputs!$P$12/(X104/MAX(K104:S104)))^(1/inputs!$O$12))-1)/inputs!$N$12))</f>
        <v>0</v>
      </c>
      <c r="V104">
        <f>inputs!$E$78*(F104/inputs!$F$78)^(inputs!$E$84-1)</f>
        <v>2.6668058808446828E-2</v>
      </c>
      <c r="W104">
        <f>inputs!$E$85*(F104/inputs!$F$85)^(inputs!$E$84-1)</f>
        <v>1.2314818288982921</v>
      </c>
      <c r="X104">
        <f>inputs!$E$80*(F104/inputs!$F$80)^(inputs!$E$84-1)</f>
        <v>4.5985713863923561</v>
      </c>
      <c r="Y104">
        <f>inputs!$E$82*(F104/inputs!$F$82)^(inputs!$E$84-1)</f>
        <v>2.1194088842502481</v>
      </c>
      <c r="Z104">
        <f t="shared" si="8"/>
        <v>268.61161877715955</v>
      </c>
      <c r="AA104">
        <f t="shared" si="9"/>
        <v>5.8168543604008081</v>
      </c>
    </row>
    <row r="105" spans="1:27" x14ac:dyDescent="0.3">
      <c r="A105" t="s">
        <v>210</v>
      </c>
      <c r="B105" t="s">
        <v>211</v>
      </c>
      <c r="C105" t="s">
        <v>73</v>
      </c>
      <c r="D105" t="s">
        <v>185</v>
      </c>
      <c r="E105">
        <v>130</v>
      </c>
      <c r="F105">
        <v>40</v>
      </c>
      <c r="G105" t="s">
        <v>142</v>
      </c>
      <c r="H105">
        <v>0.69</v>
      </c>
      <c r="I105">
        <f>MAX('Min rate concentrations'!$H$3:$H$368)</f>
        <v>47</v>
      </c>
      <c r="J105">
        <f>MAX('Min rate concentrations'!AA:AA)</f>
        <v>32.5</v>
      </c>
      <c r="K105">
        <f t="shared" si="11"/>
        <v>18.213345323373996</v>
      </c>
      <c r="L105">
        <f t="shared" si="12"/>
        <v>12.594334532120318</v>
      </c>
      <c r="M105">
        <f>IF((((1.18*F105^0.874)/3.7-(0.301*F105^0.751)/(1-H105)*H105)*(MAX('Min rate concentrations'!$P$3:$P$368)))/F105&gt;0, (((1.18*F105^0.874)/3.7-(0.301*F105^0.751)/(1-H105)*H105)*(MAX('Min rate concentrations'!$P$3:$P$368)))/F105, 0)</f>
        <v>0</v>
      </c>
      <c r="N105">
        <f>IF((((1.18*F105^0.874)/3.7-(0.301*F105^0.751)/(1-H105)*H105)*(MAX('Min rate concentrations'!$Q$3:$Q$368)))/F105&gt;0, (((1.18*F105^0.874)/3.7-(0.301*F105^0.751)/(1-H105)*H105)*(MAX('Min rate concentrations'!$Q$3:$Q$368)))/F105, 0)</f>
        <v>0</v>
      </c>
      <c r="O105">
        <f>((MAX('Min rate concentrations'!$F$3:$F$368))*0.62*6.01*8*(10*F105^0.667)*0.079*0.1/F105)*inputs!$E$80/(10^(0.84+0.62*LOG10(inputs!$E$80)))</f>
        <v>7.1633504461813917</v>
      </c>
      <c r="P105">
        <f>((MAX('Min rate concentrations'!Y:Y))*0.62*6.01*8*(10*F105^0.667)*0.079*0.1/F105)*inputs!$E$80/(10^(0.84+0.62*LOG10(inputs!$E$80)))</f>
        <v>2.3877834820604642</v>
      </c>
      <c r="Q105">
        <f>(inputs!$C$7*11.2*(10*F105^0.667)*0.5/F105)*inputs!$E$80/(10^(0.84+0.62*LOG10(inputs!$E$80)))</f>
        <v>1.2617903945931084</v>
      </c>
      <c r="R105">
        <f>(60*284*((F105/1000)^0.77)*3*24*(MAX('Min rate concentrations'!$R$3:$R$368))/F105)*(inputs!$E$73*3.4/inputs!$E$75)</f>
        <v>9.8279221355870392E-3</v>
      </c>
      <c r="S105">
        <f>(IF(inputs!$C$6="aerial",((0.025*0.112*inputs!$C$7/3.3)*(3*60*284*((F105/1000)^0.77))*MAX(inputs!$H$14:$H$16))/F105,((0.0083*0.112*inputs!$C$7/1)*(3*60*284*((F105/1000)^0.77))*MAX(inputs!$H$14:$H$16))/F105))*(inputs!E$75*3.4/inputs!$E$73)</f>
        <v>5.4201594388681704E-2</v>
      </c>
      <c r="T105">
        <f>IF((((inputs!$P$12/(V105/MAX(K105:S105)))^(1/inputs!$O$12))-1)/inputs!$N$12&lt;0, 0, IF((((inputs!$P$12/(V105/MAX(K105:S105)))^(1/inputs!$O$12))-1)/inputs!$N$12&gt;inputs!$H$17, inputs!$H$17, (((inputs!$P$12/(V105/MAX(K105:S105)))^(1/inputs!$O$12))-1)/inputs!$N$12))</f>
        <v>271.0990655166284</v>
      </c>
      <c r="U105">
        <f>IF((((inputs!$P$12/(X105/MAX(K105:S105)))^(1/inputs!$O$12))-1)/inputs!$N$12&lt;0, 0, IF((((inputs!$P$12/(X105/MAX(K105:S105)))^(1/inputs!$O$12))-1)/inputs!$N$12&gt;inputs!$H$17, inputs!$H$17, (((inputs!$P$12/(X105/MAX(K105:S105)))^(1/inputs!$O$12))-1)/inputs!$N$12))</f>
        <v>8.3914621689002526</v>
      </c>
      <c r="V105">
        <f>inputs!$E$78*(F105/inputs!$F$78)^(inputs!$E$84-1)</f>
        <v>2.6668058808446828E-2</v>
      </c>
      <c r="W105">
        <f>inputs!$E$85*(F105/inputs!$F$85)^(inputs!$E$84-1)</f>
        <v>1.2314818288982921</v>
      </c>
      <c r="X105">
        <f>inputs!$E$80*(F105/inputs!$F$80)^(inputs!$E$84-1)</f>
        <v>4.5985713863923561</v>
      </c>
      <c r="Y105">
        <f>inputs!$E$82*(F105/inputs!$F$82)^(inputs!$E$84-1)</f>
        <v>2.1194088842502481</v>
      </c>
      <c r="Z105">
        <f t="shared" si="8"/>
        <v>682.96479523305652</v>
      </c>
      <c r="AA105">
        <f t="shared" si="9"/>
        <v>14.789779999976139</v>
      </c>
    </row>
    <row r="106" spans="1:27" x14ac:dyDescent="0.3">
      <c r="A106" t="s">
        <v>210</v>
      </c>
      <c r="B106" t="s">
        <v>211</v>
      </c>
      <c r="C106" t="s">
        <v>73</v>
      </c>
      <c r="D106" t="s">
        <v>185</v>
      </c>
      <c r="E106">
        <v>130</v>
      </c>
      <c r="F106">
        <v>40</v>
      </c>
      <c r="G106" t="s">
        <v>164</v>
      </c>
      <c r="H106">
        <v>0.78</v>
      </c>
      <c r="I106">
        <f>inputs!$C$65*(inputs!$C$62/1000)</f>
        <v>0.82000000000000006</v>
      </c>
      <c r="J106">
        <f>inputs!$C$65*(inputs!$C$61/1000)</f>
        <v>0.25</v>
      </c>
      <c r="K106">
        <f t="shared" si="11"/>
        <v>0.44775941791118673</v>
      </c>
      <c r="L106">
        <f t="shared" si="12"/>
        <v>0.13651201765584961</v>
      </c>
      <c r="M106">
        <f>IF((((1.18*F106^0.874)/3.7-(0.301*F106^0.751)/(1-H106)*H106)*(MAX('Min rate concentrations'!$P$3:$P$368)))/F106&gt;0, (((1.18*F106^0.874)/3.7-(0.301*F106^0.751)/(1-H106)*H106)*(MAX('Min rate concentrations'!$P$3:$P$368)))/F106, 0)</f>
        <v>0</v>
      </c>
      <c r="N106">
        <f>IF((((1.18*F106^0.874)/3.7-(0.301*F106^0.751)/(1-H106)*H106)*(MAX('Min rate concentrations'!$Q$3:$Q$368)))/F106&gt;0, (((1.18*F106^0.874)/3.7-(0.301*F106^0.751)/(1-H106)*H106)*(MAX('Min rate concentrations'!$Q$3:$Q$368)))/F106, 0)</f>
        <v>0</v>
      </c>
      <c r="O106">
        <f>((MAX('Min rate concentrations'!$F$3:$F$368))*0.62*6.01*8*(10*F106^0.667)*0.079*0.1/F106)*inputs!$E$80/(10^(0.84+0.62*LOG10(inputs!$E$80)))</f>
        <v>7.1633504461813917</v>
      </c>
      <c r="P106">
        <f>((MAX('Min rate concentrations'!Y:Y))*0.62*6.01*8*(10*F106^0.667)*0.079*0.1/F106)*inputs!$E$80/(10^(0.84+0.62*LOG10(inputs!$E$80)))</f>
        <v>2.3877834820604642</v>
      </c>
      <c r="Q106">
        <f>(inputs!$C$7*11.2*(10*F106^0.667)*0.5/F106)*inputs!$E$80/(10^(0.84+0.62*LOG10(inputs!$E$80)))</f>
        <v>1.2617903945931084</v>
      </c>
      <c r="R106">
        <f>(60*284*((F106/1000)^0.77)*3*24*(MAX('Min rate concentrations'!$R$3:$R$368))/F106)*(inputs!$E$73*3.4/inputs!$E$75)</f>
        <v>9.8279221355870392E-3</v>
      </c>
      <c r="S106">
        <f>(IF(inputs!$C$6="aerial",((0.025*0.112*inputs!$C$7/3.3)*(3*60*284*((F106/1000)^0.77))*MAX(inputs!$H$14:$H$16))/F106,((0.0083*0.112*inputs!$C$7/1)*(3*60*284*((F106/1000)^0.77))*MAX(inputs!$H$14:$H$16))/F106))*(inputs!E$75*3.4/inputs!$E$73)</f>
        <v>5.4201594388681704E-2</v>
      </c>
      <c r="T106">
        <f>IF((((inputs!$P$12/(V106/MAX(K106:S106)))^(1/inputs!$O$12))-1)/inputs!$N$12&lt;0, 0, IF((((inputs!$P$12/(V106/MAX(K106:S106)))^(1/inputs!$O$12))-1)/inputs!$N$12&gt;inputs!$H$17, inputs!$H$17, (((inputs!$P$12/(V106/MAX(K106:S106)))^(1/inputs!$O$12))-1)/inputs!$N$12))</f>
        <v>176.47834458264853</v>
      </c>
      <c r="U106">
        <f>IF((((inputs!$P$12/(X106/MAX(K106:S106)))^(1/inputs!$O$12))-1)/inputs!$N$12&lt;0, 0, IF((((inputs!$P$12/(X106/MAX(K106:S106)))^(1/inputs!$O$12))-1)/inputs!$N$12&gt;inputs!$H$17, inputs!$H$17, (((inputs!$P$12/(X106/MAX(K106:S106)))^(1/inputs!$O$12))-1)/inputs!$N$12))</f>
        <v>0</v>
      </c>
      <c r="V106">
        <f>inputs!$E$78*(F106/inputs!$F$78)^(inputs!$E$84-1)</f>
        <v>2.6668058808446828E-2</v>
      </c>
      <c r="W106">
        <f>inputs!$E$85*(F106/inputs!$F$85)^(inputs!$E$84-1)</f>
        <v>1.2314818288982921</v>
      </c>
      <c r="X106">
        <f>inputs!$E$80*(F106/inputs!$F$80)^(inputs!$E$84-1)</f>
        <v>4.5985713863923561</v>
      </c>
      <c r="Y106">
        <f>inputs!$E$82*(F106/inputs!$F$82)^(inputs!$E$84-1)</f>
        <v>2.1194088842502481</v>
      </c>
      <c r="Z106">
        <f t="shared" si="8"/>
        <v>268.61161877715955</v>
      </c>
      <c r="AA106">
        <f t="shared" si="9"/>
        <v>5.8168543604008081</v>
      </c>
    </row>
    <row r="107" spans="1:27" x14ac:dyDescent="0.3">
      <c r="A107" t="s">
        <v>980</v>
      </c>
      <c r="B107" t="s">
        <v>194</v>
      </c>
      <c r="C107" t="s">
        <v>73</v>
      </c>
      <c r="D107" t="s">
        <v>185</v>
      </c>
      <c r="E107">
        <v>8621</v>
      </c>
      <c r="F107">
        <v>90</v>
      </c>
      <c r="G107" t="s">
        <v>164</v>
      </c>
      <c r="H107">
        <v>0.78</v>
      </c>
      <c r="I107">
        <f>inputs!$C$65*(inputs!$C$62/1000)</f>
        <v>0.82000000000000006</v>
      </c>
      <c r="J107">
        <f>inputs!$C$65*(inputs!$C$61/1000)</f>
        <v>0.25</v>
      </c>
      <c r="K107">
        <f t="shared" si="11"/>
        <v>0.36589062529279909</v>
      </c>
      <c r="L107">
        <f t="shared" si="12"/>
        <v>0.11155201990634117</v>
      </c>
      <c r="M107">
        <f>IF((((1.18*F107^0.874)/3.7-(0.301*F107^0.751)/(1-H107)*H107)*(MAX('Min rate concentrations'!$P$3:$P$368)))/F107&gt;0, (((1.18*F107^0.874)/3.7-(0.301*F107^0.751)/(1-H107)*H107)*(MAX('Min rate concentrations'!$P$3:$P$368)))/F107, 0)</f>
        <v>0</v>
      </c>
      <c r="N107">
        <f>IF((((1.18*F107^0.874)/3.7-(0.301*F107^0.751)/(1-H107)*H107)*(MAX('Min rate concentrations'!$Q$3:$Q$368)))/F107&gt;0, (((1.18*F107^0.874)/3.7-(0.301*F107^0.751)/(1-H107)*H107)*(MAX('Min rate concentrations'!$Q$3:$Q$368)))/F107, 0)</f>
        <v>0</v>
      </c>
      <c r="O107">
        <f>((MAX('Min rate concentrations'!$F$3:$F$368))*0.62*6.01*8*(10*F107^0.667)*0.079*0.1/F107)*inputs!$E$80/(10^(0.84+0.62*LOG10(inputs!$E$80)))</f>
        <v>5.4681374129609379</v>
      </c>
      <c r="P107">
        <f>((MAX('Min rate concentrations'!Y:Y))*0.62*6.01*8*(10*F107^0.667)*0.079*0.1/F107)*inputs!$E$80/(10^(0.84+0.62*LOG10(inputs!$E$80)))</f>
        <v>1.8227124709869793</v>
      </c>
      <c r="Q107">
        <f>(inputs!$C$7*11.2*(10*F107^0.667)*0.5/F107)*inputs!$E$80/(10^(0.84+0.62*LOG10(inputs!$E$80)))</f>
        <v>0.96318661439597064</v>
      </c>
      <c r="R107">
        <f>(60*284*((F107/1000)^0.77)*3*24*(MAX('Min rate concentrations'!$R$3:$R$368))/F107)*(inputs!$E$73*3.4/inputs!$E$75)</f>
        <v>8.155671560200287E-3</v>
      </c>
      <c r="S107">
        <f>(IF(inputs!$C$6="aerial",((0.025*0.112*inputs!$C$7/3.3)*(3*60*284*((F107/1000)^0.77))*MAX(inputs!$H$14:$H$16))/F107,((0.0083*0.112*inputs!$C$7/1)*(3*60*284*((F107/1000)^0.77))*MAX(inputs!$H$14:$H$16))/F107))*(inputs!E$75*3.4/inputs!$E$73)</f>
        <v>4.4979029725175826E-2</v>
      </c>
      <c r="T107">
        <f>IF((((inputs!$P$12/(V107/MAX(K107:S107)))^(1/inputs!$O$12))-1)/inputs!$N$12&lt;0, 0, IF((((inputs!$P$12/(V107/MAX(K107:S107)))^(1/inputs!$O$12))-1)/inputs!$N$12&gt;inputs!$H$17, inputs!$H$17, (((inputs!$P$12/(V107/MAX(K107:S107)))^(1/inputs!$O$12))-1)/inputs!$N$12))</f>
        <v>178.99507625156909</v>
      </c>
      <c r="U107">
        <f>IF((((inputs!$P$12/(X107/MAX(K107:S107)))^(1/inputs!$O$12))-1)/inputs!$N$12&lt;0, 0, IF((((inputs!$P$12/(X107/MAX(K107:S107)))^(1/inputs!$O$12))-1)/inputs!$N$12&gt;inputs!$H$17, inputs!$H$17, (((inputs!$P$12/(X107/MAX(K107:S107)))^(1/inputs!$O$12))-1)/inputs!$N$12))</f>
        <v>0</v>
      </c>
      <c r="V107">
        <f>inputs!$E$78*(F107/inputs!$F$78)^(inputs!$E$84-1)</f>
        <v>1.9755311066585041E-2</v>
      </c>
      <c r="W107">
        <f>inputs!$E$85*(F107/inputs!$F$85)^(inputs!$E$84-1)</f>
        <v>0.91226387257804753</v>
      </c>
      <c r="X107">
        <f>inputs!$E$80*(F107/inputs!$F$80)^(inputs!$E$84-1)</f>
        <v>3.4065549672218229</v>
      </c>
      <c r="Y107">
        <f>inputs!$E$82*(F107/inputs!$F$82)^(inputs!$E$84-1)</f>
        <v>1.5700273531864954</v>
      </c>
      <c r="Z107">
        <f t="shared" si="8"/>
        <v>276.79328331154318</v>
      </c>
      <c r="AA107">
        <f t="shared" si="9"/>
        <v>5.9940304305902661</v>
      </c>
    </row>
    <row r="108" spans="1:27" x14ac:dyDescent="0.3">
      <c r="A108" t="s">
        <v>980</v>
      </c>
      <c r="B108" t="s">
        <v>194</v>
      </c>
      <c r="C108" t="s">
        <v>73</v>
      </c>
      <c r="D108" t="s">
        <v>185</v>
      </c>
      <c r="E108">
        <v>8621</v>
      </c>
      <c r="F108">
        <v>90</v>
      </c>
      <c r="G108" t="s">
        <v>195</v>
      </c>
      <c r="H108">
        <v>0.82</v>
      </c>
      <c r="I108">
        <f>inputs!$C$65*(inputs!$C$62/1000)</f>
        <v>0.82000000000000006</v>
      </c>
      <c r="J108">
        <f>inputs!$C$65*(inputs!$C$61/1000)</f>
        <v>0.25</v>
      </c>
      <c r="K108">
        <f t="shared" si="11"/>
        <v>0.44719965313564314</v>
      </c>
      <c r="L108">
        <f t="shared" si="12"/>
        <v>0.13634135766330582</v>
      </c>
      <c r="M108">
        <f>IF((((1.18*F108^0.874)/3.7-(0.301*F108^0.751)/(1-H108)*H108)*(MAX('Min rate concentrations'!$P$3:$P$368)))/F108&gt;0, (((1.18*F108^0.874)/3.7-(0.301*F108^0.751)/(1-H108)*H108)*(MAX('Min rate concentrations'!$P$3:$P$368)))/F108, 0)</f>
        <v>0</v>
      </c>
      <c r="N108">
        <f>IF((((1.18*F108^0.874)/3.7-(0.301*F108^0.751)/(1-H108)*H108)*(MAX('Min rate concentrations'!$Q$3:$Q$368)))/F108&gt;0, (((1.18*F108^0.874)/3.7-(0.301*F108^0.751)/(1-H108)*H108)*(MAX('Min rate concentrations'!$Q$3:$Q$368)))/F108, 0)</f>
        <v>0</v>
      </c>
      <c r="O108">
        <f>((MAX('Min rate concentrations'!$F$3:$F$368))*0.62*6.01*8*(10*F108^0.667)*0.079*0.1/F108)*inputs!$E$80/(10^(0.84+0.62*LOG10(inputs!$E$80)))</f>
        <v>5.4681374129609379</v>
      </c>
      <c r="P108">
        <f>((MAX('Min rate concentrations'!Y:Y))*0.62*6.01*8*(10*F108^0.667)*0.079*0.1/F108)*inputs!$E$80/(10^(0.84+0.62*LOG10(inputs!$E$80)))</f>
        <v>1.8227124709869793</v>
      </c>
      <c r="Q108">
        <f>(inputs!$C$7*11.2*(10*F108^0.667)*0.5/F108)*inputs!$E$80/(10^(0.84+0.62*LOG10(inputs!$E$80)))</f>
        <v>0.96318661439597064</v>
      </c>
      <c r="R108">
        <f>(60*284*((F108/1000)^0.77)*3*24*(MAX('Min rate concentrations'!$R$3:$R$368))/F108)*(inputs!$E$73*3.4/inputs!$E$75)</f>
        <v>8.155671560200287E-3</v>
      </c>
      <c r="S108">
        <f>(IF(inputs!$C$6="aerial",((0.025*0.112*inputs!$C$7/3.3)*(3*60*284*((F108/1000)^0.77))*MAX(inputs!$H$14:$H$16))/F108,((0.0083*0.112*inputs!$C$7/1)*(3*60*284*((F108/1000)^0.77))*MAX(inputs!$H$14:$H$16))/F108))*(inputs!E$75*3.4/inputs!$E$73)</f>
        <v>4.4979029725175826E-2</v>
      </c>
      <c r="T108">
        <f>IF((((inputs!$P$12/(V108/MAX(K108:S108)))^(1/inputs!$O$12))-1)/inputs!$N$12&lt;0, 0, IF((((inputs!$P$12/(V108/MAX(K108:S108)))^(1/inputs!$O$12))-1)/inputs!$N$12&gt;inputs!$H$17, inputs!$H$17, (((inputs!$P$12/(V108/MAX(K108:S108)))^(1/inputs!$O$12))-1)/inputs!$N$12))</f>
        <v>178.99507625156909</v>
      </c>
      <c r="U108">
        <f>IF((((inputs!$P$12/(X108/MAX(K108:S108)))^(1/inputs!$O$12))-1)/inputs!$N$12&lt;0, 0, IF((((inputs!$P$12/(X108/MAX(K108:S108)))^(1/inputs!$O$12))-1)/inputs!$N$12&gt;inputs!$H$17, inputs!$H$17, (((inputs!$P$12/(X108/MAX(K108:S108)))^(1/inputs!$O$12))-1)/inputs!$N$12))</f>
        <v>0</v>
      </c>
      <c r="V108">
        <f>inputs!$E$78*(F108/inputs!$F$78)^(inputs!$E$84-1)</f>
        <v>1.9755311066585041E-2</v>
      </c>
      <c r="W108">
        <f>inputs!$E$85*(F108/inputs!$F$85)^(inputs!$E$84-1)</f>
        <v>0.91226387257804753</v>
      </c>
      <c r="X108">
        <f>inputs!$E$80*(F108/inputs!$F$80)^(inputs!$E$84-1)</f>
        <v>3.4065549672218229</v>
      </c>
      <c r="Y108">
        <f>inputs!$E$82*(F108/inputs!$F$82)^(inputs!$E$84-1)</f>
        <v>1.5700273531864954</v>
      </c>
      <c r="Z108">
        <f t="shared" si="8"/>
        <v>276.79328331154318</v>
      </c>
      <c r="AA108">
        <f t="shared" si="9"/>
        <v>5.9940304305902661</v>
      </c>
    </row>
    <row r="109" spans="1:27" x14ac:dyDescent="0.3">
      <c r="A109" t="s">
        <v>348</v>
      </c>
      <c r="B109" t="s">
        <v>349</v>
      </c>
      <c r="C109" t="s">
        <v>73</v>
      </c>
      <c r="D109" t="s">
        <v>185</v>
      </c>
      <c r="E109">
        <v>136</v>
      </c>
      <c r="F109">
        <v>100</v>
      </c>
      <c r="G109" t="s">
        <v>186</v>
      </c>
      <c r="H109">
        <v>0.75</v>
      </c>
      <c r="I109">
        <f>inputs!$C$65*inputs!$C$64/1000</f>
        <v>2.13</v>
      </c>
      <c r="J109">
        <f>inputs!$C$65*inputs!$C$63/1000</f>
        <v>0.88</v>
      </c>
      <c r="K109">
        <f t="shared" si="11"/>
        <v>0.81471570916627511</v>
      </c>
      <c r="L109">
        <f t="shared" si="12"/>
        <v>0.33659616153348459</v>
      </c>
      <c r="M109">
        <f>IF((((1.18*F109^0.874)/3.7-(0.301*F109^0.751)/(1-H109)*H109)*(MAX('Min rate concentrations'!$P$3:$P$368)))/F109&gt;0, (((1.18*F109^0.874)/3.7-(0.301*F109^0.751)/(1-H109)*H109)*(MAX('Min rate concentrations'!$P$3:$P$368)))/F109, 0)</f>
        <v>0</v>
      </c>
      <c r="N109">
        <f>IF((((1.18*F109^0.874)/3.7-(0.301*F109^0.751)/(1-H109)*H109)*(MAX('Min rate concentrations'!$Q$3:$Q$368)))/F109&gt;0, (((1.18*F109^0.874)/3.7-(0.301*F109^0.751)/(1-H109)*H109)*(MAX('Min rate concentrations'!$Q$3:$Q$368)))/F109, 0)</f>
        <v>0</v>
      </c>
      <c r="O109">
        <f>((MAX('Min rate concentrations'!$F$3:$F$368))*0.62*6.01*8*(10*F109^0.667)*0.079*0.1/F109)*inputs!$E$80/(10^(0.84+0.62*LOG10(inputs!$E$80)))</f>
        <v>5.2796140434754051</v>
      </c>
      <c r="P109">
        <f>((MAX('Min rate concentrations'!Y:Y))*0.62*6.01*8*(10*F109^0.667)*0.079*0.1/F109)*inputs!$E$80/(10^(0.84+0.62*LOG10(inputs!$E$80)))</f>
        <v>1.7598713478251351</v>
      </c>
      <c r="Q109">
        <f>(inputs!$C$7*11.2*(10*F109^0.667)*0.5/F109)*inputs!$E$80/(10^(0.84+0.62*LOG10(inputs!$E$80)))</f>
        <v>0.92997911204628758</v>
      </c>
      <c r="R109">
        <f>(60*284*((F109/1000)^0.77)*3*24*(MAX('Min rate concentrations'!$R$3:$R$368))/F109)*(inputs!$E$73*3.4/inputs!$E$75)</f>
        <v>7.9604112539003076E-3</v>
      </c>
      <c r="S109">
        <f>(IF(inputs!$C$6="aerial",((0.025*0.112*inputs!$C$7/3.3)*(3*60*284*((F109/1000)^0.77))*MAX(inputs!$H$14:$H$16))/F109,((0.0083*0.112*inputs!$C$7/1)*(3*60*284*((F109/1000)^0.77))*MAX(inputs!$H$14:$H$16))/F109))*(inputs!E$75*3.4/inputs!$E$73)</f>
        <v>4.3902157139468337E-2</v>
      </c>
      <c r="T109">
        <f>IF((((inputs!$P$12/(V109/MAX(K109:S109)))^(1/inputs!$O$12))-1)/inputs!$N$12&lt;0, 0, IF((((inputs!$P$12/(V109/MAX(K109:S109)))^(1/inputs!$O$12))-1)/inputs!$N$12&gt;inputs!$H$17, inputs!$H$17, (((inputs!$P$12/(V109/MAX(K109:S109)))^(1/inputs!$O$12))-1)/inputs!$N$12))</f>
        <v>179.32432414979328</v>
      </c>
      <c r="U109">
        <f>IF((((inputs!$P$12/(X109/MAX(K109:S109)))^(1/inputs!$O$12))-1)/inputs!$N$12&lt;0, 0, IF((((inputs!$P$12/(X109/MAX(K109:S109)))^(1/inputs!$O$12))-1)/inputs!$N$12&gt;inputs!$H$17, inputs!$H$17, (((inputs!$P$12/(X109/MAX(K109:S109)))^(1/inputs!$O$12))-1)/inputs!$N$12))</f>
        <v>0</v>
      </c>
      <c r="V109">
        <f>inputs!$E$78*(F109/inputs!$F$78)^(inputs!$E$84-1)</f>
        <v>1.9E-2</v>
      </c>
      <c r="W109">
        <f>inputs!$E$85*(F109/inputs!$F$85)^(inputs!$E$84-1)</f>
        <v>0.87738499892824706</v>
      </c>
      <c r="X109">
        <f>inputs!$E$80*(F109/inputs!$F$80)^(inputs!$E$84-1)</f>
        <v>3.2763110719472515</v>
      </c>
      <c r="Y109">
        <f>inputs!$E$82*(F109/inputs!$F$82)^(inputs!$E$84-1)</f>
        <v>1.51</v>
      </c>
      <c r="Z109">
        <f t="shared" si="8"/>
        <v>277.87442334081078</v>
      </c>
      <c r="AA109">
        <f t="shared" si="9"/>
        <v>6.0174427986854315</v>
      </c>
    </row>
    <row r="110" spans="1:27" x14ac:dyDescent="0.3">
      <c r="A110" t="s">
        <v>981</v>
      </c>
      <c r="B110" t="s">
        <v>351</v>
      </c>
      <c r="C110" t="s">
        <v>73</v>
      </c>
      <c r="D110" t="s">
        <v>185</v>
      </c>
      <c r="E110">
        <v>135</v>
      </c>
      <c r="F110">
        <v>110</v>
      </c>
      <c r="G110" t="s">
        <v>186</v>
      </c>
      <c r="H110">
        <v>0.75</v>
      </c>
      <c r="I110">
        <f>inputs!$C$65*inputs!$C$64/1000</f>
        <v>2.13</v>
      </c>
      <c r="J110">
        <f>inputs!$C$65*inputs!$C$63/1000</f>
        <v>0.88</v>
      </c>
      <c r="K110">
        <f t="shared" si="11"/>
        <v>0.79560831209667449</v>
      </c>
      <c r="L110">
        <f t="shared" si="12"/>
        <v>0.32870202565496409</v>
      </c>
      <c r="M110">
        <f>IF((((1.18*F110^0.874)/3.7-(0.301*F110^0.751)/(1-H110)*H110)*(MAX('Min rate concentrations'!$P$3:$P$368)))/F110&gt;0, (((1.18*F110^0.874)/3.7-(0.301*F110^0.751)/(1-H110)*H110)*(MAX('Min rate concentrations'!$P$3:$P$368)))/F110, 0)</f>
        <v>0</v>
      </c>
      <c r="N110">
        <f>IF((((1.18*F110^0.874)/3.7-(0.301*F110^0.751)/(1-H110)*H110)*(MAX('Min rate concentrations'!$Q$3:$Q$368)))/F110&gt;0, (((1.18*F110^0.874)/3.7-(0.301*F110^0.751)/(1-H110)*H110)*(MAX('Min rate concentrations'!$Q$3:$Q$368)))/F110, 0)</f>
        <v>0</v>
      </c>
      <c r="O110">
        <f>((MAX('Min rate concentrations'!$F$3:$F$368))*0.62*6.01*8*(10*F110^0.667)*0.079*0.1/F110)*inputs!$E$80/(10^(0.84+0.62*LOG10(inputs!$E$80)))</f>
        <v>5.1146793401714534</v>
      </c>
      <c r="P110">
        <f>((MAX('Min rate concentrations'!Y:Y))*0.62*6.01*8*(10*F110^0.667)*0.079*0.1/F110)*inputs!$E$80/(10^(0.84+0.62*LOG10(inputs!$E$80)))</f>
        <v>1.7048931133904834</v>
      </c>
      <c r="Q110">
        <f>(inputs!$C$7*11.2*(10*F110^0.667)*0.5/F110)*inputs!$E$80/(10^(0.84+0.62*LOG10(inputs!$E$80)))</f>
        <v>0.90092664198670336</v>
      </c>
      <c r="R110">
        <f>(60*284*((F110/1000)^0.77)*3*24*(MAX('Min rate concentrations'!$R$3:$R$368))/F110)*(inputs!$E$73*3.4/inputs!$E$75)</f>
        <v>7.7878071303845112E-3</v>
      </c>
      <c r="S110">
        <f>(IF(inputs!$C$6="aerial",((0.025*0.112*inputs!$C$7/3.3)*(3*60*284*((F110/1000)^0.77))*MAX(inputs!$H$14:$H$16))/F110,((0.0083*0.112*inputs!$C$7/1)*(3*60*284*((F110/1000)^0.77))*MAX(inputs!$H$14:$H$16))/F110))*(inputs!E$75*3.4/inputs!$E$73)</f>
        <v>4.2950234793773211E-2</v>
      </c>
      <c r="T110">
        <f>IF((((inputs!$P$12/(V110/MAX(K110:S110)))^(1/inputs!$O$12))-1)/inputs!$N$12&lt;0, 0, IF((((inputs!$P$12/(V110/MAX(K110:S110)))^(1/inputs!$O$12))-1)/inputs!$N$12&gt;inputs!$H$17, inputs!$H$17, (((inputs!$P$12/(V110/MAX(K110:S110)))^(1/inputs!$O$12))-1)/inputs!$N$12))</f>
        <v>179.62261516708483</v>
      </c>
      <c r="U110">
        <f>IF((((inputs!$P$12/(X110/MAX(K110:S110)))^(1/inputs!$O$12))-1)/inputs!$N$12&lt;0, 0, IF((((inputs!$P$12/(X110/MAX(K110:S110)))^(1/inputs!$O$12))-1)/inputs!$N$12&gt;inputs!$H$17, inputs!$H$17, (((inputs!$P$12/(X110/MAX(K110:S110)))^(1/inputs!$O$12))-1)/inputs!$N$12))</f>
        <v>0</v>
      </c>
      <c r="V110">
        <f>inputs!$E$78*(F110/inputs!$F$78)^(inputs!$E$84-1)</f>
        <v>1.8341646012025203E-2</v>
      </c>
      <c r="W110">
        <f>inputs!$E$85*(F110/inputs!$F$85)^(inputs!$E$84-1)</f>
        <v>0.84698342455805364</v>
      </c>
      <c r="X110">
        <f>inputs!$E$80*(F110/inputs!$F$80)^(inputs!$E$84-1)</f>
        <v>3.162786205628175</v>
      </c>
      <c r="Y110">
        <f>inputs!$E$82*(F110/inputs!$F$82)^(inputs!$E$84-1)</f>
        <v>1.4576781830609504</v>
      </c>
      <c r="Z110">
        <f t="shared" si="8"/>
        <v>278.85607086834807</v>
      </c>
      <c r="AA110">
        <f t="shared" si="9"/>
        <v>6.0387006308184077</v>
      </c>
    </row>
    <row r="111" spans="1:27" x14ac:dyDescent="0.3">
      <c r="A111" t="s">
        <v>208</v>
      </c>
      <c r="B111" t="s">
        <v>209</v>
      </c>
      <c r="C111" t="s">
        <v>73</v>
      </c>
      <c r="D111" t="s">
        <v>185</v>
      </c>
      <c r="E111">
        <v>132</v>
      </c>
      <c r="F111">
        <v>34</v>
      </c>
      <c r="G111" t="s">
        <v>142</v>
      </c>
      <c r="H111">
        <v>0.69</v>
      </c>
      <c r="I111">
        <f>MAX('Min rate concentrations'!$H$3:$H$368)</f>
        <v>47</v>
      </c>
      <c r="J111">
        <f>MAX('Min rate concentrations'!AA:AA)</f>
        <v>32.5</v>
      </c>
      <c r="K111">
        <f t="shared" si="11"/>
        <v>18.965504915888541</v>
      </c>
      <c r="L111">
        <f t="shared" si="12"/>
        <v>13.114444888646331</v>
      </c>
      <c r="M111">
        <f>IF((((1.18*F111^0.874)/3.7-(0.301*F111^0.751)/(1-H111)*H111)*(MAX('Min rate concentrations'!$P$3:$P$368)))/F111&gt;0, (((1.18*F111^0.874)/3.7-(0.301*F111^0.751)/(1-H111)*H111)*(MAX('Min rate concentrations'!$P$3:$P$368)))/F111, 0)</f>
        <v>0</v>
      </c>
      <c r="N111">
        <f>IF((((1.18*F111^0.874)/3.7-(0.301*F111^0.751)/(1-H111)*H111)*(MAX('Min rate concentrations'!$Q$3:$Q$368)))/F111&gt;0, (((1.18*F111^0.874)/3.7-(0.301*F111^0.751)/(1-H111)*H111)*(MAX('Min rate concentrations'!$Q$3:$Q$368)))/F111, 0)</f>
        <v>0</v>
      </c>
      <c r="O111">
        <f>((MAX('Min rate concentrations'!$F$3:$F$368))*0.62*6.01*8*(10*F111^0.667)*0.079*0.1/F111)*inputs!$E$80/(10^(0.84+0.62*LOG10(inputs!$E$80)))</f>
        <v>7.561704399544027</v>
      </c>
      <c r="P111">
        <f>((MAX('Min rate concentrations'!Y:Y))*0.62*6.01*8*(10*F111^0.667)*0.079*0.1/F111)*inputs!$E$80/(10^(0.84+0.62*LOG10(inputs!$E$80)))</f>
        <v>2.5205681331813428</v>
      </c>
      <c r="Q111">
        <f>(inputs!$C$7*11.2*(10*F111^0.667)*0.5/F111)*inputs!$E$80/(10^(0.84+0.62*LOG10(inputs!$E$80)))</f>
        <v>1.3319585646104095</v>
      </c>
      <c r="R111">
        <f>(60*284*((F111/1000)^0.77)*3*24*(MAX('Min rate concentrations'!$R$3:$R$368))/F111)*(inputs!$E$73*3.4/inputs!$E$75)</f>
        <v>1.0202235732169293E-2</v>
      </c>
      <c r="S111">
        <f>(IF(inputs!$C$6="aerial",((0.025*0.112*inputs!$C$7/3.3)*(3*60*284*((F111/1000)^0.77))*MAX(inputs!$H$14:$H$16))/F111,((0.0083*0.112*inputs!$C$7/1)*(3*60*284*((F111/1000)^0.77))*MAX(inputs!$H$14:$H$16))/F111))*(inputs!E$75*3.4/inputs!$E$73)</f>
        <v>5.6265956871027333E-2</v>
      </c>
      <c r="T111">
        <f>IF((((inputs!$P$12/(V111/MAX(K111:S111)))^(1/inputs!$O$12))-1)/inputs!$N$12&lt;0, 0, IF((((inputs!$P$12/(V111/MAX(K111:S111)))^(1/inputs!$O$12))-1)/inputs!$N$12&gt;inputs!$H$17, inputs!$H$17, (((inputs!$P$12/(V111/MAX(K111:S111)))^(1/inputs!$O$12))-1)/inputs!$N$12))</f>
        <v>268.71239878456595</v>
      </c>
      <c r="U111">
        <f>IF((((inputs!$P$12/(X111/MAX(K111:S111)))^(1/inputs!$O$12))-1)/inputs!$N$12&lt;0, 0, IF((((inputs!$P$12/(X111/MAX(K111:S111)))^(1/inputs!$O$12))-1)/inputs!$N$12&gt;inputs!$H$17, inputs!$H$17, (((inputs!$P$12/(X111/MAX(K111:S111)))^(1/inputs!$O$12))-1)/inputs!$N$12))</f>
        <v>8.0976469782091538</v>
      </c>
      <c r="V111">
        <f>inputs!$E$78*(F111/inputs!$F$78)^(inputs!$E$84-1)</f>
        <v>2.832085768556198E-2</v>
      </c>
      <c r="W111">
        <f>inputs!$E$85*(F111/inputs!$F$85)^(inputs!$E$84-1)</f>
        <v>1.3078050363207285</v>
      </c>
      <c r="X111">
        <f>inputs!$E$80*(F111/inputs!$F$80)^(inputs!$E$84-1)</f>
        <v>4.883575768539429</v>
      </c>
      <c r="Y111">
        <f>inputs!$E$82*(F111/inputs!$F$82)^(inputs!$E$84-1)</f>
        <v>2.2507629002736103</v>
      </c>
      <c r="Z111">
        <f t="shared" si="8"/>
        <v>669.6656268837927</v>
      </c>
      <c r="AA111">
        <f t="shared" si="9"/>
        <v>14.501783055710305</v>
      </c>
    </row>
    <row r="112" spans="1:27" x14ac:dyDescent="0.3">
      <c r="A112" t="s">
        <v>982</v>
      </c>
      <c r="B112" t="s">
        <v>358</v>
      </c>
      <c r="C112" t="s">
        <v>73</v>
      </c>
      <c r="D112" t="s">
        <v>185</v>
      </c>
      <c r="E112">
        <v>6618</v>
      </c>
      <c r="F112">
        <v>148</v>
      </c>
      <c r="G112" t="s">
        <v>186</v>
      </c>
      <c r="H112">
        <v>0.75</v>
      </c>
      <c r="I112">
        <f>inputs!$C$65*inputs!$C$64/1000</f>
        <v>2.13</v>
      </c>
      <c r="J112">
        <f>inputs!$C$65*inputs!$C$63/1000</f>
        <v>0.88</v>
      </c>
      <c r="K112">
        <f t="shared" si="11"/>
        <v>0.73894297244323426</v>
      </c>
      <c r="L112">
        <f t="shared" si="12"/>
        <v>0.30529099330988085</v>
      </c>
      <c r="M112">
        <f>IF((((1.18*F112^0.874)/3.7-(0.301*F112^0.751)/(1-H112)*H112)*(MAX('Min rate concentrations'!$P$3:$P$368)))/F112&gt;0, (((1.18*F112^0.874)/3.7-(0.301*F112^0.751)/(1-H112)*H112)*(MAX('Min rate concentrations'!$P$3:$P$368)))/F112, 0)</f>
        <v>0</v>
      </c>
      <c r="N112">
        <f>IF((((1.18*F112^0.874)/3.7-(0.301*F112^0.751)/(1-H112)*H112)*(MAX('Min rate concentrations'!$Q$3:$Q$368)))/F112&gt;0, (((1.18*F112^0.874)/3.7-(0.301*F112^0.751)/(1-H112)*H112)*(MAX('Min rate concentrations'!$Q$3:$Q$368)))/F112, 0)</f>
        <v>0</v>
      </c>
      <c r="O112">
        <f>((MAX('Min rate concentrations'!$F$3:$F$368))*0.62*6.01*8*(10*F112^0.667)*0.079*0.1/F112)*inputs!$E$80/(10^(0.84+0.62*LOG10(inputs!$E$80)))</f>
        <v>4.6334557963694412</v>
      </c>
      <c r="P112">
        <f>((MAX('Min rate concentrations'!Y:Y))*0.62*6.01*8*(10*F112^0.667)*0.079*0.1/F112)*inputs!$E$80/(10^(0.84+0.62*LOG10(inputs!$E$80)))</f>
        <v>1.5444852654564807</v>
      </c>
      <c r="Q112">
        <f>(inputs!$C$7*11.2*(10*F112^0.667)*0.5/F112)*inputs!$E$80/(10^(0.84+0.62*LOG10(inputs!$E$80)))</f>
        <v>0.8161613844744009</v>
      </c>
      <c r="R112">
        <f>(60*284*((F112/1000)^0.77)*3*24*(MAX('Min rate concentrations'!$R$3:$R$368))/F112)*(inputs!$E$73*3.4/inputs!$E$75)</f>
        <v>7.2740337283888406E-3</v>
      </c>
      <c r="S112">
        <f>(IF(inputs!$C$6="aerial",((0.025*0.112*inputs!$C$7/3.3)*(3*60*284*((F112/1000)^0.77))*MAX(inputs!$H$14:$H$16))/F112,((0.0083*0.112*inputs!$C$7/1)*(3*60*284*((F112/1000)^0.77))*MAX(inputs!$H$14:$H$16))/F112))*(inputs!E$75*3.4/inputs!$E$73)</f>
        <v>4.0116742916397941E-2</v>
      </c>
      <c r="T112">
        <f>IF((((inputs!$P$12/(V112/MAX(K112:S112)))^(1/inputs!$O$12))-1)/inputs!$N$12&lt;0, 0, IF((((inputs!$P$12/(V112/MAX(K112:S112)))^(1/inputs!$O$12))-1)/inputs!$N$12&gt;inputs!$H$17, inputs!$H$17, (((inputs!$P$12/(V112/MAX(K112:S112)))^(1/inputs!$O$12))-1)/inputs!$N$12))</f>
        <v>180.55403742449855</v>
      </c>
      <c r="U112">
        <f>IF((((inputs!$P$12/(X112/MAX(K112:S112)))^(1/inputs!$O$12))-1)/inputs!$N$12&lt;0, 0, IF((((inputs!$P$12/(X112/MAX(K112:S112)))^(1/inputs!$O$12))-1)/inputs!$N$12&gt;inputs!$H$17, inputs!$H$17, (((inputs!$P$12/(X112/MAX(K112:S112)))^(1/inputs!$O$12))-1)/inputs!$N$12))</f>
        <v>0</v>
      </c>
      <c r="V112">
        <f>inputs!$E$78*(F112/inputs!$F$78)^(inputs!$E$84-1)</f>
        <v>1.6434510237281978E-2</v>
      </c>
      <c r="W112">
        <f>inputs!$E$85*(F112/inputs!$F$85)^(inputs!$E$84-1)</f>
        <v>0.75891540773283761</v>
      </c>
      <c r="X112">
        <f>inputs!$E$80*(F112/inputs!$F$80)^(inputs!$E$84-1)</f>
        <v>2.8339246238124951</v>
      </c>
      <c r="Y112">
        <f>inputs!$E$82*(F112/inputs!$F$82)^(inputs!$E$84-1)</f>
        <v>1.30611107675241</v>
      </c>
      <c r="Z112">
        <f t="shared" si="8"/>
        <v>281.93452250608385</v>
      </c>
      <c r="AA112">
        <f t="shared" si="9"/>
        <v>6.1053653004770263</v>
      </c>
    </row>
    <row r="113" spans="1:27" x14ac:dyDescent="0.3">
      <c r="A113" t="s">
        <v>982</v>
      </c>
      <c r="B113" t="s">
        <v>358</v>
      </c>
      <c r="C113" t="s">
        <v>73</v>
      </c>
      <c r="D113" t="s">
        <v>185</v>
      </c>
      <c r="E113">
        <v>6618</v>
      </c>
      <c r="F113">
        <v>148</v>
      </c>
      <c r="G113" t="s">
        <v>174</v>
      </c>
      <c r="H113">
        <v>0.83</v>
      </c>
      <c r="I113">
        <f>inputs!$C$65*(inputs!$C$62/1000)</f>
        <v>0.82000000000000006</v>
      </c>
      <c r="J113">
        <f>inputs!$C$65*(inputs!$C$61/1000)</f>
        <v>0.25</v>
      </c>
      <c r="K113">
        <f t="shared" si="11"/>
        <v>0.41834661516394089</v>
      </c>
      <c r="M113">
        <f>IF((((1.18*F113^0.874)/3.7-(0.301*F113^0.751)/(1-H113)*H113)*(MAX('Min rate concentrations'!$P$3:$P$368)))/F113&gt;0, (((1.18*F113^0.874)/3.7-(0.301*F113^0.751)/(1-H113)*H113)*(MAX('Min rate concentrations'!$P$3:$P$368)))/F113, 0)</f>
        <v>0</v>
      </c>
      <c r="N113">
        <f>IF((((1.18*F113^0.874)/3.7-(0.301*F113^0.751)/(1-H113)*H113)*(MAX('Min rate concentrations'!$Q$3:$Q$368)))/F113&gt;0, (((1.18*F113^0.874)/3.7-(0.301*F113^0.751)/(1-H113)*H113)*(MAX('Min rate concentrations'!$Q$3:$Q$368)))/F113, 0)</f>
        <v>0</v>
      </c>
      <c r="O113">
        <f>((MAX('Min rate concentrations'!$F$3:$F$368))*0.62*6.01*8*(10*F113^0.667)*0.079*0.1/F113)*inputs!$E$80/(10^(0.84+0.62*LOG10(inputs!$E$80)))</f>
        <v>4.6334557963694412</v>
      </c>
      <c r="P113">
        <f>((MAX('Min rate concentrations'!Y:Y))*0.62*6.01*8*(10*F113^0.667)*0.079*0.1/F113)*inputs!$E$80/(10^(0.84+0.62*LOG10(inputs!$E$80)))</f>
        <v>1.5444852654564807</v>
      </c>
      <c r="Q113">
        <f>(inputs!$C$7*11.2*(10*F113^0.667)*0.5/F113)*inputs!$E$80/(10^(0.84+0.62*LOG10(inputs!$E$80)))</f>
        <v>0.8161613844744009</v>
      </c>
      <c r="R113">
        <f>(60*284*((F113/1000)^0.77)*3*24*(MAX('Min rate concentrations'!$R$3:$R$368))/F113)*(inputs!$E$73*3.4/inputs!$E$75)</f>
        <v>7.2740337283888406E-3</v>
      </c>
      <c r="S113">
        <f>(IF(inputs!$C$6="aerial",((0.025*0.112*inputs!$C$7/3.3)*(3*60*284*((F113/1000)^0.77))*MAX(inputs!$H$14:$H$16))/F113,((0.0083*0.112*inputs!$C$7/1)*(3*60*284*((F113/1000)^0.77))*MAX(inputs!$H$14:$H$16))/F113))*(inputs!E$75*3.4/inputs!$E$73)</f>
        <v>4.0116742916397941E-2</v>
      </c>
      <c r="T113">
        <f>IF((((inputs!$P$12/(V113/MAX(K113:S113)))^(1/inputs!$O$12))-1)/inputs!$N$12&lt;0, 0, IF((((inputs!$P$12/(V113/MAX(K113:S113)))^(1/inputs!$O$12))-1)/inputs!$N$12&gt;inputs!$H$17, inputs!$H$17, (((inputs!$P$12/(V113/MAX(K113:S113)))^(1/inputs!$O$12))-1)/inputs!$N$12))</f>
        <v>180.55403742449855</v>
      </c>
      <c r="U113">
        <f>IF((((inputs!$P$12/(X113/MAX(K113:S113)))^(1/inputs!$O$12))-1)/inputs!$N$12&lt;0, 0, IF((((inputs!$P$12/(X113/MAX(K113:S113)))^(1/inputs!$O$12))-1)/inputs!$N$12&gt;inputs!$H$17, inputs!$H$17, (((inputs!$P$12/(X113/MAX(K113:S113)))^(1/inputs!$O$12))-1)/inputs!$N$12))</f>
        <v>0</v>
      </c>
      <c r="V113">
        <f>inputs!$E$78*(F113/inputs!$F$78)^(inputs!$E$84-1)</f>
        <v>1.6434510237281978E-2</v>
      </c>
      <c r="W113">
        <f>inputs!$E$85*(F113/inputs!$F$85)^(inputs!$E$84-1)</f>
        <v>0.75891540773283761</v>
      </c>
      <c r="X113">
        <f>inputs!$E$80*(F113/inputs!$F$80)^(inputs!$E$84-1)</f>
        <v>2.8339246238124951</v>
      </c>
      <c r="Y113">
        <f>inputs!$E$82*(F113/inputs!$F$82)^(inputs!$E$84-1)</f>
        <v>1.30611107675241</v>
      </c>
      <c r="Z113">
        <f t="shared" si="8"/>
        <v>281.93452250608385</v>
      </c>
      <c r="AA113">
        <f t="shared" si="9"/>
        <v>6.1053653004770263</v>
      </c>
    </row>
    <row r="114" spans="1:27" x14ac:dyDescent="0.3">
      <c r="A114" t="s">
        <v>983</v>
      </c>
      <c r="B114" t="s">
        <v>290</v>
      </c>
      <c r="C114" t="s">
        <v>73</v>
      </c>
      <c r="D114" t="s">
        <v>291</v>
      </c>
      <c r="E114">
        <v>124</v>
      </c>
      <c r="F114">
        <v>2050</v>
      </c>
      <c r="G114" t="s">
        <v>186</v>
      </c>
      <c r="H114">
        <v>0.75</v>
      </c>
      <c r="I114">
        <f>inputs!$C$65*inputs!$C$64/1000</f>
        <v>2.13</v>
      </c>
      <c r="J114">
        <f>inputs!$C$65*inputs!$C$63/1000</f>
        <v>0.88</v>
      </c>
      <c r="K114">
        <f t="shared" si="11"/>
        <v>0.38404258029650334</v>
      </c>
      <c r="L114">
        <f>((0.301*F114^0.751)/(1-H114))*J114/F114</f>
        <v>0.15866547918353194</v>
      </c>
      <c r="M114">
        <f>IF((((1.18*F114^0.874)/3.7-(0.301*F114^0.751)/(1-H114)*H114)*(MAX('Min rate concentrations'!$P$3:$P$368)))/F114&gt;0, (((1.18*F114^0.874)/3.7-(0.301*F114^0.751)/(1-H114)*H114)*(MAX('Min rate concentrations'!$P$3:$P$368)))/F114, 0)</f>
        <v>0</v>
      </c>
      <c r="N114">
        <f>IF((((1.18*F114^0.874)/3.7-(0.301*F114^0.751)/(1-H114)*H114)*(MAX('Min rate concentrations'!$Q$3:$Q$368)))/F114&gt;0, (((1.18*F114^0.874)/3.7-(0.301*F114^0.751)/(1-H114)*H114)*(MAX('Min rate concentrations'!$Q$3:$Q$368)))/F114, 0)</f>
        <v>0</v>
      </c>
      <c r="O114">
        <f>((MAX('Min rate concentrations'!$F$3:$F$368))*0.62*6.01*8*(10*F114^0.667)*0.079*0.1/F114)*inputs!$E$80/(10^(0.84+0.62*LOG10(inputs!$E$80)))</f>
        <v>1.9310260815893434</v>
      </c>
      <c r="P114">
        <f>((MAX('Min rate concentrations'!Y:Y))*0.62*6.01*8*(10*F114^0.667)*0.079*0.1/F114)*inputs!$E$80/(10^(0.84+0.62*LOG10(inputs!$E$80)))</f>
        <v>0.64367536052978103</v>
      </c>
      <c r="Q114">
        <f>(inputs!$C$7*11.2*(10*F114^0.667)*0.5/F114)*inputs!$E$80/(10^(0.84+0.62*LOG10(inputs!$E$80)))</f>
        <v>0.34014113643666105</v>
      </c>
      <c r="R114">
        <f>(60*284*((F114/1000)^0.77)*3*24*(MAX('Min rate concentrations'!$R$3:$R$368))/F114)*(inputs!$E$73*3.4/inputs!$E$75)</f>
        <v>3.9740389280708659E-3</v>
      </c>
      <c r="S114">
        <f>(IF(inputs!$C$6="aerial",((0.025*0.112*inputs!$C$7/3.3)*(3*60*284*((F114/1000)^0.77))*MAX(inputs!$H$14:$H$16))/F114,((0.0083*0.112*inputs!$C$7/1)*(3*60*284*((F114/1000)^0.77))*MAX(inputs!$H$14:$H$16))/F114))*(inputs!E$75*3.4/inputs!$E$73)</f>
        <v>2.1917068846543351E-2</v>
      </c>
      <c r="T114">
        <f>IF((((inputs!$P$12/(V114/MAX(K114:S114)))^(1/inputs!$O$12))-1)/inputs!$N$12&lt;0, 0, IF((((inputs!$P$12/(V114/MAX(K114:S114)))^(1/inputs!$O$12))-1)/inputs!$N$12&gt;inputs!$H$17, inputs!$H$17, (((inputs!$P$12/(V114/MAX(K114:S114)))^(1/inputs!$O$12))-1)/inputs!$N$12))</f>
        <v>188.98850939585074</v>
      </c>
      <c r="U114">
        <f>IF((((inputs!$P$12/(X114/MAX(K114:S114)))^(1/inputs!$O$12))-1)/inputs!$N$12&lt;0, 0, IF((((inputs!$P$12/(X114/MAX(K114:S114)))^(1/inputs!$O$12))-1)/inputs!$N$12&gt;inputs!$H$17, inputs!$H$17, (((inputs!$P$12/(X114/MAX(K114:S114)))^(1/inputs!$O$12))-1)/inputs!$N$12))</f>
        <v>0</v>
      </c>
      <c r="V114">
        <f>inputs!$E$78*(F114/inputs!$F$78)^(inputs!$E$84-1)</f>
        <v>6.2144782498448634E-3</v>
      </c>
      <c r="W114">
        <f>inputs!$E$85*(F114/inputs!$F$85)^(inputs!$E$84-1)</f>
        <v>0.28697315750419744</v>
      </c>
      <c r="X114">
        <f>inputs!$E$80*(F114/inputs!$F$80)^(inputs!$E$84-1)</f>
        <v>1.0716086261232689</v>
      </c>
      <c r="Y114">
        <f>inputs!$E$82*(F114/inputs!$F$82)^(inputs!$E$84-1)</f>
        <v>0.4938874819613549</v>
      </c>
      <c r="Z114">
        <f t="shared" si="8"/>
        <v>310.73020195018768</v>
      </c>
      <c r="AA114">
        <f t="shared" si="9"/>
        <v>6.7289432167923202</v>
      </c>
    </row>
    <row r="115" spans="1:27" x14ac:dyDescent="0.3">
      <c r="A115" t="s">
        <v>242</v>
      </c>
      <c r="B115" t="s">
        <v>243</v>
      </c>
      <c r="C115" t="s">
        <v>73</v>
      </c>
      <c r="D115" t="s">
        <v>223</v>
      </c>
      <c r="E115">
        <v>5170</v>
      </c>
      <c r="F115">
        <v>58</v>
      </c>
      <c r="G115" t="s">
        <v>142</v>
      </c>
      <c r="H115">
        <v>0.69</v>
      </c>
      <c r="I115">
        <f>MAX('Min rate concentrations'!$H$3:$H$368)</f>
        <v>47</v>
      </c>
      <c r="J115">
        <f>MAX('Min rate concentrations'!AA:AA)</f>
        <v>32.5</v>
      </c>
      <c r="K115">
        <f t="shared" si="11"/>
        <v>16.603861011202376</v>
      </c>
      <c r="L115">
        <f>((0.301*F115^0.751)/(1-H115))*J115/F115</f>
        <v>11.481393252427175</v>
      </c>
      <c r="M115">
        <f>IF((((1.18*F115^0.874)/3.7-(0.301*F115^0.751)/(1-H115)*H115)*(MAX('Min rate concentrations'!$P$3:$P$368)))/F115&gt;0, (((1.18*F115^0.874)/3.7-(0.301*F115^0.751)/(1-H115)*H115)*(MAX('Min rate concentrations'!$P$3:$P$368)))/F115, 0)</f>
        <v>0</v>
      </c>
      <c r="N115">
        <f>IF((((1.18*F115^0.874)/3.7-(0.301*F115^0.751)/(1-H115)*H115)*(MAX('Min rate concentrations'!$Q$3:$Q$368)))/F115&gt;0, (((1.18*F115^0.874)/3.7-(0.301*F115^0.751)/(1-H115)*H115)*(MAX('Min rate concentrations'!$Q$3:$Q$368)))/F115, 0)</f>
        <v>0</v>
      </c>
      <c r="O115">
        <f>((MAX('Min rate concentrations'!$F$3:$F$368))*0.62*6.01*8*(10*F115^0.667)*0.079*0.1/F115)*inputs!$E$80/(10^(0.84+0.62*LOG10(inputs!$E$80)))</f>
        <v>6.3296639522952276</v>
      </c>
      <c r="P115">
        <f>((MAX('Min rate concentrations'!Y:Y))*0.62*6.01*8*(10*F115^0.667)*0.079*0.1/F115)*inputs!$E$80/(10^(0.84+0.62*LOG10(inputs!$E$80)))</f>
        <v>2.1098879840984091</v>
      </c>
      <c r="Q115">
        <f>(inputs!$C$7*11.2*(10*F115^0.667)*0.5/F115)*inputs!$E$80/(10^(0.84+0.62*LOG10(inputs!$E$80)))</f>
        <v>1.1149404508425091</v>
      </c>
      <c r="R115">
        <f>(60*284*((F115/1000)^0.77)*3*24*(MAX('Min rate concentrations'!$R$3:$R$368))/F115)*(inputs!$E$73*3.4/inputs!$E$75)</f>
        <v>9.0229191626173041E-3</v>
      </c>
      <c r="S115">
        <f>(IF(inputs!$C$6="aerial",((0.025*0.112*inputs!$C$7/3.3)*(3*60*284*((F115/1000)^0.77))*MAX(inputs!$H$14:$H$16))/F115,((0.0083*0.112*inputs!$C$7/1)*(3*60*284*((F115/1000)^0.77))*MAX(inputs!$H$14:$H$16))/F115))*(inputs!E$75*3.4/inputs!$E$73)</f>
        <v>4.9761953534732034E-2</v>
      </c>
      <c r="T115">
        <f>IF((((inputs!$P$12/(V115/MAX(K115:S115)))^(1/inputs!$O$12))-1)/inputs!$N$12&lt;0, 0, IF((((inputs!$P$12/(V115/MAX(K115:S115)))^(1/inputs!$O$12))-1)/inputs!$N$12&gt;inputs!$H$17, inputs!$H$17, (((inputs!$P$12/(V115/MAX(K115:S115)))^(1/inputs!$O$12))-1)/inputs!$N$12))</f>
        <v>276.62789909998662</v>
      </c>
      <c r="U115">
        <f>IF((((inputs!$P$12/(X115/MAX(K115:S115)))^(1/inputs!$O$12))-1)/inputs!$N$12&lt;0, 0, IF((((inputs!$P$12/(X115/MAX(K115:S115)))^(1/inputs!$O$12))-1)/inputs!$N$12&gt;inputs!$H$17, inputs!$H$17, (((inputs!$P$12/(X115/MAX(K115:S115)))^(1/inputs!$O$12))-1)/inputs!$N$12))</f>
        <v>9.0720998430969857</v>
      </c>
      <c r="V115">
        <f>inputs!$E$78*(F115/inputs!$F$78)^(inputs!$E$84-1)</f>
        <v>2.3242628641364116E-2</v>
      </c>
      <c r="W115">
        <f>inputs!$E$85*(F115/inputs!$F$85)^(inputs!$E$84-1)</f>
        <v>1.073301773978574</v>
      </c>
      <c r="X115">
        <f>inputs!$E$80*(F115/inputs!$F$80)^(inputs!$E$84-1)</f>
        <v>4.0078990294136618</v>
      </c>
      <c r="Y115">
        <f>inputs!$E$82*(F115/inputs!$F$82)^(inputs!$E$84-1)</f>
        <v>1.847177328866306</v>
      </c>
      <c r="Z115">
        <f t="shared" si="8"/>
        <v>714.37104930778139</v>
      </c>
      <c r="AA115">
        <f t="shared" si="9"/>
        <v>15.469890587857945</v>
      </c>
    </row>
    <row r="116" spans="1:27" x14ac:dyDescent="0.3">
      <c r="A116" t="s">
        <v>242</v>
      </c>
      <c r="B116" t="s">
        <v>243</v>
      </c>
      <c r="C116" t="s">
        <v>73</v>
      </c>
      <c r="D116" t="s">
        <v>223</v>
      </c>
      <c r="E116">
        <v>5170</v>
      </c>
      <c r="F116">
        <v>58</v>
      </c>
      <c r="G116" t="s">
        <v>152</v>
      </c>
      <c r="H116">
        <v>0.77</v>
      </c>
      <c r="I116">
        <f>MAX('Min rate concentrations'!$G$3:$G$368)</f>
        <v>7.5</v>
      </c>
      <c r="J116">
        <f>MAX('Min rate concentrations'!Z:Z)</f>
        <v>3.5</v>
      </c>
      <c r="K116">
        <f t="shared" si="11"/>
        <v>3.5711356938987544</v>
      </c>
      <c r="L116">
        <f>((0.301*F116^0.751)/(1-H116))*J116/F116</f>
        <v>1.6665299904860853</v>
      </c>
      <c r="M116">
        <f>IF((((1.18*F116^0.874)/3.7-(0.301*F116^0.751)/(1-H116)*H116)*(MAX('Min rate concentrations'!$P$3:$P$368)))/F116&gt;0, (((1.18*F116^0.874)/3.7-(0.301*F116^0.751)/(1-H116)*H116)*(MAX('Min rate concentrations'!$P$3:$P$368)))/F116, 0)</f>
        <v>0</v>
      </c>
      <c r="N116">
        <f>IF((((1.18*F116^0.874)/3.7-(0.301*F116^0.751)/(1-H116)*H116)*(MAX('Min rate concentrations'!$Q$3:$Q$368)))/F116&gt;0, (((1.18*F116^0.874)/3.7-(0.301*F116^0.751)/(1-H116)*H116)*(MAX('Min rate concentrations'!$Q$3:$Q$368)))/F116, 0)</f>
        <v>0</v>
      </c>
      <c r="O116">
        <f>((MAX('Min rate concentrations'!$F$3:$F$368))*0.62*6.01*8*(10*F116^0.667)*0.079*0.1/F116)*inputs!$E$80/(10^(0.84+0.62*LOG10(inputs!$E$80)))</f>
        <v>6.3296639522952276</v>
      </c>
      <c r="P116">
        <f>((MAX('Min rate concentrations'!Y:Y))*0.62*6.01*8*(10*F116^0.667)*0.079*0.1/F116)*inputs!$E$80/(10^(0.84+0.62*LOG10(inputs!$E$80)))</f>
        <v>2.1098879840984091</v>
      </c>
      <c r="Q116">
        <f>(inputs!$C$7*11.2*(10*F116^0.667)*0.5/F116)*inputs!$E$80/(10^(0.84+0.62*LOG10(inputs!$E$80)))</f>
        <v>1.1149404508425091</v>
      </c>
      <c r="R116">
        <f>(60*284*((F116/1000)^0.77)*3*24*(MAX('Min rate concentrations'!$R$3:$R$368))/F116)*(inputs!$E$73*3.4/inputs!$E$75)</f>
        <v>9.0229191626173041E-3</v>
      </c>
      <c r="S116">
        <f>(IF(inputs!$C$6="aerial",((0.025*0.112*inputs!$C$7/3.3)*(3*60*284*((F116/1000)^0.77))*MAX(inputs!$H$14:$H$16))/F116,((0.0083*0.112*inputs!$C$7/1)*(3*60*284*((F116/1000)^0.77))*MAX(inputs!$H$14:$H$16))/F116))*(inputs!E$75*3.4/inputs!$E$73)</f>
        <v>4.9761953534732034E-2</v>
      </c>
      <c r="T116">
        <f>IF((((inputs!$P$12/(V116/MAX(K116:S116)))^(1/inputs!$O$12))-1)/inputs!$N$12&lt;0, 0, IF((((inputs!$P$12/(V116/MAX(K116:S116)))^(1/inputs!$O$12))-1)/inputs!$N$12&gt;inputs!$H$17, inputs!$H$17, (((inputs!$P$12/(V116/MAX(K116:S116)))^(1/inputs!$O$12))-1)/inputs!$N$12))</f>
        <v>177.62768481277578</v>
      </c>
      <c r="U116">
        <f>IF((((inputs!$P$12/(X116/MAX(K116:S116)))^(1/inputs!$O$12))-1)/inputs!$N$12&lt;0, 0, IF((((inputs!$P$12/(X116/MAX(K116:S116)))^(1/inputs!$O$12))-1)/inputs!$N$12&gt;inputs!$H$17, inputs!$H$17, (((inputs!$P$12/(X116/MAX(K116:S116)))^(1/inputs!$O$12))-1)/inputs!$N$12))</f>
        <v>0</v>
      </c>
      <c r="V116">
        <f>inputs!$E$78*(F116/inputs!$F$78)^(inputs!$E$84-1)</f>
        <v>2.3242628641364116E-2</v>
      </c>
      <c r="W116">
        <f>inputs!$E$85*(F116/inputs!$F$85)^(inputs!$E$84-1)</f>
        <v>1.073301773978574</v>
      </c>
      <c r="X116">
        <f>inputs!$E$80*(F116/inputs!$F$80)^(inputs!$E$84-1)</f>
        <v>4.0078990294136618</v>
      </c>
      <c r="Y116">
        <f>inputs!$E$82*(F116/inputs!$F$82)^(inputs!$E$84-1)</f>
        <v>1.847177328866306</v>
      </c>
      <c r="Z116">
        <f t="shared" si="8"/>
        <v>272.32995243190953</v>
      </c>
      <c r="AA116">
        <f t="shared" si="9"/>
        <v>5.8973758413089001</v>
      </c>
    </row>
    <row r="117" spans="1:27" x14ac:dyDescent="0.3">
      <c r="A117" t="s">
        <v>242</v>
      </c>
      <c r="B117" t="s">
        <v>243</v>
      </c>
      <c r="C117" t="s">
        <v>73</v>
      </c>
      <c r="D117" t="s">
        <v>223</v>
      </c>
      <c r="E117">
        <v>5170</v>
      </c>
      <c r="F117">
        <v>58</v>
      </c>
      <c r="G117" t="s">
        <v>177</v>
      </c>
      <c r="H117">
        <v>0.85</v>
      </c>
      <c r="I117">
        <f>MAX('Min rate concentrations'!$F$3:$F$368)</f>
        <v>67.5</v>
      </c>
      <c r="J117">
        <f>MAX('Min rate concentrations'!Y:Y)</f>
        <v>22.5</v>
      </c>
      <c r="K117">
        <f t="shared" si="11"/>
        <v>49.281672575802808</v>
      </c>
      <c r="L117">
        <f>((0.301*F117^0.751)/(1-H117))*J117/F117</f>
        <v>16.427224191934268</v>
      </c>
      <c r="M117">
        <f>IF((((1.18*F117^0.874)/3.7-(0.301*F117^0.751)/(1-H117)*H117)*(MAX('Min rate concentrations'!$P$3:$P$368)))/F117&gt;0, (((1.18*F117^0.874)/3.7-(0.301*F117^0.751)/(1-H117)*H117)*(MAX('Min rate concentrations'!$P$3:$P$368)))/F117, 0)</f>
        <v>0</v>
      </c>
      <c r="N117">
        <f>IF((((1.18*F117^0.874)/3.7-(0.301*F117^0.751)/(1-H117)*H117)*(MAX('Min rate concentrations'!$Q$3:$Q$368)))/F117&gt;0, (((1.18*F117^0.874)/3.7-(0.301*F117^0.751)/(1-H117)*H117)*(MAX('Min rate concentrations'!$Q$3:$Q$368)))/F117, 0)</f>
        <v>0</v>
      </c>
      <c r="O117">
        <f>((MAX('Min rate concentrations'!$F$3:$F$368))*0.62*6.01*8*(10*F117^0.667)*0.079*0.1/F117)*inputs!$E$80/(10^(0.84+0.62*LOG10(inputs!$E$80)))</f>
        <v>6.3296639522952276</v>
      </c>
      <c r="P117">
        <f>((MAX('Min rate concentrations'!Y:Y))*0.62*6.01*8*(10*F117^0.667)*0.079*0.1/F117)*inputs!$E$80/(10^(0.84+0.62*LOG10(inputs!$E$80)))</f>
        <v>2.1098879840984091</v>
      </c>
      <c r="Q117">
        <f>(inputs!$C$7*11.2*(10*F117^0.667)*0.5/F117)*inputs!$E$80/(10^(0.84+0.62*LOG10(inputs!$E$80)))</f>
        <v>1.1149404508425091</v>
      </c>
      <c r="R117">
        <f>(60*284*((F117/1000)^0.77)*3*24*(MAX('Min rate concentrations'!$R$3:$R$368))/F117)*(inputs!$E$73*3.4/inputs!$E$75)</f>
        <v>9.0229191626173041E-3</v>
      </c>
      <c r="S117">
        <f>(IF(inputs!$C$6="aerial",((0.025*0.112*inputs!$C$7/3.3)*(3*60*284*((F117/1000)^0.77))*MAX(inputs!$H$14:$H$16))/F117,((0.0083*0.112*inputs!$C$7/1)*(3*60*284*((F117/1000)^0.77))*MAX(inputs!$H$14:$H$16))/F117))*(inputs!E$75*3.4/inputs!$E$73)</f>
        <v>4.9761953534732034E-2</v>
      </c>
      <c r="T117">
        <f>IF((((inputs!$P$12/(V117/MAX(K117:S117)))^(1/inputs!$O$12))-1)/inputs!$N$12&lt;0, 0, IF((((inputs!$P$12/(V117/MAX(K117:S117)))^(1/inputs!$O$12))-1)/inputs!$N$12&gt;inputs!$H$17, inputs!$H$17, (((inputs!$P$12/(V117/MAX(K117:S117)))^(1/inputs!$O$12))-1)/inputs!$N$12))</f>
        <v>446.45205096122572</v>
      </c>
      <c r="U117">
        <f>IF((((inputs!$P$12/(X117/MAX(K117:S117)))^(1/inputs!$O$12))-1)/inputs!$N$12&lt;0, 0, IF((((inputs!$P$12/(X117/MAX(K117:S117)))^(1/inputs!$O$12))-1)/inputs!$N$12&gt;inputs!$H$17, inputs!$H$17, (((inputs!$P$12/(X117/MAX(K117:S117)))^(1/inputs!$O$12))-1)/inputs!$N$12))</f>
        <v>29.978628137453438</v>
      </c>
      <c r="V117">
        <f>inputs!$E$78*(F117/inputs!$F$78)^(inputs!$E$84-1)</f>
        <v>2.3242628641364116E-2</v>
      </c>
      <c r="W117">
        <f>inputs!$E$85*(F117/inputs!$F$85)^(inputs!$E$84-1)</f>
        <v>1.073301773978574</v>
      </c>
      <c r="X117">
        <f>inputs!$E$80*(F117/inputs!$F$80)^(inputs!$E$84-1)</f>
        <v>4.0078990294136618</v>
      </c>
      <c r="Y117">
        <f>inputs!$E$82*(F117/inputs!$F$82)^(inputs!$E$84-1)</f>
        <v>1.847177328866306</v>
      </c>
      <c r="Z117">
        <f t="shared" si="8"/>
        <v>2120.3140718816067</v>
      </c>
      <c r="AA117">
        <f t="shared" si="9"/>
        <v>45.915951851195402</v>
      </c>
    </row>
    <row r="118" spans="1:27" x14ac:dyDescent="0.3">
      <c r="A118" t="s">
        <v>242</v>
      </c>
      <c r="B118" t="s">
        <v>243</v>
      </c>
      <c r="C118" t="s">
        <v>73</v>
      </c>
      <c r="D118" t="s">
        <v>223</v>
      </c>
      <c r="E118">
        <v>5170</v>
      </c>
      <c r="F118">
        <v>58</v>
      </c>
      <c r="G118" t="s">
        <v>154</v>
      </c>
      <c r="H118">
        <v>9.2999999999999999E-2</v>
      </c>
      <c r="I118">
        <f>MAX('Min rate concentrations'!$G$3:$G$368)</f>
        <v>7.5</v>
      </c>
      <c r="J118">
        <f>MAX('Min rate concentrations'!Z:Z)</f>
        <v>3.5</v>
      </c>
      <c r="K118">
        <f t="shared" si="11"/>
        <v>0.90558016493573701</v>
      </c>
      <c r="M118">
        <f>IF((((1.18*F118^0.874)/3.7-(0.301*F118^0.751)/(1-H118)*H118)*(MAX('Min rate concentrations'!$P$3:$P$368)))/F118&gt;0, (((1.18*F118^0.874)/3.7-(0.301*F118^0.751)/(1-H118)*H118)*(MAX('Min rate concentrations'!$P$3:$P$368)))/F118, 0)</f>
        <v>2.6122438024373088E-2</v>
      </c>
      <c r="N118">
        <f>IF((((1.18*F118^0.874)/3.7-(0.301*F118^0.751)/(1-H118)*H118)*(MAX('Min rate concentrations'!$Q$3:$Q$368)))/F118&gt;0, (((1.18*F118^0.874)/3.7-(0.301*F118^0.751)/(1-H118)*H118)*(MAX('Min rate concentrations'!$Q$3:$Q$368)))/F118, 0)</f>
        <v>9.9475647599427411E-2</v>
      </c>
      <c r="O118">
        <f>((MAX('Min rate concentrations'!$F$3:$F$368))*0.62*6.01*8*(10*F118^0.667)*0.079*0.1/F118)*inputs!$E$80/(10^(0.84+0.62*LOG10(inputs!$E$80)))</f>
        <v>6.3296639522952276</v>
      </c>
      <c r="P118">
        <f>((MAX('Min rate concentrations'!Y:Y))*0.62*6.01*8*(10*F118^0.667)*0.079*0.1/F118)*inputs!$E$80/(10^(0.84+0.62*LOG10(inputs!$E$80)))</f>
        <v>2.1098879840984091</v>
      </c>
      <c r="Q118">
        <f>(inputs!$C$7*11.2*(10*F118^0.667)*0.5/F118)*inputs!$E$80/(10^(0.84+0.62*LOG10(inputs!$E$80)))</f>
        <v>1.1149404508425091</v>
      </c>
      <c r="R118">
        <f>(60*284*((F118/1000)^0.77)*3*24*(MAX('Min rate concentrations'!$R$3:$R$368))/F118)*(inputs!$E$73*3.4/inputs!$E$75)</f>
        <v>9.0229191626173041E-3</v>
      </c>
      <c r="S118">
        <f>(IF(inputs!$C$6="aerial",((0.025*0.112*inputs!$C$7/3.3)*(3*60*284*((F118/1000)^0.77))*MAX(inputs!$H$14:$H$16))/F118,((0.0083*0.112*inputs!$C$7/1)*(3*60*284*((F118/1000)^0.77))*MAX(inputs!$H$14:$H$16))/F118))*(inputs!E$75*3.4/inputs!$E$73)</f>
        <v>4.9761953534732034E-2</v>
      </c>
      <c r="T118">
        <f>IF((((inputs!$P$12/(V118/MAX(K118:S118)))^(1/inputs!$O$12))-1)/inputs!$N$12&lt;0, 0, IF((((inputs!$P$12/(V118/MAX(K118:S118)))^(1/inputs!$O$12))-1)/inputs!$N$12&gt;inputs!$H$17, inputs!$H$17, (((inputs!$P$12/(V118/MAX(K118:S118)))^(1/inputs!$O$12))-1)/inputs!$N$12))</f>
        <v>177.62768481277578</v>
      </c>
      <c r="U118">
        <f>IF((((inputs!$P$12/(X118/MAX(K118:S118)))^(1/inputs!$O$12))-1)/inputs!$N$12&lt;0, 0, IF((((inputs!$P$12/(X118/MAX(K118:S118)))^(1/inputs!$O$12))-1)/inputs!$N$12&gt;inputs!$H$17, inputs!$H$17, (((inputs!$P$12/(X118/MAX(K118:S118)))^(1/inputs!$O$12))-1)/inputs!$N$12))</f>
        <v>0</v>
      </c>
      <c r="V118">
        <f>inputs!$E$78*(F118/inputs!$F$78)^(inputs!$E$84-1)</f>
        <v>2.3242628641364116E-2</v>
      </c>
      <c r="W118">
        <f>inputs!$E$85*(F118/inputs!$F$85)^(inputs!$E$84-1)</f>
        <v>1.073301773978574</v>
      </c>
      <c r="X118">
        <f>inputs!$E$80*(F118/inputs!$F$80)^(inputs!$E$84-1)</f>
        <v>4.0078990294136618</v>
      </c>
      <c r="Y118">
        <f>inputs!$E$82*(F118/inputs!$F$82)^(inputs!$E$84-1)</f>
        <v>1.847177328866306</v>
      </c>
      <c r="Z118">
        <f t="shared" si="8"/>
        <v>272.32995243190953</v>
      </c>
      <c r="AA118">
        <f t="shared" si="9"/>
        <v>5.8973758413089001</v>
      </c>
    </row>
    <row r="119" spans="1:27" x14ac:dyDescent="0.3">
      <c r="A119" t="s">
        <v>221</v>
      </c>
      <c r="B119" t="s">
        <v>222</v>
      </c>
      <c r="C119" t="s">
        <v>73</v>
      </c>
      <c r="D119" t="s">
        <v>223</v>
      </c>
      <c r="E119">
        <v>101</v>
      </c>
      <c r="F119">
        <v>494</v>
      </c>
      <c r="G119" t="s">
        <v>177</v>
      </c>
      <c r="H119">
        <v>0.85</v>
      </c>
      <c r="I119">
        <f>MAX('Min rate concentrations'!$F$3:$F$368)</f>
        <v>67.5</v>
      </c>
      <c r="J119">
        <f>MAX('Min rate concentrations'!Y:Y)</f>
        <v>22.5</v>
      </c>
      <c r="K119">
        <f t="shared" si="11"/>
        <v>28.909527866638864</v>
      </c>
      <c r="L119">
        <f>((0.301*F119^0.751)/(1-H119))*J119/F119</f>
        <v>9.6365092888796191</v>
      </c>
      <c r="M119">
        <f>IF((((1.18*F119^0.874)/3.7-(0.301*F119^0.751)/(1-H119)*H119)*(MAX('Min rate concentrations'!$P$3:$P$368)))/F119&gt;0, (((1.18*F119^0.874)/3.7-(0.301*F119^0.751)/(1-H119)*H119)*(MAX('Min rate concentrations'!$P$3:$P$368)))/F119, 0)</f>
        <v>0</v>
      </c>
      <c r="N119">
        <f>IF((((1.18*F119^0.874)/3.7-(0.301*F119^0.751)/(1-H119)*H119)*(MAX('Min rate concentrations'!$Q$3:$Q$368)))/F119&gt;0, (((1.18*F119^0.874)/3.7-(0.301*F119^0.751)/(1-H119)*H119)*(MAX('Min rate concentrations'!$Q$3:$Q$368)))/F119, 0)</f>
        <v>0</v>
      </c>
      <c r="O119">
        <f>((MAX('Min rate concentrations'!$F$3:$F$368))*0.62*6.01*8*(10*F119^0.667)*0.079*0.1/F119)*inputs!$E$80/(10^(0.84+0.62*LOG10(inputs!$E$80)))</f>
        <v>3.1016379469299036</v>
      </c>
      <c r="P119">
        <f>((MAX('Min rate concentrations'!Y:Y))*0.62*6.01*8*(10*F119^0.667)*0.079*0.1/F119)*inputs!$E$80/(10^(0.84+0.62*LOG10(inputs!$E$80)))</f>
        <v>1.033879315643301</v>
      </c>
      <c r="Q119">
        <f>(inputs!$C$7*11.2*(10*F119^0.667)*0.5/F119)*inputs!$E$80/(10^(0.84+0.62*LOG10(inputs!$E$80)))</f>
        <v>0.54633889523412837</v>
      </c>
      <c r="R119">
        <f>(60*284*((F119/1000)^0.77)*3*24*(MAX('Min rate concentrations'!$R$3:$R$368))/F119)*(inputs!$E$73*3.4/inputs!$E$75)</f>
        <v>5.512877049348189E-3</v>
      </c>
      <c r="S119">
        <f>(IF(inputs!$C$6="aerial",((0.025*0.112*inputs!$C$7/3.3)*(3*60*284*((F119/1000)^0.77))*MAX(inputs!$H$14:$H$16))/F119,((0.0083*0.112*inputs!$C$7/1)*(3*60*284*((F119/1000)^0.77))*MAX(inputs!$H$14:$H$16))/F119))*(inputs!E$75*3.4/inputs!$E$73)</f>
        <v>3.040385562900013E-2</v>
      </c>
      <c r="T119">
        <f>IF((((inputs!$P$12/(V119/MAX(K119:S119)))^(1/inputs!$O$12))-1)/inputs!$N$12&lt;0, 0, IF((((inputs!$P$12/(V119/MAX(K119:S119)))^(1/inputs!$O$12))-1)/inputs!$N$12&gt;inputs!$H$17, inputs!$H$17, (((inputs!$P$12/(V119/MAX(K119:S119)))^(1/inputs!$O$12))-1)/inputs!$N$12))</f>
        <v>499.25641209069249</v>
      </c>
      <c r="U119">
        <f>IF((((inputs!$P$12/(X119/MAX(K119:S119)))^(1/inputs!$O$12))-1)/inputs!$N$12&lt;0, 0, IF((((inputs!$P$12/(X119/MAX(K119:S119)))^(1/inputs!$O$12))-1)/inputs!$N$12&gt;inputs!$H$17, inputs!$H$17, (((inputs!$P$12/(X119/MAX(K119:S119)))^(1/inputs!$O$12))-1)/inputs!$N$12))</f>
        <v>36.479210403988994</v>
      </c>
      <c r="V119">
        <f>inputs!$E$78*(F119/inputs!$F$78)^(inputs!$E$84-1)</f>
        <v>1.0521426601493024E-2</v>
      </c>
      <c r="W119">
        <f>inputs!$E$85*(F119/inputs!$F$85)^(inputs!$E$84-1)</f>
        <v>0.48586009828813626</v>
      </c>
      <c r="X119">
        <f>inputs!$E$80*(F119/inputs!$F$80)^(inputs!$E$84-1)</f>
        <v>1.8142877087974707</v>
      </c>
      <c r="Y119">
        <f>inputs!$E$82*(F119/inputs!$F$82)^(inputs!$E$84-1)</f>
        <v>0.83617653517128765</v>
      </c>
      <c r="Z119">
        <f t="shared" si="8"/>
        <v>2747.6813707502847</v>
      </c>
      <c r="AA119">
        <f t="shared" si="9"/>
        <v>59.501753629280856</v>
      </c>
    </row>
    <row r="120" spans="1:27" x14ac:dyDescent="0.3">
      <c r="A120" t="s">
        <v>221</v>
      </c>
      <c r="B120" t="s">
        <v>222</v>
      </c>
      <c r="C120" t="s">
        <v>73</v>
      </c>
      <c r="D120" t="s">
        <v>223</v>
      </c>
      <c r="E120">
        <v>101</v>
      </c>
      <c r="F120">
        <v>494</v>
      </c>
      <c r="G120" t="s">
        <v>154</v>
      </c>
      <c r="H120">
        <v>9.2999999999999999E-2</v>
      </c>
      <c r="I120">
        <f>MAX('Min rate concentrations'!$G$3:$G$368)</f>
        <v>7.5</v>
      </c>
      <c r="J120">
        <f>MAX('Min rate concentrations'!Z:Z)</f>
        <v>3.5</v>
      </c>
      <c r="K120">
        <f t="shared" si="11"/>
        <v>0.53122983951927361</v>
      </c>
      <c r="M120">
        <f>IF((((1.18*F120^0.874)/3.7-(0.301*F120^0.751)/(1-H120)*H120)*(MAX('Min rate concentrations'!$P$3:$P$368)))/F120&gt;0, (((1.18*F120^0.874)/3.7-(0.301*F120^0.751)/(1-H120)*H120)*(MAX('Min rate concentrations'!$P$3:$P$368)))/F120, 0)</f>
        <v>2.0231477095086495E-2</v>
      </c>
      <c r="N120">
        <f>IF((((1.18*F120^0.874)/3.7-(0.301*F120^0.751)/(1-H120)*H120)*(MAX('Min rate concentrations'!$Q$3:$Q$368)))/F120&gt;0, (((1.18*F120^0.874)/3.7-(0.301*F120^0.751)/(1-H120)*H120)*(MAX('Min rate concentrations'!$Q$3:$Q$368)))/F120, 0)</f>
        <v>7.7042551849446334E-2</v>
      </c>
      <c r="O120">
        <f>((MAX('Min rate concentrations'!$F$3:$F$368))*0.62*6.01*8*(10*F120^0.667)*0.079*0.1/F120)*inputs!$E$80/(10^(0.84+0.62*LOG10(inputs!$E$80)))</f>
        <v>3.1016379469299036</v>
      </c>
      <c r="P120">
        <f>((MAX('Min rate concentrations'!Y:Y))*0.62*6.01*8*(10*F120^0.667)*0.079*0.1/F120)*inputs!$E$80/(10^(0.84+0.62*LOG10(inputs!$E$80)))</f>
        <v>1.033879315643301</v>
      </c>
      <c r="Q120">
        <f>(inputs!$C$7*11.2*(10*F120^0.667)*0.5/F120)*inputs!$E$80/(10^(0.84+0.62*LOG10(inputs!$E$80)))</f>
        <v>0.54633889523412837</v>
      </c>
      <c r="R120">
        <f>(60*284*((F120/1000)^0.77)*3*24*(MAX('Min rate concentrations'!$R$3:$R$368))/F120)*(inputs!$E$73*3.4/inputs!$E$75)</f>
        <v>5.512877049348189E-3</v>
      </c>
      <c r="S120">
        <f>(IF(inputs!$C$6="aerial",((0.025*0.112*inputs!$C$7/3.3)*(3*60*284*((F120/1000)^0.77))*MAX(inputs!$H$14:$H$16))/F120,((0.0083*0.112*inputs!$C$7/1)*(3*60*284*((F120/1000)^0.77))*MAX(inputs!$H$14:$H$16))/F120))*(inputs!E$75*3.4/inputs!$E$73)</f>
        <v>3.040385562900013E-2</v>
      </c>
      <c r="T120">
        <f>IF((((inputs!$P$12/(V120/MAX(K120:S120)))^(1/inputs!$O$12))-1)/inputs!$N$12&lt;0, 0, IF((((inputs!$P$12/(V120/MAX(K120:S120)))^(1/inputs!$O$12))-1)/inputs!$N$12&gt;inputs!$H$17, inputs!$H$17, (((inputs!$P$12/(V120/MAX(K120:S120)))^(1/inputs!$O$12))-1)/inputs!$N$12))</f>
        <v>184.38052270089645</v>
      </c>
      <c r="U120">
        <f>IF((((inputs!$P$12/(X120/MAX(K120:S120)))^(1/inputs!$O$12))-1)/inputs!$N$12&lt;0, 0, IF((((inputs!$P$12/(X120/MAX(K120:S120)))^(1/inputs!$O$12))-1)/inputs!$N$12&gt;inputs!$H$17, inputs!$H$17, (((inputs!$P$12/(X120/MAX(K120:S120)))^(1/inputs!$O$12))-1)/inputs!$N$12))</f>
        <v>0</v>
      </c>
      <c r="V120">
        <f>inputs!$E$78*(F120/inputs!$F$78)^(inputs!$E$84-1)</f>
        <v>1.0521426601493024E-2</v>
      </c>
      <c r="W120">
        <f>inputs!$E$85*(F120/inputs!$F$85)^(inputs!$E$84-1)</f>
        <v>0.48586009828813626</v>
      </c>
      <c r="X120">
        <f>inputs!$E$80*(F120/inputs!$F$80)^(inputs!$E$84-1)</f>
        <v>1.8142877087974707</v>
      </c>
      <c r="Y120">
        <f>inputs!$E$82*(F120/inputs!$F$82)^(inputs!$E$84-1)</f>
        <v>0.83617653517128765</v>
      </c>
      <c r="Z120">
        <f t="shared" si="8"/>
        <v>294.79252808642616</v>
      </c>
      <c r="AA120">
        <f t="shared" si="9"/>
        <v>6.3838087504162502</v>
      </c>
    </row>
    <row r="121" spans="1:27" x14ac:dyDescent="0.3">
      <c r="A121" t="s">
        <v>258</v>
      </c>
      <c r="B121" t="s">
        <v>259</v>
      </c>
      <c r="C121" t="s">
        <v>73</v>
      </c>
      <c r="D121" t="s">
        <v>260</v>
      </c>
      <c r="E121">
        <v>119</v>
      </c>
      <c r="F121">
        <v>50.5</v>
      </c>
      <c r="G121" t="s">
        <v>142</v>
      </c>
      <c r="H121">
        <v>0.69</v>
      </c>
      <c r="I121">
        <f>MAX('Min rate concentrations'!$H$3:$H$368)</f>
        <v>47</v>
      </c>
      <c r="J121">
        <f>MAX('Min rate concentrations'!AA:AA)</f>
        <v>32.5</v>
      </c>
      <c r="K121">
        <f t="shared" si="11"/>
        <v>17.186328416507152</v>
      </c>
      <c r="L121">
        <f t="shared" ref="L121:L126" si="13">((0.301*F121^0.751)/(1-H121))*J121/F121</f>
        <v>11.884163266733669</v>
      </c>
      <c r="M121">
        <f>IF((((1.18*F121^0.874)/3.7-(0.301*F121^0.751)/(1-H121)*H121)*(MAX('Min rate concentrations'!$P$3:$P$368)))/F121&gt;0, (((1.18*F121^0.874)/3.7-(0.301*F121^0.751)/(1-H121)*H121)*(MAX('Min rate concentrations'!$P$3:$P$368)))/F121, 0)</f>
        <v>0</v>
      </c>
      <c r="N121">
        <f>IF((((1.18*F121^0.874)/3.7-(0.301*F121^0.751)/(1-H121)*H121)*(MAX('Min rate concentrations'!$Q$3:$Q$368)))/F121&gt;0, (((1.18*F121^0.874)/3.7-(0.301*F121^0.751)/(1-H121)*H121)*(MAX('Min rate concentrations'!$Q$3:$Q$368)))/F121, 0)</f>
        <v>0</v>
      </c>
      <c r="O121">
        <f>((MAX('Min rate concentrations'!$F$3:$F$368))*0.62*6.01*8*(10*F121^0.667)*0.079*0.1/F121)*inputs!$E$80/(10^(0.84+0.62*LOG10(inputs!$E$80)))</f>
        <v>6.6283608951975728</v>
      </c>
      <c r="P121">
        <f>((MAX('Min rate concentrations'!Y:Y))*0.62*6.01*8*(10*F121^0.667)*0.079*0.1/F121)*inputs!$E$80/(10^(0.84+0.62*LOG10(inputs!$E$80)))</f>
        <v>2.2094536317325244</v>
      </c>
      <c r="Q121">
        <f>(inputs!$C$7*11.2*(10*F121^0.667)*0.5/F121)*inputs!$E$80/(10^(0.84+0.62*LOG10(inputs!$E$80)))</f>
        <v>1.1675545085073016</v>
      </c>
      <c r="R121">
        <f>(60*284*((F121/1000)^0.77)*3*24*(MAX('Min rate concentrations'!$R$3:$R$368))/F121)*(inputs!$E$73*3.4/inputs!$E$75)</f>
        <v>9.3149062446573668E-3</v>
      </c>
      <c r="S121">
        <f>(IF(inputs!$C$6="aerial",((0.025*0.112*inputs!$C$7/3.3)*(3*60*284*((F121/1000)^0.77))*MAX(inputs!$H$14:$H$16))/F121,((0.0083*0.112*inputs!$C$7/1)*(3*60*284*((F121/1000)^0.77))*MAX(inputs!$H$14:$H$16))/F121))*(inputs!E$75*3.4/inputs!$E$73)</f>
        <v>5.1372280231375606E-2</v>
      </c>
      <c r="T121">
        <f>IF((((inputs!$P$12/(V121/MAX(K121:S121)))^(1/inputs!$O$12))-1)/inputs!$N$12&lt;0, 0, IF((((inputs!$P$12/(V121/MAX(K121:S121)))^(1/inputs!$O$12))-1)/inputs!$N$12&gt;inputs!$H$17, inputs!$H$17, (((inputs!$P$12/(V121/MAX(K121:S121)))^(1/inputs!$O$12))-1)/inputs!$N$12))</f>
        <v>274.55565496983405</v>
      </c>
      <c r="U121">
        <f>IF((((inputs!$P$12/(X121/MAX(K121:S121)))^(1/inputs!$O$12))-1)/inputs!$N$12&lt;0, 0, IF((((inputs!$P$12/(X121/MAX(K121:S121)))^(1/inputs!$O$12))-1)/inputs!$N$12&gt;inputs!$H$17, inputs!$H$17, (((inputs!$P$12/(X121/MAX(K121:S121)))^(1/inputs!$O$12))-1)/inputs!$N$12))</f>
        <v>8.816992250537087</v>
      </c>
      <c r="V121">
        <f>inputs!$E$78*(F121/inputs!$F$78)^(inputs!$E$84-1)</f>
        <v>2.4464468841670566E-2</v>
      </c>
      <c r="W121">
        <f>inputs!$E$85*(F121/inputs!$F$85)^(inputs!$E$84-1)</f>
        <v>1.1297241036015404</v>
      </c>
      <c r="X121">
        <f>inputs!$E$80*(F121/inputs!$F$80)^(inputs!$E$84-1)</f>
        <v>4.2185900071196754</v>
      </c>
      <c r="Y121">
        <f>inputs!$E$82*(F121/inputs!$F$82)^(inputs!$E$84-1)</f>
        <v>1.9442814711011871</v>
      </c>
      <c r="Z121">
        <f t="shared" si="8"/>
        <v>702.50159640635695</v>
      </c>
      <c r="AA121">
        <f t="shared" si="9"/>
        <v>15.212854502898045</v>
      </c>
    </row>
    <row r="122" spans="1:27" x14ac:dyDescent="0.3">
      <c r="A122" t="s">
        <v>258</v>
      </c>
      <c r="B122" t="s">
        <v>259</v>
      </c>
      <c r="C122" t="s">
        <v>73</v>
      </c>
      <c r="D122" t="s">
        <v>260</v>
      </c>
      <c r="E122">
        <v>119</v>
      </c>
      <c r="F122">
        <v>50.5</v>
      </c>
      <c r="G122" t="s">
        <v>164</v>
      </c>
      <c r="H122">
        <v>0.78</v>
      </c>
      <c r="I122">
        <f>inputs!$C$65*(inputs!$C$62/1000)</f>
        <v>0.82000000000000006</v>
      </c>
      <c r="J122">
        <f>inputs!$C$65*(inputs!$C$61/1000)</f>
        <v>0.25</v>
      </c>
      <c r="K122">
        <f t="shared" si="11"/>
        <v>0.4225110912452727</v>
      </c>
      <c r="L122">
        <f t="shared" si="13"/>
        <v>0.12881435708697339</v>
      </c>
      <c r="M122">
        <f>IF((((1.18*F122^0.874)/3.7-(0.301*F122^0.751)/(1-H122)*H122)*(MAX('Min rate concentrations'!$P$3:$P$368)))/F122&gt;0, (((1.18*F122^0.874)/3.7-(0.301*F122^0.751)/(1-H122)*H122)*(MAX('Min rate concentrations'!$P$3:$P$368)))/F122, 0)</f>
        <v>0</v>
      </c>
      <c r="N122">
        <f>IF((((1.18*F122^0.874)/3.7-(0.301*F122^0.751)/(1-H122)*H122)*(MAX('Min rate concentrations'!$Q$3:$Q$368)))/F122&gt;0, (((1.18*F122^0.874)/3.7-(0.301*F122^0.751)/(1-H122)*H122)*(MAX('Min rate concentrations'!$Q$3:$Q$368)))/F122, 0)</f>
        <v>0</v>
      </c>
      <c r="O122">
        <f>((MAX('Min rate concentrations'!$F$3:$F$368))*0.62*6.01*8*(10*F122^0.667)*0.079*0.1/F122)*inputs!$E$80/(10^(0.84+0.62*LOG10(inputs!$E$80)))</f>
        <v>6.6283608951975728</v>
      </c>
      <c r="P122">
        <f>((MAX('Min rate concentrations'!Y:Y))*0.62*6.01*8*(10*F122^0.667)*0.079*0.1/F122)*inputs!$E$80/(10^(0.84+0.62*LOG10(inputs!$E$80)))</f>
        <v>2.2094536317325244</v>
      </c>
      <c r="Q122">
        <f>(inputs!$C$7*11.2*(10*F122^0.667)*0.5/F122)*inputs!$E$80/(10^(0.84+0.62*LOG10(inputs!$E$80)))</f>
        <v>1.1675545085073016</v>
      </c>
      <c r="R122">
        <f>(60*284*((F122/1000)^0.77)*3*24*(MAX('Min rate concentrations'!$R$3:$R$368))/F122)*(inputs!$E$73*3.4/inputs!$E$75)</f>
        <v>9.3149062446573668E-3</v>
      </c>
      <c r="S122">
        <f>(IF(inputs!$C$6="aerial",((0.025*0.112*inputs!$C$7/3.3)*(3*60*284*((F122/1000)^0.77))*MAX(inputs!$H$14:$H$16))/F122,((0.0083*0.112*inputs!$C$7/1)*(3*60*284*((F122/1000)^0.77))*MAX(inputs!$H$14:$H$16))/F122))*(inputs!E$75*3.4/inputs!$E$73)</f>
        <v>5.1372280231375606E-2</v>
      </c>
      <c r="T122">
        <f>IF((((inputs!$P$12/(V122/MAX(K122:S122)))^(1/inputs!$O$12))-1)/inputs!$N$12&lt;0, 0, IF((((inputs!$P$12/(V122/MAX(K122:S122)))^(1/inputs!$O$12))-1)/inputs!$N$12&gt;inputs!$H$17, inputs!$H$17, (((inputs!$P$12/(V122/MAX(K122:S122)))^(1/inputs!$O$12))-1)/inputs!$N$12))</f>
        <v>177.19861159504575</v>
      </c>
      <c r="U122">
        <f>IF((((inputs!$P$12/(X122/MAX(K122:S122)))^(1/inputs!$O$12))-1)/inputs!$N$12&lt;0, 0, IF((((inputs!$P$12/(X122/MAX(K122:S122)))^(1/inputs!$O$12))-1)/inputs!$N$12&gt;inputs!$H$17, inputs!$H$17, (((inputs!$P$12/(X122/MAX(K122:S122)))^(1/inputs!$O$12))-1)/inputs!$N$12))</f>
        <v>0</v>
      </c>
      <c r="V122">
        <f>inputs!$E$78*(F122/inputs!$F$78)^(inputs!$E$84-1)</f>
        <v>2.4464468841670566E-2</v>
      </c>
      <c r="W122">
        <f>inputs!$E$85*(F122/inputs!$F$85)^(inputs!$E$84-1)</f>
        <v>1.1297241036015404</v>
      </c>
      <c r="X122">
        <f>inputs!$E$80*(F122/inputs!$F$80)^(inputs!$E$84-1)</f>
        <v>4.2185900071196754</v>
      </c>
      <c r="Y122">
        <f>inputs!$E$82*(F122/inputs!$F$82)^(inputs!$E$84-1)</f>
        <v>1.9442814711011871</v>
      </c>
      <c r="Z122">
        <f t="shared" si="8"/>
        <v>270.93827125759714</v>
      </c>
      <c r="AA122">
        <f t="shared" si="9"/>
        <v>5.867238624073325</v>
      </c>
    </row>
    <row r="123" spans="1:27" x14ac:dyDescent="0.3">
      <c r="A123" t="s">
        <v>258</v>
      </c>
      <c r="B123" t="s">
        <v>259</v>
      </c>
      <c r="C123" t="s">
        <v>73</v>
      </c>
      <c r="D123" t="s">
        <v>260</v>
      </c>
      <c r="E123">
        <v>119</v>
      </c>
      <c r="F123">
        <v>50.5</v>
      </c>
      <c r="G123" t="s">
        <v>138</v>
      </c>
      <c r="H123">
        <v>0.68</v>
      </c>
      <c r="I123">
        <f>MAX('Min rate concentrations'!$L$3:$L$368)</f>
        <v>58.421240152220811</v>
      </c>
      <c r="J123">
        <f>MAX('Min rate concentrations'!AD:AD)</f>
        <v>40.397666062705881</v>
      </c>
      <c r="K123">
        <f t="shared" si="11"/>
        <v>20.695109848687999</v>
      </c>
      <c r="L123">
        <f t="shared" si="13"/>
        <v>14.31044829962468</v>
      </c>
      <c r="M123">
        <f>IF((((1.18*F123^0.874)/3.7-(0.301*F123^0.751)/(1-H123)*H123)*(MAX('Min rate concentrations'!$P$3:$P$368)))/F123&gt;0, (((1.18*F123^0.874)/3.7-(0.301*F123^0.751)/(1-H123)*H123)*(MAX('Min rate concentrations'!$P$3:$P$368)))/F123, 0)</f>
        <v>0</v>
      </c>
      <c r="N123">
        <f>IF((((1.18*F123^0.874)/3.7-(0.301*F123^0.751)/(1-H123)*H123)*(MAX('Min rate concentrations'!$Q$3:$Q$368)))/F123&gt;0, (((1.18*F123^0.874)/3.7-(0.301*F123^0.751)/(1-H123)*H123)*(MAX('Min rate concentrations'!$Q$3:$Q$368)))/F123, 0)</f>
        <v>0</v>
      </c>
      <c r="O123">
        <f>((MAX('Min rate concentrations'!$F$3:$F$368))*0.62*6.01*8*(10*F123^0.667)*0.079*0.1/F123)*inputs!$E$80/(10^(0.84+0.62*LOG10(inputs!$E$80)))</f>
        <v>6.6283608951975728</v>
      </c>
      <c r="P123">
        <f>((MAX('Min rate concentrations'!Y:Y))*0.62*6.01*8*(10*F123^0.667)*0.079*0.1/F123)*inputs!$E$80/(10^(0.84+0.62*LOG10(inputs!$E$80)))</f>
        <v>2.2094536317325244</v>
      </c>
      <c r="Q123">
        <f>(inputs!$C$7*11.2*(10*F123^0.667)*0.5/F123)*inputs!$E$80/(10^(0.84+0.62*LOG10(inputs!$E$80)))</f>
        <v>1.1675545085073016</v>
      </c>
      <c r="R123">
        <f>(60*284*((F123/1000)^0.77)*3*24*(MAX('Min rate concentrations'!$R$3:$R$368))/F123)*(inputs!$E$73*3.4/inputs!$E$75)</f>
        <v>9.3149062446573668E-3</v>
      </c>
      <c r="S123">
        <f>(IF(inputs!$C$6="aerial",((0.025*0.112*inputs!$C$7/3.3)*(3*60*284*((F123/1000)^0.77))*MAX(inputs!$H$14:$H$16))/F123,((0.0083*0.112*inputs!$C$7/1)*(3*60*284*((F123/1000)^0.77))*MAX(inputs!$H$14:$H$16))/F123))*(inputs!E$75*3.4/inputs!$E$73)</f>
        <v>5.1372280231375606E-2</v>
      </c>
      <c r="T123">
        <f>IF((((inputs!$P$12/(V123/MAX(K123:S123)))^(1/inputs!$O$12))-1)/inputs!$N$12&lt;0, 0, IF((((inputs!$P$12/(V123/MAX(K123:S123)))^(1/inputs!$O$12))-1)/inputs!$N$12&gt;inputs!$H$17, inputs!$H$17, (((inputs!$P$12/(V123/MAX(K123:S123)))^(1/inputs!$O$12))-1)/inputs!$N$12))</f>
        <v>298.34260152663438</v>
      </c>
      <c r="U123">
        <f>IF((((inputs!$P$12/(X123/MAX(K123:S123)))^(1/inputs!$O$12))-1)/inputs!$N$12&lt;0, 0, IF((((inputs!$P$12/(X123/MAX(K123:S123)))^(1/inputs!$O$12))-1)/inputs!$N$12&gt;inputs!$H$17, inputs!$H$17, (((inputs!$P$12/(X123/MAX(K123:S123)))^(1/inputs!$O$12))-1)/inputs!$N$12))</f>
        <v>11.745329979745527</v>
      </c>
      <c r="V123">
        <f>inputs!$E$78*(F123/inputs!$F$78)^(inputs!$E$84-1)</f>
        <v>2.4464468841670566E-2</v>
      </c>
      <c r="W123">
        <f>inputs!$E$85*(F123/inputs!$F$85)^(inputs!$E$84-1)</f>
        <v>1.1297241036015404</v>
      </c>
      <c r="X123">
        <f>inputs!$E$80*(F123/inputs!$F$80)^(inputs!$E$84-1)</f>
        <v>4.2185900071196754</v>
      </c>
      <c r="Y123">
        <f>inputs!$E$82*(F123/inputs!$F$82)^(inputs!$E$84-1)</f>
        <v>1.9442814711011871</v>
      </c>
      <c r="Z123">
        <f t="shared" si="8"/>
        <v>845.92516529268835</v>
      </c>
      <c r="AA123">
        <f t="shared" si="9"/>
        <v>18.318729132814248</v>
      </c>
    </row>
    <row r="124" spans="1:27" x14ac:dyDescent="0.3">
      <c r="A124" t="s">
        <v>258</v>
      </c>
      <c r="B124" t="s">
        <v>259</v>
      </c>
      <c r="C124" t="s">
        <v>73</v>
      </c>
      <c r="D124" t="s">
        <v>260</v>
      </c>
      <c r="E124">
        <v>119</v>
      </c>
      <c r="F124">
        <v>50.5</v>
      </c>
      <c r="G124" t="s">
        <v>186</v>
      </c>
      <c r="H124">
        <v>0.75</v>
      </c>
      <c r="I124">
        <f>inputs!$C$65*inputs!$C$64/1000</f>
        <v>2.13</v>
      </c>
      <c r="J124">
        <f>inputs!$C$65*inputs!$C$63/1000</f>
        <v>0.88</v>
      </c>
      <c r="K124">
        <f t="shared" si="11"/>
        <v>0.9657985236952914</v>
      </c>
      <c r="L124">
        <f t="shared" si="13"/>
        <v>0.39901535251260872</v>
      </c>
      <c r="M124">
        <f>IF((((1.18*F124^0.874)/3.7-(0.301*F124^0.751)/(1-H124)*H124)*(MAX('Min rate concentrations'!$P$3:$P$368)))/F124&gt;0, (((1.18*F124^0.874)/3.7-(0.301*F124^0.751)/(1-H124)*H124)*(MAX('Min rate concentrations'!$P$3:$P$368)))/F124, 0)</f>
        <v>0</v>
      </c>
      <c r="N124">
        <f>IF((((1.18*F124^0.874)/3.7-(0.301*F124^0.751)/(1-H124)*H124)*(MAX('Min rate concentrations'!$Q$3:$Q$368)))/F124&gt;0, (((1.18*F124^0.874)/3.7-(0.301*F124^0.751)/(1-H124)*H124)*(MAX('Min rate concentrations'!$Q$3:$Q$368)))/F124, 0)</f>
        <v>0</v>
      </c>
      <c r="O124">
        <f>((MAX('Min rate concentrations'!$F$3:$F$368))*0.62*6.01*8*(10*F124^0.667)*0.079*0.1/F124)*inputs!$E$80/(10^(0.84+0.62*LOG10(inputs!$E$80)))</f>
        <v>6.6283608951975728</v>
      </c>
      <c r="P124">
        <f>((MAX('Min rate concentrations'!Y:Y))*0.62*6.01*8*(10*F124^0.667)*0.079*0.1/F124)*inputs!$E$80/(10^(0.84+0.62*LOG10(inputs!$E$80)))</f>
        <v>2.2094536317325244</v>
      </c>
      <c r="Q124">
        <f>(inputs!$C$7*11.2*(10*F124^0.667)*0.5/F124)*inputs!$E$80/(10^(0.84+0.62*LOG10(inputs!$E$80)))</f>
        <v>1.1675545085073016</v>
      </c>
      <c r="R124">
        <f>(60*284*((F124/1000)^0.77)*3*24*(MAX('Min rate concentrations'!$R$3:$R$368))/F124)*(inputs!$E$73*3.4/inputs!$E$75)</f>
        <v>9.3149062446573668E-3</v>
      </c>
      <c r="S124">
        <f>(IF(inputs!$C$6="aerial",((0.025*0.112*inputs!$C$7/3.3)*(3*60*284*((F124/1000)^0.77))*MAX(inputs!$H$14:$H$16))/F124,((0.0083*0.112*inputs!$C$7/1)*(3*60*284*((F124/1000)^0.77))*MAX(inputs!$H$14:$H$16))/F124))*(inputs!E$75*3.4/inputs!$E$73)</f>
        <v>5.1372280231375606E-2</v>
      </c>
      <c r="T124">
        <f>IF((((inputs!$P$12/(V124/MAX(K124:S124)))^(1/inputs!$O$12))-1)/inputs!$N$12&lt;0, 0, IF((((inputs!$P$12/(V124/MAX(K124:S124)))^(1/inputs!$O$12))-1)/inputs!$N$12&gt;inputs!$H$17, inputs!$H$17, (((inputs!$P$12/(V124/MAX(K124:S124)))^(1/inputs!$O$12))-1)/inputs!$N$12))</f>
        <v>177.19861159504575</v>
      </c>
      <c r="U124">
        <f>IF((((inputs!$P$12/(X124/MAX(K124:S124)))^(1/inputs!$O$12))-1)/inputs!$N$12&lt;0, 0, IF((((inputs!$P$12/(X124/MAX(K124:S124)))^(1/inputs!$O$12))-1)/inputs!$N$12&gt;inputs!$H$17, inputs!$H$17, (((inputs!$P$12/(X124/MAX(K124:S124)))^(1/inputs!$O$12))-1)/inputs!$N$12))</f>
        <v>0</v>
      </c>
      <c r="V124">
        <f>inputs!$E$78*(F124/inputs!$F$78)^(inputs!$E$84-1)</f>
        <v>2.4464468841670566E-2</v>
      </c>
      <c r="W124">
        <f>inputs!$E$85*(F124/inputs!$F$85)^(inputs!$E$84-1)</f>
        <v>1.1297241036015404</v>
      </c>
      <c r="X124">
        <f>inputs!$E$80*(F124/inputs!$F$80)^(inputs!$E$84-1)</f>
        <v>4.2185900071196754</v>
      </c>
      <c r="Y124">
        <f>inputs!$E$82*(F124/inputs!$F$82)^(inputs!$E$84-1)</f>
        <v>1.9442814711011871</v>
      </c>
      <c r="Z124">
        <f t="shared" si="8"/>
        <v>270.93827125759714</v>
      </c>
      <c r="AA124">
        <f t="shared" si="9"/>
        <v>5.867238624073325</v>
      </c>
    </row>
    <row r="125" spans="1:27" x14ac:dyDescent="0.3">
      <c r="A125" t="s">
        <v>258</v>
      </c>
      <c r="B125" t="s">
        <v>259</v>
      </c>
      <c r="C125" t="s">
        <v>73</v>
      </c>
      <c r="D125" t="s">
        <v>260</v>
      </c>
      <c r="E125">
        <v>119</v>
      </c>
      <c r="F125">
        <v>50.5</v>
      </c>
      <c r="G125" t="s">
        <v>456</v>
      </c>
      <c r="H125">
        <v>0.68</v>
      </c>
      <c r="I125">
        <f>MAX('Min rate concentrations'!$J$3:$J$368)</f>
        <v>114.4108103430513</v>
      </c>
      <c r="J125">
        <f>MAX('Min rate concentrations'!AB:AB)</f>
        <v>40.520495329830666</v>
      </c>
      <c r="K125">
        <f t="shared" si="11"/>
        <v>40.528826189884441</v>
      </c>
      <c r="L125">
        <f t="shared" si="13"/>
        <v>14.353959275584074</v>
      </c>
      <c r="M125">
        <f>IF((((1.18*F125^0.874)/3.7-(0.301*F125^0.751)/(1-H125)*H125)*(MAX('Min rate concentrations'!$P$3:$P$368)))/F125&gt;0, (((1.18*F125^0.874)/3.7-(0.301*F125^0.751)/(1-H125)*H125)*(MAX('Min rate concentrations'!$P$3:$P$368)))/F125, 0)</f>
        <v>0</v>
      </c>
      <c r="N125">
        <f>IF((((1.18*F125^0.874)/3.7-(0.301*F125^0.751)/(1-H125)*H125)*(MAX('Min rate concentrations'!$Q$3:$Q$368)))/F125&gt;0, (((1.18*F125^0.874)/3.7-(0.301*F125^0.751)/(1-H125)*H125)*(MAX('Min rate concentrations'!$Q$3:$Q$368)))/F125, 0)</f>
        <v>0</v>
      </c>
      <c r="O125">
        <f>((MAX('Min rate concentrations'!$F$3:$F$368))*0.62*6.01*8*(10*F125^0.667)*0.079*0.1/F125)*inputs!$E$80/(10^(0.84+0.62*LOG10(inputs!$E$80)))</f>
        <v>6.6283608951975728</v>
      </c>
      <c r="P125">
        <f>((MAX('Min rate concentrations'!Y:Y))*0.62*6.01*8*(10*F125^0.667)*0.079*0.1/F125)*inputs!$E$80/(10^(0.84+0.62*LOG10(inputs!$E$80)))</f>
        <v>2.2094536317325244</v>
      </c>
      <c r="Q125">
        <f>(inputs!$C$7*11.2*(10*F125^0.667)*0.5/F125)*inputs!$E$80/(10^(0.84+0.62*LOG10(inputs!$E$80)))</f>
        <v>1.1675545085073016</v>
      </c>
      <c r="R125">
        <f>(60*284*((F125/1000)^0.77)*3*24*(MAX('Min rate concentrations'!$R$3:$R$368))/F125)*(inputs!$E$73*3.4/inputs!$E$75)</f>
        <v>9.3149062446573668E-3</v>
      </c>
      <c r="S125">
        <f>(IF(inputs!$C$6="aerial",((0.025*0.112*inputs!$C$7/3.3)*(3*60*284*((F125/1000)^0.77))*MAX(inputs!$H$14:$H$16))/F125,((0.0083*0.112*inputs!$C$7/1)*(3*60*284*((F125/1000)^0.77))*MAX(inputs!$H$14:$H$16))/F125))*(inputs!E$75*3.4/inputs!$E$73)</f>
        <v>5.1372280231375606E-2</v>
      </c>
      <c r="T125">
        <f>IF((((inputs!$P$12/(V125/MAX(K125:S125)))^(1/inputs!$O$12))-1)/inputs!$N$12&lt;0, 0, IF((((inputs!$P$12/(V125/MAX(K125:S125)))^(1/inputs!$O$12))-1)/inputs!$N$12&gt;inputs!$H$17, inputs!$H$17, (((inputs!$P$12/(V125/MAX(K125:S125)))^(1/inputs!$O$12))-1)/inputs!$N$12))</f>
        <v>401.09585721442863</v>
      </c>
      <c r="U125">
        <f>IF((((inputs!$P$12/(X125/MAX(K125:S125)))^(1/inputs!$O$12))-1)/inputs!$N$12&lt;0, 0, IF((((inputs!$P$12/(X125/MAX(K125:S125)))^(1/inputs!$O$12))-1)/inputs!$N$12&gt;inputs!$H$17, inputs!$H$17, (((inputs!$P$12/(X125/MAX(K125:S125)))^(1/inputs!$O$12))-1)/inputs!$N$12))</f>
        <v>24.39496681779309</v>
      </c>
      <c r="V125">
        <f>inputs!$E$78*(F125/inputs!$F$78)^(inputs!$E$84-1)</f>
        <v>2.4464468841670566E-2</v>
      </c>
      <c r="W125">
        <f>inputs!$E$85*(F125/inputs!$F$85)^(inputs!$E$84-1)</f>
        <v>1.1297241036015404</v>
      </c>
      <c r="X125">
        <f>inputs!$E$80*(F125/inputs!$F$80)^(inputs!$E$84-1)</f>
        <v>4.2185900071196754</v>
      </c>
      <c r="Y125">
        <f>inputs!$E$82*(F125/inputs!$F$82)^(inputs!$E$84-1)</f>
        <v>1.9442814711011871</v>
      </c>
      <c r="Z125">
        <f t="shared" si="8"/>
        <v>1656.6403485879612</v>
      </c>
      <c r="AA125">
        <f t="shared" si="9"/>
        <v>35.874976961790281</v>
      </c>
    </row>
    <row r="126" spans="1:27" x14ac:dyDescent="0.3">
      <c r="A126" t="s">
        <v>258</v>
      </c>
      <c r="B126" t="s">
        <v>259</v>
      </c>
      <c r="C126" t="s">
        <v>73</v>
      </c>
      <c r="D126" t="s">
        <v>260</v>
      </c>
      <c r="E126">
        <v>119</v>
      </c>
      <c r="F126">
        <v>50.5</v>
      </c>
      <c r="G126" t="s">
        <v>145</v>
      </c>
      <c r="H126">
        <v>0.66</v>
      </c>
      <c r="I126">
        <f>MAX('Min rate concentrations'!$M$3:$M$368)</f>
        <v>2.8488184789681945</v>
      </c>
      <c r="J126">
        <f>MAX('Min rate concentrations'!AE:AE)</f>
        <v>1.9699276716269429</v>
      </c>
      <c r="K126">
        <f t="shared" si="11"/>
        <v>0.9498013950784826</v>
      </c>
      <c r="L126">
        <f t="shared" si="13"/>
        <v>0.65677756042661029</v>
      </c>
      <c r="M126">
        <f>IF((((1.18*F126^0.874)/3.7-(0.301*F126^0.751)/(1-H126)*H126)*(MAX('Min rate concentrations'!$P$3:$P$368)))/F126&gt;0, (((1.18*F126^0.874)/3.7-(0.301*F126^0.751)/(1-H126)*H126)*(MAX('Min rate concentrations'!$P$3:$P$368)))/F126, 0)</f>
        <v>0</v>
      </c>
      <c r="N126">
        <f>IF((((1.18*F126^0.874)/3.7-(0.301*F126^0.751)/(1-H126)*H126)*(MAX('Min rate concentrations'!$Q$3:$Q$368)))/F126&gt;0, (((1.18*F126^0.874)/3.7-(0.301*F126^0.751)/(1-H126)*H126)*(MAX('Min rate concentrations'!$Q$3:$Q$368)))/F126, 0)</f>
        <v>0</v>
      </c>
      <c r="O126">
        <f>((MAX('Min rate concentrations'!$F$3:$F$368))*0.62*6.01*8*(10*F126^0.667)*0.079*0.1/F126)*inputs!$E$80/(10^(0.84+0.62*LOG10(inputs!$E$80)))</f>
        <v>6.6283608951975728</v>
      </c>
      <c r="P126">
        <f>((MAX('Min rate concentrations'!Y:Y))*0.62*6.01*8*(10*F126^0.667)*0.079*0.1/F126)*inputs!$E$80/(10^(0.84+0.62*LOG10(inputs!$E$80)))</f>
        <v>2.2094536317325244</v>
      </c>
      <c r="Q126">
        <f>(inputs!$C$7*11.2*(10*F126^0.667)*0.5/F126)*inputs!$E$80/(10^(0.84+0.62*LOG10(inputs!$E$80)))</f>
        <v>1.1675545085073016</v>
      </c>
      <c r="R126">
        <f>(60*284*((F126/1000)^0.77)*3*24*(MAX('Min rate concentrations'!$R$3:$R$368))/F126)*(inputs!$E$73*3.4/inputs!$E$75)</f>
        <v>9.3149062446573668E-3</v>
      </c>
      <c r="S126">
        <f>(IF(inputs!$C$6="aerial",((0.025*0.112*inputs!$C$7/3.3)*(3*60*284*((F126/1000)^0.77))*MAX(inputs!$H$14:$H$16))/F126,((0.0083*0.112*inputs!$C$7/1)*(3*60*284*((F126/1000)^0.77))*MAX(inputs!$H$14:$H$16))/F126))*(inputs!E$75*3.4/inputs!$E$73)</f>
        <v>5.1372280231375606E-2</v>
      </c>
      <c r="T126">
        <f>IF((((inputs!$P$12/(V126/MAX(K126:S126)))^(1/inputs!$O$12))-1)/inputs!$N$12&lt;0, 0, IF((((inputs!$P$12/(V126/MAX(K126:S126)))^(1/inputs!$O$12))-1)/inputs!$N$12&gt;inputs!$H$17, inputs!$H$17, (((inputs!$P$12/(V126/MAX(K126:S126)))^(1/inputs!$O$12))-1)/inputs!$N$12))</f>
        <v>177.19861159504575</v>
      </c>
      <c r="U126">
        <f>IF((((inputs!$P$12/(X126/MAX(K126:S126)))^(1/inputs!$O$12))-1)/inputs!$N$12&lt;0, 0, IF((((inputs!$P$12/(X126/MAX(K126:S126)))^(1/inputs!$O$12))-1)/inputs!$N$12&gt;inputs!$H$17, inputs!$H$17, (((inputs!$P$12/(X126/MAX(K126:S126)))^(1/inputs!$O$12))-1)/inputs!$N$12))</f>
        <v>0</v>
      </c>
      <c r="V126">
        <f>inputs!$E$78*(F126/inputs!$F$78)^(inputs!$E$84-1)</f>
        <v>2.4464468841670566E-2</v>
      </c>
      <c r="W126">
        <f>inputs!$E$85*(F126/inputs!$F$85)^(inputs!$E$84-1)</f>
        <v>1.1297241036015404</v>
      </c>
      <c r="X126">
        <f>inputs!$E$80*(F126/inputs!$F$80)^(inputs!$E$84-1)</f>
        <v>4.2185900071196754</v>
      </c>
      <c r="Y126">
        <f>inputs!$E$82*(F126/inputs!$F$82)^(inputs!$E$84-1)</f>
        <v>1.9442814711011871</v>
      </c>
      <c r="Z126">
        <f t="shared" si="8"/>
        <v>270.93827125759714</v>
      </c>
      <c r="AA126">
        <f t="shared" si="9"/>
        <v>5.867238624073325</v>
      </c>
    </row>
    <row r="127" spans="1:27" x14ac:dyDescent="0.3">
      <c r="A127" t="s">
        <v>258</v>
      </c>
      <c r="B127" t="s">
        <v>259</v>
      </c>
      <c r="C127" t="s">
        <v>73</v>
      </c>
      <c r="D127" t="s">
        <v>260</v>
      </c>
      <c r="E127">
        <v>119</v>
      </c>
      <c r="F127">
        <v>50.5</v>
      </c>
      <c r="G127" t="s">
        <v>146</v>
      </c>
      <c r="H127">
        <v>0.84</v>
      </c>
      <c r="I127">
        <f>MAX('Min rate concentrations'!$I$3:$I$368)</f>
        <v>9.4775690500787988</v>
      </c>
      <c r="J127" t="s">
        <v>13</v>
      </c>
      <c r="K127">
        <f t="shared" si="11"/>
        <v>6.7146583016331336</v>
      </c>
      <c r="L127" t="s">
        <v>13</v>
      </c>
      <c r="M127">
        <f>IF((((1.18*F127^0.874)/3.7-(0.301*F127^0.751)/(1-H127)*H127)*(MAX('Min rate concentrations'!$P$3:$P$368)))/F127&gt;0, (((1.18*F127^0.874)/3.7-(0.301*F127^0.751)/(1-H127)*H127)*(MAX('Min rate concentrations'!$P$3:$P$368)))/F127, 0)</f>
        <v>0</v>
      </c>
      <c r="N127">
        <f>IF((((1.18*F127^0.874)/3.7-(0.301*F127^0.751)/(1-H127)*H127)*(MAX('Min rate concentrations'!$Q$3:$Q$368)))/F127&gt;0, (((1.18*F127^0.874)/3.7-(0.301*F127^0.751)/(1-H127)*H127)*(MAX('Min rate concentrations'!$Q$3:$Q$368)))/F127, 0)</f>
        <v>0</v>
      </c>
      <c r="O127">
        <f>((MAX('Min rate concentrations'!$F$3:$F$368))*0.62*6.01*8*(10*F127^0.667)*0.079*0.1/F127)*inputs!$E$80/(10^(0.84+0.62*LOG10(inputs!$E$80)))</f>
        <v>6.6283608951975728</v>
      </c>
      <c r="P127">
        <f>((MAX('Min rate concentrations'!Y:Y))*0.62*6.01*8*(10*F127^0.667)*0.079*0.1/F127)*inputs!$E$80/(10^(0.84+0.62*LOG10(inputs!$E$80)))</f>
        <v>2.2094536317325244</v>
      </c>
      <c r="Q127">
        <f>(inputs!$C$7*11.2*(10*F127^0.667)*0.5/F127)*inputs!$E$80/(10^(0.84+0.62*LOG10(inputs!$E$80)))</f>
        <v>1.1675545085073016</v>
      </c>
      <c r="R127">
        <f>(60*284*((F127/1000)^0.77)*3*24*(MAX('Min rate concentrations'!$R$3:$R$368))/F127)*(inputs!$E$73*3.4/inputs!$E$75)</f>
        <v>9.3149062446573668E-3</v>
      </c>
      <c r="S127">
        <f>(IF(inputs!$C$6="aerial",((0.025*0.112*inputs!$C$7/3.3)*(3*60*284*((F127/1000)^0.77))*MAX(inputs!$H$14:$H$16))/F127,((0.0083*0.112*inputs!$C$7/1)*(3*60*284*((F127/1000)^0.77))*MAX(inputs!$H$14:$H$16))/F127))*(inputs!E$75*3.4/inputs!$E$73)</f>
        <v>5.1372280231375606E-2</v>
      </c>
      <c r="T127">
        <f>IF((((inputs!$P$12/(V127/MAX(K127:S127)))^(1/inputs!$O$12))-1)/inputs!$N$12&lt;0, 0, IF((((inputs!$P$12/(V127/MAX(K127:S127)))^(1/inputs!$O$12))-1)/inputs!$N$12&gt;inputs!$H$17, inputs!$H$17, (((inputs!$P$12/(V127/MAX(K127:S127)))^(1/inputs!$O$12))-1)/inputs!$N$12))</f>
        <v>178.28364994441117</v>
      </c>
      <c r="U127">
        <f>IF((((inputs!$P$12/(X127/MAX(K127:S127)))^(1/inputs!$O$12))-1)/inputs!$N$12&lt;0, 0, IF((((inputs!$P$12/(X127/MAX(K127:S127)))^(1/inputs!$O$12))-1)/inputs!$N$12&gt;inputs!$H$17, inputs!$H$17, (((inputs!$P$12/(X127/MAX(K127:S127)))^(1/inputs!$O$12))-1)/inputs!$N$12))</f>
        <v>0</v>
      </c>
      <c r="V127">
        <f>inputs!$E$78*(F127/inputs!$F$78)^(inputs!$E$84-1)</f>
        <v>2.4464468841670566E-2</v>
      </c>
      <c r="W127">
        <f>inputs!$E$85*(F127/inputs!$F$85)^(inputs!$E$84-1)</f>
        <v>1.1297241036015404</v>
      </c>
      <c r="X127">
        <f>inputs!$E$80*(F127/inputs!$F$80)^(inputs!$E$84-1)</f>
        <v>4.2185900071196754</v>
      </c>
      <c r="Y127">
        <f>inputs!$E$82*(F127/inputs!$F$82)^(inputs!$E$84-1)</f>
        <v>1.9442814711011871</v>
      </c>
      <c r="Z127">
        <f t="shared" si="8"/>
        <v>274.46573007937093</v>
      </c>
      <c r="AA127">
        <f t="shared" si="9"/>
        <v>5.9436266609050135</v>
      </c>
    </row>
    <row r="128" spans="1:27" x14ac:dyDescent="0.3">
      <c r="A128" t="s">
        <v>215</v>
      </c>
      <c r="B128" t="s">
        <v>216</v>
      </c>
      <c r="C128" t="s">
        <v>73</v>
      </c>
      <c r="D128" t="s">
        <v>217</v>
      </c>
      <c r="E128">
        <v>6901</v>
      </c>
      <c r="F128">
        <v>52.3</v>
      </c>
      <c r="G128" t="s">
        <v>182</v>
      </c>
      <c r="H128">
        <v>0.85</v>
      </c>
      <c r="I128">
        <f>MAX('Min rate concentrations'!$M$3:$M$368)</f>
        <v>2.8488184789681945</v>
      </c>
      <c r="J128">
        <f>MAX('Min rate concentrations'!AE:AE)</f>
        <v>1.9699276716269429</v>
      </c>
      <c r="K128">
        <f t="shared" si="11"/>
        <v>2.1341900644593088</v>
      </c>
      <c r="L128">
        <f t="shared" ref="L128:L133" si="14">((0.301*F128^0.751)/(1-H128))*J128/F128</f>
        <v>1.4757697254239899</v>
      </c>
      <c r="M128">
        <f>IF((((1.18*F128^0.874)/3.7-(0.301*F128^0.751)/(1-H128)*H128)*(MAX('Min rate concentrations'!$P$3:$P$368)))/F128&gt;0, (((1.18*F128^0.874)/3.7-(0.301*F128^0.751)/(1-H128)*H128)*(MAX('Min rate concentrations'!$P$3:$P$368)))/F128, 0)</f>
        <v>0</v>
      </c>
      <c r="N128">
        <f>IF((((1.18*F128^0.874)/3.7-(0.301*F128^0.751)/(1-H128)*H128)*(MAX('Min rate concentrations'!$Q$3:$Q$368)))/F128&gt;0, (((1.18*F128^0.874)/3.7-(0.301*F128^0.751)/(1-H128)*H128)*(MAX('Min rate concentrations'!$Q$3:$Q$368)))/F128, 0)</f>
        <v>0</v>
      </c>
      <c r="O128">
        <f>((MAX('Min rate concentrations'!$F$3:$F$368))*0.62*6.01*8*(10*F128^0.667)*0.079*0.1/F128)*inputs!$E$80/(10^(0.84+0.62*LOG10(inputs!$E$80)))</f>
        <v>6.5515055460088893</v>
      </c>
      <c r="P128">
        <f>((MAX('Min rate concentrations'!Y:Y))*0.62*6.01*8*(10*F128^0.667)*0.079*0.1/F128)*inputs!$E$80/(10^(0.84+0.62*LOG10(inputs!$E$80)))</f>
        <v>2.1838351820029627</v>
      </c>
      <c r="Q128">
        <f>(inputs!$C$7*11.2*(10*F128^0.667)*0.5/F128)*inputs!$E$80/(10^(0.84+0.62*LOG10(inputs!$E$80)))</f>
        <v>1.1540168012419707</v>
      </c>
      <c r="R128">
        <f>(60*284*((F128/1000)^0.77)*3*24*(MAX('Min rate concentrations'!$R$3:$R$368))/F128)*(inputs!$E$73*3.4/inputs!$E$75)</f>
        <v>9.2401733011692744E-3</v>
      </c>
      <c r="S128">
        <f>(IF(inputs!$C$6="aerial",((0.025*0.112*inputs!$C$7/3.3)*(3*60*284*((F128/1000)^0.77))*MAX(inputs!$H$14:$H$16))/F128,((0.0083*0.112*inputs!$C$7/1)*(3*60*284*((F128/1000)^0.77))*MAX(inputs!$H$14:$H$16))/F128))*(inputs!E$75*3.4/inputs!$E$73)</f>
        <v>5.0960123456573081E-2</v>
      </c>
      <c r="T128">
        <f>IF((((inputs!$P$12/(V128/MAX(K128:S128)))^(1/inputs!$O$12))-1)/inputs!$N$12&lt;0, 0, IF((((inputs!$P$12/(V128/MAX(K128:S128)))^(1/inputs!$O$12))-1)/inputs!$N$12&gt;inputs!$H$17, inputs!$H$17, (((inputs!$P$12/(V128/MAX(K128:S128)))^(1/inputs!$O$12))-1)/inputs!$N$12))</f>
        <v>177.30705231338649</v>
      </c>
      <c r="U128">
        <f>IF((((inputs!$P$12/(X128/MAX(K128:S128)))^(1/inputs!$O$12))-1)/inputs!$N$12&lt;0, 0, IF((((inputs!$P$12/(X128/MAX(K128:S128)))^(1/inputs!$O$12))-1)/inputs!$N$12&gt;inputs!$H$17, inputs!$H$17, (((inputs!$P$12/(X128/MAX(K128:S128)))^(1/inputs!$O$12))-1)/inputs!$N$12))</f>
        <v>0</v>
      </c>
      <c r="V128">
        <f>inputs!$E$78*(F128/inputs!$F$78)^(inputs!$E$84-1)</f>
        <v>2.4149490696052035E-2</v>
      </c>
      <c r="W128">
        <f>inputs!$E$85*(F128/inputs!$F$85)^(inputs!$E$84-1)</f>
        <v>1.115178993077544</v>
      </c>
      <c r="X128">
        <f>inputs!$E$80*(F128/inputs!$F$80)^(inputs!$E$84-1)</f>
        <v>4.1642759868085495</v>
      </c>
      <c r="Y128">
        <f>inputs!$E$82*(F128/inputs!$F$82)^(inputs!$E$84-1)</f>
        <v>1.9192489974230829</v>
      </c>
      <c r="Z128">
        <f t="shared" si="8"/>
        <v>271.28959481865724</v>
      </c>
      <c r="AA128">
        <f t="shared" si="9"/>
        <v>5.8748466270233362</v>
      </c>
    </row>
    <row r="129" spans="1:27" x14ac:dyDescent="0.3">
      <c r="A129" t="s">
        <v>215</v>
      </c>
      <c r="B129" t="s">
        <v>216</v>
      </c>
      <c r="C129" t="s">
        <v>73</v>
      </c>
      <c r="D129" t="s">
        <v>217</v>
      </c>
      <c r="E129">
        <v>6901</v>
      </c>
      <c r="F129">
        <v>52.3</v>
      </c>
      <c r="G129" t="s">
        <v>142</v>
      </c>
      <c r="H129">
        <v>0.69</v>
      </c>
      <c r="I129">
        <f>MAX('Min rate concentrations'!$H$3:$H$368)</f>
        <v>47</v>
      </c>
      <c r="J129">
        <f>MAX('Min rate concentrations'!AA:AA)</f>
        <v>32.5</v>
      </c>
      <c r="K129">
        <f t="shared" si="11"/>
        <v>17.037102614495463</v>
      </c>
      <c r="L129">
        <f t="shared" si="14"/>
        <v>11.780975212151118</v>
      </c>
      <c r="M129">
        <f>IF((((1.18*F129^0.874)/3.7-(0.301*F129^0.751)/(1-H129)*H129)*(MAX('Min rate concentrations'!$P$3:$P$368)))/F129&gt;0, (((1.18*F129^0.874)/3.7-(0.301*F129^0.751)/(1-H129)*H129)*(MAX('Min rate concentrations'!$P$3:$P$368)))/F129, 0)</f>
        <v>0</v>
      </c>
      <c r="N129">
        <f>IF((((1.18*F129^0.874)/3.7-(0.301*F129^0.751)/(1-H129)*H129)*(MAX('Min rate concentrations'!$Q$3:$Q$368)))/F129&gt;0, (((1.18*F129^0.874)/3.7-(0.301*F129^0.751)/(1-H129)*H129)*(MAX('Min rate concentrations'!$Q$3:$Q$368)))/F129, 0)</f>
        <v>0</v>
      </c>
      <c r="O129">
        <f>((MAX('Min rate concentrations'!$F$3:$F$368))*0.62*6.01*8*(10*F129^0.667)*0.079*0.1/F129)*inputs!$E$80/(10^(0.84+0.62*LOG10(inputs!$E$80)))</f>
        <v>6.5515055460088893</v>
      </c>
      <c r="P129">
        <f>((MAX('Min rate concentrations'!Y:Y))*0.62*6.01*8*(10*F129^0.667)*0.079*0.1/F129)*inputs!$E$80/(10^(0.84+0.62*LOG10(inputs!$E$80)))</f>
        <v>2.1838351820029627</v>
      </c>
      <c r="Q129">
        <f>(inputs!$C$7*11.2*(10*F129^0.667)*0.5/F129)*inputs!$E$80/(10^(0.84+0.62*LOG10(inputs!$E$80)))</f>
        <v>1.1540168012419707</v>
      </c>
      <c r="R129">
        <f>(60*284*((F129/1000)^0.77)*3*24*(MAX('Min rate concentrations'!$R$3:$R$368))/F129)*(inputs!$E$73*3.4/inputs!$E$75)</f>
        <v>9.2401733011692744E-3</v>
      </c>
      <c r="S129">
        <f>(IF(inputs!$C$6="aerial",((0.025*0.112*inputs!$C$7/3.3)*(3*60*284*((F129/1000)^0.77))*MAX(inputs!$H$14:$H$16))/F129,((0.0083*0.112*inputs!$C$7/1)*(3*60*284*((F129/1000)^0.77))*MAX(inputs!$H$14:$H$16))/F129))*(inputs!E$75*3.4/inputs!$E$73)</f>
        <v>5.0960123456573081E-2</v>
      </c>
      <c r="T129">
        <f>IF((((inputs!$P$12/(V129/MAX(K129:S129)))^(1/inputs!$O$12))-1)/inputs!$N$12&lt;0, 0, IF((((inputs!$P$12/(V129/MAX(K129:S129)))^(1/inputs!$O$12))-1)/inputs!$N$12&gt;inputs!$H$17, inputs!$H$17, (((inputs!$P$12/(V129/MAX(K129:S129)))^(1/inputs!$O$12))-1)/inputs!$N$12))</f>
        <v>275.07845272296856</v>
      </c>
      <c r="U129">
        <f>IF((((inputs!$P$12/(X129/MAX(K129:S129)))^(1/inputs!$O$12))-1)/inputs!$N$12&lt;0, 0, IF((((inputs!$P$12/(X129/MAX(K129:S129)))^(1/inputs!$O$12))-1)/inputs!$N$12&gt;inputs!$H$17, inputs!$H$17, (((inputs!$P$12/(X129/MAX(K129:S129)))^(1/inputs!$O$12))-1)/inputs!$N$12))</f>
        <v>8.8813522717610436</v>
      </c>
      <c r="V129">
        <f>inputs!$E$78*(F129/inputs!$F$78)^(inputs!$E$84-1)</f>
        <v>2.4149490696052035E-2</v>
      </c>
      <c r="W129">
        <f>inputs!$E$85*(F129/inputs!$F$85)^(inputs!$E$84-1)</f>
        <v>1.115178993077544</v>
      </c>
      <c r="X129">
        <f>inputs!$E$80*(F129/inputs!$F$80)^(inputs!$E$84-1)</f>
        <v>4.1642759868085495</v>
      </c>
      <c r="Y129">
        <f>inputs!$E$82*(F129/inputs!$F$82)^(inputs!$E$84-1)</f>
        <v>1.9192489974230829</v>
      </c>
      <c r="Z129">
        <f t="shared" si="8"/>
        <v>705.48496566350752</v>
      </c>
      <c r="AA129">
        <f t="shared" si="9"/>
        <v>15.277460138913133</v>
      </c>
    </row>
    <row r="130" spans="1:27" x14ac:dyDescent="0.3">
      <c r="A130" t="s">
        <v>215</v>
      </c>
      <c r="B130" t="s">
        <v>216</v>
      </c>
      <c r="C130" t="s">
        <v>73</v>
      </c>
      <c r="D130" t="s">
        <v>217</v>
      </c>
      <c r="E130">
        <v>6901</v>
      </c>
      <c r="F130">
        <v>52.3</v>
      </c>
      <c r="G130" t="s">
        <v>138</v>
      </c>
      <c r="H130">
        <v>0.68</v>
      </c>
      <c r="I130">
        <f>MAX('Min rate concentrations'!$L$3:$L$368)</f>
        <v>58.421240152220811</v>
      </c>
      <c r="J130">
        <f>MAX('Min rate concentrations'!AD:AD)</f>
        <v>40.397666062705881</v>
      </c>
      <c r="K130">
        <f t="shared" si="11"/>
        <v>20.51541792787469</v>
      </c>
      <c r="L130">
        <f t="shared" si="14"/>
        <v>14.186193247998457</v>
      </c>
      <c r="M130">
        <f>IF((((1.18*F130^0.874)/3.7-(0.301*F130^0.751)/(1-H130)*H130)*(MAX('Min rate concentrations'!$P$3:$P$368)))/F130&gt;0, (((1.18*F130^0.874)/3.7-(0.301*F130^0.751)/(1-H130)*H130)*(MAX('Min rate concentrations'!$P$3:$P$368)))/F130, 0)</f>
        <v>0</v>
      </c>
      <c r="N130">
        <f>IF((((1.18*F130^0.874)/3.7-(0.301*F130^0.751)/(1-H130)*H130)*(MAX('Min rate concentrations'!$Q$3:$Q$368)))/F130&gt;0, (((1.18*F130^0.874)/3.7-(0.301*F130^0.751)/(1-H130)*H130)*(MAX('Min rate concentrations'!$Q$3:$Q$368)))/F130, 0)</f>
        <v>0</v>
      </c>
      <c r="O130">
        <f>((MAX('Min rate concentrations'!$F$3:$F$368))*0.62*6.01*8*(10*F130^0.667)*0.079*0.1/F130)*inputs!$E$80/(10^(0.84+0.62*LOG10(inputs!$E$80)))</f>
        <v>6.5515055460088893</v>
      </c>
      <c r="P130">
        <f>((MAX('Min rate concentrations'!Y:Y))*0.62*6.01*8*(10*F130^0.667)*0.079*0.1/F130)*inputs!$E$80/(10^(0.84+0.62*LOG10(inputs!$E$80)))</f>
        <v>2.1838351820029627</v>
      </c>
      <c r="Q130">
        <f>(inputs!$C$7*11.2*(10*F130^0.667)*0.5/F130)*inputs!$E$80/(10^(0.84+0.62*LOG10(inputs!$E$80)))</f>
        <v>1.1540168012419707</v>
      </c>
      <c r="R130">
        <f>(60*284*((F130/1000)^0.77)*3*24*(MAX('Min rate concentrations'!$R$3:$R$368))/F130)*(inputs!$E$73*3.4/inputs!$E$75)</f>
        <v>9.2401733011692744E-3</v>
      </c>
      <c r="S130">
        <f>(IF(inputs!$C$6="aerial",((0.025*0.112*inputs!$C$7/3.3)*(3*60*284*((F130/1000)^0.77))*MAX(inputs!$H$14:$H$16))/F130,((0.0083*0.112*inputs!$C$7/1)*(3*60*284*((F130/1000)^0.77))*MAX(inputs!$H$14:$H$16))/F130))*(inputs!E$75*3.4/inputs!$E$73)</f>
        <v>5.0960123456573081E-2</v>
      </c>
      <c r="T130">
        <f>IF((((inputs!$P$12/(V130/MAX(K130:S130)))^(1/inputs!$O$12))-1)/inputs!$N$12&lt;0, 0, IF((((inputs!$P$12/(V130/MAX(K130:S130)))^(1/inputs!$O$12))-1)/inputs!$N$12&gt;inputs!$H$17, inputs!$H$17, (((inputs!$P$12/(V130/MAX(K130:S130)))^(1/inputs!$O$12))-1)/inputs!$N$12))</f>
        <v>298.9064352122785</v>
      </c>
      <c r="U130">
        <f>IF((((inputs!$P$12/(X130/MAX(K130:S130)))^(1/inputs!$O$12))-1)/inputs!$N$12&lt;0, 0, IF((((inputs!$P$12/(X130/MAX(K130:S130)))^(1/inputs!$O$12))-1)/inputs!$N$12&gt;inputs!$H$17, inputs!$H$17, (((inputs!$P$12/(X130/MAX(K130:S130)))^(1/inputs!$O$12))-1)/inputs!$N$12))</f>
        <v>11.814741808234213</v>
      </c>
      <c r="V130">
        <f>inputs!$E$78*(F130/inputs!$F$78)^(inputs!$E$84-1)</f>
        <v>2.4149490696052035E-2</v>
      </c>
      <c r="W130">
        <f>inputs!$E$85*(F130/inputs!$F$85)^(inputs!$E$84-1)</f>
        <v>1.115178993077544</v>
      </c>
      <c r="X130">
        <f>inputs!$E$80*(F130/inputs!$F$80)^(inputs!$E$84-1)</f>
        <v>4.1642759868085495</v>
      </c>
      <c r="Y130">
        <f>inputs!$E$82*(F130/inputs!$F$82)^(inputs!$E$84-1)</f>
        <v>1.9192489974230829</v>
      </c>
      <c r="Z130">
        <f t="shared" ref="Z130:Z193" si="15">MAX(K130:S130)/V130</f>
        <v>849.51762279726074</v>
      </c>
      <c r="AA130">
        <f t="shared" ref="AA130:AA193" si="16">MAX(K130:S130)/W130</f>
        <v>18.396524733001449</v>
      </c>
    </row>
    <row r="131" spans="1:27" x14ac:dyDescent="0.3">
      <c r="A131" t="s">
        <v>215</v>
      </c>
      <c r="B131" t="s">
        <v>216</v>
      </c>
      <c r="C131" t="s">
        <v>73</v>
      </c>
      <c r="D131" t="s">
        <v>217</v>
      </c>
      <c r="E131">
        <v>6901</v>
      </c>
      <c r="F131">
        <v>52.3</v>
      </c>
      <c r="G131" t="s">
        <v>218</v>
      </c>
      <c r="H131">
        <v>0.68</v>
      </c>
      <c r="I131">
        <f>MAX('Min rate concentrations'!$K$3:$K$368)</f>
        <v>18.333393099490852</v>
      </c>
      <c r="J131">
        <f>MAX('Min rate concentrations'!AC:AC)</f>
        <v>6.4930767227363431</v>
      </c>
      <c r="K131">
        <f t="shared" si="11"/>
        <v>6.4380218648571628</v>
      </c>
      <c r="L131">
        <f t="shared" si="14"/>
        <v>2.2801327438035788</v>
      </c>
      <c r="M131">
        <f>IF((((1.18*F131^0.874)/3.7-(0.301*F131^0.751)/(1-H131)*H131)*(MAX('Min rate concentrations'!$P$3:$P$368)))/F131&gt;0, (((1.18*F131^0.874)/3.7-(0.301*F131^0.751)/(1-H131)*H131)*(MAX('Min rate concentrations'!$P$3:$P$368)))/F131, 0)</f>
        <v>0</v>
      </c>
      <c r="N131">
        <f>IF((((1.18*F131^0.874)/3.7-(0.301*F131^0.751)/(1-H131)*H131)*(MAX('Min rate concentrations'!$Q$3:$Q$368)))/F131&gt;0, (((1.18*F131^0.874)/3.7-(0.301*F131^0.751)/(1-H131)*H131)*(MAX('Min rate concentrations'!$Q$3:$Q$368)))/F131, 0)</f>
        <v>0</v>
      </c>
      <c r="O131">
        <f>((MAX('Min rate concentrations'!$F$3:$F$368))*0.62*6.01*8*(10*F131^0.667)*0.079*0.1/F131)*inputs!$E$80/(10^(0.84+0.62*LOG10(inputs!$E$80)))</f>
        <v>6.5515055460088893</v>
      </c>
      <c r="P131">
        <f>((MAX('Min rate concentrations'!Y:Y))*0.62*6.01*8*(10*F131^0.667)*0.079*0.1/F131)*inputs!$E$80/(10^(0.84+0.62*LOG10(inputs!$E$80)))</f>
        <v>2.1838351820029627</v>
      </c>
      <c r="Q131">
        <f>(inputs!$C$7*11.2*(10*F131^0.667)*0.5/F131)*inputs!$E$80/(10^(0.84+0.62*LOG10(inputs!$E$80)))</f>
        <v>1.1540168012419707</v>
      </c>
      <c r="R131">
        <f>(60*284*((F131/1000)^0.77)*3*24*(MAX('Min rate concentrations'!$R$3:$R$368))/F131)*(inputs!$E$73*3.4/inputs!$E$75)</f>
        <v>9.2401733011692744E-3</v>
      </c>
      <c r="S131">
        <f>(IF(inputs!$C$6="aerial",((0.025*0.112*inputs!$C$7/3.3)*(3*60*284*((F131/1000)^0.77))*MAX(inputs!$H$14:$H$16))/F131,((0.0083*0.112*inputs!$C$7/1)*(3*60*284*((F131/1000)^0.77))*MAX(inputs!$H$14:$H$16))/F131))*(inputs!E$75*3.4/inputs!$E$73)</f>
        <v>5.0960123456573081E-2</v>
      </c>
      <c r="T131">
        <f>IF((((inputs!$P$12/(V131/MAX(K131:S131)))^(1/inputs!$O$12))-1)/inputs!$N$12&lt;0, 0, IF((((inputs!$P$12/(V131/MAX(K131:S131)))^(1/inputs!$O$12))-1)/inputs!$N$12&gt;inputs!$H$17, inputs!$H$17, (((inputs!$P$12/(V131/MAX(K131:S131)))^(1/inputs!$O$12))-1)/inputs!$N$12))</f>
        <v>177.30705231338649</v>
      </c>
      <c r="U131">
        <f>IF((((inputs!$P$12/(X131/MAX(K131:S131)))^(1/inputs!$O$12))-1)/inputs!$N$12&lt;0, 0, IF((((inputs!$P$12/(X131/MAX(K131:S131)))^(1/inputs!$O$12))-1)/inputs!$N$12&gt;inputs!$H$17, inputs!$H$17, (((inputs!$P$12/(X131/MAX(K131:S131)))^(1/inputs!$O$12))-1)/inputs!$N$12))</f>
        <v>0</v>
      </c>
      <c r="V131">
        <f>inputs!$E$78*(F131/inputs!$F$78)^(inputs!$E$84-1)</f>
        <v>2.4149490696052035E-2</v>
      </c>
      <c r="W131">
        <f>inputs!$E$85*(F131/inputs!$F$85)^(inputs!$E$84-1)</f>
        <v>1.115178993077544</v>
      </c>
      <c r="X131">
        <f>inputs!$E$80*(F131/inputs!$F$80)^(inputs!$E$84-1)</f>
        <v>4.1642759868085495</v>
      </c>
      <c r="Y131">
        <f>inputs!$E$82*(F131/inputs!$F$82)^(inputs!$E$84-1)</f>
        <v>1.9192489974230829</v>
      </c>
      <c r="Z131">
        <f t="shared" si="15"/>
        <v>271.28959481865724</v>
      </c>
      <c r="AA131">
        <f t="shared" si="16"/>
        <v>5.8748466270233362</v>
      </c>
    </row>
    <row r="132" spans="1:27" x14ac:dyDescent="0.3">
      <c r="A132" t="s">
        <v>215</v>
      </c>
      <c r="B132" t="s">
        <v>216</v>
      </c>
      <c r="C132" t="s">
        <v>73</v>
      </c>
      <c r="D132" t="s">
        <v>217</v>
      </c>
      <c r="E132">
        <v>6901</v>
      </c>
      <c r="F132">
        <v>52.3</v>
      </c>
      <c r="G132" t="s">
        <v>152</v>
      </c>
      <c r="H132">
        <v>0.77</v>
      </c>
      <c r="I132">
        <f>MAX('Min rate concentrations'!$G$3:$G$368)</f>
        <v>7.5</v>
      </c>
      <c r="J132">
        <f>MAX('Min rate concentrations'!Z:Z)</f>
        <v>3.5</v>
      </c>
      <c r="K132">
        <f t="shared" si="11"/>
        <v>3.6643167047827903</v>
      </c>
      <c r="L132">
        <f t="shared" si="14"/>
        <v>1.7100144622319686</v>
      </c>
      <c r="M132">
        <f>IF((((1.18*F132^0.874)/3.7-(0.301*F132^0.751)/(1-H132)*H132)*(MAX('Min rate concentrations'!$P$3:$P$368)))/F132&gt;0, (((1.18*F132^0.874)/3.7-(0.301*F132^0.751)/(1-H132)*H132)*(MAX('Min rate concentrations'!$P$3:$P$368)))/F132, 0)</f>
        <v>0</v>
      </c>
      <c r="N132">
        <f>IF((((1.18*F132^0.874)/3.7-(0.301*F132^0.751)/(1-H132)*H132)*(MAX('Min rate concentrations'!$Q$3:$Q$368)))/F132&gt;0, (((1.18*F132^0.874)/3.7-(0.301*F132^0.751)/(1-H132)*H132)*(MAX('Min rate concentrations'!$Q$3:$Q$368)))/F132, 0)</f>
        <v>0</v>
      </c>
      <c r="O132">
        <f>((MAX('Min rate concentrations'!$F$3:$F$368))*0.62*6.01*8*(10*F132^0.667)*0.079*0.1/F132)*inputs!$E$80/(10^(0.84+0.62*LOG10(inputs!$E$80)))</f>
        <v>6.5515055460088893</v>
      </c>
      <c r="P132">
        <f>((MAX('Min rate concentrations'!Y:Y))*0.62*6.01*8*(10*F132^0.667)*0.079*0.1/F132)*inputs!$E$80/(10^(0.84+0.62*LOG10(inputs!$E$80)))</f>
        <v>2.1838351820029627</v>
      </c>
      <c r="Q132">
        <f>(inputs!$C$7*11.2*(10*F132^0.667)*0.5/F132)*inputs!$E$80/(10^(0.84+0.62*LOG10(inputs!$E$80)))</f>
        <v>1.1540168012419707</v>
      </c>
      <c r="R132">
        <f>(60*284*((F132/1000)^0.77)*3*24*(MAX('Min rate concentrations'!$R$3:$R$368))/F132)*(inputs!$E$73*3.4/inputs!$E$75)</f>
        <v>9.2401733011692744E-3</v>
      </c>
      <c r="S132">
        <f>(IF(inputs!$C$6="aerial",((0.025*0.112*inputs!$C$7/3.3)*(3*60*284*((F132/1000)^0.77))*MAX(inputs!$H$14:$H$16))/F132,((0.0083*0.112*inputs!$C$7/1)*(3*60*284*((F132/1000)^0.77))*MAX(inputs!$H$14:$H$16))/F132))*(inputs!E$75*3.4/inputs!$E$73)</f>
        <v>5.0960123456573081E-2</v>
      </c>
      <c r="T132">
        <f>IF((((inputs!$P$12/(V132/MAX(K132:S132)))^(1/inputs!$O$12))-1)/inputs!$N$12&lt;0, 0, IF((((inputs!$P$12/(V132/MAX(K132:S132)))^(1/inputs!$O$12))-1)/inputs!$N$12&gt;inputs!$H$17, inputs!$H$17, (((inputs!$P$12/(V132/MAX(K132:S132)))^(1/inputs!$O$12))-1)/inputs!$N$12))</f>
        <v>177.30705231338649</v>
      </c>
      <c r="U132">
        <f>IF((((inputs!$P$12/(X132/MAX(K132:S132)))^(1/inputs!$O$12))-1)/inputs!$N$12&lt;0, 0, IF((((inputs!$P$12/(X132/MAX(K132:S132)))^(1/inputs!$O$12))-1)/inputs!$N$12&gt;inputs!$H$17, inputs!$H$17, (((inputs!$P$12/(X132/MAX(K132:S132)))^(1/inputs!$O$12))-1)/inputs!$N$12))</f>
        <v>0</v>
      </c>
      <c r="V132">
        <f>inputs!$E$78*(F132/inputs!$F$78)^(inputs!$E$84-1)</f>
        <v>2.4149490696052035E-2</v>
      </c>
      <c r="W132">
        <f>inputs!$E$85*(F132/inputs!$F$85)^(inputs!$E$84-1)</f>
        <v>1.115178993077544</v>
      </c>
      <c r="X132">
        <f>inputs!$E$80*(F132/inputs!$F$80)^(inputs!$E$84-1)</f>
        <v>4.1642759868085495</v>
      </c>
      <c r="Y132">
        <f>inputs!$E$82*(F132/inputs!$F$82)^(inputs!$E$84-1)</f>
        <v>1.9192489974230829</v>
      </c>
      <c r="Z132">
        <f t="shared" si="15"/>
        <v>271.28959481865724</v>
      </c>
      <c r="AA132">
        <f t="shared" si="16"/>
        <v>5.8748466270233362</v>
      </c>
    </row>
    <row r="133" spans="1:27" x14ac:dyDescent="0.3">
      <c r="A133" t="s">
        <v>215</v>
      </c>
      <c r="B133" t="s">
        <v>216</v>
      </c>
      <c r="C133" t="s">
        <v>73</v>
      </c>
      <c r="D133" t="s">
        <v>217</v>
      </c>
      <c r="E133">
        <v>6901</v>
      </c>
      <c r="F133">
        <v>52.3</v>
      </c>
      <c r="G133" t="s">
        <v>145</v>
      </c>
      <c r="H133">
        <v>0.66</v>
      </c>
      <c r="I133">
        <f>MAX('Min rate concentrations'!$M$3:$M$368)</f>
        <v>2.8488184789681945</v>
      </c>
      <c r="J133">
        <f>MAX('Min rate concentrations'!AE:AE)</f>
        <v>1.9699276716269429</v>
      </c>
      <c r="K133">
        <f t="shared" si="11"/>
        <v>0.94155444020263623</v>
      </c>
      <c r="L133">
        <f t="shared" si="14"/>
        <v>0.65107487886352511</v>
      </c>
      <c r="M133">
        <f>IF((((1.18*F133^0.874)/3.7-(0.301*F133^0.751)/(1-H133)*H133)*(MAX('Min rate concentrations'!$P$3:$P$368)))/F133&gt;0, (((1.18*F133^0.874)/3.7-(0.301*F133^0.751)/(1-H133)*H133)*(MAX('Min rate concentrations'!$P$3:$P$368)))/F133, 0)</f>
        <v>0</v>
      </c>
      <c r="N133">
        <f>IF((((1.18*F133^0.874)/3.7-(0.301*F133^0.751)/(1-H133)*H133)*(MAX('Min rate concentrations'!$Q$3:$Q$368)))/F133&gt;0, (((1.18*F133^0.874)/3.7-(0.301*F133^0.751)/(1-H133)*H133)*(MAX('Min rate concentrations'!$Q$3:$Q$368)))/F133, 0)</f>
        <v>0</v>
      </c>
      <c r="O133">
        <f>((MAX('Min rate concentrations'!$F$3:$F$368))*0.62*6.01*8*(10*F133^0.667)*0.079*0.1/F133)*inputs!$E$80/(10^(0.84+0.62*LOG10(inputs!$E$80)))</f>
        <v>6.5515055460088893</v>
      </c>
      <c r="P133">
        <f>((MAX('Min rate concentrations'!Y:Y))*0.62*6.01*8*(10*F133^0.667)*0.079*0.1/F133)*inputs!$E$80/(10^(0.84+0.62*LOG10(inputs!$E$80)))</f>
        <v>2.1838351820029627</v>
      </c>
      <c r="Q133">
        <f>(inputs!$C$7*11.2*(10*F133^0.667)*0.5/F133)*inputs!$E$80/(10^(0.84+0.62*LOG10(inputs!$E$80)))</f>
        <v>1.1540168012419707</v>
      </c>
      <c r="R133">
        <f>(60*284*((F133/1000)^0.77)*3*24*(MAX('Min rate concentrations'!$R$3:$R$368))/F133)*(inputs!$E$73*3.4/inputs!$E$75)</f>
        <v>9.2401733011692744E-3</v>
      </c>
      <c r="S133">
        <f>(IF(inputs!$C$6="aerial",((0.025*0.112*inputs!$C$7/3.3)*(3*60*284*((F133/1000)^0.77))*MAX(inputs!$H$14:$H$16))/F133,((0.0083*0.112*inputs!$C$7/1)*(3*60*284*((F133/1000)^0.77))*MAX(inputs!$H$14:$H$16))/F133))*(inputs!E$75*3.4/inputs!$E$73)</f>
        <v>5.0960123456573081E-2</v>
      </c>
      <c r="T133">
        <f>IF((((inputs!$P$12/(V133/MAX(K133:S133)))^(1/inputs!$O$12))-1)/inputs!$N$12&lt;0, 0, IF((((inputs!$P$12/(V133/MAX(K133:S133)))^(1/inputs!$O$12))-1)/inputs!$N$12&gt;inputs!$H$17, inputs!$H$17, (((inputs!$P$12/(V133/MAX(K133:S133)))^(1/inputs!$O$12))-1)/inputs!$N$12))</f>
        <v>177.30705231338649</v>
      </c>
      <c r="U133">
        <f>IF((((inputs!$P$12/(X133/MAX(K133:S133)))^(1/inputs!$O$12))-1)/inputs!$N$12&lt;0, 0, IF((((inputs!$P$12/(X133/MAX(K133:S133)))^(1/inputs!$O$12))-1)/inputs!$N$12&gt;inputs!$H$17, inputs!$H$17, (((inputs!$P$12/(X133/MAX(K133:S133)))^(1/inputs!$O$12))-1)/inputs!$N$12))</f>
        <v>0</v>
      </c>
      <c r="V133">
        <f>inputs!$E$78*(F133/inputs!$F$78)^(inputs!$E$84-1)</f>
        <v>2.4149490696052035E-2</v>
      </c>
      <c r="W133">
        <f>inputs!$E$85*(F133/inputs!$F$85)^(inputs!$E$84-1)</f>
        <v>1.115178993077544</v>
      </c>
      <c r="X133">
        <f>inputs!$E$80*(F133/inputs!$F$80)^(inputs!$E$84-1)</f>
        <v>4.1642759868085495</v>
      </c>
      <c r="Y133">
        <f>inputs!$E$82*(F133/inputs!$F$82)^(inputs!$E$84-1)</f>
        <v>1.9192489974230829</v>
      </c>
      <c r="Z133">
        <f t="shared" si="15"/>
        <v>271.28959481865724</v>
      </c>
      <c r="AA133">
        <f t="shared" si="16"/>
        <v>5.8748466270233362</v>
      </c>
    </row>
    <row r="134" spans="1:27" x14ac:dyDescent="0.3">
      <c r="A134" t="s">
        <v>215</v>
      </c>
      <c r="B134" t="s">
        <v>216</v>
      </c>
      <c r="C134" t="s">
        <v>73</v>
      </c>
      <c r="D134" t="s">
        <v>217</v>
      </c>
      <c r="E134">
        <v>6901</v>
      </c>
      <c r="F134">
        <v>52.3</v>
      </c>
      <c r="G134" t="s">
        <v>154</v>
      </c>
      <c r="H134">
        <v>9.2999999999999999E-2</v>
      </c>
      <c r="I134">
        <f>MAX('Min rate concentrations'!$G$3:$G$368)</f>
        <v>7.5</v>
      </c>
      <c r="J134">
        <f>MAX('Min rate concentrations'!Z:Z)</f>
        <v>3.5</v>
      </c>
      <c r="K134">
        <f t="shared" si="11"/>
        <v>0.92920930771779675</v>
      </c>
      <c r="M134">
        <f>IF((((1.18*F134^0.874)/3.7-(0.301*F134^0.751)/(1-H134)*H134)*(MAX('Min rate concentrations'!$P$3:$P$368)))/F134&gt;0, (((1.18*F134^0.874)/3.7-(0.301*F134^0.751)/(1-H134)*H134)*(MAX('Min rate concentrations'!$P$3:$P$368)))/F134, 0)</f>
        <v>2.6444008772696103E-2</v>
      </c>
      <c r="N134">
        <f>IF((((1.18*F134^0.874)/3.7-(0.301*F134^0.751)/(1-H134)*H134)*(MAX('Min rate concentrations'!$Q$3:$Q$368)))/F134&gt;0, (((1.18*F134^0.874)/3.7-(0.301*F134^0.751)/(1-H134)*H134)*(MAX('Min rate concentrations'!$Q$3:$Q$368)))/F134, 0)</f>
        <v>0.10070020628757964</v>
      </c>
      <c r="O134">
        <f>((MAX('Min rate concentrations'!$F$3:$F$368))*0.62*6.01*8*(10*F134^0.667)*0.079*0.1/F134)*inputs!$E$80/(10^(0.84+0.62*LOG10(inputs!$E$80)))</f>
        <v>6.5515055460088893</v>
      </c>
      <c r="P134">
        <f>((MAX('Min rate concentrations'!Y:Y))*0.62*6.01*8*(10*F134^0.667)*0.079*0.1/F134)*inputs!$E$80/(10^(0.84+0.62*LOG10(inputs!$E$80)))</f>
        <v>2.1838351820029627</v>
      </c>
      <c r="Q134">
        <f>(inputs!$C$7*11.2*(10*F134^0.667)*0.5/F134)*inputs!$E$80/(10^(0.84+0.62*LOG10(inputs!$E$80)))</f>
        <v>1.1540168012419707</v>
      </c>
      <c r="R134">
        <f>(60*284*((F134/1000)^0.77)*3*24*(MAX('Min rate concentrations'!$R$3:$R$368))/F134)*(inputs!$E$73*3.4/inputs!$E$75)</f>
        <v>9.2401733011692744E-3</v>
      </c>
      <c r="S134">
        <f>(IF(inputs!$C$6="aerial",((0.025*0.112*inputs!$C$7/3.3)*(3*60*284*((F134/1000)^0.77))*MAX(inputs!$H$14:$H$16))/F134,((0.0083*0.112*inputs!$C$7/1)*(3*60*284*((F134/1000)^0.77))*MAX(inputs!$H$14:$H$16))/F134))*(inputs!E$75*3.4/inputs!$E$73)</f>
        <v>5.0960123456573081E-2</v>
      </c>
      <c r="T134">
        <f>IF((((inputs!$P$12/(V134/MAX(K134:S134)))^(1/inputs!$O$12))-1)/inputs!$N$12&lt;0, 0, IF((((inputs!$P$12/(V134/MAX(K134:S134)))^(1/inputs!$O$12))-1)/inputs!$N$12&gt;inputs!$H$17, inputs!$H$17, (((inputs!$P$12/(V134/MAX(K134:S134)))^(1/inputs!$O$12))-1)/inputs!$N$12))</f>
        <v>177.30705231338649</v>
      </c>
      <c r="U134">
        <f>IF((((inputs!$P$12/(X134/MAX(K134:S134)))^(1/inputs!$O$12))-1)/inputs!$N$12&lt;0, 0, IF((((inputs!$P$12/(X134/MAX(K134:S134)))^(1/inputs!$O$12))-1)/inputs!$N$12&gt;inputs!$H$17, inputs!$H$17, (((inputs!$P$12/(X134/MAX(K134:S134)))^(1/inputs!$O$12))-1)/inputs!$N$12))</f>
        <v>0</v>
      </c>
      <c r="V134">
        <f>inputs!$E$78*(F134/inputs!$F$78)^(inputs!$E$84-1)</f>
        <v>2.4149490696052035E-2</v>
      </c>
      <c r="W134">
        <f>inputs!$E$85*(F134/inputs!$F$85)^(inputs!$E$84-1)</f>
        <v>1.115178993077544</v>
      </c>
      <c r="X134">
        <f>inputs!$E$80*(F134/inputs!$F$80)^(inputs!$E$84-1)</f>
        <v>4.1642759868085495</v>
      </c>
      <c r="Y134">
        <f>inputs!$E$82*(F134/inputs!$F$82)^(inputs!$E$84-1)</f>
        <v>1.9192489974230829</v>
      </c>
      <c r="Z134">
        <f t="shared" si="15"/>
        <v>271.28959481865724</v>
      </c>
      <c r="AA134">
        <f t="shared" si="16"/>
        <v>5.8748466270233362</v>
      </c>
    </row>
    <row r="135" spans="1:27" x14ac:dyDescent="0.3">
      <c r="A135" t="s">
        <v>315</v>
      </c>
      <c r="B135" t="s">
        <v>316</v>
      </c>
      <c r="C135" t="s">
        <v>73</v>
      </c>
      <c r="D135" t="s">
        <v>236</v>
      </c>
      <c r="E135">
        <v>125</v>
      </c>
      <c r="F135">
        <v>834</v>
      </c>
      <c r="G135" t="s">
        <v>182</v>
      </c>
      <c r="H135">
        <v>0.85</v>
      </c>
      <c r="I135">
        <f>MAX('Min rate concentrations'!$M$3:$M$368)</f>
        <v>2.8488184789681945</v>
      </c>
      <c r="J135">
        <f>MAX('Min rate concentrations'!AE:AE)</f>
        <v>1.9699276716269429</v>
      </c>
      <c r="K135">
        <f t="shared" si="11"/>
        <v>1.0709511651624823</v>
      </c>
      <c r="L135">
        <f t="shared" ref="L135:L142" si="17">((0.301*F135^0.751)/(1-H135))*J135/F135</f>
        <v>0.74055133761235459</v>
      </c>
      <c r="M135">
        <f>IF((((1.18*F135^0.874)/3.7-(0.301*F135^0.751)/(1-H135)*H135)*(MAX('Min rate concentrations'!$P$3:$P$368)))/F135&gt;0, (((1.18*F135^0.874)/3.7-(0.301*F135^0.751)/(1-H135)*H135)*(MAX('Min rate concentrations'!$P$3:$P$368)))/F135, 0)</f>
        <v>0</v>
      </c>
      <c r="N135">
        <f>IF((((1.18*F135^0.874)/3.7-(0.301*F135^0.751)/(1-H135)*H135)*(MAX('Min rate concentrations'!$Q$3:$Q$368)))/F135&gt;0, (((1.18*F135^0.874)/3.7-(0.301*F135^0.751)/(1-H135)*H135)*(MAX('Min rate concentrations'!$Q$3:$Q$368)))/F135, 0)</f>
        <v>0</v>
      </c>
      <c r="O135">
        <f>((MAX('Min rate concentrations'!$F$3:$F$368))*0.62*6.01*8*(10*F135^0.667)*0.079*0.1/F135)*inputs!$E$80/(10^(0.84+0.62*LOG10(inputs!$E$80)))</f>
        <v>2.6052768505689619</v>
      </c>
      <c r="P135">
        <f>((MAX('Min rate concentrations'!Y:Y))*0.62*6.01*8*(10*F135^0.667)*0.079*0.1/F135)*inputs!$E$80/(10^(0.84+0.62*LOG10(inputs!$E$80)))</f>
        <v>0.86842561685632025</v>
      </c>
      <c r="Q135">
        <f>(inputs!$C$7*11.2*(10*F135^0.667)*0.5/F135)*inputs!$E$80/(10^(0.84+0.62*LOG10(inputs!$E$80)))</f>
        <v>0.45890722923601862</v>
      </c>
      <c r="R135">
        <f>(60*284*((F135/1000)^0.77)*3*24*(MAX('Min rate concentrations'!$R$3:$R$368))/F135)*(inputs!$E$73*3.4/inputs!$E$75)</f>
        <v>4.887281037611906E-3</v>
      </c>
      <c r="S135">
        <f>(IF(inputs!$C$6="aerial",((0.025*0.112*inputs!$C$7/3.3)*(3*60*284*((F135/1000)^0.77))*MAX(inputs!$H$14:$H$16))/F135,((0.0083*0.112*inputs!$C$7/1)*(3*60*284*((F135/1000)^0.77))*MAX(inputs!$H$14:$H$16))/F135))*(inputs!E$75*3.4/inputs!$E$73)</f>
        <v>2.6953655188713309E-2</v>
      </c>
      <c r="T135">
        <f>IF((((inputs!$P$12/(V135/MAX(K135:S135)))^(1/inputs!$O$12))-1)/inputs!$N$12&lt;0, 0, IF((((inputs!$P$12/(V135/MAX(K135:S135)))^(1/inputs!$O$12))-1)/inputs!$N$12&gt;inputs!$H$17, inputs!$H$17, (((inputs!$P$12/(V135/MAX(K135:S135)))^(1/inputs!$O$12))-1)/inputs!$N$12))</f>
        <v>186.06483556466296</v>
      </c>
      <c r="U135">
        <f>IF((((inputs!$P$12/(X135/MAX(K135:S135)))^(1/inputs!$O$12))-1)/inputs!$N$12&lt;0, 0, IF((((inputs!$P$12/(X135/MAX(K135:S135)))^(1/inputs!$O$12))-1)/inputs!$N$12&gt;inputs!$H$17, inputs!$H$17, (((inputs!$P$12/(X135/MAX(K135:S135)))^(1/inputs!$O$12))-1)/inputs!$N$12))</f>
        <v>0</v>
      </c>
      <c r="V135">
        <f>inputs!$E$78*(F135/inputs!$F$78)^(inputs!$E$84-1)</f>
        <v>8.6680650573563271E-3</v>
      </c>
      <c r="W135">
        <f>inputs!$E$85*(F135/inputs!$F$85)^(inputs!$E$84-1)</f>
        <v>0.40027527637150312</v>
      </c>
      <c r="X135">
        <f>inputs!$E$80*(F135/inputs!$F$80)^(inputs!$E$84-1)</f>
        <v>1.4946988168302964</v>
      </c>
      <c r="Y135">
        <f>inputs!$E$82*(F135/inputs!$F$82)^(inputs!$E$84-1)</f>
        <v>0.68888306508463437</v>
      </c>
      <c r="Z135">
        <f t="shared" si="15"/>
        <v>300.5603711243424</v>
      </c>
      <c r="AA135">
        <f t="shared" si="16"/>
        <v>6.5087128892541308</v>
      </c>
    </row>
    <row r="136" spans="1:27" x14ac:dyDescent="0.3">
      <c r="A136" t="s">
        <v>315</v>
      </c>
      <c r="B136" t="s">
        <v>316</v>
      </c>
      <c r="C136" t="s">
        <v>73</v>
      </c>
      <c r="D136" t="s">
        <v>236</v>
      </c>
      <c r="E136">
        <v>125</v>
      </c>
      <c r="F136">
        <v>834</v>
      </c>
      <c r="G136" t="s">
        <v>142</v>
      </c>
      <c r="H136">
        <v>0.69</v>
      </c>
      <c r="I136">
        <f>MAX('Min rate concentrations'!$H$3:$H$368)</f>
        <v>47</v>
      </c>
      <c r="J136">
        <f>MAX('Min rate concentrations'!AA:AA)</f>
        <v>32.5</v>
      </c>
      <c r="K136">
        <f t="shared" si="11"/>
        <v>8.5493345695099752</v>
      </c>
      <c r="L136">
        <f t="shared" si="17"/>
        <v>5.9117739044483875</v>
      </c>
      <c r="M136">
        <f>IF((((1.18*F136^0.874)/3.7-(0.301*F136^0.751)/(1-H136)*H136)*(MAX('Min rate concentrations'!$P$3:$P$368)))/F136&gt;0, (((1.18*F136^0.874)/3.7-(0.301*F136^0.751)/(1-H136)*H136)*(MAX('Min rate concentrations'!$P$3:$P$368)))/F136, 0)</f>
        <v>1.6169003684566841E-3</v>
      </c>
      <c r="N136">
        <f>IF((((1.18*F136^0.874)/3.7-(0.301*F136^0.751)/(1-H136)*H136)*(MAX('Min rate concentrations'!$Q$3:$Q$368)))/F136&gt;0, (((1.18*F136^0.874)/3.7-(0.301*F136^0.751)/(1-H136)*H136)*(MAX('Min rate concentrations'!$Q$3:$Q$368)))/F136, 0)</f>
        <v>6.1572434818645333E-3</v>
      </c>
      <c r="O136">
        <f>((MAX('Min rate concentrations'!$F$3:$F$368))*0.62*6.01*8*(10*F136^0.667)*0.079*0.1/F136)*inputs!$E$80/(10^(0.84+0.62*LOG10(inputs!$E$80)))</f>
        <v>2.6052768505689619</v>
      </c>
      <c r="P136">
        <f>((MAX('Min rate concentrations'!Y:Y))*0.62*6.01*8*(10*F136^0.667)*0.079*0.1/F136)*inputs!$E$80/(10^(0.84+0.62*LOG10(inputs!$E$80)))</f>
        <v>0.86842561685632025</v>
      </c>
      <c r="Q136">
        <f>(inputs!$C$7*11.2*(10*F136^0.667)*0.5/F136)*inputs!$E$80/(10^(0.84+0.62*LOG10(inputs!$E$80)))</f>
        <v>0.45890722923601862</v>
      </c>
      <c r="R136">
        <f>(60*284*((F136/1000)^0.77)*3*24*(MAX('Min rate concentrations'!$R$3:$R$368))/F136)*(inputs!$E$73*3.4/inputs!$E$75)</f>
        <v>4.887281037611906E-3</v>
      </c>
      <c r="S136">
        <f>(IF(inputs!$C$6="aerial",((0.025*0.112*inputs!$C$7/3.3)*(3*60*284*((F136/1000)^0.77))*MAX(inputs!$H$14:$H$16))/F136,((0.0083*0.112*inputs!$C$7/1)*(3*60*284*((F136/1000)^0.77))*MAX(inputs!$H$14:$H$16))/F136))*(inputs!E$75*3.4/inputs!$E$73)</f>
        <v>2.6953655188713309E-2</v>
      </c>
      <c r="T136">
        <f>IF((((inputs!$P$12/(V136/MAX(K136:S136)))^(1/inputs!$O$12))-1)/inputs!$N$12&lt;0, 0, IF((((inputs!$P$12/(V136/MAX(K136:S136)))^(1/inputs!$O$12))-1)/inputs!$N$12&gt;inputs!$H$17, inputs!$H$17, (((inputs!$P$12/(V136/MAX(K136:S136)))^(1/inputs!$O$12))-1)/inputs!$N$12))</f>
        <v>319.40306324961273</v>
      </c>
      <c r="U136">
        <f>IF((((inputs!$P$12/(X136/MAX(K136:S136)))^(1/inputs!$O$12))-1)/inputs!$N$12&lt;0, 0, IF((((inputs!$P$12/(X136/MAX(K136:S136)))^(1/inputs!$O$12))-1)/inputs!$N$12&gt;inputs!$H$17, inputs!$H$17, (((inputs!$P$12/(X136/MAX(K136:S136)))^(1/inputs!$O$12))-1)/inputs!$N$12))</f>
        <v>14.338018558360762</v>
      </c>
      <c r="V136">
        <f>inputs!$E$78*(F136/inputs!$F$78)^(inputs!$E$84-1)</f>
        <v>8.6680650573563271E-3</v>
      </c>
      <c r="W136">
        <f>inputs!$E$85*(F136/inputs!$F$85)^(inputs!$E$84-1)</f>
        <v>0.40027527637150312</v>
      </c>
      <c r="X136">
        <f>inputs!$E$80*(F136/inputs!$F$80)^(inputs!$E$84-1)</f>
        <v>1.4946988168302964</v>
      </c>
      <c r="Y136">
        <f>inputs!$E$82*(F136/inputs!$F$82)^(inputs!$E$84-1)</f>
        <v>0.68888306508463437</v>
      </c>
      <c r="Z136">
        <f t="shared" si="15"/>
        <v>986.30253844880997</v>
      </c>
      <c r="AA136">
        <f t="shared" si="16"/>
        <v>21.358637603125842</v>
      </c>
    </row>
    <row r="137" spans="1:27" x14ac:dyDescent="0.3">
      <c r="A137" t="s">
        <v>315</v>
      </c>
      <c r="B137" t="s">
        <v>316</v>
      </c>
      <c r="C137" t="s">
        <v>73</v>
      </c>
      <c r="D137" t="s">
        <v>236</v>
      </c>
      <c r="E137">
        <v>125</v>
      </c>
      <c r="F137">
        <v>834</v>
      </c>
      <c r="G137" t="s">
        <v>164</v>
      </c>
      <c r="H137">
        <v>0.78</v>
      </c>
      <c r="I137">
        <f>inputs!$C$65*(inputs!$C$62/1000)</f>
        <v>0.82000000000000006</v>
      </c>
      <c r="J137">
        <f>inputs!$C$65*(inputs!$C$61/1000)</f>
        <v>0.25</v>
      </c>
      <c r="K137">
        <f t="shared" si="11"/>
        <v>0.21017803167982943</v>
      </c>
      <c r="L137">
        <f t="shared" si="17"/>
        <v>6.4078668195069938E-2</v>
      </c>
      <c r="M137">
        <f>IF((((1.18*F137^0.874)/3.7-(0.301*F137^0.751)/(1-H137)*H137)*(MAX('Min rate concentrations'!$P$3:$P$368)))/F137&gt;0, (((1.18*F137^0.874)/3.7-(0.301*F137^0.751)/(1-H137)*H137)*(MAX('Min rate concentrations'!$P$3:$P$368)))/F137, 0)</f>
        <v>0</v>
      </c>
      <c r="N137">
        <f>IF((((1.18*F137^0.874)/3.7-(0.301*F137^0.751)/(1-H137)*H137)*(MAX('Min rate concentrations'!$Q$3:$Q$368)))/F137&gt;0, (((1.18*F137^0.874)/3.7-(0.301*F137^0.751)/(1-H137)*H137)*(MAX('Min rate concentrations'!$Q$3:$Q$368)))/F137, 0)</f>
        <v>0</v>
      </c>
      <c r="O137">
        <f>((MAX('Min rate concentrations'!$F$3:$F$368))*0.62*6.01*8*(10*F137^0.667)*0.079*0.1/F137)*inputs!$E$80/(10^(0.84+0.62*LOG10(inputs!$E$80)))</f>
        <v>2.6052768505689619</v>
      </c>
      <c r="P137">
        <f>((MAX('Min rate concentrations'!Y:Y))*0.62*6.01*8*(10*F137^0.667)*0.079*0.1/F137)*inputs!$E$80/(10^(0.84+0.62*LOG10(inputs!$E$80)))</f>
        <v>0.86842561685632025</v>
      </c>
      <c r="Q137">
        <f>(inputs!$C$7*11.2*(10*F137^0.667)*0.5/F137)*inputs!$E$80/(10^(0.84+0.62*LOG10(inputs!$E$80)))</f>
        <v>0.45890722923601862</v>
      </c>
      <c r="R137">
        <f>(60*284*((F137/1000)^0.77)*3*24*(MAX('Min rate concentrations'!$R$3:$R$368))/F137)*(inputs!$E$73*3.4/inputs!$E$75)</f>
        <v>4.887281037611906E-3</v>
      </c>
      <c r="S137">
        <f>(IF(inputs!$C$6="aerial",((0.025*0.112*inputs!$C$7/3.3)*(3*60*284*((F137/1000)^0.77))*MAX(inputs!$H$14:$H$16))/F137,((0.0083*0.112*inputs!$C$7/1)*(3*60*284*((F137/1000)^0.77))*MAX(inputs!$H$14:$H$16))/F137))*(inputs!E$75*3.4/inputs!$E$73)</f>
        <v>2.6953655188713309E-2</v>
      </c>
      <c r="T137">
        <f>IF((((inputs!$P$12/(V137/MAX(K137:S137)))^(1/inputs!$O$12))-1)/inputs!$N$12&lt;0, 0, IF((((inputs!$P$12/(V137/MAX(K137:S137)))^(1/inputs!$O$12))-1)/inputs!$N$12&gt;inputs!$H$17, inputs!$H$17, (((inputs!$P$12/(V137/MAX(K137:S137)))^(1/inputs!$O$12))-1)/inputs!$N$12))</f>
        <v>186.06483556466296</v>
      </c>
      <c r="U137">
        <f>IF((((inputs!$P$12/(X137/MAX(K137:S137)))^(1/inputs!$O$12))-1)/inputs!$N$12&lt;0, 0, IF((((inputs!$P$12/(X137/MAX(K137:S137)))^(1/inputs!$O$12))-1)/inputs!$N$12&gt;inputs!$H$17, inputs!$H$17, (((inputs!$P$12/(X137/MAX(K137:S137)))^(1/inputs!$O$12))-1)/inputs!$N$12))</f>
        <v>0</v>
      </c>
      <c r="V137">
        <f>inputs!$E$78*(F137/inputs!$F$78)^(inputs!$E$84-1)</f>
        <v>8.6680650573563271E-3</v>
      </c>
      <c r="W137">
        <f>inputs!$E$85*(F137/inputs!$F$85)^(inputs!$E$84-1)</f>
        <v>0.40027527637150312</v>
      </c>
      <c r="X137">
        <f>inputs!$E$80*(F137/inputs!$F$80)^(inputs!$E$84-1)</f>
        <v>1.4946988168302964</v>
      </c>
      <c r="Y137">
        <f>inputs!$E$82*(F137/inputs!$F$82)^(inputs!$E$84-1)</f>
        <v>0.68888306508463437</v>
      </c>
      <c r="Z137">
        <f t="shared" si="15"/>
        <v>300.5603711243424</v>
      </c>
      <c r="AA137">
        <f t="shared" si="16"/>
        <v>6.5087128892541308</v>
      </c>
    </row>
    <row r="138" spans="1:27" x14ac:dyDescent="0.3">
      <c r="A138" t="s">
        <v>315</v>
      </c>
      <c r="B138" t="s">
        <v>316</v>
      </c>
      <c r="C138" t="s">
        <v>73</v>
      </c>
      <c r="D138" t="s">
        <v>236</v>
      </c>
      <c r="E138">
        <v>125</v>
      </c>
      <c r="F138">
        <v>834</v>
      </c>
      <c r="G138" t="s">
        <v>138</v>
      </c>
      <c r="H138">
        <v>0.68</v>
      </c>
      <c r="I138">
        <f>MAX('Min rate concentrations'!$L$3:$L$368)</f>
        <v>58.421240152220811</v>
      </c>
      <c r="J138">
        <f>MAX('Min rate concentrations'!AD:AD)</f>
        <v>40.397666062705881</v>
      </c>
      <c r="K138">
        <f t="shared" si="11"/>
        <v>10.294776973961302</v>
      </c>
      <c r="L138">
        <f t="shared" si="17"/>
        <v>7.1187287585902626</v>
      </c>
      <c r="M138">
        <f>IF((((1.18*F138^0.874)/3.7-(0.301*F138^0.751)/(1-H138)*H138)*(MAX('Min rate concentrations'!$P$3:$P$368)))/F138&gt;0, (((1.18*F138^0.874)/3.7-(0.301*F138^0.751)/(1-H138)*H138)*(MAX('Min rate concentrations'!$P$3:$P$368)))/F138, 0)</f>
        <v>2.441979543069957E-3</v>
      </c>
      <c r="N138">
        <f>IF((((1.18*F138^0.874)/3.7-(0.301*F138^0.751)/(1-H138)*H138)*(MAX('Min rate concentrations'!$Q$3:$Q$368)))/F138&gt;0, (((1.18*F138^0.874)/3.7-(0.301*F138^0.751)/(1-H138)*H138)*(MAX('Min rate concentrations'!$Q$3:$Q$368)))/F138, 0)</f>
        <v>9.2991893116862942E-3</v>
      </c>
      <c r="O138">
        <f>((MAX('Min rate concentrations'!$F$3:$F$368))*0.62*6.01*8*(10*F138^0.667)*0.079*0.1/F138)*inputs!$E$80/(10^(0.84+0.62*LOG10(inputs!$E$80)))</f>
        <v>2.6052768505689619</v>
      </c>
      <c r="P138">
        <f>((MAX('Min rate concentrations'!Y:Y))*0.62*6.01*8*(10*F138^0.667)*0.079*0.1/F138)*inputs!$E$80/(10^(0.84+0.62*LOG10(inputs!$E$80)))</f>
        <v>0.86842561685632025</v>
      </c>
      <c r="Q138">
        <f>(inputs!$C$7*11.2*(10*F138^0.667)*0.5/F138)*inputs!$E$80/(10^(0.84+0.62*LOG10(inputs!$E$80)))</f>
        <v>0.45890722923601862</v>
      </c>
      <c r="R138">
        <f>(60*284*((F138/1000)^0.77)*3*24*(MAX('Min rate concentrations'!$R$3:$R$368))/F138)*(inputs!$E$73*3.4/inputs!$E$75)</f>
        <v>4.887281037611906E-3</v>
      </c>
      <c r="S138">
        <f>(IF(inputs!$C$6="aerial",((0.025*0.112*inputs!$C$7/3.3)*(3*60*284*((F138/1000)^0.77))*MAX(inputs!$H$14:$H$16))/F138,((0.0083*0.112*inputs!$C$7/1)*(3*60*284*((F138/1000)^0.77))*MAX(inputs!$H$14:$H$16))/F138))*(inputs!E$75*3.4/inputs!$E$73)</f>
        <v>2.6953655188713309E-2</v>
      </c>
      <c r="T138">
        <f>IF((((inputs!$P$12/(V138/MAX(K138:S138)))^(1/inputs!$O$12))-1)/inputs!$N$12&lt;0, 0, IF((((inputs!$P$12/(V138/MAX(K138:S138)))^(1/inputs!$O$12))-1)/inputs!$N$12&gt;inputs!$H$17, inputs!$H$17, (((inputs!$P$12/(V138/MAX(K138:S138)))^(1/inputs!$O$12))-1)/inputs!$N$12))</f>
        <v>346.71021472001752</v>
      </c>
      <c r="U138">
        <f>IF((((inputs!$P$12/(X138/MAX(K138:S138)))^(1/inputs!$O$12))-1)/inputs!$N$12&lt;0, 0, IF((((inputs!$P$12/(X138/MAX(K138:S138)))^(1/inputs!$O$12))-1)/inputs!$N$12&gt;inputs!$H$17, inputs!$H$17, (((inputs!$P$12/(X138/MAX(K138:S138)))^(1/inputs!$O$12))-1)/inputs!$N$12))</f>
        <v>17.699717872606541</v>
      </c>
      <c r="V138">
        <f>inputs!$E$78*(F138/inputs!$F$78)^(inputs!$E$84-1)</f>
        <v>8.6680650573563271E-3</v>
      </c>
      <c r="W138">
        <f>inputs!$E$85*(F138/inputs!$F$85)^(inputs!$E$84-1)</f>
        <v>0.40027527637150312</v>
      </c>
      <c r="X138">
        <f>inputs!$E$80*(F138/inputs!$F$80)^(inputs!$E$84-1)</f>
        <v>1.4946988168302964</v>
      </c>
      <c r="Y138">
        <f>inputs!$E$82*(F138/inputs!$F$82)^(inputs!$E$84-1)</f>
        <v>0.68888306508463437</v>
      </c>
      <c r="Z138">
        <f t="shared" si="15"/>
        <v>1187.6672482083452</v>
      </c>
      <c r="AA138">
        <f t="shared" si="16"/>
        <v>25.719242685392647</v>
      </c>
    </row>
    <row r="139" spans="1:27" x14ac:dyDescent="0.3">
      <c r="A139" t="s">
        <v>315</v>
      </c>
      <c r="B139" t="s">
        <v>316</v>
      </c>
      <c r="C139" t="s">
        <v>73</v>
      </c>
      <c r="D139" t="s">
        <v>236</v>
      </c>
      <c r="E139">
        <v>125</v>
      </c>
      <c r="F139">
        <v>834</v>
      </c>
      <c r="G139" t="s">
        <v>218</v>
      </c>
      <c r="H139">
        <v>0.68</v>
      </c>
      <c r="I139">
        <f>MAX('Min rate concentrations'!$K$3:$K$368)</f>
        <v>18.333393099490852</v>
      </c>
      <c r="J139">
        <f>MAX('Min rate concentrations'!AC:AC)</f>
        <v>6.4930767227363431</v>
      </c>
      <c r="K139">
        <f t="shared" si="11"/>
        <v>3.2306433866081634</v>
      </c>
      <c r="L139">
        <f t="shared" si="17"/>
        <v>1.1441861994237243</v>
      </c>
      <c r="M139">
        <f>IF((((1.18*F139^0.874)/3.7-(0.301*F139^0.751)/(1-H139)*H139)*(MAX('Min rate concentrations'!$P$3:$P$368)))/F139&gt;0, (((1.18*F139^0.874)/3.7-(0.301*F139^0.751)/(1-H139)*H139)*(MAX('Min rate concentrations'!$P$3:$P$368)))/F139, 0)</f>
        <v>2.441979543069957E-3</v>
      </c>
      <c r="N139">
        <f>IF((((1.18*F139^0.874)/3.7-(0.301*F139^0.751)/(1-H139)*H139)*(MAX('Min rate concentrations'!$Q$3:$Q$368)))/F139&gt;0, (((1.18*F139^0.874)/3.7-(0.301*F139^0.751)/(1-H139)*H139)*(MAX('Min rate concentrations'!$Q$3:$Q$368)))/F139, 0)</f>
        <v>9.2991893116862942E-3</v>
      </c>
      <c r="O139">
        <f>((MAX('Min rate concentrations'!$F$3:$F$368))*0.62*6.01*8*(10*F139^0.667)*0.079*0.1/F139)*inputs!$E$80/(10^(0.84+0.62*LOG10(inputs!$E$80)))</f>
        <v>2.6052768505689619</v>
      </c>
      <c r="P139">
        <f>((MAX('Min rate concentrations'!Y:Y))*0.62*6.01*8*(10*F139^0.667)*0.079*0.1/F139)*inputs!$E$80/(10^(0.84+0.62*LOG10(inputs!$E$80)))</f>
        <v>0.86842561685632025</v>
      </c>
      <c r="Q139">
        <f>(inputs!$C$7*11.2*(10*F139^0.667)*0.5/F139)*inputs!$E$80/(10^(0.84+0.62*LOG10(inputs!$E$80)))</f>
        <v>0.45890722923601862</v>
      </c>
      <c r="R139">
        <f>(60*284*((F139/1000)^0.77)*3*24*(MAX('Min rate concentrations'!$R$3:$R$368))/F139)*(inputs!$E$73*3.4/inputs!$E$75)</f>
        <v>4.887281037611906E-3</v>
      </c>
      <c r="S139">
        <f>(IF(inputs!$C$6="aerial",((0.025*0.112*inputs!$C$7/3.3)*(3*60*284*((F139/1000)^0.77))*MAX(inputs!$H$14:$H$16))/F139,((0.0083*0.112*inputs!$C$7/1)*(3*60*284*((F139/1000)^0.77))*MAX(inputs!$H$14:$H$16))/F139))*(inputs!E$75*3.4/inputs!$E$73)</f>
        <v>2.6953655188713309E-2</v>
      </c>
      <c r="T139">
        <f>IF((((inputs!$P$12/(V139/MAX(K139:S139)))^(1/inputs!$O$12))-1)/inputs!$N$12&lt;0, 0, IF((((inputs!$P$12/(V139/MAX(K139:S139)))^(1/inputs!$O$12))-1)/inputs!$N$12&gt;inputs!$H$17, inputs!$H$17, (((inputs!$P$12/(V139/MAX(K139:S139)))^(1/inputs!$O$12))-1)/inputs!$N$12))</f>
        <v>205.68563375854981</v>
      </c>
      <c r="U139">
        <f>IF((((inputs!$P$12/(X139/MAX(K139:S139)))^(1/inputs!$O$12))-1)/inputs!$N$12&lt;0, 0, IF((((inputs!$P$12/(X139/MAX(K139:S139)))^(1/inputs!$O$12))-1)/inputs!$N$12&gt;inputs!$H$17, inputs!$H$17, (((inputs!$P$12/(X139/MAX(K139:S139)))^(1/inputs!$O$12))-1)/inputs!$N$12))</f>
        <v>0.338616051943671</v>
      </c>
      <c r="V139">
        <f>inputs!$E$78*(F139/inputs!$F$78)^(inputs!$E$84-1)</f>
        <v>8.6680650573563271E-3</v>
      </c>
      <c r="W139">
        <f>inputs!$E$85*(F139/inputs!$F$85)^(inputs!$E$84-1)</f>
        <v>0.40027527637150312</v>
      </c>
      <c r="X139">
        <f>inputs!$E$80*(F139/inputs!$F$80)^(inputs!$E$84-1)</f>
        <v>1.4946988168302964</v>
      </c>
      <c r="Y139">
        <f>inputs!$E$82*(F139/inputs!$F$82)^(inputs!$E$84-1)</f>
        <v>0.68888306508463437</v>
      </c>
      <c r="Z139">
        <f t="shared" si="15"/>
        <v>372.70640739670188</v>
      </c>
      <c r="AA139">
        <f t="shared" si="16"/>
        <v>8.0710540403443289</v>
      </c>
    </row>
    <row r="140" spans="1:27" x14ac:dyDescent="0.3">
      <c r="A140" t="s">
        <v>315</v>
      </c>
      <c r="B140" t="s">
        <v>316</v>
      </c>
      <c r="C140" t="s">
        <v>73</v>
      </c>
      <c r="D140" t="s">
        <v>236</v>
      </c>
      <c r="E140">
        <v>125</v>
      </c>
      <c r="F140">
        <v>834</v>
      </c>
      <c r="G140" t="s">
        <v>186</v>
      </c>
      <c r="H140">
        <v>0.75</v>
      </c>
      <c r="I140">
        <f>inputs!$C$65*inputs!$C$64/1000</f>
        <v>2.13</v>
      </c>
      <c r="J140">
        <f>inputs!$C$65*inputs!$C$63/1000</f>
        <v>0.88</v>
      </c>
      <c r="K140">
        <f t="shared" si="11"/>
        <v>0.48043622265935637</v>
      </c>
      <c r="L140">
        <f t="shared" si="17"/>
        <v>0.19849008260104864</v>
      </c>
      <c r="M140">
        <f>IF((((1.18*F140^0.874)/3.7-(0.301*F140^0.751)/(1-H140)*H140)*(MAX('Min rate concentrations'!$P$3:$P$368)))/F140&gt;0, (((1.18*F140^0.874)/3.7-(0.301*F140^0.751)/(1-H140)*H140)*(MAX('Min rate concentrations'!$P$3:$P$368)))/F140, 0)</f>
        <v>0</v>
      </c>
      <c r="N140">
        <f>IF((((1.18*F140^0.874)/3.7-(0.301*F140^0.751)/(1-H140)*H140)*(MAX('Min rate concentrations'!$Q$3:$Q$368)))/F140&gt;0, (((1.18*F140^0.874)/3.7-(0.301*F140^0.751)/(1-H140)*H140)*(MAX('Min rate concentrations'!$Q$3:$Q$368)))/F140, 0)</f>
        <v>0</v>
      </c>
      <c r="O140">
        <f>((MAX('Min rate concentrations'!$F$3:$F$368))*0.62*6.01*8*(10*F140^0.667)*0.079*0.1/F140)*inputs!$E$80/(10^(0.84+0.62*LOG10(inputs!$E$80)))</f>
        <v>2.6052768505689619</v>
      </c>
      <c r="P140">
        <f>((MAX('Min rate concentrations'!Y:Y))*0.62*6.01*8*(10*F140^0.667)*0.079*0.1/F140)*inputs!$E$80/(10^(0.84+0.62*LOG10(inputs!$E$80)))</f>
        <v>0.86842561685632025</v>
      </c>
      <c r="Q140">
        <f>(inputs!$C$7*11.2*(10*F140^0.667)*0.5/F140)*inputs!$E$80/(10^(0.84+0.62*LOG10(inputs!$E$80)))</f>
        <v>0.45890722923601862</v>
      </c>
      <c r="R140">
        <f>(60*284*((F140/1000)^0.77)*3*24*(MAX('Min rate concentrations'!$R$3:$R$368))/F140)*(inputs!$E$73*3.4/inputs!$E$75)</f>
        <v>4.887281037611906E-3</v>
      </c>
      <c r="S140">
        <f>(IF(inputs!$C$6="aerial",((0.025*0.112*inputs!$C$7/3.3)*(3*60*284*((F140/1000)^0.77))*MAX(inputs!$H$14:$H$16))/F140,((0.0083*0.112*inputs!$C$7/1)*(3*60*284*((F140/1000)^0.77))*MAX(inputs!$H$14:$H$16))/F140))*(inputs!E$75*3.4/inputs!$E$73)</f>
        <v>2.6953655188713309E-2</v>
      </c>
      <c r="T140">
        <f>IF((((inputs!$P$12/(V140/MAX(K140:S140)))^(1/inputs!$O$12))-1)/inputs!$N$12&lt;0, 0, IF((((inputs!$P$12/(V140/MAX(K140:S140)))^(1/inputs!$O$12))-1)/inputs!$N$12&gt;inputs!$H$17, inputs!$H$17, (((inputs!$P$12/(V140/MAX(K140:S140)))^(1/inputs!$O$12))-1)/inputs!$N$12))</f>
        <v>186.06483556466296</v>
      </c>
      <c r="U140">
        <f>IF((((inputs!$P$12/(X140/MAX(K140:S140)))^(1/inputs!$O$12))-1)/inputs!$N$12&lt;0, 0, IF((((inputs!$P$12/(X140/MAX(K140:S140)))^(1/inputs!$O$12))-1)/inputs!$N$12&gt;inputs!$H$17, inputs!$H$17, (((inputs!$P$12/(X140/MAX(K140:S140)))^(1/inputs!$O$12))-1)/inputs!$N$12))</f>
        <v>0</v>
      </c>
      <c r="V140">
        <f>inputs!$E$78*(F140/inputs!$F$78)^(inputs!$E$84-1)</f>
        <v>8.6680650573563271E-3</v>
      </c>
      <c r="W140">
        <f>inputs!$E$85*(F140/inputs!$F$85)^(inputs!$E$84-1)</f>
        <v>0.40027527637150312</v>
      </c>
      <c r="X140">
        <f>inputs!$E$80*(F140/inputs!$F$80)^(inputs!$E$84-1)</f>
        <v>1.4946988168302964</v>
      </c>
      <c r="Y140">
        <f>inputs!$E$82*(F140/inputs!$F$82)^(inputs!$E$84-1)</f>
        <v>0.68888306508463437</v>
      </c>
      <c r="Z140">
        <f t="shared" si="15"/>
        <v>300.5603711243424</v>
      </c>
      <c r="AA140">
        <f t="shared" si="16"/>
        <v>6.5087128892541308</v>
      </c>
    </row>
    <row r="141" spans="1:27" x14ac:dyDescent="0.3">
      <c r="A141" t="s">
        <v>315</v>
      </c>
      <c r="B141" t="s">
        <v>316</v>
      </c>
      <c r="C141" t="s">
        <v>73</v>
      </c>
      <c r="D141" t="s">
        <v>236</v>
      </c>
      <c r="E141">
        <v>125</v>
      </c>
      <c r="F141">
        <v>834</v>
      </c>
      <c r="G141" t="s">
        <v>456</v>
      </c>
      <c r="H141">
        <v>0.68</v>
      </c>
      <c r="I141">
        <f>MAX('Min rate concentrations'!$J$3:$J$368)</f>
        <v>114.4108103430513</v>
      </c>
      <c r="J141">
        <f>MAX('Min rate concentrations'!AB:AB)</f>
        <v>40.520495329830666</v>
      </c>
      <c r="K141">
        <f t="shared" si="11"/>
        <v>20.161053973229016</v>
      </c>
      <c r="L141">
        <f t="shared" si="17"/>
        <v>7.1403732821852772</v>
      </c>
      <c r="M141">
        <f>IF((((1.18*F141^0.874)/3.7-(0.301*F141^0.751)/(1-H141)*H141)*(MAX('Min rate concentrations'!$P$3:$P$368)))/F141&gt;0, (((1.18*F141^0.874)/3.7-(0.301*F141^0.751)/(1-H141)*H141)*(MAX('Min rate concentrations'!$P$3:$P$368)))/F141, 0)</f>
        <v>2.441979543069957E-3</v>
      </c>
      <c r="N141">
        <f>IF((((1.18*F141^0.874)/3.7-(0.301*F141^0.751)/(1-H141)*H141)*(MAX('Min rate concentrations'!$Q$3:$Q$368)))/F141&gt;0, (((1.18*F141^0.874)/3.7-(0.301*F141^0.751)/(1-H141)*H141)*(MAX('Min rate concentrations'!$Q$3:$Q$368)))/F141, 0)</f>
        <v>9.2991893116862942E-3</v>
      </c>
      <c r="O141">
        <f>((MAX('Min rate concentrations'!$F$3:$F$368))*0.62*6.01*8*(10*F141^0.667)*0.079*0.1/F141)*inputs!$E$80/(10^(0.84+0.62*LOG10(inputs!$E$80)))</f>
        <v>2.6052768505689619</v>
      </c>
      <c r="P141">
        <f>((MAX('Min rate concentrations'!Y:Y))*0.62*6.01*8*(10*F141^0.667)*0.079*0.1/F141)*inputs!$E$80/(10^(0.84+0.62*LOG10(inputs!$E$80)))</f>
        <v>0.86842561685632025</v>
      </c>
      <c r="Q141">
        <f>(inputs!$C$7*11.2*(10*F141^0.667)*0.5/F141)*inputs!$E$80/(10^(0.84+0.62*LOG10(inputs!$E$80)))</f>
        <v>0.45890722923601862</v>
      </c>
      <c r="R141">
        <f>(60*284*((F141/1000)^0.77)*3*24*(MAX('Min rate concentrations'!$R$3:$R$368))/F141)*(inputs!$E$73*3.4/inputs!$E$75)</f>
        <v>4.887281037611906E-3</v>
      </c>
      <c r="S141">
        <f>(IF(inputs!$C$6="aerial",((0.025*0.112*inputs!$C$7/3.3)*(3*60*284*((F141/1000)^0.77))*MAX(inputs!$H$14:$H$16))/F141,((0.0083*0.112*inputs!$C$7/1)*(3*60*284*((F141/1000)^0.77))*MAX(inputs!$H$14:$H$16))/F141))*(inputs!E$75*3.4/inputs!$E$73)</f>
        <v>2.6953655188713309E-2</v>
      </c>
      <c r="T141">
        <f>IF((((inputs!$P$12/(V141/MAX(K141:S141)))^(1/inputs!$O$12))-1)/inputs!$N$12&lt;0, 0, IF((((inputs!$P$12/(V141/MAX(K141:S141)))^(1/inputs!$O$12))-1)/inputs!$N$12&gt;inputs!$H$17, inputs!$H$17, (((inputs!$P$12/(V141/MAX(K141:S141)))^(1/inputs!$O$12))-1)/inputs!$N$12))</f>
        <v>464.66981539611555</v>
      </c>
      <c r="U141">
        <f>IF((((inputs!$P$12/(X141/MAX(K141:S141)))^(1/inputs!$O$12))-1)/inputs!$N$12&lt;0, 0, IF((((inputs!$P$12/(X141/MAX(K141:S141)))^(1/inputs!$O$12))-1)/inputs!$N$12&gt;inputs!$H$17, inputs!$H$17, (((inputs!$P$12/(X141/MAX(K141:S141)))^(1/inputs!$O$12))-1)/inputs!$N$12))</f>
        <v>32.221361008153423</v>
      </c>
      <c r="V141">
        <f>inputs!$E$78*(F141/inputs!$F$78)^(inputs!$E$84-1)</f>
        <v>8.6680650573563271E-3</v>
      </c>
      <c r="W141">
        <f>inputs!$E$85*(F141/inputs!$F$85)^(inputs!$E$84-1)</f>
        <v>0.40027527637150312</v>
      </c>
      <c r="X141">
        <f>inputs!$E$80*(F141/inputs!$F$80)^(inputs!$E$84-1)</f>
        <v>1.4946988168302964</v>
      </c>
      <c r="Y141">
        <f>inputs!$E$82*(F141/inputs!$F$82)^(inputs!$E$84-1)</f>
        <v>0.68888306508463437</v>
      </c>
      <c r="Z141">
        <f t="shared" si="15"/>
        <v>2325.9001680102683</v>
      </c>
      <c r="AA141">
        <f t="shared" si="16"/>
        <v>50.367972151537927</v>
      </c>
    </row>
    <row r="142" spans="1:27" x14ac:dyDescent="0.3">
      <c r="A142" t="s">
        <v>315</v>
      </c>
      <c r="B142" t="s">
        <v>316</v>
      </c>
      <c r="C142" t="s">
        <v>73</v>
      </c>
      <c r="D142" t="s">
        <v>236</v>
      </c>
      <c r="E142">
        <v>125</v>
      </c>
      <c r="F142">
        <v>834</v>
      </c>
      <c r="G142" t="s">
        <v>145</v>
      </c>
      <c r="H142">
        <v>0.66</v>
      </c>
      <c r="I142">
        <f>MAX('Min rate concentrations'!$M$3:$M$368)</f>
        <v>2.8488184789681945</v>
      </c>
      <c r="J142">
        <f>MAX('Min rate concentrations'!AE:AE)</f>
        <v>1.9699276716269429</v>
      </c>
      <c r="K142">
        <f t="shared" si="11"/>
        <v>0.47247845521874232</v>
      </c>
      <c r="L142">
        <f t="shared" si="17"/>
        <v>0.32671382541721539</v>
      </c>
      <c r="M142">
        <f>IF((((1.18*F142^0.874)/3.7-(0.301*F142^0.751)/(1-H142)*H142)*(MAX('Min rate concentrations'!$P$3:$P$368)))/F142&gt;0, (((1.18*F142^0.874)/3.7-(0.301*F142^0.751)/(1-H142)*H142)*(MAX('Min rate concentrations'!$P$3:$P$368)))/F142, 0)</f>
        <v>3.9465356850118261E-3</v>
      </c>
      <c r="N142">
        <f>IF((((1.18*F142^0.874)/3.7-(0.301*F142^0.751)/(1-H142)*H142)*(MAX('Min rate concentrations'!$Q$3:$Q$368)))/F142&gt;0, (((1.18*F142^0.874)/3.7-(0.301*F142^0.751)/(1-H142)*H142)*(MAX('Min rate concentrations'!$Q$3:$Q$368)))/F142, 0)</f>
        <v>1.5028619942537805E-2</v>
      </c>
      <c r="O142">
        <f>((MAX('Min rate concentrations'!$F$3:$F$368))*0.62*6.01*8*(10*F142^0.667)*0.079*0.1/F142)*inputs!$E$80/(10^(0.84+0.62*LOG10(inputs!$E$80)))</f>
        <v>2.6052768505689619</v>
      </c>
      <c r="P142">
        <f>((MAX('Min rate concentrations'!Y:Y))*0.62*6.01*8*(10*F142^0.667)*0.079*0.1/F142)*inputs!$E$80/(10^(0.84+0.62*LOG10(inputs!$E$80)))</f>
        <v>0.86842561685632025</v>
      </c>
      <c r="Q142">
        <f>(inputs!$C$7*11.2*(10*F142^0.667)*0.5/F142)*inputs!$E$80/(10^(0.84+0.62*LOG10(inputs!$E$80)))</f>
        <v>0.45890722923601862</v>
      </c>
      <c r="R142">
        <f>(60*284*((F142/1000)^0.77)*3*24*(MAX('Min rate concentrations'!$R$3:$R$368))/F142)*(inputs!$E$73*3.4/inputs!$E$75)</f>
        <v>4.887281037611906E-3</v>
      </c>
      <c r="S142">
        <f>(IF(inputs!$C$6="aerial",((0.025*0.112*inputs!$C$7/3.3)*(3*60*284*((F142/1000)^0.77))*MAX(inputs!$H$14:$H$16))/F142,((0.0083*0.112*inputs!$C$7/1)*(3*60*284*((F142/1000)^0.77))*MAX(inputs!$H$14:$H$16))/F142))*(inputs!E$75*3.4/inputs!$E$73)</f>
        <v>2.6953655188713309E-2</v>
      </c>
      <c r="T142">
        <f>IF((((inputs!$P$12/(V142/MAX(K142:S142)))^(1/inputs!$O$12))-1)/inputs!$N$12&lt;0, 0, IF((((inputs!$P$12/(V142/MAX(K142:S142)))^(1/inputs!$O$12))-1)/inputs!$N$12&gt;inputs!$H$17, inputs!$H$17, (((inputs!$P$12/(V142/MAX(K142:S142)))^(1/inputs!$O$12))-1)/inputs!$N$12))</f>
        <v>186.06483556466296</v>
      </c>
      <c r="U142">
        <f>IF((((inputs!$P$12/(X142/MAX(K142:S142)))^(1/inputs!$O$12))-1)/inputs!$N$12&lt;0, 0, IF((((inputs!$P$12/(X142/MAX(K142:S142)))^(1/inputs!$O$12))-1)/inputs!$N$12&gt;inputs!$H$17, inputs!$H$17, (((inputs!$P$12/(X142/MAX(K142:S142)))^(1/inputs!$O$12))-1)/inputs!$N$12))</f>
        <v>0</v>
      </c>
      <c r="V142">
        <f>inputs!$E$78*(F142/inputs!$F$78)^(inputs!$E$84-1)</f>
        <v>8.6680650573563271E-3</v>
      </c>
      <c r="W142">
        <f>inputs!$E$85*(F142/inputs!$F$85)^(inputs!$E$84-1)</f>
        <v>0.40027527637150312</v>
      </c>
      <c r="X142">
        <f>inputs!$E$80*(F142/inputs!$F$80)^(inputs!$E$84-1)</f>
        <v>1.4946988168302964</v>
      </c>
      <c r="Y142">
        <f>inputs!$E$82*(F142/inputs!$F$82)^(inputs!$E$84-1)</f>
        <v>0.68888306508463437</v>
      </c>
      <c r="Z142">
        <f t="shared" si="15"/>
        <v>300.5603711243424</v>
      </c>
      <c r="AA142">
        <f t="shared" si="16"/>
        <v>6.5087128892541308</v>
      </c>
    </row>
    <row r="143" spans="1:27" x14ac:dyDescent="0.3">
      <c r="A143" t="s">
        <v>315</v>
      </c>
      <c r="B143" t="s">
        <v>316</v>
      </c>
      <c r="C143" t="s">
        <v>73</v>
      </c>
      <c r="D143" t="s">
        <v>236</v>
      </c>
      <c r="E143">
        <v>125</v>
      </c>
      <c r="F143">
        <v>834</v>
      </c>
      <c r="G143" t="s">
        <v>146</v>
      </c>
      <c r="H143">
        <v>0.84</v>
      </c>
      <c r="I143">
        <f>MAX('Min rate concentrations'!$I$3:$I$368)</f>
        <v>9.4775690500787988</v>
      </c>
      <c r="J143" t="s">
        <v>13</v>
      </c>
      <c r="K143">
        <f t="shared" si="11"/>
        <v>3.3402050135072487</v>
      </c>
      <c r="L143" t="s">
        <v>13</v>
      </c>
      <c r="M143">
        <f>IF((((1.18*F143^0.874)/3.7-(0.301*F143^0.751)/(1-H143)*H143)*(MAX('Min rate concentrations'!$P$3:$P$368)))/F143&gt;0, (((1.18*F143^0.874)/3.7-(0.301*F143^0.751)/(1-H143)*H143)*(MAX('Min rate concentrations'!$P$3:$P$368)))/F143, 0)</f>
        <v>0</v>
      </c>
      <c r="N143">
        <f>IF((((1.18*F143^0.874)/3.7-(0.301*F143^0.751)/(1-H143)*H143)*(MAX('Min rate concentrations'!$Q$3:$Q$368)))/F143&gt;0, (((1.18*F143^0.874)/3.7-(0.301*F143^0.751)/(1-H143)*H143)*(MAX('Min rate concentrations'!$Q$3:$Q$368)))/F143, 0)</f>
        <v>0</v>
      </c>
      <c r="O143">
        <f>((MAX('Min rate concentrations'!$F$3:$F$368))*0.62*6.01*8*(10*F143^0.667)*0.079*0.1/F143)*inputs!$E$80/(10^(0.84+0.62*LOG10(inputs!$E$80)))</f>
        <v>2.6052768505689619</v>
      </c>
      <c r="P143">
        <f>((MAX('Min rate concentrations'!Y:Y))*0.62*6.01*8*(10*F143^0.667)*0.079*0.1/F143)*inputs!$E$80/(10^(0.84+0.62*LOG10(inputs!$E$80)))</f>
        <v>0.86842561685632025</v>
      </c>
      <c r="Q143">
        <f>(inputs!$C$7*11.2*(10*F143^0.667)*0.5/F143)*inputs!$E$80/(10^(0.84+0.62*LOG10(inputs!$E$80)))</f>
        <v>0.45890722923601862</v>
      </c>
      <c r="R143">
        <f>(60*284*((F143/1000)^0.77)*3*24*(MAX('Min rate concentrations'!$R$3:$R$368))/F143)*(inputs!$E$73*3.4/inputs!$E$75)</f>
        <v>4.887281037611906E-3</v>
      </c>
      <c r="S143">
        <f>(IF(inputs!$C$6="aerial",((0.025*0.112*inputs!$C$7/3.3)*(3*60*284*((F143/1000)^0.77))*MAX(inputs!$H$14:$H$16))/F143,((0.0083*0.112*inputs!$C$7/1)*(3*60*284*((F143/1000)^0.77))*MAX(inputs!$H$14:$H$16))/F143))*(inputs!E$75*3.4/inputs!$E$73)</f>
        <v>2.6953655188713309E-2</v>
      </c>
      <c r="T143">
        <f>IF((((inputs!$P$12/(V143/MAX(K143:S143)))^(1/inputs!$O$12))-1)/inputs!$N$12&lt;0, 0, IF((((inputs!$P$12/(V143/MAX(K143:S143)))^(1/inputs!$O$12))-1)/inputs!$N$12&gt;inputs!$H$17, inputs!$H$17, (((inputs!$P$12/(V143/MAX(K143:S143)))^(1/inputs!$O$12))-1)/inputs!$N$12))</f>
        <v>208.8838666258977</v>
      </c>
      <c r="U143">
        <f>IF((((inputs!$P$12/(X143/MAX(K143:S143)))^(1/inputs!$O$12))-1)/inputs!$N$12&lt;0, 0, IF((((inputs!$P$12/(X143/MAX(K143:S143)))^(1/inputs!$O$12))-1)/inputs!$N$12&gt;inputs!$H$17, inputs!$H$17, (((inputs!$P$12/(X143/MAX(K143:S143)))^(1/inputs!$O$12))-1)/inputs!$N$12))</f>
        <v>0.73234065000779902</v>
      </c>
      <c r="V143">
        <f>inputs!$E$78*(F143/inputs!$F$78)^(inputs!$E$84-1)</f>
        <v>8.6680650573563271E-3</v>
      </c>
      <c r="W143">
        <f>inputs!$E$85*(F143/inputs!$F$85)^(inputs!$E$84-1)</f>
        <v>0.40027527637150312</v>
      </c>
      <c r="X143">
        <f>inputs!$E$80*(F143/inputs!$F$80)^(inputs!$E$84-1)</f>
        <v>1.4946988168302964</v>
      </c>
      <c r="Y143">
        <f>inputs!$E$82*(F143/inputs!$F$82)^(inputs!$E$84-1)</f>
        <v>0.68888306508463437</v>
      </c>
      <c r="Z143">
        <f t="shared" si="15"/>
        <v>385.34609412887562</v>
      </c>
      <c r="AA143">
        <f t="shared" si="16"/>
        <v>8.3447697389312161</v>
      </c>
    </row>
    <row r="144" spans="1:27" x14ac:dyDescent="0.3">
      <c r="A144" t="s">
        <v>255</v>
      </c>
      <c r="B144" t="s">
        <v>257</v>
      </c>
      <c r="C144" t="s">
        <v>73</v>
      </c>
      <c r="D144" t="s">
        <v>236</v>
      </c>
      <c r="E144">
        <v>66</v>
      </c>
      <c r="F144">
        <v>8500</v>
      </c>
      <c r="G144" t="s">
        <v>218</v>
      </c>
      <c r="H144">
        <v>0.68</v>
      </c>
      <c r="I144">
        <f>MAX('Min rate concentrations'!$K$3:$K$368)</f>
        <v>18.333393099490852</v>
      </c>
      <c r="J144">
        <f>MAX('Min rate concentrations'!AC:AC)</f>
        <v>6.4930767227363431</v>
      </c>
      <c r="K144">
        <f t="shared" si="11"/>
        <v>1.8123165454295707</v>
      </c>
      <c r="L144">
        <f t="shared" ref="L144:L167" si="18">((0.301*F144^0.751)/(1-H144))*J144/F144</f>
        <v>0.64186210983963954</v>
      </c>
      <c r="M144">
        <f>IF((((1.18*F144^0.874)/3.7-(0.301*F144^0.751)/(1-H144)*H144)*(MAX('Min rate concentrations'!$P$3:$P$368)))/F144&gt;0, (((1.18*F144^0.874)/3.7-(0.301*F144^0.751)/(1-H144)*H144)*(MAX('Min rate concentrations'!$P$3:$P$368)))/F144, 0)</f>
        <v>5.0473031003550823E-3</v>
      </c>
      <c r="N144">
        <f>IF((((1.18*F144^0.874)/3.7-(0.301*F144^0.751)/(1-H144)*H144)*(MAX('Min rate concentrations'!$Q$3:$Q$368)))/F144&gt;0, (((1.18*F144^0.874)/3.7-(0.301*F144^0.751)/(1-H144)*H144)*(MAX('Min rate concentrations'!$Q$3:$Q$368)))/F144, 0)</f>
        <v>1.9220401406253088E-2</v>
      </c>
      <c r="O144">
        <f>((MAX('Min rate concentrations'!$F$3:$F$368))*0.62*6.01*8*(10*F144^0.667)*0.079*0.1/F144)*inputs!$E$80/(10^(0.84+0.62*LOG10(inputs!$E$80)))</f>
        <v>1.2025570068385982</v>
      </c>
      <c r="P144">
        <f>((MAX('Min rate concentrations'!Y:Y))*0.62*6.01*8*(10*F144^0.667)*0.079*0.1/F144)*inputs!$E$80/(10^(0.84+0.62*LOG10(inputs!$E$80)))</f>
        <v>0.40085233561286593</v>
      </c>
      <c r="Q144">
        <f>(inputs!$C$7*11.2*(10*F144^0.667)*0.5/F144)*inputs!$E$80/(10^(0.84+0.62*LOG10(inputs!$E$80)))</f>
        <v>0.21182474480059221</v>
      </c>
      <c r="R144">
        <f>(60*284*((F144/1000)^0.77)*3*24*(MAX('Min rate concentrations'!$R$3:$R$368))/F144)*(inputs!$E$73*3.4/inputs!$E$75)</f>
        <v>2.8652937475357309E-3</v>
      </c>
      <c r="S144">
        <f>(IF(inputs!$C$6="aerial",((0.025*0.112*inputs!$C$7/3.3)*(3*60*284*((F144/1000)^0.77))*MAX(inputs!$H$14:$H$16))/F144,((0.0083*0.112*inputs!$C$7/1)*(3*60*284*((F144/1000)^0.77))*MAX(inputs!$H$14:$H$16))/F144))*(inputs!E$75*3.4/inputs!$E$73)</f>
        <v>1.5802271056462831E-2</v>
      </c>
      <c r="T144">
        <f>IF((((inputs!$P$12/(V144/MAX(K144:S144)))^(1/inputs!$O$12))-1)/inputs!$N$12&lt;0, 0, IF((((inputs!$P$12/(V144/MAX(K144:S144)))^(1/inputs!$O$12))-1)/inputs!$N$12&gt;inputs!$H$17, inputs!$H$17, (((inputs!$P$12/(V144/MAX(K144:S144)))^(1/inputs!$O$12))-1)/inputs!$N$12))</f>
        <v>234.03029016523709</v>
      </c>
      <c r="U144">
        <f>IF((((inputs!$P$12/(X144/MAX(K144:S144)))^(1/inputs!$O$12))-1)/inputs!$N$12&lt;0, 0, IF((((inputs!$P$12/(X144/MAX(K144:S144)))^(1/inputs!$O$12))-1)/inputs!$N$12&gt;inputs!$H$17, inputs!$H$17, (((inputs!$P$12/(X144/MAX(K144:S144)))^(1/inputs!$O$12))-1)/inputs!$N$12))</f>
        <v>3.8280394034844671</v>
      </c>
      <c r="V144">
        <f>inputs!$E$78*(F144/inputs!$F$78)^(inputs!$E$84-1)</f>
        <v>3.6717119117145279E-3</v>
      </c>
      <c r="W144">
        <f>inputs!$E$85*(F144/inputs!$F$85)^(inputs!$E$84-1)</f>
        <v>0.16955289219602543</v>
      </c>
      <c r="X144">
        <f>inputs!$E$80*(F144/inputs!$F$80)^(inputs!$E$84-1)</f>
        <v>0.63314054680794307</v>
      </c>
      <c r="Y144">
        <f>inputs!$E$82*(F144/inputs!$F$82)^(inputs!$E$84-1)</f>
        <v>0.29180447298362827</v>
      </c>
      <c r="Z144">
        <f t="shared" si="15"/>
        <v>493.58898219857849</v>
      </c>
      <c r="AA144">
        <f t="shared" si="16"/>
        <v>10.688797589688383</v>
      </c>
    </row>
    <row r="145" spans="1:27" x14ac:dyDescent="0.3">
      <c r="A145" t="s">
        <v>255</v>
      </c>
      <c r="B145" t="s">
        <v>256</v>
      </c>
      <c r="C145" t="s">
        <v>73</v>
      </c>
      <c r="D145" t="s">
        <v>236</v>
      </c>
      <c r="E145">
        <v>1737</v>
      </c>
      <c r="F145">
        <v>8500</v>
      </c>
      <c r="G145" t="s">
        <v>218</v>
      </c>
      <c r="H145">
        <v>0.68</v>
      </c>
      <c r="I145">
        <f>MAX('Min rate concentrations'!$K$3:$K$368)</f>
        <v>18.333393099490852</v>
      </c>
      <c r="J145">
        <f>MAX('Min rate concentrations'!AC:AC)</f>
        <v>6.4930767227363431</v>
      </c>
      <c r="K145">
        <f t="shared" si="11"/>
        <v>1.8123165454295707</v>
      </c>
      <c r="L145">
        <f t="shared" si="18"/>
        <v>0.64186210983963954</v>
      </c>
      <c r="M145">
        <f>IF((((1.18*F145^0.874)/3.7-(0.301*F145^0.751)/(1-H145)*H145)*(MAX('Min rate concentrations'!$P$3:$P$368)))/F145&gt;0, (((1.18*F145^0.874)/3.7-(0.301*F145^0.751)/(1-H145)*H145)*(MAX('Min rate concentrations'!$P$3:$P$368)))/F145, 0)</f>
        <v>5.0473031003550823E-3</v>
      </c>
      <c r="N145">
        <f>IF((((1.18*F145^0.874)/3.7-(0.301*F145^0.751)/(1-H145)*H145)*(MAX('Min rate concentrations'!$Q$3:$Q$368)))/F145&gt;0, (((1.18*F145^0.874)/3.7-(0.301*F145^0.751)/(1-H145)*H145)*(MAX('Min rate concentrations'!$Q$3:$Q$368)))/F145, 0)</f>
        <v>1.9220401406253088E-2</v>
      </c>
      <c r="O145">
        <f>((MAX('Min rate concentrations'!$F$3:$F$368))*0.62*6.01*8*(10*F145^0.667)*0.079*0.1/F145)*inputs!$E$80/(10^(0.84+0.62*LOG10(inputs!$E$80)))</f>
        <v>1.2025570068385982</v>
      </c>
      <c r="P145">
        <f>((MAX('Min rate concentrations'!Y:Y))*0.62*6.01*8*(10*F145^0.667)*0.079*0.1/F145)*inputs!$E$80/(10^(0.84+0.62*LOG10(inputs!$E$80)))</f>
        <v>0.40085233561286593</v>
      </c>
      <c r="Q145">
        <f>(inputs!$C$7*11.2*(10*F145^0.667)*0.5/F145)*inputs!$E$80/(10^(0.84+0.62*LOG10(inputs!$E$80)))</f>
        <v>0.21182474480059221</v>
      </c>
      <c r="R145">
        <f>(60*284*((F145/1000)^0.77)*3*24*(MAX('Min rate concentrations'!$R$3:$R$368))/F145)*(inputs!$E$73*3.4/inputs!$E$75)</f>
        <v>2.8652937475357309E-3</v>
      </c>
      <c r="S145">
        <f>(IF(inputs!$C$6="aerial",((0.025*0.112*inputs!$C$7/3.3)*(3*60*284*((F145/1000)^0.77))*MAX(inputs!$H$14:$H$16))/F145,((0.0083*0.112*inputs!$C$7/1)*(3*60*284*((F145/1000)^0.77))*MAX(inputs!$H$14:$H$16))/F145))*(inputs!E$75*3.4/inputs!$E$73)</f>
        <v>1.5802271056462831E-2</v>
      </c>
      <c r="T145">
        <f>IF((((inputs!$P$12/(V145/MAX(K145:S145)))^(1/inputs!$O$12))-1)/inputs!$N$12&lt;0, 0, IF((((inputs!$P$12/(V145/MAX(K145:S145)))^(1/inputs!$O$12))-1)/inputs!$N$12&gt;inputs!$H$17, inputs!$H$17, (((inputs!$P$12/(V145/MAX(K145:S145)))^(1/inputs!$O$12))-1)/inputs!$N$12))</f>
        <v>234.03029016523709</v>
      </c>
      <c r="U145">
        <f>IF((((inputs!$P$12/(X145/MAX(K145:S145)))^(1/inputs!$O$12))-1)/inputs!$N$12&lt;0, 0, IF((((inputs!$P$12/(X145/MAX(K145:S145)))^(1/inputs!$O$12))-1)/inputs!$N$12&gt;inputs!$H$17, inputs!$H$17, (((inputs!$P$12/(X145/MAX(K145:S145)))^(1/inputs!$O$12))-1)/inputs!$N$12))</f>
        <v>3.8280394034844671</v>
      </c>
      <c r="V145">
        <f>inputs!$E$78*(F145/inputs!$F$78)^(inputs!$E$84-1)</f>
        <v>3.6717119117145279E-3</v>
      </c>
      <c r="W145">
        <f>inputs!$E$85*(F145/inputs!$F$85)^(inputs!$E$84-1)</f>
        <v>0.16955289219602543</v>
      </c>
      <c r="X145">
        <f>inputs!$E$80*(F145/inputs!$F$80)^(inputs!$E$84-1)</f>
        <v>0.63314054680794307</v>
      </c>
      <c r="Y145">
        <f>inputs!$E$82*(F145/inputs!$F$82)^(inputs!$E$84-1)</f>
        <v>0.29180447298362827</v>
      </c>
      <c r="Z145">
        <f t="shared" si="15"/>
        <v>493.58898219857849</v>
      </c>
      <c r="AA145">
        <f t="shared" si="16"/>
        <v>10.688797589688383</v>
      </c>
    </row>
    <row r="146" spans="1:27" x14ac:dyDescent="0.3">
      <c r="A146" t="s">
        <v>234</v>
      </c>
      <c r="B146" t="s">
        <v>237</v>
      </c>
      <c r="C146" t="s">
        <v>73</v>
      </c>
      <c r="D146" t="s">
        <v>236</v>
      </c>
      <c r="E146">
        <v>126</v>
      </c>
      <c r="F146">
        <v>325</v>
      </c>
      <c r="G146" t="s">
        <v>142</v>
      </c>
      <c r="H146">
        <v>0.69</v>
      </c>
      <c r="I146">
        <f>MAX('Min rate concentrations'!$H$3:$H$368)</f>
        <v>47</v>
      </c>
      <c r="J146">
        <f>MAX('Min rate concentrations'!AA:AA)</f>
        <v>32.5</v>
      </c>
      <c r="K146">
        <f t="shared" si="11"/>
        <v>10.81044826679137</v>
      </c>
      <c r="L146">
        <f t="shared" si="18"/>
        <v>7.4753099717174383</v>
      </c>
      <c r="M146">
        <f>IF((((1.18*F146^0.874)/3.7-(0.301*F146^0.751)/(1-H146)*H146)*(MAX('Min rate concentrations'!$P$3:$P$368)))/F146&gt;0, (((1.18*F146^0.874)/3.7-(0.301*F146^0.751)/(1-H146)*H146)*(MAX('Min rate concentrations'!$P$3:$P$368)))/F146, 0)</f>
        <v>0</v>
      </c>
      <c r="N146">
        <f>IF((((1.18*F146^0.874)/3.7-(0.301*F146^0.751)/(1-H146)*H146)*(MAX('Min rate concentrations'!$Q$3:$Q$368)))/F146&gt;0, (((1.18*F146^0.874)/3.7-(0.301*F146^0.751)/(1-H146)*H146)*(MAX('Min rate concentrations'!$Q$3:$Q$368)))/F146, 0)</f>
        <v>0</v>
      </c>
      <c r="O146">
        <f>((MAX('Min rate concentrations'!$F$3:$F$368))*0.62*6.01*8*(10*F146^0.667)*0.079*0.1/F146)*inputs!$E$80/(10^(0.84+0.62*LOG10(inputs!$E$80)))</f>
        <v>3.5657017664851791</v>
      </c>
      <c r="P146">
        <f>((MAX('Min rate concentrations'!Y:Y))*0.62*6.01*8*(10*F146^0.667)*0.079*0.1/F146)*inputs!$E$80/(10^(0.84+0.62*LOG10(inputs!$E$80)))</f>
        <v>1.1885672554950597</v>
      </c>
      <c r="Q146">
        <f>(inputs!$C$7*11.2*(10*F146^0.667)*0.5/F146)*inputs!$E$80/(10^(0.84+0.62*LOG10(inputs!$E$80)))</f>
        <v>0.62808154825554785</v>
      </c>
      <c r="R146">
        <f>(60*284*((F146/1000)^0.77)*3*24*(MAX('Min rate concentrations'!$R$3:$R$368))/F146)*(inputs!$E$73*3.4/inputs!$E$75)</f>
        <v>6.0701906577764137E-3</v>
      </c>
      <c r="S146">
        <f>(IF(inputs!$C$6="aerial",((0.025*0.112*inputs!$C$7/3.3)*(3*60*284*((F146/1000)^0.77))*MAX(inputs!$H$14:$H$16))/F146,((0.0083*0.112*inputs!$C$7/1)*(3*60*284*((F146/1000)^0.77))*MAX(inputs!$H$14:$H$16))/F146))*(inputs!E$75*3.4/inputs!$E$73)</f>
        <v>3.3477474419887597E-2</v>
      </c>
      <c r="T146">
        <f>IF((((inputs!$P$12/(V146/MAX(K146:S146)))^(1/inputs!$O$12))-1)/inputs!$N$12&lt;0, 0, IF((((inputs!$P$12/(V146/MAX(K146:S146)))^(1/inputs!$O$12))-1)/inputs!$N$12&gt;inputs!$H$17, inputs!$H$17, (((inputs!$P$12/(V146/MAX(K146:S146)))^(1/inputs!$O$12))-1)/inputs!$N$12))</f>
        <v>303.63603428504001</v>
      </c>
      <c r="U146">
        <f>IF((((inputs!$P$12/(X146/MAX(K146:S146)))^(1/inputs!$O$12))-1)/inputs!$N$12&lt;0, 0, IF((((inputs!$P$12/(X146/MAX(K146:S146)))^(1/inputs!$O$12))-1)/inputs!$N$12&gt;inputs!$H$17, inputs!$H$17, (((inputs!$P$12/(X146/MAX(K146:S146)))^(1/inputs!$O$12))-1)/inputs!$N$12))</f>
        <v>12.396988183393164</v>
      </c>
      <c r="V146">
        <f>inputs!$E$78*(F146/inputs!$F$78)^(inputs!$E$84-1)</f>
        <v>1.2284479428588334E-2</v>
      </c>
      <c r="W146">
        <f>inputs!$E$85*(F146/inputs!$F$85)^(inputs!$E$84-1)</f>
        <v>0.56727463001505529</v>
      </c>
      <c r="X146">
        <f>inputs!$E$80*(F146/inputs!$F$80)^(inputs!$E$84-1)</f>
        <v>2.1183039981574847</v>
      </c>
      <c r="Y146">
        <f>inputs!$E$82*(F146/inputs!$F$82)^(inputs!$E$84-1)</f>
        <v>0.97629283879833606</v>
      </c>
      <c r="Z146">
        <f t="shared" si="15"/>
        <v>880.00865886375198</v>
      </c>
      <c r="AA146">
        <f t="shared" si="16"/>
        <v>19.056816037241898</v>
      </c>
    </row>
    <row r="147" spans="1:27" x14ac:dyDescent="0.3">
      <c r="A147" t="s">
        <v>234</v>
      </c>
      <c r="B147" t="s">
        <v>237</v>
      </c>
      <c r="C147" t="s">
        <v>73</v>
      </c>
      <c r="D147" t="s">
        <v>236</v>
      </c>
      <c r="E147">
        <v>126</v>
      </c>
      <c r="F147">
        <v>325</v>
      </c>
      <c r="G147" t="s">
        <v>138</v>
      </c>
      <c r="H147">
        <v>0.68</v>
      </c>
      <c r="I147">
        <f>MAX('Min rate concentrations'!$L$3:$L$368)</f>
        <v>58.421240152220811</v>
      </c>
      <c r="J147">
        <f>MAX('Min rate concentrations'!AD:AD)</f>
        <v>40.397666062705881</v>
      </c>
      <c r="K147">
        <f t="shared" ref="K147:K187" si="19">((0.301*F147^0.751)/(1-H147))*I147/F147</f>
        <v>13.017522356894098</v>
      </c>
      <c r="L147">
        <f t="shared" si="18"/>
        <v>9.0014782255118746</v>
      </c>
      <c r="M147">
        <f>IF((((1.18*F147^0.874)/3.7-(0.301*F147^0.751)/(1-H147)*H147)*(MAX('Min rate concentrations'!$P$3:$P$368)))/F147&gt;0, (((1.18*F147^0.874)/3.7-(0.301*F147^0.751)/(1-H147)*H147)*(MAX('Min rate concentrations'!$P$3:$P$368)))/F147, 0)</f>
        <v>3.4276726679947157E-4</v>
      </c>
      <c r="N147">
        <f>IF((((1.18*F147^0.874)/3.7-(0.301*F147^0.751)/(1-H147)*H147)*(MAX('Min rate concentrations'!$Q$3:$Q$368)))/F147&gt;0, (((1.18*F147^0.874)/3.7-(0.301*F147^0.751)/(1-H147)*H147)*(MAX('Min rate concentrations'!$Q$3:$Q$368)))/F147, 0)</f>
        <v>1.3052761694352395E-3</v>
      </c>
      <c r="O147">
        <f>((MAX('Min rate concentrations'!$F$3:$F$368))*0.62*6.01*8*(10*F147^0.667)*0.079*0.1/F147)*inputs!$E$80/(10^(0.84+0.62*LOG10(inputs!$E$80)))</f>
        <v>3.5657017664851791</v>
      </c>
      <c r="P147">
        <f>((MAX('Min rate concentrations'!Y:Y))*0.62*6.01*8*(10*F147^0.667)*0.079*0.1/F147)*inputs!$E$80/(10^(0.84+0.62*LOG10(inputs!$E$80)))</f>
        <v>1.1885672554950597</v>
      </c>
      <c r="Q147">
        <f>(inputs!$C$7*11.2*(10*F147^0.667)*0.5/F147)*inputs!$E$80/(10^(0.84+0.62*LOG10(inputs!$E$80)))</f>
        <v>0.62808154825554785</v>
      </c>
      <c r="R147">
        <f>(60*284*((F147/1000)^0.77)*3*24*(MAX('Min rate concentrations'!$R$3:$R$368))/F147)*(inputs!$E$73*3.4/inputs!$E$75)</f>
        <v>6.0701906577764137E-3</v>
      </c>
      <c r="S147">
        <f>(IF(inputs!$C$6="aerial",((0.025*0.112*inputs!$C$7/3.3)*(3*60*284*((F147/1000)^0.77))*MAX(inputs!$H$14:$H$16))/F147,((0.0083*0.112*inputs!$C$7/1)*(3*60*284*((F147/1000)^0.77))*MAX(inputs!$H$14:$H$16))/F147))*(inputs!E$75*3.4/inputs!$E$73)</f>
        <v>3.3477474419887597E-2</v>
      </c>
      <c r="T147">
        <f>IF((((inputs!$P$12/(V147/MAX(K147:S147)))^(1/inputs!$O$12))-1)/inputs!$N$12&lt;0, 0, IF((((inputs!$P$12/(V147/MAX(K147:S147)))^(1/inputs!$O$12))-1)/inputs!$N$12&gt;inputs!$H$17, inputs!$H$17, (((inputs!$P$12/(V147/MAX(K147:S147)))^(1/inputs!$O$12))-1)/inputs!$N$12))</f>
        <v>329.70558530175123</v>
      </c>
      <c r="U147">
        <f>IF((((inputs!$P$12/(X147/MAX(K147:S147)))^(1/inputs!$O$12))-1)/inputs!$N$12&lt;0, 0, IF((((inputs!$P$12/(X147/MAX(K147:S147)))^(1/inputs!$O$12))-1)/inputs!$N$12&gt;inputs!$H$17, inputs!$H$17, (((inputs!$P$12/(X147/MAX(K147:S147)))^(1/inputs!$O$12))-1)/inputs!$N$12))</f>
        <v>15.606330317469459</v>
      </c>
      <c r="V147">
        <f>inputs!$E$78*(F147/inputs!$F$78)^(inputs!$E$84-1)</f>
        <v>1.2284479428588334E-2</v>
      </c>
      <c r="W147">
        <f>inputs!$E$85*(F147/inputs!$F$85)^(inputs!$E$84-1)</f>
        <v>0.56727463001505529</v>
      </c>
      <c r="X147">
        <f>inputs!$E$80*(F147/inputs!$F$80)^(inputs!$E$84-1)</f>
        <v>2.1183039981574847</v>
      </c>
      <c r="Y147">
        <f>inputs!$E$82*(F147/inputs!$F$82)^(inputs!$E$84-1)</f>
        <v>0.97629283879833606</v>
      </c>
      <c r="Z147">
        <f t="shared" si="15"/>
        <v>1059.672282620282</v>
      </c>
      <c r="AA147">
        <f t="shared" si="16"/>
        <v>22.947478466556166</v>
      </c>
    </row>
    <row r="148" spans="1:27" x14ac:dyDescent="0.3">
      <c r="A148" t="s">
        <v>234</v>
      </c>
      <c r="B148" t="s">
        <v>237</v>
      </c>
      <c r="C148" t="s">
        <v>73</v>
      </c>
      <c r="D148" t="s">
        <v>236</v>
      </c>
      <c r="E148">
        <v>126</v>
      </c>
      <c r="F148">
        <v>325</v>
      </c>
      <c r="G148" t="s">
        <v>456</v>
      </c>
      <c r="H148">
        <v>0.68</v>
      </c>
      <c r="I148">
        <f>MAX('Min rate concentrations'!$J$3:$J$368)</f>
        <v>114.4108103430513</v>
      </c>
      <c r="J148">
        <f>MAX('Min rate concentrations'!AB:AB)</f>
        <v>40.520495329830666</v>
      </c>
      <c r="K148">
        <f t="shared" si="19"/>
        <v>25.493215783000203</v>
      </c>
      <c r="L148">
        <f t="shared" si="18"/>
        <v>9.0288472564792386</v>
      </c>
      <c r="M148">
        <f>IF((((1.18*F148^0.874)/3.7-(0.301*F148^0.751)/(1-H148)*H148)*(MAX('Min rate concentrations'!$P$3:$P$368)))/F148&gt;0, (((1.18*F148^0.874)/3.7-(0.301*F148^0.751)/(1-H148)*H148)*(MAX('Min rate concentrations'!$P$3:$P$368)))/F148, 0)</f>
        <v>3.4276726679947157E-4</v>
      </c>
      <c r="N148">
        <f>IF((((1.18*F148^0.874)/3.7-(0.301*F148^0.751)/(1-H148)*H148)*(MAX('Min rate concentrations'!$Q$3:$Q$368)))/F148&gt;0, (((1.18*F148^0.874)/3.7-(0.301*F148^0.751)/(1-H148)*H148)*(MAX('Min rate concentrations'!$Q$3:$Q$368)))/F148, 0)</f>
        <v>1.3052761694352395E-3</v>
      </c>
      <c r="O148">
        <f>((MAX('Min rate concentrations'!$F$3:$F$368))*0.62*6.01*8*(10*F148^0.667)*0.079*0.1/F148)*inputs!$E$80/(10^(0.84+0.62*LOG10(inputs!$E$80)))</f>
        <v>3.5657017664851791</v>
      </c>
      <c r="P148">
        <f>((MAX('Min rate concentrations'!Y:Y))*0.62*6.01*8*(10*F148^0.667)*0.079*0.1/F148)*inputs!$E$80/(10^(0.84+0.62*LOG10(inputs!$E$80)))</f>
        <v>1.1885672554950597</v>
      </c>
      <c r="Q148">
        <f>(inputs!$C$7*11.2*(10*F148^0.667)*0.5/F148)*inputs!$E$80/(10^(0.84+0.62*LOG10(inputs!$E$80)))</f>
        <v>0.62808154825554785</v>
      </c>
      <c r="R148">
        <f>(60*284*((F148/1000)^0.77)*3*24*(MAX('Min rate concentrations'!$R$3:$R$368))/F148)*(inputs!$E$73*3.4/inputs!$E$75)</f>
        <v>6.0701906577764137E-3</v>
      </c>
      <c r="S148">
        <f>(IF(inputs!$C$6="aerial",((0.025*0.112*inputs!$C$7/3.3)*(3*60*284*((F148/1000)^0.77))*MAX(inputs!$H$14:$H$16))/F148,((0.0083*0.112*inputs!$C$7/1)*(3*60*284*((F148/1000)^0.77))*MAX(inputs!$H$14:$H$16))/F148))*(inputs!E$75*3.4/inputs!$E$73)</f>
        <v>3.3477474419887597E-2</v>
      </c>
      <c r="T148">
        <f>IF((((inputs!$P$12/(V148/MAX(K148:S148)))^(1/inputs!$O$12))-1)/inputs!$N$12&lt;0, 0, IF((((inputs!$P$12/(V148/MAX(K148:S148)))^(1/inputs!$O$12))-1)/inputs!$N$12&gt;inputs!$H$17, inputs!$H$17, (((inputs!$P$12/(V148/MAX(K148:S148)))^(1/inputs!$O$12))-1)/inputs!$N$12))</f>
        <v>442.31908257806884</v>
      </c>
      <c r="U148">
        <f>IF((((inputs!$P$12/(X148/MAX(K148:S148)))^(1/inputs!$O$12))-1)/inputs!$N$12&lt;0, 0, IF((((inputs!$P$12/(X148/MAX(K148:S148)))^(1/inputs!$O$12))-1)/inputs!$N$12&gt;inputs!$H$17, inputs!$H$17, (((inputs!$P$12/(X148/MAX(K148:S148)))^(1/inputs!$O$12))-1)/inputs!$N$12))</f>
        <v>29.469831128929286</v>
      </c>
      <c r="V148">
        <f>inputs!$E$78*(F148/inputs!$F$78)^(inputs!$E$84-1)</f>
        <v>1.2284479428588334E-2</v>
      </c>
      <c r="W148">
        <f>inputs!$E$85*(F148/inputs!$F$85)^(inputs!$E$84-1)</f>
        <v>0.56727463001505529</v>
      </c>
      <c r="X148">
        <f>inputs!$E$80*(F148/inputs!$F$80)^(inputs!$E$84-1)</f>
        <v>2.1183039981574847</v>
      </c>
      <c r="Y148">
        <f>inputs!$E$82*(F148/inputs!$F$82)^(inputs!$E$84-1)</f>
        <v>0.97629283879833606</v>
      </c>
      <c r="Z148">
        <f t="shared" si="15"/>
        <v>2075.2377771639726</v>
      </c>
      <c r="AA148">
        <f t="shared" si="16"/>
        <v>44.939812983217003</v>
      </c>
    </row>
    <row r="149" spans="1:27" x14ac:dyDescent="0.3">
      <c r="A149" t="s">
        <v>234</v>
      </c>
      <c r="B149" t="s">
        <v>237</v>
      </c>
      <c r="C149" t="s">
        <v>73</v>
      </c>
      <c r="D149" t="s">
        <v>236</v>
      </c>
      <c r="E149">
        <v>126</v>
      </c>
      <c r="F149">
        <v>325</v>
      </c>
      <c r="G149" t="s">
        <v>145</v>
      </c>
      <c r="H149">
        <v>0.66</v>
      </c>
      <c r="I149">
        <f>MAX('Min rate concentrations'!$M$3:$M$368)</f>
        <v>2.8488184789681945</v>
      </c>
      <c r="J149">
        <f>MAX('Min rate concentrations'!AE:AE)</f>
        <v>1.9699276716269429</v>
      </c>
      <c r="K149">
        <f t="shared" si="19"/>
        <v>0.59743876623236147</v>
      </c>
      <c r="L149">
        <f t="shared" si="18"/>
        <v>0.41312255111812235</v>
      </c>
      <c r="M149">
        <f>IF((((1.18*F149^0.874)/3.7-(0.301*F149^0.751)/(1-H149)*H149)*(MAX('Min rate concentrations'!$P$3:$P$368)))/F149&gt;0, (((1.18*F149^0.874)/3.7-(0.301*F149^0.751)/(1-H149)*H149)*(MAX('Min rate concentrations'!$P$3:$P$368)))/F149, 0)</f>
        <v>2.2452458988736399E-3</v>
      </c>
      <c r="N149">
        <f>IF((((1.18*F149^0.874)/3.7-(0.301*F149^0.751)/(1-H149)*H149)*(MAX('Min rate concentrations'!$Q$3:$Q$368)))/F149&gt;0, (((1.18*F149^0.874)/3.7-(0.301*F149^0.751)/(1-H149)*H149)*(MAX('Min rate concentrations'!$Q$3:$Q$368)))/F149, 0)</f>
        <v>8.5500170237564933E-3</v>
      </c>
      <c r="O149">
        <f>((MAX('Min rate concentrations'!$F$3:$F$368))*0.62*6.01*8*(10*F149^0.667)*0.079*0.1/F149)*inputs!$E$80/(10^(0.84+0.62*LOG10(inputs!$E$80)))</f>
        <v>3.5657017664851791</v>
      </c>
      <c r="P149">
        <f>((MAX('Min rate concentrations'!Y:Y))*0.62*6.01*8*(10*F149^0.667)*0.079*0.1/F149)*inputs!$E$80/(10^(0.84+0.62*LOG10(inputs!$E$80)))</f>
        <v>1.1885672554950597</v>
      </c>
      <c r="Q149">
        <f>(inputs!$C$7*11.2*(10*F149^0.667)*0.5/F149)*inputs!$E$80/(10^(0.84+0.62*LOG10(inputs!$E$80)))</f>
        <v>0.62808154825554785</v>
      </c>
      <c r="R149">
        <f>(60*284*((F149/1000)^0.77)*3*24*(MAX('Min rate concentrations'!$R$3:$R$368))/F149)*(inputs!$E$73*3.4/inputs!$E$75)</f>
        <v>6.0701906577764137E-3</v>
      </c>
      <c r="S149">
        <f>(IF(inputs!$C$6="aerial",((0.025*0.112*inputs!$C$7/3.3)*(3*60*284*((F149/1000)^0.77))*MAX(inputs!$H$14:$H$16))/F149,((0.0083*0.112*inputs!$C$7/1)*(3*60*284*((F149/1000)^0.77))*MAX(inputs!$H$14:$H$16))/F149))*(inputs!E$75*3.4/inputs!$E$73)</f>
        <v>3.3477474419887597E-2</v>
      </c>
      <c r="T149">
        <f>IF((((inputs!$P$12/(V149/MAX(K149:S149)))^(1/inputs!$O$12))-1)/inputs!$N$12&lt;0, 0, IF((((inputs!$P$12/(V149/MAX(K149:S149)))^(1/inputs!$O$12))-1)/inputs!$N$12&gt;inputs!$H$17, inputs!$H$17, (((inputs!$P$12/(V149/MAX(K149:S149)))^(1/inputs!$O$12))-1)/inputs!$N$12))</f>
        <v>183.04338686309455</v>
      </c>
      <c r="U149">
        <f>IF((((inputs!$P$12/(X149/MAX(K149:S149)))^(1/inputs!$O$12))-1)/inputs!$N$12&lt;0, 0, IF((((inputs!$P$12/(X149/MAX(K149:S149)))^(1/inputs!$O$12))-1)/inputs!$N$12&gt;inputs!$H$17, inputs!$H$17, (((inputs!$P$12/(X149/MAX(K149:S149)))^(1/inputs!$O$12))-1)/inputs!$N$12))</f>
        <v>0</v>
      </c>
      <c r="V149">
        <f>inputs!$E$78*(F149/inputs!$F$78)^(inputs!$E$84-1)</f>
        <v>1.2284479428588334E-2</v>
      </c>
      <c r="W149">
        <f>inputs!$E$85*(F149/inputs!$F$85)^(inputs!$E$84-1)</f>
        <v>0.56727463001505529</v>
      </c>
      <c r="X149">
        <f>inputs!$E$80*(F149/inputs!$F$80)^(inputs!$E$84-1)</f>
        <v>2.1183039981574847</v>
      </c>
      <c r="Y149">
        <f>inputs!$E$82*(F149/inputs!$F$82)^(inputs!$E$84-1)</f>
        <v>0.97629283879833606</v>
      </c>
      <c r="Z149">
        <f t="shared" si="15"/>
        <v>290.2607137089675</v>
      </c>
      <c r="AA149">
        <f t="shared" si="16"/>
        <v>6.2856711332049988</v>
      </c>
    </row>
    <row r="150" spans="1:27" x14ac:dyDescent="0.3">
      <c r="A150" t="s">
        <v>234</v>
      </c>
      <c r="B150" t="s">
        <v>235</v>
      </c>
      <c r="C150" t="s">
        <v>73</v>
      </c>
      <c r="D150" t="s">
        <v>236</v>
      </c>
      <c r="E150">
        <v>9122</v>
      </c>
      <c r="F150">
        <v>325</v>
      </c>
      <c r="G150" t="s">
        <v>142</v>
      </c>
      <c r="H150">
        <v>0.69</v>
      </c>
      <c r="I150">
        <f>MAX('Min rate concentrations'!$H$3:$H$368)</f>
        <v>47</v>
      </c>
      <c r="J150">
        <f>MAX('Min rate concentrations'!AA:AA)</f>
        <v>32.5</v>
      </c>
      <c r="K150">
        <f t="shared" si="19"/>
        <v>10.81044826679137</v>
      </c>
      <c r="L150">
        <f t="shared" si="18"/>
        <v>7.4753099717174383</v>
      </c>
      <c r="M150">
        <f>IF((((1.18*F150^0.874)/3.7-(0.301*F150^0.751)/(1-H150)*H150)*(MAX('Min rate concentrations'!$P$3:$P$368)))/F150&gt;0, (((1.18*F150^0.874)/3.7-(0.301*F150^0.751)/(1-H150)*H150)*(MAX('Min rate concentrations'!$P$3:$P$368)))/F150, 0)</f>
        <v>0</v>
      </c>
      <c r="N150">
        <f>IF((((1.18*F150^0.874)/3.7-(0.301*F150^0.751)/(1-H150)*H150)*(MAX('Min rate concentrations'!$Q$3:$Q$368)))/F150&gt;0, (((1.18*F150^0.874)/3.7-(0.301*F150^0.751)/(1-H150)*H150)*(MAX('Min rate concentrations'!$Q$3:$Q$368)))/F150, 0)</f>
        <v>0</v>
      </c>
      <c r="O150">
        <f>((MAX('Min rate concentrations'!$F$3:$F$368))*0.62*6.01*8*(10*F150^0.667)*0.079*0.1/F150)*inputs!$E$80/(10^(0.84+0.62*LOG10(inputs!$E$80)))</f>
        <v>3.5657017664851791</v>
      </c>
      <c r="P150">
        <f>((MAX('Min rate concentrations'!Y:Y))*0.62*6.01*8*(10*F150^0.667)*0.079*0.1/F150)*inputs!$E$80/(10^(0.84+0.62*LOG10(inputs!$E$80)))</f>
        <v>1.1885672554950597</v>
      </c>
      <c r="Q150">
        <f>(inputs!$C$7*11.2*(10*F150^0.667)*0.5/F150)*inputs!$E$80/(10^(0.84+0.62*LOG10(inputs!$E$80)))</f>
        <v>0.62808154825554785</v>
      </c>
      <c r="R150">
        <f>(60*284*((F150/1000)^0.77)*3*24*(MAX('Min rate concentrations'!$R$3:$R$368))/F150)*(inputs!$E$73*3.4/inputs!$E$75)</f>
        <v>6.0701906577764137E-3</v>
      </c>
      <c r="S150">
        <f>(IF(inputs!$C$6="aerial",((0.025*0.112*inputs!$C$7/3.3)*(3*60*284*((F150/1000)^0.77))*MAX(inputs!$H$14:$H$16))/F150,((0.0083*0.112*inputs!$C$7/1)*(3*60*284*((F150/1000)^0.77))*MAX(inputs!$H$14:$H$16))/F150))*(inputs!E$75*3.4/inputs!$E$73)</f>
        <v>3.3477474419887597E-2</v>
      </c>
      <c r="T150">
        <f>IF((((inputs!$P$12/(V150/MAX(K150:S150)))^(1/inputs!$O$12))-1)/inputs!$N$12&lt;0, 0, IF((((inputs!$P$12/(V150/MAX(K150:S150)))^(1/inputs!$O$12))-1)/inputs!$N$12&gt;inputs!$H$17, inputs!$H$17, (((inputs!$P$12/(V150/MAX(K150:S150)))^(1/inputs!$O$12))-1)/inputs!$N$12))</f>
        <v>303.63603428504001</v>
      </c>
      <c r="U150">
        <f>IF((((inputs!$P$12/(X150/MAX(K150:S150)))^(1/inputs!$O$12))-1)/inputs!$N$12&lt;0, 0, IF((((inputs!$P$12/(X150/MAX(K150:S150)))^(1/inputs!$O$12))-1)/inputs!$N$12&gt;inputs!$H$17, inputs!$H$17, (((inputs!$P$12/(X150/MAX(K150:S150)))^(1/inputs!$O$12))-1)/inputs!$N$12))</f>
        <v>12.396988183393164</v>
      </c>
      <c r="V150">
        <f>inputs!$E$78*(F150/inputs!$F$78)^(inputs!$E$84-1)</f>
        <v>1.2284479428588334E-2</v>
      </c>
      <c r="W150">
        <f>inputs!$E$85*(F150/inputs!$F$85)^(inputs!$E$84-1)</f>
        <v>0.56727463001505529</v>
      </c>
      <c r="X150">
        <f>inputs!$E$80*(F150/inputs!$F$80)^(inputs!$E$84-1)</f>
        <v>2.1183039981574847</v>
      </c>
      <c r="Y150">
        <f>inputs!$E$82*(F150/inputs!$F$82)^(inputs!$E$84-1)</f>
        <v>0.97629283879833606</v>
      </c>
      <c r="Z150">
        <f t="shared" si="15"/>
        <v>880.00865886375198</v>
      </c>
      <c r="AA150">
        <f t="shared" si="16"/>
        <v>19.056816037241898</v>
      </c>
    </row>
    <row r="151" spans="1:27" x14ac:dyDescent="0.3">
      <c r="A151" t="s">
        <v>234</v>
      </c>
      <c r="B151" t="s">
        <v>235</v>
      </c>
      <c r="C151" t="s">
        <v>73</v>
      </c>
      <c r="D151" t="s">
        <v>236</v>
      </c>
      <c r="E151">
        <v>9122</v>
      </c>
      <c r="F151">
        <v>325</v>
      </c>
      <c r="G151" t="s">
        <v>138</v>
      </c>
      <c r="H151">
        <v>0.68</v>
      </c>
      <c r="I151">
        <f>MAX('Min rate concentrations'!$L$3:$L$368)</f>
        <v>58.421240152220811</v>
      </c>
      <c r="J151">
        <f>MAX('Min rate concentrations'!AD:AD)</f>
        <v>40.397666062705881</v>
      </c>
      <c r="K151">
        <f t="shared" si="19"/>
        <v>13.017522356894098</v>
      </c>
      <c r="L151">
        <f t="shared" si="18"/>
        <v>9.0014782255118746</v>
      </c>
      <c r="M151">
        <f>IF((((1.18*F151^0.874)/3.7-(0.301*F151^0.751)/(1-H151)*H151)*(MAX('Min rate concentrations'!$P$3:$P$368)))/F151&gt;0, (((1.18*F151^0.874)/3.7-(0.301*F151^0.751)/(1-H151)*H151)*(MAX('Min rate concentrations'!$P$3:$P$368)))/F151, 0)</f>
        <v>3.4276726679947157E-4</v>
      </c>
      <c r="N151">
        <f>IF((((1.18*F151^0.874)/3.7-(0.301*F151^0.751)/(1-H151)*H151)*(MAX('Min rate concentrations'!$Q$3:$Q$368)))/F151&gt;0, (((1.18*F151^0.874)/3.7-(0.301*F151^0.751)/(1-H151)*H151)*(MAX('Min rate concentrations'!$Q$3:$Q$368)))/F151, 0)</f>
        <v>1.3052761694352395E-3</v>
      </c>
      <c r="O151">
        <f>((MAX('Min rate concentrations'!$F$3:$F$368))*0.62*6.01*8*(10*F151^0.667)*0.079*0.1/F151)*inputs!$E$80/(10^(0.84+0.62*LOG10(inputs!$E$80)))</f>
        <v>3.5657017664851791</v>
      </c>
      <c r="P151">
        <f>((MAX('Min rate concentrations'!Y:Y))*0.62*6.01*8*(10*F151^0.667)*0.079*0.1/F151)*inputs!$E$80/(10^(0.84+0.62*LOG10(inputs!$E$80)))</f>
        <v>1.1885672554950597</v>
      </c>
      <c r="Q151">
        <f>(inputs!$C$7*11.2*(10*F151^0.667)*0.5/F151)*inputs!$E$80/(10^(0.84+0.62*LOG10(inputs!$E$80)))</f>
        <v>0.62808154825554785</v>
      </c>
      <c r="R151">
        <f>(60*284*((F151/1000)^0.77)*3*24*(MAX('Min rate concentrations'!$R$3:$R$368))/F151)*(inputs!$E$73*3.4/inputs!$E$75)</f>
        <v>6.0701906577764137E-3</v>
      </c>
      <c r="S151">
        <f>(IF(inputs!$C$6="aerial",((0.025*0.112*inputs!$C$7/3.3)*(3*60*284*((F151/1000)^0.77))*MAX(inputs!$H$14:$H$16))/F151,((0.0083*0.112*inputs!$C$7/1)*(3*60*284*((F151/1000)^0.77))*MAX(inputs!$H$14:$H$16))/F151))*(inputs!E$75*3.4/inputs!$E$73)</f>
        <v>3.3477474419887597E-2</v>
      </c>
      <c r="T151">
        <f>IF((((inputs!$P$12/(V151/MAX(K151:S151)))^(1/inputs!$O$12))-1)/inputs!$N$12&lt;0, 0, IF((((inputs!$P$12/(V151/MAX(K151:S151)))^(1/inputs!$O$12))-1)/inputs!$N$12&gt;inputs!$H$17, inputs!$H$17, (((inputs!$P$12/(V151/MAX(K151:S151)))^(1/inputs!$O$12))-1)/inputs!$N$12))</f>
        <v>329.70558530175123</v>
      </c>
      <c r="U151">
        <f>IF((((inputs!$P$12/(X151/MAX(K151:S151)))^(1/inputs!$O$12))-1)/inputs!$N$12&lt;0, 0, IF((((inputs!$P$12/(X151/MAX(K151:S151)))^(1/inputs!$O$12))-1)/inputs!$N$12&gt;inputs!$H$17, inputs!$H$17, (((inputs!$P$12/(X151/MAX(K151:S151)))^(1/inputs!$O$12))-1)/inputs!$N$12))</f>
        <v>15.606330317469459</v>
      </c>
      <c r="V151">
        <f>inputs!$E$78*(F151/inputs!$F$78)^(inputs!$E$84-1)</f>
        <v>1.2284479428588334E-2</v>
      </c>
      <c r="W151">
        <f>inputs!$E$85*(F151/inputs!$F$85)^(inputs!$E$84-1)</f>
        <v>0.56727463001505529</v>
      </c>
      <c r="X151">
        <f>inputs!$E$80*(F151/inputs!$F$80)^(inputs!$E$84-1)</f>
        <v>2.1183039981574847</v>
      </c>
      <c r="Y151">
        <f>inputs!$E$82*(F151/inputs!$F$82)^(inputs!$E$84-1)</f>
        <v>0.97629283879833606</v>
      </c>
      <c r="Z151">
        <f t="shared" si="15"/>
        <v>1059.672282620282</v>
      </c>
      <c r="AA151">
        <f t="shared" si="16"/>
        <v>22.947478466556166</v>
      </c>
    </row>
    <row r="152" spans="1:27" x14ac:dyDescent="0.3">
      <c r="A152" t="s">
        <v>234</v>
      </c>
      <c r="B152" t="s">
        <v>235</v>
      </c>
      <c r="C152" t="s">
        <v>73</v>
      </c>
      <c r="D152" t="s">
        <v>236</v>
      </c>
      <c r="E152">
        <v>9122</v>
      </c>
      <c r="F152">
        <v>325</v>
      </c>
      <c r="G152" t="s">
        <v>456</v>
      </c>
      <c r="H152">
        <v>0.68</v>
      </c>
      <c r="I152">
        <f>MAX('Min rate concentrations'!$J$3:$J$368)</f>
        <v>114.4108103430513</v>
      </c>
      <c r="J152">
        <f>MAX('Min rate concentrations'!AB:AB)</f>
        <v>40.520495329830666</v>
      </c>
      <c r="K152">
        <f t="shared" si="19"/>
        <v>25.493215783000203</v>
      </c>
      <c r="L152">
        <f t="shared" si="18"/>
        <v>9.0288472564792386</v>
      </c>
      <c r="M152">
        <f>IF((((1.18*F152^0.874)/3.7-(0.301*F152^0.751)/(1-H152)*H152)*(MAX('Min rate concentrations'!$P$3:$P$368)))/F152&gt;0, (((1.18*F152^0.874)/3.7-(0.301*F152^0.751)/(1-H152)*H152)*(MAX('Min rate concentrations'!$P$3:$P$368)))/F152, 0)</f>
        <v>3.4276726679947157E-4</v>
      </c>
      <c r="N152">
        <f>IF((((1.18*F152^0.874)/3.7-(0.301*F152^0.751)/(1-H152)*H152)*(MAX('Min rate concentrations'!$Q$3:$Q$368)))/F152&gt;0, (((1.18*F152^0.874)/3.7-(0.301*F152^0.751)/(1-H152)*H152)*(MAX('Min rate concentrations'!$Q$3:$Q$368)))/F152, 0)</f>
        <v>1.3052761694352395E-3</v>
      </c>
      <c r="O152">
        <f>((MAX('Min rate concentrations'!$F$3:$F$368))*0.62*6.01*8*(10*F152^0.667)*0.079*0.1/F152)*inputs!$E$80/(10^(0.84+0.62*LOG10(inputs!$E$80)))</f>
        <v>3.5657017664851791</v>
      </c>
      <c r="P152">
        <f>((MAX('Min rate concentrations'!Y:Y))*0.62*6.01*8*(10*F152^0.667)*0.079*0.1/F152)*inputs!$E$80/(10^(0.84+0.62*LOG10(inputs!$E$80)))</f>
        <v>1.1885672554950597</v>
      </c>
      <c r="Q152">
        <f>(inputs!$C$7*11.2*(10*F152^0.667)*0.5/F152)*inputs!$E$80/(10^(0.84+0.62*LOG10(inputs!$E$80)))</f>
        <v>0.62808154825554785</v>
      </c>
      <c r="R152">
        <f>(60*284*((F152/1000)^0.77)*3*24*(MAX('Min rate concentrations'!$R$3:$R$368))/F152)*(inputs!$E$73*3.4/inputs!$E$75)</f>
        <v>6.0701906577764137E-3</v>
      </c>
      <c r="S152">
        <f>(IF(inputs!$C$6="aerial",((0.025*0.112*inputs!$C$7/3.3)*(3*60*284*((F152/1000)^0.77))*MAX(inputs!$H$14:$H$16))/F152,((0.0083*0.112*inputs!$C$7/1)*(3*60*284*((F152/1000)^0.77))*MAX(inputs!$H$14:$H$16))/F152))*(inputs!E$75*3.4/inputs!$E$73)</f>
        <v>3.3477474419887597E-2</v>
      </c>
      <c r="T152">
        <f>IF((((inputs!$P$12/(V152/MAX(K152:S152)))^(1/inputs!$O$12))-1)/inputs!$N$12&lt;0, 0, IF((((inputs!$P$12/(V152/MAX(K152:S152)))^(1/inputs!$O$12))-1)/inputs!$N$12&gt;inputs!$H$17, inputs!$H$17, (((inputs!$P$12/(V152/MAX(K152:S152)))^(1/inputs!$O$12))-1)/inputs!$N$12))</f>
        <v>442.31908257806884</v>
      </c>
      <c r="U152">
        <f>IF((((inputs!$P$12/(X152/MAX(K152:S152)))^(1/inputs!$O$12))-1)/inputs!$N$12&lt;0, 0, IF((((inputs!$P$12/(X152/MAX(K152:S152)))^(1/inputs!$O$12))-1)/inputs!$N$12&gt;inputs!$H$17, inputs!$H$17, (((inputs!$P$12/(X152/MAX(K152:S152)))^(1/inputs!$O$12))-1)/inputs!$N$12))</f>
        <v>29.469831128929286</v>
      </c>
      <c r="V152">
        <f>inputs!$E$78*(F152/inputs!$F$78)^(inputs!$E$84-1)</f>
        <v>1.2284479428588334E-2</v>
      </c>
      <c r="W152">
        <f>inputs!$E$85*(F152/inputs!$F$85)^(inputs!$E$84-1)</f>
        <v>0.56727463001505529</v>
      </c>
      <c r="X152">
        <f>inputs!$E$80*(F152/inputs!$F$80)^(inputs!$E$84-1)</f>
        <v>2.1183039981574847</v>
      </c>
      <c r="Y152">
        <f>inputs!$E$82*(F152/inputs!$F$82)^(inputs!$E$84-1)</f>
        <v>0.97629283879833606</v>
      </c>
      <c r="Z152">
        <f t="shared" si="15"/>
        <v>2075.2377771639726</v>
      </c>
      <c r="AA152">
        <f t="shared" si="16"/>
        <v>44.939812983217003</v>
      </c>
    </row>
    <row r="153" spans="1:27" x14ac:dyDescent="0.3">
      <c r="A153" t="s">
        <v>234</v>
      </c>
      <c r="B153" t="s">
        <v>235</v>
      </c>
      <c r="C153" t="s">
        <v>73</v>
      </c>
      <c r="D153" t="s">
        <v>236</v>
      </c>
      <c r="E153">
        <v>9122</v>
      </c>
      <c r="F153">
        <v>325</v>
      </c>
      <c r="G153" t="s">
        <v>145</v>
      </c>
      <c r="H153">
        <v>0.66</v>
      </c>
      <c r="I153">
        <f>MAX('Min rate concentrations'!$M$3:$M$368)</f>
        <v>2.8488184789681945</v>
      </c>
      <c r="J153">
        <f>MAX('Min rate concentrations'!AE:AE)</f>
        <v>1.9699276716269429</v>
      </c>
      <c r="K153">
        <f t="shared" si="19"/>
        <v>0.59743876623236147</v>
      </c>
      <c r="L153">
        <f t="shared" si="18"/>
        <v>0.41312255111812235</v>
      </c>
      <c r="M153">
        <f>IF((((1.18*F153^0.874)/3.7-(0.301*F153^0.751)/(1-H153)*H153)*(MAX('Min rate concentrations'!$P$3:$P$368)))/F153&gt;0, (((1.18*F153^0.874)/3.7-(0.301*F153^0.751)/(1-H153)*H153)*(MAX('Min rate concentrations'!$P$3:$P$368)))/F153, 0)</f>
        <v>2.2452458988736399E-3</v>
      </c>
      <c r="N153">
        <f>IF((((1.18*F153^0.874)/3.7-(0.301*F153^0.751)/(1-H153)*H153)*(MAX('Min rate concentrations'!$Q$3:$Q$368)))/F153&gt;0, (((1.18*F153^0.874)/3.7-(0.301*F153^0.751)/(1-H153)*H153)*(MAX('Min rate concentrations'!$Q$3:$Q$368)))/F153, 0)</f>
        <v>8.5500170237564933E-3</v>
      </c>
      <c r="O153">
        <f>((MAX('Min rate concentrations'!$F$3:$F$368))*0.62*6.01*8*(10*F153^0.667)*0.079*0.1/F153)*inputs!$E$80/(10^(0.84+0.62*LOG10(inputs!$E$80)))</f>
        <v>3.5657017664851791</v>
      </c>
      <c r="P153">
        <f>((MAX('Min rate concentrations'!Y:Y))*0.62*6.01*8*(10*F153^0.667)*0.079*0.1/F153)*inputs!$E$80/(10^(0.84+0.62*LOG10(inputs!$E$80)))</f>
        <v>1.1885672554950597</v>
      </c>
      <c r="Q153">
        <f>(inputs!$C$7*11.2*(10*F153^0.667)*0.5/F153)*inputs!$E$80/(10^(0.84+0.62*LOG10(inputs!$E$80)))</f>
        <v>0.62808154825554785</v>
      </c>
      <c r="R153">
        <f>(60*284*((F153/1000)^0.77)*3*24*(MAX('Min rate concentrations'!$R$3:$R$368))/F153)*(inputs!$E$73*3.4/inputs!$E$75)</f>
        <v>6.0701906577764137E-3</v>
      </c>
      <c r="S153">
        <f>(IF(inputs!$C$6="aerial",((0.025*0.112*inputs!$C$7/3.3)*(3*60*284*((F153/1000)^0.77))*MAX(inputs!$H$14:$H$16))/F153,((0.0083*0.112*inputs!$C$7/1)*(3*60*284*((F153/1000)^0.77))*MAX(inputs!$H$14:$H$16))/F153))*(inputs!E$75*3.4/inputs!$E$73)</f>
        <v>3.3477474419887597E-2</v>
      </c>
      <c r="T153">
        <f>IF((((inputs!$P$12/(V153/MAX(K153:S153)))^(1/inputs!$O$12))-1)/inputs!$N$12&lt;0, 0, IF((((inputs!$P$12/(V153/MAX(K153:S153)))^(1/inputs!$O$12))-1)/inputs!$N$12&gt;inputs!$H$17, inputs!$H$17, (((inputs!$P$12/(V153/MAX(K153:S153)))^(1/inputs!$O$12))-1)/inputs!$N$12))</f>
        <v>183.04338686309455</v>
      </c>
      <c r="U153">
        <f>IF((((inputs!$P$12/(X153/MAX(K153:S153)))^(1/inputs!$O$12))-1)/inputs!$N$12&lt;0, 0, IF((((inputs!$P$12/(X153/MAX(K153:S153)))^(1/inputs!$O$12))-1)/inputs!$N$12&gt;inputs!$H$17, inputs!$H$17, (((inputs!$P$12/(X153/MAX(K153:S153)))^(1/inputs!$O$12))-1)/inputs!$N$12))</f>
        <v>0</v>
      </c>
      <c r="V153">
        <f>inputs!$E$78*(F153/inputs!$F$78)^(inputs!$E$84-1)</f>
        <v>1.2284479428588334E-2</v>
      </c>
      <c r="W153">
        <f>inputs!$E$85*(F153/inputs!$F$85)^(inputs!$E$84-1)</f>
        <v>0.56727463001505529</v>
      </c>
      <c r="X153">
        <f>inputs!$E$80*(F153/inputs!$F$80)^(inputs!$E$84-1)</f>
        <v>2.1183039981574847</v>
      </c>
      <c r="Y153">
        <f>inputs!$E$82*(F153/inputs!$F$82)^(inputs!$E$84-1)</f>
        <v>0.97629283879833606</v>
      </c>
      <c r="Z153">
        <f t="shared" si="15"/>
        <v>290.2607137089675</v>
      </c>
      <c r="AA153">
        <f t="shared" si="16"/>
        <v>6.2856711332049988</v>
      </c>
    </row>
    <row r="154" spans="1:27" x14ac:dyDescent="0.3">
      <c r="A154" t="s">
        <v>364</v>
      </c>
      <c r="B154" t="s">
        <v>365</v>
      </c>
      <c r="C154" t="s">
        <v>73</v>
      </c>
      <c r="D154" t="s">
        <v>204</v>
      </c>
      <c r="E154">
        <v>83</v>
      </c>
      <c r="F154">
        <v>737</v>
      </c>
      <c r="G154" t="s">
        <v>142</v>
      </c>
      <c r="H154">
        <v>0.69</v>
      </c>
      <c r="I154">
        <f>MAX('Min rate concentrations'!$H$3:$H$368)</f>
        <v>47</v>
      </c>
      <c r="J154">
        <f>MAX('Min rate concentrations'!AA:AA)</f>
        <v>32.5</v>
      </c>
      <c r="K154">
        <f t="shared" si="19"/>
        <v>8.8166429867928429</v>
      </c>
      <c r="L154">
        <f t="shared" si="18"/>
        <v>6.0966148312929231</v>
      </c>
      <c r="M154">
        <f>IF((((1.18*F154^0.874)/3.7-(0.301*F154^0.751)/(1-H154)*H154)*(MAX('Min rate concentrations'!$P$3:$P$368)))/F154&gt;0, (((1.18*F154^0.874)/3.7-(0.301*F154^0.751)/(1-H154)*H154)*(MAX('Min rate concentrations'!$P$3:$P$368)))/F154, 0)</f>
        <v>1.3587240233977156E-3</v>
      </c>
      <c r="N154">
        <f>IF((((1.18*F154^0.874)/3.7-(0.301*F154^0.751)/(1-H154)*H154)*(MAX('Min rate concentrations'!$Q$3:$Q$368)))/F154&gt;0, (((1.18*F154^0.874)/3.7-(0.301*F154^0.751)/(1-H154)*H154)*(MAX('Min rate concentrations'!$Q$3:$Q$368)))/F154, 0)</f>
        <v>5.1740940876299013E-3</v>
      </c>
      <c r="O154">
        <f>((MAX('Min rate concentrations'!$F$3:$F$368))*0.62*6.01*8*(10*F154^0.667)*0.079*0.1/F154)*inputs!$E$80/(10^(0.84+0.62*LOG10(inputs!$E$80)))</f>
        <v>2.7147853814040959</v>
      </c>
      <c r="P154">
        <f>((MAX('Min rate concentrations'!Y:Y))*0.62*6.01*8*(10*F154^0.667)*0.079*0.1/F154)*inputs!$E$80/(10^(0.84+0.62*LOG10(inputs!$E$80)))</f>
        <v>0.90492846046803177</v>
      </c>
      <c r="Q154">
        <f>(inputs!$C$7*11.2*(10*F154^0.667)*0.5/F154)*inputs!$E$80/(10^(0.84+0.62*LOG10(inputs!$E$80)))</f>
        <v>0.47819664043709076</v>
      </c>
      <c r="R154">
        <f>(60*284*((F154/1000)^0.77)*3*24*(MAX('Min rate concentrations'!$R$3:$R$368))/F154)*(inputs!$E$73*3.4/inputs!$E$75)</f>
        <v>5.0282629734401153E-3</v>
      </c>
      <c r="S154">
        <f>(IF(inputs!$C$6="aerial",((0.025*0.112*inputs!$C$7/3.3)*(3*60*284*((F154/1000)^0.77))*MAX(inputs!$H$14:$H$16))/F154,((0.0083*0.112*inputs!$C$7/1)*(3*60*284*((F154/1000)^0.77))*MAX(inputs!$H$14:$H$16))/F154))*(inputs!E$75*3.4/inputs!$E$73)</f>
        <v>2.7731179226497652E-2</v>
      </c>
      <c r="T154">
        <f>IF((((inputs!$P$12/(V154/MAX(K154:S154)))^(1/inputs!$O$12))-1)/inputs!$N$12&lt;0, 0, IF((((inputs!$P$12/(V154/MAX(K154:S154)))^(1/inputs!$O$12))-1)/inputs!$N$12&gt;inputs!$H$17, inputs!$H$17, (((inputs!$P$12/(V154/MAX(K154:S154)))^(1/inputs!$O$12))-1)/inputs!$N$12))</f>
        <v>317.29248756029716</v>
      </c>
      <c r="U154">
        <f>IF((((inputs!$P$12/(X154/MAX(K154:S154)))^(1/inputs!$O$12))-1)/inputs!$N$12&lt;0, 0, IF((((inputs!$P$12/(X154/MAX(K154:S154)))^(1/inputs!$O$12))-1)/inputs!$N$12&gt;inputs!$H$17, inputs!$H$17, (((inputs!$P$12/(X154/MAX(K154:S154)))^(1/inputs!$O$12))-1)/inputs!$N$12))</f>
        <v>14.078192085609656</v>
      </c>
      <c r="V154">
        <f>inputs!$E$78*(F154/inputs!$F$78)^(inputs!$E$84-1)</f>
        <v>9.0738298335181038E-3</v>
      </c>
      <c r="W154">
        <f>inputs!$E$85*(F154/inputs!$F$85)^(inputs!$E$84-1)</f>
        <v>0.41901274625033585</v>
      </c>
      <c r="X154">
        <f>inputs!$E$80*(F154/inputs!$F$80)^(inputs!$E$84-1)</f>
        <v>1.5646678499221403</v>
      </c>
      <c r="Y154">
        <f>inputs!$E$82*(F154/inputs!$F$82)^(inputs!$E$84-1)</f>
        <v>0.72113068676907044</v>
      </c>
      <c r="Z154">
        <f t="shared" si="15"/>
        <v>971.65619683816089</v>
      </c>
      <c r="AA154">
        <f t="shared" si="16"/>
        <v>21.041467272037135</v>
      </c>
    </row>
    <row r="155" spans="1:27" x14ac:dyDescent="0.3">
      <c r="A155" t="s">
        <v>364</v>
      </c>
      <c r="B155" t="s">
        <v>365</v>
      </c>
      <c r="C155" t="s">
        <v>73</v>
      </c>
      <c r="D155" t="s">
        <v>204</v>
      </c>
      <c r="E155">
        <v>83</v>
      </c>
      <c r="F155">
        <v>737</v>
      </c>
      <c r="G155" t="s">
        <v>169</v>
      </c>
      <c r="H155">
        <v>0.79</v>
      </c>
      <c r="I155">
        <f>MAX('Min rate concentrations'!$D$3:$D$368)</f>
        <v>120</v>
      </c>
      <c r="J155">
        <f>MAX('Min rate concentrations'!W:W)</f>
        <v>42.5</v>
      </c>
      <c r="K155">
        <f t="shared" si="19"/>
        <v>33.229900618915288</v>
      </c>
      <c r="L155">
        <f t="shared" si="18"/>
        <v>11.768923135865831</v>
      </c>
      <c r="M155">
        <f>IF((((1.18*F155^0.874)/3.7-(0.301*F155^0.751)/(1-H155)*H155)*(MAX('Min rate concentrations'!$P$3:$P$368)))/F155&gt;0, (((1.18*F155^0.874)/3.7-(0.301*F155^0.751)/(1-H155)*H155)*(MAX('Min rate concentrations'!$P$3:$P$368)))/F155, 0)</f>
        <v>0</v>
      </c>
      <c r="N155">
        <f>IF((((1.18*F155^0.874)/3.7-(0.301*F155^0.751)/(1-H155)*H155)*(MAX('Min rate concentrations'!$Q$3:$Q$368)))/F155&gt;0, (((1.18*F155^0.874)/3.7-(0.301*F155^0.751)/(1-H155)*H155)*(MAX('Min rate concentrations'!$Q$3:$Q$368)))/F155, 0)</f>
        <v>0</v>
      </c>
      <c r="O155">
        <f>((MAX('Min rate concentrations'!$F$3:$F$368))*0.62*6.01*8*(10*F155^0.667)*0.079*0.1/F155)*inputs!$E$80/(10^(0.84+0.62*LOG10(inputs!$E$80)))</f>
        <v>2.7147853814040959</v>
      </c>
      <c r="P155">
        <f>((MAX('Min rate concentrations'!Y:Y))*0.62*6.01*8*(10*F155^0.667)*0.079*0.1/F155)*inputs!$E$80/(10^(0.84+0.62*LOG10(inputs!$E$80)))</f>
        <v>0.90492846046803177</v>
      </c>
      <c r="Q155">
        <f>(inputs!$C$7*11.2*(10*F155^0.667)*0.5/F155)*inputs!$E$80/(10^(0.84+0.62*LOG10(inputs!$E$80)))</f>
        <v>0.47819664043709076</v>
      </c>
      <c r="R155">
        <f>(60*284*((F155/1000)^0.77)*3*24*(MAX('Min rate concentrations'!$R$3:$R$368))/F155)*(inputs!$E$73*3.4/inputs!$E$75)</f>
        <v>5.0282629734401153E-3</v>
      </c>
      <c r="S155">
        <f>(IF(inputs!$C$6="aerial",((0.025*0.112*inputs!$C$7/3.3)*(3*60*284*((F155/1000)^0.77))*MAX(inputs!$H$14:$H$16))/F155,((0.0083*0.112*inputs!$C$7/1)*(3*60*284*((F155/1000)^0.77))*MAX(inputs!$H$14:$H$16))/F155))*(inputs!E$75*3.4/inputs!$E$73)</f>
        <v>2.7731179226497652E-2</v>
      </c>
      <c r="T155">
        <f>IF((((inputs!$P$12/(V155/MAX(K155:S155)))^(1/inputs!$O$12))-1)/inputs!$N$12&lt;0, 0, IF((((inputs!$P$12/(V155/MAX(K155:S155)))^(1/inputs!$O$12))-1)/inputs!$N$12&gt;inputs!$H$17, inputs!$H$17, (((inputs!$P$12/(V155/MAX(K155:S155)))^(1/inputs!$O$12))-1)/inputs!$N$12))</f>
        <v>564.67363269935686</v>
      </c>
      <c r="U155">
        <f>IF((((inputs!$P$12/(X155/MAX(K155:S155)))^(1/inputs!$O$12))-1)/inputs!$N$12&lt;0, 0, IF((((inputs!$P$12/(X155/MAX(K155:S155)))^(1/inputs!$O$12))-1)/inputs!$N$12&gt;inputs!$H$17, inputs!$H$17, (((inputs!$P$12/(X155/MAX(K155:S155)))^(1/inputs!$O$12))-1)/inputs!$N$12))</f>
        <v>44.532522954671911</v>
      </c>
      <c r="V155">
        <f>inputs!$E$78*(F155/inputs!$F$78)^(inputs!$E$84-1)</f>
        <v>9.0738298335181038E-3</v>
      </c>
      <c r="W155">
        <f>inputs!$E$85*(F155/inputs!$F$85)^(inputs!$E$84-1)</f>
        <v>0.41901274625033585</v>
      </c>
      <c r="X155">
        <f>inputs!$E$80*(F155/inputs!$F$80)^(inputs!$E$84-1)</f>
        <v>1.5646678499221403</v>
      </c>
      <c r="Y155">
        <f>inputs!$E$82*(F155/inputs!$F$82)^(inputs!$E$84-1)</f>
        <v>0.72113068676907044</v>
      </c>
      <c r="Z155">
        <f t="shared" si="15"/>
        <v>3662.1692525207295</v>
      </c>
      <c r="AA155">
        <f t="shared" si="16"/>
        <v>79.305226192480418</v>
      </c>
    </row>
    <row r="156" spans="1:27" x14ac:dyDescent="0.3">
      <c r="A156" t="s">
        <v>364</v>
      </c>
      <c r="B156" t="s">
        <v>365</v>
      </c>
      <c r="C156" t="s">
        <v>73</v>
      </c>
      <c r="D156" t="s">
        <v>204</v>
      </c>
      <c r="E156">
        <v>83</v>
      </c>
      <c r="F156">
        <v>737</v>
      </c>
      <c r="G156" t="s">
        <v>158</v>
      </c>
      <c r="H156">
        <v>0.85</v>
      </c>
      <c r="I156">
        <f>MAX('Min rate concentrations'!$F$3:$F$368)</f>
        <v>67.5</v>
      </c>
      <c r="J156">
        <f>MAX('Min rate concentrations'!Y:Y)</f>
        <v>22.5</v>
      </c>
      <c r="K156">
        <f t="shared" si="19"/>
        <v>26.168546737395779</v>
      </c>
      <c r="L156">
        <f t="shared" si="18"/>
        <v>8.7228489124652597</v>
      </c>
      <c r="M156">
        <f>IF((((1.18*F156^0.874)/3.7-(0.301*F156^0.751)/(1-H156)*H156)*(MAX('Min rate concentrations'!$P$3:$P$368)))/F156&gt;0, (((1.18*F156^0.874)/3.7-(0.301*F156^0.751)/(1-H156)*H156)*(MAX('Min rate concentrations'!$P$3:$P$368)))/F156, 0)</f>
        <v>0</v>
      </c>
      <c r="N156">
        <f>IF((((1.18*F156^0.874)/3.7-(0.301*F156^0.751)/(1-H156)*H156)*(MAX('Min rate concentrations'!$Q$3:$Q$368)))/F156&gt;0, (((1.18*F156^0.874)/3.7-(0.301*F156^0.751)/(1-H156)*H156)*(MAX('Min rate concentrations'!$Q$3:$Q$368)))/F156, 0)</f>
        <v>0</v>
      </c>
      <c r="O156">
        <f>((MAX('Min rate concentrations'!$F$3:$F$368))*0.62*6.01*8*(10*F156^0.667)*0.079*0.1/F156)*inputs!$E$80/(10^(0.84+0.62*LOG10(inputs!$E$80)))</f>
        <v>2.7147853814040959</v>
      </c>
      <c r="P156">
        <f>((MAX('Min rate concentrations'!Y:Y))*0.62*6.01*8*(10*F156^0.667)*0.079*0.1/F156)*inputs!$E$80/(10^(0.84+0.62*LOG10(inputs!$E$80)))</f>
        <v>0.90492846046803177</v>
      </c>
      <c r="Q156">
        <f>(inputs!$C$7*11.2*(10*F156^0.667)*0.5/F156)*inputs!$E$80/(10^(0.84+0.62*LOG10(inputs!$E$80)))</f>
        <v>0.47819664043709076</v>
      </c>
      <c r="R156">
        <f>(60*284*((F156/1000)^0.77)*3*24*(MAX('Min rate concentrations'!$R$3:$R$368))/F156)*(inputs!$E$73*3.4/inputs!$E$75)</f>
        <v>5.0282629734401153E-3</v>
      </c>
      <c r="S156">
        <f>(IF(inputs!$C$6="aerial",((0.025*0.112*inputs!$C$7/3.3)*(3*60*284*((F156/1000)^0.77))*MAX(inputs!$H$14:$H$16))/F156,((0.0083*0.112*inputs!$C$7/1)*(3*60*284*((F156/1000)^0.77))*MAX(inputs!$H$14:$H$16))/F156))*(inputs!E$75*3.4/inputs!$E$73)</f>
        <v>2.7731179226497652E-2</v>
      </c>
      <c r="T156">
        <f>IF((((inputs!$P$12/(V156/MAX(K156:S156)))^(1/inputs!$O$12))-1)/inputs!$N$12&lt;0, 0, IF((((inputs!$P$12/(V156/MAX(K156:S156)))^(1/inputs!$O$12))-1)/inputs!$N$12&gt;inputs!$H$17, inputs!$H$17, (((inputs!$P$12/(V156/MAX(K156:S156)))^(1/inputs!$O$12))-1)/inputs!$N$12))</f>
        <v>509.74995140226605</v>
      </c>
      <c r="U156">
        <f>IF((((inputs!$P$12/(X156/MAX(K156:S156)))^(1/inputs!$O$12))-1)/inputs!$N$12&lt;0, 0, IF((((inputs!$P$12/(X156/MAX(K156:S156)))^(1/inputs!$O$12))-1)/inputs!$N$12&gt;inputs!$H$17, inputs!$H$17, (((inputs!$P$12/(X156/MAX(K156:S156)))^(1/inputs!$O$12))-1)/inputs!$N$12))</f>
        <v>37.77103770959279</v>
      </c>
      <c r="V156">
        <f>inputs!$E$78*(F156/inputs!$F$78)^(inputs!$E$84-1)</f>
        <v>9.0738298335181038E-3</v>
      </c>
      <c r="W156">
        <f>inputs!$E$85*(F156/inputs!$F$85)^(inputs!$E$84-1)</f>
        <v>0.41901274625033585</v>
      </c>
      <c r="X156">
        <f>inputs!$E$80*(F156/inputs!$F$80)^(inputs!$E$84-1)</f>
        <v>1.5646678499221403</v>
      </c>
      <c r="Y156">
        <f>inputs!$E$82*(F156/inputs!$F$82)^(inputs!$E$84-1)</f>
        <v>0.72113068676907044</v>
      </c>
      <c r="Z156">
        <f t="shared" si="15"/>
        <v>2883.9582863600731</v>
      </c>
      <c r="AA156">
        <f t="shared" si="16"/>
        <v>62.452865626578308</v>
      </c>
    </row>
    <row r="157" spans="1:27" x14ac:dyDescent="0.3">
      <c r="A157" t="s">
        <v>205</v>
      </c>
      <c r="B157" t="s">
        <v>206</v>
      </c>
      <c r="C157" t="s">
        <v>73</v>
      </c>
      <c r="D157" t="s">
        <v>204</v>
      </c>
      <c r="E157">
        <v>4120</v>
      </c>
      <c r="F157">
        <v>1300</v>
      </c>
      <c r="G157" t="s">
        <v>142</v>
      </c>
      <c r="H157">
        <v>0.69</v>
      </c>
      <c r="I157">
        <f>MAX('Min rate concentrations'!$H$3:$H$368)</f>
        <v>47</v>
      </c>
      <c r="J157">
        <f>MAX('Min rate concentrations'!AA:AA)</f>
        <v>32.5</v>
      </c>
      <c r="K157">
        <f t="shared" si="19"/>
        <v>7.6547456557594611</v>
      </c>
      <c r="L157">
        <f t="shared" si="18"/>
        <v>5.2931751874932447</v>
      </c>
      <c r="M157">
        <f>IF((((1.18*F157^0.874)/3.7-(0.301*F157^0.751)/(1-H157)*H157)*(MAX('Min rate concentrations'!$P$3:$P$368)))/F157&gt;0, (((1.18*F157^0.874)/3.7-(0.301*F157^0.751)/(1-H157)*H157)*(MAX('Min rate concentrations'!$P$3:$P$368)))/F157, 0)</f>
        <v>2.4442841161908947E-3</v>
      </c>
      <c r="N157">
        <f>IF((((1.18*F157^0.874)/3.7-(0.301*F157^0.751)/(1-H157)*H157)*(MAX('Min rate concentrations'!$Q$3:$Q$368)))/F157&gt;0, (((1.18*F157^0.874)/3.7-(0.301*F157^0.751)/(1-H157)*H157)*(MAX('Min rate concentrations'!$Q$3:$Q$368)))/F157, 0)</f>
        <v>9.3079652499594191E-3</v>
      </c>
      <c r="O157">
        <f>((MAX('Min rate concentrations'!$F$3:$F$368))*0.62*6.01*8*(10*F157^0.667)*0.079*0.1/F157)*inputs!$E$80/(10^(0.84+0.62*LOG10(inputs!$E$80)))</f>
        <v>2.2472895850140056</v>
      </c>
      <c r="P157">
        <f>((MAX('Min rate concentrations'!Y:Y))*0.62*6.01*8*(10*F157^0.667)*0.079*0.1/F157)*inputs!$E$80/(10^(0.84+0.62*LOG10(inputs!$E$80)))</f>
        <v>0.74909652833800178</v>
      </c>
      <c r="Q157">
        <f>(inputs!$C$7*11.2*(10*F157^0.667)*0.5/F157)*inputs!$E$80/(10^(0.84+0.62*LOG10(inputs!$E$80)))</f>
        <v>0.39584946088340528</v>
      </c>
      <c r="R157">
        <f>(60*284*((F157/1000)^0.77)*3*24*(MAX('Min rate concentrations'!$R$3:$R$368))/F157)*(inputs!$E$73*3.4/inputs!$E$75)</f>
        <v>4.4129451956507028E-3</v>
      </c>
      <c r="S157">
        <f>(IF(inputs!$C$6="aerial",((0.025*0.112*inputs!$C$7/3.3)*(3*60*284*((F157/1000)^0.77))*MAX(inputs!$H$14:$H$16))/F157,((0.0083*0.112*inputs!$C$7/1)*(3*60*284*((F157/1000)^0.77))*MAX(inputs!$H$14:$H$16))/F157))*(inputs!E$75*3.4/inputs!$E$73)</f>
        <v>2.4337663877905136E-2</v>
      </c>
      <c r="T157">
        <f>IF((((inputs!$P$12/(V157/MAX(K157:S157)))^(1/inputs!$O$12))-1)/inputs!$N$12&lt;0, 0, IF((((inputs!$P$12/(V157/MAX(K157:S157)))^(1/inputs!$O$12))-1)/inputs!$N$12&gt;inputs!$H$17, inputs!$H$17, (((inputs!$P$12/(V157/MAX(K157:S157)))^(1/inputs!$O$12))-1)/inputs!$N$12))</f>
        <v>327.08670817446807</v>
      </c>
      <c r="U157">
        <f>IF((((inputs!$P$12/(X157/MAX(K157:S157)))^(1/inputs!$O$12))-1)/inputs!$N$12&lt;0, 0, IF((((inputs!$P$12/(X157/MAX(K157:S157)))^(1/inputs!$O$12))-1)/inputs!$N$12&gt;inputs!$H$17, inputs!$H$17, (((inputs!$P$12/(X157/MAX(K157:S157)))^(1/inputs!$O$12))-1)/inputs!$N$12))</f>
        <v>15.283928420207351</v>
      </c>
      <c r="V157">
        <f>inputs!$E$78*(F157/inputs!$F$78)^(inputs!$E$84-1)</f>
        <v>7.3552012565319168E-3</v>
      </c>
      <c r="W157">
        <f>inputs!$E$85*(F157/inputs!$F$85)^(inputs!$E$84-1)</f>
        <v>0.33964964455680513</v>
      </c>
      <c r="X157">
        <f>inputs!$E$80*(F157/inputs!$F$80)^(inputs!$E$84-1)</f>
        <v>1.2683119638513609</v>
      </c>
      <c r="Y157">
        <f>inputs!$E$82*(F157/inputs!$F$82)^(inputs!$E$84-1)</f>
        <v>0.58454494196648399</v>
      </c>
      <c r="Z157">
        <f t="shared" si="15"/>
        <v>1040.7255204555454</v>
      </c>
      <c r="AA157">
        <f t="shared" si="16"/>
        <v>22.537181411592009</v>
      </c>
    </row>
    <row r="158" spans="1:27" x14ac:dyDescent="0.3">
      <c r="A158" t="s">
        <v>205</v>
      </c>
      <c r="B158" t="s">
        <v>206</v>
      </c>
      <c r="C158" t="s">
        <v>73</v>
      </c>
      <c r="D158" t="s">
        <v>204</v>
      </c>
      <c r="E158">
        <v>4120</v>
      </c>
      <c r="F158">
        <v>1300</v>
      </c>
      <c r="G158" t="s">
        <v>152</v>
      </c>
      <c r="H158">
        <v>0.77</v>
      </c>
      <c r="I158">
        <f>MAX('Min rate concentrations'!$G$3:$G$368)</f>
        <v>7.5</v>
      </c>
      <c r="J158">
        <f>MAX('Min rate concentrations'!Z:Z)</f>
        <v>3.5</v>
      </c>
      <c r="K158">
        <f t="shared" si="19"/>
        <v>1.646372215507933</v>
      </c>
      <c r="L158">
        <f t="shared" si="18"/>
        <v>0.76830703390370203</v>
      </c>
      <c r="M158">
        <f>IF((((1.18*F158^0.874)/3.7-(0.301*F158^0.751)/(1-H158)*H158)*(MAX('Min rate concentrations'!$P$3:$P$368)))/F158&gt;0, (((1.18*F158^0.874)/3.7-(0.301*F158^0.751)/(1-H158)*H158)*(MAX('Min rate concentrations'!$P$3:$P$368)))/F158, 0)</f>
        <v>0</v>
      </c>
      <c r="N158">
        <f>IF((((1.18*F158^0.874)/3.7-(0.301*F158^0.751)/(1-H158)*H158)*(MAX('Min rate concentrations'!$Q$3:$Q$368)))/F158&gt;0, (((1.18*F158^0.874)/3.7-(0.301*F158^0.751)/(1-H158)*H158)*(MAX('Min rate concentrations'!$Q$3:$Q$368)))/F158, 0)</f>
        <v>0</v>
      </c>
      <c r="O158">
        <f>((MAX('Min rate concentrations'!$F$3:$F$368))*0.62*6.01*8*(10*F158^0.667)*0.079*0.1/F158)*inputs!$E$80/(10^(0.84+0.62*LOG10(inputs!$E$80)))</f>
        <v>2.2472895850140056</v>
      </c>
      <c r="P158">
        <f>((MAX('Min rate concentrations'!Y:Y))*0.62*6.01*8*(10*F158^0.667)*0.079*0.1/F158)*inputs!$E$80/(10^(0.84+0.62*LOG10(inputs!$E$80)))</f>
        <v>0.74909652833800178</v>
      </c>
      <c r="Q158">
        <f>(inputs!$C$7*11.2*(10*F158^0.667)*0.5/F158)*inputs!$E$80/(10^(0.84+0.62*LOG10(inputs!$E$80)))</f>
        <v>0.39584946088340528</v>
      </c>
      <c r="R158">
        <f>(60*284*((F158/1000)^0.77)*3*24*(MAX('Min rate concentrations'!$R$3:$R$368))/F158)*(inputs!$E$73*3.4/inputs!$E$75)</f>
        <v>4.4129451956507028E-3</v>
      </c>
      <c r="S158">
        <f>(IF(inputs!$C$6="aerial",((0.025*0.112*inputs!$C$7/3.3)*(3*60*284*((F158/1000)^0.77))*MAX(inputs!$H$14:$H$16))/F158,((0.0083*0.112*inputs!$C$7/1)*(3*60*284*((F158/1000)^0.77))*MAX(inputs!$H$14:$H$16))/F158))*(inputs!E$75*3.4/inputs!$E$73)</f>
        <v>2.4337663877905136E-2</v>
      </c>
      <c r="T158">
        <f>IF((((inputs!$P$12/(V158/MAX(K158:S158)))^(1/inputs!$O$12))-1)/inputs!$N$12&lt;0, 0, IF((((inputs!$P$12/(V158/MAX(K158:S158)))^(1/inputs!$O$12))-1)/inputs!$N$12&gt;inputs!$H$17, inputs!$H$17, (((inputs!$P$12/(V158/MAX(K158:S158)))^(1/inputs!$O$12))-1)/inputs!$N$12))</f>
        <v>187.50288951104042</v>
      </c>
      <c r="U158">
        <f>IF((((inputs!$P$12/(X158/MAX(K158:S158)))^(1/inputs!$O$12))-1)/inputs!$N$12&lt;0, 0, IF((((inputs!$P$12/(X158/MAX(K158:S158)))^(1/inputs!$O$12))-1)/inputs!$N$12&gt;inputs!$H$17, inputs!$H$17, (((inputs!$P$12/(X158/MAX(K158:S158)))^(1/inputs!$O$12))-1)/inputs!$N$12))</f>
        <v>0</v>
      </c>
      <c r="V158">
        <f>inputs!$E$78*(F158/inputs!$F$78)^(inputs!$E$84-1)</f>
        <v>7.3552012565319168E-3</v>
      </c>
      <c r="W158">
        <f>inputs!$E$85*(F158/inputs!$F$85)^(inputs!$E$84-1)</f>
        <v>0.33964964455680513</v>
      </c>
      <c r="X158">
        <f>inputs!$E$80*(F158/inputs!$F$80)^(inputs!$E$84-1)</f>
        <v>1.2683119638513609</v>
      </c>
      <c r="Y158">
        <f>inputs!$E$82*(F158/inputs!$F$82)^(inputs!$E$84-1)</f>
        <v>0.58454494196648399</v>
      </c>
      <c r="Z158">
        <f t="shared" si="15"/>
        <v>305.53747023825628</v>
      </c>
      <c r="AA158">
        <f t="shared" si="16"/>
        <v>6.6164932630693647</v>
      </c>
    </row>
    <row r="159" spans="1:27" x14ac:dyDescent="0.3">
      <c r="A159" t="s">
        <v>205</v>
      </c>
      <c r="B159" t="s">
        <v>206</v>
      </c>
      <c r="C159" t="s">
        <v>73</v>
      </c>
      <c r="D159" t="s">
        <v>204</v>
      </c>
      <c r="E159">
        <v>4120</v>
      </c>
      <c r="F159">
        <v>1300</v>
      </c>
      <c r="G159" t="s">
        <v>158</v>
      </c>
      <c r="H159">
        <v>0.85</v>
      </c>
      <c r="I159">
        <f>MAX('Min rate concentrations'!$F$3:$F$368)</f>
        <v>67.5</v>
      </c>
      <c r="J159">
        <f>MAX('Min rate concentrations'!Y:Y)</f>
        <v>22.5</v>
      </c>
      <c r="K159">
        <f t="shared" si="19"/>
        <v>22.71993657400947</v>
      </c>
      <c r="L159">
        <f t="shared" si="18"/>
        <v>7.5733121913364894</v>
      </c>
      <c r="M159">
        <f>IF((((1.18*F159^0.874)/3.7-(0.301*F159^0.751)/(1-H159)*H159)*(MAX('Min rate concentrations'!$P$3:$P$368)))/F159&gt;0, (((1.18*F159^0.874)/3.7-(0.301*F159^0.751)/(1-H159)*H159)*(MAX('Min rate concentrations'!$P$3:$P$368)))/F159, 0)</f>
        <v>0</v>
      </c>
      <c r="N159">
        <f>IF((((1.18*F159^0.874)/3.7-(0.301*F159^0.751)/(1-H159)*H159)*(MAX('Min rate concentrations'!$Q$3:$Q$368)))/F159&gt;0, (((1.18*F159^0.874)/3.7-(0.301*F159^0.751)/(1-H159)*H159)*(MAX('Min rate concentrations'!$Q$3:$Q$368)))/F159, 0)</f>
        <v>0</v>
      </c>
      <c r="O159">
        <f>((MAX('Min rate concentrations'!$F$3:$F$368))*0.62*6.01*8*(10*F159^0.667)*0.079*0.1/F159)*inputs!$E$80/(10^(0.84+0.62*LOG10(inputs!$E$80)))</f>
        <v>2.2472895850140056</v>
      </c>
      <c r="P159">
        <f>((MAX('Min rate concentrations'!Y:Y))*0.62*6.01*8*(10*F159^0.667)*0.079*0.1/F159)*inputs!$E$80/(10^(0.84+0.62*LOG10(inputs!$E$80)))</f>
        <v>0.74909652833800178</v>
      </c>
      <c r="Q159">
        <f>(inputs!$C$7*11.2*(10*F159^0.667)*0.5/F159)*inputs!$E$80/(10^(0.84+0.62*LOG10(inputs!$E$80)))</f>
        <v>0.39584946088340528</v>
      </c>
      <c r="R159">
        <f>(60*284*((F159/1000)^0.77)*3*24*(MAX('Min rate concentrations'!$R$3:$R$368))/F159)*(inputs!$E$73*3.4/inputs!$E$75)</f>
        <v>4.4129451956507028E-3</v>
      </c>
      <c r="S159">
        <f>(IF(inputs!$C$6="aerial",((0.025*0.112*inputs!$C$7/3.3)*(3*60*284*((F159/1000)^0.77))*MAX(inputs!$H$14:$H$16))/F159,((0.0083*0.112*inputs!$C$7/1)*(3*60*284*((F159/1000)^0.77))*MAX(inputs!$H$14:$H$16))/F159))*(inputs!E$75*3.4/inputs!$E$73)</f>
        <v>2.4337663877905136E-2</v>
      </c>
      <c r="T159">
        <f>IF((((inputs!$P$12/(V159/MAX(K159:S159)))^(1/inputs!$O$12))-1)/inputs!$N$12&lt;0, 0, IF((((inputs!$P$12/(V159/MAX(K159:S159)))^(1/inputs!$O$12))-1)/inputs!$N$12&gt;inputs!$H$17, inputs!$H$17, (((inputs!$P$12/(V159/MAX(K159:S159)))^(1/inputs!$O$12))-1)/inputs!$N$12))</f>
        <v>524.99549119024334</v>
      </c>
      <c r="U159">
        <f>IF((((inputs!$P$12/(X159/MAX(K159:S159)))^(1/inputs!$O$12))-1)/inputs!$N$12&lt;0, 0, IF((((inputs!$P$12/(X159/MAX(K159:S159)))^(1/inputs!$O$12))-1)/inputs!$N$12&gt;inputs!$H$17, inputs!$H$17, (((inputs!$P$12/(X159/MAX(K159:S159)))^(1/inputs!$O$12))-1)/inputs!$N$12))</f>
        <v>39.647869158163843</v>
      </c>
      <c r="V159">
        <f>inputs!$E$78*(F159/inputs!$F$78)^(inputs!$E$84-1)</f>
        <v>7.3552012565319168E-3</v>
      </c>
      <c r="W159">
        <f>inputs!$E$85*(F159/inputs!$F$85)^(inputs!$E$84-1)</f>
        <v>0.33964964455680513</v>
      </c>
      <c r="X159">
        <f>inputs!$E$80*(F159/inputs!$F$80)^(inputs!$E$84-1)</f>
        <v>1.2683119638513609</v>
      </c>
      <c r="Y159">
        <f>inputs!$E$82*(F159/inputs!$F$82)^(inputs!$E$84-1)</f>
        <v>0.58454494196648399</v>
      </c>
      <c r="Z159">
        <f t="shared" si="15"/>
        <v>3088.9619170967794</v>
      </c>
      <c r="AA159">
        <f t="shared" si="16"/>
        <v>66.892272487597566</v>
      </c>
    </row>
    <row r="160" spans="1:27" x14ac:dyDescent="0.3">
      <c r="A160" t="s">
        <v>205</v>
      </c>
      <c r="B160" t="s">
        <v>207</v>
      </c>
      <c r="C160" t="s">
        <v>73</v>
      </c>
      <c r="D160" t="s">
        <v>204</v>
      </c>
      <c r="E160">
        <v>8741</v>
      </c>
      <c r="F160">
        <v>1200</v>
      </c>
      <c r="G160" t="s">
        <v>142</v>
      </c>
      <c r="H160">
        <v>0.69</v>
      </c>
      <c r="I160">
        <f>MAX('Min rate concentrations'!$H$3:$H$368)</f>
        <v>47</v>
      </c>
      <c r="J160">
        <f>MAX('Min rate concentrations'!AA:AA)</f>
        <v>32.5</v>
      </c>
      <c r="K160">
        <f t="shared" si="19"/>
        <v>7.8088400904264885</v>
      </c>
      <c r="L160">
        <f t="shared" si="18"/>
        <v>5.3997298497629966</v>
      </c>
      <c r="M160">
        <f>IF((((1.18*F160^0.874)/3.7-(0.301*F160^0.751)/(1-H160)*H160)*(MAX('Min rate concentrations'!$P$3:$P$368)))/F160&gt;0, (((1.18*F160^0.874)/3.7-(0.301*F160^0.751)/(1-H160)*H160)*(MAX('Min rate concentrations'!$P$3:$P$368)))/F160, 0)</f>
        <v>2.3060408366313298E-3</v>
      </c>
      <c r="N160">
        <f>IF((((1.18*F160^0.874)/3.7-(0.301*F160^0.751)/(1-H160)*H160)*(MAX('Min rate concentrations'!$Q$3:$Q$368)))/F160&gt;0, (((1.18*F160^0.874)/3.7-(0.301*F160^0.751)/(1-H160)*H160)*(MAX('Min rate concentrations'!$Q$3:$Q$368)))/F160, 0)</f>
        <v>8.7815274133522282E-3</v>
      </c>
      <c r="O160">
        <f>((MAX('Min rate concentrations'!$F$3:$F$368))*0.62*6.01*8*(10*F160^0.667)*0.079*0.1/F160)*inputs!$E$80/(10^(0.84+0.62*LOG10(inputs!$E$80)))</f>
        <v>2.3079947705268498</v>
      </c>
      <c r="P160">
        <f>((MAX('Min rate concentrations'!Y:Y))*0.62*6.01*8*(10*F160^0.667)*0.079*0.1/F160)*inputs!$E$80/(10^(0.84+0.62*LOG10(inputs!$E$80)))</f>
        <v>0.76933159017561659</v>
      </c>
      <c r="Q160">
        <f>(inputs!$C$7*11.2*(10*F160^0.667)*0.5/F160)*inputs!$E$80/(10^(0.84+0.62*LOG10(inputs!$E$80)))</f>
        <v>0.40654239299074496</v>
      </c>
      <c r="R160">
        <f>(60*284*((F160/1000)^0.77)*3*24*(MAX('Min rate concentrations'!$R$3:$R$368))/F160)*(inputs!$E$73*3.4/inputs!$E$75)</f>
        <v>4.4949391660243799E-3</v>
      </c>
      <c r="S160">
        <f>(IF(inputs!$C$6="aerial",((0.025*0.112*inputs!$C$7/3.3)*(3*60*284*((F160/1000)^0.77))*MAX(inputs!$H$14:$H$16))/F160,((0.0083*0.112*inputs!$C$7/1)*(3*60*284*((F160/1000)^0.77))*MAX(inputs!$H$14:$H$16))/F160))*(inputs!E$75*3.4/inputs!$E$73)</f>
        <v>2.478986566208688E-2</v>
      </c>
      <c r="T160">
        <f>IF((((inputs!$P$12/(V160/MAX(K160:S160)))^(1/inputs!$O$12))-1)/inputs!$N$12&lt;0, 0, IF((((inputs!$P$12/(V160/MAX(K160:S160)))^(1/inputs!$O$12))-1)/inputs!$N$12&gt;inputs!$H$17, inputs!$H$17, (((inputs!$P$12/(V160/MAX(K160:S160)))^(1/inputs!$O$12))-1)/inputs!$N$12))</f>
        <v>325.68873938180502</v>
      </c>
      <c r="U160">
        <f>IF((((inputs!$P$12/(X160/MAX(K160:S160)))^(1/inputs!$O$12))-1)/inputs!$N$12&lt;0, 0, IF((((inputs!$P$12/(X160/MAX(K160:S160)))^(1/inputs!$O$12))-1)/inputs!$N$12&gt;inputs!$H$17, inputs!$H$17, (((inputs!$P$12/(X160/MAX(K160:S160)))^(1/inputs!$O$12))-1)/inputs!$N$12))</f>
        <v>15.111828787745679</v>
      </c>
      <c r="V160">
        <f>inputs!$E$78*(F160/inputs!$F$78)^(inputs!$E$84-1)</f>
        <v>7.5762891273526475E-3</v>
      </c>
      <c r="W160">
        <f>inputs!$E$85*(F160/inputs!$F$85)^(inputs!$E$84-1)</f>
        <v>0.34985907515170483</v>
      </c>
      <c r="X160">
        <f>inputs!$E$80*(F160/inputs!$F$80)^(inputs!$E$84-1)</f>
        <v>1.3064357869588976</v>
      </c>
      <c r="Y160">
        <f>inputs!$E$82*(F160/inputs!$F$82)^(inputs!$E$84-1)</f>
        <v>0.60211560959486832</v>
      </c>
      <c r="Z160">
        <f t="shared" si="15"/>
        <v>1030.6945734468163</v>
      </c>
      <c r="AA160">
        <f t="shared" si="16"/>
        <v>22.319958649180226</v>
      </c>
    </row>
    <row r="161" spans="1:27" x14ac:dyDescent="0.3">
      <c r="A161" t="s">
        <v>205</v>
      </c>
      <c r="B161" t="s">
        <v>207</v>
      </c>
      <c r="C161" t="s">
        <v>73</v>
      </c>
      <c r="D161" t="s">
        <v>204</v>
      </c>
      <c r="E161">
        <v>8741</v>
      </c>
      <c r="F161">
        <v>1200</v>
      </c>
      <c r="G161" t="s">
        <v>152</v>
      </c>
      <c r="H161">
        <v>0.77</v>
      </c>
      <c r="I161">
        <f>MAX('Min rate concentrations'!$G$3:$G$368)</f>
        <v>7.5</v>
      </c>
      <c r="J161">
        <f>MAX('Min rate concentrations'!Z:Z)</f>
        <v>3.5</v>
      </c>
      <c r="K161">
        <f t="shared" si="19"/>
        <v>1.6795146355450128</v>
      </c>
      <c r="L161">
        <f t="shared" si="18"/>
        <v>0.7837734965876727</v>
      </c>
      <c r="M161">
        <f>IF((((1.18*F161^0.874)/3.7-(0.301*F161^0.751)/(1-H161)*H161)*(MAX('Min rate concentrations'!$P$3:$P$368)))/F161&gt;0, (((1.18*F161^0.874)/3.7-(0.301*F161^0.751)/(1-H161)*H161)*(MAX('Min rate concentrations'!$P$3:$P$368)))/F161, 0)</f>
        <v>0</v>
      </c>
      <c r="N161">
        <f>IF((((1.18*F161^0.874)/3.7-(0.301*F161^0.751)/(1-H161)*H161)*(MAX('Min rate concentrations'!$Q$3:$Q$368)))/F161&gt;0, (((1.18*F161^0.874)/3.7-(0.301*F161^0.751)/(1-H161)*H161)*(MAX('Min rate concentrations'!$Q$3:$Q$368)))/F161, 0)</f>
        <v>0</v>
      </c>
      <c r="O161">
        <f>((MAX('Min rate concentrations'!$F$3:$F$368))*0.62*6.01*8*(10*F161^0.667)*0.079*0.1/F161)*inputs!$E$80/(10^(0.84+0.62*LOG10(inputs!$E$80)))</f>
        <v>2.3079947705268498</v>
      </c>
      <c r="P161">
        <f>((MAX('Min rate concentrations'!Y:Y))*0.62*6.01*8*(10*F161^0.667)*0.079*0.1/F161)*inputs!$E$80/(10^(0.84+0.62*LOG10(inputs!$E$80)))</f>
        <v>0.76933159017561659</v>
      </c>
      <c r="Q161">
        <f>(inputs!$C$7*11.2*(10*F161^0.667)*0.5/F161)*inputs!$E$80/(10^(0.84+0.62*LOG10(inputs!$E$80)))</f>
        <v>0.40654239299074496</v>
      </c>
      <c r="R161">
        <f>(60*284*((F161/1000)^0.77)*3*24*(MAX('Min rate concentrations'!$R$3:$R$368))/F161)*(inputs!$E$73*3.4/inputs!$E$75)</f>
        <v>4.4949391660243799E-3</v>
      </c>
      <c r="S161">
        <f>(IF(inputs!$C$6="aerial",((0.025*0.112*inputs!$C$7/3.3)*(3*60*284*((F161/1000)^0.77))*MAX(inputs!$H$14:$H$16))/F161,((0.0083*0.112*inputs!$C$7/1)*(3*60*284*((F161/1000)^0.77))*MAX(inputs!$H$14:$H$16))/F161))*(inputs!E$75*3.4/inputs!$E$73)</f>
        <v>2.478986566208688E-2</v>
      </c>
      <c r="T161">
        <f>IF((((inputs!$P$12/(V161/MAX(K161:S161)))^(1/inputs!$O$12))-1)/inputs!$N$12&lt;0, 0, IF((((inputs!$P$12/(V161/MAX(K161:S161)))^(1/inputs!$O$12))-1)/inputs!$N$12&gt;inputs!$H$17, inputs!$H$17, (((inputs!$P$12/(V161/MAX(K161:S161)))^(1/inputs!$O$12))-1)/inputs!$N$12))</f>
        <v>187.24286542114322</v>
      </c>
      <c r="U161">
        <f>IF((((inputs!$P$12/(X161/MAX(K161:S161)))^(1/inputs!$O$12))-1)/inputs!$N$12&lt;0, 0, IF((((inputs!$P$12/(X161/MAX(K161:S161)))^(1/inputs!$O$12))-1)/inputs!$N$12&gt;inputs!$H$17, inputs!$H$17, (((inputs!$P$12/(X161/MAX(K161:S161)))^(1/inputs!$O$12))-1)/inputs!$N$12))</f>
        <v>0</v>
      </c>
      <c r="V161">
        <f>inputs!$E$78*(F161/inputs!$F$78)^(inputs!$E$84-1)</f>
        <v>7.5762891273526475E-3</v>
      </c>
      <c r="W161">
        <f>inputs!$E$85*(F161/inputs!$F$85)^(inputs!$E$84-1)</f>
        <v>0.34985907515170483</v>
      </c>
      <c r="X161">
        <f>inputs!$E$80*(F161/inputs!$F$80)^(inputs!$E$84-1)</f>
        <v>1.3064357869588976</v>
      </c>
      <c r="Y161">
        <f>inputs!$E$82*(F161/inputs!$F$82)^(inputs!$E$84-1)</f>
        <v>0.60211560959486832</v>
      </c>
      <c r="Z161">
        <f t="shared" si="15"/>
        <v>304.63393512719904</v>
      </c>
      <c r="AA161">
        <f t="shared" si="16"/>
        <v>6.5969269756002875</v>
      </c>
    </row>
    <row r="162" spans="1:27" x14ac:dyDescent="0.3">
      <c r="A162" t="s">
        <v>205</v>
      </c>
      <c r="B162" t="s">
        <v>207</v>
      </c>
      <c r="C162" t="s">
        <v>73</v>
      </c>
      <c r="D162" t="s">
        <v>204</v>
      </c>
      <c r="E162">
        <v>8741</v>
      </c>
      <c r="F162">
        <v>1200</v>
      </c>
      <c r="G162" t="s">
        <v>158</v>
      </c>
      <c r="H162">
        <v>0.85</v>
      </c>
      <c r="I162">
        <f>MAX('Min rate concentrations'!$F$3:$F$368)</f>
        <v>67.5</v>
      </c>
      <c r="J162">
        <f>MAX('Min rate concentrations'!Y:Y)</f>
        <v>22.5</v>
      </c>
      <c r="K162">
        <f t="shared" si="19"/>
        <v>23.177301970521174</v>
      </c>
      <c r="L162">
        <f t="shared" si="18"/>
        <v>7.7257673235070587</v>
      </c>
      <c r="M162">
        <f>IF((((1.18*F162^0.874)/3.7-(0.301*F162^0.751)/(1-H162)*H162)*(MAX('Min rate concentrations'!$P$3:$P$368)))/F162&gt;0, (((1.18*F162^0.874)/3.7-(0.301*F162^0.751)/(1-H162)*H162)*(MAX('Min rate concentrations'!$P$3:$P$368)))/F162, 0)</f>
        <v>0</v>
      </c>
      <c r="N162">
        <f>IF((((1.18*F162^0.874)/3.7-(0.301*F162^0.751)/(1-H162)*H162)*(MAX('Min rate concentrations'!$Q$3:$Q$368)))/F162&gt;0, (((1.18*F162^0.874)/3.7-(0.301*F162^0.751)/(1-H162)*H162)*(MAX('Min rate concentrations'!$Q$3:$Q$368)))/F162, 0)</f>
        <v>0</v>
      </c>
      <c r="O162">
        <f>((MAX('Min rate concentrations'!$F$3:$F$368))*0.62*6.01*8*(10*F162^0.667)*0.079*0.1/F162)*inputs!$E$80/(10^(0.84+0.62*LOG10(inputs!$E$80)))</f>
        <v>2.3079947705268498</v>
      </c>
      <c r="P162">
        <f>((MAX('Min rate concentrations'!Y:Y))*0.62*6.01*8*(10*F162^0.667)*0.079*0.1/F162)*inputs!$E$80/(10^(0.84+0.62*LOG10(inputs!$E$80)))</f>
        <v>0.76933159017561659</v>
      </c>
      <c r="Q162">
        <f>(inputs!$C$7*11.2*(10*F162^0.667)*0.5/F162)*inputs!$E$80/(10^(0.84+0.62*LOG10(inputs!$E$80)))</f>
        <v>0.40654239299074496</v>
      </c>
      <c r="R162">
        <f>(60*284*((F162/1000)^0.77)*3*24*(MAX('Min rate concentrations'!$R$3:$R$368))/F162)*(inputs!$E$73*3.4/inputs!$E$75)</f>
        <v>4.4949391660243799E-3</v>
      </c>
      <c r="S162">
        <f>(IF(inputs!$C$6="aerial",((0.025*0.112*inputs!$C$7/3.3)*(3*60*284*((F162/1000)^0.77))*MAX(inputs!$H$14:$H$16))/F162,((0.0083*0.112*inputs!$C$7/1)*(3*60*284*((F162/1000)^0.77))*MAX(inputs!$H$14:$H$16))/F162))*(inputs!E$75*3.4/inputs!$E$73)</f>
        <v>2.478986566208688E-2</v>
      </c>
      <c r="T162">
        <f>IF((((inputs!$P$12/(V162/MAX(K162:S162)))^(1/inputs!$O$12))-1)/inputs!$N$12&lt;0, 0, IF((((inputs!$P$12/(V162/MAX(K162:S162)))^(1/inputs!$O$12))-1)/inputs!$N$12&gt;inputs!$H$17, inputs!$H$17, (((inputs!$P$12/(V162/MAX(K162:S162)))^(1/inputs!$O$12))-1)/inputs!$N$12))</f>
        <v>522.81943352414805</v>
      </c>
      <c r="U162">
        <f>IF((((inputs!$P$12/(X162/MAX(K162:S162)))^(1/inputs!$O$12))-1)/inputs!$N$12&lt;0, 0, IF((((inputs!$P$12/(X162/MAX(K162:S162)))^(1/inputs!$O$12))-1)/inputs!$N$12&gt;inputs!$H$17, inputs!$H$17, (((inputs!$P$12/(X162/MAX(K162:S162)))^(1/inputs!$O$12))-1)/inputs!$N$12))</f>
        <v>39.379981400929282</v>
      </c>
      <c r="V162">
        <f>inputs!$E$78*(F162/inputs!$F$78)^(inputs!$E$84-1)</f>
        <v>7.5762891273526475E-3</v>
      </c>
      <c r="W162">
        <f>inputs!$E$85*(F162/inputs!$F$85)^(inputs!$E$84-1)</f>
        <v>0.34985907515170483</v>
      </c>
      <c r="X162">
        <f>inputs!$E$80*(F162/inputs!$F$80)^(inputs!$E$84-1)</f>
        <v>1.3064357869588976</v>
      </c>
      <c r="Y162">
        <f>inputs!$E$82*(F162/inputs!$F$82)^(inputs!$E$84-1)</f>
        <v>0.60211560959486832</v>
      </c>
      <c r="Z162">
        <f t="shared" si="15"/>
        <v>3059.1892126772527</v>
      </c>
      <c r="AA162">
        <f t="shared" si="16"/>
        <v>66.247536841715771</v>
      </c>
    </row>
    <row r="163" spans="1:27" x14ac:dyDescent="0.3">
      <c r="A163" t="s">
        <v>202</v>
      </c>
      <c r="B163" t="s">
        <v>203</v>
      </c>
      <c r="C163" t="s">
        <v>73</v>
      </c>
      <c r="D163" t="s">
        <v>204</v>
      </c>
      <c r="E163">
        <v>4064</v>
      </c>
      <c r="F163">
        <v>1100</v>
      </c>
      <c r="G163" t="s">
        <v>142</v>
      </c>
      <c r="H163">
        <v>0.69</v>
      </c>
      <c r="I163">
        <f>MAX('Min rate concentrations'!$H$3:$H$368)</f>
        <v>47</v>
      </c>
      <c r="J163">
        <f>MAX('Min rate concentrations'!AA:AA)</f>
        <v>32.5</v>
      </c>
      <c r="K163">
        <f t="shared" si="19"/>
        <v>7.9798711901155714</v>
      </c>
      <c r="L163">
        <f t="shared" si="18"/>
        <v>5.5179960357182143</v>
      </c>
      <c r="M163">
        <f>IF((((1.18*F163^0.874)/3.7-(0.301*F163^0.751)/(1-H163)*H163)*(MAX('Min rate concentrations'!$P$3:$P$368)))/F163&gt;0, (((1.18*F163^0.874)/3.7-(0.301*F163^0.751)/(1-H163)*H163)*(MAX('Min rate concentrations'!$P$3:$P$368)))/F163, 0)</f>
        <v>2.1504458392740734E-3</v>
      </c>
      <c r="N163">
        <f>IF((((1.18*F163^0.874)/3.7-(0.301*F163^0.751)/(1-H163)*H163)*(MAX('Min rate concentrations'!$Q$3:$Q$368)))/F163&gt;0, (((1.18*F163^0.874)/3.7-(0.301*F163^0.751)/(1-H163)*H163)*(MAX('Min rate concentrations'!$Q$3:$Q$368)))/F163, 0)</f>
        <v>8.1890133030343929E-3</v>
      </c>
      <c r="O163">
        <f>((MAX('Min rate concentrations'!$F$3:$F$368))*0.62*6.01*8*(10*F163^0.667)*0.079*0.1/F163)*inputs!$E$80/(10^(0.84+0.62*LOG10(inputs!$E$80)))</f>
        <v>2.375846681375851</v>
      </c>
      <c r="P163">
        <f>((MAX('Min rate concentrations'!Y:Y))*0.62*6.01*8*(10*F163^0.667)*0.079*0.1/F163)*inputs!$E$80/(10^(0.84+0.62*LOG10(inputs!$E$80)))</f>
        <v>0.79194889379195033</v>
      </c>
      <c r="Q163">
        <f>(inputs!$C$7*11.2*(10*F163^0.667)*0.5/F163)*inputs!$E$80/(10^(0.84+0.62*LOG10(inputs!$E$80)))</f>
        <v>0.41849418705796076</v>
      </c>
      <c r="R163">
        <f>(60*284*((F163/1000)^0.77)*3*24*(MAX('Min rate concentrations'!$R$3:$R$368))/F163)*(inputs!$E$73*3.4/inputs!$E$75)</f>
        <v>4.5858008178599353E-3</v>
      </c>
      <c r="S163">
        <f>(IF(inputs!$C$6="aerial",((0.025*0.112*inputs!$C$7/3.3)*(3*60*284*((F163/1000)^0.77))*MAX(inputs!$H$14:$H$16))/F163,((0.0083*0.112*inputs!$C$7/1)*(3*60*284*((F163/1000)^0.77))*MAX(inputs!$H$14:$H$16))/F163))*(inputs!E$75*3.4/inputs!$E$73)</f>
        <v>2.5290973254346219E-2</v>
      </c>
      <c r="T163">
        <f>IF((((inputs!$P$12/(V163/MAX(K163:S163)))^(1/inputs!$O$12))-1)/inputs!$N$12&lt;0, 0, IF((((inputs!$P$12/(V163/MAX(K163:S163)))^(1/inputs!$O$12))-1)/inputs!$N$12&gt;inputs!$H$17, inputs!$H$17, (((inputs!$P$12/(V163/MAX(K163:S163)))^(1/inputs!$O$12))-1)/inputs!$N$12))</f>
        <v>324.17529485471744</v>
      </c>
      <c r="U163">
        <f>IF((((inputs!$P$12/(X163/MAX(K163:S163)))^(1/inputs!$O$12))-1)/inputs!$N$12&lt;0, 0, IF((((inputs!$P$12/(X163/MAX(K163:S163)))^(1/inputs!$O$12))-1)/inputs!$N$12&gt;inputs!$H$17, inputs!$H$17, (((inputs!$P$12/(X163/MAX(K163:S163)))^(1/inputs!$O$12))-1)/inputs!$N$12))</f>
        <v>14.925513293272589</v>
      </c>
      <c r="V163">
        <f>inputs!$E$78*(F163/inputs!$F$78)^(inputs!$E$84-1)</f>
        <v>7.8241705298388586E-3</v>
      </c>
      <c r="W163">
        <f>inputs!$E$85*(F163/inputs!$F$85)^(inputs!$E$84-1)</f>
        <v>0.36130578168089961</v>
      </c>
      <c r="X163">
        <f>inputs!$E$80*(F163/inputs!$F$80)^(inputs!$E$84-1)</f>
        <v>1.3491798176691818</v>
      </c>
      <c r="Y163">
        <f>inputs!$E$82*(F163/inputs!$F$82)^(inputs!$E$84-1)</f>
        <v>0.62181565789771986</v>
      </c>
      <c r="Z163">
        <f t="shared" si="15"/>
        <v>1019.8999574054426</v>
      </c>
      <c r="AA163">
        <f t="shared" si="16"/>
        <v>22.086198435549218</v>
      </c>
    </row>
    <row r="164" spans="1:27" x14ac:dyDescent="0.3">
      <c r="A164" t="s">
        <v>202</v>
      </c>
      <c r="B164" t="s">
        <v>203</v>
      </c>
      <c r="C164" t="s">
        <v>73</v>
      </c>
      <c r="D164" t="s">
        <v>204</v>
      </c>
      <c r="E164">
        <v>4064</v>
      </c>
      <c r="F164">
        <v>1100</v>
      </c>
      <c r="G164" t="s">
        <v>177</v>
      </c>
      <c r="H164">
        <v>0.85</v>
      </c>
      <c r="I164">
        <f>MAX('Min rate concentrations'!$F$3:$F$368)</f>
        <v>67.5</v>
      </c>
      <c r="J164">
        <f>MAX('Min rate concentrations'!Y:Y)</f>
        <v>22.5</v>
      </c>
      <c r="K164">
        <f t="shared" si="19"/>
        <v>23.684936830236648</v>
      </c>
      <c r="L164">
        <f t="shared" si="18"/>
        <v>7.8949789434122151</v>
      </c>
      <c r="M164">
        <f>IF((((1.18*F164^0.874)/3.7-(0.301*F164^0.751)/(1-H164)*H164)*(MAX('Min rate concentrations'!$P$3:$P$368)))/F164&gt;0, (((1.18*F164^0.874)/3.7-(0.301*F164^0.751)/(1-H164)*H164)*(MAX('Min rate concentrations'!$P$3:$P$368)))/F164, 0)</f>
        <v>0</v>
      </c>
      <c r="N164">
        <f>IF((((1.18*F164^0.874)/3.7-(0.301*F164^0.751)/(1-H164)*H164)*(MAX('Min rate concentrations'!$Q$3:$Q$368)))/F164&gt;0, (((1.18*F164^0.874)/3.7-(0.301*F164^0.751)/(1-H164)*H164)*(MAX('Min rate concentrations'!$Q$3:$Q$368)))/F164, 0)</f>
        <v>0</v>
      </c>
      <c r="O164">
        <f>((MAX('Min rate concentrations'!$F$3:$F$368))*0.62*6.01*8*(10*F164^0.667)*0.079*0.1/F164)*inputs!$E$80/(10^(0.84+0.62*LOG10(inputs!$E$80)))</f>
        <v>2.375846681375851</v>
      </c>
      <c r="P164">
        <f>((MAX('Min rate concentrations'!Y:Y))*0.62*6.01*8*(10*F164^0.667)*0.079*0.1/F164)*inputs!$E$80/(10^(0.84+0.62*LOG10(inputs!$E$80)))</f>
        <v>0.79194889379195033</v>
      </c>
      <c r="Q164">
        <f>(inputs!$C$7*11.2*(10*F164^0.667)*0.5/F164)*inputs!$E$80/(10^(0.84+0.62*LOG10(inputs!$E$80)))</f>
        <v>0.41849418705796076</v>
      </c>
      <c r="R164">
        <f>(60*284*((F164/1000)^0.77)*3*24*(MAX('Min rate concentrations'!$R$3:$R$368))/F164)*(inputs!$E$73*3.4/inputs!$E$75)</f>
        <v>4.5858008178599353E-3</v>
      </c>
      <c r="S164">
        <f>(IF(inputs!$C$6="aerial",((0.025*0.112*inputs!$C$7/3.3)*(3*60*284*((F164/1000)^0.77))*MAX(inputs!$H$14:$H$16))/F164,((0.0083*0.112*inputs!$C$7/1)*(3*60*284*((F164/1000)^0.77))*MAX(inputs!$H$14:$H$16))/F164))*(inputs!E$75*3.4/inputs!$E$73)</f>
        <v>2.5290973254346219E-2</v>
      </c>
      <c r="T164">
        <f>IF((((inputs!$P$12/(V164/MAX(K164:S164)))^(1/inputs!$O$12))-1)/inputs!$N$12&lt;0, 0, IF((((inputs!$P$12/(V164/MAX(K164:S164)))^(1/inputs!$O$12))-1)/inputs!$N$12&gt;inputs!$H$17, inputs!$H$17, (((inputs!$P$12/(V164/MAX(K164:S164)))^(1/inputs!$O$12))-1)/inputs!$N$12))</f>
        <v>520.4636280278711</v>
      </c>
      <c r="U164">
        <f>IF((((inputs!$P$12/(X164/MAX(K164:S164)))^(1/inputs!$O$12))-1)/inputs!$N$12&lt;0, 0, IF((((inputs!$P$12/(X164/MAX(K164:S164)))^(1/inputs!$O$12))-1)/inputs!$N$12&gt;inputs!$H$17, inputs!$H$17, (((inputs!$P$12/(X164/MAX(K164:S164)))^(1/inputs!$O$12))-1)/inputs!$N$12))</f>
        <v>39.089965441926239</v>
      </c>
      <c r="V164">
        <f>inputs!$E$78*(F164/inputs!$F$78)^(inputs!$E$84-1)</f>
        <v>7.8241705298388586E-3</v>
      </c>
      <c r="W164">
        <f>inputs!$E$85*(F164/inputs!$F$85)^(inputs!$E$84-1)</f>
        <v>0.36130578168089961</v>
      </c>
      <c r="X164">
        <f>inputs!$E$80*(F164/inputs!$F$80)^(inputs!$E$84-1)</f>
        <v>1.3491798176691818</v>
      </c>
      <c r="Y164">
        <f>inputs!$E$82*(F164/inputs!$F$82)^(inputs!$E$84-1)</f>
        <v>0.62181565789771986</v>
      </c>
      <c r="Z164">
        <f t="shared" si="15"/>
        <v>3027.1498735757291</v>
      </c>
      <c r="AA164">
        <f t="shared" si="16"/>
        <v>65.553716633172684</v>
      </c>
    </row>
    <row r="165" spans="1:27" x14ac:dyDescent="0.3">
      <c r="A165" t="s">
        <v>366</v>
      </c>
      <c r="B165" t="s">
        <v>367</v>
      </c>
      <c r="C165" t="s">
        <v>73</v>
      </c>
      <c r="D165" t="s">
        <v>204</v>
      </c>
      <c r="E165">
        <v>2691</v>
      </c>
      <c r="F165">
        <v>628</v>
      </c>
      <c r="G165" t="s">
        <v>142</v>
      </c>
      <c r="H165">
        <v>0.69</v>
      </c>
      <c r="I165">
        <f>MAX('Min rate concentrations'!$H$3:$H$368)</f>
        <v>47</v>
      </c>
      <c r="J165">
        <f>MAX('Min rate concentrations'!AA:AA)</f>
        <v>32.5</v>
      </c>
      <c r="K165">
        <f t="shared" si="19"/>
        <v>9.1750979306973637</v>
      </c>
      <c r="L165">
        <f t="shared" si="18"/>
        <v>6.344482611652432</v>
      </c>
      <c r="M165">
        <f>IF((((1.18*F165^0.874)/3.7-(0.301*F165^0.751)/(1-H165)*H165)*(MAX('Min rate concentrations'!$P$3:$P$368)))/F165&gt;0, (((1.18*F165^0.874)/3.7-(0.301*F165^0.751)/(1-H165)*H165)*(MAX('Min rate concentrations'!$P$3:$P$368)))/F165, 0)</f>
        <v>1.0052837484046009E-3</v>
      </c>
      <c r="N165">
        <f>IF((((1.18*F165^0.874)/3.7-(0.301*F165^0.751)/(1-H165)*H165)*(MAX('Min rate concentrations'!$Q$3:$Q$368)))/F165&gt;0, (((1.18*F165^0.874)/3.7-(0.301*F165^0.751)/(1-H165)*H165)*(MAX('Min rate concentrations'!$Q$3:$Q$368)))/F165, 0)</f>
        <v>3.8281745295145539E-3</v>
      </c>
      <c r="O165">
        <f>((MAX('Min rate concentrations'!$F$3:$F$368))*0.62*6.01*8*(10*F165^0.667)*0.079*0.1/F165)*inputs!$E$80/(10^(0.84+0.62*LOG10(inputs!$E$80)))</f>
        <v>2.86339731921688</v>
      </c>
      <c r="P165">
        <f>((MAX('Min rate concentrations'!Y:Y))*0.62*6.01*8*(10*F165^0.667)*0.079*0.1/F165)*inputs!$E$80/(10^(0.84+0.62*LOG10(inputs!$E$80)))</f>
        <v>0.95446577307229319</v>
      </c>
      <c r="Q165">
        <f>(inputs!$C$7*11.2*(10*F165^0.667)*0.5/F165)*inputs!$E$80/(10^(0.84+0.62*LOG10(inputs!$E$80)))</f>
        <v>0.50437393234300321</v>
      </c>
      <c r="R165">
        <f>(60*284*((F165/1000)^0.77)*3*24*(MAX('Min rate concentrations'!$R$3:$R$368))/F165)*(inputs!$E$73*3.4/inputs!$E$75)</f>
        <v>5.2168072042871987E-3</v>
      </c>
      <c r="S165">
        <f>(IF(inputs!$C$6="aerial",((0.025*0.112*inputs!$C$7/3.3)*(3*60*284*((F165/1000)^0.77))*MAX(inputs!$H$14:$H$16))/F165,((0.0083*0.112*inputs!$C$7/1)*(3*60*284*((F165/1000)^0.77))*MAX(inputs!$H$14:$H$16))/F165))*(inputs!E$75*3.4/inputs!$E$73)</f>
        <v>2.8771012243458075E-2</v>
      </c>
      <c r="T165">
        <f>IF((((inputs!$P$12/(V165/MAX(K165:S165)))^(1/inputs!$O$12))-1)/inputs!$N$12&lt;0, 0, IF((((inputs!$P$12/(V165/MAX(K165:S165)))^(1/inputs!$O$12))-1)/inputs!$N$12&gt;inputs!$H$17, inputs!$H$17, (((inputs!$P$12/(V165/MAX(K165:S165)))^(1/inputs!$O$12))-1)/inputs!$N$12))</f>
        <v>314.57954412574855</v>
      </c>
      <c r="U165">
        <f>IF((((inputs!$P$12/(X165/MAX(K165:S165)))^(1/inputs!$O$12))-1)/inputs!$N$12&lt;0, 0, IF((((inputs!$P$12/(X165/MAX(K165:S165)))^(1/inputs!$O$12))-1)/inputs!$N$12&gt;inputs!$H$17, inputs!$H$17, (((inputs!$P$12/(X165/MAX(K165:S165)))^(1/inputs!$O$12))-1)/inputs!$N$12))</f>
        <v>13.74420997497486</v>
      </c>
      <c r="V165">
        <f>inputs!$E$78*(F165/inputs!$F$78)^(inputs!$E$84-1)</f>
        <v>9.6273892813238914E-3</v>
      </c>
      <c r="W165">
        <f>inputs!$E$85*(F165/inputs!$F$85)^(inputs!$E$84-1)</f>
        <v>0.4445751018040095</v>
      </c>
      <c r="X165">
        <f>inputs!$E$80*(F165/inputs!$F$80)^(inputs!$E$84-1)</f>
        <v>1.6601222155972506</v>
      </c>
      <c r="Y165">
        <f>inputs!$E$82*(F165/inputs!$F$82)^(inputs!$E$84-1)</f>
        <v>0.7651240955157409</v>
      </c>
      <c r="Z165">
        <f t="shared" si="15"/>
        <v>953.02035293161725</v>
      </c>
      <c r="AA165">
        <f t="shared" si="16"/>
        <v>20.637903232696544</v>
      </c>
    </row>
    <row r="166" spans="1:27" x14ac:dyDescent="0.3">
      <c r="A166" t="s">
        <v>366</v>
      </c>
      <c r="B166" t="s">
        <v>367</v>
      </c>
      <c r="C166" t="s">
        <v>73</v>
      </c>
      <c r="D166" t="s">
        <v>204</v>
      </c>
      <c r="E166">
        <v>2691</v>
      </c>
      <c r="F166">
        <v>628</v>
      </c>
      <c r="G166" t="s">
        <v>169</v>
      </c>
      <c r="H166">
        <v>0.79</v>
      </c>
      <c r="I166">
        <f>MAX('Min rate concentrations'!$D$3:$D$368)</f>
        <v>120</v>
      </c>
      <c r="J166">
        <f>MAX('Min rate concentrations'!W:W)</f>
        <v>42.5</v>
      </c>
      <c r="K166">
        <f t="shared" si="19"/>
        <v>34.58091621296272</v>
      </c>
      <c r="L166">
        <f t="shared" si="18"/>
        <v>12.247407825424297</v>
      </c>
      <c r="M166">
        <f>IF((((1.18*F166^0.874)/3.7-(0.301*F166^0.751)/(1-H166)*H166)*(MAX('Min rate concentrations'!$P$3:$P$368)))/F166&gt;0, (((1.18*F166^0.874)/3.7-(0.301*F166^0.751)/(1-H166)*H166)*(MAX('Min rate concentrations'!$P$3:$P$368)))/F166, 0)</f>
        <v>0</v>
      </c>
      <c r="N166">
        <f>IF((((1.18*F166^0.874)/3.7-(0.301*F166^0.751)/(1-H166)*H166)*(MAX('Min rate concentrations'!$Q$3:$Q$368)))/F166&gt;0, (((1.18*F166^0.874)/3.7-(0.301*F166^0.751)/(1-H166)*H166)*(MAX('Min rate concentrations'!$Q$3:$Q$368)))/F166, 0)</f>
        <v>0</v>
      </c>
      <c r="O166">
        <f>((MAX('Min rate concentrations'!$F$3:$F$368))*0.62*6.01*8*(10*F166^0.667)*0.079*0.1/F166)*inputs!$E$80/(10^(0.84+0.62*LOG10(inputs!$E$80)))</f>
        <v>2.86339731921688</v>
      </c>
      <c r="P166">
        <f>((MAX('Min rate concentrations'!Y:Y))*0.62*6.01*8*(10*F166^0.667)*0.079*0.1/F166)*inputs!$E$80/(10^(0.84+0.62*LOG10(inputs!$E$80)))</f>
        <v>0.95446577307229319</v>
      </c>
      <c r="Q166">
        <f>(inputs!$C$7*11.2*(10*F166^0.667)*0.5/F166)*inputs!$E$80/(10^(0.84+0.62*LOG10(inputs!$E$80)))</f>
        <v>0.50437393234300321</v>
      </c>
      <c r="R166">
        <f>(60*284*((F166/1000)^0.77)*3*24*(MAX('Min rate concentrations'!$R$3:$R$368))/F166)*(inputs!$E$73*3.4/inputs!$E$75)</f>
        <v>5.2168072042871987E-3</v>
      </c>
      <c r="S166">
        <f>(IF(inputs!$C$6="aerial",((0.025*0.112*inputs!$C$7/3.3)*(3*60*284*((F166/1000)^0.77))*MAX(inputs!$H$14:$H$16))/F166,((0.0083*0.112*inputs!$C$7/1)*(3*60*284*((F166/1000)^0.77))*MAX(inputs!$H$14:$H$16))/F166))*(inputs!E$75*3.4/inputs!$E$73)</f>
        <v>2.8771012243458075E-2</v>
      </c>
      <c r="T166">
        <f>IF((((inputs!$P$12/(V166/MAX(K166:S166)))^(1/inputs!$O$12))-1)/inputs!$N$12&lt;0, 0, IF((((inputs!$P$12/(V166/MAX(K166:S166)))^(1/inputs!$O$12))-1)/inputs!$N$12&gt;inputs!$H$17, inputs!$H$17, (((inputs!$P$12/(V166/MAX(K166:S166)))^(1/inputs!$O$12))-1)/inputs!$N$12))</f>
        <v>560.01978415137989</v>
      </c>
      <c r="U166">
        <f>IF((((inputs!$P$12/(X166/MAX(K166:S166)))^(1/inputs!$O$12))-1)/inputs!$N$12&lt;0, 0, IF((((inputs!$P$12/(X166/MAX(K166:S166)))^(1/inputs!$O$12))-1)/inputs!$N$12&gt;inputs!$H$17, inputs!$H$17, (((inputs!$P$12/(X166/MAX(K166:S166)))^(1/inputs!$O$12))-1)/inputs!$N$12))</f>
        <v>43.959601993315196</v>
      </c>
      <c r="V166">
        <f>inputs!$E$78*(F166/inputs!$F$78)^(inputs!$E$84-1)</f>
        <v>9.6273892813238914E-3</v>
      </c>
      <c r="W166">
        <f>inputs!$E$85*(F166/inputs!$F$85)^(inputs!$E$84-1)</f>
        <v>0.4445751018040095</v>
      </c>
      <c r="X166">
        <f>inputs!$E$80*(F166/inputs!$F$80)^(inputs!$E$84-1)</f>
        <v>1.6601222155972506</v>
      </c>
      <c r="Y166">
        <f>inputs!$E$82*(F166/inputs!$F$82)^(inputs!$E$84-1)</f>
        <v>0.7651240955157409</v>
      </c>
      <c r="Z166">
        <f t="shared" si="15"/>
        <v>3591.9308134808684</v>
      </c>
      <c r="AA166">
        <f t="shared" si="16"/>
        <v>77.784194554844149</v>
      </c>
    </row>
    <row r="167" spans="1:27" x14ac:dyDescent="0.3">
      <c r="A167" t="s">
        <v>366</v>
      </c>
      <c r="B167" t="s">
        <v>367</v>
      </c>
      <c r="C167" t="s">
        <v>73</v>
      </c>
      <c r="D167" t="s">
        <v>204</v>
      </c>
      <c r="E167">
        <v>2691</v>
      </c>
      <c r="F167">
        <v>628</v>
      </c>
      <c r="G167" t="s">
        <v>158</v>
      </c>
      <c r="H167">
        <v>0.85</v>
      </c>
      <c r="I167">
        <f>MAX('Min rate concentrations'!$F$3:$F$368)</f>
        <v>67.5</v>
      </c>
      <c r="J167">
        <f>MAX('Min rate concentrations'!Y:Y)</f>
        <v>22.5</v>
      </c>
      <c r="K167">
        <f t="shared" si="19"/>
        <v>27.232471517708134</v>
      </c>
      <c r="L167">
        <f t="shared" si="18"/>
        <v>9.0774905059027109</v>
      </c>
      <c r="M167">
        <f>IF((((1.18*F167^0.874)/3.7-(0.301*F167^0.751)/(1-H167)*H167)*(MAX('Min rate concentrations'!$P$3:$P$368)))/F167&gt;0, (((1.18*F167^0.874)/3.7-(0.301*F167^0.751)/(1-H167)*H167)*(MAX('Min rate concentrations'!$P$3:$P$368)))/F167, 0)</f>
        <v>0</v>
      </c>
      <c r="N167">
        <f>IF((((1.18*F167^0.874)/3.7-(0.301*F167^0.751)/(1-H167)*H167)*(MAX('Min rate concentrations'!$Q$3:$Q$368)))/F167&gt;0, (((1.18*F167^0.874)/3.7-(0.301*F167^0.751)/(1-H167)*H167)*(MAX('Min rate concentrations'!$Q$3:$Q$368)))/F167, 0)</f>
        <v>0</v>
      </c>
      <c r="O167">
        <f>((MAX('Min rate concentrations'!$F$3:$F$368))*0.62*6.01*8*(10*F167^0.667)*0.079*0.1/F167)*inputs!$E$80/(10^(0.84+0.62*LOG10(inputs!$E$80)))</f>
        <v>2.86339731921688</v>
      </c>
      <c r="P167">
        <f>((MAX('Min rate concentrations'!Y:Y))*0.62*6.01*8*(10*F167^0.667)*0.079*0.1/F167)*inputs!$E$80/(10^(0.84+0.62*LOG10(inputs!$E$80)))</f>
        <v>0.95446577307229319</v>
      </c>
      <c r="Q167">
        <f>(inputs!$C$7*11.2*(10*F167^0.667)*0.5/F167)*inputs!$E$80/(10^(0.84+0.62*LOG10(inputs!$E$80)))</f>
        <v>0.50437393234300321</v>
      </c>
      <c r="R167">
        <f>(60*284*((F167/1000)^0.77)*3*24*(MAX('Min rate concentrations'!$R$3:$R$368))/F167)*(inputs!$E$73*3.4/inputs!$E$75)</f>
        <v>5.2168072042871987E-3</v>
      </c>
      <c r="S167">
        <f>(IF(inputs!$C$6="aerial",((0.025*0.112*inputs!$C$7/3.3)*(3*60*284*((F167/1000)^0.77))*MAX(inputs!$H$14:$H$16))/F167,((0.0083*0.112*inputs!$C$7/1)*(3*60*284*((F167/1000)^0.77))*MAX(inputs!$H$14:$H$16))/F167))*(inputs!E$75*3.4/inputs!$E$73)</f>
        <v>2.8771012243458075E-2</v>
      </c>
      <c r="T167">
        <f>IF((((inputs!$P$12/(V167/MAX(K167:S167)))^(1/inputs!$O$12))-1)/inputs!$N$12&lt;0, 0, IF((((inputs!$P$12/(V167/MAX(K167:S167)))^(1/inputs!$O$12))-1)/inputs!$N$12&gt;inputs!$H$17, inputs!$H$17, (((inputs!$P$12/(V167/MAX(K167:S167)))^(1/inputs!$O$12))-1)/inputs!$N$12))</f>
        <v>505.52702354478038</v>
      </c>
      <c r="U167">
        <f>IF((((inputs!$P$12/(X167/MAX(K167:S167)))^(1/inputs!$O$12))-1)/inputs!$N$12&lt;0, 0, IF((((inputs!$P$12/(X167/MAX(K167:S167)))^(1/inputs!$O$12))-1)/inputs!$N$12&gt;inputs!$H$17, inputs!$H$17, (((inputs!$P$12/(X167/MAX(K167:S167)))^(1/inputs!$O$12))-1)/inputs!$N$12))</f>
        <v>37.251166067250132</v>
      </c>
      <c r="V167">
        <f>inputs!$E$78*(F167/inputs!$F$78)^(inputs!$E$84-1)</f>
        <v>9.6273892813238914E-3</v>
      </c>
      <c r="W167">
        <f>inputs!$E$85*(F167/inputs!$F$85)^(inputs!$E$84-1)</f>
        <v>0.4445751018040095</v>
      </c>
      <c r="X167">
        <f>inputs!$E$80*(F167/inputs!$F$80)^(inputs!$E$84-1)</f>
        <v>1.6601222155972506</v>
      </c>
      <c r="Y167">
        <f>inputs!$E$82*(F167/inputs!$F$82)^(inputs!$E$84-1)</f>
        <v>0.7651240955157409</v>
      </c>
      <c r="Z167">
        <f t="shared" si="15"/>
        <v>2828.6455156161833</v>
      </c>
      <c r="AA167">
        <f t="shared" si="16"/>
        <v>61.255053211939753</v>
      </c>
    </row>
    <row r="168" spans="1:27" x14ac:dyDescent="0.3">
      <c r="A168" t="s">
        <v>366</v>
      </c>
      <c r="B168" t="s">
        <v>367</v>
      </c>
      <c r="C168" t="s">
        <v>73</v>
      </c>
      <c r="D168" t="s">
        <v>204</v>
      </c>
      <c r="E168">
        <v>2691</v>
      </c>
      <c r="F168">
        <v>628</v>
      </c>
      <c r="G168" t="s">
        <v>154</v>
      </c>
      <c r="H168">
        <v>9.2999999999999999E-2</v>
      </c>
      <c r="I168">
        <f>MAX('Min rate concentrations'!$G$3:$G$368)</f>
        <v>7.5</v>
      </c>
      <c r="J168">
        <f>MAX('Min rate concentrations'!Z:Z)</f>
        <v>3.5</v>
      </c>
      <c r="K168">
        <f t="shared" si="19"/>
        <v>0.50041292755803268</v>
      </c>
      <c r="M168">
        <f>IF((((1.18*F168^0.874)/3.7-(0.301*F168^0.751)/(1-H168)*H168)*(MAX('Min rate concentrations'!$P$3:$P$368)))/F168&gt;0, (((1.18*F168^0.874)/3.7-(0.301*F168^0.751)/(1-H168)*H168)*(MAX('Min rate concentrations'!$P$3:$P$368)))/F168, 0)</f>
        <v>1.9655807964379143E-2</v>
      </c>
      <c r="N168">
        <f>IF((((1.18*F168^0.874)/3.7-(0.301*F168^0.751)/(1-H168)*H168)*(MAX('Min rate concentrations'!$Q$3:$Q$368)))/F168&gt;0, (((1.18*F168^0.874)/3.7-(0.301*F168^0.751)/(1-H168)*H168)*(MAX('Min rate concentrations'!$Q$3:$Q$368)))/F168, 0)</f>
        <v>7.4850372868040249E-2</v>
      </c>
      <c r="O168">
        <f>((MAX('Min rate concentrations'!$F$3:$F$368))*0.62*6.01*8*(10*F168^0.667)*0.079*0.1/F168)*inputs!$E$80/(10^(0.84+0.62*LOG10(inputs!$E$80)))</f>
        <v>2.86339731921688</v>
      </c>
      <c r="P168">
        <f>((MAX('Min rate concentrations'!Y:Y))*0.62*6.01*8*(10*F168^0.667)*0.079*0.1/F168)*inputs!$E$80/(10^(0.84+0.62*LOG10(inputs!$E$80)))</f>
        <v>0.95446577307229319</v>
      </c>
      <c r="Q168">
        <f>(inputs!$C$7*11.2*(10*F168^0.667)*0.5/F168)*inputs!$E$80/(10^(0.84+0.62*LOG10(inputs!$E$80)))</f>
        <v>0.50437393234300321</v>
      </c>
      <c r="R168">
        <f>(60*284*((F168/1000)^0.77)*3*24*(MAX('Min rate concentrations'!$R$3:$R$368))/F168)*(inputs!$E$73*3.4/inputs!$E$75)</f>
        <v>5.2168072042871987E-3</v>
      </c>
      <c r="S168">
        <f>(IF(inputs!$C$6="aerial",((0.025*0.112*inputs!$C$7/3.3)*(3*60*284*((F168/1000)^0.77))*MAX(inputs!$H$14:$H$16))/F168,((0.0083*0.112*inputs!$C$7/1)*(3*60*284*((F168/1000)^0.77))*MAX(inputs!$H$14:$H$16))/F168))*(inputs!E$75*3.4/inputs!$E$73)</f>
        <v>2.8771012243458075E-2</v>
      </c>
      <c r="T168">
        <f>IF((((inputs!$P$12/(V168/MAX(K168:S168)))^(1/inputs!$O$12))-1)/inputs!$N$12&lt;0, 0, IF((((inputs!$P$12/(V168/MAX(K168:S168)))^(1/inputs!$O$12))-1)/inputs!$N$12&gt;inputs!$H$17, inputs!$H$17, (((inputs!$P$12/(V168/MAX(K168:S168)))^(1/inputs!$O$12))-1)/inputs!$N$12))</f>
        <v>185.15077611581995</v>
      </c>
      <c r="U168">
        <f>IF((((inputs!$P$12/(X168/MAX(K168:S168)))^(1/inputs!$O$12))-1)/inputs!$N$12&lt;0, 0, IF((((inputs!$P$12/(X168/MAX(K168:S168)))^(1/inputs!$O$12))-1)/inputs!$N$12&gt;inputs!$H$17, inputs!$H$17, (((inputs!$P$12/(X168/MAX(K168:S168)))^(1/inputs!$O$12))-1)/inputs!$N$12))</f>
        <v>0</v>
      </c>
      <c r="V168">
        <f>inputs!$E$78*(F168/inputs!$F$78)^(inputs!$E$84-1)</f>
        <v>9.6273892813238914E-3</v>
      </c>
      <c r="W168">
        <f>inputs!$E$85*(F168/inputs!$F$85)^(inputs!$E$84-1)</f>
        <v>0.4445751018040095</v>
      </c>
      <c r="X168">
        <f>inputs!$E$80*(F168/inputs!$F$80)^(inputs!$E$84-1)</f>
        <v>1.6601222155972506</v>
      </c>
      <c r="Y168">
        <f>inputs!$E$82*(F168/inputs!$F$82)^(inputs!$E$84-1)</f>
        <v>0.7651240955157409</v>
      </c>
      <c r="Z168">
        <f t="shared" si="15"/>
        <v>297.42199422345635</v>
      </c>
      <c r="AA168">
        <f t="shared" si="16"/>
        <v>6.4407505224599957</v>
      </c>
    </row>
    <row r="169" spans="1:27" x14ac:dyDescent="0.3">
      <c r="A169" t="s">
        <v>219</v>
      </c>
      <c r="B169" t="s">
        <v>220</v>
      </c>
      <c r="C169" t="s">
        <v>73</v>
      </c>
      <c r="D169" t="s">
        <v>204</v>
      </c>
      <c r="E169">
        <v>89</v>
      </c>
      <c r="F169">
        <v>178</v>
      </c>
      <c r="G169" t="s">
        <v>142</v>
      </c>
      <c r="H169">
        <v>0.69</v>
      </c>
      <c r="I169">
        <f>MAX('Min rate concentrations'!$H$3:$H$368)</f>
        <v>47</v>
      </c>
      <c r="J169">
        <f>MAX('Min rate concentrations'!AA:AA)</f>
        <v>32.5</v>
      </c>
      <c r="K169">
        <f t="shared" si="19"/>
        <v>12.558798114705798</v>
      </c>
      <c r="L169">
        <f>((0.301*F169^0.751)/(1-H169))*J169/F169</f>
        <v>8.6842752920837967</v>
      </c>
      <c r="M169">
        <f>IF((((1.18*F169^0.874)/3.7-(0.301*F169^0.751)/(1-H169)*H169)*(MAX('Min rate concentrations'!$P$3:$P$368)))/F169&gt;0, (((1.18*F169^0.874)/3.7-(0.301*F169^0.751)/(1-H169)*H169)*(MAX('Min rate concentrations'!$P$3:$P$368)))/F169, 0)</f>
        <v>0</v>
      </c>
      <c r="N169">
        <f>IF((((1.18*F169^0.874)/3.7-(0.301*F169^0.751)/(1-H169)*H169)*(MAX('Min rate concentrations'!$Q$3:$Q$368)))/F169&gt;0, (((1.18*F169^0.874)/3.7-(0.301*F169^0.751)/(1-H169)*H169)*(MAX('Min rate concentrations'!$Q$3:$Q$368)))/F169, 0)</f>
        <v>0</v>
      </c>
      <c r="O169">
        <f>((MAX('Min rate concentrations'!$F$3:$F$368))*0.62*6.01*8*(10*F169^0.667)*0.079*0.1/F169)*inputs!$E$80/(10^(0.84+0.62*LOG10(inputs!$E$80)))</f>
        <v>4.3572483550812766</v>
      </c>
      <c r="P169">
        <f>((MAX('Min rate concentrations'!Y:Y))*0.62*6.01*8*(10*F169^0.667)*0.079*0.1/F169)*inputs!$E$80/(10^(0.84+0.62*LOG10(inputs!$E$80)))</f>
        <v>1.4524161183604249</v>
      </c>
      <c r="Q169">
        <f>(inputs!$C$7*11.2*(10*F169^0.667)*0.5/F169)*inputs!$E$80/(10^(0.84+0.62*LOG10(inputs!$E$80)))</f>
        <v>0.76750874644545564</v>
      </c>
      <c r="R169">
        <f>(60*284*((F169/1000)^0.77)*3*24*(MAX('Min rate concentrations'!$R$3:$R$368))/F169)*(inputs!$E$73*3.4/inputs!$E$75)</f>
        <v>6.9717034323258939E-3</v>
      </c>
      <c r="S169">
        <f>(IF(inputs!$C$6="aerial",((0.025*0.112*inputs!$C$7/3.3)*(3*60*284*((F169/1000)^0.77))*MAX(inputs!$H$14:$H$16))/F169,((0.0083*0.112*inputs!$C$7/1)*(3*60*284*((F169/1000)^0.77))*MAX(inputs!$H$14:$H$16))/F169))*(inputs!E$75*3.4/inputs!$E$73)</f>
        <v>3.844937275894858E-2</v>
      </c>
      <c r="T169">
        <f>IF((((inputs!$P$12/(V169/MAX(K169:S169)))^(1/inputs!$O$12))-1)/inputs!$N$12&lt;0, 0, IF((((inputs!$P$12/(V169/MAX(K169:S169)))^(1/inputs!$O$12))-1)/inputs!$N$12&gt;inputs!$H$17, inputs!$H$17, (((inputs!$P$12/(V169/MAX(K169:S169)))^(1/inputs!$O$12))-1)/inputs!$N$12))</f>
        <v>293.93967049643192</v>
      </c>
      <c r="U169">
        <f>IF((((inputs!$P$12/(X169/MAX(K169:S169)))^(1/inputs!$O$12))-1)/inputs!$N$12&lt;0, 0, IF((((inputs!$P$12/(X169/MAX(K169:S169)))^(1/inputs!$O$12))-1)/inputs!$N$12&gt;inputs!$H$17, inputs!$H$17, (((inputs!$P$12/(X169/MAX(K169:S169)))^(1/inputs!$O$12))-1)/inputs!$N$12))</f>
        <v>11.203298701201359</v>
      </c>
      <c r="V169">
        <f>inputs!$E$78*(F169/inputs!$F$78)^(inputs!$E$84-1)</f>
        <v>1.5349640205447362E-2</v>
      </c>
      <c r="W169">
        <f>inputs!$E$85*(F169/inputs!$F$85)^(inputs!$E$84-1)</f>
        <v>0.70881810816870583</v>
      </c>
      <c r="X169">
        <f>inputs!$E$80*(F169/inputs!$F$80)^(inputs!$E$84-1)</f>
        <v>2.6468524292375721</v>
      </c>
      <c r="Y169">
        <f>inputs!$E$82*(F169/inputs!$F$82)^(inputs!$E$84-1)</f>
        <v>1.2198924584329218</v>
      </c>
      <c r="Z169">
        <f t="shared" si="15"/>
        <v>818.18192130971681</v>
      </c>
      <c r="AA169">
        <f t="shared" si="16"/>
        <v>17.717941979716858</v>
      </c>
    </row>
    <row r="170" spans="1:27" x14ac:dyDescent="0.3">
      <c r="A170" t="s">
        <v>219</v>
      </c>
      <c r="B170" t="s">
        <v>220</v>
      </c>
      <c r="C170" t="s">
        <v>73</v>
      </c>
      <c r="D170" t="s">
        <v>204</v>
      </c>
      <c r="E170">
        <v>89</v>
      </c>
      <c r="F170">
        <v>178</v>
      </c>
      <c r="G170" t="s">
        <v>152</v>
      </c>
      <c r="H170">
        <v>0.77</v>
      </c>
      <c r="I170">
        <f>MAX('Min rate concentrations'!$G$3:$G$368)</f>
        <v>7.5</v>
      </c>
      <c r="J170">
        <f>MAX('Min rate concentrations'!Z:Z)</f>
        <v>3.5</v>
      </c>
      <c r="K170">
        <f t="shared" si="19"/>
        <v>2.7011291042267329</v>
      </c>
      <c r="L170">
        <f>((0.301*F170^0.751)/(1-H170))*J170/F170</f>
        <v>1.2605269153058087</v>
      </c>
      <c r="M170">
        <f>IF((((1.18*F170^0.874)/3.7-(0.301*F170^0.751)/(1-H170)*H170)*(MAX('Min rate concentrations'!$P$3:$P$368)))/F170&gt;0, (((1.18*F170^0.874)/3.7-(0.301*F170^0.751)/(1-H170)*H170)*(MAX('Min rate concentrations'!$P$3:$P$368)))/F170, 0)</f>
        <v>0</v>
      </c>
      <c r="N170">
        <f>IF((((1.18*F170^0.874)/3.7-(0.301*F170^0.751)/(1-H170)*H170)*(MAX('Min rate concentrations'!$Q$3:$Q$368)))/F170&gt;0, (((1.18*F170^0.874)/3.7-(0.301*F170^0.751)/(1-H170)*H170)*(MAX('Min rate concentrations'!$Q$3:$Q$368)))/F170, 0)</f>
        <v>0</v>
      </c>
      <c r="O170">
        <f>((MAX('Min rate concentrations'!$F$3:$F$368))*0.62*6.01*8*(10*F170^0.667)*0.079*0.1/F170)*inputs!$E$80/(10^(0.84+0.62*LOG10(inputs!$E$80)))</f>
        <v>4.3572483550812766</v>
      </c>
      <c r="P170">
        <f>((MAX('Min rate concentrations'!Y:Y))*0.62*6.01*8*(10*F170^0.667)*0.079*0.1/F170)*inputs!$E$80/(10^(0.84+0.62*LOG10(inputs!$E$80)))</f>
        <v>1.4524161183604249</v>
      </c>
      <c r="Q170">
        <f>(inputs!$C$7*11.2*(10*F170^0.667)*0.5/F170)*inputs!$E$80/(10^(0.84+0.62*LOG10(inputs!$E$80)))</f>
        <v>0.76750874644545564</v>
      </c>
      <c r="R170">
        <f>(60*284*((F170/1000)^0.77)*3*24*(MAX('Min rate concentrations'!$R$3:$R$368))/F170)*(inputs!$E$73*3.4/inputs!$E$75)</f>
        <v>6.9717034323258939E-3</v>
      </c>
      <c r="S170">
        <f>(IF(inputs!$C$6="aerial",((0.025*0.112*inputs!$C$7/3.3)*(3*60*284*((F170/1000)^0.77))*MAX(inputs!$H$14:$H$16))/F170,((0.0083*0.112*inputs!$C$7/1)*(3*60*284*((F170/1000)^0.77))*MAX(inputs!$H$14:$H$16))/F170))*(inputs!E$75*3.4/inputs!$E$73)</f>
        <v>3.844937275894858E-2</v>
      </c>
      <c r="T170">
        <f>IF((((inputs!$P$12/(V170/MAX(K170:S170)))^(1/inputs!$O$12))-1)/inputs!$N$12&lt;0, 0, IF((((inputs!$P$12/(V170/MAX(K170:S170)))^(1/inputs!$O$12))-1)/inputs!$N$12&gt;inputs!$H$17, inputs!$H$17, (((inputs!$P$12/(V170/MAX(K170:S170)))^(1/inputs!$O$12))-1)/inputs!$N$12))</f>
        <v>181.13549643618043</v>
      </c>
      <c r="U170">
        <f>IF((((inputs!$P$12/(X170/MAX(K170:S170)))^(1/inputs!$O$12))-1)/inputs!$N$12&lt;0, 0, IF((((inputs!$P$12/(X170/MAX(K170:S170)))^(1/inputs!$O$12))-1)/inputs!$N$12&gt;inputs!$H$17, inputs!$H$17, (((inputs!$P$12/(X170/MAX(K170:S170)))^(1/inputs!$O$12))-1)/inputs!$N$12))</f>
        <v>0</v>
      </c>
      <c r="V170">
        <f>inputs!$E$78*(F170/inputs!$F$78)^(inputs!$E$84-1)</f>
        <v>1.5349640205447362E-2</v>
      </c>
      <c r="W170">
        <f>inputs!$E$85*(F170/inputs!$F$85)^(inputs!$E$84-1)</f>
        <v>0.70881810816870583</v>
      </c>
      <c r="X170">
        <f>inputs!$E$80*(F170/inputs!$F$80)^(inputs!$E$84-1)</f>
        <v>2.6468524292375721</v>
      </c>
      <c r="Y170">
        <f>inputs!$E$82*(F170/inputs!$F$82)^(inputs!$E$84-1)</f>
        <v>1.2198924584329218</v>
      </c>
      <c r="Z170">
        <f t="shared" si="15"/>
        <v>283.86648134820473</v>
      </c>
      <c r="AA170">
        <f t="shared" si="16"/>
        <v>6.1472023709137629</v>
      </c>
    </row>
    <row r="171" spans="1:27" x14ac:dyDescent="0.3">
      <c r="A171" t="s">
        <v>219</v>
      </c>
      <c r="B171" t="s">
        <v>220</v>
      </c>
      <c r="C171" t="s">
        <v>73</v>
      </c>
      <c r="D171" t="s">
        <v>204</v>
      </c>
      <c r="E171">
        <v>89</v>
      </c>
      <c r="F171">
        <v>178</v>
      </c>
      <c r="G171" t="s">
        <v>169</v>
      </c>
      <c r="H171">
        <v>0.79</v>
      </c>
      <c r="I171">
        <f>MAX('Min rate concentrations'!$D$3:$D$368)</f>
        <v>120</v>
      </c>
      <c r="J171">
        <f>MAX('Min rate concentrations'!W:W)</f>
        <v>42.5</v>
      </c>
      <c r="K171">
        <f t="shared" si="19"/>
        <v>47.334071921687517</v>
      </c>
      <c r="L171">
        <f>((0.301*F171^0.751)/(1-H171))*J171/F171</f>
        <v>16.76415047226433</v>
      </c>
      <c r="M171">
        <f>IF((((1.18*F171^0.874)/3.7-(0.301*F171^0.751)/(1-H171)*H171)*(MAX('Min rate concentrations'!$P$3:$P$368)))/F171&gt;0, (((1.18*F171^0.874)/3.7-(0.301*F171^0.751)/(1-H171)*H171)*(MAX('Min rate concentrations'!$P$3:$P$368)))/F171, 0)</f>
        <v>0</v>
      </c>
      <c r="N171">
        <f>IF((((1.18*F171^0.874)/3.7-(0.301*F171^0.751)/(1-H171)*H171)*(MAX('Min rate concentrations'!$Q$3:$Q$368)))/F171&gt;0, (((1.18*F171^0.874)/3.7-(0.301*F171^0.751)/(1-H171)*H171)*(MAX('Min rate concentrations'!$Q$3:$Q$368)))/F171, 0)</f>
        <v>0</v>
      </c>
      <c r="O171">
        <f>((MAX('Min rate concentrations'!$F$3:$F$368))*0.62*6.01*8*(10*F171^0.667)*0.079*0.1/F171)*inputs!$E$80/(10^(0.84+0.62*LOG10(inputs!$E$80)))</f>
        <v>4.3572483550812766</v>
      </c>
      <c r="P171">
        <f>((MAX('Min rate concentrations'!Y:Y))*0.62*6.01*8*(10*F171^0.667)*0.079*0.1/F171)*inputs!$E$80/(10^(0.84+0.62*LOG10(inputs!$E$80)))</f>
        <v>1.4524161183604249</v>
      </c>
      <c r="Q171">
        <f>(inputs!$C$7*11.2*(10*F171^0.667)*0.5/F171)*inputs!$E$80/(10^(0.84+0.62*LOG10(inputs!$E$80)))</f>
        <v>0.76750874644545564</v>
      </c>
      <c r="R171">
        <f>(60*284*((F171/1000)^0.77)*3*24*(MAX('Min rate concentrations'!$R$3:$R$368))/F171)*(inputs!$E$73*3.4/inputs!$E$75)</f>
        <v>6.9717034323258939E-3</v>
      </c>
      <c r="S171">
        <f>(IF(inputs!$C$6="aerial",((0.025*0.112*inputs!$C$7/3.3)*(3*60*284*((F171/1000)^0.77))*MAX(inputs!$H$14:$H$16))/F171,((0.0083*0.112*inputs!$C$7/1)*(3*60*284*((F171/1000)^0.77))*MAX(inputs!$H$14:$H$16))/F171))*(inputs!E$75*3.4/inputs!$E$73)</f>
        <v>3.844937275894858E-2</v>
      </c>
      <c r="T171">
        <f>IF((((inputs!$P$12/(V171/MAX(K171:S171)))^(1/inputs!$O$12))-1)/inputs!$N$12&lt;0, 0, IF((((inputs!$P$12/(V171/MAX(K171:S171)))^(1/inputs!$O$12))-1)/inputs!$N$12&gt;inputs!$H$17, inputs!$H$17, (((inputs!$P$12/(V171/MAX(K171:S171)))^(1/inputs!$O$12))-1)/inputs!$N$12))</f>
        <v>524.61364751875203</v>
      </c>
      <c r="U171">
        <f>IF((((inputs!$P$12/(X171/MAX(K171:S171)))^(1/inputs!$O$12))-1)/inputs!$N$12&lt;0, 0, IF((((inputs!$P$12/(X171/MAX(K171:S171)))^(1/inputs!$O$12))-1)/inputs!$N$12&gt;inputs!$H$17, inputs!$H$17, (((inputs!$P$12/(X171/MAX(K171:S171)))^(1/inputs!$O$12))-1)/inputs!$N$12))</f>
        <v>39.600861559806638</v>
      </c>
      <c r="V171">
        <f>inputs!$E$78*(F171/inputs!$F$78)^(inputs!$E$84-1)</f>
        <v>1.5349640205447362E-2</v>
      </c>
      <c r="W171">
        <f>inputs!$E$85*(F171/inputs!$F$85)^(inputs!$E$84-1)</f>
        <v>0.70881810816870583</v>
      </c>
      <c r="X171">
        <f>inputs!$E$80*(F171/inputs!$F$80)^(inputs!$E$84-1)</f>
        <v>2.6468524292375721</v>
      </c>
      <c r="Y171">
        <f>inputs!$E$82*(F171/inputs!$F$82)^(inputs!$E$84-1)</f>
        <v>1.2198924584329218</v>
      </c>
      <c r="Z171">
        <f t="shared" si="15"/>
        <v>3083.7251745411822</v>
      </c>
      <c r="AA171">
        <f t="shared" si="16"/>
        <v>66.778869467625867</v>
      </c>
    </row>
    <row r="172" spans="1:27" x14ac:dyDescent="0.3">
      <c r="A172" t="s">
        <v>219</v>
      </c>
      <c r="B172" t="s">
        <v>220</v>
      </c>
      <c r="C172" t="s">
        <v>73</v>
      </c>
      <c r="D172" t="s">
        <v>204</v>
      </c>
      <c r="E172">
        <v>89</v>
      </c>
      <c r="F172">
        <v>178</v>
      </c>
      <c r="G172" t="s">
        <v>177</v>
      </c>
      <c r="H172">
        <v>0.85</v>
      </c>
      <c r="I172">
        <f>MAX('Min rate concentrations'!$F$3:$F$368)</f>
        <v>67.5</v>
      </c>
      <c r="J172">
        <f>MAX('Min rate concentrations'!Y:Y)</f>
        <v>22.5</v>
      </c>
      <c r="K172">
        <f t="shared" si="19"/>
        <v>37.275581638328902</v>
      </c>
      <c r="L172">
        <f>((0.301*F172^0.751)/(1-H172))*J172/F172</f>
        <v>12.425193879442968</v>
      </c>
      <c r="M172">
        <f>IF((((1.18*F172^0.874)/3.7-(0.301*F172^0.751)/(1-H172)*H172)*(MAX('Min rate concentrations'!$P$3:$P$368)))/F172&gt;0, (((1.18*F172^0.874)/3.7-(0.301*F172^0.751)/(1-H172)*H172)*(MAX('Min rate concentrations'!$P$3:$P$368)))/F172, 0)</f>
        <v>0</v>
      </c>
      <c r="N172">
        <f>IF((((1.18*F172^0.874)/3.7-(0.301*F172^0.751)/(1-H172)*H172)*(MAX('Min rate concentrations'!$Q$3:$Q$368)))/F172&gt;0, (((1.18*F172^0.874)/3.7-(0.301*F172^0.751)/(1-H172)*H172)*(MAX('Min rate concentrations'!$Q$3:$Q$368)))/F172, 0)</f>
        <v>0</v>
      </c>
      <c r="O172">
        <f>((MAX('Min rate concentrations'!$F$3:$F$368))*0.62*6.01*8*(10*F172^0.667)*0.079*0.1/F172)*inputs!$E$80/(10^(0.84+0.62*LOG10(inputs!$E$80)))</f>
        <v>4.3572483550812766</v>
      </c>
      <c r="P172">
        <f>((MAX('Min rate concentrations'!Y:Y))*0.62*6.01*8*(10*F172^0.667)*0.079*0.1/F172)*inputs!$E$80/(10^(0.84+0.62*LOG10(inputs!$E$80)))</f>
        <v>1.4524161183604249</v>
      </c>
      <c r="Q172">
        <f>(inputs!$C$7*11.2*(10*F172^0.667)*0.5/F172)*inputs!$E$80/(10^(0.84+0.62*LOG10(inputs!$E$80)))</f>
        <v>0.76750874644545564</v>
      </c>
      <c r="R172">
        <f>(60*284*((F172/1000)^0.77)*3*24*(MAX('Min rate concentrations'!$R$3:$R$368))/F172)*(inputs!$E$73*3.4/inputs!$E$75)</f>
        <v>6.9717034323258939E-3</v>
      </c>
      <c r="S172">
        <f>(IF(inputs!$C$6="aerial",((0.025*0.112*inputs!$C$7/3.3)*(3*60*284*((F172/1000)^0.77))*MAX(inputs!$H$14:$H$16))/F172,((0.0083*0.112*inputs!$C$7/1)*(3*60*284*((F172/1000)^0.77))*MAX(inputs!$H$14:$H$16))/F172))*(inputs!E$75*3.4/inputs!$E$73)</f>
        <v>3.844937275894858E-2</v>
      </c>
      <c r="T172">
        <f>IF((((inputs!$P$12/(V172/MAX(K172:S172)))^(1/inputs!$O$12))-1)/inputs!$N$12&lt;0, 0, IF((((inputs!$P$12/(V172/MAX(K172:S172)))^(1/inputs!$O$12))-1)/inputs!$N$12&gt;inputs!$H$17, inputs!$H$17, (((inputs!$P$12/(V172/MAX(K172:S172)))^(1/inputs!$O$12))-1)/inputs!$N$12))</f>
        <v>473.39929975435609</v>
      </c>
      <c r="U172">
        <f>IF((((inputs!$P$12/(X172/MAX(K172:S172)))^(1/inputs!$O$12))-1)/inputs!$N$12&lt;0, 0, IF((((inputs!$P$12/(X172/MAX(K172:S172)))^(1/inputs!$O$12))-1)/inputs!$N$12&gt;inputs!$H$17, inputs!$H$17, (((inputs!$P$12/(X172/MAX(K172:S172)))^(1/inputs!$O$12))-1)/inputs!$N$12))</f>
        <v>33.296020941563938</v>
      </c>
      <c r="V172">
        <f>inputs!$E$78*(F172/inputs!$F$78)^(inputs!$E$84-1)</f>
        <v>1.5349640205447362E-2</v>
      </c>
      <c r="W172">
        <f>inputs!$E$85*(F172/inputs!$F$85)^(inputs!$E$84-1)</f>
        <v>0.70881810816870583</v>
      </c>
      <c r="X172">
        <f>inputs!$E$80*(F172/inputs!$F$80)^(inputs!$E$84-1)</f>
        <v>2.6468524292375721</v>
      </c>
      <c r="Y172">
        <f>inputs!$E$82*(F172/inputs!$F$82)^(inputs!$E$84-1)</f>
        <v>1.2198924584329218</v>
      </c>
      <c r="Z172">
        <f t="shared" si="15"/>
        <v>2428.4335749511802</v>
      </c>
      <c r="AA172">
        <f t="shared" si="16"/>
        <v>52.588359705755344</v>
      </c>
    </row>
    <row r="173" spans="1:27" x14ac:dyDescent="0.3">
      <c r="A173" t="s">
        <v>219</v>
      </c>
      <c r="B173" t="s">
        <v>220</v>
      </c>
      <c r="C173" t="s">
        <v>73</v>
      </c>
      <c r="D173" t="s">
        <v>204</v>
      </c>
      <c r="E173">
        <v>89</v>
      </c>
      <c r="F173">
        <v>178</v>
      </c>
      <c r="G173" t="s">
        <v>154</v>
      </c>
      <c r="H173">
        <v>9.2999999999999999E-2</v>
      </c>
      <c r="I173">
        <f>MAX('Min rate concentrations'!$G$3:$G$368)</f>
        <v>7.5</v>
      </c>
      <c r="J173">
        <f>MAX('Min rate concentrations'!Z:Z)</f>
        <v>3.5</v>
      </c>
      <c r="K173">
        <f t="shared" si="19"/>
        <v>0.68496107383919347</v>
      </c>
      <c r="M173">
        <f>IF((((1.18*F173^0.874)/3.7-(0.301*F173^0.751)/(1-H173)*H173)*(MAX('Min rate concentrations'!$P$3:$P$368)))/F173&gt;0, (((1.18*F173^0.874)/3.7-(0.301*F173^0.751)/(1-H173)*H173)*(MAX('Min rate concentrations'!$P$3:$P$368)))/F173, 0)</f>
        <v>2.2862825213924104E-2</v>
      </c>
      <c r="N173">
        <f>IF((((1.18*F173^0.874)/3.7-(0.301*F173^0.751)/(1-H173)*H173)*(MAX('Min rate concentrations'!$Q$3:$Q$368)))/F173&gt;0, (((1.18*F173^0.874)/3.7-(0.301*F173^0.751)/(1-H173)*H173)*(MAX('Min rate concentrations'!$Q$3:$Q$368)))/F173, 0)</f>
        <v>8.7062866872748501E-2</v>
      </c>
      <c r="O173">
        <f>((MAX('Min rate concentrations'!$F$3:$F$368))*0.62*6.01*8*(10*F173^0.667)*0.079*0.1/F173)*inputs!$E$80/(10^(0.84+0.62*LOG10(inputs!$E$80)))</f>
        <v>4.3572483550812766</v>
      </c>
      <c r="P173">
        <f>((MAX('Min rate concentrations'!Y:Y))*0.62*6.01*8*(10*F173^0.667)*0.079*0.1/F173)*inputs!$E$80/(10^(0.84+0.62*LOG10(inputs!$E$80)))</f>
        <v>1.4524161183604249</v>
      </c>
      <c r="Q173">
        <f>(inputs!$C$7*11.2*(10*F173^0.667)*0.5/F173)*inputs!$E$80/(10^(0.84+0.62*LOG10(inputs!$E$80)))</f>
        <v>0.76750874644545564</v>
      </c>
      <c r="R173">
        <f>(60*284*((F173/1000)^0.77)*3*24*(MAX('Min rate concentrations'!$R$3:$R$368))/F173)*(inputs!$E$73*3.4/inputs!$E$75)</f>
        <v>6.9717034323258939E-3</v>
      </c>
      <c r="S173">
        <f>(IF(inputs!$C$6="aerial",((0.025*0.112*inputs!$C$7/3.3)*(3*60*284*((F173/1000)^0.77))*MAX(inputs!$H$14:$H$16))/F173,((0.0083*0.112*inputs!$C$7/1)*(3*60*284*((F173/1000)^0.77))*MAX(inputs!$H$14:$H$16))/F173))*(inputs!E$75*3.4/inputs!$E$73)</f>
        <v>3.844937275894858E-2</v>
      </c>
      <c r="T173">
        <f>IF((((inputs!$P$12/(V173/MAX(K173:S173)))^(1/inputs!$O$12))-1)/inputs!$N$12&lt;0, 0, IF((((inputs!$P$12/(V173/MAX(K173:S173)))^(1/inputs!$O$12))-1)/inputs!$N$12&gt;inputs!$H$17, inputs!$H$17, (((inputs!$P$12/(V173/MAX(K173:S173)))^(1/inputs!$O$12))-1)/inputs!$N$12))</f>
        <v>181.13549643618043</v>
      </c>
      <c r="U173">
        <f>IF((((inputs!$P$12/(X173/MAX(K173:S173)))^(1/inputs!$O$12))-1)/inputs!$N$12&lt;0, 0, IF((((inputs!$P$12/(X173/MAX(K173:S173)))^(1/inputs!$O$12))-1)/inputs!$N$12&gt;inputs!$H$17, inputs!$H$17, (((inputs!$P$12/(X173/MAX(K173:S173)))^(1/inputs!$O$12))-1)/inputs!$N$12))</f>
        <v>0</v>
      </c>
      <c r="V173">
        <f>inputs!$E$78*(F173/inputs!$F$78)^(inputs!$E$84-1)</f>
        <v>1.5349640205447362E-2</v>
      </c>
      <c r="W173">
        <f>inputs!$E$85*(F173/inputs!$F$85)^(inputs!$E$84-1)</f>
        <v>0.70881810816870583</v>
      </c>
      <c r="X173">
        <f>inputs!$E$80*(F173/inputs!$F$80)^(inputs!$E$84-1)</f>
        <v>2.6468524292375721</v>
      </c>
      <c r="Y173">
        <f>inputs!$E$82*(F173/inputs!$F$82)^(inputs!$E$84-1)</f>
        <v>1.2198924584329218</v>
      </c>
      <c r="Z173">
        <f t="shared" si="15"/>
        <v>283.86648134820473</v>
      </c>
      <c r="AA173">
        <f t="shared" si="16"/>
        <v>6.1472023709137629</v>
      </c>
    </row>
    <row r="174" spans="1:27" x14ac:dyDescent="0.3">
      <c r="A174" t="s">
        <v>277</v>
      </c>
      <c r="B174" t="s">
        <v>278</v>
      </c>
      <c r="C174" t="s">
        <v>73</v>
      </c>
      <c r="D174" t="s">
        <v>204</v>
      </c>
      <c r="E174">
        <v>87</v>
      </c>
      <c r="F174">
        <v>350</v>
      </c>
      <c r="G174" t="s">
        <v>142</v>
      </c>
      <c r="H174">
        <v>0.69</v>
      </c>
      <c r="I174">
        <f>MAX('Min rate concentrations'!$H$3:$H$368)</f>
        <v>47</v>
      </c>
      <c r="J174">
        <f>MAX('Min rate concentrations'!AA:AA)</f>
        <v>32.5</v>
      </c>
      <c r="K174">
        <f t="shared" si="19"/>
        <v>10.612793565718203</v>
      </c>
      <c r="L174">
        <f>((0.301*F174^0.751)/(1-H174))*J174/F174</f>
        <v>7.3386338486349283</v>
      </c>
      <c r="M174">
        <f>IF((((1.18*F174^0.874)/3.7-(0.301*F174^0.751)/(1-H174)*H174)*(MAX('Min rate concentrations'!$P$3:$P$368)))/F174&gt;0, (((1.18*F174^0.874)/3.7-(0.301*F174^0.751)/(1-H174)*H174)*(MAX('Min rate concentrations'!$P$3:$P$368)))/F174, 0)</f>
        <v>0</v>
      </c>
      <c r="N174">
        <f>IF((((1.18*F174^0.874)/3.7-(0.301*F174^0.751)/(1-H174)*H174)*(MAX('Min rate concentrations'!$Q$3:$Q$368)))/F174&gt;0, (((1.18*F174^0.874)/3.7-(0.301*F174^0.751)/(1-H174)*H174)*(MAX('Min rate concentrations'!$Q$3:$Q$368)))/F174, 0)</f>
        <v>0</v>
      </c>
      <c r="O174">
        <f>((MAX('Min rate concentrations'!$F$3:$F$368))*0.62*6.01*8*(10*F174^0.667)*0.079*0.1/F174)*inputs!$E$80/(10^(0.84+0.62*LOG10(inputs!$E$80)))</f>
        <v>3.4787844218896322</v>
      </c>
      <c r="P174">
        <f>((MAX('Min rate concentrations'!Y:Y))*0.62*6.01*8*(10*F174^0.667)*0.079*0.1/F174)*inputs!$E$80/(10^(0.84+0.62*LOG10(inputs!$E$80)))</f>
        <v>1.1595948072965439</v>
      </c>
      <c r="Q174">
        <f>(inputs!$C$7*11.2*(10*F174^0.667)*0.5/F174)*inputs!$E$80/(10^(0.84+0.62*LOG10(inputs!$E$80)))</f>
        <v>0.61277146795748505</v>
      </c>
      <c r="R174">
        <f>(60*284*((F174/1000)^0.77)*3*24*(MAX('Min rate concentrations'!$R$3:$R$368))/F174)*(inputs!$E$73*3.4/inputs!$E$75)</f>
        <v>5.9676020546692611E-3</v>
      </c>
      <c r="S174">
        <f>(IF(inputs!$C$6="aerial",((0.025*0.112*inputs!$C$7/3.3)*(3*60*284*((F174/1000)^0.77))*MAX(inputs!$H$14:$H$16))/F174,((0.0083*0.112*inputs!$C$7/1)*(3*60*284*((F174/1000)^0.77))*MAX(inputs!$H$14:$H$16))/F174))*(inputs!E$75*3.4/inputs!$E$73)</f>
        <v>3.2911691970881327E-2</v>
      </c>
      <c r="T174">
        <f>IF((((inputs!$P$12/(V174/MAX(K174:S174)))^(1/inputs!$O$12))-1)/inputs!$N$12&lt;0, 0, IF((((inputs!$P$12/(V174/MAX(K174:S174)))^(1/inputs!$O$12))-1)/inputs!$N$12&gt;inputs!$H$17, inputs!$H$17, (((inputs!$P$12/(V174/MAX(K174:S174)))^(1/inputs!$O$12))-1)/inputs!$N$12))</f>
        <v>304.84958409093122</v>
      </c>
      <c r="U174">
        <f>IF((((inputs!$P$12/(X174/MAX(K174:S174)))^(1/inputs!$O$12))-1)/inputs!$N$12&lt;0, 0, IF((((inputs!$P$12/(X174/MAX(K174:S174)))^(1/inputs!$O$12))-1)/inputs!$N$12&gt;inputs!$H$17, inputs!$H$17, (((inputs!$P$12/(X174/MAX(K174:S174)))^(1/inputs!$O$12))-1)/inputs!$N$12))</f>
        <v>12.546384562385283</v>
      </c>
      <c r="V174">
        <f>inputs!$E$78*(F174/inputs!$F$78)^(inputs!$E$84-1)</f>
        <v>1.1952215764623077E-2</v>
      </c>
      <c r="W174">
        <f>inputs!$E$85*(F174/inputs!$F$85)^(inputs!$E$84-1)</f>
        <v>0.55193130609652619</v>
      </c>
      <c r="X174">
        <f>inputs!$E$80*(F174/inputs!$F$80)^(inputs!$E$84-1)</f>
        <v>2.0610093075756355</v>
      </c>
      <c r="Y174">
        <f>inputs!$E$82*(F174/inputs!$F$82)^(inputs!$E$84-1)</f>
        <v>0.94988662129372869</v>
      </c>
      <c r="Z174">
        <f t="shared" si="15"/>
        <v>887.93523934956227</v>
      </c>
      <c r="AA174">
        <f t="shared" si="16"/>
        <v>19.228468196116697</v>
      </c>
    </row>
    <row r="175" spans="1:27" x14ac:dyDescent="0.3">
      <c r="A175" t="s">
        <v>277</v>
      </c>
      <c r="B175" t="s">
        <v>278</v>
      </c>
      <c r="C175" t="s">
        <v>73</v>
      </c>
      <c r="D175" t="s">
        <v>204</v>
      </c>
      <c r="E175">
        <v>87</v>
      </c>
      <c r="F175">
        <v>350</v>
      </c>
      <c r="G175" t="s">
        <v>154</v>
      </c>
      <c r="H175">
        <v>9.2999999999999999E-2</v>
      </c>
      <c r="I175">
        <f>MAX('Min rate concentrations'!$G$3:$G$368)</f>
        <v>7.5</v>
      </c>
      <c r="J175">
        <f>MAX('Min rate concentrations'!Z:Z)</f>
        <v>3.5</v>
      </c>
      <c r="K175">
        <f t="shared" si="19"/>
        <v>0.57882533111953904</v>
      </c>
      <c r="M175">
        <f>IF((((1.18*F175^0.874)/3.7-(0.301*F175^0.751)/(1-H175)*H175)*(MAX('Min rate concentrations'!$P$3:$P$368)))/F175&gt;0, (((1.18*F175^0.874)/3.7-(0.301*F175^0.751)/(1-H175)*H175)*(MAX('Min rate concentrations'!$P$3:$P$368)))/F175, 0)</f>
        <v>2.1086041203965643E-2</v>
      </c>
      <c r="N175">
        <f>IF((((1.18*F175^0.874)/3.7-(0.301*F175^0.751)/(1-H175)*H175)*(MAX('Min rate concentrations'!$Q$3:$Q$368)))/F175&gt;0, (((1.18*F175^0.874)/3.7-(0.301*F175^0.751)/(1-H175)*H175)*(MAX('Min rate concentrations'!$Q$3:$Q$368)))/F175, 0)</f>
        <v>8.0296777893227742E-2</v>
      </c>
      <c r="O175">
        <f>((MAX('Min rate concentrations'!$F$3:$F$368))*0.62*6.01*8*(10*F175^0.667)*0.079*0.1/F175)*inputs!$E$80/(10^(0.84+0.62*LOG10(inputs!$E$80)))</f>
        <v>3.4787844218896322</v>
      </c>
      <c r="P175">
        <f>((MAX('Min rate concentrations'!Y:Y))*0.62*6.01*8*(10*F175^0.667)*0.079*0.1/F175)*inputs!$E$80/(10^(0.84+0.62*LOG10(inputs!$E$80)))</f>
        <v>1.1595948072965439</v>
      </c>
      <c r="Q175">
        <f>(inputs!$C$7*11.2*(10*F175^0.667)*0.5/F175)*inputs!$E$80/(10^(0.84+0.62*LOG10(inputs!$E$80)))</f>
        <v>0.61277146795748505</v>
      </c>
      <c r="R175">
        <f>(60*284*((F175/1000)^0.77)*3*24*(MAX('Min rate concentrations'!$R$3:$R$368))/F175)*(inputs!$E$73*3.4/inputs!$E$75)</f>
        <v>5.9676020546692611E-3</v>
      </c>
      <c r="S175">
        <f>(IF(inputs!$C$6="aerial",((0.025*0.112*inputs!$C$7/3.3)*(3*60*284*((F175/1000)^0.77))*MAX(inputs!$H$14:$H$16))/F175,((0.0083*0.112*inputs!$C$7/1)*(3*60*284*((F175/1000)^0.77))*MAX(inputs!$H$14:$H$16))/F175))*(inputs!E$75*3.4/inputs!$E$73)</f>
        <v>3.2911691970881327E-2</v>
      </c>
      <c r="T175">
        <f>IF((((inputs!$P$12/(V175/MAX(K175:S175)))^(1/inputs!$O$12))-1)/inputs!$N$12&lt;0, 0, IF((((inputs!$P$12/(V175/MAX(K175:S175)))^(1/inputs!$O$12))-1)/inputs!$N$12&gt;inputs!$H$17, inputs!$H$17, (((inputs!$P$12/(V175/MAX(K175:S175)))^(1/inputs!$O$12))-1)/inputs!$N$12))</f>
        <v>183.27943466330836</v>
      </c>
      <c r="U175">
        <f>IF((((inputs!$P$12/(X175/MAX(K175:S175)))^(1/inputs!$O$12))-1)/inputs!$N$12&lt;0, 0, IF((((inputs!$P$12/(X175/MAX(K175:S175)))^(1/inputs!$O$12))-1)/inputs!$N$12&gt;inputs!$H$17, inputs!$H$17, (((inputs!$P$12/(X175/MAX(K175:S175)))^(1/inputs!$O$12))-1)/inputs!$N$12))</f>
        <v>0</v>
      </c>
      <c r="V175">
        <f>inputs!$E$78*(F175/inputs!$F$78)^(inputs!$E$84-1)</f>
        <v>1.1952215764623077E-2</v>
      </c>
      <c r="W175">
        <f>inputs!$E$85*(F175/inputs!$F$85)^(inputs!$E$84-1)</f>
        <v>0.55193130609652619</v>
      </c>
      <c r="X175">
        <f>inputs!$E$80*(F175/inputs!$F$80)^(inputs!$E$84-1)</f>
        <v>2.0610093075756355</v>
      </c>
      <c r="Y175">
        <f>inputs!$E$82*(F175/inputs!$F$82)^(inputs!$E$84-1)</f>
        <v>0.94988662129372869</v>
      </c>
      <c r="Z175">
        <f t="shared" si="15"/>
        <v>291.05769929173783</v>
      </c>
      <c r="AA175">
        <f t="shared" si="16"/>
        <v>6.3029300629691667</v>
      </c>
    </row>
    <row r="176" spans="1:27" x14ac:dyDescent="0.3">
      <c r="A176" t="s">
        <v>331</v>
      </c>
      <c r="B176" t="s">
        <v>332</v>
      </c>
      <c r="C176" t="s">
        <v>73</v>
      </c>
      <c r="D176" t="s">
        <v>240</v>
      </c>
      <c r="E176">
        <v>102</v>
      </c>
      <c r="F176">
        <v>248</v>
      </c>
      <c r="G176" t="s">
        <v>142</v>
      </c>
      <c r="H176">
        <v>0.69</v>
      </c>
      <c r="I176">
        <f>MAX('Min rate concentrations'!$H$3:$H$368)</f>
        <v>47</v>
      </c>
      <c r="J176">
        <f>MAX('Min rate concentrations'!AA:AA)</f>
        <v>32.5</v>
      </c>
      <c r="K176">
        <f t="shared" si="19"/>
        <v>11.563363847519902</v>
      </c>
      <c r="L176">
        <f>((0.301*F176^0.751)/(1-H176))*J176/F176</f>
        <v>7.9959430860509961</v>
      </c>
      <c r="M176">
        <f>IF((((1.18*F176^0.874)/3.7-(0.301*F176^0.751)/(1-H176)*H176)*(MAX('Min rate concentrations'!$P$3:$P$368)))/F176&gt;0, (((1.18*F176^0.874)/3.7-(0.301*F176^0.751)/(1-H176)*H176)*(MAX('Min rate concentrations'!$P$3:$P$368)))/F176, 0)</f>
        <v>0</v>
      </c>
      <c r="N176">
        <f>IF((((1.18*F176^0.874)/3.7-(0.301*F176^0.751)/(1-H176)*H176)*(MAX('Min rate concentrations'!$Q$3:$Q$368)))/F176&gt;0, (((1.18*F176^0.874)/3.7-(0.301*F176^0.751)/(1-H176)*H176)*(MAX('Min rate concentrations'!$Q$3:$Q$368)))/F176, 0)</f>
        <v>0</v>
      </c>
      <c r="O176">
        <f>((MAX('Min rate concentrations'!$F$3:$F$368))*0.62*6.01*8*(10*F176^0.667)*0.079*0.1/F176)*inputs!$E$80/(10^(0.84+0.62*LOG10(inputs!$E$80)))</f>
        <v>3.9016630943260915</v>
      </c>
      <c r="P176">
        <f>((MAX('Min rate concentrations'!Y:Y))*0.62*6.01*8*(10*F176^0.667)*0.079*0.1/F176)*inputs!$E$80/(10^(0.84+0.62*LOG10(inputs!$E$80)))</f>
        <v>1.3005543647753635</v>
      </c>
      <c r="Q176">
        <f>(inputs!$C$7*11.2*(10*F176^0.667)*0.5/F176)*inputs!$E$80/(10^(0.84+0.62*LOG10(inputs!$E$80)))</f>
        <v>0.68725955156688756</v>
      </c>
      <c r="R176">
        <f>(60*284*((F176/1000)^0.77)*3*24*(MAX('Min rate concentrations'!$R$3:$R$368))/F176)*(inputs!$E$73*3.4/inputs!$E$75)</f>
        <v>6.4596891325728401E-3</v>
      </c>
      <c r="S176">
        <f>(IF(inputs!$C$6="aerial",((0.025*0.112*inputs!$C$7/3.3)*(3*60*284*((F176/1000)^0.77))*MAX(inputs!$H$14:$H$16))/F176,((0.0083*0.112*inputs!$C$7/1)*(3*60*284*((F176/1000)^0.77))*MAX(inputs!$H$14:$H$16))/F176))*(inputs!E$75*3.4/inputs!$E$73)</f>
        <v>3.5625582438517628E-2</v>
      </c>
      <c r="T176">
        <f>IF((((inputs!$P$12/(V176/MAX(K176:S176)))^(1/inputs!$O$12))-1)/inputs!$N$12&lt;0, 0, IF((((inputs!$P$12/(V176/MAX(K176:S176)))^(1/inputs!$O$12))-1)/inputs!$N$12&gt;inputs!$H$17, inputs!$H$17, (((inputs!$P$12/(V176/MAX(K176:S176)))^(1/inputs!$O$12))-1)/inputs!$N$12))</f>
        <v>299.24552481818472</v>
      </c>
      <c r="U176">
        <f>IF((((inputs!$P$12/(X176/MAX(K176:S176)))^(1/inputs!$O$12))-1)/inputs!$N$12&lt;0, 0, IF((((inputs!$P$12/(X176/MAX(K176:S176)))^(1/inputs!$O$12))-1)/inputs!$N$12&gt;inputs!$H$17, inputs!$H$17, (((inputs!$P$12/(X176/MAX(K176:S176)))^(1/inputs!$O$12))-1)/inputs!$N$12))</f>
        <v>11.856486085255488</v>
      </c>
      <c r="V176">
        <f>inputs!$E$78*(F176/inputs!$F$78)^(inputs!$E$84-1)</f>
        <v>1.3577083190374073E-2</v>
      </c>
      <c r="W176">
        <f>inputs!$E$85*(F176/inputs!$F$85)^(inputs!$E$84-1)</f>
        <v>0.62696469054921478</v>
      </c>
      <c r="X176">
        <f>inputs!$E$80*(F176/inputs!$F$80)^(inputs!$E$84-1)</f>
        <v>2.3411972621774475</v>
      </c>
      <c r="Y176">
        <f>inputs!$E$82*(F176/inputs!$F$82)^(inputs!$E$84-1)</f>
        <v>1.0790208219718342</v>
      </c>
      <c r="Z176">
        <f t="shared" si="15"/>
        <v>851.68247740561355</v>
      </c>
      <c r="AA176">
        <f t="shared" si="16"/>
        <v>18.443405221736668</v>
      </c>
    </row>
    <row r="177" spans="1:27" x14ac:dyDescent="0.3">
      <c r="A177" t="s">
        <v>331</v>
      </c>
      <c r="B177" t="s">
        <v>332</v>
      </c>
      <c r="C177" t="s">
        <v>73</v>
      </c>
      <c r="D177" t="s">
        <v>240</v>
      </c>
      <c r="E177">
        <v>102</v>
      </c>
      <c r="F177">
        <v>248</v>
      </c>
      <c r="G177" t="s">
        <v>195</v>
      </c>
      <c r="H177">
        <v>0.82</v>
      </c>
      <c r="I177">
        <f>inputs!$C$65*(inputs!$C$62/1000)</f>
        <v>0.82000000000000006</v>
      </c>
      <c r="J177">
        <f>inputs!$C$65*(inputs!$C$61/1000)</f>
        <v>0.25</v>
      </c>
      <c r="K177">
        <f t="shared" si="19"/>
        <v>0.34744764657678001</v>
      </c>
      <c r="L177">
        <f>((0.301*F177^0.751)/(1-H177))*J177/F177</f>
        <v>0.10592916054170122</v>
      </c>
      <c r="M177">
        <f>IF((((1.18*F177^0.874)/3.7-(0.301*F177^0.751)/(1-H177)*H177)*(MAX('Min rate concentrations'!$P$3:$P$368)))/F177&gt;0, (((1.18*F177^0.874)/3.7-(0.301*F177^0.751)/(1-H177)*H177)*(MAX('Min rate concentrations'!$P$3:$P$368)))/F177, 0)</f>
        <v>0</v>
      </c>
      <c r="N177">
        <f>IF((((1.18*F177^0.874)/3.7-(0.301*F177^0.751)/(1-H177)*H177)*(MAX('Min rate concentrations'!$Q$3:$Q$368)))/F177&gt;0, (((1.18*F177^0.874)/3.7-(0.301*F177^0.751)/(1-H177)*H177)*(MAX('Min rate concentrations'!$Q$3:$Q$368)))/F177, 0)</f>
        <v>0</v>
      </c>
      <c r="O177">
        <f>((MAX('Min rate concentrations'!$F$3:$F$368))*0.62*6.01*8*(10*F177^0.667)*0.079*0.1/F177)*inputs!$E$80/(10^(0.84+0.62*LOG10(inputs!$E$80)))</f>
        <v>3.9016630943260915</v>
      </c>
      <c r="P177">
        <f>((MAX('Min rate concentrations'!Y:Y))*0.62*6.01*8*(10*F177^0.667)*0.079*0.1/F177)*inputs!$E$80/(10^(0.84+0.62*LOG10(inputs!$E$80)))</f>
        <v>1.3005543647753635</v>
      </c>
      <c r="Q177">
        <f>(inputs!$C$7*11.2*(10*F177^0.667)*0.5/F177)*inputs!$E$80/(10^(0.84+0.62*LOG10(inputs!$E$80)))</f>
        <v>0.68725955156688756</v>
      </c>
      <c r="R177">
        <f>(60*284*((F177/1000)^0.77)*3*24*(MAX('Min rate concentrations'!$R$3:$R$368))/F177)*(inputs!$E$73*3.4/inputs!$E$75)</f>
        <v>6.4596891325728401E-3</v>
      </c>
      <c r="S177">
        <f>(IF(inputs!$C$6="aerial",((0.025*0.112*inputs!$C$7/3.3)*(3*60*284*((F177/1000)^0.77))*MAX(inputs!$H$14:$H$16))/F177,((0.0083*0.112*inputs!$C$7/1)*(3*60*284*((F177/1000)^0.77))*MAX(inputs!$H$14:$H$16))/F177))*(inputs!E$75*3.4/inputs!$E$73)</f>
        <v>3.5625582438517628E-2</v>
      </c>
      <c r="T177">
        <f>IF((((inputs!$P$12/(V177/MAX(K177:S177)))^(1/inputs!$O$12))-1)/inputs!$N$12&lt;0, 0, IF((((inputs!$P$12/(V177/MAX(K177:S177)))^(1/inputs!$O$12))-1)/inputs!$N$12&gt;inputs!$H$17, inputs!$H$17, (((inputs!$P$12/(V177/MAX(K177:S177)))^(1/inputs!$O$12))-1)/inputs!$N$12))</f>
        <v>182.18435264435053</v>
      </c>
      <c r="U177">
        <f>IF((((inputs!$P$12/(X177/MAX(K177:S177)))^(1/inputs!$O$12))-1)/inputs!$N$12&lt;0, 0, IF((((inputs!$P$12/(X177/MAX(K177:S177)))^(1/inputs!$O$12))-1)/inputs!$N$12&gt;inputs!$H$17, inputs!$H$17, (((inputs!$P$12/(X177/MAX(K177:S177)))^(1/inputs!$O$12))-1)/inputs!$N$12))</f>
        <v>0</v>
      </c>
      <c r="V177">
        <f>inputs!$E$78*(F177/inputs!$F$78)^(inputs!$E$84-1)</f>
        <v>1.3577083190374073E-2</v>
      </c>
      <c r="W177">
        <f>inputs!$E$85*(F177/inputs!$F$85)^(inputs!$E$84-1)</f>
        <v>0.62696469054921478</v>
      </c>
      <c r="X177">
        <f>inputs!$E$80*(F177/inputs!$F$80)^(inputs!$E$84-1)</f>
        <v>2.3411972621774475</v>
      </c>
      <c r="Y177">
        <f>inputs!$E$82*(F177/inputs!$F$82)^(inputs!$E$84-1)</f>
        <v>1.0790208219718342</v>
      </c>
      <c r="Z177">
        <f t="shared" si="15"/>
        <v>287.37122985976151</v>
      </c>
      <c r="AA177">
        <f t="shared" si="16"/>
        <v>6.2230986100800569</v>
      </c>
    </row>
    <row r="178" spans="1:27" x14ac:dyDescent="0.3">
      <c r="A178" t="s">
        <v>335</v>
      </c>
      <c r="B178" t="s">
        <v>337</v>
      </c>
      <c r="C178" t="s">
        <v>73</v>
      </c>
      <c r="D178" t="s">
        <v>240</v>
      </c>
      <c r="E178">
        <v>121</v>
      </c>
      <c r="F178">
        <v>67</v>
      </c>
      <c r="G178" t="s">
        <v>218</v>
      </c>
      <c r="H178">
        <v>0.68</v>
      </c>
      <c r="I178">
        <f>MAX('Min rate concentrations'!$K$3:$K$368)</f>
        <v>18.333393099490852</v>
      </c>
      <c r="J178">
        <f>MAX('Min rate concentrations'!AC:AC)</f>
        <v>6.4930767227363431</v>
      </c>
      <c r="K178">
        <f t="shared" si="19"/>
        <v>6.0529451984954177</v>
      </c>
      <c r="L178">
        <f>((0.301*F178^0.751)/(1-H178))*J178/F178</f>
        <v>2.1437514244671272</v>
      </c>
      <c r="M178">
        <f>IF((((1.18*F178^0.874)/3.7-(0.301*F178^0.751)/(1-H178)*H178)*(MAX('Min rate concentrations'!$P$3:$P$368)))/F178&gt;0, (((1.18*F178^0.874)/3.7-(0.301*F178^0.751)/(1-H178)*H178)*(MAX('Min rate concentrations'!$P$3:$P$368)))/F178, 0)</f>
        <v>0</v>
      </c>
      <c r="N178">
        <f>IF((((1.18*F178^0.874)/3.7-(0.301*F178^0.751)/(1-H178)*H178)*(MAX('Min rate concentrations'!$Q$3:$Q$368)))/F178&gt;0, (((1.18*F178^0.874)/3.7-(0.301*F178^0.751)/(1-H178)*H178)*(MAX('Min rate concentrations'!$Q$3:$Q$368)))/F178, 0)</f>
        <v>0</v>
      </c>
      <c r="O178">
        <f>((MAX('Min rate concentrations'!$F$3:$F$368))*0.62*6.01*8*(10*F178^0.667)*0.079*0.1/F178)*inputs!$E$80/(10^(0.84+0.62*LOG10(inputs!$E$80)))</f>
        <v>6.0328046994945614</v>
      </c>
      <c r="P178">
        <f>((MAX('Min rate concentrations'!Y:Y))*0.62*6.01*8*(10*F178^0.667)*0.079*0.1/F178)*inputs!$E$80/(10^(0.84+0.62*LOG10(inputs!$E$80)))</f>
        <v>2.0109348998315202</v>
      </c>
      <c r="Q178">
        <f>(inputs!$C$7*11.2*(10*F178^0.667)*0.5/F178)*inputs!$E$80/(10^(0.84+0.62*LOG10(inputs!$E$80)))</f>
        <v>1.0626500936215184</v>
      </c>
      <c r="R178">
        <f>(60*284*((F178/1000)^0.77)*3*24*(MAX('Min rate concentrations'!$R$3:$R$368))/F178)*(inputs!$E$73*3.4/inputs!$E$75)</f>
        <v>8.728473553725434E-3</v>
      </c>
      <c r="S178">
        <f>(IF(inputs!$C$6="aerial",((0.025*0.112*inputs!$C$7/3.3)*(3*60*284*((F178/1000)^0.77))*MAX(inputs!$H$14:$H$16))/F178,((0.0083*0.112*inputs!$C$7/1)*(3*60*284*((F178/1000)^0.77))*MAX(inputs!$H$14:$H$16))/F178))*(inputs!E$75*3.4/inputs!$E$73)</f>
        <v>4.8138067911452996E-2</v>
      </c>
      <c r="T178">
        <f>IF((((inputs!$P$12/(V178/MAX(K178:S178)))^(1/inputs!$O$12))-1)/inputs!$N$12&lt;0, 0, IF((((inputs!$P$12/(V178/MAX(K178:S178)))^(1/inputs!$O$12))-1)/inputs!$N$12&gt;inputs!$H$17, inputs!$H$17, (((inputs!$P$12/(V178/MAX(K178:S178)))^(1/inputs!$O$12))-1)/inputs!$N$12))</f>
        <v>178.3558352818344</v>
      </c>
      <c r="U178">
        <f>IF((((inputs!$P$12/(X178/MAX(K178:S178)))^(1/inputs!$O$12))-1)/inputs!$N$12&lt;0, 0, IF((((inputs!$P$12/(X178/MAX(K178:S178)))^(1/inputs!$O$12))-1)/inputs!$N$12&gt;inputs!$H$17, inputs!$H$17, (((inputs!$P$12/(X178/MAX(K178:S178)))^(1/inputs!$O$12))-1)/inputs!$N$12))</f>
        <v>0</v>
      </c>
      <c r="V178">
        <f>inputs!$E$78*(F178/inputs!$F$78)^(inputs!$E$84-1)</f>
        <v>2.2034638199583647E-2</v>
      </c>
      <c r="W178">
        <f>inputs!$E$85*(F178/inputs!$F$85)^(inputs!$E$84-1)</f>
        <v>1.017519000690843</v>
      </c>
      <c r="X178">
        <f>inputs!$E$80*(F178/inputs!$F$80)^(inputs!$E$84-1)</f>
        <v>3.7995962684025146</v>
      </c>
      <c r="Y178">
        <f>inputs!$E$82*(F178/inputs!$F$82)^(inputs!$E$84-1)</f>
        <v>1.751173877966911</v>
      </c>
      <c r="Z178">
        <f t="shared" si="15"/>
        <v>274.70136535347291</v>
      </c>
      <c r="AA178">
        <f t="shared" si="16"/>
        <v>5.9487294039578424</v>
      </c>
    </row>
    <row r="179" spans="1:27" x14ac:dyDescent="0.3">
      <c r="A179" t="s">
        <v>335</v>
      </c>
      <c r="B179" t="s">
        <v>337</v>
      </c>
      <c r="C179" t="s">
        <v>73</v>
      </c>
      <c r="D179" t="s">
        <v>240</v>
      </c>
      <c r="E179">
        <v>121</v>
      </c>
      <c r="F179">
        <v>67</v>
      </c>
      <c r="G179" t="s">
        <v>177</v>
      </c>
      <c r="H179">
        <v>0.85</v>
      </c>
      <c r="I179">
        <f>MAX('Min rate concentrations'!$F$3:$F$368)</f>
        <v>67.5</v>
      </c>
      <c r="J179">
        <f>MAX('Min rate concentrations'!Y:Y)</f>
        <v>22.5</v>
      </c>
      <c r="K179">
        <f t="shared" si="19"/>
        <v>47.542978206666298</v>
      </c>
      <c r="L179">
        <f>((0.301*F179^0.751)/(1-H179))*J179/F179</f>
        <v>15.847659402222099</v>
      </c>
      <c r="M179">
        <f>IF((((1.18*F179^0.874)/3.7-(0.301*F179^0.751)/(1-H179)*H179)*(MAX('Min rate concentrations'!$P$3:$P$368)))/F179&gt;0, (((1.18*F179^0.874)/3.7-(0.301*F179^0.751)/(1-H179)*H179)*(MAX('Min rate concentrations'!$P$3:$P$368)))/F179, 0)</f>
        <v>0</v>
      </c>
      <c r="N179">
        <f>IF((((1.18*F179^0.874)/3.7-(0.301*F179^0.751)/(1-H179)*H179)*(MAX('Min rate concentrations'!$Q$3:$Q$368)))/F179&gt;0, (((1.18*F179^0.874)/3.7-(0.301*F179^0.751)/(1-H179)*H179)*(MAX('Min rate concentrations'!$Q$3:$Q$368)))/F179, 0)</f>
        <v>0</v>
      </c>
      <c r="O179">
        <f>((MAX('Min rate concentrations'!$F$3:$F$368))*0.62*6.01*8*(10*F179^0.667)*0.079*0.1/F179)*inputs!$E$80/(10^(0.84+0.62*LOG10(inputs!$E$80)))</f>
        <v>6.0328046994945614</v>
      </c>
      <c r="P179">
        <f>((MAX('Min rate concentrations'!Y:Y))*0.62*6.01*8*(10*F179^0.667)*0.079*0.1/F179)*inputs!$E$80/(10^(0.84+0.62*LOG10(inputs!$E$80)))</f>
        <v>2.0109348998315202</v>
      </c>
      <c r="Q179">
        <f>(inputs!$C$7*11.2*(10*F179^0.667)*0.5/F179)*inputs!$E$80/(10^(0.84+0.62*LOG10(inputs!$E$80)))</f>
        <v>1.0626500936215184</v>
      </c>
      <c r="R179">
        <f>(60*284*((F179/1000)^0.77)*3*24*(MAX('Min rate concentrations'!$R$3:$R$368))/F179)*(inputs!$E$73*3.4/inputs!$E$75)</f>
        <v>8.728473553725434E-3</v>
      </c>
      <c r="S179">
        <f>(IF(inputs!$C$6="aerial",((0.025*0.112*inputs!$C$7/3.3)*(3*60*284*((F179/1000)^0.77))*MAX(inputs!$H$14:$H$16))/F179,((0.0083*0.112*inputs!$C$7/1)*(3*60*284*((F179/1000)^0.77))*MAX(inputs!$H$14:$H$16))/F179))*(inputs!E$75*3.4/inputs!$E$73)</f>
        <v>4.8138067911452996E-2</v>
      </c>
      <c r="T179">
        <f>IF((((inputs!$P$12/(V179/MAX(K179:S179)))^(1/inputs!$O$12))-1)/inputs!$N$12&lt;0, 0, IF((((inputs!$P$12/(V179/MAX(K179:S179)))^(1/inputs!$O$12))-1)/inputs!$N$12&gt;inputs!$H$17, inputs!$H$17, (((inputs!$P$12/(V179/MAX(K179:S179)))^(1/inputs!$O$12))-1)/inputs!$N$12))</f>
        <v>449.83577767440596</v>
      </c>
      <c r="U179">
        <f>IF((((inputs!$P$12/(X179/MAX(K179:S179)))^(1/inputs!$O$12))-1)/inputs!$N$12&lt;0, 0, IF((((inputs!$P$12/(X179/MAX(K179:S179)))^(1/inputs!$O$12))-1)/inputs!$N$12&gt;inputs!$H$17, inputs!$H$17, (((inputs!$P$12/(X179/MAX(K179:S179)))^(1/inputs!$O$12))-1)/inputs!$N$12))</f>
        <v>30.395188311575623</v>
      </c>
      <c r="V179">
        <f>inputs!$E$78*(F179/inputs!$F$78)^(inputs!$E$84-1)</f>
        <v>2.2034638199583647E-2</v>
      </c>
      <c r="W179">
        <f>inputs!$E$85*(F179/inputs!$F$85)^(inputs!$E$84-1)</f>
        <v>1.017519000690843</v>
      </c>
      <c r="X179">
        <f>inputs!$E$80*(F179/inputs!$F$80)^(inputs!$E$84-1)</f>
        <v>3.7995962684025146</v>
      </c>
      <c r="Y179">
        <f>inputs!$E$82*(F179/inputs!$F$82)^(inputs!$E$84-1)</f>
        <v>1.751173877966911</v>
      </c>
      <c r="Z179">
        <f t="shared" si="15"/>
        <v>2157.6473267241863</v>
      </c>
      <c r="AA179">
        <f t="shared" si="16"/>
        <v>46.724413179888593</v>
      </c>
    </row>
    <row r="180" spans="1:27" x14ac:dyDescent="0.3">
      <c r="A180" t="s">
        <v>335</v>
      </c>
      <c r="B180" t="s">
        <v>337</v>
      </c>
      <c r="C180" t="s">
        <v>73</v>
      </c>
      <c r="D180" t="s">
        <v>240</v>
      </c>
      <c r="E180">
        <v>121</v>
      </c>
      <c r="F180">
        <v>67</v>
      </c>
      <c r="G180" t="s">
        <v>145</v>
      </c>
      <c r="H180">
        <v>0.66</v>
      </c>
      <c r="I180">
        <f>MAX('Min rate concentrations'!$M$3:$M$368)</f>
        <v>2.8488184789681945</v>
      </c>
      <c r="J180">
        <f>MAX('Min rate concentrations'!AE:AE)</f>
        <v>1.9699276716269429</v>
      </c>
      <c r="K180">
        <f t="shared" si="19"/>
        <v>0.8852373520283211</v>
      </c>
      <c r="L180">
        <f>((0.301*F180^0.751)/(1-H180))*J180/F180</f>
        <v>0.61213221150894548</v>
      </c>
      <c r="M180">
        <f>IF((((1.18*F180^0.874)/3.7-(0.301*F180^0.751)/(1-H180)*H180)*(MAX('Min rate concentrations'!$P$3:$P$368)))/F180&gt;0, (((1.18*F180^0.874)/3.7-(0.301*F180^0.751)/(1-H180)*H180)*(MAX('Min rate concentrations'!$P$3:$P$368)))/F180, 0)</f>
        <v>0</v>
      </c>
      <c r="N180">
        <f>IF((((1.18*F180^0.874)/3.7-(0.301*F180^0.751)/(1-H180)*H180)*(MAX('Min rate concentrations'!$Q$3:$Q$368)))/F180&gt;0, (((1.18*F180^0.874)/3.7-(0.301*F180^0.751)/(1-H180)*H180)*(MAX('Min rate concentrations'!$Q$3:$Q$368)))/F180, 0)</f>
        <v>0</v>
      </c>
      <c r="O180">
        <f>((MAX('Min rate concentrations'!$F$3:$F$368))*0.62*6.01*8*(10*F180^0.667)*0.079*0.1/F180)*inputs!$E$80/(10^(0.84+0.62*LOG10(inputs!$E$80)))</f>
        <v>6.0328046994945614</v>
      </c>
      <c r="P180">
        <f>((MAX('Min rate concentrations'!Y:Y))*0.62*6.01*8*(10*F180^0.667)*0.079*0.1/F180)*inputs!$E$80/(10^(0.84+0.62*LOG10(inputs!$E$80)))</f>
        <v>2.0109348998315202</v>
      </c>
      <c r="Q180">
        <f>(inputs!$C$7*11.2*(10*F180^0.667)*0.5/F180)*inputs!$E$80/(10^(0.84+0.62*LOG10(inputs!$E$80)))</f>
        <v>1.0626500936215184</v>
      </c>
      <c r="R180">
        <f>(60*284*((F180/1000)^0.77)*3*24*(MAX('Min rate concentrations'!$R$3:$R$368))/F180)*(inputs!$E$73*3.4/inputs!$E$75)</f>
        <v>8.728473553725434E-3</v>
      </c>
      <c r="S180">
        <f>(IF(inputs!$C$6="aerial",((0.025*0.112*inputs!$C$7/3.3)*(3*60*284*((F180/1000)^0.77))*MAX(inputs!$H$14:$H$16))/F180,((0.0083*0.112*inputs!$C$7/1)*(3*60*284*((F180/1000)^0.77))*MAX(inputs!$H$14:$H$16))/F180))*(inputs!E$75*3.4/inputs!$E$73)</f>
        <v>4.8138067911452996E-2</v>
      </c>
      <c r="T180">
        <f>IF((((inputs!$P$12/(V180/MAX(K180:S180)))^(1/inputs!$O$12))-1)/inputs!$N$12&lt;0, 0, IF((((inputs!$P$12/(V180/MAX(K180:S180)))^(1/inputs!$O$12))-1)/inputs!$N$12&gt;inputs!$H$17, inputs!$H$17, (((inputs!$P$12/(V180/MAX(K180:S180)))^(1/inputs!$O$12))-1)/inputs!$N$12))</f>
        <v>178.07562010840292</v>
      </c>
      <c r="U180">
        <f>IF((((inputs!$P$12/(X180/MAX(K180:S180)))^(1/inputs!$O$12))-1)/inputs!$N$12&lt;0, 0, IF((((inputs!$P$12/(X180/MAX(K180:S180)))^(1/inputs!$O$12))-1)/inputs!$N$12&gt;inputs!$H$17, inputs!$H$17, (((inputs!$P$12/(X180/MAX(K180:S180)))^(1/inputs!$O$12))-1)/inputs!$N$12))</f>
        <v>0</v>
      </c>
      <c r="V180">
        <f>inputs!$E$78*(F180/inputs!$F$78)^(inputs!$E$84-1)</f>
        <v>2.2034638199583647E-2</v>
      </c>
      <c r="W180">
        <f>inputs!$E$85*(F180/inputs!$F$85)^(inputs!$E$84-1)</f>
        <v>1.017519000690843</v>
      </c>
      <c r="X180">
        <f>inputs!$E$80*(F180/inputs!$F$80)^(inputs!$E$84-1)</f>
        <v>3.7995962684025146</v>
      </c>
      <c r="Y180">
        <f>inputs!$E$82*(F180/inputs!$F$82)^(inputs!$E$84-1)</f>
        <v>1.751173877966911</v>
      </c>
      <c r="Z180">
        <f t="shared" si="15"/>
        <v>273.78732724590657</v>
      </c>
      <c r="AA180">
        <f t="shared" si="16"/>
        <v>5.9289356713718346</v>
      </c>
    </row>
    <row r="181" spans="1:27" x14ac:dyDescent="0.3">
      <c r="A181" t="s">
        <v>335</v>
      </c>
      <c r="B181" t="s">
        <v>337</v>
      </c>
      <c r="C181" t="s">
        <v>73</v>
      </c>
      <c r="D181" t="s">
        <v>240</v>
      </c>
      <c r="E181">
        <v>121</v>
      </c>
      <c r="F181">
        <v>67</v>
      </c>
      <c r="G181" t="s">
        <v>154</v>
      </c>
      <c r="H181">
        <v>9.2999999999999999E-2</v>
      </c>
      <c r="I181">
        <f>MAX('Min rate concentrations'!$G$3:$G$368)</f>
        <v>7.5</v>
      </c>
      <c r="J181">
        <f>MAX('Min rate concentrations'!Z:Z)</f>
        <v>3.5</v>
      </c>
      <c r="K181">
        <f t="shared" si="19"/>
        <v>0.87363061754256344</v>
      </c>
      <c r="M181">
        <f>IF((((1.18*F181^0.874)/3.7-(0.301*F181^0.751)/(1-H181)*H181)*(MAX('Min rate concentrations'!$P$3:$P$368)))/F181&gt;0, (((1.18*F181^0.874)/3.7-(0.301*F181^0.751)/(1-H181)*H181)*(MAX('Min rate concentrations'!$P$3:$P$368)))/F181, 0)</f>
        <v>2.5680087092316079E-2</v>
      </c>
      <c r="N181">
        <f>IF((((1.18*F181^0.874)/3.7-(0.301*F181^0.751)/(1-H181)*H181)*(MAX('Min rate concentrations'!$Q$3:$Q$368)))/F181&gt;0, (((1.18*F181^0.874)/3.7-(0.301*F181^0.751)/(1-H181)*H181)*(MAX('Min rate concentrations'!$Q$3:$Q$368)))/F181, 0)</f>
        <v>9.7791151481893324E-2</v>
      </c>
      <c r="O181">
        <f>((MAX('Min rate concentrations'!$F$3:$F$368))*0.62*6.01*8*(10*F181^0.667)*0.079*0.1/F181)*inputs!$E$80/(10^(0.84+0.62*LOG10(inputs!$E$80)))</f>
        <v>6.0328046994945614</v>
      </c>
      <c r="P181">
        <f>((MAX('Min rate concentrations'!Y:Y))*0.62*6.01*8*(10*F181^0.667)*0.079*0.1/F181)*inputs!$E$80/(10^(0.84+0.62*LOG10(inputs!$E$80)))</f>
        <v>2.0109348998315202</v>
      </c>
      <c r="Q181">
        <f>(inputs!$C$7*11.2*(10*F181^0.667)*0.5/F181)*inputs!$E$80/(10^(0.84+0.62*LOG10(inputs!$E$80)))</f>
        <v>1.0626500936215184</v>
      </c>
      <c r="R181">
        <f>(60*284*((F181/1000)^0.77)*3*24*(MAX('Min rate concentrations'!$R$3:$R$368))/F181)*(inputs!$E$73*3.4/inputs!$E$75)</f>
        <v>8.728473553725434E-3</v>
      </c>
      <c r="S181">
        <f>(IF(inputs!$C$6="aerial",((0.025*0.112*inputs!$C$7/3.3)*(3*60*284*((F181/1000)^0.77))*MAX(inputs!$H$14:$H$16))/F181,((0.0083*0.112*inputs!$C$7/1)*(3*60*284*((F181/1000)^0.77))*MAX(inputs!$H$14:$H$16))/F181))*(inputs!E$75*3.4/inputs!$E$73)</f>
        <v>4.8138067911452996E-2</v>
      </c>
      <c r="T181">
        <f>IF((((inputs!$P$12/(V181/MAX(K181:S181)))^(1/inputs!$O$12))-1)/inputs!$N$12&lt;0, 0, IF((((inputs!$P$12/(V181/MAX(K181:S181)))^(1/inputs!$O$12))-1)/inputs!$N$12&gt;inputs!$H$17, inputs!$H$17, (((inputs!$P$12/(V181/MAX(K181:S181)))^(1/inputs!$O$12))-1)/inputs!$N$12))</f>
        <v>178.07562010840292</v>
      </c>
      <c r="U181">
        <f>IF((((inputs!$P$12/(X181/MAX(K181:S181)))^(1/inputs!$O$12))-1)/inputs!$N$12&lt;0, 0, IF((((inputs!$P$12/(X181/MAX(K181:S181)))^(1/inputs!$O$12))-1)/inputs!$N$12&gt;inputs!$H$17, inputs!$H$17, (((inputs!$P$12/(X181/MAX(K181:S181)))^(1/inputs!$O$12))-1)/inputs!$N$12))</f>
        <v>0</v>
      </c>
      <c r="V181">
        <f>inputs!$E$78*(F181/inputs!$F$78)^(inputs!$E$84-1)</f>
        <v>2.2034638199583647E-2</v>
      </c>
      <c r="W181">
        <f>inputs!$E$85*(F181/inputs!$F$85)^(inputs!$E$84-1)</f>
        <v>1.017519000690843</v>
      </c>
      <c r="X181">
        <f>inputs!$E$80*(F181/inputs!$F$80)^(inputs!$E$84-1)</f>
        <v>3.7995962684025146</v>
      </c>
      <c r="Y181">
        <f>inputs!$E$82*(F181/inputs!$F$82)^(inputs!$E$84-1)</f>
        <v>1.751173877966911</v>
      </c>
      <c r="Z181">
        <f t="shared" si="15"/>
        <v>273.78732724590657</v>
      </c>
      <c r="AA181">
        <f t="shared" si="16"/>
        <v>5.9289356713718346</v>
      </c>
    </row>
    <row r="182" spans="1:27" x14ac:dyDescent="0.3">
      <c r="A182" t="s">
        <v>335</v>
      </c>
      <c r="B182" t="s">
        <v>337</v>
      </c>
      <c r="C182" t="s">
        <v>73</v>
      </c>
      <c r="D182" t="s">
        <v>240</v>
      </c>
      <c r="E182">
        <v>121</v>
      </c>
      <c r="F182">
        <v>67</v>
      </c>
      <c r="G182" t="s">
        <v>146</v>
      </c>
      <c r="H182">
        <v>0.84</v>
      </c>
      <c r="I182">
        <f>MAX('Min rate concentrations'!$I$3:$I$368)</f>
        <v>9.4775690500787988</v>
      </c>
      <c r="J182" t="s">
        <v>13</v>
      </c>
      <c r="K182">
        <f t="shared" si="19"/>
        <v>6.2582202611121023</v>
      </c>
      <c r="L182" t="s">
        <v>13</v>
      </c>
      <c r="M182">
        <f>IF((((1.18*F182^0.874)/3.7-(0.301*F182^0.751)/(1-H182)*H182)*(MAX('Min rate concentrations'!$P$3:$P$368)))/F182&gt;0, (((1.18*F182^0.874)/3.7-(0.301*F182^0.751)/(1-H182)*H182)*(MAX('Min rate concentrations'!$P$3:$P$368)))/F182, 0)</f>
        <v>0</v>
      </c>
      <c r="N182">
        <f>IF((((1.18*F182^0.874)/3.7-(0.301*F182^0.751)/(1-H182)*H182)*(MAX('Min rate concentrations'!$Q$3:$Q$368)))/F182&gt;0, (((1.18*F182^0.874)/3.7-(0.301*F182^0.751)/(1-H182)*H182)*(MAX('Min rate concentrations'!$Q$3:$Q$368)))/F182, 0)</f>
        <v>0</v>
      </c>
      <c r="O182">
        <f>((MAX('Min rate concentrations'!$F$3:$F$368))*0.62*6.01*8*(10*F182^0.667)*0.079*0.1/F182)*inputs!$E$80/(10^(0.84+0.62*LOG10(inputs!$E$80)))</f>
        <v>6.0328046994945614</v>
      </c>
      <c r="P182">
        <f>((MAX('Min rate concentrations'!Y:Y))*0.62*6.01*8*(10*F182^0.667)*0.079*0.1/F182)*inputs!$E$80/(10^(0.84+0.62*LOG10(inputs!$E$80)))</f>
        <v>2.0109348998315202</v>
      </c>
      <c r="Q182">
        <f>(inputs!$C$7*11.2*(10*F182^0.667)*0.5/F182)*inputs!$E$80/(10^(0.84+0.62*LOG10(inputs!$E$80)))</f>
        <v>1.0626500936215184</v>
      </c>
      <c r="R182">
        <f>(60*284*((F182/1000)^0.77)*3*24*(MAX('Min rate concentrations'!$R$3:$R$368))/F182)*(inputs!$E$73*3.4/inputs!$E$75)</f>
        <v>8.728473553725434E-3</v>
      </c>
      <c r="S182">
        <f>(IF(inputs!$C$6="aerial",((0.025*0.112*inputs!$C$7/3.3)*(3*60*284*((F182/1000)^0.77))*MAX(inputs!$H$14:$H$16))/F182,((0.0083*0.112*inputs!$C$7/1)*(3*60*284*((F182/1000)^0.77))*MAX(inputs!$H$14:$H$16))/F182))*(inputs!E$75*3.4/inputs!$E$73)</f>
        <v>4.8138067911452996E-2</v>
      </c>
      <c r="T182">
        <f>IF((((inputs!$P$12/(V182/MAX(K182:S182)))^(1/inputs!$O$12))-1)/inputs!$N$12&lt;0, 0, IF((((inputs!$P$12/(V182/MAX(K182:S182)))^(1/inputs!$O$12))-1)/inputs!$N$12&gt;inputs!$H$17, inputs!$H$17, (((inputs!$P$12/(V182/MAX(K182:S182)))^(1/inputs!$O$12))-1)/inputs!$N$12))</f>
        <v>181.18081390530844</v>
      </c>
      <c r="U182">
        <f>IF((((inputs!$P$12/(X182/MAX(K182:S182)))^(1/inputs!$O$12))-1)/inputs!$N$12&lt;0, 0, IF((((inputs!$P$12/(X182/MAX(K182:S182)))^(1/inputs!$O$12))-1)/inputs!$N$12&gt;inputs!$H$17, inputs!$H$17, (((inputs!$P$12/(X182/MAX(K182:S182)))^(1/inputs!$O$12))-1)/inputs!$N$12))</f>
        <v>0</v>
      </c>
      <c r="V182">
        <f>inputs!$E$78*(F182/inputs!$F$78)^(inputs!$E$84-1)</f>
        <v>2.2034638199583647E-2</v>
      </c>
      <c r="W182">
        <f>inputs!$E$85*(F182/inputs!$F$85)^(inputs!$E$84-1)</f>
        <v>1.017519000690843</v>
      </c>
      <c r="X182">
        <f>inputs!$E$80*(F182/inputs!$F$80)^(inputs!$E$84-1)</f>
        <v>3.7995962684025146</v>
      </c>
      <c r="Y182">
        <f>inputs!$E$82*(F182/inputs!$F$82)^(inputs!$E$84-1)</f>
        <v>1.751173877966911</v>
      </c>
      <c r="Z182">
        <f t="shared" si="15"/>
        <v>284.01738228814457</v>
      </c>
      <c r="AA182">
        <f t="shared" si="16"/>
        <v>6.1504701699556401</v>
      </c>
    </row>
    <row r="183" spans="1:27" x14ac:dyDescent="0.3">
      <c r="A183" t="s">
        <v>335</v>
      </c>
      <c r="B183" t="s">
        <v>336</v>
      </c>
      <c r="C183" t="s">
        <v>73</v>
      </c>
      <c r="D183" t="s">
        <v>240</v>
      </c>
      <c r="E183">
        <v>4889</v>
      </c>
      <c r="F183">
        <v>67</v>
      </c>
      <c r="G183" t="s">
        <v>218</v>
      </c>
      <c r="H183">
        <v>0.68</v>
      </c>
      <c r="I183">
        <f>MAX('Min rate concentrations'!$K$3:$K$368)</f>
        <v>18.333393099490852</v>
      </c>
      <c r="J183">
        <f>MAX('Min rate concentrations'!AC:AC)</f>
        <v>6.4930767227363431</v>
      </c>
      <c r="K183">
        <f t="shared" si="19"/>
        <v>6.0529451984954177</v>
      </c>
      <c r="L183">
        <f>((0.301*F183^0.751)/(1-H183))*J183/F183</f>
        <v>2.1437514244671272</v>
      </c>
      <c r="M183">
        <f>IF((((1.18*F183^0.874)/3.7-(0.301*F183^0.751)/(1-H183)*H183)*(MAX('Min rate concentrations'!$P$3:$P$368)))/F183&gt;0, (((1.18*F183^0.874)/3.7-(0.301*F183^0.751)/(1-H183)*H183)*(MAX('Min rate concentrations'!$P$3:$P$368)))/F183, 0)</f>
        <v>0</v>
      </c>
      <c r="N183">
        <f>IF((((1.18*F183^0.874)/3.7-(0.301*F183^0.751)/(1-H183)*H183)*(MAX('Min rate concentrations'!$Q$3:$Q$368)))/F183&gt;0, (((1.18*F183^0.874)/3.7-(0.301*F183^0.751)/(1-H183)*H183)*(MAX('Min rate concentrations'!$Q$3:$Q$368)))/F183, 0)</f>
        <v>0</v>
      </c>
      <c r="O183">
        <f>((MAX('Min rate concentrations'!$F$3:$F$368))*0.62*6.01*8*(10*F183^0.667)*0.079*0.1/F183)*inputs!$E$80/(10^(0.84+0.62*LOG10(inputs!$E$80)))</f>
        <v>6.0328046994945614</v>
      </c>
      <c r="P183">
        <f>((MAX('Min rate concentrations'!Y:Y))*0.62*6.01*8*(10*F183^0.667)*0.079*0.1/F183)*inputs!$E$80/(10^(0.84+0.62*LOG10(inputs!$E$80)))</f>
        <v>2.0109348998315202</v>
      </c>
      <c r="Q183">
        <f>(inputs!$C$7*11.2*(10*F183^0.667)*0.5/F183)*inputs!$E$80/(10^(0.84+0.62*LOG10(inputs!$E$80)))</f>
        <v>1.0626500936215184</v>
      </c>
      <c r="R183">
        <f>(60*284*((F183/1000)^0.77)*3*24*(MAX('Min rate concentrations'!$R$3:$R$368))/F183)*(inputs!$E$73*3.4/inputs!$E$75)</f>
        <v>8.728473553725434E-3</v>
      </c>
      <c r="S183">
        <f>(IF(inputs!$C$6="aerial",((0.025*0.112*inputs!$C$7/3.3)*(3*60*284*((F183/1000)^0.77))*MAX(inputs!$H$14:$H$16))/F183,((0.0083*0.112*inputs!$C$7/1)*(3*60*284*((F183/1000)^0.77))*MAX(inputs!$H$14:$H$16))/F183))*(inputs!E$75*3.4/inputs!$E$73)</f>
        <v>4.8138067911452996E-2</v>
      </c>
      <c r="T183">
        <f>IF((((inputs!$P$12/(V183/MAX(K183:S183)))^(1/inputs!$O$12))-1)/inputs!$N$12&lt;0, 0, IF((((inputs!$P$12/(V183/MAX(K183:S183)))^(1/inputs!$O$12))-1)/inputs!$N$12&gt;inputs!$H$17, inputs!$H$17, (((inputs!$P$12/(V183/MAX(K183:S183)))^(1/inputs!$O$12))-1)/inputs!$N$12))</f>
        <v>178.3558352818344</v>
      </c>
      <c r="U183">
        <f>IF((((inputs!$P$12/(X183/MAX(K183:S183)))^(1/inputs!$O$12))-1)/inputs!$N$12&lt;0, 0, IF((((inputs!$P$12/(X183/MAX(K183:S183)))^(1/inputs!$O$12))-1)/inputs!$N$12&gt;inputs!$H$17, inputs!$H$17, (((inputs!$P$12/(X183/MAX(K183:S183)))^(1/inputs!$O$12))-1)/inputs!$N$12))</f>
        <v>0</v>
      </c>
      <c r="V183">
        <f>inputs!$E$78*(F183/inputs!$F$78)^(inputs!$E$84-1)</f>
        <v>2.2034638199583647E-2</v>
      </c>
      <c r="W183">
        <f>inputs!$E$85*(F183/inputs!$F$85)^(inputs!$E$84-1)</f>
        <v>1.017519000690843</v>
      </c>
      <c r="X183">
        <f>inputs!$E$80*(F183/inputs!$F$80)^(inputs!$E$84-1)</f>
        <v>3.7995962684025146</v>
      </c>
      <c r="Y183">
        <f>inputs!$E$82*(F183/inputs!$F$82)^(inputs!$E$84-1)</f>
        <v>1.751173877966911</v>
      </c>
      <c r="Z183">
        <f t="shared" si="15"/>
        <v>274.70136535347291</v>
      </c>
      <c r="AA183">
        <f t="shared" si="16"/>
        <v>5.9487294039578424</v>
      </c>
    </row>
    <row r="184" spans="1:27" x14ac:dyDescent="0.3">
      <c r="A184" t="s">
        <v>335</v>
      </c>
      <c r="B184" t="s">
        <v>336</v>
      </c>
      <c r="C184" t="s">
        <v>73</v>
      </c>
      <c r="D184" t="s">
        <v>240</v>
      </c>
      <c r="E184">
        <v>4889</v>
      </c>
      <c r="F184">
        <v>67</v>
      </c>
      <c r="G184" t="s">
        <v>177</v>
      </c>
      <c r="H184">
        <v>0.85</v>
      </c>
      <c r="I184">
        <f>MAX('Min rate concentrations'!$F$3:$F$368)</f>
        <v>67.5</v>
      </c>
      <c r="J184">
        <f>MAX('Min rate concentrations'!Y:Y)</f>
        <v>22.5</v>
      </c>
      <c r="K184">
        <f t="shared" si="19"/>
        <v>47.542978206666298</v>
      </c>
      <c r="L184">
        <f>((0.301*F184^0.751)/(1-H184))*J184/F184</f>
        <v>15.847659402222099</v>
      </c>
      <c r="M184">
        <f>IF((((1.18*F184^0.874)/3.7-(0.301*F184^0.751)/(1-H184)*H184)*(MAX('Min rate concentrations'!$P$3:$P$368)))/F184&gt;0, (((1.18*F184^0.874)/3.7-(0.301*F184^0.751)/(1-H184)*H184)*(MAX('Min rate concentrations'!$P$3:$P$368)))/F184, 0)</f>
        <v>0</v>
      </c>
      <c r="N184">
        <f>IF((((1.18*F184^0.874)/3.7-(0.301*F184^0.751)/(1-H184)*H184)*(MAX('Min rate concentrations'!$Q$3:$Q$368)))/F184&gt;0, (((1.18*F184^0.874)/3.7-(0.301*F184^0.751)/(1-H184)*H184)*(MAX('Min rate concentrations'!$Q$3:$Q$368)))/F184, 0)</f>
        <v>0</v>
      </c>
      <c r="O184">
        <f>((MAX('Min rate concentrations'!$F$3:$F$368))*0.62*6.01*8*(10*F184^0.667)*0.079*0.1/F184)*inputs!$E$80/(10^(0.84+0.62*LOG10(inputs!$E$80)))</f>
        <v>6.0328046994945614</v>
      </c>
      <c r="P184">
        <f>((MAX('Min rate concentrations'!Y:Y))*0.62*6.01*8*(10*F184^0.667)*0.079*0.1/F184)*inputs!$E$80/(10^(0.84+0.62*LOG10(inputs!$E$80)))</f>
        <v>2.0109348998315202</v>
      </c>
      <c r="Q184">
        <f>(inputs!$C$7*11.2*(10*F184^0.667)*0.5/F184)*inputs!$E$80/(10^(0.84+0.62*LOG10(inputs!$E$80)))</f>
        <v>1.0626500936215184</v>
      </c>
      <c r="R184">
        <f>(60*284*((F184/1000)^0.77)*3*24*(MAX('Min rate concentrations'!$R$3:$R$368))/F184)*(inputs!$E$73*3.4/inputs!$E$75)</f>
        <v>8.728473553725434E-3</v>
      </c>
      <c r="S184">
        <f>(IF(inputs!$C$6="aerial",((0.025*0.112*inputs!$C$7/3.3)*(3*60*284*((F184/1000)^0.77))*MAX(inputs!$H$14:$H$16))/F184,((0.0083*0.112*inputs!$C$7/1)*(3*60*284*((F184/1000)^0.77))*MAX(inputs!$H$14:$H$16))/F184))*(inputs!E$75*3.4/inputs!$E$73)</f>
        <v>4.8138067911452996E-2</v>
      </c>
      <c r="T184">
        <f>IF((((inputs!$P$12/(V184/MAX(K184:S184)))^(1/inputs!$O$12))-1)/inputs!$N$12&lt;0, 0, IF((((inputs!$P$12/(V184/MAX(K184:S184)))^(1/inputs!$O$12))-1)/inputs!$N$12&gt;inputs!$H$17, inputs!$H$17, (((inputs!$P$12/(V184/MAX(K184:S184)))^(1/inputs!$O$12))-1)/inputs!$N$12))</f>
        <v>449.83577767440596</v>
      </c>
      <c r="U184">
        <f>IF((((inputs!$P$12/(X184/MAX(K184:S184)))^(1/inputs!$O$12))-1)/inputs!$N$12&lt;0, 0, IF((((inputs!$P$12/(X184/MAX(K184:S184)))^(1/inputs!$O$12))-1)/inputs!$N$12&gt;inputs!$H$17, inputs!$H$17, (((inputs!$P$12/(X184/MAX(K184:S184)))^(1/inputs!$O$12))-1)/inputs!$N$12))</f>
        <v>30.395188311575623</v>
      </c>
      <c r="V184">
        <f>inputs!$E$78*(F184/inputs!$F$78)^(inputs!$E$84-1)</f>
        <v>2.2034638199583647E-2</v>
      </c>
      <c r="W184">
        <f>inputs!$E$85*(F184/inputs!$F$85)^(inputs!$E$84-1)</f>
        <v>1.017519000690843</v>
      </c>
      <c r="X184">
        <f>inputs!$E$80*(F184/inputs!$F$80)^(inputs!$E$84-1)</f>
        <v>3.7995962684025146</v>
      </c>
      <c r="Y184">
        <f>inputs!$E$82*(F184/inputs!$F$82)^(inputs!$E$84-1)</f>
        <v>1.751173877966911</v>
      </c>
      <c r="Z184">
        <f t="shared" si="15"/>
        <v>2157.6473267241863</v>
      </c>
      <c r="AA184">
        <f t="shared" si="16"/>
        <v>46.724413179888593</v>
      </c>
    </row>
    <row r="185" spans="1:27" x14ac:dyDescent="0.3">
      <c r="A185" t="s">
        <v>335</v>
      </c>
      <c r="B185" t="s">
        <v>336</v>
      </c>
      <c r="C185" t="s">
        <v>73</v>
      </c>
      <c r="D185" t="s">
        <v>240</v>
      </c>
      <c r="E185">
        <v>4889</v>
      </c>
      <c r="F185">
        <v>67</v>
      </c>
      <c r="G185" t="s">
        <v>145</v>
      </c>
      <c r="H185">
        <v>0.66</v>
      </c>
      <c r="I185">
        <f>MAX('Min rate concentrations'!$M$3:$M$368)</f>
        <v>2.8488184789681945</v>
      </c>
      <c r="J185">
        <f>MAX('Min rate concentrations'!AE:AE)</f>
        <v>1.9699276716269429</v>
      </c>
      <c r="K185">
        <f t="shared" si="19"/>
        <v>0.8852373520283211</v>
      </c>
      <c r="L185">
        <f>((0.301*F185^0.751)/(1-H185))*J185/F185</f>
        <v>0.61213221150894548</v>
      </c>
      <c r="M185">
        <f>IF((((1.18*F185^0.874)/3.7-(0.301*F185^0.751)/(1-H185)*H185)*(MAX('Min rate concentrations'!$P$3:$P$368)))/F185&gt;0, (((1.18*F185^0.874)/3.7-(0.301*F185^0.751)/(1-H185)*H185)*(MAX('Min rate concentrations'!$P$3:$P$368)))/F185, 0)</f>
        <v>0</v>
      </c>
      <c r="N185">
        <f>IF((((1.18*F185^0.874)/3.7-(0.301*F185^0.751)/(1-H185)*H185)*(MAX('Min rate concentrations'!$Q$3:$Q$368)))/F185&gt;0, (((1.18*F185^0.874)/3.7-(0.301*F185^0.751)/(1-H185)*H185)*(MAX('Min rate concentrations'!$Q$3:$Q$368)))/F185, 0)</f>
        <v>0</v>
      </c>
      <c r="O185">
        <f>((MAX('Min rate concentrations'!$F$3:$F$368))*0.62*6.01*8*(10*F185^0.667)*0.079*0.1/F185)*inputs!$E$80/(10^(0.84+0.62*LOG10(inputs!$E$80)))</f>
        <v>6.0328046994945614</v>
      </c>
      <c r="P185">
        <f>((MAX('Min rate concentrations'!Y:Y))*0.62*6.01*8*(10*F185^0.667)*0.079*0.1/F185)*inputs!$E$80/(10^(0.84+0.62*LOG10(inputs!$E$80)))</f>
        <v>2.0109348998315202</v>
      </c>
      <c r="Q185">
        <f>(inputs!$C$7*11.2*(10*F185^0.667)*0.5/F185)*inputs!$E$80/(10^(0.84+0.62*LOG10(inputs!$E$80)))</f>
        <v>1.0626500936215184</v>
      </c>
      <c r="R185">
        <f>(60*284*((F185/1000)^0.77)*3*24*(MAX('Min rate concentrations'!$R$3:$R$368))/F185)*(inputs!$E$73*3.4/inputs!$E$75)</f>
        <v>8.728473553725434E-3</v>
      </c>
      <c r="S185">
        <f>(IF(inputs!$C$6="aerial",((0.025*0.112*inputs!$C$7/3.3)*(3*60*284*((F185/1000)^0.77))*MAX(inputs!$H$14:$H$16))/F185,((0.0083*0.112*inputs!$C$7/1)*(3*60*284*((F185/1000)^0.77))*MAX(inputs!$H$14:$H$16))/F185))*(inputs!E$75*3.4/inputs!$E$73)</f>
        <v>4.8138067911452996E-2</v>
      </c>
      <c r="T185">
        <f>IF((((inputs!$P$12/(V185/MAX(K185:S185)))^(1/inputs!$O$12))-1)/inputs!$N$12&lt;0, 0, IF((((inputs!$P$12/(V185/MAX(K185:S185)))^(1/inputs!$O$12))-1)/inputs!$N$12&gt;inputs!$H$17, inputs!$H$17, (((inputs!$P$12/(V185/MAX(K185:S185)))^(1/inputs!$O$12))-1)/inputs!$N$12))</f>
        <v>178.07562010840292</v>
      </c>
      <c r="U185">
        <f>IF((((inputs!$P$12/(X185/MAX(K185:S185)))^(1/inputs!$O$12))-1)/inputs!$N$12&lt;0, 0, IF((((inputs!$P$12/(X185/MAX(K185:S185)))^(1/inputs!$O$12))-1)/inputs!$N$12&gt;inputs!$H$17, inputs!$H$17, (((inputs!$P$12/(X185/MAX(K185:S185)))^(1/inputs!$O$12))-1)/inputs!$N$12))</f>
        <v>0</v>
      </c>
      <c r="V185">
        <f>inputs!$E$78*(F185/inputs!$F$78)^(inputs!$E$84-1)</f>
        <v>2.2034638199583647E-2</v>
      </c>
      <c r="W185">
        <f>inputs!$E$85*(F185/inputs!$F$85)^(inputs!$E$84-1)</f>
        <v>1.017519000690843</v>
      </c>
      <c r="X185">
        <f>inputs!$E$80*(F185/inputs!$F$80)^(inputs!$E$84-1)</f>
        <v>3.7995962684025146</v>
      </c>
      <c r="Y185">
        <f>inputs!$E$82*(F185/inputs!$F$82)^(inputs!$E$84-1)</f>
        <v>1.751173877966911</v>
      </c>
      <c r="Z185">
        <f t="shared" si="15"/>
        <v>273.78732724590657</v>
      </c>
      <c r="AA185">
        <f t="shared" si="16"/>
        <v>5.9289356713718346</v>
      </c>
    </row>
    <row r="186" spans="1:27" x14ac:dyDescent="0.3">
      <c r="A186" t="s">
        <v>335</v>
      </c>
      <c r="B186" t="s">
        <v>336</v>
      </c>
      <c r="C186" t="s">
        <v>73</v>
      </c>
      <c r="D186" t="s">
        <v>240</v>
      </c>
      <c r="E186">
        <v>4889</v>
      </c>
      <c r="F186">
        <v>67</v>
      </c>
      <c r="G186" t="s">
        <v>154</v>
      </c>
      <c r="H186">
        <v>9.2999999999999999E-2</v>
      </c>
      <c r="I186">
        <f>MAX('Min rate concentrations'!$G$3:$G$368)</f>
        <v>7.5</v>
      </c>
      <c r="J186">
        <f>MAX('Min rate concentrations'!Z:Z)</f>
        <v>3.5</v>
      </c>
      <c r="K186">
        <f t="shared" si="19"/>
        <v>0.87363061754256344</v>
      </c>
      <c r="M186">
        <f>IF((((1.18*F186^0.874)/3.7-(0.301*F186^0.751)/(1-H186)*H186)*(MAX('Min rate concentrations'!$P$3:$P$368)))/F186&gt;0, (((1.18*F186^0.874)/3.7-(0.301*F186^0.751)/(1-H186)*H186)*(MAX('Min rate concentrations'!$P$3:$P$368)))/F186, 0)</f>
        <v>2.5680087092316079E-2</v>
      </c>
      <c r="N186">
        <f>IF((((1.18*F186^0.874)/3.7-(0.301*F186^0.751)/(1-H186)*H186)*(MAX('Min rate concentrations'!$Q$3:$Q$368)))/F186&gt;0, (((1.18*F186^0.874)/3.7-(0.301*F186^0.751)/(1-H186)*H186)*(MAX('Min rate concentrations'!$Q$3:$Q$368)))/F186, 0)</f>
        <v>9.7791151481893324E-2</v>
      </c>
      <c r="O186">
        <f>((MAX('Min rate concentrations'!$F$3:$F$368))*0.62*6.01*8*(10*F186^0.667)*0.079*0.1/F186)*inputs!$E$80/(10^(0.84+0.62*LOG10(inputs!$E$80)))</f>
        <v>6.0328046994945614</v>
      </c>
      <c r="P186">
        <f>((MAX('Min rate concentrations'!Y:Y))*0.62*6.01*8*(10*F186^0.667)*0.079*0.1/F186)*inputs!$E$80/(10^(0.84+0.62*LOG10(inputs!$E$80)))</f>
        <v>2.0109348998315202</v>
      </c>
      <c r="Q186">
        <f>(inputs!$C$7*11.2*(10*F186^0.667)*0.5/F186)*inputs!$E$80/(10^(0.84+0.62*LOG10(inputs!$E$80)))</f>
        <v>1.0626500936215184</v>
      </c>
      <c r="R186">
        <f>(60*284*((F186/1000)^0.77)*3*24*(MAX('Min rate concentrations'!$R$3:$R$368))/F186)*(inputs!$E$73*3.4/inputs!$E$75)</f>
        <v>8.728473553725434E-3</v>
      </c>
      <c r="S186">
        <f>(IF(inputs!$C$6="aerial",((0.025*0.112*inputs!$C$7/3.3)*(3*60*284*((F186/1000)^0.77))*MAX(inputs!$H$14:$H$16))/F186,((0.0083*0.112*inputs!$C$7/1)*(3*60*284*((F186/1000)^0.77))*MAX(inputs!$H$14:$H$16))/F186))*(inputs!E$75*3.4/inputs!$E$73)</f>
        <v>4.8138067911452996E-2</v>
      </c>
      <c r="T186">
        <f>IF((((inputs!$P$12/(V186/MAX(K186:S186)))^(1/inputs!$O$12))-1)/inputs!$N$12&lt;0, 0, IF((((inputs!$P$12/(V186/MAX(K186:S186)))^(1/inputs!$O$12))-1)/inputs!$N$12&gt;inputs!$H$17, inputs!$H$17, (((inputs!$P$12/(V186/MAX(K186:S186)))^(1/inputs!$O$12))-1)/inputs!$N$12))</f>
        <v>178.07562010840292</v>
      </c>
      <c r="U186">
        <f>IF((((inputs!$P$12/(X186/MAX(K186:S186)))^(1/inputs!$O$12))-1)/inputs!$N$12&lt;0, 0, IF((((inputs!$P$12/(X186/MAX(K186:S186)))^(1/inputs!$O$12))-1)/inputs!$N$12&gt;inputs!$H$17, inputs!$H$17, (((inputs!$P$12/(X186/MAX(K186:S186)))^(1/inputs!$O$12))-1)/inputs!$N$12))</f>
        <v>0</v>
      </c>
      <c r="V186">
        <f>inputs!$E$78*(F186/inputs!$F$78)^(inputs!$E$84-1)</f>
        <v>2.2034638199583647E-2</v>
      </c>
      <c r="W186">
        <f>inputs!$E$85*(F186/inputs!$F$85)^(inputs!$E$84-1)</f>
        <v>1.017519000690843</v>
      </c>
      <c r="X186">
        <f>inputs!$E$80*(F186/inputs!$F$80)^(inputs!$E$84-1)</f>
        <v>3.7995962684025146</v>
      </c>
      <c r="Y186">
        <f>inputs!$E$82*(F186/inputs!$F$82)^(inputs!$E$84-1)</f>
        <v>1.751173877966911</v>
      </c>
      <c r="Z186">
        <f t="shared" si="15"/>
        <v>273.78732724590657</v>
      </c>
      <c r="AA186">
        <f t="shared" si="16"/>
        <v>5.9289356713718346</v>
      </c>
    </row>
    <row r="187" spans="1:27" x14ac:dyDescent="0.3">
      <c r="A187" t="s">
        <v>335</v>
      </c>
      <c r="B187" t="s">
        <v>336</v>
      </c>
      <c r="C187" t="s">
        <v>73</v>
      </c>
      <c r="D187" t="s">
        <v>240</v>
      </c>
      <c r="E187">
        <v>4889</v>
      </c>
      <c r="F187">
        <v>67</v>
      </c>
      <c r="G187" t="s">
        <v>146</v>
      </c>
      <c r="H187">
        <v>0.84</v>
      </c>
      <c r="I187">
        <f>MAX('Min rate concentrations'!$I$3:$I$368)</f>
        <v>9.4775690500787988</v>
      </c>
      <c r="J187" t="s">
        <v>13</v>
      </c>
      <c r="K187">
        <f t="shared" si="19"/>
        <v>6.2582202611121023</v>
      </c>
      <c r="L187" t="s">
        <v>13</v>
      </c>
      <c r="M187">
        <f>IF((((1.18*F187^0.874)/3.7-(0.301*F187^0.751)/(1-H187)*H187)*(MAX('Min rate concentrations'!$P$3:$P$368)))/F187&gt;0, (((1.18*F187^0.874)/3.7-(0.301*F187^0.751)/(1-H187)*H187)*(MAX('Min rate concentrations'!$P$3:$P$368)))/F187, 0)</f>
        <v>0</v>
      </c>
      <c r="N187">
        <f>IF((((1.18*F187^0.874)/3.7-(0.301*F187^0.751)/(1-H187)*H187)*(MAX('Min rate concentrations'!$Q$3:$Q$368)))/F187&gt;0, (((1.18*F187^0.874)/3.7-(0.301*F187^0.751)/(1-H187)*H187)*(MAX('Min rate concentrations'!$Q$3:$Q$368)))/F187, 0)</f>
        <v>0</v>
      </c>
      <c r="O187">
        <f>((MAX('Min rate concentrations'!$F$3:$F$368))*0.62*6.01*8*(10*F187^0.667)*0.079*0.1/F187)*inputs!$E$80/(10^(0.84+0.62*LOG10(inputs!$E$80)))</f>
        <v>6.0328046994945614</v>
      </c>
      <c r="P187">
        <f>((MAX('Min rate concentrations'!Y:Y))*0.62*6.01*8*(10*F187^0.667)*0.079*0.1/F187)*inputs!$E$80/(10^(0.84+0.62*LOG10(inputs!$E$80)))</f>
        <v>2.0109348998315202</v>
      </c>
      <c r="Q187">
        <f>(inputs!$C$7*11.2*(10*F187^0.667)*0.5/F187)*inputs!$E$80/(10^(0.84+0.62*LOG10(inputs!$E$80)))</f>
        <v>1.0626500936215184</v>
      </c>
      <c r="R187">
        <f>(60*284*((F187/1000)^0.77)*3*24*(MAX('Min rate concentrations'!$R$3:$R$368))/F187)*(inputs!$E$73*3.4/inputs!$E$75)</f>
        <v>8.728473553725434E-3</v>
      </c>
      <c r="S187">
        <f>(IF(inputs!$C$6="aerial",((0.025*0.112*inputs!$C$7/3.3)*(3*60*284*((F187/1000)^0.77))*MAX(inputs!$H$14:$H$16))/F187,((0.0083*0.112*inputs!$C$7/1)*(3*60*284*((F187/1000)^0.77))*MAX(inputs!$H$14:$H$16))/F187))*(inputs!E$75*3.4/inputs!$E$73)</f>
        <v>4.8138067911452996E-2</v>
      </c>
      <c r="T187">
        <f>IF((((inputs!$P$12/(V187/MAX(K187:S187)))^(1/inputs!$O$12))-1)/inputs!$N$12&lt;0, 0, IF((((inputs!$P$12/(V187/MAX(K187:S187)))^(1/inputs!$O$12))-1)/inputs!$N$12&gt;inputs!$H$17, inputs!$H$17, (((inputs!$P$12/(V187/MAX(K187:S187)))^(1/inputs!$O$12))-1)/inputs!$N$12))</f>
        <v>181.18081390530844</v>
      </c>
      <c r="U187">
        <f>IF((((inputs!$P$12/(X187/MAX(K187:S187)))^(1/inputs!$O$12))-1)/inputs!$N$12&lt;0, 0, IF((((inputs!$P$12/(X187/MAX(K187:S187)))^(1/inputs!$O$12))-1)/inputs!$N$12&gt;inputs!$H$17, inputs!$H$17, (((inputs!$P$12/(X187/MAX(K187:S187)))^(1/inputs!$O$12))-1)/inputs!$N$12))</f>
        <v>0</v>
      </c>
      <c r="V187">
        <f>inputs!$E$78*(F187/inputs!$F$78)^(inputs!$E$84-1)</f>
        <v>2.2034638199583647E-2</v>
      </c>
      <c r="W187">
        <f>inputs!$E$85*(F187/inputs!$F$85)^(inputs!$E$84-1)</f>
        <v>1.017519000690843</v>
      </c>
      <c r="X187">
        <f>inputs!$E$80*(F187/inputs!$F$80)^(inputs!$E$84-1)</f>
        <v>3.7995962684025146</v>
      </c>
      <c r="Y187">
        <f>inputs!$E$82*(F187/inputs!$F$82)^(inputs!$E$84-1)</f>
        <v>1.751173877966911</v>
      </c>
      <c r="Z187">
        <f t="shared" si="15"/>
        <v>284.01738228814457</v>
      </c>
      <c r="AA187">
        <f t="shared" si="16"/>
        <v>6.1504701699556401</v>
      </c>
    </row>
    <row r="188" spans="1:27" x14ac:dyDescent="0.3">
      <c r="A188" t="s">
        <v>246</v>
      </c>
      <c r="B188" t="s">
        <v>247</v>
      </c>
      <c r="C188" t="s">
        <v>73</v>
      </c>
      <c r="D188" t="s">
        <v>240</v>
      </c>
      <c r="E188">
        <v>76</v>
      </c>
      <c r="F188">
        <v>334</v>
      </c>
      <c r="G188" t="s">
        <v>173</v>
      </c>
      <c r="H188">
        <v>0.8</v>
      </c>
      <c r="I188">
        <f>inputs!$C$65*inputs!$C$60/1000</f>
        <v>2.8</v>
      </c>
      <c r="J188">
        <f>inputs!$C$65*inputs!$C$59/1000</f>
        <v>2.8</v>
      </c>
      <c r="K188">
        <f>(((0.301*F188^0.751)/(1-H188)))*I188/F188</f>
        <v>0.99147475589165435</v>
      </c>
      <c r="M188">
        <f>IF((((1.18*F188^0.874)/3.7-(0.301*F188^0.751)/(1-H188)*H188)*(MAX('Min rate concentrations'!$P$3:$P$368)))/F188&gt;0, (((1.18*F188^0.874)/3.7-(0.301*F188^0.751)/(1-H188)*H188)*(MAX('Min rate concentrations'!$P$3:$P$368)))/F188, 0)</f>
        <v>0</v>
      </c>
      <c r="N188">
        <f>IF((((1.18*F188^0.874)/3.7-(0.301*F188^0.751)/(1-H188)*H188)*(MAX('Min rate concentrations'!$Q$3:$Q$368)))/F188&gt;0, (((1.18*F188^0.874)/3.7-(0.301*F188^0.751)/(1-H188)*H188)*(MAX('Min rate concentrations'!$Q$3:$Q$368)))/F188, 0)</f>
        <v>0</v>
      </c>
      <c r="O188">
        <f>((MAX('Min rate concentrations'!$F$3:$F$368))*0.62*6.01*8*(10*F188^0.667)*0.079*0.1/F188)*inputs!$E$80/(10^(0.84+0.62*LOG10(inputs!$E$80)))</f>
        <v>3.5334146222857528</v>
      </c>
      <c r="P188">
        <f>((MAX('Min rate concentrations'!Y:Y))*0.62*6.01*8*(10*F188^0.667)*0.079*0.1/F188)*inputs!$E$80/(10^(0.84+0.62*LOG10(inputs!$E$80)))</f>
        <v>1.1778048740952511</v>
      </c>
      <c r="Q188">
        <f>(inputs!$C$7*11.2*(10*F188^0.667)*0.5/F188)*inputs!$E$80/(10^(0.84+0.62*LOG10(inputs!$E$80)))</f>
        <v>0.62239432008965578</v>
      </c>
      <c r="R188">
        <f>(60*284*((F188/1000)^0.77)*3*24*(MAX('Min rate concentrations'!$R$3:$R$368))/F188)*(inputs!$E$73*3.4/inputs!$E$75)</f>
        <v>6.0321734060342453E-3</v>
      </c>
      <c r="S188">
        <f>(IF(inputs!$C$6="aerial",((0.025*0.112*inputs!$C$7/3.3)*(3*60*284*((F188/1000)^0.77))*MAX(inputs!$H$14:$H$16))/F188,((0.0083*0.112*inputs!$C$7/1)*(3*60*284*((F188/1000)^0.77))*MAX(inputs!$H$14:$H$16))/F188))*(inputs!E$75*3.4/inputs!$E$73)</f>
        <v>3.3267806940813868E-2</v>
      </c>
      <c r="T188">
        <f>IF((((inputs!$P$12/(V188/MAX(K188:S188)))^(1/inputs!$O$12))-1)/inputs!$N$12&lt;0, 0, IF((((inputs!$P$12/(V188/MAX(K188:S188)))^(1/inputs!$O$12))-1)/inputs!$N$12&gt;inputs!$H$17, inputs!$H$17, (((inputs!$P$12/(V188/MAX(K188:S188)))^(1/inputs!$O$12))-1)/inputs!$N$12))</f>
        <v>183.13036221408444</v>
      </c>
      <c r="U188">
        <f>IF((((inputs!$P$12/(X188/MAX(K188:S188)))^(1/inputs!$O$12))-1)/inputs!$N$12&lt;0, 0, IF((((inputs!$P$12/(X188/MAX(K188:S188)))^(1/inputs!$O$12))-1)/inputs!$N$12&gt;inputs!$H$17, inputs!$H$17, (((inputs!$P$12/(X188/MAX(K188:S188)))^(1/inputs!$O$12))-1)/inputs!$N$12))</f>
        <v>0</v>
      </c>
      <c r="V188">
        <f>inputs!$E$78*(F188/inputs!$F$78)^(inputs!$E$84-1)</f>
        <v>1.2160947350059152E-2</v>
      </c>
      <c r="W188">
        <f>inputs!$E$85*(F188/inputs!$F$85)^(inputs!$E$84-1)</f>
        <v>0.56157014619463785</v>
      </c>
      <c r="X188">
        <f>inputs!$E$80*(F188/inputs!$F$80)^(inputs!$E$84-1)</f>
        <v>2.0970024446508626</v>
      </c>
      <c r="Y188">
        <f>inputs!$E$82*(F188/inputs!$F$82)^(inputs!$E$84-1)</f>
        <v>0.96647528939943783</v>
      </c>
      <c r="Z188">
        <f t="shared" si="15"/>
        <v>290.55422415495991</v>
      </c>
      <c r="AA188">
        <f t="shared" si="16"/>
        <v>6.2920271781347257</v>
      </c>
    </row>
    <row r="189" spans="1:27" x14ac:dyDescent="0.3">
      <c r="A189" t="s">
        <v>246</v>
      </c>
      <c r="B189" t="s">
        <v>247</v>
      </c>
      <c r="C189" t="s">
        <v>73</v>
      </c>
      <c r="D189" t="s">
        <v>240</v>
      </c>
      <c r="E189">
        <v>76</v>
      </c>
      <c r="F189">
        <v>334</v>
      </c>
      <c r="G189" t="s">
        <v>164</v>
      </c>
      <c r="H189">
        <v>0.78</v>
      </c>
      <c r="I189">
        <f>inputs!$C$65*(inputs!$C$62/1000)</f>
        <v>0.82000000000000006</v>
      </c>
      <c r="J189">
        <f>inputs!$C$65*(inputs!$C$61/1000)</f>
        <v>0.25</v>
      </c>
      <c r="K189">
        <f t="shared" ref="K189:K252" si="20">((0.301*F189^0.751)/(1-H189))*I189/F189</f>
        <v>0.2639640583867392</v>
      </c>
      <c r="L189">
        <f>((0.301*F189^0.751)/(1-H189))*J189/F189</f>
        <v>8.0476847069127791E-2</v>
      </c>
      <c r="M189">
        <f>IF((((1.18*F189^0.874)/3.7-(0.301*F189^0.751)/(1-H189)*H189)*(MAX('Min rate concentrations'!$P$3:$P$368)))/F189&gt;0, (((1.18*F189^0.874)/3.7-(0.301*F189^0.751)/(1-H189)*H189)*(MAX('Min rate concentrations'!$P$3:$P$368)))/F189, 0)</f>
        <v>0</v>
      </c>
      <c r="N189">
        <f>IF((((1.18*F189^0.874)/3.7-(0.301*F189^0.751)/(1-H189)*H189)*(MAX('Min rate concentrations'!$Q$3:$Q$368)))/F189&gt;0, (((1.18*F189^0.874)/3.7-(0.301*F189^0.751)/(1-H189)*H189)*(MAX('Min rate concentrations'!$Q$3:$Q$368)))/F189, 0)</f>
        <v>0</v>
      </c>
      <c r="O189">
        <f>((MAX('Min rate concentrations'!$F$3:$F$368))*0.62*6.01*8*(10*F189^0.667)*0.079*0.1/F189)*inputs!$E$80/(10^(0.84+0.62*LOG10(inputs!$E$80)))</f>
        <v>3.5334146222857528</v>
      </c>
      <c r="P189">
        <f>((MAX('Min rate concentrations'!Y:Y))*0.62*6.01*8*(10*F189^0.667)*0.079*0.1/F189)*inputs!$E$80/(10^(0.84+0.62*LOG10(inputs!$E$80)))</f>
        <v>1.1778048740952511</v>
      </c>
      <c r="Q189">
        <f>(inputs!$C$7*11.2*(10*F189^0.667)*0.5/F189)*inputs!$E$80/(10^(0.84+0.62*LOG10(inputs!$E$80)))</f>
        <v>0.62239432008965578</v>
      </c>
      <c r="R189">
        <f>(60*284*((F189/1000)^0.77)*3*24*(MAX('Min rate concentrations'!$R$3:$R$368))/F189)*(inputs!$E$73*3.4/inputs!$E$75)</f>
        <v>6.0321734060342453E-3</v>
      </c>
      <c r="S189">
        <f>(IF(inputs!$C$6="aerial",((0.025*0.112*inputs!$C$7/3.3)*(3*60*284*((F189/1000)^0.77))*MAX(inputs!$H$14:$H$16))/F189,((0.0083*0.112*inputs!$C$7/1)*(3*60*284*((F189/1000)^0.77))*MAX(inputs!$H$14:$H$16))/F189))*(inputs!E$75*3.4/inputs!$E$73)</f>
        <v>3.3267806940813868E-2</v>
      </c>
      <c r="T189">
        <f>IF((((inputs!$P$12/(V189/MAX(K189:S189)))^(1/inputs!$O$12))-1)/inputs!$N$12&lt;0, 0, IF((((inputs!$P$12/(V189/MAX(K189:S189)))^(1/inputs!$O$12))-1)/inputs!$N$12&gt;inputs!$H$17, inputs!$H$17, (((inputs!$P$12/(V189/MAX(K189:S189)))^(1/inputs!$O$12))-1)/inputs!$N$12))</f>
        <v>183.13036221408444</v>
      </c>
      <c r="U189">
        <f>IF((((inputs!$P$12/(X189/MAX(K189:S189)))^(1/inputs!$O$12))-1)/inputs!$N$12&lt;0, 0, IF((((inputs!$P$12/(X189/MAX(K189:S189)))^(1/inputs!$O$12))-1)/inputs!$N$12&gt;inputs!$H$17, inputs!$H$17, (((inputs!$P$12/(X189/MAX(K189:S189)))^(1/inputs!$O$12))-1)/inputs!$N$12))</f>
        <v>0</v>
      </c>
      <c r="V189">
        <f>inputs!$E$78*(F189/inputs!$F$78)^(inputs!$E$84-1)</f>
        <v>1.2160947350059152E-2</v>
      </c>
      <c r="W189">
        <f>inputs!$E$85*(F189/inputs!$F$85)^(inputs!$E$84-1)</f>
        <v>0.56157014619463785</v>
      </c>
      <c r="X189">
        <f>inputs!$E$80*(F189/inputs!$F$80)^(inputs!$E$84-1)</f>
        <v>2.0970024446508626</v>
      </c>
      <c r="Y189">
        <f>inputs!$E$82*(F189/inputs!$F$82)^(inputs!$E$84-1)</f>
        <v>0.96647528939943783</v>
      </c>
      <c r="Z189">
        <f t="shared" si="15"/>
        <v>290.55422415495991</v>
      </c>
      <c r="AA189">
        <f t="shared" si="16"/>
        <v>6.2920271781347257</v>
      </c>
    </row>
    <row r="190" spans="1:27" x14ac:dyDescent="0.3">
      <c r="A190" t="s">
        <v>246</v>
      </c>
      <c r="B190" t="s">
        <v>247</v>
      </c>
      <c r="C190" t="s">
        <v>73</v>
      </c>
      <c r="D190" t="s">
        <v>240</v>
      </c>
      <c r="E190">
        <v>76</v>
      </c>
      <c r="F190">
        <v>334</v>
      </c>
      <c r="G190" t="s">
        <v>195</v>
      </c>
      <c r="H190">
        <v>0.82</v>
      </c>
      <c r="I190">
        <f>inputs!$C$65*(inputs!$C$62/1000)</f>
        <v>0.82000000000000006</v>
      </c>
      <c r="J190">
        <f>inputs!$C$65*(inputs!$C$61/1000)</f>
        <v>0.25</v>
      </c>
      <c r="K190">
        <f t="shared" si="20"/>
        <v>0.32262273802823666</v>
      </c>
      <c r="L190">
        <f>((0.301*F190^0.751)/(1-H190))*J190/F190</f>
        <v>9.8360590862267269E-2</v>
      </c>
      <c r="M190">
        <f>IF((((1.18*F190^0.874)/3.7-(0.301*F190^0.751)/(1-H190)*H190)*(MAX('Min rate concentrations'!$P$3:$P$368)))/F190&gt;0, (((1.18*F190^0.874)/3.7-(0.301*F190^0.751)/(1-H190)*H190)*(MAX('Min rate concentrations'!$P$3:$P$368)))/F190, 0)</f>
        <v>0</v>
      </c>
      <c r="N190">
        <f>IF((((1.18*F190^0.874)/3.7-(0.301*F190^0.751)/(1-H190)*H190)*(MAX('Min rate concentrations'!$Q$3:$Q$368)))/F190&gt;0, (((1.18*F190^0.874)/3.7-(0.301*F190^0.751)/(1-H190)*H190)*(MAX('Min rate concentrations'!$Q$3:$Q$368)))/F190, 0)</f>
        <v>0</v>
      </c>
      <c r="O190">
        <f>((MAX('Min rate concentrations'!$F$3:$F$368))*0.62*6.01*8*(10*F190^0.667)*0.079*0.1/F190)*inputs!$E$80/(10^(0.84+0.62*LOG10(inputs!$E$80)))</f>
        <v>3.5334146222857528</v>
      </c>
      <c r="P190">
        <f>((MAX('Min rate concentrations'!Y:Y))*0.62*6.01*8*(10*F190^0.667)*0.079*0.1/F190)*inputs!$E$80/(10^(0.84+0.62*LOG10(inputs!$E$80)))</f>
        <v>1.1778048740952511</v>
      </c>
      <c r="Q190">
        <f>(inputs!$C$7*11.2*(10*F190^0.667)*0.5/F190)*inputs!$E$80/(10^(0.84+0.62*LOG10(inputs!$E$80)))</f>
        <v>0.62239432008965578</v>
      </c>
      <c r="R190">
        <f>(60*284*((F190/1000)^0.77)*3*24*(MAX('Min rate concentrations'!$R$3:$R$368))/F190)*(inputs!$E$73*3.4/inputs!$E$75)</f>
        <v>6.0321734060342453E-3</v>
      </c>
      <c r="S190">
        <f>(IF(inputs!$C$6="aerial",((0.025*0.112*inputs!$C$7/3.3)*(3*60*284*((F190/1000)^0.77))*MAX(inputs!$H$14:$H$16))/F190,((0.0083*0.112*inputs!$C$7/1)*(3*60*284*((F190/1000)^0.77))*MAX(inputs!$H$14:$H$16))/F190))*(inputs!E$75*3.4/inputs!$E$73)</f>
        <v>3.3267806940813868E-2</v>
      </c>
      <c r="T190">
        <f>IF((((inputs!$P$12/(V190/MAX(K190:S190)))^(1/inputs!$O$12))-1)/inputs!$N$12&lt;0, 0, IF((((inputs!$P$12/(V190/MAX(K190:S190)))^(1/inputs!$O$12))-1)/inputs!$N$12&gt;inputs!$H$17, inputs!$H$17, (((inputs!$P$12/(V190/MAX(K190:S190)))^(1/inputs!$O$12))-1)/inputs!$N$12))</f>
        <v>183.13036221408444</v>
      </c>
      <c r="U190">
        <f>IF((((inputs!$P$12/(X190/MAX(K190:S190)))^(1/inputs!$O$12))-1)/inputs!$N$12&lt;0, 0, IF((((inputs!$P$12/(X190/MAX(K190:S190)))^(1/inputs!$O$12))-1)/inputs!$N$12&gt;inputs!$H$17, inputs!$H$17, (((inputs!$P$12/(X190/MAX(K190:S190)))^(1/inputs!$O$12))-1)/inputs!$N$12))</f>
        <v>0</v>
      </c>
      <c r="V190">
        <f>inputs!$E$78*(F190/inputs!$F$78)^(inputs!$E$84-1)</f>
        <v>1.2160947350059152E-2</v>
      </c>
      <c r="W190">
        <f>inputs!$E$85*(F190/inputs!$F$85)^(inputs!$E$84-1)</f>
        <v>0.56157014619463785</v>
      </c>
      <c r="X190">
        <f>inputs!$E$80*(F190/inputs!$F$80)^(inputs!$E$84-1)</f>
        <v>2.0970024446508626</v>
      </c>
      <c r="Y190">
        <f>inputs!$E$82*(F190/inputs!$F$82)^(inputs!$E$84-1)</f>
        <v>0.96647528939943783</v>
      </c>
      <c r="Z190">
        <f t="shared" si="15"/>
        <v>290.55422415495991</v>
      </c>
      <c r="AA190">
        <f t="shared" si="16"/>
        <v>6.2920271781347257</v>
      </c>
    </row>
    <row r="191" spans="1:27" x14ac:dyDescent="0.3">
      <c r="A191" t="s">
        <v>246</v>
      </c>
      <c r="B191" t="s">
        <v>247</v>
      </c>
      <c r="C191" t="s">
        <v>73</v>
      </c>
      <c r="D191" t="s">
        <v>240</v>
      </c>
      <c r="E191">
        <v>76</v>
      </c>
      <c r="F191">
        <v>334</v>
      </c>
      <c r="G191" t="s">
        <v>152</v>
      </c>
      <c r="H191">
        <v>0.77</v>
      </c>
      <c r="I191">
        <f>MAX('Min rate concentrations'!$G$3:$G$368)</f>
        <v>7.5</v>
      </c>
      <c r="J191">
        <f>MAX('Min rate concentrations'!Z:Z)</f>
        <v>3.5</v>
      </c>
      <c r="K191">
        <f t="shared" si="20"/>
        <v>2.3093356115488843</v>
      </c>
      <c r="L191">
        <f>((0.301*F191^0.751)/(1-H191))*J191/F191</f>
        <v>1.077689952056146</v>
      </c>
      <c r="M191">
        <f>IF((((1.18*F191^0.874)/3.7-(0.301*F191^0.751)/(1-H191)*H191)*(MAX('Min rate concentrations'!$P$3:$P$368)))/F191&gt;0, (((1.18*F191^0.874)/3.7-(0.301*F191^0.751)/(1-H191)*H191)*(MAX('Min rate concentrations'!$P$3:$P$368)))/F191, 0)</f>
        <v>0</v>
      </c>
      <c r="N191">
        <f>IF((((1.18*F191^0.874)/3.7-(0.301*F191^0.751)/(1-H191)*H191)*(MAX('Min rate concentrations'!$Q$3:$Q$368)))/F191&gt;0, (((1.18*F191^0.874)/3.7-(0.301*F191^0.751)/(1-H191)*H191)*(MAX('Min rate concentrations'!$Q$3:$Q$368)))/F191, 0)</f>
        <v>0</v>
      </c>
      <c r="O191">
        <f>((MAX('Min rate concentrations'!$F$3:$F$368))*0.62*6.01*8*(10*F191^0.667)*0.079*0.1/F191)*inputs!$E$80/(10^(0.84+0.62*LOG10(inputs!$E$80)))</f>
        <v>3.5334146222857528</v>
      </c>
      <c r="P191">
        <f>((MAX('Min rate concentrations'!Y:Y))*0.62*6.01*8*(10*F191^0.667)*0.079*0.1/F191)*inputs!$E$80/(10^(0.84+0.62*LOG10(inputs!$E$80)))</f>
        <v>1.1778048740952511</v>
      </c>
      <c r="Q191">
        <f>(inputs!$C$7*11.2*(10*F191^0.667)*0.5/F191)*inputs!$E$80/(10^(0.84+0.62*LOG10(inputs!$E$80)))</f>
        <v>0.62239432008965578</v>
      </c>
      <c r="R191">
        <f>(60*284*((F191/1000)^0.77)*3*24*(MAX('Min rate concentrations'!$R$3:$R$368))/F191)*(inputs!$E$73*3.4/inputs!$E$75)</f>
        <v>6.0321734060342453E-3</v>
      </c>
      <c r="S191">
        <f>(IF(inputs!$C$6="aerial",((0.025*0.112*inputs!$C$7/3.3)*(3*60*284*((F191/1000)^0.77))*MAX(inputs!$H$14:$H$16))/F191,((0.0083*0.112*inputs!$C$7/1)*(3*60*284*((F191/1000)^0.77))*MAX(inputs!$H$14:$H$16))/F191))*(inputs!E$75*3.4/inputs!$E$73)</f>
        <v>3.3267806940813868E-2</v>
      </c>
      <c r="T191">
        <f>IF((((inputs!$P$12/(V191/MAX(K191:S191)))^(1/inputs!$O$12))-1)/inputs!$N$12&lt;0, 0, IF((((inputs!$P$12/(V191/MAX(K191:S191)))^(1/inputs!$O$12))-1)/inputs!$N$12&gt;inputs!$H$17, inputs!$H$17, (((inputs!$P$12/(V191/MAX(K191:S191)))^(1/inputs!$O$12))-1)/inputs!$N$12))</f>
        <v>183.13036221408444</v>
      </c>
      <c r="U191">
        <f>IF((((inputs!$P$12/(X191/MAX(K191:S191)))^(1/inputs!$O$12))-1)/inputs!$N$12&lt;0, 0, IF((((inputs!$P$12/(X191/MAX(K191:S191)))^(1/inputs!$O$12))-1)/inputs!$N$12&gt;inputs!$H$17, inputs!$H$17, (((inputs!$P$12/(X191/MAX(K191:S191)))^(1/inputs!$O$12))-1)/inputs!$N$12))</f>
        <v>0</v>
      </c>
      <c r="V191">
        <f>inputs!$E$78*(F191/inputs!$F$78)^(inputs!$E$84-1)</f>
        <v>1.2160947350059152E-2</v>
      </c>
      <c r="W191">
        <f>inputs!$E$85*(F191/inputs!$F$85)^(inputs!$E$84-1)</f>
        <v>0.56157014619463785</v>
      </c>
      <c r="X191">
        <f>inputs!$E$80*(F191/inputs!$F$80)^(inputs!$E$84-1)</f>
        <v>2.0970024446508626</v>
      </c>
      <c r="Y191">
        <f>inputs!$E$82*(F191/inputs!$F$82)^(inputs!$E$84-1)</f>
        <v>0.96647528939943783</v>
      </c>
      <c r="Z191">
        <f t="shared" si="15"/>
        <v>290.55422415495991</v>
      </c>
      <c r="AA191">
        <f t="shared" si="16"/>
        <v>6.2920271781347257</v>
      </c>
    </row>
    <row r="192" spans="1:27" x14ac:dyDescent="0.3">
      <c r="A192" t="s">
        <v>246</v>
      </c>
      <c r="B192" t="s">
        <v>247</v>
      </c>
      <c r="C192" t="s">
        <v>73</v>
      </c>
      <c r="D192" t="s">
        <v>240</v>
      </c>
      <c r="E192">
        <v>76</v>
      </c>
      <c r="F192">
        <v>334</v>
      </c>
      <c r="G192" t="s">
        <v>169</v>
      </c>
      <c r="H192">
        <v>0.79</v>
      </c>
      <c r="I192">
        <f>MAX('Min rate concentrations'!$D$3:$D$368)</f>
        <v>120</v>
      </c>
      <c r="J192">
        <f>MAX('Min rate concentrations'!W:W)</f>
        <v>42.5</v>
      </c>
      <c r="K192">
        <f t="shared" si="20"/>
        <v>40.468357383332837</v>
      </c>
      <c r="L192">
        <f>((0.301*F192^0.751)/(1-H192))*J192/F192</f>
        <v>14.332543239930377</v>
      </c>
      <c r="M192">
        <f>IF((((1.18*F192^0.874)/3.7-(0.301*F192^0.751)/(1-H192)*H192)*(MAX('Min rate concentrations'!$P$3:$P$368)))/F192&gt;0, (((1.18*F192^0.874)/3.7-(0.301*F192^0.751)/(1-H192)*H192)*(MAX('Min rate concentrations'!$P$3:$P$368)))/F192, 0)</f>
        <v>0</v>
      </c>
      <c r="N192">
        <f>IF((((1.18*F192^0.874)/3.7-(0.301*F192^0.751)/(1-H192)*H192)*(MAX('Min rate concentrations'!$Q$3:$Q$368)))/F192&gt;0, (((1.18*F192^0.874)/3.7-(0.301*F192^0.751)/(1-H192)*H192)*(MAX('Min rate concentrations'!$Q$3:$Q$368)))/F192, 0)</f>
        <v>0</v>
      </c>
      <c r="O192">
        <f>((MAX('Min rate concentrations'!$F$3:$F$368))*0.62*6.01*8*(10*F192^0.667)*0.079*0.1/F192)*inputs!$E$80/(10^(0.84+0.62*LOG10(inputs!$E$80)))</f>
        <v>3.5334146222857528</v>
      </c>
      <c r="P192">
        <f>((MAX('Min rate concentrations'!Y:Y))*0.62*6.01*8*(10*F192^0.667)*0.079*0.1/F192)*inputs!$E$80/(10^(0.84+0.62*LOG10(inputs!$E$80)))</f>
        <v>1.1778048740952511</v>
      </c>
      <c r="Q192">
        <f>(inputs!$C$7*11.2*(10*F192^0.667)*0.5/F192)*inputs!$E$80/(10^(0.84+0.62*LOG10(inputs!$E$80)))</f>
        <v>0.62239432008965578</v>
      </c>
      <c r="R192">
        <f>(60*284*((F192/1000)^0.77)*3*24*(MAX('Min rate concentrations'!$R$3:$R$368))/F192)*(inputs!$E$73*3.4/inputs!$E$75)</f>
        <v>6.0321734060342453E-3</v>
      </c>
      <c r="S192">
        <f>(IF(inputs!$C$6="aerial",((0.025*0.112*inputs!$C$7/3.3)*(3*60*284*((F192/1000)^0.77))*MAX(inputs!$H$14:$H$16))/F192,((0.0083*0.112*inputs!$C$7/1)*(3*60*284*((F192/1000)^0.77))*MAX(inputs!$H$14:$H$16))/F192))*(inputs!E$75*3.4/inputs!$E$73)</f>
        <v>3.3267806940813868E-2</v>
      </c>
      <c r="T192">
        <f>IF((((inputs!$P$12/(V192/MAX(K192:S192)))^(1/inputs!$O$12))-1)/inputs!$N$12&lt;0, 0, IF((((inputs!$P$12/(V192/MAX(K192:S192)))^(1/inputs!$O$12))-1)/inputs!$N$12&gt;inputs!$H$17, inputs!$H$17, (((inputs!$P$12/(V192/MAX(K192:S192)))^(1/inputs!$O$12))-1)/inputs!$N$12))</f>
        <v>542.01346336066513</v>
      </c>
      <c r="U192">
        <f>IF((((inputs!$P$12/(X192/MAX(K192:S192)))^(1/inputs!$O$12))-1)/inputs!$N$12&lt;0, 0, IF((((inputs!$P$12/(X192/MAX(K192:S192)))^(1/inputs!$O$12))-1)/inputs!$N$12&gt;inputs!$H$17, inputs!$H$17, (((inputs!$P$12/(X192/MAX(K192:S192)))^(1/inputs!$O$12))-1)/inputs!$N$12))</f>
        <v>41.742899298424511</v>
      </c>
      <c r="V192">
        <f>inputs!$E$78*(F192/inputs!$F$78)^(inputs!$E$84-1)</f>
        <v>1.2160947350059152E-2</v>
      </c>
      <c r="W192">
        <f>inputs!$E$85*(F192/inputs!$F$85)^(inputs!$E$84-1)</f>
        <v>0.56157014619463785</v>
      </c>
      <c r="X192">
        <f>inputs!$E$80*(F192/inputs!$F$80)^(inputs!$E$84-1)</f>
        <v>2.0970024446508626</v>
      </c>
      <c r="Y192">
        <f>inputs!$E$82*(F192/inputs!$F$82)^(inputs!$E$84-1)</f>
        <v>0.96647528939943783</v>
      </c>
      <c r="Z192">
        <f t="shared" si="15"/>
        <v>3327.7306626227596</v>
      </c>
      <c r="AA192">
        <f t="shared" si="16"/>
        <v>72.062871677844981</v>
      </c>
    </row>
    <row r="193" spans="1:27" x14ac:dyDescent="0.3">
      <c r="A193" t="s">
        <v>246</v>
      </c>
      <c r="B193" t="s">
        <v>247</v>
      </c>
      <c r="C193" t="s">
        <v>73</v>
      </c>
      <c r="D193" t="s">
        <v>240</v>
      </c>
      <c r="E193">
        <v>76</v>
      </c>
      <c r="F193">
        <v>334</v>
      </c>
      <c r="G193" t="s">
        <v>158</v>
      </c>
      <c r="H193">
        <v>0.85</v>
      </c>
      <c r="I193">
        <f>MAX('Min rate concentrations'!$F$3:$F$368)</f>
        <v>67.5</v>
      </c>
      <c r="J193">
        <f>MAX('Min rate concentrations'!Y:Y)</f>
        <v>22.5</v>
      </c>
      <c r="K193">
        <f t="shared" si="20"/>
        <v>31.868831439374592</v>
      </c>
      <c r="L193">
        <f>((0.301*F193^0.751)/(1-H193))*J193/F193</f>
        <v>10.622943813124865</v>
      </c>
      <c r="M193">
        <f>IF((((1.18*F193^0.874)/3.7-(0.301*F193^0.751)/(1-H193)*H193)*(MAX('Min rate concentrations'!$P$3:$P$368)))/F193&gt;0, (((1.18*F193^0.874)/3.7-(0.301*F193^0.751)/(1-H193)*H193)*(MAX('Min rate concentrations'!$P$3:$P$368)))/F193, 0)</f>
        <v>0</v>
      </c>
      <c r="N193">
        <f>IF((((1.18*F193^0.874)/3.7-(0.301*F193^0.751)/(1-H193)*H193)*(MAX('Min rate concentrations'!$Q$3:$Q$368)))/F193&gt;0, (((1.18*F193^0.874)/3.7-(0.301*F193^0.751)/(1-H193)*H193)*(MAX('Min rate concentrations'!$Q$3:$Q$368)))/F193, 0)</f>
        <v>0</v>
      </c>
      <c r="O193">
        <f>((MAX('Min rate concentrations'!$F$3:$F$368))*0.62*6.01*8*(10*F193^0.667)*0.079*0.1/F193)*inputs!$E$80/(10^(0.84+0.62*LOG10(inputs!$E$80)))</f>
        <v>3.5334146222857528</v>
      </c>
      <c r="P193">
        <f>((MAX('Min rate concentrations'!Y:Y))*0.62*6.01*8*(10*F193^0.667)*0.079*0.1/F193)*inputs!$E$80/(10^(0.84+0.62*LOG10(inputs!$E$80)))</f>
        <v>1.1778048740952511</v>
      </c>
      <c r="Q193">
        <f>(inputs!$C$7*11.2*(10*F193^0.667)*0.5/F193)*inputs!$E$80/(10^(0.84+0.62*LOG10(inputs!$E$80)))</f>
        <v>0.62239432008965578</v>
      </c>
      <c r="R193">
        <f>(60*284*((F193/1000)^0.77)*3*24*(MAX('Min rate concentrations'!$R$3:$R$368))/F193)*(inputs!$E$73*3.4/inputs!$E$75)</f>
        <v>6.0321734060342453E-3</v>
      </c>
      <c r="S193">
        <f>(IF(inputs!$C$6="aerial",((0.025*0.112*inputs!$C$7/3.3)*(3*60*284*((F193/1000)^0.77))*MAX(inputs!$H$14:$H$16))/F193,((0.0083*0.112*inputs!$C$7/1)*(3*60*284*((F193/1000)^0.77))*MAX(inputs!$H$14:$H$16))/F193))*(inputs!E$75*3.4/inputs!$E$73)</f>
        <v>3.3267806940813868E-2</v>
      </c>
      <c r="T193">
        <f>IF((((inputs!$P$12/(V193/MAX(K193:S193)))^(1/inputs!$O$12))-1)/inputs!$N$12&lt;0, 0, IF((((inputs!$P$12/(V193/MAX(K193:S193)))^(1/inputs!$O$12))-1)/inputs!$N$12&gt;inputs!$H$17, inputs!$H$17, (((inputs!$P$12/(V193/MAX(K193:S193)))^(1/inputs!$O$12))-1)/inputs!$N$12))</f>
        <v>489.18798868061657</v>
      </c>
      <c r="U193">
        <f>IF((((inputs!$P$12/(X193/MAX(K193:S193)))^(1/inputs!$O$12))-1)/inputs!$N$12&lt;0, 0, IF((((inputs!$P$12/(X193/MAX(K193:S193)))^(1/inputs!$O$12))-1)/inputs!$N$12&gt;inputs!$H$17, inputs!$H$17, (((inputs!$P$12/(X193/MAX(K193:S193)))^(1/inputs!$O$12))-1)/inputs!$N$12))</f>
        <v>35.239717807704416</v>
      </c>
      <c r="V193">
        <f>inputs!$E$78*(F193/inputs!$F$78)^(inputs!$E$84-1)</f>
        <v>1.2160947350059152E-2</v>
      </c>
      <c r="W193">
        <f>inputs!$E$85*(F193/inputs!$F$85)^(inputs!$E$84-1)</f>
        <v>0.56157014619463785</v>
      </c>
      <c r="X193">
        <f>inputs!$E$80*(F193/inputs!$F$80)^(inputs!$E$84-1)</f>
        <v>2.0970024446508626</v>
      </c>
      <c r="Y193">
        <f>inputs!$E$82*(F193/inputs!$F$82)^(inputs!$E$84-1)</f>
        <v>0.96647528939943783</v>
      </c>
      <c r="Z193">
        <f t="shared" si="15"/>
        <v>2620.587896815422</v>
      </c>
      <c r="AA193">
        <f t="shared" si="16"/>
        <v>56.749511446302897</v>
      </c>
    </row>
    <row r="194" spans="1:27" x14ac:dyDescent="0.3">
      <c r="A194" t="s">
        <v>246</v>
      </c>
      <c r="B194" t="s">
        <v>247</v>
      </c>
      <c r="C194" t="s">
        <v>73</v>
      </c>
      <c r="D194" t="s">
        <v>240</v>
      </c>
      <c r="E194">
        <v>76</v>
      </c>
      <c r="F194">
        <v>334</v>
      </c>
      <c r="G194" t="s">
        <v>154</v>
      </c>
      <c r="H194">
        <v>9.2999999999999999E-2</v>
      </c>
      <c r="I194">
        <f>MAX('Min rate concentrations'!$G$3:$G$368)</f>
        <v>7.5</v>
      </c>
      <c r="J194">
        <f>MAX('Min rate concentrations'!Z:Z)</f>
        <v>3.5</v>
      </c>
      <c r="K194">
        <f t="shared" si="20"/>
        <v>0.58560880998483278</v>
      </c>
      <c r="M194">
        <f>IF((((1.18*F194^0.874)/3.7-(0.301*F194^0.751)/(1-H194)*H194)*(MAX('Min rate concentrations'!$P$3:$P$368)))/F194&gt;0, (((1.18*F194^0.874)/3.7-(0.301*F194^0.751)/(1-H194)*H194)*(MAX('Min rate concentrations'!$P$3:$P$368)))/F194, 0)</f>
        <v>2.1204678945656048E-2</v>
      </c>
      <c r="N194">
        <f>IF((((1.18*F194^0.874)/3.7-(0.301*F194^0.751)/(1-H194)*H194)*(MAX('Min rate concentrations'!$Q$3:$Q$368)))/F194&gt;0, (((1.18*F194^0.874)/3.7-(0.301*F194^0.751)/(1-H194)*H194)*(MAX('Min rate concentrations'!$Q$3:$Q$368)))/F194, 0)</f>
        <v>8.0748556788190567E-2</v>
      </c>
      <c r="O194">
        <f>((MAX('Min rate concentrations'!$F$3:$F$368))*0.62*6.01*8*(10*F194^0.667)*0.079*0.1/F194)*inputs!$E$80/(10^(0.84+0.62*LOG10(inputs!$E$80)))</f>
        <v>3.5334146222857528</v>
      </c>
      <c r="P194">
        <f>((MAX('Min rate concentrations'!Y:Y))*0.62*6.01*8*(10*F194^0.667)*0.079*0.1/F194)*inputs!$E$80/(10^(0.84+0.62*LOG10(inputs!$E$80)))</f>
        <v>1.1778048740952511</v>
      </c>
      <c r="Q194">
        <f>(inputs!$C$7*11.2*(10*F194^0.667)*0.5/F194)*inputs!$E$80/(10^(0.84+0.62*LOG10(inputs!$E$80)))</f>
        <v>0.62239432008965578</v>
      </c>
      <c r="R194">
        <f>(60*284*((F194/1000)^0.77)*3*24*(MAX('Min rate concentrations'!$R$3:$R$368))/F194)*(inputs!$E$73*3.4/inputs!$E$75)</f>
        <v>6.0321734060342453E-3</v>
      </c>
      <c r="S194">
        <f>(IF(inputs!$C$6="aerial",((0.025*0.112*inputs!$C$7/3.3)*(3*60*284*((F194/1000)^0.77))*MAX(inputs!$H$14:$H$16))/F194,((0.0083*0.112*inputs!$C$7/1)*(3*60*284*((F194/1000)^0.77))*MAX(inputs!$H$14:$H$16))/F194))*(inputs!E$75*3.4/inputs!$E$73)</f>
        <v>3.3267806940813868E-2</v>
      </c>
      <c r="T194">
        <f>IF((((inputs!$P$12/(V194/MAX(K194:S194)))^(1/inputs!$O$12))-1)/inputs!$N$12&lt;0, 0, IF((((inputs!$P$12/(V194/MAX(K194:S194)))^(1/inputs!$O$12))-1)/inputs!$N$12&gt;inputs!$H$17, inputs!$H$17, (((inputs!$P$12/(V194/MAX(K194:S194)))^(1/inputs!$O$12))-1)/inputs!$N$12))</f>
        <v>183.13036221408444</v>
      </c>
      <c r="U194">
        <f>IF((((inputs!$P$12/(X194/MAX(K194:S194)))^(1/inputs!$O$12))-1)/inputs!$N$12&lt;0, 0, IF((((inputs!$P$12/(X194/MAX(K194:S194)))^(1/inputs!$O$12))-1)/inputs!$N$12&gt;inputs!$H$17, inputs!$H$17, (((inputs!$P$12/(X194/MAX(K194:S194)))^(1/inputs!$O$12))-1)/inputs!$N$12))</f>
        <v>0</v>
      </c>
      <c r="V194">
        <f>inputs!$E$78*(F194/inputs!$F$78)^(inputs!$E$84-1)</f>
        <v>1.2160947350059152E-2</v>
      </c>
      <c r="W194">
        <f>inputs!$E$85*(F194/inputs!$F$85)^(inputs!$E$84-1)</f>
        <v>0.56157014619463785</v>
      </c>
      <c r="X194">
        <f>inputs!$E$80*(F194/inputs!$F$80)^(inputs!$E$84-1)</f>
        <v>2.0970024446508626</v>
      </c>
      <c r="Y194">
        <f>inputs!$E$82*(F194/inputs!$F$82)^(inputs!$E$84-1)</f>
        <v>0.96647528939943783</v>
      </c>
      <c r="Z194">
        <f t="shared" ref="Z194:Z257" si="21">MAX(K194:S194)/V194</f>
        <v>290.55422415495991</v>
      </c>
      <c r="AA194">
        <f t="shared" ref="AA194:AA257" si="22">MAX(K194:S194)/W194</f>
        <v>6.2920271781347257</v>
      </c>
    </row>
    <row r="195" spans="1:27" x14ac:dyDescent="0.3">
      <c r="A195" t="s">
        <v>238</v>
      </c>
      <c r="B195" t="s">
        <v>239</v>
      </c>
      <c r="C195" t="s">
        <v>73</v>
      </c>
      <c r="D195" t="s">
        <v>240</v>
      </c>
      <c r="E195">
        <v>108</v>
      </c>
      <c r="F195">
        <v>427</v>
      </c>
      <c r="G195" t="s">
        <v>241</v>
      </c>
      <c r="H195">
        <v>0.8</v>
      </c>
      <c r="I195">
        <f>inputs!$C$65*inputs!$C$60/1000</f>
        <v>2.8</v>
      </c>
      <c r="J195">
        <f>inputs!$C$65*inputs!$C$59/1000</f>
        <v>2.8</v>
      </c>
      <c r="K195">
        <f t="shared" si="20"/>
        <v>0.93264848778352294</v>
      </c>
      <c r="L195">
        <f t="shared" ref="L195:L213" si="23">((0.301*F195^0.751)/(1-H195))*J195/F195</f>
        <v>0.93264848778352294</v>
      </c>
      <c r="M195">
        <f>IF((((1.18*F195^0.874)/3.7-(0.301*F195^0.751)/(1-H195)*H195)*(MAX('Min rate concentrations'!$P$3:$P$368)))/F195&gt;0, (((1.18*F195^0.874)/3.7-(0.301*F195^0.751)/(1-H195)*H195)*(MAX('Min rate concentrations'!$P$3:$P$368)))/F195, 0)</f>
        <v>0</v>
      </c>
      <c r="N195">
        <f>IF((((1.18*F195^0.874)/3.7-(0.301*F195^0.751)/(1-H195)*H195)*(MAX('Min rate concentrations'!$Q$3:$Q$368)))/F195&gt;0, (((1.18*F195^0.874)/3.7-(0.301*F195^0.751)/(1-H195)*H195)*(MAX('Min rate concentrations'!$Q$3:$Q$368)))/F195, 0)</f>
        <v>0</v>
      </c>
      <c r="O195">
        <f>((MAX('Min rate concentrations'!$F$3:$F$368))*0.62*6.01*8*(10*F195^0.667)*0.079*0.1/F195)*inputs!$E$80/(10^(0.84+0.62*LOG10(inputs!$E$80)))</f>
        <v>3.2558897687108388</v>
      </c>
      <c r="P195">
        <f>((MAX('Min rate concentrations'!Y:Y))*0.62*6.01*8*(10*F195^0.667)*0.079*0.1/F195)*inputs!$E$80/(10^(0.84+0.62*LOG10(inputs!$E$80)))</f>
        <v>1.0852965895702797</v>
      </c>
      <c r="Q195">
        <f>(inputs!$C$7*11.2*(10*F195^0.667)*0.5/F195)*inputs!$E$80/(10^(0.84+0.62*LOG10(inputs!$E$80)))</f>
        <v>0.57350962610007761</v>
      </c>
      <c r="R195">
        <f>(60*284*((F195/1000)^0.77)*3*24*(MAX('Min rate concentrations'!$R$3:$R$368))/F195)*(inputs!$E$73*3.4/inputs!$E$75)</f>
        <v>5.7008169168628825E-3</v>
      </c>
      <c r="S195">
        <f>(IF(inputs!$C$6="aerial",((0.025*0.112*inputs!$C$7/3.3)*(3*60*284*((F195/1000)^0.77))*MAX(inputs!$H$14:$H$16))/F195,((0.0083*0.112*inputs!$C$7/1)*(3*60*284*((F195/1000)^0.77))*MAX(inputs!$H$14:$H$16))/F195))*(inputs!E$75*3.4/inputs!$E$73)</f>
        <v>3.1440355545051354E-2</v>
      </c>
      <c r="T195">
        <f>IF((((inputs!$P$12/(V195/MAX(K195:S195)))^(1/inputs!$O$12))-1)/inputs!$N$12&lt;0, 0, IF((((inputs!$P$12/(V195/MAX(K195:S195)))^(1/inputs!$O$12))-1)/inputs!$N$12&gt;inputs!$H$17, inputs!$H$17, (((inputs!$P$12/(V195/MAX(K195:S195)))^(1/inputs!$O$12))-1)/inputs!$N$12))</f>
        <v>183.9141144091675</v>
      </c>
      <c r="U195">
        <f>IF((((inputs!$P$12/(X195/MAX(K195:S195)))^(1/inputs!$O$12))-1)/inputs!$N$12&lt;0, 0, IF((((inputs!$P$12/(X195/MAX(K195:S195)))^(1/inputs!$O$12))-1)/inputs!$N$12&gt;inputs!$H$17, inputs!$H$17, (((inputs!$P$12/(X195/MAX(K195:S195)))^(1/inputs!$O$12))-1)/inputs!$N$12))</f>
        <v>0</v>
      </c>
      <c r="V195">
        <f>inputs!$E$78*(F195/inputs!$F$78)^(inputs!$E$84-1)</f>
        <v>1.1104404851702795E-2</v>
      </c>
      <c r="W195">
        <f>inputs!$E$85*(F195/inputs!$F$85)^(inputs!$E$84-1)</f>
        <v>0.51278095994263584</v>
      </c>
      <c r="X195">
        <f>inputs!$E$80*(F195/inputs!$F$80)^(inputs!$E$84-1)</f>
        <v>1.9148149770009817</v>
      </c>
      <c r="Y195">
        <f>inputs!$E$82*(F195/inputs!$F$82)^(inputs!$E$84-1)</f>
        <v>0.88250796453006419</v>
      </c>
      <c r="Z195">
        <f t="shared" si="21"/>
        <v>293.20704821128413</v>
      </c>
      <c r="AA195">
        <f t="shared" si="22"/>
        <v>6.3494747719866025</v>
      </c>
    </row>
    <row r="196" spans="1:27" x14ac:dyDescent="0.3">
      <c r="A196" t="s">
        <v>238</v>
      </c>
      <c r="B196" t="s">
        <v>239</v>
      </c>
      <c r="C196" t="s">
        <v>73</v>
      </c>
      <c r="D196" t="s">
        <v>240</v>
      </c>
      <c r="E196">
        <v>108</v>
      </c>
      <c r="F196">
        <v>427</v>
      </c>
      <c r="G196" t="s">
        <v>142</v>
      </c>
      <c r="H196">
        <v>0.69</v>
      </c>
      <c r="I196">
        <f>MAX('Min rate concentrations'!$H$3:$H$368)</f>
        <v>47</v>
      </c>
      <c r="J196">
        <f>MAX('Min rate concentrations'!AA:AA)</f>
        <v>32.5</v>
      </c>
      <c r="K196">
        <f t="shared" si="20"/>
        <v>10.100110351572711</v>
      </c>
      <c r="L196">
        <f t="shared" si="23"/>
        <v>6.9841188601300654</v>
      </c>
      <c r="M196">
        <f>IF((((1.18*F196^0.874)/3.7-(0.301*F196^0.751)/(1-H196)*H196)*(MAX('Min rate concentrations'!$P$3:$P$368)))/F196&gt;0, (((1.18*F196^0.874)/3.7-(0.301*F196^0.751)/(1-H196)*H196)*(MAX('Min rate concentrations'!$P$3:$P$368)))/F196, 0)</f>
        <v>5.8011024734473995E-5</v>
      </c>
      <c r="N196">
        <f>IF((((1.18*F196^0.874)/3.7-(0.301*F196^0.751)/(1-H196)*H196)*(MAX('Min rate concentrations'!$Q$3:$Q$368)))/F196&gt;0, (((1.18*F196^0.874)/3.7-(0.301*F196^0.751)/(1-H196)*H196)*(MAX('Min rate concentrations'!$Q$3:$Q$368)))/F196, 0)</f>
        <v>2.2090909921899192E-4</v>
      </c>
      <c r="O196">
        <f>((MAX('Min rate concentrations'!$F$3:$F$368))*0.62*6.01*8*(10*F196^0.667)*0.079*0.1/F196)*inputs!$E$80/(10^(0.84+0.62*LOG10(inputs!$E$80)))</f>
        <v>3.2558897687108388</v>
      </c>
      <c r="P196">
        <f>((MAX('Min rate concentrations'!Y:Y))*0.62*6.01*8*(10*F196^0.667)*0.079*0.1/F196)*inputs!$E$80/(10^(0.84+0.62*LOG10(inputs!$E$80)))</f>
        <v>1.0852965895702797</v>
      </c>
      <c r="Q196">
        <f>(inputs!$C$7*11.2*(10*F196^0.667)*0.5/F196)*inputs!$E$80/(10^(0.84+0.62*LOG10(inputs!$E$80)))</f>
        <v>0.57350962610007761</v>
      </c>
      <c r="R196">
        <f>(60*284*((F196/1000)^0.77)*3*24*(MAX('Min rate concentrations'!$R$3:$R$368))/F196)*(inputs!$E$73*3.4/inputs!$E$75)</f>
        <v>5.7008169168628825E-3</v>
      </c>
      <c r="S196">
        <f>(IF(inputs!$C$6="aerial",((0.025*0.112*inputs!$C$7/3.3)*(3*60*284*((F196/1000)^0.77))*MAX(inputs!$H$14:$H$16))/F196,((0.0083*0.112*inputs!$C$7/1)*(3*60*284*((F196/1000)^0.77))*MAX(inputs!$H$14:$H$16))/F196))*(inputs!E$75*3.4/inputs!$E$73)</f>
        <v>3.1440355545051354E-2</v>
      </c>
      <c r="T196">
        <f>IF((((inputs!$P$12/(V196/MAX(K196:S196)))^(1/inputs!$O$12))-1)/inputs!$N$12&lt;0, 0, IF((((inputs!$P$12/(V196/MAX(K196:S196)))^(1/inputs!$O$12))-1)/inputs!$N$12&gt;inputs!$H$17, inputs!$H$17, (((inputs!$P$12/(V196/MAX(K196:S196)))^(1/inputs!$O$12))-1)/inputs!$N$12))</f>
        <v>308.12780882615135</v>
      </c>
      <c r="U196">
        <f>IF((((inputs!$P$12/(X196/MAX(K196:S196)))^(1/inputs!$O$12))-1)/inputs!$N$12&lt;0, 0, IF((((inputs!$P$12/(X196/MAX(K196:S196)))^(1/inputs!$O$12))-1)/inputs!$N$12&gt;inputs!$H$17, inputs!$H$17, (((inputs!$P$12/(X196/MAX(K196:S196)))^(1/inputs!$O$12))-1)/inputs!$N$12))</f>
        <v>12.949956712936284</v>
      </c>
      <c r="V196">
        <f>inputs!$E$78*(F196/inputs!$F$78)^(inputs!$E$84-1)</f>
        <v>1.1104404851702795E-2</v>
      </c>
      <c r="W196">
        <f>inputs!$E$85*(F196/inputs!$F$85)^(inputs!$E$84-1)</f>
        <v>0.51278095994263584</v>
      </c>
      <c r="X196">
        <f>inputs!$E$80*(F196/inputs!$F$80)^(inputs!$E$84-1)</f>
        <v>1.9148149770009817</v>
      </c>
      <c r="Y196">
        <f>inputs!$E$82*(F196/inputs!$F$82)^(inputs!$E$84-1)</f>
        <v>0.88250796453006419</v>
      </c>
      <c r="Z196">
        <f t="shared" si="21"/>
        <v>909.55890806015771</v>
      </c>
      <c r="AA196">
        <f t="shared" si="22"/>
        <v>19.69673435749759</v>
      </c>
    </row>
    <row r="197" spans="1:27" x14ac:dyDescent="0.3">
      <c r="A197" t="s">
        <v>238</v>
      </c>
      <c r="B197" t="s">
        <v>239</v>
      </c>
      <c r="C197" t="s">
        <v>73</v>
      </c>
      <c r="D197" t="s">
        <v>240</v>
      </c>
      <c r="E197">
        <v>108</v>
      </c>
      <c r="F197">
        <v>427</v>
      </c>
      <c r="G197" t="s">
        <v>164</v>
      </c>
      <c r="H197">
        <v>0.78</v>
      </c>
      <c r="I197">
        <f>inputs!$C$65*(inputs!$C$62/1000)</f>
        <v>0.82000000000000006</v>
      </c>
      <c r="J197">
        <f>inputs!$C$65*(inputs!$C$61/1000)</f>
        <v>0.25</v>
      </c>
      <c r="K197">
        <f t="shared" si="20"/>
        <v>0.24830251947483406</v>
      </c>
      <c r="L197">
        <f t="shared" si="23"/>
        <v>7.5701987644766475E-2</v>
      </c>
      <c r="M197">
        <f>IF((((1.18*F197^0.874)/3.7-(0.301*F197^0.751)/(1-H197)*H197)*(MAX('Min rate concentrations'!$P$3:$P$368)))/F197&gt;0, (((1.18*F197^0.874)/3.7-(0.301*F197^0.751)/(1-H197)*H197)*(MAX('Min rate concentrations'!$P$3:$P$368)))/F197, 0)</f>
        <v>0</v>
      </c>
      <c r="N197">
        <f>IF((((1.18*F197^0.874)/3.7-(0.301*F197^0.751)/(1-H197)*H197)*(MAX('Min rate concentrations'!$Q$3:$Q$368)))/F197&gt;0, (((1.18*F197^0.874)/3.7-(0.301*F197^0.751)/(1-H197)*H197)*(MAX('Min rate concentrations'!$Q$3:$Q$368)))/F197, 0)</f>
        <v>0</v>
      </c>
      <c r="O197">
        <f>((MAX('Min rate concentrations'!$F$3:$F$368))*0.62*6.01*8*(10*F197^0.667)*0.079*0.1/F197)*inputs!$E$80/(10^(0.84+0.62*LOG10(inputs!$E$80)))</f>
        <v>3.2558897687108388</v>
      </c>
      <c r="P197">
        <f>((MAX('Min rate concentrations'!Y:Y))*0.62*6.01*8*(10*F197^0.667)*0.079*0.1/F197)*inputs!$E$80/(10^(0.84+0.62*LOG10(inputs!$E$80)))</f>
        <v>1.0852965895702797</v>
      </c>
      <c r="Q197">
        <f>(inputs!$C$7*11.2*(10*F197^0.667)*0.5/F197)*inputs!$E$80/(10^(0.84+0.62*LOG10(inputs!$E$80)))</f>
        <v>0.57350962610007761</v>
      </c>
      <c r="R197">
        <f>(60*284*((F197/1000)^0.77)*3*24*(MAX('Min rate concentrations'!$R$3:$R$368))/F197)*(inputs!$E$73*3.4/inputs!$E$75)</f>
        <v>5.7008169168628825E-3</v>
      </c>
      <c r="S197">
        <f>(IF(inputs!$C$6="aerial",((0.025*0.112*inputs!$C$7/3.3)*(3*60*284*((F197/1000)^0.77))*MAX(inputs!$H$14:$H$16))/F197,((0.0083*0.112*inputs!$C$7/1)*(3*60*284*((F197/1000)^0.77))*MAX(inputs!$H$14:$H$16))/F197))*(inputs!E$75*3.4/inputs!$E$73)</f>
        <v>3.1440355545051354E-2</v>
      </c>
      <c r="T197">
        <f>IF((((inputs!$P$12/(V197/MAX(K197:S197)))^(1/inputs!$O$12))-1)/inputs!$N$12&lt;0, 0, IF((((inputs!$P$12/(V197/MAX(K197:S197)))^(1/inputs!$O$12))-1)/inputs!$N$12&gt;inputs!$H$17, inputs!$H$17, (((inputs!$P$12/(V197/MAX(K197:S197)))^(1/inputs!$O$12))-1)/inputs!$N$12))</f>
        <v>183.9141144091675</v>
      </c>
      <c r="U197">
        <f>IF((((inputs!$P$12/(X197/MAX(K197:S197)))^(1/inputs!$O$12))-1)/inputs!$N$12&lt;0, 0, IF((((inputs!$P$12/(X197/MAX(K197:S197)))^(1/inputs!$O$12))-1)/inputs!$N$12&gt;inputs!$H$17, inputs!$H$17, (((inputs!$P$12/(X197/MAX(K197:S197)))^(1/inputs!$O$12))-1)/inputs!$N$12))</f>
        <v>0</v>
      </c>
      <c r="V197">
        <f>inputs!$E$78*(F197/inputs!$F$78)^(inputs!$E$84-1)</f>
        <v>1.1104404851702795E-2</v>
      </c>
      <c r="W197">
        <f>inputs!$E$85*(F197/inputs!$F$85)^(inputs!$E$84-1)</f>
        <v>0.51278095994263584</v>
      </c>
      <c r="X197">
        <f>inputs!$E$80*(F197/inputs!$F$80)^(inputs!$E$84-1)</f>
        <v>1.9148149770009817</v>
      </c>
      <c r="Y197">
        <f>inputs!$E$82*(F197/inputs!$F$82)^(inputs!$E$84-1)</f>
        <v>0.88250796453006419</v>
      </c>
      <c r="Z197">
        <f t="shared" si="21"/>
        <v>293.20704821128413</v>
      </c>
      <c r="AA197">
        <f t="shared" si="22"/>
        <v>6.3494747719866025</v>
      </c>
    </row>
    <row r="198" spans="1:27" x14ac:dyDescent="0.3">
      <c r="A198" t="s">
        <v>238</v>
      </c>
      <c r="B198" t="s">
        <v>239</v>
      </c>
      <c r="C198" t="s">
        <v>73</v>
      </c>
      <c r="D198" t="s">
        <v>240</v>
      </c>
      <c r="E198">
        <v>108</v>
      </c>
      <c r="F198">
        <v>427</v>
      </c>
      <c r="G198" t="s">
        <v>186</v>
      </c>
      <c r="H198">
        <v>0.75</v>
      </c>
      <c r="I198">
        <f>inputs!$C$65*inputs!$C$64/1000</f>
        <v>2.13</v>
      </c>
      <c r="J198">
        <f>inputs!$C$65*inputs!$C$63/1000</f>
        <v>0.88</v>
      </c>
      <c r="K198">
        <f t="shared" si="20"/>
        <v>0.56758322256540095</v>
      </c>
      <c r="L198">
        <f t="shared" si="23"/>
        <v>0.23449447692842859</v>
      </c>
      <c r="M198">
        <f>IF((((1.18*F198^0.874)/3.7-(0.301*F198^0.751)/(1-H198)*H198)*(MAX('Min rate concentrations'!$P$3:$P$368)))/F198&gt;0, (((1.18*F198^0.874)/3.7-(0.301*F198^0.751)/(1-H198)*H198)*(MAX('Min rate concentrations'!$P$3:$P$368)))/F198, 0)</f>
        <v>0</v>
      </c>
      <c r="N198">
        <f>IF((((1.18*F198^0.874)/3.7-(0.301*F198^0.751)/(1-H198)*H198)*(MAX('Min rate concentrations'!$Q$3:$Q$368)))/F198&gt;0, (((1.18*F198^0.874)/3.7-(0.301*F198^0.751)/(1-H198)*H198)*(MAX('Min rate concentrations'!$Q$3:$Q$368)))/F198, 0)</f>
        <v>0</v>
      </c>
      <c r="O198">
        <f>((MAX('Min rate concentrations'!$F$3:$F$368))*0.62*6.01*8*(10*F198^0.667)*0.079*0.1/F198)*inputs!$E$80/(10^(0.84+0.62*LOG10(inputs!$E$80)))</f>
        <v>3.2558897687108388</v>
      </c>
      <c r="P198">
        <f>((MAX('Min rate concentrations'!Y:Y))*0.62*6.01*8*(10*F198^0.667)*0.079*0.1/F198)*inputs!$E$80/(10^(0.84+0.62*LOG10(inputs!$E$80)))</f>
        <v>1.0852965895702797</v>
      </c>
      <c r="Q198">
        <f>(inputs!$C$7*11.2*(10*F198^0.667)*0.5/F198)*inputs!$E$80/(10^(0.84+0.62*LOG10(inputs!$E$80)))</f>
        <v>0.57350962610007761</v>
      </c>
      <c r="R198">
        <f>(60*284*((F198/1000)^0.77)*3*24*(MAX('Min rate concentrations'!$R$3:$R$368))/F198)*(inputs!$E$73*3.4/inputs!$E$75)</f>
        <v>5.7008169168628825E-3</v>
      </c>
      <c r="S198">
        <f>(IF(inputs!$C$6="aerial",((0.025*0.112*inputs!$C$7/3.3)*(3*60*284*((F198/1000)^0.77))*MAX(inputs!$H$14:$H$16))/F198,((0.0083*0.112*inputs!$C$7/1)*(3*60*284*((F198/1000)^0.77))*MAX(inputs!$H$14:$H$16))/F198))*(inputs!E$75*3.4/inputs!$E$73)</f>
        <v>3.1440355545051354E-2</v>
      </c>
      <c r="T198">
        <f>IF((((inputs!$P$12/(V198/MAX(K198:S198)))^(1/inputs!$O$12))-1)/inputs!$N$12&lt;0, 0, IF((((inputs!$P$12/(V198/MAX(K198:S198)))^(1/inputs!$O$12))-1)/inputs!$N$12&gt;inputs!$H$17, inputs!$H$17, (((inputs!$P$12/(V198/MAX(K198:S198)))^(1/inputs!$O$12))-1)/inputs!$N$12))</f>
        <v>183.9141144091675</v>
      </c>
      <c r="U198">
        <f>IF((((inputs!$P$12/(X198/MAX(K198:S198)))^(1/inputs!$O$12))-1)/inputs!$N$12&lt;0, 0, IF((((inputs!$P$12/(X198/MAX(K198:S198)))^(1/inputs!$O$12))-1)/inputs!$N$12&gt;inputs!$H$17, inputs!$H$17, (((inputs!$P$12/(X198/MAX(K198:S198)))^(1/inputs!$O$12))-1)/inputs!$N$12))</f>
        <v>0</v>
      </c>
      <c r="V198">
        <f>inputs!$E$78*(F198/inputs!$F$78)^(inputs!$E$84-1)</f>
        <v>1.1104404851702795E-2</v>
      </c>
      <c r="W198">
        <f>inputs!$E$85*(F198/inputs!$F$85)^(inputs!$E$84-1)</f>
        <v>0.51278095994263584</v>
      </c>
      <c r="X198">
        <f>inputs!$E$80*(F198/inputs!$F$80)^(inputs!$E$84-1)</f>
        <v>1.9148149770009817</v>
      </c>
      <c r="Y198">
        <f>inputs!$E$82*(F198/inputs!$F$82)^(inputs!$E$84-1)</f>
        <v>0.88250796453006419</v>
      </c>
      <c r="Z198">
        <f t="shared" si="21"/>
        <v>293.20704821128413</v>
      </c>
      <c r="AA198">
        <f t="shared" si="22"/>
        <v>6.3494747719866025</v>
      </c>
    </row>
    <row r="199" spans="1:27" x14ac:dyDescent="0.3">
      <c r="A199" t="s">
        <v>329</v>
      </c>
      <c r="B199" t="s">
        <v>330</v>
      </c>
      <c r="C199" t="s">
        <v>73</v>
      </c>
      <c r="D199" t="s">
        <v>240</v>
      </c>
      <c r="E199">
        <v>103</v>
      </c>
      <c r="F199">
        <v>250</v>
      </c>
      <c r="G199" t="s">
        <v>164</v>
      </c>
      <c r="H199">
        <v>0.78</v>
      </c>
      <c r="I199">
        <f>inputs!$C$65*(inputs!$C$62/1000)</f>
        <v>0.82000000000000006</v>
      </c>
      <c r="J199">
        <f>inputs!$C$65*(inputs!$C$61/1000)</f>
        <v>0.25</v>
      </c>
      <c r="K199">
        <f t="shared" si="20"/>
        <v>0.28370736162603805</v>
      </c>
      <c r="L199">
        <f t="shared" si="23"/>
        <v>8.6496146837206703E-2</v>
      </c>
      <c r="M199">
        <f>IF((((1.18*F199^0.874)/3.7-(0.301*F199^0.751)/(1-H199)*H199)*(MAX('Min rate concentrations'!$P$3:$P$368)))/F199&gt;0, (((1.18*F199^0.874)/3.7-(0.301*F199^0.751)/(1-H199)*H199)*(MAX('Min rate concentrations'!$P$3:$P$368)))/F199, 0)</f>
        <v>0</v>
      </c>
      <c r="N199">
        <f>IF((((1.18*F199^0.874)/3.7-(0.301*F199^0.751)/(1-H199)*H199)*(MAX('Min rate concentrations'!$Q$3:$Q$368)))/F199&gt;0, (((1.18*F199^0.874)/3.7-(0.301*F199^0.751)/(1-H199)*H199)*(MAX('Min rate concentrations'!$Q$3:$Q$368)))/F199, 0)</f>
        <v>0</v>
      </c>
      <c r="O199">
        <f>((MAX('Min rate concentrations'!$F$3:$F$368))*0.62*6.01*8*(10*F199^0.667)*0.079*0.1/F199)*inputs!$E$80/(10^(0.84+0.62*LOG10(inputs!$E$80)))</f>
        <v>3.8912412086332915</v>
      </c>
      <c r="P199">
        <f>((MAX('Min rate concentrations'!Y:Y))*0.62*6.01*8*(10*F199^0.667)*0.079*0.1/F199)*inputs!$E$80/(10^(0.84+0.62*LOG10(inputs!$E$80)))</f>
        <v>1.2970804028777638</v>
      </c>
      <c r="Q199">
        <f>(inputs!$C$7*11.2*(10*F199^0.667)*0.5/F199)*inputs!$E$80/(10^(0.84+0.62*LOG10(inputs!$E$80)))</f>
        <v>0.68542378555773842</v>
      </c>
      <c r="R199">
        <f>(60*284*((F199/1000)^0.77)*3*24*(MAX('Min rate concentrations'!$R$3:$R$368))/F199)*(inputs!$E$73*3.4/inputs!$E$75)</f>
        <v>6.4477665224641637E-3</v>
      </c>
      <c r="S199">
        <f>(IF(inputs!$C$6="aerial",((0.025*0.112*inputs!$C$7/3.3)*(3*60*284*((F199/1000)^0.77))*MAX(inputs!$H$14:$H$16))/F199,((0.0083*0.112*inputs!$C$7/1)*(3*60*284*((F199/1000)^0.77))*MAX(inputs!$H$14:$H$16))/F199))*(inputs!E$75*3.4/inputs!$E$73)</f>
        <v>3.5559828511263269E-2</v>
      </c>
      <c r="T199">
        <f>IF((((inputs!$P$12/(V199/MAX(K199:S199)))^(1/inputs!$O$12))-1)/inputs!$N$12&lt;0, 0, IF((((inputs!$P$12/(V199/MAX(K199:S199)))^(1/inputs!$O$12))-1)/inputs!$N$12&gt;inputs!$H$17, inputs!$H$17, (((inputs!$P$12/(V199/MAX(K199:S199)))^(1/inputs!$O$12))-1)/inputs!$N$12))</f>
        <v>182.20982005585023</v>
      </c>
      <c r="U199">
        <f>IF((((inputs!$P$12/(X199/MAX(K199:S199)))^(1/inputs!$O$12))-1)/inputs!$N$12&lt;0, 0, IF((((inputs!$P$12/(X199/MAX(K199:S199)))^(1/inputs!$O$12))-1)/inputs!$N$12&gt;inputs!$H$17, inputs!$H$17, (((inputs!$P$12/(X199/MAX(K199:S199)))^(1/inputs!$O$12))-1)/inputs!$N$12))</f>
        <v>0</v>
      </c>
      <c r="V199">
        <f>inputs!$E$78*(F199/inputs!$F$78)^(inputs!$E$84-1)</f>
        <v>1.3536793307417524E-2</v>
      </c>
      <c r="W199">
        <f>inputs!$E$85*(F199/inputs!$F$85)^(inputs!$E$84-1)</f>
        <v>0.62510417797475948</v>
      </c>
      <c r="X199">
        <f>inputs!$E$80*(F199/inputs!$F$80)^(inputs!$E$84-1)</f>
        <v>2.334249778513342</v>
      </c>
      <c r="Y199">
        <f>inputs!$E$82*(F199/inputs!$F$82)^(inputs!$E$84-1)</f>
        <v>1.0758188365368664</v>
      </c>
      <c r="Z199">
        <f t="shared" si="21"/>
        <v>287.45664650882088</v>
      </c>
      <c r="AA199">
        <f t="shared" si="22"/>
        <v>6.2249483297972974</v>
      </c>
    </row>
    <row r="200" spans="1:27" x14ac:dyDescent="0.3">
      <c r="A200" t="s">
        <v>244</v>
      </c>
      <c r="B200" t="s">
        <v>245</v>
      </c>
      <c r="C200" t="s">
        <v>73</v>
      </c>
      <c r="D200" t="s">
        <v>240</v>
      </c>
      <c r="E200">
        <v>120</v>
      </c>
      <c r="F200">
        <v>334</v>
      </c>
      <c r="G200" t="s">
        <v>241</v>
      </c>
      <c r="H200">
        <v>0.8</v>
      </c>
      <c r="I200">
        <f>inputs!$C$65*inputs!$C$60/1000</f>
        <v>2.8</v>
      </c>
      <c r="J200">
        <f>inputs!$C$65*inputs!$C$59/1000</f>
        <v>2.8</v>
      </c>
      <c r="K200">
        <f t="shared" si="20"/>
        <v>0.99147475589165435</v>
      </c>
      <c r="L200">
        <f t="shared" si="23"/>
        <v>0.99147475589165435</v>
      </c>
      <c r="M200">
        <f>IF((((1.18*F200^0.874)/3.7-(0.301*F200^0.751)/(1-H200)*H200)*(MAX('Min rate concentrations'!$P$3:$P$368)))/F200&gt;0, (((1.18*F200^0.874)/3.7-(0.301*F200^0.751)/(1-H200)*H200)*(MAX('Min rate concentrations'!$P$3:$P$368)))/F200, 0)</f>
        <v>0</v>
      </c>
      <c r="N200">
        <f>IF((((1.18*F200^0.874)/3.7-(0.301*F200^0.751)/(1-H200)*H200)*(MAX('Min rate concentrations'!$Q$3:$Q$368)))/F200&gt;0, (((1.18*F200^0.874)/3.7-(0.301*F200^0.751)/(1-H200)*H200)*(MAX('Min rate concentrations'!$Q$3:$Q$368)))/F200, 0)</f>
        <v>0</v>
      </c>
      <c r="O200">
        <f>((MAX('Min rate concentrations'!$F$3:$F$368))*0.62*6.01*8*(10*F200^0.667)*0.079*0.1/F200)*inputs!$E$80/(10^(0.84+0.62*LOG10(inputs!$E$80)))</f>
        <v>3.5334146222857528</v>
      </c>
      <c r="P200">
        <f>((MAX('Min rate concentrations'!Y:Y))*0.62*6.01*8*(10*F200^0.667)*0.079*0.1/F200)*inputs!$E$80/(10^(0.84+0.62*LOG10(inputs!$E$80)))</f>
        <v>1.1778048740952511</v>
      </c>
      <c r="Q200">
        <f>(inputs!$C$7*11.2*(10*F200^0.667)*0.5/F200)*inputs!$E$80/(10^(0.84+0.62*LOG10(inputs!$E$80)))</f>
        <v>0.62239432008965578</v>
      </c>
      <c r="R200">
        <f>(60*284*((F200/1000)^0.77)*3*24*(MAX('Min rate concentrations'!$R$3:$R$368))/F200)*(inputs!$E$73*3.4/inputs!$E$75)</f>
        <v>6.0321734060342453E-3</v>
      </c>
      <c r="S200">
        <f>(IF(inputs!$C$6="aerial",((0.025*0.112*inputs!$C$7/3.3)*(3*60*284*((F200/1000)^0.77))*MAX(inputs!$H$14:$H$16))/F200,((0.0083*0.112*inputs!$C$7/1)*(3*60*284*((F200/1000)^0.77))*MAX(inputs!$H$14:$H$16))/F200))*(inputs!E$75*3.4/inputs!$E$73)</f>
        <v>3.3267806940813868E-2</v>
      </c>
      <c r="T200">
        <f>IF((((inputs!$P$12/(V200/MAX(K200:S200)))^(1/inputs!$O$12))-1)/inputs!$N$12&lt;0, 0, IF((((inputs!$P$12/(V200/MAX(K200:S200)))^(1/inputs!$O$12))-1)/inputs!$N$12&gt;inputs!$H$17, inputs!$H$17, (((inputs!$P$12/(V200/MAX(K200:S200)))^(1/inputs!$O$12))-1)/inputs!$N$12))</f>
        <v>183.13036221408444</v>
      </c>
      <c r="U200">
        <f>IF((((inputs!$P$12/(X200/MAX(K200:S200)))^(1/inputs!$O$12))-1)/inputs!$N$12&lt;0, 0, IF((((inputs!$P$12/(X200/MAX(K200:S200)))^(1/inputs!$O$12))-1)/inputs!$N$12&gt;inputs!$H$17, inputs!$H$17, (((inputs!$P$12/(X200/MAX(K200:S200)))^(1/inputs!$O$12))-1)/inputs!$N$12))</f>
        <v>0</v>
      </c>
      <c r="V200">
        <f>inputs!$E$78*(F200/inputs!$F$78)^(inputs!$E$84-1)</f>
        <v>1.2160947350059152E-2</v>
      </c>
      <c r="W200">
        <f>inputs!$E$85*(F200/inputs!$F$85)^(inputs!$E$84-1)</f>
        <v>0.56157014619463785</v>
      </c>
      <c r="X200">
        <f>inputs!$E$80*(F200/inputs!$F$80)^(inputs!$E$84-1)</f>
        <v>2.0970024446508626</v>
      </c>
      <c r="Y200">
        <f>inputs!$E$82*(F200/inputs!$F$82)^(inputs!$E$84-1)</f>
        <v>0.96647528939943783</v>
      </c>
      <c r="Z200">
        <f t="shared" si="21"/>
        <v>290.55422415495991</v>
      </c>
      <c r="AA200">
        <f t="shared" si="22"/>
        <v>6.2920271781347257</v>
      </c>
    </row>
    <row r="201" spans="1:27" x14ac:dyDescent="0.3">
      <c r="A201" t="s">
        <v>244</v>
      </c>
      <c r="B201" t="s">
        <v>245</v>
      </c>
      <c r="C201" t="s">
        <v>73</v>
      </c>
      <c r="D201" t="s">
        <v>240</v>
      </c>
      <c r="E201">
        <v>120</v>
      </c>
      <c r="F201">
        <v>334</v>
      </c>
      <c r="G201" t="s">
        <v>142</v>
      </c>
      <c r="H201">
        <v>0.69</v>
      </c>
      <c r="I201">
        <f>MAX('Min rate concentrations'!$H$3:$H$368)</f>
        <v>47</v>
      </c>
      <c r="J201">
        <f>MAX('Min rate concentrations'!AA:AA)</f>
        <v>32.5</v>
      </c>
      <c r="K201">
        <f t="shared" si="20"/>
        <v>10.73716901541653</v>
      </c>
      <c r="L201">
        <f t="shared" si="23"/>
        <v>7.4246381489582385</v>
      </c>
      <c r="M201">
        <f>IF((((1.18*F201^0.874)/3.7-(0.301*F201^0.751)/(1-H201)*H201)*(MAX('Min rate concentrations'!$P$3:$P$368)))/F201&gt;0, (((1.18*F201^0.874)/3.7-(0.301*F201^0.751)/(1-H201)*H201)*(MAX('Min rate concentrations'!$P$3:$P$368)))/F201, 0)</f>
        <v>0</v>
      </c>
      <c r="N201">
        <f>IF((((1.18*F201^0.874)/3.7-(0.301*F201^0.751)/(1-H201)*H201)*(MAX('Min rate concentrations'!$Q$3:$Q$368)))/F201&gt;0, (((1.18*F201^0.874)/3.7-(0.301*F201^0.751)/(1-H201)*H201)*(MAX('Min rate concentrations'!$Q$3:$Q$368)))/F201, 0)</f>
        <v>0</v>
      </c>
      <c r="O201">
        <f>((MAX('Min rate concentrations'!$F$3:$F$368))*0.62*6.01*8*(10*F201^0.667)*0.079*0.1/F201)*inputs!$E$80/(10^(0.84+0.62*LOG10(inputs!$E$80)))</f>
        <v>3.5334146222857528</v>
      </c>
      <c r="P201">
        <f>((MAX('Min rate concentrations'!Y:Y))*0.62*6.01*8*(10*F201^0.667)*0.079*0.1/F201)*inputs!$E$80/(10^(0.84+0.62*LOG10(inputs!$E$80)))</f>
        <v>1.1778048740952511</v>
      </c>
      <c r="Q201">
        <f>(inputs!$C$7*11.2*(10*F201^0.667)*0.5/F201)*inputs!$E$80/(10^(0.84+0.62*LOG10(inputs!$E$80)))</f>
        <v>0.62239432008965578</v>
      </c>
      <c r="R201">
        <f>(60*284*((F201/1000)^0.77)*3*24*(MAX('Min rate concentrations'!$R$3:$R$368))/F201)*(inputs!$E$73*3.4/inputs!$E$75)</f>
        <v>6.0321734060342453E-3</v>
      </c>
      <c r="S201">
        <f>(IF(inputs!$C$6="aerial",((0.025*0.112*inputs!$C$7/3.3)*(3*60*284*((F201/1000)^0.77))*MAX(inputs!$H$14:$H$16))/F201,((0.0083*0.112*inputs!$C$7/1)*(3*60*284*((F201/1000)^0.77))*MAX(inputs!$H$14:$H$16))/F201))*(inputs!E$75*3.4/inputs!$E$73)</f>
        <v>3.3267806940813868E-2</v>
      </c>
      <c r="T201">
        <f>IF((((inputs!$P$12/(V201/MAX(K201:S201)))^(1/inputs!$O$12))-1)/inputs!$N$12&lt;0, 0, IF((((inputs!$P$12/(V201/MAX(K201:S201)))^(1/inputs!$O$12))-1)/inputs!$N$12&gt;inputs!$H$17, inputs!$H$17, (((inputs!$P$12/(V201/MAX(K201:S201)))^(1/inputs!$O$12))-1)/inputs!$N$12))</f>
        <v>304.08282742645167</v>
      </c>
      <c r="U201">
        <f>IF((((inputs!$P$12/(X201/MAX(K201:S201)))^(1/inputs!$O$12))-1)/inputs!$N$12&lt;0, 0, IF((((inputs!$P$12/(X201/MAX(K201:S201)))^(1/inputs!$O$12))-1)/inputs!$N$12&gt;inputs!$H$17, inputs!$H$17, (((inputs!$P$12/(X201/MAX(K201:S201)))^(1/inputs!$O$12))-1)/inputs!$N$12))</f>
        <v>12.451991510954501</v>
      </c>
      <c r="V201">
        <f>inputs!$E$78*(F201/inputs!$F$78)^(inputs!$E$84-1)</f>
        <v>1.2160947350059152E-2</v>
      </c>
      <c r="W201">
        <f>inputs!$E$85*(F201/inputs!$F$85)^(inputs!$E$84-1)</f>
        <v>0.56157014619463785</v>
      </c>
      <c r="X201">
        <f>inputs!$E$80*(F201/inputs!$F$80)^(inputs!$E$84-1)</f>
        <v>2.0970024446508626</v>
      </c>
      <c r="Y201">
        <f>inputs!$E$82*(F201/inputs!$F$82)^(inputs!$E$84-1)</f>
        <v>0.96647528939943783</v>
      </c>
      <c r="Z201">
        <f t="shared" si="21"/>
        <v>882.92208709910278</v>
      </c>
      <c r="AA201">
        <f t="shared" si="22"/>
        <v>19.119907082266927</v>
      </c>
    </row>
    <row r="202" spans="1:27" x14ac:dyDescent="0.3">
      <c r="A202" t="s">
        <v>244</v>
      </c>
      <c r="B202" t="s">
        <v>245</v>
      </c>
      <c r="C202" t="s">
        <v>73</v>
      </c>
      <c r="D202" t="s">
        <v>240</v>
      </c>
      <c r="E202">
        <v>120</v>
      </c>
      <c r="F202">
        <v>334</v>
      </c>
      <c r="G202" t="s">
        <v>164</v>
      </c>
      <c r="H202">
        <v>0.78</v>
      </c>
      <c r="I202">
        <f>inputs!$C$65*(inputs!$C$62/1000)</f>
        <v>0.82000000000000006</v>
      </c>
      <c r="J202">
        <f>inputs!$C$65*(inputs!$C$61/1000)</f>
        <v>0.25</v>
      </c>
      <c r="K202">
        <f t="shared" si="20"/>
        <v>0.2639640583867392</v>
      </c>
      <c r="L202">
        <f t="shared" si="23"/>
        <v>8.0476847069127791E-2</v>
      </c>
      <c r="M202">
        <f>IF((((1.18*F202^0.874)/3.7-(0.301*F202^0.751)/(1-H202)*H202)*(MAX('Min rate concentrations'!$P$3:$P$368)))/F202&gt;0, (((1.18*F202^0.874)/3.7-(0.301*F202^0.751)/(1-H202)*H202)*(MAX('Min rate concentrations'!$P$3:$P$368)))/F202, 0)</f>
        <v>0</v>
      </c>
      <c r="N202">
        <f>IF((((1.18*F202^0.874)/3.7-(0.301*F202^0.751)/(1-H202)*H202)*(MAX('Min rate concentrations'!$Q$3:$Q$368)))/F202&gt;0, (((1.18*F202^0.874)/3.7-(0.301*F202^0.751)/(1-H202)*H202)*(MAX('Min rate concentrations'!$Q$3:$Q$368)))/F202, 0)</f>
        <v>0</v>
      </c>
      <c r="O202">
        <f>((MAX('Min rate concentrations'!$F$3:$F$368))*0.62*6.01*8*(10*F202^0.667)*0.079*0.1/F202)*inputs!$E$80/(10^(0.84+0.62*LOG10(inputs!$E$80)))</f>
        <v>3.5334146222857528</v>
      </c>
      <c r="P202">
        <f>((MAX('Min rate concentrations'!Y:Y))*0.62*6.01*8*(10*F202^0.667)*0.079*0.1/F202)*inputs!$E$80/(10^(0.84+0.62*LOG10(inputs!$E$80)))</f>
        <v>1.1778048740952511</v>
      </c>
      <c r="Q202">
        <f>(inputs!$C$7*11.2*(10*F202^0.667)*0.5/F202)*inputs!$E$80/(10^(0.84+0.62*LOG10(inputs!$E$80)))</f>
        <v>0.62239432008965578</v>
      </c>
      <c r="R202">
        <f>(60*284*((F202/1000)^0.77)*3*24*(MAX('Min rate concentrations'!$R$3:$R$368))/F202)*(inputs!$E$73*3.4/inputs!$E$75)</f>
        <v>6.0321734060342453E-3</v>
      </c>
      <c r="S202">
        <f>(IF(inputs!$C$6="aerial",((0.025*0.112*inputs!$C$7/3.3)*(3*60*284*((F202/1000)^0.77))*MAX(inputs!$H$14:$H$16))/F202,((0.0083*0.112*inputs!$C$7/1)*(3*60*284*((F202/1000)^0.77))*MAX(inputs!$H$14:$H$16))/F202))*(inputs!E$75*3.4/inputs!$E$73)</f>
        <v>3.3267806940813868E-2</v>
      </c>
      <c r="T202">
        <f>IF((((inputs!$P$12/(V202/MAX(K202:S202)))^(1/inputs!$O$12))-1)/inputs!$N$12&lt;0, 0, IF((((inputs!$P$12/(V202/MAX(K202:S202)))^(1/inputs!$O$12))-1)/inputs!$N$12&gt;inputs!$H$17, inputs!$H$17, (((inputs!$P$12/(V202/MAX(K202:S202)))^(1/inputs!$O$12))-1)/inputs!$N$12))</f>
        <v>183.13036221408444</v>
      </c>
      <c r="U202">
        <f>IF((((inputs!$P$12/(X202/MAX(K202:S202)))^(1/inputs!$O$12))-1)/inputs!$N$12&lt;0, 0, IF((((inputs!$P$12/(X202/MAX(K202:S202)))^(1/inputs!$O$12))-1)/inputs!$N$12&gt;inputs!$H$17, inputs!$H$17, (((inputs!$P$12/(X202/MAX(K202:S202)))^(1/inputs!$O$12))-1)/inputs!$N$12))</f>
        <v>0</v>
      </c>
      <c r="V202">
        <f>inputs!$E$78*(F202/inputs!$F$78)^(inputs!$E$84-1)</f>
        <v>1.2160947350059152E-2</v>
      </c>
      <c r="W202">
        <f>inputs!$E$85*(F202/inputs!$F$85)^(inputs!$E$84-1)</f>
        <v>0.56157014619463785</v>
      </c>
      <c r="X202">
        <f>inputs!$E$80*(F202/inputs!$F$80)^(inputs!$E$84-1)</f>
        <v>2.0970024446508626</v>
      </c>
      <c r="Y202">
        <f>inputs!$E$82*(F202/inputs!$F$82)^(inputs!$E$84-1)</f>
        <v>0.96647528939943783</v>
      </c>
      <c r="Z202">
        <f t="shared" si="21"/>
        <v>290.55422415495991</v>
      </c>
      <c r="AA202">
        <f t="shared" si="22"/>
        <v>6.2920271781347257</v>
      </c>
    </row>
    <row r="203" spans="1:27" x14ac:dyDescent="0.3">
      <c r="A203" t="s">
        <v>244</v>
      </c>
      <c r="B203" t="s">
        <v>245</v>
      </c>
      <c r="C203" t="s">
        <v>73</v>
      </c>
      <c r="D203" t="s">
        <v>240</v>
      </c>
      <c r="E203">
        <v>120</v>
      </c>
      <c r="F203">
        <v>334</v>
      </c>
      <c r="G203" t="s">
        <v>169</v>
      </c>
      <c r="H203">
        <v>0.79</v>
      </c>
      <c r="I203">
        <f>MAX('Min rate concentrations'!$D$3:$D$368)</f>
        <v>120</v>
      </c>
      <c r="J203">
        <f>MAX('Min rate concentrations'!W:W)</f>
        <v>42.5</v>
      </c>
      <c r="K203">
        <f t="shared" si="20"/>
        <v>40.468357383332837</v>
      </c>
      <c r="L203">
        <f t="shared" si="23"/>
        <v>14.332543239930377</v>
      </c>
      <c r="M203">
        <f>IF((((1.18*F203^0.874)/3.7-(0.301*F203^0.751)/(1-H203)*H203)*(MAX('Min rate concentrations'!$P$3:$P$368)))/F203&gt;0, (((1.18*F203^0.874)/3.7-(0.301*F203^0.751)/(1-H203)*H203)*(MAX('Min rate concentrations'!$P$3:$P$368)))/F203, 0)</f>
        <v>0</v>
      </c>
      <c r="N203">
        <f>IF((((1.18*F203^0.874)/3.7-(0.301*F203^0.751)/(1-H203)*H203)*(MAX('Min rate concentrations'!$Q$3:$Q$368)))/F203&gt;0, (((1.18*F203^0.874)/3.7-(0.301*F203^0.751)/(1-H203)*H203)*(MAX('Min rate concentrations'!$Q$3:$Q$368)))/F203, 0)</f>
        <v>0</v>
      </c>
      <c r="O203">
        <f>((MAX('Min rate concentrations'!$F$3:$F$368))*0.62*6.01*8*(10*F203^0.667)*0.079*0.1/F203)*inputs!$E$80/(10^(0.84+0.62*LOG10(inputs!$E$80)))</f>
        <v>3.5334146222857528</v>
      </c>
      <c r="P203">
        <f>((MAX('Min rate concentrations'!Y:Y))*0.62*6.01*8*(10*F203^0.667)*0.079*0.1/F203)*inputs!$E$80/(10^(0.84+0.62*LOG10(inputs!$E$80)))</f>
        <v>1.1778048740952511</v>
      </c>
      <c r="Q203">
        <f>(inputs!$C$7*11.2*(10*F203^0.667)*0.5/F203)*inputs!$E$80/(10^(0.84+0.62*LOG10(inputs!$E$80)))</f>
        <v>0.62239432008965578</v>
      </c>
      <c r="R203">
        <f>(60*284*((F203/1000)^0.77)*3*24*(MAX('Min rate concentrations'!$R$3:$R$368))/F203)*(inputs!$E$73*3.4/inputs!$E$75)</f>
        <v>6.0321734060342453E-3</v>
      </c>
      <c r="S203">
        <f>(IF(inputs!$C$6="aerial",((0.025*0.112*inputs!$C$7/3.3)*(3*60*284*((F203/1000)^0.77))*MAX(inputs!$H$14:$H$16))/F203,((0.0083*0.112*inputs!$C$7/1)*(3*60*284*((F203/1000)^0.77))*MAX(inputs!$H$14:$H$16))/F203))*(inputs!E$75*3.4/inputs!$E$73)</f>
        <v>3.3267806940813868E-2</v>
      </c>
      <c r="T203">
        <f>IF((((inputs!$P$12/(V203/MAX(K203:S203)))^(1/inputs!$O$12))-1)/inputs!$N$12&lt;0, 0, IF((((inputs!$P$12/(V203/MAX(K203:S203)))^(1/inputs!$O$12))-1)/inputs!$N$12&gt;inputs!$H$17, inputs!$H$17, (((inputs!$P$12/(V203/MAX(K203:S203)))^(1/inputs!$O$12))-1)/inputs!$N$12))</f>
        <v>542.01346336066513</v>
      </c>
      <c r="U203">
        <f>IF((((inputs!$P$12/(X203/MAX(K203:S203)))^(1/inputs!$O$12))-1)/inputs!$N$12&lt;0, 0, IF((((inputs!$P$12/(X203/MAX(K203:S203)))^(1/inputs!$O$12))-1)/inputs!$N$12&gt;inputs!$H$17, inputs!$H$17, (((inputs!$P$12/(X203/MAX(K203:S203)))^(1/inputs!$O$12))-1)/inputs!$N$12))</f>
        <v>41.742899298424511</v>
      </c>
      <c r="V203">
        <f>inputs!$E$78*(F203/inputs!$F$78)^(inputs!$E$84-1)</f>
        <v>1.2160947350059152E-2</v>
      </c>
      <c r="W203">
        <f>inputs!$E$85*(F203/inputs!$F$85)^(inputs!$E$84-1)</f>
        <v>0.56157014619463785</v>
      </c>
      <c r="X203">
        <f>inputs!$E$80*(F203/inputs!$F$80)^(inputs!$E$84-1)</f>
        <v>2.0970024446508626</v>
      </c>
      <c r="Y203">
        <f>inputs!$E$82*(F203/inputs!$F$82)^(inputs!$E$84-1)</f>
        <v>0.96647528939943783</v>
      </c>
      <c r="Z203">
        <f t="shared" si="21"/>
        <v>3327.7306626227596</v>
      </c>
      <c r="AA203">
        <f t="shared" si="22"/>
        <v>72.062871677844981</v>
      </c>
    </row>
    <row r="204" spans="1:27" x14ac:dyDescent="0.3">
      <c r="A204" t="s">
        <v>244</v>
      </c>
      <c r="B204" t="s">
        <v>245</v>
      </c>
      <c r="C204" t="s">
        <v>73</v>
      </c>
      <c r="D204" t="s">
        <v>240</v>
      </c>
      <c r="E204">
        <v>120</v>
      </c>
      <c r="F204">
        <v>334</v>
      </c>
      <c r="G204" t="s">
        <v>158</v>
      </c>
      <c r="H204">
        <v>0.85</v>
      </c>
      <c r="I204">
        <f>MAX('Min rate concentrations'!$F$3:$F$368)</f>
        <v>67.5</v>
      </c>
      <c r="J204">
        <f>MAX('Min rate concentrations'!Y:Y)</f>
        <v>22.5</v>
      </c>
      <c r="K204">
        <f t="shared" si="20"/>
        <v>31.868831439374592</v>
      </c>
      <c r="L204">
        <f t="shared" si="23"/>
        <v>10.622943813124865</v>
      </c>
      <c r="M204">
        <f>IF((((1.18*F204^0.874)/3.7-(0.301*F204^0.751)/(1-H204)*H204)*(MAX('Min rate concentrations'!$P$3:$P$368)))/F204&gt;0, (((1.18*F204^0.874)/3.7-(0.301*F204^0.751)/(1-H204)*H204)*(MAX('Min rate concentrations'!$P$3:$P$368)))/F204, 0)</f>
        <v>0</v>
      </c>
      <c r="N204">
        <f>IF((((1.18*F204^0.874)/3.7-(0.301*F204^0.751)/(1-H204)*H204)*(MAX('Min rate concentrations'!$Q$3:$Q$368)))/F204&gt;0, (((1.18*F204^0.874)/3.7-(0.301*F204^0.751)/(1-H204)*H204)*(MAX('Min rate concentrations'!$Q$3:$Q$368)))/F204, 0)</f>
        <v>0</v>
      </c>
      <c r="O204">
        <f>((MAX('Min rate concentrations'!$F$3:$F$368))*0.62*6.01*8*(10*F204^0.667)*0.079*0.1/F204)*inputs!$E$80/(10^(0.84+0.62*LOG10(inputs!$E$80)))</f>
        <v>3.5334146222857528</v>
      </c>
      <c r="P204">
        <f>((MAX('Min rate concentrations'!Y:Y))*0.62*6.01*8*(10*F204^0.667)*0.079*0.1/F204)*inputs!$E$80/(10^(0.84+0.62*LOG10(inputs!$E$80)))</f>
        <v>1.1778048740952511</v>
      </c>
      <c r="Q204">
        <f>(inputs!$C$7*11.2*(10*F204^0.667)*0.5/F204)*inputs!$E$80/(10^(0.84+0.62*LOG10(inputs!$E$80)))</f>
        <v>0.62239432008965578</v>
      </c>
      <c r="R204">
        <f>(60*284*((F204/1000)^0.77)*3*24*(MAX('Min rate concentrations'!$R$3:$R$368))/F204)*(inputs!$E$73*3.4/inputs!$E$75)</f>
        <v>6.0321734060342453E-3</v>
      </c>
      <c r="S204">
        <f>(IF(inputs!$C$6="aerial",((0.025*0.112*inputs!$C$7/3.3)*(3*60*284*((F204/1000)^0.77))*MAX(inputs!$H$14:$H$16))/F204,((0.0083*0.112*inputs!$C$7/1)*(3*60*284*((F204/1000)^0.77))*MAX(inputs!$H$14:$H$16))/F204))*(inputs!E$75*3.4/inputs!$E$73)</f>
        <v>3.3267806940813868E-2</v>
      </c>
      <c r="T204">
        <f>IF((((inputs!$P$12/(V204/MAX(K204:S204)))^(1/inputs!$O$12))-1)/inputs!$N$12&lt;0, 0, IF((((inputs!$P$12/(V204/MAX(K204:S204)))^(1/inputs!$O$12))-1)/inputs!$N$12&gt;inputs!$H$17, inputs!$H$17, (((inputs!$P$12/(V204/MAX(K204:S204)))^(1/inputs!$O$12))-1)/inputs!$N$12))</f>
        <v>489.18798868061657</v>
      </c>
      <c r="U204">
        <f>IF((((inputs!$P$12/(X204/MAX(K204:S204)))^(1/inputs!$O$12))-1)/inputs!$N$12&lt;0, 0, IF((((inputs!$P$12/(X204/MAX(K204:S204)))^(1/inputs!$O$12))-1)/inputs!$N$12&gt;inputs!$H$17, inputs!$H$17, (((inputs!$P$12/(X204/MAX(K204:S204)))^(1/inputs!$O$12))-1)/inputs!$N$12))</f>
        <v>35.239717807704416</v>
      </c>
      <c r="V204">
        <f>inputs!$E$78*(F204/inputs!$F$78)^(inputs!$E$84-1)</f>
        <v>1.2160947350059152E-2</v>
      </c>
      <c r="W204">
        <f>inputs!$E$85*(F204/inputs!$F$85)^(inputs!$E$84-1)</f>
        <v>0.56157014619463785</v>
      </c>
      <c r="X204">
        <f>inputs!$E$80*(F204/inputs!$F$80)^(inputs!$E$84-1)</f>
        <v>2.0970024446508626</v>
      </c>
      <c r="Y204">
        <f>inputs!$E$82*(F204/inputs!$F$82)^(inputs!$E$84-1)</f>
        <v>0.96647528939943783</v>
      </c>
      <c r="Z204">
        <f t="shared" si="21"/>
        <v>2620.587896815422</v>
      </c>
      <c r="AA204">
        <f t="shared" si="22"/>
        <v>56.749511446302897</v>
      </c>
    </row>
    <row r="205" spans="1:27" x14ac:dyDescent="0.3">
      <c r="A205" t="s">
        <v>253</v>
      </c>
      <c r="B205" t="s">
        <v>254</v>
      </c>
      <c r="C205" t="s">
        <v>73</v>
      </c>
      <c r="D205" t="s">
        <v>240</v>
      </c>
      <c r="E205">
        <v>110</v>
      </c>
      <c r="F205">
        <v>2450</v>
      </c>
      <c r="G205" t="s">
        <v>182</v>
      </c>
      <c r="H205">
        <v>0.85</v>
      </c>
      <c r="I205">
        <f>MAX('Min rate concentrations'!$M$3:$M$368)</f>
        <v>2.8488184789681945</v>
      </c>
      <c r="J205">
        <f>MAX('Min rate concentrations'!AE:AE)</f>
        <v>1.9699276716269429</v>
      </c>
      <c r="K205">
        <f t="shared" si="20"/>
        <v>0.81891279976706011</v>
      </c>
      <c r="L205">
        <f t="shared" si="23"/>
        <v>0.56626948920062659</v>
      </c>
      <c r="M205">
        <f>IF((((1.18*F205^0.874)/3.7-(0.301*F205^0.751)/(1-H205)*H205)*(MAX('Min rate concentrations'!$P$3:$P$368)))/F205&gt;0, (((1.18*F205^0.874)/3.7-(0.301*F205^0.751)/(1-H205)*H205)*(MAX('Min rate concentrations'!$P$3:$P$368)))/F205, 0)</f>
        <v>0</v>
      </c>
      <c r="N205">
        <f>IF((((1.18*F205^0.874)/3.7-(0.301*F205^0.751)/(1-H205)*H205)*(MAX('Min rate concentrations'!$Q$3:$Q$368)))/F205&gt;0, (((1.18*F205^0.874)/3.7-(0.301*F205^0.751)/(1-H205)*H205)*(MAX('Min rate concentrations'!$Q$3:$Q$368)))/F205, 0)</f>
        <v>0</v>
      </c>
      <c r="O205">
        <f>((MAX('Min rate concentrations'!$F$3:$F$368))*0.62*6.01*8*(10*F205^0.667)*0.079*0.1/F205)*inputs!$E$80/(10^(0.84+0.62*LOG10(inputs!$E$80)))</f>
        <v>1.8197422115943209</v>
      </c>
      <c r="P205">
        <f>((MAX('Min rate concentrations'!Y:Y))*0.62*6.01*8*(10*F205^0.667)*0.079*0.1/F205)*inputs!$E$80/(10^(0.84+0.62*LOG10(inputs!$E$80)))</f>
        <v>0.60658073719810679</v>
      </c>
      <c r="Q205">
        <f>(inputs!$C$7*11.2*(10*F205^0.667)*0.5/F205)*inputs!$E$80/(10^(0.84+0.62*LOG10(inputs!$E$80)))</f>
        <v>0.32053900761610038</v>
      </c>
      <c r="R205">
        <f>(60*284*((F205/1000)^0.77)*3*24*(MAX('Min rate concentrations'!$R$3:$R$368))/F205)*(inputs!$E$73*3.4/inputs!$E$75)</f>
        <v>3.8144094143286534E-3</v>
      </c>
      <c r="S205">
        <f>(IF(inputs!$C$6="aerial",((0.025*0.112*inputs!$C$7/3.3)*(3*60*284*((F205/1000)^0.77))*MAX(inputs!$H$14:$H$16))/F205,((0.0083*0.112*inputs!$C$7/1)*(3*60*284*((F205/1000)^0.77))*MAX(inputs!$H$14:$H$16))/F205))*(inputs!E$75*3.4/inputs!$E$73)</f>
        <v>2.1036702270887626E-2</v>
      </c>
      <c r="T205">
        <f>IF((((inputs!$P$12/(V205/MAX(K205:S205)))^(1/inputs!$O$12))-1)/inputs!$N$12&lt;0, 0, IF((((inputs!$P$12/(V205/MAX(K205:S205)))^(1/inputs!$O$12))-1)/inputs!$N$12&gt;inputs!$H$17, inputs!$H$17, (((inputs!$P$12/(V205/MAX(K205:S205)))^(1/inputs!$O$12))-1)/inputs!$N$12))</f>
        <v>189.57267785912933</v>
      </c>
      <c r="U205">
        <f>IF((((inputs!$P$12/(X205/MAX(K205:S205)))^(1/inputs!$O$12))-1)/inputs!$N$12&lt;0, 0, IF((((inputs!$P$12/(X205/MAX(K205:S205)))^(1/inputs!$O$12))-1)/inputs!$N$12&gt;inputs!$H$17, inputs!$H$17, (((inputs!$P$12/(X205/MAX(K205:S205)))^(1/inputs!$O$12))-1)/inputs!$N$12))</f>
        <v>0</v>
      </c>
      <c r="V205">
        <f>inputs!$E$78*(F205/inputs!$F$78)^(inputs!$E$84-1)</f>
        <v>5.8178450431225284E-3</v>
      </c>
      <c r="W205">
        <f>inputs!$E$85*(F205/inputs!$F$85)^(inputs!$E$84-1)</f>
        <v>0.26865736668025103</v>
      </c>
      <c r="X205">
        <f>inputs!$E$80*(F205/inputs!$F$80)^(inputs!$E$84-1)</f>
        <v>1.0032142173503045</v>
      </c>
      <c r="Y205">
        <f>inputs!$E$82*(F205/inputs!$F$82)^(inputs!$E$84-1)</f>
        <v>0.46236557974289572</v>
      </c>
      <c r="Z205">
        <f t="shared" si="21"/>
        <v>312.78629769376545</v>
      </c>
      <c r="AA205">
        <f t="shared" si="22"/>
        <v>6.7734685040672291</v>
      </c>
    </row>
    <row r="206" spans="1:27" x14ac:dyDescent="0.3">
      <c r="A206" t="s">
        <v>253</v>
      </c>
      <c r="B206" t="s">
        <v>254</v>
      </c>
      <c r="C206" t="s">
        <v>73</v>
      </c>
      <c r="D206" t="s">
        <v>240</v>
      </c>
      <c r="E206">
        <v>110</v>
      </c>
      <c r="F206">
        <v>2450</v>
      </c>
      <c r="G206" t="s">
        <v>142</v>
      </c>
      <c r="H206">
        <v>0.69</v>
      </c>
      <c r="I206">
        <f>MAX('Min rate concentrations'!$H$3:$H$368)</f>
        <v>47</v>
      </c>
      <c r="J206">
        <f>MAX('Min rate concentrations'!AA:AA)</f>
        <v>32.5</v>
      </c>
      <c r="K206">
        <f t="shared" si="20"/>
        <v>6.5373284386879842</v>
      </c>
      <c r="L206">
        <f t="shared" si="23"/>
        <v>4.5204930693055214</v>
      </c>
      <c r="M206">
        <f>IF((((1.18*F206^0.874)/3.7-(0.301*F206^0.751)/(1-H206)*H206)*(MAX('Min rate concentrations'!$P$3:$P$368)))/F206&gt;0, (((1.18*F206^0.874)/3.7-(0.301*F206^0.751)/(1-H206)*H206)*(MAX('Min rate concentrations'!$P$3:$P$368)))/F206, 0)</f>
        <v>3.3859848777881433E-3</v>
      </c>
      <c r="N206">
        <f>IF((((1.18*F206^0.874)/3.7-(0.301*F206^0.751)/(1-H206)*H206)*(MAX('Min rate concentrations'!$Q$3:$Q$368)))/F206&gt;0, (((1.18*F206^0.874)/3.7-(0.301*F206^0.751)/(1-H206)*H206)*(MAX('Min rate concentrations'!$Q$3:$Q$368)))/F206, 0)</f>
        <v>1.2894012349290551E-2</v>
      </c>
      <c r="O206">
        <f>((MAX('Min rate concentrations'!$F$3:$F$368))*0.62*6.01*8*(10*F206^0.667)*0.079*0.1/F206)*inputs!$E$80/(10^(0.84+0.62*LOG10(inputs!$E$80)))</f>
        <v>1.8197422115943209</v>
      </c>
      <c r="P206">
        <f>((MAX('Min rate concentrations'!Y:Y))*0.62*6.01*8*(10*F206^0.667)*0.079*0.1/F206)*inputs!$E$80/(10^(0.84+0.62*LOG10(inputs!$E$80)))</f>
        <v>0.60658073719810679</v>
      </c>
      <c r="Q206">
        <f>(inputs!$C$7*11.2*(10*F206^0.667)*0.5/F206)*inputs!$E$80/(10^(0.84+0.62*LOG10(inputs!$E$80)))</f>
        <v>0.32053900761610038</v>
      </c>
      <c r="R206">
        <f>(60*284*((F206/1000)^0.77)*3*24*(MAX('Min rate concentrations'!$R$3:$R$368))/F206)*(inputs!$E$73*3.4/inputs!$E$75)</f>
        <v>3.8144094143286534E-3</v>
      </c>
      <c r="S206">
        <f>(IF(inputs!$C$6="aerial",((0.025*0.112*inputs!$C$7/3.3)*(3*60*284*((F206/1000)^0.77))*MAX(inputs!$H$14:$H$16))/F206,((0.0083*0.112*inputs!$C$7/1)*(3*60*284*((F206/1000)^0.77))*MAX(inputs!$H$14:$H$16))/F206))*(inputs!E$75*3.4/inputs!$E$73)</f>
        <v>2.1036702270887626E-2</v>
      </c>
      <c r="T206">
        <f>IF((((inputs!$P$12/(V206/MAX(K206:S206)))^(1/inputs!$O$12))-1)/inputs!$N$12&lt;0, 0, IF((((inputs!$P$12/(V206/MAX(K206:S206)))^(1/inputs!$O$12))-1)/inputs!$N$12&gt;inputs!$H$17, inputs!$H$17, (((inputs!$P$12/(V206/MAX(K206:S206)))^(1/inputs!$O$12))-1)/inputs!$N$12))</f>
        <v>338.35144289567626</v>
      </c>
      <c r="U206">
        <f>IF((((inputs!$P$12/(X206/MAX(K206:S206)))^(1/inputs!$O$12))-1)/inputs!$N$12&lt;0, 0, IF((((inputs!$P$12/(X206/MAX(K206:S206)))^(1/inputs!$O$12))-1)/inputs!$N$12&gt;inputs!$H$17, inputs!$H$17, (((inputs!$P$12/(X206/MAX(K206:S206)))^(1/inputs!$O$12))-1)/inputs!$N$12))</f>
        <v>16.670695217487097</v>
      </c>
      <c r="V206">
        <f>inputs!$E$78*(F206/inputs!$F$78)^(inputs!$E$84-1)</f>
        <v>5.8178450431225284E-3</v>
      </c>
      <c r="W206">
        <f>inputs!$E$85*(F206/inputs!$F$85)^(inputs!$E$84-1)</f>
        <v>0.26865736668025103</v>
      </c>
      <c r="X206">
        <f>inputs!$E$80*(F206/inputs!$F$80)^(inputs!$E$84-1)</f>
        <v>1.0032142173503045</v>
      </c>
      <c r="Y206">
        <f>inputs!$E$82*(F206/inputs!$F$82)^(inputs!$E$84-1)</f>
        <v>0.46236557974289572</v>
      </c>
      <c r="Z206">
        <f t="shared" si="21"/>
        <v>1123.6683669352765</v>
      </c>
      <c r="AA206">
        <f t="shared" si="22"/>
        <v>24.333330291547679</v>
      </c>
    </row>
    <row r="207" spans="1:27" x14ac:dyDescent="0.3">
      <c r="A207" t="s">
        <v>253</v>
      </c>
      <c r="B207" t="s">
        <v>254</v>
      </c>
      <c r="C207" t="s">
        <v>73</v>
      </c>
      <c r="D207" t="s">
        <v>240</v>
      </c>
      <c r="E207">
        <v>110</v>
      </c>
      <c r="F207">
        <v>2450</v>
      </c>
      <c r="G207" t="s">
        <v>164</v>
      </c>
      <c r="H207">
        <v>0.78</v>
      </c>
      <c r="I207">
        <f>inputs!$C$65*(inputs!$C$62/1000)</f>
        <v>0.82000000000000006</v>
      </c>
      <c r="J207">
        <f>inputs!$C$65*(inputs!$C$61/1000)</f>
        <v>0.25</v>
      </c>
      <c r="K207">
        <f t="shared" si="20"/>
        <v>0.16071459275768726</v>
      </c>
      <c r="L207">
        <f t="shared" si="23"/>
        <v>4.8998351450514406E-2</v>
      </c>
      <c r="M207">
        <f>IF((((1.18*F207^0.874)/3.7-(0.301*F207^0.751)/(1-H207)*H207)*(MAX('Min rate concentrations'!$P$3:$P$368)))/F207&gt;0, (((1.18*F207^0.874)/3.7-(0.301*F207^0.751)/(1-H207)*H207)*(MAX('Min rate concentrations'!$P$3:$P$368)))/F207, 0)</f>
        <v>0</v>
      </c>
      <c r="N207">
        <f>IF((((1.18*F207^0.874)/3.7-(0.301*F207^0.751)/(1-H207)*H207)*(MAX('Min rate concentrations'!$Q$3:$Q$368)))/F207&gt;0, (((1.18*F207^0.874)/3.7-(0.301*F207^0.751)/(1-H207)*H207)*(MAX('Min rate concentrations'!$Q$3:$Q$368)))/F207, 0)</f>
        <v>0</v>
      </c>
      <c r="O207">
        <f>((MAX('Min rate concentrations'!$F$3:$F$368))*0.62*6.01*8*(10*F207^0.667)*0.079*0.1/F207)*inputs!$E$80/(10^(0.84+0.62*LOG10(inputs!$E$80)))</f>
        <v>1.8197422115943209</v>
      </c>
      <c r="P207">
        <f>((MAX('Min rate concentrations'!Y:Y))*0.62*6.01*8*(10*F207^0.667)*0.079*0.1/F207)*inputs!$E$80/(10^(0.84+0.62*LOG10(inputs!$E$80)))</f>
        <v>0.60658073719810679</v>
      </c>
      <c r="Q207">
        <f>(inputs!$C$7*11.2*(10*F207^0.667)*0.5/F207)*inputs!$E$80/(10^(0.84+0.62*LOG10(inputs!$E$80)))</f>
        <v>0.32053900761610038</v>
      </c>
      <c r="R207">
        <f>(60*284*((F207/1000)^0.77)*3*24*(MAX('Min rate concentrations'!$R$3:$R$368))/F207)*(inputs!$E$73*3.4/inputs!$E$75)</f>
        <v>3.8144094143286534E-3</v>
      </c>
      <c r="S207">
        <f>(IF(inputs!$C$6="aerial",((0.025*0.112*inputs!$C$7/3.3)*(3*60*284*((F207/1000)^0.77))*MAX(inputs!$H$14:$H$16))/F207,((0.0083*0.112*inputs!$C$7/1)*(3*60*284*((F207/1000)^0.77))*MAX(inputs!$H$14:$H$16))/F207))*(inputs!E$75*3.4/inputs!$E$73)</f>
        <v>2.1036702270887626E-2</v>
      </c>
      <c r="T207">
        <f>IF((((inputs!$P$12/(V207/MAX(K207:S207)))^(1/inputs!$O$12))-1)/inputs!$N$12&lt;0, 0, IF((((inputs!$P$12/(V207/MAX(K207:S207)))^(1/inputs!$O$12))-1)/inputs!$N$12&gt;inputs!$H$17, inputs!$H$17, (((inputs!$P$12/(V207/MAX(K207:S207)))^(1/inputs!$O$12))-1)/inputs!$N$12))</f>
        <v>189.57267785912933</v>
      </c>
      <c r="U207">
        <f>IF((((inputs!$P$12/(X207/MAX(K207:S207)))^(1/inputs!$O$12))-1)/inputs!$N$12&lt;0, 0, IF((((inputs!$P$12/(X207/MAX(K207:S207)))^(1/inputs!$O$12))-1)/inputs!$N$12&gt;inputs!$H$17, inputs!$H$17, (((inputs!$P$12/(X207/MAX(K207:S207)))^(1/inputs!$O$12))-1)/inputs!$N$12))</f>
        <v>0</v>
      </c>
      <c r="V207">
        <f>inputs!$E$78*(F207/inputs!$F$78)^(inputs!$E$84-1)</f>
        <v>5.8178450431225284E-3</v>
      </c>
      <c r="W207">
        <f>inputs!$E$85*(F207/inputs!$F$85)^(inputs!$E$84-1)</f>
        <v>0.26865736668025103</v>
      </c>
      <c r="X207">
        <f>inputs!$E$80*(F207/inputs!$F$80)^(inputs!$E$84-1)</f>
        <v>1.0032142173503045</v>
      </c>
      <c r="Y207">
        <f>inputs!$E$82*(F207/inputs!$F$82)^(inputs!$E$84-1)</f>
        <v>0.46236557974289572</v>
      </c>
      <c r="Z207">
        <f t="shared" si="21"/>
        <v>312.78629769376545</v>
      </c>
      <c r="AA207">
        <f t="shared" si="22"/>
        <v>6.7734685040672291</v>
      </c>
    </row>
    <row r="208" spans="1:27" x14ac:dyDescent="0.3">
      <c r="A208" t="s">
        <v>253</v>
      </c>
      <c r="B208" t="s">
        <v>254</v>
      </c>
      <c r="C208" t="s">
        <v>73</v>
      </c>
      <c r="D208" t="s">
        <v>240</v>
      </c>
      <c r="E208">
        <v>110</v>
      </c>
      <c r="F208">
        <v>2450</v>
      </c>
      <c r="G208" t="s">
        <v>138</v>
      </c>
      <c r="H208">
        <v>0.68</v>
      </c>
      <c r="I208">
        <f>MAX('Min rate concentrations'!$L$3:$L$368)</f>
        <v>58.421240152220811</v>
      </c>
      <c r="J208">
        <f>MAX('Min rate concentrations'!AD:AD)</f>
        <v>40.397666062705881</v>
      </c>
      <c r="K208">
        <f t="shared" si="20"/>
        <v>7.8719972571719019</v>
      </c>
      <c r="L208">
        <f t="shared" si="23"/>
        <v>5.4434023586826985</v>
      </c>
      <c r="M208">
        <f>IF((((1.18*F208^0.874)/3.7-(0.301*F208^0.751)/(1-H208)*H208)*(MAX('Min rate concentrations'!$P$3:$P$368)))/F208&gt;0, (((1.18*F208^0.874)/3.7-(0.301*F208^0.751)/(1-H208)*H208)*(MAX('Min rate concentrations'!$P$3:$P$368)))/F208, 0)</f>
        <v>4.0168893661450353E-3</v>
      </c>
      <c r="N208">
        <f>IF((((1.18*F208^0.874)/3.7-(0.301*F208^0.751)/(1-H208)*H208)*(MAX('Min rate concentrations'!$Q$3:$Q$368)))/F208&gt;0, (((1.18*F208^0.874)/3.7-(0.301*F208^0.751)/(1-H208)*H208)*(MAX('Min rate concentrations'!$Q$3:$Q$368)))/F208, 0)</f>
        <v>1.5296530540514908E-2</v>
      </c>
      <c r="O208">
        <f>((MAX('Min rate concentrations'!$F$3:$F$368))*0.62*6.01*8*(10*F208^0.667)*0.079*0.1/F208)*inputs!$E$80/(10^(0.84+0.62*LOG10(inputs!$E$80)))</f>
        <v>1.8197422115943209</v>
      </c>
      <c r="P208">
        <f>((MAX('Min rate concentrations'!Y:Y))*0.62*6.01*8*(10*F208^0.667)*0.079*0.1/F208)*inputs!$E$80/(10^(0.84+0.62*LOG10(inputs!$E$80)))</f>
        <v>0.60658073719810679</v>
      </c>
      <c r="Q208">
        <f>(inputs!$C$7*11.2*(10*F208^0.667)*0.5/F208)*inputs!$E$80/(10^(0.84+0.62*LOG10(inputs!$E$80)))</f>
        <v>0.32053900761610038</v>
      </c>
      <c r="R208">
        <f>(60*284*((F208/1000)^0.77)*3*24*(MAX('Min rate concentrations'!$R$3:$R$368))/F208)*(inputs!$E$73*3.4/inputs!$E$75)</f>
        <v>3.8144094143286534E-3</v>
      </c>
      <c r="S208">
        <f>(IF(inputs!$C$6="aerial",((0.025*0.112*inputs!$C$7/3.3)*(3*60*284*((F208/1000)^0.77))*MAX(inputs!$H$14:$H$16))/F208,((0.0083*0.112*inputs!$C$7/1)*(3*60*284*((F208/1000)^0.77))*MAX(inputs!$H$14:$H$16))/F208))*(inputs!E$75*3.4/inputs!$E$73)</f>
        <v>2.1036702270887626E-2</v>
      </c>
      <c r="T208">
        <f>IF((((inputs!$P$12/(V208/MAX(K208:S208)))^(1/inputs!$O$12))-1)/inputs!$N$12&lt;0, 0, IF((((inputs!$P$12/(V208/MAX(K208:S208)))^(1/inputs!$O$12))-1)/inputs!$N$12&gt;inputs!$H$17, inputs!$H$17, (((inputs!$P$12/(V208/MAX(K208:S208)))^(1/inputs!$O$12))-1)/inputs!$N$12))</f>
        <v>367.14590838696739</v>
      </c>
      <c r="U208">
        <f>IF((((inputs!$P$12/(X208/MAX(K208:S208)))^(1/inputs!$O$12))-1)/inputs!$N$12&lt;0, 0, IF((((inputs!$P$12/(X208/MAX(K208:S208)))^(1/inputs!$O$12))-1)/inputs!$N$12&gt;inputs!$H$17, inputs!$H$17, (((inputs!$P$12/(X208/MAX(K208:S208)))^(1/inputs!$O$12))-1)/inputs!$N$12))</f>
        <v>20.215493180066812</v>
      </c>
      <c r="V208">
        <f>inputs!$E$78*(F208/inputs!$F$78)^(inputs!$E$84-1)</f>
        <v>5.8178450431225284E-3</v>
      </c>
      <c r="W208">
        <f>inputs!$E$85*(F208/inputs!$F$85)^(inputs!$E$84-1)</f>
        <v>0.26865736668025103</v>
      </c>
      <c r="X208">
        <f>inputs!$E$80*(F208/inputs!$F$80)^(inputs!$E$84-1)</f>
        <v>1.0032142173503045</v>
      </c>
      <c r="Y208">
        <f>inputs!$E$82*(F208/inputs!$F$82)^(inputs!$E$84-1)</f>
        <v>0.46236557974289572</v>
      </c>
      <c r="Z208">
        <f t="shared" si="21"/>
        <v>1353.0778490701907</v>
      </c>
      <c r="AA208">
        <f t="shared" si="22"/>
        <v>29.3012522025534</v>
      </c>
    </row>
    <row r="209" spans="1:27" x14ac:dyDescent="0.3">
      <c r="A209" t="s">
        <v>253</v>
      </c>
      <c r="B209" t="s">
        <v>254</v>
      </c>
      <c r="C209" t="s">
        <v>73</v>
      </c>
      <c r="D209" t="s">
        <v>240</v>
      </c>
      <c r="E209">
        <v>110</v>
      </c>
      <c r="F209">
        <v>2450</v>
      </c>
      <c r="G209" t="s">
        <v>152</v>
      </c>
      <c r="H209">
        <v>0.77</v>
      </c>
      <c r="I209">
        <f>MAX('Min rate concentrations'!$G$3:$G$368)</f>
        <v>7.5</v>
      </c>
      <c r="J209">
        <f>MAX('Min rate concentrations'!Z:Z)</f>
        <v>3.5</v>
      </c>
      <c r="K209">
        <f t="shared" si="20"/>
        <v>1.4060396503191088</v>
      </c>
      <c r="L209">
        <f t="shared" si="23"/>
        <v>0.6561518368155842</v>
      </c>
      <c r="M209">
        <f>IF((((1.18*F209^0.874)/3.7-(0.301*F209^0.751)/(1-H209)*H209)*(MAX('Min rate concentrations'!$P$3:$P$368)))/F209&gt;0, (((1.18*F209^0.874)/3.7-(0.301*F209^0.751)/(1-H209)*H209)*(MAX('Min rate concentrations'!$P$3:$P$368)))/F209, 0)</f>
        <v>0</v>
      </c>
      <c r="N209">
        <f>IF((((1.18*F209^0.874)/3.7-(0.301*F209^0.751)/(1-H209)*H209)*(MAX('Min rate concentrations'!$Q$3:$Q$368)))/F209&gt;0, (((1.18*F209^0.874)/3.7-(0.301*F209^0.751)/(1-H209)*H209)*(MAX('Min rate concentrations'!$Q$3:$Q$368)))/F209, 0)</f>
        <v>0</v>
      </c>
      <c r="O209">
        <f>((MAX('Min rate concentrations'!$F$3:$F$368))*0.62*6.01*8*(10*F209^0.667)*0.079*0.1/F209)*inputs!$E$80/(10^(0.84+0.62*LOG10(inputs!$E$80)))</f>
        <v>1.8197422115943209</v>
      </c>
      <c r="P209">
        <f>((MAX('Min rate concentrations'!Y:Y))*0.62*6.01*8*(10*F209^0.667)*0.079*0.1/F209)*inputs!$E$80/(10^(0.84+0.62*LOG10(inputs!$E$80)))</f>
        <v>0.60658073719810679</v>
      </c>
      <c r="Q209">
        <f>(inputs!$C$7*11.2*(10*F209^0.667)*0.5/F209)*inputs!$E$80/(10^(0.84+0.62*LOG10(inputs!$E$80)))</f>
        <v>0.32053900761610038</v>
      </c>
      <c r="R209">
        <f>(60*284*((F209/1000)^0.77)*3*24*(MAX('Min rate concentrations'!$R$3:$R$368))/F209)*(inputs!$E$73*3.4/inputs!$E$75)</f>
        <v>3.8144094143286534E-3</v>
      </c>
      <c r="S209">
        <f>(IF(inputs!$C$6="aerial",((0.025*0.112*inputs!$C$7/3.3)*(3*60*284*((F209/1000)^0.77))*MAX(inputs!$H$14:$H$16))/F209,((0.0083*0.112*inputs!$C$7/1)*(3*60*284*((F209/1000)^0.77))*MAX(inputs!$H$14:$H$16))/F209))*(inputs!E$75*3.4/inputs!$E$73)</f>
        <v>2.1036702270887626E-2</v>
      </c>
      <c r="T209">
        <f>IF((((inputs!$P$12/(V209/MAX(K209:S209)))^(1/inputs!$O$12))-1)/inputs!$N$12&lt;0, 0, IF((((inputs!$P$12/(V209/MAX(K209:S209)))^(1/inputs!$O$12))-1)/inputs!$N$12&gt;inputs!$H$17, inputs!$H$17, (((inputs!$P$12/(V209/MAX(K209:S209)))^(1/inputs!$O$12))-1)/inputs!$N$12))</f>
        <v>189.57267785912933</v>
      </c>
      <c r="U209">
        <f>IF((((inputs!$P$12/(X209/MAX(K209:S209)))^(1/inputs!$O$12))-1)/inputs!$N$12&lt;0, 0, IF((((inputs!$P$12/(X209/MAX(K209:S209)))^(1/inputs!$O$12))-1)/inputs!$N$12&gt;inputs!$H$17, inputs!$H$17, (((inputs!$P$12/(X209/MAX(K209:S209)))^(1/inputs!$O$12))-1)/inputs!$N$12))</f>
        <v>0</v>
      </c>
      <c r="V209">
        <f>inputs!$E$78*(F209/inputs!$F$78)^(inputs!$E$84-1)</f>
        <v>5.8178450431225284E-3</v>
      </c>
      <c r="W209">
        <f>inputs!$E$85*(F209/inputs!$F$85)^(inputs!$E$84-1)</f>
        <v>0.26865736668025103</v>
      </c>
      <c r="X209">
        <f>inputs!$E$80*(F209/inputs!$F$80)^(inputs!$E$84-1)</f>
        <v>1.0032142173503045</v>
      </c>
      <c r="Y209">
        <f>inputs!$E$82*(F209/inputs!$F$82)^(inputs!$E$84-1)</f>
        <v>0.46236557974289572</v>
      </c>
      <c r="Z209">
        <f t="shared" si="21"/>
        <v>312.78629769376545</v>
      </c>
      <c r="AA209">
        <f t="shared" si="22"/>
        <v>6.7734685040672291</v>
      </c>
    </row>
    <row r="210" spans="1:27" x14ac:dyDescent="0.3">
      <c r="A210" t="s">
        <v>253</v>
      </c>
      <c r="B210" t="s">
        <v>254</v>
      </c>
      <c r="C210" t="s">
        <v>73</v>
      </c>
      <c r="D210" t="s">
        <v>240</v>
      </c>
      <c r="E210">
        <v>110</v>
      </c>
      <c r="F210">
        <v>2450</v>
      </c>
      <c r="G210" t="s">
        <v>169</v>
      </c>
      <c r="H210">
        <v>0.79</v>
      </c>
      <c r="I210">
        <f>MAX('Min rate concentrations'!$D$3:$D$368)</f>
        <v>120</v>
      </c>
      <c r="J210">
        <f>MAX('Min rate concentrations'!W:W)</f>
        <v>42.5</v>
      </c>
      <c r="K210">
        <f t="shared" si="20"/>
        <v>24.639171015115817</v>
      </c>
      <c r="L210">
        <f t="shared" si="23"/>
        <v>8.726373067853519</v>
      </c>
      <c r="M210">
        <f>IF((((1.18*F210^0.874)/3.7-(0.301*F210^0.751)/(1-H210)*H210)*(MAX('Min rate concentrations'!$P$3:$P$368)))/F210&gt;0, (((1.18*F210^0.874)/3.7-(0.301*F210^0.751)/(1-H210)*H210)*(MAX('Min rate concentrations'!$P$3:$P$368)))/F210, 0)</f>
        <v>0</v>
      </c>
      <c r="N210">
        <f>IF((((1.18*F210^0.874)/3.7-(0.301*F210^0.751)/(1-H210)*H210)*(MAX('Min rate concentrations'!$Q$3:$Q$368)))/F210&gt;0, (((1.18*F210^0.874)/3.7-(0.301*F210^0.751)/(1-H210)*H210)*(MAX('Min rate concentrations'!$Q$3:$Q$368)))/F210, 0)</f>
        <v>0</v>
      </c>
      <c r="O210">
        <f>((MAX('Min rate concentrations'!$F$3:$F$368))*0.62*6.01*8*(10*F210^0.667)*0.079*0.1/F210)*inputs!$E$80/(10^(0.84+0.62*LOG10(inputs!$E$80)))</f>
        <v>1.8197422115943209</v>
      </c>
      <c r="P210">
        <f>((MAX('Min rate concentrations'!Y:Y))*0.62*6.01*8*(10*F210^0.667)*0.079*0.1/F210)*inputs!$E$80/(10^(0.84+0.62*LOG10(inputs!$E$80)))</f>
        <v>0.60658073719810679</v>
      </c>
      <c r="Q210">
        <f>(inputs!$C$7*11.2*(10*F210^0.667)*0.5/F210)*inputs!$E$80/(10^(0.84+0.62*LOG10(inputs!$E$80)))</f>
        <v>0.32053900761610038</v>
      </c>
      <c r="R210">
        <f>(60*284*((F210/1000)^0.77)*3*24*(MAX('Min rate concentrations'!$R$3:$R$368))/F210)*(inputs!$E$73*3.4/inputs!$E$75)</f>
        <v>3.8144094143286534E-3</v>
      </c>
      <c r="S210">
        <f>(IF(inputs!$C$6="aerial",((0.025*0.112*inputs!$C$7/3.3)*(3*60*284*((F210/1000)^0.77))*MAX(inputs!$H$14:$H$16))/F210,((0.0083*0.112*inputs!$C$7/1)*(3*60*284*((F210/1000)^0.77))*MAX(inputs!$H$14:$H$16))/F210))*(inputs!E$75*3.4/inputs!$E$73)</f>
        <v>2.1036702270887626E-2</v>
      </c>
      <c r="T210">
        <f>IF((((inputs!$P$12/(V210/MAX(K210:S210)))^(1/inputs!$O$12))-1)/inputs!$N$12&lt;0, 0, IF((((inputs!$P$12/(V210/MAX(K210:S210)))^(1/inputs!$O$12))-1)/inputs!$N$12&gt;inputs!$H$17, inputs!$H$17, (((inputs!$P$12/(V210/MAX(K210:S210)))^(1/inputs!$O$12))-1)/inputs!$N$12))</f>
        <v>600.79867219018865</v>
      </c>
      <c r="U210">
        <f>IF((((inputs!$P$12/(X210/MAX(K210:S210)))^(1/inputs!$O$12))-1)/inputs!$N$12&lt;0, 0, IF((((inputs!$P$12/(X210/MAX(K210:S210)))^(1/inputs!$O$12))-1)/inputs!$N$12&gt;inputs!$H$17, inputs!$H$17, (((inputs!$P$12/(X210/MAX(K210:S210)))^(1/inputs!$O$12))-1)/inputs!$N$12))</f>
        <v>48.979765304905598</v>
      </c>
      <c r="V210">
        <f>inputs!$E$78*(F210/inputs!$F$78)^(inputs!$E$84-1)</f>
        <v>5.8178450431225284E-3</v>
      </c>
      <c r="W210">
        <f>inputs!$E$85*(F210/inputs!$F$85)^(inputs!$E$84-1)</f>
        <v>0.26865736668025103</v>
      </c>
      <c r="X210">
        <f>inputs!$E$80*(F210/inputs!$F$80)^(inputs!$E$84-1)</f>
        <v>1.0032142173503045</v>
      </c>
      <c r="Y210">
        <f>inputs!$E$82*(F210/inputs!$F$82)^(inputs!$E$84-1)</f>
        <v>0.46236557974289572</v>
      </c>
      <c r="Z210">
        <f t="shared" si="21"/>
        <v>4235.1026595736876</v>
      </c>
      <c r="AA210">
        <f t="shared" si="22"/>
        <v>91.712247907352989</v>
      </c>
    </row>
    <row r="211" spans="1:27" x14ac:dyDescent="0.3">
      <c r="A211" t="s">
        <v>253</v>
      </c>
      <c r="B211" t="s">
        <v>254</v>
      </c>
      <c r="C211" t="s">
        <v>73</v>
      </c>
      <c r="D211" t="s">
        <v>240</v>
      </c>
      <c r="E211">
        <v>110</v>
      </c>
      <c r="F211">
        <v>2450</v>
      </c>
      <c r="G211" t="s">
        <v>158</v>
      </c>
      <c r="H211">
        <v>0.85</v>
      </c>
      <c r="I211">
        <f>MAX('Min rate concentrations'!$F$3:$F$368)</f>
        <v>67.5</v>
      </c>
      <c r="J211">
        <f>MAX('Min rate concentrations'!Y:Y)</f>
        <v>22.5</v>
      </c>
      <c r="K211">
        <f t="shared" si="20"/>
        <v>19.403347174403699</v>
      </c>
      <c r="L211">
        <f t="shared" si="23"/>
        <v>6.4677823914678987</v>
      </c>
      <c r="M211">
        <f>IF((((1.18*F211^0.874)/3.7-(0.301*F211^0.751)/(1-H211)*H211)*(MAX('Min rate concentrations'!$P$3:$P$368)))/F211&gt;0, (((1.18*F211^0.874)/3.7-(0.301*F211^0.751)/(1-H211)*H211)*(MAX('Min rate concentrations'!$P$3:$P$368)))/F211, 0)</f>
        <v>0</v>
      </c>
      <c r="N211">
        <f>IF((((1.18*F211^0.874)/3.7-(0.301*F211^0.751)/(1-H211)*H211)*(MAX('Min rate concentrations'!$Q$3:$Q$368)))/F211&gt;0, (((1.18*F211^0.874)/3.7-(0.301*F211^0.751)/(1-H211)*H211)*(MAX('Min rate concentrations'!$Q$3:$Q$368)))/F211, 0)</f>
        <v>0</v>
      </c>
      <c r="O211">
        <f>((MAX('Min rate concentrations'!$F$3:$F$368))*0.62*6.01*8*(10*F211^0.667)*0.079*0.1/F211)*inputs!$E$80/(10^(0.84+0.62*LOG10(inputs!$E$80)))</f>
        <v>1.8197422115943209</v>
      </c>
      <c r="P211">
        <f>((MAX('Min rate concentrations'!Y:Y))*0.62*6.01*8*(10*F211^0.667)*0.079*0.1/F211)*inputs!$E$80/(10^(0.84+0.62*LOG10(inputs!$E$80)))</f>
        <v>0.60658073719810679</v>
      </c>
      <c r="Q211">
        <f>(inputs!$C$7*11.2*(10*F211^0.667)*0.5/F211)*inputs!$E$80/(10^(0.84+0.62*LOG10(inputs!$E$80)))</f>
        <v>0.32053900761610038</v>
      </c>
      <c r="R211">
        <f>(60*284*((F211/1000)^0.77)*3*24*(MAX('Min rate concentrations'!$R$3:$R$368))/F211)*(inputs!$E$73*3.4/inputs!$E$75)</f>
        <v>3.8144094143286534E-3</v>
      </c>
      <c r="S211">
        <f>(IF(inputs!$C$6="aerial",((0.025*0.112*inputs!$C$7/3.3)*(3*60*284*((F211/1000)^0.77))*MAX(inputs!$H$14:$H$16))/F211,((0.0083*0.112*inputs!$C$7/1)*(3*60*284*((F211/1000)^0.77))*MAX(inputs!$H$14:$H$16))/F211))*(inputs!E$75*3.4/inputs!$E$73)</f>
        <v>2.1036702270887626E-2</v>
      </c>
      <c r="T211">
        <f>IF((((inputs!$P$12/(V211/MAX(K211:S211)))^(1/inputs!$O$12))-1)/inputs!$N$12&lt;0, 0, IF((((inputs!$P$12/(V211/MAX(K211:S211)))^(1/inputs!$O$12))-1)/inputs!$N$12&gt;inputs!$H$17, inputs!$H$17, (((inputs!$P$12/(V211/MAX(K211:S211)))^(1/inputs!$O$12))-1)/inputs!$N$12))</f>
        <v>542.53001161392103</v>
      </c>
      <c r="U211">
        <f>IF((((inputs!$P$12/(X211/MAX(K211:S211)))^(1/inputs!$O$12))-1)/inputs!$N$12&lt;0, 0, IF((((inputs!$P$12/(X211/MAX(K211:S211)))^(1/inputs!$O$12))-1)/inputs!$N$12&gt;inputs!$H$17, inputs!$H$17, (((inputs!$P$12/(X211/MAX(K211:S211)))^(1/inputs!$O$12))-1)/inputs!$N$12))</f>
        <v>41.806489962966225</v>
      </c>
      <c r="V211">
        <f>inputs!$E$78*(F211/inputs!$F$78)^(inputs!$E$84-1)</f>
        <v>5.8178450431225284E-3</v>
      </c>
      <c r="W211">
        <f>inputs!$E$85*(F211/inputs!$F$85)^(inputs!$E$84-1)</f>
        <v>0.26865736668025103</v>
      </c>
      <c r="X211">
        <f>inputs!$E$80*(F211/inputs!$F$80)^(inputs!$E$84-1)</f>
        <v>1.0032142173503045</v>
      </c>
      <c r="Y211">
        <f>inputs!$E$82*(F211/inputs!$F$82)^(inputs!$E$84-1)</f>
        <v>0.46236557974289572</v>
      </c>
      <c r="Z211">
        <f t="shared" si="21"/>
        <v>3335.1433444142781</v>
      </c>
      <c r="AA211">
        <f t="shared" si="22"/>
        <v>72.223395227040456</v>
      </c>
    </row>
    <row r="212" spans="1:27" x14ac:dyDescent="0.3">
      <c r="A212" t="s">
        <v>253</v>
      </c>
      <c r="B212" t="s">
        <v>254</v>
      </c>
      <c r="C212" t="s">
        <v>73</v>
      </c>
      <c r="D212" t="s">
        <v>240</v>
      </c>
      <c r="E212">
        <v>110</v>
      </c>
      <c r="F212">
        <v>2450</v>
      </c>
      <c r="G212" t="s">
        <v>456</v>
      </c>
      <c r="H212">
        <v>0.68</v>
      </c>
      <c r="I212">
        <f>MAX('Min rate concentrations'!$J$3:$J$368)</f>
        <v>114.4108103430513</v>
      </c>
      <c r="J212">
        <f>MAX('Min rate concentrations'!AB:AB)</f>
        <v>40.520495329830666</v>
      </c>
      <c r="K212">
        <f t="shared" si="20"/>
        <v>15.416338011049184</v>
      </c>
      <c r="L212">
        <f t="shared" si="23"/>
        <v>5.459953045579919</v>
      </c>
      <c r="M212">
        <f>IF((((1.18*F212^0.874)/3.7-(0.301*F212^0.751)/(1-H212)*H212)*(MAX('Min rate concentrations'!$P$3:$P$368)))/F212&gt;0, (((1.18*F212^0.874)/3.7-(0.301*F212^0.751)/(1-H212)*H212)*(MAX('Min rate concentrations'!$P$3:$P$368)))/F212, 0)</f>
        <v>4.0168893661450353E-3</v>
      </c>
      <c r="N212">
        <f>IF((((1.18*F212^0.874)/3.7-(0.301*F212^0.751)/(1-H212)*H212)*(MAX('Min rate concentrations'!$Q$3:$Q$368)))/F212&gt;0, (((1.18*F212^0.874)/3.7-(0.301*F212^0.751)/(1-H212)*H212)*(MAX('Min rate concentrations'!$Q$3:$Q$368)))/F212, 0)</f>
        <v>1.5296530540514908E-2</v>
      </c>
      <c r="O212">
        <f>((MAX('Min rate concentrations'!$F$3:$F$368))*0.62*6.01*8*(10*F212^0.667)*0.079*0.1/F212)*inputs!$E$80/(10^(0.84+0.62*LOG10(inputs!$E$80)))</f>
        <v>1.8197422115943209</v>
      </c>
      <c r="P212">
        <f>((MAX('Min rate concentrations'!Y:Y))*0.62*6.01*8*(10*F212^0.667)*0.079*0.1/F212)*inputs!$E$80/(10^(0.84+0.62*LOG10(inputs!$E$80)))</f>
        <v>0.60658073719810679</v>
      </c>
      <c r="Q212">
        <f>(inputs!$C$7*11.2*(10*F212^0.667)*0.5/F212)*inputs!$E$80/(10^(0.84+0.62*LOG10(inputs!$E$80)))</f>
        <v>0.32053900761610038</v>
      </c>
      <c r="R212">
        <f>(60*284*((F212/1000)^0.77)*3*24*(MAX('Min rate concentrations'!$R$3:$R$368))/F212)*(inputs!$E$73*3.4/inputs!$E$75)</f>
        <v>3.8144094143286534E-3</v>
      </c>
      <c r="S212">
        <f>(IF(inputs!$C$6="aerial",((0.025*0.112*inputs!$C$7/3.3)*(3*60*284*((F212/1000)^0.77))*MAX(inputs!$H$14:$H$16))/F212,((0.0083*0.112*inputs!$C$7/1)*(3*60*284*((F212/1000)^0.77))*MAX(inputs!$H$14:$H$16))/F212))*(inputs!E$75*3.4/inputs!$E$73)</f>
        <v>2.1036702270887626E-2</v>
      </c>
      <c r="T212">
        <f>IF((((inputs!$P$12/(V212/MAX(K212:S212)))^(1/inputs!$O$12))-1)/inputs!$N$12&lt;0, 0, IF((((inputs!$P$12/(V212/MAX(K212:S212)))^(1/inputs!$O$12))-1)/inputs!$N$12&gt;inputs!$H$17, inputs!$H$17, (((inputs!$P$12/(V212/MAX(K212:S212)))^(1/inputs!$O$12))-1)/inputs!$N$12))</f>
        <v>491.53030837521038</v>
      </c>
      <c r="U212">
        <f>IF((((inputs!$P$12/(X212/MAX(K212:S212)))^(1/inputs!$O$12))-1)/inputs!$N$12&lt;0, 0, IF((((inputs!$P$12/(X212/MAX(K212:S212)))^(1/inputs!$O$12))-1)/inputs!$N$12&gt;inputs!$H$17, inputs!$H$17, (((inputs!$P$12/(X212/MAX(K212:S212)))^(1/inputs!$O$12))-1)/inputs!$N$12))</f>
        <v>35.528073571197147</v>
      </c>
      <c r="V212">
        <f>inputs!$E$78*(F212/inputs!$F$78)^(inputs!$E$84-1)</f>
        <v>5.8178450431225284E-3</v>
      </c>
      <c r="W212">
        <f>inputs!$E$85*(F212/inputs!$F$85)^(inputs!$E$84-1)</f>
        <v>0.26865736668025103</v>
      </c>
      <c r="X212">
        <f>inputs!$E$80*(F212/inputs!$F$80)^(inputs!$E$84-1)</f>
        <v>1.0032142173503045</v>
      </c>
      <c r="Y212">
        <f>inputs!$E$82*(F212/inputs!$F$82)^(inputs!$E$84-1)</f>
        <v>0.46236557974289572</v>
      </c>
      <c r="Z212">
        <f t="shared" si="21"/>
        <v>2649.8364766991103</v>
      </c>
      <c r="AA212">
        <f t="shared" si="22"/>
        <v>57.382897039251141</v>
      </c>
    </row>
    <row r="213" spans="1:27" x14ac:dyDescent="0.3">
      <c r="A213" t="s">
        <v>253</v>
      </c>
      <c r="B213" t="s">
        <v>254</v>
      </c>
      <c r="C213" t="s">
        <v>73</v>
      </c>
      <c r="D213" t="s">
        <v>240</v>
      </c>
      <c r="E213">
        <v>110</v>
      </c>
      <c r="F213">
        <v>2450</v>
      </c>
      <c r="G213" t="s">
        <v>145</v>
      </c>
      <c r="H213">
        <v>0.66</v>
      </c>
      <c r="I213">
        <f>MAX('Min rate concentrations'!$M$3:$M$368)</f>
        <v>2.8488184789681945</v>
      </c>
      <c r="J213">
        <f>MAX('Min rate concentrations'!AE:AE)</f>
        <v>1.9699276716269429</v>
      </c>
      <c r="K213">
        <f t="shared" si="20"/>
        <v>0.36128505872076194</v>
      </c>
      <c r="L213">
        <f t="shared" si="23"/>
        <v>0.24982477464733535</v>
      </c>
      <c r="M213">
        <f>IF((((1.18*F213^0.874)/3.7-(0.301*F213^0.751)/(1-H213)*H213)*(MAX('Min rate concentrations'!$P$3:$P$368)))/F213&gt;0, (((1.18*F213^0.874)/3.7-(0.301*F213^0.751)/(1-H213)*H213)*(MAX('Min rate concentrations'!$P$3:$P$368)))/F213, 0)</f>
        <v>5.1673622566781978E-3</v>
      </c>
      <c r="N213">
        <f>IF((((1.18*F213^0.874)/3.7-(0.301*F213^0.751)/(1-H213)*H213)*(MAX('Min rate concentrations'!$Q$3:$Q$368)))/F213&gt;0, (((1.18*F213^0.874)/3.7-(0.301*F213^0.751)/(1-H213)*H213)*(MAX('Min rate concentrations'!$Q$3:$Q$368)))/F213, 0)</f>
        <v>1.9677593124512296E-2</v>
      </c>
      <c r="O213">
        <f>((MAX('Min rate concentrations'!$F$3:$F$368))*0.62*6.01*8*(10*F213^0.667)*0.079*0.1/F213)*inputs!$E$80/(10^(0.84+0.62*LOG10(inputs!$E$80)))</f>
        <v>1.8197422115943209</v>
      </c>
      <c r="P213">
        <f>((MAX('Min rate concentrations'!Y:Y))*0.62*6.01*8*(10*F213^0.667)*0.079*0.1/F213)*inputs!$E$80/(10^(0.84+0.62*LOG10(inputs!$E$80)))</f>
        <v>0.60658073719810679</v>
      </c>
      <c r="Q213">
        <f>(inputs!$C$7*11.2*(10*F213^0.667)*0.5/F213)*inputs!$E$80/(10^(0.84+0.62*LOG10(inputs!$E$80)))</f>
        <v>0.32053900761610038</v>
      </c>
      <c r="R213">
        <f>(60*284*((F213/1000)^0.77)*3*24*(MAX('Min rate concentrations'!$R$3:$R$368))/F213)*(inputs!$E$73*3.4/inputs!$E$75)</f>
        <v>3.8144094143286534E-3</v>
      </c>
      <c r="S213">
        <f>(IF(inputs!$C$6="aerial",((0.025*0.112*inputs!$C$7/3.3)*(3*60*284*((F213/1000)^0.77))*MAX(inputs!$H$14:$H$16))/F213,((0.0083*0.112*inputs!$C$7/1)*(3*60*284*((F213/1000)^0.77))*MAX(inputs!$H$14:$H$16))/F213))*(inputs!E$75*3.4/inputs!$E$73)</f>
        <v>2.1036702270887626E-2</v>
      </c>
      <c r="T213">
        <f>IF((((inputs!$P$12/(V213/MAX(K213:S213)))^(1/inputs!$O$12))-1)/inputs!$N$12&lt;0, 0, IF((((inputs!$P$12/(V213/MAX(K213:S213)))^(1/inputs!$O$12))-1)/inputs!$N$12&gt;inputs!$H$17, inputs!$H$17, (((inputs!$P$12/(V213/MAX(K213:S213)))^(1/inputs!$O$12))-1)/inputs!$N$12))</f>
        <v>189.57267785912933</v>
      </c>
      <c r="U213">
        <f>IF((((inputs!$P$12/(X213/MAX(K213:S213)))^(1/inputs!$O$12))-1)/inputs!$N$12&lt;0, 0, IF((((inputs!$P$12/(X213/MAX(K213:S213)))^(1/inputs!$O$12))-1)/inputs!$N$12&gt;inputs!$H$17, inputs!$H$17, (((inputs!$P$12/(X213/MAX(K213:S213)))^(1/inputs!$O$12))-1)/inputs!$N$12))</f>
        <v>0</v>
      </c>
      <c r="V213">
        <f>inputs!$E$78*(F213/inputs!$F$78)^(inputs!$E$84-1)</f>
        <v>5.8178450431225284E-3</v>
      </c>
      <c r="W213">
        <f>inputs!$E$85*(F213/inputs!$F$85)^(inputs!$E$84-1)</f>
        <v>0.26865736668025103</v>
      </c>
      <c r="X213">
        <f>inputs!$E$80*(F213/inputs!$F$80)^(inputs!$E$84-1)</f>
        <v>1.0032142173503045</v>
      </c>
      <c r="Y213">
        <f>inputs!$E$82*(F213/inputs!$F$82)^(inputs!$E$84-1)</f>
        <v>0.46236557974289572</v>
      </c>
      <c r="Z213">
        <f t="shared" si="21"/>
        <v>312.78629769376545</v>
      </c>
      <c r="AA213">
        <f t="shared" si="22"/>
        <v>6.7734685040672291</v>
      </c>
    </row>
    <row r="214" spans="1:27" x14ac:dyDescent="0.3">
      <c r="A214" t="s">
        <v>253</v>
      </c>
      <c r="B214" t="s">
        <v>254</v>
      </c>
      <c r="C214" t="s">
        <v>73</v>
      </c>
      <c r="D214" t="s">
        <v>240</v>
      </c>
      <c r="E214">
        <v>110</v>
      </c>
      <c r="F214">
        <v>2450</v>
      </c>
      <c r="G214" t="s">
        <v>154</v>
      </c>
      <c r="H214">
        <v>9.2999999999999999E-2</v>
      </c>
      <c r="I214">
        <f>MAX('Min rate concentrations'!$G$3:$G$368)</f>
        <v>7.5</v>
      </c>
      <c r="J214">
        <f>MAX('Min rate concentrations'!Z:Z)</f>
        <v>3.5</v>
      </c>
      <c r="K214">
        <f t="shared" si="20"/>
        <v>0.35654809214266264</v>
      </c>
      <c r="M214">
        <f>IF((((1.18*F214^0.874)/3.7-(0.301*F214^0.751)/(1-H214)*H214)*(MAX('Min rate concentrations'!$P$3:$P$368)))/F214&gt;0, (((1.18*F214^0.874)/3.7-(0.301*F214^0.751)/(1-H214)*H214)*(MAX('Min rate concentrations'!$P$3:$P$368)))/F214, 0)</f>
        <v>1.6674628037181897E-2</v>
      </c>
      <c r="N214">
        <f>IF((((1.18*F214^0.874)/3.7-(0.301*F214^0.751)/(1-H214)*H214)*(MAX('Min rate concentrations'!$Q$3:$Q$368)))/F214&gt;0, (((1.18*F214^0.874)/3.7-(0.301*F214^0.751)/(1-H214)*H214)*(MAX('Min rate concentrations'!$Q$3:$Q$368)))/F214, 0)</f>
        <v>6.3497879521451986E-2</v>
      </c>
      <c r="O214">
        <f>((MAX('Min rate concentrations'!$F$3:$F$368))*0.62*6.01*8*(10*F214^0.667)*0.079*0.1/F214)*inputs!$E$80/(10^(0.84+0.62*LOG10(inputs!$E$80)))</f>
        <v>1.8197422115943209</v>
      </c>
      <c r="P214">
        <f>((MAX('Min rate concentrations'!Y:Y))*0.62*6.01*8*(10*F214^0.667)*0.079*0.1/F214)*inputs!$E$80/(10^(0.84+0.62*LOG10(inputs!$E$80)))</f>
        <v>0.60658073719810679</v>
      </c>
      <c r="Q214">
        <f>(inputs!$C$7*11.2*(10*F214^0.667)*0.5/F214)*inputs!$E$80/(10^(0.84+0.62*LOG10(inputs!$E$80)))</f>
        <v>0.32053900761610038</v>
      </c>
      <c r="R214">
        <f>(60*284*((F214/1000)^0.77)*3*24*(MAX('Min rate concentrations'!$R$3:$R$368))/F214)*(inputs!$E$73*3.4/inputs!$E$75)</f>
        <v>3.8144094143286534E-3</v>
      </c>
      <c r="S214">
        <f>(IF(inputs!$C$6="aerial",((0.025*0.112*inputs!$C$7/3.3)*(3*60*284*((F214/1000)^0.77))*MAX(inputs!$H$14:$H$16))/F214,((0.0083*0.112*inputs!$C$7/1)*(3*60*284*((F214/1000)^0.77))*MAX(inputs!$H$14:$H$16))/F214))*(inputs!E$75*3.4/inputs!$E$73)</f>
        <v>2.1036702270887626E-2</v>
      </c>
      <c r="T214">
        <f>IF((((inputs!$P$12/(V214/MAX(K214:S214)))^(1/inputs!$O$12))-1)/inputs!$N$12&lt;0, 0, IF((((inputs!$P$12/(V214/MAX(K214:S214)))^(1/inputs!$O$12))-1)/inputs!$N$12&gt;inputs!$H$17, inputs!$H$17, (((inputs!$P$12/(V214/MAX(K214:S214)))^(1/inputs!$O$12))-1)/inputs!$N$12))</f>
        <v>189.57267785912933</v>
      </c>
      <c r="U214">
        <f>IF((((inputs!$P$12/(X214/MAX(K214:S214)))^(1/inputs!$O$12))-1)/inputs!$N$12&lt;0, 0, IF((((inputs!$P$12/(X214/MAX(K214:S214)))^(1/inputs!$O$12))-1)/inputs!$N$12&gt;inputs!$H$17, inputs!$H$17, (((inputs!$P$12/(X214/MAX(K214:S214)))^(1/inputs!$O$12))-1)/inputs!$N$12))</f>
        <v>0</v>
      </c>
      <c r="V214">
        <f>inputs!$E$78*(F214/inputs!$F$78)^(inputs!$E$84-1)</f>
        <v>5.8178450431225284E-3</v>
      </c>
      <c r="W214">
        <f>inputs!$E$85*(F214/inputs!$F$85)^(inputs!$E$84-1)</f>
        <v>0.26865736668025103</v>
      </c>
      <c r="X214">
        <f>inputs!$E$80*(F214/inputs!$F$80)^(inputs!$E$84-1)</f>
        <v>1.0032142173503045</v>
      </c>
      <c r="Y214">
        <f>inputs!$E$82*(F214/inputs!$F$82)^(inputs!$E$84-1)</f>
        <v>0.46236557974289572</v>
      </c>
      <c r="Z214">
        <f t="shared" si="21"/>
        <v>312.78629769376545</v>
      </c>
      <c r="AA214">
        <f t="shared" si="22"/>
        <v>6.7734685040672291</v>
      </c>
    </row>
    <row r="215" spans="1:27" x14ac:dyDescent="0.3">
      <c r="A215" t="s">
        <v>253</v>
      </c>
      <c r="B215" t="s">
        <v>254</v>
      </c>
      <c r="C215" t="s">
        <v>73</v>
      </c>
      <c r="D215" t="s">
        <v>240</v>
      </c>
      <c r="E215">
        <v>110</v>
      </c>
      <c r="F215">
        <v>2450</v>
      </c>
      <c r="G215" t="s">
        <v>146</v>
      </c>
      <c r="H215">
        <v>0.84</v>
      </c>
      <c r="I215">
        <f>MAX('Min rate concentrations'!$I$3:$I$368)</f>
        <v>9.4775690500787988</v>
      </c>
      <c r="J215" t="s">
        <v>13</v>
      </c>
      <c r="K215">
        <f t="shared" si="20"/>
        <v>2.5541189256675332</v>
      </c>
      <c r="L215" t="s">
        <v>13</v>
      </c>
      <c r="M215">
        <f>IF((((1.18*F215^0.874)/3.7-(0.301*F215^0.751)/(1-H215)*H215)*(MAX('Min rate concentrations'!$P$3:$P$368)))/F215&gt;0, (((1.18*F215^0.874)/3.7-(0.301*F215^0.751)/(1-H215)*H215)*(MAX('Min rate concentrations'!$P$3:$P$368)))/F215, 0)</f>
        <v>0</v>
      </c>
      <c r="N215">
        <f>IF((((1.18*F215^0.874)/3.7-(0.301*F215^0.751)/(1-H215)*H215)*(MAX('Min rate concentrations'!$Q$3:$Q$368)))/F215&gt;0, (((1.18*F215^0.874)/3.7-(0.301*F215^0.751)/(1-H215)*H215)*(MAX('Min rate concentrations'!$Q$3:$Q$368)))/F215, 0)</f>
        <v>0</v>
      </c>
      <c r="O215">
        <f>((MAX('Min rate concentrations'!$F$3:$F$368))*0.62*6.01*8*(10*F215^0.667)*0.079*0.1/F215)*inputs!$E$80/(10^(0.84+0.62*LOG10(inputs!$E$80)))</f>
        <v>1.8197422115943209</v>
      </c>
      <c r="P215">
        <f>((MAX('Min rate concentrations'!Y:Y))*0.62*6.01*8*(10*F215^0.667)*0.079*0.1/F215)*inputs!$E$80/(10^(0.84+0.62*LOG10(inputs!$E$80)))</f>
        <v>0.60658073719810679</v>
      </c>
      <c r="Q215">
        <f>(inputs!$C$7*11.2*(10*F215^0.667)*0.5/F215)*inputs!$E$80/(10^(0.84+0.62*LOG10(inputs!$E$80)))</f>
        <v>0.32053900761610038</v>
      </c>
      <c r="R215">
        <f>(60*284*((F215/1000)^0.77)*3*24*(MAX('Min rate concentrations'!$R$3:$R$368))/F215)*(inputs!$E$73*3.4/inputs!$E$75)</f>
        <v>3.8144094143286534E-3</v>
      </c>
      <c r="S215">
        <f>(IF(inputs!$C$6="aerial",((0.025*0.112*inputs!$C$7/3.3)*(3*60*284*((F215/1000)^0.77))*MAX(inputs!$H$14:$H$16))/F215,((0.0083*0.112*inputs!$C$7/1)*(3*60*284*((F215/1000)^0.77))*MAX(inputs!$H$14:$H$16))/F215))*(inputs!E$75*3.4/inputs!$E$73)</f>
        <v>2.1036702270887626E-2</v>
      </c>
      <c r="T215">
        <f>IF((((inputs!$P$12/(V215/MAX(K215:S215)))^(1/inputs!$O$12))-1)/inputs!$N$12&lt;0, 0, IF((((inputs!$P$12/(V215/MAX(K215:S215)))^(1/inputs!$O$12))-1)/inputs!$N$12&gt;inputs!$H$17, inputs!$H$17, (((inputs!$P$12/(V215/MAX(K215:S215)))^(1/inputs!$O$12))-1)/inputs!$N$12))</f>
        <v>221.81269674502983</v>
      </c>
      <c r="U215">
        <f>IF((((inputs!$P$12/(X215/MAX(K215:S215)))^(1/inputs!$O$12))-1)/inputs!$N$12&lt;0, 0, IF((((inputs!$P$12/(X215/MAX(K215:S215)))^(1/inputs!$O$12))-1)/inputs!$N$12&gt;inputs!$H$17, inputs!$H$17, (((inputs!$P$12/(X215/MAX(K215:S215)))^(1/inputs!$O$12))-1)/inputs!$N$12))</f>
        <v>2.3239691064797601</v>
      </c>
      <c r="V215">
        <f>inputs!$E$78*(F215/inputs!$F$78)^(inputs!$E$84-1)</f>
        <v>5.8178450431225284E-3</v>
      </c>
      <c r="W215">
        <f>inputs!$E$85*(F215/inputs!$F$85)^(inputs!$E$84-1)</f>
        <v>0.26865736668025103</v>
      </c>
      <c r="X215">
        <f>inputs!$E$80*(F215/inputs!$F$80)^(inputs!$E$84-1)</f>
        <v>1.0032142173503045</v>
      </c>
      <c r="Y215">
        <f>inputs!$E$82*(F215/inputs!$F$82)^(inputs!$E$84-1)</f>
        <v>0.46236557974289572</v>
      </c>
      <c r="Z215">
        <f t="shared" si="21"/>
        <v>439.01460192495909</v>
      </c>
      <c r="AA215">
        <f t="shared" si="22"/>
        <v>9.5069752124362132</v>
      </c>
    </row>
    <row r="216" spans="1:27" x14ac:dyDescent="0.3">
      <c r="A216" t="s">
        <v>319</v>
      </c>
      <c r="B216" t="s">
        <v>320</v>
      </c>
      <c r="C216" t="s">
        <v>73</v>
      </c>
      <c r="D216" t="s">
        <v>240</v>
      </c>
      <c r="E216">
        <v>1353</v>
      </c>
      <c r="F216">
        <v>44</v>
      </c>
      <c r="G216" t="s">
        <v>241</v>
      </c>
      <c r="H216">
        <v>0.8</v>
      </c>
      <c r="I216">
        <f>inputs!$C$65*inputs!$C$60/1000</f>
        <v>2.8</v>
      </c>
      <c r="J216">
        <f>inputs!$C$65*inputs!$C$59/1000</f>
        <v>2.8</v>
      </c>
      <c r="K216">
        <f t="shared" si="20"/>
        <v>1.6423844133920851</v>
      </c>
      <c r="L216">
        <f>((0.301*F216^0.751)/(1-H216))*J216/F216</f>
        <v>1.6423844133920851</v>
      </c>
      <c r="M216">
        <f>IF((((1.18*F216^0.874)/3.7-(0.301*F216^0.751)/(1-H216)*H216)*(MAX('Min rate concentrations'!$P$3:$P$368)))/F216&gt;0, (((1.18*F216^0.874)/3.7-(0.301*F216^0.751)/(1-H216)*H216)*(MAX('Min rate concentrations'!$P$3:$P$368)))/F216, 0)</f>
        <v>0</v>
      </c>
      <c r="N216">
        <f>IF((((1.18*F216^0.874)/3.7-(0.301*F216^0.751)/(1-H216)*H216)*(MAX('Min rate concentrations'!$Q$3:$Q$368)))/F216&gt;0, (((1.18*F216^0.874)/3.7-(0.301*F216^0.751)/(1-H216)*H216)*(MAX('Min rate concentrations'!$Q$3:$Q$368)))/F216, 0)</f>
        <v>0</v>
      </c>
      <c r="O216">
        <f>((MAX('Min rate concentrations'!$F$3:$F$368))*0.62*6.01*8*(10*F216^0.667)*0.079*0.1/F216)*inputs!$E$80/(10^(0.84+0.62*LOG10(inputs!$E$80)))</f>
        <v>6.9395679744374057</v>
      </c>
      <c r="P216">
        <f>((MAX('Min rate concentrations'!Y:Y))*0.62*6.01*8*(10*F216^0.667)*0.079*0.1/F216)*inputs!$E$80/(10^(0.84+0.62*LOG10(inputs!$E$80)))</f>
        <v>2.3131893248124684</v>
      </c>
      <c r="Q216">
        <f>(inputs!$C$7*11.2*(10*F216^0.667)*0.5/F216)*inputs!$E$80/(10^(0.84+0.62*LOG10(inputs!$E$80)))</f>
        <v>1.2223721676829078</v>
      </c>
      <c r="R216">
        <f>(60*284*((F216/1000)^0.77)*3*24*(MAX('Min rate concentrations'!$R$3:$R$368))/F216)*(inputs!$E$73*3.4/inputs!$E$75)</f>
        <v>9.6148251193539491E-3</v>
      </c>
      <c r="S216">
        <f>(IF(inputs!$C$6="aerial",((0.025*0.112*inputs!$C$7/3.3)*(3*60*284*((F216/1000)^0.77))*MAX(inputs!$H$14:$H$16))/F216,((0.0083*0.112*inputs!$C$7/1)*(3*60*284*((F216/1000)^0.77))*MAX(inputs!$H$14:$H$16))/F216))*(inputs!E$75*3.4/inputs!$E$73)</f>
        <v>5.3026351251835829E-2</v>
      </c>
      <c r="T216">
        <f>IF((((inputs!$P$12/(V216/MAX(K216:S216)))^(1/inputs!$O$12))-1)/inputs!$N$12&lt;0, 0, IF((((inputs!$P$12/(V216/MAX(K216:S216)))^(1/inputs!$O$12))-1)/inputs!$N$12&gt;inputs!$H$17, inputs!$H$17, (((inputs!$P$12/(V216/MAX(K216:S216)))^(1/inputs!$O$12))-1)/inputs!$N$12))</f>
        <v>176.77255055899121</v>
      </c>
      <c r="U216">
        <f>IF((((inputs!$P$12/(X216/MAX(K216:S216)))^(1/inputs!$O$12))-1)/inputs!$N$12&lt;0, 0, IF((((inputs!$P$12/(X216/MAX(K216:S216)))^(1/inputs!$O$12))-1)/inputs!$N$12&gt;inputs!$H$17, inputs!$H$17, (((inputs!$P$12/(X216/MAX(K216:S216)))^(1/inputs!$O$12))-1)/inputs!$N$12))</f>
        <v>0</v>
      </c>
      <c r="V216">
        <f>inputs!$E$78*(F216/inputs!$F$78)^(inputs!$E$84-1)</f>
        <v>2.5744004973284332E-2</v>
      </c>
      <c r="W216">
        <f>inputs!$E$85*(F216/inputs!$F$85)^(inputs!$E$84-1)</f>
        <v>1.1888107250470454</v>
      </c>
      <c r="X216">
        <f>inputs!$E$80*(F216/inputs!$F$80)^(inputs!$E$84-1)</f>
        <v>4.4392299226440306</v>
      </c>
      <c r="Y216">
        <f>inputs!$E$82*(F216/inputs!$F$82)^(inputs!$E$84-1)</f>
        <v>2.0459709215610178</v>
      </c>
      <c r="Z216">
        <f t="shared" si="21"/>
        <v>269.5605435766073</v>
      </c>
      <c r="AA216">
        <f t="shared" si="22"/>
        <v>5.8374035733592349</v>
      </c>
    </row>
    <row r="217" spans="1:27" x14ac:dyDescent="0.3">
      <c r="A217" t="s">
        <v>319</v>
      </c>
      <c r="B217" t="s">
        <v>320</v>
      </c>
      <c r="C217" t="s">
        <v>73</v>
      </c>
      <c r="D217" t="s">
        <v>240</v>
      </c>
      <c r="E217">
        <v>1353</v>
      </c>
      <c r="F217">
        <v>44</v>
      </c>
      <c r="G217" t="s">
        <v>142</v>
      </c>
      <c r="H217">
        <v>0.69</v>
      </c>
      <c r="I217">
        <f>MAX('Min rate concentrations'!$H$3:$H$368)</f>
        <v>47</v>
      </c>
      <c r="J217">
        <f>MAX('Min rate concentrations'!AA:AA)</f>
        <v>32.5</v>
      </c>
      <c r="K217">
        <f t="shared" si="20"/>
        <v>17.786190651941929</v>
      </c>
      <c r="L217">
        <f>((0.301*F217^0.751)/(1-H217))*J217/F217</f>
        <v>12.298961621023675</v>
      </c>
      <c r="M217">
        <f>IF((((1.18*F217^0.874)/3.7-(0.301*F217^0.751)/(1-H217)*H217)*(MAX('Min rate concentrations'!$P$3:$P$368)))/F217&gt;0, (((1.18*F217^0.874)/3.7-(0.301*F217^0.751)/(1-H217)*H217)*(MAX('Min rate concentrations'!$P$3:$P$368)))/F217, 0)</f>
        <v>0</v>
      </c>
      <c r="N217">
        <f>IF((((1.18*F217^0.874)/3.7-(0.301*F217^0.751)/(1-H217)*H217)*(MAX('Min rate concentrations'!$Q$3:$Q$368)))/F217&gt;0, (((1.18*F217^0.874)/3.7-(0.301*F217^0.751)/(1-H217)*H217)*(MAX('Min rate concentrations'!$Q$3:$Q$368)))/F217, 0)</f>
        <v>0</v>
      </c>
      <c r="O217">
        <f>((MAX('Min rate concentrations'!$F$3:$F$368))*0.62*6.01*8*(10*F217^0.667)*0.079*0.1/F217)*inputs!$E$80/(10^(0.84+0.62*LOG10(inputs!$E$80)))</f>
        <v>6.9395679744374057</v>
      </c>
      <c r="P217">
        <f>((MAX('Min rate concentrations'!Y:Y))*0.62*6.01*8*(10*F217^0.667)*0.079*0.1/F217)*inputs!$E$80/(10^(0.84+0.62*LOG10(inputs!$E$80)))</f>
        <v>2.3131893248124684</v>
      </c>
      <c r="Q217">
        <f>(inputs!$C$7*11.2*(10*F217^0.667)*0.5/F217)*inputs!$E$80/(10^(0.84+0.62*LOG10(inputs!$E$80)))</f>
        <v>1.2223721676829078</v>
      </c>
      <c r="R217">
        <f>(60*284*((F217/1000)^0.77)*3*24*(MAX('Min rate concentrations'!$R$3:$R$368))/F217)*(inputs!$E$73*3.4/inputs!$E$75)</f>
        <v>9.6148251193539491E-3</v>
      </c>
      <c r="S217">
        <f>(IF(inputs!$C$6="aerial",((0.025*0.112*inputs!$C$7/3.3)*(3*60*284*((F217/1000)^0.77))*MAX(inputs!$H$14:$H$16))/F217,((0.0083*0.112*inputs!$C$7/1)*(3*60*284*((F217/1000)^0.77))*MAX(inputs!$H$14:$H$16))/F217))*(inputs!E$75*3.4/inputs!$E$73)</f>
        <v>5.3026351251835829E-2</v>
      </c>
      <c r="T217">
        <f>IF((((inputs!$P$12/(V217/MAX(K217:S217)))^(1/inputs!$O$12))-1)/inputs!$N$12&lt;0, 0, IF((((inputs!$P$12/(V217/MAX(K217:S217)))^(1/inputs!$O$12))-1)/inputs!$N$12&gt;inputs!$H$17, inputs!$H$17, (((inputs!$P$12/(V217/MAX(K217:S217)))^(1/inputs!$O$12))-1)/inputs!$N$12))</f>
        <v>272.50764627063182</v>
      </c>
      <c r="U217">
        <f>IF((((inputs!$P$12/(X217/MAX(K217:S217)))^(1/inputs!$O$12))-1)/inputs!$N$12&lt;0, 0, IF((((inputs!$P$12/(X217/MAX(K217:S217)))^(1/inputs!$O$12))-1)/inputs!$N$12&gt;inputs!$H$17, inputs!$H$17, (((inputs!$P$12/(X217/MAX(K217:S217)))^(1/inputs!$O$12))-1)/inputs!$N$12))</f>
        <v>8.5648682072387796</v>
      </c>
      <c r="V217">
        <f>inputs!$E$78*(F217/inputs!$F$78)^(inputs!$E$84-1)</f>
        <v>2.5744004973284332E-2</v>
      </c>
      <c r="W217">
        <f>inputs!$E$85*(F217/inputs!$F$85)^(inputs!$E$84-1)</f>
        <v>1.1888107250470454</v>
      </c>
      <c r="X217">
        <f>inputs!$E$80*(F217/inputs!$F$80)^(inputs!$E$84-1)</f>
        <v>4.4392299226440306</v>
      </c>
      <c r="Y217">
        <f>inputs!$E$82*(F217/inputs!$F$82)^(inputs!$E$84-1)</f>
        <v>2.0459709215610178</v>
      </c>
      <c r="Z217">
        <f t="shared" si="21"/>
        <v>690.88670043372929</v>
      </c>
      <c r="AA217">
        <f t="shared" si="22"/>
        <v>14.961330914337156</v>
      </c>
    </row>
    <row r="218" spans="1:27" x14ac:dyDescent="0.3">
      <c r="A218" t="s">
        <v>319</v>
      </c>
      <c r="B218" t="s">
        <v>320</v>
      </c>
      <c r="C218" t="s">
        <v>73</v>
      </c>
      <c r="D218" t="s">
        <v>240</v>
      </c>
      <c r="E218">
        <v>1353</v>
      </c>
      <c r="F218">
        <v>44</v>
      </c>
      <c r="G218" t="s">
        <v>164</v>
      </c>
      <c r="H218">
        <v>0.78</v>
      </c>
      <c r="I218">
        <f>inputs!$C$65*(inputs!$C$62/1000)</f>
        <v>0.82000000000000006</v>
      </c>
      <c r="J218">
        <f>inputs!$C$65*(inputs!$C$61/1000)</f>
        <v>0.25</v>
      </c>
      <c r="K218">
        <f t="shared" si="20"/>
        <v>0.43725818798100968</v>
      </c>
      <c r="L218">
        <f>((0.301*F218^0.751)/(1-H218))*J218/F218</f>
        <v>0.13331042316494199</v>
      </c>
      <c r="M218">
        <f>IF((((1.18*F218^0.874)/3.7-(0.301*F218^0.751)/(1-H218)*H218)*(MAX('Min rate concentrations'!$P$3:$P$368)))/F218&gt;0, (((1.18*F218^0.874)/3.7-(0.301*F218^0.751)/(1-H218)*H218)*(MAX('Min rate concentrations'!$P$3:$P$368)))/F218, 0)</f>
        <v>0</v>
      </c>
      <c r="N218">
        <f>IF((((1.18*F218^0.874)/3.7-(0.301*F218^0.751)/(1-H218)*H218)*(MAX('Min rate concentrations'!$Q$3:$Q$368)))/F218&gt;0, (((1.18*F218^0.874)/3.7-(0.301*F218^0.751)/(1-H218)*H218)*(MAX('Min rate concentrations'!$Q$3:$Q$368)))/F218, 0)</f>
        <v>0</v>
      </c>
      <c r="O218">
        <f>((MAX('Min rate concentrations'!$F$3:$F$368))*0.62*6.01*8*(10*F218^0.667)*0.079*0.1/F218)*inputs!$E$80/(10^(0.84+0.62*LOG10(inputs!$E$80)))</f>
        <v>6.9395679744374057</v>
      </c>
      <c r="P218">
        <f>((MAX('Min rate concentrations'!Y:Y))*0.62*6.01*8*(10*F218^0.667)*0.079*0.1/F218)*inputs!$E$80/(10^(0.84+0.62*LOG10(inputs!$E$80)))</f>
        <v>2.3131893248124684</v>
      </c>
      <c r="Q218">
        <f>(inputs!$C$7*11.2*(10*F218^0.667)*0.5/F218)*inputs!$E$80/(10^(0.84+0.62*LOG10(inputs!$E$80)))</f>
        <v>1.2223721676829078</v>
      </c>
      <c r="R218">
        <f>(60*284*((F218/1000)^0.77)*3*24*(MAX('Min rate concentrations'!$R$3:$R$368))/F218)*(inputs!$E$73*3.4/inputs!$E$75)</f>
        <v>9.6148251193539491E-3</v>
      </c>
      <c r="S218">
        <f>(IF(inputs!$C$6="aerial",((0.025*0.112*inputs!$C$7/3.3)*(3*60*284*((F218/1000)^0.77))*MAX(inputs!$H$14:$H$16))/F218,((0.0083*0.112*inputs!$C$7/1)*(3*60*284*((F218/1000)^0.77))*MAX(inputs!$H$14:$H$16))/F218))*(inputs!E$75*3.4/inputs!$E$73)</f>
        <v>5.3026351251835829E-2</v>
      </c>
      <c r="T218">
        <f>IF((((inputs!$P$12/(V218/MAX(K218:S218)))^(1/inputs!$O$12))-1)/inputs!$N$12&lt;0, 0, IF((((inputs!$P$12/(V218/MAX(K218:S218)))^(1/inputs!$O$12))-1)/inputs!$N$12&gt;inputs!$H$17, inputs!$H$17, (((inputs!$P$12/(V218/MAX(K218:S218)))^(1/inputs!$O$12))-1)/inputs!$N$12))</f>
        <v>176.77255055899121</v>
      </c>
      <c r="U218">
        <f>IF((((inputs!$P$12/(X218/MAX(K218:S218)))^(1/inputs!$O$12))-1)/inputs!$N$12&lt;0, 0, IF((((inputs!$P$12/(X218/MAX(K218:S218)))^(1/inputs!$O$12))-1)/inputs!$N$12&gt;inputs!$H$17, inputs!$H$17, (((inputs!$P$12/(X218/MAX(K218:S218)))^(1/inputs!$O$12))-1)/inputs!$N$12))</f>
        <v>0</v>
      </c>
      <c r="V218">
        <f>inputs!$E$78*(F218/inputs!$F$78)^(inputs!$E$84-1)</f>
        <v>2.5744004973284332E-2</v>
      </c>
      <c r="W218">
        <f>inputs!$E$85*(F218/inputs!$F$85)^(inputs!$E$84-1)</f>
        <v>1.1888107250470454</v>
      </c>
      <c r="X218">
        <f>inputs!$E$80*(F218/inputs!$F$80)^(inputs!$E$84-1)</f>
        <v>4.4392299226440306</v>
      </c>
      <c r="Y218">
        <f>inputs!$E$82*(F218/inputs!$F$82)^(inputs!$E$84-1)</f>
        <v>2.0459709215610178</v>
      </c>
      <c r="Z218">
        <f t="shared" si="21"/>
        <v>269.5605435766073</v>
      </c>
      <c r="AA218">
        <f t="shared" si="22"/>
        <v>5.8374035733592349</v>
      </c>
    </row>
    <row r="219" spans="1:27" x14ac:dyDescent="0.3">
      <c r="A219" t="s">
        <v>319</v>
      </c>
      <c r="B219" t="s">
        <v>320</v>
      </c>
      <c r="C219" t="s">
        <v>73</v>
      </c>
      <c r="D219" t="s">
        <v>240</v>
      </c>
      <c r="E219">
        <v>1353</v>
      </c>
      <c r="F219">
        <v>44</v>
      </c>
      <c r="G219" t="s">
        <v>152</v>
      </c>
      <c r="H219">
        <v>0.77</v>
      </c>
      <c r="I219">
        <f>MAX('Min rate concentrations'!$G$3:$G$368)</f>
        <v>7.5</v>
      </c>
      <c r="J219">
        <f>MAX('Min rate concentrations'!Z:Z)</f>
        <v>3.5</v>
      </c>
      <c r="K219">
        <f t="shared" si="20"/>
        <v>3.8254295342983351</v>
      </c>
      <c r="L219">
        <f>((0.301*F219^0.751)/(1-H219))*J219/F219</f>
        <v>1.7852004493392228</v>
      </c>
      <c r="M219">
        <f>IF((((1.18*F219^0.874)/3.7-(0.301*F219^0.751)/(1-H219)*H219)*(MAX('Min rate concentrations'!$P$3:$P$368)))/F219&gt;0, (((1.18*F219^0.874)/3.7-(0.301*F219^0.751)/(1-H219)*H219)*(MAX('Min rate concentrations'!$P$3:$P$368)))/F219, 0)</f>
        <v>0</v>
      </c>
      <c r="N219">
        <f>IF((((1.18*F219^0.874)/3.7-(0.301*F219^0.751)/(1-H219)*H219)*(MAX('Min rate concentrations'!$Q$3:$Q$368)))/F219&gt;0, (((1.18*F219^0.874)/3.7-(0.301*F219^0.751)/(1-H219)*H219)*(MAX('Min rate concentrations'!$Q$3:$Q$368)))/F219, 0)</f>
        <v>0</v>
      </c>
      <c r="O219">
        <f>((MAX('Min rate concentrations'!$F$3:$F$368))*0.62*6.01*8*(10*F219^0.667)*0.079*0.1/F219)*inputs!$E$80/(10^(0.84+0.62*LOG10(inputs!$E$80)))</f>
        <v>6.9395679744374057</v>
      </c>
      <c r="P219">
        <f>((MAX('Min rate concentrations'!Y:Y))*0.62*6.01*8*(10*F219^0.667)*0.079*0.1/F219)*inputs!$E$80/(10^(0.84+0.62*LOG10(inputs!$E$80)))</f>
        <v>2.3131893248124684</v>
      </c>
      <c r="Q219">
        <f>(inputs!$C$7*11.2*(10*F219^0.667)*0.5/F219)*inputs!$E$80/(10^(0.84+0.62*LOG10(inputs!$E$80)))</f>
        <v>1.2223721676829078</v>
      </c>
      <c r="R219">
        <f>(60*284*((F219/1000)^0.77)*3*24*(MAX('Min rate concentrations'!$R$3:$R$368))/F219)*(inputs!$E$73*3.4/inputs!$E$75)</f>
        <v>9.6148251193539491E-3</v>
      </c>
      <c r="S219">
        <f>(IF(inputs!$C$6="aerial",((0.025*0.112*inputs!$C$7/3.3)*(3*60*284*((F219/1000)^0.77))*MAX(inputs!$H$14:$H$16))/F219,((0.0083*0.112*inputs!$C$7/1)*(3*60*284*((F219/1000)^0.77))*MAX(inputs!$H$14:$H$16))/F219))*(inputs!E$75*3.4/inputs!$E$73)</f>
        <v>5.3026351251835829E-2</v>
      </c>
      <c r="T219">
        <f>IF((((inputs!$P$12/(V219/MAX(K219:S219)))^(1/inputs!$O$12))-1)/inputs!$N$12&lt;0, 0, IF((((inputs!$P$12/(V219/MAX(K219:S219)))^(1/inputs!$O$12))-1)/inputs!$N$12&gt;inputs!$H$17, inputs!$H$17, (((inputs!$P$12/(V219/MAX(K219:S219)))^(1/inputs!$O$12))-1)/inputs!$N$12))</f>
        <v>176.77255055899121</v>
      </c>
      <c r="U219">
        <f>IF((((inputs!$P$12/(X219/MAX(K219:S219)))^(1/inputs!$O$12))-1)/inputs!$N$12&lt;0, 0, IF((((inputs!$P$12/(X219/MAX(K219:S219)))^(1/inputs!$O$12))-1)/inputs!$N$12&gt;inputs!$H$17, inputs!$H$17, (((inputs!$P$12/(X219/MAX(K219:S219)))^(1/inputs!$O$12))-1)/inputs!$N$12))</f>
        <v>0</v>
      </c>
      <c r="V219">
        <f>inputs!$E$78*(F219/inputs!$F$78)^(inputs!$E$84-1)</f>
        <v>2.5744004973284332E-2</v>
      </c>
      <c r="W219">
        <f>inputs!$E$85*(F219/inputs!$F$85)^(inputs!$E$84-1)</f>
        <v>1.1888107250470454</v>
      </c>
      <c r="X219">
        <f>inputs!$E$80*(F219/inputs!$F$80)^(inputs!$E$84-1)</f>
        <v>4.4392299226440306</v>
      </c>
      <c r="Y219">
        <f>inputs!$E$82*(F219/inputs!$F$82)^(inputs!$E$84-1)</f>
        <v>2.0459709215610178</v>
      </c>
      <c r="Z219">
        <f t="shared" si="21"/>
        <v>269.5605435766073</v>
      </c>
      <c r="AA219">
        <f t="shared" si="22"/>
        <v>5.8374035733592349</v>
      </c>
    </row>
    <row r="220" spans="1:27" x14ac:dyDescent="0.3">
      <c r="A220" t="s">
        <v>319</v>
      </c>
      <c r="B220" t="s">
        <v>320</v>
      </c>
      <c r="C220" t="s">
        <v>73</v>
      </c>
      <c r="D220" t="s">
        <v>240</v>
      </c>
      <c r="E220">
        <v>1353</v>
      </c>
      <c r="F220">
        <v>44</v>
      </c>
      <c r="G220" t="s">
        <v>154</v>
      </c>
      <c r="H220">
        <v>9.2999999999999999E-2</v>
      </c>
      <c r="I220">
        <f>MAX('Min rate concentrations'!$G$3:$G$368)</f>
        <v>7.5</v>
      </c>
      <c r="J220">
        <f>MAX('Min rate concentrations'!Z:Z)</f>
        <v>3.5</v>
      </c>
      <c r="K220">
        <f t="shared" si="20"/>
        <v>0.97006482126639115</v>
      </c>
      <c r="M220">
        <f>IF((((1.18*F220^0.874)/3.7-(0.301*F220^0.751)/(1-H220)*H220)*(MAX('Min rate concentrations'!$P$3:$P$368)))/F220&gt;0, (((1.18*F220^0.874)/3.7-(0.301*F220^0.751)/(1-H220)*H220)*(MAX('Min rate concentrations'!$P$3:$P$368)))/F220, 0)</f>
        <v>2.6989386422423347E-2</v>
      </c>
      <c r="N220">
        <f>IF((((1.18*F220^0.874)/3.7-(0.301*F220^0.751)/(1-H220)*H220)*(MAX('Min rate concentrations'!$Q$3:$Q$368)))/F220&gt;0, (((1.18*F220^0.874)/3.7-(0.301*F220^0.751)/(1-H220)*H220)*(MAX('Min rate concentrations'!$Q$3:$Q$368)))/F220, 0)</f>
        <v>0.10277703368180115</v>
      </c>
      <c r="O220">
        <f>((MAX('Min rate concentrations'!$F$3:$F$368))*0.62*6.01*8*(10*F220^0.667)*0.079*0.1/F220)*inputs!$E$80/(10^(0.84+0.62*LOG10(inputs!$E$80)))</f>
        <v>6.9395679744374057</v>
      </c>
      <c r="P220">
        <f>((MAX('Min rate concentrations'!Y:Y))*0.62*6.01*8*(10*F220^0.667)*0.079*0.1/F220)*inputs!$E$80/(10^(0.84+0.62*LOG10(inputs!$E$80)))</f>
        <v>2.3131893248124684</v>
      </c>
      <c r="Q220">
        <f>(inputs!$C$7*11.2*(10*F220^0.667)*0.5/F220)*inputs!$E$80/(10^(0.84+0.62*LOG10(inputs!$E$80)))</f>
        <v>1.2223721676829078</v>
      </c>
      <c r="R220">
        <f>(60*284*((F220/1000)^0.77)*3*24*(MAX('Min rate concentrations'!$R$3:$R$368))/F220)*(inputs!$E$73*3.4/inputs!$E$75)</f>
        <v>9.6148251193539491E-3</v>
      </c>
      <c r="S220">
        <f>(IF(inputs!$C$6="aerial",((0.025*0.112*inputs!$C$7/3.3)*(3*60*284*((F220/1000)^0.77))*MAX(inputs!$H$14:$H$16))/F220,((0.0083*0.112*inputs!$C$7/1)*(3*60*284*((F220/1000)^0.77))*MAX(inputs!$H$14:$H$16))/F220))*(inputs!E$75*3.4/inputs!$E$73)</f>
        <v>5.3026351251835829E-2</v>
      </c>
      <c r="T220">
        <f>IF((((inputs!$P$12/(V220/MAX(K220:S220)))^(1/inputs!$O$12))-1)/inputs!$N$12&lt;0, 0, IF((((inputs!$P$12/(V220/MAX(K220:S220)))^(1/inputs!$O$12))-1)/inputs!$N$12&gt;inputs!$H$17, inputs!$H$17, (((inputs!$P$12/(V220/MAX(K220:S220)))^(1/inputs!$O$12))-1)/inputs!$N$12))</f>
        <v>176.77255055899121</v>
      </c>
      <c r="U220">
        <f>IF((((inputs!$P$12/(X220/MAX(K220:S220)))^(1/inputs!$O$12))-1)/inputs!$N$12&lt;0, 0, IF((((inputs!$P$12/(X220/MAX(K220:S220)))^(1/inputs!$O$12))-1)/inputs!$N$12&gt;inputs!$H$17, inputs!$H$17, (((inputs!$P$12/(X220/MAX(K220:S220)))^(1/inputs!$O$12))-1)/inputs!$N$12))</f>
        <v>0</v>
      </c>
      <c r="V220">
        <f>inputs!$E$78*(F220/inputs!$F$78)^(inputs!$E$84-1)</f>
        <v>2.5744004973284332E-2</v>
      </c>
      <c r="W220">
        <f>inputs!$E$85*(F220/inputs!$F$85)^(inputs!$E$84-1)</f>
        <v>1.1888107250470454</v>
      </c>
      <c r="X220">
        <f>inputs!$E$80*(F220/inputs!$F$80)^(inputs!$E$84-1)</f>
        <v>4.4392299226440306</v>
      </c>
      <c r="Y220">
        <f>inputs!$E$82*(F220/inputs!$F$82)^(inputs!$E$84-1)</f>
        <v>2.0459709215610178</v>
      </c>
      <c r="Z220">
        <f t="shared" si="21"/>
        <v>269.5605435766073</v>
      </c>
      <c r="AA220">
        <f t="shared" si="22"/>
        <v>5.8374035733592349</v>
      </c>
    </row>
    <row r="221" spans="1:27" x14ac:dyDescent="0.3">
      <c r="A221" t="s">
        <v>319</v>
      </c>
      <c r="B221" t="s">
        <v>320</v>
      </c>
      <c r="C221" t="s">
        <v>73</v>
      </c>
      <c r="D221" t="s">
        <v>240</v>
      </c>
      <c r="E221">
        <v>1353</v>
      </c>
      <c r="F221">
        <v>44</v>
      </c>
      <c r="G221" t="s">
        <v>146</v>
      </c>
      <c r="H221">
        <v>0.84</v>
      </c>
      <c r="I221">
        <f>MAX('Min rate concentrations'!$I$3:$I$368)</f>
        <v>9.4775690500787988</v>
      </c>
      <c r="J221" t="s">
        <v>13</v>
      </c>
      <c r="K221">
        <f t="shared" si="20"/>
        <v>6.9490230735252876</v>
      </c>
      <c r="L221" t="s">
        <v>13</v>
      </c>
      <c r="M221">
        <f>IF((((1.18*F221^0.874)/3.7-(0.301*F221^0.751)/(1-H221)*H221)*(MAX('Min rate concentrations'!$P$3:$P$368)))/F221&gt;0, (((1.18*F221^0.874)/3.7-(0.301*F221^0.751)/(1-H221)*H221)*(MAX('Min rate concentrations'!$P$3:$P$368)))/F221, 0)</f>
        <v>0</v>
      </c>
      <c r="N221">
        <f>IF((((1.18*F221^0.874)/3.7-(0.301*F221^0.751)/(1-H221)*H221)*(MAX('Min rate concentrations'!$Q$3:$Q$368)))/F221&gt;0, (((1.18*F221^0.874)/3.7-(0.301*F221^0.751)/(1-H221)*H221)*(MAX('Min rate concentrations'!$Q$3:$Q$368)))/F221, 0)</f>
        <v>0</v>
      </c>
      <c r="O221">
        <f>((MAX('Min rate concentrations'!$F$3:$F$368))*0.62*6.01*8*(10*F221^0.667)*0.079*0.1/F221)*inputs!$E$80/(10^(0.84+0.62*LOG10(inputs!$E$80)))</f>
        <v>6.9395679744374057</v>
      </c>
      <c r="P221">
        <f>((MAX('Min rate concentrations'!Y:Y))*0.62*6.01*8*(10*F221^0.667)*0.079*0.1/F221)*inputs!$E$80/(10^(0.84+0.62*LOG10(inputs!$E$80)))</f>
        <v>2.3131893248124684</v>
      </c>
      <c r="Q221">
        <f>(inputs!$C$7*11.2*(10*F221^0.667)*0.5/F221)*inputs!$E$80/(10^(0.84+0.62*LOG10(inputs!$E$80)))</f>
        <v>1.2223721676829078</v>
      </c>
      <c r="R221">
        <f>(60*284*((F221/1000)^0.77)*3*24*(MAX('Min rate concentrations'!$R$3:$R$368))/F221)*(inputs!$E$73*3.4/inputs!$E$75)</f>
        <v>9.6148251193539491E-3</v>
      </c>
      <c r="S221">
        <f>(IF(inputs!$C$6="aerial",((0.025*0.112*inputs!$C$7/3.3)*(3*60*284*((F221/1000)^0.77))*MAX(inputs!$H$14:$H$16))/F221,((0.0083*0.112*inputs!$C$7/1)*(3*60*284*((F221/1000)^0.77))*MAX(inputs!$H$14:$H$16))/F221))*(inputs!E$75*3.4/inputs!$E$73)</f>
        <v>5.3026351251835829E-2</v>
      </c>
      <c r="T221">
        <f>IF((((inputs!$P$12/(V221/MAX(K221:S221)))^(1/inputs!$O$12))-1)/inputs!$N$12&lt;0, 0, IF((((inputs!$P$12/(V221/MAX(K221:S221)))^(1/inputs!$O$12))-1)/inputs!$N$12&gt;inputs!$H$17, inputs!$H$17, (((inputs!$P$12/(V221/MAX(K221:S221)))^(1/inputs!$O$12))-1)/inputs!$N$12))</f>
        <v>176.88625570547995</v>
      </c>
      <c r="U221">
        <f>IF((((inputs!$P$12/(X221/MAX(K221:S221)))^(1/inputs!$O$12))-1)/inputs!$N$12&lt;0, 0, IF((((inputs!$P$12/(X221/MAX(K221:S221)))^(1/inputs!$O$12))-1)/inputs!$N$12&gt;inputs!$H$17, inputs!$H$17, (((inputs!$P$12/(X221/MAX(K221:S221)))^(1/inputs!$O$12))-1)/inputs!$N$12))</f>
        <v>0</v>
      </c>
      <c r="V221">
        <f>inputs!$E$78*(F221/inputs!$F$78)^(inputs!$E$84-1)</f>
        <v>2.5744004973284332E-2</v>
      </c>
      <c r="W221">
        <f>inputs!$E$85*(F221/inputs!$F$85)^(inputs!$E$84-1)</f>
        <v>1.1888107250470454</v>
      </c>
      <c r="X221">
        <f>inputs!$E$80*(F221/inputs!$F$80)^(inputs!$E$84-1)</f>
        <v>4.4392299226440306</v>
      </c>
      <c r="Y221">
        <f>inputs!$E$82*(F221/inputs!$F$82)^(inputs!$E$84-1)</f>
        <v>2.0459709215610178</v>
      </c>
      <c r="Z221">
        <f t="shared" si="21"/>
        <v>269.92781739813171</v>
      </c>
      <c r="AA221">
        <f t="shared" si="22"/>
        <v>5.845356983341726</v>
      </c>
    </row>
    <row r="222" spans="1:27" x14ac:dyDescent="0.3">
      <c r="A222" t="s">
        <v>248</v>
      </c>
      <c r="B222" t="s">
        <v>252</v>
      </c>
      <c r="C222" t="s">
        <v>73</v>
      </c>
      <c r="D222" t="s">
        <v>240</v>
      </c>
      <c r="E222">
        <v>67</v>
      </c>
      <c r="F222">
        <v>5400</v>
      </c>
      <c r="G222" t="s">
        <v>182</v>
      </c>
      <c r="H222">
        <v>0.85</v>
      </c>
      <c r="I222">
        <f>MAX('Min rate concentrations'!$M$3:$M$368)</f>
        <v>2.8488184789681945</v>
      </c>
      <c r="J222">
        <f>MAX('Min rate concentrations'!AE:AE)</f>
        <v>1.9699276716269429</v>
      </c>
      <c r="K222">
        <f t="shared" si="20"/>
        <v>0.67262649152049014</v>
      </c>
      <c r="L222">
        <f t="shared" ref="L222:L228" si="24">((0.301*F222^0.751)/(1-H222))*J222/F222</f>
        <v>0.4651140632854453</v>
      </c>
      <c r="M222">
        <f>IF((((1.18*F222^0.874)/3.7-(0.301*F222^0.751)/(1-H222)*H222)*(MAX('Min rate concentrations'!$P$3:$P$368)))/F222&gt;0, (((1.18*F222^0.874)/3.7-(0.301*F222^0.751)/(1-H222)*H222)*(MAX('Min rate concentrations'!$P$3:$P$368)))/F222, 0)</f>
        <v>0</v>
      </c>
      <c r="N222">
        <f>IF((((1.18*F222^0.874)/3.7-(0.301*F222^0.751)/(1-H222)*H222)*(MAX('Min rate concentrations'!$Q$3:$Q$368)))/F222&gt;0, (((1.18*F222^0.874)/3.7-(0.301*F222^0.751)/(1-H222)*H222)*(MAX('Min rate concentrations'!$Q$3:$Q$368)))/F222, 0)</f>
        <v>0</v>
      </c>
      <c r="O222">
        <f>((MAX('Min rate concentrations'!$F$3:$F$368))*0.62*6.01*8*(10*F222^0.667)*0.079*0.1/F222)*inputs!$E$80/(10^(0.84+0.62*LOG10(inputs!$E$80)))</f>
        <v>1.3986693351125064</v>
      </c>
      <c r="P222">
        <f>((MAX('Min rate concentrations'!Y:Y))*0.62*6.01*8*(10*F222^0.667)*0.079*0.1/F222)*inputs!$E$80/(10^(0.84+0.62*LOG10(inputs!$E$80)))</f>
        <v>0.46622311170416869</v>
      </c>
      <c r="Q222">
        <f>(inputs!$C$7*11.2*(10*F222^0.667)*0.5/F222)*inputs!$E$80/(10^(0.84+0.62*LOG10(inputs!$E$80)))</f>
        <v>0.24636900644693105</v>
      </c>
      <c r="R222">
        <f>(60*284*((F222/1000)^0.77)*3*24*(MAX('Min rate concentrations'!$R$3:$R$368))/F222)*(inputs!$E$73*3.4/inputs!$E$75)</f>
        <v>3.1804234009272744E-3</v>
      </c>
      <c r="S222">
        <f>(IF(inputs!$C$6="aerial",((0.025*0.112*inputs!$C$7/3.3)*(3*60*284*((F222/1000)^0.77))*MAX(inputs!$H$14:$H$16))/F222,((0.0083*0.112*inputs!$C$7/1)*(3*60*284*((F222/1000)^0.77))*MAX(inputs!$H$14:$H$16))/F222))*(inputs!E$75*3.4/inputs!$E$73)</f>
        <v>1.7540230455950281E-2</v>
      </c>
      <c r="T222">
        <f>IF((((inputs!$P$12/(V222/MAX(K222:S222)))^(1/inputs!$O$12))-1)/inputs!$N$12&lt;0, 0, IF((((inputs!$P$12/(V222/MAX(K222:S222)))^(1/inputs!$O$12))-1)/inputs!$N$12&gt;inputs!$H$17, inputs!$H$17, (((inputs!$P$12/(V222/MAX(K222:S222)))^(1/inputs!$O$12))-1)/inputs!$N$12))</f>
        <v>192.1817040904908</v>
      </c>
      <c r="U222">
        <f>IF((((inputs!$P$12/(X222/MAX(K222:S222)))^(1/inputs!$O$12))-1)/inputs!$N$12&lt;0, 0, IF((((inputs!$P$12/(X222/MAX(K222:S222)))^(1/inputs!$O$12))-1)/inputs!$N$12&gt;inputs!$H$17, inputs!$H$17, (((inputs!$P$12/(X222/MAX(K222:S222)))^(1/inputs!$O$12))-1)/inputs!$N$12))</f>
        <v>0</v>
      </c>
      <c r="V222">
        <f>inputs!$E$78*(F222/inputs!$F$78)^(inputs!$E$84-1)</f>
        <v>4.3427808073074944E-3</v>
      </c>
      <c r="W222">
        <f>inputs!$E$85*(F222/inputs!$F$85)^(inputs!$E$84-1)</f>
        <v>0.20054161757711042</v>
      </c>
      <c r="X222">
        <f>inputs!$E$80*(F222/inputs!$F$80)^(inputs!$E$84-1)</f>
        <v>0.74885793905376674</v>
      </c>
      <c r="Y222">
        <f>inputs!$E$82*(F222/inputs!$F$82)^(inputs!$E$84-1)</f>
        <v>0.34513679047549034</v>
      </c>
      <c r="Z222">
        <f t="shared" si="21"/>
        <v>322.06767902239011</v>
      </c>
      <c r="AA222">
        <f t="shared" si="22"/>
        <v>6.9744592270215575</v>
      </c>
    </row>
    <row r="223" spans="1:27" x14ac:dyDescent="0.3">
      <c r="A223" t="s">
        <v>248</v>
      </c>
      <c r="B223" t="s">
        <v>252</v>
      </c>
      <c r="C223" t="s">
        <v>73</v>
      </c>
      <c r="D223" t="s">
        <v>240</v>
      </c>
      <c r="E223">
        <v>67</v>
      </c>
      <c r="F223">
        <v>5400</v>
      </c>
      <c r="G223" t="s">
        <v>142</v>
      </c>
      <c r="H223">
        <v>0.69</v>
      </c>
      <c r="I223">
        <f>MAX('Min rate concentrations'!$H$3:$H$368)</f>
        <v>47</v>
      </c>
      <c r="J223">
        <f>MAX('Min rate concentrations'!AA:AA)</f>
        <v>32.5</v>
      </c>
      <c r="K223">
        <f t="shared" si="20"/>
        <v>5.3695342078944188</v>
      </c>
      <c r="L223">
        <f t="shared" si="24"/>
        <v>3.7129757820546514</v>
      </c>
      <c r="M223">
        <f>IF((((1.18*F223^0.874)/3.7-(0.301*F223^0.751)/(1-H223)*H223)*(MAX('Min rate concentrations'!$P$3:$P$368)))/F223&gt;0, (((1.18*F223^0.874)/3.7-(0.301*F223^0.751)/(1-H223)*H223)*(MAX('Min rate concentrations'!$P$3:$P$368)))/F223, 0)</f>
        <v>4.2331595632441824E-3</v>
      </c>
      <c r="N223">
        <f>IF((((1.18*F223^0.874)/3.7-(0.301*F223^0.751)/(1-H223)*H223)*(MAX('Min rate concentrations'!$Q$3:$Q$368)))/F223&gt;0, (((1.18*F223^0.874)/3.7-(0.301*F223^0.751)/(1-H223)*H223)*(MAX('Min rate concentrations'!$Q$3:$Q$368)))/F223, 0)</f>
        <v>1.6120099071630596E-2</v>
      </c>
      <c r="O223">
        <f>((MAX('Min rate concentrations'!$F$3:$F$368))*0.62*6.01*8*(10*F223^0.667)*0.079*0.1/F223)*inputs!$E$80/(10^(0.84+0.62*LOG10(inputs!$E$80)))</f>
        <v>1.3986693351125064</v>
      </c>
      <c r="P223">
        <f>((MAX('Min rate concentrations'!Y:Y))*0.62*6.01*8*(10*F223^0.667)*0.079*0.1/F223)*inputs!$E$80/(10^(0.84+0.62*LOG10(inputs!$E$80)))</f>
        <v>0.46622311170416869</v>
      </c>
      <c r="Q223">
        <f>(inputs!$C$7*11.2*(10*F223^0.667)*0.5/F223)*inputs!$E$80/(10^(0.84+0.62*LOG10(inputs!$E$80)))</f>
        <v>0.24636900644693105</v>
      </c>
      <c r="R223">
        <f>(60*284*((F223/1000)^0.77)*3*24*(MAX('Min rate concentrations'!$R$3:$R$368))/F223)*(inputs!$E$73*3.4/inputs!$E$75)</f>
        <v>3.1804234009272744E-3</v>
      </c>
      <c r="S223">
        <f>(IF(inputs!$C$6="aerial",((0.025*0.112*inputs!$C$7/3.3)*(3*60*284*((F223/1000)^0.77))*MAX(inputs!$H$14:$H$16))/F223,((0.0083*0.112*inputs!$C$7/1)*(3*60*284*((F223/1000)^0.77))*MAX(inputs!$H$14:$H$16))/F223))*(inputs!E$75*3.4/inputs!$E$73)</f>
        <v>1.7540230455950281E-2</v>
      </c>
      <c r="T223">
        <f>IF((((inputs!$P$12/(V223/MAX(K223:S223)))^(1/inputs!$O$12))-1)/inputs!$N$12&lt;0, 0, IF((((inputs!$P$12/(V223/MAX(K223:S223)))^(1/inputs!$O$12))-1)/inputs!$N$12&gt;inputs!$H$17, inputs!$H$17, (((inputs!$P$12/(V223/MAX(K223:S223)))^(1/inputs!$O$12))-1)/inputs!$N$12))</f>
        <v>352.90091572576898</v>
      </c>
      <c r="U223">
        <f>IF((((inputs!$P$12/(X223/MAX(K223:S223)))^(1/inputs!$O$12))-1)/inputs!$N$12&lt;0, 0, IF((((inputs!$P$12/(X223/MAX(K223:S223)))^(1/inputs!$O$12))-1)/inputs!$N$12&gt;inputs!$H$17, inputs!$H$17, (((inputs!$P$12/(X223/MAX(K223:S223)))^(1/inputs!$O$12))-1)/inputs!$N$12))</f>
        <v>18.461836006689119</v>
      </c>
      <c r="V223">
        <f>inputs!$E$78*(F223/inputs!$F$78)^(inputs!$E$84-1)</f>
        <v>4.3427808073074944E-3</v>
      </c>
      <c r="W223">
        <f>inputs!$E$85*(F223/inputs!$F$85)^(inputs!$E$84-1)</f>
        <v>0.20054161757711042</v>
      </c>
      <c r="X223">
        <f>inputs!$E$80*(F223/inputs!$F$80)^(inputs!$E$84-1)</f>
        <v>0.74885793905376674</v>
      </c>
      <c r="Y223">
        <f>inputs!$E$82*(F223/inputs!$F$82)^(inputs!$E$84-1)</f>
        <v>0.34513679047549034</v>
      </c>
      <c r="Z223">
        <f t="shared" si="21"/>
        <v>1236.4276361494531</v>
      </c>
      <c r="AA223">
        <f t="shared" si="22"/>
        <v>26.775161548847958</v>
      </c>
    </row>
    <row r="224" spans="1:27" x14ac:dyDescent="0.3">
      <c r="A224" t="s">
        <v>248</v>
      </c>
      <c r="B224" t="s">
        <v>252</v>
      </c>
      <c r="C224" t="s">
        <v>73</v>
      </c>
      <c r="D224" t="s">
        <v>240</v>
      </c>
      <c r="E224">
        <v>67</v>
      </c>
      <c r="F224">
        <v>5400</v>
      </c>
      <c r="G224" t="s">
        <v>164</v>
      </c>
      <c r="H224">
        <v>0.78</v>
      </c>
      <c r="I224">
        <f>inputs!$C$65*(inputs!$C$62/1000)</f>
        <v>0.82000000000000006</v>
      </c>
      <c r="J224">
        <f>inputs!$C$65*(inputs!$C$61/1000)</f>
        <v>0.25</v>
      </c>
      <c r="K224">
        <f t="shared" si="20"/>
        <v>0.13200537675500598</v>
      </c>
      <c r="L224">
        <f t="shared" si="24"/>
        <v>4.0245541693599382E-2</v>
      </c>
      <c r="M224">
        <f>IF((((1.18*F224^0.874)/3.7-(0.301*F224^0.751)/(1-H224)*H224)*(MAX('Min rate concentrations'!$P$3:$P$368)))/F224&gt;0, (((1.18*F224^0.874)/3.7-(0.301*F224^0.751)/(1-H224)*H224)*(MAX('Min rate concentrations'!$P$3:$P$368)))/F224, 0)</f>
        <v>0</v>
      </c>
      <c r="N224">
        <f>IF((((1.18*F224^0.874)/3.7-(0.301*F224^0.751)/(1-H224)*H224)*(MAX('Min rate concentrations'!$Q$3:$Q$368)))/F224&gt;0, (((1.18*F224^0.874)/3.7-(0.301*F224^0.751)/(1-H224)*H224)*(MAX('Min rate concentrations'!$Q$3:$Q$368)))/F224, 0)</f>
        <v>0</v>
      </c>
      <c r="O224">
        <f>((MAX('Min rate concentrations'!$F$3:$F$368))*0.62*6.01*8*(10*F224^0.667)*0.079*0.1/F224)*inputs!$E$80/(10^(0.84+0.62*LOG10(inputs!$E$80)))</f>
        <v>1.3986693351125064</v>
      </c>
      <c r="P224">
        <f>((MAX('Min rate concentrations'!Y:Y))*0.62*6.01*8*(10*F224^0.667)*0.079*0.1/F224)*inputs!$E$80/(10^(0.84+0.62*LOG10(inputs!$E$80)))</f>
        <v>0.46622311170416869</v>
      </c>
      <c r="Q224">
        <f>(inputs!$C$7*11.2*(10*F224^0.667)*0.5/F224)*inputs!$E$80/(10^(0.84+0.62*LOG10(inputs!$E$80)))</f>
        <v>0.24636900644693105</v>
      </c>
      <c r="R224">
        <f>(60*284*((F224/1000)^0.77)*3*24*(MAX('Min rate concentrations'!$R$3:$R$368))/F224)*(inputs!$E$73*3.4/inputs!$E$75)</f>
        <v>3.1804234009272744E-3</v>
      </c>
      <c r="S224">
        <f>(IF(inputs!$C$6="aerial",((0.025*0.112*inputs!$C$7/3.3)*(3*60*284*((F224/1000)^0.77))*MAX(inputs!$H$14:$H$16))/F224,((0.0083*0.112*inputs!$C$7/1)*(3*60*284*((F224/1000)^0.77))*MAX(inputs!$H$14:$H$16))/F224))*(inputs!E$75*3.4/inputs!$E$73)</f>
        <v>1.7540230455950281E-2</v>
      </c>
      <c r="T224">
        <f>IF((((inputs!$P$12/(V224/MAX(K224:S224)))^(1/inputs!$O$12))-1)/inputs!$N$12&lt;0, 0, IF((((inputs!$P$12/(V224/MAX(K224:S224)))^(1/inputs!$O$12))-1)/inputs!$N$12&gt;inputs!$H$17, inputs!$H$17, (((inputs!$P$12/(V224/MAX(K224:S224)))^(1/inputs!$O$12))-1)/inputs!$N$12))</f>
        <v>192.1817040904908</v>
      </c>
      <c r="U224">
        <f>IF((((inputs!$P$12/(X224/MAX(K224:S224)))^(1/inputs!$O$12))-1)/inputs!$N$12&lt;0, 0, IF((((inputs!$P$12/(X224/MAX(K224:S224)))^(1/inputs!$O$12))-1)/inputs!$N$12&gt;inputs!$H$17, inputs!$H$17, (((inputs!$P$12/(X224/MAX(K224:S224)))^(1/inputs!$O$12))-1)/inputs!$N$12))</f>
        <v>0</v>
      </c>
      <c r="V224">
        <f>inputs!$E$78*(F224/inputs!$F$78)^(inputs!$E$84-1)</f>
        <v>4.3427808073074944E-3</v>
      </c>
      <c r="W224">
        <f>inputs!$E$85*(F224/inputs!$F$85)^(inputs!$E$84-1)</f>
        <v>0.20054161757711042</v>
      </c>
      <c r="X224">
        <f>inputs!$E$80*(F224/inputs!$F$80)^(inputs!$E$84-1)</f>
        <v>0.74885793905376674</v>
      </c>
      <c r="Y224">
        <f>inputs!$E$82*(F224/inputs!$F$82)^(inputs!$E$84-1)</f>
        <v>0.34513679047549034</v>
      </c>
      <c r="Z224">
        <f t="shared" si="21"/>
        <v>322.06767902239011</v>
      </c>
      <c r="AA224">
        <f t="shared" si="22"/>
        <v>6.9744592270215575</v>
      </c>
    </row>
    <row r="225" spans="1:27" x14ac:dyDescent="0.3">
      <c r="A225" t="s">
        <v>248</v>
      </c>
      <c r="B225" t="s">
        <v>252</v>
      </c>
      <c r="C225" t="s">
        <v>73</v>
      </c>
      <c r="D225" t="s">
        <v>240</v>
      </c>
      <c r="E225">
        <v>67</v>
      </c>
      <c r="F225">
        <v>5400</v>
      </c>
      <c r="G225" t="s">
        <v>138</v>
      </c>
      <c r="H225">
        <v>0.68</v>
      </c>
      <c r="I225">
        <f>MAX('Min rate concentrations'!$L$3:$L$368)</f>
        <v>58.421240152220811</v>
      </c>
      <c r="J225">
        <f>MAX('Min rate concentrations'!AD:AD)</f>
        <v>40.397666062705881</v>
      </c>
      <c r="K225">
        <f t="shared" si="20"/>
        <v>6.4657847549294578</v>
      </c>
      <c r="L225">
        <f t="shared" si="24"/>
        <v>4.4710213730895187</v>
      </c>
      <c r="M225">
        <f>IF((((1.18*F225^0.874)/3.7-(0.301*F225^0.751)/(1-H225)*H225)*(MAX('Min rate concentrations'!$P$3:$P$368)))/F225&gt;0, (((1.18*F225^0.874)/3.7-(0.301*F225^0.751)/(1-H225)*H225)*(MAX('Min rate concentrations'!$P$3:$P$368)))/F225, 0)</f>
        <v>4.7513625667980845E-3</v>
      </c>
      <c r="N225">
        <f>IF((((1.18*F225^0.874)/3.7-(0.301*F225^0.751)/(1-H225)*H225)*(MAX('Min rate concentrations'!$Q$3:$Q$368)))/F225&gt;0, (((1.18*F225^0.874)/3.7-(0.301*F225^0.751)/(1-H225)*H225)*(MAX('Min rate concentrations'!$Q$3:$Q$368)))/F225, 0)</f>
        <v>1.809344395308447E-2</v>
      </c>
      <c r="O225">
        <f>((MAX('Min rate concentrations'!$F$3:$F$368))*0.62*6.01*8*(10*F225^0.667)*0.079*0.1/F225)*inputs!$E$80/(10^(0.84+0.62*LOG10(inputs!$E$80)))</f>
        <v>1.3986693351125064</v>
      </c>
      <c r="P225">
        <f>((MAX('Min rate concentrations'!Y:Y))*0.62*6.01*8*(10*F225^0.667)*0.079*0.1/F225)*inputs!$E$80/(10^(0.84+0.62*LOG10(inputs!$E$80)))</f>
        <v>0.46622311170416869</v>
      </c>
      <c r="Q225">
        <f>(inputs!$C$7*11.2*(10*F225^0.667)*0.5/F225)*inputs!$E$80/(10^(0.84+0.62*LOG10(inputs!$E$80)))</f>
        <v>0.24636900644693105</v>
      </c>
      <c r="R225">
        <f>(60*284*((F225/1000)^0.77)*3*24*(MAX('Min rate concentrations'!$R$3:$R$368))/F225)*(inputs!$E$73*3.4/inputs!$E$75)</f>
        <v>3.1804234009272744E-3</v>
      </c>
      <c r="S225">
        <f>(IF(inputs!$C$6="aerial",((0.025*0.112*inputs!$C$7/3.3)*(3*60*284*((F225/1000)^0.77))*MAX(inputs!$H$14:$H$16))/F225,((0.0083*0.112*inputs!$C$7/1)*(3*60*284*((F225/1000)^0.77))*MAX(inputs!$H$14:$H$16))/F225))*(inputs!E$75*3.4/inputs!$E$73)</f>
        <v>1.7540230455950281E-2</v>
      </c>
      <c r="T225">
        <f>IF((((inputs!$P$12/(V225/MAX(K225:S225)))^(1/inputs!$O$12))-1)/inputs!$N$12&lt;0, 0, IF((((inputs!$P$12/(V225/MAX(K225:S225)))^(1/inputs!$O$12))-1)/inputs!$N$12&gt;inputs!$H$17, inputs!$H$17, (((inputs!$P$12/(V225/MAX(K225:S225)))^(1/inputs!$O$12))-1)/inputs!$N$12))</f>
        <v>382.83741211051409</v>
      </c>
      <c r="U225">
        <f>IF((((inputs!$P$12/(X225/MAX(K225:S225)))^(1/inputs!$O$12))-1)/inputs!$N$12&lt;0, 0, IF((((inputs!$P$12/(X225/MAX(K225:S225)))^(1/inputs!$O$12))-1)/inputs!$N$12&gt;inputs!$H$17, inputs!$H$17, (((inputs!$P$12/(X225/MAX(K225:S225)))^(1/inputs!$O$12))-1)/inputs!$N$12))</f>
        <v>22.147225875221842</v>
      </c>
      <c r="V225">
        <f>inputs!$E$78*(F225/inputs!$F$78)^(inputs!$E$84-1)</f>
        <v>4.3427808073074944E-3</v>
      </c>
      <c r="W225">
        <f>inputs!$E$85*(F225/inputs!$F$85)^(inputs!$E$84-1)</f>
        <v>0.20054161757711042</v>
      </c>
      <c r="X225">
        <f>inputs!$E$80*(F225/inputs!$F$80)^(inputs!$E$84-1)</f>
        <v>0.74885793905376674</v>
      </c>
      <c r="Y225">
        <f>inputs!$E$82*(F225/inputs!$F$82)^(inputs!$E$84-1)</f>
        <v>0.34513679047549034</v>
      </c>
      <c r="Z225">
        <f t="shared" si="21"/>
        <v>1488.8581859921724</v>
      </c>
      <c r="AA225">
        <f t="shared" si="22"/>
        <v>32.241610659409851</v>
      </c>
    </row>
    <row r="226" spans="1:27" x14ac:dyDescent="0.3">
      <c r="A226" t="s">
        <v>248</v>
      </c>
      <c r="B226" t="s">
        <v>252</v>
      </c>
      <c r="C226" t="s">
        <v>73</v>
      </c>
      <c r="D226" t="s">
        <v>240</v>
      </c>
      <c r="E226">
        <v>67</v>
      </c>
      <c r="F226">
        <v>5400</v>
      </c>
      <c r="G226" t="s">
        <v>186</v>
      </c>
      <c r="H226">
        <v>0.75</v>
      </c>
      <c r="I226">
        <f>inputs!$C$65*inputs!$C$64/1000</f>
        <v>2.13</v>
      </c>
      <c r="J226">
        <f>inputs!$C$65*inputs!$C$63/1000</f>
        <v>0.88</v>
      </c>
      <c r="K226">
        <f t="shared" si="20"/>
        <v>0.30174497340193063</v>
      </c>
      <c r="L226">
        <f t="shared" si="24"/>
        <v>0.12466458995009343</v>
      </c>
      <c r="M226">
        <f>IF((((1.18*F226^0.874)/3.7-(0.301*F226^0.751)/(1-H226)*H226)*(MAX('Min rate concentrations'!$P$3:$P$368)))/F226&gt;0, (((1.18*F226^0.874)/3.7-(0.301*F226^0.751)/(1-H226)*H226)*(MAX('Min rate concentrations'!$P$3:$P$368)))/F226, 0)</f>
        <v>2.5336049595018251E-4</v>
      </c>
      <c r="N226">
        <f>IF((((1.18*F226^0.874)/3.7-(0.301*F226^0.751)/(1-H226)*H226)*(MAX('Min rate concentrations'!$Q$3:$Q$368)))/F226&gt;0, (((1.18*F226^0.874)/3.7-(0.301*F226^0.751)/(1-H226)*H226)*(MAX('Min rate concentrations'!$Q$3:$Q$368)))/F226, 0)</f>
        <v>9.6481038206468704E-4</v>
      </c>
      <c r="O226">
        <f>((MAX('Min rate concentrations'!$F$3:$F$368))*0.62*6.01*8*(10*F226^0.667)*0.079*0.1/F226)*inputs!$E$80/(10^(0.84+0.62*LOG10(inputs!$E$80)))</f>
        <v>1.3986693351125064</v>
      </c>
      <c r="P226">
        <f>((MAX('Min rate concentrations'!Y:Y))*0.62*6.01*8*(10*F226^0.667)*0.079*0.1/F226)*inputs!$E$80/(10^(0.84+0.62*LOG10(inputs!$E$80)))</f>
        <v>0.46622311170416869</v>
      </c>
      <c r="Q226">
        <f>(inputs!$C$7*11.2*(10*F226^0.667)*0.5/F226)*inputs!$E$80/(10^(0.84+0.62*LOG10(inputs!$E$80)))</f>
        <v>0.24636900644693105</v>
      </c>
      <c r="R226">
        <f>(60*284*((F226/1000)^0.77)*3*24*(MAX('Min rate concentrations'!$R$3:$R$368))/F226)*(inputs!$E$73*3.4/inputs!$E$75)</f>
        <v>3.1804234009272744E-3</v>
      </c>
      <c r="S226">
        <f>(IF(inputs!$C$6="aerial",((0.025*0.112*inputs!$C$7/3.3)*(3*60*284*((F226/1000)^0.77))*MAX(inputs!$H$14:$H$16))/F226,((0.0083*0.112*inputs!$C$7/1)*(3*60*284*((F226/1000)^0.77))*MAX(inputs!$H$14:$H$16))/F226))*(inputs!E$75*3.4/inputs!$E$73)</f>
        <v>1.7540230455950281E-2</v>
      </c>
      <c r="T226">
        <f>IF((((inputs!$P$12/(V226/MAX(K226:S226)))^(1/inputs!$O$12))-1)/inputs!$N$12&lt;0, 0, IF((((inputs!$P$12/(V226/MAX(K226:S226)))^(1/inputs!$O$12))-1)/inputs!$N$12&gt;inputs!$H$17, inputs!$H$17, (((inputs!$P$12/(V226/MAX(K226:S226)))^(1/inputs!$O$12))-1)/inputs!$N$12))</f>
        <v>192.1817040904908</v>
      </c>
      <c r="U226">
        <f>IF((((inputs!$P$12/(X226/MAX(K226:S226)))^(1/inputs!$O$12))-1)/inputs!$N$12&lt;0, 0, IF((((inputs!$P$12/(X226/MAX(K226:S226)))^(1/inputs!$O$12))-1)/inputs!$N$12&gt;inputs!$H$17, inputs!$H$17, (((inputs!$P$12/(X226/MAX(K226:S226)))^(1/inputs!$O$12))-1)/inputs!$N$12))</f>
        <v>0</v>
      </c>
      <c r="V226">
        <f>inputs!$E$78*(F226/inputs!$F$78)^(inputs!$E$84-1)</f>
        <v>4.3427808073074944E-3</v>
      </c>
      <c r="W226">
        <f>inputs!$E$85*(F226/inputs!$F$85)^(inputs!$E$84-1)</f>
        <v>0.20054161757711042</v>
      </c>
      <c r="X226">
        <f>inputs!$E$80*(F226/inputs!$F$80)^(inputs!$E$84-1)</f>
        <v>0.74885793905376674</v>
      </c>
      <c r="Y226">
        <f>inputs!$E$82*(F226/inputs!$F$82)^(inputs!$E$84-1)</f>
        <v>0.34513679047549034</v>
      </c>
      <c r="Z226">
        <f t="shared" si="21"/>
        <v>322.06767902239011</v>
      </c>
      <c r="AA226">
        <f t="shared" si="22"/>
        <v>6.9744592270215575</v>
      </c>
    </row>
    <row r="227" spans="1:27" x14ac:dyDescent="0.3">
      <c r="A227" t="s">
        <v>248</v>
      </c>
      <c r="B227" t="s">
        <v>252</v>
      </c>
      <c r="C227" t="s">
        <v>73</v>
      </c>
      <c r="D227" t="s">
        <v>240</v>
      </c>
      <c r="E227">
        <v>67</v>
      </c>
      <c r="F227">
        <v>5400</v>
      </c>
      <c r="G227" t="s">
        <v>152</v>
      </c>
      <c r="H227">
        <v>0.77</v>
      </c>
      <c r="I227">
        <f>MAX('Min rate concentrations'!$G$3:$G$368)</f>
        <v>7.5</v>
      </c>
      <c r="J227">
        <f>MAX('Min rate concentrations'!Z:Z)</f>
        <v>3.5</v>
      </c>
      <c r="K227">
        <f t="shared" si="20"/>
        <v>1.1548720659902432</v>
      </c>
      <c r="L227">
        <f t="shared" si="24"/>
        <v>0.53894029746211347</v>
      </c>
      <c r="M227">
        <f>IF((((1.18*F227^0.874)/3.7-(0.301*F227^0.751)/(1-H227)*H227)*(MAX('Min rate concentrations'!$P$3:$P$368)))/F227&gt;0, (((1.18*F227^0.874)/3.7-(0.301*F227^0.751)/(1-H227)*H227)*(MAX('Min rate concentrations'!$P$3:$P$368)))/F227, 0)</f>
        <v>0</v>
      </c>
      <c r="N227">
        <f>IF((((1.18*F227^0.874)/3.7-(0.301*F227^0.751)/(1-H227)*H227)*(MAX('Min rate concentrations'!$Q$3:$Q$368)))/F227&gt;0, (((1.18*F227^0.874)/3.7-(0.301*F227^0.751)/(1-H227)*H227)*(MAX('Min rate concentrations'!$Q$3:$Q$368)))/F227, 0)</f>
        <v>0</v>
      </c>
      <c r="O227">
        <f>((MAX('Min rate concentrations'!$F$3:$F$368))*0.62*6.01*8*(10*F227^0.667)*0.079*0.1/F227)*inputs!$E$80/(10^(0.84+0.62*LOG10(inputs!$E$80)))</f>
        <v>1.3986693351125064</v>
      </c>
      <c r="P227">
        <f>((MAX('Min rate concentrations'!Y:Y))*0.62*6.01*8*(10*F227^0.667)*0.079*0.1/F227)*inputs!$E$80/(10^(0.84+0.62*LOG10(inputs!$E$80)))</f>
        <v>0.46622311170416869</v>
      </c>
      <c r="Q227">
        <f>(inputs!$C$7*11.2*(10*F227^0.667)*0.5/F227)*inputs!$E$80/(10^(0.84+0.62*LOG10(inputs!$E$80)))</f>
        <v>0.24636900644693105</v>
      </c>
      <c r="R227">
        <f>(60*284*((F227/1000)^0.77)*3*24*(MAX('Min rate concentrations'!$R$3:$R$368))/F227)*(inputs!$E$73*3.4/inputs!$E$75)</f>
        <v>3.1804234009272744E-3</v>
      </c>
      <c r="S227">
        <f>(IF(inputs!$C$6="aerial",((0.025*0.112*inputs!$C$7/3.3)*(3*60*284*((F227/1000)^0.77))*MAX(inputs!$H$14:$H$16))/F227,((0.0083*0.112*inputs!$C$7/1)*(3*60*284*((F227/1000)^0.77))*MAX(inputs!$H$14:$H$16))/F227))*(inputs!E$75*3.4/inputs!$E$73)</f>
        <v>1.7540230455950281E-2</v>
      </c>
      <c r="T227">
        <f>IF((((inputs!$P$12/(V227/MAX(K227:S227)))^(1/inputs!$O$12))-1)/inputs!$N$12&lt;0, 0, IF((((inputs!$P$12/(V227/MAX(K227:S227)))^(1/inputs!$O$12))-1)/inputs!$N$12&gt;inputs!$H$17, inputs!$H$17, (((inputs!$P$12/(V227/MAX(K227:S227)))^(1/inputs!$O$12))-1)/inputs!$N$12))</f>
        <v>192.1817040904908</v>
      </c>
      <c r="U227">
        <f>IF((((inputs!$P$12/(X227/MAX(K227:S227)))^(1/inputs!$O$12))-1)/inputs!$N$12&lt;0, 0, IF((((inputs!$P$12/(X227/MAX(K227:S227)))^(1/inputs!$O$12))-1)/inputs!$N$12&gt;inputs!$H$17, inputs!$H$17, (((inputs!$P$12/(X227/MAX(K227:S227)))^(1/inputs!$O$12))-1)/inputs!$N$12))</f>
        <v>0</v>
      </c>
      <c r="V227">
        <f>inputs!$E$78*(F227/inputs!$F$78)^(inputs!$E$84-1)</f>
        <v>4.3427808073074944E-3</v>
      </c>
      <c r="W227">
        <f>inputs!$E$85*(F227/inputs!$F$85)^(inputs!$E$84-1)</f>
        <v>0.20054161757711042</v>
      </c>
      <c r="X227">
        <f>inputs!$E$80*(F227/inputs!$F$80)^(inputs!$E$84-1)</f>
        <v>0.74885793905376674</v>
      </c>
      <c r="Y227">
        <f>inputs!$E$82*(F227/inputs!$F$82)^(inputs!$E$84-1)</f>
        <v>0.34513679047549034</v>
      </c>
      <c r="Z227">
        <f t="shared" si="21"/>
        <v>322.06767902239011</v>
      </c>
      <c r="AA227">
        <f t="shared" si="22"/>
        <v>6.9744592270215575</v>
      </c>
    </row>
    <row r="228" spans="1:27" x14ac:dyDescent="0.3">
      <c r="A228" t="s">
        <v>248</v>
      </c>
      <c r="B228" t="s">
        <v>252</v>
      </c>
      <c r="C228" t="s">
        <v>73</v>
      </c>
      <c r="D228" t="s">
        <v>240</v>
      </c>
      <c r="E228">
        <v>67</v>
      </c>
      <c r="F228">
        <v>5400</v>
      </c>
      <c r="G228" t="s">
        <v>456</v>
      </c>
      <c r="H228">
        <v>0.68</v>
      </c>
      <c r="I228">
        <f>MAX('Min rate concentrations'!$J$3:$J$368)</f>
        <v>114.4108103430513</v>
      </c>
      <c r="J228">
        <f>MAX('Min rate concentrations'!AB:AB)</f>
        <v>40.520495329830666</v>
      </c>
      <c r="K228">
        <f t="shared" si="20"/>
        <v>12.662443854114347</v>
      </c>
      <c r="L228">
        <f t="shared" si="24"/>
        <v>4.4846155316654972</v>
      </c>
      <c r="M228">
        <f>IF((((1.18*F228^0.874)/3.7-(0.301*F228^0.751)/(1-H228)*H228)*(MAX('Min rate concentrations'!$P$3:$P$368)))/F228&gt;0, (((1.18*F228^0.874)/3.7-(0.301*F228^0.751)/(1-H228)*H228)*(MAX('Min rate concentrations'!$P$3:$P$368)))/F228, 0)</f>
        <v>4.7513625667980845E-3</v>
      </c>
      <c r="N228">
        <f>IF((((1.18*F228^0.874)/3.7-(0.301*F228^0.751)/(1-H228)*H228)*(MAX('Min rate concentrations'!$Q$3:$Q$368)))/F228&gt;0, (((1.18*F228^0.874)/3.7-(0.301*F228^0.751)/(1-H228)*H228)*(MAX('Min rate concentrations'!$Q$3:$Q$368)))/F228, 0)</f>
        <v>1.809344395308447E-2</v>
      </c>
      <c r="O228">
        <f>((MAX('Min rate concentrations'!$F$3:$F$368))*0.62*6.01*8*(10*F228^0.667)*0.079*0.1/F228)*inputs!$E$80/(10^(0.84+0.62*LOG10(inputs!$E$80)))</f>
        <v>1.3986693351125064</v>
      </c>
      <c r="P228">
        <f>((MAX('Min rate concentrations'!Y:Y))*0.62*6.01*8*(10*F228^0.667)*0.079*0.1/F228)*inputs!$E$80/(10^(0.84+0.62*LOG10(inputs!$E$80)))</f>
        <v>0.46622311170416869</v>
      </c>
      <c r="Q228">
        <f>(inputs!$C$7*11.2*(10*F228^0.667)*0.5/F228)*inputs!$E$80/(10^(0.84+0.62*LOG10(inputs!$E$80)))</f>
        <v>0.24636900644693105</v>
      </c>
      <c r="R228">
        <f>(60*284*((F228/1000)^0.77)*3*24*(MAX('Min rate concentrations'!$R$3:$R$368))/F228)*(inputs!$E$73*3.4/inputs!$E$75)</f>
        <v>3.1804234009272744E-3</v>
      </c>
      <c r="S228">
        <f>(IF(inputs!$C$6="aerial",((0.025*0.112*inputs!$C$7/3.3)*(3*60*284*((F228/1000)^0.77))*MAX(inputs!$H$14:$H$16))/F228,((0.0083*0.112*inputs!$C$7/1)*(3*60*284*((F228/1000)^0.77))*MAX(inputs!$H$14:$H$16))/F228))*(inputs!E$75*3.4/inputs!$E$73)</f>
        <v>1.7540230455950281E-2</v>
      </c>
      <c r="T228">
        <f>IF((((inputs!$P$12/(V228/MAX(K228:S228)))^(1/inputs!$O$12))-1)/inputs!$N$12&lt;0, 0, IF((((inputs!$P$12/(V228/MAX(K228:S228)))^(1/inputs!$O$12))-1)/inputs!$N$12&gt;inputs!$H$17, inputs!$H$17, (((inputs!$P$12/(V228/MAX(K228:S228)))^(1/inputs!$O$12))-1)/inputs!$N$12))</f>
        <v>512.15508052470773</v>
      </c>
      <c r="U228">
        <f>IF((((inputs!$P$12/(X228/MAX(K228:S228)))^(1/inputs!$O$12))-1)/inputs!$N$12&lt;0, 0, IF((((inputs!$P$12/(X228/MAX(K228:S228)))^(1/inputs!$O$12))-1)/inputs!$N$12&gt;inputs!$H$17, inputs!$H$17, (((inputs!$P$12/(X228/MAX(K228:S228)))^(1/inputs!$O$12))-1)/inputs!$N$12))</f>
        <v>38.067125748301152</v>
      </c>
      <c r="V228">
        <f>inputs!$E$78*(F228/inputs!$F$78)^(inputs!$E$84-1)</f>
        <v>4.3427808073074944E-3</v>
      </c>
      <c r="W228">
        <f>inputs!$E$85*(F228/inputs!$F$85)^(inputs!$E$84-1)</f>
        <v>0.20054161757711042</v>
      </c>
      <c r="X228">
        <f>inputs!$E$80*(F228/inputs!$F$80)^(inputs!$E$84-1)</f>
        <v>0.74885793905376674</v>
      </c>
      <c r="Y228">
        <f>inputs!$E$82*(F228/inputs!$F$82)^(inputs!$E$84-1)</f>
        <v>0.34513679047549034</v>
      </c>
      <c r="Z228">
        <f t="shared" si="21"/>
        <v>2915.7455593447298</v>
      </c>
      <c r="AA228">
        <f t="shared" si="22"/>
        <v>63.141227277901557</v>
      </c>
    </row>
    <row r="229" spans="1:27" x14ac:dyDescent="0.3">
      <c r="A229" t="s">
        <v>248</v>
      </c>
      <c r="B229" t="s">
        <v>252</v>
      </c>
      <c r="C229" t="s">
        <v>73</v>
      </c>
      <c r="D229" t="s">
        <v>240</v>
      </c>
      <c r="E229">
        <v>67</v>
      </c>
      <c r="F229">
        <v>5400</v>
      </c>
      <c r="G229" t="s">
        <v>154</v>
      </c>
      <c r="H229">
        <v>9.2999999999999999E-2</v>
      </c>
      <c r="I229">
        <f>MAX('Min rate concentrations'!$G$3:$G$368)</f>
        <v>7.5</v>
      </c>
      <c r="J229">
        <f>MAX('Min rate concentrations'!Z:Z)</f>
        <v>3.5</v>
      </c>
      <c r="K229">
        <f t="shared" si="20"/>
        <v>0.29285620196003953</v>
      </c>
      <c r="M229">
        <f>IF((((1.18*F229^0.874)/3.7-(0.301*F229^0.751)/(1-H229)*H229)*(MAX('Min rate concentrations'!$P$3:$P$368)))/F229&gt;0, (((1.18*F229^0.874)/3.7-(0.301*F229^0.751)/(1-H229)*H229)*(MAX('Min rate concentrations'!$P$3:$P$368)))/F229, 0)</f>
        <v>1.5147988868529531E-2</v>
      </c>
      <c r="N229">
        <f>IF((((1.18*F229^0.874)/3.7-(0.301*F229^0.751)/(1-H229)*H229)*(MAX('Min rate concentrations'!$Q$3:$Q$368)))/F229&gt;0, (((1.18*F229^0.874)/3.7-(0.301*F229^0.751)/(1-H229)*H229)*(MAX('Min rate concentrations'!$Q$3:$Q$368)))/F229, 0)</f>
        <v>5.7684355538328659E-2</v>
      </c>
      <c r="O229">
        <f>((MAX('Min rate concentrations'!$F$3:$F$368))*0.62*6.01*8*(10*F229^0.667)*0.079*0.1/F229)*inputs!$E$80/(10^(0.84+0.62*LOG10(inputs!$E$80)))</f>
        <v>1.3986693351125064</v>
      </c>
      <c r="P229">
        <f>((MAX('Min rate concentrations'!Y:Y))*0.62*6.01*8*(10*F229^0.667)*0.079*0.1/F229)*inputs!$E$80/(10^(0.84+0.62*LOG10(inputs!$E$80)))</f>
        <v>0.46622311170416869</v>
      </c>
      <c r="Q229">
        <f>(inputs!$C$7*11.2*(10*F229^0.667)*0.5/F229)*inputs!$E$80/(10^(0.84+0.62*LOG10(inputs!$E$80)))</f>
        <v>0.24636900644693105</v>
      </c>
      <c r="R229">
        <f>(60*284*((F229/1000)^0.77)*3*24*(MAX('Min rate concentrations'!$R$3:$R$368))/F229)*(inputs!$E$73*3.4/inputs!$E$75)</f>
        <v>3.1804234009272744E-3</v>
      </c>
      <c r="S229">
        <f>(IF(inputs!$C$6="aerial",((0.025*0.112*inputs!$C$7/3.3)*(3*60*284*((F229/1000)^0.77))*MAX(inputs!$H$14:$H$16))/F229,((0.0083*0.112*inputs!$C$7/1)*(3*60*284*((F229/1000)^0.77))*MAX(inputs!$H$14:$H$16))/F229))*(inputs!E$75*3.4/inputs!$E$73)</f>
        <v>1.7540230455950281E-2</v>
      </c>
      <c r="T229">
        <f>IF((((inputs!$P$12/(V229/MAX(K229:S229)))^(1/inputs!$O$12))-1)/inputs!$N$12&lt;0, 0, IF((((inputs!$P$12/(V229/MAX(K229:S229)))^(1/inputs!$O$12))-1)/inputs!$N$12&gt;inputs!$H$17, inputs!$H$17, (((inputs!$P$12/(V229/MAX(K229:S229)))^(1/inputs!$O$12))-1)/inputs!$N$12))</f>
        <v>192.1817040904908</v>
      </c>
      <c r="U229">
        <f>IF((((inputs!$P$12/(X229/MAX(K229:S229)))^(1/inputs!$O$12))-1)/inputs!$N$12&lt;0, 0, IF((((inputs!$P$12/(X229/MAX(K229:S229)))^(1/inputs!$O$12))-1)/inputs!$N$12&gt;inputs!$H$17, inputs!$H$17, (((inputs!$P$12/(X229/MAX(K229:S229)))^(1/inputs!$O$12))-1)/inputs!$N$12))</f>
        <v>0</v>
      </c>
      <c r="V229">
        <f>inputs!$E$78*(F229/inputs!$F$78)^(inputs!$E$84-1)</f>
        <v>4.3427808073074944E-3</v>
      </c>
      <c r="W229">
        <f>inputs!$E$85*(F229/inputs!$F$85)^(inputs!$E$84-1)</f>
        <v>0.20054161757711042</v>
      </c>
      <c r="X229">
        <f>inputs!$E$80*(F229/inputs!$F$80)^(inputs!$E$84-1)</f>
        <v>0.74885793905376674</v>
      </c>
      <c r="Y229">
        <f>inputs!$E$82*(F229/inputs!$F$82)^(inputs!$E$84-1)</f>
        <v>0.34513679047549034</v>
      </c>
      <c r="Z229">
        <f t="shared" si="21"/>
        <v>322.06767902239011</v>
      </c>
      <c r="AA229">
        <f t="shared" si="22"/>
        <v>6.9744592270215575</v>
      </c>
    </row>
    <row r="230" spans="1:27" x14ac:dyDescent="0.3">
      <c r="A230" t="s">
        <v>248</v>
      </c>
      <c r="B230" t="s">
        <v>249</v>
      </c>
      <c r="C230" t="s">
        <v>73</v>
      </c>
      <c r="D230" t="s">
        <v>240</v>
      </c>
      <c r="E230">
        <v>7342</v>
      </c>
      <c r="F230">
        <v>5400</v>
      </c>
      <c r="G230" t="s">
        <v>182</v>
      </c>
      <c r="H230">
        <v>0.85</v>
      </c>
      <c r="I230">
        <f>MAX('Min rate concentrations'!$M$3:$M$368)</f>
        <v>2.8488184789681945</v>
      </c>
      <c r="J230">
        <f>MAX('Min rate concentrations'!AE:AE)</f>
        <v>1.9699276716269429</v>
      </c>
      <c r="K230">
        <f t="shared" si="20"/>
        <v>0.67262649152049014</v>
      </c>
      <c r="L230">
        <f t="shared" ref="L230:L236" si="25">((0.301*F230^0.751)/(1-H230))*J230/F230</f>
        <v>0.4651140632854453</v>
      </c>
      <c r="M230">
        <f>IF((((1.18*F230^0.874)/3.7-(0.301*F230^0.751)/(1-H230)*H230)*(MAX('Min rate concentrations'!$P$3:$P$368)))/F230&gt;0, (((1.18*F230^0.874)/3.7-(0.301*F230^0.751)/(1-H230)*H230)*(MAX('Min rate concentrations'!$P$3:$P$368)))/F230, 0)</f>
        <v>0</v>
      </c>
      <c r="N230">
        <f>IF((((1.18*F230^0.874)/3.7-(0.301*F230^0.751)/(1-H230)*H230)*(MAX('Min rate concentrations'!$Q$3:$Q$368)))/F230&gt;0, (((1.18*F230^0.874)/3.7-(0.301*F230^0.751)/(1-H230)*H230)*(MAX('Min rate concentrations'!$Q$3:$Q$368)))/F230, 0)</f>
        <v>0</v>
      </c>
      <c r="O230">
        <f>((MAX('Min rate concentrations'!$F$3:$F$368))*0.62*6.01*8*(10*F230^0.667)*0.079*0.1/F230)*inputs!$E$80/(10^(0.84+0.62*LOG10(inputs!$E$80)))</f>
        <v>1.3986693351125064</v>
      </c>
      <c r="P230">
        <f>((MAX('Min rate concentrations'!Y:Y))*0.62*6.01*8*(10*F230^0.667)*0.079*0.1/F230)*inputs!$E$80/(10^(0.84+0.62*LOG10(inputs!$E$80)))</f>
        <v>0.46622311170416869</v>
      </c>
      <c r="Q230">
        <f>(inputs!$C$7*11.2*(10*F230^0.667)*0.5/F230)*inputs!$E$80/(10^(0.84+0.62*LOG10(inputs!$E$80)))</f>
        <v>0.24636900644693105</v>
      </c>
      <c r="R230">
        <f>(60*284*((F230/1000)^0.77)*3*24*(MAX('Min rate concentrations'!$R$3:$R$368))/F230)*(inputs!$E$73*3.4/inputs!$E$75)</f>
        <v>3.1804234009272744E-3</v>
      </c>
      <c r="S230">
        <f>(IF(inputs!$C$6="aerial",((0.025*0.112*inputs!$C$7/3.3)*(3*60*284*((F230/1000)^0.77))*MAX(inputs!$H$14:$H$16))/F230,((0.0083*0.112*inputs!$C$7/1)*(3*60*284*((F230/1000)^0.77))*MAX(inputs!$H$14:$H$16))/F230))*(inputs!E$75*3.4/inputs!$E$73)</f>
        <v>1.7540230455950281E-2</v>
      </c>
      <c r="T230">
        <f>IF((((inputs!$P$12/(V230/MAX(K230:S230)))^(1/inputs!$O$12))-1)/inputs!$N$12&lt;0, 0, IF((((inputs!$P$12/(V230/MAX(K230:S230)))^(1/inputs!$O$12))-1)/inputs!$N$12&gt;inputs!$H$17, inputs!$H$17, (((inputs!$P$12/(V230/MAX(K230:S230)))^(1/inputs!$O$12))-1)/inputs!$N$12))</f>
        <v>192.1817040904908</v>
      </c>
      <c r="U230">
        <f>IF((((inputs!$P$12/(X230/MAX(K230:S230)))^(1/inputs!$O$12))-1)/inputs!$N$12&lt;0, 0, IF((((inputs!$P$12/(X230/MAX(K230:S230)))^(1/inputs!$O$12))-1)/inputs!$N$12&gt;inputs!$H$17, inputs!$H$17, (((inputs!$P$12/(X230/MAX(K230:S230)))^(1/inputs!$O$12))-1)/inputs!$N$12))</f>
        <v>0</v>
      </c>
      <c r="V230">
        <f>inputs!$E$78*(F230/inputs!$F$78)^(inputs!$E$84-1)</f>
        <v>4.3427808073074944E-3</v>
      </c>
      <c r="W230">
        <f>inputs!$E$85*(F230/inputs!$F$85)^(inputs!$E$84-1)</f>
        <v>0.20054161757711042</v>
      </c>
      <c r="X230">
        <f>inputs!$E$80*(F230/inputs!$F$80)^(inputs!$E$84-1)</f>
        <v>0.74885793905376674</v>
      </c>
      <c r="Y230">
        <f>inputs!$E$82*(F230/inputs!$F$82)^(inputs!$E$84-1)</f>
        <v>0.34513679047549034</v>
      </c>
      <c r="Z230">
        <f t="shared" si="21"/>
        <v>322.06767902239011</v>
      </c>
      <c r="AA230">
        <f t="shared" si="22"/>
        <v>6.9744592270215575</v>
      </c>
    </row>
    <row r="231" spans="1:27" x14ac:dyDescent="0.3">
      <c r="A231" t="s">
        <v>248</v>
      </c>
      <c r="B231" t="s">
        <v>249</v>
      </c>
      <c r="C231" t="s">
        <v>73</v>
      </c>
      <c r="D231" t="s">
        <v>240</v>
      </c>
      <c r="E231">
        <v>7342</v>
      </c>
      <c r="F231">
        <v>5400</v>
      </c>
      <c r="G231" t="s">
        <v>142</v>
      </c>
      <c r="H231">
        <v>0.69</v>
      </c>
      <c r="I231">
        <f>MAX('Min rate concentrations'!$H$3:$H$368)</f>
        <v>47</v>
      </c>
      <c r="J231">
        <f>MAX('Min rate concentrations'!AA:AA)</f>
        <v>32.5</v>
      </c>
      <c r="K231">
        <f t="shared" si="20"/>
        <v>5.3695342078944188</v>
      </c>
      <c r="L231">
        <f t="shared" si="25"/>
        <v>3.7129757820546514</v>
      </c>
      <c r="M231">
        <f>IF((((1.18*F231^0.874)/3.7-(0.301*F231^0.751)/(1-H231)*H231)*(MAX('Min rate concentrations'!$P$3:$P$368)))/F231&gt;0, (((1.18*F231^0.874)/3.7-(0.301*F231^0.751)/(1-H231)*H231)*(MAX('Min rate concentrations'!$P$3:$P$368)))/F231, 0)</f>
        <v>4.2331595632441824E-3</v>
      </c>
      <c r="N231">
        <f>IF((((1.18*F231^0.874)/3.7-(0.301*F231^0.751)/(1-H231)*H231)*(MAX('Min rate concentrations'!$Q$3:$Q$368)))/F231&gt;0, (((1.18*F231^0.874)/3.7-(0.301*F231^0.751)/(1-H231)*H231)*(MAX('Min rate concentrations'!$Q$3:$Q$368)))/F231, 0)</f>
        <v>1.6120099071630596E-2</v>
      </c>
      <c r="O231">
        <f>((MAX('Min rate concentrations'!$F$3:$F$368))*0.62*6.01*8*(10*F231^0.667)*0.079*0.1/F231)*inputs!$E$80/(10^(0.84+0.62*LOG10(inputs!$E$80)))</f>
        <v>1.3986693351125064</v>
      </c>
      <c r="P231">
        <f>((MAX('Min rate concentrations'!Y:Y))*0.62*6.01*8*(10*F231^0.667)*0.079*0.1/F231)*inputs!$E$80/(10^(0.84+0.62*LOG10(inputs!$E$80)))</f>
        <v>0.46622311170416869</v>
      </c>
      <c r="Q231">
        <f>(inputs!$C$7*11.2*(10*F231^0.667)*0.5/F231)*inputs!$E$80/(10^(0.84+0.62*LOG10(inputs!$E$80)))</f>
        <v>0.24636900644693105</v>
      </c>
      <c r="R231">
        <f>(60*284*((F231/1000)^0.77)*3*24*(MAX('Min rate concentrations'!$R$3:$R$368))/F231)*(inputs!$E$73*3.4/inputs!$E$75)</f>
        <v>3.1804234009272744E-3</v>
      </c>
      <c r="S231">
        <f>(IF(inputs!$C$6="aerial",((0.025*0.112*inputs!$C$7/3.3)*(3*60*284*((F231/1000)^0.77))*MAX(inputs!$H$14:$H$16))/F231,((0.0083*0.112*inputs!$C$7/1)*(3*60*284*((F231/1000)^0.77))*MAX(inputs!$H$14:$H$16))/F231))*(inputs!E$75*3.4/inputs!$E$73)</f>
        <v>1.7540230455950281E-2</v>
      </c>
      <c r="T231">
        <f>IF((((inputs!$P$12/(V231/MAX(K231:S231)))^(1/inputs!$O$12))-1)/inputs!$N$12&lt;0, 0, IF((((inputs!$P$12/(V231/MAX(K231:S231)))^(1/inputs!$O$12))-1)/inputs!$N$12&gt;inputs!$H$17, inputs!$H$17, (((inputs!$P$12/(V231/MAX(K231:S231)))^(1/inputs!$O$12))-1)/inputs!$N$12))</f>
        <v>352.90091572576898</v>
      </c>
      <c r="U231">
        <f>IF((((inputs!$P$12/(X231/MAX(K231:S231)))^(1/inputs!$O$12))-1)/inputs!$N$12&lt;0, 0, IF((((inputs!$P$12/(X231/MAX(K231:S231)))^(1/inputs!$O$12))-1)/inputs!$N$12&gt;inputs!$H$17, inputs!$H$17, (((inputs!$P$12/(X231/MAX(K231:S231)))^(1/inputs!$O$12))-1)/inputs!$N$12))</f>
        <v>18.461836006689119</v>
      </c>
      <c r="V231">
        <f>inputs!$E$78*(F231/inputs!$F$78)^(inputs!$E$84-1)</f>
        <v>4.3427808073074944E-3</v>
      </c>
      <c r="W231">
        <f>inputs!$E$85*(F231/inputs!$F$85)^(inputs!$E$84-1)</f>
        <v>0.20054161757711042</v>
      </c>
      <c r="X231">
        <f>inputs!$E$80*(F231/inputs!$F$80)^(inputs!$E$84-1)</f>
        <v>0.74885793905376674</v>
      </c>
      <c r="Y231">
        <f>inputs!$E$82*(F231/inputs!$F$82)^(inputs!$E$84-1)</f>
        <v>0.34513679047549034</v>
      </c>
      <c r="Z231">
        <f t="shared" si="21"/>
        <v>1236.4276361494531</v>
      </c>
      <c r="AA231">
        <f t="shared" si="22"/>
        <v>26.775161548847958</v>
      </c>
    </row>
    <row r="232" spans="1:27" x14ac:dyDescent="0.3">
      <c r="A232" t="s">
        <v>248</v>
      </c>
      <c r="B232" t="s">
        <v>249</v>
      </c>
      <c r="C232" t="s">
        <v>73</v>
      </c>
      <c r="D232" t="s">
        <v>240</v>
      </c>
      <c r="E232">
        <v>7342</v>
      </c>
      <c r="F232">
        <v>5400</v>
      </c>
      <c r="G232" t="s">
        <v>164</v>
      </c>
      <c r="H232">
        <v>0.78</v>
      </c>
      <c r="I232">
        <f>inputs!$C$65*(inputs!$C$62/1000)</f>
        <v>0.82000000000000006</v>
      </c>
      <c r="J232">
        <f>inputs!$C$65*(inputs!$C$61/1000)</f>
        <v>0.25</v>
      </c>
      <c r="K232">
        <f t="shared" si="20"/>
        <v>0.13200537675500598</v>
      </c>
      <c r="L232">
        <f t="shared" si="25"/>
        <v>4.0245541693599382E-2</v>
      </c>
      <c r="M232">
        <f>IF((((1.18*F232^0.874)/3.7-(0.301*F232^0.751)/(1-H232)*H232)*(MAX('Min rate concentrations'!$P$3:$P$368)))/F232&gt;0, (((1.18*F232^0.874)/3.7-(0.301*F232^0.751)/(1-H232)*H232)*(MAX('Min rate concentrations'!$P$3:$P$368)))/F232, 0)</f>
        <v>0</v>
      </c>
      <c r="N232">
        <f>IF((((1.18*F232^0.874)/3.7-(0.301*F232^0.751)/(1-H232)*H232)*(MAX('Min rate concentrations'!$Q$3:$Q$368)))/F232&gt;0, (((1.18*F232^0.874)/3.7-(0.301*F232^0.751)/(1-H232)*H232)*(MAX('Min rate concentrations'!$Q$3:$Q$368)))/F232, 0)</f>
        <v>0</v>
      </c>
      <c r="O232">
        <f>((MAX('Min rate concentrations'!$F$3:$F$368))*0.62*6.01*8*(10*F232^0.667)*0.079*0.1/F232)*inputs!$E$80/(10^(0.84+0.62*LOG10(inputs!$E$80)))</f>
        <v>1.3986693351125064</v>
      </c>
      <c r="P232">
        <f>((MAX('Min rate concentrations'!Y:Y))*0.62*6.01*8*(10*F232^0.667)*0.079*0.1/F232)*inputs!$E$80/(10^(0.84+0.62*LOG10(inputs!$E$80)))</f>
        <v>0.46622311170416869</v>
      </c>
      <c r="Q232">
        <f>(inputs!$C$7*11.2*(10*F232^0.667)*0.5/F232)*inputs!$E$80/(10^(0.84+0.62*LOG10(inputs!$E$80)))</f>
        <v>0.24636900644693105</v>
      </c>
      <c r="R232">
        <f>(60*284*((F232/1000)^0.77)*3*24*(MAX('Min rate concentrations'!$R$3:$R$368))/F232)*(inputs!$E$73*3.4/inputs!$E$75)</f>
        <v>3.1804234009272744E-3</v>
      </c>
      <c r="S232">
        <f>(IF(inputs!$C$6="aerial",((0.025*0.112*inputs!$C$7/3.3)*(3*60*284*((F232/1000)^0.77))*MAX(inputs!$H$14:$H$16))/F232,((0.0083*0.112*inputs!$C$7/1)*(3*60*284*((F232/1000)^0.77))*MAX(inputs!$H$14:$H$16))/F232))*(inputs!E$75*3.4/inputs!$E$73)</f>
        <v>1.7540230455950281E-2</v>
      </c>
      <c r="T232">
        <f>IF((((inputs!$P$12/(V232/MAX(K232:S232)))^(1/inputs!$O$12))-1)/inputs!$N$12&lt;0, 0, IF((((inputs!$P$12/(V232/MAX(K232:S232)))^(1/inputs!$O$12))-1)/inputs!$N$12&gt;inputs!$H$17, inputs!$H$17, (((inputs!$P$12/(V232/MAX(K232:S232)))^(1/inputs!$O$12))-1)/inputs!$N$12))</f>
        <v>192.1817040904908</v>
      </c>
      <c r="U232">
        <f>IF((((inputs!$P$12/(X232/MAX(K232:S232)))^(1/inputs!$O$12))-1)/inputs!$N$12&lt;0, 0, IF((((inputs!$P$12/(X232/MAX(K232:S232)))^(1/inputs!$O$12))-1)/inputs!$N$12&gt;inputs!$H$17, inputs!$H$17, (((inputs!$P$12/(X232/MAX(K232:S232)))^(1/inputs!$O$12))-1)/inputs!$N$12))</f>
        <v>0</v>
      </c>
      <c r="V232">
        <f>inputs!$E$78*(F232/inputs!$F$78)^(inputs!$E$84-1)</f>
        <v>4.3427808073074944E-3</v>
      </c>
      <c r="W232">
        <f>inputs!$E$85*(F232/inputs!$F$85)^(inputs!$E$84-1)</f>
        <v>0.20054161757711042</v>
      </c>
      <c r="X232">
        <f>inputs!$E$80*(F232/inputs!$F$80)^(inputs!$E$84-1)</f>
        <v>0.74885793905376674</v>
      </c>
      <c r="Y232">
        <f>inputs!$E$82*(F232/inputs!$F$82)^(inputs!$E$84-1)</f>
        <v>0.34513679047549034</v>
      </c>
      <c r="Z232">
        <f t="shared" si="21"/>
        <v>322.06767902239011</v>
      </c>
      <c r="AA232">
        <f t="shared" si="22"/>
        <v>6.9744592270215575</v>
      </c>
    </row>
    <row r="233" spans="1:27" x14ac:dyDescent="0.3">
      <c r="A233" t="s">
        <v>248</v>
      </c>
      <c r="B233" t="s">
        <v>249</v>
      </c>
      <c r="C233" t="s">
        <v>73</v>
      </c>
      <c r="D233" t="s">
        <v>240</v>
      </c>
      <c r="E233">
        <v>7342</v>
      </c>
      <c r="F233">
        <v>5400</v>
      </c>
      <c r="G233" t="s">
        <v>138</v>
      </c>
      <c r="H233">
        <v>0.68</v>
      </c>
      <c r="I233">
        <f>MAX('Min rate concentrations'!$L$3:$L$368)</f>
        <v>58.421240152220811</v>
      </c>
      <c r="J233">
        <f>MAX('Min rate concentrations'!AD:AD)</f>
        <v>40.397666062705881</v>
      </c>
      <c r="K233">
        <f t="shared" si="20"/>
        <v>6.4657847549294578</v>
      </c>
      <c r="L233">
        <f t="shared" si="25"/>
        <v>4.4710213730895187</v>
      </c>
      <c r="M233">
        <f>IF((((1.18*F233^0.874)/3.7-(0.301*F233^0.751)/(1-H233)*H233)*(MAX('Min rate concentrations'!$P$3:$P$368)))/F233&gt;0, (((1.18*F233^0.874)/3.7-(0.301*F233^0.751)/(1-H233)*H233)*(MAX('Min rate concentrations'!$P$3:$P$368)))/F233, 0)</f>
        <v>4.7513625667980845E-3</v>
      </c>
      <c r="N233">
        <f>IF((((1.18*F233^0.874)/3.7-(0.301*F233^0.751)/(1-H233)*H233)*(MAX('Min rate concentrations'!$Q$3:$Q$368)))/F233&gt;0, (((1.18*F233^0.874)/3.7-(0.301*F233^0.751)/(1-H233)*H233)*(MAX('Min rate concentrations'!$Q$3:$Q$368)))/F233, 0)</f>
        <v>1.809344395308447E-2</v>
      </c>
      <c r="O233">
        <f>((MAX('Min rate concentrations'!$F$3:$F$368))*0.62*6.01*8*(10*F233^0.667)*0.079*0.1/F233)*inputs!$E$80/(10^(0.84+0.62*LOG10(inputs!$E$80)))</f>
        <v>1.3986693351125064</v>
      </c>
      <c r="P233">
        <f>((MAX('Min rate concentrations'!Y:Y))*0.62*6.01*8*(10*F233^0.667)*0.079*0.1/F233)*inputs!$E$80/(10^(0.84+0.62*LOG10(inputs!$E$80)))</f>
        <v>0.46622311170416869</v>
      </c>
      <c r="Q233">
        <f>(inputs!$C$7*11.2*(10*F233^0.667)*0.5/F233)*inputs!$E$80/(10^(0.84+0.62*LOG10(inputs!$E$80)))</f>
        <v>0.24636900644693105</v>
      </c>
      <c r="R233">
        <f>(60*284*((F233/1000)^0.77)*3*24*(MAX('Min rate concentrations'!$R$3:$R$368))/F233)*(inputs!$E$73*3.4/inputs!$E$75)</f>
        <v>3.1804234009272744E-3</v>
      </c>
      <c r="S233">
        <f>(IF(inputs!$C$6="aerial",((0.025*0.112*inputs!$C$7/3.3)*(3*60*284*((F233/1000)^0.77))*MAX(inputs!$H$14:$H$16))/F233,((0.0083*0.112*inputs!$C$7/1)*(3*60*284*((F233/1000)^0.77))*MAX(inputs!$H$14:$H$16))/F233))*(inputs!E$75*3.4/inputs!$E$73)</f>
        <v>1.7540230455950281E-2</v>
      </c>
      <c r="T233">
        <f>IF((((inputs!$P$12/(V233/MAX(K233:S233)))^(1/inputs!$O$12))-1)/inputs!$N$12&lt;0, 0, IF((((inputs!$P$12/(V233/MAX(K233:S233)))^(1/inputs!$O$12))-1)/inputs!$N$12&gt;inputs!$H$17, inputs!$H$17, (((inputs!$P$12/(V233/MAX(K233:S233)))^(1/inputs!$O$12))-1)/inputs!$N$12))</f>
        <v>382.83741211051409</v>
      </c>
      <c r="U233">
        <f>IF((((inputs!$P$12/(X233/MAX(K233:S233)))^(1/inputs!$O$12))-1)/inputs!$N$12&lt;0, 0, IF((((inputs!$P$12/(X233/MAX(K233:S233)))^(1/inputs!$O$12))-1)/inputs!$N$12&gt;inputs!$H$17, inputs!$H$17, (((inputs!$P$12/(X233/MAX(K233:S233)))^(1/inputs!$O$12))-1)/inputs!$N$12))</f>
        <v>22.147225875221842</v>
      </c>
      <c r="V233">
        <f>inputs!$E$78*(F233/inputs!$F$78)^(inputs!$E$84-1)</f>
        <v>4.3427808073074944E-3</v>
      </c>
      <c r="W233">
        <f>inputs!$E$85*(F233/inputs!$F$85)^(inputs!$E$84-1)</f>
        <v>0.20054161757711042</v>
      </c>
      <c r="X233">
        <f>inputs!$E$80*(F233/inputs!$F$80)^(inputs!$E$84-1)</f>
        <v>0.74885793905376674</v>
      </c>
      <c r="Y233">
        <f>inputs!$E$82*(F233/inputs!$F$82)^(inputs!$E$84-1)</f>
        <v>0.34513679047549034</v>
      </c>
      <c r="Z233">
        <f t="shared" si="21"/>
        <v>1488.8581859921724</v>
      </c>
      <c r="AA233">
        <f t="shared" si="22"/>
        <v>32.241610659409851</v>
      </c>
    </row>
    <row r="234" spans="1:27" x14ac:dyDescent="0.3">
      <c r="A234" t="s">
        <v>248</v>
      </c>
      <c r="B234" t="s">
        <v>249</v>
      </c>
      <c r="C234" t="s">
        <v>73</v>
      </c>
      <c r="D234" t="s">
        <v>240</v>
      </c>
      <c r="E234">
        <v>7342</v>
      </c>
      <c r="F234">
        <v>5400</v>
      </c>
      <c r="G234" t="s">
        <v>186</v>
      </c>
      <c r="H234">
        <v>0.75</v>
      </c>
      <c r="I234">
        <f>inputs!$C$65*inputs!$C$64/1000</f>
        <v>2.13</v>
      </c>
      <c r="J234">
        <f>inputs!$C$65*inputs!$C$63/1000</f>
        <v>0.88</v>
      </c>
      <c r="K234">
        <f t="shared" si="20"/>
        <v>0.30174497340193063</v>
      </c>
      <c r="L234">
        <f t="shared" si="25"/>
        <v>0.12466458995009343</v>
      </c>
      <c r="M234">
        <f>IF((((1.18*F234^0.874)/3.7-(0.301*F234^0.751)/(1-H234)*H234)*(MAX('Min rate concentrations'!$P$3:$P$368)))/F234&gt;0, (((1.18*F234^0.874)/3.7-(0.301*F234^0.751)/(1-H234)*H234)*(MAX('Min rate concentrations'!$P$3:$P$368)))/F234, 0)</f>
        <v>2.5336049595018251E-4</v>
      </c>
      <c r="N234">
        <f>IF((((1.18*F234^0.874)/3.7-(0.301*F234^0.751)/(1-H234)*H234)*(MAX('Min rate concentrations'!$Q$3:$Q$368)))/F234&gt;0, (((1.18*F234^0.874)/3.7-(0.301*F234^0.751)/(1-H234)*H234)*(MAX('Min rate concentrations'!$Q$3:$Q$368)))/F234, 0)</f>
        <v>9.6481038206468704E-4</v>
      </c>
      <c r="O234">
        <f>((MAX('Min rate concentrations'!$F$3:$F$368))*0.62*6.01*8*(10*F234^0.667)*0.079*0.1/F234)*inputs!$E$80/(10^(0.84+0.62*LOG10(inputs!$E$80)))</f>
        <v>1.3986693351125064</v>
      </c>
      <c r="P234">
        <f>((MAX('Min rate concentrations'!Y:Y))*0.62*6.01*8*(10*F234^0.667)*0.079*0.1/F234)*inputs!$E$80/(10^(0.84+0.62*LOG10(inputs!$E$80)))</f>
        <v>0.46622311170416869</v>
      </c>
      <c r="Q234">
        <f>(inputs!$C$7*11.2*(10*F234^0.667)*0.5/F234)*inputs!$E$80/(10^(0.84+0.62*LOG10(inputs!$E$80)))</f>
        <v>0.24636900644693105</v>
      </c>
      <c r="R234">
        <f>(60*284*((F234/1000)^0.77)*3*24*(MAX('Min rate concentrations'!$R$3:$R$368))/F234)*(inputs!$E$73*3.4/inputs!$E$75)</f>
        <v>3.1804234009272744E-3</v>
      </c>
      <c r="S234">
        <f>(IF(inputs!$C$6="aerial",((0.025*0.112*inputs!$C$7/3.3)*(3*60*284*((F234/1000)^0.77))*MAX(inputs!$H$14:$H$16))/F234,((0.0083*0.112*inputs!$C$7/1)*(3*60*284*((F234/1000)^0.77))*MAX(inputs!$H$14:$H$16))/F234))*(inputs!E$75*3.4/inputs!$E$73)</f>
        <v>1.7540230455950281E-2</v>
      </c>
      <c r="T234">
        <f>IF((((inputs!$P$12/(V234/MAX(K234:S234)))^(1/inputs!$O$12))-1)/inputs!$N$12&lt;0, 0, IF((((inputs!$P$12/(V234/MAX(K234:S234)))^(1/inputs!$O$12))-1)/inputs!$N$12&gt;inputs!$H$17, inputs!$H$17, (((inputs!$P$12/(V234/MAX(K234:S234)))^(1/inputs!$O$12))-1)/inputs!$N$12))</f>
        <v>192.1817040904908</v>
      </c>
      <c r="U234">
        <f>IF((((inputs!$P$12/(X234/MAX(K234:S234)))^(1/inputs!$O$12))-1)/inputs!$N$12&lt;0, 0, IF((((inputs!$P$12/(X234/MAX(K234:S234)))^(1/inputs!$O$12))-1)/inputs!$N$12&gt;inputs!$H$17, inputs!$H$17, (((inputs!$P$12/(X234/MAX(K234:S234)))^(1/inputs!$O$12))-1)/inputs!$N$12))</f>
        <v>0</v>
      </c>
      <c r="V234">
        <f>inputs!$E$78*(F234/inputs!$F$78)^(inputs!$E$84-1)</f>
        <v>4.3427808073074944E-3</v>
      </c>
      <c r="W234">
        <f>inputs!$E$85*(F234/inputs!$F$85)^(inputs!$E$84-1)</f>
        <v>0.20054161757711042</v>
      </c>
      <c r="X234">
        <f>inputs!$E$80*(F234/inputs!$F$80)^(inputs!$E$84-1)</f>
        <v>0.74885793905376674</v>
      </c>
      <c r="Y234">
        <f>inputs!$E$82*(F234/inputs!$F$82)^(inputs!$E$84-1)</f>
        <v>0.34513679047549034</v>
      </c>
      <c r="Z234">
        <f t="shared" si="21"/>
        <v>322.06767902239011</v>
      </c>
      <c r="AA234">
        <f t="shared" si="22"/>
        <v>6.9744592270215575</v>
      </c>
    </row>
    <row r="235" spans="1:27" x14ac:dyDescent="0.3">
      <c r="A235" t="s">
        <v>248</v>
      </c>
      <c r="B235" t="s">
        <v>249</v>
      </c>
      <c r="C235" t="s">
        <v>73</v>
      </c>
      <c r="D235" t="s">
        <v>240</v>
      </c>
      <c r="E235">
        <v>7342</v>
      </c>
      <c r="F235">
        <v>5400</v>
      </c>
      <c r="G235" t="s">
        <v>152</v>
      </c>
      <c r="H235">
        <v>0.77</v>
      </c>
      <c r="I235">
        <f>MAX('Min rate concentrations'!$G$3:$G$368)</f>
        <v>7.5</v>
      </c>
      <c r="J235">
        <f>MAX('Min rate concentrations'!Z:Z)</f>
        <v>3.5</v>
      </c>
      <c r="K235">
        <f t="shared" si="20"/>
        <v>1.1548720659902432</v>
      </c>
      <c r="L235">
        <f t="shared" si="25"/>
        <v>0.53894029746211347</v>
      </c>
      <c r="M235">
        <f>IF((((1.18*F235^0.874)/3.7-(0.301*F235^0.751)/(1-H235)*H235)*(MAX('Min rate concentrations'!$P$3:$P$368)))/F235&gt;0, (((1.18*F235^0.874)/3.7-(0.301*F235^0.751)/(1-H235)*H235)*(MAX('Min rate concentrations'!$P$3:$P$368)))/F235, 0)</f>
        <v>0</v>
      </c>
      <c r="N235">
        <f>IF((((1.18*F235^0.874)/3.7-(0.301*F235^0.751)/(1-H235)*H235)*(MAX('Min rate concentrations'!$Q$3:$Q$368)))/F235&gt;0, (((1.18*F235^0.874)/3.7-(0.301*F235^0.751)/(1-H235)*H235)*(MAX('Min rate concentrations'!$Q$3:$Q$368)))/F235, 0)</f>
        <v>0</v>
      </c>
      <c r="O235">
        <f>((MAX('Min rate concentrations'!$F$3:$F$368))*0.62*6.01*8*(10*F235^0.667)*0.079*0.1/F235)*inputs!$E$80/(10^(0.84+0.62*LOG10(inputs!$E$80)))</f>
        <v>1.3986693351125064</v>
      </c>
      <c r="P235">
        <f>((MAX('Min rate concentrations'!Y:Y))*0.62*6.01*8*(10*F235^0.667)*0.079*0.1/F235)*inputs!$E$80/(10^(0.84+0.62*LOG10(inputs!$E$80)))</f>
        <v>0.46622311170416869</v>
      </c>
      <c r="Q235">
        <f>(inputs!$C$7*11.2*(10*F235^0.667)*0.5/F235)*inputs!$E$80/(10^(0.84+0.62*LOG10(inputs!$E$80)))</f>
        <v>0.24636900644693105</v>
      </c>
      <c r="R235">
        <f>(60*284*((F235/1000)^0.77)*3*24*(MAX('Min rate concentrations'!$R$3:$R$368))/F235)*(inputs!$E$73*3.4/inputs!$E$75)</f>
        <v>3.1804234009272744E-3</v>
      </c>
      <c r="S235">
        <f>(IF(inputs!$C$6="aerial",((0.025*0.112*inputs!$C$7/3.3)*(3*60*284*((F235/1000)^0.77))*MAX(inputs!$H$14:$H$16))/F235,((0.0083*0.112*inputs!$C$7/1)*(3*60*284*((F235/1000)^0.77))*MAX(inputs!$H$14:$H$16))/F235))*(inputs!E$75*3.4/inputs!$E$73)</f>
        <v>1.7540230455950281E-2</v>
      </c>
      <c r="T235">
        <f>IF((((inputs!$P$12/(V235/MAX(K235:S235)))^(1/inputs!$O$12))-1)/inputs!$N$12&lt;0, 0, IF((((inputs!$P$12/(V235/MAX(K235:S235)))^(1/inputs!$O$12))-1)/inputs!$N$12&gt;inputs!$H$17, inputs!$H$17, (((inputs!$P$12/(V235/MAX(K235:S235)))^(1/inputs!$O$12))-1)/inputs!$N$12))</f>
        <v>192.1817040904908</v>
      </c>
      <c r="U235">
        <f>IF((((inputs!$P$12/(X235/MAX(K235:S235)))^(1/inputs!$O$12))-1)/inputs!$N$12&lt;0, 0, IF((((inputs!$P$12/(X235/MAX(K235:S235)))^(1/inputs!$O$12))-1)/inputs!$N$12&gt;inputs!$H$17, inputs!$H$17, (((inputs!$P$12/(X235/MAX(K235:S235)))^(1/inputs!$O$12))-1)/inputs!$N$12))</f>
        <v>0</v>
      </c>
      <c r="V235">
        <f>inputs!$E$78*(F235/inputs!$F$78)^(inputs!$E$84-1)</f>
        <v>4.3427808073074944E-3</v>
      </c>
      <c r="W235">
        <f>inputs!$E$85*(F235/inputs!$F$85)^(inputs!$E$84-1)</f>
        <v>0.20054161757711042</v>
      </c>
      <c r="X235">
        <f>inputs!$E$80*(F235/inputs!$F$80)^(inputs!$E$84-1)</f>
        <v>0.74885793905376674</v>
      </c>
      <c r="Y235">
        <f>inputs!$E$82*(F235/inputs!$F$82)^(inputs!$E$84-1)</f>
        <v>0.34513679047549034</v>
      </c>
      <c r="Z235">
        <f t="shared" si="21"/>
        <v>322.06767902239011</v>
      </c>
      <c r="AA235">
        <f t="shared" si="22"/>
        <v>6.9744592270215575</v>
      </c>
    </row>
    <row r="236" spans="1:27" x14ac:dyDescent="0.3">
      <c r="A236" t="s">
        <v>248</v>
      </c>
      <c r="B236" t="s">
        <v>249</v>
      </c>
      <c r="C236" t="s">
        <v>73</v>
      </c>
      <c r="D236" t="s">
        <v>240</v>
      </c>
      <c r="E236">
        <v>7342</v>
      </c>
      <c r="F236">
        <v>5400</v>
      </c>
      <c r="G236" t="s">
        <v>456</v>
      </c>
      <c r="H236">
        <v>0.68</v>
      </c>
      <c r="I236">
        <f>MAX('Min rate concentrations'!$J$3:$J$368)</f>
        <v>114.4108103430513</v>
      </c>
      <c r="J236">
        <f>MAX('Min rate concentrations'!AB:AB)</f>
        <v>40.520495329830666</v>
      </c>
      <c r="K236">
        <f t="shared" si="20"/>
        <v>12.662443854114347</v>
      </c>
      <c r="L236">
        <f t="shared" si="25"/>
        <v>4.4846155316654972</v>
      </c>
      <c r="M236">
        <f>IF((((1.18*F236^0.874)/3.7-(0.301*F236^0.751)/(1-H236)*H236)*(MAX('Min rate concentrations'!$P$3:$P$368)))/F236&gt;0, (((1.18*F236^0.874)/3.7-(0.301*F236^0.751)/(1-H236)*H236)*(MAX('Min rate concentrations'!$P$3:$P$368)))/F236, 0)</f>
        <v>4.7513625667980845E-3</v>
      </c>
      <c r="N236">
        <f>IF((((1.18*F236^0.874)/3.7-(0.301*F236^0.751)/(1-H236)*H236)*(MAX('Min rate concentrations'!$Q$3:$Q$368)))/F236&gt;0, (((1.18*F236^0.874)/3.7-(0.301*F236^0.751)/(1-H236)*H236)*(MAX('Min rate concentrations'!$Q$3:$Q$368)))/F236, 0)</f>
        <v>1.809344395308447E-2</v>
      </c>
      <c r="O236">
        <f>((MAX('Min rate concentrations'!$F$3:$F$368))*0.62*6.01*8*(10*F236^0.667)*0.079*0.1/F236)*inputs!$E$80/(10^(0.84+0.62*LOG10(inputs!$E$80)))</f>
        <v>1.3986693351125064</v>
      </c>
      <c r="P236">
        <f>((MAX('Min rate concentrations'!Y:Y))*0.62*6.01*8*(10*F236^0.667)*0.079*0.1/F236)*inputs!$E$80/(10^(0.84+0.62*LOG10(inputs!$E$80)))</f>
        <v>0.46622311170416869</v>
      </c>
      <c r="Q236">
        <f>(inputs!$C$7*11.2*(10*F236^0.667)*0.5/F236)*inputs!$E$80/(10^(0.84+0.62*LOG10(inputs!$E$80)))</f>
        <v>0.24636900644693105</v>
      </c>
      <c r="R236">
        <f>(60*284*((F236/1000)^0.77)*3*24*(MAX('Min rate concentrations'!$R$3:$R$368))/F236)*(inputs!$E$73*3.4/inputs!$E$75)</f>
        <v>3.1804234009272744E-3</v>
      </c>
      <c r="S236">
        <f>(IF(inputs!$C$6="aerial",((0.025*0.112*inputs!$C$7/3.3)*(3*60*284*((F236/1000)^0.77))*MAX(inputs!$H$14:$H$16))/F236,((0.0083*0.112*inputs!$C$7/1)*(3*60*284*((F236/1000)^0.77))*MAX(inputs!$H$14:$H$16))/F236))*(inputs!E$75*3.4/inputs!$E$73)</f>
        <v>1.7540230455950281E-2</v>
      </c>
      <c r="T236">
        <f>IF((((inputs!$P$12/(V236/MAX(K236:S236)))^(1/inputs!$O$12))-1)/inputs!$N$12&lt;0, 0, IF((((inputs!$P$12/(V236/MAX(K236:S236)))^(1/inputs!$O$12))-1)/inputs!$N$12&gt;inputs!$H$17, inputs!$H$17, (((inputs!$P$12/(V236/MAX(K236:S236)))^(1/inputs!$O$12))-1)/inputs!$N$12))</f>
        <v>512.15508052470773</v>
      </c>
      <c r="U236">
        <f>IF((((inputs!$P$12/(X236/MAX(K236:S236)))^(1/inputs!$O$12))-1)/inputs!$N$12&lt;0, 0, IF((((inputs!$P$12/(X236/MAX(K236:S236)))^(1/inputs!$O$12))-1)/inputs!$N$12&gt;inputs!$H$17, inputs!$H$17, (((inputs!$P$12/(X236/MAX(K236:S236)))^(1/inputs!$O$12))-1)/inputs!$N$12))</f>
        <v>38.067125748301152</v>
      </c>
      <c r="V236">
        <f>inputs!$E$78*(F236/inputs!$F$78)^(inputs!$E$84-1)</f>
        <v>4.3427808073074944E-3</v>
      </c>
      <c r="W236">
        <f>inputs!$E$85*(F236/inputs!$F$85)^(inputs!$E$84-1)</f>
        <v>0.20054161757711042</v>
      </c>
      <c r="X236">
        <f>inputs!$E$80*(F236/inputs!$F$80)^(inputs!$E$84-1)</f>
        <v>0.74885793905376674</v>
      </c>
      <c r="Y236">
        <f>inputs!$E$82*(F236/inputs!$F$82)^(inputs!$E$84-1)</f>
        <v>0.34513679047549034</v>
      </c>
      <c r="Z236">
        <f t="shared" si="21"/>
        <v>2915.7455593447298</v>
      </c>
      <c r="AA236">
        <f t="shared" si="22"/>
        <v>63.141227277901557</v>
      </c>
    </row>
    <row r="237" spans="1:27" x14ac:dyDescent="0.3">
      <c r="A237" t="s">
        <v>248</v>
      </c>
      <c r="B237" t="s">
        <v>249</v>
      </c>
      <c r="C237" t="s">
        <v>73</v>
      </c>
      <c r="D237" t="s">
        <v>240</v>
      </c>
      <c r="E237">
        <v>7342</v>
      </c>
      <c r="F237">
        <v>5400</v>
      </c>
      <c r="G237" t="s">
        <v>154</v>
      </c>
      <c r="H237">
        <v>9.2999999999999999E-2</v>
      </c>
      <c r="I237">
        <f>MAX('Min rate concentrations'!$G$3:$G$368)</f>
        <v>7.5</v>
      </c>
      <c r="J237">
        <f>MAX('Min rate concentrations'!Z:Z)</f>
        <v>3.5</v>
      </c>
      <c r="K237">
        <f t="shared" si="20"/>
        <v>0.29285620196003953</v>
      </c>
      <c r="M237">
        <f>IF((((1.18*F237^0.874)/3.7-(0.301*F237^0.751)/(1-H237)*H237)*(MAX('Min rate concentrations'!$P$3:$P$368)))/F237&gt;0, (((1.18*F237^0.874)/3.7-(0.301*F237^0.751)/(1-H237)*H237)*(MAX('Min rate concentrations'!$P$3:$P$368)))/F237, 0)</f>
        <v>1.5147988868529531E-2</v>
      </c>
      <c r="N237">
        <f>IF((((1.18*F237^0.874)/3.7-(0.301*F237^0.751)/(1-H237)*H237)*(MAX('Min rate concentrations'!$Q$3:$Q$368)))/F237&gt;0, (((1.18*F237^0.874)/3.7-(0.301*F237^0.751)/(1-H237)*H237)*(MAX('Min rate concentrations'!$Q$3:$Q$368)))/F237, 0)</f>
        <v>5.7684355538328659E-2</v>
      </c>
      <c r="O237">
        <f>((MAX('Min rate concentrations'!$F$3:$F$368))*0.62*6.01*8*(10*F237^0.667)*0.079*0.1/F237)*inputs!$E$80/(10^(0.84+0.62*LOG10(inputs!$E$80)))</f>
        <v>1.3986693351125064</v>
      </c>
      <c r="P237">
        <f>((MAX('Min rate concentrations'!Y:Y))*0.62*6.01*8*(10*F237^0.667)*0.079*0.1/F237)*inputs!$E$80/(10^(0.84+0.62*LOG10(inputs!$E$80)))</f>
        <v>0.46622311170416869</v>
      </c>
      <c r="Q237">
        <f>(inputs!$C$7*11.2*(10*F237^0.667)*0.5/F237)*inputs!$E$80/(10^(0.84+0.62*LOG10(inputs!$E$80)))</f>
        <v>0.24636900644693105</v>
      </c>
      <c r="R237">
        <f>(60*284*((F237/1000)^0.77)*3*24*(MAX('Min rate concentrations'!$R$3:$R$368))/F237)*(inputs!$E$73*3.4/inputs!$E$75)</f>
        <v>3.1804234009272744E-3</v>
      </c>
      <c r="S237">
        <f>(IF(inputs!$C$6="aerial",((0.025*0.112*inputs!$C$7/3.3)*(3*60*284*((F237/1000)^0.77))*MAX(inputs!$H$14:$H$16))/F237,((0.0083*0.112*inputs!$C$7/1)*(3*60*284*((F237/1000)^0.77))*MAX(inputs!$H$14:$H$16))/F237))*(inputs!E$75*3.4/inputs!$E$73)</f>
        <v>1.7540230455950281E-2</v>
      </c>
      <c r="T237">
        <f>IF((((inputs!$P$12/(V237/MAX(K237:S237)))^(1/inputs!$O$12))-1)/inputs!$N$12&lt;0, 0, IF((((inputs!$P$12/(V237/MAX(K237:S237)))^(1/inputs!$O$12))-1)/inputs!$N$12&gt;inputs!$H$17, inputs!$H$17, (((inputs!$P$12/(V237/MAX(K237:S237)))^(1/inputs!$O$12))-1)/inputs!$N$12))</f>
        <v>192.1817040904908</v>
      </c>
      <c r="U237">
        <f>IF((((inputs!$P$12/(X237/MAX(K237:S237)))^(1/inputs!$O$12))-1)/inputs!$N$12&lt;0, 0, IF((((inputs!$P$12/(X237/MAX(K237:S237)))^(1/inputs!$O$12))-1)/inputs!$N$12&gt;inputs!$H$17, inputs!$H$17, (((inputs!$P$12/(X237/MAX(K237:S237)))^(1/inputs!$O$12))-1)/inputs!$N$12))</f>
        <v>0</v>
      </c>
      <c r="V237">
        <f>inputs!$E$78*(F237/inputs!$F$78)^(inputs!$E$84-1)</f>
        <v>4.3427808073074944E-3</v>
      </c>
      <c r="W237">
        <f>inputs!$E$85*(F237/inputs!$F$85)^(inputs!$E$84-1)</f>
        <v>0.20054161757711042</v>
      </c>
      <c r="X237">
        <f>inputs!$E$80*(F237/inputs!$F$80)^(inputs!$E$84-1)</f>
        <v>0.74885793905376674</v>
      </c>
      <c r="Y237">
        <f>inputs!$E$82*(F237/inputs!$F$82)^(inputs!$E$84-1)</f>
        <v>0.34513679047549034</v>
      </c>
      <c r="Z237">
        <f t="shared" si="21"/>
        <v>322.06767902239011</v>
      </c>
      <c r="AA237">
        <f t="shared" si="22"/>
        <v>6.9744592270215575</v>
      </c>
    </row>
    <row r="238" spans="1:27" x14ac:dyDescent="0.3">
      <c r="A238" t="s">
        <v>248</v>
      </c>
      <c r="B238" t="s">
        <v>251</v>
      </c>
      <c r="C238" t="s">
        <v>73</v>
      </c>
      <c r="D238" t="s">
        <v>240</v>
      </c>
      <c r="E238">
        <v>4679</v>
      </c>
      <c r="F238">
        <v>5400</v>
      </c>
      <c r="G238" t="s">
        <v>182</v>
      </c>
      <c r="H238">
        <v>0.85</v>
      </c>
      <c r="I238">
        <f>MAX('Min rate concentrations'!$M$3:$M$368)</f>
        <v>2.8488184789681945</v>
      </c>
      <c r="J238">
        <f>MAX('Min rate concentrations'!AE:AE)</f>
        <v>1.9699276716269429</v>
      </c>
      <c r="K238">
        <f t="shared" si="20"/>
        <v>0.67262649152049014</v>
      </c>
      <c r="L238">
        <f t="shared" ref="L238:L244" si="26">((0.301*F238^0.751)/(1-H238))*J238/F238</f>
        <v>0.4651140632854453</v>
      </c>
      <c r="M238">
        <f>IF((((1.18*F238^0.874)/3.7-(0.301*F238^0.751)/(1-H238)*H238)*(MAX('Min rate concentrations'!$P$3:$P$368)))/F238&gt;0, (((1.18*F238^0.874)/3.7-(0.301*F238^0.751)/(1-H238)*H238)*(MAX('Min rate concentrations'!$P$3:$P$368)))/F238, 0)</f>
        <v>0</v>
      </c>
      <c r="N238">
        <f>IF((((1.18*F238^0.874)/3.7-(0.301*F238^0.751)/(1-H238)*H238)*(MAX('Min rate concentrations'!$Q$3:$Q$368)))/F238&gt;0, (((1.18*F238^0.874)/3.7-(0.301*F238^0.751)/(1-H238)*H238)*(MAX('Min rate concentrations'!$Q$3:$Q$368)))/F238, 0)</f>
        <v>0</v>
      </c>
      <c r="O238">
        <f>((MAX('Min rate concentrations'!$F$3:$F$368))*0.62*6.01*8*(10*F238^0.667)*0.079*0.1/F238)*inputs!$E$80/(10^(0.84+0.62*LOG10(inputs!$E$80)))</f>
        <v>1.3986693351125064</v>
      </c>
      <c r="P238">
        <f>((MAX('Min rate concentrations'!Y:Y))*0.62*6.01*8*(10*F238^0.667)*0.079*0.1/F238)*inputs!$E$80/(10^(0.84+0.62*LOG10(inputs!$E$80)))</f>
        <v>0.46622311170416869</v>
      </c>
      <c r="Q238">
        <f>(inputs!$C$7*11.2*(10*F238^0.667)*0.5/F238)*inputs!$E$80/(10^(0.84+0.62*LOG10(inputs!$E$80)))</f>
        <v>0.24636900644693105</v>
      </c>
      <c r="R238">
        <f>(60*284*((F238/1000)^0.77)*3*24*(MAX('Min rate concentrations'!$R$3:$R$368))/F238)*(inputs!$E$73*3.4/inputs!$E$75)</f>
        <v>3.1804234009272744E-3</v>
      </c>
      <c r="S238">
        <f>(IF(inputs!$C$6="aerial",((0.025*0.112*inputs!$C$7/3.3)*(3*60*284*((F238/1000)^0.77))*MAX(inputs!$H$14:$H$16))/F238,((0.0083*0.112*inputs!$C$7/1)*(3*60*284*((F238/1000)^0.77))*MAX(inputs!$H$14:$H$16))/F238))*(inputs!E$75*3.4/inputs!$E$73)</f>
        <v>1.7540230455950281E-2</v>
      </c>
      <c r="T238">
        <f>IF((((inputs!$P$12/(V238/MAX(K238:S238)))^(1/inputs!$O$12))-1)/inputs!$N$12&lt;0, 0, IF((((inputs!$P$12/(V238/MAX(K238:S238)))^(1/inputs!$O$12))-1)/inputs!$N$12&gt;inputs!$H$17, inputs!$H$17, (((inputs!$P$12/(V238/MAX(K238:S238)))^(1/inputs!$O$12))-1)/inputs!$N$12))</f>
        <v>192.1817040904908</v>
      </c>
      <c r="U238">
        <f>IF((((inputs!$P$12/(X238/MAX(K238:S238)))^(1/inputs!$O$12))-1)/inputs!$N$12&lt;0, 0, IF((((inputs!$P$12/(X238/MAX(K238:S238)))^(1/inputs!$O$12))-1)/inputs!$N$12&gt;inputs!$H$17, inputs!$H$17, (((inputs!$P$12/(X238/MAX(K238:S238)))^(1/inputs!$O$12))-1)/inputs!$N$12))</f>
        <v>0</v>
      </c>
      <c r="V238">
        <f>inputs!$E$78*(F238/inputs!$F$78)^(inputs!$E$84-1)</f>
        <v>4.3427808073074944E-3</v>
      </c>
      <c r="W238">
        <f>inputs!$E$85*(F238/inputs!$F$85)^(inputs!$E$84-1)</f>
        <v>0.20054161757711042</v>
      </c>
      <c r="X238">
        <f>inputs!$E$80*(F238/inputs!$F$80)^(inputs!$E$84-1)</f>
        <v>0.74885793905376674</v>
      </c>
      <c r="Y238">
        <f>inputs!$E$82*(F238/inputs!$F$82)^(inputs!$E$84-1)</f>
        <v>0.34513679047549034</v>
      </c>
      <c r="Z238">
        <f t="shared" si="21"/>
        <v>322.06767902239011</v>
      </c>
      <c r="AA238">
        <f t="shared" si="22"/>
        <v>6.9744592270215575</v>
      </c>
    </row>
    <row r="239" spans="1:27" x14ac:dyDescent="0.3">
      <c r="A239" t="s">
        <v>248</v>
      </c>
      <c r="B239" t="s">
        <v>251</v>
      </c>
      <c r="C239" t="s">
        <v>73</v>
      </c>
      <c r="D239" t="s">
        <v>240</v>
      </c>
      <c r="E239">
        <v>4679</v>
      </c>
      <c r="F239">
        <v>5400</v>
      </c>
      <c r="G239" t="s">
        <v>142</v>
      </c>
      <c r="H239">
        <v>0.69</v>
      </c>
      <c r="I239">
        <f>MAX('Min rate concentrations'!$H$3:$H$368)</f>
        <v>47</v>
      </c>
      <c r="J239">
        <f>MAX('Min rate concentrations'!AA:AA)</f>
        <v>32.5</v>
      </c>
      <c r="K239">
        <f t="shared" si="20"/>
        <v>5.3695342078944188</v>
      </c>
      <c r="L239">
        <f t="shared" si="26"/>
        <v>3.7129757820546514</v>
      </c>
      <c r="M239">
        <f>IF((((1.18*F239^0.874)/3.7-(0.301*F239^0.751)/(1-H239)*H239)*(MAX('Min rate concentrations'!$P$3:$P$368)))/F239&gt;0, (((1.18*F239^0.874)/3.7-(0.301*F239^0.751)/(1-H239)*H239)*(MAX('Min rate concentrations'!$P$3:$P$368)))/F239, 0)</f>
        <v>4.2331595632441824E-3</v>
      </c>
      <c r="N239">
        <f>IF((((1.18*F239^0.874)/3.7-(0.301*F239^0.751)/(1-H239)*H239)*(MAX('Min rate concentrations'!$Q$3:$Q$368)))/F239&gt;0, (((1.18*F239^0.874)/3.7-(0.301*F239^0.751)/(1-H239)*H239)*(MAX('Min rate concentrations'!$Q$3:$Q$368)))/F239, 0)</f>
        <v>1.6120099071630596E-2</v>
      </c>
      <c r="O239">
        <f>((MAX('Min rate concentrations'!$F$3:$F$368))*0.62*6.01*8*(10*F239^0.667)*0.079*0.1/F239)*inputs!$E$80/(10^(0.84+0.62*LOG10(inputs!$E$80)))</f>
        <v>1.3986693351125064</v>
      </c>
      <c r="P239">
        <f>((MAX('Min rate concentrations'!Y:Y))*0.62*6.01*8*(10*F239^0.667)*0.079*0.1/F239)*inputs!$E$80/(10^(0.84+0.62*LOG10(inputs!$E$80)))</f>
        <v>0.46622311170416869</v>
      </c>
      <c r="Q239">
        <f>(inputs!$C$7*11.2*(10*F239^0.667)*0.5/F239)*inputs!$E$80/(10^(0.84+0.62*LOG10(inputs!$E$80)))</f>
        <v>0.24636900644693105</v>
      </c>
      <c r="R239">
        <f>(60*284*((F239/1000)^0.77)*3*24*(MAX('Min rate concentrations'!$R$3:$R$368))/F239)*(inputs!$E$73*3.4/inputs!$E$75)</f>
        <v>3.1804234009272744E-3</v>
      </c>
      <c r="S239">
        <f>(IF(inputs!$C$6="aerial",((0.025*0.112*inputs!$C$7/3.3)*(3*60*284*((F239/1000)^0.77))*MAX(inputs!$H$14:$H$16))/F239,((0.0083*0.112*inputs!$C$7/1)*(3*60*284*((F239/1000)^0.77))*MAX(inputs!$H$14:$H$16))/F239))*(inputs!E$75*3.4/inputs!$E$73)</f>
        <v>1.7540230455950281E-2</v>
      </c>
      <c r="T239">
        <f>IF((((inputs!$P$12/(V239/MAX(K239:S239)))^(1/inputs!$O$12))-1)/inputs!$N$12&lt;0, 0, IF((((inputs!$P$12/(V239/MAX(K239:S239)))^(1/inputs!$O$12))-1)/inputs!$N$12&gt;inputs!$H$17, inputs!$H$17, (((inputs!$P$12/(V239/MAX(K239:S239)))^(1/inputs!$O$12))-1)/inputs!$N$12))</f>
        <v>352.90091572576898</v>
      </c>
      <c r="U239">
        <f>IF((((inputs!$P$12/(X239/MAX(K239:S239)))^(1/inputs!$O$12))-1)/inputs!$N$12&lt;0, 0, IF((((inputs!$P$12/(X239/MAX(K239:S239)))^(1/inputs!$O$12))-1)/inputs!$N$12&gt;inputs!$H$17, inputs!$H$17, (((inputs!$P$12/(X239/MAX(K239:S239)))^(1/inputs!$O$12))-1)/inputs!$N$12))</f>
        <v>18.461836006689119</v>
      </c>
      <c r="V239">
        <f>inputs!$E$78*(F239/inputs!$F$78)^(inputs!$E$84-1)</f>
        <v>4.3427808073074944E-3</v>
      </c>
      <c r="W239">
        <f>inputs!$E$85*(F239/inputs!$F$85)^(inputs!$E$84-1)</f>
        <v>0.20054161757711042</v>
      </c>
      <c r="X239">
        <f>inputs!$E$80*(F239/inputs!$F$80)^(inputs!$E$84-1)</f>
        <v>0.74885793905376674</v>
      </c>
      <c r="Y239">
        <f>inputs!$E$82*(F239/inputs!$F$82)^(inputs!$E$84-1)</f>
        <v>0.34513679047549034</v>
      </c>
      <c r="Z239">
        <f t="shared" si="21"/>
        <v>1236.4276361494531</v>
      </c>
      <c r="AA239">
        <f t="shared" si="22"/>
        <v>26.775161548847958</v>
      </c>
    </row>
    <row r="240" spans="1:27" x14ac:dyDescent="0.3">
      <c r="A240" t="s">
        <v>248</v>
      </c>
      <c r="B240" t="s">
        <v>251</v>
      </c>
      <c r="C240" t="s">
        <v>73</v>
      </c>
      <c r="D240" t="s">
        <v>240</v>
      </c>
      <c r="E240">
        <v>4679</v>
      </c>
      <c r="F240">
        <v>5400</v>
      </c>
      <c r="G240" t="s">
        <v>164</v>
      </c>
      <c r="H240">
        <v>0.78</v>
      </c>
      <c r="I240">
        <f>inputs!$C$65*(inputs!$C$62/1000)</f>
        <v>0.82000000000000006</v>
      </c>
      <c r="J240">
        <f>inputs!$C$65*(inputs!$C$61/1000)</f>
        <v>0.25</v>
      </c>
      <c r="K240">
        <f t="shared" si="20"/>
        <v>0.13200537675500598</v>
      </c>
      <c r="L240">
        <f t="shared" si="26"/>
        <v>4.0245541693599382E-2</v>
      </c>
      <c r="M240">
        <f>IF((((1.18*F240^0.874)/3.7-(0.301*F240^0.751)/(1-H240)*H240)*(MAX('Min rate concentrations'!$P$3:$P$368)))/F240&gt;0, (((1.18*F240^0.874)/3.7-(0.301*F240^0.751)/(1-H240)*H240)*(MAX('Min rate concentrations'!$P$3:$P$368)))/F240, 0)</f>
        <v>0</v>
      </c>
      <c r="N240">
        <f>IF((((1.18*F240^0.874)/3.7-(0.301*F240^0.751)/(1-H240)*H240)*(MAX('Min rate concentrations'!$Q$3:$Q$368)))/F240&gt;0, (((1.18*F240^0.874)/3.7-(0.301*F240^0.751)/(1-H240)*H240)*(MAX('Min rate concentrations'!$Q$3:$Q$368)))/F240, 0)</f>
        <v>0</v>
      </c>
      <c r="O240">
        <f>((MAX('Min rate concentrations'!$F$3:$F$368))*0.62*6.01*8*(10*F240^0.667)*0.079*0.1/F240)*inputs!$E$80/(10^(0.84+0.62*LOG10(inputs!$E$80)))</f>
        <v>1.3986693351125064</v>
      </c>
      <c r="P240">
        <f>((MAX('Min rate concentrations'!Y:Y))*0.62*6.01*8*(10*F240^0.667)*0.079*0.1/F240)*inputs!$E$80/(10^(0.84+0.62*LOG10(inputs!$E$80)))</f>
        <v>0.46622311170416869</v>
      </c>
      <c r="Q240">
        <f>(inputs!$C$7*11.2*(10*F240^0.667)*0.5/F240)*inputs!$E$80/(10^(0.84+0.62*LOG10(inputs!$E$80)))</f>
        <v>0.24636900644693105</v>
      </c>
      <c r="R240">
        <f>(60*284*((F240/1000)^0.77)*3*24*(MAX('Min rate concentrations'!$R$3:$R$368))/F240)*(inputs!$E$73*3.4/inputs!$E$75)</f>
        <v>3.1804234009272744E-3</v>
      </c>
      <c r="S240">
        <f>(IF(inputs!$C$6="aerial",((0.025*0.112*inputs!$C$7/3.3)*(3*60*284*((F240/1000)^0.77))*MAX(inputs!$H$14:$H$16))/F240,((0.0083*0.112*inputs!$C$7/1)*(3*60*284*((F240/1000)^0.77))*MAX(inputs!$H$14:$H$16))/F240))*(inputs!E$75*3.4/inputs!$E$73)</f>
        <v>1.7540230455950281E-2</v>
      </c>
      <c r="T240">
        <f>IF((((inputs!$P$12/(V240/MAX(K240:S240)))^(1/inputs!$O$12))-1)/inputs!$N$12&lt;0, 0, IF((((inputs!$P$12/(V240/MAX(K240:S240)))^(1/inputs!$O$12))-1)/inputs!$N$12&gt;inputs!$H$17, inputs!$H$17, (((inputs!$P$12/(V240/MAX(K240:S240)))^(1/inputs!$O$12))-1)/inputs!$N$12))</f>
        <v>192.1817040904908</v>
      </c>
      <c r="U240">
        <f>IF((((inputs!$P$12/(X240/MAX(K240:S240)))^(1/inputs!$O$12))-1)/inputs!$N$12&lt;0, 0, IF((((inputs!$P$12/(X240/MAX(K240:S240)))^(1/inputs!$O$12))-1)/inputs!$N$12&gt;inputs!$H$17, inputs!$H$17, (((inputs!$P$12/(X240/MAX(K240:S240)))^(1/inputs!$O$12))-1)/inputs!$N$12))</f>
        <v>0</v>
      </c>
      <c r="V240">
        <f>inputs!$E$78*(F240/inputs!$F$78)^(inputs!$E$84-1)</f>
        <v>4.3427808073074944E-3</v>
      </c>
      <c r="W240">
        <f>inputs!$E$85*(F240/inputs!$F$85)^(inputs!$E$84-1)</f>
        <v>0.20054161757711042</v>
      </c>
      <c r="X240">
        <f>inputs!$E$80*(F240/inputs!$F$80)^(inputs!$E$84-1)</f>
        <v>0.74885793905376674</v>
      </c>
      <c r="Y240">
        <f>inputs!$E$82*(F240/inputs!$F$82)^(inputs!$E$84-1)</f>
        <v>0.34513679047549034</v>
      </c>
      <c r="Z240">
        <f t="shared" si="21"/>
        <v>322.06767902239011</v>
      </c>
      <c r="AA240">
        <f t="shared" si="22"/>
        <v>6.9744592270215575</v>
      </c>
    </row>
    <row r="241" spans="1:27" x14ac:dyDescent="0.3">
      <c r="A241" t="s">
        <v>248</v>
      </c>
      <c r="B241" t="s">
        <v>251</v>
      </c>
      <c r="C241" t="s">
        <v>73</v>
      </c>
      <c r="D241" t="s">
        <v>240</v>
      </c>
      <c r="E241">
        <v>4679</v>
      </c>
      <c r="F241">
        <v>5400</v>
      </c>
      <c r="G241" t="s">
        <v>138</v>
      </c>
      <c r="H241">
        <v>0.68</v>
      </c>
      <c r="I241">
        <f>MAX('Min rate concentrations'!$L$3:$L$368)</f>
        <v>58.421240152220811</v>
      </c>
      <c r="J241">
        <f>MAX('Min rate concentrations'!AD:AD)</f>
        <v>40.397666062705881</v>
      </c>
      <c r="K241">
        <f t="shared" si="20"/>
        <v>6.4657847549294578</v>
      </c>
      <c r="L241">
        <f t="shared" si="26"/>
        <v>4.4710213730895187</v>
      </c>
      <c r="M241">
        <f>IF((((1.18*F241^0.874)/3.7-(0.301*F241^0.751)/(1-H241)*H241)*(MAX('Min rate concentrations'!$P$3:$P$368)))/F241&gt;0, (((1.18*F241^0.874)/3.7-(0.301*F241^0.751)/(1-H241)*H241)*(MAX('Min rate concentrations'!$P$3:$P$368)))/F241, 0)</f>
        <v>4.7513625667980845E-3</v>
      </c>
      <c r="N241">
        <f>IF((((1.18*F241^0.874)/3.7-(0.301*F241^0.751)/(1-H241)*H241)*(MAX('Min rate concentrations'!$Q$3:$Q$368)))/F241&gt;0, (((1.18*F241^0.874)/3.7-(0.301*F241^0.751)/(1-H241)*H241)*(MAX('Min rate concentrations'!$Q$3:$Q$368)))/F241, 0)</f>
        <v>1.809344395308447E-2</v>
      </c>
      <c r="O241">
        <f>((MAX('Min rate concentrations'!$F$3:$F$368))*0.62*6.01*8*(10*F241^0.667)*0.079*0.1/F241)*inputs!$E$80/(10^(0.84+0.62*LOG10(inputs!$E$80)))</f>
        <v>1.3986693351125064</v>
      </c>
      <c r="P241">
        <f>((MAX('Min rate concentrations'!Y:Y))*0.62*6.01*8*(10*F241^0.667)*0.079*0.1/F241)*inputs!$E$80/(10^(0.84+0.62*LOG10(inputs!$E$80)))</f>
        <v>0.46622311170416869</v>
      </c>
      <c r="Q241">
        <f>(inputs!$C$7*11.2*(10*F241^0.667)*0.5/F241)*inputs!$E$80/(10^(0.84+0.62*LOG10(inputs!$E$80)))</f>
        <v>0.24636900644693105</v>
      </c>
      <c r="R241">
        <f>(60*284*((F241/1000)^0.77)*3*24*(MAX('Min rate concentrations'!$R$3:$R$368))/F241)*(inputs!$E$73*3.4/inputs!$E$75)</f>
        <v>3.1804234009272744E-3</v>
      </c>
      <c r="S241">
        <f>(IF(inputs!$C$6="aerial",((0.025*0.112*inputs!$C$7/3.3)*(3*60*284*((F241/1000)^0.77))*MAX(inputs!$H$14:$H$16))/F241,((0.0083*0.112*inputs!$C$7/1)*(3*60*284*((F241/1000)^0.77))*MAX(inputs!$H$14:$H$16))/F241))*(inputs!E$75*3.4/inputs!$E$73)</f>
        <v>1.7540230455950281E-2</v>
      </c>
      <c r="T241">
        <f>IF((((inputs!$P$12/(V241/MAX(K241:S241)))^(1/inputs!$O$12))-1)/inputs!$N$12&lt;0, 0, IF((((inputs!$P$12/(V241/MAX(K241:S241)))^(1/inputs!$O$12))-1)/inputs!$N$12&gt;inputs!$H$17, inputs!$H$17, (((inputs!$P$12/(V241/MAX(K241:S241)))^(1/inputs!$O$12))-1)/inputs!$N$12))</f>
        <v>382.83741211051409</v>
      </c>
      <c r="U241">
        <f>IF((((inputs!$P$12/(X241/MAX(K241:S241)))^(1/inputs!$O$12))-1)/inputs!$N$12&lt;0, 0, IF((((inputs!$P$12/(X241/MAX(K241:S241)))^(1/inputs!$O$12))-1)/inputs!$N$12&gt;inputs!$H$17, inputs!$H$17, (((inputs!$P$12/(X241/MAX(K241:S241)))^(1/inputs!$O$12))-1)/inputs!$N$12))</f>
        <v>22.147225875221842</v>
      </c>
      <c r="V241">
        <f>inputs!$E$78*(F241/inputs!$F$78)^(inputs!$E$84-1)</f>
        <v>4.3427808073074944E-3</v>
      </c>
      <c r="W241">
        <f>inputs!$E$85*(F241/inputs!$F$85)^(inputs!$E$84-1)</f>
        <v>0.20054161757711042</v>
      </c>
      <c r="X241">
        <f>inputs!$E$80*(F241/inputs!$F$80)^(inputs!$E$84-1)</f>
        <v>0.74885793905376674</v>
      </c>
      <c r="Y241">
        <f>inputs!$E$82*(F241/inputs!$F$82)^(inputs!$E$84-1)</f>
        <v>0.34513679047549034</v>
      </c>
      <c r="Z241">
        <f t="shared" si="21"/>
        <v>1488.8581859921724</v>
      </c>
      <c r="AA241">
        <f t="shared" si="22"/>
        <v>32.241610659409851</v>
      </c>
    </row>
    <row r="242" spans="1:27" x14ac:dyDescent="0.3">
      <c r="A242" t="s">
        <v>248</v>
      </c>
      <c r="B242" t="s">
        <v>251</v>
      </c>
      <c r="C242" t="s">
        <v>73</v>
      </c>
      <c r="D242" t="s">
        <v>240</v>
      </c>
      <c r="E242">
        <v>4679</v>
      </c>
      <c r="F242">
        <v>5400</v>
      </c>
      <c r="G242" t="s">
        <v>186</v>
      </c>
      <c r="H242">
        <v>0.75</v>
      </c>
      <c r="I242">
        <f>inputs!$C$65*inputs!$C$64/1000</f>
        <v>2.13</v>
      </c>
      <c r="J242">
        <f>inputs!$C$65*inputs!$C$63/1000</f>
        <v>0.88</v>
      </c>
      <c r="K242">
        <f t="shared" si="20"/>
        <v>0.30174497340193063</v>
      </c>
      <c r="L242">
        <f t="shared" si="26"/>
        <v>0.12466458995009343</v>
      </c>
      <c r="M242">
        <f>IF((((1.18*F242^0.874)/3.7-(0.301*F242^0.751)/(1-H242)*H242)*(MAX('Min rate concentrations'!$P$3:$P$368)))/F242&gt;0, (((1.18*F242^0.874)/3.7-(0.301*F242^0.751)/(1-H242)*H242)*(MAX('Min rate concentrations'!$P$3:$P$368)))/F242, 0)</f>
        <v>2.5336049595018251E-4</v>
      </c>
      <c r="N242">
        <f>IF((((1.18*F242^0.874)/3.7-(0.301*F242^0.751)/(1-H242)*H242)*(MAX('Min rate concentrations'!$Q$3:$Q$368)))/F242&gt;0, (((1.18*F242^0.874)/3.7-(0.301*F242^0.751)/(1-H242)*H242)*(MAX('Min rate concentrations'!$Q$3:$Q$368)))/F242, 0)</f>
        <v>9.6481038206468704E-4</v>
      </c>
      <c r="O242">
        <f>((MAX('Min rate concentrations'!$F$3:$F$368))*0.62*6.01*8*(10*F242^0.667)*0.079*0.1/F242)*inputs!$E$80/(10^(0.84+0.62*LOG10(inputs!$E$80)))</f>
        <v>1.3986693351125064</v>
      </c>
      <c r="P242">
        <f>((MAX('Min rate concentrations'!Y:Y))*0.62*6.01*8*(10*F242^0.667)*0.079*0.1/F242)*inputs!$E$80/(10^(0.84+0.62*LOG10(inputs!$E$80)))</f>
        <v>0.46622311170416869</v>
      </c>
      <c r="Q242">
        <f>(inputs!$C$7*11.2*(10*F242^0.667)*0.5/F242)*inputs!$E$80/(10^(0.84+0.62*LOG10(inputs!$E$80)))</f>
        <v>0.24636900644693105</v>
      </c>
      <c r="R242">
        <f>(60*284*((F242/1000)^0.77)*3*24*(MAX('Min rate concentrations'!$R$3:$R$368))/F242)*(inputs!$E$73*3.4/inputs!$E$75)</f>
        <v>3.1804234009272744E-3</v>
      </c>
      <c r="S242">
        <f>(IF(inputs!$C$6="aerial",((0.025*0.112*inputs!$C$7/3.3)*(3*60*284*((F242/1000)^0.77))*MAX(inputs!$H$14:$H$16))/F242,((0.0083*0.112*inputs!$C$7/1)*(3*60*284*((F242/1000)^0.77))*MAX(inputs!$H$14:$H$16))/F242))*(inputs!E$75*3.4/inputs!$E$73)</f>
        <v>1.7540230455950281E-2</v>
      </c>
      <c r="T242">
        <f>IF((((inputs!$P$12/(V242/MAX(K242:S242)))^(1/inputs!$O$12))-1)/inputs!$N$12&lt;0, 0, IF((((inputs!$P$12/(V242/MAX(K242:S242)))^(1/inputs!$O$12))-1)/inputs!$N$12&gt;inputs!$H$17, inputs!$H$17, (((inputs!$P$12/(V242/MAX(K242:S242)))^(1/inputs!$O$12))-1)/inputs!$N$12))</f>
        <v>192.1817040904908</v>
      </c>
      <c r="U242">
        <f>IF((((inputs!$P$12/(X242/MAX(K242:S242)))^(1/inputs!$O$12))-1)/inputs!$N$12&lt;0, 0, IF((((inputs!$P$12/(X242/MAX(K242:S242)))^(1/inputs!$O$12))-1)/inputs!$N$12&gt;inputs!$H$17, inputs!$H$17, (((inputs!$P$12/(X242/MAX(K242:S242)))^(1/inputs!$O$12))-1)/inputs!$N$12))</f>
        <v>0</v>
      </c>
      <c r="V242">
        <f>inputs!$E$78*(F242/inputs!$F$78)^(inputs!$E$84-1)</f>
        <v>4.3427808073074944E-3</v>
      </c>
      <c r="W242">
        <f>inputs!$E$85*(F242/inputs!$F$85)^(inputs!$E$84-1)</f>
        <v>0.20054161757711042</v>
      </c>
      <c r="X242">
        <f>inputs!$E$80*(F242/inputs!$F$80)^(inputs!$E$84-1)</f>
        <v>0.74885793905376674</v>
      </c>
      <c r="Y242">
        <f>inputs!$E$82*(F242/inputs!$F$82)^(inputs!$E$84-1)</f>
        <v>0.34513679047549034</v>
      </c>
      <c r="Z242">
        <f t="shared" si="21"/>
        <v>322.06767902239011</v>
      </c>
      <c r="AA242">
        <f t="shared" si="22"/>
        <v>6.9744592270215575</v>
      </c>
    </row>
    <row r="243" spans="1:27" x14ac:dyDescent="0.3">
      <c r="A243" t="s">
        <v>248</v>
      </c>
      <c r="B243" t="s">
        <v>251</v>
      </c>
      <c r="C243" t="s">
        <v>73</v>
      </c>
      <c r="D243" t="s">
        <v>240</v>
      </c>
      <c r="E243">
        <v>4679</v>
      </c>
      <c r="F243">
        <v>5400</v>
      </c>
      <c r="G243" t="s">
        <v>152</v>
      </c>
      <c r="H243">
        <v>0.77</v>
      </c>
      <c r="I243">
        <f>MAX('Min rate concentrations'!$G$3:$G$368)</f>
        <v>7.5</v>
      </c>
      <c r="J243">
        <f>MAX('Min rate concentrations'!Z:Z)</f>
        <v>3.5</v>
      </c>
      <c r="K243">
        <f t="shared" si="20"/>
        <v>1.1548720659902432</v>
      </c>
      <c r="L243">
        <f t="shared" si="26"/>
        <v>0.53894029746211347</v>
      </c>
      <c r="M243">
        <f>IF((((1.18*F243^0.874)/3.7-(0.301*F243^0.751)/(1-H243)*H243)*(MAX('Min rate concentrations'!$P$3:$P$368)))/F243&gt;0, (((1.18*F243^0.874)/3.7-(0.301*F243^0.751)/(1-H243)*H243)*(MAX('Min rate concentrations'!$P$3:$P$368)))/F243, 0)</f>
        <v>0</v>
      </c>
      <c r="N243">
        <f>IF((((1.18*F243^0.874)/3.7-(0.301*F243^0.751)/(1-H243)*H243)*(MAX('Min rate concentrations'!$Q$3:$Q$368)))/F243&gt;0, (((1.18*F243^0.874)/3.7-(0.301*F243^0.751)/(1-H243)*H243)*(MAX('Min rate concentrations'!$Q$3:$Q$368)))/F243, 0)</f>
        <v>0</v>
      </c>
      <c r="O243">
        <f>((MAX('Min rate concentrations'!$F$3:$F$368))*0.62*6.01*8*(10*F243^0.667)*0.079*0.1/F243)*inputs!$E$80/(10^(0.84+0.62*LOG10(inputs!$E$80)))</f>
        <v>1.3986693351125064</v>
      </c>
      <c r="P243">
        <f>((MAX('Min rate concentrations'!Y:Y))*0.62*6.01*8*(10*F243^0.667)*0.079*0.1/F243)*inputs!$E$80/(10^(0.84+0.62*LOG10(inputs!$E$80)))</f>
        <v>0.46622311170416869</v>
      </c>
      <c r="Q243">
        <f>(inputs!$C$7*11.2*(10*F243^0.667)*0.5/F243)*inputs!$E$80/(10^(0.84+0.62*LOG10(inputs!$E$80)))</f>
        <v>0.24636900644693105</v>
      </c>
      <c r="R243">
        <f>(60*284*((F243/1000)^0.77)*3*24*(MAX('Min rate concentrations'!$R$3:$R$368))/F243)*(inputs!$E$73*3.4/inputs!$E$75)</f>
        <v>3.1804234009272744E-3</v>
      </c>
      <c r="S243">
        <f>(IF(inputs!$C$6="aerial",((0.025*0.112*inputs!$C$7/3.3)*(3*60*284*((F243/1000)^0.77))*MAX(inputs!$H$14:$H$16))/F243,((0.0083*0.112*inputs!$C$7/1)*(3*60*284*((F243/1000)^0.77))*MAX(inputs!$H$14:$H$16))/F243))*(inputs!E$75*3.4/inputs!$E$73)</f>
        <v>1.7540230455950281E-2</v>
      </c>
      <c r="T243">
        <f>IF((((inputs!$P$12/(V243/MAX(K243:S243)))^(1/inputs!$O$12))-1)/inputs!$N$12&lt;0, 0, IF((((inputs!$P$12/(V243/MAX(K243:S243)))^(1/inputs!$O$12))-1)/inputs!$N$12&gt;inputs!$H$17, inputs!$H$17, (((inputs!$P$12/(V243/MAX(K243:S243)))^(1/inputs!$O$12))-1)/inputs!$N$12))</f>
        <v>192.1817040904908</v>
      </c>
      <c r="U243">
        <f>IF((((inputs!$P$12/(X243/MAX(K243:S243)))^(1/inputs!$O$12))-1)/inputs!$N$12&lt;0, 0, IF((((inputs!$P$12/(X243/MAX(K243:S243)))^(1/inputs!$O$12))-1)/inputs!$N$12&gt;inputs!$H$17, inputs!$H$17, (((inputs!$P$12/(X243/MAX(K243:S243)))^(1/inputs!$O$12))-1)/inputs!$N$12))</f>
        <v>0</v>
      </c>
      <c r="V243">
        <f>inputs!$E$78*(F243/inputs!$F$78)^(inputs!$E$84-1)</f>
        <v>4.3427808073074944E-3</v>
      </c>
      <c r="W243">
        <f>inputs!$E$85*(F243/inputs!$F$85)^(inputs!$E$84-1)</f>
        <v>0.20054161757711042</v>
      </c>
      <c r="X243">
        <f>inputs!$E$80*(F243/inputs!$F$80)^(inputs!$E$84-1)</f>
        <v>0.74885793905376674</v>
      </c>
      <c r="Y243">
        <f>inputs!$E$82*(F243/inputs!$F$82)^(inputs!$E$84-1)</f>
        <v>0.34513679047549034</v>
      </c>
      <c r="Z243">
        <f t="shared" si="21"/>
        <v>322.06767902239011</v>
      </c>
      <c r="AA243">
        <f t="shared" si="22"/>
        <v>6.9744592270215575</v>
      </c>
    </row>
    <row r="244" spans="1:27" x14ac:dyDescent="0.3">
      <c r="A244" t="s">
        <v>248</v>
      </c>
      <c r="B244" t="s">
        <v>251</v>
      </c>
      <c r="C244" t="s">
        <v>73</v>
      </c>
      <c r="D244" t="s">
        <v>240</v>
      </c>
      <c r="E244">
        <v>4679</v>
      </c>
      <c r="F244">
        <v>5400</v>
      </c>
      <c r="G244" t="s">
        <v>456</v>
      </c>
      <c r="H244">
        <v>0.68</v>
      </c>
      <c r="I244">
        <f>MAX('Min rate concentrations'!$J$3:$J$368)</f>
        <v>114.4108103430513</v>
      </c>
      <c r="J244">
        <f>MAX('Min rate concentrations'!AB:AB)</f>
        <v>40.520495329830666</v>
      </c>
      <c r="K244">
        <f t="shared" si="20"/>
        <v>12.662443854114347</v>
      </c>
      <c r="L244">
        <f t="shared" si="26"/>
        <v>4.4846155316654972</v>
      </c>
      <c r="M244">
        <f>IF((((1.18*F244^0.874)/3.7-(0.301*F244^0.751)/(1-H244)*H244)*(MAX('Min rate concentrations'!$P$3:$P$368)))/F244&gt;0, (((1.18*F244^0.874)/3.7-(0.301*F244^0.751)/(1-H244)*H244)*(MAX('Min rate concentrations'!$P$3:$P$368)))/F244, 0)</f>
        <v>4.7513625667980845E-3</v>
      </c>
      <c r="N244">
        <f>IF((((1.18*F244^0.874)/3.7-(0.301*F244^0.751)/(1-H244)*H244)*(MAX('Min rate concentrations'!$Q$3:$Q$368)))/F244&gt;0, (((1.18*F244^0.874)/3.7-(0.301*F244^0.751)/(1-H244)*H244)*(MAX('Min rate concentrations'!$Q$3:$Q$368)))/F244, 0)</f>
        <v>1.809344395308447E-2</v>
      </c>
      <c r="O244">
        <f>((MAX('Min rate concentrations'!$F$3:$F$368))*0.62*6.01*8*(10*F244^0.667)*0.079*0.1/F244)*inputs!$E$80/(10^(0.84+0.62*LOG10(inputs!$E$80)))</f>
        <v>1.3986693351125064</v>
      </c>
      <c r="P244">
        <f>((MAX('Min rate concentrations'!Y:Y))*0.62*6.01*8*(10*F244^0.667)*0.079*0.1/F244)*inputs!$E$80/(10^(0.84+0.62*LOG10(inputs!$E$80)))</f>
        <v>0.46622311170416869</v>
      </c>
      <c r="Q244">
        <f>(inputs!$C$7*11.2*(10*F244^0.667)*0.5/F244)*inputs!$E$80/(10^(0.84+0.62*LOG10(inputs!$E$80)))</f>
        <v>0.24636900644693105</v>
      </c>
      <c r="R244">
        <f>(60*284*((F244/1000)^0.77)*3*24*(MAX('Min rate concentrations'!$R$3:$R$368))/F244)*(inputs!$E$73*3.4/inputs!$E$75)</f>
        <v>3.1804234009272744E-3</v>
      </c>
      <c r="S244">
        <f>(IF(inputs!$C$6="aerial",((0.025*0.112*inputs!$C$7/3.3)*(3*60*284*((F244/1000)^0.77))*MAX(inputs!$H$14:$H$16))/F244,((0.0083*0.112*inputs!$C$7/1)*(3*60*284*((F244/1000)^0.77))*MAX(inputs!$H$14:$H$16))/F244))*(inputs!E$75*3.4/inputs!$E$73)</f>
        <v>1.7540230455950281E-2</v>
      </c>
      <c r="T244">
        <f>IF((((inputs!$P$12/(V244/MAX(K244:S244)))^(1/inputs!$O$12))-1)/inputs!$N$12&lt;0, 0, IF((((inputs!$P$12/(V244/MAX(K244:S244)))^(1/inputs!$O$12))-1)/inputs!$N$12&gt;inputs!$H$17, inputs!$H$17, (((inputs!$P$12/(V244/MAX(K244:S244)))^(1/inputs!$O$12))-1)/inputs!$N$12))</f>
        <v>512.15508052470773</v>
      </c>
      <c r="U244">
        <f>IF((((inputs!$P$12/(X244/MAX(K244:S244)))^(1/inputs!$O$12))-1)/inputs!$N$12&lt;0, 0, IF((((inputs!$P$12/(X244/MAX(K244:S244)))^(1/inputs!$O$12))-1)/inputs!$N$12&gt;inputs!$H$17, inputs!$H$17, (((inputs!$P$12/(X244/MAX(K244:S244)))^(1/inputs!$O$12))-1)/inputs!$N$12))</f>
        <v>38.067125748301152</v>
      </c>
      <c r="V244">
        <f>inputs!$E$78*(F244/inputs!$F$78)^(inputs!$E$84-1)</f>
        <v>4.3427808073074944E-3</v>
      </c>
      <c r="W244">
        <f>inputs!$E$85*(F244/inputs!$F$85)^(inputs!$E$84-1)</f>
        <v>0.20054161757711042</v>
      </c>
      <c r="X244">
        <f>inputs!$E$80*(F244/inputs!$F$80)^(inputs!$E$84-1)</f>
        <v>0.74885793905376674</v>
      </c>
      <c r="Y244">
        <f>inputs!$E$82*(F244/inputs!$F$82)^(inputs!$E$84-1)</f>
        <v>0.34513679047549034</v>
      </c>
      <c r="Z244">
        <f t="shared" si="21"/>
        <v>2915.7455593447298</v>
      </c>
      <c r="AA244">
        <f t="shared" si="22"/>
        <v>63.141227277901557</v>
      </c>
    </row>
    <row r="245" spans="1:27" x14ac:dyDescent="0.3">
      <c r="A245" t="s">
        <v>248</v>
      </c>
      <c r="B245" t="s">
        <v>251</v>
      </c>
      <c r="C245" t="s">
        <v>73</v>
      </c>
      <c r="D245" t="s">
        <v>240</v>
      </c>
      <c r="E245">
        <v>4679</v>
      </c>
      <c r="F245">
        <v>5400</v>
      </c>
      <c r="G245" t="s">
        <v>154</v>
      </c>
      <c r="H245">
        <v>9.2999999999999999E-2</v>
      </c>
      <c r="I245">
        <f>MAX('Min rate concentrations'!$G$3:$G$368)</f>
        <v>7.5</v>
      </c>
      <c r="J245">
        <f>MAX('Min rate concentrations'!Z:Z)</f>
        <v>3.5</v>
      </c>
      <c r="K245">
        <f t="shared" si="20"/>
        <v>0.29285620196003953</v>
      </c>
      <c r="M245">
        <f>IF((((1.18*F245^0.874)/3.7-(0.301*F245^0.751)/(1-H245)*H245)*(MAX('Min rate concentrations'!$P$3:$P$368)))/F245&gt;0, (((1.18*F245^0.874)/3.7-(0.301*F245^0.751)/(1-H245)*H245)*(MAX('Min rate concentrations'!$P$3:$P$368)))/F245, 0)</f>
        <v>1.5147988868529531E-2</v>
      </c>
      <c r="N245">
        <f>IF((((1.18*F245^0.874)/3.7-(0.301*F245^0.751)/(1-H245)*H245)*(MAX('Min rate concentrations'!$Q$3:$Q$368)))/F245&gt;0, (((1.18*F245^0.874)/3.7-(0.301*F245^0.751)/(1-H245)*H245)*(MAX('Min rate concentrations'!$Q$3:$Q$368)))/F245, 0)</f>
        <v>5.7684355538328659E-2</v>
      </c>
      <c r="O245">
        <f>((MAX('Min rate concentrations'!$F$3:$F$368))*0.62*6.01*8*(10*F245^0.667)*0.079*0.1/F245)*inputs!$E$80/(10^(0.84+0.62*LOG10(inputs!$E$80)))</f>
        <v>1.3986693351125064</v>
      </c>
      <c r="P245">
        <f>((MAX('Min rate concentrations'!Y:Y))*0.62*6.01*8*(10*F245^0.667)*0.079*0.1/F245)*inputs!$E$80/(10^(0.84+0.62*LOG10(inputs!$E$80)))</f>
        <v>0.46622311170416869</v>
      </c>
      <c r="Q245">
        <f>(inputs!$C$7*11.2*(10*F245^0.667)*0.5/F245)*inputs!$E$80/(10^(0.84+0.62*LOG10(inputs!$E$80)))</f>
        <v>0.24636900644693105</v>
      </c>
      <c r="R245">
        <f>(60*284*((F245/1000)^0.77)*3*24*(MAX('Min rate concentrations'!$R$3:$R$368))/F245)*(inputs!$E$73*3.4/inputs!$E$75)</f>
        <v>3.1804234009272744E-3</v>
      </c>
      <c r="S245">
        <f>(IF(inputs!$C$6="aerial",((0.025*0.112*inputs!$C$7/3.3)*(3*60*284*((F245/1000)^0.77))*MAX(inputs!$H$14:$H$16))/F245,((0.0083*0.112*inputs!$C$7/1)*(3*60*284*((F245/1000)^0.77))*MAX(inputs!$H$14:$H$16))/F245))*(inputs!E$75*3.4/inputs!$E$73)</f>
        <v>1.7540230455950281E-2</v>
      </c>
      <c r="T245">
        <f>IF((((inputs!$P$12/(V245/MAX(K245:S245)))^(1/inputs!$O$12))-1)/inputs!$N$12&lt;0, 0, IF((((inputs!$P$12/(V245/MAX(K245:S245)))^(1/inputs!$O$12))-1)/inputs!$N$12&gt;inputs!$H$17, inputs!$H$17, (((inputs!$P$12/(V245/MAX(K245:S245)))^(1/inputs!$O$12))-1)/inputs!$N$12))</f>
        <v>192.1817040904908</v>
      </c>
      <c r="U245">
        <f>IF((((inputs!$P$12/(X245/MAX(K245:S245)))^(1/inputs!$O$12))-1)/inputs!$N$12&lt;0, 0, IF((((inputs!$P$12/(X245/MAX(K245:S245)))^(1/inputs!$O$12))-1)/inputs!$N$12&gt;inputs!$H$17, inputs!$H$17, (((inputs!$P$12/(X245/MAX(K245:S245)))^(1/inputs!$O$12))-1)/inputs!$N$12))</f>
        <v>0</v>
      </c>
      <c r="V245">
        <f>inputs!$E$78*(F245/inputs!$F$78)^(inputs!$E$84-1)</f>
        <v>4.3427808073074944E-3</v>
      </c>
      <c r="W245">
        <f>inputs!$E$85*(F245/inputs!$F$85)^(inputs!$E$84-1)</f>
        <v>0.20054161757711042</v>
      </c>
      <c r="X245">
        <f>inputs!$E$80*(F245/inputs!$F$80)^(inputs!$E$84-1)</f>
        <v>0.74885793905376674</v>
      </c>
      <c r="Y245">
        <f>inputs!$E$82*(F245/inputs!$F$82)^(inputs!$E$84-1)</f>
        <v>0.34513679047549034</v>
      </c>
      <c r="Z245">
        <f t="shared" si="21"/>
        <v>322.06767902239011</v>
      </c>
      <c r="AA245">
        <f t="shared" si="22"/>
        <v>6.9744592270215575</v>
      </c>
    </row>
    <row r="246" spans="1:27" x14ac:dyDescent="0.3">
      <c r="A246" t="s">
        <v>248</v>
      </c>
      <c r="B246" t="s">
        <v>250</v>
      </c>
      <c r="C246" t="s">
        <v>73</v>
      </c>
      <c r="D246" t="s">
        <v>240</v>
      </c>
      <c r="E246">
        <v>10124</v>
      </c>
      <c r="F246">
        <v>5400</v>
      </c>
      <c r="G246" t="s">
        <v>182</v>
      </c>
      <c r="H246">
        <v>0.85</v>
      </c>
      <c r="I246">
        <f>MAX('Min rate concentrations'!$M$3:$M$368)</f>
        <v>2.8488184789681945</v>
      </c>
      <c r="J246">
        <f>MAX('Min rate concentrations'!AE:AE)</f>
        <v>1.9699276716269429</v>
      </c>
      <c r="K246">
        <f t="shared" si="20"/>
        <v>0.67262649152049014</v>
      </c>
      <c r="L246">
        <f t="shared" ref="L246:L252" si="27">((0.301*F246^0.751)/(1-H246))*J246/F246</f>
        <v>0.4651140632854453</v>
      </c>
      <c r="M246">
        <f>IF((((1.18*F246^0.874)/3.7-(0.301*F246^0.751)/(1-H246)*H246)*(MAX('Min rate concentrations'!$P$3:$P$368)))/F246&gt;0, (((1.18*F246^0.874)/3.7-(0.301*F246^0.751)/(1-H246)*H246)*(MAX('Min rate concentrations'!$P$3:$P$368)))/F246, 0)</f>
        <v>0</v>
      </c>
      <c r="N246">
        <f>IF((((1.18*F246^0.874)/3.7-(0.301*F246^0.751)/(1-H246)*H246)*(MAX('Min rate concentrations'!$Q$3:$Q$368)))/F246&gt;0, (((1.18*F246^0.874)/3.7-(0.301*F246^0.751)/(1-H246)*H246)*(MAX('Min rate concentrations'!$Q$3:$Q$368)))/F246, 0)</f>
        <v>0</v>
      </c>
      <c r="O246">
        <f>((MAX('Min rate concentrations'!$F$3:$F$368))*0.62*6.01*8*(10*F246^0.667)*0.079*0.1/F246)*inputs!$E$80/(10^(0.84+0.62*LOG10(inputs!$E$80)))</f>
        <v>1.3986693351125064</v>
      </c>
      <c r="P246">
        <f>((MAX('Min rate concentrations'!Y:Y))*0.62*6.01*8*(10*F246^0.667)*0.079*0.1/F246)*inputs!$E$80/(10^(0.84+0.62*LOG10(inputs!$E$80)))</f>
        <v>0.46622311170416869</v>
      </c>
      <c r="Q246">
        <f>(inputs!$C$7*11.2*(10*F246^0.667)*0.5/F246)*inputs!$E$80/(10^(0.84+0.62*LOG10(inputs!$E$80)))</f>
        <v>0.24636900644693105</v>
      </c>
      <c r="R246">
        <f>(60*284*((F246/1000)^0.77)*3*24*(MAX('Min rate concentrations'!$R$3:$R$368))/F246)*(inputs!$E$73*3.4/inputs!$E$75)</f>
        <v>3.1804234009272744E-3</v>
      </c>
      <c r="S246">
        <f>(IF(inputs!$C$6="aerial",((0.025*0.112*inputs!$C$7/3.3)*(3*60*284*((F246/1000)^0.77))*MAX(inputs!$H$14:$H$16))/F246,((0.0083*0.112*inputs!$C$7/1)*(3*60*284*((F246/1000)^0.77))*MAX(inputs!$H$14:$H$16))/F246))*(inputs!E$75*3.4/inputs!$E$73)</f>
        <v>1.7540230455950281E-2</v>
      </c>
      <c r="T246">
        <f>IF((((inputs!$P$12/(V246/MAX(K246:S246)))^(1/inputs!$O$12))-1)/inputs!$N$12&lt;0, 0, IF((((inputs!$P$12/(V246/MAX(K246:S246)))^(1/inputs!$O$12))-1)/inputs!$N$12&gt;inputs!$H$17, inputs!$H$17, (((inputs!$P$12/(V246/MAX(K246:S246)))^(1/inputs!$O$12))-1)/inputs!$N$12))</f>
        <v>192.1817040904908</v>
      </c>
      <c r="U246">
        <f>IF((((inputs!$P$12/(X246/MAX(K246:S246)))^(1/inputs!$O$12))-1)/inputs!$N$12&lt;0, 0, IF((((inputs!$P$12/(X246/MAX(K246:S246)))^(1/inputs!$O$12))-1)/inputs!$N$12&gt;inputs!$H$17, inputs!$H$17, (((inputs!$P$12/(X246/MAX(K246:S246)))^(1/inputs!$O$12))-1)/inputs!$N$12))</f>
        <v>0</v>
      </c>
      <c r="V246">
        <f>inputs!$E$78*(F246/inputs!$F$78)^(inputs!$E$84-1)</f>
        <v>4.3427808073074944E-3</v>
      </c>
      <c r="W246">
        <f>inputs!$E$85*(F246/inputs!$F$85)^(inputs!$E$84-1)</f>
        <v>0.20054161757711042</v>
      </c>
      <c r="X246">
        <f>inputs!$E$80*(F246/inputs!$F$80)^(inputs!$E$84-1)</f>
        <v>0.74885793905376674</v>
      </c>
      <c r="Y246">
        <f>inputs!$E$82*(F246/inputs!$F$82)^(inputs!$E$84-1)</f>
        <v>0.34513679047549034</v>
      </c>
      <c r="Z246">
        <f t="shared" si="21"/>
        <v>322.06767902239011</v>
      </c>
      <c r="AA246">
        <f t="shared" si="22"/>
        <v>6.9744592270215575</v>
      </c>
    </row>
    <row r="247" spans="1:27" x14ac:dyDescent="0.3">
      <c r="A247" t="s">
        <v>248</v>
      </c>
      <c r="B247" t="s">
        <v>250</v>
      </c>
      <c r="C247" t="s">
        <v>73</v>
      </c>
      <c r="D247" t="s">
        <v>240</v>
      </c>
      <c r="E247">
        <v>10124</v>
      </c>
      <c r="F247">
        <v>5400</v>
      </c>
      <c r="G247" t="s">
        <v>142</v>
      </c>
      <c r="H247">
        <v>0.69</v>
      </c>
      <c r="I247">
        <f>MAX('Min rate concentrations'!$H$3:$H$368)</f>
        <v>47</v>
      </c>
      <c r="J247">
        <f>MAX('Min rate concentrations'!AA:AA)</f>
        <v>32.5</v>
      </c>
      <c r="K247">
        <f t="shared" si="20"/>
        <v>5.3695342078944188</v>
      </c>
      <c r="L247">
        <f t="shared" si="27"/>
        <v>3.7129757820546514</v>
      </c>
      <c r="M247">
        <f>IF((((1.18*F247^0.874)/3.7-(0.301*F247^0.751)/(1-H247)*H247)*(MAX('Min rate concentrations'!$P$3:$P$368)))/F247&gt;0, (((1.18*F247^0.874)/3.7-(0.301*F247^0.751)/(1-H247)*H247)*(MAX('Min rate concentrations'!$P$3:$P$368)))/F247, 0)</f>
        <v>4.2331595632441824E-3</v>
      </c>
      <c r="N247">
        <f>IF((((1.18*F247^0.874)/3.7-(0.301*F247^0.751)/(1-H247)*H247)*(MAX('Min rate concentrations'!$Q$3:$Q$368)))/F247&gt;0, (((1.18*F247^0.874)/3.7-(0.301*F247^0.751)/(1-H247)*H247)*(MAX('Min rate concentrations'!$Q$3:$Q$368)))/F247, 0)</f>
        <v>1.6120099071630596E-2</v>
      </c>
      <c r="O247">
        <f>((MAX('Min rate concentrations'!$F$3:$F$368))*0.62*6.01*8*(10*F247^0.667)*0.079*0.1/F247)*inputs!$E$80/(10^(0.84+0.62*LOG10(inputs!$E$80)))</f>
        <v>1.3986693351125064</v>
      </c>
      <c r="P247">
        <f>((MAX('Min rate concentrations'!Y:Y))*0.62*6.01*8*(10*F247^0.667)*0.079*0.1/F247)*inputs!$E$80/(10^(0.84+0.62*LOG10(inputs!$E$80)))</f>
        <v>0.46622311170416869</v>
      </c>
      <c r="Q247">
        <f>(inputs!$C$7*11.2*(10*F247^0.667)*0.5/F247)*inputs!$E$80/(10^(0.84+0.62*LOG10(inputs!$E$80)))</f>
        <v>0.24636900644693105</v>
      </c>
      <c r="R247">
        <f>(60*284*((F247/1000)^0.77)*3*24*(MAX('Min rate concentrations'!$R$3:$R$368))/F247)*(inputs!$E$73*3.4/inputs!$E$75)</f>
        <v>3.1804234009272744E-3</v>
      </c>
      <c r="S247">
        <f>(IF(inputs!$C$6="aerial",((0.025*0.112*inputs!$C$7/3.3)*(3*60*284*((F247/1000)^0.77))*MAX(inputs!$H$14:$H$16))/F247,((0.0083*0.112*inputs!$C$7/1)*(3*60*284*((F247/1000)^0.77))*MAX(inputs!$H$14:$H$16))/F247))*(inputs!E$75*3.4/inputs!$E$73)</f>
        <v>1.7540230455950281E-2</v>
      </c>
      <c r="T247">
        <f>IF((((inputs!$P$12/(V247/MAX(K247:S247)))^(1/inputs!$O$12))-1)/inputs!$N$12&lt;0, 0, IF((((inputs!$P$12/(V247/MAX(K247:S247)))^(1/inputs!$O$12))-1)/inputs!$N$12&gt;inputs!$H$17, inputs!$H$17, (((inputs!$P$12/(V247/MAX(K247:S247)))^(1/inputs!$O$12))-1)/inputs!$N$12))</f>
        <v>352.90091572576898</v>
      </c>
      <c r="U247">
        <f>IF((((inputs!$P$12/(X247/MAX(K247:S247)))^(1/inputs!$O$12))-1)/inputs!$N$12&lt;0, 0, IF((((inputs!$P$12/(X247/MAX(K247:S247)))^(1/inputs!$O$12))-1)/inputs!$N$12&gt;inputs!$H$17, inputs!$H$17, (((inputs!$P$12/(X247/MAX(K247:S247)))^(1/inputs!$O$12))-1)/inputs!$N$12))</f>
        <v>18.461836006689119</v>
      </c>
      <c r="V247">
        <f>inputs!$E$78*(F247/inputs!$F$78)^(inputs!$E$84-1)</f>
        <v>4.3427808073074944E-3</v>
      </c>
      <c r="W247">
        <f>inputs!$E$85*(F247/inputs!$F$85)^(inputs!$E$84-1)</f>
        <v>0.20054161757711042</v>
      </c>
      <c r="X247">
        <f>inputs!$E$80*(F247/inputs!$F$80)^(inputs!$E$84-1)</f>
        <v>0.74885793905376674</v>
      </c>
      <c r="Y247">
        <f>inputs!$E$82*(F247/inputs!$F$82)^(inputs!$E$84-1)</f>
        <v>0.34513679047549034</v>
      </c>
      <c r="Z247">
        <f t="shared" si="21"/>
        <v>1236.4276361494531</v>
      </c>
      <c r="AA247">
        <f t="shared" si="22"/>
        <v>26.775161548847958</v>
      </c>
    </row>
    <row r="248" spans="1:27" x14ac:dyDescent="0.3">
      <c r="A248" t="s">
        <v>248</v>
      </c>
      <c r="B248" t="s">
        <v>250</v>
      </c>
      <c r="C248" t="s">
        <v>73</v>
      </c>
      <c r="D248" t="s">
        <v>240</v>
      </c>
      <c r="E248">
        <v>10124</v>
      </c>
      <c r="F248">
        <v>5400</v>
      </c>
      <c r="G248" t="s">
        <v>164</v>
      </c>
      <c r="H248">
        <v>0.78</v>
      </c>
      <c r="I248">
        <f>inputs!$C$65*(inputs!$C$62/1000)</f>
        <v>0.82000000000000006</v>
      </c>
      <c r="J248">
        <f>inputs!$C$65*(inputs!$C$61/1000)</f>
        <v>0.25</v>
      </c>
      <c r="K248">
        <f t="shared" si="20"/>
        <v>0.13200537675500598</v>
      </c>
      <c r="L248">
        <f t="shared" si="27"/>
        <v>4.0245541693599382E-2</v>
      </c>
      <c r="M248">
        <f>IF((((1.18*F248^0.874)/3.7-(0.301*F248^0.751)/(1-H248)*H248)*(MAX('Min rate concentrations'!$P$3:$P$368)))/F248&gt;0, (((1.18*F248^0.874)/3.7-(0.301*F248^0.751)/(1-H248)*H248)*(MAX('Min rate concentrations'!$P$3:$P$368)))/F248, 0)</f>
        <v>0</v>
      </c>
      <c r="N248">
        <f>IF((((1.18*F248^0.874)/3.7-(0.301*F248^0.751)/(1-H248)*H248)*(MAX('Min rate concentrations'!$Q$3:$Q$368)))/F248&gt;0, (((1.18*F248^0.874)/3.7-(0.301*F248^0.751)/(1-H248)*H248)*(MAX('Min rate concentrations'!$Q$3:$Q$368)))/F248, 0)</f>
        <v>0</v>
      </c>
      <c r="O248">
        <f>((MAX('Min rate concentrations'!$F$3:$F$368))*0.62*6.01*8*(10*F248^0.667)*0.079*0.1/F248)*inputs!$E$80/(10^(0.84+0.62*LOG10(inputs!$E$80)))</f>
        <v>1.3986693351125064</v>
      </c>
      <c r="P248">
        <f>((MAX('Min rate concentrations'!Y:Y))*0.62*6.01*8*(10*F248^0.667)*0.079*0.1/F248)*inputs!$E$80/(10^(0.84+0.62*LOG10(inputs!$E$80)))</f>
        <v>0.46622311170416869</v>
      </c>
      <c r="Q248">
        <f>(inputs!$C$7*11.2*(10*F248^0.667)*0.5/F248)*inputs!$E$80/(10^(0.84+0.62*LOG10(inputs!$E$80)))</f>
        <v>0.24636900644693105</v>
      </c>
      <c r="R248">
        <f>(60*284*((F248/1000)^0.77)*3*24*(MAX('Min rate concentrations'!$R$3:$R$368))/F248)*(inputs!$E$73*3.4/inputs!$E$75)</f>
        <v>3.1804234009272744E-3</v>
      </c>
      <c r="S248">
        <f>(IF(inputs!$C$6="aerial",((0.025*0.112*inputs!$C$7/3.3)*(3*60*284*((F248/1000)^0.77))*MAX(inputs!$H$14:$H$16))/F248,((0.0083*0.112*inputs!$C$7/1)*(3*60*284*((F248/1000)^0.77))*MAX(inputs!$H$14:$H$16))/F248))*(inputs!E$75*3.4/inputs!$E$73)</f>
        <v>1.7540230455950281E-2</v>
      </c>
      <c r="T248">
        <f>IF((((inputs!$P$12/(V248/MAX(K248:S248)))^(1/inputs!$O$12))-1)/inputs!$N$12&lt;0, 0, IF((((inputs!$P$12/(V248/MAX(K248:S248)))^(1/inputs!$O$12))-1)/inputs!$N$12&gt;inputs!$H$17, inputs!$H$17, (((inputs!$P$12/(V248/MAX(K248:S248)))^(1/inputs!$O$12))-1)/inputs!$N$12))</f>
        <v>192.1817040904908</v>
      </c>
      <c r="U248">
        <f>IF((((inputs!$P$12/(X248/MAX(K248:S248)))^(1/inputs!$O$12))-1)/inputs!$N$12&lt;0, 0, IF((((inputs!$P$12/(X248/MAX(K248:S248)))^(1/inputs!$O$12))-1)/inputs!$N$12&gt;inputs!$H$17, inputs!$H$17, (((inputs!$P$12/(X248/MAX(K248:S248)))^(1/inputs!$O$12))-1)/inputs!$N$12))</f>
        <v>0</v>
      </c>
      <c r="V248">
        <f>inputs!$E$78*(F248/inputs!$F$78)^(inputs!$E$84-1)</f>
        <v>4.3427808073074944E-3</v>
      </c>
      <c r="W248">
        <f>inputs!$E$85*(F248/inputs!$F$85)^(inputs!$E$84-1)</f>
        <v>0.20054161757711042</v>
      </c>
      <c r="X248">
        <f>inputs!$E$80*(F248/inputs!$F$80)^(inputs!$E$84-1)</f>
        <v>0.74885793905376674</v>
      </c>
      <c r="Y248">
        <f>inputs!$E$82*(F248/inputs!$F$82)^(inputs!$E$84-1)</f>
        <v>0.34513679047549034</v>
      </c>
      <c r="Z248">
        <f t="shared" si="21"/>
        <v>322.06767902239011</v>
      </c>
      <c r="AA248">
        <f t="shared" si="22"/>
        <v>6.9744592270215575</v>
      </c>
    </row>
    <row r="249" spans="1:27" x14ac:dyDescent="0.3">
      <c r="A249" t="s">
        <v>248</v>
      </c>
      <c r="B249" t="s">
        <v>250</v>
      </c>
      <c r="C249" t="s">
        <v>73</v>
      </c>
      <c r="D249" t="s">
        <v>240</v>
      </c>
      <c r="E249">
        <v>10124</v>
      </c>
      <c r="F249">
        <v>5400</v>
      </c>
      <c r="G249" t="s">
        <v>138</v>
      </c>
      <c r="H249">
        <v>0.68</v>
      </c>
      <c r="I249">
        <f>MAX('Min rate concentrations'!$L$3:$L$368)</f>
        <v>58.421240152220811</v>
      </c>
      <c r="J249">
        <f>MAX('Min rate concentrations'!AD:AD)</f>
        <v>40.397666062705881</v>
      </c>
      <c r="K249">
        <f t="shared" si="20"/>
        <v>6.4657847549294578</v>
      </c>
      <c r="L249">
        <f t="shared" si="27"/>
        <v>4.4710213730895187</v>
      </c>
      <c r="M249">
        <f>IF((((1.18*F249^0.874)/3.7-(0.301*F249^0.751)/(1-H249)*H249)*(MAX('Min rate concentrations'!$P$3:$P$368)))/F249&gt;0, (((1.18*F249^0.874)/3.7-(0.301*F249^0.751)/(1-H249)*H249)*(MAX('Min rate concentrations'!$P$3:$P$368)))/F249, 0)</f>
        <v>4.7513625667980845E-3</v>
      </c>
      <c r="N249">
        <f>IF((((1.18*F249^0.874)/3.7-(0.301*F249^0.751)/(1-H249)*H249)*(MAX('Min rate concentrations'!$Q$3:$Q$368)))/F249&gt;0, (((1.18*F249^0.874)/3.7-(0.301*F249^0.751)/(1-H249)*H249)*(MAX('Min rate concentrations'!$Q$3:$Q$368)))/F249, 0)</f>
        <v>1.809344395308447E-2</v>
      </c>
      <c r="O249">
        <f>((MAX('Min rate concentrations'!$F$3:$F$368))*0.62*6.01*8*(10*F249^0.667)*0.079*0.1/F249)*inputs!$E$80/(10^(0.84+0.62*LOG10(inputs!$E$80)))</f>
        <v>1.3986693351125064</v>
      </c>
      <c r="P249">
        <f>((MAX('Min rate concentrations'!Y:Y))*0.62*6.01*8*(10*F249^0.667)*0.079*0.1/F249)*inputs!$E$80/(10^(0.84+0.62*LOG10(inputs!$E$80)))</f>
        <v>0.46622311170416869</v>
      </c>
      <c r="Q249">
        <f>(inputs!$C$7*11.2*(10*F249^0.667)*0.5/F249)*inputs!$E$80/(10^(0.84+0.62*LOG10(inputs!$E$80)))</f>
        <v>0.24636900644693105</v>
      </c>
      <c r="R249">
        <f>(60*284*((F249/1000)^0.77)*3*24*(MAX('Min rate concentrations'!$R$3:$R$368))/F249)*(inputs!$E$73*3.4/inputs!$E$75)</f>
        <v>3.1804234009272744E-3</v>
      </c>
      <c r="S249">
        <f>(IF(inputs!$C$6="aerial",((0.025*0.112*inputs!$C$7/3.3)*(3*60*284*((F249/1000)^0.77))*MAX(inputs!$H$14:$H$16))/F249,((0.0083*0.112*inputs!$C$7/1)*(3*60*284*((F249/1000)^0.77))*MAX(inputs!$H$14:$H$16))/F249))*(inputs!E$75*3.4/inputs!$E$73)</f>
        <v>1.7540230455950281E-2</v>
      </c>
      <c r="T249">
        <f>IF((((inputs!$P$12/(V249/MAX(K249:S249)))^(1/inputs!$O$12))-1)/inputs!$N$12&lt;0, 0, IF((((inputs!$P$12/(V249/MAX(K249:S249)))^(1/inputs!$O$12))-1)/inputs!$N$12&gt;inputs!$H$17, inputs!$H$17, (((inputs!$P$12/(V249/MAX(K249:S249)))^(1/inputs!$O$12))-1)/inputs!$N$12))</f>
        <v>382.83741211051409</v>
      </c>
      <c r="U249">
        <f>IF((((inputs!$P$12/(X249/MAX(K249:S249)))^(1/inputs!$O$12))-1)/inputs!$N$12&lt;0, 0, IF((((inputs!$P$12/(X249/MAX(K249:S249)))^(1/inputs!$O$12))-1)/inputs!$N$12&gt;inputs!$H$17, inputs!$H$17, (((inputs!$P$12/(X249/MAX(K249:S249)))^(1/inputs!$O$12))-1)/inputs!$N$12))</f>
        <v>22.147225875221842</v>
      </c>
      <c r="V249">
        <f>inputs!$E$78*(F249/inputs!$F$78)^(inputs!$E$84-1)</f>
        <v>4.3427808073074944E-3</v>
      </c>
      <c r="W249">
        <f>inputs!$E$85*(F249/inputs!$F$85)^(inputs!$E$84-1)</f>
        <v>0.20054161757711042</v>
      </c>
      <c r="X249">
        <f>inputs!$E$80*(F249/inputs!$F$80)^(inputs!$E$84-1)</f>
        <v>0.74885793905376674</v>
      </c>
      <c r="Y249">
        <f>inputs!$E$82*(F249/inputs!$F$82)^(inputs!$E$84-1)</f>
        <v>0.34513679047549034</v>
      </c>
      <c r="Z249">
        <f t="shared" si="21"/>
        <v>1488.8581859921724</v>
      </c>
      <c r="AA249">
        <f t="shared" si="22"/>
        <v>32.241610659409851</v>
      </c>
    </row>
    <row r="250" spans="1:27" x14ac:dyDescent="0.3">
      <c r="A250" t="s">
        <v>248</v>
      </c>
      <c r="B250" t="s">
        <v>250</v>
      </c>
      <c r="C250" t="s">
        <v>73</v>
      </c>
      <c r="D250" t="s">
        <v>240</v>
      </c>
      <c r="E250">
        <v>10124</v>
      </c>
      <c r="F250">
        <v>5400</v>
      </c>
      <c r="G250" t="s">
        <v>186</v>
      </c>
      <c r="H250">
        <v>0.75</v>
      </c>
      <c r="I250">
        <f>inputs!$C$65*inputs!$C$64/1000</f>
        <v>2.13</v>
      </c>
      <c r="J250">
        <f>inputs!$C$65*inputs!$C$63/1000</f>
        <v>0.88</v>
      </c>
      <c r="K250">
        <f t="shared" si="20"/>
        <v>0.30174497340193063</v>
      </c>
      <c r="L250">
        <f t="shared" si="27"/>
        <v>0.12466458995009343</v>
      </c>
      <c r="M250">
        <f>IF((((1.18*F250^0.874)/3.7-(0.301*F250^0.751)/(1-H250)*H250)*(MAX('Min rate concentrations'!$P$3:$P$368)))/F250&gt;0, (((1.18*F250^0.874)/3.7-(0.301*F250^0.751)/(1-H250)*H250)*(MAX('Min rate concentrations'!$P$3:$P$368)))/F250, 0)</f>
        <v>2.5336049595018251E-4</v>
      </c>
      <c r="N250">
        <f>IF((((1.18*F250^0.874)/3.7-(0.301*F250^0.751)/(1-H250)*H250)*(MAX('Min rate concentrations'!$Q$3:$Q$368)))/F250&gt;0, (((1.18*F250^0.874)/3.7-(0.301*F250^0.751)/(1-H250)*H250)*(MAX('Min rate concentrations'!$Q$3:$Q$368)))/F250, 0)</f>
        <v>9.6481038206468704E-4</v>
      </c>
      <c r="O250">
        <f>((MAX('Min rate concentrations'!$F$3:$F$368))*0.62*6.01*8*(10*F250^0.667)*0.079*0.1/F250)*inputs!$E$80/(10^(0.84+0.62*LOG10(inputs!$E$80)))</f>
        <v>1.3986693351125064</v>
      </c>
      <c r="P250">
        <f>((MAX('Min rate concentrations'!Y:Y))*0.62*6.01*8*(10*F250^0.667)*0.079*0.1/F250)*inputs!$E$80/(10^(0.84+0.62*LOG10(inputs!$E$80)))</f>
        <v>0.46622311170416869</v>
      </c>
      <c r="Q250">
        <f>(inputs!$C$7*11.2*(10*F250^0.667)*0.5/F250)*inputs!$E$80/(10^(0.84+0.62*LOG10(inputs!$E$80)))</f>
        <v>0.24636900644693105</v>
      </c>
      <c r="R250">
        <f>(60*284*((F250/1000)^0.77)*3*24*(MAX('Min rate concentrations'!$R$3:$R$368))/F250)*(inputs!$E$73*3.4/inputs!$E$75)</f>
        <v>3.1804234009272744E-3</v>
      </c>
      <c r="S250">
        <f>(IF(inputs!$C$6="aerial",((0.025*0.112*inputs!$C$7/3.3)*(3*60*284*((F250/1000)^0.77))*MAX(inputs!$H$14:$H$16))/F250,((0.0083*0.112*inputs!$C$7/1)*(3*60*284*((F250/1000)^0.77))*MAX(inputs!$H$14:$H$16))/F250))*(inputs!E$75*3.4/inputs!$E$73)</f>
        <v>1.7540230455950281E-2</v>
      </c>
      <c r="T250">
        <f>IF((((inputs!$P$12/(V250/MAX(K250:S250)))^(1/inputs!$O$12))-1)/inputs!$N$12&lt;0, 0, IF((((inputs!$P$12/(V250/MAX(K250:S250)))^(1/inputs!$O$12))-1)/inputs!$N$12&gt;inputs!$H$17, inputs!$H$17, (((inputs!$P$12/(V250/MAX(K250:S250)))^(1/inputs!$O$12))-1)/inputs!$N$12))</f>
        <v>192.1817040904908</v>
      </c>
      <c r="U250">
        <f>IF((((inputs!$P$12/(X250/MAX(K250:S250)))^(1/inputs!$O$12))-1)/inputs!$N$12&lt;0, 0, IF((((inputs!$P$12/(X250/MAX(K250:S250)))^(1/inputs!$O$12))-1)/inputs!$N$12&gt;inputs!$H$17, inputs!$H$17, (((inputs!$P$12/(X250/MAX(K250:S250)))^(1/inputs!$O$12))-1)/inputs!$N$12))</f>
        <v>0</v>
      </c>
      <c r="V250">
        <f>inputs!$E$78*(F250/inputs!$F$78)^(inputs!$E$84-1)</f>
        <v>4.3427808073074944E-3</v>
      </c>
      <c r="W250">
        <f>inputs!$E$85*(F250/inputs!$F$85)^(inputs!$E$84-1)</f>
        <v>0.20054161757711042</v>
      </c>
      <c r="X250">
        <f>inputs!$E$80*(F250/inputs!$F$80)^(inputs!$E$84-1)</f>
        <v>0.74885793905376674</v>
      </c>
      <c r="Y250">
        <f>inputs!$E$82*(F250/inputs!$F$82)^(inputs!$E$84-1)</f>
        <v>0.34513679047549034</v>
      </c>
      <c r="Z250">
        <f t="shared" si="21"/>
        <v>322.06767902239011</v>
      </c>
      <c r="AA250">
        <f t="shared" si="22"/>
        <v>6.9744592270215575</v>
      </c>
    </row>
    <row r="251" spans="1:27" x14ac:dyDescent="0.3">
      <c r="A251" t="s">
        <v>248</v>
      </c>
      <c r="B251" t="s">
        <v>250</v>
      </c>
      <c r="C251" t="s">
        <v>73</v>
      </c>
      <c r="D251" t="s">
        <v>240</v>
      </c>
      <c r="E251">
        <v>10124</v>
      </c>
      <c r="F251">
        <v>5400</v>
      </c>
      <c r="G251" t="s">
        <v>152</v>
      </c>
      <c r="H251">
        <v>0.77</v>
      </c>
      <c r="I251">
        <f>MAX('Min rate concentrations'!$G$3:$G$368)</f>
        <v>7.5</v>
      </c>
      <c r="J251">
        <f>MAX('Min rate concentrations'!Z:Z)</f>
        <v>3.5</v>
      </c>
      <c r="K251">
        <f t="shared" si="20"/>
        <v>1.1548720659902432</v>
      </c>
      <c r="L251">
        <f t="shared" si="27"/>
        <v>0.53894029746211347</v>
      </c>
      <c r="M251">
        <f>IF((((1.18*F251^0.874)/3.7-(0.301*F251^0.751)/(1-H251)*H251)*(MAX('Min rate concentrations'!$P$3:$P$368)))/F251&gt;0, (((1.18*F251^0.874)/3.7-(0.301*F251^0.751)/(1-H251)*H251)*(MAX('Min rate concentrations'!$P$3:$P$368)))/F251, 0)</f>
        <v>0</v>
      </c>
      <c r="N251">
        <f>IF((((1.18*F251^0.874)/3.7-(0.301*F251^0.751)/(1-H251)*H251)*(MAX('Min rate concentrations'!$Q$3:$Q$368)))/F251&gt;0, (((1.18*F251^0.874)/3.7-(0.301*F251^0.751)/(1-H251)*H251)*(MAX('Min rate concentrations'!$Q$3:$Q$368)))/F251, 0)</f>
        <v>0</v>
      </c>
      <c r="O251">
        <f>((MAX('Min rate concentrations'!$F$3:$F$368))*0.62*6.01*8*(10*F251^0.667)*0.079*0.1/F251)*inputs!$E$80/(10^(0.84+0.62*LOG10(inputs!$E$80)))</f>
        <v>1.3986693351125064</v>
      </c>
      <c r="P251">
        <f>((MAX('Min rate concentrations'!Y:Y))*0.62*6.01*8*(10*F251^0.667)*0.079*0.1/F251)*inputs!$E$80/(10^(0.84+0.62*LOG10(inputs!$E$80)))</f>
        <v>0.46622311170416869</v>
      </c>
      <c r="Q251">
        <f>(inputs!$C$7*11.2*(10*F251^0.667)*0.5/F251)*inputs!$E$80/(10^(0.84+0.62*LOG10(inputs!$E$80)))</f>
        <v>0.24636900644693105</v>
      </c>
      <c r="R251">
        <f>(60*284*((F251/1000)^0.77)*3*24*(MAX('Min rate concentrations'!$R$3:$R$368))/F251)*(inputs!$E$73*3.4/inputs!$E$75)</f>
        <v>3.1804234009272744E-3</v>
      </c>
      <c r="S251">
        <f>(IF(inputs!$C$6="aerial",((0.025*0.112*inputs!$C$7/3.3)*(3*60*284*((F251/1000)^0.77))*MAX(inputs!$H$14:$H$16))/F251,((0.0083*0.112*inputs!$C$7/1)*(3*60*284*((F251/1000)^0.77))*MAX(inputs!$H$14:$H$16))/F251))*(inputs!E$75*3.4/inputs!$E$73)</f>
        <v>1.7540230455950281E-2</v>
      </c>
      <c r="T251">
        <f>IF((((inputs!$P$12/(V251/MAX(K251:S251)))^(1/inputs!$O$12))-1)/inputs!$N$12&lt;0, 0, IF((((inputs!$P$12/(V251/MAX(K251:S251)))^(1/inputs!$O$12))-1)/inputs!$N$12&gt;inputs!$H$17, inputs!$H$17, (((inputs!$P$12/(V251/MAX(K251:S251)))^(1/inputs!$O$12))-1)/inputs!$N$12))</f>
        <v>192.1817040904908</v>
      </c>
      <c r="U251">
        <f>IF((((inputs!$P$12/(X251/MAX(K251:S251)))^(1/inputs!$O$12))-1)/inputs!$N$12&lt;0, 0, IF((((inputs!$P$12/(X251/MAX(K251:S251)))^(1/inputs!$O$12))-1)/inputs!$N$12&gt;inputs!$H$17, inputs!$H$17, (((inputs!$P$12/(X251/MAX(K251:S251)))^(1/inputs!$O$12))-1)/inputs!$N$12))</f>
        <v>0</v>
      </c>
      <c r="V251">
        <f>inputs!$E$78*(F251/inputs!$F$78)^(inputs!$E$84-1)</f>
        <v>4.3427808073074944E-3</v>
      </c>
      <c r="W251">
        <f>inputs!$E$85*(F251/inputs!$F$85)^(inputs!$E$84-1)</f>
        <v>0.20054161757711042</v>
      </c>
      <c r="X251">
        <f>inputs!$E$80*(F251/inputs!$F$80)^(inputs!$E$84-1)</f>
        <v>0.74885793905376674</v>
      </c>
      <c r="Y251">
        <f>inputs!$E$82*(F251/inputs!$F$82)^(inputs!$E$84-1)</f>
        <v>0.34513679047549034</v>
      </c>
      <c r="Z251">
        <f t="shared" si="21"/>
        <v>322.06767902239011</v>
      </c>
      <c r="AA251">
        <f t="shared" si="22"/>
        <v>6.9744592270215575</v>
      </c>
    </row>
    <row r="252" spans="1:27" x14ac:dyDescent="0.3">
      <c r="A252" t="s">
        <v>248</v>
      </c>
      <c r="B252" t="s">
        <v>250</v>
      </c>
      <c r="C252" t="s">
        <v>73</v>
      </c>
      <c r="D252" t="s">
        <v>240</v>
      </c>
      <c r="E252">
        <v>10124</v>
      </c>
      <c r="F252">
        <v>5400</v>
      </c>
      <c r="G252" t="s">
        <v>456</v>
      </c>
      <c r="H252">
        <v>0.68</v>
      </c>
      <c r="I252">
        <f>MAX('Min rate concentrations'!$J$3:$J$368)</f>
        <v>114.4108103430513</v>
      </c>
      <c r="J252">
        <f>MAX('Min rate concentrations'!AB:AB)</f>
        <v>40.520495329830666</v>
      </c>
      <c r="K252">
        <f t="shared" si="20"/>
        <v>12.662443854114347</v>
      </c>
      <c r="L252">
        <f t="shared" si="27"/>
        <v>4.4846155316654972</v>
      </c>
      <c r="M252">
        <f>IF((((1.18*F252^0.874)/3.7-(0.301*F252^0.751)/(1-H252)*H252)*(MAX('Min rate concentrations'!$P$3:$P$368)))/F252&gt;0, (((1.18*F252^0.874)/3.7-(0.301*F252^0.751)/(1-H252)*H252)*(MAX('Min rate concentrations'!$P$3:$P$368)))/F252, 0)</f>
        <v>4.7513625667980845E-3</v>
      </c>
      <c r="N252">
        <f>IF((((1.18*F252^0.874)/3.7-(0.301*F252^0.751)/(1-H252)*H252)*(MAX('Min rate concentrations'!$Q$3:$Q$368)))/F252&gt;0, (((1.18*F252^0.874)/3.7-(0.301*F252^0.751)/(1-H252)*H252)*(MAX('Min rate concentrations'!$Q$3:$Q$368)))/F252, 0)</f>
        <v>1.809344395308447E-2</v>
      </c>
      <c r="O252">
        <f>((MAX('Min rate concentrations'!$F$3:$F$368))*0.62*6.01*8*(10*F252^0.667)*0.079*0.1/F252)*inputs!$E$80/(10^(0.84+0.62*LOG10(inputs!$E$80)))</f>
        <v>1.3986693351125064</v>
      </c>
      <c r="P252">
        <f>((MAX('Min rate concentrations'!Y:Y))*0.62*6.01*8*(10*F252^0.667)*0.079*0.1/F252)*inputs!$E$80/(10^(0.84+0.62*LOG10(inputs!$E$80)))</f>
        <v>0.46622311170416869</v>
      </c>
      <c r="Q252">
        <f>(inputs!$C$7*11.2*(10*F252^0.667)*0.5/F252)*inputs!$E$80/(10^(0.84+0.62*LOG10(inputs!$E$80)))</f>
        <v>0.24636900644693105</v>
      </c>
      <c r="R252">
        <f>(60*284*((F252/1000)^0.77)*3*24*(MAX('Min rate concentrations'!$R$3:$R$368))/F252)*(inputs!$E$73*3.4/inputs!$E$75)</f>
        <v>3.1804234009272744E-3</v>
      </c>
      <c r="S252">
        <f>(IF(inputs!$C$6="aerial",((0.025*0.112*inputs!$C$7/3.3)*(3*60*284*((F252/1000)^0.77))*MAX(inputs!$H$14:$H$16))/F252,((0.0083*0.112*inputs!$C$7/1)*(3*60*284*((F252/1000)^0.77))*MAX(inputs!$H$14:$H$16))/F252))*(inputs!E$75*3.4/inputs!$E$73)</f>
        <v>1.7540230455950281E-2</v>
      </c>
      <c r="T252">
        <f>IF((((inputs!$P$12/(V252/MAX(K252:S252)))^(1/inputs!$O$12))-1)/inputs!$N$12&lt;0, 0, IF((((inputs!$P$12/(V252/MAX(K252:S252)))^(1/inputs!$O$12))-1)/inputs!$N$12&gt;inputs!$H$17, inputs!$H$17, (((inputs!$P$12/(V252/MAX(K252:S252)))^(1/inputs!$O$12))-1)/inputs!$N$12))</f>
        <v>512.15508052470773</v>
      </c>
      <c r="U252">
        <f>IF((((inputs!$P$12/(X252/MAX(K252:S252)))^(1/inputs!$O$12))-1)/inputs!$N$12&lt;0, 0, IF((((inputs!$P$12/(X252/MAX(K252:S252)))^(1/inputs!$O$12))-1)/inputs!$N$12&gt;inputs!$H$17, inputs!$H$17, (((inputs!$P$12/(X252/MAX(K252:S252)))^(1/inputs!$O$12))-1)/inputs!$N$12))</f>
        <v>38.067125748301152</v>
      </c>
      <c r="V252">
        <f>inputs!$E$78*(F252/inputs!$F$78)^(inputs!$E$84-1)</f>
        <v>4.3427808073074944E-3</v>
      </c>
      <c r="W252">
        <f>inputs!$E$85*(F252/inputs!$F$85)^(inputs!$E$84-1)</f>
        <v>0.20054161757711042</v>
      </c>
      <c r="X252">
        <f>inputs!$E$80*(F252/inputs!$F$80)^(inputs!$E$84-1)</f>
        <v>0.74885793905376674</v>
      </c>
      <c r="Y252">
        <f>inputs!$E$82*(F252/inputs!$F$82)^(inputs!$E$84-1)</f>
        <v>0.34513679047549034</v>
      </c>
      <c r="Z252">
        <f t="shared" si="21"/>
        <v>2915.7455593447298</v>
      </c>
      <c r="AA252">
        <f t="shared" si="22"/>
        <v>63.141227277901557</v>
      </c>
    </row>
    <row r="253" spans="1:27" x14ac:dyDescent="0.3">
      <c r="A253" t="s">
        <v>248</v>
      </c>
      <c r="B253" t="s">
        <v>250</v>
      </c>
      <c r="C253" t="s">
        <v>73</v>
      </c>
      <c r="D253" t="s">
        <v>240</v>
      </c>
      <c r="E253">
        <v>10124</v>
      </c>
      <c r="F253">
        <v>5400</v>
      </c>
      <c r="G253" t="s">
        <v>154</v>
      </c>
      <c r="H253">
        <v>9.2999999999999999E-2</v>
      </c>
      <c r="I253">
        <f>MAX('Min rate concentrations'!$G$3:$G$368)</f>
        <v>7.5</v>
      </c>
      <c r="J253">
        <f>MAX('Min rate concentrations'!Z:Z)</f>
        <v>3.5</v>
      </c>
      <c r="K253">
        <f t="shared" ref="K253:K256" si="28">((0.301*F253^0.751)/(1-H253))*I253/F253</f>
        <v>0.29285620196003953</v>
      </c>
      <c r="M253">
        <f>IF((((1.18*F253^0.874)/3.7-(0.301*F253^0.751)/(1-H253)*H253)*(MAX('Min rate concentrations'!$P$3:$P$368)))/F253&gt;0, (((1.18*F253^0.874)/3.7-(0.301*F253^0.751)/(1-H253)*H253)*(MAX('Min rate concentrations'!$P$3:$P$368)))/F253, 0)</f>
        <v>1.5147988868529531E-2</v>
      </c>
      <c r="N253">
        <f>IF((((1.18*F253^0.874)/3.7-(0.301*F253^0.751)/(1-H253)*H253)*(MAX('Min rate concentrations'!$Q$3:$Q$368)))/F253&gt;0, (((1.18*F253^0.874)/3.7-(0.301*F253^0.751)/(1-H253)*H253)*(MAX('Min rate concentrations'!$Q$3:$Q$368)))/F253, 0)</f>
        <v>5.7684355538328659E-2</v>
      </c>
      <c r="O253">
        <f>((MAX('Min rate concentrations'!$F$3:$F$368))*0.62*6.01*8*(10*F253^0.667)*0.079*0.1/F253)*inputs!$E$80/(10^(0.84+0.62*LOG10(inputs!$E$80)))</f>
        <v>1.3986693351125064</v>
      </c>
      <c r="P253">
        <f>((MAX('Min rate concentrations'!Y:Y))*0.62*6.01*8*(10*F253^0.667)*0.079*0.1/F253)*inputs!$E$80/(10^(0.84+0.62*LOG10(inputs!$E$80)))</f>
        <v>0.46622311170416869</v>
      </c>
      <c r="Q253">
        <f>(inputs!$C$7*11.2*(10*F253^0.667)*0.5/F253)*inputs!$E$80/(10^(0.84+0.62*LOG10(inputs!$E$80)))</f>
        <v>0.24636900644693105</v>
      </c>
      <c r="R253">
        <f>(60*284*((F253/1000)^0.77)*3*24*(MAX('Min rate concentrations'!$R$3:$R$368))/F253)*(inputs!$E$73*3.4/inputs!$E$75)</f>
        <v>3.1804234009272744E-3</v>
      </c>
      <c r="S253">
        <f>(IF(inputs!$C$6="aerial",((0.025*0.112*inputs!$C$7/3.3)*(3*60*284*((F253/1000)^0.77))*MAX(inputs!$H$14:$H$16))/F253,((0.0083*0.112*inputs!$C$7/1)*(3*60*284*((F253/1000)^0.77))*MAX(inputs!$H$14:$H$16))/F253))*(inputs!E$75*3.4/inputs!$E$73)</f>
        <v>1.7540230455950281E-2</v>
      </c>
      <c r="T253">
        <f>IF((((inputs!$P$12/(V253/MAX(K253:S253)))^(1/inputs!$O$12))-1)/inputs!$N$12&lt;0, 0, IF((((inputs!$P$12/(V253/MAX(K253:S253)))^(1/inputs!$O$12))-1)/inputs!$N$12&gt;inputs!$H$17, inputs!$H$17, (((inputs!$P$12/(V253/MAX(K253:S253)))^(1/inputs!$O$12))-1)/inputs!$N$12))</f>
        <v>192.1817040904908</v>
      </c>
      <c r="U253">
        <f>IF((((inputs!$P$12/(X253/MAX(K253:S253)))^(1/inputs!$O$12))-1)/inputs!$N$12&lt;0, 0, IF((((inputs!$P$12/(X253/MAX(K253:S253)))^(1/inputs!$O$12))-1)/inputs!$N$12&gt;inputs!$H$17, inputs!$H$17, (((inputs!$P$12/(X253/MAX(K253:S253)))^(1/inputs!$O$12))-1)/inputs!$N$12))</f>
        <v>0</v>
      </c>
      <c r="V253">
        <f>inputs!$E$78*(F253/inputs!$F$78)^(inputs!$E$84-1)</f>
        <v>4.3427808073074944E-3</v>
      </c>
      <c r="W253">
        <f>inputs!$E$85*(F253/inputs!$F$85)^(inputs!$E$84-1)</f>
        <v>0.20054161757711042</v>
      </c>
      <c r="X253">
        <f>inputs!$E$80*(F253/inputs!$F$80)^(inputs!$E$84-1)</f>
        <v>0.74885793905376674</v>
      </c>
      <c r="Y253">
        <f>inputs!$E$82*(F253/inputs!$F$82)^(inputs!$E$84-1)</f>
        <v>0.34513679047549034</v>
      </c>
      <c r="Z253">
        <f t="shared" si="21"/>
        <v>322.06767902239011</v>
      </c>
      <c r="AA253">
        <f t="shared" si="22"/>
        <v>6.9744592270215575</v>
      </c>
    </row>
    <row r="254" spans="1:27" x14ac:dyDescent="0.3">
      <c r="A254" t="s">
        <v>333</v>
      </c>
      <c r="B254" t="s">
        <v>334</v>
      </c>
      <c r="C254" t="s">
        <v>73</v>
      </c>
      <c r="D254" t="s">
        <v>240</v>
      </c>
      <c r="E254">
        <v>84</v>
      </c>
      <c r="F254">
        <v>226</v>
      </c>
      <c r="G254" t="s">
        <v>164</v>
      </c>
      <c r="H254">
        <v>0.78</v>
      </c>
      <c r="I254">
        <f>inputs!$C$65*(inputs!$C$62/1000)</f>
        <v>0.82000000000000006</v>
      </c>
      <c r="J254">
        <f>inputs!$C$65*(inputs!$C$61/1000)</f>
        <v>0.25</v>
      </c>
      <c r="K254">
        <f t="shared" si="28"/>
        <v>0.29092742686046924</v>
      </c>
      <c r="L254">
        <f>((0.301*F254^0.751)/(1-H254))*J254/F254</f>
        <v>8.8697386237947942E-2</v>
      </c>
      <c r="M254">
        <f>IF((((1.18*F254^0.874)/3.7-(0.301*F254^0.751)/(1-H254)*H254)*(MAX('Min rate concentrations'!$P$3:$P$368)))/F254&gt;0, (((1.18*F254^0.874)/3.7-(0.301*F254^0.751)/(1-H254)*H254)*(MAX('Min rate concentrations'!$P$3:$P$368)))/F254, 0)</f>
        <v>0</v>
      </c>
      <c r="N254">
        <f>IF((((1.18*F254^0.874)/3.7-(0.301*F254^0.751)/(1-H254)*H254)*(MAX('Min rate concentrations'!$Q$3:$Q$368)))/F254&gt;0, (((1.18*F254^0.874)/3.7-(0.301*F254^0.751)/(1-H254)*H254)*(MAX('Min rate concentrations'!$Q$3:$Q$368)))/F254, 0)</f>
        <v>0</v>
      </c>
      <c r="O254">
        <f>((MAX('Min rate concentrations'!$F$3:$F$368))*0.62*6.01*8*(10*F254^0.667)*0.079*0.1/F254)*inputs!$E$80/(10^(0.84+0.62*LOG10(inputs!$E$80)))</f>
        <v>4.0242417756161926</v>
      </c>
      <c r="P254">
        <f>((MAX('Min rate concentrations'!Y:Y))*0.62*6.01*8*(10*F254^0.667)*0.079*0.1/F254)*inputs!$E$80/(10^(0.84+0.62*LOG10(inputs!$E$80)))</f>
        <v>1.3414139252053972</v>
      </c>
      <c r="Q254">
        <f>(inputs!$C$7*11.2*(10*F254^0.667)*0.5/F254)*inputs!$E$80/(10^(0.84+0.62*LOG10(inputs!$E$80)))</f>
        <v>0.70885120812421676</v>
      </c>
      <c r="R254">
        <f>(60*284*((F254/1000)^0.77)*3*24*(MAX('Min rate concentrations'!$R$3:$R$368))/F254)*(inputs!$E$73*3.4/inputs!$E$75)</f>
        <v>6.5991889593153517E-3</v>
      </c>
      <c r="S254">
        <f>(IF(inputs!$C$6="aerial",((0.025*0.112*inputs!$C$7/3.3)*(3*60*284*((F254/1000)^0.77))*MAX(inputs!$H$14:$H$16))/F254,((0.0083*0.112*inputs!$C$7/1)*(3*60*284*((F254/1000)^0.77))*MAX(inputs!$H$14:$H$16))/F254))*(inputs!E$75*3.4/inputs!$E$73)</f>
        <v>3.6394932553636072E-2</v>
      </c>
      <c r="T254">
        <f>IF((((inputs!$P$12/(V254/MAX(K254:S254)))^(1/inputs!$O$12))-1)/inputs!$N$12&lt;0, 0, IF((((inputs!$P$12/(V254/MAX(K254:S254)))^(1/inputs!$O$12))-1)/inputs!$N$12&gt;inputs!$H$17, inputs!$H$17, (((inputs!$P$12/(V254/MAX(K254:S254)))^(1/inputs!$O$12))-1)/inputs!$N$12))</f>
        <v>181.89004026989369</v>
      </c>
      <c r="U254">
        <f>IF((((inputs!$P$12/(X254/MAX(K254:S254)))^(1/inputs!$O$12))-1)/inputs!$N$12&lt;0, 0, IF((((inputs!$P$12/(X254/MAX(K254:S254)))^(1/inputs!$O$12))-1)/inputs!$N$12&gt;inputs!$H$17, inputs!$H$17, (((inputs!$P$12/(X254/MAX(K254:S254)))^(1/inputs!$O$12))-1)/inputs!$N$12))</f>
        <v>0</v>
      </c>
      <c r="V254">
        <f>inputs!$E$78*(F254/inputs!$F$78)^(inputs!$E$84-1)</f>
        <v>1.4051849136397839E-2</v>
      </c>
      <c r="W254">
        <f>inputs!$E$85*(F254/inputs!$F$85)^(inputs!$E$84-1)</f>
        <v>0.6488885073409637</v>
      </c>
      <c r="X254">
        <f>inputs!$E$80*(F254/inputs!$F$80)^(inputs!$E$84-1)</f>
        <v>2.4230646793111932</v>
      </c>
      <c r="Y254">
        <f>inputs!$E$82*(F254/inputs!$F$82)^(inputs!$E$84-1)</f>
        <v>1.1167522208400387</v>
      </c>
      <c r="Z254">
        <f t="shared" si="21"/>
        <v>286.38521069745832</v>
      </c>
      <c r="AA254">
        <f t="shared" si="22"/>
        <v>6.2017461090609549</v>
      </c>
    </row>
    <row r="255" spans="1:27" x14ac:dyDescent="0.3">
      <c r="A255" t="s">
        <v>333</v>
      </c>
      <c r="B255" t="s">
        <v>334</v>
      </c>
      <c r="C255" t="s">
        <v>73</v>
      </c>
      <c r="D255" t="s">
        <v>240</v>
      </c>
      <c r="E255">
        <v>84</v>
      </c>
      <c r="F255">
        <v>226</v>
      </c>
      <c r="G255" t="s">
        <v>195</v>
      </c>
      <c r="H255">
        <v>0.82</v>
      </c>
      <c r="I255">
        <f>inputs!$C$65*(inputs!$C$62/1000)</f>
        <v>0.82000000000000006</v>
      </c>
      <c r="J255">
        <f>inputs!$C$65*(inputs!$C$61/1000)</f>
        <v>0.25</v>
      </c>
      <c r="K255">
        <f t="shared" si="28"/>
        <v>0.35557796616279558</v>
      </c>
      <c r="L255">
        <f>((0.301*F255^0.751)/(1-H255))*J255/F255</f>
        <v>0.10840791651304743</v>
      </c>
      <c r="M255">
        <f>IF((((1.18*F255^0.874)/3.7-(0.301*F255^0.751)/(1-H255)*H255)*(MAX('Min rate concentrations'!$P$3:$P$368)))/F255&gt;0, (((1.18*F255^0.874)/3.7-(0.301*F255^0.751)/(1-H255)*H255)*(MAX('Min rate concentrations'!$P$3:$P$368)))/F255, 0)</f>
        <v>0</v>
      </c>
      <c r="N255">
        <f>IF((((1.18*F255^0.874)/3.7-(0.301*F255^0.751)/(1-H255)*H255)*(MAX('Min rate concentrations'!$Q$3:$Q$368)))/F255&gt;0, (((1.18*F255^0.874)/3.7-(0.301*F255^0.751)/(1-H255)*H255)*(MAX('Min rate concentrations'!$Q$3:$Q$368)))/F255, 0)</f>
        <v>0</v>
      </c>
      <c r="O255">
        <f>((MAX('Min rate concentrations'!$F$3:$F$368))*0.62*6.01*8*(10*F255^0.667)*0.079*0.1/F255)*inputs!$E$80/(10^(0.84+0.62*LOG10(inputs!$E$80)))</f>
        <v>4.0242417756161926</v>
      </c>
      <c r="P255">
        <f>((MAX('Min rate concentrations'!Y:Y))*0.62*6.01*8*(10*F255^0.667)*0.079*0.1/F255)*inputs!$E$80/(10^(0.84+0.62*LOG10(inputs!$E$80)))</f>
        <v>1.3414139252053972</v>
      </c>
      <c r="Q255">
        <f>(inputs!$C$7*11.2*(10*F255^0.667)*0.5/F255)*inputs!$E$80/(10^(0.84+0.62*LOG10(inputs!$E$80)))</f>
        <v>0.70885120812421676</v>
      </c>
      <c r="R255">
        <f>(60*284*((F255/1000)^0.77)*3*24*(MAX('Min rate concentrations'!$R$3:$R$368))/F255)*(inputs!$E$73*3.4/inputs!$E$75)</f>
        <v>6.5991889593153517E-3</v>
      </c>
      <c r="S255">
        <f>(IF(inputs!$C$6="aerial",((0.025*0.112*inputs!$C$7/3.3)*(3*60*284*((F255/1000)^0.77))*MAX(inputs!$H$14:$H$16))/F255,((0.0083*0.112*inputs!$C$7/1)*(3*60*284*((F255/1000)^0.77))*MAX(inputs!$H$14:$H$16))/F255))*(inputs!E$75*3.4/inputs!$E$73)</f>
        <v>3.6394932553636072E-2</v>
      </c>
      <c r="T255">
        <f>IF((((inputs!$P$12/(V255/MAX(K255:S255)))^(1/inputs!$O$12))-1)/inputs!$N$12&lt;0, 0, IF((((inputs!$P$12/(V255/MAX(K255:S255)))^(1/inputs!$O$12))-1)/inputs!$N$12&gt;inputs!$H$17, inputs!$H$17, (((inputs!$P$12/(V255/MAX(K255:S255)))^(1/inputs!$O$12))-1)/inputs!$N$12))</f>
        <v>181.89004026989369</v>
      </c>
      <c r="U255">
        <f>IF((((inputs!$P$12/(X255/MAX(K255:S255)))^(1/inputs!$O$12))-1)/inputs!$N$12&lt;0, 0, IF((((inputs!$P$12/(X255/MAX(K255:S255)))^(1/inputs!$O$12))-1)/inputs!$N$12&gt;inputs!$H$17, inputs!$H$17, (((inputs!$P$12/(X255/MAX(K255:S255)))^(1/inputs!$O$12))-1)/inputs!$N$12))</f>
        <v>0</v>
      </c>
      <c r="V255">
        <f>inputs!$E$78*(F255/inputs!$F$78)^(inputs!$E$84-1)</f>
        <v>1.4051849136397839E-2</v>
      </c>
      <c r="W255">
        <f>inputs!$E$85*(F255/inputs!$F$85)^(inputs!$E$84-1)</f>
        <v>0.6488885073409637</v>
      </c>
      <c r="X255">
        <f>inputs!$E$80*(F255/inputs!$F$80)^(inputs!$E$84-1)</f>
        <v>2.4230646793111932</v>
      </c>
      <c r="Y255">
        <f>inputs!$E$82*(F255/inputs!$F$82)^(inputs!$E$84-1)</f>
        <v>1.1167522208400387</v>
      </c>
      <c r="Z255">
        <f t="shared" si="21"/>
        <v>286.38521069745832</v>
      </c>
      <c r="AA255">
        <f t="shared" si="22"/>
        <v>6.2017461090609549</v>
      </c>
    </row>
    <row r="256" spans="1:27" x14ac:dyDescent="0.3">
      <c r="A256" t="s">
        <v>333</v>
      </c>
      <c r="B256" t="s">
        <v>334</v>
      </c>
      <c r="C256" t="s">
        <v>73</v>
      </c>
      <c r="D256" t="s">
        <v>240</v>
      </c>
      <c r="E256">
        <v>84</v>
      </c>
      <c r="F256">
        <v>226</v>
      </c>
      <c r="G256" t="s">
        <v>186</v>
      </c>
      <c r="H256">
        <v>0.75</v>
      </c>
      <c r="I256">
        <f>inputs!$C$65*inputs!$C$64/1000</f>
        <v>2.13</v>
      </c>
      <c r="J256">
        <f>inputs!$C$65*inputs!$C$63/1000</f>
        <v>0.88</v>
      </c>
      <c r="K256">
        <f t="shared" si="28"/>
        <v>0.66501752305763828</v>
      </c>
      <c r="L256">
        <f>((0.301*F256^0.751)/(1-H256))*J256/F256</f>
        <v>0.2747490236106675</v>
      </c>
      <c r="M256">
        <f>IF((((1.18*F256^0.874)/3.7-(0.301*F256^0.751)/(1-H256)*H256)*(MAX('Min rate concentrations'!$P$3:$P$368)))/F256&gt;0, (((1.18*F256^0.874)/3.7-(0.301*F256^0.751)/(1-H256)*H256)*(MAX('Min rate concentrations'!$P$3:$P$368)))/F256, 0)</f>
        <v>0</v>
      </c>
      <c r="N256">
        <f>IF((((1.18*F256^0.874)/3.7-(0.301*F256^0.751)/(1-H256)*H256)*(MAX('Min rate concentrations'!$Q$3:$Q$368)))/F256&gt;0, (((1.18*F256^0.874)/3.7-(0.301*F256^0.751)/(1-H256)*H256)*(MAX('Min rate concentrations'!$Q$3:$Q$368)))/F256, 0)</f>
        <v>0</v>
      </c>
      <c r="O256">
        <f>((MAX('Min rate concentrations'!$F$3:$F$368))*0.62*6.01*8*(10*F256^0.667)*0.079*0.1/F256)*inputs!$E$80/(10^(0.84+0.62*LOG10(inputs!$E$80)))</f>
        <v>4.0242417756161926</v>
      </c>
      <c r="P256">
        <f>((MAX('Min rate concentrations'!Y:Y))*0.62*6.01*8*(10*F256^0.667)*0.079*0.1/F256)*inputs!$E$80/(10^(0.84+0.62*LOG10(inputs!$E$80)))</f>
        <v>1.3414139252053972</v>
      </c>
      <c r="Q256">
        <f>(inputs!$C$7*11.2*(10*F256^0.667)*0.5/F256)*inputs!$E$80/(10^(0.84+0.62*LOG10(inputs!$E$80)))</f>
        <v>0.70885120812421676</v>
      </c>
      <c r="R256">
        <f>(60*284*((F256/1000)^0.77)*3*24*(MAX('Min rate concentrations'!$R$3:$R$368))/F256)*(inputs!$E$73*3.4/inputs!$E$75)</f>
        <v>6.5991889593153517E-3</v>
      </c>
      <c r="S256">
        <f>(IF(inputs!$C$6="aerial",((0.025*0.112*inputs!$C$7/3.3)*(3*60*284*((F256/1000)^0.77))*MAX(inputs!$H$14:$H$16))/F256,((0.0083*0.112*inputs!$C$7/1)*(3*60*284*((F256/1000)^0.77))*MAX(inputs!$H$14:$H$16))/F256))*(inputs!E$75*3.4/inputs!$E$73)</f>
        <v>3.6394932553636072E-2</v>
      </c>
      <c r="T256">
        <f>IF((((inputs!$P$12/(V256/MAX(K256:S256)))^(1/inputs!$O$12))-1)/inputs!$N$12&lt;0, 0, IF((((inputs!$P$12/(V256/MAX(K256:S256)))^(1/inputs!$O$12))-1)/inputs!$N$12&gt;inputs!$H$17, inputs!$H$17, (((inputs!$P$12/(V256/MAX(K256:S256)))^(1/inputs!$O$12))-1)/inputs!$N$12))</f>
        <v>181.89004026989369</v>
      </c>
      <c r="U256">
        <f>IF((((inputs!$P$12/(X256/MAX(K256:S256)))^(1/inputs!$O$12))-1)/inputs!$N$12&lt;0, 0, IF((((inputs!$P$12/(X256/MAX(K256:S256)))^(1/inputs!$O$12))-1)/inputs!$N$12&gt;inputs!$H$17, inputs!$H$17, (((inputs!$P$12/(X256/MAX(K256:S256)))^(1/inputs!$O$12))-1)/inputs!$N$12))</f>
        <v>0</v>
      </c>
      <c r="V256">
        <f>inputs!$E$78*(F256/inputs!$F$78)^(inputs!$E$84-1)</f>
        <v>1.4051849136397839E-2</v>
      </c>
      <c r="W256">
        <f>inputs!$E$85*(F256/inputs!$F$85)^(inputs!$E$84-1)</f>
        <v>0.6488885073409637</v>
      </c>
      <c r="X256">
        <f>inputs!$E$80*(F256/inputs!$F$80)^(inputs!$E$84-1)</f>
        <v>2.4230646793111932</v>
      </c>
      <c r="Y256">
        <f>inputs!$E$82*(F256/inputs!$F$82)^(inputs!$E$84-1)</f>
        <v>1.1167522208400387</v>
      </c>
      <c r="Z256">
        <f t="shared" si="21"/>
        <v>286.38521069745832</v>
      </c>
      <c r="AA256">
        <f t="shared" si="22"/>
        <v>6.2017461090609549</v>
      </c>
    </row>
    <row r="257" spans="1:27" x14ac:dyDescent="0.3">
      <c r="A257" t="s">
        <v>323</v>
      </c>
      <c r="B257" t="s">
        <v>324</v>
      </c>
      <c r="C257" t="s">
        <v>73</v>
      </c>
      <c r="D257" t="s">
        <v>141</v>
      </c>
      <c r="E257">
        <v>78</v>
      </c>
      <c r="F257">
        <v>20</v>
      </c>
      <c r="G257" t="s">
        <v>142</v>
      </c>
      <c r="H257">
        <v>0.69</v>
      </c>
      <c r="I257">
        <f>MAX('Min rate concentrations'!$H$3:$H$368)</f>
        <v>47</v>
      </c>
      <c r="J257">
        <f>MAX('Min rate concentrations'!AA:AA)</f>
        <v>32.5</v>
      </c>
      <c r="K257">
        <f t="shared" ref="K257:K320" si="29">((0.398*F257^0.85)/(1-H257))*I257/F257</f>
        <v>38.500355248394953</v>
      </c>
      <c r="L257">
        <f>((0.398*F257^0.85)/(1-H257))*J257/F257</f>
        <v>26.622586076017786</v>
      </c>
      <c r="M257">
        <f>IF((((1.18*F257^0.874)-(0.398*F257^0.85)/(1-H257)*H257)*(MAX('Min rate concentrations'!$P$3:$P$368)))/F257&gt;0, (((1.18*F257^0.874)-(0.398*F257^0.85)/(1-H257)*H257)*(MAX('Min rate concentrations'!$P$3:$P$368)))/F257, 0)</f>
        <v>3.5385482091505556E-2</v>
      </c>
      <c r="N257">
        <f>IF((((1.18*F257^0.874)-(0.398*F257^0.85)/(1-H257)*H257)*(MAX('Min rate concentrations'!$Q$3:$Q$368)))/F257&gt;0, (((1.18*F257^0.874)-(0.398*F257^0.85)/(1-H257)*H257)*(MAX('Min rate concentrations'!$Q$3:$Q$368)))/F257, 0)</f>
        <v>0.13474981712603498</v>
      </c>
      <c r="O257">
        <f>((MAX('Min rate concentrations'!$F$3:$F$368))*0.62*6.01*8*(10*F257^0.667)*0.079*0.1/F257)*inputs!$E$80/(10^(0.84+0.62*LOG10(inputs!$E$80)))</f>
        <v>9.0231709788796604</v>
      </c>
      <c r="P257">
        <f>((MAX('Min rate concentrations'!Y:Y))*0.62*6.01*8*(10*F257^0.667)*0.079*0.1/F257)*inputs!$E$80/(10^(0.84+0.62*LOG10(inputs!$E$80)))</f>
        <v>3.0077236596265537</v>
      </c>
      <c r="Q257">
        <f>(inputs!$C$7*11.2*(10*F257^0.667)*0.5/F257)*inputs!$E$80/(10^(0.84+0.62*LOG10(inputs!$E$80)))</f>
        <v>1.5893890094391379</v>
      </c>
      <c r="R257">
        <f>(60*284*((F257/1000)^0.77)*3*24*(MAX('Min rate concentrations'!$R$3:$R$368))/F257)*(inputs!$E$73*3.4/inputs!$E$75)</f>
        <v>1.1526530558946087E-2</v>
      </c>
      <c r="S257">
        <f>(IF(inputs!$C$6="aerial",((0.025*0.112*inputs!$C$7/3.3)*(3*60*284*((F257/1000)^0.77))*MAX(inputs!$H$14:$H$16))/F257,((0.0083*0.112*inputs!$C$7/1)*(3*60*284*((F257/1000)^0.77))*MAX(inputs!$H$14:$H$16))/F257))*(inputs!E$75*3.4/inputs!$E$73)</f>
        <v>6.3569524203136399E-2</v>
      </c>
      <c r="T257">
        <f>IF((((inputs!$P$12/(V257/MAX(K257:S257)))^(1/inputs!$O$12))-1)/inputs!$N$12&lt;0, 0, IF((((inputs!$P$12/(V257/MAX(K257:S257)))^(1/inputs!$O$12))-1)/inputs!$N$12&gt;inputs!$H$17, inputs!$H$17, (((inputs!$P$12/(V257/MAX(K257:S257)))^(1/inputs!$O$12))-1)/inputs!$N$12))</f>
        <v>337.4778010012177</v>
      </c>
      <c r="U257">
        <f>IF((((inputs!$P$12/(X257/MAX(K257:S257)))^(1/inputs!$O$12))-1)/inputs!$N$12&lt;0, 0, IF((((inputs!$P$12/(X257/MAX(K257:S257)))^(1/inputs!$O$12))-1)/inputs!$N$12&gt;inputs!$H$17, inputs!$H$17, (((inputs!$P$12/(X257/MAX(K257:S257)))^(1/inputs!$O$12))-1)/inputs!$N$12))</f>
        <v>16.563143854589342</v>
      </c>
      <c r="V257">
        <f>inputs!$E$78*(F257/inputs!$F$78)^(inputs!$E$84-1)</f>
        <v>3.4464541288703368E-2</v>
      </c>
      <c r="W257">
        <f>inputs!$E$85*(F257/inputs!$F$85)^(inputs!$E$84-1)</f>
        <v>1.5915090274553441</v>
      </c>
      <c r="X257">
        <f>inputs!$E$80*(F257/inputs!$F$80)^(inputs!$E$84-1)</f>
        <v>5.9429767480927405</v>
      </c>
      <c r="Y257">
        <f>inputs!$E$82*(F257/inputs!$F$82)^(inputs!$E$84-1)</f>
        <v>2.739024070839057</v>
      </c>
      <c r="Z257">
        <f t="shared" si="21"/>
        <v>1117.1004693166894</v>
      </c>
      <c r="AA257">
        <f t="shared" si="22"/>
        <v>24.191100762999117</v>
      </c>
    </row>
    <row r="258" spans="1:27" x14ac:dyDescent="0.3">
      <c r="A258" t="s">
        <v>323</v>
      </c>
      <c r="B258" t="s">
        <v>324</v>
      </c>
      <c r="C258" t="s">
        <v>73</v>
      </c>
      <c r="D258" t="s">
        <v>141</v>
      </c>
      <c r="E258">
        <v>78</v>
      </c>
      <c r="F258">
        <v>20</v>
      </c>
      <c r="G258" t="s">
        <v>152</v>
      </c>
      <c r="H258">
        <v>0.77</v>
      </c>
      <c r="I258">
        <f>MAX('Min rate concentrations'!$G$3:$G$368)</f>
        <v>7.5</v>
      </c>
      <c r="J258">
        <f>MAX('Min rate concentrations'!Z:Z)</f>
        <v>3.5</v>
      </c>
      <c r="K258">
        <f t="shared" si="29"/>
        <v>8.2806036958851319</v>
      </c>
      <c r="L258">
        <f>((0.398*F258^0.85)/(1-H258))*J258/F258</f>
        <v>3.8642817247463954</v>
      </c>
      <c r="M258">
        <f>IF((((1.18*F258^0.874)-(0.398*F258^0.85)/(1-H258)*H258)*(MAX('Min rate concentrations'!$P$3:$P$368)))/F258&gt;0, (((1.18*F258^0.874)-(0.398*F258^0.85)/(1-H258)*H258)*(MAX('Min rate concentrations'!$P$3:$P$368)))/F258, 0)</f>
        <v>0</v>
      </c>
      <c r="N258">
        <f>IF((((1.18*F258^0.874)-(0.398*F258^0.85)/(1-H258)*H258)*(MAX('Min rate concentrations'!$Q$3:$Q$368)))/F258&gt;0, (((1.18*F258^0.874)-(0.398*F258^0.85)/(1-H258)*H258)*(MAX('Min rate concentrations'!$Q$3:$Q$368)))/F258, 0)</f>
        <v>0</v>
      </c>
      <c r="O258">
        <f>((MAX('Min rate concentrations'!$F$3:$F$368))*0.62*6.01*8*(10*F258^0.667)*0.079*0.1/F258)*inputs!$E$80/(10^(0.84+0.62*LOG10(inputs!$E$80)))</f>
        <v>9.0231709788796604</v>
      </c>
      <c r="P258">
        <f>((MAX('Min rate concentrations'!Y:Y))*0.62*6.01*8*(10*F258^0.667)*0.079*0.1/F258)*inputs!$E$80/(10^(0.84+0.62*LOG10(inputs!$E$80)))</f>
        <v>3.0077236596265537</v>
      </c>
      <c r="Q258">
        <f>(inputs!$C$7*11.2*(10*F258^0.667)*0.5/F258)*inputs!$E$80/(10^(0.84+0.62*LOG10(inputs!$E$80)))</f>
        <v>1.5893890094391379</v>
      </c>
      <c r="R258">
        <f>(60*284*((F258/1000)^0.77)*3*24*(MAX('Min rate concentrations'!$R$3:$R$368))/F258)*(inputs!$E$73*3.4/inputs!$E$75)</f>
        <v>1.1526530558946087E-2</v>
      </c>
      <c r="S258">
        <f>(IF(inputs!$C$6="aerial",((0.025*0.112*inputs!$C$7/3.3)*(3*60*284*((F258/1000)^0.77))*MAX(inputs!$H$14:$H$16))/F258,((0.0083*0.112*inputs!$C$7/1)*(3*60*284*((F258/1000)^0.77))*MAX(inputs!$H$14:$H$16))/F258))*(inputs!E$75*3.4/inputs!$E$73)</f>
        <v>6.3569524203136399E-2</v>
      </c>
      <c r="T258">
        <f>IF((((inputs!$P$12/(V258/MAX(K258:S258)))^(1/inputs!$O$12))-1)/inputs!$N$12&lt;0, 0, IF((((inputs!$P$12/(V258/MAX(K258:S258)))^(1/inputs!$O$12))-1)/inputs!$N$12&gt;inputs!$H$17, inputs!$H$17, (((inputs!$P$12/(V258/MAX(K258:S258)))^(1/inputs!$O$12))-1)/inputs!$N$12))</f>
        <v>174.35136658097272</v>
      </c>
      <c r="U258">
        <f>IF((((inputs!$P$12/(X258/MAX(K258:S258)))^(1/inputs!$O$12))-1)/inputs!$N$12&lt;0, 0, IF((((inputs!$P$12/(X258/MAX(K258:S258)))^(1/inputs!$O$12))-1)/inputs!$N$12&gt;inputs!$H$17, inputs!$H$17, (((inputs!$P$12/(X258/MAX(K258:S258)))^(1/inputs!$O$12))-1)/inputs!$N$12))</f>
        <v>0</v>
      </c>
      <c r="V258">
        <f>inputs!$E$78*(F258/inputs!$F$78)^(inputs!$E$84-1)</f>
        <v>3.4464541288703368E-2</v>
      </c>
      <c r="W258">
        <f>inputs!$E$85*(F258/inputs!$F$85)^(inputs!$E$84-1)</f>
        <v>1.5915090274553441</v>
      </c>
      <c r="X258">
        <f>inputs!$E$80*(F258/inputs!$F$80)^(inputs!$E$84-1)</f>
        <v>5.9429767480927405</v>
      </c>
      <c r="Y258">
        <f>inputs!$E$82*(F258/inputs!$F$82)^(inputs!$E$84-1)</f>
        <v>2.739024070839057</v>
      </c>
      <c r="Z258">
        <f t="shared" ref="Z258:Z321" si="30">MAX(K258:S258)/V258</f>
        <v>261.81027344290334</v>
      </c>
      <c r="AA258">
        <f t="shared" ref="AA258:AA321" si="31">MAX(K258:S258)/W258</f>
        <v>5.6695694609453549</v>
      </c>
    </row>
    <row r="259" spans="1:27" x14ac:dyDescent="0.3">
      <c r="A259" t="s">
        <v>323</v>
      </c>
      <c r="B259" t="s">
        <v>324</v>
      </c>
      <c r="C259" t="s">
        <v>73</v>
      </c>
      <c r="D259" t="s">
        <v>141</v>
      </c>
      <c r="E259">
        <v>78</v>
      </c>
      <c r="F259">
        <v>20</v>
      </c>
      <c r="G259" t="s">
        <v>177</v>
      </c>
      <c r="H259">
        <v>0.85</v>
      </c>
      <c r="I259">
        <f>MAX('Min rate concentrations'!$F$3:$F$368)</f>
        <v>67.5</v>
      </c>
      <c r="J259">
        <f>MAX('Min rate concentrations'!Y:Y)</f>
        <v>22.5</v>
      </c>
      <c r="K259">
        <f t="shared" si="29"/>
        <v>114.2723310032148</v>
      </c>
      <c r="L259">
        <f>((0.398*F259^0.85)/(1-H259))*J259/F259</f>
        <v>38.090777001071601</v>
      </c>
      <c r="M259">
        <f>IF((((1.18*F259^0.874)-(0.398*F259^0.85)/(1-H259)*H259)*(MAX('Min rate concentrations'!$P$3:$P$368)))/F259&gt;0, (((1.18*F259^0.874)-(0.398*F259^0.85)/(1-H259)*H259)*(MAX('Min rate concentrations'!$P$3:$P$368)))/F259, 0)</f>
        <v>0</v>
      </c>
      <c r="N259">
        <f>IF((((1.18*F259^0.874)-(0.398*F259^0.85)/(1-H259)*H259)*(MAX('Min rate concentrations'!$Q$3:$Q$368)))/F259&gt;0, (((1.18*F259^0.874)-(0.398*F259^0.85)/(1-H259)*H259)*(MAX('Min rate concentrations'!$Q$3:$Q$368)))/F259, 0)</f>
        <v>0</v>
      </c>
      <c r="O259">
        <f>((MAX('Min rate concentrations'!$F$3:$F$368))*0.62*6.01*8*(10*F259^0.667)*0.079*0.1/F259)*inputs!$E$80/(10^(0.84+0.62*LOG10(inputs!$E$80)))</f>
        <v>9.0231709788796604</v>
      </c>
      <c r="P259">
        <f>((MAX('Min rate concentrations'!Y:Y))*0.62*6.01*8*(10*F259^0.667)*0.079*0.1/F259)*inputs!$E$80/(10^(0.84+0.62*LOG10(inputs!$E$80)))</f>
        <v>3.0077236596265537</v>
      </c>
      <c r="Q259">
        <f>(inputs!$C$7*11.2*(10*F259^0.667)*0.5/F259)*inputs!$E$80/(10^(0.84+0.62*LOG10(inputs!$E$80)))</f>
        <v>1.5893890094391379</v>
      </c>
      <c r="R259">
        <f>(60*284*((F259/1000)^0.77)*3*24*(MAX('Min rate concentrations'!$R$3:$R$368))/F259)*(inputs!$E$73*3.4/inputs!$E$75)</f>
        <v>1.1526530558946087E-2</v>
      </c>
      <c r="S259">
        <f>(IF(inputs!$C$6="aerial",((0.025*0.112*inputs!$C$7/3.3)*(3*60*284*((F259/1000)^0.77))*MAX(inputs!$H$14:$H$16))/F259,((0.0083*0.112*inputs!$C$7/1)*(3*60*284*((F259/1000)^0.77))*MAX(inputs!$H$14:$H$16))/F259))*(inputs!E$75*3.4/inputs!$E$73)</f>
        <v>6.3569524203136399E-2</v>
      </c>
      <c r="T259">
        <f>IF((((inputs!$P$12/(V259/MAX(K259:S259)))^(1/inputs!$O$12))-1)/inputs!$N$12&lt;0, 0, IF((((inputs!$P$12/(V259/MAX(K259:S259)))^(1/inputs!$O$12))-1)/inputs!$N$12&gt;inputs!$H$17, inputs!$H$17, (((inputs!$P$12/(V259/MAX(K259:S259)))^(1/inputs!$O$12))-1)/inputs!$N$12))</f>
        <v>541.17011348755659</v>
      </c>
      <c r="U259">
        <f>IF((((inputs!$P$12/(X259/MAX(K259:S259)))^(1/inputs!$O$12))-1)/inputs!$N$12&lt;0, 0, IF((((inputs!$P$12/(X259/MAX(K259:S259)))^(1/inputs!$O$12))-1)/inputs!$N$12&gt;inputs!$H$17, inputs!$H$17, (((inputs!$P$12/(X259/MAX(K259:S259)))^(1/inputs!$O$12))-1)/inputs!$N$12))</f>
        <v>41.639077092978759</v>
      </c>
      <c r="V259">
        <f>inputs!$E$78*(F259/inputs!$F$78)^(inputs!$E$84-1)</f>
        <v>3.4464541288703368E-2</v>
      </c>
      <c r="W259">
        <f>inputs!$E$85*(F259/inputs!$F$85)^(inputs!$E$84-1)</f>
        <v>1.5915090274553441</v>
      </c>
      <c r="X259">
        <f>inputs!$E$80*(F259/inputs!$F$80)^(inputs!$E$84-1)</f>
        <v>5.9429767480927405</v>
      </c>
      <c r="Y259">
        <f>inputs!$E$82*(F259/inputs!$F$82)^(inputs!$E$84-1)</f>
        <v>2.739024070839057</v>
      </c>
      <c r="Z259">
        <f t="shared" si="30"/>
        <v>3315.6492653123014</v>
      </c>
      <c r="AA259">
        <f t="shared" si="31"/>
        <v>71.801245881667583</v>
      </c>
    </row>
    <row r="260" spans="1:27" x14ac:dyDescent="0.3">
      <c r="A260" t="s">
        <v>323</v>
      </c>
      <c r="B260" t="s">
        <v>324</v>
      </c>
      <c r="C260" t="s">
        <v>73</v>
      </c>
      <c r="D260" t="s">
        <v>141</v>
      </c>
      <c r="E260">
        <v>78</v>
      </c>
      <c r="F260">
        <v>20</v>
      </c>
      <c r="G260" t="s">
        <v>153</v>
      </c>
      <c r="H260">
        <v>0.7</v>
      </c>
      <c r="I260">
        <f>MAX('Min rate concentrations'!$E$3:$E$368)</f>
        <v>55</v>
      </c>
      <c r="J260">
        <f>MAX('Min rate concentrations'!X:X)</f>
        <v>18</v>
      </c>
      <c r="K260">
        <f t="shared" si="29"/>
        <v>46.555394112420842</v>
      </c>
      <c r="M260">
        <f>IF((((1.18*F260^0.874)-(0.398*F260^0.85)/(1-H260)*H260)*(MAX('Min rate concentrations'!$P$3:$P$368)))/F260&gt;0, (((1.18*F260^0.874)-(0.398*F260^0.85)/(1-H260)*H260)*(MAX('Min rate concentrations'!$P$3:$P$368)))/F260, 0)</f>
        <v>3.1422183683828014E-2</v>
      </c>
      <c r="N260">
        <f>IF((((1.18*F260^0.874)-(0.398*F260^0.85)/(1-H260)*H260)*(MAX('Min rate concentrations'!$Q$3:$Q$368)))/F260&gt;0, (((1.18*F260^0.874)-(0.398*F260^0.85)/(1-H260)*H260)*(MAX('Min rate concentrations'!$Q$3:$Q$368)))/F260, 0)</f>
        <v>0.11965736383489681</v>
      </c>
      <c r="O260">
        <f>((MAX('Min rate concentrations'!$F$3:$F$368))*0.62*6.01*8*(10*F260^0.667)*0.079*0.1/F260)*inputs!$E$80/(10^(0.84+0.62*LOG10(inputs!$E$80)))</f>
        <v>9.0231709788796604</v>
      </c>
      <c r="P260">
        <f>((MAX('Min rate concentrations'!Y:Y))*0.62*6.01*8*(10*F260^0.667)*0.079*0.1/F260)*inputs!$E$80/(10^(0.84+0.62*LOG10(inputs!$E$80)))</f>
        <v>3.0077236596265537</v>
      </c>
      <c r="Q260">
        <f>(inputs!$C$7*11.2*(10*F260^0.667)*0.5/F260)*inputs!$E$80/(10^(0.84+0.62*LOG10(inputs!$E$80)))</f>
        <v>1.5893890094391379</v>
      </c>
      <c r="R260">
        <f>(60*284*((F260/1000)^0.77)*3*24*(MAX('Min rate concentrations'!$R$3:$R$368))/F260)*(inputs!$E$73*3.4/inputs!$E$75)</f>
        <v>1.1526530558946087E-2</v>
      </c>
      <c r="S260">
        <f>(IF(inputs!$C$6="aerial",((0.025*0.112*inputs!$C$7/3.3)*(3*60*284*((F260/1000)^0.77))*MAX(inputs!$H$14:$H$16))/F260,((0.0083*0.112*inputs!$C$7/1)*(3*60*284*((F260/1000)^0.77))*MAX(inputs!$H$14:$H$16))/F260))*(inputs!E$75*3.4/inputs!$E$73)</f>
        <v>6.3569524203136399E-2</v>
      </c>
      <c r="T260">
        <f>IF((((inputs!$P$12/(V260/MAX(K260:S260)))^(1/inputs!$O$12))-1)/inputs!$N$12&lt;0, 0, IF((((inputs!$P$12/(V260/MAX(K260:S260)))^(1/inputs!$O$12))-1)/inputs!$N$12&gt;inputs!$H$17, inputs!$H$17, (((inputs!$P$12/(V260/MAX(K260:S260)))^(1/inputs!$O$12))-1)/inputs!$N$12))</f>
        <v>366.87726174845704</v>
      </c>
      <c r="U260">
        <f>IF((((inputs!$P$12/(X260/MAX(K260:S260)))^(1/inputs!$O$12))-1)/inputs!$N$12&lt;0, 0, IF((((inputs!$P$12/(X260/MAX(K260:S260)))^(1/inputs!$O$12))-1)/inputs!$N$12&gt;inputs!$H$17, inputs!$H$17, (((inputs!$P$12/(X260/MAX(K260:S260)))^(1/inputs!$O$12))-1)/inputs!$N$12))</f>
        <v>20.182420919804379</v>
      </c>
      <c r="V260">
        <f>inputs!$E$78*(F260/inputs!$F$78)^(inputs!$E$84-1)</f>
        <v>3.4464541288703368E-2</v>
      </c>
      <c r="W260">
        <f>inputs!$E$85*(F260/inputs!$F$85)^(inputs!$E$84-1)</f>
        <v>1.5915090274553441</v>
      </c>
      <c r="X260">
        <f>inputs!$E$80*(F260/inputs!$F$80)^(inputs!$E$84-1)</f>
        <v>5.9429767480927405</v>
      </c>
      <c r="Y260">
        <f>inputs!$E$82*(F260/inputs!$F$82)^(inputs!$E$84-1)</f>
        <v>2.739024070839057</v>
      </c>
      <c r="Z260">
        <f t="shared" si="30"/>
        <v>1350.8200710531598</v>
      </c>
      <c r="AA260">
        <f t="shared" si="31"/>
        <v>29.252359433271977</v>
      </c>
    </row>
    <row r="261" spans="1:27" x14ac:dyDescent="0.3">
      <c r="A261" t="s">
        <v>271</v>
      </c>
      <c r="B261" t="s">
        <v>272</v>
      </c>
      <c r="C261" t="s">
        <v>73</v>
      </c>
      <c r="D261" t="s">
        <v>141</v>
      </c>
      <c r="E261">
        <v>6522</v>
      </c>
      <c r="F261">
        <v>9.5</v>
      </c>
      <c r="G261" t="s">
        <v>142</v>
      </c>
      <c r="H261">
        <v>0.69</v>
      </c>
      <c r="I261">
        <f>MAX('Min rate concentrations'!$H$3:$H$368)</f>
        <v>47</v>
      </c>
      <c r="J261">
        <f>MAX('Min rate concentrations'!AA:AA)</f>
        <v>32.5</v>
      </c>
      <c r="K261">
        <f t="shared" si="29"/>
        <v>43.048764863736743</v>
      </c>
      <c r="L261">
        <f>((0.398*F261^0.85)/(1-H261))*J261/F261</f>
        <v>29.767762937690296</v>
      </c>
      <c r="M261">
        <f>IF((((1.18*F261^0.874)-(0.398*F261^0.85)/(1-H261)*H261)*(MAX('Min rate concentrations'!$P$3:$P$368)))/F261&gt;0, (((1.18*F261^0.874)-(0.398*F261^0.85)/(1-H261)*H261)*(MAX('Min rate concentrations'!$P$3:$P$368)))/F261, 0)</f>
        <v>3.7240882610083827E-2</v>
      </c>
      <c r="N261">
        <f>IF((((1.18*F261^0.874)-(0.398*F261^0.85)/(1-H261)*H261)*(MAX('Min rate concentrations'!$Q$3:$Q$368)))/F261&gt;0, (((1.18*F261^0.874)-(0.398*F261^0.85)/(1-H261)*H261)*(MAX('Min rate concentrations'!$Q$3:$Q$368)))/F261, 0)</f>
        <v>0.14181528199457749</v>
      </c>
      <c r="O261">
        <f>((MAX('Min rate concentrations'!$F$3:$F$368))*0.62*6.01*8*(10*F261^0.667)*0.079*0.1/F261)*inputs!$E$80/(10^(0.84+0.62*LOG10(inputs!$E$80)))</f>
        <v>11.561660562671129</v>
      </c>
      <c r="P261">
        <f>((MAX('Min rate concentrations'!Y:Y))*0.62*6.01*8*(10*F261^0.667)*0.079*0.1/F261)*inputs!$E$80/(10^(0.84+0.62*LOG10(inputs!$E$80)))</f>
        <v>3.8538868542237084</v>
      </c>
      <c r="Q261">
        <f>(inputs!$C$7*11.2*(10*F261^0.667)*0.5/F261)*inputs!$E$80/(10^(0.84+0.62*LOG10(inputs!$E$80)))</f>
        <v>2.0365319766396599</v>
      </c>
      <c r="R261">
        <f>(60*284*((F261/1000)^0.77)*3*24*(MAX('Min rate concentrations'!$R$3:$R$368))/F261)*(inputs!$E$73*3.4/inputs!$E$75)</f>
        <v>1.3679148863553574E-2</v>
      </c>
      <c r="S261">
        <f>(IF(inputs!$C$6="aerial",((0.025*0.112*inputs!$C$7/3.3)*(3*60*284*((F261/1000)^0.77))*MAX(inputs!$H$14:$H$16))/F261,((0.0083*0.112*inputs!$C$7/1)*(3*60*284*((F261/1000)^0.77))*MAX(inputs!$H$14:$H$16))/F261))*(inputs!E$75*3.4/inputs!$E$73)</f>
        <v>7.5441346406275742E-2</v>
      </c>
      <c r="T261">
        <f>IF((((inputs!$P$12/(V261/MAX(K261:S261)))^(1/inputs!$O$12))-1)/inputs!$N$12&lt;0, 0, IF((((inputs!$P$12/(V261/MAX(K261:S261)))^(1/inputs!$O$12))-1)/inputs!$N$12&gt;inputs!$H$17, inputs!$H$17, (((inputs!$P$12/(V261/MAX(K261:S261)))^(1/inputs!$O$12))-1)/inputs!$N$12))</f>
        <v>313.89350244164149</v>
      </c>
      <c r="U261">
        <f>IF((((inputs!$P$12/(X261/MAX(K261:S261)))^(1/inputs!$O$12))-1)/inputs!$N$12&lt;0, 0, IF((((inputs!$P$12/(X261/MAX(K261:S261)))^(1/inputs!$O$12))-1)/inputs!$N$12&gt;inputs!$H$17, inputs!$H$17, (((inputs!$P$12/(X261/MAX(K261:S261)))^(1/inputs!$O$12))-1)/inputs!$N$12))</f>
        <v>13.659753496183734</v>
      </c>
      <c r="V261">
        <f>inputs!$E$78*(F261/inputs!$F$78)^(inputs!$E$84-1)</f>
        <v>4.5393729669291928E-2</v>
      </c>
      <c r="W261">
        <f>inputs!$E$85*(F261/inputs!$F$85)^(inputs!$E$84-1)</f>
        <v>2.0961988135389915</v>
      </c>
      <c r="X261">
        <f>inputs!$E$80*(F261/inputs!$F$80)^(inputs!$E$84-1)</f>
        <v>7.8275778480253475</v>
      </c>
      <c r="Y261">
        <f>inputs!$E$82*(F261/inputs!$F$82)^(inputs!$E$84-1)</f>
        <v>3.6076069368753059</v>
      </c>
      <c r="Z261">
        <f t="shared" si="30"/>
        <v>948.34165814003347</v>
      </c>
      <c r="AA261">
        <f t="shared" si="31"/>
        <v>20.536584881974026</v>
      </c>
    </row>
    <row r="262" spans="1:27" x14ac:dyDescent="0.3">
      <c r="A262" t="s">
        <v>261</v>
      </c>
      <c r="B262" t="s">
        <v>262</v>
      </c>
      <c r="C262" t="s">
        <v>73</v>
      </c>
      <c r="D262" t="s">
        <v>141</v>
      </c>
      <c r="E262">
        <v>65</v>
      </c>
      <c r="F262">
        <v>28</v>
      </c>
      <c r="G262" t="s">
        <v>142</v>
      </c>
      <c r="H262">
        <v>0.69</v>
      </c>
      <c r="I262">
        <f>MAX('Min rate concentrations'!$H$3:$H$368)</f>
        <v>47</v>
      </c>
      <c r="J262">
        <f>MAX('Min rate concentrations'!AA:AA)</f>
        <v>32.5</v>
      </c>
      <c r="K262">
        <f t="shared" si="29"/>
        <v>36.605431571482818</v>
      </c>
      <c r="L262">
        <f>((0.398*F262^0.85)/(1-H262))*J262/F262</f>
        <v>25.312266512195567</v>
      </c>
      <c r="M262">
        <f>IF((((1.18*F262^0.874)-(0.398*F262^0.85)/(1-H262)*H262)*(MAX('Min rate concentrations'!$P$3:$P$368)))/F262&gt;0, (((1.18*F262^0.874)-(0.398*F262^0.85)/(1-H262)*H262)*(MAX('Min rate concentrations'!$P$3:$P$368)))/F262, 0)</f>
        <v>3.4549098196835923E-2</v>
      </c>
      <c r="N262">
        <f>IF((((1.18*F262^0.874)-(0.398*F262^0.85)/(1-H262)*H262)*(MAX('Min rate concentrations'!$Q$3:$Q$368)))/F262&gt;0, (((1.18*F262^0.874)-(0.398*F262^0.85)/(1-H262)*H262)*(MAX('Min rate concentrations'!$Q$3:$Q$368)))/F262, 0)</f>
        <v>0.13156482231481698</v>
      </c>
      <c r="O262">
        <f>((MAX('Min rate concentrations'!$F$3:$F$368))*0.62*6.01*8*(10*F262^0.667)*0.079*0.1/F262)*inputs!$E$80/(10^(0.84+0.62*LOG10(inputs!$E$80)))</f>
        <v>8.0667491307736423</v>
      </c>
      <c r="P262">
        <f>((MAX('Min rate concentrations'!Y:Y))*0.62*6.01*8*(10*F262^0.667)*0.079*0.1/F262)*inputs!$E$80/(10^(0.84+0.62*LOG10(inputs!$E$80)))</f>
        <v>2.688916376924547</v>
      </c>
      <c r="Q262">
        <f>(inputs!$C$7*11.2*(10*F262^0.667)*0.5/F262)*inputs!$E$80/(10^(0.84+0.62*LOG10(inputs!$E$80)))</f>
        <v>1.4209198119335935</v>
      </c>
      <c r="R262">
        <f>(60*284*((F262/1000)^0.77)*3*24*(MAX('Min rate concentrations'!$R$3:$R$368))/F262)*(inputs!$E$73*3.4/inputs!$E$75)</f>
        <v>1.0668151088772147E-2</v>
      </c>
      <c r="S262">
        <f>(IF(inputs!$C$6="aerial",((0.025*0.112*inputs!$C$7/3.3)*(3*60*284*((F262/1000)^0.77))*MAX(inputs!$H$14:$H$16))/F262,((0.0083*0.112*inputs!$C$7/1)*(3*60*284*((F262/1000)^0.77))*MAX(inputs!$H$14:$H$16))/F262))*(inputs!E$75*3.4/inputs!$E$73)</f>
        <v>5.8835508687743815E-2</v>
      </c>
      <c r="T262">
        <f>IF((((inputs!$P$12/(V262/MAX(K262:S262)))^(1/inputs!$O$12))-1)/inputs!$N$12&lt;0, 0, IF((((inputs!$P$12/(V262/MAX(K262:S262)))^(1/inputs!$O$12))-1)/inputs!$N$12&gt;inputs!$H$17, inputs!$H$17, (((inputs!$P$12/(V262/MAX(K262:S262)))^(1/inputs!$O$12))-1)/inputs!$N$12))</f>
        <v>348.66396684061988</v>
      </c>
      <c r="U262">
        <f>IF((((inputs!$P$12/(X262/MAX(K262:S262)))^(1/inputs!$O$12))-1)/inputs!$N$12&lt;0, 0, IF((((inputs!$P$12/(X262/MAX(K262:S262)))^(1/inputs!$O$12))-1)/inputs!$N$12&gt;inputs!$H$17, inputs!$H$17, (((inputs!$P$12/(X262/MAX(K262:S262)))^(1/inputs!$O$12))-1)/inputs!$N$12))</f>
        <v>17.940238278814178</v>
      </c>
      <c r="V262">
        <f>inputs!$E$78*(F262/inputs!$F$78)^(inputs!$E$84-1)</f>
        <v>3.0430222605646665E-2</v>
      </c>
      <c r="W262">
        <f>inputs!$E$85*(F262/inputs!$F$85)^(inputs!$E$84-1)</f>
        <v>1.405211622539033</v>
      </c>
      <c r="X262">
        <f>inputs!$E$80*(F262/inputs!$F$80)^(inputs!$E$84-1)</f>
        <v>5.2473092234052494</v>
      </c>
      <c r="Y262">
        <f>inputs!$E$82*(F262/inputs!$F$82)^(inputs!$E$84-1)</f>
        <v>2.4184019018171825</v>
      </c>
      <c r="Z262">
        <f t="shared" si="30"/>
        <v>1202.930127914683</v>
      </c>
      <c r="AA262">
        <f t="shared" si="31"/>
        <v>26.049764309052332</v>
      </c>
    </row>
    <row r="263" spans="1:27" x14ac:dyDescent="0.3">
      <c r="A263" t="s">
        <v>261</v>
      </c>
      <c r="B263" t="s">
        <v>262</v>
      </c>
      <c r="C263" t="s">
        <v>73</v>
      </c>
      <c r="D263" t="s">
        <v>141</v>
      </c>
      <c r="E263">
        <v>65</v>
      </c>
      <c r="F263">
        <v>28</v>
      </c>
      <c r="G263" t="s">
        <v>153</v>
      </c>
      <c r="H263">
        <v>0.7</v>
      </c>
      <c r="I263">
        <f>MAX('Min rate concentrations'!$E$3:$E$368)</f>
        <v>55</v>
      </c>
      <c r="J263">
        <f>MAX('Min rate concentrations'!X:X)</f>
        <v>18</v>
      </c>
      <c r="K263">
        <f t="shared" si="29"/>
        <v>44.264014772608661</v>
      </c>
      <c r="M263">
        <f>IF((((1.18*F263^0.874)-(0.398*F263^0.85)/(1-H263)*H263)*(MAX('Min rate concentrations'!$P$3:$P$368)))/F263&gt;0, (((1.18*F263^0.874)-(0.398*F263^0.85)/(1-H263)*H263)*(MAX('Min rate concentrations'!$P$3:$P$368)))/F263, 0)</f>
        <v>3.078086676822708E-2</v>
      </c>
      <c r="N263">
        <f>IF((((1.18*F263^0.874)-(0.398*F263^0.85)/(1-H263)*H263)*(MAX('Min rate concentrations'!$Q$3:$Q$368)))/F263&gt;0, (((1.18*F263^0.874)-(0.398*F263^0.85)/(1-H263)*H263)*(MAX('Min rate concentrations'!$Q$3:$Q$368)))/F263, 0)</f>
        <v>0.11721519456124987</v>
      </c>
      <c r="O263">
        <f>((MAX('Min rate concentrations'!$F$3:$F$368))*0.62*6.01*8*(10*F263^0.667)*0.079*0.1/F263)*inputs!$E$80/(10^(0.84+0.62*LOG10(inputs!$E$80)))</f>
        <v>8.0667491307736423</v>
      </c>
      <c r="P263">
        <f>((MAX('Min rate concentrations'!Y:Y))*0.62*6.01*8*(10*F263^0.667)*0.079*0.1/F263)*inputs!$E$80/(10^(0.84+0.62*LOG10(inputs!$E$80)))</f>
        <v>2.688916376924547</v>
      </c>
      <c r="Q263">
        <f>(inputs!$C$7*11.2*(10*F263^0.667)*0.5/F263)*inputs!$E$80/(10^(0.84+0.62*LOG10(inputs!$E$80)))</f>
        <v>1.4209198119335935</v>
      </c>
      <c r="R263">
        <f>(60*284*((F263/1000)^0.77)*3*24*(MAX('Min rate concentrations'!$R$3:$R$368))/F263)*(inputs!$E$73*3.4/inputs!$E$75)</f>
        <v>1.0668151088772147E-2</v>
      </c>
      <c r="S263">
        <f>(IF(inputs!$C$6="aerial",((0.025*0.112*inputs!$C$7/3.3)*(3*60*284*((F263/1000)^0.77))*MAX(inputs!$H$14:$H$16))/F263,((0.0083*0.112*inputs!$C$7/1)*(3*60*284*((F263/1000)^0.77))*MAX(inputs!$H$14:$H$16))/F263))*(inputs!E$75*3.4/inputs!$E$73)</f>
        <v>5.8835508687743815E-2</v>
      </c>
      <c r="T263">
        <f>IF((((inputs!$P$12/(V263/MAX(K263:S263)))^(1/inputs!$O$12))-1)/inputs!$N$12&lt;0, 0, IF((((inputs!$P$12/(V263/MAX(K263:S263)))^(1/inputs!$O$12))-1)/inputs!$N$12&gt;inputs!$H$17, inputs!$H$17, (((inputs!$P$12/(V263/MAX(K263:S263)))^(1/inputs!$O$12))-1)/inputs!$N$12))</f>
        <v>378.96205095583338</v>
      </c>
      <c r="U263">
        <f>IF((((inputs!$P$12/(X263/MAX(K263:S263)))^(1/inputs!$O$12))-1)/inputs!$N$12&lt;0, 0, IF((((inputs!$P$12/(X263/MAX(K263:S263)))^(1/inputs!$O$12))-1)/inputs!$N$12&gt;inputs!$H$17, inputs!$H$17, (((inputs!$P$12/(X263/MAX(K263:S263)))^(1/inputs!$O$12))-1)/inputs!$N$12))</f>
        <v>21.670142099191068</v>
      </c>
      <c r="V263">
        <f>inputs!$E$78*(F263/inputs!$F$78)^(inputs!$E$84-1)</f>
        <v>3.0430222605646665E-2</v>
      </c>
      <c r="W263">
        <f>inputs!$E$85*(F263/inputs!$F$85)^(inputs!$E$84-1)</f>
        <v>1.405211622539033</v>
      </c>
      <c r="X263">
        <f>inputs!$E$80*(F263/inputs!$F$80)^(inputs!$E$84-1)</f>
        <v>5.2473092234052494</v>
      </c>
      <c r="Y263">
        <f>inputs!$E$82*(F263/inputs!$F$82)^(inputs!$E$84-1)</f>
        <v>2.4184019018171825</v>
      </c>
      <c r="Z263">
        <f t="shared" si="30"/>
        <v>1454.6069986486061</v>
      </c>
      <c r="AA263">
        <f t="shared" si="31"/>
        <v>31.499892302790233</v>
      </c>
    </row>
    <row r="264" spans="1:27" x14ac:dyDescent="0.3">
      <c r="A264" t="s">
        <v>297</v>
      </c>
      <c r="B264" t="s">
        <v>298</v>
      </c>
      <c r="C264" t="s">
        <v>73</v>
      </c>
      <c r="D264" t="s">
        <v>141</v>
      </c>
      <c r="E264">
        <v>4136</v>
      </c>
      <c r="F264">
        <v>11.5</v>
      </c>
      <c r="G264" t="s">
        <v>142</v>
      </c>
      <c r="H264">
        <v>0.69</v>
      </c>
      <c r="I264">
        <f>MAX('Min rate concentrations'!$H$3:$H$368)</f>
        <v>47</v>
      </c>
      <c r="J264">
        <f>MAX('Min rate concentrations'!AA:AA)</f>
        <v>32.5</v>
      </c>
      <c r="K264">
        <f t="shared" si="29"/>
        <v>41.832571317082817</v>
      </c>
      <c r="L264">
        <f>((0.398*F264^0.85)/(1-H264))*J264/F264</f>
        <v>28.92677803840833</v>
      </c>
      <c r="M264">
        <f>IF((((1.18*F264^0.874)-(0.398*F264^0.85)/(1-H264)*H264)*(MAX('Min rate concentrations'!$P$3:$P$368)))/F264&gt;0, (((1.18*F264^0.874)-(0.398*F264^0.85)/(1-H264)*H264)*(MAX('Min rate concentrations'!$P$3:$P$368)))/F264, 0)</f>
        <v>3.6764767479370179E-2</v>
      </c>
      <c r="N264">
        <f>IF((((1.18*F264^0.874)-(0.398*F264^0.85)/(1-H264)*H264)*(MAX('Min rate concentrations'!$Q$3:$Q$368)))/F264&gt;0, (((1.18*F264^0.874)-(0.398*F264^0.85)/(1-H264)*H264)*(MAX('Min rate concentrations'!$Q$3:$Q$368)))/F264, 0)</f>
        <v>0.14000220999435162</v>
      </c>
      <c r="O264">
        <f>((MAX('Min rate concentrations'!$F$3:$F$368))*0.62*6.01*8*(10*F264^0.667)*0.079*0.1/F264)*inputs!$E$80/(10^(0.84+0.62*LOG10(inputs!$E$80)))</f>
        <v>10.849002132214297</v>
      </c>
      <c r="P264">
        <f>((MAX('Min rate concentrations'!Y:Y))*0.62*6.01*8*(10*F264^0.667)*0.079*0.1/F264)*inputs!$E$80/(10^(0.84+0.62*LOG10(inputs!$E$80)))</f>
        <v>3.6163340440714316</v>
      </c>
      <c r="Q264">
        <f>(inputs!$C$7*11.2*(10*F264^0.667)*0.5/F264)*inputs!$E$80/(10^(0.84+0.62*LOG10(inputs!$E$80)))</f>
        <v>1.9110005554238256</v>
      </c>
      <c r="R264">
        <f>(60*284*((F264/1000)^0.77)*3*24*(MAX('Min rate concentrations'!$R$3:$R$368))/F264)*(inputs!$E$73*3.4/inputs!$E$75)</f>
        <v>1.309106567809051E-2</v>
      </c>
      <c r="S264">
        <f>(IF(inputs!$C$6="aerial",((0.025*0.112*inputs!$C$7/3.3)*(3*60*284*((F264/1000)^0.77))*MAX(inputs!$H$14:$H$16))/F264,((0.0083*0.112*inputs!$C$7/1)*(3*60*284*((F264/1000)^0.77))*MAX(inputs!$H$14:$H$16))/F264))*(inputs!E$75*3.4/inputs!$E$73)</f>
        <v>7.2198031507610352E-2</v>
      </c>
      <c r="T264">
        <f>IF((((inputs!$P$12/(V264/MAX(K264:S264)))^(1/inputs!$O$12))-1)/inputs!$N$12&lt;0, 0, IF((((inputs!$P$12/(V264/MAX(K264:S264)))^(1/inputs!$O$12))-1)/inputs!$N$12&gt;inputs!$H$17, inputs!$H$17, (((inputs!$P$12/(V264/MAX(K264:S264)))^(1/inputs!$O$12))-1)/inputs!$N$12))</f>
        <v>319.79720199479164</v>
      </c>
      <c r="U264">
        <f>IF((((inputs!$P$12/(X264/MAX(K264:S264)))^(1/inputs!$O$12))-1)/inputs!$N$12&lt;0, 0, IF((((inputs!$P$12/(X264/MAX(K264:S264)))^(1/inputs!$O$12))-1)/inputs!$N$12&gt;inputs!$H$17, inputs!$H$17, (((inputs!$P$12/(X264/MAX(K264:S264)))^(1/inputs!$O$12))-1)/inputs!$N$12))</f>
        <v>14.38653976537211</v>
      </c>
      <c r="V264">
        <f>inputs!$E$78*(F264/inputs!$F$78)^(inputs!$E$84-1)</f>
        <v>4.2295620435803684E-2</v>
      </c>
      <c r="W264">
        <f>inputs!$E$85*(F264/inputs!$F$85)^(inputs!$E$84-1)</f>
        <v>1.9531338363545885</v>
      </c>
      <c r="X264">
        <f>inputs!$E$80*(F264/inputs!$F$80)^(inputs!$E$84-1)</f>
        <v>7.2933478699316909</v>
      </c>
      <c r="Y264">
        <f>inputs!$E$82*(F264/inputs!$F$82)^(inputs!$E$84-1)</f>
        <v>3.3613887820033455</v>
      </c>
      <c r="Z264">
        <f t="shared" si="30"/>
        <v>989.05207882164336</v>
      </c>
      <c r="AA264">
        <f t="shared" si="31"/>
        <v>21.41817961392799</v>
      </c>
    </row>
    <row r="265" spans="1:27" x14ac:dyDescent="0.3">
      <c r="A265" t="s">
        <v>297</v>
      </c>
      <c r="B265" t="s">
        <v>298</v>
      </c>
      <c r="C265" t="s">
        <v>73</v>
      </c>
      <c r="D265" t="s">
        <v>141</v>
      </c>
      <c r="E265">
        <v>4136</v>
      </c>
      <c r="F265">
        <v>11.5</v>
      </c>
      <c r="G265" t="s">
        <v>152</v>
      </c>
      <c r="H265">
        <v>0.77</v>
      </c>
      <c r="I265">
        <f>MAX('Min rate concentrations'!$G$3:$G$368)</f>
        <v>7.5</v>
      </c>
      <c r="J265">
        <f>MAX('Min rate concentrations'!Z:Z)</f>
        <v>3.5</v>
      </c>
      <c r="K265">
        <f t="shared" si="29"/>
        <v>8.99729216579256</v>
      </c>
      <c r="L265">
        <f>((0.398*F265^0.85)/(1-H265))*J265/F265</f>
        <v>4.1987363440365275</v>
      </c>
      <c r="M265">
        <f>IF((((1.18*F265^0.874)-(0.398*F265^0.85)/(1-H265)*H265)*(MAX('Min rate concentrations'!$P$3:$P$368)))/F265&gt;0, (((1.18*F265^0.874)-(0.398*F265^0.85)/(1-H265)*H265)*(MAX('Min rate concentrations'!$P$3:$P$368)))/F265, 0)</f>
        <v>0</v>
      </c>
      <c r="N265">
        <f>IF((((1.18*F265^0.874)-(0.398*F265^0.85)/(1-H265)*H265)*(MAX('Min rate concentrations'!$Q$3:$Q$368)))/F265&gt;0, (((1.18*F265^0.874)-(0.398*F265^0.85)/(1-H265)*H265)*(MAX('Min rate concentrations'!$Q$3:$Q$368)))/F265, 0)</f>
        <v>0</v>
      </c>
      <c r="O265">
        <f>((MAX('Min rate concentrations'!$F$3:$F$368))*0.62*6.01*8*(10*F265^0.667)*0.079*0.1/F265)*inputs!$E$80/(10^(0.84+0.62*LOG10(inputs!$E$80)))</f>
        <v>10.849002132214297</v>
      </c>
      <c r="P265">
        <f>((MAX('Min rate concentrations'!Y:Y))*0.62*6.01*8*(10*F265^0.667)*0.079*0.1/F265)*inputs!$E$80/(10^(0.84+0.62*LOG10(inputs!$E$80)))</f>
        <v>3.6163340440714316</v>
      </c>
      <c r="Q265">
        <f>(inputs!$C$7*11.2*(10*F265^0.667)*0.5/F265)*inputs!$E$80/(10^(0.84+0.62*LOG10(inputs!$E$80)))</f>
        <v>1.9110005554238256</v>
      </c>
      <c r="R265">
        <f>(60*284*((F265/1000)^0.77)*3*24*(MAX('Min rate concentrations'!$R$3:$R$368))/F265)*(inputs!$E$73*3.4/inputs!$E$75)</f>
        <v>1.309106567809051E-2</v>
      </c>
      <c r="S265">
        <f>(IF(inputs!$C$6="aerial",((0.025*0.112*inputs!$C$7/3.3)*(3*60*284*((F265/1000)^0.77))*MAX(inputs!$H$14:$H$16))/F265,((0.0083*0.112*inputs!$C$7/1)*(3*60*284*((F265/1000)^0.77))*MAX(inputs!$H$14:$H$16))/F265))*(inputs!E$75*3.4/inputs!$E$73)</f>
        <v>7.2198031507610352E-2</v>
      </c>
      <c r="T265">
        <f>IF((((inputs!$P$12/(V265/MAX(K265:S265)))^(1/inputs!$O$12))-1)/inputs!$N$12&lt;0, 0, IF((((inputs!$P$12/(V265/MAX(K265:S265)))^(1/inputs!$O$12))-1)/inputs!$N$12&gt;inputs!$H$17, inputs!$H$17, (((inputs!$P$12/(V265/MAX(K265:S265)))^(1/inputs!$O$12))-1)/inputs!$N$12))</f>
        <v>172.66911534741368</v>
      </c>
      <c r="U265">
        <f>IF((((inputs!$P$12/(X265/MAX(K265:S265)))^(1/inputs!$O$12))-1)/inputs!$N$12&lt;0, 0, IF((((inputs!$P$12/(X265/MAX(K265:S265)))^(1/inputs!$O$12))-1)/inputs!$N$12&gt;inputs!$H$17, inputs!$H$17, (((inputs!$P$12/(X265/MAX(K265:S265)))^(1/inputs!$O$12))-1)/inputs!$N$12))</f>
        <v>0</v>
      </c>
      <c r="V265">
        <f>inputs!$E$78*(F265/inputs!$F$78)^(inputs!$E$84-1)</f>
        <v>4.2295620435803684E-2</v>
      </c>
      <c r="W265">
        <f>inputs!$E$85*(F265/inputs!$F$85)^(inputs!$E$84-1)</f>
        <v>1.9531338363545885</v>
      </c>
      <c r="X265">
        <f>inputs!$E$80*(F265/inputs!$F$80)^(inputs!$E$84-1)</f>
        <v>7.2933478699316909</v>
      </c>
      <c r="Y265">
        <f>inputs!$E$82*(F265/inputs!$F$82)^(inputs!$E$84-1)</f>
        <v>3.3613887820033455</v>
      </c>
      <c r="Z265">
        <f t="shared" si="30"/>
        <v>256.50414913952898</v>
      </c>
      <c r="AA265">
        <f t="shared" si="31"/>
        <v>5.5546639612077646</v>
      </c>
    </row>
    <row r="266" spans="1:27" x14ac:dyDescent="0.3">
      <c r="A266" t="s">
        <v>297</v>
      </c>
      <c r="B266" t="s">
        <v>298</v>
      </c>
      <c r="C266" t="s">
        <v>73</v>
      </c>
      <c r="D266" t="s">
        <v>141</v>
      </c>
      <c r="E266">
        <v>4136</v>
      </c>
      <c r="F266">
        <v>11.5</v>
      </c>
      <c r="G266" t="s">
        <v>153</v>
      </c>
      <c r="H266">
        <v>0.7</v>
      </c>
      <c r="I266">
        <f>MAX('Min rate concentrations'!$E$3:$E$368)</f>
        <v>55</v>
      </c>
      <c r="J266">
        <f>MAX('Min rate concentrations'!X:X)</f>
        <v>18</v>
      </c>
      <c r="K266">
        <f t="shared" si="29"/>
        <v>50.584775954344828</v>
      </c>
      <c r="M266">
        <f>IF((((1.18*F266^0.874)-(0.398*F266^0.85)/(1-H266)*H266)*(MAX('Min rate concentrations'!$P$3:$P$368)))/F266&gt;0, (((1.18*F266^0.874)-(0.398*F266^0.85)/(1-H266)*H266)*(MAX('Min rate concentrations'!$P$3:$P$368)))/F266, 0)</f>
        <v>3.2458444531948454E-2</v>
      </c>
      <c r="N266">
        <f>IF((((1.18*F266^0.874)-(0.398*F266^0.85)/(1-H266)*H266)*(MAX('Min rate concentrations'!$Q$3:$Q$368)))/F266&gt;0, (((1.18*F266^0.874)-(0.398*F266^0.85)/(1-H266)*H266)*(MAX('Min rate concentrations'!$Q$3:$Q$368)))/F266, 0)</f>
        <v>0.12360350082458103</v>
      </c>
      <c r="O266">
        <f>((MAX('Min rate concentrations'!$F$3:$F$368))*0.62*6.01*8*(10*F266^0.667)*0.079*0.1/F266)*inputs!$E$80/(10^(0.84+0.62*LOG10(inputs!$E$80)))</f>
        <v>10.849002132214297</v>
      </c>
      <c r="P266">
        <f>((MAX('Min rate concentrations'!Y:Y))*0.62*6.01*8*(10*F266^0.667)*0.079*0.1/F266)*inputs!$E$80/(10^(0.84+0.62*LOG10(inputs!$E$80)))</f>
        <v>3.6163340440714316</v>
      </c>
      <c r="Q266">
        <f>(inputs!$C$7*11.2*(10*F266^0.667)*0.5/F266)*inputs!$E$80/(10^(0.84+0.62*LOG10(inputs!$E$80)))</f>
        <v>1.9110005554238256</v>
      </c>
      <c r="R266">
        <f>(60*284*((F266/1000)^0.77)*3*24*(MAX('Min rate concentrations'!$R$3:$R$368))/F266)*(inputs!$E$73*3.4/inputs!$E$75)</f>
        <v>1.309106567809051E-2</v>
      </c>
      <c r="S266">
        <f>(IF(inputs!$C$6="aerial",((0.025*0.112*inputs!$C$7/3.3)*(3*60*284*((F266/1000)^0.77))*MAX(inputs!$H$14:$H$16))/F266,((0.0083*0.112*inputs!$C$7/1)*(3*60*284*((F266/1000)^0.77))*MAX(inputs!$H$14:$H$16))/F266))*(inputs!E$75*3.4/inputs!$E$73)</f>
        <v>7.2198031507610352E-2</v>
      </c>
      <c r="T266">
        <f>IF((((inputs!$P$12/(V266/MAX(K266:S266)))^(1/inputs!$O$12))-1)/inputs!$N$12&lt;0, 0, IF((((inputs!$P$12/(V266/MAX(K266:S266)))^(1/inputs!$O$12))-1)/inputs!$N$12&gt;inputs!$H$17, inputs!$H$17, (((inputs!$P$12/(V266/MAX(K266:S266)))^(1/inputs!$O$12))-1)/inputs!$N$12))</f>
        <v>347.77631910909548</v>
      </c>
      <c r="U266">
        <f>IF((((inputs!$P$12/(X266/MAX(K266:S266)))^(1/inputs!$O$12))-1)/inputs!$N$12&lt;0, 0, IF((((inputs!$P$12/(X266/MAX(K266:S266)))^(1/inputs!$O$12))-1)/inputs!$N$12&gt;inputs!$H$17, inputs!$H$17, (((inputs!$P$12/(X266/MAX(K266:S266)))^(1/inputs!$O$12))-1)/inputs!$N$12))</f>
        <v>17.830962700451789</v>
      </c>
      <c r="V266">
        <f>inputs!$E$78*(F266/inputs!$F$78)^(inputs!$E$84-1)</f>
        <v>4.2295620435803684E-2</v>
      </c>
      <c r="W266">
        <f>inputs!$E$85*(F266/inputs!$F$85)^(inputs!$E$84-1)</f>
        <v>1.9531338363545885</v>
      </c>
      <c r="X266">
        <f>inputs!$E$80*(F266/inputs!$F$80)^(inputs!$E$84-1)</f>
        <v>7.2933478699316909</v>
      </c>
      <c r="Y266">
        <f>inputs!$E$82*(F266/inputs!$F$82)^(inputs!$E$84-1)</f>
        <v>3.3613887820033455</v>
      </c>
      <c r="Z266">
        <f t="shared" si="30"/>
        <v>1195.9814144616328</v>
      </c>
      <c r="AA266">
        <f t="shared" si="31"/>
        <v>25.899288114714345</v>
      </c>
    </row>
    <row r="267" spans="1:27" x14ac:dyDescent="0.3">
      <c r="A267" t="s">
        <v>368</v>
      </c>
      <c r="B267" t="s">
        <v>369</v>
      </c>
      <c r="C267" t="s">
        <v>73</v>
      </c>
      <c r="D267" t="s">
        <v>141</v>
      </c>
      <c r="E267">
        <v>93</v>
      </c>
      <c r="F267">
        <v>5.0999999999999996</v>
      </c>
      <c r="G267" t="s">
        <v>142</v>
      </c>
      <c r="H267">
        <v>0.69</v>
      </c>
      <c r="I267">
        <f>MAX('Min rate concentrations'!$H$3:$H$368)</f>
        <v>47</v>
      </c>
      <c r="J267">
        <f>MAX('Min rate concentrations'!AA:AA)</f>
        <v>32.5</v>
      </c>
      <c r="K267">
        <f t="shared" si="29"/>
        <v>47.25891099077343</v>
      </c>
      <c r="L267">
        <f>((0.398*F267^0.85)/(1-H267))*J267/F267</f>
        <v>32.679034195747583</v>
      </c>
      <c r="M267">
        <f>IF((((1.18*F267^0.874)-(0.398*F267^0.85)/(1-H267)*H267)*(MAX('Min rate concentrations'!$P$3:$P$368)))/F267&gt;0, (((1.18*F267^0.874)-(0.398*F267^0.85)/(1-H267)*H267)*(MAX('Min rate concentrations'!$P$3:$P$368)))/F267, 0)</f>
        <v>3.8784938264384575E-2</v>
      </c>
      <c r="N267">
        <f>IF((((1.18*F267^0.874)-(0.398*F267^0.85)/(1-H267)*H267)*(MAX('Min rate concentrations'!$Q$3:$Q$368)))/F267&gt;0, (((1.18*F267^0.874)-(0.398*F267^0.85)/(1-H267)*H267)*(MAX('Min rate concentrations'!$Q$3:$Q$368)))/F267, 0)</f>
        <v>0.14769512889086697</v>
      </c>
      <c r="O267">
        <f>((MAX('Min rate concentrations'!$F$3:$F$368))*0.62*6.01*8*(10*F267^0.667)*0.079*0.1/F267)*inputs!$E$80/(10^(0.84+0.62*LOG10(inputs!$E$80)))</f>
        <v>14.222675674289524</v>
      </c>
      <c r="P267">
        <f>((MAX('Min rate concentrations'!Y:Y))*0.62*6.01*8*(10*F267^0.667)*0.079*0.1/F267)*inputs!$E$80/(10^(0.84+0.62*LOG10(inputs!$E$80)))</f>
        <v>4.7408918914298415</v>
      </c>
      <c r="Q267">
        <f>(inputs!$C$7*11.2*(10*F267^0.667)*0.5/F267)*inputs!$E$80/(10^(0.84+0.62*LOG10(inputs!$E$80)))</f>
        <v>2.5052572376656759</v>
      </c>
      <c r="R267">
        <f>(60*284*((F267/1000)^0.77)*3*24*(MAX('Min rate concentrations'!$R$3:$R$368))/F267)*(inputs!$E$73*3.4/inputs!$E$75)</f>
        <v>1.5783174731515144E-2</v>
      </c>
      <c r="S267">
        <f>(IF(inputs!$C$6="aerial",((0.025*0.112*inputs!$C$7/3.3)*(3*60*284*((F267/1000)^0.77))*MAX(inputs!$H$14:$H$16))/F267,((0.0083*0.112*inputs!$C$7/1)*(3*60*284*((F267/1000)^0.77))*MAX(inputs!$H$14:$H$16))/F267))*(inputs!E$75*3.4/inputs!$E$73)</f>
        <v>8.7045178335875689E-2</v>
      </c>
      <c r="T267">
        <f>IF((((inputs!$P$12/(V267/MAX(K267:S267)))^(1/inputs!$O$12))-1)/inputs!$N$12&lt;0, 0, IF((((inputs!$P$12/(V267/MAX(K267:S267)))^(1/inputs!$O$12))-1)/inputs!$N$12&gt;inputs!$H$17, inputs!$H$17, (((inputs!$P$12/(V267/MAX(K267:S267)))^(1/inputs!$O$12))-1)/inputs!$N$12))</f>
        <v>295.3563510364408</v>
      </c>
      <c r="U267">
        <f>IF((((inputs!$P$12/(X267/MAX(K267:S267)))^(1/inputs!$O$12))-1)/inputs!$N$12&lt;0, 0, IF((((inputs!$P$12/(X267/MAX(K267:S267)))^(1/inputs!$O$12))-1)/inputs!$N$12&gt;inputs!$H$17, inputs!$H$17, (((inputs!$P$12/(X267/MAX(K267:S267)))^(1/inputs!$O$12))-1)/inputs!$N$12))</f>
        <v>11.377701879248473</v>
      </c>
      <c r="V267">
        <f>inputs!$E$78*(F267/inputs!$F$78)^(inputs!$E$84-1)</f>
        <v>5.7141631454811805E-2</v>
      </c>
      <c r="W267">
        <f>inputs!$E$85*(F267/inputs!$F$85)^(inputs!$E$84-1)</f>
        <v>2.6386952764599139</v>
      </c>
      <c r="X267">
        <f>inputs!$E$80*(F267/inputs!$F$80)^(inputs!$E$84-1)</f>
        <v>9.8533557791857547</v>
      </c>
      <c r="Y267">
        <f>inputs!$E$82*(F267/inputs!$F$82)^(inputs!$E$84-1)</f>
        <v>4.5412559735139908</v>
      </c>
      <c r="Z267">
        <f t="shared" si="30"/>
        <v>827.04868215298097</v>
      </c>
      <c r="AA267">
        <f t="shared" si="31"/>
        <v>17.909953988387855</v>
      </c>
    </row>
    <row r="268" spans="1:27" x14ac:dyDescent="0.3">
      <c r="A268" t="s">
        <v>370</v>
      </c>
      <c r="B268" t="s">
        <v>371</v>
      </c>
      <c r="C268" t="s">
        <v>73</v>
      </c>
      <c r="D268" t="s">
        <v>141</v>
      </c>
      <c r="E268">
        <v>138</v>
      </c>
      <c r="F268">
        <v>9</v>
      </c>
      <c r="G268" t="s">
        <v>142</v>
      </c>
      <c r="H268">
        <v>0.69</v>
      </c>
      <c r="I268">
        <f>MAX('Min rate concentrations'!$H$3:$H$368)</f>
        <v>47</v>
      </c>
      <c r="J268">
        <f>MAX('Min rate concentrations'!AA:AA)</f>
        <v>32.5</v>
      </c>
      <c r="K268">
        <f t="shared" si="29"/>
        <v>43.399313495919074</v>
      </c>
      <c r="L268">
        <f>((0.398*F268^0.85)/(1-H268))*J268/F268</f>
        <v>30.010163587603611</v>
      </c>
      <c r="M268">
        <f>IF((((1.18*F268^0.874)-(0.398*F268^0.85)/(1-H268)*H268)*(MAX('Min rate concentrations'!$P$3:$P$368)))/F268&gt;0, (((1.18*F268^0.874)-(0.398*F268^0.85)/(1-H268)*H268)*(MAX('Min rate concentrations'!$P$3:$P$368)))/F268, 0)</f>
        <v>3.7375526395555858E-2</v>
      </c>
      <c r="N268">
        <f>IF((((1.18*F268^0.874)-(0.398*F268^0.85)/(1-H268)*H268)*(MAX('Min rate concentrations'!$Q$3:$Q$368)))/F268&gt;0, (((1.18*F268^0.874)-(0.398*F268^0.85)/(1-H268)*H268)*(MAX('Min rate concentrations'!$Q$3:$Q$368)))/F268, 0)</f>
        <v>0.14232801276429247</v>
      </c>
      <c r="O268">
        <f>((MAX('Min rate concentrations'!$F$3:$F$368))*0.62*6.01*8*(10*F268^0.667)*0.079*0.1/F268)*inputs!$E$80/(10^(0.84+0.62*LOG10(inputs!$E$80)))</f>
        <v>11.771706345585295</v>
      </c>
      <c r="P268">
        <f>((MAX('Min rate concentrations'!Y:Y))*0.62*6.01*8*(10*F268^0.667)*0.079*0.1/F268)*inputs!$E$80/(10^(0.84+0.62*LOG10(inputs!$E$80)))</f>
        <v>3.923902115195097</v>
      </c>
      <c r="Q268">
        <f>(inputs!$C$7*11.2*(10*F268^0.667)*0.5/F268)*inputs!$E$80/(10^(0.84+0.62*LOG10(inputs!$E$80)))</f>
        <v>2.0735305506026531</v>
      </c>
      <c r="R268">
        <f>(60*284*((F268/1000)^0.77)*3*24*(MAX('Min rate concentrations'!$R$3:$R$368))/F268)*(inputs!$E$73*3.4/inputs!$E$75)</f>
        <v>1.3850317458672915E-2</v>
      </c>
      <c r="S268">
        <f>(IF(inputs!$C$6="aerial",((0.025*0.112*inputs!$C$7/3.3)*(3*60*284*((F268/1000)^0.77))*MAX(inputs!$H$14:$H$16))/F268,((0.0083*0.112*inputs!$C$7/1)*(3*60*284*((F268/1000)^0.77))*MAX(inputs!$H$14:$H$16))/F268))*(inputs!E$75*3.4/inputs!$E$73)</f>
        <v>7.6385351724667955E-2</v>
      </c>
      <c r="T268">
        <f>IF((((inputs!$P$12/(V268/MAX(K268:S268)))^(1/inputs!$O$12))-1)/inputs!$N$12&lt;0, 0, IF((((inputs!$P$12/(V268/MAX(K268:S268)))^(1/inputs!$O$12))-1)/inputs!$N$12&gt;inputs!$H$17, inputs!$H$17, (((inputs!$P$12/(V268/MAX(K268:S268)))^(1/inputs!$O$12))-1)/inputs!$N$12))</f>
        <v>312.24104007368601</v>
      </c>
      <c r="U268">
        <f>IF((((inputs!$P$12/(X268/MAX(K268:S268)))^(1/inputs!$O$12))-1)/inputs!$N$12&lt;0, 0, IF((((inputs!$P$12/(X268/MAX(K268:S268)))^(1/inputs!$O$12))-1)/inputs!$N$12&gt;inputs!$H$17, inputs!$H$17, (((inputs!$P$12/(X268/MAX(K268:S268)))^(1/inputs!$O$12))-1)/inputs!$N$12))</f>
        <v>13.456323943482374</v>
      </c>
      <c r="V268">
        <f>inputs!$E$78*(F268/inputs!$F$78)^(inputs!$E$84-1)</f>
        <v>4.6310969457897193E-2</v>
      </c>
      <c r="W268">
        <f>inputs!$E$85*(F268/inputs!$F$85)^(inputs!$E$84-1)</f>
        <v>2.138555257272801</v>
      </c>
      <c r="X268">
        <f>inputs!$E$80*(F268/inputs!$F$80)^(inputs!$E$84-1)</f>
        <v>7.9857443151326102</v>
      </c>
      <c r="Y268">
        <f>inputs!$E$82*(F268/inputs!$F$82)^(inputs!$E$84-1)</f>
        <v>3.680503362180251</v>
      </c>
      <c r="Z268">
        <f t="shared" si="30"/>
        <v>937.12815784119573</v>
      </c>
      <c r="AA268">
        <f t="shared" si="31"/>
        <v>20.293753620967539</v>
      </c>
    </row>
    <row r="269" spans="1:27" x14ac:dyDescent="0.3">
      <c r="A269" t="s">
        <v>162</v>
      </c>
      <c r="B269" t="s">
        <v>163</v>
      </c>
      <c r="C269" t="s">
        <v>73</v>
      </c>
      <c r="D269" t="s">
        <v>141</v>
      </c>
      <c r="E269">
        <v>85</v>
      </c>
      <c r="F269">
        <v>19.8</v>
      </c>
      <c r="G269" t="s">
        <v>142</v>
      </c>
      <c r="H269">
        <v>0.69</v>
      </c>
      <c r="I269">
        <f>MAX('Min rate concentrations'!$H$3:$H$368)</f>
        <v>47</v>
      </c>
      <c r="J269">
        <f>MAX('Min rate concentrations'!AA:AA)</f>
        <v>32.5</v>
      </c>
      <c r="K269">
        <f t="shared" si="29"/>
        <v>38.558440245532616</v>
      </c>
      <c r="L269">
        <f>((0.398*F269^0.85)/(1-H269))*J269/F269</f>
        <v>26.662751233612983</v>
      </c>
      <c r="M269">
        <f>IF((((1.18*F269^0.874)-(0.398*F269^0.85)/(1-H269)*H269)*(MAX('Min rate concentrations'!$P$3:$P$368)))/F269&gt;0, (((1.18*F269^0.874)-(0.398*F269^0.85)/(1-H269)*H269)*(MAX('Min rate concentrations'!$P$3:$P$368)))/F269, 0)</f>
        <v>3.5410504368202207E-2</v>
      </c>
      <c r="N269">
        <f>IF((((1.18*F269^0.874)-(0.398*F269^0.85)/(1-H269)*H269)*(MAX('Min rate concentrations'!$Q$3:$Q$368)))/F269&gt;0, (((1.18*F269^0.874)-(0.398*F269^0.85)/(1-H269)*H269)*(MAX('Min rate concentrations'!$Q$3:$Q$368)))/F269, 0)</f>
        <v>0.13484510330018493</v>
      </c>
      <c r="O269">
        <f>((MAX('Min rate concentrations'!$F$3:$F$368))*0.62*6.01*8*(10*F269^0.667)*0.079*0.1/F269)*inputs!$E$80/(10^(0.84+0.62*LOG10(inputs!$E$80)))</f>
        <v>9.0534199730357106</v>
      </c>
      <c r="P269">
        <f>((MAX('Min rate concentrations'!Y:Y))*0.62*6.01*8*(10*F269^0.667)*0.079*0.1/F269)*inputs!$E$80/(10^(0.84+0.62*LOG10(inputs!$E$80)))</f>
        <v>3.01780665767857</v>
      </c>
      <c r="Q269">
        <f>(inputs!$C$7*11.2*(10*F269^0.667)*0.5/F269)*inputs!$E$80/(10^(0.84+0.62*LOG10(inputs!$E$80)))</f>
        <v>1.5947172270879835</v>
      </c>
      <c r="R269">
        <f>(60*284*((F269/1000)^0.77)*3*24*(MAX('Min rate concentrations'!$R$3:$R$368))/F269)*(inputs!$E$73*3.4/inputs!$E$75)</f>
        <v>1.1553205843827736E-2</v>
      </c>
      <c r="S269">
        <f>(IF(inputs!$C$6="aerial",((0.025*0.112*inputs!$C$7/3.3)*(3*60*284*((F269/1000)^0.77))*MAX(inputs!$H$14:$H$16))/F269,((0.0083*0.112*inputs!$C$7/1)*(3*60*284*((F269/1000)^0.77))*MAX(inputs!$H$14:$H$16))/F269))*(inputs!E$75*3.4/inputs!$E$73)</f>
        <v>6.3716640038143105E-2</v>
      </c>
      <c r="T269">
        <f>IF((((inputs!$P$12/(V269/MAX(K269:S269)))^(1/inputs!$O$12))-1)/inputs!$N$12&lt;0, 0, IF((((inputs!$P$12/(V269/MAX(K269:S269)))^(1/inputs!$O$12))-1)/inputs!$N$12&gt;inputs!$H$17, inputs!$H$17, (((inputs!$P$12/(V269/MAX(K269:S269)))^(1/inputs!$O$12))-1)/inputs!$N$12))</f>
        <v>337.14882590851443</v>
      </c>
      <c r="U269">
        <f>IF((((inputs!$P$12/(X269/MAX(K269:S269)))^(1/inputs!$O$12))-1)/inputs!$N$12&lt;0, 0, IF((((inputs!$P$12/(X269/MAX(K269:S269)))^(1/inputs!$O$12))-1)/inputs!$N$12&gt;inputs!$H$17, inputs!$H$17, (((inputs!$P$12/(X269/MAX(K269:S269)))^(1/inputs!$O$12))-1)/inputs!$N$12))</f>
        <v>16.522644744136787</v>
      </c>
      <c r="V269">
        <f>inputs!$E$78*(F269/inputs!$F$78)^(inputs!$E$84-1)</f>
        <v>3.4592940554601485E-2</v>
      </c>
      <c r="W269">
        <f>inputs!$E$85*(F269/inputs!$F$85)^(inputs!$E$84-1)</f>
        <v>1.5974382690223126</v>
      </c>
      <c r="X269">
        <f>inputs!$E$80*(F269/inputs!$F$80)^(inputs!$E$84-1)</f>
        <v>5.9651175868554702</v>
      </c>
      <c r="Y269">
        <f>inputs!$E$82*(F269/inputs!$F$82)^(inputs!$E$84-1)</f>
        <v>2.7492284335499075</v>
      </c>
      <c r="Z269">
        <f t="shared" si="30"/>
        <v>1114.6332062945614</v>
      </c>
      <c r="AA269">
        <f t="shared" si="31"/>
        <v>24.137671541531127</v>
      </c>
    </row>
    <row r="270" spans="1:27" x14ac:dyDescent="0.3">
      <c r="A270" t="s">
        <v>162</v>
      </c>
      <c r="B270" t="s">
        <v>163</v>
      </c>
      <c r="C270" t="s">
        <v>73</v>
      </c>
      <c r="D270" t="s">
        <v>141</v>
      </c>
      <c r="E270">
        <v>85</v>
      </c>
      <c r="F270">
        <v>19.8</v>
      </c>
      <c r="G270" t="s">
        <v>164</v>
      </c>
      <c r="H270">
        <v>0.78</v>
      </c>
      <c r="I270">
        <f>inputs!$C$65*(inputs!$C$62/1000)</f>
        <v>0.82000000000000006</v>
      </c>
      <c r="J270">
        <f>inputs!$C$65*(inputs!$C$61/1000)</f>
        <v>0.25</v>
      </c>
      <c r="K270">
        <f t="shared" si="29"/>
        <v>0.94792606483698205</v>
      </c>
      <c r="L270">
        <f>((0.398*F270^0.85)/(1-H270))*J270/F270</f>
        <v>0.28900184903566528</v>
      </c>
      <c r="M270">
        <f>IF((((1.18*F270^0.874)-(0.398*F270^0.85)/(1-H270)*H270)*(MAX('Min rate concentrations'!$P$3:$P$368)))/F270&gt;0, (((1.18*F270^0.874)-(0.398*F270^0.85)/(1-H270)*H270)*(MAX('Min rate concentrations'!$P$3:$P$368)))/F270, 0)</f>
        <v>0</v>
      </c>
      <c r="N270">
        <f>IF((((1.18*F270^0.874)-(0.398*F270^0.85)/(1-H270)*H270)*(MAX('Min rate concentrations'!$Q$3:$Q$368)))/F270&gt;0, (((1.18*F270^0.874)-(0.398*F270^0.85)/(1-H270)*H270)*(MAX('Min rate concentrations'!$Q$3:$Q$368)))/F270, 0)</f>
        <v>0</v>
      </c>
      <c r="O270">
        <f>((MAX('Min rate concentrations'!$F$3:$F$368))*0.62*6.01*8*(10*F270^0.667)*0.079*0.1/F270)*inputs!$E$80/(10^(0.84+0.62*LOG10(inputs!$E$80)))</f>
        <v>9.0534199730357106</v>
      </c>
      <c r="P270">
        <f>((MAX('Min rate concentrations'!Y:Y))*0.62*6.01*8*(10*F270^0.667)*0.079*0.1/F270)*inputs!$E$80/(10^(0.84+0.62*LOG10(inputs!$E$80)))</f>
        <v>3.01780665767857</v>
      </c>
      <c r="Q270">
        <f>(inputs!$C$7*11.2*(10*F270^0.667)*0.5/F270)*inputs!$E$80/(10^(0.84+0.62*LOG10(inputs!$E$80)))</f>
        <v>1.5947172270879835</v>
      </c>
      <c r="R270">
        <f>(60*284*((F270/1000)^0.77)*3*24*(MAX('Min rate concentrations'!$R$3:$R$368))/F270)*(inputs!$E$73*3.4/inputs!$E$75)</f>
        <v>1.1553205843827736E-2</v>
      </c>
      <c r="S270">
        <f>(IF(inputs!$C$6="aerial",((0.025*0.112*inputs!$C$7/3.3)*(3*60*284*((F270/1000)^0.77))*MAX(inputs!$H$14:$H$16))/F270,((0.0083*0.112*inputs!$C$7/1)*(3*60*284*((F270/1000)^0.77))*MAX(inputs!$H$14:$H$16))/F270))*(inputs!E$75*3.4/inputs!$E$73)</f>
        <v>6.3716640038143105E-2</v>
      </c>
      <c r="T270">
        <f>IF((((inputs!$P$12/(V270/MAX(K270:S270)))^(1/inputs!$O$12))-1)/inputs!$N$12&lt;0, 0, IF((((inputs!$P$12/(V270/MAX(K270:S270)))^(1/inputs!$O$12))-1)/inputs!$N$12&gt;inputs!$H$17, inputs!$H$17, (((inputs!$P$12/(V270/MAX(K270:S270)))^(1/inputs!$O$12))-1)/inputs!$N$12))</f>
        <v>174.32068920793239</v>
      </c>
      <c r="U270">
        <f>IF((((inputs!$P$12/(X270/MAX(K270:S270)))^(1/inputs!$O$12))-1)/inputs!$N$12&lt;0, 0, IF((((inputs!$P$12/(X270/MAX(K270:S270)))^(1/inputs!$O$12))-1)/inputs!$N$12&gt;inputs!$H$17, inputs!$H$17, (((inputs!$P$12/(X270/MAX(K270:S270)))^(1/inputs!$O$12))-1)/inputs!$N$12))</f>
        <v>0</v>
      </c>
      <c r="V270">
        <f>inputs!$E$78*(F270/inputs!$F$78)^(inputs!$E$84-1)</f>
        <v>3.4592940554601485E-2</v>
      </c>
      <c r="W270">
        <f>inputs!$E$85*(F270/inputs!$F$85)^(inputs!$E$84-1)</f>
        <v>1.5974382690223126</v>
      </c>
      <c r="X270">
        <f>inputs!$E$80*(F270/inputs!$F$80)^(inputs!$E$84-1)</f>
        <v>5.9651175868554702</v>
      </c>
      <c r="Y270">
        <f>inputs!$E$82*(F270/inputs!$F$82)^(inputs!$E$84-1)</f>
        <v>2.7492284335499075</v>
      </c>
      <c r="Z270">
        <f t="shared" si="30"/>
        <v>261.712934138854</v>
      </c>
      <c r="AA270">
        <f t="shared" si="31"/>
        <v>5.6674615530381134</v>
      </c>
    </row>
    <row r="271" spans="1:27" x14ac:dyDescent="0.3">
      <c r="A271" t="s">
        <v>162</v>
      </c>
      <c r="B271" t="s">
        <v>163</v>
      </c>
      <c r="C271" t="s">
        <v>73</v>
      </c>
      <c r="D271" t="s">
        <v>141</v>
      </c>
      <c r="E271">
        <v>85</v>
      </c>
      <c r="F271">
        <v>19.8</v>
      </c>
      <c r="G271" t="s">
        <v>154</v>
      </c>
      <c r="H271">
        <v>9.2999999999999999E-2</v>
      </c>
      <c r="I271">
        <f>MAX('Min rate concentrations'!$G$3:$G$368)</f>
        <v>7.5</v>
      </c>
      <c r="J271">
        <f>MAX('Min rate concentrations'!Z:Z)</f>
        <v>3.5</v>
      </c>
      <c r="K271">
        <f t="shared" si="29"/>
        <v>2.1029903016928229</v>
      </c>
      <c r="M271">
        <f>IF((((1.18*F271^0.874)-(0.398*F271^0.85)/(1-H271)*H271)*(MAX('Min rate concentrations'!$P$3:$P$368)))/F271&gt;0, (((1.18*F271^0.874)-(0.398*F271^0.85)/(1-H271)*H271)*(MAX('Min rate concentrations'!$P$3:$P$368)))/F271, 0)</f>
        <v>0.1137895177543683</v>
      </c>
      <c r="N271">
        <f>IF((((1.18*F271^0.874)-(0.398*F271^0.85)/(1-H271)*H271)*(MAX('Min rate concentrations'!$Q$3:$Q$368)))/F271&gt;0, (((1.18*F271^0.874)-(0.398*F271^0.85)/(1-H271)*H271)*(MAX('Min rate concentrations'!$Q$3:$Q$368)))/F271, 0)</f>
        <v>0.43331659771117331</v>
      </c>
      <c r="O271">
        <f>((MAX('Min rate concentrations'!$F$3:$F$368))*0.62*6.01*8*(10*F271^0.667)*0.079*0.1/F271)*inputs!$E$80/(10^(0.84+0.62*LOG10(inputs!$E$80)))</f>
        <v>9.0534199730357106</v>
      </c>
      <c r="P271">
        <f>((MAX('Min rate concentrations'!Y:Y))*0.62*6.01*8*(10*F271^0.667)*0.079*0.1/F271)*inputs!$E$80/(10^(0.84+0.62*LOG10(inputs!$E$80)))</f>
        <v>3.01780665767857</v>
      </c>
      <c r="Q271">
        <f>(inputs!$C$7*11.2*(10*F271^0.667)*0.5/F271)*inputs!$E$80/(10^(0.84+0.62*LOG10(inputs!$E$80)))</f>
        <v>1.5947172270879835</v>
      </c>
      <c r="R271">
        <f>(60*284*((F271/1000)^0.77)*3*24*(MAX('Min rate concentrations'!$R$3:$R$368))/F271)*(inputs!$E$73*3.4/inputs!$E$75)</f>
        <v>1.1553205843827736E-2</v>
      </c>
      <c r="S271">
        <f>(IF(inputs!$C$6="aerial",((0.025*0.112*inputs!$C$7/3.3)*(3*60*284*((F271/1000)^0.77))*MAX(inputs!$H$14:$H$16))/F271,((0.0083*0.112*inputs!$C$7/1)*(3*60*284*((F271/1000)^0.77))*MAX(inputs!$H$14:$H$16))/F271))*(inputs!E$75*3.4/inputs!$E$73)</f>
        <v>6.3716640038143105E-2</v>
      </c>
      <c r="T271">
        <f>IF((((inputs!$P$12/(V271/MAX(K271:S271)))^(1/inputs!$O$12))-1)/inputs!$N$12&lt;0, 0, IF((((inputs!$P$12/(V271/MAX(K271:S271)))^(1/inputs!$O$12))-1)/inputs!$N$12&gt;inputs!$H$17, inputs!$H$17, (((inputs!$P$12/(V271/MAX(K271:S271)))^(1/inputs!$O$12))-1)/inputs!$N$12))</f>
        <v>174.32068920793239</v>
      </c>
      <c r="U271">
        <f>IF((((inputs!$P$12/(X271/MAX(K271:S271)))^(1/inputs!$O$12))-1)/inputs!$N$12&lt;0, 0, IF((((inputs!$P$12/(X271/MAX(K271:S271)))^(1/inputs!$O$12))-1)/inputs!$N$12&gt;inputs!$H$17, inputs!$H$17, (((inputs!$P$12/(X271/MAX(K271:S271)))^(1/inputs!$O$12))-1)/inputs!$N$12))</f>
        <v>0</v>
      </c>
      <c r="V271">
        <f>inputs!$E$78*(F271/inputs!$F$78)^(inputs!$E$84-1)</f>
        <v>3.4592940554601485E-2</v>
      </c>
      <c r="W271">
        <f>inputs!$E$85*(F271/inputs!$F$85)^(inputs!$E$84-1)</f>
        <v>1.5974382690223126</v>
      </c>
      <c r="X271">
        <f>inputs!$E$80*(F271/inputs!$F$80)^(inputs!$E$84-1)</f>
        <v>5.9651175868554702</v>
      </c>
      <c r="Y271">
        <f>inputs!$E$82*(F271/inputs!$F$82)^(inputs!$E$84-1)</f>
        <v>2.7492284335499075</v>
      </c>
      <c r="Z271">
        <f t="shared" si="30"/>
        <v>261.712934138854</v>
      </c>
      <c r="AA271">
        <f t="shared" si="31"/>
        <v>5.6674615530381134</v>
      </c>
    </row>
    <row r="272" spans="1:27" x14ac:dyDescent="0.3">
      <c r="A272" t="s">
        <v>313</v>
      </c>
      <c r="B272" t="s">
        <v>314</v>
      </c>
      <c r="C272" t="s">
        <v>73</v>
      </c>
      <c r="D272" t="s">
        <v>141</v>
      </c>
      <c r="E272">
        <v>145</v>
      </c>
      <c r="F272">
        <v>6</v>
      </c>
      <c r="G272" t="s">
        <v>142</v>
      </c>
      <c r="H272">
        <v>0.69</v>
      </c>
      <c r="I272">
        <f>MAX('Min rate concentrations'!$H$3:$H$368)</f>
        <v>47</v>
      </c>
      <c r="J272">
        <f>MAX('Min rate concentrations'!AA:AA)</f>
        <v>32.5</v>
      </c>
      <c r="K272">
        <f t="shared" si="29"/>
        <v>46.120769921264973</v>
      </c>
      <c r="L272">
        <f>((0.398*F272^0.85)/(1-H272))*J272/F272</f>
        <v>31.892021754066203</v>
      </c>
      <c r="M272">
        <f>IF((((1.18*F272^0.874)-(0.398*F272^0.85)/(1-H272)*H272)*(MAX('Min rate concentrations'!$P$3:$P$368)))/F272&gt;0, (((1.18*F272^0.874)-(0.398*F272^0.85)/(1-H272)*H272)*(MAX('Min rate concentrations'!$P$3:$P$368)))/F272, 0)</f>
        <v>3.8382880355548828E-2</v>
      </c>
      <c r="N272">
        <f>IF((((1.18*F272^0.874)-(0.398*F272^0.85)/(1-H272)*H272)*(MAX('Min rate concentrations'!$Q$3:$Q$368)))/F272&gt;0, (((1.18*F272^0.874)-(0.398*F272^0.85)/(1-H272)*H272)*(MAX('Min rate concentrations'!$Q$3:$Q$368)))/F272, 0)</f>
        <v>0.14616407077077148</v>
      </c>
      <c r="O272">
        <f>((MAX('Min rate concentrations'!$F$3:$F$368))*0.62*6.01*8*(10*F272^0.667)*0.079*0.1/F272)*inputs!$E$80/(10^(0.84+0.62*LOG10(inputs!$E$80)))</f>
        <v>13.473418789480668</v>
      </c>
      <c r="P272">
        <f>((MAX('Min rate concentrations'!Y:Y))*0.62*6.01*8*(10*F272^0.667)*0.079*0.1/F272)*inputs!$E$80/(10^(0.84+0.62*LOG10(inputs!$E$80)))</f>
        <v>4.4911395964935545</v>
      </c>
      <c r="Q272">
        <f>(inputs!$C$7*11.2*(10*F272^0.667)*0.5/F272)*inputs!$E$80/(10^(0.84+0.62*LOG10(inputs!$E$80)))</f>
        <v>2.3732791713351999</v>
      </c>
      <c r="R272">
        <f>(60*284*((F272/1000)^0.77)*3*24*(MAX('Min rate concentrations'!$R$3:$R$368))/F272)*(inputs!$E$73*3.4/inputs!$E$75)</f>
        <v>1.5204100001785939E-2</v>
      </c>
      <c r="S272">
        <f>(IF(inputs!$C$6="aerial",((0.025*0.112*inputs!$C$7/3.3)*(3*60*284*((F272/1000)^0.77))*MAX(inputs!$H$14:$H$16))/F272,((0.0083*0.112*inputs!$C$7/1)*(3*60*284*((F272/1000)^0.77))*MAX(inputs!$H$14:$H$16))/F272))*(inputs!E$75*3.4/inputs!$E$73)</f>
        <v>8.3851545624046828E-2</v>
      </c>
      <c r="T272">
        <f>IF((((inputs!$P$12/(V272/MAX(K272:S272)))^(1/inputs!$O$12))-1)/inputs!$N$12&lt;0, 0, IF((((inputs!$P$12/(V272/MAX(K272:S272)))^(1/inputs!$O$12))-1)/inputs!$N$12&gt;inputs!$H$17, inputs!$H$17, (((inputs!$P$12/(V272/MAX(K272:S272)))^(1/inputs!$O$12))-1)/inputs!$N$12))</f>
        <v>300.1002943519656</v>
      </c>
      <c r="U272">
        <f>IF((((inputs!$P$12/(X272/MAX(K272:S272)))^(1/inputs!$O$12))-1)/inputs!$N$12&lt;0, 0, IF((((inputs!$P$12/(X272/MAX(K272:S272)))^(1/inputs!$O$12))-1)/inputs!$N$12&gt;inputs!$H$17, inputs!$H$17, (((inputs!$P$12/(X272/MAX(K272:S272)))^(1/inputs!$O$12))-1)/inputs!$N$12))</f>
        <v>11.961714129955206</v>
      </c>
      <c r="V272">
        <f>inputs!$E$78*(F272/inputs!$F$78)^(inputs!$E$84-1)</f>
        <v>5.3806858710510753E-2</v>
      </c>
      <c r="W272">
        <f>inputs!$E$85*(F272/inputs!$F$85)^(inputs!$E$84-1)</f>
        <v>2.4847016143186225</v>
      </c>
      <c r="X272">
        <f>inputs!$E$80*(F272/inputs!$F$80)^(inputs!$E$84-1)</f>
        <v>9.278316154734096</v>
      </c>
      <c r="Y272">
        <f>inputs!$E$82*(F272/inputs!$F$82)^(inputs!$E$84-1)</f>
        <v>4.2762292975195386</v>
      </c>
      <c r="Z272">
        <f t="shared" si="30"/>
        <v>857.15410686585267</v>
      </c>
      <c r="AA272">
        <f t="shared" si="31"/>
        <v>18.561894778626218</v>
      </c>
    </row>
    <row r="273" spans="1:27" x14ac:dyDescent="0.3">
      <c r="A273" t="s">
        <v>313</v>
      </c>
      <c r="B273" t="s">
        <v>314</v>
      </c>
      <c r="C273" t="s">
        <v>73</v>
      </c>
      <c r="D273" t="s">
        <v>141</v>
      </c>
      <c r="E273">
        <v>145</v>
      </c>
      <c r="F273">
        <v>6</v>
      </c>
      <c r="G273" t="s">
        <v>152</v>
      </c>
      <c r="H273">
        <v>0.77</v>
      </c>
      <c r="I273">
        <f>MAX('Min rate concentrations'!$G$3:$G$368)</f>
        <v>7.5</v>
      </c>
      <c r="J273">
        <f>MAX('Min rate concentrations'!Z:Z)</f>
        <v>3.5</v>
      </c>
      <c r="K273">
        <f t="shared" si="29"/>
        <v>9.9195920505958437</v>
      </c>
      <c r="L273">
        <f>((0.398*F273^0.85)/(1-H273))*J273/F273</f>
        <v>4.6291429569447269</v>
      </c>
      <c r="M273">
        <f>IF((((1.18*F273^0.874)-(0.398*F273^0.85)/(1-H273)*H273)*(MAX('Min rate concentrations'!$P$3:$P$368)))/F273&gt;0, (((1.18*F273^0.874)-(0.398*F273^0.85)/(1-H273)*H273)*(MAX('Min rate concentrations'!$P$3:$P$368)))/F273, 0)</f>
        <v>0</v>
      </c>
      <c r="N273">
        <f>IF((((1.18*F273^0.874)-(0.398*F273^0.85)/(1-H273)*H273)*(MAX('Min rate concentrations'!$Q$3:$Q$368)))/F273&gt;0, (((1.18*F273^0.874)-(0.398*F273^0.85)/(1-H273)*H273)*(MAX('Min rate concentrations'!$Q$3:$Q$368)))/F273, 0)</f>
        <v>0</v>
      </c>
      <c r="O273">
        <f>((MAX('Min rate concentrations'!$F$3:$F$368))*0.62*6.01*8*(10*F273^0.667)*0.079*0.1/F273)*inputs!$E$80/(10^(0.84+0.62*LOG10(inputs!$E$80)))</f>
        <v>13.473418789480668</v>
      </c>
      <c r="P273">
        <f>((MAX('Min rate concentrations'!Y:Y))*0.62*6.01*8*(10*F273^0.667)*0.079*0.1/F273)*inputs!$E$80/(10^(0.84+0.62*LOG10(inputs!$E$80)))</f>
        <v>4.4911395964935545</v>
      </c>
      <c r="Q273">
        <f>(inputs!$C$7*11.2*(10*F273^0.667)*0.5/F273)*inputs!$E$80/(10^(0.84+0.62*LOG10(inputs!$E$80)))</f>
        <v>2.3732791713351999</v>
      </c>
      <c r="R273">
        <f>(60*284*((F273/1000)^0.77)*3*24*(MAX('Min rate concentrations'!$R$3:$R$368))/F273)*(inputs!$E$73*3.4/inputs!$E$75)</f>
        <v>1.5204100001785939E-2</v>
      </c>
      <c r="S273">
        <f>(IF(inputs!$C$6="aerial",((0.025*0.112*inputs!$C$7/3.3)*(3*60*284*((F273/1000)^0.77))*MAX(inputs!$H$14:$H$16))/F273,((0.0083*0.112*inputs!$C$7/1)*(3*60*284*((F273/1000)^0.77))*MAX(inputs!$H$14:$H$16))/F273))*(inputs!E$75*3.4/inputs!$E$73)</f>
        <v>8.3851545624046828E-2</v>
      </c>
      <c r="T273">
        <f>IF((((inputs!$P$12/(V273/MAX(K273:S273)))^(1/inputs!$O$12))-1)/inputs!$N$12&lt;0, 0, IF((((inputs!$P$12/(V273/MAX(K273:S273)))^(1/inputs!$O$12))-1)/inputs!$N$12&gt;inputs!$H$17, inputs!$H$17, (((inputs!$P$12/(V273/MAX(K273:S273)))^(1/inputs!$O$12))-1)/inputs!$N$12))</f>
        <v>170.70921014064217</v>
      </c>
      <c r="U273">
        <f>IF((((inputs!$P$12/(X273/MAX(K273:S273)))^(1/inputs!$O$12))-1)/inputs!$N$12&lt;0, 0, IF((((inputs!$P$12/(X273/MAX(K273:S273)))^(1/inputs!$O$12))-1)/inputs!$N$12&gt;inputs!$H$17, inputs!$H$17, (((inputs!$P$12/(X273/MAX(K273:S273)))^(1/inputs!$O$12))-1)/inputs!$N$12))</f>
        <v>0</v>
      </c>
      <c r="V273">
        <f>inputs!$E$78*(F273/inputs!$F$78)^(inputs!$E$84-1)</f>
        <v>5.3806858710510753E-2</v>
      </c>
      <c r="W273">
        <f>inputs!$E$85*(F273/inputs!$F$85)^(inputs!$E$84-1)</f>
        <v>2.4847016143186225</v>
      </c>
      <c r="X273">
        <f>inputs!$E$80*(F273/inputs!$F$80)^(inputs!$E$84-1)</f>
        <v>9.278316154734096</v>
      </c>
      <c r="Y273">
        <f>inputs!$E$82*(F273/inputs!$F$82)^(inputs!$E$84-1)</f>
        <v>4.2762292975195386</v>
      </c>
      <c r="Z273">
        <f t="shared" si="30"/>
        <v>250.40337072955236</v>
      </c>
      <c r="AA273">
        <f t="shared" si="31"/>
        <v>5.4225500204278942</v>
      </c>
    </row>
    <row r="274" spans="1:27" x14ac:dyDescent="0.3">
      <c r="A274" t="s">
        <v>313</v>
      </c>
      <c r="B274" t="s">
        <v>314</v>
      </c>
      <c r="C274" t="s">
        <v>73</v>
      </c>
      <c r="D274" t="s">
        <v>141</v>
      </c>
      <c r="E274">
        <v>145</v>
      </c>
      <c r="F274">
        <v>6</v>
      </c>
      <c r="G274" t="s">
        <v>154</v>
      </c>
      <c r="H274">
        <v>9.2999999999999999E-2</v>
      </c>
      <c r="I274">
        <f>MAX('Min rate concentrations'!$G$3:$G$368)</f>
        <v>7.5</v>
      </c>
      <c r="J274">
        <f>MAX('Min rate concentrations'!Z:Z)</f>
        <v>3.5</v>
      </c>
      <c r="K274">
        <f t="shared" si="29"/>
        <v>2.5154423061047892</v>
      </c>
      <c r="M274">
        <f>IF((((1.18*F274^0.874)-(0.398*F274^0.85)/(1-H274)*H274)*(MAX('Min rate concentrations'!$P$3:$P$368)))/F274&gt;0, (((1.18*F274^0.874)-(0.398*F274^0.85)/(1-H274)*H274)*(MAX('Min rate concentrations'!$P$3:$P$368)))/F274, 0)</f>
        <v>0.132134090726615</v>
      </c>
      <c r="N274">
        <f>IF((((1.18*F274^0.874)-(0.398*F274^0.85)/(1-H274)*H274)*(MAX('Min rate concentrations'!$Q$3:$Q$368)))/F274&gt;0, (((1.18*F274^0.874)-(0.398*F274^0.85)/(1-H274)*H274)*(MAX('Min rate concentrations'!$Q$3:$Q$368)))/F274, 0)</f>
        <v>0.50317371727430749</v>
      </c>
      <c r="O274">
        <f>((MAX('Min rate concentrations'!$F$3:$F$368))*0.62*6.01*8*(10*F274^0.667)*0.079*0.1/F274)*inputs!$E$80/(10^(0.84+0.62*LOG10(inputs!$E$80)))</f>
        <v>13.473418789480668</v>
      </c>
      <c r="P274">
        <f>((MAX('Min rate concentrations'!Y:Y))*0.62*6.01*8*(10*F274^0.667)*0.079*0.1/F274)*inputs!$E$80/(10^(0.84+0.62*LOG10(inputs!$E$80)))</f>
        <v>4.4911395964935545</v>
      </c>
      <c r="Q274">
        <f>(inputs!$C$7*11.2*(10*F274^0.667)*0.5/F274)*inputs!$E$80/(10^(0.84+0.62*LOG10(inputs!$E$80)))</f>
        <v>2.3732791713351999</v>
      </c>
      <c r="R274">
        <f>(60*284*((F274/1000)^0.77)*3*24*(MAX('Min rate concentrations'!$R$3:$R$368))/F274)*(inputs!$E$73*3.4/inputs!$E$75)</f>
        <v>1.5204100001785939E-2</v>
      </c>
      <c r="S274">
        <f>(IF(inputs!$C$6="aerial",((0.025*0.112*inputs!$C$7/3.3)*(3*60*284*((F274/1000)^0.77))*MAX(inputs!$H$14:$H$16))/F274,((0.0083*0.112*inputs!$C$7/1)*(3*60*284*((F274/1000)^0.77))*MAX(inputs!$H$14:$H$16))/F274))*(inputs!E$75*3.4/inputs!$E$73)</f>
        <v>8.3851545624046828E-2</v>
      </c>
      <c r="T274">
        <f>IF((((inputs!$P$12/(V274/MAX(K274:S274)))^(1/inputs!$O$12))-1)/inputs!$N$12&lt;0, 0, IF((((inputs!$P$12/(V274/MAX(K274:S274)))^(1/inputs!$O$12))-1)/inputs!$N$12&gt;inputs!$H$17, inputs!$H$17, (((inputs!$P$12/(V274/MAX(K274:S274)))^(1/inputs!$O$12))-1)/inputs!$N$12))</f>
        <v>170.70921014064217</v>
      </c>
      <c r="U274">
        <f>IF((((inputs!$P$12/(X274/MAX(K274:S274)))^(1/inputs!$O$12))-1)/inputs!$N$12&lt;0, 0, IF((((inputs!$P$12/(X274/MAX(K274:S274)))^(1/inputs!$O$12))-1)/inputs!$N$12&gt;inputs!$H$17, inputs!$H$17, (((inputs!$P$12/(X274/MAX(K274:S274)))^(1/inputs!$O$12))-1)/inputs!$N$12))</f>
        <v>0</v>
      </c>
      <c r="V274">
        <f>inputs!$E$78*(F274/inputs!$F$78)^(inputs!$E$84-1)</f>
        <v>5.3806858710510753E-2</v>
      </c>
      <c r="W274">
        <f>inputs!$E$85*(F274/inputs!$F$85)^(inputs!$E$84-1)</f>
        <v>2.4847016143186225</v>
      </c>
      <c r="X274">
        <f>inputs!$E$80*(F274/inputs!$F$80)^(inputs!$E$84-1)</f>
        <v>9.278316154734096</v>
      </c>
      <c r="Y274">
        <f>inputs!$E$82*(F274/inputs!$F$82)^(inputs!$E$84-1)</f>
        <v>4.2762292975195386</v>
      </c>
      <c r="Z274">
        <f t="shared" si="30"/>
        <v>250.40337072955236</v>
      </c>
      <c r="AA274">
        <f t="shared" si="31"/>
        <v>5.4225500204278942</v>
      </c>
    </row>
    <row r="275" spans="1:27" x14ac:dyDescent="0.3">
      <c r="A275" t="s">
        <v>301</v>
      </c>
      <c r="B275" t="s">
        <v>302</v>
      </c>
      <c r="C275" t="s">
        <v>73</v>
      </c>
      <c r="D275" t="s">
        <v>141</v>
      </c>
      <c r="E275">
        <v>74</v>
      </c>
      <c r="F275">
        <v>24</v>
      </c>
      <c r="G275" t="s">
        <v>142</v>
      </c>
      <c r="H275">
        <v>0.69</v>
      </c>
      <c r="I275">
        <f>MAX('Min rate concentrations'!$H$3:$H$368)</f>
        <v>47</v>
      </c>
      <c r="J275">
        <f>MAX('Min rate concentrations'!AA:AA)</f>
        <v>32.5</v>
      </c>
      <c r="K275">
        <f t="shared" si="29"/>
        <v>37.461705890342067</v>
      </c>
      <c r="L275">
        <f>((0.398*F275^0.85)/(1-H275))*J275/F275</f>
        <v>25.904371094385471</v>
      </c>
      <c r="M275">
        <f>IF((((1.18*F275^0.874)-(0.398*F275^0.85)/(1-H275)*H275)*(MAX('Min rate concentrations'!$P$3:$P$368)))/F275&gt;0, (((1.18*F275^0.874)-(0.398*F275^0.85)/(1-H275)*H275)*(MAX('Min rate concentrations'!$P$3:$P$368)))/F275, 0)</f>
        <v>3.4931920372444844E-2</v>
      </c>
      <c r="N275">
        <f>IF((((1.18*F275^0.874)-(0.398*F275^0.85)/(1-H275)*H275)*(MAX('Min rate concentrations'!$Q$3:$Q$368)))/F275&gt;0, (((1.18*F275^0.874)-(0.398*F275^0.85)/(1-H275)*H275)*(MAX('Min rate concentrations'!$Q$3:$Q$368)))/F275, 0)</f>
        <v>0.13302262972921633</v>
      </c>
      <c r="O275">
        <f>((MAX('Min rate concentrations'!$F$3:$F$368))*0.62*6.01*8*(10*F275^0.667)*0.079*0.1/F275)*inputs!$E$80/(10^(0.84+0.62*LOG10(inputs!$E$80)))</f>
        <v>8.4916450401791508</v>
      </c>
      <c r="P275">
        <f>((MAX('Min rate concentrations'!Y:Y))*0.62*6.01*8*(10*F275^0.667)*0.079*0.1/F275)*inputs!$E$80/(10^(0.84+0.62*LOG10(inputs!$E$80)))</f>
        <v>2.830548346726383</v>
      </c>
      <c r="Q275">
        <f>(inputs!$C$7*11.2*(10*F275^0.667)*0.5/F275)*inputs!$E$80/(10^(0.84+0.62*LOG10(inputs!$E$80)))</f>
        <v>1.4957632223206383</v>
      </c>
      <c r="R275">
        <f>(60*284*((F275/1000)^0.77)*3*24*(MAX('Min rate concentrations'!$R$3:$R$368))/F275)*(inputs!$E$73*3.4/inputs!$E$75)</f>
        <v>1.1053171776593219E-2</v>
      </c>
      <c r="S275">
        <f>(IF(inputs!$C$6="aerial",((0.025*0.112*inputs!$C$7/3.3)*(3*60*284*((F275/1000)^0.77))*MAX(inputs!$H$14:$H$16))/F275,((0.0083*0.112*inputs!$C$7/1)*(3*60*284*((F275/1000)^0.77))*MAX(inputs!$H$14:$H$16))/F275))*(inputs!E$75*3.4/inputs!$E$73)</f>
        <v>6.0958921436097102E-2</v>
      </c>
      <c r="T275">
        <f>IF((((inputs!$P$12/(V275/MAX(K275:S275)))^(1/inputs!$O$12))-1)/inputs!$N$12&lt;0, 0, IF((((inputs!$P$12/(V275/MAX(K275:S275)))^(1/inputs!$O$12))-1)/inputs!$N$12&gt;inputs!$H$17, inputs!$H$17, (((inputs!$P$12/(V275/MAX(K275:S275)))^(1/inputs!$O$12))-1)/inputs!$N$12))</f>
        <v>343.4973394342324</v>
      </c>
      <c r="U275">
        <f>IF((((inputs!$P$12/(X275/MAX(K275:S275)))^(1/inputs!$O$12))-1)/inputs!$N$12&lt;0, 0, IF((((inputs!$P$12/(X275/MAX(K275:S275)))^(1/inputs!$O$12))-1)/inputs!$N$12&gt;inputs!$H$17, inputs!$H$17, (((inputs!$P$12/(X275/MAX(K275:S275)))^(1/inputs!$O$12))-1)/inputs!$N$12))</f>
        <v>17.304190691505784</v>
      </c>
      <c r="V275">
        <f>inputs!$E$78*(F275/inputs!$F$78)^(inputs!$E$84-1)</f>
        <v>3.2216283734138068E-2</v>
      </c>
      <c r="W275">
        <f>inputs!$E$85*(F275/inputs!$F$85)^(inputs!$E$84-1)</f>
        <v>1.4876886352394121</v>
      </c>
      <c r="X275">
        <f>inputs!$E$80*(F275/inputs!$F$80)^(inputs!$E$84-1)</f>
        <v>5.5552930050079308</v>
      </c>
      <c r="Y275">
        <f>inputs!$E$82*(F275/inputs!$F$82)^(inputs!$E$84-1)</f>
        <v>2.5603467599236045</v>
      </c>
      <c r="Z275">
        <f t="shared" si="30"/>
        <v>1162.8189706637602</v>
      </c>
      <c r="AA275">
        <f t="shared" si="31"/>
        <v>25.18114678231268</v>
      </c>
    </row>
    <row r="276" spans="1:27" x14ac:dyDescent="0.3">
      <c r="A276" t="s">
        <v>301</v>
      </c>
      <c r="B276" t="s">
        <v>302</v>
      </c>
      <c r="C276" t="s">
        <v>73</v>
      </c>
      <c r="D276" t="s">
        <v>141</v>
      </c>
      <c r="E276">
        <v>74</v>
      </c>
      <c r="F276">
        <v>24</v>
      </c>
      <c r="G276" t="s">
        <v>153</v>
      </c>
      <c r="H276">
        <v>0.7</v>
      </c>
      <c r="I276">
        <f>MAX('Min rate concentrations'!$E$3:$E$368)</f>
        <v>55</v>
      </c>
      <c r="J276">
        <f>MAX('Min rate concentrations'!X:X)</f>
        <v>18</v>
      </c>
      <c r="K276">
        <f t="shared" si="29"/>
        <v>45.299438683002286</v>
      </c>
      <c r="M276">
        <f>IF((((1.18*F276^0.874)-(0.398*F276^0.85)/(1-H276)*H276)*(MAX('Min rate concentrations'!$P$3:$P$368)))/F276&gt;0, (((1.18*F276^0.874)-(0.398*F276^0.85)/(1-H276)*H276)*(MAX('Min rate concentrations'!$P$3:$P$368)))/F276, 0)</f>
        <v>3.1075542467717154E-2</v>
      </c>
      <c r="N276">
        <f>IF((((1.18*F276^0.874)-(0.398*F276^0.85)/(1-H276)*H276)*(MAX('Min rate concentrations'!$Q$3:$Q$368)))/F276&gt;0, (((1.18*F276^0.874)-(0.398*F276^0.85)/(1-H276)*H276)*(MAX('Min rate concentrations'!$Q$3:$Q$368)))/F276, 0)</f>
        <v>0.11833733545832997</v>
      </c>
      <c r="O276">
        <f>((MAX('Min rate concentrations'!$F$3:$F$368))*0.62*6.01*8*(10*F276^0.667)*0.079*0.1/F276)*inputs!$E$80/(10^(0.84+0.62*LOG10(inputs!$E$80)))</f>
        <v>8.4916450401791508</v>
      </c>
      <c r="P276">
        <f>((MAX('Min rate concentrations'!Y:Y))*0.62*6.01*8*(10*F276^0.667)*0.079*0.1/F276)*inputs!$E$80/(10^(0.84+0.62*LOG10(inputs!$E$80)))</f>
        <v>2.830548346726383</v>
      </c>
      <c r="Q276">
        <f>(inputs!$C$7*11.2*(10*F276^0.667)*0.5/F276)*inputs!$E$80/(10^(0.84+0.62*LOG10(inputs!$E$80)))</f>
        <v>1.4957632223206383</v>
      </c>
      <c r="R276">
        <f>(60*284*((F276/1000)^0.77)*3*24*(MAX('Min rate concentrations'!$R$3:$R$368))/F276)*(inputs!$E$73*3.4/inputs!$E$75)</f>
        <v>1.1053171776593219E-2</v>
      </c>
      <c r="S276">
        <f>(IF(inputs!$C$6="aerial",((0.025*0.112*inputs!$C$7/3.3)*(3*60*284*((F276/1000)^0.77))*MAX(inputs!$H$14:$H$16))/F276,((0.0083*0.112*inputs!$C$7/1)*(3*60*284*((F276/1000)^0.77))*MAX(inputs!$H$14:$H$16))/F276))*(inputs!E$75*3.4/inputs!$E$73)</f>
        <v>6.0958921436097102E-2</v>
      </c>
      <c r="T276">
        <f>IF((((inputs!$P$12/(V276/MAX(K276:S276)))^(1/inputs!$O$12))-1)/inputs!$N$12&lt;0, 0, IF((((inputs!$P$12/(V276/MAX(K276:S276)))^(1/inputs!$O$12))-1)/inputs!$N$12&gt;inputs!$H$17, inputs!$H$17, (((inputs!$P$12/(V276/MAX(K276:S276)))^(1/inputs!$O$12))-1)/inputs!$N$12))</f>
        <v>373.3803705109292</v>
      </c>
      <c r="U276">
        <f>IF((((inputs!$P$12/(X276/MAX(K276:S276)))^(1/inputs!$O$12))-1)/inputs!$N$12&lt;0, 0, IF((((inputs!$P$12/(X276/MAX(K276:S276)))^(1/inputs!$O$12))-1)/inputs!$N$12&gt;inputs!$H$17, inputs!$H$17, (((inputs!$P$12/(X276/MAX(K276:S276)))^(1/inputs!$O$12))-1)/inputs!$N$12))</f>
        <v>20.982998610632432</v>
      </c>
      <c r="V276">
        <f>inputs!$E$78*(F276/inputs!$F$78)^(inputs!$E$84-1)</f>
        <v>3.2216283734138068E-2</v>
      </c>
      <c r="W276">
        <f>inputs!$E$85*(F276/inputs!$F$85)^(inputs!$E$84-1)</f>
        <v>1.4876886352394121</v>
      </c>
      <c r="X276">
        <f>inputs!$E$80*(F276/inputs!$F$80)^(inputs!$E$84-1)</f>
        <v>5.5552930050079308</v>
      </c>
      <c r="Y276">
        <f>inputs!$E$82*(F276/inputs!$F$82)^(inputs!$E$84-1)</f>
        <v>2.5603467599236045</v>
      </c>
      <c r="Z276">
        <f t="shared" si="30"/>
        <v>1406.1037907671709</v>
      </c>
      <c r="AA276">
        <f t="shared" si="31"/>
        <v>30.449542740314271</v>
      </c>
    </row>
    <row r="277" spans="1:27" x14ac:dyDescent="0.3">
      <c r="A277" t="s">
        <v>226</v>
      </c>
      <c r="B277" t="s">
        <v>227</v>
      </c>
      <c r="C277" t="s">
        <v>73</v>
      </c>
      <c r="D277" t="s">
        <v>141</v>
      </c>
      <c r="E277">
        <v>4237</v>
      </c>
      <c r="F277">
        <v>6.9</v>
      </c>
      <c r="G277" t="s">
        <v>142</v>
      </c>
      <c r="H277">
        <v>0.69</v>
      </c>
      <c r="I277">
        <f>MAX('Min rate concentrations'!$H$3:$H$368)</f>
        <v>47</v>
      </c>
      <c r="J277">
        <f>MAX('Min rate concentrations'!AA:AA)</f>
        <v>32.5</v>
      </c>
      <c r="K277">
        <f t="shared" si="29"/>
        <v>45.163945281884608</v>
      </c>
      <c r="L277">
        <f>((0.398*F277^0.85)/(1-H277))*J277/F277</f>
        <v>31.230387694920211</v>
      </c>
      <c r="M277">
        <f>IF((((1.18*F277^0.874)-(0.398*F277^0.85)/(1-H277)*H277)*(MAX('Min rate concentrations'!$P$3:$P$368)))/F277&gt;0, (((1.18*F277^0.874)-(0.398*F277^0.85)/(1-H277)*H277)*(MAX('Min rate concentrations'!$P$3:$P$368)))/F277, 0)</f>
        <v>3.8036231916170622E-2</v>
      </c>
      <c r="N277">
        <f>IF((((1.18*F277^0.874)-(0.398*F277^0.85)/(1-H277)*H277)*(MAX('Min rate concentrations'!$Q$3:$Q$368)))/F277&gt;0, (((1.18*F277^0.874)-(0.398*F277^0.85)/(1-H277)*H277)*(MAX('Min rate concentrations'!$Q$3:$Q$368)))/F277, 0)</f>
        <v>0.1448440148876145</v>
      </c>
      <c r="O277">
        <f>((MAX('Min rate concentrations'!$F$3:$F$368))*0.62*6.01*8*(10*F277^0.667)*0.079*0.1/F277)*inputs!$E$80/(10^(0.84+0.62*LOG10(inputs!$E$80)))</f>
        <v>12.860724299202847</v>
      </c>
      <c r="P277">
        <f>((MAX('Min rate concentrations'!Y:Y))*0.62*6.01*8*(10*F277^0.667)*0.079*0.1/F277)*inputs!$E$80/(10^(0.84+0.62*LOG10(inputs!$E$80)))</f>
        <v>4.2869080997342826</v>
      </c>
      <c r="Q277">
        <f>(inputs!$C$7*11.2*(10*F277^0.667)*0.5/F277)*inputs!$E$80/(10^(0.84+0.62*LOG10(inputs!$E$80)))</f>
        <v>2.2653559266941694</v>
      </c>
      <c r="R277">
        <f>(60*284*((F277/1000)^0.77)*3*24*(MAX('Min rate concentrations'!$R$3:$R$368))/F277)*(inputs!$E$73*3.4/inputs!$E$75)</f>
        <v>1.4723132283948972E-2</v>
      </c>
      <c r="S277">
        <f>(IF(inputs!$C$6="aerial",((0.025*0.112*inputs!$C$7/3.3)*(3*60*284*((F277/1000)^0.77))*MAX(inputs!$H$14:$H$16))/F277,((0.0083*0.112*inputs!$C$7/1)*(3*60*284*((F277/1000)^0.77))*MAX(inputs!$H$14:$H$16))/F277))*(inputs!E$75*3.4/inputs!$E$73)</f>
        <v>8.1198979110332567E-2</v>
      </c>
      <c r="T277">
        <f>IF((((inputs!$P$12/(V277/MAX(K277:S277)))^(1/inputs!$O$12))-1)/inputs!$N$12&lt;0, 0, IF((((inputs!$P$12/(V277/MAX(K277:S277)))^(1/inputs!$O$12))-1)/inputs!$N$12&gt;inputs!$H$17, inputs!$H$17, (((inputs!$P$12/(V277/MAX(K277:S277)))^(1/inputs!$O$12))-1)/inputs!$N$12))</f>
        <v>304.23549899843994</v>
      </c>
      <c r="U277">
        <f>IF((((inputs!$P$12/(X277/MAX(K277:S277)))^(1/inputs!$O$12))-1)/inputs!$N$12&lt;0, 0, IF((((inputs!$P$12/(X277/MAX(K277:S277)))^(1/inputs!$O$12))-1)/inputs!$N$12&gt;inputs!$H$17, inputs!$H$17, (((inputs!$P$12/(X277/MAX(K277:S277)))^(1/inputs!$O$12))-1)/inputs!$N$12))</f>
        <v>12.470786437968917</v>
      </c>
      <c r="V277">
        <f>inputs!$E$78*(F277/inputs!$F$78)^(inputs!$E$84-1)</f>
        <v>5.1095121638162447E-2</v>
      </c>
      <c r="W277">
        <f>inputs!$E$85*(F277/inputs!$F$85)^(inputs!$E$84-1)</f>
        <v>2.3594785917756753</v>
      </c>
      <c r="X277">
        <f>inputs!$E$80*(F277/inputs!$F$80)^(inputs!$E$84-1)</f>
        <v>8.8107111971370138</v>
      </c>
      <c r="Y277">
        <f>inputs!$E$82*(F277/inputs!$F$82)^(inputs!$E$84-1)</f>
        <v>4.060717561769752</v>
      </c>
      <c r="Z277">
        <f t="shared" si="30"/>
        <v>883.91893069008961</v>
      </c>
      <c r="AA277">
        <f t="shared" si="31"/>
        <v>19.141493989100162</v>
      </c>
    </row>
    <row r="278" spans="1:27" x14ac:dyDescent="0.3">
      <c r="A278" t="s">
        <v>165</v>
      </c>
      <c r="B278" t="s">
        <v>166</v>
      </c>
      <c r="C278" t="s">
        <v>73</v>
      </c>
      <c r="D278" t="s">
        <v>141</v>
      </c>
      <c r="E278">
        <v>133</v>
      </c>
      <c r="F278">
        <v>13.4</v>
      </c>
      <c r="G278" t="s">
        <v>142</v>
      </c>
      <c r="H278">
        <v>0.69</v>
      </c>
      <c r="I278">
        <f>MAX('Min rate concentrations'!$H$3:$H$368)</f>
        <v>47</v>
      </c>
      <c r="J278">
        <f>MAX('Min rate concentrations'!AA:AA)</f>
        <v>32.5</v>
      </c>
      <c r="K278">
        <f t="shared" si="29"/>
        <v>40.88401287866418</v>
      </c>
      <c r="L278">
        <f>((0.398*F278^0.85)/(1-H278))*J278/F278</f>
        <v>28.270859969289056</v>
      </c>
      <c r="M278">
        <f>IF((((1.18*F278^0.874)-(0.398*F278^0.85)/(1-H278)*H278)*(MAX('Min rate concentrations'!$P$3:$P$368)))/F278&gt;0, (((1.18*F278^0.874)-(0.398*F278^0.85)/(1-H278)*H278)*(MAX('Min rate concentrations'!$P$3:$P$368)))/F278, 0)</f>
        <v>3.6383521284715184E-2</v>
      </c>
      <c r="N278">
        <f>IF((((1.18*F278^0.874)-(0.398*F278^0.85)/(1-H278)*H278)*(MAX('Min rate concentrations'!$Q$3:$Q$368)))/F278&gt;0, (((1.18*F278^0.874)-(0.398*F278^0.85)/(1-H278)*H278)*(MAX('Min rate concentrations'!$Q$3:$Q$368)))/F278, 0)</f>
        <v>0.13855040400010493</v>
      </c>
      <c r="O278">
        <f>((MAX('Min rate concentrations'!$F$3:$F$368))*0.62*6.01*8*(10*F278^0.667)*0.079*0.1/F278)*inputs!$E$80/(10^(0.84+0.62*LOG10(inputs!$E$80)))</f>
        <v>10.310418117210569</v>
      </c>
      <c r="P278">
        <f>((MAX('Min rate concentrations'!Y:Y))*0.62*6.01*8*(10*F278^0.667)*0.079*0.1/F278)*inputs!$E$80/(10^(0.84+0.62*LOG10(inputs!$E$80)))</f>
        <v>3.4368060390701891</v>
      </c>
      <c r="Q278">
        <f>(inputs!$C$7*11.2*(10*F278^0.667)*0.5/F278)*inputs!$E$80/(10^(0.84+0.62*LOG10(inputs!$E$80)))</f>
        <v>1.8161315214544824</v>
      </c>
      <c r="R278">
        <f>(60*284*((F278/1000)^0.77)*3*24*(MAX('Min rate concentrations'!$R$3:$R$368))/F278)*(inputs!$E$73*3.4/inputs!$E$75)</f>
        <v>1.2638670784838437E-2</v>
      </c>
      <c r="S278">
        <f>(IF(inputs!$C$6="aerial",((0.025*0.112*inputs!$C$7/3.3)*(3*60*284*((F278/1000)^0.77))*MAX(inputs!$H$14:$H$16))/F278,((0.0083*0.112*inputs!$C$7/1)*(3*60*284*((F278/1000)^0.77))*MAX(inputs!$H$14:$H$16))/F278))*(inputs!E$75*3.4/inputs!$E$73)</f>
        <v>6.9703045876947811E-2</v>
      </c>
      <c r="T278">
        <f>IF((((inputs!$P$12/(V278/MAX(K278:S278)))^(1/inputs!$O$12))-1)/inputs!$N$12&lt;0, 0, IF((((inputs!$P$12/(V278/MAX(K278:S278)))^(1/inputs!$O$12))-1)/inputs!$N$12&gt;inputs!$H$17, inputs!$H$17, (((inputs!$P$12/(V278/MAX(K278:S278)))^(1/inputs!$O$12))-1)/inputs!$N$12))</f>
        <v>324.59537746210856</v>
      </c>
      <c r="U278">
        <f>IF((((inputs!$P$12/(X278/MAX(K278:S278)))^(1/inputs!$O$12))-1)/inputs!$N$12&lt;0, 0, IF((((inputs!$P$12/(X278/MAX(K278:S278)))^(1/inputs!$O$12))-1)/inputs!$N$12&gt;inputs!$H$17, inputs!$H$17, (((inputs!$P$12/(X278/MAX(K278:S278)))^(1/inputs!$O$12))-1)/inputs!$N$12))</f>
        <v>14.977228369256416</v>
      </c>
      <c r="V278">
        <f>inputs!$E$78*(F278/inputs!$F$78)^(inputs!$E$84-1)</f>
        <v>3.9969142000589E-2</v>
      </c>
      <c r="W278">
        <f>inputs!$E$85*(F278/inputs!$F$85)^(inputs!$E$84-1)</f>
        <v>1.845701347965776</v>
      </c>
      <c r="X278">
        <f>inputs!$E$80*(F278/inputs!$F$80)^(inputs!$E$84-1)</f>
        <v>6.8921759196190369</v>
      </c>
      <c r="Y278">
        <f>inputs!$E$82*(F278/inputs!$F$82)^(inputs!$E$84-1)</f>
        <v>3.1764949695204945</v>
      </c>
      <c r="Z278">
        <f t="shared" si="30"/>
        <v>1022.8894300023177</v>
      </c>
      <c r="AA278">
        <f t="shared" si="31"/>
        <v>22.150936240971024</v>
      </c>
    </row>
    <row r="279" spans="1:27" x14ac:dyDescent="0.3">
      <c r="A279" t="s">
        <v>165</v>
      </c>
      <c r="B279" t="s">
        <v>166</v>
      </c>
      <c r="C279" t="s">
        <v>73</v>
      </c>
      <c r="D279" t="s">
        <v>141</v>
      </c>
      <c r="E279">
        <v>133</v>
      </c>
      <c r="F279">
        <v>13.4</v>
      </c>
      <c r="G279" t="s">
        <v>154</v>
      </c>
      <c r="H279">
        <v>9.2999999999999999E-2</v>
      </c>
      <c r="I279">
        <f>MAX('Min rate concentrations'!$G$3:$G$368)</f>
        <v>7.5</v>
      </c>
      <c r="J279">
        <f>MAX('Min rate concentrations'!Z:Z)</f>
        <v>3.5</v>
      </c>
      <c r="K279">
        <f t="shared" si="29"/>
        <v>2.2298278154048705</v>
      </c>
      <c r="M279">
        <f>IF((((1.18*F279^0.874)-(0.398*F279^0.85)/(1-H279)*H279)*(MAX('Min rate concentrations'!$P$3:$P$368)))/F279&gt;0, (((1.18*F279^0.874)-(0.398*F279^0.85)/(1-H279)*H279)*(MAX('Min rate concentrations'!$P$3:$P$368)))/F279, 0)</f>
        <v>0.11948980287421165</v>
      </c>
      <c r="N279">
        <f>IF((((1.18*F279^0.874)-(0.398*F279^0.85)/(1-H279)*H279)*(MAX('Min rate concentrations'!$Q$3:$Q$368)))/F279&gt;0, (((1.18*F279^0.874)-(0.398*F279^0.85)/(1-H279)*H279)*(MAX('Min rate concentrations'!$Q$3:$Q$368)))/F279, 0)</f>
        <v>0.45502358973346202</v>
      </c>
      <c r="O279">
        <f>((MAX('Min rate concentrations'!$F$3:$F$368))*0.62*6.01*8*(10*F279^0.667)*0.079*0.1/F279)*inputs!$E$80/(10^(0.84+0.62*LOG10(inputs!$E$80)))</f>
        <v>10.310418117210569</v>
      </c>
      <c r="P279">
        <f>((MAX('Min rate concentrations'!Y:Y))*0.62*6.01*8*(10*F279^0.667)*0.079*0.1/F279)*inputs!$E$80/(10^(0.84+0.62*LOG10(inputs!$E$80)))</f>
        <v>3.4368060390701891</v>
      </c>
      <c r="Q279">
        <f>(inputs!$C$7*11.2*(10*F279^0.667)*0.5/F279)*inputs!$E$80/(10^(0.84+0.62*LOG10(inputs!$E$80)))</f>
        <v>1.8161315214544824</v>
      </c>
      <c r="R279">
        <f>(60*284*((F279/1000)^0.77)*3*24*(MAX('Min rate concentrations'!$R$3:$R$368))/F279)*(inputs!$E$73*3.4/inputs!$E$75)</f>
        <v>1.2638670784838437E-2</v>
      </c>
      <c r="S279">
        <f>(IF(inputs!$C$6="aerial",((0.025*0.112*inputs!$C$7/3.3)*(3*60*284*((F279/1000)^0.77))*MAX(inputs!$H$14:$H$16))/F279,((0.0083*0.112*inputs!$C$7/1)*(3*60*284*((F279/1000)^0.77))*MAX(inputs!$H$14:$H$16))/F279))*(inputs!E$75*3.4/inputs!$E$73)</f>
        <v>6.9703045876947811E-2</v>
      </c>
      <c r="T279">
        <f>IF((((inputs!$P$12/(V279/MAX(K279:S279)))^(1/inputs!$O$12))-1)/inputs!$N$12&lt;0, 0, IF((((inputs!$P$12/(V279/MAX(K279:S279)))^(1/inputs!$O$12))-1)/inputs!$N$12&gt;inputs!$H$17, inputs!$H$17, (((inputs!$P$12/(V279/MAX(K279:S279)))^(1/inputs!$O$12))-1)/inputs!$N$12))</f>
        <v>173.1325437876047</v>
      </c>
      <c r="U279">
        <f>IF((((inputs!$P$12/(X279/MAX(K279:S279)))^(1/inputs!$O$12))-1)/inputs!$N$12&lt;0, 0, IF((((inputs!$P$12/(X279/MAX(K279:S279)))^(1/inputs!$O$12))-1)/inputs!$N$12&gt;inputs!$H$17, inputs!$H$17, (((inputs!$P$12/(X279/MAX(K279:S279)))^(1/inputs!$O$12))-1)/inputs!$N$12))</f>
        <v>0</v>
      </c>
      <c r="V279">
        <f>inputs!$E$78*(F279/inputs!$F$78)^(inputs!$E$84-1)</f>
        <v>3.9969142000589E-2</v>
      </c>
      <c r="W279">
        <f>inputs!$E$85*(F279/inputs!$F$85)^(inputs!$E$84-1)</f>
        <v>1.845701347965776</v>
      </c>
      <c r="X279">
        <f>inputs!$E$80*(F279/inputs!$F$80)^(inputs!$E$84-1)</f>
        <v>6.8921759196190369</v>
      </c>
      <c r="Y279">
        <f>inputs!$E$82*(F279/inputs!$F$82)^(inputs!$E$84-1)</f>
        <v>3.1764949695204945</v>
      </c>
      <c r="Z279">
        <f t="shared" si="30"/>
        <v>257.95945574860303</v>
      </c>
      <c r="AA279">
        <f t="shared" si="31"/>
        <v>5.5861790037560022</v>
      </c>
    </row>
    <row r="280" spans="1:27" x14ac:dyDescent="0.3">
      <c r="A280" t="s">
        <v>180</v>
      </c>
      <c r="B280" t="s">
        <v>181</v>
      </c>
      <c r="C280" t="s">
        <v>73</v>
      </c>
      <c r="D280" t="s">
        <v>141</v>
      </c>
      <c r="E280">
        <v>140</v>
      </c>
      <c r="F280">
        <v>59</v>
      </c>
      <c r="G280" t="s">
        <v>182</v>
      </c>
      <c r="H280">
        <v>0.85</v>
      </c>
      <c r="I280">
        <f>MAX('Min rate concentrations'!$M$3:$M$368)</f>
        <v>2.8488184789681945</v>
      </c>
      <c r="J280">
        <f>MAX('Min rate concentrations'!AE:AE)</f>
        <v>1.9699276716269429</v>
      </c>
      <c r="K280">
        <f t="shared" si="29"/>
        <v>4.1004242097158379</v>
      </c>
      <c r="L280">
        <f t="shared" ref="L280:L285" si="32">((0.398*F280^0.85)/(1-H280))*J280/F280</f>
        <v>2.8353997194843559</v>
      </c>
      <c r="M280">
        <f>IF((((1.18*F280^0.874)-(0.398*F280^0.85)/(1-H280)*H280)*(MAX('Min rate concentrations'!$P$3:$P$368)))/F280&gt;0, (((1.18*F280^0.874)-(0.398*F280^0.85)/(1-H280)*H280)*(MAX('Min rate concentrations'!$P$3:$P$368)))/F280, 0)</f>
        <v>0</v>
      </c>
      <c r="N280">
        <f>IF((((1.18*F280^0.874)-(0.398*F280^0.85)/(1-H280)*H280)*(MAX('Min rate concentrations'!$Q$3:$Q$368)))/F280&gt;0, (((1.18*F280^0.874)-(0.398*F280^0.85)/(1-H280)*H280)*(MAX('Min rate concentrations'!$Q$3:$Q$368)))/F280, 0)</f>
        <v>0</v>
      </c>
      <c r="O280">
        <f>((MAX('Min rate concentrations'!$F$3:$F$368))*0.62*6.01*8*(10*F280^0.667)*0.079*0.1/F280)*inputs!$E$80/(10^(0.84+0.62*LOG10(inputs!$E$80)))</f>
        <v>6.293735038820282</v>
      </c>
      <c r="P280">
        <f>((MAX('Min rate concentrations'!Y:Y))*0.62*6.01*8*(10*F280^0.667)*0.079*0.1/F280)*inputs!$E$80/(10^(0.84+0.62*LOG10(inputs!$E$80)))</f>
        <v>2.0979116796067601</v>
      </c>
      <c r="Q280">
        <f>(inputs!$C$7*11.2*(10*F280^0.667)*0.5/F280)*inputs!$E$80/(10^(0.84+0.62*LOG10(inputs!$E$80)))</f>
        <v>1.1086117421954231</v>
      </c>
      <c r="R280">
        <f>(60*284*((F280/1000)^0.77)*3*24*(MAX('Min rate concentrations'!$R$3:$R$368))/F280)*(inputs!$E$73*3.4/inputs!$E$75)</f>
        <v>8.9875132225665025E-3</v>
      </c>
      <c r="S280">
        <f>(IF(inputs!$C$6="aerial",((0.025*0.112*inputs!$C$7/3.3)*(3*60*284*((F280/1000)^0.77))*MAX(inputs!$H$14:$H$16))/F280,((0.0083*0.112*inputs!$C$7/1)*(3*60*284*((F280/1000)^0.77))*MAX(inputs!$H$14:$H$16))/F280))*(inputs!E$75*3.4/inputs!$E$73)</f>
        <v>4.9566687600070769E-2</v>
      </c>
      <c r="T280">
        <f>IF((((inputs!$P$12/(V280/MAX(K280:S280)))^(1/inputs!$O$12))-1)/inputs!$N$12&lt;0, 0, IF((((inputs!$P$12/(V280/MAX(K280:S280)))^(1/inputs!$O$12))-1)/inputs!$N$12&gt;inputs!$H$17, inputs!$H$17, (((inputs!$P$12/(V280/MAX(K280:S280)))^(1/inputs!$O$12))-1)/inputs!$N$12))</f>
        <v>177.68071702402852</v>
      </c>
      <c r="U280">
        <f>IF((((inputs!$P$12/(X280/MAX(K280:S280)))^(1/inputs!$O$12))-1)/inputs!$N$12&lt;0, 0, IF((((inputs!$P$12/(X280/MAX(K280:S280)))^(1/inputs!$O$12))-1)/inputs!$N$12&gt;inputs!$H$17, inputs!$H$17, (((inputs!$P$12/(X280/MAX(K280:S280)))^(1/inputs!$O$12))-1)/inputs!$N$12))</f>
        <v>0</v>
      </c>
      <c r="V280">
        <f>inputs!$E$78*(F280/inputs!$F$78)^(inputs!$E$84-1)</f>
        <v>2.3096084332340623E-2</v>
      </c>
      <c r="W280">
        <f>inputs!$E$85*(F280/inputs!$F$85)^(inputs!$E$84-1)</f>
        <v>1.066534627746178</v>
      </c>
      <c r="X280">
        <f>inputs!$E$80*(F280/inputs!$F$80)^(inputs!$E$84-1)</f>
        <v>3.9826293061407916</v>
      </c>
      <c r="Y280">
        <f>inputs!$E$82*(F280/inputs!$F$82)^(inputs!$E$84-1)</f>
        <v>1.8355309127281232</v>
      </c>
      <c r="Z280">
        <f t="shared" si="30"/>
        <v>272.50225398629107</v>
      </c>
      <c r="AA280">
        <f t="shared" si="31"/>
        <v>5.9011070762140436</v>
      </c>
    </row>
    <row r="281" spans="1:27" x14ac:dyDescent="0.3">
      <c r="A281" t="s">
        <v>180</v>
      </c>
      <c r="B281" t="s">
        <v>181</v>
      </c>
      <c r="C281" t="s">
        <v>73</v>
      </c>
      <c r="D281" t="s">
        <v>141</v>
      </c>
      <c r="E281">
        <v>140</v>
      </c>
      <c r="F281">
        <v>59</v>
      </c>
      <c r="G281" t="s">
        <v>142</v>
      </c>
      <c r="H281">
        <v>0.69</v>
      </c>
      <c r="I281">
        <f>MAX('Min rate concentrations'!$H$3:$H$368)</f>
        <v>47</v>
      </c>
      <c r="J281">
        <f>MAX('Min rate concentrations'!AA:AA)</f>
        <v>32.5</v>
      </c>
      <c r="K281">
        <f t="shared" si="29"/>
        <v>32.733423881620809</v>
      </c>
      <c r="L281">
        <f t="shared" si="32"/>
        <v>22.634814386227159</v>
      </c>
      <c r="M281">
        <f>IF((((1.18*F281^0.874)-(0.398*F281^0.85)/(1-H281)*H281)*(MAX('Min rate concentrations'!$P$3:$P$368)))/F281&gt;0, (((1.18*F281^0.874)-(0.398*F281^0.85)/(1-H281)*H281)*(MAX('Min rate concentrations'!$P$3:$P$368)))/F281, 0)</f>
        <v>3.2711159114511834E-2</v>
      </c>
      <c r="N281">
        <f>IF((((1.18*F281^0.874)-(0.398*F281^0.85)/(1-H281)*H281)*(MAX('Min rate concentrations'!$Q$3:$Q$368)))/F281&gt;0, (((1.18*F281^0.874)-(0.398*F281^0.85)/(1-H281)*H281)*(MAX('Min rate concentrations'!$Q$3:$Q$368)))/F281, 0)</f>
        <v>0.12456585153376278</v>
      </c>
      <c r="O281">
        <f>((MAX('Min rate concentrations'!$F$3:$F$368))*0.62*6.01*8*(10*F281^0.667)*0.079*0.1/F281)*inputs!$E$80/(10^(0.84+0.62*LOG10(inputs!$E$80)))</f>
        <v>6.293735038820282</v>
      </c>
      <c r="P281">
        <f>((MAX('Min rate concentrations'!Y:Y))*0.62*6.01*8*(10*F281^0.667)*0.079*0.1/F281)*inputs!$E$80/(10^(0.84+0.62*LOG10(inputs!$E$80)))</f>
        <v>2.0979116796067601</v>
      </c>
      <c r="Q281">
        <f>(inputs!$C$7*11.2*(10*F281^0.667)*0.5/F281)*inputs!$E$80/(10^(0.84+0.62*LOG10(inputs!$E$80)))</f>
        <v>1.1086117421954231</v>
      </c>
      <c r="R281">
        <f>(60*284*((F281/1000)^0.77)*3*24*(MAX('Min rate concentrations'!$R$3:$R$368))/F281)*(inputs!$E$73*3.4/inputs!$E$75)</f>
        <v>8.9875132225665025E-3</v>
      </c>
      <c r="S281">
        <f>(IF(inputs!$C$6="aerial",((0.025*0.112*inputs!$C$7/3.3)*(3*60*284*((F281/1000)^0.77))*MAX(inputs!$H$14:$H$16))/F281,((0.0083*0.112*inputs!$C$7/1)*(3*60*284*((F281/1000)^0.77))*MAX(inputs!$H$14:$H$16))/F281))*(inputs!E$75*3.4/inputs!$E$73)</f>
        <v>4.9566687600070769E-2</v>
      </c>
      <c r="T281">
        <f>IF((((inputs!$P$12/(V281/MAX(K281:S281)))^(1/inputs!$O$12))-1)/inputs!$N$12&lt;0, 0, IF((((inputs!$P$12/(V281/MAX(K281:S281)))^(1/inputs!$O$12))-1)/inputs!$N$12&gt;inputs!$H$17, inputs!$H$17, (((inputs!$P$12/(V281/MAX(K281:S281)))^(1/inputs!$O$12))-1)/inputs!$N$12))</f>
        <v>374.67554356161696</v>
      </c>
      <c r="U281">
        <f>IF((((inputs!$P$12/(X281/MAX(K281:S281)))^(1/inputs!$O$12))-1)/inputs!$N$12&lt;0, 0, IF((((inputs!$P$12/(X281/MAX(K281:S281)))^(1/inputs!$O$12))-1)/inputs!$N$12&gt;inputs!$H$17, inputs!$H$17, (((inputs!$P$12/(X281/MAX(K281:S281)))^(1/inputs!$O$12))-1)/inputs!$N$12))</f>
        <v>21.142443375900086</v>
      </c>
      <c r="V281">
        <f>inputs!$E$78*(F281/inputs!$F$78)^(inputs!$E$84-1)</f>
        <v>2.3096084332340623E-2</v>
      </c>
      <c r="W281">
        <f>inputs!$E$85*(F281/inputs!$F$85)^(inputs!$E$84-1)</f>
        <v>1.066534627746178</v>
      </c>
      <c r="X281">
        <f>inputs!$E$80*(F281/inputs!$F$80)^(inputs!$E$84-1)</f>
        <v>3.9826293061407916</v>
      </c>
      <c r="Y281">
        <f>inputs!$E$82*(F281/inputs!$F$82)^(inputs!$E$84-1)</f>
        <v>1.8355309127281232</v>
      </c>
      <c r="Z281">
        <f t="shared" si="30"/>
        <v>1417.2715777533494</v>
      </c>
      <c r="AA281">
        <f t="shared" si="31"/>
        <v>30.691384067663819</v>
      </c>
    </row>
    <row r="282" spans="1:27" x14ac:dyDescent="0.3">
      <c r="A282" t="s">
        <v>180</v>
      </c>
      <c r="B282" t="s">
        <v>181</v>
      </c>
      <c r="C282" t="s">
        <v>73</v>
      </c>
      <c r="D282" t="s">
        <v>141</v>
      </c>
      <c r="E282">
        <v>140</v>
      </c>
      <c r="F282">
        <v>59</v>
      </c>
      <c r="G282" t="s">
        <v>138</v>
      </c>
      <c r="H282">
        <v>0.68</v>
      </c>
      <c r="I282">
        <f>MAX('Min rate concentrations'!$L$3:$L$368)</f>
        <v>58.421240152220811</v>
      </c>
      <c r="J282">
        <f>MAX('Min rate concentrations'!AD:AD)</f>
        <v>40.397666062705881</v>
      </c>
      <c r="K282">
        <f t="shared" si="29"/>
        <v>39.416318979634909</v>
      </c>
      <c r="L282">
        <f t="shared" si="32"/>
        <v>27.255965251875207</v>
      </c>
      <c r="M282">
        <f>IF((((1.18*F282^0.874)-(0.398*F282^0.85)/(1-H282)*H282)*(MAX('Min rate concentrations'!$P$3:$P$368)))/F282&gt;0, (((1.18*F282^0.874)-(0.398*F282^0.85)/(1-H282)*H282)*(MAX('Min rate concentrations'!$P$3:$P$368)))/F282, 0)</f>
        <v>3.5870196363426303E-2</v>
      </c>
      <c r="N282">
        <f>IF((((1.18*F282^0.874)-(0.398*F282^0.85)/(1-H282)*H282)*(MAX('Min rate concentrations'!$Q$3:$Q$368)))/F282&gt;0, (((1.18*F282^0.874)-(0.398*F282^0.85)/(1-H282)*H282)*(MAX('Min rate concentrations'!$Q$3:$Q$368)))/F282, 0)</f>
        <v>0.13659563511802381</v>
      </c>
      <c r="O282">
        <f>((MAX('Min rate concentrations'!$F$3:$F$368))*0.62*6.01*8*(10*F282^0.667)*0.079*0.1/F282)*inputs!$E$80/(10^(0.84+0.62*LOG10(inputs!$E$80)))</f>
        <v>6.293735038820282</v>
      </c>
      <c r="P282">
        <f>((MAX('Min rate concentrations'!Y:Y))*0.62*6.01*8*(10*F282^0.667)*0.079*0.1/F282)*inputs!$E$80/(10^(0.84+0.62*LOG10(inputs!$E$80)))</f>
        <v>2.0979116796067601</v>
      </c>
      <c r="Q282">
        <f>(inputs!$C$7*11.2*(10*F282^0.667)*0.5/F282)*inputs!$E$80/(10^(0.84+0.62*LOG10(inputs!$E$80)))</f>
        <v>1.1086117421954231</v>
      </c>
      <c r="R282">
        <f>(60*284*((F282/1000)^0.77)*3*24*(MAX('Min rate concentrations'!$R$3:$R$368))/F282)*(inputs!$E$73*3.4/inputs!$E$75)</f>
        <v>8.9875132225665025E-3</v>
      </c>
      <c r="S282">
        <f>(IF(inputs!$C$6="aerial",((0.025*0.112*inputs!$C$7/3.3)*(3*60*284*((F282/1000)^0.77))*MAX(inputs!$H$14:$H$16))/F282,((0.0083*0.112*inputs!$C$7/1)*(3*60*284*((F282/1000)^0.77))*MAX(inputs!$H$14:$H$16))/F282))*(inputs!E$75*3.4/inputs!$E$73)</f>
        <v>4.9566687600070769E-2</v>
      </c>
      <c r="T282">
        <f>IF((((inputs!$P$12/(V282/MAX(K282:S282)))^(1/inputs!$O$12))-1)/inputs!$N$12&lt;0, 0, IF((((inputs!$P$12/(V282/MAX(K282:S282)))^(1/inputs!$O$12))-1)/inputs!$N$12&gt;inputs!$H$17, inputs!$H$17, (((inputs!$P$12/(V282/MAX(K282:S282)))^(1/inputs!$O$12))-1)/inputs!$N$12))</f>
        <v>406.32119449597366</v>
      </c>
      <c r="U282">
        <f>IF((((inputs!$P$12/(X282/MAX(K282:S282)))^(1/inputs!$O$12))-1)/inputs!$N$12&lt;0, 0, IF((((inputs!$P$12/(X282/MAX(K282:S282)))^(1/inputs!$O$12))-1)/inputs!$N$12&gt;inputs!$H$17, inputs!$H$17, (((inputs!$P$12/(X282/MAX(K282:S282)))^(1/inputs!$O$12))-1)/inputs!$N$12))</f>
        <v>25.038241997011635</v>
      </c>
      <c r="V282">
        <f>inputs!$E$78*(F282/inputs!$F$78)^(inputs!$E$84-1)</f>
        <v>2.3096084332340623E-2</v>
      </c>
      <c r="W282">
        <f>inputs!$E$85*(F282/inputs!$F$85)^(inputs!$E$84-1)</f>
        <v>1.066534627746178</v>
      </c>
      <c r="X282">
        <f>inputs!$E$80*(F282/inputs!$F$80)^(inputs!$E$84-1)</f>
        <v>3.9826293061407916</v>
      </c>
      <c r="Y282">
        <f>inputs!$E$82*(F282/inputs!$F$82)^(inputs!$E$84-1)</f>
        <v>1.8355309127281232</v>
      </c>
      <c r="Z282">
        <f t="shared" si="30"/>
        <v>1706.6234437168921</v>
      </c>
      <c r="AA282">
        <f t="shared" si="31"/>
        <v>36.957373866922865</v>
      </c>
    </row>
    <row r="283" spans="1:27" x14ac:dyDescent="0.3">
      <c r="A283" t="s">
        <v>180</v>
      </c>
      <c r="B283" t="s">
        <v>181</v>
      </c>
      <c r="C283" t="s">
        <v>73</v>
      </c>
      <c r="D283" t="s">
        <v>141</v>
      </c>
      <c r="E283">
        <v>140</v>
      </c>
      <c r="F283">
        <v>59</v>
      </c>
      <c r="G283" t="s">
        <v>152</v>
      </c>
      <c r="H283">
        <v>0.77</v>
      </c>
      <c r="I283">
        <f>MAX('Min rate concentrations'!$G$3:$G$368)</f>
        <v>7.5</v>
      </c>
      <c r="J283">
        <f>MAX('Min rate concentrations'!Z:Z)</f>
        <v>3.5</v>
      </c>
      <c r="K283">
        <f t="shared" si="29"/>
        <v>7.0402599930405563</v>
      </c>
      <c r="L283">
        <f t="shared" si="32"/>
        <v>3.2854546634189261</v>
      </c>
      <c r="M283">
        <f>IF((((1.18*F283^0.874)-(0.398*F283^0.85)/(1-H283)*H283)*(MAX('Min rate concentrations'!$P$3:$P$368)))/F283&gt;0, (((1.18*F283^0.874)-(0.398*F283^0.85)/(1-H283)*H283)*(MAX('Min rate concentrations'!$P$3:$P$368)))/F283, 0)</f>
        <v>0</v>
      </c>
      <c r="N283">
        <f>IF((((1.18*F283^0.874)-(0.398*F283^0.85)/(1-H283)*H283)*(MAX('Min rate concentrations'!$Q$3:$Q$368)))/F283&gt;0, (((1.18*F283^0.874)-(0.398*F283^0.85)/(1-H283)*H283)*(MAX('Min rate concentrations'!$Q$3:$Q$368)))/F283, 0)</f>
        <v>0</v>
      </c>
      <c r="O283">
        <f>((MAX('Min rate concentrations'!$F$3:$F$368))*0.62*6.01*8*(10*F283^0.667)*0.079*0.1/F283)*inputs!$E$80/(10^(0.84+0.62*LOG10(inputs!$E$80)))</f>
        <v>6.293735038820282</v>
      </c>
      <c r="P283">
        <f>((MAX('Min rate concentrations'!Y:Y))*0.62*6.01*8*(10*F283^0.667)*0.079*0.1/F283)*inputs!$E$80/(10^(0.84+0.62*LOG10(inputs!$E$80)))</f>
        <v>2.0979116796067601</v>
      </c>
      <c r="Q283">
        <f>(inputs!$C$7*11.2*(10*F283^0.667)*0.5/F283)*inputs!$E$80/(10^(0.84+0.62*LOG10(inputs!$E$80)))</f>
        <v>1.1086117421954231</v>
      </c>
      <c r="R283">
        <f>(60*284*((F283/1000)^0.77)*3*24*(MAX('Min rate concentrations'!$R$3:$R$368))/F283)*(inputs!$E$73*3.4/inputs!$E$75)</f>
        <v>8.9875132225665025E-3</v>
      </c>
      <c r="S283">
        <f>(IF(inputs!$C$6="aerial",((0.025*0.112*inputs!$C$7/3.3)*(3*60*284*((F283/1000)^0.77))*MAX(inputs!$H$14:$H$16))/F283,((0.0083*0.112*inputs!$C$7/1)*(3*60*284*((F283/1000)^0.77))*MAX(inputs!$H$14:$H$16))/F283))*(inputs!E$75*3.4/inputs!$E$73)</f>
        <v>4.9566687600070769E-2</v>
      </c>
      <c r="T283">
        <f>IF((((inputs!$P$12/(V283/MAX(K283:S283)))^(1/inputs!$O$12))-1)/inputs!$N$12&lt;0, 0, IF((((inputs!$P$12/(V283/MAX(K283:S283)))^(1/inputs!$O$12))-1)/inputs!$N$12&gt;inputs!$H$17, inputs!$H$17, (((inputs!$P$12/(V283/MAX(K283:S283)))^(1/inputs!$O$12))-1)/inputs!$N$12))</f>
        <v>187.29784039422145</v>
      </c>
      <c r="U283">
        <f>IF((((inputs!$P$12/(X283/MAX(K283:S283)))^(1/inputs!$O$12))-1)/inputs!$N$12&lt;0, 0, IF((((inputs!$P$12/(X283/MAX(K283:S283)))^(1/inputs!$O$12))-1)/inputs!$N$12&gt;inputs!$H$17, inputs!$H$17, (((inputs!$P$12/(X283/MAX(K283:S283)))^(1/inputs!$O$12))-1)/inputs!$N$12))</f>
        <v>0</v>
      </c>
      <c r="V283">
        <f>inputs!$E$78*(F283/inputs!$F$78)^(inputs!$E$84-1)</f>
        <v>2.3096084332340623E-2</v>
      </c>
      <c r="W283">
        <f>inputs!$E$85*(F283/inputs!$F$85)^(inputs!$E$84-1)</f>
        <v>1.066534627746178</v>
      </c>
      <c r="X283">
        <f>inputs!$E$80*(F283/inputs!$F$80)^(inputs!$E$84-1)</f>
        <v>3.9826293061407916</v>
      </c>
      <c r="Y283">
        <f>inputs!$E$82*(F283/inputs!$F$82)^(inputs!$E$84-1)</f>
        <v>1.8355309127281232</v>
      </c>
      <c r="Z283">
        <f t="shared" si="30"/>
        <v>304.82483055287133</v>
      </c>
      <c r="AA283">
        <f t="shared" si="31"/>
        <v>6.6010608656168737</v>
      </c>
    </row>
    <row r="284" spans="1:27" x14ac:dyDescent="0.3">
      <c r="A284" t="s">
        <v>180</v>
      </c>
      <c r="B284" t="s">
        <v>181</v>
      </c>
      <c r="C284" t="s">
        <v>73</v>
      </c>
      <c r="D284" t="s">
        <v>141</v>
      </c>
      <c r="E284">
        <v>140</v>
      </c>
      <c r="F284">
        <v>59</v>
      </c>
      <c r="G284" t="s">
        <v>456</v>
      </c>
      <c r="H284">
        <v>0.68</v>
      </c>
      <c r="I284">
        <f>MAX('Min rate concentrations'!$J$3:$J$368)</f>
        <v>114.4108103430513</v>
      </c>
      <c r="J284">
        <f>MAX('Min rate concentrations'!AB:AB)</f>
        <v>40.520495329830666</v>
      </c>
      <c r="K284">
        <f t="shared" si="29"/>
        <v>77.192010704497079</v>
      </c>
      <c r="L284">
        <f t="shared" si="32"/>
        <v>27.338837124509382</v>
      </c>
      <c r="M284">
        <f>IF((((1.18*F284^0.874)-(0.398*F284^0.85)/(1-H284)*H284)*(MAX('Min rate concentrations'!$P$3:$P$368)))/F284&gt;0, (((1.18*F284^0.874)-(0.398*F284^0.85)/(1-H284)*H284)*(MAX('Min rate concentrations'!$P$3:$P$368)))/F284, 0)</f>
        <v>3.5870196363426303E-2</v>
      </c>
      <c r="N284">
        <f>IF((((1.18*F284^0.874)-(0.398*F284^0.85)/(1-H284)*H284)*(MAX('Min rate concentrations'!$Q$3:$Q$368)))/F284&gt;0, (((1.18*F284^0.874)-(0.398*F284^0.85)/(1-H284)*H284)*(MAX('Min rate concentrations'!$Q$3:$Q$368)))/F284, 0)</f>
        <v>0.13659563511802381</v>
      </c>
      <c r="O284">
        <f>((MAX('Min rate concentrations'!$F$3:$F$368))*0.62*6.01*8*(10*F284^0.667)*0.079*0.1/F284)*inputs!$E$80/(10^(0.84+0.62*LOG10(inputs!$E$80)))</f>
        <v>6.293735038820282</v>
      </c>
      <c r="P284">
        <f>((MAX('Min rate concentrations'!Y:Y))*0.62*6.01*8*(10*F284^0.667)*0.079*0.1/F284)*inputs!$E$80/(10^(0.84+0.62*LOG10(inputs!$E$80)))</f>
        <v>2.0979116796067601</v>
      </c>
      <c r="Q284">
        <f>(inputs!$C$7*11.2*(10*F284^0.667)*0.5/F284)*inputs!$E$80/(10^(0.84+0.62*LOG10(inputs!$E$80)))</f>
        <v>1.1086117421954231</v>
      </c>
      <c r="R284">
        <f>(60*284*((F284/1000)^0.77)*3*24*(MAX('Min rate concentrations'!$R$3:$R$368))/F284)*(inputs!$E$73*3.4/inputs!$E$75)</f>
        <v>8.9875132225665025E-3</v>
      </c>
      <c r="S284">
        <f>(IF(inputs!$C$6="aerial",((0.025*0.112*inputs!$C$7/3.3)*(3*60*284*((F284/1000)^0.77))*MAX(inputs!$H$14:$H$16))/F284,((0.0083*0.112*inputs!$C$7/1)*(3*60*284*((F284/1000)^0.77))*MAX(inputs!$H$14:$H$16))/F284))*(inputs!E$75*3.4/inputs!$E$73)</f>
        <v>4.9566687600070769E-2</v>
      </c>
      <c r="T284">
        <f>IF((((inputs!$P$12/(V284/MAX(K284:S284)))^(1/inputs!$O$12))-1)/inputs!$N$12&lt;0, 0, IF((((inputs!$P$12/(V284/MAX(K284:S284)))^(1/inputs!$O$12))-1)/inputs!$N$12&gt;inputs!$H$17, inputs!$H$17, (((inputs!$P$12/(V284/MAX(K284:S284)))^(1/inputs!$O$12))-1)/inputs!$N$12))</f>
        <v>543.02195405332066</v>
      </c>
      <c r="U284">
        <f>IF((((inputs!$P$12/(X284/MAX(K284:S284)))^(1/inputs!$O$12))-1)/inputs!$N$12&lt;0, 0, IF((((inputs!$P$12/(X284/MAX(K284:S284)))^(1/inputs!$O$12))-1)/inputs!$N$12&gt;inputs!$H$17, inputs!$H$17, (((inputs!$P$12/(X284/MAX(K284:S284)))^(1/inputs!$O$12))-1)/inputs!$N$12))</f>
        <v>41.867051481547591</v>
      </c>
      <c r="V284">
        <f>inputs!$E$78*(F284/inputs!$F$78)^(inputs!$E$84-1)</f>
        <v>2.3096084332340623E-2</v>
      </c>
      <c r="W284">
        <f>inputs!$E$85*(F284/inputs!$F$85)^(inputs!$E$84-1)</f>
        <v>1.066534627746178</v>
      </c>
      <c r="X284">
        <f>inputs!$E$80*(F284/inputs!$F$80)^(inputs!$E$84-1)</f>
        <v>3.9826293061407916</v>
      </c>
      <c r="Y284">
        <f>inputs!$E$82*(F284/inputs!$F$82)^(inputs!$E$84-1)</f>
        <v>1.8355309127281232</v>
      </c>
      <c r="Z284">
        <f t="shared" si="30"/>
        <v>3342.212021472742</v>
      </c>
      <c r="AA284">
        <f t="shared" si="31"/>
        <v>72.376469264407064</v>
      </c>
    </row>
    <row r="285" spans="1:27" x14ac:dyDescent="0.3">
      <c r="A285" t="s">
        <v>180</v>
      </c>
      <c r="B285" t="s">
        <v>181</v>
      </c>
      <c r="C285" t="s">
        <v>73</v>
      </c>
      <c r="D285" t="s">
        <v>141</v>
      </c>
      <c r="E285">
        <v>140</v>
      </c>
      <c r="F285">
        <v>59</v>
      </c>
      <c r="G285" t="s">
        <v>145</v>
      </c>
      <c r="H285">
        <v>0.66</v>
      </c>
      <c r="I285">
        <f>MAX('Min rate concentrations'!$M$3:$M$368)</f>
        <v>2.8488184789681945</v>
      </c>
      <c r="J285">
        <f>MAX('Min rate concentrations'!AE:AE)</f>
        <v>1.9699276716269429</v>
      </c>
      <c r="K285">
        <f t="shared" si="29"/>
        <v>1.8090106807569875</v>
      </c>
      <c r="L285">
        <f t="shared" si="32"/>
        <v>1.2509116409489809</v>
      </c>
      <c r="M285">
        <f>IF((((1.18*F285^0.874)-(0.398*F285^0.85)/(1-H285)*H285)*(MAX('Min rate concentrations'!$P$3:$P$368)))/F285&gt;0, (((1.18*F285^0.874)-(0.398*F285^0.85)/(1-H285)*H285)*(MAX('Min rate concentrations'!$P$3:$P$368)))/F285, 0)</f>
        <v>4.1630793699682145E-2</v>
      </c>
      <c r="N285">
        <f>IF((((1.18*F285^0.874)-(0.398*F285^0.85)/(1-H285)*H285)*(MAX('Min rate concentrations'!$Q$3:$Q$368)))/F285&gt;0, (((1.18*F285^0.874)-(0.398*F285^0.85)/(1-H285)*H285)*(MAX('Min rate concentrations'!$Q$3:$Q$368)))/F285, 0)</f>
        <v>0.15853229930108831</v>
      </c>
      <c r="O285">
        <f>((MAX('Min rate concentrations'!$F$3:$F$368))*0.62*6.01*8*(10*F285^0.667)*0.079*0.1/F285)*inputs!$E$80/(10^(0.84+0.62*LOG10(inputs!$E$80)))</f>
        <v>6.293735038820282</v>
      </c>
      <c r="P285">
        <f>((MAX('Min rate concentrations'!Y:Y))*0.62*6.01*8*(10*F285^0.667)*0.079*0.1/F285)*inputs!$E$80/(10^(0.84+0.62*LOG10(inputs!$E$80)))</f>
        <v>2.0979116796067601</v>
      </c>
      <c r="Q285">
        <f>(inputs!$C$7*11.2*(10*F285^0.667)*0.5/F285)*inputs!$E$80/(10^(0.84+0.62*LOG10(inputs!$E$80)))</f>
        <v>1.1086117421954231</v>
      </c>
      <c r="R285">
        <f>(60*284*((F285/1000)^0.77)*3*24*(MAX('Min rate concentrations'!$R$3:$R$368))/F285)*(inputs!$E$73*3.4/inputs!$E$75)</f>
        <v>8.9875132225665025E-3</v>
      </c>
      <c r="S285">
        <f>(IF(inputs!$C$6="aerial",((0.025*0.112*inputs!$C$7/3.3)*(3*60*284*((F285/1000)^0.77))*MAX(inputs!$H$14:$H$16))/F285,((0.0083*0.112*inputs!$C$7/1)*(3*60*284*((F285/1000)^0.77))*MAX(inputs!$H$14:$H$16))/F285))*(inputs!E$75*3.4/inputs!$E$73)</f>
        <v>4.9566687600070769E-2</v>
      </c>
      <c r="T285">
        <f>IF((((inputs!$P$12/(V285/MAX(K285:S285)))^(1/inputs!$O$12))-1)/inputs!$N$12&lt;0, 0, IF((((inputs!$P$12/(V285/MAX(K285:S285)))^(1/inputs!$O$12))-1)/inputs!$N$12&gt;inputs!$H$17, inputs!$H$17, (((inputs!$P$12/(V285/MAX(K285:S285)))^(1/inputs!$O$12))-1)/inputs!$N$12))</f>
        <v>177.68071702402852</v>
      </c>
      <c r="U285">
        <f>IF((((inputs!$P$12/(X285/MAX(K285:S285)))^(1/inputs!$O$12))-1)/inputs!$N$12&lt;0, 0, IF((((inputs!$P$12/(X285/MAX(K285:S285)))^(1/inputs!$O$12))-1)/inputs!$N$12&gt;inputs!$H$17, inputs!$H$17, (((inputs!$P$12/(X285/MAX(K285:S285)))^(1/inputs!$O$12))-1)/inputs!$N$12))</f>
        <v>0</v>
      </c>
      <c r="V285">
        <f>inputs!$E$78*(F285/inputs!$F$78)^(inputs!$E$84-1)</f>
        <v>2.3096084332340623E-2</v>
      </c>
      <c r="W285">
        <f>inputs!$E$85*(F285/inputs!$F$85)^(inputs!$E$84-1)</f>
        <v>1.066534627746178</v>
      </c>
      <c r="X285">
        <f>inputs!$E$80*(F285/inputs!$F$80)^(inputs!$E$84-1)</f>
        <v>3.9826293061407916</v>
      </c>
      <c r="Y285">
        <f>inputs!$E$82*(F285/inputs!$F$82)^(inputs!$E$84-1)</f>
        <v>1.8355309127281232</v>
      </c>
      <c r="Z285">
        <f t="shared" si="30"/>
        <v>272.50225398629107</v>
      </c>
      <c r="AA285">
        <f t="shared" si="31"/>
        <v>5.9011070762140436</v>
      </c>
    </row>
    <row r="286" spans="1:27" x14ac:dyDescent="0.3">
      <c r="A286" t="s">
        <v>180</v>
      </c>
      <c r="B286" t="s">
        <v>181</v>
      </c>
      <c r="C286" t="s">
        <v>73</v>
      </c>
      <c r="D286" t="s">
        <v>141</v>
      </c>
      <c r="E286">
        <v>140</v>
      </c>
      <c r="F286">
        <v>59</v>
      </c>
      <c r="G286" t="s">
        <v>154</v>
      </c>
      <c r="H286">
        <v>9.2999999999999999E-2</v>
      </c>
      <c r="I286">
        <f>MAX('Min rate concentrations'!$G$3:$G$368)</f>
        <v>7.5</v>
      </c>
      <c r="J286">
        <f>MAX('Min rate concentrations'!Z:Z)</f>
        <v>3.5</v>
      </c>
      <c r="K286">
        <f t="shared" si="29"/>
        <v>1.785291949723625</v>
      </c>
      <c r="M286">
        <f>IF((((1.18*F286^0.874)-(0.398*F286^0.85)/(1-H286)*H286)*(MAX('Min rate concentrations'!$P$3:$P$368)))/F286&gt;0, (((1.18*F286^0.874)-(0.398*F286^0.85)/(1-H286)*H286)*(MAX('Min rate concentrations'!$P$3:$P$368)))/F286, 0)</f>
        <v>9.9249469592199255E-2</v>
      </c>
      <c r="N286">
        <f>IF((((1.18*F286^0.874)-(0.398*F286^0.85)/(1-H286)*H286)*(MAX('Min rate concentrations'!$Q$3:$Q$368)))/F286&gt;0, (((1.18*F286^0.874)-(0.398*F286^0.85)/(1-H286)*H286)*(MAX('Min rate concentrations'!$Q$3:$Q$368)))/F286, 0)</f>
        <v>0.37794731304834395</v>
      </c>
      <c r="O286">
        <f>((MAX('Min rate concentrations'!$F$3:$F$368))*0.62*6.01*8*(10*F286^0.667)*0.079*0.1/F286)*inputs!$E$80/(10^(0.84+0.62*LOG10(inputs!$E$80)))</f>
        <v>6.293735038820282</v>
      </c>
      <c r="P286">
        <f>((MAX('Min rate concentrations'!Y:Y))*0.62*6.01*8*(10*F286^0.667)*0.079*0.1/F286)*inputs!$E$80/(10^(0.84+0.62*LOG10(inputs!$E$80)))</f>
        <v>2.0979116796067601</v>
      </c>
      <c r="Q286">
        <f>(inputs!$C$7*11.2*(10*F286^0.667)*0.5/F286)*inputs!$E$80/(10^(0.84+0.62*LOG10(inputs!$E$80)))</f>
        <v>1.1086117421954231</v>
      </c>
      <c r="R286">
        <f>(60*284*((F286/1000)^0.77)*3*24*(MAX('Min rate concentrations'!$R$3:$R$368))/F286)*(inputs!$E$73*3.4/inputs!$E$75)</f>
        <v>8.9875132225665025E-3</v>
      </c>
      <c r="S286">
        <f>(IF(inputs!$C$6="aerial",((0.025*0.112*inputs!$C$7/3.3)*(3*60*284*((F286/1000)^0.77))*MAX(inputs!$H$14:$H$16))/F286,((0.0083*0.112*inputs!$C$7/1)*(3*60*284*((F286/1000)^0.77))*MAX(inputs!$H$14:$H$16))/F286))*(inputs!E$75*3.4/inputs!$E$73)</f>
        <v>4.9566687600070769E-2</v>
      </c>
      <c r="T286">
        <f>IF((((inputs!$P$12/(V286/MAX(K286:S286)))^(1/inputs!$O$12))-1)/inputs!$N$12&lt;0, 0, IF((((inputs!$P$12/(V286/MAX(K286:S286)))^(1/inputs!$O$12))-1)/inputs!$N$12&gt;inputs!$H$17, inputs!$H$17, (((inputs!$P$12/(V286/MAX(K286:S286)))^(1/inputs!$O$12))-1)/inputs!$N$12))</f>
        <v>177.68071702402852</v>
      </c>
      <c r="U286">
        <f>IF((((inputs!$P$12/(X286/MAX(K286:S286)))^(1/inputs!$O$12))-1)/inputs!$N$12&lt;0, 0, IF((((inputs!$P$12/(X286/MAX(K286:S286)))^(1/inputs!$O$12))-1)/inputs!$N$12&gt;inputs!$H$17, inputs!$H$17, (((inputs!$P$12/(X286/MAX(K286:S286)))^(1/inputs!$O$12))-1)/inputs!$N$12))</f>
        <v>0</v>
      </c>
      <c r="V286">
        <f>inputs!$E$78*(F286/inputs!$F$78)^(inputs!$E$84-1)</f>
        <v>2.3096084332340623E-2</v>
      </c>
      <c r="W286">
        <f>inputs!$E$85*(F286/inputs!$F$85)^(inputs!$E$84-1)</f>
        <v>1.066534627746178</v>
      </c>
      <c r="X286">
        <f>inputs!$E$80*(F286/inputs!$F$80)^(inputs!$E$84-1)</f>
        <v>3.9826293061407916</v>
      </c>
      <c r="Y286">
        <f>inputs!$E$82*(F286/inputs!$F$82)^(inputs!$E$84-1)</f>
        <v>1.8355309127281232</v>
      </c>
      <c r="Z286">
        <f t="shared" si="30"/>
        <v>272.50225398629107</v>
      </c>
      <c r="AA286">
        <f t="shared" si="31"/>
        <v>5.9011070762140436</v>
      </c>
    </row>
    <row r="287" spans="1:27" x14ac:dyDescent="0.3">
      <c r="A287" t="s">
        <v>228</v>
      </c>
      <c r="B287" t="s">
        <v>229</v>
      </c>
      <c r="C287" t="s">
        <v>73</v>
      </c>
      <c r="D287" t="s">
        <v>141</v>
      </c>
      <c r="E287">
        <v>139</v>
      </c>
      <c r="F287">
        <v>9.4</v>
      </c>
      <c r="G287" t="s">
        <v>142</v>
      </c>
      <c r="H287">
        <v>0.69</v>
      </c>
      <c r="I287">
        <f>MAX('Min rate concentrations'!$H$3:$H$368)</f>
        <v>47</v>
      </c>
      <c r="J287">
        <f>MAX('Min rate concentrations'!AA:AA)</f>
        <v>32.5</v>
      </c>
      <c r="K287">
        <f t="shared" si="29"/>
        <v>43.117151135153009</v>
      </c>
      <c r="L287">
        <f>((0.398*F287^0.85)/(1-H287))*J287/F287</f>
        <v>29.815051316861119</v>
      </c>
      <c r="M287">
        <f>IF((((1.18*F287^0.874)-(0.398*F287^0.85)/(1-H287)*H287)*(MAX('Min rate concentrations'!$P$3:$P$368)))/F287&gt;0, (((1.18*F287^0.874)-(0.398*F287^0.85)/(1-H287)*H287)*(MAX('Min rate concentrations'!$P$3:$P$368)))/F287, 0)</f>
        <v>3.7267239303106339E-2</v>
      </c>
      <c r="N287">
        <f>IF((((1.18*F287^0.874)-(0.398*F287^0.85)/(1-H287)*H287)*(MAX('Min rate concentrations'!$Q$3:$Q$368)))/F287&gt;0, (((1.18*F287^0.874)-(0.398*F287^0.85)/(1-H287)*H287)*(MAX('Min rate concentrations'!$Q$3:$Q$368)))/F287, 0)</f>
        <v>0.14191564969779674</v>
      </c>
      <c r="O287">
        <f>((MAX('Min rate concentrations'!$F$3:$F$368))*0.62*6.01*8*(10*F287^0.667)*0.079*0.1/F287)*inputs!$E$80/(10^(0.84+0.62*LOG10(inputs!$E$80)))</f>
        <v>11.60247390010945</v>
      </c>
      <c r="P287">
        <f>((MAX('Min rate concentrations'!Y:Y))*0.62*6.01*8*(10*F287^0.667)*0.079*0.1/F287)*inputs!$E$80/(10^(0.84+0.62*LOG10(inputs!$E$80)))</f>
        <v>3.8674913000364826</v>
      </c>
      <c r="Q287">
        <f>(inputs!$C$7*11.2*(10*F287^0.667)*0.5/F287)*inputs!$E$80/(10^(0.84+0.62*LOG10(inputs!$E$80)))</f>
        <v>2.0437210535301276</v>
      </c>
      <c r="R287">
        <f>(60*284*((F287/1000)^0.77)*3*24*(MAX('Min rate concentrations'!$R$3:$R$368))/F287)*(inputs!$E$73*3.4/inputs!$E$75)</f>
        <v>1.3712482889923307E-2</v>
      </c>
      <c r="S287">
        <f>(IF(inputs!$C$6="aerial",((0.025*0.112*inputs!$C$7/3.3)*(3*60*284*((F287/1000)^0.77))*MAX(inputs!$H$14:$H$16))/F287,((0.0083*0.112*inputs!$C$7/1)*(3*60*284*((F287/1000)^0.77))*MAX(inputs!$H$14:$H$16))/F287))*(inputs!E$75*3.4/inputs!$E$73)</f>
        <v>7.5625185609691045E-2</v>
      </c>
      <c r="T287">
        <f>IF((((inputs!$P$12/(V287/MAX(K287:S287)))^(1/inputs!$O$12))-1)/inputs!$N$12&lt;0, 0, IF((((inputs!$P$12/(V287/MAX(K287:S287)))^(1/inputs!$O$12))-1)/inputs!$N$12&gt;inputs!$H$17, inputs!$H$17, (((inputs!$P$12/(V287/MAX(K287:S287)))^(1/inputs!$O$12))-1)/inputs!$N$12))</f>
        <v>313.56945073558489</v>
      </c>
      <c r="U287">
        <f>IF((((inputs!$P$12/(X287/MAX(K287:S287)))^(1/inputs!$O$12))-1)/inputs!$N$12&lt;0, 0, IF((((inputs!$P$12/(X287/MAX(K287:S287)))^(1/inputs!$O$12))-1)/inputs!$N$12&gt;inputs!$H$17, inputs!$H$17, (((inputs!$P$12/(X287/MAX(K287:S287)))^(1/inputs!$O$12))-1)/inputs!$N$12))</f>
        <v>13.619860488697718</v>
      </c>
      <c r="V287">
        <f>inputs!$E$78*(F287/inputs!$F$78)^(inputs!$E$84-1)</f>
        <v>4.5571811793226592E-2</v>
      </c>
      <c r="W287">
        <f>inputs!$E$85*(F287/inputs!$F$85)^(inputs!$E$84-1)</f>
        <v>2.1044223179662316</v>
      </c>
      <c r="X287">
        <f>inputs!$E$80*(F287/inputs!$F$80)^(inputs!$E$84-1)</f>
        <v>7.8582858708865606</v>
      </c>
      <c r="Y287">
        <f>inputs!$E$82*(F287/inputs!$F$82)^(inputs!$E$84-1)</f>
        <v>3.6217597793564291</v>
      </c>
      <c r="Z287">
        <f t="shared" si="30"/>
        <v>946.13642597289879</v>
      </c>
      <c r="AA287">
        <f t="shared" si="31"/>
        <v>20.48883000671773</v>
      </c>
    </row>
    <row r="288" spans="1:27" x14ac:dyDescent="0.3">
      <c r="A288" t="s">
        <v>273</v>
      </c>
      <c r="B288" t="s">
        <v>274</v>
      </c>
      <c r="C288" t="s">
        <v>73</v>
      </c>
      <c r="D288" t="s">
        <v>141</v>
      </c>
      <c r="E288">
        <v>97</v>
      </c>
      <c r="F288">
        <v>10</v>
      </c>
      <c r="G288" t="s">
        <v>142</v>
      </c>
      <c r="H288">
        <v>0.69</v>
      </c>
      <c r="I288">
        <f>MAX('Min rate concentrations'!$H$3:$H$368)</f>
        <v>47</v>
      </c>
      <c r="J288">
        <f>MAX('Min rate concentrations'!AA:AA)</f>
        <v>32.5</v>
      </c>
      <c r="K288">
        <f t="shared" si="29"/>
        <v>42.718818847386075</v>
      </c>
      <c r="L288">
        <f>((0.398*F288^0.85)/(1-H288))*J288/F288</f>
        <v>29.539608777447818</v>
      </c>
      <c r="M288">
        <f>IF((((1.18*F288^0.874)-(0.398*F288^0.85)/(1-H288)*H288)*(MAX('Min rate concentrations'!$P$3:$P$368)))/F288&gt;0, (((1.18*F288^0.874)-(0.398*F288^0.85)/(1-H288)*H288)*(MAX('Min rate concentrations'!$P$3:$P$368)))/F288, 0)</f>
        <v>3.7113102292412867E-2</v>
      </c>
      <c r="N288">
        <f>IF((((1.18*F288^0.874)-(0.398*F288^0.85)/(1-H288)*H288)*(MAX('Min rate concentrations'!$Q$3:$Q$368)))/F288&gt;0, (((1.18*F288^0.874)-(0.398*F288^0.85)/(1-H288)*H288)*(MAX('Min rate concentrations'!$Q$3:$Q$368)))/F288, 0)</f>
        <v>0.1413286876790347</v>
      </c>
      <c r="O288">
        <f>((MAX('Min rate concentrations'!$F$3:$F$368))*0.62*6.01*8*(10*F288^0.667)*0.079*0.1/F288)*inputs!$E$80/(10^(0.84+0.62*LOG10(inputs!$E$80)))</f>
        <v>11.365856679188141</v>
      </c>
      <c r="P288">
        <f>((MAX('Min rate concentrations'!Y:Y))*0.62*6.01*8*(10*F288^0.667)*0.079*0.1/F288)*inputs!$E$80/(10^(0.84+0.62*LOG10(inputs!$E$80)))</f>
        <v>3.788618893062714</v>
      </c>
      <c r="Q288">
        <f>(inputs!$C$7*11.2*(10*F288^0.667)*0.5/F288)*inputs!$E$80/(10^(0.84+0.62*LOG10(inputs!$E$80)))</f>
        <v>2.0020420460884383</v>
      </c>
      <c r="R288">
        <f>(60*284*((F288/1000)^0.77)*3*24*(MAX('Min rate concentrations'!$R$3:$R$368))/F288)*(inputs!$E$73*3.4/inputs!$E$75)</f>
        <v>1.3518717882921229E-2</v>
      </c>
      <c r="S288">
        <f>(IF(inputs!$C$6="aerial",((0.025*0.112*inputs!$C$7/3.3)*(3*60*284*((F288/1000)^0.77))*MAX(inputs!$H$14:$H$16))/F288,((0.0083*0.112*inputs!$C$7/1)*(3*60*284*((F288/1000)^0.77))*MAX(inputs!$H$14:$H$16))/F288))*(inputs!E$75*3.4/inputs!$E$73)</f>
        <v>7.4556559691480159E-2</v>
      </c>
      <c r="T288">
        <f>IF((((inputs!$P$12/(V288/MAX(K288:S288)))^(1/inputs!$O$12))-1)/inputs!$N$12&lt;0, 0, IF((((inputs!$P$12/(V288/MAX(K288:S288)))^(1/inputs!$O$12))-1)/inputs!$N$12&gt;inputs!$H$17, inputs!$H$17, (((inputs!$P$12/(V288/MAX(K288:S288)))^(1/inputs!$O$12))-1)/inputs!$N$12))</f>
        <v>315.46859221038483</v>
      </c>
      <c r="U288">
        <f>IF((((inputs!$P$12/(X288/MAX(K288:S288)))^(1/inputs!$O$12))-1)/inputs!$N$12&lt;0, 0, IF((((inputs!$P$12/(X288/MAX(K288:S288)))^(1/inputs!$O$12))-1)/inputs!$N$12&gt;inputs!$H$17, inputs!$H$17, (((inputs!$P$12/(X288/MAX(K288:S288)))^(1/inputs!$O$12))-1)/inputs!$N$12))</f>
        <v>13.853657946495886</v>
      </c>
      <c r="V288">
        <f>inputs!$E$78*(F288/inputs!$F$78)^(inputs!$E$84-1)</f>
        <v>4.4540347491078519E-2</v>
      </c>
      <c r="W288">
        <f>inputs!$E$85*(F288/inputs!$F$85)^(inputs!$E$84-1)</f>
        <v>2.0567911966170365</v>
      </c>
      <c r="X288">
        <f>inputs!$E$80*(F288/inputs!$F$80)^(inputs!$E$84-1)</f>
        <v>7.6804228228104519</v>
      </c>
      <c r="Y288">
        <f>inputs!$E$82*(F288/inputs!$F$82)^(inputs!$E$84-1)</f>
        <v>3.5397855111330823</v>
      </c>
      <c r="Z288">
        <f t="shared" si="30"/>
        <v>959.10385198370318</v>
      </c>
      <c r="AA288">
        <f t="shared" si="31"/>
        <v>20.769642984494013</v>
      </c>
    </row>
    <row r="289" spans="1:27" x14ac:dyDescent="0.3">
      <c r="A289" t="s">
        <v>273</v>
      </c>
      <c r="B289" t="s">
        <v>274</v>
      </c>
      <c r="C289" t="s">
        <v>73</v>
      </c>
      <c r="D289" t="s">
        <v>141</v>
      </c>
      <c r="E289">
        <v>97</v>
      </c>
      <c r="F289">
        <v>10</v>
      </c>
      <c r="G289" t="s">
        <v>152</v>
      </c>
      <c r="H289">
        <v>0.77</v>
      </c>
      <c r="I289">
        <f>MAX('Min rate concentrations'!$G$3:$G$368)</f>
        <v>7.5</v>
      </c>
      <c r="J289">
        <f>MAX('Min rate concentrations'!Z:Z)</f>
        <v>3.5</v>
      </c>
      <c r="K289">
        <f t="shared" si="29"/>
        <v>9.1879050712463144</v>
      </c>
      <c r="L289">
        <f>((0.398*F289^0.85)/(1-H289))*J289/F289</f>
        <v>4.2876890332482791</v>
      </c>
      <c r="M289">
        <f>IF((((1.18*F289^0.874)-(0.398*F289^0.85)/(1-H289)*H289)*(MAX('Min rate concentrations'!$P$3:$P$368)))/F289&gt;0, (((1.18*F289^0.874)-(0.398*F289^0.85)/(1-H289)*H289)*(MAX('Min rate concentrations'!$P$3:$P$368)))/F289, 0)</f>
        <v>0</v>
      </c>
      <c r="N289">
        <f>IF((((1.18*F289^0.874)-(0.398*F289^0.85)/(1-H289)*H289)*(MAX('Min rate concentrations'!$Q$3:$Q$368)))/F289&gt;0, (((1.18*F289^0.874)-(0.398*F289^0.85)/(1-H289)*H289)*(MAX('Min rate concentrations'!$Q$3:$Q$368)))/F289, 0)</f>
        <v>0</v>
      </c>
      <c r="O289">
        <f>((MAX('Min rate concentrations'!$F$3:$F$368))*0.62*6.01*8*(10*F289^0.667)*0.079*0.1/F289)*inputs!$E$80/(10^(0.84+0.62*LOG10(inputs!$E$80)))</f>
        <v>11.365856679188141</v>
      </c>
      <c r="P289">
        <f>((MAX('Min rate concentrations'!Y:Y))*0.62*6.01*8*(10*F289^0.667)*0.079*0.1/F289)*inputs!$E$80/(10^(0.84+0.62*LOG10(inputs!$E$80)))</f>
        <v>3.788618893062714</v>
      </c>
      <c r="Q289">
        <f>(inputs!$C$7*11.2*(10*F289^0.667)*0.5/F289)*inputs!$E$80/(10^(0.84+0.62*LOG10(inputs!$E$80)))</f>
        <v>2.0020420460884383</v>
      </c>
      <c r="R289">
        <f>(60*284*((F289/1000)^0.77)*3*24*(MAX('Min rate concentrations'!$R$3:$R$368))/F289)*(inputs!$E$73*3.4/inputs!$E$75)</f>
        <v>1.3518717882921229E-2</v>
      </c>
      <c r="S289">
        <f>(IF(inputs!$C$6="aerial",((0.025*0.112*inputs!$C$7/3.3)*(3*60*284*((F289/1000)^0.77))*MAX(inputs!$H$14:$H$16))/F289,((0.0083*0.112*inputs!$C$7/1)*(3*60*284*((F289/1000)^0.77))*MAX(inputs!$H$14:$H$16))/F289))*(inputs!E$75*3.4/inputs!$E$73)</f>
        <v>7.4556559691480159E-2</v>
      </c>
      <c r="T289">
        <f>IF((((inputs!$P$12/(V289/MAX(K289:S289)))^(1/inputs!$O$12))-1)/inputs!$N$12&lt;0, 0, IF((((inputs!$P$12/(V289/MAX(K289:S289)))^(1/inputs!$O$12))-1)/inputs!$N$12&gt;inputs!$H$17, inputs!$H$17, (((inputs!$P$12/(V289/MAX(K289:S289)))^(1/inputs!$O$12))-1)/inputs!$N$12))</f>
        <v>172.24646044995569</v>
      </c>
      <c r="U289">
        <f>IF((((inputs!$P$12/(X289/MAX(K289:S289)))^(1/inputs!$O$12))-1)/inputs!$N$12&lt;0, 0, IF((((inputs!$P$12/(X289/MAX(K289:S289)))^(1/inputs!$O$12))-1)/inputs!$N$12&gt;inputs!$H$17, inputs!$H$17, (((inputs!$P$12/(X289/MAX(K289:S289)))^(1/inputs!$O$12))-1)/inputs!$N$12))</f>
        <v>0</v>
      </c>
      <c r="V289">
        <f>inputs!$E$78*(F289/inputs!$F$78)^(inputs!$E$84-1)</f>
        <v>4.4540347491078519E-2</v>
      </c>
      <c r="W289">
        <f>inputs!$E$85*(F289/inputs!$F$85)^(inputs!$E$84-1)</f>
        <v>2.0567911966170365</v>
      </c>
      <c r="X289">
        <f>inputs!$E$80*(F289/inputs!$F$80)^(inputs!$E$84-1)</f>
        <v>7.6804228228104519</v>
      </c>
      <c r="Y289">
        <f>inputs!$E$82*(F289/inputs!$F$82)^(inputs!$E$84-1)</f>
        <v>3.5397855111330823</v>
      </c>
      <c r="Z289">
        <f t="shared" si="30"/>
        <v>255.18114068294449</v>
      </c>
      <c r="AA289">
        <f t="shared" si="31"/>
        <v>5.5260138695082146</v>
      </c>
    </row>
    <row r="290" spans="1:27" x14ac:dyDescent="0.3">
      <c r="A290" t="s">
        <v>273</v>
      </c>
      <c r="B290" t="s">
        <v>274</v>
      </c>
      <c r="C290" t="s">
        <v>73</v>
      </c>
      <c r="D290" t="s">
        <v>141</v>
      </c>
      <c r="E290">
        <v>97</v>
      </c>
      <c r="F290">
        <v>10</v>
      </c>
      <c r="G290" t="s">
        <v>177</v>
      </c>
      <c r="H290">
        <v>0.85</v>
      </c>
      <c r="I290">
        <f>MAX('Min rate concentrations'!$F$3:$F$368)</f>
        <v>67.5</v>
      </c>
      <c r="J290">
        <f>MAX('Min rate concentrations'!Y:Y)</f>
        <v>22.5</v>
      </c>
      <c r="K290">
        <f t="shared" si="29"/>
        <v>126.7930899831991</v>
      </c>
      <c r="L290">
        <f>((0.398*F290^0.85)/(1-H290))*J290/F290</f>
        <v>42.26436332773303</v>
      </c>
      <c r="M290">
        <f>IF((((1.18*F290^0.874)-(0.398*F290^0.85)/(1-H290)*H290)*(MAX('Min rate concentrations'!$P$3:$P$368)))/F290&gt;0, (((1.18*F290^0.874)-(0.398*F290^0.85)/(1-H290)*H290)*(MAX('Min rate concentrations'!$P$3:$P$368)))/F290, 0)</f>
        <v>0</v>
      </c>
      <c r="N290">
        <f>IF((((1.18*F290^0.874)-(0.398*F290^0.85)/(1-H290)*H290)*(MAX('Min rate concentrations'!$Q$3:$Q$368)))/F290&gt;0, (((1.18*F290^0.874)-(0.398*F290^0.85)/(1-H290)*H290)*(MAX('Min rate concentrations'!$Q$3:$Q$368)))/F290, 0)</f>
        <v>0</v>
      </c>
      <c r="O290">
        <f>((MAX('Min rate concentrations'!$F$3:$F$368))*0.62*6.01*8*(10*F290^0.667)*0.079*0.1/F290)*inputs!$E$80/(10^(0.84+0.62*LOG10(inputs!$E$80)))</f>
        <v>11.365856679188141</v>
      </c>
      <c r="P290">
        <f>((MAX('Min rate concentrations'!Y:Y))*0.62*6.01*8*(10*F290^0.667)*0.079*0.1/F290)*inputs!$E$80/(10^(0.84+0.62*LOG10(inputs!$E$80)))</f>
        <v>3.788618893062714</v>
      </c>
      <c r="Q290">
        <f>(inputs!$C$7*11.2*(10*F290^0.667)*0.5/F290)*inputs!$E$80/(10^(0.84+0.62*LOG10(inputs!$E$80)))</f>
        <v>2.0020420460884383</v>
      </c>
      <c r="R290">
        <f>(60*284*((F290/1000)^0.77)*3*24*(MAX('Min rate concentrations'!$R$3:$R$368))/F290)*(inputs!$E$73*3.4/inputs!$E$75)</f>
        <v>1.3518717882921229E-2</v>
      </c>
      <c r="S290">
        <f>(IF(inputs!$C$6="aerial",((0.025*0.112*inputs!$C$7/3.3)*(3*60*284*((F290/1000)^0.77))*MAX(inputs!$H$14:$H$16))/F290,((0.0083*0.112*inputs!$C$7/1)*(3*60*284*((F290/1000)^0.77))*MAX(inputs!$H$14:$H$16))/F290))*(inputs!E$75*3.4/inputs!$E$73)</f>
        <v>7.4556559691480159E-2</v>
      </c>
      <c r="T290">
        <f>IF((((inputs!$P$12/(V290/MAX(K290:S290)))^(1/inputs!$O$12))-1)/inputs!$N$12&lt;0, 0, IF((((inputs!$P$12/(V290/MAX(K290:S290)))^(1/inputs!$O$12))-1)/inputs!$N$12&gt;inputs!$H$17, inputs!$H$17, (((inputs!$P$12/(V290/MAX(K290:S290)))^(1/inputs!$O$12))-1)/inputs!$N$12))</f>
        <v>506.91090272023371</v>
      </c>
      <c r="U290">
        <f>IF((((inputs!$P$12/(X290/MAX(K290:S290)))^(1/inputs!$O$12))-1)/inputs!$N$12&lt;0, 0, IF((((inputs!$P$12/(X290/MAX(K290:S290)))^(1/inputs!$O$12))-1)/inputs!$N$12&gt;inputs!$H$17, inputs!$H$17, (((inputs!$P$12/(X290/MAX(K290:S290)))^(1/inputs!$O$12))-1)/inputs!$N$12))</f>
        <v>37.42153117033174</v>
      </c>
      <c r="V290">
        <f>inputs!$E$78*(F290/inputs!$F$78)^(inputs!$E$84-1)</f>
        <v>4.4540347491078519E-2</v>
      </c>
      <c r="W290">
        <f>inputs!$E$85*(F290/inputs!$F$85)^(inputs!$E$84-1)</f>
        <v>2.0567911966170365</v>
      </c>
      <c r="X290">
        <f>inputs!$E$80*(F290/inputs!$F$80)^(inputs!$E$84-1)</f>
        <v>7.6804228228104519</v>
      </c>
      <c r="Y290">
        <f>inputs!$E$82*(F290/inputs!$F$82)^(inputs!$E$84-1)</f>
        <v>3.5397855111330823</v>
      </c>
      <c r="Z290">
        <f t="shared" si="30"/>
        <v>2846.7018585473743</v>
      </c>
      <c r="AA290">
        <f t="shared" si="31"/>
        <v>61.646068007168395</v>
      </c>
    </row>
    <row r="291" spans="1:27" x14ac:dyDescent="0.3">
      <c r="A291" t="s">
        <v>273</v>
      </c>
      <c r="B291" t="s">
        <v>274</v>
      </c>
      <c r="C291" t="s">
        <v>73</v>
      </c>
      <c r="D291" t="s">
        <v>141</v>
      </c>
      <c r="E291">
        <v>97</v>
      </c>
      <c r="F291">
        <v>10</v>
      </c>
      <c r="G291" t="s">
        <v>153</v>
      </c>
      <c r="H291">
        <v>0.7</v>
      </c>
      <c r="I291">
        <f>MAX('Min rate concentrations'!$E$3:$E$368)</f>
        <v>55</v>
      </c>
      <c r="J291">
        <f>MAX('Min rate concentrations'!X:X)</f>
        <v>18</v>
      </c>
      <c r="K291">
        <f t="shared" si="29"/>
        <v>51.656444067229266</v>
      </c>
      <c r="M291">
        <f>IF((((1.18*F291^0.874)-(0.398*F291^0.85)/(1-H291)*H291)*(MAX('Min rate concentrations'!$P$3:$P$368)))/F291&gt;0, (((1.18*F291^0.874)-(0.398*F291^0.85)/(1-H291)*H291)*(MAX('Min rate concentrations'!$P$3:$P$368)))/F291, 0)</f>
        <v>3.2715547370558776E-2</v>
      </c>
      <c r="N291">
        <f>IF((((1.18*F291^0.874)-(0.398*F291^0.85)/(1-H291)*H291)*(MAX('Min rate concentrations'!$Q$3:$Q$368)))/F291&gt;0, (((1.18*F291^0.874)-(0.398*F291^0.85)/(1-H291)*H291)*(MAX('Min rate concentrations'!$Q$3:$Q$368)))/F291, 0)</f>
        <v>0.12458256224857792</v>
      </c>
      <c r="O291">
        <f>((MAX('Min rate concentrations'!$F$3:$F$368))*0.62*6.01*8*(10*F291^0.667)*0.079*0.1/F291)*inputs!$E$80/(10^(0.84+0.62*LOG10(inputs!$E$80)))</f>
        <v>11.365856679188141</v>
      </c>
      <c r="P291">
        <f>((MAX('Min rate concentrations'!Y:Y))*0.62*6.01*8*(10*F291^0.667)*0.079*0.1/F291)*inputs!$E$80/(10^(0.84+0.62*LOG10(inputs!$E$80)))</f>
        <v>3.788618893062714</v>
      </c>
      <c r="Q291">
        <f>(inputs!$C$7*11.2*(10*F291^0.667)*0.5/F291)*inputs!$E$80/(10^(0.84+0.62*LOG10(inputs!$E$80)))</f>
        <v>2.0020420460884383</v>
      </c>
      <c r="R291">
        <f>(60*284*((F291/1000)^0.77)*3*24*(MAX('Min rate concentrations'!$R$3:$R$368))/F291)*(inputs!$E$73*3.4/inputs!$E$75)</f>
        <v>1.3518717882921229E-2</v>
      </c>
      <c r="S291">
        <f>(IF(inputs!$C$6="aerial",((0.025*0.112*inputs!$C$7/3.3)*(3*60*284*((F291/1000)^0.77))*MAX(inputs!$H$14:$H$16))/F291,((0.0083*0.112*inputs!$C$7/1)*(3*60*284*((F291/1000)^0.77))*MAX(inputs!$H$14:$H$16))/F291))*(inputs!E$75*3.4/inputs!$E$73)</f>
        <v>7.4556559691480159E-2</v>
      </c>
      <c r="T291">
        <f>IF((((inputs!$P$12/(V291/MAX(K291:S291)))^(1/inputs!$O$12))-1)/inputs!$N$12&lt;0, 0, IF((((inputs!$P$12/(V291/MAX(K291:S291)))^(1/inputs!$O$12))-1)/inputs!$N$12&gt;inputs!$H$17, inputs!$H$17, (((inputs!$P$12/(V291/MAX(K291:S291)))^(1/inputs!$O$12))-1)/inputs!$N$12))</f>
        <v>343.09997713843677</v>
      </c>
      <c r="U291">
        <f>IF((((inputs!$P$12/(X291/MAX(K291:S291)))^(1/inputs!$O$12))-1)/inputs!$N$12&lt;0, 0, IF((((inputs!$P$12/(X291/MAX(K291:S291)))^(1/inputs!$O$12))-1)/inputs!$N$12&gt;inputs!$H$17, inputs!$H$17, (((inputs!$P$12/(X291/MAX(K291:S291)))^(1/inputs!$O$12))-1)/inputs!$N$12))</f>
        <v>17.255272643106206</v>
      </c>
      <c r="V291">
        <f>inputs!$E$78*(F291/inputs!$F$78)^(inputs!$E$84-1)</f>
        <v>4.4540347491078519E-2</v>
      </c>
      <c r="W291">
        <f>inputs!$E$85*(F291/inputs!$F$85)^(inputs!$E$84-1)</f>
        <v>2.0567911966170365</v>
      </c>
      <c r="X291">
        <f>inputs!$E$80*(F291/inputs!$F$80)^(inputs!$E$84-1)</f>
        <v>7.6804228228104519</v>
      </c>
      <c r="Y291">
        <f>inputs!$E$82*(F291/inputs!$F$82)^(inputs!$E$84-1)</f>
        <v>3.5397855111330823</v>
      </c>
      <c r="Z291">
        <f t="shared" si="30"/>
        <v>1159.767423852634</v>
      </c>
      <c r="AA291">
        <f t="shared" si="31"/>
        <v>25.1150647436612</v>
      </c>
    </row>
    <row r="292" spans="1:27" x14ac:dyDescent="0.3">
      <c r="A292" t="s">
        <v>299</v>
      </c>
      <c r="B292" t="s">
        <v>300</v>
      </c>
      <c r="C292" t="s">
        <v>73</v>
      </c>
      <c r="D292" t="s">
        <v>141</v>
      </c>
      <c r="E292">
        <v>112</v>
      </c>
      <c r="F292">
        <v>13.7</v>
      </c>
      <c r="G292" t="s">
        <v>142</v>
      </c>
      <c r="H292">
        <v>0.69</v>
      </c>
      <c r="I292">
        <f>MAX('Min rate concentrations'!$H$3:$H$368)</f>
        <v>47</v>
      </c>
      <c r="J292">
        <f>MAX('Min rate concentrations'!AA:AA)</f>
        <v>32.5</v>
      </c>
      <c r="K292">
        <f t="shared" si="29"/>
        <v>40.748455396584667</v>
      </c>
      <c r="L292">
        <f>((0.398*F292^0.85)/(1-H292))*J292/F292</f>
        <v>28.177123412531948</v>
      </c>
      <c r="M292">
        <f>IF((((1.18*F292^0.874)-(0.398*F292^0.85)/(1-H292)*H292)*(MAX('Min rate concentrations'!$P$3:$P$368)))/F292&gt;0, (((1.18*F292^0.874)-(0.398*F292^0.85)/(1-H292)*H292)*(MAX('Min rate concentrations'!$P$3:$P$368)))/F292, 0)</f>
        <v>3.632831364273037E-2</v>
      </c>
      <c r="N292">
        <f>IF((((1.18*F292^0.874)-(0.398*F292^0.85)/(1-H292)*H292)*(MAX('Min rate concentrations'!$Q$3:$Q$368)))/F292&gt;0, (((1.18*F292^0.874)-(0.398*F292^0.85)/(1-H292)*H292)*(MAX('Min rate concentrations'!$Q$3:$Q$368)))/F292, 0)</f>
        <v>0.13834017033302712</v>
      </c>
      <c r="O292">
        <f>((MAX('Min rate concentrations'!$F$3:$F$368))*0.62*6.01*8*(10*F292^0.667)*0.079*0.1/F292)*inputs!$E$80/(10^(0.84+0.62*LOG10(inputs!$E$80)))</f>
        <v>10.234679011962578</v>
      </c>
      <c r="P292">
        <f>((MAX('Min rate concentrations'!Y:Y))*0.62*6.01*8*(10*F292^0.667)*0.079*0.1/F292)*inputs!$E$80/(10^(0.84+0.62*LOG10(inputs!$E$80)))</f>
        <v>3.4115596706541922</v>
      </c>
      <c r="Q292">
        <f>(inputs!$C$7*11.2*(10*F292^0.667)*0.5/F292)*inputs!$E$80/(10^(0.84+0.62*LOG10(inputs!$E$80)))</f>
        <v>1.8027904352944526</v>
      </c>
      <c r="R292">
        <f>(60*284*((F292/1000)^0.77)*3*24*(MAX('Min rate concentrations'!$R$3:$R$368))/F292)*(inputs!$E$73*3.4/inputs!$E$75)</f>
        <v>1.2574472475029172E-2</v>
      </c>
      <c r="S292">
        <f>(IF(inputs!$C$6="aerial",((0.025*0.112*inputs!$C$7/3.3)*(3*60*284*((F292/1000)^0.77))*MAX(inputs!$H$14:$H$16))/F292,((0.0083*0.112*inputs!$C$7/1)*(3*60*284*((F292/1000)^0.77))*MAX(inputs!$H$14:$H$16))/F292))*(inputs!E$75*3.4/inputs!$E$73)</f>
        <v>6.9348988254114105E-2</v>
      </c>
      <c r="T292">
        <f>IF((((inputs!$P$12/(V292/MAX(K292:S292)))^(1/inputs!$O$12))-1)/inputs!$N$12&lt;0, 0, IF((((inputs!$P$12/(V292/MAX(K292:S292)))^(1/inputs!$O$12))-1)/inputs!$N$12&gt;inputs!$H$17, inputs!$H$17, (((inputs!$P$12/(V292/MAX(K292:S292)))^(1/inputs!$O$12))-1)/inputs!$N$12))</f>
        <v>325.29561366601257</v>
      </c>
      <c r="U292">
        <f>IF((((inputs!$P$12/(X292/MAX(K292:S292)))^(1/inputs!$O$12))-1)/inputs!$N$12&lt;0, 0, IF((((inputs!$P$12/(X292/MAX(K292:S292)))^(1/inputs!$O$12))-1)/inputs!$N$12&gt;inputs!$H$17, inputs!$H$17, (((inputs!$P$12/(X292/MAX(K292:S292)))^(1/inputs!$O$12))-1)/inputs!$N$12))</f>
        <v>15.063432291662071</v>
      </c>
      <c r="V292">
        <f>inputs!$E$78*(F292/inputs!$F$78)^(inputs!$E$84-1)</f>
        <v>3.9643043690778076E-2</v>
      </c>
      <c r="W292">
        <f>inputs!$E$85*(F292/inputs!$F$85)^(inputs!$E$84-1)</f>
        <v>1.8306427287445148</v>
      </c>
      <c r="X292">
        <f>inputs!$E$80*(F292/inputs!$F$80)^(inputs!$E$84-1)</f>
        <v>6.8359443668307822</v>
      </c>
      <c r="Y292">
        <f>inputs!$E$82*(F292/inputs!$F$82)^(inputs!$E$84-1)</f>
        <v>3.1505787354249946</v>
      </c>
      <c r="Z292">
        <f t="shared" si="30"/>
        <v>1027.8841280308588</v>
      </c>
      <c r="AA292">
        <f t="shared" si="31"/>
        <v>22.259097723852776</v>
      </c>
    </row>
    <row r="293" spans="1:27" x14ac:dyDescent="0.3">
      <c r="A293" t="s">
        <v>311</v>
      </c>
      <c r="B293" t="s">
        <v>312</v>
      </c>
      <c r="C293" t="s">
        <v>73</v>
      </c>
      <c r="D293" t="s">
        <v>141</v>
      </c>
      <c r="E293">
        <v>137</v>
      </c>
      <c r="F293">
        <v>46.3</v>
      </c>
      <c r="G293" t="s">
        <v>142</v>
      </c>
      <c r="H293">
        <v>0.69</v>
      </c>
      <c r="I293">
        <f>MAX('Min rate concentrations'!$H$3:$H$368)</f>
        <v>47</v>
      </c>
      <c r="J293">
        <f>MAX('Min rate concentrations'!AA:AA)</f>
        <v>32.5</v>
      </c>
      <c r="K293">
        <f t="shared" si="29"/>
        <v>33.945490427252281</v>
      </c>
      <c r="L293">
        <f>((0.398*F293^0.85)/(1-H293))*J293/F293</f>
        <v>23.472945508206362</v>
      </c>
      <c r="M293">
        <f>IF((((1.18*F293^0.874)-(0.398*F293^0.85)/(1-H293)*H293)*(MAX('Min rate concentrations'!$P$3:$P$368)))/F293&gt;0, (((1.18*F293^0.874)-(0.398*F293^0.85)/(1-H293)*H293)*(MAX('Min rate concentrations'!$P$3:$P$368)))/F293, 0)</f>
        <v>3.3306048138348809E-2</v>
      </c>
      <c r="N293">
        <f>IF((((1.18*F293^0.874)-(0.398*F293^0.85)/(1-H293)*H293)*(MAX('Min rate concentrations'!$Q$3:$Q$368)))/F293&gt;0, (((1.18*F293^0.874)-(0.398*F293^0.85)/(1-H293)*H293)*(MAX('Min rate concentrations'!$Q$3:$Q$368)))/F293, 0)</f>
        <v>0.12683122090092369</v>
      </c>
      <c r="O293">
        <f>((MAX('Min rate concentrations'!$F$3:$F$368))*0.62*6.01*8*(10*F293^0.667)*0.079*0.1/F293)*inputs!$E$80/(10^(0.84+0.62*LOG10(inputs!$E$80)))</f>
        <v>6.8228167249242624</v>
      </c>
      <c r="P293">
        <f>((MAX('Min rate concentrations'!Y:Y))*0.62*6.01*8*(10*F293^0.667)*0.079*0.1/F293)*inputs!$E$80/(10^(0.84+0.62*LOG10(inputs!$E$80)))</f>
        <v>2.2742722416414205</v>
      </c>
      <c r="Q293">
        <f>(inputs!$C$7*11.2*(10*F293^0.667)*0.5/F293)*inputs!$E$80/(10^(0.84+0.62*LOG10(inputs!$E$80)))</f>
        <v>1.2018069857475524</v>
      </c>
      <c r="R293">
        <f>(60*284*((F293/1000)^0.77)*3*24*(MAX('Min rate concentrations'!$R$3:$R$368))/F293)*(inputs!$E$73*3.4/inputs!$E$75)</f>
        <v>9.5028063030988905E-3</v>
      </c>
      <c r="S293">
        <f>(IF(inputs!$C$6="aerial",((0.025*0.112*inputs!$C$7/3.3)*(3*60*284*((F293/1000)^0.77))*MAX(inputs!$H$14:$H$16))/F293,((0.0083*0.112*inputs!$C$7/1)*(3*60*284*((F293/1000)^0.77))*MAX(inputs!$H$14:$H$16))/F293))*(inputs!E$75*3.4/inputs!$E$73)</f>
        <v>5.2408560597942515E-2</v>
      </c>
      <c r="T293">
        <f>IF((((inputs!$P$12/(V293/MAX(K293:S293)))^(1/inputs!$O$12))-1)/inputs!$N$12&lt;0, 0, IF((((inputs!$P$12/(V293/MAX(K293:S293)))^(1/inputs!$O$12))-1)/inputs!$N$12&gt;inputs!$H$17, inputs!$H$17, (((inputs!$P$12/(V293/MAX(K293:S293)))^(1/inputs!$O$12))-1)/inputs!$N$12))</f>
        <v>366.02504065172548</v>
      </c>
      <c r="U293">
        <f>IF((((inputs!$P$12/(X293/MAX(K293:S293)))^(1/inputs!$O$12))-1)/inputs!$N$12&lt;0, 0, IF((((inputs!$P$12/(X293/MAX(K293:S293)))^(1/inputs!$O$12))-1)/inputs!$N$12&gt;inputs!$H$17, inputs!$H$17, (((inputs!$P$12/(X293/MAX(K293:S293)))^(1/inputs!$O$12))-1)/inputs!$N$12))</f>
        <v>20.077506605340872</v>
      </c>
      <c r="V293">
        <f>inputs!$E$78*(F293/inputs!$F$78)^(inputs!$E$84-1)</f>
        <v>2.526321594050698E-2</v>
      </c>
      <c r="W293">
        <f>inputs!$E$85*(F293/inputs!$F$85)^(inputs!$E$84-1)</f>
        <v>1.1666087732045156</v>
      </c>
      <c r="X293">
        <f>inputs!$E$80*(F293/inputs!$F$80)^(inputs!$E$84-1)</f>
        <v>4.3563238999409126</v>
      </c>
      <c r="Y293">
        <f>inputs!$E$82*(F293/inputs!$F$82)^(inputs!$E$84-1)</f>
        <v>2.0077608457981864</v>
      </c>
      <c r="Z293">
        <f t="shared" si="30"/>
        <v>1343.6725754627369</v>
      </c>
      <c r="AA293">
        <f t="shared" si="31"/>
        <v>29.097578560127435</v>
      </c>
    </row>
    <row r="294" spans="1:27" x14ac:dyDescent="0.3">
      <c r="A294" t="s">
        <v>311</v>
      </c>
      <c r="B294" t="s">
        <v>312</v>
      </c>
      <c r="C294" t="s">
        <v>73</v>
      </c>
      <c r="D294" t="s">
        <v>141</v>
      </c>
      <c r="E294">
        <v>137</v>
      </c>
      <c r="F294">
        <v>46.3</v>
      </c>
      <c r="G294" t="s">
        <v>152</v>
      </c>
      <c r="H294">
        <v>0.77</v>
      </c>
      <c r="I294">
        <f>MAX('Min rate concentrations'!$G$3:$G$368)</f>
        <v>7.5</v>
      </c>
      <c r="J294">
        <f>MAX('Min rate concentrations'!Z:Z)</f>
        <v>3.5</v>
      </c>
      <c r="K294">
        <f t="shared" si="29"/>
        <v>7.3009496062314128</v>
      </c>
      <c r="L294">
        <f>((0.398*F294^0.85)/(1-H294))*J294/F294</f>
        <v>3.4071098162413258</v>
      </c>
      <c r="M294">
        <f>IF((((1.18*F294^0.874)-(0.398*F294^0.85)/(1-H294)*H294)*(MAX('Min rate concentrations'!$P$3:$P$368)))/F294&gt;0, (((1.18*F294^0.874)-(0.398*F294^0.85)/(1-H294)*H294)*(MAX('Min rate concentrations'!$P$3:$P$368)))/F294, 0)</f>
        <v>0</v>
      </c>
      <c r="N294">
        <f>IF((((1.18*F294^0.874)-(0.398*F294^0.85)/(1-H294)*H294)*(MAX('Min rate concentrations'!$Q$3:$Q$368)))/F294&gt;0, (((1.18*F294^0.874)-(0.398*F294^0.85)/(1-H294)*H294)*(MAX('Min rate concentrations'!$Q$3:$Q$368)))/F294, 0)</f>
        <v>0</v>
      </c>
      <c r="O294">
        <f>((MAX('Min rate concentrations'!$F$3:$F$368))*0.62*6.01*8*(10*F294^0.667)*0.079*0.1/F294)*inputs!$E$80/(10^(0.84+0.62*LOG10(inputs!$E$80)))</f>
        <v>6.8228167249242624</v>
      </c>
      <c r="P294">
        <f>((MAX('Min rate concentrations'!Y:Y))*0.62*6.01*8*(10*F294^0.667)*0.079*0.1/F294)*inputs!$E$80/(10^(0.84+0.62*LOG10(inputs!$E$80)))</f>
        <v>2.2742722416414205</v>
      </c>
      <c r="Q294">
        <f>(inputs!$C$7*11.2*(10*F294^0.667)*0.5/F294)*inputs!$E$80/(10^(0.84+0.62*LOG10(inputs!$E$80)))</f>
        <v>1.2018069857475524</v>
      </c>
      <c r="R294">
        <f>(60*284*((F294/1000)^0.77)*3*24*(MAX('Min rate concentrations'!$R$3:$R$368))/F294)*(inputs!$E$73*3.4/inputs!$E$75)</f>
        <v>9.5028063030988905E-3</v>
      </c>
      <c r="S294">
        <f>(IF(inputs!$C$6="aerial",((0.025*0.112*inputs!$C$7/3.3)*(3*60*284*((F294/1000)^0.77))*MAX(inputs!$H$14:$H$16))/F294,((0.0083*0.112*inputs!$C$7/1)*(3*60*284*((F294/1000)^0.77))*MAX(inputs!$H$14:$H$16))/F294))*(inputs!E$75*3.4/inputs!$E$73)</f>
        <v>5.2408560597942515E-2</v>
      </c>
      <c r="T294">
        <f>IF((((inputs!$P$12/(V294/MAX(K294:S294)))^(1/inputs!$O$12))-1)/inputs!$N$12&lt;0, 0, IF((((inputs!$P$12/(V294/MAX(K294:S294)))^(1/inputs!$O$12))-1)/inputs!$N$12&gt;inputs!$H$17, inputs!$H$17, (((inputs!$P$12/(V294/MAX(K294:S294)))^(1/inputs!$O$12))-1)/inputs!$N$12))</f>
        <v>182.66779825495007</v>
      </c>
      <c r="U294">
        <f>IF((((inputs!$P$12/(X294/MAX(K294:S294)))^(1/inputs!$O$12))-1)/inputs!$N$12&lt;0, 0, IF((((inputs!$P$12/(X294/MAX(K294:S294)))^(1/inputs!$O$12))-1)/inputs!$N$12&gt;inputs!$H$17, inputs!$H$17, (((inputs!$P$12/(X294/MAX(K294:S294)))^(1/inputs!$O$12))-1)/inputs!$N$12))</f>
        <v>0</v>
      </c>
      <c r="V294">
        <f>inputs!$E$78*(F294/inputs!$F$78)^(inputs!$E$84-1)</f>
        <v>2.526321594050698E-2</v>
      </c>
      <c r="W294">
        <f>inputs!$E$85*(F294/inputs!$F$85)^(inputs!$E$84-1)</f>
        <v>1.1666087732045156</v>
      </c>
      <c r="X294">
        <f>inputs!$E$80*(F294/inputs!$F$80)^(inputs!$E$84-1)</f>
        <v>4.3563238999409126</v>
      </c>
      <c r="Y294">
        <f>inputs!$E$82*(F294/inputs!$F$82)^(inputs!$E$84-1)</f>
        <v>2.0077608457981864</v>
      </c>
      <c r="Z294">
        <f t="shared" si="30"/>
        <v>288.99525790479777</v>
      </c>
      <c r="AA294">
        <f t="shared" si="31"/>
        <v>6.2582673591393432</v>
      </c>
    </row>
    <row r="295" spans="1:27" x14ac:dyDescent="0.3">
      <c r="A295" t="s">
        <v>311</v>
      </c>
      <c r="B295" t="s">
        <v>312</v>
      </c>
      <c r="C295" t="s">
        <v>73</v>
      </c>
      <c r="D295" t="s">
        <v>141</v>
      </c>
      <c r="E295">
        <v>137</v>
      </c>
      <c r="F295">
        <v>46.3</v>
      </c>
      <c r="G295" t="s">
        <v>154</v>
      </c>
      <c r="H295">
        <v>9.2999999999999999E-2</v>
      </c>
      <c r="I295">
        <f>MAX('Min rate concentrations'!$G$3:$G$368)</f>
        <v>7.5</v>
      </c>
      <c r="J295">
        <f>MAX('Min rate concentrations'!Z:Z)</f>
        <v>3.5</v>
      </c>
      <c r="K295">
        <f t="shared" si="29"/>
        <v>1.8513984668503032</v>
      </c>
      <c r="M295">
        <f>IF((((1.18*F295^0.874)-(0.398*F295^0.85)/(1-H295)*H295)*(MAX('Min rate concentrations'!$P$3:$P$368)))/F295&gt;0, (((1.18*F295^0.874)-(0.398*F295^0.85)/(1-H295)*H295)*(MAX('Min rate concentrations'!$P$3:$P$368)))/F295, 0)</f>
        <v>0.1023081662648941</v>
      </c>
      <c r="N295">
        <f>IF((((1.18*F295^0.874)-(0.398*F295^0.85)/(1-H295)*H295)*(MAX('Min rate concentrations'!$Q$3:$Q$368)))/F295&gt;0, (((1.18*F295^0.874)-(0.398*F295^0.85)/(1-H295)*H295)*(MAX('Min rate concentrations'!$Q$3:$Q$368)))/F295, 0)</f>
        <v>0.38959499432689249</v>
      </c>
      <c r="O295">
        <f>((MAX('Min rate concentrations'!$F$3:$F$368))*0.62*6.01*8*(10*F295^0.667)*0.079*0.1/F295)*inputs!$E$80/(10^(0.84+0.62*LOG10(inputs!$E$80)))</f>
        <v>6.8228167249242624</v>
      </c>
      <c r="P295">
        <f>((MAX('Min rate concentrations'!Y:Y))*0.62*6.01*8*(10*F295^0.667)*0.079*0.1/F295)*inputs!$E$80/(10^(0.84+0.62*LOG10(inputs!$E$80)))</f>
        <v>2.2742722416414205</v>
      </c>
      <c r="Q295">
        <f>(inputs!$C$7*11.2*(10*F295^0.667)*0.5/F295)*inputs!$E$80/(10^(0.84+0.62*LOG10(inputs!$E$80)))</f>
        <v>1.2018069857475524</v>
      </c>
      <c r="R295">
        <f>(60*284*((F295/1000)^0.77)*3*24*(MAX('Min rate concentrations'!$R$3:$R$368))/F295)*(inputs!$E$73*3.4/inputs!$E$75)</f>
        <v>9.5028063030988905E-3</v>
      </c>
      <c r="S295">
        <f>(IF(inputs!$C$6="aerial",((0.025*0.112*inputs!$C$7/3.3)*(3*60*284*((F295/1000)^0.77))*MAX(inputs!$H$14:$H$16))/F295,((0.0083*0.112*inputs!$C$7/1)*(3*60*284*((F295/1000)^0.77))*MAX(inputs!$H$14:$H$16))/F295))*(inputs!E$75*3.4/inputs!$E$73)</f>
        <v>5.2408560597942515E-2</v>
      </c>
      <c r="T295">
        <f>IF((((inputs!$P$12/(V295/MAX(K295:S295)))^(1/inputs!$O$12))-1)/inputs!$N$12&lt;0, 0, IF((((inputs!$P$12/(V295/MAX(K295:S295)))^(1/inputs!$O$12))-1)/inputs!$N$12&gt;inputs!$H$17, inputs!$H$17, (((inputs!$P$12/(V295/MAX(K295:S295)))^(1/inputs!$O$12))-1)/inputs!$N$12))</f>
        <v>176.93000473018395</v>
      </c>
      <c r="U295">
        <f>IF((((inputs!$P$12/(X295/MAX(K295:S295)))^(1/inputs!$O$12))-1)/inputs!$N$12&lt;0, 0, IF((((inputs!$P$12/(X295/MAX(K295:S295)))^(1/inputs!$O$12))-1)/inputs!$N$12&gt;inputs!$H$17, inputs!$H$17, (((inputs!$P$12/(X295/MAX(K295:S295)))^(1/inputs!$O$12))-1)/inputs!$N$12))</f>
        <v>0</v>
      </c>
      <c r="V295">
        <f>inputs!$E$78*(F295/inputs!$F$78)^(inputs!$E$84-1)</f>
        <v>2.526321594050698E-2</v>
      </c>
      <c r="W295">
        <f>inputs!$E$85*(F295/inputs!$F$85)^(inputs!$E$84-1)</f>
        <v>1.1666087732045156</v>
      </c>
      <c r="X295">
        <f>inputs!$E$80*(F295/inputs!$F$80)^(inputs!$E$84-1)</f>
        <v>4.3563238999409126</v>
      </c>
      <c r="Y295">
        <f>inputs!$E$82*(F295/inputs!$F$82)^(inputs!$E$84-1)</f>
        <v>2.0077608457981864</v>
      </c>
      <c r="Z295">
        <f t="shared" si="30"/>
        <v>270.06920817173454</v>
      </c>
      <c r="AA295">
        <f t="shared" si="31"/>
        <v>5.8484188372618808</v>
      </c>
    </row>
    <row r="296" spans="1:27" x14ac:dyDescent="0.3">
      <c r="A296" t="s">
        <v>281</v>
      </c>
      <c r="B296" t="s">
        <v>282</v>
      </c>
      <c r="C296" t="s">
        <v>73</v>
      </c>
      <c r="D296" t="s">
        <v>141</v>
      </c>
      <c r="E296">
        <v>77</v>
      </c>
      <c r="F296">
        <v>38</v>
      </c>
      <c r="G296" t="s">
        <v>142</v>
      </c>
      <c r="H296">
        <v>0.69</v>
      </c>
      <c r="I296">
        <f>MAX('Min rate concentrations'!$H$3:$H$368)</f>
        <v>47</v>
      </c>
      <c r="J296">
        <f>MAX('Min rate concentrations'!AA:AA)</f>
        <v>32.5</v>
      </c>
      <c r="K296">
        <f t="shared" si="29"/>
        <v>34.966462420746268</v>
      </c>
      <c r="L296">
        <f>((0.398*F296^0.85)/(1-H296))*J296/F296</f>
        <v>24.178936780303268</v>
      </c>
      <c r="M296">
        <f>IF((((1.18*F296^0.874)-(0.398*F296^0.85)/(1-H296)*H296)*(MAX('Min rate concentrations'!$P$3:$P$368)))/F296&gt;0, (((1.18*F296^0.874)-(0.398*F296^0.85)/(1-H296)*H296)*(MAX('Min rate concentrations'!$P$3:$P$368)))/F296, 0)</f>
        <v>3.3793067293856574E-2</v>
      </c>
      <c r="N296">
        <f>IF((((1.18*F296^0.874)-(0.398*F296^0.85)/(1-H296)*H296)*(MAX('Min rate concentrations'!$Q$3:$Q$368)))/F296&gt;0, (((1.18*F296^0.874)-(0.398*F296^0.85)/(1-H296)*H296)*(MAX('Min rate concentrations'!$Q$3:$Q$368)))/F296, 0)</f>
        <v>0.12868581601345716</v>
      </c>
      <c r="O296">
        <f>((MAX('Min rate concentrations'!$F$3:$F$368))*0.62*6.01*8*(10*F296^0.667)*0.079*0.1/F296)*inputs!$E$80/(10^(0.84+0.62*LOG10(inputs!$E$80)))</f>
        <v>7.2867561757891046</v>
      </c>
      <c r="P296">
        <f>((MAX('Min rate concentrations'!Y:Y))*0.62*6.01*8*(10*F296^0.667)*0.079*0.1/F296)*inputs!$E$80/(10^(0.84+0.62*LOG10(inputs!$E$80)))</f>
        <v>2.4289187252630344</v>
      </c>
      <c r="Q296">
        <f>(inputs!$C$7*11.2*(10*F296^0.667)*0.5/F296)*inputs!$E$80/(10^(0.84+0.62*LOG10(inputs!$E$80)))</f>
        <v>1.2835277318107468</v>
      </c>
      <c r="R296">
        <f>(60*284*((F296/1000)^0.77)*3*24*(MAX('Min rate concentrations'!$R$3:$R$368))/F296)*(inputs!$E$73*3.4/inputs!$E$75)</f>
        <v>9.9445532539701315E-3</v>
      </c>
      <c r="S296">
        <f>(IF(inputs!$C$6="aerial",((0.025*0.112*inputs!$C$7/3.3)*(3*60*284*((F296/1000)^0.77))*MAX(inputs!$H$14:$H$16))/F296,((0.0083*0.112*inputs!$C$7/1)*(3*60*284*((F296/1000)^0.77))*MAX(inputs!$H$14:$H$16))/F296))*(inputs!E$75*3.4/inputs!$E$73)</f>
        <v>5.4844822172183165E-2</v>
      </c>
      <c r="T296">
        <f>IF((((inputs!$P$12/(V296/MAX(K296:S296)))^(1/inputs!$O$12))-1)/inputs!$N$12&lt;0, 0, IF((((inputs!$P$12/(V296/MAX(K296:S296)))^(1/inputs!$O$12))-1)/inputs!$N$12&gt;inputs!$H$17, inputs!$H$17, (((inputs!$P$12/(V296/MAX(K296:S296)))^(1/inputs!$O$12))-1)/inputs!$N$12))</f>
        <v>359.11222160158525</v>
      </c>
      <c r="U296">
        <f>IF((((inputs!$P$12/(X296/MAX(K296:S296)))^(1/inputs!$O$12))-1)/inputs!$N$12&lt;0, 0, IF((((inputs!$P$12/(X296/MAX(K296:S296)))^(1/inputs!$O$12))-1)/inputs!$N$12&gt;inputs!$H$17, inputs!$H$17, (((inputs!$P$12/(X296/MAX(K296:S296)))^(1/inputs!$O$12))-1)/inputs!$N$12))</f>
        <v>19.226490742864453</v>
      </c>
      <c r="V296">
        <f>inputs!$E$78*(F296/inputs!$F$78)^(inputs!$E$84-1)</f>
        <v>2.717901230110276E-2</v>
      </c>
      <c r="W296">
        <f>inputs!$E$85*(F296/inputs!$F$85)^(inputs!$E$84-1)</f>
        <v>1.2550767199302031</v>
      </c>
      <c r="X296">
        <f>inputs!$E$80*(F296/inputs!$F$80)^(inputs!$E$84-1)</f>
        <v>4.6866788908786061</v>
      </c>
      <c r="Y296">
        <f>inputs!$E$82*(F296/inputs!$F$82)^(inputs!$E$84-1)</f>
        <v>2.1600162407718511</v>
      </c>
      <c r="Z296">
        <f t="shared" si="30"/>
        <v>1286.5243973316699</v>
      </c>
      <c r="AA296">
        <f t="shared" si="31"/>
        <v>27.860019921882394</v>
      </c>
    </row>
    <row r="297" spans="1:27" x14ac:dyDescent="0.3">
      <c r="A297" t="s">
        <v>281</v>
      </c>
      <c r="B297" t="s">
        <v>282</v>
      </c>
      <c r="C297" t="s">
        <v>73</v>
      </c>
      <c r="D297" t="s">
        <v>141</v>
      </c>
      <c r="E297">
        <v>77</v>
      </c>
      <c r="F297">
        <v>38</v>
      </c>
      <c r="G297" t="s">
        <v>152</v>
      </c>
      <c r="H297">
        <v>0.77</v>
      </c>
      <c r="I297">
        <f>MAX('Min rate concentrations'!$G$3:$G$368)</f>
        <v>7.5</v>
      </c>
      <c r="J297">
        <f>MAX('Min rate concentrations'!Z:Z)</f>
        <v>3.5</v>
      </c>
      <c r="K297">
        <f t="shared" si="29"/>
        <v>7.5205388647766043</v>
      </c>
      <c r="L297">
        <f>((0.398*F297^0.85)/(1-H297))*J297/F297</f>
        <v>3.5095848035624155</v>
      </c>
      <c r="M297">
        <f>IF((((1.18*F297^0.874)-(0.398*F297^0.85)/(1-H297)*H297)*(MAX('Min rate concentrations'!$P$3:$P$368)))/F297&gt;0, (((1.18*F297^0.874)-(0.398*F297^0.85)/(1-H297)*H297)*(MAX('Min rate concentrations'!$P$3:$P$368)))/F297, 0)</f>
        <v>0</v>
      </c>
      <c r="N297">
        <f>IF((((1.18*F297^0.874)-(0.398*F297^0.85)/(1-H297)*H297)*(MAX('Min rate concentrations'!$Q$3:$Q$368)))/F297&gt;0, (((1.18*F297^0.874)-(0.398*F297^0.85)/(1-H297)*H297)*(MAX('Min rate concentrations'!$Q$3:$Q$368)))/F297, 0)</f>
        <v>0</v>
      </c>
      <c r="O297">
        <f>((MAX('Min rate concentrations'!$F$3:$F$368))*0.62*6.01*8*(10*F297^0.667)*0.079*0.1/F297)*inputs!$E$80/(10^(0.84+0.62*LOG10(inputs!$E$80)))</f>
        <v>7.2867561757891046</v>
      </c>
      <c r="P297">
        <f>((MAX('Min rate concentrations'!Y:Y))*0.62*6.01*8*(10*F297^0.667)*0.079*0.1/F297)*inputs!$E$80/(10^(0.84+0.62*LOG10(inputs!$E$80)))</f>
        <v>2.4289187252630344</v>
      </c>
      <c r="Q297">
        <f>(inputs!$C$7*11.2*(10*F297^0.667)*0.5/F297)*inputs!$E$80/(10^(0.84+0.62*LOG10(inputs!$E$80)))</f>
        <v>1.2835277318107468</v>
      </c>
      <c r="R297">
        <f>(60*284*((F297/1000)^0.77)*3*24*(MAX('Min rate concentrations'!$R$3:$R$368))/F297)*(inputs!$E$73*3.4/inputs!$E$75)</f>
        <v>9.9445532539701315E-3</v>
      </c>
      <c r="S297">
        <f>(IF(inputs!$C$6="aerial",((0.025*0.112*inputs!$C$7/3.3)*(3*60*284*((F297/1000)^0.77))*MAX(inputs!$H$14:$H$16))/F297,((0.0083*0.112*inputs!$C$7/1)*(3*60*284*((F297/1000)^0.77))*MAX(inputs!$H$14:$H$16))/F297))*(inputs!E$75*3.4/inputs!$E$73)</f>
        <v>5.4844822172183165E-2</v>
      </c>
      <c r="T297">
        <f>IF((((inputs!$P$12/(V297/MAX(K297:S297)))^(1/inputs!$O$12))-1)/inputs!$N$12&lt;0, 0, IF((((inputs!$P$12/(V297/MAX(K297:S297)))^(1/inputs!$O$12))-1)/inputs!$N$12&gt;inputs!$H$17, inputs!$H$17, (((inputs!$P$12/(V297/MAX(K297:S297)))^(1/inputs!$O$12))-1)/inputs!$N$12))</f>
        <v>178.96782337063368</v>
      </c>
      <c r="U297">
        <f>IF((((inputs!$P$12/(X297/MAX(K297:S297)))^(1/inputs!$O$12))-1)/inputs!$N$12&lt;0, 0, IF((((inputs!$P$12/(X297/MAX(K297:S297)))^(1/inputs!$O$12))-1)/inputs!$N$12&gt;inputs!$H$17, inputs!$H$17, (((inputs!$P$12/(X297/MAX(K297:S297)))^(1/inputs!$O$12))-1)/inputs!$N$12))</f>
        <v>0</v>
      </c>
      <c r="V297">
        <f>inputs!$E$78*(F297/inputs!$F$78)^(inputs!$E$84-1)</f>
        <v>2.717901230110276E-2</v>
      </c>
      <c r="W297">
        <f>inputs!$E$85*(F297/inputs!$F$85)^(inputs!$E$84-1)</f>
        <v>1.2550767199302031</v>
      </c>
      <c r="X297">
        <f>inputs!$E$80*(F297/inputs!$F$80)^(inputs!$E$84-1)</f>
        <v>4.6866788908786061</v>
      </c>
      <c r="Y297">
        <f>inputs!$E$82*(F297/inputs!$F$82)^(inputs!$E$84-1)</f>
        <v>2.1600162407718511</v>
      </c>
      <c r="Z297">
        <f t="shared" si="30"/>
        <v>276.70390599409188</v>
      </c>
      <c r="AA297">
        <f t="shared" si="31"/>
        <v>5.9920949415704516</v>
      </c>
    </row>
    <row r="298" spans="1:27" x14ac:dyDescent="0.3">
      <c r="A298" t="s">
        <v>281</v>
      </c>
      <c r="B298" t="s">
        <v>282</v>
      </c>
      <c r="C298" t="s">
        <v>73</v>
      </c>
      <c r="D298" t="s">
        <v>141</v>
      </c>
      <c r="E298">
        <v>77</v>
      </c>
      <c r="F298">
        <v>38</v>
      </c>
      <c r="G298" t="s">
        <v>153</v>
      </c>
      <c r="H298">
        <v>0.7</v>
      </c>
      <c r="I298">
        <f>MAX('Min rate concentrations'!$E$3:$E$368)</f>
        <v>55</v>
      </c>
      <c r="J298">
        <f>MAX('Min rate concentrations'!X:X)</f>
        <v>18</v>
      </c>
      <c r="K298">
        <f t="shared" si="29"/>
        <v>42.282140728632896</v>
      </c>
      <c r="M298">
        <f>IF((((1.18*F298^0.874)-(0.398*F298^0.85)/(1-H298)*H298)*(MAX('Min rate concentrations'!$P$3:$P$368)))/F298&gt;0, (((1.18*F298^0.874)-(0.398*F298^0.85)/(1-H298)*H298)*(MAX('Min rate concentrations'!$P$3:$P$368)))/F298, 0)</f>
        <v>3.0193554407802418E-2</v>
      </c>
      <c r="N298">
        <f>IF((((1.18*F298^0.874)-(0.398*F298^0.85)/(1-H298)*H298)*(MAX('Min rate concentrations'!$Q$3:$Q$368)))/F298&gt;0, (((1.18*F298^0.874)-(0.398*F298^0.85)/(1-H298)*H298)*(MAX('Min rate concentrations'!$Q$3:$Q$368)))/F298, 0)</f>
        <v>0.11497867753546993</v>
      </c>
      <c r="O298">
        <f>((MAX('Min rate concentrations'!$F$3:$F$368))*0.62*6.01*8*(10*F298^0.667)*0.079*0.1/F298)*inputs!$E$80/(10^(0.84+0.62*LOG10(inputs!$E$80)))</f>
        <v>7.2867561757891046</v>
      </c>
      <c r="P298">
        <f>((MAX('Min rate concentrations'!Y:Y))*0.62*6.01*8*(10*F298^0.667)*0.079*0.1/F298)*inputs!$E$80/(10^(0.84+0.62*LOG10(inputs!$E$80)))</f>
        <v>2.4289187252630344</v>
      </c>
      <c r="Q298">
        <f>(inputs!$C$7*11.2*(10*F298^0.667)*0.5/F298)*inputs!$E$80/(10^(0.84+0.62*LOG10(inputs!$E$80)))</f>
        <v>1.2835277318107468</v>
      </c>
      <c r="R298">
        <f>(60*284*((F298/1000)^0.77)*3*24*(MAX('Min rate concentrations'!$R$3:$R$368))/F298)*(inputs!$E$73*3.4/inputs!$E$75)</f>
        <v>9.9445532539701315E-3</v>
      </c>
      <c r="S298">
        <f>(IF(inputs!$C$6="aerial",((0.025*0.112*inputs!$C$7/3.3)*(3*60*284*((F298/1000)^0.77))*MAX(inputs!$H$14:$H$16))/F298,((0.0083*0.112*inputs!$C$7/1)*(3*60*284*((F298/1000)^0.77))*MAX(inputs!$H$14:$H$16))/F298))*(inputs!E$75*3.4/inputs!$E$73)</f>
        <v>5.4844822172183165E-2</v>
      </c>
      <c r="T298">
        <f>IF((((inputs!$P$12/(V298/MAX(K298:S298)))^(1/inputs!$O$12))-1)/inputs!$N$12&lt;0, 0, IF((((inputs!$P$12/(V298/MAX(K298:S298)))^(1/inputs!$O$12))-1)/inputs!$N$12&gt;inputs!$H$17, inputs!$H$17, (((inputs!$P$12/(V298/MAX(K298:S298)))^(1/inputs!$O$12))-1)/inputs!$N$12))</f>
        <v>390.249650137179</v>
      </c>
      <c r="U298">
        <f>IF((((inputs!$P$12/(X298/MAX(K298:S298)))^(1/inputs!$O$12))-1)/inputs!$N$12&lt;0, 0, IF((((inputs!$P$12/(X298/MAX(K298:S298)))^(1/inputs!$O$12))-1)/inputs!$N$12&gt;inputs!$H$17, inputs!$H$17, (((inputs!$P$12/(X298/MAX(K298:S298)))^(1/inputs!$O$12))-1)/inputs!$N$12))</f>
        <v>23.059723669738087</v>
      </c>
      <c r="V298">
        <f>inputs!$E$78*(F298/inputs!$F$78)^(inputs!$E$84-1)</f>
        <v>2.717901230110276E-2</v>
      </c>
      <c r="W298">
        <f>inputs!$E$85*(F298/inputs!$F$85)^(inputs!$E$84-1)</f>
        <v>1.2550767199302031</v>
      </c>
      <c r="X298">
        <f>inputs!$E$80*(F298/inputs!$F$80)^(inputs!$E$84-1)</f>
        <v>4.6866788908786061</v>
      </c>
      <c r="Y298">
        <f>inputs!$E$82*(F298/inputs!$F$82)^(inputs!$E$84-1)</f>
        <v>2.1600162407718511</v>
      </c>
      <c r="Z298">
        <f t="shared" si="30"/>
        <v>1555.6908492556715</v>
      </c>
      <c r="AA298">
        <f t="shared" si="31"/>
        <v>33.688889338162753</v>
      </c>
    </row>
    <row r="299" spans="1:27" x14ac:dyDescent="0.3">
      <c r="A299" t="s">
        <v>281</v>
      </c>
      <c r="B299" t="s">
        <v>282</v>
      </c>
      <c r="C299" t="s">
        <v>73</v>
      </c>
      <c r="D299" t="s">
        <v>141</v>
      </c>
      <c r="E299">
        <v>77</v>
      </c>
      <c r="F299">
        <v>38</v>
      </c>
      <c r="G299" t="s">
        <v>146</v>
      </c>
      <c r="H299">
        <v>0.84</v>
      </c>
      <c r="I299">
        <f>MAX('Min rate concentrations'!$I$3:$I$368)</f>
        <v>9.4775690500787988</v>
      </c>
      <c r="J299" t="s">
        <v>13</v>
      </c>
      <c r="K299">
        <f t="shared" si="29"/>
        <v>13.661315057071613</v>
      </c>
      <c r="L299" t="s">
        <v>13</v>
      </c>
      <c r="M299">
        <f>IF((((1.18*F299^0.874)-(0.398*F299^0.85)/(1-H299)*H299)*(MAX('Min rate concentrations'!$P$3:$P$368)))/F299&gt;0, (((1.18*F299^0.874)-(0.398*F299^0.85)/(1-H299)*H299)*(MAX('Min rate concentrations'!$P$3:$P$368)))/F299, 0)</f>
        <v>0</v>
      </c>
      <c r="N299">
        <f>IF((((1.18*F299^0.874)-(0.398*F299^0.85)/(1-H299)*H299)*(MAX('Min rate concentrations'!$Q$3:$Q$368)))/F299&gt;0, (((1.18*F299^0.874)-(0.398*F299^0.85)/(1-H299)*H299)*(MAX('Min rate concentrations'!$Q$3:$Q$368)))/F299, 0)</f>
        <v>0</v>
      </c>
      <c r="O299">
        <f>((MAX('Min rate concentrations'!$F$3:$F$368))*0.62*6.01*8*(10*F299^0.667)*0.079*0.1/F299)*inputs!$E$80/(10^(0.84+0.62*LOG10(inputs!$E$80)))</f>
        <v>7.2867561757891046</v>
      </c>
      <c r="P299">
        <f>((MAX('Min rate concentrations'!Y:Y))*0.62*6.01*8*(10*F299^0.667)*0.079*0.1/F299)*inputs!$E$80/(10^(0.84+0.62*LOG10(inputs!$E$80)))</f>
        <v>2.4289187252630344</v>
      </c>
      <c r="Q299">
        <f>(inputs!$C$7*11.2*(10*F299^0.667)*0.5/F299)*inputs!$E$80/(10^(0.84+0.62*LOG10(inputs!$E$80)))</f>
        <v>1.2835277318107468</v>
      </c>
      <c r="R299">
        <f>(60*284*((F299/1000)^0.77)*3*24*(MAX('Min rate concentrations'!$R$3:$R$368))/F299)*(inputs!$E$73*3.4/inputs!$E$75)</f>
        <v>9.9445532539701315E-3</v>
      </c>
      <c r="S299">
        <f>(IF(inputs!$C$6="aerial",((0.025*0.112*inputs!$C$7/3.3)*(3*60*284*((F299/1000)^0.77))*MAX(inputs!$H$14:$H$16))/F299,((0.0083*0.112*inputs!$C$7/1)*(3*60*284*((F299/1000)^0.77))*MAX(inputs!$H$14:$H$16))/F299))*(inputs!E$75*3.4/inputs!$E$73)</f>
        <v>5.4844822172183165E-2</v>
      </c>
      <c r="T299">
        <f>IF((((inputs!$P$12/(V299/MAX(K299:S299)))^(1/inputs!$O$12))-1)/inputs!$N$12&lt;0, 0, IF((((inputs!$P$12/(V299/MAX(K299:S299)))^(1/inputs!$O$12))-1)/inputs!$N$12&gt;inputs!$H$17, inputs!$H$17, (((inputs!$P$12/(V299/MAX(K299:S299)))^(1/inputs!$O$12))-1)/inputs!$N$12))</f>
        <v>235.97816028562079</v>
      </c>
      <c r="U299">
        <f>IF((((inputs!$P$12/(X299/MAX(K299:S299)))^(1/inputs!$O$12))-1)/inputs!$N$12&lt;0, 0, IF((((inputs!$P$12/(X299/MAX(K299:S299)))^(1/inputs!$O$12))-1)/inputs!$N$12&gt;inputs!$H$17, inputs!$H$17, (((inputs!$P$12/(X299/MAX(K299:S299)))^(1/inputs!$O$12))-1)/inputs!$N$12))</f>
        <v>4.0678356947611611</v>
      </c>
      <c r="V299">
        <f>inputs!$E$78*(F299/inputs!$F$78)^(inputs!$E$84-1)</f>
        <v>2.717901230110276E-2</v>
      </c>
      <c r="W299">
        <f>inputs!$E$85*(F299/inputs!$F$85)^(inputs!$E$84-1)</f>
        <v>1.2550767199302031</v>
      </c>
      <c r="X299">
        <f>inputs!$E$80*(F299/inputs!$F$80)^(inputs!$E$84-1)</f>
        <v>4.6866788908786061</v>
      </c>
      <c r="Y299">
        <f>inputs!$E$82*(F299/inputs!$F$82)^(inputs!$E$84-1)</f>
        <v>2.1600162407718511</v>
      </c>
      <c r="Z299">
        <f t="shared" si="30"/>
        <v>502.64207196805751</v>
      </c>
      <c r="AA299">
        <f t="shared" si="31"/>
        <v>10.884844599644348</v>
      </c>
    </row>
    <row r="300" spans="1:27" x14ac:dyDescent="0.3">
      <c r="A300" t="s">
        <v>263</v>
      </c>
      <c r="B300" t="s">
        <v>264</v>
      </c>
      <c r="C300" t="s">
        <v>73</v>
      </c>
      <c r="D300" t="s">
        <v>141</v>
      </c>
      <c r="E300">
        <v>64</v>
      </c>
      <c r="F300">
        <v>34</v>
      </c>
      <c r="G300" t="s">
        <v>142</v>
      </c>
      <c r="H300">
        <v>0.69</v>
      </c>
      <c r="I300">
        <f>MAX('Min rate concentrations'!$H$3:$H$368)</f>
        <v>47</v>
      </c>
      <c r="J300">
        <f>MAX('Min rate concentrations'!AA:AA)</f>
        <v>32.5</v>
      </c>
      <c r="K300">
        <f t="shared" si="29"/>
        <v>35.554731115881189</v>
      </c>
      <c r="L300">
        <f>((0.398*F300^0.85)/(1-H300))*J300/F300</f>
        <v>24.585718324811459</v>
      </c>
      <c r="M300">
        <f>IF((((1.18*F300^0.874)-(0.398*F300^0.85)/(1-H300)*H300)*(MAX('Min rate concentrations'!$P$3:$P$368)))/F300&gt;0, (((1.18*F300^0.874)-(0.398*F300^0.85)/(1-H300)*H300)*(MAX('Min rate concentrations'!$P$3:$P$368)))/F300, 0)</f>
        <v>3.4068017549819939E-2</v>
      </c>
      <c r="N300">
        <f>IF((((1.18*F300^0.874)-(0.398*F300^0.85)/(1-H300)*H300)*(MAX('Min rate concentrations'!$Q$3:$Q$368)))/F300&gt;0, (((1.18*F300^0.874)-(0.398*F300^0.85)/(1-H300)*H300)*(MAX('Min rate concentrations'!$Q$3:$Q$368)))/F300, 0)</f>
        <v>0.12973284136170624</v>
      </c>
      <c r="O300">
        <f>((MAX('Min rate concentrations'!$F$3:$F$368))*0.62*6.01*8*(10*F300^0.667)*0.079*0.1/F300)*inputs!$E$80/(10^(0.84+0.62*LOG10(inputs!$E$80)))</f>
        <v>7.561704399544027</v>
      </c>
      <c r="P300">
        <f>((MAX('Min rate concentrations'!Y:Y))*0.62*6.01*8*(10*F300^0.667)*0.079*0.1/F300)*inputs!$E$80/(10^(0.84+0.62*LOG10(inputs!$E$80)))</f>
        <v>2.5205681331813428</v>
      </c>
      <c r="Q300">
        <f>(inputs!$C$7*11.2*(10*F300^0.667)*0.5/F300)*inputs!$E$80/(10^(0.84+0.62*LOG10(inputs!$E$80)))</f>
        <v>1.3319585646104095</v>
      </c>
      <c r="R300">
        <f>(60*284*((F300/1000)^0.77)*3*24*(MAX('Min rate concentrations'!$R$3:$R$368))/F300)*(inputs!$E$73*3.4/inputs!$E$75)</f>
        <v>1.0202235732169293E-2</v>
      </c>
      <c r="S300">
        <f>(IF(inputs!$C$6="aerial",((0.025*0.112*inputs!$C$7/3.3)*(3*60*284*((F300/1000)^0.77))*MAX(inputs!$H$14:$H$16))/F300,((0.0083*0.112*inputs!$C$7/1)*(3*60*284*((F300/1000)^0.77))*MAX(inputs!$H$14:$H$16))/F300))*(inputs!E$75*3.4/inputs!$E$73)</f>
        <v>5.6265956871027333E-2</v>
      </c>
      <c r="T300">
        <f>IF((((inputs!$P$12/(V300/MAX(K300:S300)))^(1/inputs!$O$12))-1)/inputs!$N$12&lt;0, 0, IF((((inputs!$P$12/(V300/MAX(K300:S300)))^(1/inputs!$O$12))-1)/inputs!$N$12&gt;inputs!$H$17, inputs!$H$17, (((inputs!$P$12/(V300/MAX(K300:S300)))^(1/inputs!$O$12))-1)/inputs!$N$12))</f>
        <v>355.27367705898001</v>
      </c>
      <c r="U300">
        <f>IF((((inputs!$P$12/(X300/MAX(K300:S300)))^(1/inputs!$O$12))-1)/inputs!$N$12&lt;0, 0, IF((((inputs!$P$12/(X300/MAX(K300:S300)))^(1/inputs!$O$12))-1)/inputs!$N$12&gt;inputs!$H$17, inputs!$H$17, (((inputs!$P$12/(X300/MAX(K300:S300)))^(1/inputs!$O$12))-1)/inputs!$N$12))</f>
        <v>18.753939346554844</v>
      </c>
      <c r="V300">
        <f>inputs!$E$78*(F300/inputs!$F$78)^(inputs!$E$84-1)</f>
        <v>2.832085768556198E-2</v>
      </c>
      <c r="W300">
        <f>inputs!$E$85*(F300/inputs!$F$85)^(inputs!$E$84-1)</f>
        <v>1.3078050363207285</v>
      </c>
      <c r="X300">
        <f>inputs!$E$80*(F300/inputs!$F$80)^(inputs!$E$84-1)</f>
        <v>4.883575768539429</v>
      </c>
      <c r="Y300">
        <f>inputs!$E$82*(F300/inputs!$F$82)^(inputs!$E$84-1)</f>
        <v>2.2507629002736103</v>
      </c>
      <c r="Z300">
        <f t="shared" si="30"/>
        <v>1255.4256481436666</v>
      </c>
      <c r="AA300">
        <f t="shared" si="31"/>
        <v>27.186568432178511</v>
      </c>
    </row>
    <row r="301" spans="1:27" x14ac:dyDescent="0.3">
      <c r="A301" t="s">
        <v>263</v>
      </c>
      <c r="B301" t="s">
        <v>264</v>
      </c>
      <c r="C301" t="s">
        <v>73</v>
      </c>
      <c r="D301" t="s">
        <v>141</v>
      </c>
      <c r="E301">
        <v>64</v>
      </c>
      <c r="F301">
        <v>34</v>
      </c>
      <c r="G301" t="s">
        <v>153</v>
      </c>
      <c r="H301">
        <v>0.7</v>
      </c>
      <c r="I301">
        <f>MAX('Min rate concentrations'!$E$3:$E$368)</f>
        <v>55</v>
      </c>
      <c r="J301">
        <f>MAX('Min rate concentrations'!X:X)</f>
        <v>18</v>
      </c>
      <c r="K301">
        <f t="shared" si="29"/>
        <v>42.993486916721579</v>
      </c>
      <c r="M301">
        <f>IF((((1.18*F301^0.874)-(0.398*F301^0.85)/(1-H301)*H301)*(MAX('Min rate concentrations'!$P$3:$P$368)))/F301&gt;0, (((1.18*F301^0.874)-(0.398*F301^0.85)/(1-H301)*H301)*(MAX('Min rate concentrations'!$P$3:$P$368)))/F301, 0)</f>
        <v>3.0407947186628943E-2</v>
      </c>
      <c r="N301">
        <f>IF((((1.18*F301^0.874)-(0.398*F301^0.85)/(1-H301)*H301)*(MAX('Min rate concentrations'!$Q$3:$Q$368)))/F301&gt;0, (((1.18*F301^0.874)-(0.398*F301^0.85)/(1-H301)*H301)*(MAX('Min rate concentrations'!$Q$3:$Q$368)))/F301, 0)</f>
        <v>0.11579509675692663</v>
      </c>
      <c r="O301">
        <f>((MAX('Min rate concentrations'!$F$3:$F$368))*0.62*6.01*8*(10*F301^0.667)*0.079*0.1/F301)*inputs!$E$80/(10^(0.84+0.62*LOG10(inputs!$E$80)))</f>
        <v>7.561704399544027</v>
      </c>
      <c r="P301">
        <f>((MAX('Min rate concentrations'!Y:Y))*0.62*6.01*8*(10*F301^0.667)*0.079*0.1/F301)*inputs!$E$80/(10^(0.84+0.62*LOG10(inputs!$E$80)))</f>
        <v>2.5205681331813428</v>
      </c>
      <c r="Q301">
        <f>(inputs!$C$7*11.2*(10*F301^0.667)*0.5/F301)*inputs!$E$80/(10^(0.84+0.62*LOG10(inputs!$E$80)))</f>
        <v>1.3319585646104095</v>
      </c>
      <c r="R301">
        <f>(60*284*((F301/1000)^0.77)*3*24*(MAX('Min rate concentrations'!$R$3:$R$368))/F301)*(inputs!$E$73*3.4/inputs!$E$75)</f>
        <v>1.0202235732169293E-2</v>
      </c>
      <c r="S301">
        <f>(IF(inputs!$C$6="aerial",((0.025*0.112*inputs!$C$7/3.3)*(3*60*284*((F301/1000)^0.77))*MAX(inputs!$H$14:$H$16))/F301,((0.0083*0.112*inputs!$C$7/1)*(3*60*284*((F301/1000)^0.77))*MAX(inputs!$H$14:$H$16))/F301))*(inputs!E$75*3.4/inputs!$E$73)</f>
        <v>5.6265956871027333E-2</v>
      </c>
      <c r="T301">
        <f>IF((((inputs!$P$12/(V301/MAX(K301:S301)))^(1/inputs!$O$12))-1)/inputs!$N$12&lt;0, 0, IF((((inputs!$P$12/(V301/MAX(K301:S301)))^(1/inputs!$O$12))-1)/inputs!$N$12&gt;inputs!$H$17, inputs!$H$17, (((inputs!$P$12/(V301/MAX(K301:S301)))^(1/inputs!$O$12))-1)/inputs!$N$12))</f>
        <v>386.10274204315522</v>
      </c>
      <c r="U301">
        <f>IF((((inputs!$P$12/(X301/MAX(K301:S301)))^(1/inputs!$O$12))-1)/inputs!$N$12&lt;0, 0, IF((((inputs!$P$12/(X301/MAX(K301:S301)))^(1/inputs!$O$12))-1)/inputs!$N$12&gt;inputs!$H$17, inputs!$H$17, (((inputs!$P$12/(X301/MAX(K301:S301)))^(1/inputs!$O$12))-1)/inputs!$N$12))</f>
        <v>22.549210586342028</v>
      </c>
      <c r="V301">
        <f>inputs!$E$78*(F301/inputs!$F$78)^(inputs!$E$84-1)</f>
        <v>2.832085768556198E-2</v>
      </c>
      <c r="W301">
        <f>inputs!$E$85*(F301/inputs!$F$85)^(inputs!$E$84-1)</f>
        <v>1.3078050363207285</v>
      </c>
      <c r="X301">
        <f>inputs!$E$80*(F301/inputs!$F$80)^(inputs!$E$84-1)</f>
        <v>4.883575768539429</v>
      </c>
      <c r="Y301">
        <f>inputs!$E$82*(F301/inputs!$F$82)^(inputs!$E$84-1)</f>
        <v>2.2507629002736103</v>
      </c>
      <c r="Z301">
        <f t="shared" si="30"/>
        <v>1518.0856241737245</v>
      </c>
      <c r="AA301">
        <f t="shared" si="31"/>
        <v>32.87453842330806</v>
      </c>
    </row>
    <row r="302" spans="1:27" x14ac:dyDescent="0.3">
      <c r="A302" t="s">
        <v>868</v>
      </c>
      <c r="B302" t="s">
        <v>870</v>
      </c>
      <c r="C302" t="s">
        <v>73</v>
      </c>
      <c r="D302" t="s">
        <v>141</v>
      </c>
      <c r="E302">
        <v>100</v>
      </c>
      <c r="F302">
        <v>23</v>
      </c>
      <c r="G302" t="s">
        <v>142</v>
      </c>
      <c r="H302">
        <v>0.69</v>
      </c>
      <c r="I302">
        <f>MAX('Min rate concentrations'!$H$3:$H$368)</f>
        <v>47</v>
      </c>
      <c r="J302">
        <f>MAX('Min rate concentrations'!AA:AA)</f>
        <v>32.5</v>
      </c>
      <c r="K302">
        <f t="shared" si="29"/>
        <v>37.701624251721434</v>
      </c>
      <c r="L302">
        <f t="shared" ref="L302:L307" si="33">((0.398*F302^0.85)/(1-H302))*J302/F302</f>
        <v>26.070272088956312</v>
      </c>
      <c r="M302">
        <f>IF((((1.18*F302^0.874)-(0.398*F302^0.85)/(1-H302)*H302)*(MAX('Min rate concentrations'!$P$3:$P$368)))/F302&gt;0, (((1.18*F302^0.874)-(0.398*F302^0.85)/(1-H302)*H302)*(MAX('Min rate concentrations'!$P$3:$P$368)))/F302, 0)</f>
        <v>3.5037728275873266E-2</v>
      </c>
      <c r="N302">
        <f>IF((((1.18*F302^0.874)-(0.398*F302^0.85)/(1-H302)*H302)*(MAX('Min rate concentrations'!$Q$3:$Q$368)))/F302&gt;0, (((1.18*F302^0.874)-(0.398*F302^0.85)/(1-H302)*H302)*(MAX('Min rate concentrations'!$Q$3:$Q$368)))/F302, 0)</f>
        <v>0.13342555191070868</v>
      </c>
      <c r="O302">
        <f>((MAX('Min rate concentrations'!$F$3:$F$368))*0.62*6.01*8*(10*F302^0.667)*0.079*0.1/F302)*inputs!$E$80/(10^(0.84+0.62*LOG10(inputs!$E$80)))</f>
        <v>8.6128484594081662</v>
      </c>
      <c r="P302">
        <f>((MAX('Min rate concentrations'!Y:Y))*0.62*6.01*8*(10*F302^0.667)*0.079*0.1/F302)*inputs!$E$80/(10^(0.84+0.62*LOG10(inputs!$E$80)))</f>
        <v>2.8709494864693892</v>
      </c>
      <c r="Q302">
        <f>(inputs!$C$7*11.2*(10*F302^0.667)*0.5/F302)*inputs!$E$80/(10^(0.84+0.62*LOG10(inputs!$E$80)))</f>
        <v>1.517112632952438</v>
      </c>
      <c r="R302">
        <f>(60*284*((F302/1000)^0.77)*3*24*(MAX('Min rate concentrations'!$R$3:$R$368))/F302)*(inputs!$E$73*3.4/inputs!$E$75)</f>
        <v>1.1161899367565913E-2</v>
      </c>
      <c r="S302">
        <f>(IF(inputs!$C$6="aerial",((0.025*0.112*inputs!$C$7/3.3)*(3*60*284*((F302/1000)^0.77))*MAX(inputs!$H$14:$H$16))/F302,((0.0083*0.112*inputs!$C$7/1)*(3*60*284*((F302/1000)^0.77))*MAX(inputs!$H$14:$H$16))/F302))*(inputs!E$75*3.4/inputs!$E$73)</f>
        <v>6.1558560780350866E-2</v>
      </c>
      <c r="T302">
        <f>IF((((inputs!$P$12/(V302/MAX(K302:S302)))^(1/inputs!$O$12))-1)/inputs!$N$12&lt;0, 0, IF((((inputs!$P$12/(V302/MAX(K302:S302)))^(1/inputs!$O$12))-1)/inputs!$N$12&gt;inputs!$H$17, inputs!$H$17, (((inputs!$P$12/(V302/MAX(K302:S302)))^(1/inputs!$O$12))-1)/inputs!$N$12))</f>
        <v>342.08338967432087</v>
      </c>
      <c r="U302">
        <f>IF((((inputs!$P$12/(X302/MAX(K302:S302)))^(1/inputs!$O$12))-1)/inputs!$N$12&lt;0, 0, IF((((inputs!$P$12/(X302/MAX(K302:S302)))^(1/inputs!$O$12))-1)/inputs!$N$12&gt;inputs!$H$17, inputs!$H$17, (((inputs!$P$12/(X302/MAX(K302:S302)))^(1/inputs!$O$12))-1)/inputs!$N$12))</f>
        <v>17.130123691385879</v>
      </c>
      <c r="V302">
        <f>inputs!$E$78*(F302/inputs!$F$78)^(inputs!$E$84-1)</f>
        <v>3.2727610783302954E-2</v>
      </c>
      <c r="W302">
        <f>inputs!$E$85*(F302/inputs!$F$85)^(inputs!$E$84-1)</f>
        <v>1.5113007764227557</v>
      </c>
      <c r="X302">
        <f>inputs!$E$80*(F302/inputs!$F$80)^(inputs!$E$84-1)</f>
        <v>5.6434649246166195</v>
      </c>
      <c r="Y302">
        <f>inputs!$E$82*(F302/inputs!$F$82)^(inputs!$E$84-1)</f>
        <v>2.6009838043572349</v>
      </c>
      <c r="Z302">
        <f t="shared" si="30"/>
        <v>1151.9821749700143</v>
      </c>
      <c r="AA302">
        <f t="shared" si="31"/>
        <v>24.946473157355918</v>
      </c>
    </row>
    <row r="303" spans="1:27" x14ac:dyDescent="0.3">
      <c r="A303" t="s">
        <v>868</v>
      </c>
      <c r="B303" t="s">
        <v>870</v>
      </c>
      <c r="C303" t="s">
        <v>73</v>
      </c>
      <c r="D303" t="s">
        <v>141</v>
      </c>
      <c r="E303">
        <v>100</v>
      </c>
      <c r="F303">
        <v>23</v>
      </c>
      <c r="G303" t="s">
        <v>153</v>
      </c>
      <c r="H303">
        <v>0.7</v>
      </c>
      <c r="I303">
        <f>MAX('Min rate concentrations'!$E$3:$E$368)</f>
        <v>55</v>
      </c>
      <c r="J303">
        <f>MAX('Min rate concentrations'!X:X)</f>
        <v>18</v>
      </c>
      <c r="K303">
        <f t="shared" si="29"/>
        <v>45.589552729918474</v>
      </c>
      <c r="L303">
        <f t="shared" si="33"/>
        <v>14.920217257064229</v>
      </c>
      <c r="M303">
        <f>IF((((1.18*F303^0.874)-(0.398*F303^0.85)/(1-H303)*H303)*(MAX('Min rate concentrations'!$P$3:$P$368)))/F303&gt;0, (((1.18*F303^0.874)-(0.398*F303^0.85)/(1-H303)*H303)*(MAX('Min rate concentrations'!$P$3:$P$368)))/F303, 0)</f>
        <v>3.1156652727357802E-2</v>
      </c>
      <c r="N303">
        <f>IF((((1.18*F303^0.874)-(0.398*F303^0.85)/(1-H303)*H303)*(MAX('Min rate concentrations'!$Q$3:$Q$368)))/F303&gt;0, (((1.18*F303^0.874)-(0.398*F303^0.85)/(1-H303)*H303)*(MAX('Min rate concentrations'!$Q$3:$Q$368)))/F303, 0)</f>
        <v>0.1186462076852325</v>
      </c>
      <c r="O303">
        <f>((MAX('Min rate concentrations'!$F$3:$F$368))*0.62*6.01*8*(10*F303^0.667)*0.079*0.1/F303)*inputs!$E$80/(10^(0.84+0.62*LOG10(inputs!$E$80)))</f>
        <v>8.6128484594081662</v>
      </c>
      <c r="P303">
        <f>((MAX('Min rate concentrations'!Y:Y))*0.62*6.01*8*(10*F303^0.667)*0.079*0.1/F303)*inputs!$E$80/(10^(0.84+0.62*LOG10(inputs!$E$80)))</f>
        <v>2.8709494864693892</v>
      </c>
      <c r="Q303">
        <f>(inputs!$C$7*11.2*(10*F303^0.667)*0.5/F303)*inputs!$E$80/(10^(0.84+0.62*LOG10(inputs!$E$80)))</f>
        <v>1.517112632952438</v>
      </c>
      <c r="R303">
        <f>(60*284*((F303/1000)^0.77)*3*24*(MAX('Min rate concentrations'!$R$3:$R$368))/F303)*(inputs!$E$73*3.4/inputs!$E$75)</f>
        <v>1.1161899367565913E-2</v>
      </c>
      <c r="S303">
        <f>(IF(inputs!$C$6="aerial",((0.025*0.112*inputs!$C$7/3.3)*(3*60*284*((F303/1000)^0.77))*MAX(inputs!$H$14:$H$16))/F303,((0.0083*0.112*inputs!$C$7/1)*(3*60*284*((F303/1000)^0.77))*MAX(inputs!$H$14:$H$16))/F303))*(inputs!E$75*3.4/inputs!$E$73)</f>
        <v>6.1558560780350866E-2</v>
      </c>
      <c r="T303">
        <f>IF((((inputs!$P$12/(V303/MAX(K303:S303)))^(1/inputs!$O$12))-1)/inputs!$N$12&lt;0, 0, IF((((inputs!$P$12/(V303/MAX(K303:S303)))^(1/inputs!$O$12))-1)/inputs!$N$12&gt;inputs!$H$17, inputs!$H$17, (((inputs!$P$12/(V303/MAX(K303:S303)))^(1/inputs!$O$12))-1)/inputs!$N$12))</f>
        <v>371.85283327934576</v>
      </c>
      <c r="U303">
        <f>IF((((inputs!$P$12/(X303/MAX(K303:S303)))^(1/inputs!$O$12))-1)/inputs!$N$12&lt;0, 0, IF((((inputs!$P$12/(X303/MAX(K303:S303)))^(1/inputs!$O$12))-1)/inputs!$N$12&gt;inputs!$H$17, inputs!$H$17, (((inputs!$P$12/(X303/MAX(K303:S303)))^(1/inputs!$O$12))-1)/inputs!$N$12))</f>
        <v>20.794948206712988</v>
      </c>
      <c r="V303">
        <f>inputs!$E$78*(F303/inputs!$F$78)^(inputs!$E$84-1)</f>
        <v>3.2727610783302954E-2</v>
      </c>
      <c r="W303">
        <f>inputs!$E$85*(F303/inputs!$F$85)^(inputs!$E$84-1)</f>
        <v>1.5113007764227557</v>
      </c>
      <c r="X303">
        <f>inputs!$E$80*(F303/inputs!$F$80)^(inputs!$E$84-1)</f>
        <v>5.6434649246166195</v>
      </c>
      <c r="Y303">
        <f>inputs!$E$82*(F303/inputs!$F$82)^(inputs!$E$84-1)</f>
        <v>2.6009838043572349</v>
      </c>
      <c r="Z303">
        <f t="shared" si="30"/>
        <v>1392.9997222155139</v>
      </c>
      <c r="AA303">
        <f t="shared" si="31"/>
        <v>30.165770732831096</v>
      </c>
    </row>
    <row r="304" spans="1:27" x14ac:dyDescent="0.3">
      <c r="A304" t="s">
        <v>340</v>
      </c>
      <c r="B304" t="s">
        <v>341</v>
      </c>
      <c r="C304" t="s">
        <v>73</v>
      </c>
      <c r="D304" t="s">
        <v>141</v>
      </c>
      <c r="E304">
        <v>94</v>
      </c>
      <c r="F304">
        <v>12.3</v>
      </c>
      <c r="G304" t="s">
        <v>142</v>
      </c>
      <c r="H304">
        <v>0.69</v>
      </c>
      <c r="I304">
        <f>MAX('Min rate concentrations'!$H$3:$H$368)</f>
        <v>47</v>
      </c>
      <c r="J304">
        <f>MAX('Min rate concentrations'!AA:AA)</f>
        <v>32.5</v>
      </c>
      <c r="K304">
        <f t="shared" si="29"/>
        <v>41.412692673451787</v>
      </c>
      <c r="L304">
        <f t="shared" si="33"/>
        <v>28.636436423131553</v>
      </c>
      <c r="M304">
        <f>IF((((1.18*F304^0.874)-(0.398*F304^0.85)/(1-H304)*H304)*(MAX('Min rate concentrations'!$P$3:$P$368)))/F304&gt;0, (((1.18*F304^0.874)-(0.398*F304^0.85)/(1-H304)*H304)*(MAX('Min rate concentrations'!$P$3:$P$368)))/F304, 0)</f>
        <v>3.6597096171804525E-2</v>
      </c>
      <c r="N304">
        <f>IF((((1.18*F304^0.874)-(0.398*F304^0.85)/(1-H304)*H304)*(MAX('Min rate concentrations'!$Q$3:$Q$368)))/F304&gt;0, (((1.18*F304^0.874)-(0.398*F304^0.85)/(1-H304)*H304)*(MAX('Min rate concentrations'!$Q$3:$Q$368)))/F304, 0)</f>
        <v>0.13936370864587974</v>
      </c>
      <c r="O304">
        <f>((MAX('Min rate concentrations'!$F$3:$F$368))*0.62*6.01*8*(10*F304^0.667)*0.079*0.1/F304)*inputs!$E$80/(10^(0.84+0.62*LOG10(inputs!$E$80)))</f>
        <v>10.608739205390751</v>
      </c>
      <c r="P304">
        <f>((MAX('Min rate concentrations'!Y:Y))*0.62*6.01*8*(10*F304^0.667)*0.079*0.1/F304)*inputs!$E$80/(10^(0.84+0.62*LOG10(inputs!$E$80)))</f>
        <v>3.5362464017969164</v>
      </c>
      <c r="Q304">
        <f>(inputs!$C$7*11.2*(10*F304^0.667)*0.5/F304)*inputs!$E$80/(10^(0.84+0.62*LOG10(inputs!$E$80)))</f>
        <v>1.8686793740827141</v>
      </c>
      <c r="R304">
        <f>(60*284*((F304/1000)^0.77)*3*24*(MAX('Min rate concentrations'!$R$3:$R$368))/F304)*(inputs!$E$73*3.4/inputs!$E$75)</f>
        <v>1.289013095099613E-2</v>
      </c>
      <c r="S304">
        <f>(IF(inputs!$C$6="aerial",((0.025*0.112*inputs!$C$7/3.3)*(3*60*284*((F304/1000)^0.77))*MAX(inputs!$H$14:$H$16))/F304,((0.0083*0.112*inputs!$C$7/1)*(3*60*284*((F304/1000)^0.77))*MAX(inputs!$H$14:$H$16))/F304))*(inputs!E$75*3.4/inputs!$E$73)</f>
        <v>7.1089864142594952E-2</v>
      </c>
      <c r="T304">
        <f>IF((((inputs!$P$12/(V304/MAX(K304:S304)))^(1/inputs!$O$12))-1)/inputs!$N$12&lt;0, 0, IF((((inputs!$P$12/(V304/MAX(K304:S304)))^(1/inputs!$O$12))-1)/inputs!$N$12&gt;inputs!$H$17, inputs!$H$17, (((inputs!$P$12/(V304/MAX(K304:S304)))^(1/inputs!$O$12))-1)/inputs!$N$12))</f>
        <v>321.8994620619701</v>
      </c>
      <c r="U304">
        <f>IF((((inputs!$P$12/(X304/MAX(K304:S304)))^(1/inputs!$O$12))-1)/inputs!$N$12&lt;0, 0, IF((((inputs!$P$12/(X304/MAX(K304:S304)))^(1/inputs!$O$12))-1)/inputs!$N$12&gt;inputs!$H$17, inputs!$H$17, (((inputs!$P$12/(X304/MAX(K304:S304)))^(1/inputs!$O$12))-1)/inputs!$N$12))</f>
        <v>14.645342527493233</v>
      </c>
      <c r="V304">
        <f>inputs!$E$78*(F304/inputs!$F$78)^(inputs!$E$84-1)</f>
        <v>4.1256151168588752E-2</v>
      </c>
      <c r="W304">
        <f>inputs!$E$85*(F304/inputs!$F$85)^(inputs!$E$84-1)</f>
        <v>1.9051330604650447</v>
      </c>
      <c r="X304">
        <f>inputs!$E$80*(F304/inputs!$F$80)^(inputs!$E$84-1)</f>
        <v>7.1141044662935213</v>
      </c>
      <c r="Y304">
        <f>inputs!$E$82*(F304/inputs!$F$82)^(inputs!$E$84-1)</f>
        <v>3.2787783297141586</v>
      </c>
      <c r="Z304">
        <f t="shared" si="30"/>
        <v>1003.7943797574171</v>
      </c>
      <c r="AA304">
        <f t="shared" si="31"/>
        <v>21.737427969121963</v>
      </c>
    </row>
    <row r="305" spans="1:27" x14ac:dyDescent="0.3">
      <c r="A305" t="s">
        <v>340</v>
      </c>
      <c r="B305" t="s">
        <v>341</v>
      </c>
      <c r="C305" t="s">
        <v>73</v>
      </c>
      <c r="D305" t="s">
        <v>141</v>
      </c>
      <c r="E305">
        <v>94</v>
      </c>
      <c r="F305">
        <v>12.3</v>
      </c>
      <c r="G305" t="s">
        <v>152</v>
      </c>
      <c r="H305">
        <v>0.77</v>
      </c>
      <c r="I305">
        <f>MAX('Min rate concentrations'!$G$3:$G$368)</f>
        <v>7.5</v>
      </c>
      <c r="J305">
        <f>MAX('Min rate concentrations'!Z:Z)</f>
        <v>3.5</v>
      </c>
      <c r="K305">
        <f t="shared" si="29"/>
        <v>8.9069852419773756</v>
      </c>
      <c r="L305">
        <f t="shared" si="33"/>
        <v>4.1565931129227751</v>
      </c>
      <c r="M305">
        <f>IF((((1.18*F305^0.874)-(0.398*F305^0.85)/(1-H305)*H305)*(MAX('Min rate concentrations'!$P$3:$P$368)))/F305&gt;0, (((1.18*F305^0.874)-(0.398*F305^0.85)/(1-H305)*H305)*(MAX('Min rate concentrations'!$P$3:$P$368)))/F305, 0)</f>
        <v>0</v>
      </c>
      <c r="N305">
        <f>IF((((1.18*F305^0.874)-(0.398*F305^0.85)/(1-H305)*H305)*(MAX('Min rate concentrations'!$Q$3:$Q$368)))/F305&gt;0, (((1.18*F305^0.874)-(0.398*F305^0.85)/(1-H305)*H305)*(MAX('Min rate concentrations'!$Q$3:$Q$368)))/F305, 0)</f>
        <v>0</v>
      </c>
      <c r="O305">
        <f>((MAX('Min rate concentrations'!$F$3:$F$368))*0.62*6.01*8*(10*F305^0.667)*0.079*0.1/F305)*inputs!$E$80/(10^(0.84+0.62*LOG10(inputs!$E$80)))</f>
        <v>10.608739205390751</v>
      </c>
      <c r="P305">
        <f>((MAX('Min rate concentrations'!Y:Y))*0.62*6.01*8*(10*F305^0.667)*0.079*0.1/F305)*inputs!$E$80/(10^(0.84+0.62*LOG10(inputs!$E$80)))</f>
        <v>3.5362464017969164</v>
      </c>
      <c r="Q305">
        <f>(inputs!$C$7*11.2*(10*F305^0.667)*0.5/F305)*inputs!$E$80/(10^(0.84+0.62*LOG10(inputs!$E$80)))</f>
        <v>1.8686793740827141</v>
      </c>
      <c r="R305">
        <f>(60*284*((F305/1000)^0.77)*3*24*(MAX('Min rate concentrations'!$R$3:$R$368))/F305)*(inputs!$E$73*3.4/inputs!$E$75)</f>
        <v>1.289013095099613E-2</v>
      </c>
      <c r="S305">
        <f>(IF(inputs!$C$6="aerial",((0.025*0.112*inputs!$C$7/3.3)*(3*60*284*((F305/1000)^0.77))*MAX(inputs!$H$14:$H$16))/F305,((0.0083*0.112*inputs!$C$7/1)*(3*60*284*((F305/1000)^0.77))*MAX(inputs!$H$14:$H$16))/F305))*(inputs!E$75*3.4/inputs!$E$73)</f>
        <v>7.1089864142594952E-2</v>
      </c>
      <c r="T305">
        <f>IF((((inputs!$P$12/(V305/MAX(K305:S305)))^(1/inputs!$O$12))-1)/inputs!$N$12&lt;0, 0, IF((((inputs!$P$12/(V305/MAX(K305:S305)))^(1/inputs!$O$12))-1)/inputs!$N$12&gt;inputs!$H$17, inputs!$H$17, (((inputs!$P$12/(V305/MAX(K305:S305)))^(1/inputs!$O$12))-1)/inputs!$N$12))</f>
        <v>172.87281021545024</v>
      </c>
      <c r="U305">
        <f>IF((((inputs!$P$12/(X305/MAX(K305:S305)))^(1/inputs!$O$12))-1)/inputs!$N$12&lt;0, 0, IF((((inputs!$P$12/(X305/MAX(K305:S305)))^(1/inputs!$O$12))-1)/inputs!$N$12&gt;inputs!$H$17, inputs!$H$17, (((inputs!$P$12/(X305/MAX(K305:S305)))^(1/inputs!$O$12))-1)/inputs!$N$12))</f>
        <v>0</v>
      </c>
      <c r="V305">
        <f>inputs!$E$78*(F305/inputs!$F$78)^(inputs!$E$84-1)</f>
        <v>4.1256151168588752E-2</v>
      </c>
      <c r="W305">
        <f>inputs!$E$85*(F305/inputs!$F$85)^(inputs!$E$84-1)</f>
        <v>1.9051330604650447</v>
      </c>
      <c r="X305">
        <f>inputs!$E$80*(F305/inputs!$F$80)^(inputs!$E$84-1)</f>
        <v>7.1141044662935213</v>
      </c>
      <c r="Y305">
        <f>inputs!$E$82*(F305/inputs!$F$82)^(inputs!$E$84-1)</f>
        <v>3.2787783297141586</v>
      </c>
      <c r="Z305">
        <f t="shared" si="30"/>
        <v>257.14321149443384</v>
      </c>
      <c r="AA305">
        <f t="shared" si="31"/>
        <v>5.5685030224614067</v>
      </c>
    </row>
    <row r="306" spans="1:27" x14ac:dyDescent="0.3">
      <c r="A306" t="s">
        <v>285</v>
      </c>
      <c r="B306" t="s">
        <v>286</v>
      </c>
      <c r="C306" t="s">
        <v>73</v>
      </c>
      <c r="D306" t="s">
        <v>141</v>
      </c>
      <c r="E306">
        <v>105</v>
      </c>
      <c r="F306">
        <v>50</v>
      </c>
      <c r="G306" t="s">
        <v>142</v>
      </c>
      <c r="H306">
        <v>0.69</v>
      </c>
      <c r="I306">
        <f>MAX('Min rate concentrations'!$H$3:$H$368)</f>
        <v>47</v>
      </c>
      <c r="J306">
        <f>MAX('Min rate concentrations'!AA:AA)</f>
        <v>32.5</v>
      </c>
      <c r="K306">
        <f t="shared" si="29"/>
        <v>33.55627427836972</v>
      </c>
      <c r="L306">
        <f t="shared" si="33"/>
        <v>23.2038066818514</v>
      </c>
      <c r="M306">
        <f>IF((((1.18*F306^0.874)-(0.398*F306^0.85)/(1-H306)*H306)*(MAX('Min rate concentrations'!$P$3:$P$368)))/F306&gt;0, (((1.18*F306^0.874)-(0.398*F306^0.85)/(1-H306)*H306)*(MAX('Min rate concentrations'!$P$3:$P$368)))/F306, 0)</f>
        <v>3.3117028524937038E-2</v>
      </c>
      <c r="N306">
        <f>IF((((1.18*F306^0.874)-(0.398*F306^0.85)/(1-H306)*H306)*(MAX('Min rate concentrations'!$Q$3:$Q$368)))/F306&gt;0, (((1.18*F306^0.874)-(0.398*F306^0.85)/(1-H306)*H306)*(MAX('Min rate concentrations'!$Q$3:$Q$368)))/F306, 0)</f>
        <v>0.1261114240567093</v>
      </c>
      <c r="O306">
        <f>((MAX('Min rate concentrations'!$F$3:$F$368))*0.62*6.01*8*(10*F306^0.667)*0.079*0.1/F306)*inputs!$E$80/(10^(0.84+0.62*LOG10(inputs!$E$80)))</f>
        <v>6.6503601317129331</v>
      </c>
      <c r="P306">
        <f>((MAX('Min rate concentrations'!Y:Y))*0.62*6.01*8*(10*F306^0.667)*0.079*0.1/F306)*inputs!$E$80/(10^(0.84+0.62*LOG10(inputs!$E$80)))</f>
        <v>2.2167867105709775</v>
      </c>
      <c r="Q306">
        <f>(inputs!$C$7*11.2*(10*F306^0.667)*0.5/F306)*inputs!$E$80/(10^(0.84+0.62*LOG10(inputs!$E$80)))</f>
        <v>1.171429570258365</v>
      </c>
      <c r="R306">
        <f>(60*284*((F306/1000)^0.77)*3*24*(MAX('Min rate concentrations'!$R$3:$R$368))/F306)*(inputs!$E$73*3.4/inputs!$E$75)</f>
        <v>9.3362485288330452E-3</v>
      </c>
      <c r="S306">
        <f>(IF(inputs!$C$6="aerial",((0.025*0.112*inputs!$C$7/3.3)*(3*60*284*((F306/1000)^0.77))*MAX(inputs!$H$14:$H$16))/F306,((0.0083*0.112*inputs!$C$7/1)*(3*60*284*((F306/1000)^0.77))*MAX(inputs!$H$14:$H$16))/F306))*(inputs!E$75*3.4/inputs!$E$73)</f>
        <v>5.1489984239838318E-2</v>
      </c>
      <c r="T306">
        <f>IF((((inputs!$P$12/(V306/MAX(K306:S306)))^(1/inputs!$O$12))-1)/inputs!$N$12&lt;0, 0, IF((((inputs!$P$12/(V306/MAX(K306:S306)))^(1/inputs!$O$12))-1)/inputs!$N$12&gt;inputs!$H$17, inputs!$H$17, (((inputs!$P$12/(V306/MAX(K306:S306)))^(1/inputs!$O$12))-1)/inputs!$N$12))</f>
        <v>368.74844662252764</v>
      </c>
      <c r="U306">
        <f>IF((((inputs!$P$12/(X306/MAX(K306:S306)))^(1/inputs!$O$12))-1)/inputs!$N$12&lt;0, 0, IF((((inputs!$P$12/(X306/MAX(K306:S306)))^(1/inputs!$O$12))-1)/inputs!$N$12&gt;inputs!$H$17, inputs!$H$17, (((inputs!$P$12/(X306/MAX(K306:S306)))^(1/inputs!$O$12))-1)/inputs!$N$12))</f>
        <v>20.41277672659028</v>
      </c>
      <c r="V306">
        <f>inputs!$E$78*(F306/inputs!$F$78)^(inputs!$E$84-1)</f>
        <v>2.4554703782112351E-2</v>
      </c>
      <c r="W306">
        <f>inputs!$E$85*(F306/inputs!$F$85)^(inputs!$E$84-1)</f>
        <v>1.1338909869237934</v>
      </c>
      <c r="X306">
        <f>inputs!$E$80*(F306/inputs!$F$80)^(inputs!$E$84-1)</f>
        <v>4.2341498878799877</v>
      </c>
      <c r="Y306">
        <f>inputs!$E$82*(F306/inputs!$F$82)^(inputs!$E$84-1)</f>
        <v>1.9514527742626133</v>
      </c>
      <c r="Z306">
        <f t="shared" si="30"/>
        <v>1366.5925101818923</v>
      </c>
      <c r="AA306">
        <f t="shared" si="31"/>
        <v>29.593915698551161</v>
      </c>
    </row>
    <row r="307" spans="1:27" x14ac:dyDescent="0.3">
      <c r="A307" t="s">
        <v>285</v>
      </c>
      <c r="B307" t="s">
        <v>286</v>
      </c>
      <c r="C307" t="s">
        <v>73</v>
      </c>
      <c r="D307" t="s">
        <v>141</v>
      </c>
      <c r="E307">
        <v>105</v>
      </c>
      <c r="F307">
        <v>50</v>
      </c>
      <c r="G307" t="s">
        <v>152</v>
      </c>
      <c r="H307">
        <v>0.77</v>
      </c>
      <c r="I307">
        <f>MAX('Min rate concentrations'!$G$3:$G$368)</f>
        <v>7.5</v>
      </c>
      <c r="J307">
        <f>MAX('Min rate concentrations'!Z:Z)</f>
        <v>3.5</v>
      </c>
      <c r="K307">
        <f t="shared" si="29"/>
        <v>7.2172375298066251</v>
      </c>
      <c r="L307">
        <f t="shared" si="33"/>
        <v>3.3680441805764252</v>
      </c>
      <c r="M307">
        <f>IF((((1.18*F307^0.874)-(0.398*F307^0.85)/(1-H307)*H307)*(MAX('Min rate concentrations'!$P$3:$P$368)))/F307&gt;0, (((1.18*F307^0.874)-(0.398*F307^0.85)/(1-H307)*H307)*(MAX('Min rate concentrations'!$P$3:$P$368)))/F307, 0)</f>
        <v>0</v>
      </c>
      <c r="N307">
        <f>IF((((1.18*F307^0.874)-(0.398*F307^0.85)/(1-H307)*H307)*(MAX('Min rate concentrations'!$Q$3:$Q$368)))/F307&gt;0, (((1.18*F307^0.874)-(0.398*F307^0.85)/(1-H307)*H307)*(MAX('Min rate concentrations'!$Q$3:$Q$368)))/F307, 0)</f>
        <v>0</v>
      </c>
      <c r="O307">
        <f>((MAX('Min rate concentrations'!$F$3:$F$368))*0.62*6.01*8*(10*F307^0.667)*0.079*0.1/F307)*inputs!$E$80/(10^(0.84+0.62*LOG10(inputs!$E$80)))</f>
        <v>6.6503601317129331</v>
      </c>
      <c r="P307">
        <f>((MAX('Min rate concentrations'!Y:Y))*0.62*6.01*8*(10*F307^0.667)*0.079*0.1/F307)*inputs!$E$80/(10^(0.84+0.62*LOG10(inputs!$E$80)))</f>
        <v>2.2167867105709775</v>
      </c>
      <c r="Q307">
        <f>(inputs!$C$7*11.2*(10*F307^0.667)*0.5/F307)*inputs!$E$80/(10^(0.84+0.62*LOG10(inputs!$E$80)))</f>
        <v>1.171429570258365</v>
      </c>
      <c r="R307">
        <f>(60*284*((F307/1000)^0.77)*3*24*(MAX('Min rate concentrations'!$R$3:$R$368))/F307)*(inputs!$E$73*3.4/inputs!$E$75)</f>
        <v>9.3362485288330452E-3</v>
      </c>
      <c r="S307">
        <f>(IF(inputs!$C$6="aerial",((0.025*0.112*inputs!$C$7/3.3)*(3*60*284*((F307/1000)^0.77))*MAX(inputs!$H$14:$H$16))/F307,((0.0083*0.112*inputs!$C$7/1)*(3*60*284*((F307/1000)^0.77))*MAX(inputs!$H$14:$H$16))/F307))*(inputs!E$75*3.4/inputs!$E$73)</f>
        <v>5.1489984239838318E-2</v>
      </c>
      <c r="T307">
        <f>IF((((inputs!$P$12/(V307/MAX(K307:S307)))^(1/inputs!$O$12))-1)/inputs!$N$12&lt;0, 0, IF((((inputs!$P$12/(V307/MAX(K307:S307)))^(1/inputs!$O$12))-1)/inputs!$N$12&gt;inputs!$H$17, inputs!$H$17, (((inputs!$P$12/(V307/MAX(K307:S307)))^(1/inputs!$O$12))-1)/inputs!$N$12))</f>
        <v>184.12545736893506</v>
      </c>
      <c r="U307">
        <f>IF((((inputs!$P$12/(X307/MAX(K307:S307)))^(1/inputs!$O$12))-1)/inputs!$N$12&lt;0, 0, IF((((inputs!$P$12/(X307/MAX(K307:S307)))^(1/inputs!$O$12))-1)/inputs!$N$12&gt;inputs!$H$17, inputs!$H$17, (((inputs!$P$12/(X307/MAX(K307:S307)))^(1/inputs!$O$12))-1)/inputs!$N$12))</f>
        <v>0</v>
      </c>
      <c r="V307">
        <f>inputs!$E$78*(F307/inputs!$F$78)^(inputs!$E$84-1)</f>
        <v>2.4554703782112351E-2</v>
      </c>
      <c r="W307">
        <f>inputs!$E$85*(F307/inputs!$F$85)^(inputs!$E$84-1)</f>
        <v>1.1338909869237934</v>
      </c>
      <c r="X307">
        <f>inputs!$E$80*(F307/inputs!$F$80)^(inputs!$E$84-1)</f>
        <v>4.2341498878799877</v>
      </c>
      <c r="Y307">
        <f>inputs!$E$82*(F307/inputs!$F$82)^(inputs!$E$84-1)</f>
        <v>1.9514527742626133</v>
      </c>
      <c r="Z307">
        <f t="shared" si="30"/>
        <v>293.9248460844496</v>
      </c>
      <c r="AA307">
        <f t="shared" si="31"/>
        <v>6.3650188713350104</v>
      </c>
    </row>
    <row r="308" spans="1:27" x14ac:dyDescent="0.3">
      <c r="A308" t="s">
        <v>285</v>
      </c>
      <c r="B308" t="s">
        <v>286</v>
      </c>
      <c r="C308" t="s">
        <v>73</v>
      </c>
      <c r="D308" t="s">
        <v>141</v>
      </c>
      <c r="E308">
        <v>105</v>
      </c>
      <c r="F308">
        <v>50</v>
      </c>
      <c r="G308" t="s">
        <v>146</v>
      </c>
      <c r="H308">
        <v>0.84</v>
      </c>
      <c r="I308">
        <f>MAX('Min rate concentrations'!$I$3:$I$368)</f>
        <v>9.4775690500787988</v>
      </c>
      <c r="J308" t="s">
        <v>13</v>
      </c>
      <c r="K308">
        <f t="shared" si="29"/>
        <v>13.110357849249462</v>
      </c>
      <c r="L308" t="s">
        <v>13</v>
      </c>
      <c r="M308">
        <f>IF((((1.18*F308^0.874)-(0.398*F308^0.85)/(1-H308)*H308)*(MAX('Min rate concentrations'!$P$3:$P$368)))/F308&gt;0, (((1.18*F308^0.874)-(0.398*F308^0.85)/(1-H308)*H308)*(MAX('Min rate concentrations'!$P$3:$P$368)))/F308, 0)</f>
        <v>0</v>
      </c>
      <c r="N308">
        <f>IF((((1.18*F308^0.874)-(0.398*F308^0.85)/(1-H308)*H308)*(MAX('Min rate concentrations'!$Q$3:$Q$368)))/F308&gt;0, (((1.18*F308^0.874)-(0.398*F308^0.85)/(1-H308)*H308)*(MAX('Min rate concentrations'!$Q$3:$Q$368)))/F308, 0)</f>
        <v>0</v>
      </c>
      <c r="O308">
        <f>((MAX('Min rate concentrations'!$F$3:$F$368))*0.62*6.01*8*(10*F308^0.667)*0.079*0.1/F308)*inputs!$E$80/(10^(0.84+0.62*LOG10(inputs!$E$80)))</f>
        <v>6.6503601317129331</v>
      </c>
      <c r="P308">
        <f>((MAX('Min rate concentrations'!Y:Y))*0.62*6.01*8*(10*F308^0.667)*0.079*0.1/F308)*inputs!$E$80/(10^(0.84+0.62*LOG10(inputs!$E$80)))</f>
        <v>2.2167867105709775</v>
      </c>
      <c r="Q308">
        <f>(inputs!$C$7*11.2*(10*F308^0.667)*0.5/F308)*inputs!$E$80/(10^(0.84+0.62*LOG10(inputs!$E$80)))</f>
        <v>1.171429570258365</v>
      </c>
      <c r="R308">
        <f>(60*284*((F308/1000)^0.77)*3*24*(MAX('Min rate concentrations'!$R$3:$R$368))/F308)*(inputs!$E$73*3.4/inputs!$E$75)</f>
        <v>9.3362485288330452E-3</v>
      </c>
      <c r="S308">
        <f>(IF(inputs!$C$6="aerial",((0.025*0.112*inputs!$C$7/3.3)*(3*60*284*((F308/1000)^0.77))*MAX(inputs!$H$14:$H$16))/F308,((0.0083*0.112*inputs!$C$7/1)*(3*60*284*((F308/1000)^0.77))*MAX(inputs!$H$14:$H$16))/F308))*(inputs!E$75*3.4/inputs!$E$73)</f>
        <v>5.1489984239838318E-2</v>
      </c>
      <c r="T308">
        <f>IF((((inputs!$P$12/(V308/MAX(K308:S308)))^(1/inputs!$O$12))-1)/inputs!$N$12&lt;0, 0, IF((((inputs!$P$12/(V308/MAX(K308:S308)))^(1/inputs!$O$12))-1)/inputs!$N$12&gt;inputs!$H$17, inputs!$H$17, (((inputs!$P$12/(V308/MAX(K308:S308)))^(1/inputs!$O$12))-1)/inputs!$N$12))</f>
        <v>242.55313495958328</v>
      </c>
      <c r="U308">
        <f>IF((((inputs!$P$12/(X308/MAX(K308:S308)))^(1/inputs!$O$12))-1)/inputs!$N$12&lt;0, 0, IF((((inputs!$P$12/(X308/MAX(K308:S308)))^(1/inputs!$O$12))-1)/inputs!$N$12&gt;inputs!$H$17, inputs!$H$17, (((inputs!$P$12/(X308/MAX(K308:S308)))^(1/inputs!$O$12))-1)/inputs!$N$12))</f>
        <v>4.8772605766129971</v>
      </c>
      <c r="V308">
        <f>inputs!$E$78*(F308/inputs!$F$78)^(inputs!$E$84-1)</f>
        <v>2.4554703782112351E-2</v>
      </c>
      <c r="W308">
        <f>inputs!$E$85*(F308/inputs!$F$85)^(inputs!$E$84-1)</f>
        <v>1.1338909869237934</v>
      </c>
      <c r="X308">
        <f>inputs!$E$80*(F308/inputs!$F$80)^(inputs!$E$84-1)</f>
        <v>4.2341498878799877</v>
      </c>
      <c r="Y308">
        <f>inputs!$E$82*(F308/inputs!$F$82)^(inputs!$E$84-1)</f>
        <v>1.9514527742626133</v>
      </c>
      <c r="Z308">
        <f t="shared" si="30"/>
        <v>533.92449632400439</v>
      </c>
      <c r="AA308">
        <f t="shared" si="31"/>
        <v>11.562273622808666</v>
      </c>
    </row>
    <row r="309" spans="1:27" x14ac:dyDescent="0.3">
      <c r="A309" t="s">
        <v>359</v>
      </c>
      <c r="B309" t="s">
        <v>360</v>
      </c>
      <c r="C309" t="s">
        <v>73</v>
      </c>
      <c r="D309" t="s">
        <v>141</v>
      </c>
      <c r="E309">
        <v>71</v>
      </c>
      <c r="F309">
        <v>19</v>
      </c>
      <c r="G309" t="s">
        <v>142</v>
      </c>
      <c r="H309">
        <v>0.69</v>
      </c>
      <c r="I309">
        <f>MAX('Min rate concentrations'!$H$3:$H$368)</f>
        <v>47</v>
      </c>
      <c r="J309">
        <f>MAX('Min rate concentrations'!AA:AA)</f>
        <v>32.5</v>
      </c>
      <c r="K309">
        <f t="shared" si="29"/>
        <v>38.797719248267576</v>
      </c>
      <c r="L309">
        <f>((0.398*F309^0.85)/(1-H309))*J309/F309</f>
        <v>26.828210118482897</v>
      </c>
      <c r="M309">
        <f>IF((((1.18*F309^0.874)-(0.398*F309^0.85)/(1-H309)*H309)*(MAX('Min rate concentrations'!$P$3:$P$368)))/F309&gt;0, (((1.18*F309^0.874)-(0.398*F309^0.85)/(1-H309)*H309)*(MAX('Min rate concentrations'!$P$3:$P$368)))/F309, 0)</f>
        <v>3.5513205272359995E-2</v>
      </c>
      <c r="N309">
        <f>IF((((1.18*F309^0.874)-(0.398*F309^0.85)/(1-H309)*H309)*(MAX('Min rate concentrations'!$Q$3:$Q$368)))/F309&gt;0, (((1.18*F309^0.874)-(0.398*F309^0.85)/(1-H309)*H309)*(MAX('Min rate concentrations'!$Q$3:$Q$368)))/F309, 0)</f>
        <v>0.1352361938615104</v>
      </c>
      <c r="O309">
        <f>((MAX('Min rate concentrations'!$F$3:$F$368))*0.62*6.01*8*(10*F309^0.667)*0.079*0.1/F309)*inputs!$E$80/(10^(0.84+0.62*LOG10(inputs!$E$80)))</f>
        <v>9.178616535590816</v>
      </c>
      <c r="P309">
        <f>((MAX('Min rate concentrations'!Y:Y))*0.62*6.01*8*(10*F309^0.667)*0.079*0.1/F309)*inputs!$E$80/(10^(0.84+0.62*LOG10(inputs!$E$80)))</f>
        <v>3.0595388451969381</v>
      </c>
      <c r="Q309">
        <f>(inputs!$C$7*11.2*(10*F309^0.667)*0.5/F309)*inputs!$E$80/(10^(0.84+0.62*LOG10(inputs!$E$80)))</f>
        <v>1.6167700110827015</v>
      </c>
      <c r="R309">
        <f>(60*284*((F309/1000)^0.77)*3*24*(MAX('Min rate concentrations'!$R$3:$R$368))/F309)*(inputs!$E$73*3.4/inputs!$E$75)</f>
        <v>1.1663319610753771E-2</v>
      </c>
      <c r="S309">
        <f>(IF(inputs!$C$6="aerial",((0.025*0.112*inputs!$C$7/3.3)*(3*60*284*((F309/1000)^0.77))*MAX(inputs!$H$14:$H$16))/F309,((0.0083*0.112*inputs!$C$7/1)*(3*60*284*((F309/1000)^0.77))*MAX(inputs!$H$14:$H$16))/F309))*(inputs!E$75*3.4/inputs!$E$73)</f>
        <v>6.4323924227943863E-2</v>
      </c>
      <c r="T309">
        <f>IF((((inputs!$P$12/(V309/MAX(K309:S309)))^(1/inputs!$O$12))-1)/inputs!$N$12&lt;0, 0, IF((((inputs!$P$12/(V309/MAX(K309:S309)))^(1/inputs!$O$12))-1)/inputs!$N$12&gt;inputs!$H$17, inputs!$H$17, (((inputs!$P$12/(V309/MAX(K309:S309)))^(1/inputs!$O$12))-1)/inputs!$N$12))</f>
        <v>335.80192445901332</v>
      </c>
      <c r="U309">
        <f>IF((((inputs!$P$12/(X309/MAX(K309:S309)))^(1/inputs!$O$12))-1)/inputs!$N$12&lt;0, 0, IF((((inputs!$P$12/(X309/MAX(K309:S309)))^(1/inputs!$O$12))-1)/inputs!$N$12&gt;inputs!$H$17, inputs!$H$17, (((inputs!$P$12/(X309/MAX(K309:S309)))^(1/inputs!$O$12))-1)/inputs!$N$12))</f>
        <v>16.356831855009482</v>
      </c>
      <c r="V309">
        <f>inputs!$E$78*(F309/inputs!$F$78)^(inputs!$E$84-1)</f>
        <v>3.5124873481261372E-2</v>
      </c>
      <c r="W309">
        <f>inputs!$E$85*(F309/inputs!$F$85)^(inputs!$E$84-1)</f>
        <v>1.6220019516690172</v>
      </c>
      <c r="X309">
        <f>inputs!$E$80*(F309/inputs!$F$80)^(inputs!$E$84-1)</f>
        <v>6.0568427309159505</v>
      </c>
      <c r="Y309">
        <f>inputs!$E$82*(F309/inputs!$F$82)^(inputs!$E$84-1)</f>
        <v>2.7915031029844566</v>
      </c>
      <c r="Z309">
        <f t="shared" si="30"/>
        <v>1104.5653806828832</v>
      </c>
      <c r="AA309">
        <f t="shared" si="31"/>
        <v>23.91965016339547</v>
      </c>
    </row>
    <row r="310" spans="1:27" x14ac:dyDescent="0.3">
      <c r="A310" t="s">
        <v>359</v>
      </c>
      <c r="B310" t="s">
        <v>360</v>
      </c>
      <c r="C310" t="s">
        <v>73</v>
      </c>
      <c r="D310" t="s">
        <v>141</v>
      </c>
      <c r="E310">
        <v>71</v>
      </c>
      <c r="F310">
        <v>19</v>
      </c>
      <c r="G310" t="s">
        <v>218</v>
      </c>
      <c r="H310">
        <v>0.68</v>
      </c>
      <c r="I310">
        <f>MAX('Min rate concentrations'!$K$3:$K$368)</f>
        <v>18.333393099490852</v>
      </c>
      <c r="J310">
        <f>MAX('Min rate concentrations'!AC:AC)</f>
        <v>6.4930767227363431</v>
      </c>
      <c r="K310">
        <f t="shared" si="29"/>
        <v>14.660976721148502</v>
      </c>
      <c r="L310">
        <f>((0.398*F310^0.85)/(1-H310))*J310/F310</f>
        <v>5.1924292554067604</v>
      </c>
      <c r="M310">
        <f>IF((((1.18*F310^0.874)-(0.398*F310^0.85)/(1-H310)*H310)*(MAX('Min rate concentrations'!$P$3:$P$368)))/F310&gt;0, (((1.18*F310^0.874)-(0.398*F310^0.85)/(1-H310)*H310)*(MAX('Min rate concentrations'!$P$3:$P$368)))/F310, 0)</f>
        <v>3.9257495534247913E-2</v>
      </c>
      <c r="N310">
        <f>IF((((1.18*F310^0.874)-(0.398*F310^0.85)/(1-H310)*H310)*(MAX('Min rate concentrations'!$Q$3:$Q$368)))/F310&gt;0, (((1.18*F310^0.874)-(0.398*F310^0.85)/(1-H310)*H310)*(MAX('Min rate concentrations'!$Q$3:$Q$368)))/F310, 0)</f>
        <v>0.149494652365805</v>
      </c>
      <c r="O310">
        <f>((MAX('Min rate concentrations'!$F$3:$F$368))*0.62*6.01*8*(10*F310^0.667)*0.079*0.1/F310)*inputs!$E$80/(10^(0.84+0.62*LOG10(inputs!$E$80)))</f>
        <v>9.178616535590816</v>
      </c>
      <c r="P310">
        <f>((MAX('Min rate concentrations'!Y:Y))*0.62*6.01*8*(10*F310^0.667)*0.079*0.1/F310)*inputs!$E$80/(10^(0.84+0.62*LOG10(inputs!$E$80)))</f>
        <v>3.0595388451969381</v>
      </c>
      <c r="Q310">
        <f>(inputs!$C$7*11.2*(10*F310^0.667)*0.5/F310)*inputs!$E$80/(10^(0.84+0.62*LOG10(inputs!$E$80)))</f>
        <v>1.6167700110827015</v>
      </c>
      <c r="R310">
        <f>(60*284*((F310/1000)^0.77)*3*24*(MAX('Min rate concentrations'!$R$3:$R$368))/F310)*(inputs!$E$73*3.4/inputs!$E$75)</f>
        <v>1.1663319610753771E-2</v>
      </c>
      <c r="S310">
        <f>(IF(inputs!$C$6="aerial",((0.025*0.112*inputs!$C$7/3.3)*(3*60*284*((F310/1000)^0.77))*MAX(inputs!$H$14:$H$16))/F310,((0.0083*0.112*inputs!$C$7/1)*(3*60*284*((F310/1000)^0.77))*MAX(inputs!$H$14:$H$16))/F310))*(inputs!E$75*3.4/inputs!$E$73)</f>
        <v>6.4323924227943863E-2</v>
      </c>
      <c r="T310">
        <f>IF((((inputs!$P$12/(V310/MAX(K310:S310)))^(1/inputs!$O$12))-1)/inputs!$N$12&lt;0, 0, IF((((inputs!$P$12/(V310/MAX(K310:S310)))^(1/inputs!$O$12))-1)/inputs!$N$12&gt;inputs!$H$17, inputs!$H$17, (((inputs!$P$12/(V310/MAX(K310:S310)))^(1/inputs!$O$12))-1)/inputs!$N$12))</f>
        <v>216.72412309626833</v>
      </c>
      <c r="U310">
        <f>IF((((inputs!$P$12/(X310/MAX(K310:S310)))^(1/inputs!$O$12))-1)/inputs!$N$12&lt;0, 0, IF((((inputs!$P$12/(X310/MAX(K310:S310)))^(1/inputs!$O$12))-1)/inputs!$N$12&gt;inputs!$H$17, inputs!$H$17, (((inputs!$P$12/(X310/MAX(K310:S310)))^(1/inputs!$O$12))-1)/inputs!$N$12))</f>
        <v>1.6975304768749793</v>
      </c>
      <c r="V310">
        <f>inputs!$E$78*(F310/inputs!$F$78)^(inputs!$E$84-1)</f>
        <v>3.5124873481261372E-2</v>
      </c>
      <c r="W310">
        <f>inputs!$E$85*(F310/inputs!$F$85)^(inputs!$E$84-1)</f>
        <v>1.6220019516690172</v>
      </c>
      <c r="X310">
        <f>inputs!$E$80*(F310/inputs!$F$80)^(inputs!$E$84-1)</f>
        <v>6.0568427309159505</v>
      </c>
      <c r="Y310">
        <f>inputs!$E$82*(F310/inputs!$F$82)^(inputs!$E$84-1)</f>
        <v>2.7915031029844566</v>
      </c>
      <c r="Z310">
        <f t="shared" si="30"/>
        <v>417.39585849241359</v>
      </c>
      <c r="AA310">
        <f t="shared" si="31"/>
        <v>9.038815709230537</v>
      </c>
    </row>
    <row r="311" spans="1:27" x14ac:dyDescent="0.3">
      <c r="A311" t="s">
        <v>359</v>
      </c>
      <c r="B311" t="s">
        <v>360</v>
      </c>
      <c r="C311" t="s">
        <v>73</v>
      </c>
      <c r="D311" t="s">
        <v>141</v>
      </c>
      <c r="E311">
        <v>71</v>
      </c>
      <c r="F311">
        <v>19</v>
      </c>
      <c r="G311" t="s">
        <v>169</v>
      </c>
      <c r="H311">
        <v>0.79</v>
      </c>
      <c r="I311">
        <f>MAX('Min rate concentrations'!$D$3:$D$368)</f>
        <v>120</v>
      </c>
      <c r="J311">
        <f>MAX('Min rate concentrations'!W:W)</f>
        <v>42.5</v>
      </c>
      <c r="K311">
        <f t="shared" si="29"/>
        <v>146.22848592052219</v>
      </c>
      <c r="L311">
        <f>((0.398*F311^0.85)/(1-H311))*J311/F311</f>
        <v>51.789255430184951</v>
      </c>
      <c r="M311">
        <f>IF((((1.18*F311^0.874)-(0.398*F311^0.85)/(1-H311)*H311)*(MAX('Min rate concentrations'!$P$3:$P$368)))/F311&gt;0, (((1.18*F311^0.874)-(0.398*F311^0.85)/(1-H311)*H311)*(MAX('Min rate concentrations'!$P$3:$P$368)))/F311, 0)</f>
        <v>0</v>
      </c>
      <c r="N311">
        <f>IF((((1.18*F311^0.874)-(0.398*F311^0.85)/(1-H311)*H311)*(MAX('Min rate concentrations'!$Q$3:$Q$368)))/F311&gt;0, (((1.18*F311^0.874)-(0.398*F311^0.85)/(1-H311)*H311)*(MAX('Min rate concentrations'!$Q$3:$Q$368)))/F311, 0)</f>
        <v>0</v>
      </c>
      <c r="O311">
        <f>((MAX('Min rate concentrations'!$F$3:$F$368))*0.62*6.01*8*(10*F311^0.667)*0.079*0.1/F311)*inputs!$E$80/(10^(0.84+0.62*LOG10(inputs!$E$80)))</f>
        <v>9.178616535590816</v>
      </c>
      <c r="P311">
        <f>((MAX('Min rate concentrations'!Y:Y))*0.62*6.01*8*(10*F311^0.667)*0.079*0.1/F311)*inputs!$E$80/(10^(0.84+0.62*LOG10(inputs!$E$80)))</f>
        <v>3.0595388451969381</v>
      </c>
      <c r="Q311">
        <f>(inputs!$C$7*11.2*(10*F311^0.667)*0.5/F311)*inputs!$E$80/(10^(0.84+0.62*LOG10(inputs!$E$80)))</f>
        <v>1.6167700110827015</v>
      </c>
      <c r="R311">
        <f>(60*284*((F311/1000)^0.77)*3*24*(MAX('Min rate concentrations'!$R$3:$R$368))/F311)*(inputs!$E$73*3.4/inputs!$E$75)</f>
        <v>1.1663319610753771E-2</v>
      </c>
      <c r="S311">
        <f>(IF(inputs!$C$6="aerial",((0.025*0.112*inputs!$C$7/3.3)*(3*60*284*((F311/1000)^0.77))*MAX(inputs!$H$14:$H$16))/F311,((0.0083*0.112*inputs!$C$7/1)*(3*60*284*((F311/1000)^0.77))*MAX(inputs!$H$14:$H$16))/F311))*(inputs!E$75*3.4/inputs!$E$73)</f>
        <v>6.4323924227943863E-2</v>
      </c>
      <c r="T311">
        <f>IF((((inputs!$P$12/(V311/MAX(K311:S311)))^(1/inputs!$O$12))-1)/inputs!$N$12&lt;0, 0, IF((((inputs!$P$12/(V311/MAX(K311:S311)))^(1/inputs!$O$12))-1)/inputs!$N$12&gt;inputs!$H$17, inputs!$H$17, (((inputs!$P$12/(V311/MAX(K311:S311)))^(1/inputs!$O$12))-1)/inputs!$N$12))</f>
        <v>596.425166822032</v>
      </c>
      <c r="U311">
        <f>IF((((inputs!$P$12/(X311/MAX(K311:S311)))^(1/inputs!$O$12))-1)/inputs!$N$12&lt;0, 0, IF((((inputs!$P$12/(X311/MAX(K311:S311)))^(1/inputs!$O$12))-1)/inputs!$N$12&gt;inputs!$H$17, inputs!$H$17, (((inputs!$P$12/(X311/MAX(K311:S311)))^(1/inputs!$O$12))-1)/inputs!$N$12))</f>
        <v>48.441356528987797</v>
      </c>
      <c r="V311">
        <f>inputs!$E$78*(F311/inputs!$F$78)^(inputs!$E$84-1)</f>
        <v>3.5124873481261372E-2</v>
      </c>
      <c r="W311">
        <f>inputs!$E$85*(F311/inputs!$F$85)^(inputs!$E$84-1)</f>
        <v>1.6220019516690172</v>
      </c>
      <c r="X311">
        <f>inputs!$E$80*(F311/inputs!$F$80)^(inputs!$E$84-1)</f>
        <v>6.0568427309159505</v>
      </c>
      <c r="Y311">
        <f>inputs!$E$82*(F311/inputs!$F$82)^(inputs!$E$84-1)</f>
        <v>2.7915031029844566</v>
      </c>
      <c r="Z311">
        <f t="shared" si="30"/>
        <v>4163.1035624522046</v>
      </c>
      <c r="AA311">
        <f t="shared" si="31"/>
        <v>90.153088761733699</v>
      </c>
    </row>
    <row r="312" spans="1:27" x14ac:dyDescent="0.3">
      <c r="A312" t="s">
        <v>359</v>
      </c>
      <c r="B312" t="s">
        <v>360</v>
      </c>
      <c r="C312" t="s">
        <v>73</v>
      </c>
      <c r="D312" t="s">
        <v>141</v>
      </c>
      <c r="E312">
        <v>71</v>
      </c>
      <c r="F312">
        <v>19</v>
      </c>
      <c r="G312" t="s">
        <v>158</v>
      </c>
      <c r="H312">
        <v>0.85</v>
      </c>
      <c r="I312">
        <f>MAX('Min rate concentrations'!$F$3:$F$368)</f>
        <v>67.5</v>
      </c>
      <c r="J312">
        <f>MAX('Min rate concentrations'!Y:Y)</f>
        <v>22.5</v>
      </c>
      <c r="K312">
        <f t="shared" si="29"/>
        <v>115.15493266241121</v>
      </c>
      <c r="L312">
        <f>((0.398*F312^0.85)/(1-H312))*J312/F312</f>
        <v>38.384977554137073</v>
      </c>
      <c r="M312">
        <f>IF((((1.18*F312^0.874)-(0.398*F312^0.85)/(1-H312)*H312)*(MAX('Min rate concentrations'!$P$3:$P$368)))/F312&gt;0, (((1.18*F312^0.874)-(0.398*F312^0.85)/(1-H312)*H312)*(MAX('Min rate concentrations'!$P$3:$P$368)))/F312, 0)</f>
        <v>0</v>
      </c>
      <c r="N312">
        <f>IF((((1.18*F312^0.874)-(0.398*F312^0.85)/(1-H312)*H312)*(MAX('Min rate concentrations'!$Q$3:$Q$368)))/F312&gt;0, (((1.18*F312^0.874)-(0.398*F312^0.85)/(1-H312)*H312)*(MAX('Min rate concentrations'!$Q$3:$Q$368)))/F312, 0)</f>
        <v>0</v>
      </c>
      <c r="O312">
        <f>((MAX('Min rate concentrations'!$F$3:$F$368))*0.62*6.01*8*(10*F312^0.667)*0.079*0.1/F312)*inputs!$E$80/(10^(0.84+0.62*LOG10(inputs!$E$80)))</f>
        <v>9.178616535590816</v>
      </c>
      <c r="P312">
        <f>((MAX('Min rate concentrations'!Y:Y))*0.62*6.01*8*(10*F312^0.667)*0.079*0.1/F312)*inputs!$E$80/(10^(0.84+0.62*LOG10(inputs!$E$80)))</f>
        <v>3.0595388451969381</v>
      </c>
      <c r="Q312">
        <f>(inputs!$C$7*11.2*(10*F312^0.667)*0.5/F312)*inputs!$E$80/(10^(0.84+0.62*LOG10(inputs!$E$80)))</f>
        <v>1.6167700110827015</v>
      </c>
      <c r="R312">
        <f>(60*284*((F312/1000)^0.77)*3*24*(MAX('Min rate concentrations'!$R$3:$R$368))/F312)*(inputs!$E$73*3.4/inputs!$E$75)</f>
        <v>1.1663319610753771E-2</v>
      </c>
      <c r="S312">
        <f>(IF(inputs!$C$6="aerial",((0.025*0.112*inputs!$C$7/3.3)*(3*60*284*((F312/1000)^0.77))*MAX(inputs!$H$14:$H$16))/F312,((0.0083*0.112*inputs!$C$7/1)*(3*60*284*((F312/1000)^0.77))*MAX(inputs!$H$14:$H$16))/F312))*(inputs!E$75*3.4/inputs!$E$73)</f>
        <v>6.4323924227943863E-2</v>
      </c>
      <c r="T312">
        <f>IF((((inputs!$P$12/(V312/MAX(K312:S312)))^(1/inputs!$O$12))-1)/inputs!$N$12&lt;0, 0, IF((((inputs!$P$12/(V312/MAX(K312:S312)))^(1/inputs!$O$12))-1)/inputs!$N$12&gt;inputs!$H$17, inputs!$H$17, (((inputs!$P$12/(V312/MAX(K312:S312)))^(1/inputs!$O$12))-1)/inputs!$N$12))</f>
        <v>538.56146870504597</v>
      </c>
      <c r="U312">
        <f>IF((((inputs!$P$12/(X312/MAX(K312:S312)))^(1/inputs!$O$12))-1)/inputs!$N$12&lt;0, 0, IF((((inputs!$P$12/(X312/MAX(K312:S312)))^(1/inputs!$O$12))-1)/inputs!$N$12&gt;inputs!$H$17, inputs!$H$17, (((inputs!$P$12/(X312/MAX(K312:S312)))^(1/inputs!$O$12))-1)/inputs!$N$12))</f>
        <v>41.317934868167015</v>
      </c>
      <c r="V312">
        <f>inputs!$E$78*(F312/inputs!$F$78)^(inputs!$E$84-1)</f>
        <v>3.5124873481261372E-2</v>
      </c>
      <c r="W312">
        <f>inputs!$E$85*(F312/inputs!$F$85)^(inputs!$E$84-1)</f>
        <v>1.6220019516690172</v>
      </c>
      <c r="X312">
        <f>inputs!$E$80*(F312/inputs!$F$80)^(inputs!$E$84-1)</f>
        <v>6.0568427309159505</v>
      </c>
      <c r="Y312">
        <f>inputs!$E$82*(F312/inputs!$F$82)^(inputs!$E$84-1)</f>
        <v>2.7915031029844566</v>
      </c>
      <c r="Z312">
        <f t="shared" si="30"/>
        <v>3278.4440554311109</v>
      </c>
      <c r="AA312">
        <f t="shared" si="31"/>
        <v>70.995557399865277</v>
      </c>
    </row>
    <row r="313" spans="1:27" x14ac:dyDescent="0.3">
      <c r="A313" t="s">
        <v>359</v>
      </c>
      <c r="B313" t="s">
        <v>360</v>
      </c>
      <c r="C313" t="s">
        <v>73</v>
      </c>
      <c r="D313" t="s">
        <v>141</v>
      </c>
      <c r="E313">
        <v>71</v>
      </c>
      <c r="F313">
        <v>19</v>
      </c>
      <c r="G313" t="s">
        <v>154</v>
      </c>
      <c r="H313">
        <v>9.2999999999999999E-2</v>
      </c>
      <c r="I313">
        <f>MAX('Min rate concentrations'!$G$3:$G$368)</f>
        <v>7.5</v>
      </c>
      <c r="J313">
        <f>MAX('Min rate concentrations'!Z:Z)</f>
        <v>3.5</v>
      </c>
      <c r="K313">
        <f t="shared" si="29"/>
        <v>2.1160406589932235</v>
      </c>
      <c r="M313">
        <f>IF((((1.18*F313^0.874)-(0.398*F313^0.85)/(1-H313)*H313)*(MAX('Min rate concentrations'!$P$3:$P$368)))/F313&gt;0, (((1.18*F313^0.874)-(0.398*F313^0.85)/(1-H313)*H313)*(MAX('Min rate concentrations'!$P$3:$P$368)))/F313, 0)</f>
        <v>0.11437860898030691</v>
      </c>
      <c r="N313">
        <f>IF((((1.18*F313^0.874)-(0.398*F313^0.85)/(1-H313)*H313)*(MAX('Min rate concentrations'!$Q$3:$Q$368)))/F313&gt;0, (((1.18*F313^0.874)-(0.398*F313^0.85)/(1-H313)*H313)*(MAX('Min rate concentrations'!$Q$3:$Q$368)))/F313, 0)</f>
        <v>0.43555988875241181</v>
      </c>
      <c r="O313">
        <f>((MAX('Min rate concentrations'!$F$3:$F$368))*0.62*6.01*8*(10*F313^0.667)*0.079*0.1/F313)*inputs!$E$80/(10^(0.84+0.62*LOG10(inputs!$E$80)))</f>
        <v>9.178616535590816</v>
      </c>
      <c r="P313">
        <f>((MAX('Min rate concentrations'!Y:Y))*0.62*6.01*8*(10*F313^0.667)*0.079*0.1/F313)*inputs!$E$80/(10^(0.84+0.62*LOG10(inputs!$E$80)))</f>
        <v>3.0595388451969381</v>
      </c>
      <c r="Q313">
        <f>(inputs!$C$7*11.2*(10*F313^0.667)*0.5/F313)*inputs!$E$80/(10^(0.84+0.62*LOG10(inputs!$E$80)))</f>
        <v>1.6167700110827015</v>
      </c>
      <c r="R313">
        <f>(60*284*((F313/1000)^0.77)*3*24*(MAX('Min rate concentrations'!$R$3:$R$368))/F313)*(inputs!$E$73*3.4/inputs!$E$75)</f>
        <v>1.1663319610753771E-2</v>
      </c>
      <c r="S313">
        <f>(IF(inputs!$C$6="aerial",((0.025*0.112*inputs!$C$7/3.3)*(3*60*284*((F313/1000)^0.77))*MAX(inputs!$H$14:$H$16))/F313,((0.0083*0.112*inputs!$C$7/1)*(3*60*284*((F313/1000)^0.77))*MAX(inputs!$H$14:$H$16))/F313))*(inputs!E$75*3.4/inputs!$E$73)</f>
        <v>6.4323924227943863E-2</v>
      </c>
      <c r="T313">
        <f>IF((((inputs!$P$12/(V313/MAX(K313:S313)))^(1/inputs!$O$12))-1)/inputs!$N$12&lt;0, 0, IF((((inputs!$P$12/(V313/MAX(K313:S313)))^(1/inputs!$O$12))-1)/inputs!$N$12&gt;inputs!$H$17, inputs!$H$17, (((inputs!$P$12/(V313/MAX(K313:S313)))^(1/inputs!$O$12))-1)/inputs!$N$12))</f>
        <v>174.19484889502183</v>
      </c>
      <c r="U313">
        <f>IF((((inputs!$P$12/(X313/MAX(K313:S313)))^(1/inputs!$O$12))-1)/inputs!$N$12&lt;0, 0, IF((((inputs!$P$12/(X313/MAX(K313:S313)))^(1/inputs!$O$12))-1)/inputs!$N$12&gt;inputs!$H$17, inputs!$H$17, (((inputs!$P$12/(X313/MAX(K313:S313)))^(1/inputs!$O$12))-1)/inputs!$N$12))</f>
        <v>0</v>
      </c>
      <c r="V313">
        <f>inputs!$E$78*(F313/inputs!$F$78)^(inputs!$E$84-1)</f>
        <v>3.5124873481261372E-2</v>
      </c>
      <c r="W313">
        <f>inputs!$E$85*(F313/inputs!$F$85)^(inputs!$E$84-1)</f>
        <v>1.6220019516690172</v>
      </c>
      <c r="X313">
        <f>inputs!$E$80*(F313/inputs!$F$80)^(inputs!$E$84-1)</f>
        <v>6.0568427309159505</v>
      </c>
      <c r="Y313">
        <f>inputs!$E$82*(F313/inputs!$F$82)^(inputs!$E$84-1)</f>
        <v>2.7915031029844566</v>
      </c>
      <c r="Z313">
        <f t="shared" si="30"/>
        <v>261.3138675214725</v>
      </c>
      <c r="AA313">
        <f t="shared" si="31"/>
        <v>5.6588196618050608</v>
      </c>
    </row>
    <row r="314" spans="1:27" x14ac:dyDescent="0.3">
      <c r="A314" t="s">
        <v>372</v>
      </c>
      <c r="B314" t="s">
        <v>373</v>
      </c>
      <c r="C314" t="s">
        <v>73</v>
      </c>
      <c r="D314" t="s">
        <v>141</v>
      </c>
      <c r="E314">
        <v>123</v>
      </c>
      <c r="F314">
        <v>7.4</v>
      </c>
      <c r="G314" t="s">
        <v>142</v>
      </c>
      <c r="H314">
        <v>0.69</v>
      </c>
      <c r="I314">
        <f>MAX('Min rate concentrations'!$H$3:$H$368)</f>
        <v>47</v>
      </c>
      <c r="J314">
        <f>MAX('Min rate concentrations'!AA:AA)</f>
        <v>32.5</v>
      </c>
      <c r="K314">
        <f t="shared" si="29"/>
        <v>44.692482443747174</v>
      </c>
      <c r="L314">
        <f t="shared" ref="L314:L320" si="34">((0.398*F314^0.85)/(1-H314))*J314/F314</f>
        <v>30.904376157910285</v>
      </c>
      <c r="M314">
        <f>IF((((1.18*F314^0.874)-(0.398*F314^0.85)/(1-H314)*H314)*(MAX('Min rate concentrations'!$P$3:$P$368)))/F314&gt;0, (((1.18*F314^0.874)-(0.398*F314^0.85)/(1-H314)*H314)*(MAX('Min rate concentrations'!$P$3:$P$368)))/F314, 0)</f>
        <v>3.7862458761111453E-2</v>
      </c>
      <c r="N314">
        <f>IF((((1.18*F314^0.874)-(0.398*F314^0.85)/(1-H314)*H314)*(MAX('Min rate concentrations'!$Q$3:$Q$368)))/F314&gt;0, (((1.18*F314^0.874)-(0.398*F314^0.85)/(1-H314)*H314)*(MAX('Min rate concentrations'!$Q$3:$Q$368)))/F314, 0)</f>
        <v>0.14418227737602476</v>
      </c>
      <c r="O314">
        <f>((MAX('Min rate concentrations'!$F$3:$F$368))*0.62*6.01*8*(10*F314^0.667)*0.079*0.1/F314)*inputs!$E$80/(10^(0.84+0.62*LOG10(inputs!$E$80)))</f>
        <v>12.564581065863228</v>
      </c>
      <c r="P314">
        <f>((MAX('Min rate concentrations'!Y:Y))*0.62*6.01*8*(10*F314^0.667)*0.079*0.1/F314)*inputs!$E$80/(10^(0.84+0.62*LOG10(inputs!$E$80)))</f>
        <v>4.1881936886210749</v>
      </c>
      <c r="Q314">
        <f>(inputs!$C$7*11.2*(10*F314^0.667)*0.5/F314)*inputs!$E$80/(10^(0.84+0.62*LOG10(inputs!$E$80)))</f>
        <v>2.2131916929240805</v>
      </c>
      <c r="R314">
        <f>(60*284*((F314/1000)^0.77)*3*24*(MAX('Min rate concentrations'!$R$3:$R$368))/F314)*(inputs!$E$73*3.4/inputs!$E$75)</f>
        <v>1.4488125839437095E-2</v>
      </c>
      <c r="S314">
        <f>(IF(inputs!$C$6="aerial",((0.025*0.112*inputs!$C$7/3.3)*(3*60*284*((F314/1000)^0.77))*MAX(inputs!$H$14:$H$16))/F314,((0.0083*0.112*inputs!$C$7/1)*(3*60*284*((F314/1000)^0.77))*MAX(inputs!$H$14:$H$16))/F314))*(inputs!E$75*3.4/inputs!$E$73)</f>
        <v>7.9902904130450952E-2</v>
      </c>
      <c r="T314">
        <f>IF((((inputs!$P$12/(V314/MAX(K314:S314)))^(1/inputs!$O$12))-1)/inputs!$N$12&lt;0, 0, IF((((inputs!$P$12/(V314/MAX(K314:S314)))^(1/inputs!$O$12))-1)/inputs!$N$12&gt;inputs!$H$17, inputs!$H$17, (((inputs!$P$12/(V314/MAX(K314:S314)))^(1/inputs!$O$12))-1)/inputs!$N$12))</f>
        <v>306.32490106780875</v>
      </c>
      <c r="U314">
        <f>IF((((inputs!$P$12/(X314/MAX(K314:S314)))^(1/inputs!$O$12))-1)/inputs!$N$12&lt;0, 0, IF((((inputs!$P$12/(X314/MAX(K314:S314)))^(1/inputs!$O$12))-1)/inputs!$N$12&gt;inputs!$H$17, inputs!$H$17, (((inputs!$P$12/(X314/MAX(K314:S314)))^(1/inputs!$O$12))-1)/inputs!$N$12))</f>
        <v>12.728006291581003</v>
      </c>
      <c r="V314">
        <f>inputs!$E$78*(F314/inputs!$F$78)^(inputs!$E$84-1)</f>
        <v>4.9789511425584437E-2</v>
      </c>
      <c r="W314">
        <f>inputs!$E$85*(F314/inputs!$F$85)^(inputs!$E$84-1)</f>
        <v>2.2991879173039136</v>
      </c>
      <c r="X314">
        <f>inputs!$E$80*(F314/inputs!$F$80)^(inputs!$E$84-1)</f>
        <v>8.5855751342361319</v>
      </c>
      <c r="Y314">
        <f>inputs!$E$82*(F314/inputs!$F$82)^(inputs!$E$84-1)</f>
        <v>3.9569559080332892</v>
      </c>
      <c r="Z314">
        <f t="shared" si="30"/>
        <v>897.6284595711428</v>
      </c>
      <c r="AA314">
        <f t="shared" si="31"/>
        <v>19.43837739724847</v>
      </c>
    </row>
    <row r="315" spans="1:27" x14ac:dyDescent="0.3">
      <c r="A315" t="s">
        <v>224</v>
      </c>
      <c r="B315" t="s">
        <v>225</v>
      </c>
      <c r="C315" t="s">
        <v>73</v>
      </c>
      <c r="D315" t="s">
        <v>141</v>
      </c>
      <c r="E315">
        <v>118</v>
      </c>
      <c r="F315">
        <v>240</v>
      </c>
      <c r="G315" t="s">
        <v>142</v>
      </c>
      <c r="H315">
        <v>0.69</v>
      </c>
      <c r="I315">
        <f>MAX('Min rate concentrations'!$H$3:$H$368)</f>
        <v>47</v>
      </c>
      <c r="J315">
        <f>MAX('Min rate concentrations'!AA:AA)</f>
        <v>32.5</v>
      </c>
      <c r="K315">
        <f t="shared" si="29"/>
        <v>26.520856760906092</v>
      </c>
      <c r="L315">
        <f t="shared" si="34"/>
        <v>18.338890313392508</v>
      </c>
      <c r="M315">
        <f>IF((((1.18*F315^0.874)-(0.398*F315^0.85)/(1-H315)*H315)*(MAX('Min rate concentrations'!$P$3:$P$368)))/F315&gt;0, (((1.18*F315^0.874)-(0.398*F315^0.85)/(1-H315)*H315)*(MAX('Min rate concentrations'!$P$3:$P$368)))/F315, 0)</f>
        <v>2.9345936914395521E-2</v>
      </c>
      <c r="N315">
        <f>IF((((1.18*F315^0.874)-(0.398*F315^0.85)/(1-H315)*H315)*(MAX('Min rate concentrations'!$Q$3:$Q$368)))/F315&gt;0, (((1.18*F315^0.874)-(0.398*F315^0.85)/(1-H315)*H315)*(MAX('Min rate concentrations'!$Q$3:$Q$368)))/F315, 0)</f>
        <v>0.11175090457666022</v>
      </c>
      <c r="O315">
        <f>((MAX('Min rate concentrations'!$F$3:$F$368))*0.62*6.01*8*(10*F315^0.667)*0.079*0.1/F315)*inputs!$E$80/(10^(0.84+0.62*LOG10(inputs!$E$80)))</f>
        <v>3.9444988329327137</v>
      </c>
      <c r="P315">
        <f>((MAX('Min rate concentrations'!Y:Y))*0.62*6.01*8*(10*F315^0.667)*0.079*0.1/F315)*inputs!$E$80/(10^(0.84+0.62*LOG10(inputs!$E$80)))</f>
        <v>1.3148329443109041</v>
      </c>
      <c r="Q315">
        <f>(inputs!$C$7*11.2*(10*F315^0.667)*0.5/F315)*inputs!$E$80/(10^(0.84+0.62*LOG10(inputs!$E$80)))</f>
        <v>0.6948048648843379</v>
      </c>
      <c r="R315">
        <f>(60*284*((F315/1000)^0.77)*3*24*(MAX('Min rate concentrations'!$R$3:$R$368))/F315)*(inputs!$E$73*3.4/inputs!$E$75)</f>
        <v>6.5085900722023828E-3</v>
      </c>
      <c r="S315">
        <f>(IF(inputs!$C$6="aerial",((0.025*0.112*inputs!$C$7/3.3)*(3*60*284*((F315/1000)^0.77))*MAX(inputs!$H$14:$H$16))/F315,((0.0083*0.112*inputs!$C$7/1)*(3*60*284*((F315/1000)^0.77))*MAX(inputs!$H$14:$H$16))/F315))*(inputs!E$75*3.4/inputs!$E$73)</f>
        <v>3.5895274124965591E-2</v>
      </c>
      <c r="T315">
        <f>IF((((inputs!$P$12/(V315/MAX(K315:S315)))^(1/inputs!$O$12))-1)/inputs!$N$12&lt;0, 0, IF((((inputs!$P$12/(V315/MAX(K315:S315)))^(1/inputs!$O$12))-1)/inputs!$N$12&gt;inputs!$H$17, inputs!$H$17, (((inputs!$P$12/(V315/MAX(K315:S315)))^(1/inputs!$O$12))-1)/inputs!$N$12))</f>
        <v>428.60869780639291</v>
      </c>
      <c r="U315">
        <f>IF((((inputs!$P$12/(X315/MAX(K315:S315)))^(1/inputs!$O$12))-1)/inputs!$N$12&lt;0, 0, IF((((inputs!$P$12/(X315/MAX(K315:S315)))^(1/inputs!$O$12))-1)/inputs!$N$12&gt;inputs!$H$17, inputs!$H$17, (((inputs!$P$12/(X315/MAX(K315:S315)))^(1/inputs!$O$12))-1)/inputs!$N$12))</f>
        <v>27.781987886292256</v>
      </c>
      <c r="V315">
        <f>inputs!$E$78*(F315/inputs!$F$78)^(inputs!$E$84-1)</f>
        <v>1.3742806812884194E-2</v>
      </c>
      <c r="W315">
        <f>inputs!$E$85*(F315/inputs!$F$85)^(inputs!$E$84-1)</f>
        <v>0.63461750214702672</v>
      </c>
      <c r="X315">
        <f>inputs!$E$80*(F315/inputs!$F$80)^(inputs!$E$84-1)</f>
        <v>2.3697742168781373</v>
      </c>
      <c r="Y315">
        <f>inputs!$E$82*(F315/inputs!$F$82)^(inputs!$E$84-1)</f>
        <v>1.0921914888134281</v>
      </c>
      <c r="Z315">
        <f t="shared" si="30"/>
        <v>1929.799139433597</v>
      </c>
      <c r="AA315">
        <f t="shared" si="31"/>
        <v>41.790301514189565</v>
      </c>
    </row>
    <row r="316" spans="1:27" x14ac:dyDescent="0.3">
      <c r="A316" t="s">
        <v>224</v>
      </c>
      <c r="B316" t="s">
        <v>225</v>
      </c>
      <c r="C316" t="s">
        <v>73</v>
      </c>
      <c r="D316" t="s">
        <v>141</v>
      </c>
      <c r="E316">
        <v>118</v>
      </c>
      <c r="F316">
        <v>240</v>
      </c>
      <c r="G316" t="s">
        <v>152</v>
      </c>
      <c r="H316">
        <v>0.77</v>
      </c>
      <c r="I316">
        <f>MAX('Min rate concentrations'!$G$3:$G$368)</f>
        <v>7.5</v>
      </c>
      <c r="J316">
        <f>MAX('Min rate concentrations'!Z:Z)</f>
        <v>3.5</v>
      </c>
      <c r="K316">
        <f t="shared" si="29"/>
        <v>5.7040695623595443</v>
      </c>
      <c r="L316">
        <f t="shared" si="34"/>
        <v>2.6618991291011209</v>
      </c>
      <c r="M316">
        <f>IF((((1.18*F316^0.874)-(0.398*F316^0.85)/(1-H316)*H316)*(MAX('Min rate concentrations'!$P$3:$P$368)))/F316&gt;0, (((1.18*F316^0.874)-(0.398*F316^0.85)/(1-H316)*H316)*(MAX('Min rate concentrations'!$P$3:$P$368)))/F316, 0)</f>
        <v>8.578692902831502E-4</v>
      </c>
      <c r="N316">
        <f>IF((((1.18*F316^0.874)-(0.398*F316^0.85)/(1-H316)*H316)*(MAX('Min rate concentrations'!$Q$3:$Q$368)))/F316&gt;0, (((1.18*F316^0.874)-(0.398*F316^0.85)/(1-H316)*H316)*(MAX('Min rate concentrations'!$Q$3:$Q$368)))/F316, 0)</f>
        <v>3.2668123521608222E-3</v>
      </c>
      <c r="O316">
        <f>((MAX('Min rate concentrations'!$F$3:$F$368))*0.62*6.01*8*(10*F316^0.667)*0.079*0.1/F316)*inputs!$E$80/(10^(0.84+0.62*LOG10(inputs!$E$80)))</f>
        <v>3.9444988329327137</v>
      </c>
      <c r="P316">
        <f>((MAX('Min rate concentrations'!Y:Y))*0.62*6.01*8*(10*F316^0.667)*0.079*0.1/F316)*inputs!$E$80/(10^(0.84+0.62*LOG10(inputs!$E$80)))</f>
        <v>1.3148329443109041</v>
      </c>
      <c r="Q316">
        <f>(inputs!$C$7*11.2*(10*F316^0.667)*0.5/F316)*inputs!$E$80/(10^(0.84+0.62*LOG10(inputs!$E$80)))</f>
        <v>0.6948048648843379</v>
      </c>
      <c r="R316">
        <f>(60*284*((F316/1000)^0.77)*3*24*(MAX('Min rate concentrations'!$R$3:$R$368))/F316)*(inputs!$E$73*3.4/inputs!$E$75)</f>
        <v>6.5085900722023828E-3</v>
      </c>
      <c r="S316">
        <f>(IF(inputs!$C$6="aerial",((0.025*0.112*inputs!$C$7/3.3)*(3*60*284*((F316/1000)^0.77))*MAX(inputs!$H$14:$H$16))/F316,((0.0083*0.112*inputs!$C$7/1)*(3*60*284*((F316/1000)^0.77))*MAX(inputs!$H$14:$H$16))/F316))*(inputs!E$75*3.4/inputs!$E$73)</f>
        <v>3.5895274124965591E-2</v>
      </c>
      <c r="T316">
        <f>IF((((inputs!$P$12/(V316/MAX(K316:S316)))^(1/inputs!$O$12))-1)/inputs!$N$12&lt;0, 0, IF((((inputs!$P$12/(V316/MAX(K316:S316)))^(1/inputs!$O$12))-1)/inputs!$N$12&gt;inputs!$H$17, inputs!$H$17, (((inputs!$P$12/(V316/MAX(K316:S316)))^(1/inputs!$O$12))-1)/inputs!$N$12))</f>
        <v>216.16469119564562</v>
      </c>
      <c r="U316">
        <f>IF((((inputs!$P$12/(X316/MAX(K316:S316)))^(1/inputs!$O$12))-1)/inputs!$N$12&lt;0, 0, IF((((inputs!$P$12/(X316/MAX(K316:S316)))^(1/inputs!$O$12))-1)/inputs!$N$12&gt;inputs!$H$17, inputs!$H$17, (((inputs!$P$12/(X316/MAX(K316:S316)))^(1/inputs!$O$12))-1)/inputs!$N$12))</f>
        <v>1.6286605385832302</v>
      </c>
      <c r="V316">
        <f>inputs!$E$78*(F316/inputs!$F$78)^(inputs!$E$84-1)</f>
        <v>1.3742806812884194E-2</v>
      </c>
      <c r="W316">
        <f>inputs!$E$85*(F316/inputs!$F$85)^(inputs!$E$84-1)</f>
        <v>0.63461750214702672</v>
      </c>
      <c r="X316">
        <f>inputs!$E$80*(F316/inputs!$F$80)^(inputs!$E$84-1)</f>
        <v>2.3697742168781373</v>
      </c>
      <c r="Y316">
        <f>inputs!$E$82*(F316/inputs!$F$82)^(inputs!$E$84-1)</f>
        <v>1.0921914888134281</v>
      </c>
      <c r="Z316">
        <f t="shared" si="30"/>
        <v>415.05855681619926</v>
      </c>
      <c r="AA316">
        <f t="shared" si="31"/>
        <v>8.9882008344579791</v>
      </c>
    </row>
    <row r="317" spans="1:27" x14ac:dyDescent="0.3">
      <c r="A317" t="s">
        <v>224</v>
      </c>
      <c r="B317" t="s">
        <v>225</v>
      </c>
      <c r="C317" t="s">
        <v>73</v>
      </c>
      <c r="D317" t="s">
        <v>141</v>
      </c>
      <c r="E317">
        <v>118</v>
      </c>
      <c r="F317">
        <v>240</v>
      </c>
      <c r="G317" t="s">
        <v>169</v>
      </c>
      <c r="H317">
        <v>0.79</v>
      </c>
      <c r="I317">
        <f>MAX('Min rate concentrations'!$D$3:$D$368)</f>
        <v>120</v>
      </c>
      <c r="J317">
        <f>MAX('Min rate concentrations'!W:W)</f>
        <v>42.5</v>
      </c>
      <c r="K317">
        <f t="shared" si="29"/>
        <v>99.957028521348221</v>
      </c>
      <c r="L317">
        <f t="shared" si="34"/>
        <v>35.401447601310828</v>
      </c>
      <c r="M317">
        <f>IF((((1.18*F317^0.874)-(0.398*F317^0.85)/(1-H317)*H317)*(MAX('Min rate concentrations'!$P$3:$P$368)))/F317&gt;0, (((1.18*F317^0.874)-(0.398*F317^0.85)/(1-H317)*H317)*(MAX('Min rate concentrations'!$P$3:$P$368)))/F317, 0)</f>
        <v>0</v>
      </c>
      <c r="N317">
        <f>IF((((1.18*F317^0.874)-(0.398*F317^0.85)/(1-H317)*H317)*(MAX('Min rate concentrations'!$Q$3:$Q$368)))/F317&gt;0, (((1.18*F317^0.874)-(0.398*F317^0.85)/(1-H317)*H317)*(MAX('Min rate concentrations'!$Q$3:$Q$368)))/F317, 0)</f>
        <v>0</v>
      </c>
      <c r="O317">
        <f>((MAX('Min rate concentrations'!$F$3:$F$368))*0.62*6.01*8*(10*F317^0.667)*0.079*0.1/F317)*inputs!$E$80/(10^(0.84+0.62*LOG10(inputs!$E$80)))</f>
        <v>3.9444988329327137</v>
      </c>
      <c r="P317">
        <f>((MAX('Min rate concentrations'!Y:Y))*0.62*6.01*8*(10*F317^0.667)*0.079*0.1/F317)*inputs!$E$80/(10^(0.84+0.62*LOG10(inputs!$E$80)))</f>
        <v>1.3148329443109041</v>
      </c>
      <c r="Q317">
        <f>(inputs!$C$7*11.2*(10*F317^0.667)*0.5/F317)*inputs!$E$80/(10^(0.84+0.62*LOG10(inputs!$E$80)))</f>
        <v>0.6948048648843379</v>
      </c>
      <c r="R317">
        <f>(60*284*((F317/1000)^0.77)*3*24*(MAX('Min rate concentrations'!$R$3:$R$368))/F317)*(inputs!$E$73*3.4/inputs!$E$75)</f>
        <v>6.5085900722023828E-3</v>
      </c>
      <c r="S317">
        <f>(IF(inputs!$C$6="aerial",((0.025*0.112*inputs!$C$7/3.3)*(3*60*284*((F317/1000)^0.77))*MAX(inputs!$H$14:$H$16))/F317,((0.0083*0.112*inputs!$C$7/1)*(3*60*284*((F317/1000)^0.77))*MAX(inputs!$H$14:$H$16))/F317))*(inputs!E$75*3.4/inputs!$E$73)</f>
        <v>3.5895274124965591E-2</v>
      </c>
      <c r="T317">
        <f>IF((((inputs!$P$12/(V317/MAX(K317:S317)))^(1/inputs!$O$12))-1)/inputs!$N$12&lt;0, 0, IF((((inputs!$P$12/(V317/MAX(K317:S317)))^(1/inputs!$O$12))-1)/inputs!$N$12&gt;inputs!$H$17, inputs!$H$17, (((inputs!$P$12/(V317/MAX(K317:S317)))^(1/inputs!$O$12))-1)/inputs!$N$12))</f>
        <v>755.62814241115336</v>
      </c>
      <c r="U317">
        <f>IF((((inputs!$P$12/(X317/MAX(K317:S317)))^(1/inputs!$O$12))-1)/inputs!$N$12&lt;0, 0, IF((((inputs!$P$12/(X317/MAX(K317:S317)))^(1/inputs!$O$12))-1)/inputs!$N$12&gt;inputs!$H$17, inputs!$H$17, (((inputs!$P$12/(X317/MAX(K317:S317)))^(1/inputs!$O$12))-1)/inputs!$N$12))</f>
        <v>68.040344524636922</v>
      </c>
      <c r="V317">
        <f>inputs!$E$78*(F317/inputs!$F$78)^(inputs!$E$84-1)</f>
        <v>1.3742806812884194E-2</v>
      </c>
      <c r="W317">
        <f>inputs!$E$85*(F317/inputs!$F$85)^(inputs!$E$84-1)</f>
        <v>0.63461750214702672</v>
      </c>
      <c r="X317">
        <f>inputs!$E$80*(F317/inputs!$F$80)^(inputs!$E$84-1)</f>
        <v>2.3697742168781373</v>
      </c>
      <c r="Y317">
        <f>inputs!$E$82*(F317/inputs!$F$82)^(inputs!$E$84-1)</f>
        <v>1.0921914888134281</v>
      </c>
      <c r="Z317">
        <f t="shared" si="30"/>
        <v>7273.4070908743497</v>
      </c>
      <c r="AA317">
        <f t="shared" si="31"/>
        <v>157.50751938478749</v>
      </c>
    </row>
    <row r="318" spans="1:27" x14ac:dyDescent="0.3">
      <c r="A318" t="s">
        <v>224</v>
      </c>
      <c r="B318" t="s">
        <v>225</v>
      </c>
      <c r="C318" t="s">
        <v>73</v>
      </c>
      <c r="D318" t="s">
        <v>141</v>
      </c>
      <c r="E318">
        <v>118</v>
      </c>
      <c r="F318">
        <v>240</v>
      </c>
      <c r="G318" t="s">
        <v>177</v>
      </c>
      <c r="H318">
        <v>0.85</v>
      </c>
      <c r="I318">
        <f>MAX('Min rate concentrations'!$F$3:$F$368)</f>
        <v>67.5</v>
      </c>
      <c r="J318">
        <f>MAX('Min rate concentrations'!Y:Y)</f>
        <v>22.5</v>
      </c>
      <c r="K318">
        <f t="shared" si="29"/>
        <v>78.716159960561697</v>
      </c>
      <c r="L318">
        <f t="shared" si="34"/>
        <v>26.238719986853898</v>
      </c>
      <c r="M318">
        <f>IF((((1.18*F318^0.874)-(0.398*F318^0.85)/(1-H318)*H318)*(MAX('Min rate concentrations'!$P$3:$P$368)))/F318&gt;0, (((1.18*F318^0.874)-(0.398*F318^0.85)/(1-H318)*H318)*(MAX('Min rate concentrations'!$P$3:$P$368)))/F318, 0)</f>
        <v>0</v>
      </c>
      <c r="N318">
        <f>IF((((1.18*F318^0.874)-(0.398*F318^0.85)/(1-H318)*H318)*(MAX('Min rate concentrations'!$Q$3:$Q$368)))/F318&gt;0, (((1.18*F318^0.874)-(0.398*F318^0.85)/(1-H318)*H318)*(MAX('Min rate concentrations'!$Q$3:$Q$368)))/F318, 0)</f>
        <v>0</v>
      </c>
      <c r="O318">
        <f>((MAX('Min rate concentrations'!$F$3:$F$368))*0.62*6.01*8*(10*F318^0.667)*0.079*0.1/F318)*inputs!$E$80/(10^(0.84+0.62*LOG10(inputs!$E$80)))</f>
        <v>3.9444988329327137</v>
      </c>
      <c r="P318">
        <f>((MAX('Min rate concentrations'!Y:Y))*0.62*6.01*8*(10*F318^0.667)*0.079*0.1/F318)*inputs!$E$80/(10^(0.84+0.62*LOG10(inputs!$E$80)))</f>
        <v>1.3148329443109041</v>
      </c>
      <c r="Q318">
        <f>(inputs!$C$7*11.2*(10*F318^0.667)*0.5/F318)*inputs!$E$80/(10^(0.84+0.62*LOG10(inputs!$E$80)))</f>
        <v>0.6948048648843379</v>
      </c>
      <c r="R318">
        <f>(60*284*((F318/1000)^0.77)*3*24*(MAX('Min rate concentrations'!$R$3:$R$368))/F318)*(inputs!$E$73*3.4/inputs!$E$75)</f>
        <v>6.5085900722023828E-3</v>
      </c>
      <c r="S318">
        <f>(IF(inputs!$C$6="aerial",((0.025*0.112*inputs!$C$7/3.3)*(3*60*284*((F318/1000)^0.77))*MAX(inputs!$H$14:$H$16))/F318,((0.0083*0.112*inputs!$C$7/1)*(3*60*284*((F318/1000)^0.77))*MAX(inputs!$H$14:$H$16))/F318))*(inputs!E$75*3.4/inputs!$E$73)</f>
        <v>3.5895274124965591E-2</v>
      </c>
      <c r="T318">
        <f>IF((((inputs!$P$12/(V318/MAX(K318:S318)))^(1/inputs!$O$12))-1)/inputs!$N$12&lt;0, 0, IF((((inputs!$P$12/(V318/MAX(K318:S318)))^(1/inputs!$O$12))-1)/inputs!$N$12&gt;inputs!$H$17, inputs!$H$17, (((inputs!$P$12/(V318/MAX(K318:S318)))^(1/inputs!$O$12))-1)/inputs!$N$12))</f>
        <v>683.02312741161882</v>
      </c>
      <c r="U318">
        <f>IF((((inputs!$P$12/(X318/MAX(K318:S318)))^(1/inputs!$O$12))-1)/inputs!$N$12&lt;0, 0, IF((((inputs!$P$12/(X318/MAX(K318:S318)))^(1/inputs!$O$12))-1)/inputs!$N$12&gt;inputs!$H$17, inputs!$H$17, (((inputs!$P$12/(X318/MAX(K318:S318)))^(1/inputs!$O$12))-1)/inputs!$N$12))</f>
        <v>59.102164744176619</v>
      </c>
      <c r="V318">
        <f>inputs!$E$78*(F318/inputs!$F$78)^(inputs!$E$84-1)</f>
        <v>1.3742806812884194E-2</v>
      </c>
      <c r="W318">
        <f>inputs!$E$85*(F318/inputs!$F$85)^(inputs!$E$84-1)</f>
        <v>0.63461750214702672</v>
      </c>
      <c r="X318">
        <f>inputs!$E$80*(F318/inputs!$F$80)^(inputs!$E$84-1)</f>
        <v>2.3697742168781373</v>
      </c>
      <c r="Y318">
        <f>inputs!$E$82*(F318/inputs!$F$82)^(inputs!$E$84-1)</f>
        <v>1.0921914888134281</v>
      </c>
      <c r="Z318">
        <f t="shared" si="30"/>
        <v>5727.8080840635484</v>
      </c>
      <c r="AA318">
        <f t="shared" si="31"/>
        <v>124.0371715155201</v>
      </c>
    </row>
    <row r="319" spans="1:27" x14ac:dyDescent="0.3">
      <c r="A319" t="s">
        <v>224</v>
      </c>
      <c r="B319" t="s">
        <v>225</v>
      </c>
      <c r="C319" t="s">
        <v>73</v>
      </c>
      <c r="D319" t="s">
        <v>141</v>
      </c>
      <c r="E319">
        <v>118</v>
      </c>
      <c r="F319">
        <v>240</v>
      </c>
      <c r="G319" t="s">
        <v>456</v>
      </c>
      <c r="H319">
        <v>0.68</v>
      </c>
      <c r="I319">
        <f>MAX('Min rate concentrations'!$J$3:$J$368)</f>
        <v>114.4108103430513</v>
      </c>
      <c r="J319">
        <f>MAX('Min rate concentrations'!AB:AB)</f>
        <v>40.520495329830666</v>
      </c>
      <c r="K319">
        <f t="shared" si="29"/>
        <v>62.541525334591078</v>
      </c>
      <c r="L319">
        <f t="shared" si="34"/>
        <v>22.150123556001006</v>
      </c>
      <c r="M319">
        <f>IF((((1.18*F319^0.874)-(0.398*F319^0.85)/(1-H319)*H319)*(MAX('Min rate concentrations'!$P$3:$P$368)))/F319&gt;0, (((1.18*F319^0.874)-(0.398*F319^0.85)/(1-H319)*H319)*(MAX('Min rate concentrations'!$P$3:$P$368)))/F319, 0)</f>
        <v>3.1905411739999341E-2</v>
      </c>
      <c r="N319">
        <f>IF((((1.18*F319^0.874)-(0.398*F319^0.85)/(1-H319)*H319)*(MAX('Min rate concentrations'!$Q$3:$Q$368)))/F319&gt;0, (((1.18*F319^0.874)-(0.398*F319^0.85)/(1-H319)*H319)*(MAX('Min rate concentrations'!$Q$3:$Q$368)))/F319, 0)</f>
        <v>0.12149752223745498</v>
      </c>
      <c r="O319">
        <f>((MAX('Min rate concentrations'!$F$3:$F$368))*0.62*6.01*8*(10*F319^0.667)*0.079*0.1/F319)*inputs!$E$80/(10^(0.84+0.62*LOG10(inputs!$E$80)))</f>
        <v>3.9444988329327137</v>
      </c>
      <c r="P319">
        <f>((MAX('Min rate concentrations'!Y:Y))*0.62*6.01*8*(10*F319^0.667)*0.079*0.1/F319)*inputs!$E$80/(10^(0.84+0.62*LOG10(inputs!$E$80)))</f>
        <v>1.3148329443109041</v>
      </c>
      <c r="Q319">
        <f>(inputs!$C$7*11.2*(10*F319^0.667)*0.5/F319)*inputs!$E$80/(10^(0.84+0.62*LOG10(inputs!$E$80)))</f>
        <v>0.6948048648843379</v>
      </c>
      <c r="R319">
        <f>(60*284*((F319/1000)^0.77)*3*24*(MAX('Min rate concentrations'!$R$3:$R$368))/F319)*(inputs!$E$73*3.4/inputs!$E$75)</f>
        <v>6.5085900722023828E-3</v>
      </c>
      <c r="S319">
        <f>(IF(inputs!$C$6="aerial",((0.025*0.112*inputs!$C$7/3.3)*(3*60*284*((F319/1000)^0.77))*MAX(inputs!$H$14:$H$16))/F319,((0.0083*0.112*inputs!$C$7/1)*(3*60*284*((F319/1000)^0.77))*MAX(inputs!$H$14:$H$16))/F319))*(inputs!E$75*3.4/inputs!$E$73)</f>
        <v>3.5895274124965591E-2</v>
      </c>
      <c r="T319">
        <f>IF((((inputs!$P$12/(V319/MAX(K319:S319)))^(1/inputs!$O$12))-1)/inputs!$N$12&lt;0, 0, IF((((inputs!$P$12/(V319/MAX(K319:S319)))^(1/inputs!$O$12))-1)/inputs!$N$12&gt;inputs!$H$17, inputs!$H$17, (((inputs!$P$12/(V319/MAX(K319:S319)))^(1/inputs!$O$12))-1)/inputs!$N$12))</f>
        <v>619.4755156766322</v>
      </c>
      <c r="U319">
        <f>IF((((inputs!$P$12/(X319/MAX(K319:S319)))^(1/inputs!$O$12))-1)/inputs!$N$12&lt;0, 0, IF((((inputs!$P$12/(X319/MAX(K319:S319)))^(1/inputs!$O$12))-1)/inputs!$N$12&gt;inputs!$H$17, inputs!$H$17, (((inputs!$P$12/(X319/MAX(K319:S319)))^(1/inputs!$O$12))-1)/inputs!$N$12))</f>
        <v>51.2790139837251</v>
      </c>
      <c r="V319">
        <f>inputs!$E$78*(F319/inputs!$F$78)^(inputs!$E$84-1)</f>
        <v>1.3742806812884194E-2</v>
      </c>
      <c r="W319">
        <f>inputs!$E$85*(F319/inputs!$F$85)^(inputs!$E$84-1)</f>
        <v>0.63461750214702672</v>
      </c>
      <c r="X319">
        <f>inputs!$E$80*(F319/inputs!$F$80)^(inputs!$E$84-1)</f>
        <v>2.3697742168781373</v>
      </c>
      <c r="Y319">
        <f>inputs!$E$82*(F319/inputs!$F$82)^(inputs!$E$84-1)</f>
        <v>1.0921914888134281</v>
      </c>
      <c r="Z319">
        <f t="shared" si="30"/>
        <v>4550.8553082443814</v>
      </c>
      <c r="AA319">
        <f t="shared" si="31"/>
        <v>98.549953512157629</v>
      </c>
    </row>
    <row r="320" spans="1:27" x14ac:dyDescent="0.3">
      <c r="A320" t="s">
        <v>224</v>
      </c>
      <c r="B320" t="s">
        <v>225</v>
      </c>
      <c r="C320" t="s">
        <v>73</v>
      </c>
      <c r="D320" t="s">
        <v>141</v>
      </c>
      <c r="E320">
        <v>118</v>
      </c>
      <c r="F320">
        <v>240</v>
      </c>
      <c r="G320" t="s">
        <v>145</v>
      </c>
      <c r="H320">
        <v>0.66</v>
      </c>
      <c r="I320">
        <f>MAX('Min rate concentrations'!$M$3:$M$368)</f>
        <v>2.8488184789681945</v>
      </c>
      <c r="J320">
        <f>MAX('Min rate concentrations'!AE:AE)</f>
        <v>1.9699276716269429</v>
      </c>
      <c r="K320">
        <f t="shared" si="29"/>
        <v>1.4656735365298335</v>
      </c>
      <c r="L320">
        <f t="shared" si="34"/>
        <v>1.0134976582387145</v>
      </c>
      <c r="M320">
        <f>IF((((1.18*F320^0.874)-(0.398*F320^0.85)/(1-H320)*H320)*(MAX('Min rate concentrations'!$P$3:$P$368)))/F320&gt;0, (((1.18*F320^0.874)-(0.398*F320^0.85)/(1-H320)*H320)*(MAX('Min rate concentrations'!$P$3:$P$368)))/F320, 0)</f>
        <v>3.6572689363159293E-2</v>
      </c>
      <c r="N320">
        <f>IF((((1.18*F320^0.874)-(0.398*F320^0.85)/(1-H320)*H320)*(MAX('Min rate concentrations'!$Q$3:$Q$368)))/F320&gt;0, (((1.18*F320^0.874)-(0.398*F320^0.85)/(1-H320)*H320)*(MAX('Min rate concentrations'!$Q$3:$Q$368)))/F320, 0)</f>
        <v>0.13927076620713974</v>
      </c>
      <c r="O320">
        <f>((MAX('Min rate concentrations'!$F$3:$F$368))*0.62*6.01*8*(10*F320^0.667)*0.079*0.1/F320)*inputs!$E$80/(10^(0.84+0.62*LOG10(inputs!$E$80)))</f>
        <v>3.9444988329327137</v>
      </c>
      <c r="P320">
        <f>((MAX('Min rate concentrations'!Y:Y))*0.62*6.01*8*(10*F320^0.667)*0.079*0.1/F320)*inputs!$E$80/(10^(0.84+0.62*LOG10(inputs!$E$80)))</f>
        <v>1.3148329443109041</v>
      </c>
      <c r="Q320">
        <f>(inputs!$C$7*11.2*(10*F320^0.667)*0.5/F320)*inputs!$E$80/(10^(0.84+0.62*LOG10(inputs!$E$80)))</f>
        <v>0.6948048648843379</v>
      </c>
      <c r="R320">
        <f>(60*284*((F320/1000)^0.77)*3*24*(MAX('Min rate concentrations'!$R$3:$R$368))/F320)*(inputs!$E$73*3.4/inputs!$E$75)</f>
        <v>6.5085900722023828E-3</v>
      </c>
      <c r="S320">
        <f>(IF(inputs!$C$6="aerial",((0.025*0.112*inputs!$C$7/3.3)*(3*60*284*((F320/1000)^0.77))*MAX(inputs!$H$14:$H$16))/F320,((0.0083*0.112*inputs!$C$7/1)*(3*60*284*((F320/1000)^0.77))*MAX(inputs!$H$14:$H$16))/F320))*(inputs!E$75*3.4/inputs!$E$73)</f>
        <v>3.5895274124965591E-2</v>
      </c>
      <c r="T320">
        <f>IF((((inputs!$P$12/(V320/MAX(K320:S320)))^(1/inputs!$O$12))-1)/inputs!$N$12&lt;0, 0, IF((((inputs!$P$12/(V320/MAX(K320:S320)))^(1/inputs!$O$12))-1)/inputs!$N$12&gt;inputs!$H$17, inputs!$H$17, (((inputs!$P$12/(V320/MAX(K320:S320)))^(1/inputs!$O$12))-1)/inputs!$N$12))</f>
        <v>182.08041867965892</v>
      </c>
      <c r="U320">
        <f>IF((((inputs!$P$12/(X320/MAX(K320:S320)))^(1/inputs!$O$12))-1)/inputs!$N$12&lt;0, 0, IF((((inputs!$P$12/(X320/MAX(K320:S320)))^(1/inputs!$O$12))-1)/inputs!$N$12&gt;inputs!$H$17, inputs!$H$17, (((inputs!$P$12/(X320/MAX(K320:S320)))^(1/inputs!$O$12))-1)/inputs!$N$12))</f>
        <v>0</v>
      </c>
      <c r="V320">
        <f>inputs!$E$78*(F320/inputs!$F$78)^(inputs!$E$84-1)</f>
        <v>1.3742806812884194E-2</v>
      </c>
      <c r="W320">
        <f>inputs!$E$85*(F320/inputs!$F$85)^(inputs!$E$84-1)</f>
        <v>0.63461750214702672</v>
      </c>
      <c r="X320">
        <f>inputs!$E$80*(F320/inputs!$F$80)^(inputs!$E$84-1)</f>
        <v>2.3697742168781373</v>
      </c>
      <c r="Y320">
        <f>inputs!$E$82*(F320/inputs!$F$82)^(inputs!$E$84-1)</f>
        <v>1.0921914888134281</v>
      </c>
      <c r="Z320">
        <f t="shared" si="30"/>
        <v>287.0227957533869</v>
      </c>
      <c r="AA320">
        <f t="shared" si="31"/>
        <v>6.2155531790216232</v>
      </c>
    </row>
    <row r="321" spans="1:27" x14ac:dyDescent="0.3">
      <c r="A321" t="s">
        <v>224</v>
      </c>
      <c r="B321" t="s">
        <v>225</v>
      </c>
      <c r="C321" t="s">
        <v>73</v>
      </c>
      <c r="D321" t="s">
        <v>141</v>
      </c>
      <c r="E321">
        <v>118</v>
      </c>
      <c r="F321">
        <v>240</v>
      </c>
      <c r="G321" t="s">
        <v>154</v>
      </c>
      <c r="H321">
        <v>9.2999999999999999E-2</v>
      </c>
      <c r="I321">
        <f>MAX('Min rate concentrations'!$G$3:$G$368)</f>
        <v>7.5</v>
      </c>
      <c r="J321">
        <f>MAX('Min rate concentrations'!Z:Z)</f>
        <v>3.5</v>
      </c>
      <c r="K321">
        <f t="shared" ref="K321:K369" si="35">((0.398*F321^0.85)/(1-H321))*I321/F321</f>
        <v>1.4464564491099174</v>
      </c>
      <c r="M321">
        <f>IF((((1.18*F321^0.874)-(0.398*F321^0.85)/(1-H321)*H321)*(MAX('Min rate concentrations'!$P$3:$P$368)))/F321&gt;0, (((1.18*F321^0.874)-(0.398*F321^0.85)/(1-H321)*H321)*(MAX('Min rate concentrations'!$P$3:$P$368)))/F321, 0)</f>
        <v>8.325575727639753E-2</v>
      </c>
      <c r="N321">
        <f>IF((((1.18*F321^0.874)-(0.398*F321^0.85)/(1-H321)*H321)*(MAX('Min rate concentrations'!$Q$3:$Q$368)))/F321&gt;0, (((1.18*F321^0.874)-(0.398*F321^0.85)/(1-H321)*H321)*(MAX('Min rate concentrations'!$Q$3:$Q$368)))/F321, 0)</f>
        <v>0.31704239718065691</v>
      </c>
      <c r="O321">
        <f>((MAX('Min rate concentrations'!$F$3:$F$368))*0.62*6.01*8*(10*F321^0.667)*0.079*0.1/F321)*inputs!$E$80/(10^(0.84+0.62*LOG10(inputs!$E$80)))</f>
        <v>3.9444988329327137</v>
      </c>
      <c r="P321">
        <f>((MAX('Min rate concentrations'!Y:Y))*0.62*6.01*8*(10*F321^0.667)*0.079*0.1/F321)*inputs!$E$80/(10^(0.84+0.62*LOG10(inputs!$E$80)))</f>
        <v>1.3148329443109041</v>
      </c>
      <c r="Q321">
        <f>(inputs!$C$7*11.2*(10*F321^0.667)*0.5/F321)*inputs!$E$80/(10^(0.84+0.62*LOG10(inputs!$E$80)))</f>
        <v>0.6948048648843379</v>
      </c>
      <c r="R321">
        <f>(60*284*((F321/1000)^0.77)*3*24*(MAX('Min rate concentrations'!$R$3:$R$368))/F321)*(inputs!$E$73*3.4/inputs!$E$75)</f>
        <v>6.5085900722023828E-3</v>
      </c>
      <c r="S321">
        <f>(IF(inputs!$C$6="aerial",((0.025*0.112*inputs!$C$7/3.3)*(3*60*284*((F321/1000)^0.77))*MAX(inputs!$H$14:$H$16))/F321,((0.0083*0.112*inputs!$C$7/1)*(3*60*284*((F321/1000)^0.77))*MAX(inputs!$H$14:$H$16))/F321))*(inputs!E$75*3.4/inputs!$E$73)</f>
        <v>3.5895274124965591E-2</v>
      </c>
      <c r="T321">
        <f>IF((((inputs!$P$12/(V321/MAX(K321:S321)))^(1/inputs!$O$12))-1)/inputs!$N$12&lt;0, 0, IF((((inputs!$P$12/(V321/MAX(K321:S321)))^(1/inputs!$O$12))-1)/inputs!$N$12&gt;inputs!$H$17, inputs!$H$17, (((inputs!$P$12/(V321/MAX(K321:S321)))^(1/inputs!$O$12))-1)/inputs!$N$12))</f>
        <v>182.08041867965892</v>
      </c>
      <c r="U321">
        <f>IF((((inputs!$P$12/(X321/MAX(K321:S321)))^(1/inputs!$O$12))-1)/inputs!$N$12&lt;0, 0, IF((((inputs!$P$12/(X321/MAX(K321:S321)))^(1/inputs!$O$12))-1)/inputs!$N$12&gt;inputs!$H$17, inputs!$H$17, (((inputs!$P$12/(X321/MAX(K321:S321)))^(1/inputs!$O$12))-1)/inputs!$N$12))</f>
        <v>0</v>
      </c>
      <c r="V321">
        <f>inputs!$E$78*(F321/inputs!$F$78)^(inputs!$E$84-1)</f>
        <v>1.3742806812884194E-2</v>
      </c>
      <c r="W321">
        <f>inputs!$E$85*(F321/inputs!$F$85)^(inputs!$E$84-1)</f>
        <v>0.63461750214702672</v>
      </c>
      <c r="X321">
        <f>inputs!$E$80*(F321/inputs!$F$80)^(inputs!$E$84-1)</f>
        <v>2.3697742168781373</v>
      </c>
      <c r="Y321">
        <f>inputs!$E$82*(F321/inputs!$F$82)^(inputs!$E$84-1)</f>
        <v>1.0921914888134281</v>
      </c>
      <c r="Z321">
        <f t="shared" si="30"/>
        <v>287.0227957533869</v>
      </c>
      <c r="AA321">
        <f t="shared" si="31"/>
        <v>6.2155531790216232</v>
      </c>
    </row>
    <row r="322" spans="1:27" x14ac:dyDescent="0.3">
      <c r="A322" t="s">
        <v>275</v>
      </c>
      <c r="B322" t="s">
        <v>276</v>
      </c>
      <c r="C322" t="s">
        <v>73</v>
      </c>
      <c r="D322" t="s">
        <v>141</v>
      </c>
      <c r="E322">
        <v>98</v>
      </c>
      <c r="F322">
        <v>10</v>
      </c>
      <c r="G322" t="s">
        <v>142</v>
      </c>
      <c r="H322">
        <v>0.69</v>
      </c>
      <c r="I322">
        <f>MAX('Min rate concentrations'!$H$3:$H$368)</f>
        <v>47</v>
      </c>
      <c r="J322">
        <f>MAX('Min rate concentrations'!AA:AA)</f>
        <v>32.5</v>
      </c>
      <c r="K322">
        <f t="shared" si="35"/>
        <v>42.718818847386075</v>
      </c>
      <c r="L322">
        <f>((0.398*F322^0.85)/(1-H322))*J322/F322</f>
        <v>29.539608777447818</v>
      </c>
      <c r="M322">
        <f>IF((((1.18*F322^0.874)-(0.398*F322^0.85)/(1-H322)*H322)*(MAX('Min rate concentrations'!$P$3:$P$368)))/F322&gt;0, (((1.18*F322^0.874)-(0.398*F322^0.85)/(1-H322)*H322)*(MAX('Min rate concentrations'!$P$3:$P$368)))/F322, 0)</f>
        <v>3.7113102292412867E-2</v>
      </c>
      <c r="N322">
        <f>IF((((1.18*F322^0.874)-(0.398*F322^0.85)/(1-H322)*H322)*(MAX('Min rate concentrations'!$Q$3:$Q$368)))/F322&gt;0, (((1.18*F322^0.874)-(0.398*F322^0.85)/(1-H322)*H322)*(MAX('Min rate concentrations'!$Q$3:$Q$368)))/F322, 0)</f>
        <v>0.1413286876790347</v>
      </c>
      <c r="O322">
        <f>((MAX('Min rate concentrations'!$F$3:$F$368))*0.62*6.01*8*(10*F322^0.667)*0.079*0.1/F322)*inputs!$E$80/(10^(0.84+0.62*LOG10(inputs!$E$80)))</f>
        <v>11.365856679188141</v>
      </c>
      <c r="P322">
        <f>((MAX('Min rate concentrations'!Y:Y))*0.62*6.01*8*(10*F322^0.667)*0.079*0.1/F322)*inputs!$E$80/(10^(0.84+0.62*LOG10(inputs!$E$80)))</f>
        <v>3.788618893062714</v>
      </c>
      <c r="Q322">
        <f>(inputs!$C$7*11.2*(10*F322^0.667)*0.5/F322)*inputs!$E$80/(10^(0.84+0.62*LOG10(inputs!$E$80)))</f>
        <v>2.0020420460884383</v>
      </c>
      <c r="R322">
        <f>(60*284*((F322/1000)^0.77)*3*24*(MAX('Min rate concentrations'!$R$3:$R$368))/F322)*(inputs!$E$73*3.4/inputs!$E$75)</f>
        <v>1.3518717882921229E-2</v>
      </c>
      <c r="S322">
        <f>(IF(inputs!$C$6="aerial",((0.025*0.112*inputs!$C$7/3.3)*(3*60*284*((F322/1000)^0.77))*MAX(inputs!$H$14:$H$16))/F322,((0.0083*0.112*inputs!$C$7/1)*(3*60*284*((F322/1000)^0.77))*MAX(inputs!$H$14:$H$16))/F322))*(inputs!E$75*3.4/inputs!$E$73)</f>
        <v>7.4556559691480159E-2</v>
      </c>
      <c r="T322">
        <f>IF((((inputs!$P$12/(V322/MAX(K322:S322)))^(1/inputs!$O$12))-1)/inputs!$N$12&lt;0, 0, IF((((inputs!$P$12/(V322/MAX(K322:S322)))^(1/inputs!$O$12))-1)/inputs!$N$12&gt;inputs!$H$17, inputs!$H$17, (((inputs!$P$12/(V322/MAX(K322:S322)))^(1/inputs!$O$12))-1)/inputs!$N$12))</f>
        <v>315.46859221038483</v>
      </c>
      <c r="U322">
        <f>IF((((inputs!$P$12/(X322/MAX(K322:S322)))^(1/inputs!$O$12))-1)/inputs!$N$12&lt;0, 0, IF((((inputs!$P$12/(X322/MAX(K322:S322)))^(1/inputs!$O$12))-1)/inputs!$N$12&gt;inputs!$H$17, inputs!$H$17, (((inputs!$P$12/(X322/MAX(K322:S322)))^(1/inputs!$O$12))-1)/inputs!$N$12))</f>
        <v>13.853657946495886</v>
      </c>
      <c r="V322">
        <f>inputs!$E$78*(F322/inputs!$F$78)^(inputs!$E$84-1)</f>
        <v>4.4540347491078519E-2</v>
      </c>
      <c r="W322">
        <f>inputs!$E$85*(F322/inputs!$F$85)^(inputs!$E$84-1)</f>
        <v>2.0567911966170365</v>
      </c>
      <c r="X322">
        <f>inputs!$E$80*(F322/inputs!$F$80)^(inputs!$E$84-1)</f>
        <v>7.6804228228104519</v>
      </c>
      <c r="Y322">
        <f>inputs!$E$82*(F322/inputs!$F$82)^(inputs!$E$84-1)</f>
        <v>3.5397855111330823</v>
      </c>
      <c r="Z322">
        <f t="shared" ref="Z322:Z385" si="36">MAX(K322:S322)/V322</f>
        <v>959.10385198370318</v>
      </c>
      <c r="AA322">
        <f t="shared" ref="AA322:AA385" si="37">MAX(K322:S322)/W322</f>
        <v>20.769642984494013</v>
      </c>
    </row>
    <row r="323" spans="1:27" x14ac:dyDescent="0.3">
      <c r="A323" t="s">
        <v>275</v>
      </c>
      <c r="B323" t="s">
        <v>276</v>
      </c>
      <c r="C323" t="s">
        <v>73</v>
      </c>
      <c r="D323" t="s">
        <v>141</v>
      </c>
      <c r="E323">
        <v>98</v>
      </c>
      <c r="F323">
        <v>10</v>
      </c>
      <c r="G323" t="s">
        <v>153</v>
      </c>
      <c r="H323">
        <v>0.7</v>
      </c>
      <c r="I323">
        <f>MAX('Min rate concentrations'!$E$3:$E$368)</f>
        <v>55</v>
      </c>
      <c r="J323">
        <f>MAX('Min rate concentrations'!X:X)</f>
        <v>18</v>
      </c>
      <c r="K323">
        <f t="shared" si="35"/>
        <v>51.656444067229266</v>
      </c>
      <c r="M323">
        <f>IF((((1.18*F323^0.874)-(0.398*F323^0.85)/(1-H323)*H323)*(MAX('Min rate concentrations'!$P$3:$P$368)))/F323&gt;0, (((1.18*F323^0.874)-(0.398*F323^0.85)/(1-H323)*H323)*(MAX('Min rate concentrations'!$P$3:$P$368)))/F323, 0)</f>
        <v>3.2715547370558776E-2</v>
      </c>
      <c r="N323">
        <f>IF((((1.18*F323^0.874)-(0.398*F323^0.85)/(1-H323)*H323)*(MAX('Min rate concentrations'!$Q$3:$Q$368)))/F323&gt;0, (((1.18*F323^0.874)-(0.398*F323^0.85)/(1-H323)*H323)*(MAX('Min rate concentrations'!$Q$3:$Q$368)))/F323, 0)</f>
        <v>0.12458256224857792</v>
      </c>
      <c r="O323">
        <f>((MAX('Min rate concentrations'!$F$3:$F$368))*0.62*6.01*8*(10*F323^0.667)*0.079*0.1/F323)*inputs!$E$80/(10^(0.84+0.62*LOG10(inputs!$E$80)))</f>
        <v>11.365856679188141</v>
      </c>
      <c r="P323">
        <f>((MAX('Min rate concentrations'!Y:Y))*0.62*6.01*8*(10*F323^0.667)*0.079*0.1/F323)*inputs!$E$80/(10^(0.84+0.62*LOG10(inputs!$E$80)))</f>
        <v>3.788618893062714</v>
      </c>
      <c r="Q323">
        <f>(inputs!$C$7*11.2*(10*F323^0.667)*0.5/F323)*inputs!$E$80/(10^(0.84+0.62*LOG10(inputs!$E$80)))</f>
        <v>2.0020420460884383</v>
      </c>
      <c r="R323">
        <f>(60*284*((F323/1000)^0.77)*3*24*(MAX('Min rate concentrations'!$R$3:$R$368))/F323)*(inputs!$E$73*3.4/inputs!$E$75)</f>
        <v>1.3518717882921229E-2</v>
      </c>
      <c r="S323">
        <f>(IF(inputs!$C$6="aerial",((0.025*0.112*inputs!$C$7/3.3)*(3*60*284*((F323/1000)^0.77))*MAX(inputs!$H$14:$H$16))/F323,((0.0083*0.112*inputs!$C$7/1)*(3*60*284*((F323/1000)^0.77))*MAX(inputs!$H$14:$H$16))/F323))*(inputs!E$75*3.4/inputs!$E$73)</f>
        <v>7.4556559691480159E-2</v>
      </c>
      <c r="T323">
        <f>IF((((inputs!$P$12/(V323/MAX(K323:S323)))^(1/inputs!$O$12))-1)/inputs!$N$12&lt;0, 0, IF((((inputs!$P$12/(V323/MAX(K323:S323)))^(1/inputs!$O$12))-1)/inputs!$N$12&gt;inputs!$H$17, inputs!$H$17, (((inputs!$P$12/(V323/MAX(K323:S323)))^(1/inputs!$O$12))-1)/inputs!$N$12))</f>
        <v>343.09997713843677</v>
      </c>
      <c r="U323">
        <f>IF((((inputs!$P$12/(X323/MAX(K323:S323)))^(1/inputs!$O$12))-1)/inputs!$N$12&lt;0, 0, IF((((inputs!$P$12/(X323/MAX(K323:S323)))^(1/inputs!$O$12))-1)/inputs!$N$12&gt;inputs!$H$17, inputs!$H$17, (((inputs!$P$12/(X323/MAX(K323:S323)))^(1/inputs!$O$12))-1)/inputs!$N$12))</f>
        <v>17.255272643106206</v>
      </c>
      <c r="V323">
        <f>inputs!$E$78*(F323/inputs!$F$78)^(inputs!$E$84-1)</f>
        <v>4.4540347491078519E-2</v>
      </c>
      <c r="W323">
        <f>inputs!$E$85*(F323/inputs!$F$85)^(inputs!$E$84-1)</f>
        <v>2.0567911966170365</v>
      </c>
      <c r="X323">
        <f>inputs!$E$80*(F323/inputs!$F$80)^(inputs!$E$84-1)</f>
        <v>7.6804228228104519</v>
      </c>
      <c r="Y323">
        <f>inputs!$E$82*(F323/inputs!$F$82)^(inputs!$E$84-1)</f>
        <v>3.5397855111330823</v>
      </c>
      <c r="Z323">
        <f t="shared" si="36"/>
        <v>1159.767423852634</v>
      </c>
      <c r="AA323">
        <f t="shared" si="37"/>
        <v>25.1150647436612</v>
      </c>
    </row>
    <row r="324" spans="1:27" x14ac:dyDescent="0.3">
      <c r="A324" t="s">
        <v>867</v>
      </c>
      <c r="B324" t="s">
        <v>869</v>
      </c>
      <c r="C324" t="s">
        <v>73</v>
      </c>
      <c r="D324" t="s">
        <v>141</v>
      </c>
      <c r="E324">
        <v>11333</v>
      </c>
      <c r="F324">
        <v>23</v>
      </c>
      <c r="G324" t="s">
        <v>142</v>
      </c>
      <c r="H324">
        <v>0.69</v>
      </c>
      <c r="I324">
        <f>MAX('Min rate concentrations'!$H$3:$H$368)</f>
        <v>47</v>
      </c>
      <c r="J324">
        <f>MAX('Min rate concentrations'!AA:AA)</f>
        <v>32.5</v>
      </c>
      <c r="K324">
        <f t="shared" si="35"/>
        <v>37.701624251721434</v>
      </c>
      <c r="L324">
        <f t="shared" ref="L324:L331" si="38">((0.398*F324^0.85)/(1-H324))*J324/F324</f>
        <v>26.070272088956312</v>
      </c>
      <c r="M324">
        <f>IF((((1.18*F324^0.874)-(0.398*F324^0.85)/(1-H324)*H324)*(MAX('Min rate concentrations'!$P$3:$P$368)))/F324&gt;0, (((1.18*F324^0.874)-(0.398*F324^0.85)/(1-H324)*H324)*(MAX('Min rate concentrations'!$P$3:$P$368)))/F324, 0)</f>
        <v>3.5037728275873266E-2</v>
      </c>
      <c r="N324">
        <f>IF((((1.18*F324^0.874)-(0.398*F324^0.85)/(1-H324)*H324)*(MAX('Min rate concentrations'!$Q$3:$Q$368)))/F324&gt;0, (((1.18*F324^0.874)-(0.398*F324^0.85)/(1-H324)*H324)*(MAX('Min rate concentrations'!$Q$3:$Q$368)))/F324, 0)</f>
        <v>0.13342555191070868</v>
      </c>
      <c r="O324">
        <f>((MAX('Min rate concentrations'!$F$3:$F$368))*0.62*6.01*8*(10*F324^0.667)*0.079*0.1/F324)*inputs!$E$80/(10^(0.84+0.62*LOG10(inputs!$E$80)))</f>
        <v>8.6128484594081662</v>
      </c>
      <c r="P324">
        <f>((MAX('Min rate concentrations'!Y:Y))*0.62*6.01*8*(10*F324^0.667)*0.079*0.1/F324)*inputs!$E$80/(10^(0.84+0.62*LOG10(inputs!$E$80)))</f>
        <v>2.8709494864693892</v>
      </c>
      <c r="Q324">
        <f>(inputs!$C$7*11.2*(10*F324^0.667)*0.5/F324)*inputs!$E$80/(10^(0.84+0.62*LOG10(inputs!$E$80)))</f>
        <v>1.517112632952438</v>
      </c>
      <c r="R324">
        <f>(60*284*((F324/1000)^0.77)*3*24*(MAX('Min rate concentrations'!$R$3:$R$368))/F324)*(inputs!$E$73*3.4/inputs!$E$75)</f>
        <v>1.1161899367565913E-2</v>
      </c>
      <c r="S324">
        <f>(IF(inputs!$C$6="aerial",((0.025*0.112*inputs!$C$7/3.3)*(3*60*284*((F324/1000)^0.77))*MAX(inputs!$H$14:$H$16))/F324,((0.0083*0.112*inputs!$C$7/1)*(3*60*284*((F324/1000)^0.77))*MAX(inputs!$H$14:$H$16))/F324))*(inputs!E$75*3.4/inputs!$E$73)</f>
        <v>6.1558560780350866E-2</v>
      </c>
      <c r="T324">
        <f>IF((((inputs!$P$12/(V324/MAX(K324:S324)))^(1/inputs!$O$12))-1)/inputs!$N$12&lt;0, 0, IF((((inputs!$P$12/(V324/MAX(K324:S324)))^(1/inputs!$O$12))-1)/inputs!$N$12&gt;inputs!$H$17, inputs!$H$17, (((inputs!$P$12/(V324/MAX(K324:S324)))^(1/inputs!$O$12))-1)/inputs!$N$12))</f>
        <v>342.08338967432087</v>
      </c>
      <c r="U324">
        <f>IF((((inputs!$P$12/(X324/MAX(K324:S324)))^(1/inputs!$O$12))-1)/inputs!$N$12&lt;0, 0, IF((((inputs!$P$12/(X324/MAX(K324:S324)))^(1/inputs!$O$12))-1)/inputs!$N$12&gt;inputs!$H$17, inputs!$H$17, (((inputs!$P$12/(X324/MAX(K324:S324)))^(1/inputs!$O$12))-1)/inputs!$N$12))</f>
        <v>17.130123691385879</v>
      </c>
      <c r="V324">
        <f>inputs!$E$78*(F324/inputs!$F$78)^(inputs!$E$84-1)</f>
        <v>3.2727610783302954E-2</v>
      </c>
      <c r="W324">
        <f>inputs!$E$85*(F324/inputs!$F$85)^(inputs!$E$84-1)</f>
        <v>1.5113007764227557</v>
      </c>
      <c r="X324">
        <f>inputs!$E$80*(F324/inputs!$F$80)^(inputs!$E$84-1)</f>
        <v>5.6434649246166195</v>
      </c>
      <c r="Y324">
        <f>inputs!$E$82*(F324/inputs!$F$82)^(inputs!$E$84-1)</f>
        <v>2.6009838043572349</v>
      </c>
      <c r="Z324">
        <f t="shared" si="36"/>
        <v>1151.9821749700143</v>
      </c>
      <c r="AA324">
        <f t="shared" si="37"/>
        <v>24.946473157355918</v>
      </c>
    </row>
    <row r="325" spans="1:27" x14ac:dyDescent="0.3">
      <c r="A325" t="s">
        <v>867</v>
      </c>
      <c r="B325" t="s">
        <v>869</v>
      </c>
      <c r="C325" t="s">
        <v>73</v>
      </c>
      <c r="D325" t="s">
        <v>141</v>
      </c>
      <c r="E325">
        <v>11333</v>
      </c>
      <c r="F325">
        <v>23</v>
      </c>
      <c r="G325" t="s">
        <v>153</v>
      </c>
      <c r="H325">
        <v>0.7</v>
      </c>
      <c r="I325">
        <f>MAX('Min rate concentrations'!$E$3:$E$368)</f>
        <v>55</v>
      </c>
      <c r="J325">
        <f>MAX('Min rate concentrations'!X:X)</f>
        <v>18</v>
      </c>
      <c r="K325">
        <f t="shared" si="35"/>
        <v>45.589552729918474</v>
      </c>
      <c r="L325">
        <f t="shared" si="38"/>
        <v>14.920217257064229</v>
      </c>
      <c r="M325">
        <f>IF((((1.18*F325^0.874)-(0.398*F325^0.85)/(1-H325)*H325)*(MAX('Min rate concentrations'!$P$3:$P$368)))/F325&gt;0, (((1.18*F325^0.874)-(0.398*F325^0.85)/(1-H325)*H325)*(MAX('Min rate concentrations'!$P$3:$P$368)))/F325, 0)</f>
        <v>3.1156652727357802E-2</v>
      </c>
      <c r="N325">
        <f>IF((((1.18*F325^0.874)-(0.398*F325^0.85)/(1-H325)*H325)*(MAX('Min rate concentrations'!$Q$3:$Q$368)))/F325&gt;0, (((1.18*F325^0.874)-(0.398*F325^0.85)/(1-H325)*H325)*(MAX('Min rate concentrations'!$Q$3:$Q$368)))/F325, 0)</f>
        <v>0.1186462076852325</v>
      </c>
      <c r="O325">
        <f>((MAX('Min rate concentrations'!$F$3:$F$368))*0.62*6.01*8*(10*F325^0.667)*0.079*0.1/F325)*inputs!$E$80/(10^(0.84+0.62*LOG10(inputs!$E$80)))</f>
        <v>8.6128484594081662</v>
      </c>
      <c r="P325">
        <f>((MAX('Min rate concentrations'!Y:Y))*0.62*6.01*8*(10*F325^0.667)*0.079*0.1/F325)*inputs!$E$80/(10^(0.84+0.62*LOG10(inputs!$E$80)))</f>
        <v>2.8709494864693892</v>
      </c>
      <c r="Q325">
        <f>(inputs!$C$7*11.2*(10*F325^0.667)*0.5/F325)*inputs!$E$80/(10^(0.84+0.62*LOG10(inputs!$E$80)))</f>
        <v>1.517112632952438</v>
      </c>
      <c r="R325">
        <f>(60*284*((F325/1000)^0.77)*3*24*(MAX('Min rate concentrations'!$R$3:$R$368))/F325)*(inputs!$E$73*3.4/inputs!$E$75)</f>
        <v>1.1161899367565913E-2</v>
      </c>
      <c r="S325">
        <f>(IF(inputs!$C$6="aerial",((0.025*0.112*inputs!$C$7/3.3)*(3*60*284*((F325/1000)^0.77))*MAX(inputs!$H$14:$H$16))/F325,((0.0083*0.112*inputs!$C$7/1)*(3*60*284*((F325/1000)^0.77))*MAX(inputs!$H$14:$H$16))/F325))*(inputs!E$75*3.4/inputs!$E$73)</f>
        <v>6.1558560780350866E-2</v>
      </c>
      <c r="T325">
        <f>IF((((inputs!$P$12/(V325/MAX(K325:S325)))^(1/inputs!$O$12))-1)/inputs!$N$12&lt;0, 0, IF((((inputs!$P$12/(V325/MAX(K325:S325)))^(1/inputs!$O$12))-1)/inputs!$N$12&gt;inputs!$H$17, inputs!$H$17, (((inputs!$P$12/(V325/MAX(K325:S325)))^(1/inputs!$O$12))-1)/inputs!$N$12))</f>
        <v>371.85283327934576</v>
      </c>
      <c r="U325">
        <f>IF((((inputs!$P$12/(X325/MAX(K325:S325)))^(1/inputs!$O$12))-1)/inputs!$N$12&lt;0, 0, IF((((inputs!$P$12/(X325/MAX(K325:S325)))^(1/inputs!$O$12))-1)/inputs!$N$12&gt;inputs!$H$17, inputs!$H$17, (((inputs!$P$12/(X325/MAX(K325:S325)))^(1/inputs!$O$12))-1)/inputs!$N$12))</f>
        <v>20.794948206712988</v>
      </c>
      <c r="V325">
        <f>inputs!$E$78*(F325/inputs!$F$78)^(inputs!$E$84-1)</f>
        <v>3.2727610783302954E-2</v>
      </c>
      <c r="W325">
        <f>inputs!$E$85*(F325/inputs!$F$85)^(inputs!$E$84-1)</f>
        <v>1.5113007764227557</v>
      </c>
      <c r="X325">
        <f>inputs!$E$80*(F325/inputs!$F$80)^(inputs!$E$84-1)</f>
        <v>5.6434649246166195</v>
      </c>
      <c r="Y325">
        <f>inputs!$E$82*(F325/inputs!$F$82)^(inputs!$E$84-1)</f>
        <v>2.6009838043572349</v>
      </c>
      <c r="Z325">
        <f t="shared" si="36"/>
        <v>1392.9997222155139</v>
      </c>
      <c r="AA325">
        <f t="shared" si="37"/>
        <v>30.165770732831096</v>
      </c>
    </row>
    <row r="326" spans="1:27" x14ac:dyDescent="0.3">
      <c r="A326" t="s">
        <v>321</v>
      </c>
      <c r="B326" t="s">
        <v>322</v>
      </c>
      <c r="C326" t="s">
        <v>73</v>
      </c>
      <c r="D326" t="s">
        <v>141</v>
      </c>
      <c r="E326">
        <v>81</v>
      </c>
      <c r="F326">
        <v>20</v>
      </c>
      <c r="G326" t="s">
        <v>142</v>
      </c>
      <c r="H326">
        <v>0.69</v>
      </c>
      <c r="I326">
        <f>MAX('Min rate concentrations'!$H$3:$H$368)</f>
        <v>47</v>
      </c>
      <c r="J326">
        <f>MAX('Min rate concentrations'!AA:AA)</f>
        <v>32.5</v>
      </c>
      <c r="K326">
        <f t="shared" si="35"/>
        <v>38.500355248394953</v>
      </c>
      <c r="L326">
        <f t="shared" si="38"/>
        <v>26.622586076017786</v>
      </c>
      <c r="M326">
        <f>IF((((1.18*F326^0.874)-(0.398*F326^0.85)/(1-H326)*H326)*(MAX('Min rate concentrations'!$P$3:$P$368)))/F326&gt;0, (((1.18*F326^0.874)-(0.398*F326^0.85)/(1-H326)*H326)*(MAX('Min rate concentrations'!$P$3:$P$368)))/F326, 0)</f>
        <v>3.5385482091505556E-2</v>
      </c>
      <c r="N326">
        <f>IF((((1.18*F326^0.874)-(0.398*F326^0.85)/(1-H326)*H326)*(MAX('Min rate concentrations'!$Q$3:$Q$368)))/F326&gt;0, (((1.18*F326^0.874)-(0.398*F326^0.85)/(1-H326)*H326)*(MAX('Min rate concentrations'!$Q$3:$Q$368)))/F326, 0)</f>
        <v>0.13474981712603498</v>
      </c>
      <c r="O326">
        <f>((MAX('Min rate concentrations'!$F$3:$F$368))*0.62*6.01*8*(10*F326^0.667)*0.079*0.1/F326)*inputs!$E$80/(10^(0.84+0.62*LOG10(inputs!$E$80)))</f>
        <v>9.0231709788796604</v>
      </c>
      <c r="P326">
        <f>((MAX('Min rate concentrations'!Y:Y))*0.62*6.01*8*(10*F326^0.667)*0.079*0.1/F326)*inputs!$E$80/(10^(0.84+0.62*LOG10(inputs!$E$80)))</f>
        <v>3.0077236596265537</v>
      </c>
      <c r="Q326">
        <f>(inputs!$C$7*11.2*(10*F326^0.667)*0.5/F326)*inputs!$E$80/(10^(0.84+0.62*LOG10(inputs!$E$80)))</f>
        <v>1.5893890094391379</v>
      </c>
      <c r="R326">
        <f>(60*284*((F326/1000)^0.77)*3*24*(MAX('Min rate concentrations'!$R$3:$R$368))/F326)*(inputs!$E$73*3.4/inputs!$E$75)</f>
        <v>1.1526530558946087E-2</v>
      </c>
      <c r="S326">
        <f>(IF(inputs!$C$6="aerial",((0.025*0.112*inputs!$C$7/3.3)*(3*60*284*((F326/1000)^0.77))*MAX(inputs!$H$14:$H$16))/F326,((0.0083*0.112*inputs!$C$7/1)*(3*60*284*((F326/1000)^0.77))*MAX(inputs!$H$14:$H$16))/F326))*(inputs!E$75*3.4/inputs!$E$73)</f>
        <v>6.3569524203136399E-2</v>
      </c>
      <c r="T326">
        <f>IF((((inputs!$P$12/(V326/MAX(K326:S326)))^(1/inputs!$O$12))-1)/inputs!$N$12&lt;0, 0, IF((((inputs!$P$12/(V326/MAX(K326:S326)))^(1/inputs!$O$12))-1)/inputs!$N$12&gt;inputs!$H$17, inputs!$H$17, (((inputs!$P$12/(V326/MAX(K326:S326)))^(1/inputs!$O$12))-1)/inputs!$N$12))</f>
        <v>337.4778010012177</v>
      </c>
      <c r="U326">
        <f>IF((((inputs!$P$12/(X326/MAX(K326:S326)))^(1/inputs!$O$12))-1)/inputs!$N$12&lt;0, 0, IF((((inputs!$P$12/(X326/MAX(K326:S326)))^(1/inputs!$O$12))-1)/inputs!$N$12&gt;inputs!$H$17, inputs!$H$17, (((inputs!$P$12/(X326/MAX(K326:S326)))^(1/inputs!$O$12))-1)/inputs!$N$12))</f>
        <v>16.563143854589342</v>
      </c>
      <c r="V326">
        <f>inputs!$E$78*(F326/inputs!$F$78)^(inputs!$E$84-1)</f>
        <v>3.4464541288703368E-2</v>
      </c>
      <c r="W326">
        <f>inputs!$E$85*(F326/inputs!$F$85)^(inputs!$E$84-1)</f>
        <v>1.5915090274553441</v>
      </c>
      <c r="X326">
        <f>inputs!$E$80*(F326/inputs!$F$80)^(inputs!$E$84-1)</f>
        <v>5.9429767480927405</v>
      </c>
      <c r="Y326">
        <f>inputs!$E$82*(F326/inputs!$F$82)^(inputs!$E$84-1)</f>
        <v>2.739024070839057</v>
      </c>
      <c r="Z326">
        <f t="shared" si="36"/>
        <v>1117.1004693166894</v>
      </c>
      <c r="AA326">
        <f t="shared" si="37"/>
        <v>24.191100762999117</v>
      </c>
    </row>
    <row r="327" spans="1:27" x14ac:dyDescent="0.3">
      <c r="A327" t="s">
        <v>303</v>
      </c>
      <c r="B327" t="s">
        <v>304</v>
      </c>
      <c r="C327" t="s">
        <v>73</v>
      </c>
      <c r="D327" t="s">
        <v>141</v>
      </c>
      <c r="E327">
        <v>109</v>
      </c>
      <c r="F327">
        <v>14</v>
      </c>
      <c r="G327" t="s">
        <v>142</v>
      </c>
      <c r="H327">
        <v>0.69</v>
      </c>
      <c r="I327">
        <f>MAX('Min rate concentrations'!$H$3:$H$368)</f>
        <v>47</v>
      </c>
      <c r="J327">
        <f>MAX('Min rate concentrations'!AA:AA)</f>
        <v>32.5</v>
      </c>
      <c r="K327">
        <f t="shared" si="35"/>
        <v>40.616269383585824</v>
      </c>
      <c r="L327">
        <f t="shared" si="38"/>
        <v>28.085718190777431</v>
      </c>
      <c r="M327">
        <f>IF((((1.18*F327^0.874)-(0.398*F327^0.85)/(1-H327)*H327)*(MAX('Min rate concentrations'!$P$3:$P$368)))/F327&gt;0, (((1.18*F327^0.874)-(0.398*F327^0.85)/(1-H327)*H327)*(MAX('Min rate concentrations'!$P$3:$P$368)))/F327, 0)</f>
        <v>3.6274302675177221E-2</v>
      </c>
      <c r="N327">
        <f>IF((((1.18*F327^0.874)-(0.398*F327^0.85)/(1-H327)*H327)*(MAX('Min rate concentrations'!$Q$3:$Q$368)))/F327&gt;0, (((1.18*F327^0.874)-(0.398*F327^0.85)/(1-H327)*H327)*(MAX('Min rate concentrations'!$Q$3:$Q$368)))/F327, 0)</f>
        <v>0.13813449366648442</v>
      </c>
      <c r="O327">
        <f>((MAX('Min rate concentrations'!$F$3:$F$368))*0.62*6.01*8*(10*F327^0.667)*0.079*0.1/F327)*inputs!$E$80/(10^(0.84+0.62*LOG10(inputs!$E$80)))</f>
        <v>10.161119045837104</v>
      </c>
      <c r="P327">
        <f>((MAX('Min rate concentrations'!Y:Y))*0.62*6.01*8*(10*F327^0.667)*0.079*0.1/F327)*inputs!$E$80/(10^(0.84+0.62*LOG10(inputs!$E$80)))</f>
        <v>3.3870396819457014</v>
      </c>
      <c r="Q327">
        <f>(inputs!$C$7*11.2*(10*F327^0.667)*0.5/F327)*inputs!$E$80/(10^(0.84+0.62*LOG10(inputs!$E$80)))</f>
        <v>1.7898331942127752</v>
      </c>
      <c r="R327">
        <f>(60*284*((F327/1000)^0.77)*3*24*(MAX('Min rate concentrations'!$R$3:$R$368))/F327)*(inputs!$E$73*3.4/inputs!$E$75)</f>
        <v>1.2511980440598092E-2</v>
      </c>
      <c r="S327">
        <f>(IF(inputs!$C$6="aerial",((0.025*0.112*inputs!$C$7/3.3)*(3*60*284*((F327/1000)^0.77))*MAX(inputs!$H$14:$H$16))/F327,((0.0083*0.112*inputs!$C$7/1)*(3*60*284*((F327/1000)^0.77))*MAX(inputs!$H$14:$H$16))/F327))*(inputs!E$75*3.4/inputs!$E$73)</f>
        <v>6.9004340844821765E-2</v>
      </c>
      <c r="T327">
        <f>IF((((inputs!$P$12/(V327/MAX(K327:S327)))^(1/inputs!$O$12))-1)/inputs!$N$12&lt;0, 0, IF((((inputs!$P$12/(V327/MAX(K327:S327)))^(1/inputs!$O$12))-1)/inputs!$N$12&gt;inputs!$H$17, inputs!$H$17, (((inputs!$P$12/(V327/MAX(K327:S327)))^(1/inputs!$O$12))-1)/inputs!$N$12))</f>
        <v>325.98202498505117</v>
      </c>
      <c r="U327">
        <f>IF((((inputs!$P$12/(X327/MAX(K327:S327)))^(1/inputs!$O$12))-1)/inputs!$N$12&lt;0, 0, IF((((inputs!$P$12/(X327/MAX(K327:S327)))^(1/inputs!$O$12))-1)/inputs!$N$12&gt;inputs!$H$17, inputs!$H$17, (((inputs!$P$12/(X327/MAX(K327:S327)))^(1/inputs!$O$12))-1)/inputs!$N$12))</f>
        <v>15.147934275071194</v>
      </c>
      <c r="V327">
        <f>inputs!$E$78*(F327/inputs!$F$78)^(inputs!$E$84-1)</f>
        <v>3.9326584321336476E-2</v>
      </c>
      <c r="W327">
        <f>inputs!$E$85*(F327/inputs!$F$85)^(inputs!$E$84-1)</f>
        <v>1.8160292180330224</v>
      </c>
      <c r="X327">
        <f>inputs!$E$80*(F327/inputs!$F$80)^(inputs!$E$84-1)</f>
        <v>6.7813749280979954</v>
      </c>
      <c r="Y327">
        <f>inputs!$E$82*(F327/inputs!$F$82)^(inputs!$E$84-1)</f>
        <v>3.1254285434325308</v>
      </c>
      <c r="Z327">
        <f t="shared" si="36"/>
        <v>1032.7942302771928</v>
      </c>
      <c r="AA327">
        <f t="shared" si="37"/>
        <v>22.365427263102141</v>
      </c>
    </row>
    <row r="328" spans="1:27" x14ac:dyDescent="0.3">
      <c r="A328" t="s">
        <v>283</v>
      </c>
      <c r="B328" t="s">
        <v>284</v>
      </c>
      <c r="C328" t="s">
        <v>73</v>
      </c>
      <c r="D328" t="s">
        <v>141</v>
      </c>
      <c r="E328">
        <v>106</v>
      </c>
      <c r="F328">
        <v>50</v>
      </c>
      <c r="G328" t="s">
        <v>142</v>
      </c>
      <c r="H328">
        <v>0.69</v>
      </c>
      <c r="I328">
        <f>MAX('Min rate concentrations'!$H$3:$H$368)</f>
        <v>47</v>
      </c>
      <c r="J328">
        <f>MAX('Min rate concentrations'!AA:AA)</f>
        <v>32.5</v>
      </c>
      <c r="K328">
        <f t="shared" si="35"/>
        <v>33.55627427836972</v>
      </c>
      <c r="L328">
        <f t="shared" si="38"/>
        <v>23.2038066818514</v>
      </c>
      <c r="M328">
        <f>IF((((1.18*F328^0.874)-(0.398*F328^0.85)/(1-H328)*H328)*(MAX('Min rate concentrations'!$P$3:$P$368)))/F328&gt;0, (((1.18*F328^0.874)-(0.398*F328^0.85)/(1-H328)*H328)*(MAX('Min rate concentrations'!$P$3:$P$368)))/F328, 0)</f>
        <v>3.3117028524937038E-2</v>
      </c>
      <c r="N328">
        <f>IF((((1.18*F328^0.874)-(0.398*F328^0.85)/(1-H328)*H328)*(MAX('Min rate concentrations'!$Q$3:$Q$368)))/F328&gt;0, (((1.18*F328^0.874)-(0.398*F328^0.85)/(1-H328)*H328)*(MAX('Min rate concentrations'!$Q$3:$Q$368)))/F328, 0)</f>
        <v>0.1261114240567093</v>
      </c>
      <c r="O328">
        <f>((MAX('Min rate concentrations'!$F$3:$F$368))*0.62*6.01*8*(10*F328^0.667)*0.079*0.1/F328)*inputs!$E$80/(10^(0.84+0.62*LOG10(inputs!$E$80)))</f>
        <v>6.6503601317129331</v>
      </c>
      <c r="P328">
        <f>((MAX('Min rate concentrations'!Y:Y))*0.62*6.01*8*(10*F328^0.667)*0.079*0.1/F328)*inputs!$E$80/(10^(0.84+0.62*LOG10(inputs!$E$80)))</f>
        <v>2.2167867105709775</v>
      </c>
      <c r="Q328">
        <f>(inputs!$C$7*11.2*(10*F328^0.667)*0.5/F328)*inputs!$E$80/(10^(0.84+0.62*LOG10(inputs!$E$80)))</f>
        <v>1.171429570258365</v>
      </c>
      <c r="R328">
        <f>(60*284*((F328/1000)^0.77)*3*24*(MAX('Min rate concentrations'!$R$3:$R$368))/F328)*(inputs!$E$73*3.4/inputs!$E$75)</f>
        <v>9.3362485288330452E-3</v>
      </c>
      <c r="S328">
        <f>(IF(inputs!$C$6="aerial",((0.025*0.112*inputs!$C$7/3.3)*(3*60*284*((F328/1000)^0.77))*MAX(inputs!$H$14:$H$16))/F328,((0.0083*0.112*inputs!$C$7/1)*(3*60*284*((F328/1000)^0.77))*MAX(inputs!$H$14:$H$16))/F328))*(inputs!E$75*3.4/inputs!$E$73)</f>
        <v>5.1489984239838318E-2</v>
      </c>
      <c r="T328">
        <f>IF((((inputs!$P$12/(V328/MAX(K328:S328)))^(1/inputs!$O$12))-1)/inputs!$N$12&lt;0, 0, IF((((inputs!$P$12/(V328/MAX(K328:S328)))^(1/inputs!$O$12))-1)/inputs!$N$12&gt;inputs!$H$17, inputs!$H$17, (((inputs!$P$12/(V328/MAX(K328:S328)))^(1/inputs!$O$12))-1)/inputs!$N$12))</f>
        <v>368.74844662252764</v>
      </c>
      <c r="U328">
        <f>IF((((inputs!$P$12/(X328/MAX(K328:S328)))^(1/inputs!$O$12))-1)/inputs!$N$12&lt;0, 0, IF((((inputs!$P$12/(X328/MAX(K328:S328)))^(1/inputs!$O$12))-1)/inputs!$N$12&gt;inputs!$H$17, inputs!$H$17, (((inputs!$P$12/(X328/MAX(K328:S328)))^(1/inputs!$O$12))-1)/inputs!$N$12))</f>
        <v>20.41277672659028</v>
      </c>
      <c r="V328">
        <f>inputs!$E$78*(F328/inputs!$F$78)^(inputs!$E$84-1)</f>
        <v>2.4554703782112351E-2</v>
      </c>
      <c r="W328">
        <f>inputs!$E$85*(F328/inputs!$F$85)^(inputs!$E$84-1)</f>
        <v>1.1338909869237934</v>
      </c>
      <c r="X328">
        <f>inputs!$E$80*(F328/inputs!$F$80)^(inputs!$E$84-1)</f>
        <v>4.2341498878799877</v>
      </c>
      <c r="Y328">
        <f>inputs!$E$82*(F328/inputs!$F$82)^(inputs!$E$84-1)</f>
        <v>1.9514527742626133</v>
      </c>
      <c r="Z328">
        <f t="shared" si="36"/>
        <v>1366.5925101818923</v>
      </c>
      <c r="AA328">
        <f t="shared" si="37"/>
        <v>29.593915698551161</v>
      </c>
    </row>
    <row r="329" spans="1:27" x14ac:dyDescent="0.3">
      <c r="A329" t="s">
        <v>283</v>
      </c>
      <c r="B329" t="s">
        <v>284</v>
      </c>
      <c r="C329" t="s">
        <v>73</v>
      </c>
      <c r="D329" t="s">
        <v>141</v>
      </c>
      <c r="E329">
        <v>106</v>
      </c>
      <c r="F329">
        <v>50</v>
      </c>
      <c r="G329" t="s">
        <v>152</v>
      </c>
      <c r="H329">
        <v>0.77</v>
      </c>
      <c r="I329">
        <f>MAX('Min rate concentrations'!$G$3:$G$368)</f>
        <v>7.5</v>
      </c>
      <c r="J329">
        <f>MAX('Min rate concentrations'!Z:Z)</f>
        <v>3.5</v>
      </c>
      <c r="K329">
        <f t="shared" si="35"/>
        <v>7.2172375298066251</v>
      </c>
      <c r="L329">
        <f t="shared" si="38"/>
        <v>3.3680441805764252</v>
      </c>
      <c r="M329">
        <f>IF((((1.18*F329^0.874)-(0.398*F329^0.85)/(1-H329)*H329)*(MAX('Min rate concentrations'!$P$3:$P$368)))/F329&gt;0, (((1.18*F329^0.874)-(0.398*F329^0.85)/(1-H329)*H329)*(MAX('Min rate concentrations'!$P$3:$P$368)))/F329, 0)</f>
        <v>0</v>
      </c>
      <c r="N329">
        <f>IF((((1.18*F329^0.874)-(0.398*F329^0.85)/(1-H329)*H329)*(MAX('Min rate concentrations'!$Q$3:$Q$368)))/F329&gt;0, (((1.18*F329^0.874)-(0.398*F329^0.85)/(1-H329)*H329)*(MAX('Min rate concentrations'!$Q$3:$Q$368)))/F329, 0)</f>
        <v>0</v>
      </c>
      <c r="O329">
        <f>((MAX('Min rate concentrations'!$F$3:$F$368))*0.62*6.01*8*(10*F329^0.667)*0.079*0.1/F329)*inputs!$E$80/(10^(0.84+0.62*LOG10(inputs!$E$80)))</f>
        <v>6.6503601317129331</v>
      </c>
      <c r="P329">
        <f>((MAX('Min rate concentrations'!Y:Y))*0.62*6.01*8*(10*F329^0.667)*0.079*0.1/F329)*inputs!$E$80/(10^(0.84+0.62*LOG10(inputs!$E$80)))</f>
        <v>2.2167867105709775</v>
      </c>
      <c r="Q329">
        <f>(inputs!$C$7*11.2*(10*F329^0.667)*0.5/F329)*inputs!$E$80/(10^(0.84+0.62*LOG10(inputs!$E$80)))</f>
        <v>1.171429570258365</v>
      </c>
      <c r="R329">
        <f>(60*284*((F329/1000)^0.77)*3*24*(MAX('Min rate concentrations'!$R$3:$R$368))/F329)*(inputs!$E$73*3.4/inputs!$E$75)</f>
        <v>9.3362485288330452E-3</v>
      </c>
      <c r="S329">
        <f>(IF(inputs!$C$6="aerial",((0.025*0.112*inputs!$C$7/3.3)*(3*60*284*((F329/1000)^0.77))*MAX(inputs!$H$14:$H$16))/F329,((0.0083*0.112*inputs!$C$7/1)*(3*60*284*((F329/1000)^0.77))*MAX(inputs!$H$14:$H$16))/F329))*(inputs!E$75*3.4/inputs!$E$73)</f>
        <v>5.1489984239838318E-2</v>
      </c>
      <c r="T329">
        <f>IF((((inputs!$P$12/(V329/MAX(K329:S329)))^(1/inputs!$O$12))-1)/inputs!$N$12&lt;0, 0, IF((((inputs!$P$12/(V329/MAX(K329:S329)))^(1/inputs!$O$12))-1)/inputs!$N$12&gt;inputs!$H$17, inputs!$H$17, (((inputs!$P$12/(V329/MAX(K329:S329)))^(1/inputs!$O$12))-1)/inputs!$N$12))</f>
        <v>184.12545736893506</v>
      </c>
      <c r="U329">
        <f>IF((((inputs!$P$12/(X329/MAX(K329:S329)))^(1/inputs!$O$12))-1)/inputs!$N$12&lt;0, 0, IF((((inputs!$P$12/(X329/MAX(K329:S329)))^(1/inputs!$O$12))-1)/inputs!$N$12&gt;inputs!$H$17, inputs!$H$17, (((inputs!$P$12/(X329/MAX(K329:S329)))^(1/inputs!$O$12))-1)/inputs!$N$12))</f>
        <v>0</v>
      </c>
      <c r="V329">
        <f>inputs!$E$78*(F329/inputs!$F$78)^(inputs!$E$84-1)</f>
        <v>2.4554703782112351E-2</v>
      </c>
      <c r="W329">
        <f>inputs!$E$85*(F329/inputs!$F$85)^(inputs!$E$84-1)</f>
        <v>1.1338909869237934</v>
      </c>
      <c r="X329">
        <f>inputs!$E$80*(F329/inputs!$F$80)^(inputs!$E$84-1)</f>
        <v>4.2341498878799877</v>
      </c>
      <c r="Y329">
        <f>inputs!$E$82*(F329/inputs!$F$82)^(inputs!$E$84-1)</f>
        <v>1.9514527742626133</v>
      </c>
      <c r="Z329">
        <f t="shared" si="36"/>
        <v>293.9248460844496</v>
      </c>
      <c r="AA329">
        <f t="shared" si="37"/>
        <v>6.3650188713350104</v>
      </c>
    </row>
    <row r="330" spans="1:27" x14ac:dyDescent="0.3">
      <c r="A330" t="s">
        <v>143</v>
      </c>
      <c r="B330" t="s">
        <v>144</v>
      </c>
      <c r="C330" t="s">
        <v>73</v>
      </c>
      <c r="D330" t="s">
        <v>141</v>
      </c>
      <c r="E330">
        <v>1222</v>
      </c>
      <c r="F330">
        <v>34.4</v>
      </c>
      <c r="G330" t="s">
        <v>142</v>
      </c>
      <c r="H330">
        <v>0.69</v>
      </c>
      <c r="I330">
        <f>MAX('Min rate concentrations'!$H$3:$H$368)</f>
        <v>47</v>
      </c>
      <c r="J330">
        <f>MAX('Min rate concentrations'!AA:AA)</f>
        <v>32.5</v>
      </c>
      <c r="K330">
        <f t="shared" si="35"/>
        <v>35.492408369230752</v>
      </c>
      <c r="L330">
        <f t="shared" si="38"/>
        <v>24.542622808510629</v>
      </c>
      <c r="M330">
        <f>IF((((1.18*F330^0.874)-(0.398*F330^0.85)/(1-H330)*H330)*(MAX('Min rate concentrations'!$P$3:$P$368)))/F330&gt;0, (((1.18*F330^0.874)-(0.398*F330^0.85)/(1-H330)*H330)*(MAX('Min rate concentrations'!$P$3:$P$368)))/F330, 0)</f>
        <v>3.4039081333141437E-2</v>
      </c>
      <c r="N330">
        <f>IF((((1.18*F330^0.874)-(0.398*F330^0.85)/(1-H330)*H330)*(MAX('Min rate concentrations'!$Q$3:$Q$368)))/F330&gt;0, (((1.18*F330^0.874)-(0.398*F330^0.85)/(1-H330)*H330)*(MAX('Min rate concentrations'!$Q$3:$Q$368)))/F330, 0)</f>
        <v>0.1296226506938028</v>
      </c>
      <c r="O330">
        <f>((MAX('Min rate concentrations'!$F$3:$F$368))*0.62*6.01*8*(10*F330^0.667)*0.079*0.1/F330)*inputs!$E$80/(10^(0.84+0.62*LOG10(inputs!$E$80)))</f>
        <v>7.5323104936713383</v>
      </c>
      <c r="P330">
        <f>((MAX('Min rate concentrations'!Y:Y))*0.62*6.01*8*(10*F330^0.667)*0.079*0.1/F330)*inputs!$E$80/(10^(0.84+0.62*LOG10(inputs!$E$80)))</f>
        <v>2.5107701645571132</v>
      </c>
      <c r="Q330">
        <f>(inputs!$C$7*11.2*(10*F330^0.667)*0.5/F330)*inputs!$E$80/(10^(0.84+0.62*LOG10(inputs!$E$80)))</f>
        <v>1.3267809667295878</v>
      </c>
      <c r="R330">
        <f>(60*284*((F330/1000)^0.77)*3*24*(MAX('Min rate concentrations'!$R$3:$R$368))/F330)*(inputs!$E$73*3.4/inputs!$E$75)</f>
        <v>1.017482769013257E-2</v>
      </c>
      <c r="S330">
        <f>(IF(inputs!$C$6="aerial",((0.025*0.112*inputs!$C$7/3.3)*(3*60*284*((F330/1000)^0.77))*MAX(inputs!$H$14:$H$16))/F330,((0.0083*0.112*inputs!$C$7/1)*(3*60*284*((F330/1000)^0.77))*MAX(inputs!$H$14:$H$16))/F330))*(inputs!E$75*3.4/inputs!$E$73)</f>
        <v>5.6114799835291024E-2</v>
      </c>
      <c r="T330">
        <f>IF((((inputs!$P$12/(V330/MAX(K330:S330)))^(1/inputs!$O$12))-1)/inputs!$N$12&lt;0, 0, IF((((inputs!$P$12/(V330/MAX(K330:S330)))^(1/inputs!$O$12))-1)/inputs!$N$12&gt;inputs!$H$17, inputs!$H$17, (((inputs!$P$12/(V330/MAX(K330:S330)))^(1/inputs!$O$12))-1)/inputs!$N$12))</f>
        <v>355.67552784392723</v>
      </c>
      <c r="U330">
        <f>IF((((inputs!$P$12/(X330/MAX(K330:S330)))^(1/inputs!$O$12))-1)/inputs!$N$12&lt;0, 0, IF((((inputs!$P$12/(X330/MAX(K330:S330)))^(1/inputs!$O$12))-1)/inputs!$N$12&gt;inputs!$H$17, inputs!$H$17, (((inputs!$P$12/(X330/MAX(K330:S330)))^(1/inputs!$O$12))-1)/inputs!$N$12))</f>
        <v>18.803409959029768</v>
      </c>
      <c r="V330">
        <f>inputs!$E$78*(F330/inputs!$F$78)^(inputs!$E$84-1)</f>
        <v>2.8198562998950707E-2</v>
      </c>
      <c r="W330">
        <f>inputs!$E$85*(F330/inputs!$F$85)^(inputs!$E$84-1)</f>
        <v>1.3021576929796042</v>
      </c>
      <c r="X330">
        <f>inputs!$E$80*(F330/inputs!$F$80)^(inputs!$E$84-1)</f>
        <v>4.8624875877086478</v>
      </c>
      <c r="Y330">
        <f>inputs!$E$82*(F330/inputs!$F$82)^(inputs!$E$84-1)</f>
        <v>2.2410436909692404</v>
      </c>
      <c r="Z330">
        <f t="shared" si="36"/>
        <v>1258.6601796180698</v>
      </c>
      <c r="AA330">
        <f t="shared" si="37"/>
        <v>27.256613051232556</v>
      </c>
    </row>
    <row r="331" spans="1:27" x14ac:dyDescent="0.3">
      <c r="A331" t="s">
        <v>143</v>
      </c>
      <c r="B331" t="s">
        <v>144</v>
      </c>
      <c r="C331" t="s">
        <v>73</v>
      </c>
      <c r="D331" t="s">
        <v>141</v>
      </c>
      <c r="E331">
        <v>1222</v>
      </c>
      <c r="F331">
        <v>34.4</v>
      </c>
      <c r="G331" t="s">
        <v>145</v>
      </c>
      <c r="H331">
        <v>0.66</v>
      </c>
      <c r="I331">
        <f>MAX('Min rate concentrations'!$M$3:$M$368)</f>
        <v>2.8488184789681945</v>
      </c>
      <c r="J331">
        <f>MAX('Min rate concentrations'!AE:AE)</f>
        <v>1.9699276716269429</v>
      </c>
      <c r="K331">
        <f t="shared" si="35"/>
        <v>1.961485790729568</v>
      </c>
      <c r="L331">
        <f t="shared" si="38"/>
        <v>1.356346557419382</v>
      </c>
      <c r="M331">
        <f>IF((((1.18*F331^0.874)-(0.398*F331^0.85)/(1-H331)*H331)*(MAX('Min rate concentrations'!$P$3:$P$368)))/F331&gt;0, (((1.18*F331^0.874)-(0.398*F331^0.85)/(1-H331)*H331)*(MAX('Min rate concentrations'!$P$3:$P$368)))/F331, 0)</f>
        <v>4.371052035968738E-2</v>
      </c>
      <c r="N331">
        <f>IF((((1.18*F331^0.874)-(0.398*F331^0.85)/(1-H331)*H331)*(MAX('Min rate concentrations'!$Q$3:$Q$368)))/F331&gt;0, (((1.18*F331^0.874)-(0.398*F331^0.85)/(1-H331)*H331)*(MAX('Min rate concentrations'!$Q$3:$Q$368)))/F331, 0)</f>
        <v>0.16645201016960628</v>
      </c>
      <c r="O331">
        <f>((MAX('Min rate concentrations'!$F$3:$F$368))*0.62*6.01*8*(10*F331^0.667)*0.079*0.1/F331)*inputs!$E$80/(10^(0.84+0.62*LOG10(inputs!$E$80)))</f>
        <v>7.5323104936713383</v>
      </c>
      <c r="P331">
        <f>((MAX('Min rate concentrations'!Y:Y))*0.62*6.01*8*(10*F331^0.667)*0.079*0.1/F331)*inputs!$E$80/(10^(0.84+0.62*LOG10(inputs!$E$80)))</f>
        <v>2.5107701645571132</v>
      </c>
      <c r="Q331">
        <f>(inputs!$C$7*11.2*(10*F331^0.667)*0.5/F331)*inputs!$E$80/(10^(0.84+0.62*LOG10(inputs!$E$80)))</f>
        <v>1.3267809667295878</v>
      </c>
      <c r="R331">
        <f>(60*284*((F331/1000)^0.77)*3*24*(MAX('Min rate concentrations'!$R$3:$R$368))/F331)*(inputs!$E$73*3.4/inputs!$E$75)</f>
        <v>1.017482769013257E-2</v>
      </c>
      <c r="S331">
        <f>(IF(inputs!$C$6="aerial",((0.025*0.112*inputs!$C$7/3.3)*(3*60*284*((F331/1000)^0.77))*MAX(inputs!$H$14:$H$16))/F331,((0.0083*0.112*inputs!$C$7/1)*(3*60*284*((F331/1000)^0.77))*MAX(inputs!$H$14:$H$16))/F331))*(inputs!E$75*3.4/inputs!$E$73)</f>
        <v>5.6114799835291024E-2</v>
      </c>
      <c r="T331">
        <f>IF((((inputs!$P$12/(V331/MAX(K331:S331)))^(1/inputs!$O$12))-1)/inputs!$N$12&lt;0, 0, IF((((inputs!$P$12/(V331/MAX(K331:S331)))^(1/inputs!$O$12))-1)/inputs!$N$12&gt;inputs!$H$17, inputs!$H$17, (((inputs!$P$12/(V331/MAX(K331:S331)))^(1/inputs!$O$12))-1)/inputs!$N$12))</f>
        <v>176.01364190168397</v>
      </c>
      <c r="U331">
        <f>IF((((inputs!$P$12/(X331/MAX(K331:S331)))^(1/inputs!$O$12))-1)/inputs!$N$12&lt;0, 0, IF((((inputs!$P$12/(X331/MAX(K331:S331)))^(1/inputs!$O$12))-1)/inputs!$N$12&gt;inputs!$H$17, inputs!$H$17, (((inputs!$P$12/(X331/MAX(K331:S331)))^(1/inputs!$O$12))-1)/inputs!$N$12))</f>
        <v>0</v>
      </c>
      <c r="V331">
        <f>inputs!$E$78*(F331/inputs!$F$78)^(inputs!$E$84-1)</f>
        <v>2.8198562998950707E-2</v>
      </c>
      <c r="W331">
        <f>inputs!$E$85*(F331/inputs!$F$85)^(inputs!$E$84-1)</f>
        <v>1.3021576929796042</v>
      </c>
      <c r="X331">
        <f>inputs!$E$80*(F331/inputs!$F$80)^(inputs!$E$84-1)</f>
        <v>4.8624875877086478</v>
      </c>
      <c r="Y331">
        <f>inputs!$E$82*(F331/inputs!$F$82)^(inputs!$E$84-1)</f>
        <v>2.2410436909692404</v>
      </c>
      <c r="Z331">
        <f t="shared" si="36"/>
        <v>267.11682059655391</v>
      </c>
      <c r="AA331">
        <f t="shared" si="37"/>
        <v>5.7844841176154826</v>
      </c>
    </row>
    <row r="332" spans="1:27" x14ac:dyDescent="0.3">
      <c r="A332" t="s">
        <v>143</v>
      </c>
      <c r="B332" t="s">
        <v>144</v>
      </c>
      <c r="C332" t="s">
        <v>73</v>
      </c>
      <c r="D332" t="s">
        <v>141</v>
      </c>
      <c r="E332">
        <v>1222</v>
      </c>
      <c r="F332">
        <v>34.4</v>
      </c>
      <c r="G332" t="s">
        <v>146</v>
      </c>
      <c r="H332">
        <v>0.84</v>
      </c>
      <c r="I332">
        <f>MAX('Min rate concentrations'!$I$3:$I$368)</f>
        <v>9.4775690500787988</v>
      </c>
      <c r="J332" t="s">
        <v>13</v>
      </c>
      <c r="K332">
        <f t="shared" si="35"/>
        <v>13.866800908593552</v>
      </c>
      <c r="L332" t="s">
        <v>13</v>
      </c>
      <c r="M332">
        <f>IF((((1.18*F332^0.874)-(0.398*F332^0.85)/(1-H332)*H332)*(MAX('Min rate concentrations'!$P$3:$P$368)))/F332&gt;0, (((1.18*F332^0.874)-(0.398*F332^0.85)/(1-H332)*H332)*(MAX('Min rate concentrations'!$P$3:$P$368)))/F332, 0)</f>
        <v>0</v>
      </c>
      <c r="N332">
        <f>IF((((1.18*F332^0.874)-(0.398*F332^0.85)/(1-H332)*H332)*(MAX('Min rate concentrations'!$Q$3:$Q$368)))/F332&gt;0, (((1.18*F332^0.874)-(0.398*F332^0.85)/(1-H332)*H332)*(MAX('Min rate concentrations'!$Q$3:$Q$368)))/F332, 0)</f>
        <v>0</v>
      </c>
      <c r="O332">
        <f>((MAX('Min rate concentrations'!$F$3:$F$368))*0.62*6.01*8*(10*F332^0.667)*0.079*0.1/F332)*inputs!$E$80/(10^(0.84+0.62*LOG10(inputs!$E$80)))</f>
        <v>7.5323104936713383</v>
      </c>
      <c r="P332">
        <f>((MAX('Min rate concentrations'!Y:Y))*0.62*6.01*8*(10*F332^0.667)*0.079*0.1/F332)*inputs!$E$80/(10^(0.84+0.62*LOG10(inputs!$E$80)))</f>
        <v>2.5107701645571132</v>
      </c>
      <c r="Q332">
        <f>(inputs!$C$7*11.2*(10*F332^0.667)*0.5/F332)*inputs!$E$80/(10^(0.84+0.62*LOG10(inputs!$E$80)))</f>
        <v>1.3267809667295878</v>
      </c>
      <c r="R332">
        <f>(60*284*((F332/1000)^0.77)*3*24*(MAX('Min rate concentrations'!$R$3:$R$368))/F332)*(inputs!$E$73*3.4/inputs!$E$75)</f>
        <v>1.017482769013257E-2</v>
      </c>
      <c r="S332">
        <f>(IF(inputs!$C$6="aerial",((0.025*0.112*inputs!$C$7/3.3)*(3*60*284*((F332/1000)^0.77))*MAX(inputs!$H$14:$H$16))/F332,((0.0083*0.112*inputs!$C$7/1)*(3*60*284*((F332/1000)^0.77))*MAX(inputs!$H$14:$H$16))/F332))*(inputs!E$75*3.4/inputs!$E$73)</f>
        <v>5.6114799835291024E-2</v>
      </c>
      <c r="T332">
        <f>IF((((inputs!$P$12/(V332/MAX(K332:S332)))^(1/inputs!$O$12))-1)/inputs!$N$12&lt;0, 0, IF((((inputs!$P$12/(V332/MAX(K332:S332)))^(1/inputs!$O$12))-1)/inputs!$N$12&gt;inputs!$H$17, inputs!$H$17, (((inputs!$P$12/(V332/MAX(K332:S332)))^(1/inputs!$O$12))-1)/inputs!$N$12))</f>
        <v>233.63324053025431</v>
      </c>
      <c r="U332">
        <f>IF((((inputs!$P$12/(X332/MAX(K332:S332)))^(1/inputs!$O$12))-1)/inputs!$N$12&lt;0, 0, IF((((inputs!$P$12/(X332/MAX(K332:S332)))^(1/inputs!$O$12))-1)/inputs!$N$12&gt;inputs!$H$17, inputs!$H$17, (((inputs!$P$12/(X332/MAX(K332:S332)))^(1/inputs!$O$12))-1)/inputs!$N$12))</f>
        <v>3.7791598457946192</v>
      </c>
      <c r="V332">
        <f>inputs!$E$78*(F332/inputs!$F$78)^(inputs!$E$84-1)</f>
        <v>2.8198562998950707E-2</v>
      </c>
      <c r="W332">
        <f>inputs!$E$85*(F332/inputs!$F$85)^(inputs!$E$84-1)</f>
        <v>1.3021576929796042</v>
      </c>
      <c r="X332">
        <f>inputs!$E$80*(F332/inputs!$F$80)^(inputs!$E$84-1)</f>
        <v>4.8624875877086478</v>
      </c>
      <c r="Y332">
        <f>inputs!$E$82*(F332/inputs!$F$82)^(inputs!$E$84-1)</f>
        <v>2.2410436909692404</v>
      </c>
      <c r="Z332">
        <f t="shared" si="36"/>
        <v>491.75558730101062</v>
      </c>
      <c r="AA332">
        <f t="shared" si="37"/>
        <v>10.64909494706702</v>
      </c>
    </row>
    <row r="333" spans="1:27" x14ac:dyDescent="0.3">
      <c r="A333" t="s">
        <v>361</v>
      </c>
      <c r="B333" t="s">
        <v>362</v>
      </c>
      <c r="C333" t="s">
        <v>73</v>
      </c>
      <c r="D333" t="s">
        <v>141</v>
      </c>
      <c r="E333">
        <v>72</v>
      </c>
      <c r="F333">
        <v>19</v>
      </c>
      <c r="G333" t="s">
        <v>142</v>
      </c>
      <c r="H333">
        <v>0.69</v>
      </c>
      <c r="I333">
        <f>MAX('Min rate concentrations'!$H$3:$H$368)</f>
        <v>47</v>
      </c>
      <c r="J333">
        <f>MAX('Min rate concentrations'!AA:AA)</f>
        <v>32.5</v>
      </c>
      <c r="K333">
        <f t="shared" si="35"/>
        <v>38.797719248267576</v>
      </c>
      <c r="L333">
        <f>((0.398*F333^0.85)/(1-H333))*J333/F333</f>
        <v>26.828210118482897</v>
      </c>
      <c r="M333">
        <f>IF((((1.18*F333^0.874)-(0.398*F333^0.85)/(1-H333)*H333)*(MAX('Min rate concentrations'!$P$3:$P$368)))/F333&gt;0, (((1.18*F333^0.874)-(0.398*F333^0.85)/(1-H333)*H333)*(MAX('Min rate concentrations'!$P$3:$P$368)))/F333, 0)</f>
        <v>3.5513205272359995E-2</v>
      </c>
      <c r="N333">
        <f>IF((((1.18*F333^0.874)-(0.398*F333^0.85)/(1-H333)*H333)*(MAX('Min rate concentrations'!$Q$3:$Q$368)))/F333&gt;0, (((1.18*F333^0.874)-(0.398*F333^0.85)/(1-H333)*H333)*(MAX('Min rate concentrations'!$Q$3:$Q$368)))/F333, 0)</f>
        <v>0.1352361938615104</v>
      </c>
      <c r="O333">
        <f>((MAX('Min rate concentrations'!$F$3:$F$368))*0.62*6.01*8*(10*F333^0.667)*0.079*0.1/F333)*inputs!$E$80/(10^(0.84+0.62*LOG10(inputs!$E$80)))</f>
        <v>9.178616535590816</v>
      </c>
      <c r="P333">
        <f>((MAX('Min rate concentrations'!Y:Y))*0.62*6.01*8*(10*F333^0.667)*0.079*0.1/F333)*inputs!$E$80/(10^(0.84+0.62*LOG10(inputs!$E$80)))</f>
        <v>3.0595388451969381</v>
      </c>
      <c r="Q333">
        <f>(inputs!$C$7*11.2*(10*F333^0.667)*0.5/F333)*inputs!$E$80/(10^(0.84+0.62*LOG10(inputs!$E$80)))</f>
        <v>1.6167700110827015</v>
      </c>
      <c r="R333">
        <f>(60*284*((F333/1000)^0.77)*3*24*(MAX('Min rate concentrations'!$R$3:$R$368))/F333)*(inputs!$E$73*3.4/inputs!$E$75)</f>
        <v>1.1663319610753771E-2</v>
      </c>
      <c r="S333">
        <f>(IF(inputs!$C$6="aerial",((0.025*0.112*inputs!$C$7/3.3)*(3*60*284*((F333/1000)^0.77))*MAX(inputs!$H$14:$H$16))/F333,((0.0083*0.112*inputs!$C$7/1)*(3*60*284*((F333/1000)^0.77))*MAX(inputs!$H$14:$H$16))/F333))*(inputs!E$75*3.4/inputs!$E$73)</f>
        <v>6.4323924227943863E-2</v>
      </c>
      <c r="T333">
        <f>IF((((inputs!$P$12/(V333/MAX(K333:S333)))^(1/inputs!$O$12))-1)/inputs!$N$12&lt;0, 0, IF((((inputs!$P$12/(V333/MAX(K333:S333)))^(1/inputs!$O$12))-1)/inputs!$N$12&gt;inputs!$H$17, inputs!$H$17, (((inputs!$P$12/(V333/MAX(K333:S333)))^(1/inputs!$O$12))-1)/inputs!$N$12))</f>
        <v>335.80192445901332</v>
      </c>
      <c r="U333">
        <f>IF((((inputs!$P$12/(X333/MAX(K333:S333)))^(1/inputs!$O$12))-1)/inputs!$N$12&lt;0, 0, IF((((inputs!$P$12/(X333/MAX(K333:S333)))^(1/inputs!$O$12))-1)/inputs!$N$12&gt;inputs!$H$17, inputs!$H$17, (((inputs!$P$12/(X333/MAX(K333:S333)))^(1/inputs!$O$12))-1)/inputs!$N$12))</f>
        <v>16.356831855009482</v>
      </c>
      <c r="V333">
        <f>inputs!$E$78*(F333/inputs!$F$78)^(inputs!$E$84-1)</f>
        <v>3.5124873481261372E-2</v>
      </c>
      <c r="W333">
        <f>inputs!$E$85*(F333/inputs!$F$85)^(inputs!$E$84-1)</f>
        <v>1.6220019516690172</v>
      </c>
      <c r="X333">
        <f>inputs!$E$80*(F333/inputs!$F$80)^(inputs!$E$84-1)</f>
        <v>6.0568427309159505</v>
      </c>
      <c r="Y333">
        <f>inputs!$E$82*(F333/inputs!$F$82)^(inputs!$E$84-1)</f>
        <v>2.7915031029844566</v>
      </c>
      <c r="Z333">
        <f t="shared" si="36"/>
        <v>1104.5653806828832</v>
      </c>
      <c r="AA333">
        <f t="shared" si="37"/>
        <v>23.91965016339547</v>
      </c>
    </row>
    <row r="334" spans="1:27" x14ac:dyDescent="0.3">
      <c r="A334" t="s">
        <v>361</v>
      </c>
      <c r="B334" t="s">
        <v>362</v>
      </c>
      <c r="C334" t="s">
        <v>73</v>
      </c>
      <c r="D334" t="s">
        <v>141</v>
      </c>
      <c r="E334">
        <v>72</v>
      </c>
      <c r="F334">
        <v>19</v>
      </c>
      <c r="G334" t="s">
        <v>363</v>
      </c>
      <c r="H334">
        <v>0.85</v>
      </c>
      <c r="I334">
        <f>MAX('Min rate concentrations'!$F$3:$F$368)</f>
        <v>67.5</v>
      </c>
      <c r="J334">
        <f>MAX('Min rate concentrations'!Y:Y)</f>
        <v>22.5</v>
      </c>
      <c r="K334">
        <f t="shared" si="35"/>
        <v>115.15493266241121</v>
      </c>
      <c r="M334">
        <f>IF((((1.18*F334^0.874)-(0.398*F334^0.85)/(1-H334)*H334)*(MAX('Min rate concentrations'!$P$3:$P$368)))/F334&gt;0, (((1.18*F334^0.874)-(0.398*F334^0.85)/(1-H334)*H334)*(MAX('Min rate concentrations'!$P$3:$P$368)))/F334, 0)</f>
        <v>0</v>
      </c>
      <c r="N334">
        <f>IF((((1.18*F334^0.874)-(0.398*F334^0.85)/(1-H334)*H334)*(MAX('Min rate concentrations'!$Q$3:$Q$368)))/F334&gt;0, (((1.18*F334^0.874)-(0.398*F334^0.85)/(1-H334)*H334)*(MAX('Min rate concentrations'!$Q$3:$Q$368)))/F334, 0)</f>
        <v>0</v>
      </c>
      <c r="O334">
        <f>((MAX('Min rate concentrations'!$F$3:$F$368))*0.62*6.01*8*(10*F334^0.667)*0.079*0.1/F334)*inputs!$E$80/(10^(0.84+0.62*LOG10(inputs!$E$80)))</f>
        <v>9.178616535590816</v>
      </c>
      <c r="P334">
        <f>((MAX('Min rate concentrations'!Y:Y))*0.62*6.01*8*(10*F334^0.667)*0.079*0.1/F334)*inputs!$E$80/(10^(0.84+0.62*LOG10(inputs!$E$80)))</f>
        <v>3.0595388451969381</v>
      </c>
      <c r="Q334">
        <f>(inputs!$C$7*11.2*(10*F334^0.667)*0.5/F334)*inputs!$E$80/(10^(0.84+0.62*LOG10(inputs!$E$80)))</f>
        <v>1.6167700110827015</v>
      </c>
      <c r="R334">
        <f>(60*284*((F334/1000)^0.77)*3*24*(MAX('Min rate concentrations'!$R$3:$R$368))/F334)*(inputs!$E$73*3.4/inputs!$E$75)</f>
        <v>1.1663319610753771E-2</v>
      </c>
      <c r="S334">
        <f>(IF(inputs!$C$6="aerial",((0.025*0.112*inputs!$C$7/3.3)*(3*60*284*((F334/1000)^0.77))*MAX(inputs!$H$14:$H$16))/F334,((0.0083*0.112*inputs!$C$7/1)*(3*60*284*((F334/1000)^0.77))*MAX(inputs!$H$14:$H$16))/F334))*(inputs!E$75*3.4/inputs!$E$73)</f>
        <v>6.4323924227943863E-2</v>
      </c>
      <c r="T334">
        <f>IF((((inputs!$P$12/(V334/MAX(K334:S334)))^(1/inputs!$O$12))-1)/inputs!$N$12&lt;0, 0, IF((((inputs!$P$12/(V334/MAX(K334:S334)))^(1/inputs!$O$12))-1)/inputs!$N$12&gt;inputs!$H$17, inputs!$H$17, (((inputs!$P$12/(V334/MAX(K334:S334)))^(1/inputs!$O$12))-1)/inputs!$N$12))</f>
        <v>538.56146870504597</v>
      </c>
      <c r="U334">
        <f>IF((((inputs!$P$12/(X334/MAX(K334:S334)))^(1/inputs!$O$12))-1)/inputs!$N$12&lt;0, 0, IF((((inputs!$P$12/(X334/MAX(K334:S334)))^(1/inputs!$O$12))-1)/inputs!$N$12&gt;inputs!$H$17, inputs!$H$17, (((inputs!$P$12/(X334/MAX(K334:S334)))^(1/inputs!$O$12))-1)/inputs!$N$12))</f>
        <v>41.317934868167015</v>
      </c>
      <c r="V334">
        <f>inputs!$E$78*(F334/inputs!$F$78)^(inputs!$E$84-1)</f>
        <v>3.5124873481261372E-2</v>
      </c>
      <c r="W334">
        <f>inputs!$E$85*(F334/inputs!$F$85)^(inputs!$E$84-1)</f>
        <v>1.6220019516690172</v>
      </c>
      <c r="X334">
        <f>inputs!$E$80*(F334/inputs!$F$80)^(inputs!$E$84-1)</f>
        <v>6.0568427309159505</v>
      </c>
      <c r="Y334">
        <f>inputs!$E$82*(F334/inputs!$F$82)^(inputs!$E$84-1)</f>
        <v>2.7915031029844566</v>
      </c>
      <c r="Z334">
        <f t="shared" si="36"/>
        <v>3278.4440554311109</v>
      </c>
      <c r="AA334">
        <f t="shared" si="37"/>
        <v>70.995557399865277</v>
      </c>
    </row>
    <row r="335" spans="1:27" x14ac:dyDescent="0.3">
      <c r="A335" t="s">
        <v>361</v>
      </c>
      <c r="B335" t="s">
        <v>362</v>
      </c>
      <c r="C335" t="s">
        <v>73</v>
      </c>
      <c r="D335" t="s">
        <v>141</v>
      </c>
      <c r="E335">
        <v>72</v>
      </c>
      <c r="F335">
        <v>19</v>
      </c>
      <c r="G335" t="s">
        <v>154</v>
      </c>
      <c r="H335">
        <v>9.2999999999999999E-2</v>
      </c>
      <c r="I335">
        <f>MAX('Min rate concentrations'!$G$3:$G$368)</f>
        <v>7.5</v>
      </c>
      <c r="J335">
        <f>MAX('Min rate concentrations'!Z:Z)</f>
        <v>3.5</v>
      </c>
      <c r="K335">
        <f t="shared" si="35"/>
        <v>2.1160406589932235</v>
      </c>
      <c r="M335">
        <f>IF((((1.18*F335^0.874)-(0.398*F335^0.85)/(1-H335)*H335)*(MAX('Min rate concentrations'!$P$3:$P$368)))/F335&gt;0, (((1.18*F335^0.874)-(0.398*F335^0.85)/(1-H335)*H335)*(MAX('Min rate concentrations'!$P$3:$P$368)))/F335, 0)</f>
        <v>0.11437860898030691</v>
      </c>
      <c r="N335">
        <f>IF((((1.18*F335^0.874)-(0.398*F335^0.85)/(1-H335)*H335)*(MAX('Min rate concentrations'!$Q$3:$Q$368)))/F335&gt;0, (((1.18*F335^0.874)-(0.398*F335^0.85)/(1-H335)*H335)*(MAX('Min rate concentrations'!$Q$3:$Q$368)))/F335, 0)</f>
        <v>0.43555988875241181</v>
      </c>
      <c r="O335">
        <f>((MAX('Min rate concentrations'!$F$3:$F$368))*0.62*6.01*8*(10*F335^0.667)*0.079*0.1/F335)*inputs!$E$80/(10^(0.84+0.62*LOG10(inputs!$E$80)))</f>
        <v>9.178616535590816</v>
      </c>
      <c r="P335">
        <f>((MAX('Min rate concentrations'!Y:Y))*0.62*6.01*8*(10*F335^0.667)*0.079*0.1/F335)*inputs!$E$80/(10^(0.84+0.62*LOG10(inputs!$E$80)))</f>
        <v>3.0595388451969381</v>
      </c>
      <c r="Q335">
        <f>(inputs!$C$7*11.2*(10*F335^0.667)*0.5/F335)*inputs!$E$80/(10^(0.84+0.62*LOG10(inputs!$E$80)))</f>
        <v>1.6167700110827015</v>
      </c>
      <c r="R335">
        <f>(60*284*((F335/1000)^0.77)*3*24*(MAX('Min rate concentrations'!$R$3:$R$368))/F335)*(inputs!$E$73*3.4/inputs!$E$75)</f>
        <v>1.1663319610753771E-2</v>
      </c>
      <c r="S335">
        <f>(IF(inputs!$C$6="aerial",((0.025*0.112*inputs!$C$7/3.3)*(3*60*284*((F335/1000)^0.77))*MAX(inputs!$H$14:$H$16))/F335,((0.0083*0.112*inputs!$C$7/1)*(3*60*284*((F335/1000)^0.77))*MAX(inputs!$H$14:$H$16))/F335))*(inputs!E$75*3.4/inputs!$E$73)</f>
        <v>6.4323924227943863E-2</v>
      </c>
      <c r="T335">
        <f>IF((((inputs!$P$12/(V335/MAX(K335:S335)))^(1/inputs!$O$12))-1)/inputs!$N$12&lt;0, 0, IF((((inputs!$P$12/(V335/MAX(K335:S335)))^(1/inputs!$O$12))-1)/inputs!$N$12&gt;inputs!$H$17, inputs!$H$17, (((inputs!$P$12/(V335/MAX(K335:S335)))^(1/inputs!$O$12))-1)/inputs!$N$12))</f>
        <v>174.19484889502183</v>
      </c>
      <c r="U335">
        <f>IF((((inputs!$P$12/(X335/MAX(K335:S335)))^(1/inputs!$O$12))-1)/inputs!$N$12&lt;0, 0, IF((((inputs!$P$12/(X335/MAX(K335:S335)))^(1/inputs!$O$12))-1)/inputs!$N$12&gt;inputs!$H$17, inputs!$H$17, (((inputs!$P$12/(X335/MAX(K335:S335)))^(1/inputs!$O$12))-1)/inputs!$N$12))</f>
        <v>0</v>
      </c>
      <c r="V335">
        <f>inputs!$E$78*(F335/inputs!$F$78)^(inputs!$E$84-1)</f>
        <v>3.5124873481261372E-2</v>
      </c>
      <c r="W335">
        <f>inputs!$E$85*(F335/inputs!$F$85)^(inputs!$E$84-1)</f>
        <v>1.6220019516690172</v>
      </c>
      <c r="X335">
        <f>inputs!$E$80*(F335/inputs!$F$80)^(inputs!$E$84-1)</f>
        <v>6.0568427309159505</v>
      </c>
      <c r="Y335">
        <f>inputs!$E$82*(F335/inputs!$F$82)^(inputs!$E$84-1)</f>
        <v>2.7915031029844566</v>
      </c>
      <c r="Z335">
        <f t="shared" si="36"/>
        <v>261.3138675214725</v>
      </c>
      <c r="AA335">
        <f t="shared" si="37"/>
        <v>5.6588196618050608</v>
      </c>
    </row>
    <row r="336" spans="1:27" x14ac:dyDescent="0.3">
      <c r="A336" t="s">
        <v>139</v>
      </c>
      <c r="B336" t="s">
        <v>140</v>
      </c>
      <c r="C336" t="s">
        <v>73</v>
      </c>
      <c r="D336" t="s">
        <v>141</v>
      </c>
      <c r="E336">
        <v>75</v>
      </c>
      <c r="F336">
        <v>15</v>
      </c>
      <c r="G336" t="s">
        <v>142</v>
      </c>
      <c r="H336">
        <v>0.69</v>
      </c>
      <c r="I336">
        <f>MAX('Min rate concentrations'!$H$3:$H$368)</f>
        <v>47</v>
      </c>
      <c r="J336">
        <f>MAX('Min rate concentrations'!AA:AA)</f>
        <v>32.5</v>
      </c>
      <c r="K336">
        <f t="shared" si="35"/>
        <v>40.198101950554658</v>
      </c>
      <c r="L336">
        <f t="shared" ref="L336:L341" si="39">((0.398*F336^0.85)/(1-H336))*J336/F336</f>
        <v>27.796559859426093</v>
      </c>
      <c r="M336">
        <f>IF((((1.18*F336^0.874)-(0.398*F336^0.85)/(1-H336)*H336)*(MAX('Min rate concentrations'!$P$3:$P$368)))/F336&gt;0, (((1.18*F336^0.874)-(0.398*F336^0.85)/(1-H336)*H336)*(MAX('Min rate concentrations'!$P$3:$P$368)))/F336, 0)</f>
        <v>3.610228561579551E-2</v>
      </c>
      <c r="N336">
        <f>IF((((1.18*F336^0.874)-(0.398*F336^0.85)/(1-H336)*H336)*(MAX('Min rate concentrations'!$Q$3:$Q$368)))/F336&gt;0, (((1.18*F336^0.874)-(0.398*F336^0.85)/(1-H336)*H336)*(MAX('Min rate concentrations'!$Q$3:$Q$368)))/F336, 0)</f>
        <v>0.13747944346159238</v>
      </c>
      <c r="O336">
        <f>((MAX('Min rate concentrations'!$F$3:$F$368))*0.62*6.01*8*(10*F336^0.667)*0.079*0.1/F336)*inputs!$E$80/(10^(0.84+0.62*LOG10(inputs!$E$80)))</f>
        <v>9.9303324036711853</v>
      </c>
      <c r="P336">
        <f>((MAX('Min rate concentrations'!Y:Y))*0.62*6.01*8*(10*F336^0.667)*0.079*0.1/F336)*inputs!$E$80/(10^(0.84+0.62*LOG10(inputs!$E$80)))</f>
        <v>3.3101108012237277</v>
      </c>
      <c r="Q336">
        <f>(inputs!$C$7*11.2*(10*F336^0.667)*0.5/F336)*inputs!$E$80/(10^(0.84+0.62*LOG10(inputs!$E$80)))</f>
        <v>1.7491812157184676</v>
      </c>
      <c r="R336">
        <f>(60*284*((F336/1000)^0.77)*3*24*(MAX('Min rate concentrations'!$R$3:$R$368))/F336)*(inputs!$E$73*3.4/inputs!$E$75)</f>
        <v>1.2315002814418724E-2</v>
      </c>
      <c r="S336">
        <f>(IF(inputs!$C$6="aerial",((0.025*0.112*inputs!$C$7/3.3)*(3*60*284*((F336/1000)^0.77))*MAX(inputs!$H$14:$H$16))/F336,((0.0083*0.112*inputs!$C$7/1)*(3*60*284*((F336/1000)^0.77))*MAX(inputs!$H$14:$H$16))/F336))*(inputs!E$75*3.4/inputs!$E$73)</f>
        <v>6.7917997134470234E-2</v>
      </c>
      <c r="T336">
        <f>IF((((inputs!$P$12/(V336/MAX(K336:S336)))^(1/inputs!$O$12))-1)/inputs!$N$12&lt;0, 0, IF((((inputs!$P$12/(V336/MAX(K336:S336)))^(1/inputs!$O$12))-1)/inputs!$N$12&gt;inputs!$H$17, inputs!$H$17, (((inputs!$P$12/(V336/MAX(K336:S336)))^(1/inputs!$O$12))-1)/inputs!$N$12))</f>
        <v>328.17716535581303</v>
      </c>
      <c r="U336">
        <f>IF((((inputs!$P$12/(X336/MAX(K336:S336)))^(1/inputs!$O$12))-1)/inputs!$N$12&lt;0, 0, IF((((inputs!$P$12/(X336/MAX(K336:S336)))^(1/inputs!$O$12))-1)/inputs!$N$12&gt;inputs!$H$17, inputs!$H$17, (((inputs!$P$12/(X336/MAX(K336:S336)))^(1/inputs!$O$12))-1)/inputs!$N$12))</f>
        <v>15.418171245304473</v>
      </c>
      <c r="V336">
        <f>inputs!$E$78*(F336/inputs!$F$78)^(inputs!$E$84-1)</f>
        <v>3.8335385520294862E-2</v>
      </c>
      <c r="W336">
        <f>inputs!$E$85*(F336/inputs!$F$85)^(inputs!$E$84-1)</f>
        <v>1.7702574833493601</v>
      </c>
      <c r="X336">
        <f>inputs!$E$80*(F336/inputs!$F$80)^(inputs!$E$84-1)</f>
        <v>6.6104551593425471</v>
      </c>
      <c r="Y336">
        <f>inputs!$E$82*(F336/inputs!$F$82)^(inputs!$E$84-1)</f>
        <v>3.0466543229286969</v>
      </c>
      <c r="Z336">
        <f t="shared" si="36"/>
        <v>1048.5900012476377</v>
      </c>
      <c r="AA336">
        <f t="shared" si="37"/>
        <v>22.707488785472666</v>
      </c>
    </row>
    <row r="337" spans="1:27" x14ac:dyDescent="0.3">
      <c r="A337" t="s">
        <v>305</v>
      </c>
      <c r="B337" t="s">
        <v>306</v>
      </c>
      <c r="C337" t="s">
        <v>73</v>
      </c>
      <c r="D337" t="s">
        <v>141</v>
      </c>
      <c r="E337">
        <v>99</v>
      </c>
      <c r="F337">
        <v>14</v>
      </c>
      <c r="G337" t="s">
        <v>142</v>
      </c>
      <c r="H337">
        <v>0.69</v>
      </c>
      <c r="I337">
        <f>MAX('Min rate concentrations'!$H$3:$H$368)</f>
        <v>47</v>
      </c>
      <c r="J337">
        <f>MAX('Min rate concentrations'!AA:AA)</f>
        <v>32.5</v>
      </c>
      <c r="K337">
        <f t="shared" si="35"/>
        <v>40.616269383585824</v>
      </c>
      <c r="L337">
        <f t="shared" si="39"/>
        <v>28.085718190777431</v>
      </c>
      <c r="M337">
        <f>IF((((1.18*F337^0.874)-(0.398*F337^0.85)/(1-H337)*H337)*(MAX('Min rate concentrations'!$P$3:$P$368)))/F337&gt;0, (((1.18*F337^0.874)-(0.398*F337^0.85)/(1-H337)*H337)*(MAX('Min rate concentrations'!$P$3:$P$368)))/F337, 0)</f>
        <v>3.6274302675177221E-2</v>
      </c>
      <c r="N337">
        <f>IF((((1.18*F337^0.874)-(0.398*F337^0.85)/(1-H337)*H337)*(MAX('Min rate concentrations'!$Q$3:$Q$368)))/F337&gt;0, (((1.18*F337^0.874)-(0.398*F337^0.85)/(1-H337)*H337)*(MAX('Min rate concentrations'!$Q$3:$Q$368)))/F337, 0)</f>
        <v>0.13813449366648442</v>
      </c>
      <c r="O337">
        <f>((MAX('Min rate concentrations'!$F$3:$F$368))*0.62*6.01*8*(10*F337^0.667)*0.079*0.1/F337)*inputs!$E$80/(10^(0.84+0.62*LOG10(inputs!$E$80)))</f>
        <v>10.161119045837104</v>
      </c>
      <c r="P337">
        <f>((MAX('Min rate concentrations'!Y:Y))*0.62*6.01*8*(10*F337^0.667)*0.079*0.1/F337)*inputs!$E$80/(10^(0.84+0.62*LOG10(inputs!$E$80)))</f>
        <v>3.3870396819457014</v>
      </c>
      <c r="Q337">
        <f>(inputs!$C$7*11.2*(10*F337^0.667)*0.5/F337)*inputs!$E$80/(10^(0.84+0.62*LOG10(inputs!$E$80)))</f>
        <v>1.7898331942127752</v>
      </c>
      <c r="R337">
        <f>(60*284*((F337/1000)^0.77)*3*24*(MAX('Min rate concentrations'!$R$3:$R$368))/F337)*(inputs!$E$73*3.4/inputs!$E$75)</f>
        <v>1.2511980440598092E-2</v>
      </c>
      <c r="S337">
        <f>(IF(inputs!$C$6="aerial",((0.025*0.112*inputs!$C$7/3.3)*(3*60*284*((F337/1000)^0.77))*MAX(inputs!$H$14:$H$16))/F337,((0.0083*0.112*inputs!$C$7/1)*(3*60*284*((F337/1000)^0.77))*MAX(inputs!$H$14:$H$16))/F337))*(inputs!E$75*3.4/inputs!$E$73)</f>
        <v>6.9004340844821765E-2</v>
      </c>
      <c r="T337">
        <f>IF((((inputs!$P$12/(V337/MAX(K337:S337)))^(1/inputs!$O$12))-1)/inputs!$N$12&lt;0, 0, IF((((inputs!$P$12/(V337/MAX(K337:S337)))^(1/inputs!$O$12))-1)/inputs!$N$12&gt;inputs!$H$17, inputs!$H$17, (((inputs!$P$12/(V337/MAX(K337:S337)))^(1/inputs!$O$12))-1)/inputs!$N$12))</f>
        <v>325.98202498505117</v>
      </c>
      <c r="U337">
        <f>IF((((inputs!$P$12/(X337/MAX(K337:S337)))^(1/inputs!$O$12))-1)/inputs!$N$12&lt;0, 0, IF((((inputs!$P$12/(X337/MAX(K337:S337)))^(1/inputs!$O$12))-1)/inputs!$N$12&gt;inputs!$H$17, inputs!$H$17, (((inputs!$P$12/(X337/MAX(K337:S337)))^(1/inputs!$O$12))-1)/inputs!$N$12))</f>
        <v>15.147934275071194</v>
      </c>
      <c r="V337">
        <f>inputs!$E$78*(F337/inputs!$F$78)^(inputs!$E$84-1)</f>
        <v>3.9326584321336476E-2</v>
      </c>
      <c r="W337">
        <f>inputs!$E$85*(F337/inputs!$F$85)^(inputs!$E$84-1)</f>
        <v>1.8160292180330224</v>
      </c>
      <c r="X337">
        <f>inputs!$E$80*(F337/inputs!$F$80)^(inputs!$E$84-1)</f>
        <v>6.7813749280979954</v>
      </c>
      <c r="Y337">
        <f>inputs!$E$82*(F337/inputs!$F$82)^(inputs!$E$84-1)</f>
        <v>3.1254285434325308</v>
      </c>
      <c r="Z337">
        <f t="shared" si="36"/>
        <v>1032.7942302771928</v>
      </c>
      <c r="AA337">
        <f t="shared" si="37"/>
        <v>22.365427263102141</v>
      </c>
    </row>
    <row r="338" spans="1:27" x14ac:dyDescent="0.3">
      <c r="A338" t="s">
        <v>213</v>
      </c>
      <c r="B338" t="s">
        <v>214</v>
      </c>
      <c r="C338" t="s">
        <v>73</v>
      </c>
      <c r="D338" t="s">
        <v>141</v>
      </c>
      <c r="E338">
        <v>150</v>
      </c>
      <c r="F338">
        <v>12.5</v>
      </c>
      <c r="G338" t="s">
        <v>142</v>
      </c>
      <c r="H338">
        <v>0.69</v>
      </c>
      <c r="I338">
        <f>MAX('Min rate concentrations'!$H$3:$H$368)</f>
        <v>47</v>
      </c>
      <c r="J338">
        <f>MAX('Min rate concentrations'!AA:AA)</f>
        <v>32.5</v>
      </c>
      <c r="K338">
        <f t="shared" si="35"/>
        <v>41.31261961048461</v>
      </c>
      <c r="L338">
        <f t="shared" si="39"/>
        <v>28.567236964696804</v>
      </c>
      <c r="M338">
        <f>IF((((1.18*F338^0.874)-(0.398*F338^0.85)/(1-H338)*H338)*(MAX('Min rate concentrations'!$P$3:$P$368)))/F338&gt;0, (((1.18*F338^0.874)-(0.398*F338^0.85)/(1-H338)*H338)*(MAX('Min rate concentrations'!$P$3:$P$368)))/F338, 0)</f>
        <v>3.6556879937515711E-2</v>
      </c>
      <c r="N338">
        <f>IF((((1.18*F338^0.874)-(0.398*F338^0.85)/(1-H338)*H338)*(MAX('Min rate concentrations'!$Q$3:$Q$368)))/F338&gt;0, (((1.18*F338^0.874)-(0.398*F338^0.85)/(1-H338)*H338)*(MAX('Min rate concentrations'!$Q$3:$Q$368)))/F338, 0)</f>
        <v>0.13921056306482188</v>
      </c>
      <c r="O338">
        <f>((MAX('Min rate concentrations'!$F$3:$F$368))*0.62*6.01*8*(10*F338^0.667)*0.079*0.1/F338)*inputs!$E$80/(10^(0.84+0.62*LOG10(inputs!$E$80)))</f>
        <v>10.551911523793949</v>
      </c>
      <c r="P338">
        <f>((MAX('Min rate concentrations'!Y:Y))*0.62*6.01*8*(10*F338^0.667)*0.079*0.1/F338)*inputs!$E$80/(10^(0.84+0.62*LOG10(inputs!$E$80)))</f>
        <v>3.51730384126465</v>
      </c>
      <c r="Q338">
        <f>(inputs!$C$7*11.2*(10*F338^0.667)*0.5/F338)*inputs!$E$80/(10^(0.84+0.62*LOG10(inputs!$E$80)))</f>
        <v>1.8586694460016355</v>
      </c>
      <c r="R338">
        <f>(60*284*((F338/1000)^0.77)*3*24*(MAX('Min rate concentrations'!$R$3:$R$368))/F338)*(inputs!$E$73*3.4/inputs!$E$75)</f>
        <v>1.2842400275955514E-2</v>
      </c>
      <c r="S338">
        <f>(IF(inputs!$C$6="aerial",((0.025*0.112*inputs!$C$7/3.3)*(3*60*284*((F338/1000)^0.77))*MAX(inputs!$H$14:$H$16))/F338,((0.0083*0.112*inputs!$C$7/1)*(3*60*284*((F338/1000)^0.77))*MAX(inputs!$H$14:$H$16))/F338))*(inputs!E$75*3.4/inputs!$E$73)</f>
        <v>7.0826626537253967E-2</v>
      </c>
      <c r="T338">
        <f>IF((((inputs!$P$12/(V338/MAX(K338:S338)))^(1/inputs!$O$12))-1)/inputs!$N$12&lt;0, 0, IF((((inputs!$P$12/(V338/MAX(K338:S338)))^(1/inputs!$O$12))-1)/inputs!$N$12&gt;inputs!$H$17, inputs!$H$17, (((inputs!$P$12/(V338/MAX(K338:S338)))^(1/inputs!$O$12))-1)/inputs!$N$12))</f>
        <v>322.40553957956456</v>
      </c>
      <c r="U338">
        <f>IF((((inputs!$P$12/(X338/MAX(K338:S338)))^(1/inputs!$O$12))-1)/inputs!$N$12&lt;0, 0, IF((((inputs!$P$12/(X338/MAX(K338:S338)))^(1/inputs!$O$12))-1)/inputs!$N$12&gt;inputs!$H$17, inputs!$H$17, (((inputs!$P$12/(X338/MAX(K338:S338)))^(1/inputs!$O$12))-1)/inputs!$N$12))</f>
        <v>14.707644172016503</v>
      </c>
      <c r="V338">
        <f>inputs!$E$78*(F338/inputs!$F$78)^(inputs!$E$84-1)</f>
        <v>4.1010672987168234E-2</v>
      </c>
      <c r="W338">
        <f>inputs!$E$85*(F338/inputs!$F$85)^(inputs!$E$84-1)</f>
        <v>1.8937973302575419</v>
      </c>
      <c r="X338">
        <f>inputs!$E$80*(F338/inputs!$F$80)^(inputs!$E$84-1)</f>
        <v>7.0717748408351246</v>
      </c>
      <c r="Y338">
        <f>inputs!$E$82*(F338/inputs!$F$82)^(inputs!$E$84-1)</f>
        <v>3.2592692742433704</v>
      </c>
      <c r="Z338">
        <f t="shared" si="36"/>
        <v>1007.36263517087</v>
      </c>
      <c r="AA338">
        <f t="shared" si="37"/>
        <v>21.814699466740937</v>
      </c>
    </row>
    <row r="339" spans="1:27" x14ac:dyDescent="0.3">
      <c r="A339" t="s">
        <v>269</v>
      </c>
      <c r="B339" t="s">
        <v>270</v>
      </c>
      <c r="C339" t="s">
        <v>73</v>
      </c>
      <c r="D339" t="s">
        <v>141</v>
      </c>
      <c r="E339">
        <v>79</v>
      </c>
      <c r="F339">
        <v>38</v>
      </c>
      <c r="G339" t="s">
        <v>142</v>
      </c>
      <c r="H339">
        <v>0.69</v>
      </c>
      <c r="I339">
        <f>MAX('Min rate concentrations'!$H$3:$H$368)</f>
        <v>47</v>
      </c>
      <c r="J339">
        <f>MAX('Min rate concentrations'!AA:AA)</f>
        <v>32.5</v>
      </c>
      <c r="K339">
        <f t="shared" si="35"/>
        <v>34.966462420746268</v>
      </c>
      <c r="L339">
        <f t="shared" si="39"/>
        <v>24.178936780303268</v>
      </c>
      <c r="M339">
        <f>IF((((1.18*F339^0.874)-(0.398*F339^0.85)/(1-H339)*H339)*(MAX('Min rate concentrations'!$P$3:$P$368)))/F339&gt;0, (((1.18*F339^0.874)-(0.398*F339^0.85)/(1-H339)*H339)*(MAX('Min rate concentrations'!$P$3:$P$368)))/F339, 0)</f>
        <v>3.3793067293856574E-2</v>
      </c>
      <c r="N339">
        <f>IF((((1.18*F339^0.874)-(0.398*F339^0.85)/(1-H339)*H339)*(MAX('Min rate concentrations'!$Q$3:$Q$368)))/F339&gt;0, (((1.18*F339^0.874)-(0.398*F339^0.85)/(1-H339)*H339)*(MAX('Min rate concentrations'!$Q$3:$Q$368)))/F339, 0)</f>
        <v>0.12868581601345716</v>
      </c>
      <c r="O339">
        <f>((MAX('Min rate concentrations'!$F$3:$F$368))*0.62*6.01*8*(10*F339^0.667)*0.079*0.1/F339)*inputs!$E$80/(10^(0.84+0.62*LOG10(inputs!$E$80)))</f>
        <v>7.2867561757891046</v>
      </c>
      <c r="P339">
        <f>((MAX('Min rate concentrations'!Y:Y))*0.62*6.01*8*(10*F339^0.667)*0.079*0.1/F339)*inputs!$E$80/(10^(0.84+0.62*LOG10(inputs!$E$80)))</f>
        <v>2.4289187252630344</v>
      </c>
      <c r="Q339">
        <f>(inputs!$C$7*11.2*(10*F339^0.667)*0.5/F339)*inputs!$E$80/(10^(0.84+0.62*LOG10(inputs!$E$80)))</f>
        <v>1.2835277318107468</v>
      </c>
      <c r="R339">
        <f>(60*284*((F339/1000)^0.77)*3*24*(MAX('Min rate concentrations'!$R$3:$R$368))/F339)*(inputs!$E$73*3.4/inputs!$E$75)</f>
        <v>9.9445532539701315E-3</v>
      </c>
      <c r="S339">
        <f>(IF(inputs!$C$6="aerial",((0.025*0.112*inputs!$C$7/3.3)*(3*60*284*((F339/1000)^0.77))*MAX(inputs!$H$14:$H$16))/F339,((0.0083*0.112*inputs!$C$7/1)*(3*60*284*((F339/1000)^0.77))*MAX(inputs!$H$14:$H$16))/F339))*(inputs!E$75*3.4/inputs!$E$73)</f>
        <v>5.4844822172183165E-2</v>
      </c>
      <c r="T339">
        <f>IF((((inputs!$P$12/(V339/MAX(K339:S339)))^(1/inputs!$O$12))-1)/inputs!$N$12&lt;0, 0, IF((((inputs!$P$12/(V339/MAX(K339:S339)))^(1/inputs!$O$12))-1)/inputs!$N$12&gt;inputs!$H$17, inputs!$H$17, (((inputs!$P$12/(V339/MAX(K339:S339)))^(1/inputs!$O$12))-1)/inputs!$N$12))</f>
        <v>359.11222160158525</v>
      </c>
      <c r="U339">
        <f>IF((((inputs!$P$12/(X339/MAX(K339:S339)))^(1/inputs!$O$12))-1)/inputs!$N$12&lt;0, 0, IF((((inputs!$P$12/(X339/MAX(K339:S339)))^(1/inputs!$O$12))-1)/inputs!$N$12&gt;inputs!$H$17, inputs!$H$17, (((inputs!$P$12/(X339/MAX(K339:S339)))^(1/inputs!$O$12))-1)/inputs!$N$12))</f>
        <v>19.226490742864453</v>
      </c>
      <c r="V339">
        <f>inputs!$E$78*(F339/inputs!$F$78)^(inputs!$E$84-1)</f>
        <v>2.717901230110276E-2</v>
      </c>
      <c r="W339">
        <f>inputs!$E$85*(F339/inputs!$F$85)^(inputs!$E$84-1)</f>
        <v>1.2550767199302031</v>
      </c>
      <c r="X339">
        <f>inputs!$E$80*(F339/inputs!$F$80)^(inputs!$E$84-1)</f>
        <v>4.6866788908786061</v>
      </c>
      <c r="Y339">
        <f>inputs!$E$82*(F339/inputs!$F$82)^(inputs!$E$84-1)</f>
        <v>2.1600162407718511</v>
      </c>
      <c r="Z339">
        <f t="shared" si="36"/>
        <v>1286.5243973316699</v>
      </c>
      <c r="AA339">
        <f t="shared" si="37"/>
        <v>27.860019921882394</v>
      </c>
    </row>
    <row r="340" spans="1:27" x14ac:dyDescent="0.3">
      <c r="A340" t="s">
        <v>269</v>
      </c>
      <c r="B340" t="s">
        <v>270</v>
      </c>
      <c r="C340" t="s">
        <v>73</v>
      </c>
      <c r="D340" t="s">
        <v>141</v>
      </c>
      <c r="E340">
        <v>79</v>
      </c>
      <c r="F340">
        <v>38</v>
      </c>
      <c r="G340" t="s">
        <v>152</v>
      </c>
      <c r="H340">
        <v>0.77</v>
      </c>
      <c r="I340">
        <f>MAX('Min rate concentrations'!$G$3:$G$368)</f>
        <v>7.5</v>
      </c>
      <c r="J340">
        <f>MAX('Min rate concentrations'!Z:Z)</f>
        <v>3.5</v>
      </c>
      <c r="K340">
        <f t="shared" si="35"/>
        <v>7.5205388647766043</v>
      </c>
      <c r="L340">
        <f t="shared" si="39"/>
        <v>3.5095848035624155</v>
      </c>
      <c r="M340">
        <f>IF((((1.18*F340^0.874)-(0.398*F340^0.85)/(1-H340)*H340)*(MAX('Min rate concentrations'!$P$3:$P$368)))/F340&gt;0, (((1.18*F340^0.874)-(0.398*F340^0.85)/(1-H340)*H340)*(MAX('Min rate concentrations'!$P$3:$P$368)))/F340, 0)</f>
        <v>0</v>
      </c>
      <c r="N340">
        <f>IF((((1.18*F340^0.874)-(0.398*F340^0.85)/(1-H340)*H340)*(MAX('Min rate concentrations'!$Q$3:$Q$368)))/F340&gt;0, (((1.18*F340^0.874)-(0.398*F340^0.85)/(1-H340)*H340)*(MAX('Min rate concentrations'!$Q$3:$Q$368)))/F340, 0)</f>
        <v>0</v>
      </c>
      <c r="O340">
        <f>((MAX('Min rate concentrations'!$F$3:$F$368))*0.62*6.01*8*(10*F340^0.667)*0.079*0.1/F340)*inputs!$E$80/(10^(0.84+0.62*LOG10(inputs!$E$80)))</f>
        <v>7.2867561757891046</v>
      </c>
      <c r="P340">
        <f>((MAX('Min rate concentrations'!Y:Y))*0.62*6.01*8*(10*F340^0.667)*0.079*0.1/F340)*inputs!$E$80/(10^(0.84+0.62*LOG10(inputs!$E$80)))</f>
        <v>2.4289187252630344</v>
      </c>
      <c r="Q340">
        <f>(inputs!$C$7*11.2*(10*F340^0.667)*0.5/F340)*inputs!$E$80/(10^(0.84+0.62*LOG10(inputs!$E$80)))</f>
        <v>1.2835277318107468</v>
      </c>
      <c r="R340">
        <f>(60*284*((F340/1000)^0.77)*3*24*(MAX('Min rate concentrations'!$R$3:$R$368))/F340)*(inputs!$E$73*3.4/inputs!$E$75)</f>
        <v>9.9445532539701315E-3</v>
      </c>
      <c r="S340">
        <f>(IF(inputs!$C$6="aerial",((0.025*0.112*inputs!$C$7/3.3)*(3*60*284*((F340/1000)^0.77))*MAX(inputs!$H$14:$H$16))/F340,((0.0083*0.112*inputs!$C$7/1)*(3*60*284*((F340/1000)^0.77))*MAX(inputs!$H$14:$H$16))/F340))*(inputs!E$75*3.4/inputs!$E$73)</f>
        <v>5.4844822172183165E-2</v>
      </c>
      <c r="T340">
        <f>IF((((inputs!$P$12/(V340/MAX(K340:S340)))^(1/inputs!$O$12))-1)/inputs!$N$12&lt;0, 0, IF((((inputs!$P$12/(V340/MAX(K340:S340)))^(1/inputs!$O$12))-1)/inputs!$N$12&gt;inputs!$H$17, inputs!$H$17, (((inputs!$P$12/(V340/MAX(K340:S340)))^(1/inputs!$O$12))-1)/inputs!$N$12))</f>
        <v>178.96782337063368</v>
      </c>
      <c r="U340">
        <f>IF((((inputs!$P$12/(X340/MAX(K340:S340)))^(1/inputs!$O$12))-1)/inputs!$N$12&lt;0, 0, IF((((inputs!$P$12/(X340/MAX(K340:S340)))^(1/inputs!$O$12))-1)/inputs!$N$12&gt;inputs!$H$17, inputs!$H$17, (((inputs!$P$12/(X340/MAX(K340:S340)))^(1/inputs!$O$12))-1)/inputs!$N$12))</f>
        <v>0</v>
      </c>
      <c r="V340">
        <f>inputs!$E$78*(F340/inputs!$F$78)^(inputs!$E$84-1)</f>
        <v>2.717901230110276E-2</v>
      </c>
      <c r="W340">
        <f>inputs!$E$85*(F340/inputs!$F$85)^(inputs!$E$84-1)</f>
        <v>1.2550767199302031</v>
      </c>
      <c r="X340">
        <f>inputs!$E$80*(F340/inputs!$F$80)^(inputs!$E$84-1)</f>
        <v>4.6866788908786061</v>
      </c>
      <c r="Y340">
        <f>inputs!$E$82*(F340/inputs!$F$82)^(inputs!$E$84-1)</f>
        <v>2.1600162407718511</v>
      </c>
      <c r="Z340">
        <f t="shared" si="36"/>
        <v>276.70390599409188</v>
      </c>
      <c r="AA340">
        <f t="shared" si="37"/>
        <v>5.9920949415704516</v>
      </c>
    </row>
    <row r="341" spans="1:27" x14ac:dyDescent="0.3">
      <c r="A341" t="s">
        <v>269</v>
      </c>
      <c r="B341" t="s">
        <v>270</v>
      </c>
      <c r="C341" t="s">
        <v>73</v>
      </c>
      <c r="D341" t="s">
        <v>141</v>
      </c>
      <c r="E341">
        <v>79</v>
      </c>
      <c r="F341">
        <v>38</v>
      </c>
      <c r="G341" t="s">
        <v>158</v>
      </c>
      <c r="H341">
        <v>0.85</v>
      </c>
      <c r="I341">
        <f>MAX('Min rate concentrations'!$F$3:$F$368)</f>
        <v>67.5</v>
      </c>
      <c r="J341">
        <f>MAX('Min rate concentrations'!Y:Y)</f>
        <v>22.5</v>
      </c>
      <c r="K341">
        <f t="shared" si="35"/>
        <v>103.78343633391711</v>
      </c>
      <c r="L341">
        <f t="shared" si="39"/>
        <v>34.59447877797237</v>
      </c>
      <c r="M341">
        <f>IF((((1.18*F341^0.874)-(0.398*F341^0.85)/(1-H341)*H341)*(MAX('Min rate concentrations'!$P$3:$P$368)))/F341&gt;0, (((1.18*F341^0.874)-(0.398*F341^0.85)/(1-H341)*H341)*(MAX('Min rate concentrations'!$P$3:$P$368)))/F341, 0)</f>
        <v>0</v>
      </c>
      <c r="N341">
        <f>IF((((1.18*F341^0.874)-(0.398*F341^0.85)/(1-H341)*H341)*(MAX('Min rate concentrations'!$Q$3:$Q$368)))/F341&gt;0, (((1.18*F341^0.874)-(0.398*F341^0.85)/(1-H341)*H341)*(MAX('Min rate concentrations'!$Q$3:$Q$368)))/F341, 0)</f>
        <v>0</v>
      </c>
      <c r="O341">
        <f>((MAX('Min rate concentrations'!$F$3:$F$368))*0.62*6.01*8*(10*F341^0.667)*0.079*0.1/F341)*inputs!$E$80/(10^(0.84+0.62*LOG10(inputs!$E$80)))</f>
        <v>7.2867561757891046</v>
      </c>
      <c r="P341">
        <f>((MAX('Min rate concentrations'!Y:Y))*0.62*6.01*8*(10*F341^0.667)*0.079*0.1/F341)*inputs!$E$80/(10^(0.84+0.62*LOG10(inputs!$E$80)))</f>
        <v>2.4289187252630344</v>
      </c>
      <c r="Q341">
        <f>(inputs!$C$7*11.2*(10*F341^0.667)*0.5/F341)*inputs!$E$80/(10^(0.84+0.62*LOG10(inputs!$E$80)))</f>
        <v>1.2835277318107468</v>
      </c>
      <c r="R341">
        <f>(60*284*((F341/1000)^0.77)*3*24*(MAX('Min rate concentrations'!$R$3:$R$368))/F341)*(inputs!$E$73*3.4/inputs!$E$75)</f>
        <v>9.9445532539701315E-3</v>
      </c>
      <c r="S341">
        <f>(IF(inputs!$C$6="aerial",((0.025*0.112*inputs!$C$7/3.3)*(3*60*284*((F341/1000)^0.77))*MAX(inputs!$H$14:$H$16))/F341,((0.0083*0.112*inputs!$C$7/1)*(3*60*284*((F341/1000)^0.77))*MAX(inputs!$H$14:$H$16))/F341))*(inputs!E$75*3.4/inputs!$E$73)</f>
        <v>5.4844822172183165E-2</v>
      </c>
      <c r="T341">
        <f>IF((((inputs!$P$12/(V341/MAX(K341:S341)))^(1/inputs!$O$12))-1)/inputs!$N$12&lt;0, 0, IF((((inputs!$P$12/(V341/MAX(K341:S341)))^(1/inputs!$O$12))-1)/inputs!$N$12&gt;inputs!$H$17, inputs!$H$17, (((inputs!$P$12/(V341/MAX(K341:S341)))^(1/inputs!$O$12))-1)/inputs!$N$12))</f>
        <v>574.84593446870883</v>
      </c>
      <c r="U341">
        <f>IF((((inputs!$P$12/(X341/MAX(K341:S341)))^(1/inputs!$O$12))-1)/inputs!$N$12&lt;0, 0, IF((((inputs!$P$12/(X341/MAX(K341:S341)))^(1/inputs!$O$12))-1)/inputs!$N$12&gt;inputs!$H$17, inputs!$H$17, (((inputs!$P$12/(X341/MAX(K341:S341)))^(1/inputs!$O$12))-1)/inputs!$N$12))</f>
        <v>45.784803695832096</v>
      </c>
      <c r="V341">
        <f>inputs!$E$78*(F341/inputs!$F$78)^(inputs!$E$84-1)</f>
        <v>2.717901230110276E-2</v>
      </c>
      <c r="W341">
        <f>inputs!$E$85*(F341/inputs!$F$85)^(inputs!$E$84-1)</f>
        <v>1.2550767199302031</v>
      </c>
      <c r="X341">
        <f>inputs!$E$80*(F341/inputs!$F$80)^(inputs!$E$84-1)</f>
        <v>4.6866788908786061</v>
      </c>
      <c r="Y341">
        <f>inputs!$E$82*(F341/inputs!$F$82)^(inputs!$E$84-1)</f>
        <v>2.1600162407718511</v>
      </c>
      <c r="Z341">
        <f t="shared" si="36"/>
        <v>3818.5139027184664</v>
      </c>
      <c r="AA341">
        <f t="shared" si="37"/>
        <v>82.69091019367221</v>
      </c>
    </row>
    <row r="342" spans="1:27" x14ac:dyDescent="0.3">
      <c r="A342" t="s">
        <v>269</v>
      </c>
      <c r="B342" t="s">
        <v>270</v>
      </c>
      <c r="C342" t="s">
        <v>73</v>
      </c>
      <c r="D342" t="s">
        <v>141</v>
      </c>
      <c r="E342">
        <v>79</v>
      </c>
      <c r="F342">
        <v>38</v>
      </c>
      <c r="G342" t="s">
        <v>154</v>
      </c>
      <c r="H342">
        <v>9.2999999999999999E-2</v>
      </c>
      <c r="I342">
        <f>MAX('Min rate concentrations'!$G$3:$G$368)</f>
        <v>7.5</v>
      </c>
      <c r="J342">
        <f>MAX('Min rate concentrations'!Z:Z)</f>
        <v>3.5</v>
      </c>
      <c r="K342">
        <f t="shared" si="35"/>
        <v>1.9070826228209687</v>
      </c>
      <c r="M342">
        <f>IF((((1.18*F342^0.874)-(0.398*F342^0.85)/(1-H342)*H342)*(MAX('Min rate concentrations'!$P$3:$P$368)))/F342&gt;0, (((1.18*F342^0.874)-(0.398*F342^0.85)/(1-H342)*H342)*(MAX('Min rate concentrations'!$P$3:$P$368)))/F342, 0)</f>
        <v>0.10487054886963364</v>
      </c>
      <c r="N342">
        <f>IF((((1.18*F342^0.874)-(0.398*F342^0.85)/(1-H342)*H342)*(MAX('Min rate concentrations'!$Q$3:$Q$368)))/F342&gt;0, (((1.18*F342^0.874)-(0.398*F342^0.85)/(1-H342)*H342)*(MAX('Min rate concentrations'!$Q$3:$Q$368)))/F342, 0)</f>
        <v>0.39935268496687593</v>
      </c>
      <c r="O342">
        <f>((MAX('Min rate concentrations'!$F$3:$F$368))*0.62*6.01*8*(10*F342^0.667)*0.079*0.1/F342)*inputs!$E$80/(10^(0.84+0.62*LOG10(inputs!$E$80)))</f>
        <v>7.2867561757891046</v>
      </c>
      <c r="P342">
        <f>((MAX('Min rate concentrations'!Y:Y))*0.62*6.01*8*(10*F342^0.667)*0.079*0.1/F342)*inputs!$E$80/(10^(0.84+0.62*LOG10(inputs!$E$80)))</f>
        <v>2.4289187252630344</v>
      </c>
      <c r="Q342">
        <f>(inputs!$C$7*11.2*(10*F342^0.667)*0.5/F342)*inputs!$E$80/(10^(0.84+0.62*LOG10(inputs!$E$80)))</f>
        <v>1.2835277318107468</v>
      </c>
      <c r="R342">
        <f>(60*284*((F342/1000)^0.77)*3*24*(MAX('Min rate concentrations'!$R$3:$R$368))/F342)*(inputs!$E$73*3.4/inputs!$E$75)</f>
        <v>9.9445532539701315E-3</v>
      </c>
      <c r="S342">
        <f>(IF(inputs!$C$6="aerial",((0.025*0.112*inputs!$C$7/3.3)*(3*60*284*((F342/1000)^0.77))*MAX(inputs!$H$14:$H$16))/F342,((0.0083*0.112*inputs!$C$7/1)*(3*60*284*((F342/1000)^0.77))*MAX(inputs!$H$14:$H$16))/F342))*(inputs!E$75*3.4/inputs!$E$73)</f>
        <v>5.4844822172183165E-2</v>
      </c>
      <c r="T342">
        <f>IF((((inputs!$P$12/(V342/MAX(K342:S342)))^(1/inputs!$O$12))-1)/inputs!$N$12&lt;0, 0, IF((((inputs!$P$12/(V342/MAX(K342:S342)))^(1/inputs!$O$12))-1)/inputs!$N$12&gt;inputs!$H$17, inputs!$H$17, (((inputs!$P$12/(V342/MAX(K342:S342)))^(1/inputs!$O$12))-1)/inputs!$N$12))</f>
        <v>176.32018566525784</v>
      </c>
      <c r="U342">
        <f>IF((((inputs!$P$12/(X342/MAX(K342:S342)))^(1/inputs!$O$12))-1)/inputs!$N$12&lt;0, 0, IF((((inputs!$P$12/(X342/MAX(K342:S342)))^(1/inputs!$O$12))-1)/inputs!$N$12&gt;inputs!$H$17, inputs!$H$17, (((inputs!$P$12/(X342/MAX(K342:S342)))^(1/inputs!$O$12))-1)/inputs!$N$12))</f>
        <v>0</v>
      </c>
      <c r="V342">
        <f>inputs!$E$78*(F342/inputs!$F$78)^(inputs!$E$84-1)</f>
        <v>2.717901230110276E-2</v>
      </c>
      <c r="W342">
        <f>inputs!$E$85*(F342/inputs!$F$85)^(inputs!$E$84-1)</f>
        <v>1.2550767199302031</v>
      </c>
      <c r="X342">
        <f>inputs!$E$80*(F342/inputs!$F$80)^(inputs!$E$84-1)</f>
        <v>4.6866788908786061</v>
      </c>
      <c r="Y342">
        <f>inputs!$E$82*(F342/inputs!$F$82)^(inputs!$E$84-1)</f>
        <v>2.1600162407718511</v>
      </c>
      <c r="Z342">
        <f t="shared" si="36"/>
        <v>268.10231715055562</v>
      </c>
      <c r="AA342">
        <f t="shared" si="37"/>
        <v>5.8058253014161023</v>
      </c>
    </row>
    <row r="343" spans="1:27" x14ac:dyDescent="0.3">
      <c r="A343" t="s">
        <v>279</v>
      </c>
      <c r="B343" t="s">
        <v>280</v>
      </c>
      <c r="C343" t="s">
        <v>73</v>
      </c>
      <c r="D343" t="s">
        <v>141</v>
      </c>
      <c r="E343">
        <v>113</v>
      </c>
      <c r="F343">
        <v>26</v>
      </c>
      <c r="G343" t="s">
        <v>142</v>
      </c>
      <c r="H343">
        <v>0.69</v>
      </c>
      <c r="I343">
        <f>MAX('Min rate concentrations'!$H$3:$H$368)</f>
        <v>47</v>
      </c>
      <c r="J343">
        <f>MAX('Min rate concentrations'!AA:AA)</f>
        <v>32.5</v>
      </c>
      <c r="K343">
        <f t="shared" si="35"/>
        <v>37.014614783827987</v>
      </c>
      <c r="L343">
        <f>((0.398*F343^0.85)/(1-H343))*J343/F343</f>
        <v>25.595212350519354</v>
      </c>
      <c r="M343">
        <f>IF((((1.18*F343^0.874)-(0.398*F343^0.85)/(1-H343)*H343)*(MAX('Min rate concentrations'!$P$3:$P$368)))/F343&gt;0, (((1.18*F343^0.874)-(0.398*F343^0.85)/(1-H343)*H343)*(MAX('Min rate concentrations'!$P$3:$P$368)))/F343, 0)</f>
        <v>3.4733054396412999E-2</v>
      </c>
      <c r="N343">
        <f>IF((((1.18*F343^0.874)-(0.398*F343^0.85)/(1-H343)*H343)*(MAX('Min rate concentrations'!$Q$3:$Q$368)))/F343&gt;0, (((1.18*F343^0.874)-(0.398*F343^0.85)/(1-H343)*H343)*(MAX('Min rate concentrations'!$Q$3:$Q$368)))/F343, 0)</f>
        <v>0.13226533740708304</v>
      </c>
      <c r="O343">
        <f>((MAX('Min rate concentrations'!$F$3:$F$368))*0.62*6.01*8*(10*F343^0.667)*0.079*0.1/F343)*inputs!$E$80/(10^(0.84+0.62*LOG10(inputs!$E$80)))</f>
        <v>8.2682966625935173</v>
      </c>
      <c r="P343">
        <f>((MAX('Min rate concentrations'!Y:Y))*0.62*6.01*8*(10*F343^0.667)*0.079*0.1/F343)*inputs!$E$80/(10^(0.84+0.62*LOG10(inputs!$E$80)))</f>
        <v>2.7560988875311723</v>
      </c>
      <c r="Q343">
        <f>(inputs!$C$7*11.2*(10*F343^0.667)*0.5/F343)*inputs!$E$80/(10^(0.84+0.62*LOG10(inputs!$E$80)))</f>
        <v>1.4564214590489923</v>
      </c>
      <c r="R343">
        <f>(60*284*((F343/1000)^0.77)*3*24*(MAX('Min rate concentrations'!$R$3:$R$368))/F343)*(inputs!$E$73*3.4/inputs!$E$75)</f>
        <v>1.0851546480741495E-2</v>
      </c>
      <c r="S343">
        <f>(IF(inputs!$C$6="aerial",((0.025*0.112*inputs!$C$7/3.3)*(3*60*284*((F343/1000)^0.77))*MAX(inputs!$H$14:$H$16))/F343,((0.0083*0.112*inputs!$C$7/1)*(3*60*284*((F343/1000)^0.77))*MAX(inputs!$H$14:$H$16))/F343))*(inputs!E$75*3.4/inputs!$E$73)</f>
        <v>5.9846945541957575E-2</v>
      </c>
      <c r="T343">
        <f>IF((((inputs!$P$12/(V343/MAX(K343:S343)))^(1/inputs!$O$12))-1)/inputs!$N$12&lt;0, 0, IF((((inputs!$P$12/(V343/MAX(K343:S343)))^(1/inputs!$O$12))-1)/inputs!$N$12&gt;inputs!$H$17, inputs!$H$17, (((inputs!$P$12/(V343/MAX(K343:S343)))^(1/inputs!$O$12))-1)/inputs!$N$12))</f>
        <v>346.17121371406256</v>
      </c>
      <c r="U343">
        <f>IF((((inputs!$P$12/(X343/MAX(K343:S343)))^(1/inputs!$O$12))-1)/inputs!$N$12&lt;0, 0, IF((((inputs!$P$12/(X343/MAX(K343:S343)))^(1/inputs!$O$12))-1)/inputs!$N$12&gt;inputs!$H$17, inputs!$H$17, (((inputs!$P$12/(X343/MAX(K343:S343)))^(1/inputs!$O$12))-1)/inputs!$N$12))</f>
        <v>17.633363118832211</v>
      </c>
      <c r="V343">
        <f>inputs!$E$78*(F343/inputs!$F$78)^(inputs!$E$84-1)</f>
        <v>3.1276162593456898E-2</v>
      </c>
      <c r="W343">
        <f>inputs!$E$85*(F343/inputs!$F$85)^(inputs!$E$84-1)</f>
        <v>1.444275572817888</v>
      </c>
      <c r="X343">
        <f>inputs!$E$80*(F343/inputs!$F$80)^(inputs!$E$84-1)</f>
        <v>5.3931809364718601</v>
      </c>
      <c r="Y343">
        <f>inputs!$E$82*(F343/inputs!$F$82)^(inputs!$E$84-1)</f>
        <v>2.4856318692694694</v>
      </c>
      <c r="Z343">
        <f t="shared" si="36"/>
        <v>1183.4768627137012</v>
      </c>
      <c r="AA343">
        <f t="shared" si="37"/>
        <v>25.628498799304449</v>
      </c>
    </row>
    <row r="344" spans="1:27" x14ac:dyDescent="0.3">
      <c r="A344" t="s">
        <v>279</v>
      </c>
      <c r="B344" t="s">
        <v>280</v>
      </c>
      <c r="C344" t="s">
        <v>73</v>
      </c>
      <c r="D344" t="s">
        <v>141</v>
      </c>
      <c r="E344">
        <v>113</v>
      </c>
      <c r="F344">
        <v>26</v>
      </c>
      <c r="G344" t="s">
        <v>146</v>
      </c>
      <c r="H344">
        <v>0.84</v>
      </c>
      <c r="I344">
        <f>MAX('Min rate concentrations'!$I$3:$I$368)</f>
        <v>9.4775690500787988</v>
      </c>
      <c r="J344" t="s">
        <v>13</v>
      </c>
      <c r="K344">
        <f t="shared" si="35"/>
        <v>14.461523393284198</v>
      </c>
      <c r="L344" t="s">
        <v>13</v>
      </c>
      <c r="M344">
        <f>IF((((1.18*F344^0.874)-(0.398*F344^0.85)/(1-H344)*H344)*(MAX('Min rate concentrations'!$P$3:$P$368)))/F344&gt;0, (((1.18*F344^0.874)-(0.398*F344^0.85)/(1-H344)*H344)*(MAX('Min rate concentrations'!$P$3:$P$368)))/F344, 0)</f>
        <v>0</v>
      </c>
      <c r="N344">
        <f>IF((((1.18*F344^0.874)-(0.398*F344^0.85)/(1-H344)*H344)*(MAX('Min rate concentrations'!$Q$3:$Q$368)))/F344&gt;0, (((1.18*F344^0.874)-(0.398*F344^0.85)/(1-H344)*H344)*(MAX('Min rate concentrations'!$Q$3:$Q$368)))/F344, 0)</f>
        <v>0</v>
      </c>
      <c r="O344">
        <f>((MAX('Min rate concentrations'!$F$3:$F$368))*0.62*6.01*8*(10*F344^0.667)*0.079*0.1/F344)*inputs!$E$80/(10^(0.84+0.62*LOG10(inputs!$E$80)))</f>
        <v>8.2682966625935173</v>
      </c>
      <c r="P344">
        <f>((MAX('Min rate concentrations'!Y:Y))*0.62*6.01*8*(10*F344^0.667)*0.079*0.1/F344)*inputs!$E$80/(10^(0.84+0.62*LOG10(inputs!$E$80)))</f>
        <v>2.7560988875311723</v>
      </c>
      <c r="Q344">
        <f>(inputs!$C$7*11.2*(10*F344^0.667)*0.5/F344)*inputs!$E$80/(10^(0.84+0.62*LOG10(inputs!$E$80)))</f>
        <v>1.4564214590489923</v>
      </c>
      <c r="R344">
        <f>(60*284*((F344/1000)^0.77)*3*24*(MAX('Min rate concentrations'!$R$3:$R$368))/F344)*(inputs!$E$73*3.4/inputs!$E$75)</f>
        <v>1.0851546480741495E-2</v>
      </c>
      <c r="S344">
        <f>(IF(inputs!$C$6="aerial",((0.025*0.112*inputs!$C$7/3.3)*(3*60*284*((F344/1000)^0.77))*MAX(inputs!$H$14:$H$16))/F344,((0.0083*0.112*inputs!$C$7/1)*(3*60*284*((F344/1000)^0.77))*MAX(inputs!$H$14:$H$16))/F344))*(inputs!E$75*3.4/inputs!$E$73)</f>
        <v>5.9846945541957575E-2</v>
      </c>
      <c r="T344">
        <f>IF((((inputs!$P$12/(V344/MAX(K344:S344)))^(1/inputs!$O$12))-1)/inputs!$N$12&lt;0, 0, IF((((inputs!$P$12/(V344/MAX(K344:S344)))^(1/inputs!$O$12))-1)/inputs!$N$12&gt;inputs!$H$17, inputs!$H$17, (((inputs!$P$12/(V344/MAX(K344:S344)))^(1/inputs!$O$12))-1)/inputs!$N$12))</f>
        <v>227.14827109861122</v>
      </c>
      <c r="U344">
        <f>IF((((inputs!$P$12/(X344/MAX(K344:S344)))^(1/inputs!$O$12))-1)/inputs!$N$12&lt;0, 0, IF((((inputs!$P$12/(X344/MAX(K344:S344)))^(1/inputs!$O$12))-1)/inputs!$N$12&gt;inputs!$H$17, inputs!$H$17, (((inputs!$P$12/(X344/MAX(K344:S344)))^(1/inputs!$O$12))-1)/inputs!$N$12))</f>
        <v>2.9808152321176329</v>
      </c>
      <c r="V344">
        <f>inputs!$E$78*(F344/inputs!$F$78)^(inputs!$E$84-1)</f>
        <v>3.1276162593456898E-2</v>
      </c>
      <c r="W344">
        <f>inputs!$E$85*(F344/inputs!$F$85)^(inputs!$E$84-1)</f>
        <v>1.444275572817888</v>
      </c>
      <c r="X344">
        <f>inputs!$E$80*(F344/inputs!$F$80)^(inputs!$E$84-1)</f>
        <v>5.3931809364718601</v>
      </c>
      <c r="Y344">
        <f>inputs!$E$82*(F344/inputs!$F$82)^(inputs!$E$84-1)</f>
        <v>2.4856318692694694</v>
      </c>
      <c r="Z344">
        <f t="shared" si="36"/>
        <v>462.38164129219638</v>
      </c>
      <c r="AA344">
        <f t="shared" si="37"/>
        <v>10.012994518122813</v>
      </c>
    </row>
    <row r="345" spans="1:27" x14ac:dyDescent="0.3">
      <c r="A345" t="s">
        <v>374</v>
      </c>
      <c r="B345" t="s">
        <v>375</v>
      </c>
      <c r="C345" t="s">
        <v>73</v>
      </c>
      <c r="D345" t="s">
        <v>141</v>
      </c>
      <c r="E345">
        <v>1241</v>
      </c>
      <c r="F345">
        <v>9.1999999999999993</v>
      </c>
      <c r="G345" t="s">
        <v>142</v>
      </c>
      <c r="H345">
        <v>0.69</v>
      </c>
      <c r="I345">
        <f>MAX('Min rate concentrations'!$H$3:$H$368)</f>
        <v>47</v>
      </c>
      <c r="J345">
        <f>MAX('Min rate concentrations'!AA:AA)</f>
        <v>32.5</v>
      </c>
      <c r="K345">
        <f t="shared" si="35"/>
        <v>43.256468673830902</v>
      </c>
      <c r="L345">
        <f>((0.398*F345^0.85)/(1-H345))*J345/F345</f>
        <v>29.911387912755412</v>
      </c>
      <c r="M345">
        <f>IF((((1.18*F345^0.874)-(0.398*F345^0.85)/(1-H345)*H345)*(MAX('Min rate concentrations'!$P$3:$P$368)))/F345&gt;0, (((1.18*F345^0.874)-(0.398*F345^0.85)/(1-H345)*H345)*(MAX('Min rate concentrations'!$P$3:$P$368)))/F345, 0)</f>
        <v>3.7320798557174135E-2</v>
      </c>
      <c r="N345">
        <f>IF((((1.18*F345^0.874)-(0.398*F345^0.85)/(1-H345)*H345)*(MAX('Min rate concentrations'!$Q$3:$Q$368)))/F345&gt;0, (((1.18*F345^0.874)-(0.398*F345^0.85)/(1-H345)*H345)*(MAX('Min rate concentrations'!$Q$3:$Q$368)))/F345, 0)</f>
        <v>0.14211960621511591</v>
      </c>
      <c r="O345">
        <f>((MAX('Min rate concentrations'!$F$3:$F$368))*0.62*6.01*8*(10*F345^0.667)*0.079*0.1/F345)*inputs!$E$80/(10^(0.84+0.62*LOG10(inputs!$E$80)))</f>
        <v>11.685864032208896</v>
      </c>
      <c r="P345">
        <f>((MAX('Min rate concentrations'!Y:Y))*0.62*6.01*8*(10*F345^0.667)*0.079*0.1/F345)*inputs!$E$80/(10^(0.84+0.62*LOG10(inputs!$E$80)))</f>
        <v>3.8952880107362988</v>
      </c>
      <c r="Q345">
        <f>(inputs!$C$7*11.2*(10*F345^0.667)*0.5/F345)*inputs!$E$80/(10^(0.84+0.62*LOG10(inputs!$E$80)))</f>
        <v>2.0584098319833757</v>
      </c>
      <c r="R345">
        <f>(60*284*((F345/1000)^0.77)*3*24*(MAX('Min rate concentrations'!$R$3:$R$368))/F345)*(inputs!$E$73*3.4/inputs!$E$75)</f>
        <v>1.3780478717848651E-2</v>
      </c>
      <c r="S345">
        <f>(IF(inputs!$C$6="aerial",((0.025*0.112*inputs!$C$7/3.3)*(3*60*284*((F345/1000)^0.77))*MAX(inputs!$H$14:$H$16))/F345,((0.0083*0.112*inputs!$C$7/1)*(3*60*284*((F345/1000)^0.77))*MAX(inputs!$H$14:$H$16))/F345))*(inputs!E$75*3.4/inputs!$E$73)</f>
        <v>7.6000186778248019E-2</v>
      </c>
      <c r="T345">
        <f>IF((((inputs!$P$12/(V345/MAX(K345:S345)))^(1/inputs!$O$12))-1)/inputs!$N$12&lt;0, 0, IF((((inputs!$P$12/(V345/MAX(K345:S345)))^(1/inputs!$O$12))-1)/inputs!$N$12&gt;inputs!$H$17, inputs!$H$17, (((inputs!$P$12/(V345/MAX(K345:S345)))^(1/inputs!$O$12))-1)/inputs!$N$12))</f>
        <v>312.9118195417667</v>
      </c>
      <c r="U345">
        <f>IF((((inputs!$P$12/(X345/MAX(K345:S345)))^(1/inputs!$O$12))-1)/inputs!$N$12&lt;0, 0, IF((((inputs!$P$12/(X345/MAX(K345:S345)))^(1/inputs!$O$12))-1)/inputs!$N$12&gt;inputs!$H$17, inputs!$H$17, (((inputs!$P$12/(X345/MAX(K345:S345)))^(1/inputs!$O$12))-1)/inputs!$N$12))</f>
        <v>13.538901537864582</v>
      </c>
      <c r="V345">
        <f>inputs!$E$78*(F345/inputs!$F$78)^(inputs!$E$84-1)</f>
        <v>4.5935886791004306E-2</v>
      </c>
      <c r="W345">
        <f>inputs!$E$85*(F345/inputs!$F$85)^(inputs!$E$84-1)</f>
        <v>2.1212346306785999</v>
      </c>
      <c r="X345">
        <f>inputs!$E$80*(F345/inputs!$F$80)^(inputs!$E$84-1)</f>
        <v>7.9210660259517338</v>
      </c>
      <c r="Y345">
        <f>inputs!$E$82*(F345/inputs!$F$82)^(inputs!$E$84-1)</f>
        <v>3.6506941607587633</v>
      </c>
      <c r="Z345">
        <f t="shared" si="36"/>
        <v>941.67048239725898</v>
      </c>
      <c r="AA345">
        <f t="shared" si="37"/>
        <v>20.392118838825866</v>
      </c>
    </row>
    <row r="346" spans="1:27" x14ac:dyDescent="0.3">
      <c r="A346" t="s">
        <v>374</v>
      </c>
      <c r="B346" t="s">
        <v>375</v>
      </c>
      <c r="C346" t="s">
        <v>73</v>
      </c>
      <c r="D346" t="s">
        <v>141</v>
      </c>
      <c r="E346">
        <v>1241</v>
      </c>
      <c r="F346">
        <v>9.1999999999999993</v>
      </c>
      <c r="G346" t="s">
        <v>152</v>
      </c>
      <c r="H346">
        <v>0.77</v>
      </c>
      <c r="I346">
        <f>MAX('Min rate concentrations'!$G$3:$G$368)</f>
        <v>7.5</v>
      </c>
      <c r="J346">
        <f>MAX('Min rate concentrations'!Z:Z)</f>
        <v>3.5</v>
      </c>
      <c r="K346">
        <f t="shared" si="35"/>
        <v>9.3035420598202467</v>
      </c>
      <c r="L346">
        <f>((0.398*F346^0.85)/(1-H346))*J346/F346</f>
        <v>4.3416529612494488</v>
      </c>
      <c r="M346">
        <f>IF((((1.18*F346^0.874)-(0.398*F346^0.85)/(1-H346)*H346)*(MAX('Min rate concentrations'!$P$3:$P$368)))/F346&gt;0, (((1.18*F346^0.874)-(0.398*F346^0.85)/(1-H346)*H346)*(MAX('Min rate concentrations'!$P$3:$P$368)))/F346, 0)</f>
        <v>0</v>
      </c>
      <c r="N346">
        <f>IF((((1.18*F346^0.874)-(0.398*F346^0.85)/(1-H346)*H346)*(MAX('Min rate concentrations'!$Q$3:$Q$368)))/F346&gt;0, (((1.18*F346^0.874)-(0.398*F346^0.85)/(1-H346)*H346)*(MAX('Min rate concentrations'!$Q$3:$Q$368)))/F346, 0)</f>
        <v>0</v>
      </c>
      <c r="O346">
        <f>((MAX('Min rate concentrations'!$F$3:$F$368))*0.62*6.01*8*(10*F346^0.667)*0.079*0.1/F346)*inputs!$E$80/(10^(0.84+0.62*LOG10(inputs!$E$80)))</f>
        <v>11.685864032208896</v>
      </c>
      <c r="P346">
        <f>((MAX('Min rate concentrations'!Y:Y))*0.62*6.01*8*(10*F346^0.667)*0.079*0.1/F346)*inputs!$E$80/(10^(0.84+0.62*LOG10(inputs!$E$80)))</f>
        <v>3.8952880107362988</v>
      </c>
      <c r="Q346">
        <f>(inputs!$C$7*11.2*(10*F346^0.667)*0.5/F346)*inputs!$E$80/(10^(0.84+0.62*LOG10(inputs!$E$80)))</f>
        <v>2.0584098319833757</v>
      </c>
      <c r="R346">
        <f>(60*284*((F346/1000)^0.77)*3*24*(MAX('Min rate concentrations'!$R$3:$R$368))/F346)*(inputs!$E$73*3.4/inputs!$E$75)</f>
        <v>1.3780478717848651E-2</v>
      </c>
      <c r="S346">
        <f>(IF(inputs!$C$6="aerial",((0.025*0.112*inputs!$C$7/3.3)*(3*60*284*((F346/1000)^0.77))*MAX(inputs!$H$14:$H$16))/F346,((0.0083*0.112*inputs!$C$7/1)*(3*60*284*((F346/1000)^0.77))*MAX(inputs!$H$14:$H$16))/F346))*(inputs!E$75*3.4/inputs!$E$73)</f>
        <v>7.6000186778248019E-2</v>
      </c>
      <c r="T346">
        <f>IF((((inputs!$P$12/(V346/MAX(K346:S346)))^(1/inputs!$O$12))-1)/inputs!$N$12&lt;0, 0, IF((((inputs!$P$12/(V346/MAX(K346:S346)))^(1/inputs!$O$12))-1)/inputs!$N$12&gt;inputs!$H$17, inputs!$H$17, (((inputs!$P$12/(V346/MAX(K346:S346)))^(1/inputs!$O$12))-1)/inputs!$N$12))</f>
        <v>171.99472870421067</v>
      </c>
      <c r="U346">
        <f>IF((((inputs!$P$12/(X346/MAX(K346:S346)))^(1/inputs!$O$12))-1)/inputs!$N$12&lt;0, 0, IF((((inputs!$P$12/(X346/MAX(K346:S346)))^(1/inputs!$O$12))-1)/inputs!$N$12&gt;inputs!$H$17, inputs!$H$17, (((inputs!$P$12/(X346/MAX(K346:S346)))^(1/inputs!$O$12))-1)/inputs!$N$12))</f>
        <v>0</v>
      </c>
      <c r="V346">
        <f>inputs!$E$78*(F346/inputs!$F$78)^(inputs!$E$84-1)</f>
        <v>4.5935886791004306E-2</v>
      </c>
      <c r="W346">
        <f>inputs!$E$85*(F346/inputs!$F$85)^(inputs!$E$84-1)</f>
        <v>2.1212346306785999</v>
      </c>
      <c r="X346">
        <f>inputs!$E$80*(F346/inputs!$F$80)^(inputs!$E$84-1)</f>
        <v>7.9210660259517338</v>
      </c>
      <c r="Y346">
        <f>inputs!$E$82*(F346/inputs!$F$82)^(inputs!$E$84-1)</f>
        <v>3.6506941607587633</v>
      </c>
      <c r="Z346">
        <f t="shared" si="36"/>
        <v>254.39508951631595</v>
      </c>
      <c r="AA346">
        <f t="shared" si="37"/>
        <v>5.5089917273651592</v>
      </c>
    </row>
    <row r="347" spans="1:27" x14ac:dyDescent="0.3">
      <c r="A347" t="s">
        <v>374</v>
      </c>
      <c r="B347" t="s">
        <v>375</v>
      </c>
      <c r="C347" t="s">
        <v>73</v>
      </c>
      <c r="D347" t="s">
        <v>141</v>
      </c>
      <c r="E347">
        <v>1241</v>
      </c>
      <c r="F347">
        <v>9.1999999999999993</v>
      </c>
      <c r="G347" t="s">
        <v>153</v>
      </c>
      <c r="H347">
        <v>0.7</v>
      </c>
      <c r="I347">
        <f>MAX('Min rate concentrations'!$E$3:$E$368)</f>
        <v>55</v>
      </c>
      <c r="J347">
        <f>MAX('Min rate concentrations'!X:X)</f>
        <v>18</v>
      </c>
      <c r="K347">
        <f t="shared" si="35"/>
        <v>52.306580914100493</v>
      </c>
      <c r="M347">
        <f>IF((((1.18*F347^0.874)-(0.398*F347^0.85)/(1-H347)*H347)*(MAX('Min rate concentrations'!$P$3:$P$368)))/F347&gt;0, (((1.18*F347^0.874)-(0.398*F347^0.85)/(1-H347)*H347)*(MAX('Min rate concentrations'!$P$3:$P$368)))/F347, 0)</f>
        <v>3.2867896958976676E-2</v>
      </c>
      <c r="N347">
        <f>IF((((1.18*F347^0.874)-(0.398*F347^0.85)/(1-H347)*H347)*(MAX('Min rate concentrations'!$Q$3:$Q$368)))/F347&gt;0, (((1.18*F347^0.874)-(0.398*F347^0.85)/(1-H347)*H347)*(MAX('Min rate concentrations'!$Q$3:$Q$368)))/F347, 0)</f>
        <v>0.12516271766727341</v>
      </c>
      <c r="O347">
        <f>((MAX('Min rate concentrations'!$F$3:$F$368))*0.62*6.01*8*(10*F347^0.667)*0.079*0.1/F347)*inputs!$E$80/(10^(0.84+0.62*LOG10(inputs!$E$80)))</f>
        <v>11.685864032208896</v>
      </c>
      <c r="P347">
        <f>((MAX('Min rate concentrations'!Y:Y))*0.62*6.01*8*(10*F347^0.667)*0.079*0.1/F347)*inputs!$E$80/(10^(0.84+0.62*LOG10(inputs!$E$80)))</f>
        <v>3.8952880107362988</v>
      </c>
      <c r="Q347">
        <f>(inputs!$C$7*11.2*(10*F347^0.667)*0.5/F347)*inputs!$E$80/(10^(0.84+0.62*LOG10(inputs!$E$80)))</f>
        <v>2.0584098319833757</v>
      </c>
      <c r="R347">
        <f>(60*284*((F347/1000)^0.77)*3*24*(MAX('Min rate concentrations'!$R$3:$R$368))/F347)*(inputs!$E$73*3.4/inputs!$E$75)</f>
        <v>1.3780478717848651E-2</v>
      </c>
      <c r="S347">
        <f>(IF(inputs!$C$6="aerial",((0.025*0.112*inputs!$C$7/3.3)*(3*60*284*((F347/1000)^0.77))*MAX(inputs!$H$14:$H$16))/F347,((0.0083*0.112*inputs!$C$7/1)*(3*60*284*((F347/1000)^0.77))*MAX(inputs!$H$14:$H$16))/F347))*(inputs!E$75*3.4/inputs!$E$73)</f>
        <v>7.6000186778248019E-2</v>
      </c>
      <c r="T347">
        <f>IF((((inputs!$P$12/(V347/MAX(K347:S347)))^(1/inputs!$O$12))-1)/inputs!$N$12&lt;0, 0, IF((((inputs!$P$12/(V347/MAX(K347:S347)))^(1/inputs!$O$12))-1)/inputs!$N$12&gt;inputs!$H$17, inputs!$H$17, (((inputs!$P$12/(V347/MAX(K347:S347)))^(1/inputs!$O$12))-1)/inputs!$N$12))</f>
        <v>340.33781008360955</v>
      </c>
      <c r="U347">
        <f>IF((((inputs!$P$12/(X347/MAX(K347:S347)))^(1/inputs!$O$12))-1)/inputs!$N$12&lt;0, 0, IF((((inputs!$P$12/(X347/MAX(K347:S347)))^(1/inputs!$O$12))-1)/inputs!$N$12&gt;inputs!$H$17, inputs!$H$17, (((inputs!$P$12/(X347/MAX(K347:S347)))^(1/inputs!$O$12))-1)/inputs!$N$12))</f>
        <v>16.915230764182731</v>
      </c>
      <c r="V347">
        <f>inputs!$E$78*(F347/inputs!$F$78)^(inputs!$E$84-1)</f>
        <v>4.5935886791004306E-2</v>
      </c>
      <c r="W347">
        <f>inputs!$E$85*(F347/inputs!$F$85)^(inputs!$E$84-1)</f>
        <v>2.1212346306785999</v>
      </c>
      <c r="X347">
        <f>inputs!$E$80*(F347/inputs!$F$80)^(inputs!$E$84-1)</f>
        <v>7.9210660259517338</v>
      </c>
      <c r="Y347">
        <f>inputs!$E$82*(F347/inputs!$F$82)^(inputs!$E$84-1)</f>
        <v>3.6506941607587633</v>
      </c>
      <c r="Z347">
        <f t="shared" si="36"/>
        <v>1138.6866471541325</v>
      </c>
      <c r="AA347">
        <f t="shared" si="37"/>
        <v>24.658555049785889</v>
      </c>
    </row>
    <row r="348" spans="1:27" x14ac:dyDescent="0.3">
      <c r="A348" t="s">
        <v>374</v>
      </c>
      <c r="B348" t="s">
        <v>375</v>
      </c>
      <c r="C348" t="s">
        <v>73</v>
      </c>
      <c r="D348" t="s">
        <v>141</v>
      </c>
      <c r="E348">
        <v>1241</v>
      </c>
      <c r="F348">
        <v>9.1999999999999993</v>
      </c>
      <c r="G348" t="s">
        <v>154</v>
      </c>
      <c r="H348">
        <v>9.2999999999999999E-2</v>
      </c>
      <c r="I348">
        <f>MAX('Min rate concentrations'!$G$3:$G$368)</f>
        <v>7.5</v>
      </c>
      <c r="J348">
        <f>MAX('Min rate concentrations'!Z:Z)</f>
        <v>3.5</v>
      </c>
      <c r="K348">
        <f t="shared" si="35"/>
        <v>2.3592223525453768</v>
      </c>
      <c r="M348">
        <f>IF((((1.18*F348^0.874)-(0.398*F348^0.85)/(1-H348)*H348)*(MAX('Min rate concentrations'!$P$3:$P$368)))/F348&gt;0, (((1.18*F348^0.874)-(0.398*F348^0.85)/(1-H348)*H348)*(MAX('Min rate concentrations'!$P$3:$P$368)))/F348, 0)</f>
        <v>0.1252496492999704</v>
      </c>
      <c r="N348">
        <f>IF((((1.18*F348^0.874)-(0.398*F348^0.85)/(1-H348)*H348)*(MAX('Min rate concentrations'!$Q$3:$Q$368)))/F348&gt;0, (((1.18*F348^0.874)-(0.398*F348^0.85)/(1-H348)*H348)*(MAX('Min rate concentrations'!$Q$3:$Q$368)))/F348, 0)</f>
        <v>0.47695739440900586</v>
      </c>
      <c r="O348">
        <f>((MAX('Min rate concentrations'!$F$3:$F$368))*0.62*6.01*8*(10*F348^0.667)*0.079*0.1/F348)*inputs!$E$80/(10^(0.84+0.62*LOG10(inputs!$E$80)))</f>
        <v>11.685864032208896</v>
      </c>
      <c r="P348">
        <f>((MAX('Min rate concentrations'!Y:Y))*0.62*6.01*8*(10*F348^0.667)*0.079*0.1/F348)*inputs!$E$80/(10^(0.84+0.62*LOG10(inputs!$E$80)))</f>
        <v>3.8952880107362988</v>
      </c>
      <c r="Q348">
        <f>(inputs!$C$7*11.2*(10*F348^0.667)*0.5/F348)*inputs!$E$80/(10^(0.84+0.62*LOG10(inputs!$E$80)))</f>
        <v>2.0584098319833757</v>
      </c>
      <c r="R348">
        <f>(60*284*((F348/1000)^0.77)*3*24*(MAX('Min rate concentrations'!$R$3:$R$368))/F348)*(inputs!$E$73*3.4/inputs!$E$75)</f>
        <v>1.3780478717848651E-2</v>
      </c>
      <c r="S348">
        <f>(IF(inputs!$C$6="aerial",((0.025*0.112*inputs!$C$7/3.3)*(3*60*284*((F348/1000)^0.77))*MAX(inputs!$H$14:$H$16))/F348,((0.0083*0.112*inputs!$C$7/1)*(3*60*284*((F348/1000)^0.77))*MAX(inputs!$H$14:$H$16))/F348))*(inputs!E$75*3.4/inputs!$E$73)</f>
        <v>7.6000186778248019E-2</v>
      </c>
      <c r="T348">
        <f>IF((((inputs!$P$12/(V348/MAX(K348:S348)))^(1/inputs!$O$12))-1)/inputs!$N$12&lt;0, 0, IF((((inputs!$P$12/(V348/MAX(K348:S348)))^(1/inputs!$O$12))-1)/inputs!$N$12&gt;inputs!$H$17, inputs!$H$17, (((inputs!$P$12/(V348/MAX(K348:S348)))^(1/inputs!$O$12))-1)/inputs!$N$12))</f>
        <v>171.99472870421067</v>
      </c>
      <c r="U348">
        <f>IF((((inputs!$P$12/(X348/MAX(K348:S348)))^(1/inputs!$O$12))-1)/inputs!$N$12&lt;0, 0, IF((((inputs!$P$12/(X348/MAX(K348:S348)))^(1/inputs!$O$12))-1)/inputs!$N$12&gt;inputs!$H$17, inputs!$H$17, (((inputs!$P$12/(X348/MAX(K348:S348)))^(1/inputs!$O$12))-1)/inputs!$N$12))</f>
        <v>0</v>
      </c>
      <c r="V348">
        <f>inputs!$E$78*(F348/inputs!$F$78)^(inputs!$E$84-1)</f>
        <v>4.5935886791004306E-2</v>
      </c>
      <c r="W348">
        <f>inputs!$E$85*(F348/inputs!$F$85)^(inputs!$E$84-1)</f>
        <v>2.1212346306785999</v>
      </c>
      <c r="X348">
        <f>inputs!$E$80*(F348/inputs!$F$80)^(inputs!$E$84-1)</f>
        <v>7.9210660259517338</v>
      </c>
      <c r="Y348">
        <f>inputs!$E$82*(F348/inputs!$F$82)^(inputs!$E$84-1)</f>
        <v>3.6506941607587633</v>
      </c>
      <c r="Z348">
        <f t="shared" si="36"/>
        <v>254.39508951631595</v>
      </c>
      <c r="AA348">
        <f t="shared" si="37"/>
        <v>5.5089917273651592</v>
      </c>
    </row>
    <row r="349" spans="1:27" x14ac:dyDescent="0.3">
      <c r="A349" t="s">
        <v>267</v>
      </c>
      <c r="B349" t="s">
        <v>268</v>
      </c>
      <c r="C349" t="s">
        <v>73</v>
      </c>
      <c r="D349" t="s">
        <v>141</v>
      </c>
      <c r="E349">
        <v>115</v>
      </c>
      <c r="F349">
        <v>45</v>
      </c>
      <c r="G349" t="s">
        <v>142</v>
      </c>
      <c r="H349">
        <v>0.69</v>
      </c>
      <c r="I349">
        <f>MAX('Min rate concentrations'!$H$3:$H$368)</f>
        <v>47</v>
      </c>
      <c r="J349">
        <f>MAX('Min rate concentrations'!AA:AA)</f>
        <v>32.5</v>
      </c>
      <c r="K349">
        <f t="shared" si="35"/>
        <v>34.090813052784689</v>
      </c>
      <c r="L349">
        <f t="shared" ref="L349:L356" si="40">((0.398*F349^0.85)/(1-H349))*J349/F349</f>
        <v>23.573434557776647</v>
      </c>
      <c r="M349">
        <f>IF((((1.18*F349^0.874)-(0.398*F349^0.85)/(1-H349)*H349)*(MAX('Min rate concentrations'!$P$3:$P$368)))/F349&gt;0, (((1.18*F349^0.874)-(0.398*F349^0.85)/(1-H349)*H349)*(MAX('Min rate concentrations'!$P$3:$P$368)))/F349, 0)</f>
        <v>3.3376142961267348E-2</v>
      </c>
      <c r="N349">
        <f>IF((((1.18*F349^0.874)-(0.398*F349^0.85)/(1-H349)*H349)*(MAX('Min rate concentrations'!$Q$3:$Q$368)))/F349&gt;0, (((1.18*F349^0.874)-(0.398*F349^0.85)/(1-H349)*H349)*(MAX('Min rate concentrations'!$Q$3:$Q$368)))/F349, 0)</f>
        <v>0.12709814575291045</v>
      </c>
      <c r="O349">
        <f>((MAX('Min rate concentrations'!$F$3:$F$368))*0.62*6.01*8*(10*F349^0.667)*0.079*0.1/F349)*inputs!$E$80/(10^(0.84+0.62*LOG10(inputs!$E$80)))</f>
        <v>6.887829819837612</v>
      </c>
      <c r="P349">
        <f>((MAX('Min rate concentrations'!Y:Y))*0.62*6.01*8*(10*F349^0.667)*0.079*0.1/F349)*inputs!$E$80/(10^(0.84+0.62*LOG10(inputs!$E$80)))</f>
        <v>2.2959432732792031</v>
      </c>
      <c r="Q349">
        <f>(inputs!$C$7*11.2*(10*F349^0.667)*0.5/F349)*inputs!$E$80/(10^(0.84+0.62*LOG10(inputs!$E$80)))</f>
        <v>1.2132587357771998</v>
      </c>
      <c r="R349">
        <f>(60*284*((F349/1000)^0.77)*3*24*(MAX('Min rate concentrations'!$R$3:$R$368))/F349)*(inputs!$E$73*3.4/inputs!$E$75)</f>
        <v>9.5652566402593849E-3</v>
      </c>
      <c r="S349">
        <f>(IF(inputs!$C$6="aerial",((0.025*0.112*inputs!$C$7/3.3)*(3*60*284*((F349/1000)^0.77))*MAX(inputs!$H$14:$H$16))/F349,((0.0083*0.112*inputs!$C$7/1)*(3*60*284*((F349/1000)^0.77))*MAX(inputs!$H$14:$H$16))/F349))*(inputs!E$75*3.4/inputs!$E$73)</f>
        <v>5.2752978044225761E-2</v>
      </c>
      <c r="T349">
        <f>IF((((inputs!$P$12/(V349/MAX(K349:S349)))^(1/inputs!$O$12))-1)/inputs!$N$12&lt;0, 0, IF((((inputs!$P$12/(V349/MAX(K349:S349)))^(1/inputs!$O$12))-1)/inputs!$N$12&gt;inputs!$H$17, inputs!$H$17, (((inputs!$P$12/(V349/MAX(K349:S349)))^(1/inputs!$O$12))-1)/inputs!$N$12))</f>
        <v>365.02094042856248</v>
      </c>
      <c r="U349">
        <f>IF((((inputs!$P$12/(X349/MAX(K349:S349)))^(1/inputs!$O$12))-1)/inputs!$N$12&lt;0, 0, IF((((inputs!$P$12/(X349/MAX(K349:S349)))^(1/inputs!$O$12))-1)/inputs!$N$12&gt;inputs!$H$17, inputs!$H$17, (((inputs!$P$12/(X349/MAX(K349:S349)))^(1/inputs!$O$12))-1)/inputs!$N$12))</f>
        <v>19.953894919394855</v>
      </c>
      <c r="V349">
        <f>inputs!$E$78*(F349/inputs!$F$78)^(inputs!$E$84-1)</f>
        <v>2.5530832177025353E-2</v>
      </c>
      <c r="W349">
        <f>inputs!$E$85*(F349/inputs!$F$85)^(inputs!$E$84-1)</f>
        <v>1.1789667980145604</v>
      </c>
      <c r="X349">
        <f>inputs!$E$80*(F349/inputs!$F$80)^(inputs!$E$84-1)</f>
        <v>4.4024709546113323</v>
      </c>
      <c r="Y349">
        <f>inputs!$E$82*(F349/inputs!$F$82)^(inputs!$E$84-1)</f>
        <v>2.0290292940688568</v>
      </c>
      <c r="Z349">
        <f t="shared" si="36"/>
        <v>1335.2801356573987</v>
      </c>
      <c r="AA349">
        <f t="shared" si="37"/>
        <v>28.915838096709201</v>
      </c>
    </row>
    <row r="350" spans="1:27" x14ac:dyDescent="0.3">
      <c r="A350" t="s">
        <v>267</v>
      </c>
      <c r="B350" t="s">
        <v>268</v>
      </c>
      <c r="C350" t="s">
        <v>73</v>
      </c>
      <c r="D350" t="s">
        <v>141</v>
      </c>
      <c r="E350">
        <v>115</v>
      </c>
      <c r="F350">
        <v>45</v>
      </c>
      <c r="G350" t="s">
        <v>138</v>
      </c>
      <c r="H350">
        <v>0.68</v>
      </c>
      <c r="I350">
        <f>MAX('Min rate concentrations'!$L$3:$L$368)</f>
        <v>58.421240152220811</v>
      </c>
      <c r="J350">
        <f>MAX('Min rate concentrations'!AD:AD)</f>
        <v>40.397666062705881</v>
      </c>
      <c r="K350">
        <f t="shared" si="35"/>
        <v>41.050834352777365</v>
      </c>
      <c r="L350">
        <f t="shared" si="40"/>
        <v>28.386215243941798</v>
      </c>
      <c r="M350">
        <f>IF((((1.18*F350^0.874)-(0.398*F350^0.85)/(1-H350)*H350)*(MAX('Min rate concentrations'!$P$3:$P$368)))/F350&gt;0, (((1.18*F350^0.874)-(0.398*F350^0.85)/(1-H350)*H350)*(MAX('Min rate concentrations'!$P$3:$P$368)))/F350, 0)</f>
        <v>3.6666179123356533E-2</v>
      </c>
      <c r="N350">
        <f>IF((((1.18*F350^0.874)-(0.398*F350^0.85)/(1-H350)*H350)*(MAX('Min rate concentrations'!$Q$3:$Q$368)))/F350&gt;0, (((1.18*F350^0.874)-(0.398*F350^0.85)/(1-H350)*H350)*(MAX('Min rate concentrations'!$Q$3:$Q$368)))/F350, 0)</f>
        <v>0.13962678023733319</v>
      </c>
      <c r="O350">
        <f>((MAX('Min rate concentrations'!$F$3:$F$368))*0.62*6.01*8*(10*F350^0.667)*0.079*0.1/F350)*inputs!$E$80/(10^(0.84+0.62*LOG10(inputs!$E$80)))</f>
        <v>6.887829819837612</v>
      </c>
      <c r="P350">
        <f>((MAX('Min rate concentrations'!Y:Y))*0.62*6.01*8*(10*F350^0.667)*0.079*0.1/F350)*inputs!$E$80/(10^(0.84+0.62*LOG10(inputs!$E$80)))</f>
        <v>2.2959432732792031</v>
      </c>
      <c r="Q350">
        <f>(inputs!$C$7*11.2*(10*F350^0.667)*0.5/F350)*inputs!$E$80/(10^(0.84+0.62*LOG10(inputs!$E$80)))</f>
        <v>1.2132587357771998</v>
      </c>
      <c r="R350">
        <f>(60*284*((F350/1000)^0.77)*3*24*(MAX('Min rate concentrations'!$R$3:$R$368))/F350)*(inputs!$E$73*3.4/inputs!$E$75)</f>
        <v>9.5652566402593849E-3</v>
      </c>
      <c r="S350">
        <f>(IF(inputs!$C$6="aerial",((0.025*0.112*inputs!$C$7/3.3)*(3*60*284*((F350/1000)^0.77))*MAX(inputs!$H$14:$H$16))/F350,((0.0083*0.112*inputs!$C$7/1)*(3*60*284*((F350/1000)^0.77))*MAX(inputs!$H$14:$H$16))/F350))*(inputs!E$75*3.4/inputs!$E$73)</f>
        <v>5.2752978044225761E-2</v>
      </c>
      <c r="T350">
        <f>IF((((inputs!$P$12/(V350/MAX(K350:S350)))^(1/inputs!$O$12))-1)/inputs!$N$12&lt;0, 0, IF((((inputs!$P$12/(V350/MAX(K350:S350)))^(1/inputs!$O$12))-1)/inputs!$N$12&gt;inputs!$H$17, inputs!$H$17, (((inputs!$P$12/(V350/MAX(K350:S350)))^(1/inputs!$O$12))-1)/inputs!$N$12))</f>
        <v>395.90877318141213</v>
      </c>
      <c r="U350">
        <f>IF((((inputs!$P$12/(X350/MAX(K350:S350)))^(1/inputs!$O$12))-1)/inputs!$N$12&lt;0, 0, IF((((inputs!$P$12/(X350/MAX(K350:S350)))^(1/inputs!$O$12))-1)/inputs!$N$12&gt;inputs!$H$17, inputs!$H$17, (((inputs!$P$12/(X350/MAX(K350:S350)))^(1/inputs!$O$12))-1)/inputs!$N$12))</f>
        <v>23.756400878184735</v>
      </c>
      <c r="V350">
        <f>inputs!$E$78*(F350/inputs!$F$78)^(inputs!$E$84-1)</f>
        <v>2.5530832177025353E-2</v>
      </c>
      <c r="W350">
        <f>inputs!$E$85*(F350/inputs!$F$85)^(inputs!$E$84-1)</f>
        <v>1.1789667980145604</v>
      </c>
      <c r="X350">
        <f>inputs!$E$80*(F350/inputs!$F$80)^(inputs!$E$84-1)</f>
        <v>4.4024709546113323</v>
      </c>
      <c r="Y350">
        <f>inputs!$E$82*(F350/inputs!$F$82)^(inputs!$E$84-1)</f>
        <v>2.0290292940688568</v>
      </c>
      <c r="Z350">
        <f t="shared" si="36"/>
        <v>1607.8925304173254</v>
      </c>
      <c r="AA350">
        <f t="shared" si="37"/>
        <v>34.819330299978795</v>
      </c>
    </row>
    <row r="351" spans="1:27" x14ac:dyDescent="0.3">
      <c r="A351" t="s">
        <v>267</v>
      </c>
      <c r="B351" t="s">
        <v>268</v>
      </c>
      <c r="C351" t="s">
        <v>73</v>
      </c>
      <c r="D351" t="s">
        <v>141</v>
      </c>
      <c r="E351">
        <v>115</v>
      </c>
      <c r="F351">
        <v>45</v>
      </c>
      <c r="G351" t="s">
        <v>456</v>
      </c>
      <c r="H351">
        <v>0.68</v>
      </c>
      <c r="I351">
        <f>MAX('Min rate concentrations'!$J$3:$J$368)</f>
        <v>114.4108103430513</v>
      </c>
      <c r="J351">
        <f>MAX('Min rate concentrations'!AB:AB)</f>
        <v>40.520495329830666</v>
      </c>
      <c r="K351">
        <f t="shared" si="35"/>
        <v>80.393007942353449</v>
      </c>
      <c r="L351">
        <f t="shared" si="40"/>
        <v>28.472523646250181</v>
      </c>
      <c r="M351">
        <f>IF((((1.18*F351^0.874)-(0.398*F351^0.85)/(1-H351)*H351)*(MAX('Min rate concentrations'!$P$3:$P$368)))/F351&gt;0, (((1.18*F351^0.874)-(0.398*F351^0.85)/(1-H351)*H351)*(MAX('Min rate concentrations'!$P$3:$P$368)))/F351, 0)</f>
        <v>3.6666179123356533E-2</v>
      </c>
      <c r="N351">
        <f>IF((((1.18*F351^0.874)-(0.398*F351^0.85)/(1-H351)*H351)*(MAX('Min rate concentrations'!$Q$3:$Q$368)))/F351&gt;0, (((1.18*F351^0.874)-(0.398*F351^0.85)/(1-H351)*H351)*(MAX('Min rate concentrations'!$Q$3:$Q$368)))/F351, 0)</f>
        <v>0.13962678023733319</v>
      </c>
      <c r="O351">
        <f>((MAX('Min rate concentrations'!$F$3:$F$368))*0.62*6.01*8*(10*F351^0.667)*0.079*0.1/F351)*inputs!$E$80/(10^(0.84+0.62*LOG10(inputs!$E$80)))</f>
        <v>6.887829819837612</v>
      </c>
      <c r="P351">
        <f>((MAX('Min rate concentrations'!Y:Y))*0.62*6.01*8*(10*F351^0.667)*0.079*0.1/F351)*inputs!$E$80/(10^(0.84+0.62*LOG10(inputs!$E$80)))</f>
        <v>2.2959432732792031</v>
      </c>
      <c r="Q351">
        <f>(inputs!$C$7*11.2*(10*F351^0.667)*0.5/F351)*inputs!$E$80/(10^(0.84+0.62*LOG10(inputs!$E$80)))</f>
        <v>1.2132587357771998</v>
      </c>
      <c r="R351">
        <f>(60*284*((F351/1000)^0.77)*3*24*(MAX('Min rate concentrations'!$R$3:$R$368))/F351)*(inputs!$E$73*3.4/inputs!$E$75)</f>
        <v>9.5652566402593849E-3</v>
      </c>
      <c r="S351">
        <f>(IF(inputs!$C$6="aerial",((0.025*0.112*inputs!$C$7/3.3)*(3*60*284*((F351/1000)^0.77))*MAX(inputs!$H$14:$H$16))/F351,((0.0083*0.112*inputs!$C$7/1)*(3*60*284*((F351/1000)^0.77))*MAX(inputs!$H$14:$H$16))/F351))*(inputs!E$75*3.4/inputs!$E$73)</f>
        <v>5.2752978044225761E-2</v>
      </c>
      <c r="T351">
        <f>IF((((inputs!$P$12/(V351/MAX(K351:S351)))^(1/inputs!$O$12))-1)/inputs!$N$12&lt;0, 0, IF((((inputs!$P$12/(V351/MAX(K351:S351)))^(1/inputs!$O$12))-1)/inputs!$N$12&gt;inputs!$H$17, inputs!$H$17, (((inputs!$P$12/(V351/MAX(K351:S351)))^(1/inputs!$O$12))-1)/inputs!$N$12))</f>
        <v>529.33596060610637</v>
      </c>
      <c r="U351">
        <f>IF((((inputs!$P$12/(X351/MAX(K351:S351)))^(1/inputs!$O$12))-1)/inputs!$N$12&lt;0, 0, IF((((inputs!$P$12/(X351/MAX(K351:S351)))^(1/inputs!$O$12))-1)/inputs!$N$12&gt;inputs!$H$17, inputs!$H$17, (((inputs!$P$12/(X351/MAX(K351:S351)))^(1/inputs!$O$12))-1)/inputs!$N$12))</f>
        <v>40.182210979742216</v>
      </c>
      <c r="V351">
        <f>inputs!$E$78*(F351/inputs!$F$78)^(inputs!$E$84-1)</f>
        <v>2.5530832177025353E-2</v>
      </c>
      <c r="W351">
        <f>inputs!$E$85*(F351/inputs!$F$85)^(inputs!$E$84-1)</f>
        <v>1.1789667980145604</v>
      </c>
      <c r="X351">
        <f>inputs!$E$80*(F351/inputs!$F$80)^(inputs!$E$84-1)</f>
        <v>4.4024709546113323</v>
      </c>
      <c r="Y351">
        <f>inputs!$E$82*(F351/inputs!$F$82)^(inputs!$E$84-1)</f>
        <v>2.0290292940688568</v>
      </c>
      <c r="Z351">
        <f t="shared" si="36"/>
        <v>3148.8596762113139</v>
      </c>
      <c r="AA351">
        <f t="shared" si="37"/>
        <v>68.189374016078602</v>
      </c>
    </row>
    <row r="352" spans="1:27" x14ac:dyDescent="0.3">
      <c r="A352" t="s">
        <v>267</v>
      </c>
      <c r="B352" t="s">
        <v>268</v>
      </c>
      <c r="C352" t="s">
        <v>73</v>
      </c>
      <c r="D352" t="s">
        <v>141</v>
      </c>
      <c r="E352">
        <v>115</v>
      </c>
      <c r="F352">
        <v>45</v>
      </c>
      <c r="G352" t="s">
        <v>145</v>
      </c>
      <c r="H352">
        <v>0.66</v>
      </c>
      <c r="I352">
        <f>MAX('Min rate concentrations'!$M$3:$M$368)</f>
        <v>2.8488184789681945</v>
      </c>
      <c r="J352">
        <f>MAX('Min rate concentrations'!AE:AE)</f>
        <v>1.9699276716269429</v>
      </c>
      <c r="K352">
        <f t="shared" si="35"/>
        <v>1.8840267107775459</v>
      </c>
      <c r="L352">
        <f t="shared" si="40"/>
        <v>1.302784427665324</v>
      </c>
      <c r="M352">
        <f>IF((((1.18*F352^0.874)-(0.398*F352^0.85)/(1-H352)*H352)*(MAX('Min rate concentrations'!$P$3:$P$368)))/F352&gt;0, (((1.18*F352^0.874)-(0.398*F352^0.85)/(1-H352)*H352)*(MAX('Min rate concentrations'!$P$3:$P$368)))/F352, 0)</f>
        <v>4.2665656830695696E-2</v>
      </c>
      <c r="N352">
        <f>IF((((1.18*F352^0.874)-(0.398*F352^0.85)/(1-H352)*H352)*(MAX('Min rate concentrations'!$Q$3:$Q$368)))/F352&gt;0, (((1.18*F352^0.874)-(0.398*F352^0.85)/(1-H352)*H352)*(MAX('Min rate concentrations'!$Q$3:$Q$368)))/F352, 0)</f>
        <v>0.16247311370892781</v>
      </c>
      <c r="O352">
        <f>((MAX('Min rate concentrations'!$F$3:$F$368))*0.62*6.01*8*(10*F352^0.667)*0.079*0.1/F352)*inputs!$E$80/(10^(0.84+0.62*LOG10(inputs!$E$80)))</f>
        <v>6.887829819837612</v>
      </c>
      <c r="P352">
        <f>((MAX('Min rate concentrations'!Y:Y))*0.62*6.01*8*(10*F352^0.667)*0.079*0.1/F352)*inputs!$E$80/(10^(0.84+0.62*LOG10(inputs!$E$80)))</f>
        <v>2.2959432732792031</v>
      </c>
      <c r="Q352">
        <f>(inputs!$C$7*11.2*(10*F352^0.667)*0.5/F352)*inputs!$E$80/(10^(0.84+0.62*LOG10(inputs!$E$80)))</f>
        <v>1.2132587357771998</v>
      </c>
      <c r="R352">
        <f>(60*284*((F352/1000)^0.77)*3*24*(MAX('Min rate concentrations'!$R$3:$R$368))/F352)*(inputs!$E$73*3.4/inputs!$E$75)</f>
        <v>9.5652566402593849E-3</v>
      </c>
      <c r="S352">
        <f>(IF(inputs!$C$6="aerial",((0.025*0.112*inputs!$C$7/3.3)*(3*60*284*((F352/1000)^0.77))*MAX(inputs!$H$14:$H$16))/F352,((0.0083*0.112*inputs!$C$7/1)*(3*60*284*((F352/1000)^0.77))*MAX(inputs!$H$14:$H$16))/F352))*(inputs!E$75*3.4/inputs!$E$73)</f>
        <v>5.2752978044225761E-2</v>
      </c>
      <c r="T352">
        <f>IF((((inputs!$P$12/(V352/MAX(K352:S352)))^(1/inputs!$O$12))-1)/inputs!$N$12&lt;0, 0, IF((((inputs!$P$12/(V352/MAX(K352:S352)))^(1/inputs!$O$12))-1)/inputs!$N$12&gt;inputs!$H$17, inputs!$H$17, (((inputs!$P$12/(V352/MAX(K352:S352)))^(1/inputs!$O$12))-1)/inputs!$N$12))</f>
        <v>176.84198186512779</v>
      </c>
      <c r="U352">
        <f>IF((((inputs!$P$12/(X352/MAX(K352:S352)))^(1/inputs!$O$12))-1)/inputs!$N$12&lt;0, 0, IF((((inputs!$P$12/(X352/MAX(K352:S352)))^(1/inputs!$O$12))-1)/inputs!$N$12&gt;inputs!$H$17, inputs!$H$17, (((inputs!$P$12/(X352/MAX(K352:S352)))^(1/inputs!$O$12))-1)/inputs!$N$12))</f>
        <v>0</v>
      </c>
      <c r="V352">
        <f>inputs!$E$78*(F352/inputs!$F$78)^(inputs!$E$84-1)</f>
        <v>2.5530832177025353E-2</v>
      </c>
      <c r="W352">
        <f>inputs!$E$85*(F352/inputs!$F$85)^(inputs!$E$84-1)</f>
        <v>1.1789667980145604</v>
      </c>
      <c r="X352">
        <f>inputs!$E$80*(F352/inputs!$F$80)^(inputs!$E$84-1)</f>
        <v>4.4024709546113323</v>
      </c>
      <c r="Y352">
        <f>inputs!$E$82*(F352/inputs!$F$82)^(inputs!$E$84-1)</f>
        <v>2.0290292940688568</v>
      </c>
      <c r="Z352">
        <f t="shared" si="36"/>
        <v>269.78477521135494</v>
      </c>
      <c r="AA352">
        <f t="shared" si="37"/>
        <v>5.8422593676404331</v>
      </c>
    </row>
    <row r="353" spans="1:27" x14ac:dyDescent="0.3">
      <c r="A353" t="s">
        <v>167</v>
      </c>
      <c r="B353" t="s">
        <v>168</v>
      </c>
      <c r="C353" t="s">
        <v>73</v>
      </c>
      <c r="D353" t="s">
        <v>141</v>
      </c>
      <c r="E353">
        <v>116</v>
      </c>
      <c r="F353">
        <v>16.8</v>
      </c>
      <c r="G353" t="s">
        <v>142</v>
      </c>
      <c r="H353">
        <v>0.69</v>
      </c>
      <c r="I353">
        <f>MAX('Min rate concentrations'!$H$3:$H$368)</f>
        <v>47</v>
      </c>
      <c r="J353">
        <f>MAX('Min rate concentrations'!AA:AA)</f>
        <v>32.5</v>
      </c>
      <c r="K353">
        <f t="shared" si="35"/>
        <v>39.520537620863372</v>
      </c>
      <c r="L353">
        <f t="shared" si="40"/>
        <v>27.328031333575733</v>
      </c>
      <c r="M353">
        <f>IF((((1.18*F353^0.874)-(0.398*F353^0.85)/(1-H353)*H353)*(MAX('Min rate concentrations'!$P$3:$P$368)))/F353&gt;0, (((1.18*F353^0.874)-(0.398*F353^0.85)/(1-H353)*H353)*(MAX('Min rate concentrations'!$P$3:$P$368)))/F353, 0)</f>
        <v>3.581979427995536E-2</v>
      </c>
      <c r="N353">
        <f>IF((((1.18*F353^0.874)-(0.398*F353^0.85)/(1-H353)*H353)*(MAX('Min rate concentrations'!$Q$3:$Q$368)))/F353&gt;0, (((1.18*F353^0.874)-(0.398*F353^0.85)/(1-H353)*H353)*(MAX('Min rate concentrations'!$Q$3:$Q$368)))/F353, 0)</f>
        <v>0.13640370127597759</v>
      </c>
      <c r="O353">
        <f>((MAX('Min rate concentrations'!$F$3:$F$368))*0.62*6.01*8*(10*F353^0.667)*0.079*0.1/F353)*inputs!$E$80/(10^(0.84+0.62*LOG10(inputs!$E$80)))</f>
        <v>9.5625602518468398</v>
      </c>
      <c r="P353">
        <f>((MAX('Min rate concentrations'!Y:Y))*0.62*6.01*8*(10*F353^0.667)*0.079*0.1/F353)*inputs!$E$80/(10^(0.84+0.62*LOG10(inputs!$E$80)))</f>
        <v>3.1875200839489457</v>
      </c>
      <c r="Q353">
        <f>(inputs!$C$7*11.2*(10*F353^0.667)*0.5/F353)*inputs!$E$80/(10^(0.84+0.62*LOG10(inputs!$E$80)))</f>
        <v>1.6843998858006812</v>
      </c>
      <c r="R353">
        <f>(60*284*((F353/1000)^0.77)*3*24*(MAX('Min rate concentrations'!$R$3:$R$368))/F353)*(inputs!$E$73*3.4/inputs!$E$75)</f>
        <v>1.1998152294661531E-2</v>
      </c>
      <c r="S353">
        <f>(IF(inputs!$C$6="aerial",((0.025*0.112*inputs!$C$7/3.3)*(3*60*284*((F353/1000)^0.77))*MAX(inputs!$H$14:$H$16))/F353,((0.0083*0.112*inputs!$C$7/1)*(3*60*284*((F353/1000)^0.77))*MAX(inputs!$H$14:$H$16))/F353))*(inputs!E$75*3.4/inputs!$E$73)</f>
        <v>6.6170547051249126E-2</v>
      </c>
      <c r="T353">
        <f>IF((((inputs!$P$12/(V353/MAX(K353:S353)))^(1/inputs!$O$12))-1)/inputs!$N$12&lt;0, 0, IF((((inputs!$P$12/(V353/MAX(K353:S353)))^(1/inputs!$O$12))-1)/inputs!$N$12&gt;inputs!$H$17, inputs!$H$17, (((inputs!$P$12/(V353/MAX(K353:S353)))^(1/inputs!$O$12))-1)/inputs!$N$12))</f>
        <v>331.81247776634933</v>
      </c>
      <c r="U353">
        <f>IF((((inputs!$P$12/(X353/MAX(K353:S353)))^(1/inputs!$O$12))-1)/inputs!$N$12&lt;0, 0, IF((((inputs!$P$12/(X353/MAX(K353:S353)))^(1/inputs!$O$12))-1)/inputs!$N$12&gt;inputs!$H$17, inputs!$H$17, (((inputs!$P$12/(X353/MAX(K353:S353)))^(1/inputs!$O$12))-1)/inputs!$N$12))</f>
        <v>15.865703359769563</v>
      </c>
      <c r="V353">
        <f>inputs!$E$78*(F353/inputs!$F$78)^(inputs!$E$84-1)</f>
        <v>3.6761156580544962E-2</v>
      </c>
      <c r="W353">
        <f>inputs!$E$85*(F353/inputs!$F$85)^(inputs!$E$84-1)</f>
        <v>1.6975624908959248</v>
      </c>
      <c r="X353">
        <f>inputs!$E$80*(F353/inputs!$F$80)^(inputs!$E$84-1)</f>
        <v>6.3389991748645285</v>
      </c>
      <c r="Y353">
        <f>inputs!$E$82*(F353/inputs!$F$82)^(inputs!$E$84-1)</f>
        <v>2.921544549295942</v>
      </c>
      <c r="Z353">
        <f t="shared" si="36"/>
        <v>1075.0624108975601</v>
      </c>
      <c r="AA353">
        <f t="shared" si="37"/>
        <v>23.280755691064762</v>
      </c>
    </row>
    <row r="354" spans="1:27" x14ac:dyDescent="0.3">
      <c r="A354" t="s">
        <v>167</v>
      </c>
      <c r="B354" t="s">
        <v>168</v>
      </c>
      <c r="C354" t="s">
        <v>73</v>
      </c>
      <c r="D354" t="s">
        <v>141</v>
      </c>
      <c r="E354">
        <v>116</v>
      </c>
      <c r="F354">
        <v>16.8</v>
      </c>
      <c r="G354" t="s">
        <v>152</v>
      </c>
      <c r="H354">
        <v>0.77</v>
      </c>
      <c r="I354">
        <f>MAX('Min rate concentrations'!$G$3:$G$368)</f>
        <v>7.5</v>
      </c>
      <c r="J354">
        <f>MAX('Min rate concentrations'!Z:Z)</f>
        <v>3.5</v>
      </c>
      <c r="K354">
        <f t="shared" si="35"/>
        <v>8.5000231238212169</v>
      </c>
      <c r="L354">
        <f t="shared" si="40"/>
        <v>3.9666774577832351</v>
      </c>
      <c r="M354">
        <f>IF((((1.18*F354^0.874)-(0.398*F354^0.85)/(1-H354)*H354)*(MAX('Min rate concentrations'!$P$3:$P$368)))/F354&gt;0, (((1.18*F354^0.874)-(0.398*F354^0.85)/(1-H354)*H354)*(MAX('Min rate concentrations'!$P$3:$P$368)))/F354, 0)</f>
        <v>0</v>
      </c>
      <c r="N354">
        <f>IF((((1.18*F354^0.874)-(0.398*F354^0.85)/(1-H354)*H354)*(MAX('Min rate concentrations'!$Q$3:$Q$368)))/F354&gt;0, (((1.18*F354^0.874)-(0.398*F354^0.85)/(1-H354)*H354)*(MAX('Min rate concentrations'!$Q$3:$Q$368)))/F354, 0)</f>
        <v>0</v>
      </c>
      <c r="O354">
        <f>((MAX('Min rate concentrations'!$F$3:$F$368))*0.62*6.01*8*(10*F354^0.667)*0.079*0.1/F354)*inputs!$E$80/(10^(0.84+0.62*LOG10(inputs!$E$80)))</f>
        <v>9.5625602518468398</v>
      </c>
      <c r="P354">
        <f>((MAX('Min rate concentrations'!Y:Y))*0.62*6.01*8*(10*F354^0.667)*0.079*0.1/F354)*inputs!$E$80/(10^(0.84+0.62*LOG10(inputs!$E$80)))</f>
        <v>3.1875200839489457</v>
      </c>
      <c r="Q354">
        <f>(inputs!$C$7*11.2*(10*F354^0.667)*0.5/F354)*inputs!$E$80/(10^(0.84+0.62*LOG10(inputs!$E$80)))</f>
        <v>1.6843998858006812</v>
      </c>
      <c r="R354">
        <f>(60*284*((F354/1000)^0.77)*3*24*(MAX('Min rate concentrations'!$R$3:$R$368))/F354)*(inputs!$E$73*3.4/inputs!$E$75)</f>
        <v>1.1998152294661531E-2</v>
      </c>
      <c r="S354">
        <f>(IF(inputs!$C$6="aerial",((0.025*0.112*inputs!$C$7/3.3)*(3*60*284*((F354/1000)^0.77))*MAX(inputs!$H$14:$H$16))/F354,((0.0083*0.112*inputs!$C$7/1)*(3*60*284*((F354/1000)^0.77))*MAX(inputs!$H$14:$H$16))/F354))*(inputs!E$75*3.4/inputs!$E$73)</f>
        <v>6.6170547051249126E-2</v>
      </c>
      <c r="T354">
        <f>IF((((inputs!$P$12/(V354/MAX(K354:S354)))^(1/inputs!$O$12))-1)/inputs!$N$12&lt;0, 0, IF((((inputs!$P$12/(V354/MAX(K354:S354)))^(1/inputs!$O$12))-1)/inputs!$N$12&gt;inputs!$H$17, inputs!$H$17, (((inputs!$P$12/(V354/MAX(K354:S354)))^(1/inputs!$O$12))-1)/inputs!$N$12))</f>
        <v>173.81983242117337</v>
      </c>
      <c r="U354">
        <f>IF((((inputs!$P$12/(X354/MAX(K354:S354)))^(1/inputs!$O$12))-1)/inputs!$N$12&lt;0, 0, IF((((inputs!$P$12/(X354/MAX(K354:S354)))^(1/inputs!$O$12))-1)/inputs!$N$12&gt;inputs!$H$17, inputs!$H$17, (((inputs!$P$12/(X354/MAX(K354:S354)))^(1/inputs!$O$12))-1)/inputs!$N$12))</f>
        <v>0</v>
      </c>
      <c r="V354">
        <f>inputs!$E$78*(F354/inputs!$F$78)^(inputs!$E$84-1)</f>
        <v>3.6761156580544962E-2</v>
      </c>
      <c r="W354">
        <f>inputs!$E$85*(F354/inputs!$F$85)^(inputs!$E$84-1)</f>
        <v>1.6975624908959248</v>
      </c>
      <c r="X354">
        <f>inputs!$E$80*(F354/inputs!$F$80)^(inputs!$E$84-1)</f>
        <v>6.3389991748645285</v>
      </c>
      <c r="Y354">
        <f>inputs!$E$82*(F354/inputs!$F$82)^(inputs!$E$84-1)</f>
        <v>2.921544549295942</v>
      </c>
      <c r="Z354">
        <f t="shared" si="36"/>
        <v>260.12675174936186</v>
      </c>
      <c r="AA354">
        <f t="shared" si="37"/>
        <v>5.6331123614777763</v>
      </c>
    </row>
    <row r="355" spans="1:27" x14ac:dyDescent="0.3">
      <c r="A355" t="s">
        <v>167</v>
      </c>
      <c r="B355" t="s">
        <v>168</v>
      </c>
      <c r="C355" t="s">
        <v>73</v>
      </c>
      <c r="D355" t="s">
        <v>141</v>
      </c>
      <c r="E355">
        <v>116</v>
      </c>
      <c r="F355">
        <v>16.8</v>
      </c>
      <c r="G355" t="s">
        <v>169</v>
      </c>
      <c r="H355">
        <v>0.79</v>
      </c>
      <c r="I355">
        <f>MAX('Min rate concentrations'!$D$3:$D$368)</f>
        <v>120</v>
      </c>
      <c r="J355">
        <f>MAX('Min rate concentrations'!W:W)</f>
        <v>42.5</v>
      </c>
      <c r="K355">
        <f t="shared" si="35"/>
        <v>148.95278616981943</v>
      </c>
      <c r="L355">
        <f t="shared" si="40"/>
        <v>52.754111768477713</v>
      </c>
      <c r="M355">
        <f>IF((((1.18*F355^0.874)-(0.398*F355^0.85)/(1-H355)*H355)*(MAX('Min rate concentrations'!$P$3:$P$368)))/F355&gt;0, (((1.18*F355^0.874)-(0.398*F355^0.85)/(1-H355)*H355)*(MAX('Min rate concentrations'!$P$3:$P$368)))/F355, 0)</f>
        <v>0</v>
      </c>
      <c r="N355">
        <f>IF((((1.18*F355^0.874)-(0.398*F355^0.85)/(1-H355)*H355)*(MAX('Min rate concentrations'!$Q$3:$Q$368)))/F355&gt;0, (((1.18*F355^0.874)-(0.398*F355^0.85)/(1-H355)*H355)*(MAX('Min rate concentrations'!$Q$3:$Q$368)))/F355, 0)</f>
        <v>0</v>
      </c>
      <c r="O355">
        <f>((MAX('Min rate concentrations'!$F$3:$F$368))*0.62*6.01*8*(10*F355^0.667)*0.079*0.1/F355)*inputs!$E$80/(10^(0.84+0.62*LOG10(inputs!$E$80)))</f>
        <v>9.5625602518468398</v>
      </c>
      <c r="P355">
        <f>((MAX('Min rate concentrations'!Y:Y))*0.62*6.01*8*(10*F355^0.667)*0.079*0.1/F355)*inputs!$E$80/(10^(0.84+0.62*LOG10(inputs!$E$80)))</f>
        <v>3.1875200839489457</v>
      </c>
      <c r="Q355">
        <f>(inputs!$C$7*11.2*(10*F355^0.667)*0.5/F355)*inputs!$E$80/(10^(0.84+0.62*LOG10(inputs!$E$80)))</f>
        <v>1.6843998858006812</v>
      </c>
      <c r="R355">
        <f>(60*284*((F355/1000)^0.77)*3*24*(MAX('Min rate concentrations'!$R$3:$R$368))/F355)*(inputs!$E$73*3.4/inputs!$E$75)</f>
        <v>1.1998152294661531E-2</v>
      </c>
      <c r="S355">
        <f>(IF(inputs!$C$6="aerial",((0.025*0.112*inputs!$C$7/3.3)*(3*60*284*((F355/1000)^0.77))*MAX(inputs!$H$14:$H$16))/F355,((0.0083*0.112*inputs!$C$7/1)*(3*60*284*((F355/1000)^0.77))*MAX(inputs!$H$14:$H$16))/F355))*(inputs!E$75*3.4/inputs!$E$73)</f>
        <v>6.6170547051249126E-2</v>
      </c>
      <c r="T355">
        <f>IF((((inputs!$P$12/(V355/MAX(K355:S355)))^(1/inputs!$O$12))-1)/inputs!$N$12&lt;0, 0, IF((((inputs!$P$12/(V355/MAX(K355:S355)))^(1/inputs!$O$12))-1)/inputs!$N$12&gt;inputs!$H$17, inputs!$H$17, (((inputs!$P$12/(V355/MAX(K355:S355)))^(1/inputs!$O$12))-1)/inputs!$N$12))</f>
        <v>589.58157382210118</v>
      </c>
      <c r="U355">
        <f>IF((((inputs!$P$12/(X355/MAX(K355:S355)))^(1/inputs!$O$12))-1)/inputs!$N$12&lt;0, 0, IF((((inputs!$P$12/(X355/MAX(K355:S355)))^(1/inputs!$O$12))-1)/inputs!$N$12&gt;inputs!$H$17, inputs!$H$17, (((inputs!$P$12/(X355/MAX(K355:S355)))^(1/inputs!$O$12))-1)/inputs!$N$12))</f>
        <v>47.598862872343375</v>
      </c>
      <c r="V355">
        <f>inputs!$E$78*(F355/inputs!$F$78)^(inputs!$E$84-1)</f>
        <v>3.6761156580544962E-2</v>
      </c>
      <c r="W355">
        <f>inputs!$E$85*(F355/inputs!$F$85)^(inputs!$E$84-1)</f>
        <v>1.6975624908959248</v>
      </c>
      <c r="X355">
        <f>inputs!$E$80*(F355/inputs!$F$80)^(inputs!$E$84-1)</f>
        <v>6.3389991748645285</v>
      </c>
      <c r="Y355">
        <f>inputs!$E$82*(F355/inputs!$F$82)^(inputs!$E$84-1)</f>
        <v>2.921544549295942</v>
      </c>
      <c r="Z355">
        <f t="shared" si="36"/>
        <v>4051.9069590060026</v>
      </c>
      <c r="AA355">
        <f t="shared" si="37"/>
        <v>87.745097437447754</v>
      </c>
    </row>
    <row r="356" spans="1:27" x14ac:dyDescent="0.3">
      <c r="A356" t="s">
        <v>167</v>
      </c>
      <c r="B356" t="s">
        <v>168</v>
      </c>
      <c r="C356" t="s">
        <v>73</v>
      </c>
      <c r="D356" t="s">
        <v>141</v>
      </c>
      <c r="E356">
        <v>116</v>
      </c>
      <c r="F356">
        <v>16.8</v>
      </c>
      <c r="G356" t="s">
        <v>158</v>
      </c>
      <c r="H356">
        <v>0.85</v>
      </c>
      <c r="I356">
        <f>MAX('Min rate concentrations'!$F$3:$F$368)</f>
        <v>67.5</v>
      </c>
      <c r="J356">
        <f>MAX('Min rate concentrations'!Y:Y)</f>
        <v>22.5</v>
      </c>
      <c r="K356">
        <f t="shared" si="35"/>
        <v>117.30031910873278</v>
      </c>
      <c r="L356">
        <f t="shared" si="40"/>
        <v>39.100106369577588</v>
      </c>
      <c r="M356">
        <f>IF((((1.18*F356^0.874)-(0.398*F356^0.85)/(1-H356)*H356)*(MAX('Min rate concentrations'!$P$3:$P$368)))/F356&gt;0, (((1.18*F356^0.874)-(0.398*F356^0.85)/(1-H356)*H356)*(MAX('Min rate concentrations'!$P$3:$P$368)))/F356, 0)</f>
        <v>0</v>
      </c>
      <c r="N356">
        <f>IF((((1.18*F356^0.874)-(0.398*F356^0.85)/(1-H356)*H356)*(MAX('Min rate concentrations'!$Q$3:$Q$368)))/F356&gt;0, (((1.18*F356^0.874)-(0.398*F356^0.85)/(1-H356)*H356)*(MAX('Min rate concentrations'!$Q$3:$Q$368)))/F356, 0)</f>
        <v>0</v>
      </c>
      <c r="O356">
        <f>((MAX('Min rate concentrations'!$F$3:$F$368))*0.62*6.01*8*(10*F356^0.667)*0.079*0.1/F356)*inputs!$E$80/(10^(0.84+0.62*LOG10(inputs!$E$80)))</f>
        <v>9.5625602518468398</v>
      </c>
      <c r="P356">
        <f>((MAX('Min rate concentrations'!Y:Y))*0.62*6.01*8*(10*F356^0.667)*0.079*0.1/F356)*inputs!$E$80/(10^(0.84+0.62*LOG10(inputs!$E$80)))</f>
        <v>3.1875200839489457</v>
      </c>
      <c r="Q356">
        <f>(inputs!$C$7*11.2*(10*F356^0.667)*0.5/F356)*inputs!$E$80/(10^(0.84+0.62*LOG10(inputs!$E$80)))</f>
        <v>1.6843998858006812</v>
      </c>
      <c r="R356">
        <f>(60*284*((F356/1000)^0.77)*3*24*(MAX('Min rate concentrations'!$R$3:$R$368))/F356)*(inputs!$E$73*3.4/inputs!$E$75)</f>
        <v>1.1998152294661531E-2</v>
      </c>
      <c r="S356">
        <f>(IF(inputs!$C$6="aerial",((0.025*0.112*inputs!$C$7/3.3)*(3*60*284*((F356/1000)^0.77))*MAX(inputs!$H$14:$H$16))/F356,((0.0083*0.112*inputs!$C$7/1)*(3*60*284*((F356/1000)^0.77))*MAX(inputs!$H$14:$H$16))/F356))*(inputs!E$75*3.4/inputs!$E$73)</f>
        <v>6.6170547051249126E-2</v>
      </c>
      <c r="T356">
        <f>IF((((inputs!$P$12/(V356/MAX(K356:S356)))^(1/inputs!$O$12))-1)/inputs!$N$12&lt;0, 0, IF((((inputs!$P$12/(V356/MAX(K356:S356)))^(1/inputs!$O$12))-1)/inputs!$N$12&gt;inputs!$H$17, inputs!$H$17, (((inputs!$P$12/(V356/MAX(K356:S356)))^(1/inputs!$O$12))-1)/inputs!$N$12))</f>
        <v>532.35155464644072</v>
      </c>
      <c r="U356">
        <f>IF((((inputs!$P$12/(X356/MAX(K356:S356)))^(1/inputs!$O$12))-1)/inputs!$N$12&lt;0, 0, IF((((inputs!$P$12/(X356/MAX(K356:S356)))^(1/inputs!$O$12))-1)/inputs!$N$12&gt;inputs!$H$17, inputs!$H$17, (((inputs!$P$12/(X356/MAX(K356:S356)))^(1/inputs!$O$12))-1)/inputs!$N$12))</f>
        <v>40.553451474321861</v>
      </c>
      <c r="V356">
        <f>inputs!$E$78*(F356/inputs!$F$78)^(inputs!$E$84-1)</f>
        <v>3.6761156580544962E-2</v>
      </c>
      <c r="W356">
        <f>inputs!$E$85*(F356/inputs!$F$85)^(inputs!$E$84-1)</f>
        <v>1.6975624908959248</v>
      </c>
      <c r="X356">
        <f>inputs!$E$80*(F356/inputs!$F$80)^(inputs!$E$84-1)</f>
        <v>6.3389991748645285</v>
      </c>
      <c r="Y356">
        <f>inputs!$E$82*(F356/inputs!$F$82)^(inputs!$E$84-1)</f>
        <v>2.921544549295942</v>
      </c>
      <c r="Z356">
        <f t="shared" si="36"/>
        <v>3190.8767302172264</v>
      </c>
      <c r="AA356">
        <f t="shared" si="37"/>
        <v>69.099264231990091</v>
      </c>
    </row>
    <row r="357" spans="1:27" x14ac:dyDescent="0.3">
      <c r="A357" t="s">
        <v>167</v>
      </c>
      <c r="B357" t="s">
        <v>168</v>
      </c>
      <c r="C357" t="s">
        <v>73</v>
      </c>
      <c r="D357" t="s">
        <v>141</v>
      </c>
      <c r="E357">
        <v>116</v>
      </c>
      <c r="F357">
        <v>16.8</v>
      </c>
      <c r="G357" t="s">
        <v>154</v>
      </c>
      <c r="H357">
        <v>9.2999999999999999E-2</v>
      </c>
      <c r="I357">
        <f>MAX('Min rate concentrations'!$G$3:$G$368)</f>
        <v>7.5</v>
      </c>
      <c r="J357">
        <f>MAX('Min rate concentrations'!Z:Z)</f>
        <v>3.5</v>
      </c>
      <c r="K357">
        <f t="shared" si="35"/>
        <v>2.155463416183991</v>
      </c>
      <c r="M357">
        <f>IF((((1.18*F357^0.874)-(0.398*F357^0.85)/(1-H357)*H357)*(MAX('Min rate concentrations'!$P$3:$P$368)))/F357&gt;0, (((1.18*F357^0.874)-(0.398*F357^0.85)/(1-H357)*H357)*(MAX('Min rate concentrations'!$P$3:$P$368)))/F357, 0)</f>
        <v>0.11615449473695885</v>
      </c>
      <c r="N357">
        <f>IF((((1.18*F357^0.874)-(0.398*F357^0.85)/(1-H357)*H357)*(MAX('Min rate concentrations'!$Q$3:$Q$368)))/F357&gt;0, (((1.18*F357^0.874)-(0.398*F357^0.85)/(1-H357)*H357)*(MAX('Min rate concentrations'!$Q$3:$Q$368)))/F357, 0)</f>
        <v>0.44232255713507668</v>
      </c>
      <c r="O357">
        <f>((MAX('Min rate concentrations'!$F$3:$F$368))*0.62*6.01*8*(10*F357^0.667)*0.079*0.1/F357)*inputs!$E$80/(10^(0.84+0.62*LOG10(inputs!$E$80)))</f>
        <v>9.5625602518468398</v>
      </c>
      <c r="P357">
        <f>((MAX('Min rate concentrations'!Y:Y))*0.62*6.01*8*(10*F357^0.667)*0.079*0.1/F357)*inputs!$E$80/(10^(0.84+0.62*LOG10(inputs!$E$80)))</f>
        <v>3.1875200839489457</v>
      </c>
      <c r="Q357">
        <f>(inputs!$C$7*11.2*(10*F357^0.667)*0.5/F357)*inputs!$E$80/(10^(0.84+0.62*LOG10(inputs!$E$80)))</f>
        <v>1.6843998858006812</v>
      </c>
      <c r="R357">
        <f>(60*284*((F357/1000)^0.77)*3*24*(MAX('Min rate concentrations'!$R$3:$R$368))/F357)*(inputs!$E$73*3.4/inputs!$E$75)</f>
        <v>1.1998152294661531E-2</v>
      </c>
      <c r="S357">
        <f>(IF(inputs!$C$6="aerial",((0.025*0.112*inputs!$C$7/3.3)*(3*60*284*((F357/1000)^0.77))*MAX(inputs!$H$14:$H$16))/F357,((0.0083*0.112*inputs!$C$7/1)*(3*60*284*((F357/1000)^0.77))*MAX(inputs!$H$14:$H$16))/F357))*(inputs!E$75*3.4/inputs!$E$73)</f>
        <v>6.6170547051249126E-2</v>
      </c>
      <c r="T357">
        <f>IF((((inputs!$P$12/(V357/MAX(K357:S357)))^(1/inputs!$O$12))-1)/inputs!$N$12&lt;0, 0, IF((((inputs!$P$12/(V357/MAX(K357:S357)))^(1/inputs!$O$12))-1)/inputs!$N$12&gt;inputs!$H$17, inputs!$H$17, (((inputs!$P$12/(V357/MAX(K357:S357)))^(1/inputs!$O$12))-1)/inputs!$N$12))</f>
        <v>173.81983242117337</v>
      </c>
      <c r="U357">
        <f>IF((((inputs!$P$12/(X357/MAX(K357:S357)))^(1/inputs!$O$12))-1)/inputs!$N$12&lt;0, 0, IF((((inputs!$P$12/(X357/MAX(K357:S357)))^(1/inputs!$O$12))-1)/inputs!$N$12&gt;inputs!$H$17, inputs!$H$17, (((inputs!$P$12/(X357/MAX(K357:S357)))^(1/inputs!$O$12))-1)/inputs!$N$12))</f>
        <v>0</v>
      </c>
      <c r="V357">
        <f>inputs!$E$78*(F357/inputs!$F$78)^(inputs!$E$84-1)</f>
        <v>3.6761156580544962E-2</v>
      </c>
      <c r="W357">
        <f>inputs!$E$85*(F357/inputs!$F$85)^(inputs!$E$84-1)</f>
        <v>1.6975624908959248</v>
      </c>
      <c r="X357">
        <f>inputs!$E$80*(F357/inputs!$F$80)^(inputs!$E$84-1)</f>
        <v>6.3389991748645285</v>
      </c>
      <c r="Y357">
        <f>inputs!$E$82*(F357/inputs!$F$82)^(inputs!$E$84-1)</f>
        <v>2.921544549295942</v>
      </c>
      <c r="Z357">
        <f t="shared" si="36"/>
        <v>260.12675174936186</v>
      </c>
      <c r="AA357">
        <f t="shared" si="37"/>
        <v>5.6331123614777763</v>
      </c>
    </row>
    <row r="358" spans="1:27" x14ac:dyDescent="0.3">
      <c r="A358" t="s">
        <v>287</v>
      </c>
      <c r="B358" t="s">
        <v>288</v>
      </c>
      <c r="C358" t="s">
        <v>73</v>
      </c>
      <c r="D358" t="s">
        <v>141</v>
      </c>
      <c r="E358">
        <v>86</v>
      </c>
      <c r="F358">
        <v>37</v>
      </c>
      <c r="G358" t="s">
        <v>142</v>
      </c>
      <c r="H358">
        <v>0.69</v>
      </c>
      <c r="I358">
        <f>MAX('Min rate concentrations'!$H$3:$H$368)</f>
        <v>47</v>
      </c>
      <c r="J358">
        <f>MAX('Min rate concentrations'!AA:AA)</f>
        <v>32.5</v>
      </c>
      <c r="K358">
        <f t="shared" si="35"/>
        <v>35.106616697932644</v>
      </c>
      <c r="L358">
        <f>((0.398*F358^0.85)/(1-H358))*J358/F358</f>
        <v>24.275851971974699</v>
      </c>
      <c r="M358">
        <f>IF((((1.18*F358^0.874)-(0.398*F358^0.85)/(1-H358)*H358)*(MAX('Min rate concentrations'!$P$3:$P$368)))/F358&gt;0, (((1.18*F358^0.874)-(0.398*F358^0.85)/(1-H358)*H358)*(MAX('Min rate concentrations'!$P$3:$P$368)))/F358, 0)</f>
        <v>3.3858944717242337E-2</v>
      </c>
      <c r="N358">
        <f>IF((((1.18*F358^0.874)-(0.398*F358^0.85)/(1-H358)*H358)*(MAX('Min rate concentrations'!$Q$3:$Q$368)))/F358&gt;0, (((1.18*F358^0.874)-(0.398*F358^0.85)/(1-H358)*H358)*(MAX('Min rate concentrations'!$Q$3:$Q$368)))/F358, 0)</f>
        <v>0.12893668078141513</v>
      </c>
      <c r="O358">
        <f>((MAX('Min rate concentrations'!$F$3:$F$368))*0.62*6.01*8*(10*F358^0.667)*0.079*0.1/F358)*inputs!$E$80/(10^(0.84+0.62*LOG10(inputs!$E$80)))</f>
        <v>7.3517545883800954</v>
      </c>
      <c r="P358">
        <f>((MAX('Min rate concentrations'!Y:Y))*0.62*6.01*8*(10*F358^0.667)*0.079*0.1/F358)*inputs!$E$80/(10^(0.84+0.62*LOG10(inputs!$E$80)))</f>
        <v>2.4505848627933648</v>
      </c>
      <c r="Q358">
        <f>(inputs!$C$7*11.2*(10*F358^0.667)*0.5/F358)*inputs!$E$80/(10^(0.84+0.62*LOG10(inputs!$E$80)))</f>
        <v>1.294976895618561</v>
      </c>
      <c r="R358">
        <f>(60*284*((F358/1000)^0.77)*3*24*(MAX('Min rate concentrations'!$R$3:$R$368))/F358)*(inputs!$E$73*3.4/inputs!$E$75)</f>
        <v>1.0005737579957803E-2</v>
      </c>
      <c r="S358">
        <f>(IF(inputs!$C$6="aerial",((0.025*0.112*inputs!$C$7/3.3)*(3*60*284*((F358/1000)^0.77))*MAX(inputs!$H$14:$H$16))/F358,((0.0083*0.112*inputs!$C$7/1)*(3*60*284*((F358/1000)^0.77))*MAX(inputs!$H$14:$H$16))/F358))*(inputs!E$75*3.4/inputs!$E$73)</f>
        <v>5.5182257489066709E-2</v>
      </c>
      <c r="T358">
        <f>IF((((inputs!$P$12/(V358/MAX(K358:S358)))^(1/inputs!$O$12))-1)/inputs!$N$12&lt;0, 0, IF((((inputs!$P$12/(V358/MAX(K358:S358)))^(1/inputs!$O$12))-1)/inputs!$N$12&gt;inputs!$H$17, inputs!$H$17, (((inputs!$P$12/(V358/MAX(K358:S358)))^(1/inputs!$O$12))-1)/inputs!$N$12))</f>
        <v>358.18838006864775</v>
      </c>
      <c r="U358">
        <f>IF((((inputs!$P$12/(X358/MAX(K358:S358)))^(1/inputs!$O$12))-1)/inputs!$N$12&lt;0, 0, IF((((inputs!$P$12/(X358/MAX(K358:S358)))^(1/inputs!$O$12))-1)/inputs!$N$12&gt;inputs!$H$17, inputs!$H$17, (((inputs!$P$12/(X358/MAX(K358:S358)))^(1/inputs!$O$12))-1)/inputs!$N$12))</f>
        <v>19.112759457083378</v>
      </c>
      <c r="V358">
        <f>inputs!$E$78*(F358/inputs!$F$78)^(inputs!$E$84-1)</f>
        <v>2.7448521921752091E-2</v>
      </c>
      <c r="W358">
        <f>inputs!$E$85*(F358/inputs!$F$85)^(inputs!$E$84-1)</f>
        <v>1.267522177731496</v>
      </c>
      <c r="X358">
        <f>inputs!$E$80*(F358/inputs!$F$80)^(inputs!$E$84-1)</f>
        <v>4.7331524358328005</v>
      </c>
      <c r="Y358">
        <f>inputs!$E$82*(F358/inputs!$F$82)^(inputs!$E$84-1)</f>
        <v>2.1814351632550348</v>
      </c>
      <c r="Z358">
        <f t="shared" si="36"/>
        <v>1278.9984392606493</v>
      </c>
      <c r="AA358">
        <f t="shared" si="37"/>
        <v>27.69704334543755</v>
      </c>
    </row>
    <row r="359" spans="1:27" x14ac:dyDescent="0.3">
      <c r="A359" t="s">
        <v>287</v>
      </c>
      <c r="B359" t="s">
        <v>288</v>
      </c>
      <c r="C359" t="s">
        <v>73</v>
      </c>
      <c r="D359" t="s">
        <v>141</v>
      </c>
      <c r="E359">
        <v>86</v>
      </c>
      <c r="F359">
        <v>37</v>
      </c>
      <c r="G359" t="s">
        <v>152</v>
      </c>
      <c r="H359">
        <v>0.77</v>
      </c>
      <c r="I359">
        <f>MAX('Min rate concentrations'!$G$3:$G$368)</f>
        <v>7.5</v>
      </c>
      <c r="J359">
        <f>MAX('Min rate concentrations'!Z:Z)</f>
        <v>3.5</v>
      </c>
      <c r="K359">
        <f t="shared" si="35"/>
        <v>7.5506830548282524</v>
      </c>
      <c r="L359">
        <f>((0.398*F359^0.85)/(1-H359))*J359/F359</f>
        <v>3.5236520922531849</v>
      </c>
      <c r="M359">
        <f>IF((((1.18*F359^0.874)-(0.398*F359^0.85)/(1-H359)*H359)*(MAX('Min rate concentrations'!$P$3:$P$368)))/F359&gt;0, (((1.18*F359^0.874)-(0.398*F359^0.85)/(1-H359)*H359)*(MAX('Min rate concentrations'!$P$3:$P$368)))/F359, 0)</f>
        <v>0</v>
      </c>
      <c r="N359">
        <f>IF((((1.18*F359^0.874)-(0.398*F359^0.85)/(1-H359)*H359)*(MAX('Min rate concentrations'!$Q$3:$Q$368)))/F359&gt;0, (((1.18*F359^0.874)-(0.398*F359^0.85)/(1-H359)*H359)*(MAX('Min rate concentrations'!$Q$3:$Q$368)))/F359, 0)</f>
        <v>0</v>
      </c>
      <c r="O359">
        <f>((MAX('Min rate concentrations'!$F$3:$F$368))*0.62*6.01*8*(10*F359^0.667)*0.079*0.1/F359)*inputs!$E$80/(10^(0.84+0.62*LOG10(inputs!$E$80)))</f>
        <v>7.3517545883800954</v>
      </c>
      <c r="P359">
        <f>((MAX('Min rate concentrations'!Y:Y))*0.62*6.01*8*(10*F359^0.667)*0.079*0.1/F359)*inputs!$E$80/(10^(0.84+0.62*LOG10(inputs!$E$80)))</f>
        <v>2.4505848627933648</v>
      </c>
      <c r="Q359">
        <f>(inputs!$C$7*11.2*(10*F359^0.667)*0.5/F359)*inputs!$E$80/(10^(0.84+0.62*LOG10(inputs!$E$80)))</f>
        <v>1.294976895618561</v>
      </c>
      <c r="R359">
        <f>(60*284*((F359/1000)^0.77)*3*24*(MAX('Min rate concentrations'!$R$3:$R$368))/F359)*(inputs!$E$73*3.4/inputs!$E$75)</f>
        <v>1.0005737579957803E-2</v>
      </c>
      <c r="S359">
        <f>(IF(inputs!$C$6="aerial",((0.025*0.112*inputs!$C$7/3.3)*(3*60*284*((F359/1000)^0.77))*MAX(inputs!$H$14:$H$16))/F359,((0.0083*0.112*inputs!$C$7/1)*(3*60*284*((F359/1000)^0.77))*MAX(inputs!$H$14:$H$16))/F359))*(inputs!E$75*3.4/inputs!$E$73)</f>
        <v>5.5182257489066709E-2</v>
      </c>
      <c r="T359">
        <f>IF((((inputs!$P$12/(V359/MAX(K359:S359)))^(1/inputs!$O$12))-1)/inputs!$N$12&lt;0, 0, IF((((inputs!$P$12/(V359/MAX(K359:S359)))^(1/inputs!$O$12))-1)/inputs!$N$12&gt;inputs!$H$17, inputs!$H$17, (((inputs!$P$12/(V359/MAX(K359:S359)))^(1/inputs!$O$12))-1)/inputs!$N$12))</f>
        <v>178.47335209282861</v>
      </c>
      <c r="U359">
        <f>IF((((inputs!$P$12/(X359/MAX(K359:S359)))^(1/inputs!$O$12))-1)/inputs!$N$12&lt;0, 0, IF((((inputs!$P$12/(X359/MAX(K359:S359)))^(1/inputs!$O$12))-1)/inputs!$N$12&gt;inputs!$H$17, inputs!$H$17, (((inputs!$P$12/(X359/MAX(K359:S359)))^(1/inputs!$O$12))-1)/inputs!$N$12))</f>
        <v>0</v>
      </c>
      <c r="V359">
        <f>inputs!$E$78*(F359/inputs!$F$78)^(inputs!$E$84-1)</f>
        <v>2.7448521921752091E-2</v>
      </c>
      <c r="W359">
        <f>inputs!$E$85*(F359/inputs!$F$85)^(inputs!$E$84-1)</f>
        <v>1.267522177731496</v>
      </c>
      <c r="X359">
        <f>inputs!$E$80*(F359/inputs!$F$80)^(inputs!$E$84-1)</f>
        <v>4.7331524358328005</v>
      </c>
      <c r="Y359">
        <f>inputs!$E$82*(F359/inputs!$F$82)^(inputs!$E$84-1)</f>
        <v>2.1814351632550348</v>
      </c>
      <c r="Z359">
        <f t="shared" si="36"/>
        <v>275.08523323598615</v>
      </c>
      <c r="AA359">
        <f t="shared" si="37"/>
        <v>5.957042162640362</v>
      </c>
    </row>
    <row r="360" spans="1:27" x14ac:dyDescent="0.3">
      <c r="A360" t="s">
        <v>287</v>
      </c>
      <c r="B360" t="s">
        <v>288</v>
      </c>
      <c r="C360" t="s">
        <v>73</v>
      </c>
      <c r="D360" t="s">
        <v>141</v>
      </c>
      <c r="E360">
        <v>86</v>
      </c>
      <c r="F360">
        <v>37</v>
      </c>
      <c r="G360" t="s">
        <v>146</v>
      </c>
      <c r="H360">
        <v>0.84</v>
      </c>
      <c r="I360">
        <f>MAX('Min rate concentrations'!$I$3:$I$368)</f>
        <v>9.4775690500787988</v>
      </c>
      <c r="J360" t="s">
        <v>13</v>
      </c>
      <c r="K360">
        <f t="shared" si="35"/>
        <v>13.716073005250646</v>
      </c>
      <c r="L360" t="s">
        <v>13</v>
      </c>
      <c r="M360">
        <f>IF((((1.18*F360^0.874)-(0.398*F360^0.85)/(1-H360)*H360)*(MAX('Min rate concentrations'!$P$3:$P$368)))/F360&gt;0, (((1.18*F360^0.874)-(0.398*F360^0.85)/(1-H360)*H360)*(MAX('Min rate concentrations'!$P$3:$P$368)))/F360, 0)</f>
        <v>0</v>
      </c>
      <c r="N360">
        <f>IF((((1.18*F360^0.874)-(0.398*F360^0.85)/(1-H360)*H360)*(MAX('Min rate concentrations'!$Q$3:$Q$368)))/F360&gt;0, (((1.18*F360^0.874)-(0.398*F360^0.85)/(1-H360)*H360)*(MAX('Min rate concentrations'!$Q$3:$Q$368)))/F360, 0)</f>
        <v>0</v>
      </c>
      <c r="O360">
        <f>((MAX('Min rate concentrations'!$F$3:$F$368))*0.62*6.01*8*(10*F360^0.667)*0.079*0.1/F360)*inputs!$E$80/(10^(0.84+0.62*LOG10(inputs!$E$80)))</f>
        <v>7.3517545883800954</v>
      </c>
      <c r="P360">
        <f>((MAX('Min rate concentrations'!Y:Y))*0.62*6.01*8*(10*F360^0.667)*0.079*0.1/F360)*inputs!$E$80/(10^(0.84+0.62*LOG10(inputs!$E$80)))</f>
        <v>2.4505848627933648</v>
      </c>
      <c r="Q360">
        <f>(inputs!$C$7*11.2*(10*F360^0.667)*0.5/F360)*inputs!$E$80/(10^(0.84+0.62*LOG10(inputs!$E$80)))</f>
        <v>1.294976895618561</v>
      </c>
      <c r="R360">
        <f>(60*284*((F360/1000)^0.77)*3*24*(MAX('Min rate concentrations'!$R$3:$R$368))/F360)*(inputs!$E$73*3.4/inputs!$E$75)</f>
        <v>1.0005737579957803E-2</v>
      </c>
      <c r="S360">
        <f>(IF(inputs!$C$6="aerial",((0.025*0.112*inputs!$C$7/3.3)*(3*60*284*((F360/1000)^0.77))*MAX(inputs!$H$14:$H$16))/F360,((0.0083*0.112*inputs!$C$7/1)*(3*60*284*((F360/1000)^0.77))*MAX(inputs!$H$14:$H$16))/F360))*(inputs!E$75*3.4/inputs!$E$73)</f>
        <v>5.5182257489066709E-2</v>
      </c>
      <c r="T360">
        <f>IF((((inputs!$P$12/(V360/MAX(K360:S360)))^(1/inputs!$O$12))-1)/inputs!$N$12&lt;0, 0, IF((((inputs!$P$12/(V360/MAX(K360:S360)))^(1/inputs!$O$12))-1)/inputs!$N$12&gt;inputs!$H$17, inputs!$H$17, (((inputs!$P$12/(V360/MAX(K360:S360)))^(1/inputs!$O$12))-1)/inputs!$N$12))</f>
        <v>235.34780610972541</v>
      </c>
      <c r="U360">
        <f>IF((((inputs!$P$12/(X360/MAX(K360:S360)))^(1/inputs!$O$12))-1)/inputs!$N$12&lt;0, 0, IF((((inputs!$P$12/(X360/MAX(K360:S360)))^(1/inputs!$O$12))-1)/inputs!$N$12&gt;inputs!$H$17, inputs!$H$17, (((inputs!$P$12/(X360/MAX(K360:S360)))^(1/inputs!$O$12))-1)/inputs!$N$12))</f>
        <v>3.9902347335940465</v>
      </c>
      <c r="V360">
        <f>inputs!$E$78*(F360/inputs!$F$78)^(inputs!$E$84-1)</f>
        <v>2.7448521921752091E-2</v>
      </c>
      <c r="W360">
        <f>inputs!$E$85*(F360/inputs!$F$85)^(inputs!$E$84-1)</f>
        <v>1.267522177731496</v>
      </c>
      <c r="X360">
        <f>inputs!$E$80*(F360/inputs!$F$80)^(inputs!$E$84-1)</f>
        <v>4.7331524358328005</v>
      </c>
      <c r="Y360">
        <f>inputs!$E$82*(F360/inputs!$F$82)^(inputs!$E$84-1)</f>
        <v>2.1814351632550348</v>
      </c>
      <c r="Z360">
        <f t="shared" si="36"/>
        <v>499.70169775812553</v>
      </c>
      <c r="AA360">
        <f t="shared" si="37"/>
        <v>10.821170032542163</v>
      </c>
    </row>
    <row r="361" spans="1:27" x14ac:dyDescent="0.3">
      <c r="A361" t="s">
        <v>230</v>
      </c>
      <c r="B361" t="s">
        <v>231</v>
      </c>
      <c r="C361" t="s">
        <v>73</v>
      </c>
      <c r="D361" t="s">
        <v>141</v>
      </c>
      <c r="E361">
        <v>149</v>
      </c>
      <c r="F361">
        <v>12</v>
      </c>
      <c r="G361" t="s">
        <v>142</v>
      </c>
      <c r="H361">
        <v>0.69</v>
      </c>
      <c r="I361">
        <f>MAX('Min rate concentrations'!$H$3:$H$368)</f>
        <v>47</v>
      </c>
      <c r="J361">
        <f>MAX('Min rate concentrations'!AA:AA)</f>
        <v>32.5</v>
      </c>
      <c r="K361">
        <f t="shared" si="35"/>
        <v>41.566365227507724</v>
      </c>
      <c r="L361">
        <f>((0.398*F361^0.85)/(1-H361))*J361/F361</f>
        <v>28.742699359446831</v>
      </c>
      <c r="M361">
        <f>IF((((1.18*F361^0.874)-(0.398*F361^0.85)/(1-H361)*H361)*(MAX('Min rate concentrations'!$P$3:$P$368)))/F361&gt;0, (((1.18*F361^0.874)-(0.398*F361^0.85)/(1-H361)*H361)*(MAX('Min rate concentrations'!$P$3:$P$368)))/F361, 0)</f>
        <v>3.6658661711296378E-2</v>
      </c>
      <c r="N361">
        <f>IF((((1.18*F361^0.874)-(0.398*F361^0.85)/(1-H361)*H361)*(MAX('Min rate concentrations'!$Q$3:$Q$368)))/F361&gt;0, (((1.18*F361^0.874)-(0.398*F361^0.85)/(1-H361)*H361)*(MAX('Min rate concentrations'!$Q$3:$Q$368)))/F361, 0)</f>
        <v>0.13959815352828489</v>
      </c>
      <c r="O361">
        <f>((MAX('Min rate concentrations'!$F$3:$F$368))*0.62*6.01*8*(10*F361^0.667)*0.079*0.1/F361)*inputs!$E$80/(10^(0.84+0.62*LOG10(inputs!$E$80)))</f>
        <v>10.696330671681299</v>
      </c>
      <c r="P361">
        <f>((MAX('Min rate concentrations'!Y:Y))*0.62*6.01*8*(10*F361^0.667)*0.079*0.1/F361)*inputs!$E$80/(10^(0.84+0.62*LOG10(inputs!$E$80)))</f>
        <v>3.5654435572270979</v>
      </c>
      <c r="Q361">
        <f>(inputs!$C$7*11.2*(10*F361^0.667)*0.5/F361)*inputs!$E$80/(10^(0.84+0.62*LOG10(inputs!$E$80)))</f>
        <v>1.8841081977378034</v>
      </c>
      <c r="R361">
        <f>(60*284*((F361/1000)^0.77)*3*24*(MAX('Min rate concentrations'!$R$3:$R$368))/F361)*(inputs!$E$73*3.4/inputs!$E$75)</f>
        <v>1.2963546159451948E-2</v>
      </c>
      <c r="S361">
        <f>(IF(inputs!$C$6="aerial",((0.025*0.112*inputs!$C$7/3.3)*(3*60*284*((F361/1000)^0.77))*MAX(inputs!$H$14:$H$16))/F361,((0.0083*0.112*inputs!$C$7/1)*(3*60*284*((F361/1000)^0.77))*MAX(inputs!$H$14:$H$16))/F361))*(inputs!E$75*3.4/inputs!$E$73)</f>
        <v>7.1494753527735044E-2</v>
      </c>
      <c r="T361">
        <f>IF((((inputs!$P$12/(V361/MAX(K361:S361)))^(1/inputs!$O$12))-1)/inputs!$N$12&lt;0, 0, IF((((inputs!$P$12/(V361/MAX(K361:S361)))^(1/inputs!$O$12))-1)/inputs!$N$12&gt;inputs!$H$17, inputs!$H$17, (((inputs!$P$12/(V361/MAX(K361:S361)))^(1/inputs!$O$12))-1)/inputs!$N$12))</f>
        <v>321.1261171888811</v>
      </c>
      <c r="U361">
        <f>IF((((inputs!$P$12/(X361/MAX(K361:S361)))^(1/inputs!$O$12))-1)/inputs!$N$12&lt;0, 0, IF((((inputs!$P$12/(X361/MAX(K361:S361)))^(1/inputs!$O$12))-1)/inputs!$N$12&gt;inputs!$H$17, inputs!$H$17, (((inputs!$P$12/(X361/MAX(K361:S361)))^(1/inputs!$O$12))-1)/inputs!$N$12))</f>
        <v>14.550138421991551</v>
      </c>
      <c r="V361">
        <f>inputs!$E$78*(F361/inputs!$F$78)^(inputs!$E$84-1)</f>
        <v>4.1634805476433931E-2</v>
      </c>
      <c r="W361">
        <f>inputs!$E$85*(F361/inputs!$F$85)^(inputs!$E$84-1)</f>
        <v>1.9226186188588823</v>
      </c>
      <c r="X361">
        <f>inputs!$E$80*(F361/inputs!$F$80)^(inputs!$E$84-1)</f>
        <v>7.1793986400426615</v>
      </c>
      <c r="Y361">
        <f>inputs!$E$82*(F361/inputs!$F$82)^(inputs!$E$84-1)</f>
        <v>3.308871382600802</v>
      </c>
      <c r="Z361">
        <f t="shared" si="36"/>
        <v>998.35617704603078</v>
      </c>
      <c r="AA361">
        <f t="shared" si="37"/>
        <v>21.619662277159421</v>
      </c>
    </row>
    <row r="362" spans="1:27" x14ac:dyDescent="0.3">
      <c r="A362" t="s">
        <v>178</v>
      </c>
      <c r="B362" t="s">
        <v>179</v>
      </c>
      <c r="C362" t="s">
        <v>73</v>
      </c>
      <c r="D362" t="s">
        <v>141</v>
      </c>
      <c r="E362">
        <v>9966</v>
      </c>
      <c r="F362">
        <v>18.2</v>
      </c>
      <c r="G362" t="s">
        <v>142</v>
      </c>
      <c r="H362">
        <v>0.69</v>
      </c>
      <c r="I362">
        <f>MAX('Min rate concentrations'!$H$3:$H$368)</f>
        <v>47</v>
      </c>
      <c r="J362">
        <f>MAX('Min rate concentrations'!AA:AA)</f>
        <v>32.5</v>
      </c>
      <c r="K362">
        <f t="shared" si="35"/>
        <v>39.048875146477805</v>
      </c>
      <c r="L362">
        <f>((0.398*F362^0.85)/(1-H362))*J362/F362</f>
        <v>27.001881750224012</v>
      </c>
      <c r="M362">
        <f>IF((((1.18*F362^0.874)-(0.398*F362^0.85)/(1-H362)*H362)*(MAX('Min rate concentrations'!$P$3:$P$368)))/F362&gt;0, (((1.18*F362^0.874)-(0.398*F362^0.85)/(1-H362)*H362)*(MAX('Min rate concentrations'!$P$3:$P$368)))/F362, 0)</f>
        <v>3.5620354020581682E-2</v>
      </c>
      <c r="N362">
        <f>IF((((1.18*F362^0.874)-(0.398*F362^0.85)/(1-H362)*H362)*(MAX('Min rate concentrations'!$Q$3:$Q$368)))/F362&gt;0, (((1.18*F362^0.874)-(0.398*F362^0.85)/(1-H362)*H362)*(MAX('Min rate concentrations'!$Q$3:$Q$368)))/F362, 0)</f>
        <v>0.13564422205202142</v>
      </c>
      <c r="O362">
        <f>((MAX('Min rate concentrations'!$F$3:$F$368))*0.62*6.01*8*(10*F362^0.667)*0.079*0.1/F362)*inputs!$E$80/(10^(0.84+0.62*LOG10(inputs!$E$80)))</f>
        <v>9.3110445198880516</v>
      </c>
      <c r="P362">
        <f>((MAX('Min rate concentrations'!Y:Y))*0.62*6.01*8*(10*F362^0.667)*0.079*0.1/F362)*inputs!$E$80/(10^(0.84+0.62*LOG10(inputs!$E$80)))</f>
        <v>3.1036815066293504</v>
      </c>
      <c r="Q362">
        <f>(inputs!$C$7*11.2*(10*F362^0.667)*0.5/F362)*inputs!$E$80/(10^(0.84+0.62*LOG10(inputs!$E$80)))</f>
        <v>1.6400965759097308</v>
      </c>
      <c r="R362">
        <f>(60*284*((F362/1000)^0.77)*3*24*(MAX('Min rate concentrations'!$R$3:$R$368))/F362)*(inputs!$E$73*3.4/inputs!$E$75)</f>
        <v>1.1779289233905702E-2</v>
      </c>
      <c r="S362">
        <f>(IF(inputs!$C$6="aerial",((0.025*0.112*inputs!$C$7/3.3)*(3*60*284*((F362/1000)^0.77))*MAX(inputs!$H$14:$H$16))/F362,((0.0083*0.112*inputs!$C$7/1)*(3*60*284*((F362/1000)^0.77))*MAX(inputs!$H$14:$H$16))/F362))*(inputs!E$75*3.4/inputs!$E$73)</f>
        <v>6.4963503824604335E-2</v>
      </c>
      <c r="T362">
        <f>IF((((inputs!$P$12/(V362/MAX(K362:S362)))^(1/inputs!$O$12))-1)/inputs!$N$12&lt;0, 0, IF((((inputs!$P$12/(V362/MAX(K362:S362)))^(1/inputs!$O$12))-1)/inputs!$N$12&gt;inputs!$H$17, inputs!$H$17, (((inputs!$P$12/(V362/MAX(K362:S362)))^(1/inputs!$O$12))-1)/inputs!$N$12))</f>
        <v>334.40236034707544</v>
      </c>
      <c r="U362">
        <f>IF((((inputs!$P$12/(X362/MAX(K362:S362)))^(1/inputs!$O$12))-1)/inputs!$N$12&lt;0, 0, IF((((inputs!$P$12/(X362/MAX(K362:S362)))^(1/inputs!$O$12))-1)/inputs!$N$12&gt;inputs!$H$17, inputs!$H$17, (((inputs!$P$12/(X362/MAX(K362:S362)))^(1/inputs!$O$12))-1)/inputs!$N$12))</f>
        <v>16.184535827705293</v>
      </c>
      <c r="V362">
        <f>inputs!$E$78*(F362/inputs!$F$78)^(inputs!$E$84-1)</f>
        <v>3.5688408999152169E-2</v>
      </c>
      <c r="W362">
        <f>inputs!$E$85*(F362/inputs!$F$85)^(inputs!$E$84-1)</f>
        <v>1.6480249837616827</v>
      </c>
      <c r="X362">
        <f>inputs!$E$80*(F362/inputs!$F$80)^(inputs!$E$84-1)</f>
        <v>6.1540173444265367</v>
      </c>
      <c r="Y362">
        <f>inputs!$E$82*(F362/inputs!$F$82)^(inputs!$E$84-1)</f>
        <v>2.8362893467747248</v>
      </c>
      <c r="Z362">
        <f t="shared" si="36"/>
        <v>1094.1612764919128</v>
      </c>
      <c r="AA362">
        <f t="shared" si="37"/>
        <v>23.694346585297019</v>
      </c>
    </row>
    <row r="363" spans="1:27" x14ac:dyDescent="0.3">
      <c r="A363" t="s">
        <v>178</v>
      </c>
      <c r="B363" t="s">
        <v>179</v>
      </c>
      <c r="C363" t="s">
        <v>73</v>
      </c>
      <c r="D363" t="s">
        <v>141</v>
      </c>
      <c r="E363">
        <v>9966</v>
      </c>
      <c r="F363">
        <v>18.2</v>
      </c>
      <c r="G363" t="s">
        <v>154</v>
      </c>
      <c r="H363">
        <v>9.2999999999999999E-2</v>
      </c>
      <c r="I363">
        <f>MAX('Min rate concentrations'!$G$3:$G$368)</f>
        <v>7.5</v>
      </c>
      <c r="J363">
        <f>MAX('Min rate concentrations'!Z:Z)</f>
        <v>3.5</v>
      </c>
      <c r="K363">
        <f t="shared" si="35"/>
        <v>2.1297387861681232</v>
      </c>
      <c r="M363">
        <f>IF((((1.18*F363^0.874)-(0.398*F363^0.85)/(1-H363)*H363)*(MAX('Min rate concentrations'!$P$3:$P$368)))/F363&gt;0, (((1.18*F363^0.874)-(0.398*F363^0.85)/(1-H363)*H363)*(MAX('Min rate concentrations'!$P$3:$P$368)))/F363, 0)</f>
        <v>0.1149962906075165</v>
      </c>
      <c r="N363">
        <f>IF((((1.18*F363^0.874)-(0.398*F363^0.85)/(1-H363)*H363)*(MAX('Min rate concentrations'!$Q$3:$Q$368)))/F363&gt;0, (((1.18*F363^0.874)-(0.398*F363^0.85)/(1-H363)*H363)*(MAX('Min rate concentrations'!$Q$3:$Q$368)))/F363, 0)</f>
        <v>0.43791205357790058</v>
      </c>
      <c r="O363">
        <f>((MAX('Min rate concentrations'!$F$3:$F$368))*0.62*6.01*8*(10*F363^0.667)*0.079*0.1/F363)*inputs!$E$80/(10^(0.84+0.62*LOG10(inputs!$E$80)))</f>
        <v>9.3110445198880516</v>
      </c>
      <c r="P363">
        <f>((MAX('Min rate concentrations'!Y:Y))*0.62*6.01*8*(10*F363^0.667)*0.079*0.1/F363)*inputs!$E$80/(10^(0.84+0.62*LOG10(inputs!$E$80)))</f>
        <v>3.1036815066293504</v>
      </c>
      <c r="Q363">
        <f>(inputs!$C$7*11.2*(10*F363^0.667)*0.5/F363)*inputs!$E$80/(10^(0.84+0.62*LOG10(inputs!$E$80)))</f>
        <v>1.6400965759097308</v>
      </c>
      <c r="R363">
        <f>(60*284*((F363/1000)^0.77)*3*24*(MAX('Min rate concentrations'!$R$3:$R$368))/F363)*(inputs!$E$73*3.4/inputs!$E$75)</f>
        <v>1.1779289233905702E-2</v>
      </c>
      <c r="S363">
        <f>(IF(inputs!$C$6="aerial",((0.025*0.112*inputs!$C$7/3.3)*(3*60*284*((F363/1000)^0.77))*MAX(inputs!$H$14:$H$16))/F363,((0.0083*0.112*inputs!$C$7/1)*(3*60*284*((F363/1000)^0.77))*MAX(inputs!$H$14:$H$16))/F363))*(inputs!E$75*3.4/inputs!$E$73)</f>
        <v>6.4963503824604335E-2</v>
      </c>
      <c r="T363">
        <f>IF((((inputs!$P$12/(V363/MAX(K363:S363)))^(1/inputs!$O$12))-1)/inputs!$N$12&lt;0, 0, IF((((inputs!$P$12/(V363/MAX(K363:S363)))^(1/inputs!$O$12))-1)/inputs!$N$12&gt;inputs!$H$17, inputs!$H$17, (((inputs!$P$12/(V363/MAX(K363:S363)))^(1/inputs!$O$12))-1)/inputs!$N$12))</f>
        <v>174.0636776526859</v>
      </c>
      <c r="U363">
        <f>IF((((inputs!$P$12/(X363/MAX(K363:S363)))^(1/inputs!$O$12))-1)/inputs!$N$12&lt;0, 0, IF((((inputs!$P$12/(X363/MAX(K363:S363)))^(1/inputs!$O$12))-1)/inputs!$N$12&gt;inputs!$H$17, inputs!$H$17, (((inputs!$P$12/(X363/MAX(K363:S363)))^(1/inputs!$O$12))-1)/inputs!$N$12))</f>
        <v>0</v>
      </c>
      <c r="V363">
        <f>inputs!$E$78*(F363/inputs!$F$78)^(inputs!$E$84-1)</f>
        <v>3.5688408999152169E-2</v>
      </c>
      <c r="W363">
        <f>inputs!$E$85*(F363/inputs!$F$85)^(inputs!$E$84-1)</f>
        <v>1.6480249837616827</v>
      </c>
      <c r="X363">
        <f>inputs!$E$80*(F363/inputs!$F$80)^(inputs!$E$84-1)</f>
        <v>6.1540173444265367</v>
      </c>
      <c r="Y363">
        <f>inputs!$E$82*(F363/inputs!$F$82)^(inputs!$E$84-1)</f>
        <v>2.8362893467747248</v>
      </c>
      <c r="Z363">
        <f t="shared" si="36"/>
        <v>260.89827988995671</v>
      </c>
      <c r="AA363">
        <f t="shared" si="37"/>
        <v>5.6498200037205875</v>
      </c>
    </row>
    <row r="364" spans="1:27" x14ac:dyDescent="0.3">
      <c r="A364" t="s">
        <v>232</v>
      </c>
      <c r="B364" t="s">
        <v>233</v>
      </c>
      <c r="C364" t="s">
        <v>73</v>
      </c>
      <c r="D364" t="s">
        <v>141</v>
      </c>
      <c r="E364">
        <v>4296</v>
      </c>
      <c r="F364">
        <v>30.8</v>
      </c>
      <c r="G364" t="s">
        <v>142</v>
      </c>
      <c r="H364">
        <v>0.69</v>
      </c>
      <c r="I364">
        <f>MAX('Min rate concentrations'!$H$3:$H$368)</f>
        <v>47</v>
      </c>
      <c r="J364">
        <f>MAX('Min rate concentrations'!AA:AA)</f>
        <v>32.5</v>
      </c>
      <c r="K364">
        <f t="shared" si="35"/>
        <v>36.0858241725578</v>
      </c>
      <c r="L364">
        <f>((0.398*F364^0.85)/(1-H364))*J364/F364</f>
        <v>24.952963523577203</v>
      </c>
      <c r="M364">
        <f>IF((((1.18*F364^0.874)-(0.398*F364^0.85)/(1-H364)*H364)*(MAX('Min rate concentrations'!$P$3:$P$368)))/F364&gt;0, (((1.18*F364^0.874)-(0.398*F364^0.85)/(1-H364)*H364)*(MAX('Min rate concentrations'!$P$3:$P$368)))/F364, 0)</f>
        <v>3.4312771305483047E-2</v>
      </c>
      <c r="N364">
        <f>IF((((1.18*F364^0.874)-(0.398*F364^0.85)/(1-H364)*H364)*(MAX('Min rate concentrations'!$Q$3:$Q$368)))/F364&gt;0, (((1.18*F364^0.874)-(0.398*F364^0.85)/(1-H364)*H364)*(MAX('Min rate concentrations'!$Q$3:$Q$368)))/F364, 0)</f>
        <v>0.13066487681430308</v>
      </c>
      <c r="O364">
        <f>((MAX('Min rate concentrations'!$F$3:$F$368))*0.62*6.01*8*(10*F364^0.667)*0.079*0.1/F364)*inputs!$E$80/(10^(0.84+0.62*LOG10(inputs!$E$80)))</f>
        <v>7.8147445593114906</v>
      </c>
      <c r="P364">
        <f>((MAX('Min rate concentrations'!Y:Y))*0.62*6.01*8*(10*F364^0.667)*0.079*0.1/F364)*inputs!$E$80/(10^(0.84+0.62*LOG10(inputs!$E$80)))</f>
        <v>2.6049148531038302</v>
      </c>
      <c r="Q364">
        <f>(inputs!$C$7*11.2*(10*F364^0.667)*0.5/F364)*inputs!$E$80/(10^(0.84+0.62*LOG10(inputs!$E$80)))</f>
        <v>1.3765303952697754</v>
      </c>
      <c r="R364">
        <f>(60*284*((F364/1000)^0.77)*3*24*(MAX('Min rate concentrations'!$R$3:$R$368))/F364)*(inputs!$E$73*3.4/inputs!$E$75)</f>
        <v>1.0436835543697837E-2</v>
      </c>
      <c r="S364">
        <f>(IF(inputs!$C$6="aerial",((0.025*0.112*inputs!$C$7/3.3)*(3*60*284*((F364/1000)^0.77))*MAX(inputs!$H$14:$H$16))/F364,((0.0083*0.112*inputs!$C$7/1)*(3*60*284*((F364/1000)^0.77))*MAX(inputs!$H$14:$H$16))/F364))*(inputs!E$75*3.4/inputs!$E$73)</f>
        <v>5.7559789245023016E-2</v>
      </c>
      <c r="T364">
        <f>IF((((inputs!$P$12/(V364/MAX(K364:S364)))^(1/inputs!$O$12))-1)/inputs!$N$12&lt;0, 0, IF((((inputs!$P$12/(V364/MAX(K364:S364)))^(1/inputs!$O$12))-1)/inputs!$N$12&gt;inputs!$H$17, inputs!$H$17, (((inputs!$P$12/(V364/MAX(K364:S364)))^(1/inputs!$O$12))-1)/inputs!$N$12))</f>
        <v>351.89429071886457</v>
      </c>
      <c r="U364">
        <f>IF((((inputs!$P$12/(X364/MAX(K364:S364)))^(1/inputs!$O$12))-1)/inputs!$N$12&lt;0, 0, IF((((inputs!$P$12/(X364/MAX(K364:S364)))^(1/inputs!$O$12))-1)/inputs!$N$12&gt;inputs!$H$17, inputs!$H$17, (((inputs!$P$12/(X364/MAX(K364:S364)))^(1/inputs!$O$12))-1)/inputs!$N$12))</f>
        <v>18.337913502392738</v>
      </c>
      <c r="V364">
        <f>inputs!$E$78*(F364/inputs!$F$78)^(inputs!$E$84-1)</f>
        <v>2.9375809005257807E-2</v>
      </c>
      <c r="W364">
        <f>inputs!$E$85*(F364/inputs!$F$85)^(inputs!$E$84-1)</f>
        <v>1.3565207448733958</v>
      </c>
      <c r="X364">
        <f>inputs!$E$80*(F364/inputs!$F$80)^(inputs!$E$84-1)</f>
        <v>5.0654888574386288</v>
      </c>
      <c r="Y364">
        <f>inputs!$E$82*(F364/inputs!$F$82)^(inputs!$E$84-1)</f>
        <v>2.3346037683125944</v>
      </c>
      <c r="Z364">
        <f t="shared" si="36"/>
        <v>1228.4197574303062</v>
      </c>
      <c r="AA364">
        <f t="shared" si="37"/>
        <v>26.601748855617902</v>
      </c>
    </row>
    <row r="365" spans="1:27" x14ac:dyDescent="0.3">
      <c r="A365" t="s">
        <v>232</v>
      </c>
      <c r="B365" t="s">
        <v>233</v>
      </c>
      <c r="C365" t="s">
        <v>73</v>
      </c>
      <c r="D365" t="s">
        <v>141</v>
      </c>
      <c r="E365">
        <v>4296</v>
      </c>
      <c r="F365">
        <v>30.8</v>
      </c>
      <c r="G365" t="s">
        <v>154</v>
      </c>
      <c r="H365">
        <v>9.2999999999999999E-2</v>
      </c>
      <c r="I365">
        <f>MAX('Min rate concentrations'!$G$3:$G$368)</f>
        <v>7.5</v>
      </c>
      <c r="J365">
        <f>MAX('Min rate concentrations'!Z:Z)</f>
        <v>3.5</v>
      </c>
      <c r="K365">
        <f t="shared" si="35"/>
        <v>1.9681329893076753</v>
      </c>
      <c r="M365">
        <f>IF((((1.18*F365^0.874)-(0.398*F365^0.85)/(1-H365)*H365)*(MAX('Min rate concentrations'!$P$3:$P$368)))/F365&gt;0, (((1.18*F365^0.874)-(0.398*F365^0.85)/(1-H365)*H365)*(MAX('Min rate concentrations'!$P$3:$P$368)))/F365, 0)</f>
        <v>0.10766561643773498</v>
      </c>
      <c r="N365">
        <f>IF((((1.18*F365^0.874)-(0.398*F365^0.85)/(1-H365)*H365)*(MAX('Min rate concentrations'!$Q$3:$Q$368)))/F365&gt;0, (((1.18*F365^0.874)-(0.398*F365^0.85)/(1-H365)*H365)*(MAX('Min rate concentrations'!$Q$3:$Q$368)))/F365, 0)</f>
        <v>0.4099964524498963</v>
      </c>
      <c r="O365">
        <f>((MAX('Min rate concentrations'!$F$3:$F$368))*0.62*6.01*8*(10*F365^0.667)*0.079*0.1/F365)*inputs!$E$80/(10^(0.84+0.62*LOG10(inputs!$E$80)))</f>
        <v>7.8147445593114906</v>
      </c>
      <c r="P365">
        <f>((MAX('Min rate concentrations'!Y:Y))*0.62*6.01*8*(10*F365^0.667)*0.079*0.1/F365)*inputs!$E$80/(10^(0.84+0.62*LOG10(inputs!$E$80)))</f>
        <v>2.6049148531038302</v>
      </c>
      <c r="Q365">
        <f>(inputs!$C$7*11.2*(10*F365^0.667)*0.5/F365)*inputs!$E$80/(10^(0.84+0.62*LOG10(inputs!$E$80)))</f>
        <v>1.3765303952697754</v>
      </c>
      <c r="R365">
        <f>(60*284*((F365/1000)^0.77)*3*24*(MAX('Min rate concentrations'!$R$3:$R$368))/F365)*(inputs!$E$73*3.4/inputs!$E$75)</f>
        <v>1.0436835543697837E-2</v>
      </c>
      <c r="S365">
        <f>(IF(inputs!$C$6="aerial",((0.025*0.112*inputs!$C$7/3.3)*(3*60*284*((F365/1000)^0.77))*MAX(inputs!$H$14:$H$16))/F365,((0.0083*0.112*inputs!$C$7/1)*(3*60*284*((F365/1000)^0.77))*MAX(inputs!$H$14:$H$16))/F365))*(inputs!E$75*3.4/inputs!$E$73)</f>
        <v>5.7559789245023016E-2</v>
      </c>
      <c r="T365">
        <f>IF((((inputs!$P$12/(V365/MAX(K365:S365)))^(1/inputs!$O$12))-1)/inputs!$N$12&lt;0, 0, IF((((inputs!$P$12/(V365/MAX(K365:S365)))^(1/inputs!$O$12))-1)/inputs!$N$12&gt;inputs!$H$17, inputs!$H$17, (((inputs!$P$12/(V365/MAX(K365:S365)))^(1/inputs!$O$12))-1)/inputs!$N$12))</f>
        <v>175.67371887190799</v>
      </c>
      <c r="U365">
        <f>IF((((inputs!$P$12/(X365/MAX(K365:S365)))^(1/inputs!$O$12))-1)/inputs!$N$12&lt;0, 0, IF((((inputs!$P$12/(X365/MAX(K365:S365)))^(1/inputs!$O$12))-1)/inputs!$N$12&gt;inputs!$H$17, inputs!$H$17, (((inputs!$P$12/(X365/MAX(K365:S365)))^(1/inputs!$O$12))-1)/inputs!$N$12))</f>
        <v>0</v>
      </c>
      <c r="V365">
        <f>inputs!$E$78*(F365/inputs!$F$78)^(inputs!$E$84-1)</f>
        <v>2.9375809005257807E-2</v>
      </c>
      <c r="W365">
        <f>inputs!$E$85*(F365/inputs!$F$85)^(inputs!$E$84-1)</f>
        <v>1.3565207448733958</v>
      </c>
      <c r="X365">
        <f>inputs!$E$80*(F365/inputs!$F$80)^(inputs!$E$84-1)</f>
        <v>5.0654888574386288</v>
      </c>
      <c r="Y365">
        <f>inputs!$E$82*(F365/inputs!$F$82)^(inputs!$E$84-1)</f>
        <v>2.3346037683125944</v>
      </c>
      <c r="Z365">
        <f t="shared" si="36"/>
        <v>266.02653080678641</v>
      </c>
      <c r="AA365">
        <f t="shared" si="37"/>
        <v>5.7608736090805905</v>
      </c>
    </row>
    <row r="366" spans="1:27" x14ac:dyDescent="0.3">
      <c r="A366" t="s">
        <v>150</v>
      </c>
      <c r="B366" t="s">
        <v>151</v>
      </c>
      <c r="C366" t="s">
        <v>73</v>
      </c>
      <c r="D366" t="s">
        <v>141</v>
      </c>
      <c r="E366">
        <v>117</v>
      </c>
      <c r="F366">
        <v>35.5</v>
      </c>
      <c r="G366" t="s">
        <v>142</v>
      </c>
      <c r="H366">
        <v>0.69</v>
      </c>
      <c r="I366">
        <f>MAX('Min rate concentrations'!$H$3:$H$368)</f>
        <v>47</v>
      </c>
      <c r="J366">
        <f>MAX('Min rate concentrations'!AA:AA)</f>
        <v>32.5</v>
      </c>
      <c r="K366">
        <f t="shared" si="35"/>
        <v>35.325228782132172</v>
      </c>
      <c r="L366">
        <f>((0.398*F366^0.85)/(1-H366))*J366/F366</f>
        <v>24.427019902538198</v>
      </c>
      <c r="M366">
        <f>IF((((1.18*F366^0.874)-(0.398*F366^0.85)/(1-H366)*H366)*(MAX('Min rate concentrations'!$P$3:$P$368)))/F366&gt;0, (((1.18*F366^0.874)-(0.398*F366^0.85)/(1-H366)*H366)*(MAX('Min rate concentrations'!$P$3:$P$368)))/F366, 0)</f>
        <v>3.396123575437944E-2</v>
      </c>
      <c r="N366">
        <f>IF((((1.18*F366^0.874)-(0.398*F366^0.85)/(1-H366)*H366)*(MAX('Min rate concentrations'!$Q$3:$Q$368)))/F366&gt;0, (((1.18*F366^0.874)-(0.398*F366^0.85)/(1-H366)*H366)*(MAX('Min rate concentrations'!$Q$3:$Q$368)))/F366, 0)</f>
        <v>0.129326210547103</v>
      </c>
      <c r="O366">
        <f>((MAX('Min rate concentrations'!$F$3:$F$368))*0.62*6.01*8*(10*F366^0.667)*0.079*0.1/F366)*inputs!$E$80/(10^(0.84+0.62*LOG10(inputs!$E$80)))</f>
        <v>7.4537725086470479</v>
      </c>
      <c r="P366">
        <f>((MAX('Min rate concentrations'!Y:Y))*0.62*6.01*8*(10*F366^0.667)*0.079*0.1/F366)*inputs!$E$80/(10^(0.84+0.62*LOG10(inputs!$E$80)))</f>
        <v>2.4845908362156819</v>
      </c>
      <c r="Q366">
        <f>(inputs!$C$7*11.2*(10*F366^0.667)*0.5/F366)*inputs!$E$80/(10^(0.84+0.62*LOG10(inputs!$E$80)))</f>
        <v>1.3129468710980974</v>
      </c>
      <c r="R366">
        <f>(60*284*((F366/1000)^0.77)*3*24*(MAX('Min rate concentrations'!$R$3:$R$368))/F366)*(inputs!$E$73*3.4/inputs!$E$75)</f>
        <v>1.0101432911106861E-2</v>
      </c>
      <c r="S366">
        <f>(IF(inputs!$C$6="aerial",((0.025*0.112*inputs!$C$7/3.3)*(3*60*284*((F366/1000)^0.77))*MAX(inputs!$H$14:$H$16))/F366,((0.0083*0.112*inputs!$C$7/1)*(3*60*284*((F366/1000)^0.77))*MAX(inputs!$H$14:$H$16))/F366))*(inputs!E$75*3.4/inputs!$E$73)</f>
        <v>5.5710023119713105E-2</v>
      </c>
      <c r="T366">
        <f>IF((((inputs!$P$12/(V366/MAX(K366:S366)))^(1/inputs!$O$12))-1)/inputs!$N$12&lt;0, 0, IF((((inputs!$P$12/(V366/MAX(K366:S366)))^(1/inputs!$O$12))-1)/inputs!$N$12&gt;inputs!$H$17, inputs!$H$17, (((inputs!$P$12/(V366/MAX(K366:S366)))^(1/inputs!$O$12))-1)/inputs!$N$12))</f>
        <v>356.75907130289494</v>
      </c>
      <c r="U366">
        <f>IF((((inputs!$P$12/(X366/MAX(K366:S366)))^(1/inputs!$O$12))-1)/inputs!$N$12&lt;0, 0, IF((((inputs!$P$12/(X366/MAX(K366:S366)))^(1/inputs!$O$12))-1)/inputs!$N$12&gt;inputs!$H$17, inputs!$H$17, (((inputs!$P$12/(X366/MAX(K366:S366)))^(1/inputs!$O$12))-1)/inputs!$N$12))</f>
        <v>18.936801657058552</v>
      </c>
      <c r="V366">
        <f>inputs!$E$78*(F366/inputs!$F$78)^(inputs!$E$84-1)</f>
        <v>2.7872062701307335E-2</v>
      </c>
      <c r="W366">
        <f>inputs!$E$85*(F366/inputs!$F$85)^(inputs!$E$84-1)</f>
        <v>1.2870805107007672</v>
      </c>
      <c r="X366">
        <f>inputs!$E$80*(F366/inputs!$F$80)^(inputs!$E$84-1)</f>
        <v>4.80618671717375</v>
      </c>
      <c r="Y366">
        <f>inputs!$E$82*(F366/inputs!$F$82)^(inputs!$E$84-1)</f>
        <v>2.215095509419688</v>
      </c>
      <c r="Z366">
        <f t="shared" si="36"/>
        <v>1267.40633302591</v>
      </c>
      <c r="AA366">
        <f t="shared" si="37"/>
        <v>27.446013274568895</v>
      </c>
    </row>
    <row r="367" spans="1:27" x14ac:dyDescent="0.3">
      <c r="A367" t="s">
        <v>150</v>
      </c>
      <c r="B367" t="s">
        <v>151</v>
      </c>
      <c r="C367" t="s">
        <v>73</v>
      </c>
      <c r="D367" t="s">
        <v>141</v>
      </c>
      <c r="E367">
        <v>117</v>
      </c>
      <c r="F367">
        <v>35.5</v>
      </c>
      <c r="G367" t="s">
        <v>152</v>
      </c>
      <c r="H367">
        <v>0.77</v>
      </c>
      <c r="I367">
        <f>MAX('Min rate concentrations'!$G$3:$G$368)</f>
        <v>7.5</v>
      </c>
      <c r="J367">
        <f>MAX('Min rate concentrations'!Z:Z)</f>
        <v>3.5</v>
      </c>
      <c r="K367">
        <f t="shared" si="35"/>
        <v>7.5977018425954954</v>
      </c>
      <c r="L367">
        <f>((0.398*F367^0.85)/(1-H367))*J367/F367</f>
        <v>3.5455941932112309</v>
      </c>
      <c r="M367">
        <f>IF((((1.18*F367^0.874)-(0.398*F367^0.85)/(1-H367)*H367)*(MAX('Min rate concentrations'!$P$3:$P$368)))/F367&gt;0, (((1.18*F367^0.874)-(0.398*F367^0.85)/(1-H367)*H367)*(MAX('Min rate concentrations'!$P$3:$P$368)))/F367, 0)</f>
        <v>0</v>
      </c>
      <c r="N367">
        <f>IF((((1.18*F367^0.874)-(0.398*F367^0.85)/(1-H367)*H367)*(MAX('Min rate concentrations'!$Q$3:$Q$368)))/F367&gt;0, (((1.18*F367^0.874)-(0.398*F367^0.85)/(1-H367)*H367)*(MAX('Min rate concentrations'!$Q$3:$Q$368)))/F367, 0)</f>
        <v>0</v>
      </c>
      <c r="O367">
        <f>((MAX('Min rate concentrations'!$F$3:$F$368))*0.62*6.01*8*(10*F367^0.667)*0.079*0.1/F367)*inputs!$E$80/(10^(0.84+0.62*LOG10(inputs!$E$80)))</f>
        <v>7.4537725086470479</v>
      </c>
      <c r="P367">
        <f>((MAX('Min rate concentrations'!Y:Y))*0.62*6.01*8*(10*F367^0.667)*0.079*0.1/F367)*inputs!$E$80/(10^(0.84+0.62*LOG10(inputs!$E$80)))</f>
        <v>2.4845908362156819</v>
      </c>
      <c r="Q367">
        <f>(inputs!$C$7*11.2*(10*F367^0.667)*0.5/F367)*inputs!$E$80/(10^(0.84+0.62*LOG10(inputs!$E$80)))</f>
        <v>1.3129468710980974</v>
      </c>
      <c r="R367">
        <f>(60*284*((F367/1000)^0.77)*3*24*(MAX('Min rate concentrations'!$R$3:$R$368))/F367)*(inputs!$E$73*3.4/inputs!$E$75)</f>
        <v>1.0101432911106861E-2</v>
      </c>
      <c r="S367">
        <f>(IF(inputs!$C$6="aerial",((0.025*0.112*inputs!$C$7/3.3)*(3*60*284*((F367/1000)^0.77))*MAX(inputs!$H$14:$H$16))/F367,((0.0083*0.112*inputs!$C$7/1)*(3*60*284*((F367/1000)^0.77))*MAX(inputs!$H$14:$H$16))/F367))*(inputs!E$75*3.4/inputs!$E$73)</f>
        <v>5.5710023119713105E-2</v>
      </c>
      <c r="T367">
        <f>IF((((inputs!$P$12/(V367/MAX(K367:S367)))^(1/inputs!$O$12))-1)/inputs!$N$12&lt;0, 0, IF((((inputs!$P$12/(V367/MAX(K367:S367)))^(1/inputs!$O$12))-1)/inputs!$N$12&gt;inputs!$H$17, inputs!$H$17, (((inputs!$P$12/(V367/MAX(K367:S367)))^(1/inputs!$O$12))-1)/inputs!$N$12))</f>
        <v>177.70833763246722</v>
      </c>
      <c r="U367">
        <f>IF((((inputs!$P$12/(X367/MAX(K367:S367)))^(1/inputs!$O$12))-1)/inputs!$N$12&lt;0, 0, IF((((inputs!$P$12/(X367/MAX(K367:S367)))^(1/inputs!$O$12))-1)/inputs!$N$12&gt;inputs!$H$17, inputs!$H$17, (((inputs!$P$12/(X367/MAX(K367:S367)))^(1/inputs!$O$12))-1)/inputs!$N$12))</f>
        <v>0</v>
      </c>
      <c r="V367">
        <f>inputs!$E$78*(F367/inputs!$F$78)^(inputs!$E$84-1)</f>
        <v>2.7872062701307335E-2</v>
      </c>
      <c r="W367">
        <f>inputs!$E$85*(F367/inputs!$F$85)^(inputs!$E$84-1)</f>
        <v>1.2870805107007672</v>
      </c>
      <c r="X367">
        <f>inputs!$E$80*(F367/inputs!$F$80)^(inputs!$E$84-1)</f>
        <v>4.80618671717375</v>
      </c>
      <c r="Y367">
        <f>inputs!$E$82*(F367/inputs!$F$82)^(inputs!$E$84-1)</f>
        <v>2.215095509419688</v>
      </c>
      <c r="Z367">
        <f t="shared" si="36"/>
        <v>272.59201889780218</v>
      </c>
      <c r="AA367">
        <f t="shared" si="37"/>
        <v>5.9030509586838749</v>
      </c>
    </row>
    <row r="368" spans="1:27" x14ac:dyDescent="0.3">
      <c r="A368" t="s">
        <v>150</v>
      </c>
      <c r="B368" t="s">
        <v>151</v>
      </c>
      <c r="C368" t="s">
        <v>73</v>
      </c>
      <c r="D368" t="s">
        <v>141</v>
      </c>
      <c r="E368">
        <v>117</v>
      </c>
      <c r="F368">
        <v>35.5</v>
      </c>
      <c r="G368" t="s">
        <v>153</v>
      </c>
      <c r="H368">
        <v>0.7</v>
      </c>
      <c r="I368">
        <f>MAX('Min rate concentrations'!$E$3:$E$368)</f>
        <v>55</v>
      </c>
      <c r="J368">
        <f>MAX('Min rate concentrations'!X:X)</f>
        <v>18</v>
      </c>
      <c r="K368">
        <f t="shared" si="35"/>
        <v>42.715968137259111</v>
      </c>
      <c r="M368">
        <f>IF((((1.18*F368^0.874)-(0.398*F368^0.85)/(1-H368)*H368)*(MAX('Min rate concentrations'!$P$3:$P$368)))/F368&gt;0, (((1.18*F368^0.874)-(0.398*F368^0.85)/(1-H368)*H368)*(MAX('Min rate concentrations'!$P$3:$P$368)))/F368, 0)</f>
        <v>3.0324790789656522E-2</v>
      </c>
      <c r="N368">
        <f>IF((((1.18*F368^0.874)-(0.398*F368^0.85)/(1-H368)*H368)*(MAX('Min rate concentrations'!$Q$3:$Q$368)))/F368&gt;0, (((1.18*F368^0.874)-(0.398*F368^0.85)/(1-H368)*H368)*(MAX('Min rate concentrations'!$Q$3:$Q$368)))/F368, 0)</f>
        <v>0.11547843272912232</v>
      </c>
      <c r="O368">
        <f>((MAX('Min rate concentrations'!$F$3:$F$368))*0.62*6.01*8*(10*F368^0.667)*0.079*0.1/F368)*inputs!$E$80/(10^(0.84+0.62*LOG10(inputs!$E$80)))</f>
        <v>7.4537725086470479</v>
      </c>
      <c r="P368">
        <f>((MAX('Min rate concentrations'!Y:Y))*0.62*6.01*8*(10*F368^0.667)*0.079*0.1/F368)*inputs!$E$80/(10^(0.84+0.62*LOG10(inputs!$E$80)))</f>
        <v>2.4845908362156819</v>
      </c>
      <c r="Q368">
        <f>(inputs!$C$7*11.2*(10*F368^0.667)*0.5/F368)*inputs!$E$80/(10^(0.84+0.62*LOG10(inputs!$E$80)))</f>
        <v>1.3129468710980974</v>
      </c>
      <c r="R368">
        <f>(60*284*((F368/1000)^0.77)*3*24*(MAX('Min rate concentrations'!$R$3:$R$368))/F368)*(inputs!$E$73*3.4/inputs!$E$75)</f>
        <v>1.0101432911106861E-2</v>
      </c>
      <c r="S368">
        <f>(IF(inputs!$C$6="aerial",((0.025*0.112*inputs!$C$7/3.3)*(3*60*284*((F368/1000)^0.77))*MAX(inputs!$H$14:$H$16))/F368,((0.0083*0.112*inputs!$C$7/1)*(3*60*284*((F368/1000)^0.77))*MAX(inputs!$H$14:$H$16))/F368))*(inputs!E$75*3.4/inputs!$E$73)</f>
        <v>5.5710023119713105E-2</v>
      </c>
      <c r="T368">
        <f>IF((((inputs!$P$12/(V368/MAX(K368:S368)))^(1/inputs!$O$12))-1)/inputs!$N$12&lt;0, 0, IF((((inputs!$P$12/(V368/MAX(K368:S368)))^(1/inputs!$O$12))-1)/inputs!$N$12&gt;inputs!$H$17, inputs!$H$17, (((inputs!$P$12/(V368/MAX(K368:S368)))^(1/inputs!$O$12))-1)/inputs!$N$12))</f>
        <v>387.70746314109664</v>
      </c>
      <c r="U368">
        <f>IF((((inputs!$P$12/(X368/MAX(K368:S368)))^(1/inputs!$O$12))-1)/inputs!$N$12&lt;0, 0, IF((((inputs!$P$12/(X368/MAX(K368:S368)))^(1/inputs!$O$12))-1)/inputs!$N$12&gt;inputs!$H$17, inputs!$H$17, (((inputs!$P$12/(X368/MAX(K368:S368)))^(1/inputs!$O$12))-1)/inputs!$N$12))</f>
        <v>22.746762858330268</v>
      </c>
      <c r="V368">
        <f>inputs!$E$78*(F368/inputs!$F$78)^(inputs!$E$84-1)</f>
        <v>2.7872062701307335E-2</v>
      </c>
      <c r="W368">
        <f>inputs!$E$85*(F368/inputs!$F$85)^(inputs!$E$84-1)</f>
        <v>1.2870805107007672</v>
      </c>
      <c r="X368">
        <f>inputs!$E$80*(F368/inputs!$F$80)^(inputs!$E$84-1)</f>
        <v>4.80618671717375</v>
      </c>
      <c r="Y368">
        <f>inputs!$E$82*(F368/inputs!$F$82)^(inputs!$E$84-1)</f>
        <v>2.215095509419688</v>
      </c>
      <c r="Z368">
        <f t="shared" si="36"/>
        <v>1532.572906247643</v>
      </c>
      <c r="AA368">
        <f t="shared" si="37"/>
        <v>33.188264278822672</v>
      </c>
    </row>
    <row r="369" spans="1:27" x14ac:dyDescent="0.3">
      <c r="A369" t="s">
        <v>150</v>
      </c>
      <c r="B369" t="s">
        <v>151</v>
      </c>
      <c r="C369" t="s">
        <v>73</v>
      </c>
      <c r="D369" t="s">
        <v>141</v>
      </c>
      <c r="E369">
        <v>117</v>
      </c>
      <c r="F369">
        <v>35.5</v>
      </c>
      <c r="G369" t="s">
        <v>154</v>
      </c>
      <c r="H369">
        <v>9.2999999999999999E-2</v>
      </c>
      <c r="I369">
        <f>MAX('Min rate concentrations'!$G$3:$G$368)</f>
        <v>7.5</v>
      </c>
      <c r="J369">
        <f>MAX('Min rate concentrations'!Z:Z)</f>
        <v>3.5</v>
      </c>
      <c r="K369">
        <f t="shared" si="35"/>
        <v>1.9266498608566305</v>
      </c>
      <c r="M369">
        <f>IF((((1.18*F369^0.874)-(0.398*F369^0.85)/(1-H369)*H369)*(MAX('Min rate concentrations'!$P$3:$P$368)))/F369&gt;0, (((1.18*F369^0.874)-(0.398*F369^0.85)/(1-H369)*H369)*(MAX('Min rate concentrations'!$P$3:$P$368)))/F369, 0)</f>
        <v>0.10576799354730922</v>
      </c>
      <c r="N369">
        <f>IF((((1.18*F369^0.874)-(0.398*F369^0.85)/(1-H369)*H369)*(MAX('Min rate concentrations'!$Q$3:$Q$368)))/F369&gt;0, (((1.18*F369^0.874)-(0.398*F369^0.85)/(1-H369)*H369)*(MAX('Min rate concentrations'!$Q$3:$Q$368)))/F369, 0)</f>
        <v>0.40277020252067941</v>
      </c>
      <c r="O369">
        <f>((MAX('Min rate concentrations'!$F$3:$F$368))*0.62*6.01*8*(10*F369^0.667)*0.079*0.1/F369)*inputs!$E$80/(10^(0.84+0.62*LOG10(inputs!$E$80)))</f>
        <v>7.4537725086470479</v>
      </c>
      <c r="P369">
        <f>((MAX('Min rate concentrations'!Y:Y))*0.62*6.01*8*(10*F369^0.667)*0.079*0.1/F369)*inputs!$E$80/(10^(0.84+0.62*LOG10(inputs!$E$80)))</f>
        <v>2.4845908362156819</v>
      </c>
      <c r="Q369">
        <f>(inputs!$C$7*11.2*(10*F369^0.667)*0.5/F369)*inputs!$E$80/(10^(0.84+0.62*LOG10(inputs!$E$80)))</f>
        <v>1.3129468710980974</v>
      </c>
      <c r="R369">
        <f>(60*284*((F369/1000)^0.77)*3*24*(MAX('Min rate concentrations'!$R$3:$R$368))/F369)*(inputs!$E$73*3.4/inputs!$E$75)</f>
        <v>1.0101432911106861E-2</v>
      </c>
      <c r="S369">
        <f>(IF(inputs!$C$6="aerial",((0.025*0.112*inputs!$C$7/3.3)*(3*60*284*((F369/1000)^0.77))*MAX(inputs!$H$14:$H$16))/F369,((0.0083*0.112*inputs!$C$7/1)*(3*60*284*((F369/1000)^0.77))*MAX(inputs!$H$14:$H$16))/F369))*(inputs!E$75*3.4/inputs!$E$73)</f>
        <v>5.5710023119713105E-2</v>
      </c>
      <c r="T369">
        <f>IF((((inputs!$P$12/(V369/MAX(K369:S369)))^(1/inputs!$O$12))-1)/inputs!$N$12&lt;0, 0, IF((((inputs!$P$12/(V369/MAX(K369:S369)))^(1/inputs!$O$12))-1)/inputs!$N$12&gt;inputs!$H$17, inputs!$H$17, (((inputs!$P$12/(V369/MAX(K369:S369)))^(1/inputs!$O$12))-1)/inputs!$N$12))</f>
        <v>176.11053641327092</v>
      </c>
      <c r="U369">
        <f>IF((((inputs!$P$12/(X369/MAX(K369:S369)))^(1/inputs!$O$12))-1)/inputs!$N$12&lt;0, 0, IF((((inputs!$P$12/(X369/MAX(K369:S369)))^(1/inputs!$O$12))-1)/inputs!$N$12&gt;inputs!$H$17, inputs!$H$17, (((inputs!$P$12/(X369/MAX(K369:S369)))^(1/inputs!$O$12))-1)/inputs!$N$12))</f>
        <v>0</v>
      </c>
      <c r="V369">
        <f>inputs!$E$78*(F369/inputs!$F$78)^(inputs!$E$84-1)</f>
        <v>2.7872062701307335E-2</v>
      </c>
      <c r="W369">
        <f>inputs!$E$85*(F369/inputs!$F$85)^(inputs!$E$84-1)</f>
        <v>1.2870805107007672</v>
      </c>
      <c r="X369">
        <f>inputs!$E$80*(F369/inputs!$F$80)^(inputs!$E$84-1)</f>
        <v>4.80618671717375</v>
      </c>
      <c r="Y369">
        <f>inputs!$E$82*(F369/inputs!$F$82)^(inputs!$E$84-1)</f>
        <v>2.215095509419688</v>
      </c>
      <c r="Z369">
        <f t="shared" si="36"/>
        <v>267.428090576785</v>
      </c>
      <c r="AA369">
        <f t="shared" si="37"/>
        <v>5.7912247498711231</v>
      </c>
    </row>
    <row r="370" spans="1:27" x14ac:dyDescent="0.3">
      <c r="A370" t="s">
        <v>196</v>
      </c>
      <c r="B370" t="s">
        <v>197</v>
      </c>
      <c r="C370" t="s">
        <v>73</v>
      </c>
      <c r="D370" t="s">
        <v>198</v>
      </c>
      <c r="E370">
        <v>95</v>
      </c>
      <c r="F370">
        <v>454</v>
      </c>
      <c r="G370" t="s">
        <v>142</v>
      </c>
      <c r="H370">
        <v>0.69</v>
      </c>
      <c r="I370">
        <f>MAX('Min rate concentrations'!$H$3:$H$368)</f>
        <v>47</v>
      </c>
      <c r="J370">
        <f>MAX('Min rate concentrations'!AA:AA)</f>
        <v>32.5</v>
      </c>
      <c r="K370">
        <f t="shared" ref="K370:K395" si="41">((0.301*F370^0.751)/(1-H370))*I370/F370</f>
        <v>9.947083241789656</v>
      </c>
      <c r="L370">
        <f>((0.301*F370^0.751)/(1-H370))*J370/F370</f>
        <v>6.878302241663059</v>
      </c>
      <c r="M370">
        <f>IF((((1.18*F370^0.874)/3.7-(0.301*F370^0.751)/(1-H370)*H370)*(MAX('Min rate concentrations'!$P$3:$P$368)))/F370&gt;0, (((1.18*F370^0.874)/3.7-(0.301*F370^0.751)/(1-H370)*H370)*(MAX('Min rate concentrations'!$P$3:$P$368)))/F370, 0)</f>
        <v>2.1802051890136678E-4</v>
      </c>
      <c r="N370">
        <f>IF((((1.18*F370^0.874)/3.7-(0.301*F370^0.751)/(1-H370)*H370)*(MAX('Min rate concentrations'!$Q$3:$Q$368)))/F370&gt;0, (((1.18*F370^0.874)/3.7-(0.301*F370^0.751)/(1-H370)*H370)*(MAX('Min rate concentrations'!$Q$3:$Q$368)))/F370, 0)</f>
        <v>8.3023385058627773E-4</v>
      </c>
      <c r="O370">
        <f>((MAX('Min rate concentrations'!$F$3:$F$368))*0.62*6.01*8*(10*F370^0.667)*0.079*0.1/F370)*inputs!$E$80/(10^(0.84+0.62*LOG10(inputs!$E$80)))</f>
        <v>3.1900873606517974</v>
      </c>
      <c r="P370">
        <f>((MAX('Min rate concentrations'!Y:Y))*0.62*6.01*8*(10*F370^0.667)*0.079*0.1/F370)*inputs!$E$80/(10^(0.84+0.62*LOG10(inputs!$E$80)))</f>
        <v>1.0633624535505992</v>
      </c>
      <c r="Q370">
        <f>(inputs!$C$7*11.2*(10*F370^0.667)*0.5/F370)*inputs!$E$80/(10^(0.84+0.62*LOG10(inputs!$E$80)))</f>
        <v>0.56191884228267341</v>
      </c>
      <c r="R370">
        <f>(60*284*((F370/1000)^0.77)*3*24*(MAX('Min rate concentrations'!$R$3:$R$368))/F370)*(inputs!$E$73*3.4/inputs!$E$75)</f>
        <v>5.6209880092526658E-3</v>
      </c>
      <c r="S370">
        <f>(IF(inputs!$C$6="aerial",((0.025*0.112*inputs!$C$7/3.3)*(3*60*284*((F370/1000)^0.77))*MAX(inputs!$H$14:$H$16))/F370,((0.0083*0.112*inputs!$C$7/1)*(3*60*284*((F370/1000)^0.77))*MAX(inputs!$H$14:$H$16))/F370))*(inputs!E$75*3.4/inputs!$E$73)</f>
        <v>3.1000094215027897E-2</v>
      </c>
      <c r="T370">
        <f>IF((((inputs!$P$12/(V370/MAX(K370:S370)))^(1/inputs!$O$12))-1)/inputs!$N$12&lt;0, 0, IF((((inputs!$P$12/(V370/MAX(K370:S370)))^(1/inputs!$O$12))-1)/inputs!$N$12&gt;inputs!$H$17, inputs!$H$17, (((inputs!$P$12/(V370/MAX(K370:S370)))^(1/inputs!$O$12))-1)/inputs!$N$12))</f>
        <v>309.14509679117901</v>
      </c>
      <c r="U370">
        <f>IF((((inputs!$P$12/(X370/MAX(K370:S370)))^(1/inputs!$O$12))-1)/inputs!$N$12&lt;0, 0, IF((((inputs!$P$12/(X370/MAX(K370:S370)))^(1/inputs!$O$12))-1)/inputs!$N$12&gt;inputs!$H$17, inputs!$H$17, (((inputs!$P$12/(X370/MAX(K370:S370)))^(1/inputs!$O$12))-1)/inputs!$N$12))</f>
        <v>13.075191901166379</v>
      </c>
      <c r="V370">
        <f>inputs!$E$78*(F370/inputs!$F$78)^(inputs!$E$84-1)</f>
        <v>1.0855327623785738E-2</v>
      </c>
      <c r="W370">
        <f>inputs!$E$85*(F370/inputs!$F$85)^(inputs!$E$84-1)</f>
        <v>0.50127903239794858</v>
      </c>
      <c r="X370">
        <f>inputs!$E$80*(F370/inputs!$F$80)^(inputs!$E$84-1)</f>
        <v>1.8718647412328457</v>
      </c>
      <c r="Y370">
        <f>inputs!$E$82*(F370/inputs!$F$82)^(inputs!$E$84-1)</f>
        <v>0.86271287957455089</v>
      </c>
      <c r="Z370">
        <f t="shared" si="36"/>
        <v>916.3319235058392</v>
      </c>
      <c r="AA370">
        <f t="shared" si="37"/>
        <v>19.843405765858964</v>
      </c>
    </row>
    <row r="371" spans="1:27" x14ac:dyDescent="0.3">
      <c r="A371" t="s">
        <v>196</v>
      </c>
      <c r="B371" t="s">
        <v>197</v>
      </c>
      <c r="C371" t="s">
        <v>73</v>
      </c>
      <c r="D371" t="s">
        <v>198</v>
      </c>
      <c r="E371">
        <v>95</v>
      </c>
      <c r="F371">
        <v>454</v>
      </c>
      <c r="G371" t="s">
        <v>152</v>
      </c>
      <c r="H371">
        <v>0.77</v>
      </c>
      <c r="I371">
        <f>MAX('Min rate concentrations'!$G$3:$G$368)</f>
        <v>7.5</v>
      </c>
      <c r="J371">
        <f>MAX('Min rate concentrations'!Z:Z)</f>
        <v>3.5</v>
      </c>
      <c r="K371">
        <f t="shared" si="41"/>
        <v>2.1394050450657685</v>
      </c>
      <c r="L371">
        <f>((0.301*F371^0.751)/(1-H371))*J371/F371</f>
        <v>0.99838902103069194</v>
      </c>
      <c r="M371">
        <f>IF((((1.18*F371^0.874)/3.7-(0.301*F371^0.751)/(1-H371)*H371)*(MAX('Min rate concentrations'!$P$3:$P$368)))/F371&gt;0, (((1.18*F371^0.874)/3.7-(0.301*F371^0.751)/(1-H371)*H371)*(MAX('Min rate concentrations'!$P$3:$P$368)))/F371, 0)</f>
        <v>0</v>
      </c>
      <c r="N371">
        <f>IF((((1.18*F371^0.874)/3.7-(0.301*F371^0.751)/(1-H371)*H371)*(MAX('Min rate concentrations'!$Q$3:$Q$368)))/F371&gt;0, (((1.18*F371^0.874)/3.7-(0.301*F371^0.751)/(1-H371)*H371)*(MAX('Min rate concentrations'!$Q$3:$Q$368)))/F371, 0)</f>
        <v>0</v>
      </c>
      <c r="O371">
        <f>((MAX('Min rate concentrations'!$F$3:$F$368))*0.62*6.01*8*(10*F371^0.667)*0.079*0.1/F371)*inputs!$E$80/(10^(0.84+0.62*LOG10(inputs!$E$80)))</f>
        <v>3.1900873606517974</v>
      </c>
      <c r="P371">
        <f>((MAX('Min rate concentrations'!Y:Y))*0.62*6.01*8*(10*F371^0.667)*0.079*0.1/F371)*inputs!$E$80/(10^(0.84+0.62*LOG10(inputs!$E$80)))</f>
        <v>1.0633624535505992</v>
      </c>
      <c r="Q371">
        <f>(inputs!$C$7*11.2*(10*F371^0.667)*0.5/F371)*inputs!$E$80/(10^(0.84+0.62*LOG10(inputs!$E$80)))</f>
        <v>0.56191884228267341</v>
      </c>
      <c r="R371">
        <f>(60*284*((F371/1000)^0.77)*3*24*(MAX('Min rate concentrations'!$R$3:$R$368))/F371)*(inputs!$E$73*3.4/inputs!$E$75)</f>
        <v>5.6209880092526658E-3</v>
      </c>
      <c r="S371">
        <f>(IF(inputs!$C$6="aerial",((0.025*0.112*inputs!$C$7/3.3)*(3*60*284*((F371/1000)^0.77))*MAX(inputs!$H$14:$H$16))/F371,((0.0083*0.112*inputs!$C$7/1)*(3*60*284*((F371/1000)^0.77))*MAX(inputs!$H$14:$H$16))/F371))*(inputs!E$75*3.4/inputs!$E$73)</f>
        <v>3.1000094215027897E-2</v>
      </c>
      <c r="T371">
        <f>IF((((inputs!$P$12/(V371/MAX(K371:S371)))^(1/inputs!$O$12))-1)/inputs!$N$12&lt;0, 0, IF((((inputs!$P$12/(V371/MAX(K371:S371)))^(1/inputs!$O$12))-1)/inputs!$N$12&gt;inputs!$H$17, inputs!$H$17, (((inputs!$P$12/(V371/MAX(K371:S371)))^(1/inputs!$O$12))-1)/inputs!$N$12))</f>
        <v>184.11019341036817</v>
      </c>
      <c r="U371">
        <f>IF((((inputs!$P$12/(X371/MAX(K371:S371)))^(1/inputs!$O$12))-1)/inputs!$N$12&lt;0, 0, IF((((inputs!$P$12/(X371/MAX(K371:S371)))^(1/inputs!$O$12))-1)/inputs!$N$12&gt;inputs!$H$17, inputs!$H$17, (((inputs!$P$12/(X371/MAX(K371:S371)))^(1/inputs!$O$12))-1)/inputs!$N$12))</f>
        <v>0</v>
      </c>
      <c r="V371">
        <f>inputs!$E$78*(F371/inputs!$F$78)^(inputs!$E$84-1)</f>
        <v>1.0855327623785738E-2</v>
      </c>
      <c r="W371">
        <f>inputs!$E$85*(F371/inputs!$F$85)^(inputs!$E$84-1)</f>
        <v>0.50127903239794858</v>
      </c>
      <c r="X371">
        <f>inputs!$E$80*(F371/inputs!$F$80)^(inputs!$E$84-1)</f>
        <v>1.8718647412328457</v>
      </c>
      <c r="Y371">
        <f>inputs!$E$82*(F371/inputs!$F$82)^(inputs!$E$84-1)</f>
        <v>0.86271287957455089</v>
      </c>
      <c r="Z371">
        <f t="shared" si="36"/>
        <v>293.87296921944687</v>
      </c>
      <c r="AA371">
        <f t="shared" si="37"/>
        <v>6.3638954643514678</v>
      </c>
    </row>
    <row r="372" spans="1:27" x14ac:dyDescent="0.3">
      <c r="A372" t="s">
        <v>196</v>
      </c>
      <c r="B372" t="s">
        <v>197</v>
      </c>
      <c r="C372" t="s">
        <v>73</v>
      </c>
      <c r="D372" t="s">
        <v>198</v>
      </c>
      <c r="E372">
        <v>95</v>
      </c>
      <c r="F372">
        <v>454</v>
      </c>
      <c r="G372" t="s">
        <v>154</v>
      </c>
      <c r="H372">
        <v>9.2999999999999999E-2</v>
      </c>
      <c r="I372">
        <f>MAX('Min rate concentrations'!$G$3:$G$368)</f>
        <v>7.5</v>
      </c>
      <c r="J372">
        <f>MAX('Min rate concentrations'!Z:Z)</f>
        <v>3.5</v>
      </c>
      <c r="K372">
        <f t="shared" si="41"/>
        <v>0.54251726611370077</v>
      </c>
      <c r="M372">
        <f>IF((((1.18*F372^0.874)/3.7-(0.301*F372^0.751)/(1-H372)*H372)*(MAX('Min rate concentrations'!$P$3:$P$368)))/F372&gt;0, (((1.18*F372^0.874)/3.7-(0.301*F372^0.751)/(1-H372)*H372)*(MAX('Min rate concentrations'!$P$3:$P$368)))/F372, 0)</f>
        <v>2.0437784741648143E-2</v>
      </c>
      <c r="N372">
        <f>IF((((1.18*F372^0.874)/3.7-(0.301*F372^0.751)/(1-H372)*H372)*(MAX('Min rate concentrations'!$Q$3:$Q$368)))/F372&gt;0, (((1.18*F372^0.874)/3.7-(0.301*F372^0.751)/(1-H372)*H372)*(MAX('Min rate concentrations'!$Q$3:$Q$368)))/F372, 0)</f>
        <v>7.7828182452810576E-2</v>
      </c>
      <c r="O372">
        <f>((MAX('Min rate concentrations'!$F$3:$F$368))*0.62*6.01*8*(10*F372^0.667)*0.079*0.1/F372)*inputs!$E$80/(10^(0.84+0.62*LOG10(inputs!$E$80)))</f>
        <v>3.1900873606517974</v>
      </c>
      <c r="P372">
        <f>((MAX('Min rate concentrations'!Y:Y))*0.62*6.01*8*(10*F372^0.667)*0.079*0.1/F372)*inputs!$E$80/(10^(0.84+0.62*LOG10(inputs!$E$80)))</f>
        <v>1.0633624535505992</v>
      </c>
      <c r="Q372">
        <f>(inputs!$C$7*11.2*(10*F372^0.667)*0.5/F372)*inputs!$E$80/(10^(0.84+0.62*LOG10(inputs!$E$80)))</f>
        <v>0.56191884228267341</v>
      </c>
      <c r="R372">
        <f>(60*284*((F372/1000)^0.77)*3*24*(MAX('Min rate concentrations'!$R$3:$R$368))/F372)*(inputs!$E$73*3.4/inputs!$E$75)</f>
        <v>5.6209880092526658E-3</v>
      </c>
      <c r="S372">
        <f>(IF(inputs!$C$6="aerial",((0.025*0.112*inputs!$C$7/3.3)*(3*60*284*((F372/1000)^0.77))*MAX(inputs!$H$14:$H$16))/F372,((0.0083*0.112*inputs!$C$7/1)*(3*60*284*((F372/1000)^0.77))*MAX(inputs!$H$14:$H$16))/F372))*(inputs!E$75*3.4/inputs!$E$73)</f>
        <v>3.1000094215027897E-2</v>
      </c>
      <c r="T372">
        <f>IF((((inputs!$P$12/(V372/MAX(K372:S372)))^(1/inputs!$O$12))-1)/inputs!$N$12&lt;0, 0, IF((((inputs!$P$12/(V372/MAX(K372:S372)))^(1/inputs!$O$12))-1)/inputs!$N$12&gt;inputs!$H$17, inputs!$H$17, (((inputs!$P$12/(V372/MAX(K372:S372)))^(1/inputs!$O$12))-1)/inputs!$N$12))</f>
        <v>184.11019341036817</v>
      </c>
      <c r="U372">
        <f>IF((((inputs!$P$12/(X372/MAX(K372:S372)))^(1/inputs!$O$12))-1)/inputs!$N$12&lt;0, 0, IF((((inputs!$P$12/(X372/MAX(K372:S372)))^(1/inputs!$O$12))-1)/inputs!$N$12&gt;inputs!$H$17, inputs!$H$17, (((inputs!$P$12/(X372/MAX(K372:S372)))^(1/inputs!$O$12))-1)/inputs!$N$12))</f>
        <v>0</v>
      </c>
      <c r="V372">
        <f>inputs!$E$78*(F372/inputs!$F$78)^(inputs!$E$84-1)</f>
        <v>1.0855327623785738E-2</v>
      </c>
      <c r="W372">
        <f>inputs!$E$85*(F372/inputs!$F$85)^(inputs!$E$84-1)</f>
        <v>0.50127903239794858</v>
      </c>
      <c r="X372">
        <f>inputs!$E$80*(F372/inputs!$F$80)^(inputs!$E$84-1)</f>
        <v>1.8718647412328457</v>
      </c>
      <c r="Y372">
        <f>inputs!$E$82*(F372/inputs!$F$82)^(inputs!$E$84-1)</f>
        <v>0.86271287957455089</v>
      </c>
      <c r="Z372">
        <f t="shared" si="36"/>
        <v>293.87296921944687</v>
      </c>
      <c r="AA372">
        <f t="shared" si="37"/>
        <v>6.3638954643514678</v>
      </c>
    </row>
    <row r="373" spans="1:27" x14ac:dyDescent="0.3">
      <c r="A373" t="s">
        <v>309</v>
      </c>
      <c r="B373" t="s">
        <v>310</v>
      </c>
      <c r="C373" t="s">
        <v>73</v>
      </c>
      <c r="D373" t="s">
        <v>198</v>
      </c>
      <c r="E373">
        <v>107</v>
      </c>
      <c r="F373">
        <v>40</v>
      </c>
      <c r="G373" t="s">
        <v>142</v>
      </c>
      <c r="H373">
        <v>0.69</v>
      </c>
      <c r="I373">
        <f>MAX('Min rate concentrations'!$H$3:$H$368)</f>
        <v>47</v>
      </c>
      <c r="J373">
        <f>MAX('Min rate concentrations'!AA:AA)</f>
        <v>32.5</v>
      </c>
      <c r="K373">
        <f t="shared" si="41"/>
        <v>18.213345323373996</v>
      </c>
      <c r="L373">
        <f>((0.301*F373^0.751)/(1-H373))*J373/F373</f>
        <v>12.594334532120318</v>
      </c>
      <c r="M373">
        <f>IF((((1.18*F373^0.874)/3.7-(0.301*F373^0.751)/(1-H373)*H373)*(MAX('Min rate concentrations'!$P$3:$P$368)))/F373&gt;0, (((1.18*F373^0.874)/3.7-(0.301*F373^0.751)/(1-H373)*H373)*(MAX('Min rate concentrations'!$P$3:$P$368)))/F373, 0)</f>
        <v>0</v>
      </c>
      <c r="N373">
        <f>IF((((1.18*F373^0.874)/3.7-(0.301*F373^0.751)/(1-H373)*H373)*(MAX('Min rate concentrations'!$Q$3:$Q$368)))/F373&gt;0, (((1.18*F373^0.874)/3.7-(0.301*F373^0.751)/(1-H373)*H373)*(MAX('Min rate concentrations'!$Q$3:$Q$368)))/F373, 0)</f>
        <v>0</v>
      </c>
      <c r="O373">
        <f>((MAX('Min rate concentrations'!$F$3:$F$368))*0.62*6.01*8*(10*F373^0.667)*0.079*0.1/F373)*inputs!$E$80/(10^(0.84+0.62*LOG10(inputs!$E$80)))</f>
        <v>7.1633504461813917</v>
      </c>
      <c r="P373">
        <f>((MAX('Min rate concentrations'!Y:Y))*0.62*6.01*8*(10*F373^0.667)*0.079*0.1/F373)*inputs!$E$80/(10^(0.84+0.62*LOG10(inputs!$E$80)))</f>
        <v>2.3877834820604642</v>
      </c>
      <c r="Q373">
        <f>(inputs!$C$7*11.2*(10*F373^0.667)*0.5/F373)*inputs!$E$80/(10^(0.84+0.62*LOG10(inputs!$E$80)))</f>
        <v>1.2617903945931084</v>
      </c>
      <c r="R373">
        <f>(60*284*((F373/1000)^0.77)*3*24*(MAX('Min rate concentrations'!$R$3:$R$368))/F373)*(inputs!$E$73*3.4/inputs!$E$75)</f>
        <v>9.8279221355870392E-3</v>
      </c>
      <c r="S373">
        <f>(IF(inputs!$C$6="aerial",((0.025*0.112*inputs!$C$7/3.3)*(3*60*284*((F373/1000)^0.77))*MAX(inputs!$H$14:$H$16))/F373,((0.0083*0.112*inputs!$C$7/1)*(3*60*284*((F373/1000)^0.77))*MAX(inputs!$H$14:$H$16))/F373))*(inputs!E$75*3.4/inputs!$E$73)</f>
        <v>5.4201594388681704E-2</v>
      </c>
      <c r="T373">
        <f>IF((((inputs!$P$12/(V373/MAX(K373:S373)))^(1/inputs!$O$12))-1)/inputs!$N$12&lt;0, 0, IF((((inputs!$P$12/(V373/MAX(K373:S373)))^(1/inputs!$O$12))-1)/inputs!$N$12&gt;inputs!$H$17, inputs!$H$17, (((inputs!$P$12/(V373/MAX(K373:S373)))^(1/inputs!$O$12))-1)/inputs!$N$12))</f>
        <v>271.0990655166284</v>
      </c>
      <c r="U373">
        <f>IF((((inputs!$P$12/(X373/MAX(K373:S373)))^(1/inputs!$O$12))-1)/inputs!$N$12&lt;0, 0, IF((((inputs!$P$12/(X373/MAX(K373:S373)))^(1/inputs!$O$12))-1)/inputs!$N$12&gt;inputs!$H$17, inputs!$H$17, (((inputs!$P$12/(X373/MAX(K373:S373)))^(1/inputs!$O$12))-1)/inputs!$N$12))</f>
        <v>8.3914621689002526</v>
      </c>
      <c r="V373">
        <f>inputs!$E$78*(F373/inputs!$F$78)^(inputs!$E$84-1)</f>
        <v>2.6668058808446828E-2</v>
      </c>
      <c r="W373">
        <f>inputs!$E$85*(F373/inputs!$F$85)^(inputs!$E$84-1)</f>
        <v>1.2314818288982921</v>
      </c>
      <c r="X373">
        <f>inputs!$E$80*(F373/inputs!$F$80)^(inputs!$E$84-1)</f>
        <v>4.5985713863923561</v>
      </c>
      <c r="Y373">
        <f>inputs!$E$82*(F373/inputs!$F$82)^(inputs!$E$84-1)</f>
        <v>2.1194088842502481</v>
      </c>
      <c r="Z373">
        <f t="shared" si="36"/>
        <v>682.96479523305652</v>
      </c>
      <c r="AA373">
        <f t="shared" si="37"/>
        <v>14.789779999976139</v>
      </c>
    </row>
    <row r="374" spans="1:27" x14ac:dyDescent="0.3">
      <c r="A374" t="s">
        <v>309</v>
      </c>
      <c r="B374" t="s">
        <v>310</v>
      </c>
      <c r="C374" t="s">
        <v>73</v>
      </c>
      <c r="D374" t="s">
        <v>198</v>
      </c>
      <c r="E374">
        <v>107</v>
      </c>
      <c r="F374">
        <v>40</v>
      </c>
      <c r="G374" t="s">
        <v>152</v>
      </c>
      <c r="H374">
        <v>0.77</v>
      </c>
      <c r="I374">
        <f>MAX('Min rate concentrations'!$G$3:$G$368)</f>
        <v>7.5</v>
      </c>
      <c r="J374">
        <f>MAX('Min rate concentrations'!Z:Z)</f>
        <v>3.5</v>
      </c>
      <c r="K374">
        <f t="shared" si="41"/>
        <v>3.9173013762113369</v>
      </c>
      <c r="L374">
        <f>((0.301*F374^0.751)/(1-H374))*J374/F374</f>
        <v>1.8280739755652906</v>
      </c>
      <c r="M374">
        <f>IF((((1.18*F374^0.874)/3.7-(0.301*F374^0.751)/(1-H374)*H374)*(MAX('Min rate concentrations'!$P$3:$P$368)))/F374&gt;0, (((1.18*F374^0.874)/3.7-(0.301*F374^0.751)/(1-H374)*H374)*(MAX('Min rate concentrations'!$P$3:$P$368)))/F374, 0)</f>
        <v>0</v>
      </c>
      <c r="N374">
        <f>IF((((1.18*F374^0.874)/3.7-(0.301*F374^0.751)/(1-H374)*H374)*(MAX('Min rate concentrations'!$Q$3:$Q$368)))/F374&gt;0, (((1.18*F374^0.874)/3.7-(0.301*F374^0.751)/(1-H374)*H374)*(MAX('Min rate concentrations'!$Q$3:$Q$368)))/F374, 0)</f>
        <v>0</v>
      </c>
      <c r="O374">
        <f>((MAX('Min rate concentrations'!$F$3:$F$368))*0.62*6.01*8*(10*F374^0.667)*0.079*0.1/F374)*inputs!$E$80/(10^(0.84+0.62*LOG10(inputs!$E$80)))</f>
        <v>7.1633504461813917</v>
      </c>
      <c r="P374">
        <f>((MAX('Min rate concentrations'!Y:Y))*0.62*6.01*8*(10*F374^0.667)*0.079*0.1/F374)*inputs!$E$80/(10^(0.84+0.62*LOG10(inputs!$E$80)))</f>
        <v>2.3877834820604642</v>
      </c>
      <c r="Q374">
        <f>(inputs!$C$7*11.2*(10*F374^0.667)*0.5/F374)*inputs!$E$80/(10^(0.84+0.62*LOG10(inputs!$E$80)))</f>
        <v>1.2617903945931084</v>
      </c>
      <c r="R374">
        <f>(60*284*((F374/1000)^0.77)*3*24*(MAX('Min rate concentrations'!$R$3:$R$368))/F374)*(inputs!$E$73*3.4/inputs!$E$75)</f>
        <v>9.8279221355870392E-3</v>
      </c>
      <c r="S374">
        <f>(IF(inputs!$C$6="aerial",((0.025*0.112*inputs!$C$7/3.3)*(3*60*284*((F374/1000)^0.77))*MAX(inputs!$H$14:$H$16))/F374,((0.0083*0.112*inputs!$C$7/1)*(3*60*284*((F374/1000)^0.77))*MAX(inputs!$H$14:$H$16))/F374))*(inputs!E$75*3.4/inputs!$E$73)</f>
        <v>5.4201594388681704E-2</v>
      </c>
      <c r="T374">
        <f>IF((((inputs!$P$12/(V374/MAX(K374:S374)))^(1/inputs!$O$12))-1)/inputs!$N$12&lt;0, 0, IF((((inputs!$P$12/(V374/MAX(K374:S374)))^(1/inputs!$O$12))-1)/inputs!$N$12&gt;inputs!$H$17, inputs!$H$17, (((inputs!$P$12/(V374/MAX(K374:S374)))^(1/inputs!$O$12))-1)/inputs!$N$12))</f>
        <v>176.47834458264853</v>
      </c>
      <c r="U374">
        <f>IF((((inputs!$P$12/(X374/MAX(K374:S374)))^(1/inputs!$O$12))-1)/inputs!$N$12&lt;0, 0, IF((((inputs!$P$12/(X374/MAX(K374:S374)))^(1/inputs!$O$12))-1)/inputs!$N$12&gt;inputs!$H$17, inputs!$H$17, (((inputs!$P$12/(X374/MAX(K374:S374)))^(1/inputs!$O$12))-1)/inputs!$N$12))</f>
        <v>0</v>
      </c>
      <c r="V374">
        <f>inputs!$E$78*(F374/inputs!$F$78)^(inputs!$E$84-1)</f>
        <v>2.6668058808446828E-2</v>
      </c>
      <c r="W374">
        <f>inputs!$E$85*(F374/inputs!$F$85)^(inputs!$E$84-1)</f>
        <v>1.2314818288982921</v>
      </c>
      <c r="X374">
        <f>inputs!$E$80*(F374/inputs!$F$80)^(inputs!$E$84-1)</f>
        <v>4.5985713863923561</v>
      </c>
      <c r="Y374">
        <f>inputs!$E$82*(F374/inputs!$F$82)^(inputs!$E$84-1)</f>
        <v>2.1194088842502481</v>
      </c>
      <c r="Z374">
        <f t="shared" si="36"/>
        <v>268.61161877715955</v>
      </c>
      <c r="AA374">
        <f t="shared" si="37"/>
        <v>5.8168543604008081</v>
      </c>
    </row>
    <row r="375" spans="1:27" x14ac:dyDescent="0.3">
      <c r="A375" t="s">
        <v>309</v>
      </c>
      <c r="B375" t="s">
        <v>310</v>
      </c>
      <c r="C375" t="s">
        <v>73</v>
      </c>
      <c r="D375" t="s">
        <v>198</v>
      </c>
      <c r="E375">
        <v>107</v>
      </c>
      <c r="F375">
        <v>40</v>
      </c>
      <c r="G375" t="s">
        <v>154</v>
      </c>
      <c r="H375">
        <v>9.2999999999999999E-2</v>
      </c>
      <c r="I375">
        <f>MAX('Min rate concentrations'!$G$3:$G$368)</f>
        <v>7.5</v>
      </c>
      <c r="J375">
        <f>MAX('Min rate concentrations'!Z:Z)</f>
        <v>3.5</v>
      </c>
      <c r="K375">
        <f t="shared" si="41"/>
        <v>0.99336198073716342</v>
      </c>
      <c r="M375">
        <f>IF((((1.18*F375^0.874)/3.7-(0.301*F375^0.751)/(1-H375)*H375)*(MAX('Min rate concentrations'!$P$3:$P$368)))/F375&gt;0, (((1.18*F375^0.874)/3.7-(0.301*F375^0.751)/(1-H375)*H375)*(MAX('Min rate concentrations'!$P$3:$P$368)))/F375, 0)</f>
        <v>2.7294620879696908E-2</v>
      </c>
      <c r="N375">
        <f>IF((((1.18*F375^0.874)/3.7-(0.301*F375^0.751)/(1-H375)*H375)*(MAX('Min rate concentrations'!$Q$3:$Q$368)))/F375&gt;0, (((1.18*F375^0.874)/3.7-(0.301*F375^0.751)/(1-H375)*H375)*(MAX('Min rate concentrations'!$Q$3:$Q$368)))/F375, 0)</f>
        <v>0.1039393828958606</v>
      </c>
      <c r="O375">
        <f>((MAX('Min rate concentrations'!$F$3:$F$368))*0.62*6.01*8*(10*F375^0.667)*0.079*0.1/F375)*inputs!$E$80/(10^(0.84+0.62*LOG10(inputs!$E$80)))</f>
        <v>7.1633504461813917</v>
      </c>
      <c r="P375">
        <f>((MAX('Min rate concentrations'!Y:Y))*0.62*6.01*8*(10*F375^0.667)*0.079*0.1/F375)*inputs!$E$80/(10^(0.84+0.62*LOG10(inputs!$E$80)))</f>
        <v>2.3877834820604642</v>
      </c>
      <c r="Q375">
        <f>(inputs!$C$7*11.2*(10*F375^0.667)*0.5/F375)*inputs!$E$80/(10^(0.84+0.62*LOG10(inputs!$E$80)))</f>
        <v>1.2617903945931084</v>
      </c>
      <c r="R375">
        <f>(60*284*((F375/1000)^0.77)*3*24*(MAX('Min rate concentrations'!$R$3:$R$368))/F375)*(inputs!$E$73*3.4/inputs!$E$75)</f>
        <v>9.8279221355870392E-3</v>
      </c>
      <c r="S375">
        <f>(IF(inputs!$C$6="aerial",((0.025*0.112*inputs!$C$7/3.3)*(3*60*284*((F375/1000)^0.77))*MAX(inputs!$H$14:$H$16))/F375,((0.0083*0.112*inputs!$C$7/1)*(3*60*284*((F375/1000)^0.77))*MAX(inputs!$H$14:$H$16))/F375))*(inputs!E$75*3.4/inputs!$E$73)</f>
        <v>5.4201594388681704E-2</v>
      </c>
      <c r="T375">
        <f>IF((((inputs!$P$12/(V375/MAX(K375:S375)))^(1/inputs!$O$12))-1)/inputs!$N$12&lt;0, 0, IF((((inputs!$P$12/(V375/MAX(K375:S375)))^(1/inputs!$O$12))-1)/inputs!$N$12&gt;inputs!$H$17, inputs!$H$17, (((inputs!$P$12/(V375/MAX(K375:S375)))^(1/inputs!$O$12))-1)/inputs!$N$12))</f>
        <v>176.47834458264853</v>
      </c>
      <c r="U375">
        <f>IF((((inputs!$P$12/(X375/MAX(K375:S375)))^(1/inputs!$O$12))-1)/inputs!$N$12&lt;0, 0, IF((((inputs!$P$12/(X375/MAX(K375:S375)))^(1/inputs!$O$12))-1)/inputs!$N$12&gt;inputs!$H$17, inputs!$H$17, (((inputs!$P$12/(X375/MAX(K375:S375)))^(1/inputs!$O$12))-1)/inputs!$N$12))</f>
        <v>0</v>
      </c>
      <c r="V375">
        <f>inputs!$E$78*(F375/inputs!$F$78)^(inputs!$E$84-1)</f>
        <v>2.6668058808446828E-2</v>
      </c>
      <c r="W375">
        <f>inputs!$E$85*(F375/inputs!$F$85)^(inputs!$E$84-1)</f>
        <v>1.2314818288982921</v>
      </c>
      <c r="X375">
        <f>inputs!$E$80*(F375/inputs!$F$80)^(inputs!$E$84-1)</f>
        <v>4.5985713863923561</v>
      </c>
      <c r="Y375">
        <f>inputs!$E$82*(F375/inputs!$F$82)^(inputs!$E$84-1)</f>
        <v>2.1194088842502481</v>
      </c>
      <c r="Z375">
        <f t="shared" si="36"/>
        <v>268.61161877715955</v>
      </c>
      <c r="AA375">
        <f t="shared" si="37"/>
        <v>5.8168543604008081</v>
      </c>
    </row>
    <row r="376" spans="1:27" x14ac:dyDescent="0.3">
      <c r="A376" t="s">
        <v>984</v>
      </c>
      <c r="B376" t="s">
        <v>295</v>
      </c>
      <c r="C376" t="s">
        <v>73</v>
      </c>
      <c r="D376" t="s">
        <v>296</v>
      </c>
      <c r="E376">
        <v>2859</v>
      </c>
      <c r="F376">
        <v>31.5</v>
      </c>
      <c r="G376" t="s">
        <v>164</v>
      </c>
      <c r="H376">
        <v>0.78</v>
      </c>
      <c r="I376">
        <f>inputs!$C$65*(inputs!$C$62/1000)</f>
        <v>0.82000000000000006</v>
      </c>
      <c r="J376">
        <f>inputs!$C$65*(inputs!$C$61/1000)</f>
        <v>0.25</v>
      </c>
      <c r="K376">
        <f t="shared" si="41"/>
        <v>0.47520208693772004</v>
      </c>
      <c r="L376">
        <f t="shared" ref="L376:L384" si="42">((0.301*F376^0.751)/(1-H376))*J376/F376</f>
        <v>0.14487868504198781</v>
      </c>
      <c r="M376">
        <f>IF((((1.18*F376^0.874)/3.7-(0.301*F376^0.751)/(1-H376)*H376)*(MAX('Min rate concentrations'!$P$3:$P$368)))/F376&gt;0, (((1.18*F376^0.874)/3.7-(0.301*F376^0.751)/(1-H376)*H376)*(MAX('Min rate concentrations'!$P$3:$P$368)))/F376, 0)</f>
        <v>0</v>
      </c>
      <c r="N376">
        <f>IF((((1.18*F376^0.874)/3.7-(0.301*F376^0.751)/(1-H376)*H376)*(MAX('Min rate concentrations'!$Q$3:$Q$368)))/F376&gt;0, (((1.18*F376^0.874)/3.7-(0.301*F376^0.751)/(1-H376)*H376)*(MAX('Min rate concentrations'!$Q$3:$Q$368)))/F376, 0)</f>
        <v>0</v>
      </c>
      <c r="O376">
        <f>((MAX('Min rate concentrations'!$F$3:$F$368))*0.62*6.01*8*(10*F376^0.667)*0.079*0.1/F376)*inputs!$E$80/(10^(0.84+0.62*LOG10(inputs!$E$80)))</f>
        <v>7.7564814997583698</v>
      </c>
      <c r="P376">
        <f>((MAX('Min rate concentrations'!Y:Y))*0.62*6.01*8*(10*F376^0.667)*0.079*0.1/F376)*inputs!$E$80/(10^(0.84+0.62*LOG10(inputs!$E$80)))</f>
        <v>2.5854938332527895</v>
      </c>
      <c r="Q376">
        <f>(inputs!$C$7*11.2*(10*F376^0.667)*0.5/F376)*inputs!$E$80/(10^(0.84+0.62*LOG10(inputs!$E$80)))</f>
        <v>1.3662676321317626</v>
      </c>
      <c r="R376">
        <f>(60*284*((F376/1000)^0.77)*3*24*(MAX('Min rate concentrations'!$R$3:$R$368))/F376)*(inputs!$E$73*3.4/inputs!$E$75)</f>
        <v>1.0383029254135714E-2</v>
      </c>
      <c r="S376">
        <f>(IF(inputs!$C$6="aerial",((0.025*0.112*inputs!$C$7/3.3)*(3*60*284*((F376/1000)^0.77))*MAX(inputs!$H$14:$H$16))/F376,((0.0083*0.112*inputs!$C$7/1)*(3*60*284*((F376/1000)^0.77))*MAX(inputs!$H$14:$H$16))/F376))*(inputs!E$75*3.4/inputs!$E$73)</f>
        <v>5.7263044252320448E-2</v>
      </c>
      <c r="T376">
        <f>IF((((inputs!$P$12/(V376/MAX(K376:S376)))^(1/inputs!$O$12))-1)/inputs!$N$12&lt;0, 0, IF((((inputs!$P$12/(V376/MAX(K376:S376)))^(1/inputs!$O$12))-1)/inputs!$N$12&gt;inputs!$H$17, inputs!$H$17, (((inputs!$P$12/(V376/MAX(K376:S376)))^(1/inputs!$O$12))-1)/inputs!$N$12))</f>
        <v>175.74277849159481</v>
      </c>
      <c r="U376">
        <f>IF((((inputs!$P$12/(X376/MAX(K376:S376)))^(1/inputs!$O$12))-1)/inputs!$N$12&lt;0, 0, IF((((inputs!$P$12/(X376/MAX(K376:S376)))^(1/inputs!$O$12))-1)/inputs!$N$12&gt;inputs!$H$17, inputs!$H$17, (((inputs!$P$12/(X376/MAX(K376:S376)))^(1/inputs!$O$12))-1)/inputs!$N$12))</f>
        <v>0</v>
      </c>
      <c r="V376">
        <f>inputs!$E$78*(F376/inputs!$F$78)^(inputs!$E$84-1)</f>
        <v>2.9132563117350352E-2</v>
      </c>
      <c r="W376">
        <f>inputs!$E$85*(F376/inputs!$F$85)^(inputs!$E$84-1)</f>
        <v>1.3452880978680808</v>
      </c>
      <c r="X376">
        <f>inputs!$E$80*(F376/inputs!$F$80)^(inputs!$E$84-1)</f>
        <v>5.0235441629251119</v>
      </c>
      <c r="Y376">
        <f>inputs!$E$82*(F376/inputs!$F$82)^(inputs!$E$84-1)</f>
        <v>2.3152721214315282</v>
      </c>
      <c r="Z376">
        <f t="shared" si="36"/>
        <v>266.24782270320992</v>
      </c>
      <c r="AA376">
        <f t="shared" si="37"/>
        <v>5.7656657425649591</v>
      </c>
    </row>
    <row r="377" spans="1:27" x14ac:dyDescent="0.3">
      <c r="A377" t="s">
        <v>984</v>
      </c>
      <c r="B377" t="s">
        <v>295</v>
      </c>
      <c r="C377" t="s">
        <v>73</v>
      </c>
      <c r="D377" t="s">
        <v>296</v>
      </c>
      <c r="E377">
        <v>2859</v>
      </c>
      <c r="F377">
        <v>31.5</v>
      </c>
      <c r="G377" t="s">
        <v>186</v>
      </c>
      <c r="H377">
        <v>0.75</v>
      </c>
      <c r="I377">
        <f>inputs!$C$65*inputs!$C$64/1000</f>
        <v>2.13</v>
      </c>
      <c r="J377">
        <f>inputs!$C$65*inputs!$C$63/1000</f>
        <v>0.88</v>
      </c>
      <c r="K377">
        <f t="shared" si="41"/>
        <v>1.0862424289708075</v>
      </c>
      <c r="L377">
        <f t="shared" si="42"/>
        <v>0.44877621478606139</v>
      </c>
      <c r="M377">
        <f>IF((((1.18*F377^0.874)/3.7-(0.301*F377^0.751)/(1-H377)*H377)*(MAX('Min rate concentrations'!$P$3:$P$368)))/F377&gt;0, (((1.18*F377^0.874)/3.7-(0.301*F377^0.751)/(1-H377)*H377)*(MAX('Min rate concentrations'!$P$3:$P$368)))/F377, 0)</f>
        <v>0</v>
      </c>
      <c r="N377">
        <f>IF((((1.18*F377^0.874)/3.7-(0.301*F377^0.751)/(1-H377)*H377)*(MAX('Min rate concentrations'!$Q$3:$Q$368)))/F377&gt;0, (((1.18*F377^0.874)/3.7-(0.301*F377^0.751)/(1-H377)*H377)*(MAX('Min rate concentrations'!$Q$3:$Q$368)))/F377, 0)</f>
        <v>0</v>
      </c>
      <c r="O377">
        <f>((MAX('Min rate concentrations'!$F$3:$F$368))*0.62*6.01*8*(10*F377^0.667)*0.079*0.1/F377)*inputs!$E$80/(10^(0.84+0.62*LOG10(inputs!$E$80)))</f>
        <v>7.7564814997583698</v>
      </c>
      <c r="P377">
        <f>((MAX('Min rate concentrations'!Y:Y))*0.62*6.01*8*(10*F377^0.667)*0.079*0.1/F377)*inputs!$E$80/(10^(0.84+0.62*LOG10(inputs!$E$80)))</f>
        <v>2.5854938332527895</v>
      </c>
      <c r="Q377">
        <f>(inputs!$C$7*11.2*(10*F377^0.667)*0.5/F377)*inputs!$E$80/(10^(0.84+0.62*LOG10(inputs!$E$80)))</f>
        <v>1.3662676321317626</v>
      </c>
      <c r="R377">
        <f>(60*284*((F377/1000)^0.77)*3*24*(MAX('Min rate concentrations'!$R$3:$R$368))/F377)*(inputs!$E$73*3.4/inputs!$E$75)</f>
        <v>1.0383029254135714E-2</v>
      </c>
      <c r="S377">
        <f>(IF(inputs!$C$6="aerial",((0.025*0.112*inputs!$C$7/3.3)*(3*60*284*((F377/1000)^0.77))*MAX(inputs!$H$14:$H$16))/F377,((0.0083*0.112*inputs!$C$7/1)*(3*60*284*((F377/1000)^0.77))*MAX(inputs!$H$14:$H$16))/F377))*(inputs!E$75*3.4/inputs!$E$73)</f>
        <v>5.7263044252320448E-2</v>
      </c>
      <c r="T377">
        <f>IF((((inputs!$P$12/(V377/MAX(K377:S377)))^(1/inputs!$O$12))-1)/inputs!$N$12&lt;0, 0, IF((((inputs!$P$12/(V377/MAX(K377:S377)))^(1/inputs!$O$12))-1)/inputs!$N$12&gt;inputs!$H$17, inputs!$H$17, (((inputs!$P$12/(V377/MAX(K377:S377)))^(1/inputs!$O$12))-1)/inputs!$N$12))</f>
        <v>175.74277849159481</v>
      </c>
      <c r="U377">
        <f>IF((((inputs!$P$12/(X377/MAX(K377:S377)))^(1/inputs!$O$12))-1)/inputs!$N$12&lt;0, 0, IF((((inputs!$P$12/(X377/MAX(K377:S377)))^(1/inputs!$O$12))-1)/inputs!$N$12&gt;inputs!$H$17, inputs!$H$17, (((inputs!$P$12/(X377/MAX(K377:S377)))^(1/inputs!$O$12))-1)/inputs!$N$12))</f>
        <v>0</v>
      </c>
      <c r="V377">
        <f>inputs!$E$78*(F377/inputs!$F$78)^(inputs!$E$84-1)</f>
        <v>2.9132563117350352E-2</v>
      </c>
      <c r="W377">
        <f>inputs!$E$85*(F377/inputs!$F$85)^(inputs!$E$84-1)</f>
        <v>1.3452880978680808</v>
      </c>
      <c r="X377">
        <f>inputs!$E$80*(F377/inputs!$F$80)^(inputs!$E$84-1)</f>
        <v>5.0235441629251119</v>
      </c>
      <c r="Y377">
        <f>inputs!$E$82*(F377/inputs!$F$82)^(inputs!$E$84-1)</f>
        <v>2.3152721214315282</v>
      </c>
      <c r="Z377">
        <f t="shared" si="36"/>
        <v>266.24782270320992</v>
      </c>
      <c r="AA377">
        <f t="shared" si="37"/>
        <v>5.7656657425649591</v>
      </c>
    </row>
    <row r="378" spans="1:27" x14ac:dyDescent="0.3">
      <c r="A378" t="s">
        <v>325</v>
      </c>
      <c r="B378" t="s">
        <v>326</v>
      </c>
      <c r="C378" t="s">
        <v>73</v>
      </c>
      <c r="D378" t="s">
        <v>296</v>
      </c>
      <c r="E378">
        <v>82</v>
      </c>
      <c r="F378">
        <v>434</v>
      </c>
      <c r="G378" t="s">
        <v>164</v>
      </c>
      <c r="H378">
        <v>0.78</v>
      </c>
      <c r="I378">
        <f>inputs!$C$65*(inputs!$C$62/1000)</f>
        <v>0.82000000000000006</v>
      </c>
      <c r="J378">
        <f>inputs!$C$65*(inputs!$C$61/1000)</f>
        <v>0.25</v>
      </c>
      <c r="K378">
        <f t="shared" si="41"/>
        <v>0.24729920743851225</v>
      </c>
      <c r="L378">
        <f t="shared" si="42"/>
        <v>7.5396099828814706E-2</v>
      </c>
      <c r="M378">
        <f>IF((((1.18*F378^0.874)/3.7-(0.301*F378^0.751)/(1-H378)*H378)*(MAX('Min rate concentrations'!$P$3:$P$368)))/F378&gt;0, (((1.18*F378^0.874)/3.7-(0.301*F378^0.751)/(1-H378)*H378)*(MAX('Min rate concentrations'!$P$3:$P$368)))/F378, 0)</f>
        <v>0</v>
      </c>
      <c r="N378">
        <f>IF((((1.18*F378^0.874)/3.7-(0.301*F378^0.751)/(1-H378)*H378)*(MAX('Min rate concentrations'!$Q$3:$Q$368)))/F378&gt;0, (((1.18*F378^0.874)/3.7-(0.301*F378^0.751)/(1-H378)*H378)*(MAX('Min rate concentrations'!$Q$3:$Q$368)))/F378, 0)</f>
        <v>0</v>
      </c>
      <c r="O378">
        <f>((MAX('Min rate concentrations'!$F$3:$F$368))*0.62*6.01*8*(10*F378^0.667)*0.079*0.1/F378)*inputs!$E$80/(10^(0.84+0.62*LOG10(inputs!$E$80)))</f>
        <v>3.2383075729380129</v>
      </c>
      <c r="P378">
        <f>((MAX('Min rate concentrations'!Y:Y))*0.62*6.01*8*(10*F378^0.667)*0.079*0.1/F378)*inputs!$E$80/(10^(0.84+0.62*LOG10(inputs!$E$80)))</f>
        <v>1.0794358576460044</v>
      </c>
      <c r="Q378">
        <f>(inputs!$C$7*11.2*(10*F378^0.667)*0.5/F378)*inputs!$E$80/(10^(0.84+0.62*LOG10(inputs!$E$80)))</f>
        <v>0.57041260524249349</v>
      </c>
      <c r="R378">
        <f>(60*284*((F378/1000)^0.77)*3*24*(MAX('Min rate concentrations'!$R$3:$R$368))/F378)*(inputs!$E$73*3.4/inputs!$E$75)</f>
        <v>5.6795361378044291E-3</v>
      </c>
      <c r="S378">
        <f>(IF(inputs!$C$6="aerial",((0.025*0.112*inputs!$C$7/3.3)*(3*60*284*((F378/1000)^0.77))*MAX(inputs!$H$14:$H$16))/F378,((0.0083*0.112*inputs!$C$7/1)*(3*60*284*((F378/1000)^0.77))*MAX(inputs!$H$14:$H$16))/F378))*(inputs!E$75*3.4/inputs!$E$73)</f>
        <v>3.1322990741088894E-2</v>
      </c>
      <c r="T378">
        <f>IF((((inputs!$P$12/(V378/MAX(K378:S378)))^(1/inputs!$O$12))-1)/inputs!$N$12&lt;0, 0, IF((((inputs!$P$12/(V378/MAX(K378:S378)))^(1/inputs!$O$12))-1)/inputs!$N$12&gt;inputs!$H$17, inputs!$H$17, (((inputs!$P$12/(V378/MAX(K378:S378)))^(1/inputs!$O$12))-1)/inputs!$N$12))</f>
        <v>183.96609777813288</v>
      </c>
      <c r="U378">
        <f>IF((((inputs!$P$12/(X378/MAX(K378:S378)))^(1/inputs!$O$12))-1)/inputs!$N$12&lt;0, 0, IF((((inputs!$P$12/(X378/MAX(K378:S378)))^(1/inputs!$O$12))-1)/inputs!$N$12&gt;inputs!$H$17, inputs!$H$17, (((inputs!$P$12/(X378/MAX(K378:S378)))^(1/inputs!$O$12))-1)/inputs!$N$12))</f>
        <v>0</v>
      </c>
      <c r="V378">
        <f>inputs!$E$78*(F378/inputs!$F$78)^(inputs!$E$84-1)</f>
        <v>1.1037796961693947E-2</v>
      </c>
      <c r="W378">
        <f>inputs!$E$85*(F378/inputs!$F$85)^(inputs!$E$84-1)</f>
        <v>0.50970513028452913</v>
      </c>
      <c r="X378">
        <f>inputs!$E$80*(F378/inputs!$F$80)^(inputs!$E$84-1)</f>
        <v>1.9033292839738745</v>
      </c>
      <c r="Y378">
        <f>inputs!$E$82*(F378/inputs!$F$82)^(inputs!$E$84-1)</f>
        <v>0.87721439011357161</v>
      </c>
      <c r="Z378">
        <f t="shared" si="36"/>
        <v>293.38350616308463</v>
      </c>
      <c r="AA378">
        <f t="shared" si="37"/>
        <v>6.3532960147572286</v>
      </c>
    </row>
    <row r="379" spans="1:27" x14ac:dyDescent="0.3">
      <c r="A379" t="s">
        <v>325</v>
      </c>
      <c r="B379" t="s">
        <v>326</v>
      </c>
      <c r="C379" t="s">
        <v>73</v>
      </c>
      <c r="D379" t="s">
        <v>296</v>
      </c>
      <c r="E379">
        <v>82</v>
      </c>
      <c r="F379">
        <v>434</v>
      </c>
      <c r="G379" t="s">
        <v>186</v>
      </c>
      <c r="H379">
        <v>0.75</v>
      </c>
      <c r="I379">
        <f>inputs!$C$65*inputs!$C$64/1000</f>
        <v>2.13</v>
      </c>
      <c r="J379">
        <f>inputs!$C$65*inputs!$C$63/1000</f>
        <v>0.88</v>
      </c>
      <c r="K379">
        <f t="shared" si="41"/>
        <v>0.56528979807652091</v>
      </c>
      <c r="L379">
        <f t="shared" si="42"/>
        <v>0.23354695882973636</v>
      </c>
      <c r="M379">
        <f>IF((((1.18*F379^0.874)/3.7-(0.301*F379^0.751)/(1-H379)*H379)*(MAX('Min rate concentrations'!$P$3:$P$368)))/F379&gt;0, (((1.18*F379^0.874)/3.7-(0.301*F379^0.751)/(1-H379)*H379)*(MAX('Min rate concentrations'!$P$3:$P$368)))/F379, 0)</f>
        <v>0</v>
      </c>
      <c r="N379">
        <f>IF((((1.18*F379^0.874)/3.7-(0.301*F379^0.751)/(1-H379)*H379)*(MAX('Min rate concentrations'!$Q$3:$Q$368)))/F379&gt;0, (((1.18*F379^0.874)/3.7-(0.301*F379^0.751)/(1-H379)*H379)*(MAX('Min rate concentrations'!$Q$3:$Q$368)))/F379, 0)</f>
        <v>0</v>
      </c>
      <c r="O379">
        <f>((MAX('Min rate concentrations'!$F$3:$F$368))*0.62*6.01*8*(10*F379^0.667)*0.079*0.1/F379)*inputs!$E$80/(10^(0.84+0.62*LOG10(inputs!$E$80)))</f>
        <v>3.2383075729380129</v>
      </c>
      <c r="P379">
        <f>((MAX('Min rate concentrations'!Y:Y))*0.62*6.01*8*(10*F379^0.667)*0.079*0.1/F379)*inputs!$E$80/(10^(0.84+0.62*LOG10(inputs!$E$80)))</f>
        <v>1.0794358576460044</v>
      </c>
      <c r="Q379">
        <f>(inputs!$C$7*11.2*(10*F379^0.667)*0.5/F379)*inputs!$E$80/(10^(0.84+0.62*LOG10(inputs!$E$80)))</f>
        <v>0.57041260524249349</v>
      </c>
      <c r="R379">
        <f>(60*284*((F379/1000)^0.77)*3*24*(MAX('Min rate concentrations'!$R$3:$R$368))/F379)*(inputs!$E$73*3.4/inputs!$E$75)</f>
        <v>5.6795361378044291E-3</v>
      </c>
      <c r="S379">
        <f>(IF(inputs!$C$6="aerial",((0.025*0.112*inputs!$C$7/3.3)*(3*60*284*((F379/1000)^0.77))*MAX(inputs!$H$14:$H$16))/F379,((0.0083*0.112*inputs!$C$7/1)*(3*60*284*((F379/1000)^0.77))*MAX(inputs!$H$14:$H$16))/F379))*(inputs!E$75*3.4/inputs!$E$73)</f>
        <v>3.1322990741088894E-2</v>
      </c>
      <c r="T379">
        <f>IF((((inputs!$P$12/(V379/MAX(K379:S379)))^(1/inputs!$O$12))-1)/inputs!$N$12&lt;0, 0, IF((((inputs!$P$12/(V379/MAX(K379:S379)))^(1/inputs!$O$12))-1)/inputs!$N$12&gt;inputs!$H$17, inputs!$H$17, (((inputs!$P$12/(V379/MAX(K379:S379)))^(1/inputs!$O$12))-1)/inputs!$N$12))</f>
        <v>183.96609777813288</v>
      </c>
      <c r="U379">
        <f>IF((((inputs!$P$12/(X379/MAX(K379:S379)))^(1/inputs!$O$12))-1)/inputs!$N$12&lt;0, 0, IF((((inputs!$P$12/(X379/MAX(K379:S379)))^(1/inputs!$O$12))-1)/inputs!$N$12&gt;inputs!$H$17, inputs!$H$17, (((inputs!$P$12/(X379/MAX(K379:S379)))^(1/inputs!$O$12))-1)/inputs!$N$12))</f>
        <v>0</v>
      </c>
      <c r="V379">
        <f>inputs!$E$78*(F379/inputs!$F$78)^(inputs!$E$84-1)</f>
        <v>1.1037796961693947E-2</v>
      </c>
      <c r="W379">
        <f>inputs!$E$85*(F379/inputs!$F$85)^(inputs!$E$84-1)</f>
        <v>0.50970513028452913</v>
      </c>
      <c r="X379">
        <f>inputs!$E$80*(F379/inputs!$F$80)^(inputs!$E$84-1)</f>
        <v>1.9033292839738745</v>
      </c>
      <c r="Y379">
        <f>inputs!$E$82*(F379/inputs!$F$82)^(inputs!$E$84-1)</f>
        <v>0.87721439011357161</v>
      </c>
      <c r="Z379">
        <f t="shared" si="36"/>
        <v>293.38350616308463</v>
      </c>
      <c r="AA379">
        <f t="shared" si="37"/>
        <v>6.3532960147572286</v>
      </c>
    </row>
    <row r="380" spans="1:27" x14ac:dyDescent="0.3">
      <c r="A380" t="s">
        <v>327</v>
      </c>
      <c r="B380" t="s">
        <v>328</v>
      </c>
      <c r="C380" t="s">
        <v>73</v>
      </c>
      <c r="D380" t="s">
        <v>296</v>
      </c>
      <c r="E380">
        <v>114</v>
      </c>
      <c r="F380">
        <v>454</v>
      </c>
      <c r="G380" t="s">
        <v>186</v>
      </c>
      <c r="H380">
        <v>0.75</v>
      </c>
      <c r="I380">
        <f>inputs!$C$65*inputs!$C$64/1000</f>
        <v>2.13</v>
      </c>
      <c r="J380">
        <f>inputs!$C$65*inputs!$C$63/1000</f>
        <v>0.88</v>
      </c>
      <c r="K380">
        <f t="shared" si="41"/>
        <v>0.55898375017478386</v>
      </c>
      <c r="L380">
        <f t="shared" si="42"/>
        <v>0.23094164326469946</v>
      </c>
      <c r="M380">
        <f>IF((((1.18*F380^0.874)/3.7-(0.301*F380^0.751)/(1-H380)*H380)*(MAX('Min rate concentrations'!$P$3:$P$368)))/F380&gt;0, (((1.18*F380^0.874)/3.7-(0.301*F380^0.751)/(1-H380)*H380)*(MAX('Min rate concentrations'!$P$3:$P$368)))/F380, 0)</f>
        <v>0</v>
      </c>
      <c r="N380">
        <f>IF((((1.18*F380^0.874)/3.7-(0.301*F380^0.751)/(1-H380)*H380)*(MAX('Min rate concentrations'!$Q$3:$Q$368)))/F380&gt;0, (((1.18*F380^0.874)/3.7-(0.301*F380^0.751)/(1-H380)*H380)*(MAX('Min rate concentrations'!$Q$3:$Q$368)))/F380, 0)</f>
        <v>0</v>
      </c>
      <c r="O380">
        <f>((MAX('Min rate concentrations'!$F$3:$F$368))*0.62*6.01*8*(10*F380^0.667)*0.079*0.1/F380)*inputs!$E$80/(10^(0.84+0.62*LOG10(inputs!$E$80)))</f>
        <v>3.1900873606517974</v>
      </c>
      <c r="P380">
        <f>((MAX('Min rate concentrations'!Y:Y))*0.62*6.01*8*(10*F380^0.667)*0.079*0.1/F380)*inputs!$E$80/(10^(0.84+0.62*LOG10(inputs!$E$80)))</f>
        <v>1.0633624535505992</v>
      </c>
      <c r="Q380">
        <f>(inputs!$C$7*11.2*(10*F380^0.667)*0.5/F380)*inputs!$E$80/(10^(0.84+0.62*LOG10(inputs!$E$80)))</f>
        <v>0.56191884228267341</v>
      </c>
      <c r="R380">
        <f>(60*284*((F380/1000)^0.77)*3*24*(MAX('Min rate concentrations'!$R$3:$R$368))/F380)*(inputs!$E$73*3.4/inputs!$E$75)</f>
        <v>5.6209880092526658E-3</v>
      </c>
      <c r="S380">
        <f>(IF(inputs!$C$6="aerial",((0.025*0.112*inputs!$C$7/3.3)*(3*60*284*((F380/1000)^0.77))*MAX(inputs!$H$14:$H$16))/F380,((0.0083*0.112*inputs!$C$7/1)*(3*60*284*((F380/1000)^0.77))*MAX(inputs!$H$14:$H$16))/F380))*(inputs!E$75*3.4/inputs!$E$73)</f>
        <v>3.1000094215027897E-2</v>
      </c>
      <c r="T380">
        <f>IF((((inputs!$P$12/(V380/MAX(K380:S380)))^(1/inputs!$O$12))-1)/inputs!$N$12&lt;0, 0, IF((((inputs!$P$12/(V380/MAX(K380:S380)))^(1/inputs!$O$12))-1)/inputs!$N$12&gt;inputs!$H$17, inputs!$H$17, (((inputs!$P$12/(V380/MAX(K380:S380)))^(1/inputs!$O$12))-1)/inputs!$N$12))</f>
        <v>184.11019341036817</v>
      </c>
      <c r="U380">
        <f>IF((((inputs!$P$12/(X380/MAX(K380:S380)))^(1/inputs!$O$12))-1)/inputs!$N$12&lt;0, 0, IF((((inputs!$P$12/(X380/MAX(K380:S380)))^(1/inputs!$O$12))-1)/inputs!$N$12&gt;inputs!$H$17, inputs!$H$17, (((inputs!$P$12/(X380/MAX(K380:S380)))^(1/inputs!$O$12))-1)/inputs!$N$12))</f>
        <v>0</v>
      </c>
      <c r="V380">
        <f>inputs!$E$78*(F380/inputs!$F$78)^(inputs!$E$84-1)</f>
        <v>1.0855327623785738E-2</v>
      </c>
      <c r="W380">
        <f>inputs!$E$85*(F380/inputs!$F$85)^(inputs!$E$84-1)</f>
        <v>0.50127903239794858</v>
      </c>
      <c r="X380">
        <f>inputs!$E$80*(F380/inputs!$F$80)^(inputs!$E$84-1)</f>
        <v>1.8718647412328457</v>
      </c>
      <c r="Y380">
        <f>inputs!$E$82*(F380/inputs!$F$82)^(inputs!$E$84-1)</f>
        <v>0.86271287957455089</v>
      </c>
      <c r="Z380">
        <f t="shared" si="36"/>
        <v>293.87296921944687</v>
      </c>
      <c r="AA380">
        <f t="shared" si="37"/>
        <v>6.3638954643514678</v>
      </c>
    </row>
    <row r="381" spans="1:27" x14ac:dyDescent="0.3">
      <c r="A381" t="s">
        <v>307</v>
      </c>
      <c r="B381" t="s">
        <v>308</v>
      </c>
      <c r="C381" t="s">
        <v>73</v>
      </c>
      <c r="D381" t="s">
        <v>296</v>
      </c>
      <c r="E381">
        <v>88</v>
      </c>
      <c r="F381">
        <v>4309</v>
      </c>
      <c r="G381" t="s">
        <v>164</v>
      </c>
      <c r="H381">
        <v>0.78</v>
      </c>
      <c r="I381">
        <f>inputs!$C$65*(inputs!$C$62/1000)</f>
        <v>0.82000000000000006</v>
      </c>
      <c r="J381">
        <f>inputs!$C$65*(inputs!$C$61/1000)</f>
        <v>0.25</v>
      </c>
      <c r="K381">
        <f t="shared" si="41"/>
        <v>0.13963616737469128</v>
      </c>
      <c r="L381">
        <f t="shared" si="42"/>
        <v>4.257200224838148E-2</v>
      </c>
      <c r="M381">
        <f>IF((((1.18*F381^0.874)/3.7-(0.301*F381^0.751)/(1-H381)*H381)*(MAX('Min rate concentrations'!$P$3:$P$368)))/F381&gt;0, (((1.18*F381^0.874)/3.7-(0.301*F381^0.751)/(1-H381)*H381)*(MAX('Min rate concentrations'!$P$3:$P$368)))/F381, 0)</f>
        <v>0</v>
      </c>
      <c r="N381">
        <f>IF((((1.18*F381^0.874)/3.7-(0.301*F381^0.751)/(1-H381)*H381)*(MAX('Min rate concentrations'!$Q$3:$Q$368)))/F381&gt;0, (((1.18*F381^0.874)/3.7-(0.301*F381^0.751)/(1-H381)*H381)*(MAX('Min rate concentrations'!$Q$3:$Q$368)))/F381, 0)</f>
        <v>0</v>
      </c>
      <c r="O381">
        <f>((MAX('Min rate concentrations'!$F$3:$F$368))*0.62*6.01*8*(10*F381^0.667)*0.079*0.1/F381)*inputs!$E$80/(10^(0.84+0.62*LOG10(inputs!$E$80)))</f>
        <v>1.5078384124968331</v>
      </c>
      <c r="P381">
        <f>((MAX('Min rate concentrations'!Y:Y))*0.62*6.01*8*(10*F381^0.667)*0.079*0.1/F381)*inputs!$E$80/(10^(0.84+0.62*LOG10(inputs!$E$80)))</f>
        <v>0.50261280416561094</v>
      </c>
      <c r="Q381">
        <f>(inputs!$C$7*11.2*(10*F381^0.667)*0.5/F381)*inputs!$E$80/(10^(0.84+0.62*LOG10(inputs!$E$80)))</f>
        <v>0.26559862452370203</v>
      </c>
      <c r="R381">
        <f>(60*284*((F381/1000)^0.77)*3*24*(MAX('Min rate concentrations'!$R$3:$R$368))/F381)*(inputs!$E$73*3.4/inputs!$E$75)</f>
        <v>3.3498773884690736E-3</v>
      </c>
      <c r="S381">
        <f>(IF(inputs!$C$6="aerial",((0.025*0.112*inputs!$C$7/3.3)*(3*60*284*((F381/1000)^0.77))*MAX(inputs!$H$14:$H$16))/F381,((0.0083*0.112*inputs!$C$7/1)*(3*60*284*((F381/1000)^0.77))*MAX(inputs!$H$14:$H$16))/F381))*(inputs!E$75*3.4/inputs!$E$73)</f>
        <v>1.8474779608209792E-2</v>
      </c>
      <c r="T381">
        <f>IF((((inputs!$P$12/(V381/MAX(K381:S381)))^(1/inputs!$O$12))-1)/inputs!$N$12&lt;0, 0, IF((((inputs!$P$12/(V381/MAX(K381:S381)))^(1/inputs!$O$12))-1)/inputs!$N$12&gt;inputs!$H$17, inputs!$H$17, (((inputs!$P$12/(V381/MAX(K381:S381)))^(1/inputs!$O$12))-1)/inputs!$N$12))</f>
        <v>191.4334631090305</v>
      </c>
      <c r="U381">
        <f>IF((((inputs!$P$12/(X381/MAX(K381:S381)))^(1/inputs!$O$12))-1)/inputs!$N$12&lt;0, 0, IF((((inputs!$P$12/(X381/MAX(K381:S381)))^(1/inputs!$O$12))-1)/inputs!$N$12&gt;inputs!$H$17, inputs!$H$17, (((inputs!$P$12/(X381/MAX(K381:S381)))^(1/inputs!$O$12))-1)/inputs!$N$12))</f>
        <v>0</v>
      </c>
      <c r="V381">
        <f>inputs!$E$78*(F381/inputs!$F$78)^(inputs!$E$84-1)</f>
        <v>4.7210032362467241E-3</v>
      </c>
      <c r="W381">
        <f>inputs!$E$85*(F381/inputs!$F$85)^(inputs!$E$84-1)</f>
        <v>0.21800723259866231</v>
      </c>
      <c r="X381">
        <f>inputs!$E$80*(F381/inputs!$F$80)^(inputs!$E$84-1)</f>
        <v>0.81407764071652378</v>
      </c>
      <c r="Y381">
        <f>inputs!$E$82*(F381/inputs!$F$82)^(inputs!$E$84-1)</f>
        <v>0.37519552035434489</v>
      </c>
      <c r="Z381">
        <f t="shared" si="36"/>
        <v>319.38940454859539</v>
      </c>
      <c r="AA381">
        <f t="shared" si="37"/>
        <v>6.9164604977701334</v>
      </c>
    </row>
    <row r="382" spans="1:27" x14ac:dyDescent="0.3">
      <c r="A382" t="s">
        <v>307</v>
      </c>
      <c r="B382" t="s">
        <v>308</v>
      </c>
      <c r="C382" t="s">
        <v>73</v>
      </c>
      <c r="D382" t="s">
        <v>296</v>
      </c>
      <c r="E382">
        <v>88</v>
      </c>
      <c r="F382">
        <v>4309</v>
      </c>
      <c r="G382" t="s">
        <v>186</v>
      </c>
      <c r="H382">
        <v>0.75</v>
      </c>
      <c r="I382">
        <f>inputs!$C$65*inputs!$C$64/1000</f>
        <v>2.13</v>
      </c>
      <c r="J382">
        <f>inputs!$C$65*inputs!$C$63/1000</f>
        <v>0.88</v>
      </c>
      <c r="K382">
        <f t="shared" si="41"/>
        <v>0.31918784405746492</v>
      </c>
      <c r="L382">
        <f t="shared" si="42"/>
        <v>0.13187103416458648</v>
      </c>
      <c r="M382">
        <f>IF((((1.18*F382^0.874)/3.7-(0.301*F382^0.751)/(1-H382)*H382)*(MAX('Min rate concentrations'!$P$3:$P$368)))/F382&gt;0, (((1.18*F382^0.874)/3.7-(0.301*F382^0.751)/(1-H382)*H382)*(MAX('Min rate concentrations'!$P$3:$P$368)))/F382, 0)</f>
        <v>0</v>
      </c>
      <c r="N382">
        <f>IF((((1.18*F382^0.874)/3.7-(0.301*F382^0.751)/(1-H382)*H382)*(MAX('Min rate concentrations'!$Q$3:$Q$368)))/F382&gt;0, (((1.18*F382^0.874)/3.7-(0.301*F382^0.751)/(1-H382)*H382)*(MAX('Min rate concentrations'!$Q$3:$Q$368)))/F382, 0)</f>
        <v>0</v>
      </c>
      <c r="O382">
        <f>((MAX('Min rate concentrations'!$F$3:$F$368))*0.62*6.01*8*(10*F382^0.667)*0.079*0.1/F382)*inputs!$E$80/(10^(0.84+0.62*LOG10(inputs!$E$80)))</f>
        <v>1.5078384124968331</v>
      </c>
      <c r="P382">
        <f>((MAX('Min rate concentrations'!Y:Y))*0.62*6.01*8*(10*F382^0.667)*0.079*0.1/F382)*inputs!$E$80/(10^(0.84+0.62*LOG10(inputs!$E$80)))</f>
        <v>0.50261280416561094</v>
      </c>
      <c r="Q382">
        <f>(inputs!$C$7*11.2*(10*F382^0.667)*0.5/F382)*inputs!$E$80/(10^(0.84+0.62*LOG10(inputs!$E$80)))</f>
        <v>0.26559862452370203</v>
      </c>
      <c r="R382">
        <f>(60*284*((F382/1000)^0.77)*3*24*(MAX('Min rate concentrations'!$R$3:$R$368))/F382)*(inputs!$E$73*3.4/inputs!$E$75)</f>
        <v>3.3498773884690736E-3</v>
      </c>
      <c r="S382">
        <f>(IF(inputs!$C$6="aerial",((0.025*0.112*inputs!$C$7/3.3)*(3*60*284*((F382/1000)^0.77))*MAX(inputs!$H$14:$H$16))/F382,((0.0083*0.112*inputs!$C$7/1)*(3*60*284*((F382/1000)^0.77))*MAX(inputs!$H$14:$H$16))/F382))*(inputs!E$75*3.4/inputs!$E$73)</f>
        <v>1.8474779608209792E-2</v>
      </c>
      <c r="T382">
        <f>IF((((inputs!$P$12/(V382/MAX(K382:S382)))^(1/inputs!$O$12))-1)/inputs!$N$12&lt;0, 0, IF((((inputs!$P$12/(V382/MAX(K382:S382)))^(1/inputs!$O$12))-1)/inputs!$N$12&gt;inputs!$H$17, inputs!$H$17, (((inputs!$P$12/(V382/MAX(K382:S382)))^(1/inputs!$O$12))-1)/inputs!$N$12))</f>
        <v>191.4334631090305</v>
      </c>
      <c r="U382">
        <f>IF((((inputs!$P$12/(X382/MAX(K382:S382)))^(1/inputs!$O$12))-1)/inputs!$N$12&lt;0, 0, IF((((inputs!$P$12/(X382/MAX(K382:S382)))^(1/inputs!$O$12))-1)/inputs!$N$12&gt;inputs!$H$17, inputs!$H$17, (((inputs!$P$12/(X382/MAX(K382:S382)))^(1/inputs!$O$12))-1)/inputs!$N$12))</f>
        <v>0</v>
      </c>
      <c r="V382">
        <f>inputs!$E$78*(F382/inputs!$F$78)^(inputs!$E$84-1)</f>
        <v>4.7210032362467241E-3</v>
      </c>
      <c r="W382">
        <f>inputs!$E$85*(F382/inputs!$F$85)^(inputs!$E$84-1)</f>
        <v>0.21800723259866231</v>
      </c>
      <c r="X382">
        <f>inputs!$E$80*(F382/inputs!$F$80)^(inputs!$E$84-1)</f>
        <v>0.81407764071652378</v>
      </c>
      <c r="Y382">
        <f>inputs!$E$82*(F382/inputs!$F$82)^(inputs!$E$84-1)</f>
        <v>0.37519552035434489</v>
      </c>
      <c r="Z382">
        <f t="shared" si="36"/>
        <v>319.38940454859539</v>
      </c>
      <c r="AA382">
        <f t="shared" si="37"/>
        <v>6.9164604977701334</v>
      </c>
    </row>
    <row r="383" spans="1:27" x14ac:dyDescent="0.3">
      <c r="A383" t="s">
        <v>159</v>
      </c>
      <c r="B383" t="s">
        <v>160</v>
      </c>
      <c r="C383" t="s">
        <v>73</v>
      </c>
      <c r="D383" t="s">
        <v>157</v>
      </c>
      <c r="E383">
        <v>80</v>
      </c>
      <c r="F383">
        <v>270</v>
      </c>
      <c r="G383" t="s">
        <v>152</v>
      </c>
      <c r="H383">
        <v>0.77</v>
      </c>
      <c r="I383">
        <f>MAX('Min rate concentrations'!$G$3:$G$368)</f>
        <v>7.5</v>
      </c>
      <c r="J383">
        <f>MAX('Min rate concentrations'!Z:Z)</f>
        <v>3.5</v>
      </c>
      <c r="K383">
        <f t="shared" si="41"/>
        <v>2.434951670703831</v>
      </c>
      <c r="L383">
        <f t="shared" si="42"/>
        <v>1.1363107796617877</v>
      </c>
      <c r="M383">
        <f>IF((((1.18*F383^0.874)/3.7-(0.301*F383^0.751)/(1-H383)*H383)*(MAX('Min rate concentrations'!$P$3:$P$368)))/F383&gt;0, (((1.18*F383^0.874)/3.7-(0.301*F383^0.751)/(1-H383)*H383)*(MAX('Min rate concentrations'!$P$3:$P$368)))/F383, 0)</f>
        <v>0</v>
      </c>
      <c r="N383">
        <f>IF((((1.18*F383^0.874)/3.7-(0.301*F383^0.751)/(1-H383)*H383)*(MAX('Min rate concentrations'!$Q$3:$Q$368)))/F383&gt;0, (((1.18*F383^0.874)/3.7-(0.301*F383^0.751)/(1-H383)*H383)*(MAX('Min rate concentrations'!$Q$3:$Q$368)))/F383, 0)</f>
        <v>0</v>
      </c>
      <c r="O383">
        <f>((MAX('Min rate concentrations'!$F$3:$F$368))*0.62*6.01*8*(10*F383^0.667)*0.079*0.1/F383)*inputs!$E$80/(10^(0.84+0.62*LOG10(inputs!$E$80)))</f>
        <v>3.7927834035080275</v>
      </c>
      <c r="P383">
        <f>((MAX('Min rate concentrations'!Y:Y))*0.62*6.01*8*(10*F383^0.667)*0.079*0.1/F383)*inputs!$E$80/(10^(0.84+0.62*LOG10(inputs!$E$80)))</f>
        <v>1.2642611345026755</v>
      </c>
      <c r="Q383">
        <f>(inputs!$C$7*11.2*(10*F383^0.667)*0.5/F383)*inputs!$E$80/(10^(0.84+0.62*LOG10(inputs!$E$80)))</f>
        <v>0.66808090756884941</v>
      </c>
      <c r="R383">
        <f>(60*284*((F383/1000)^0.77)*3*24*(MAX('Min rate concentrations'!$R$3:$R$368))/F383)*(inputs!$E$73*3.4/inputs!$E$75)</f>
        <v>6.3346385480028498E-3</v>
      </c>
      <c r="S383">
        <f>(IF(inputs!$C$6="aerial",((0.025*0.112*inputs!$C$7/3.3)*(3*60*284*((F383/1000)^0.77))*MAX(inputs!$H$14:$H$16))/F383,((0.0083*0.112*inputs!$C$7/1)*(3*60*284*((F383/1000)^0.77))*MAX(inputs!$H$14:$H$16))/F383))*(inputs!E$75*3.4/inputs!$E$73)</f>
        <v>3.4935920781717637E-2</v>
      </c>
      <c r="T383">
        <f>IF((((inputs!$P$12/(V383/MAX(K383:S383)))^(1/inputs!$O$12))-1)/inputs!$N$12&lt;0, 0, IF((((inputs!$P$12/(V383/MAX(K383:S383)))^(1/inputs!$O$12))-1)/inputs!$N$12&gt;inputs!$H$17, inputs!$H$17, (((inputs!$P$12/(V383/MAX(K383:S383)))^(1/inputs!$O$12))-1)/inputs!$N$12))</f>
        <v>182.4539946808309</v>
      </c>
      <c r="U383">
        <f>IF((((inputs!$P$12/(X383/MAX(K383:S383)))^(1/inputs!$O$12))-1)/inputs!$N$12&lt;0, 0, IF((((inputs!$P$12/(X383/MAX(K383:S383)))^(1/inputs!$O$12))-1)/inputs!$N$12&gt;inputs!$H$17, inputs!$H$17, (((inputs!$P$12/(X383/MAX(K383:S383)))^(1/inputs!$O$12))-1)/inputs!$N$12))</f>
        <v>0</v>
      </c>
      <c r="V383">
        <f>inputs!$E$78*(F383/inputs!$F$78)^(inputs!$E$84-1)</f>
        <v>1.3156761686377191E-2</v>
      </c>
      <c r="W383">
        <f>inputs!$E$85*(F383/inputs!$F$85)^(inputs!$E$84-1)</f>
        <v>0.60755501779480292</v>
      </c>
      <c r="X383">
        <f>inputs!$E$80*(F383/inputs!$F$80)^(inputs!$E$84-1)</f>
        <v>2.2687181044236309</v>
      </c>
      <c r="Y383">
        <f>inputs!$E$82*(F383/inputs!$F$82)^(inputs!$E$84-1)</f>
        <v>1.0456163234962925</v>
      </c>
      <c r="Z383">
        <f t="shared" si="36"/>
        <v>288.27636267328313</v>
      </c>
      <c r="AA383">
        <f t="shared" si="37"/>
        <v>6.2426994962109115</v>
      </c>
    </row>
    <row r="384" spans="1:27" x14ac:dyDescent="0.3">
      <c r="A384" t="s">
        <v>159</v>
      </c>
      <c r="B384" t="s">
        <v>160</v>
      </c>
      <c r="C384" t="s">
        <v>73</v>
      </c>
      <c r="D384" t="s">
        <v>157</v>
      </c>
      <c r="E384">
        <v>80</v>
      </c>
      <c r="F384">
        <v>270</v>
      </c>
      <c r="G384" t="s">
        <v>161</v>
      </c>
      <c r="H384">
        <v>0.85</v>
      </c>
      <c r="I384">
        <f>MAX('Min rate concentrations'!$F$3:$F$368)</f>
        <v>67.5</v>
      </c>
      <c r="J384">
        <f>MAX('Min rate concentrations'!Y:Y)</f>
        <v>22.5</v>
      </c>
      <c r="K384">
        <f t="shared" si="41"/>
        <v>33.602333055712855</v>
      </c>
      <c r="L384">
        <f t="shared" si="42"/>
        <v>11.200777685237618</v>
      </c>
      <c r="M384">
        <f>IF((((1.18*F384^0.874)/3.7-(0.301*F384^0.751)/(1-H384)*H384)*(MAX('Min rate concentrations'!$P$3:$P$368)))/F384&gt;0, (((1.18*F384^0.874)/3.7-(0.301*F384^0.751)/(1-H384)*H384)*(MAX('Min rate concentrations'!$P$3:$P$368)))/F384, 0)</f>
        <v>0</v>
      </c>
      <c r="N384">
        <f>IF((((1.18*F384^0.874)/3.7-(0.301*F384^0.751)/(1-H384)*H384)*(MAX('Min rate concentrations'!$Q$3:$Q$368)))/F384&gt;0, (((1.18*F384^0.874)/3.7-(0.301*F384^0.751)/(1-H384)*H384)*(MAX('Min rate concentrations'!$Q$3:$Q$368)))/F384, 0)</f>
        <v>0</v>
      </c>
      <c r="O384">
        <f>((MAX('Min rate concentrations'!$F$3:$F$368))*0.62*6.01*8*(10*F384^0.667)*0.079*0.1/F384)*inputs!$E$80/(10^(0.84+0.62*LOG10(inputs!$E$80)))</f>
        <v>3.7927834035080275</v>
      </c>
      <c r="P384">
        <f>((MAX('Min rate concentrations'!Y:Y))*0.62*6.01*8*(10*F384^0.667)*0.079*0.1/F384)*inputs!$E$80/(10^(0.84+0.62*LOG10(inputs!$E$80)))</f>
        <v>1.2642611345026755</v>
      </c>
      <c r="Q384">
        <f>(inputs!$C$7*11.2*(10*F384^0.667)*0.5/F384)*inputs!$E$80/(10^(0.84+0.62*LOG10(inputs!$E$80)))</f>
        <v>0.66808090756884941</v>
      </c>
      <c r="R384">
        <f>(60*284*((F384/1000)^0.77)*3*24*(MAX('Min rate concentrations'!$R$3:$R$368))/F384)*(inputs!$E$73*3.4/inputs!$E$75)</f>
        <v>6.3346385480028498E-3</v>
      </c>
      <c r="S384">
        <f>(IF(inputs!$C$6="aerial",((0.025*0.112*inputs!$C$7/3.3)*(3*60*284*((F384/1000)^0.77))*MAX(inputs!$H$14:$H$16))/F384,((0.0083*0.112*inputs!$C$7/1)*(3*60*284*((F384/1000)^0.77))*MAX(inputs!$H$14:$H$16))/F384))*(inputs!E$75*3.4/inputs!$E$73)</f>
        <v>3.4935920781717637E-2</v>
      </c>
      <c r="T384">
        <f>IF((((inputs!$P$12/(V384/MAX(K384:S384)))^(1/inputs!$O$12))-1)/inputs!$N$12&lt;0, 0, IF((((inputs!$P$12/(V384/MAX(K384:S384)))^(1/inputs!$O$12))-1)/inputs!$N$12&gt;inputs!$H$17, inputs!$H$17, (((inputs!$P$12/(V384/MAX(K384:S384)))^(1/inputs!$O$12))-1)/inputs!$N$12))</f>
        <v>483.79670425455447</v>
      </c>
      <c r="U384">
        <f>IF((((inputs!$P$12/(X384/MAX(K384:S384)))^(1/inputs!$O$12))-1)/inputs!$N$12&lt;0, 0, IF((((inputs!$P$12/(X384/MAX(K384:S384)))^(1/inputs!$O$12))-1)/inputs!$N$12&gt;inputs!$H$17, inputs!$H$17, (((inputs!$P$12/(X384/MAX(K384:S384)))^(1/inputs!$O$12))-1)/inputs!$N$12))</f>
        <v>34.576013386624851</v>
      </c>
      <c r="V384">
        <f>inputs!$E$78*(F384/inputs!$F$78)^(inputs!$E$84-1)</f>
        <v>1.3156761686377191E-2</v>
      </c>
      <c r="W384">
        <f>inputs!$E$85*(F384/inputs!$F$85)^(inputs!$E$84-1)</f>
        <v>0.60755501779480292</v>
      </c>
      <c r="X384">
        <f>inputs!$E$80*(F384/inputs!$F$80)^(inputs!$E$84-1)</f>
        <v>2.2687181044236309</v>
      </c>
      <c r="Y384">
        <f>inputs!$E$82*(F384/inputs!$F$82)^(inputs!$E$84-1)</f>
        <v>1.0456163234962925</v>
      </c>
      <c r="Z384">
        <f t="shared" si="36"/>
        <v>2553.9972416240898</v>
      </c>
      <c r="AA384">
        <f t="shared" si="37"/>
        <v>55.307473515199881</v>
      </c>
    </row>
    <row r="385" spans="1:27" x14ac:dyDescent="0.3">
      <c r="A385" t="s">
        <v>159</v>
      </c>
      <c r="B385" t="s">
        <v>160</v>
      </c>
      <c r="C385" t="s">
        <v>73</v>
      </c>
      <c r="D385" t="s">
        <v>157</v>
      </c>
      <c r="E385">
        <v>80</v>
      </c>
      <c r="F385">
        <v>270</v>
      </c>
      <c r="G385" t="s">
        <v>154</v>
      </c>
      <c r="H385">
        <v>9.2999999999999999E-2</v>
      </c>
      <c r="I385">
        <f>MAX('Min rate concentrations'!$G$3:$G$368)</f>
        <v>7.5</v>
      </c>
      <c r="J385">
        <f>MAX('Min rate concentrations'!Z:Z)</f>
        <v>3.5</v>
      </c>
      <c r="K385">
        <f t="shared" si="41"/>
        <v>0.61746293744419078</v>
      </c>
      <c r="M385">
        <f>IF((((1.18*F385^0.874)/3.7-(0.301*F385^0.751)/(1-H385)*H385)*(MAX('Min rate concentrations'!$P$3:$P$368)))/F385&gt;0, (((1.18*F385^0.874)/3.7-(0.301*F385^0.751)/(1-H385)*H385)*(MAX('Min rate concentrations'!$P$3:$P$368)))/F385, 0)</f>
        <v>2.1752004169776802E-2</v>
      </c>
      <c r="N385">
        <f>IF((((1.18*F385^0.874)/3.7-(0.301*F385^0.751)/(1-H385)*H385)*(MAX('Min rate concentrations'!$Q$3:$Q$368)))/F385&gt;0, (((1.18*F385^0.874)/3.7-(0.301*F385^0.751)/(1-H385)*H385)*(MAX('Min rate concentrations'!$Q$3:$Q$368)))/F385, 0)</f>
        <v>8.2832800650348995E-2</v>
      </c>
      <c r="O385">
        <f>((MAX('Min rate concentrations'!$F$3:$F$368))*0.62*6.01*8*(10*F385^0.667)*0.079*0.1/F385)*inputs!$E$80/(10^(0.84+0.62*LOG10(inputs!$E$80)))</f>
        <v>3.7927834035080275</v>
      </c>
      <c r="P385">
        <f>((MAX('Min rate concentrations'!Y:Y))*0.62*6.01*8*(10*F385^0.667)*0.079*0.1/F385)*inputs!$E$80/(10^(0.84+0.62*LOG10(inputs!$E$80)))</f>
        <v>1.2642611345026755</v>
      </c>
      <c r="Q385">
        <f>(inputs!$C$7*11.2*(10*F385^0.667)*0.5/F385)*inputs!$E$80/(10^(0.84+0.62*LOG10(inputs!$E$80)))</f>
        <v>0.66808090756884941</v>
      </c>
      <c r="R385">
        <f>(60*284*((F385/1000)^0.77)*3*24*(MAX('Min rate concentrations'!$R$3:$R$368))/F385)*(inputs!$E$73*3.4/inputs!$E$75)</f>
        <v>6.3346385480028498E-3</v>
      </c>
      <c r="S385">
        <f>(IF(inputs!$C$6="aerial",((0.025*0.112*inputs!$C$7/3.3)*(3*60*284*((F385/1000)^0.77))*MAX(inputs!$H$14:$H$16))/F385,((0.0083*0.112*inputs!$C$7/1)*(3*60*284*((F385/1000)^0.77))*MAX(inputs!$H$14:$H$16))/F385))*(inputs!E$75*3.4/inputs!$E$73)</f>
        <v>3.4935920781717637E-2</v>
      </c>
      <c r="T385">
        <f>IF((((inputs!$P$12/(V385/MAX(K385:S385)))^(1/inputs!$O$12))-1)/inputs!$N$12&lt;0, 0, IF((((inputs!$P$12/(V385/MAX(K385:S385)))^(1/inputs!$O$12))-1)/inputs!$N$12&gt;inputs!$H$17, inputs!$H$17, (((inputs!$P$12/(V385/MAX(K385:S385)))^(1/inputs!$O$12))-1)/inputs!$N$12))</f>
        <v>182.4539946808309</v>
      </c>
      <c r="U385">
        <f>IF((((inputs!$P$12/(X385/MAX(K385:S385)))^(1/inputs!$O$12))-1)/inputs!$N$12&lt;0, 0, IF((((inputs!$P$12/(X385/MAX(K385:S385)))^(1/inputs!$O$12))-1)/inputs!$N$12&gt;inputs!$H$17, inputs!$H$17, (((inputs!$P$12/(X385/MAX(K385:S385)))^(1/inputs!$O$12))-1)/inputs!$N$12))</f>
        <v>0</v>
      </c>
      <c r="V385">
        <f>inputs!$E$78*(F385/inputs!$F$78)^(inputs!$E$84-1)</f>
        <v>1.3156761686377191E-2</v>
      </c>
      <c r="W385">
        <f>inputs!$E$85*(F385/inputs!$F$85)^(inputs!$E$84-1)</f>
        <v>0.60755501779480292</v>
      </c>
      <c r="X385">
        <f>inputs!$E$80*(F385/inputs!$F$80)^(inputs!$E$84-1)</f>
        <v>2.2687181044236309</v>
      </c>
      <c r="Y385">
        <f>inputs!$E$82*(F385/inputs!$F$82)^(inputs!$E$84-1)</f>
        <v>1.0456163234962925</v>
      </c>
      <c r="Z385">
        <f t="shared" si="36"/>
        <v>288.27636267328313</v>
      </c>
      <c r="AA385">
        <f t="shared" si="37"/>
        <v>6.2426994962109115</v>
      </c>
    </row>
    <row r="386" spans="1:27" x14ac:dyDescent="0.3">
      <c r="A386" t="s">
        <v>155</v>
      </c>
      <c r="B386" t="s">
        <v>156</v>
      </c>
      <c r="C386" t="s">
        <v>73</v>
      </c>
      <c r="D386" t="s">
        <v>157</v>
      </c>
      <c r="E386">
        <v>10021</v>
      </c>
      <c r="F386">
        <v>293</v>
      </c>
      <c r="G386" t="s">
        <v>152</v>
      </c>
      <c r="H386">
        <v>0.77</v>
      </c>
      <c r="I386">
        <f>MAX('Min rate concentrations'!$G$3:$G$368)</f>
        <v>7.5</v>
      </c>
      <c r="J386">
        <f>MAX('Min rate concentrations'!Z:Z)</f>
        <v>3.5</v>
      </c>
      <c r="K386">
        <f t="shared" si="41"/>
        <v>2.3858870805621608</v>
      </c>
      <c r="L386">
        <f>((0.301*F386^0.751)/(1-H386))*J386/F386</f>
        <v>1.1134139709290083</v>
      </c>
      <c r="M386">
        <f>IF((((1.18*F386^0.874)/3.7-(0.301*F386^0.751)/(1-H386)*H386)*(MAX('Min rate concentrations'!$P$3:$P$368)))/F386&gt;0, (((1.18*F386^0.874)/3.7-(0.301*F386^0.751)/(1-H386)*H386)*(MAX('Min rate concentrations'!$P$3:$P$368)))/F386, 0)</f>
        <v>0</v>
      </c>
      <c r="N386">
        <f>IF((((1.18*F386^0.874)/3.7-(0.301*F386^0.751)/(1-H386)*H386)*(MAX('Min rate concentrations'!$Q$3:$Q$368)))/F386&gt;0, (((1.18*F386^0.874)/3.7-(0.301*F386^0.751)/(1-H386)*H386)*(MAX('Min rate concentrations'!$Q$3:$Q$368)))/F386, 0)</f>
        <v>0</v>
      </c>
      <c r="O386">
        <f>((MAX('Min rate concentrations'!$F$3:$F$368))*0.62*6.01*8*(10*F386^0.667)*0.079*0.1/F386)*inputs!$E$80/(10^(0.84+0.62*LOG10(inputs!$E$80)))</f>
        <v>3.690925318180863</v>
      </c>
      <c r="P386">
        <f>((MAX('Min rate concentrations'!Y:Y))*0.62*6.01*8*(10*F386^0.667)*0.079*0.1/F386)*inputs!$E$80/(10^(0.84+0.62*LOG10(inputs!$E$80)))</f>
        <v>1.2303084393936208</v>
      </c>
      <c r="Q386">
        <f>(inputs!$C$7*11.2*(10*F386^0.667)*0.5/F386)*inputs!$E$80/(10^(0.84+0.62*LOG10(inputs!$E$80)))</f>
        <v>0.65013908626008243</v>
      </c>
      <c r="R386">
        <f>(60*284*((F386/1000)^0.77)*3*24*(MAX('Min rate concentrations'!$R$3:$R$368))/F386)*(inputs!$E$73*3.4/inputs!$E$75)</f>
        <v>6.2166433471617707E-3</v>
      </c>
      <c r="S386">
        <f>(IF(inputs!$C$6="aerial",((0.025*0.112*inputs!$C$7/3.3)*(3*60*284*((F386/1000)^0.77))*MAX(inputs!$H$14:$H$16))/F386,((0.0083*0.112*inputs!$C$7/1)*(3*60*284*((F386/1000)^0.77))*MAX(inputs!$H$14:$H$16))/F386))*(inputs!E$75*3.4/inputs!$E$73)</f>
        <v>3.4285169999653448E-2</v>
      </c>
      <c r="T386">
        <f>IF((((inputs!$P$12/(V386/MAX(K386:S386)))^(1/inputs!$O$12))-1)/inputs!$N$12&lt;0, 0, IF((((inputs!$P$12/(V386/MAX(K386:S386)))^(1/inputs!$O$12))-1)/inputs!$N$12&gt;inputs!$H$17, inputs!$H$17, (((inputs!$P$12/(V386/MAX(K386:S386)))^(1/inputs!$O$12))-1)/inputs!$N$12))</f>
        <v>182.71367525694734</v>
      </c>
      <c r="U386">
        <f>IF((((inputs!$P$12/(X386/MAX(K386:S386)))^(1/inputs!$O$12))-1)/inputs!$N$12&lt;0, 0, IF((((inputs!$P$12/(X386/MAX(K386:S386)))^(1/inputs!$O$12))-1)/inputs!$N$12&gt;inputs!$H$17, inputs!$H$17, (((inputs!$P$12/(X386/MAX(K386:S386)))^(1/inputs!$O$12))-1)/inputs!$N$12))</f>
        <v>0</v>
      </c>
      <c r="V386">
        <f>inputs!$E$78*(F386/inputs!$F$78)^(inputs!$E$84-1)</f>
        <v>1.2764757875167079E-2</v>
      </c>
      <c r="W386">
        <f>inputs!$E$85*(F386/inputs!$F$85)^(inputs!$E$84-1)</f>
        <v>0.58945300392751587</v>
      </c>
      <c r="X386">
        <f>inputs!$E$80*(F386/inputs!$F$80)^(inputs!$E$84-1)</f>
        <v>2.2011219766913568</v>
      </c>
      <c r="Y386">
        <f>inputs!$E$82*(F386/inputs!$F$82)^(inputs!$E$84-1)</f>
        <v>1.0144623363948573</v>
      </c>
      <c r="Z386">
        <f t="shared" ref="Z386:Z451" si="43">MAX(K386:S386)/V386</f>
        <v>289.14965362259579</v>
      </c>
      <c r="AA386">
        <f t="shared" ref="AA386:AA451" si="44">MAX(K386:S386)/W386</f>
        <v>6.2616108385033025</v>
      </c>
    </row>
    <row r="387" spans="1:27" x14ac:dyDescent="0.3">
      <c r="A387" t="s">
        <v>155</v>
      </c>
      <c r="B387" t="s">
        <v>156</v>
      </c>
      <c r="C387" t="s">
        <v>73</v>
      </c>
      <c r="D387" t="s">
        <v>157</v>
      </c>
      <c r="E387">
        <v>10021</v>
      </c>
      <c r="F387">
        <v>293</v>
      </c>
      <c r="G387" t="s">
        <v>158</v>
      </c>
      <c r="H387">
        <v>0.85</v>
      </c>
      <c r="I387">
        <f>MAX('Min rate concentrations'!$F$3:$F$368)</f>
        <v>67.5</v>
      </c>
      <c r="J387">
        <f>MAX('Min rate concentrations'!Y:Y)</f>
        <v>22.5</v>
      </c>
      <c r="K387">
        <f t="shared" si="41"/>
        <v>32.925241711757813</v>
      </c>
      <c r="L387">
        <f>((0.301*F387^0.751)/(1-H387))*J387/F387</f>
        <v>10.975080570585938</v>
      </c>
      <c r="M387">
        <f>IF((((1.18*F387^0.874)/3.7-(0.301*F387^0.751)/(1-H387)*H387)*(MAX('Min rate concentrations'!$P$3:$P$368)))/F387&gt;0, (((1.18*F387^0.874)/3.7-(0.301*F387^0.751)/(1-H387)*H387)*(MAX('Min rate concentrations'!$P$3:$P$368)))/F387, 0)</f>
        <v>0</v>
      </c>
      <c r="N387">
        <f>IF((((1.18*F387^0.874)/3.7-(0.301*F387^0.751)/(1-H387)*H387)*(MAX('Min rate concentrations'!$Q$3:$Q$368)))/F387&gt;0, (((1.18*F387^0.874)/3.7-(0.301*F387^0.751)/(1-H387)*H387)*(MAX('Min rate concentrations'!$Q$3:$Q$368)))/F387, 0)</f>
        <v>0</v>
      </c>
      <c r="O387">
        <f>((MAX('Min rate concentrations'!$F$3:$F$368))*0.62*6.01*8*(10*F387^0.667)*0.079*0.1/F387)*inputs!$E$80/(10^(0.84+0.62*LOG10(inputs!$E$80)))</f>
        <v>3.690925318180863</v>
      </c>
      <c r="P387">
        <f>((MAX('Min rate concentrations'!Y:Y))*0.62*6.01*8*(10*F387^0.667)*0.079*0.1/F387)*inputs!$E$80/(10^(0.84+0.62*LOG10(inputs!$E$80)))</f>
        <v>1.2303084393936208</v>
      </c>
      <c r="Q387">
        <f>(inputs!$C$7*11.2*(10*F387^0.667)*0.5/F387)*inputs!$E$80/(10^(0.84+0.62*LOG10(inputs!$E$80)))</f>
        <v>0.65013908626008243</v>
      </c>
      <c r="R387">
        <f>(60*284*((F387/1000)^0.77)*3*24*(MAX('Min rate concentrations'!$R$3:$R$368))/F387)*(inputs!$E$73*3.4/inputs!$E$75)</f>
        <v>6.2166433471617707E-3</v>
      </c>
      <c r="S387">
        <f>(IF(inputs!$C$6="aerial",((0.025*0.112*inputs!$C$7/3.3)*(3*60*284*((F387/1000)^0.77))*MAX(inputs!$H$14:$H$16))/F387,((0.0083*0.112*inputs!$C$7/1)*(3*60*284*((F387/1000)^0.77))*MAX(inputs!$H$14:$H$16))/F387))*(inputs!E$75*3.4/inputs!$E$73)</f>
        <v>3.4285169999653448E-2</v>
      </c>
      <c r="T387">
        <f>IF((((inputs!$P$12/(V387/MAX(K387:S387)))^(1/inputs!$O$12))-1)/inputs!$N$12&lt;0, 0, IF((((inputs!$P$12/(V387/MAX(K387:S387)))^(1/inputs!$O$12))-1)/inputs!$N$12&gt;inputs!$H$17, inputs!$H$17, (((inputs!$P$12/(V387/MAX(K387:S387)))^(1/inputs!$O$12))-1)/inputs!$N$12))</f>
        <v>485.8619691837921</v>
      </c>
      <c r="U387">
        <f>IF((((inputs!$P$12/(X387/MAX(K387:S387)))^(1/inputs!$O$12))-1)/inputs!$N$12&lt;0, 0, IF((((inputs!$P$12/(X387/MAX(K387:S387)))^(1/inputs!$O$12))-1)/inputs!$N$12&gt;inputs!$H$17, inputs!$H$17, (((inputs!$P$12/(X387/MAX(K387:S387)))^(1/inputs!$O$12))-1)/inputs!$N$12))</f>
        <v>34.830261791255374</v>
      </c>
      <c r="V387">
        <f>inputs!$E$78*(F387/inputs!$F$78)^(inputs!$E$84-1)</f>
        <v>1.2764757875167079E-2</v>
      </c>
      <c r="W387">
        <f>inputs!$E$85*(F387/inputs!$F$85)^(inputs!$E$84-1)</f>
        <v>0.58945300392751587</v>
      </c>
      <c r="X387">
        <f>inputs!$E$80*(F387/inputs!$F$80)^(inputs!$E$84-1)</f>
        <v>2.2011219766913568</v>
      </c>
      <c r="Y387">
        <f>inputs!$E$82*(F387/inputs!$F$82)^(inputs!$E$84-1)</f>
        <v>1.0144623363948573</v>
      </c>
      <c r="Z387">
        <f t="shared" si="43"/>
        <v>2579.386309850147</v>
      </c>
      <c r="AA387">
        <f t="shared" si="44"/>
        <v>55.857280380925125</v>
      </c>
    </row>
    <row r="388" spans="1:27" x14ac:dyDescent="0.3">
      <c r="A388" t="s">
        <v>155</v>
      </c>
      <c r="B388" t="s">
        <v>156</v>
      </c>
      <c r="C388" t="s">
        <v>73</v>
      </c>
      <c r="D388" t="s">
        <v>157</v>
      </c>
      <c r="E388">
        <v>10021</v>
      </c>
      <c r="F388">
        <v>293</v>
      </c>
      <c r="G388" t="s">
        <v>154</v>
      </c>
      <c r="H388">
        <v>9.2999999999999999E-2</v>
      </c>
      <c r="I388">
        <f>MAX('Min rate concentrations'!$G$3:$G$368)</f>
        <v>7.5</v>
      </c>
      <c r="J388">
        <f>MAX('Min rate concentrations'!Z:Z)</f>
        <v>3.5</v>
      </c>
      <c r="K388">
        <f t="shared" si="41"/>
        <v>0.60502097963538803</v>
      </c>
      <c r="M388">
        <f>IF((((1.18*F388^0.874)/3.7-(0.301*F388^0.751)/(1-H388)*H388)*(MAX('Min rate concentrations'!$P$3:$P$368)))/F388&gt;0, (((1.18*F388^0.874)/3.7-(0.301*F388^0.751)/(1-H388)*H388)*(MAX('Min rate concentrations'!$P$3:$P$368)))/F388, 0)</f>
        <v>2.1540100752591215E-2</v>
      </c>
      <c r="N388">
        <f>IF((((1.18*F388^0.874)/3.7-(0.301*F388^0.751)/(1-H388)*H388)*(MAX('Min rate concentrations'!$Q$3:$Q$368)))/F388&gt;0, (((1.18*F388^0.874)/3.7-(0.301*F388^0.751)/(1-H388)*H388)*(MAX('Min rate concentrations'!$Q$3:$Q$368)))/F388, 0)</f>
        <v>8.2025861051778601E-2</v>
      </c>
      <c r="O388">
        <f>((MAX('Min rate concentrations'!$F$3:$F$368))*0.62*6.01*8*(10*F388^0.667)*0.079*0.1/F388)*inputs!$E$80/(10^(0.84+0.62*LOG10(inputs!$E$80)))</f>
        <v>3.690925318180863</v>
      </c>
      <c r="P388">
        <f>((MAX('Min rate concentrations'!Y:Y))*0.62*6.01*8*(10*F388^0.667)*0.079*0.1/F388)*inputs!$E$80/(10^(0.84+0.62*LOG10(inputs!$E$80)))</f>
        <v>1.2303084393936208</v>
      </c>
      <c r="Q388">
        <f>(inputs!$C$7*11.2*(10*F388^0.667)*0.5/F388)*inputs!$E$80/(10^(0.84+0.62*LOG10(inputs!$E$80)))</f>
        <v>0.65013908626008243</v>
      </c>
      <c r="R388">
        <f>(60*284*((F388/1000)^0.77)*3*24*(MAX('Min rate concentrations'!$R$3:$R$368))/F388)*(inputs!$E$73*3.4/inputs!$E$75)</f>
        <v>6.2166433471617707E-3</v>
      </c>
      <c r="S388">
        <f>(IF(inputs!$C$6="aerial",((0.025*0.112*inputs!$C$7/3.3)*(3*60*284*((F388/1000)^0.77))*MAX(inputs!$H$14:$H$16))/F388,((0.0083*0.112*inputs!$C$7/1)*(3*60*284*((F388/1000)^0.77))*MAX(inputs!$H$14:$H$16))/F388))*(inputs!E$75*3.4/inputs!$E$73)</f>
        <v>3.4285169999653448E-2</v>
      </c>
      <c r="T388">
        <f>IF((((inputs!$P$12/(V388/MAX(K388:S388)))^(1/inputs!$O$12))-1)/inputs!$N$12&lt;0, 0, IF((((inputs!$P$12/(V388/MAX(K388:S388)))^(1/inputs!$O$12))-1)/inputs!$N$12&gt;inputs!$H$17, inputs!$H$17, (((inputs!$P$12/(V388/MAX(K388:S388)))^(1/inputs!$O$12))-1)/inputs!$N$12))</f>
        <v>182.71367525694734</v>
      </c>
      <c r="U388">
        <f>IF((((inputs!$P$12/(X388/MAX(K388:S388)))^(1/inputs!$O$12))-1)/inputs!$N$12&lt;0, 0, IF((((inputs!$P$12/(X388/MAX(K388:S388)))^(1/inputs!$O$12))-1)/inputs!$N$12&gt;inputs!$H$17, inputs!$H$17, (((inputs!$P$12/(X388/MAX(K388:S388)))^(1/inputs!$O$12))-1)/inputs!$N$12))</f>
        <v>0</v>
      </c>
      <c r="V388">
        <f>inputs!$E$78*(F388/inputs!$F$78)^(inputs!$E$84-1)</f>
        <v>1.2764757875167079E-2</v>
      </c>
      <c r="W388">
        <f>inputs!$E$85*(F388/inputs!$F$85)^(inputs!$E$84-1)</f>
        <v>0.58945300392751587</v>
      </c>
      <c r="X388">
        <f>inputs!$E$80*(F388/inputs!$F$80)^(inputs!$E$84-1)</f>
        <v>2.2011219766913568</v>
      </c>
      <c r="Y388">
        <f>inputs!$E$82*(F388/inputs!$F$82)^(inputs!$E$84-1)</f>
        <v>1.0144623363948573</v>
      </c>
      <c r="Z388">
        <f t="shared" si="43"/>
        <v>289.14965362259579</v>
      </c>
      <c r="AA388">
        <f t="shared" si="44"/>
        <v>6.2616108385033025</v>
      </c>
    </row>
    <row r="389" spans="1:27" x14ac:dyDescent="0.3">
      <c r="A389" t="s">
        <v>355</v>
      </c>
      <c r="B389" t="s">
        <v>356</v>
      </c>
      <c r="C389" t="s">
        <v>73</v>
      </c>
      <c r="D389" t="s">
        <v>354</v>
      </c>
      <c r="E389">
        <v>129</v>
      </c>
      <c r="F389">
        <v>518</v>
      </c>
      <c r="G389" t="s">
        <v>142</v>
      </c>
      <c r="H389">
        <v>0.69</v>
      </c>
      <c r="I389">
        <f>MAX('Min rate concentrations'!$H$3:$H$368)</f>
        <v>47</v>
      </c>
      <c r="J389">
        <f>MAX('Min rate concentrations'!AA:AA)</f>
        <v>32.5</v>
      </c>
      <c r="K389">
        <f t="shared" si="41"/>
        <v>9.6257493689467086</v>
      </c>
      <c r="L389">
        <f t="shared" ref="L389:L395" si="45">((0.301*F389^0.751)/(1-H389))*J389/F389</f>
        <v>6.6561032870376176</v>
      </c>
      <c r="M389">
        <f>IF((((1.18*F389^0.874)/3.7-(0.301*F389^0.751)/(1-H389)*H389)*(MAX('Min rate concentrations'!$P$3:$P$368)))/F389&gt;0, (((1.18*F389^0.874)/3.7-(0.301*F389^0.751)/(1-H389)*H389)*(MAX('Min rate concentrations'!$P$3:$P$368)))/F389, 0)</f>
        <v>5.498574876523824E-4</v>
      </c>
      <c r="N389">
        <f>IF((((1.18*F389^0.874)/3.7-(0.301*F389^0.751)/(1-H389)*H389)*(MAX('Min rate concentrations'!$Q$3:$Q$368)))/F389&gt;0, (((1.18*F389^0.874)/3.7-(0.301*F389^0.751)/(1-H389)*H389)*(MAX('Min rate concentrations'!$Q$3:$Q$368)))/F389, 0)</f>
        <v>2.0938868577496644E-3</v>
      </c>
      <c r="O389">
        <f>((MAX('Min rate concentrations'!$F$3:$F$368))*0.62*6.01*8*(10*F389^0.667)*0.079*0.1/F389)*inputs!$E$80/(10^(0.84+0.62*LOG10(inputs!$E$80)))</f>
        <v>3.0530250338742082</v>
      </c>
      <c r="P389">
        <f>((MAX('Min rate concentrations'!Y:Y))*0.62*6.01*8*(10*F389^0.667)*0.079*0.1/F389)*inputs!$E$80/(10^(0.84+0.62*LOG10(inputs!$E$80)))</f>
        <v>1.0176750112914028</v>
      </c>
      <c r="Q389">
        <f>(inputs!$C$7*11.2*(10*F389^0.667)*0.5/F389)*inputs!$E$80/(10^(0.84+0.62*LOG10(inputs!$E$80)))</f>
        <v>0.53777595988596805</v>
      </c>
      <c r="R389">
        <f>(60*284*((F389/1000)^0.77)*3*24*(MAX('Min rate concentrations'!$R$3:$R$368))/F389)*(inputs!$E$73*3.4/inputs!$E$75)</f>
        <v>5.4530522656097919E-3</v>
      </c>
      <c r="S389">
        <f>(IF(inputs!$C$6="aerial",((0.025*0.112*inputs!$C$7/3.3)*(3*60*284*((F389/1000)^0.77))*MAX(inputs!$H$14:$H$16))/F389,((0.0083*0.112*inputs!$C$7/1)*(3*60*284*((F389/1000)^0.77))*MAX(inputs!$H$14:$H$16))/F389))*(inputs!E$75*3.4/inputs!$E$73)</f>
        <v>3.0073918271149299E-2</v>
      </c>
      <c r="T389">
        <f>IF((((inputs!$P$12/(V389/MAX(K389:S389)))^(1/inputs!$O$12))-1)/inputs!$N$12&lt;0, 0, IF((((inputs!$P$12/(V389/MAX(K389:S389)))^(1/inputs!$O$12))-1)/inputs!$N$12&gt;inputs!$H$17, inputs!$H$17, (((inputs!$P$12/(V389/MAX(K389:S389)))^(1/inputs!$O$12))-1)/inputs!$N$12))</f>
        <v>311.34360323152254</v>
      </c>
      <c r="U389">
        <f>IF((((inputs!$P$12/(X389/MAX(K389:S389)))^(1/inputs!$O$12))-1)/inputs!$N$12&lt;0, 0, IF((((inputs!$P$12/(X389/MAX(K389:S389)))^(1/inputs!$O$12))-1)/inputs!$N$12&gt;inputs!$H$17, inputs!$H$17, (((inputs!$P$12/(X389/MAX(K389:S389)))^(1/inputs!$O$12))-1)/inputs!$N$12))</f>
        <v>13.345843257858707</v>
      </c>
      <c r="V389">
        <f>inputs!$E$78*(F389/inputs!$F$78)^(inputs!$E$84-1)</f>
        <v>1.033835854431058E-2</v>
      </c>
      <c r="W389">
        <f>inputs!$E$85*(F389/inputs!$F$85)^(inputs!$E$84-1)</f>
        <v>0.47740635264840908</v>
      </c>
      <c r="X389">
        <f>inputs!$E$80*(F389/inputs!$F$80)^(inputs!$E$84-1)</f>
        <v>1.7827199244465908</v>
      </c>
      <c r="Y389">
        <f>inputs!$E$82*(F389/inputs!$F$82)^(inputs!$E$84-1)</f>
        <v>0.82162744220573558</v>
      </c>
      <c r="Z389">
        <f t="shared" si="43"/>
        <v>931.07134248540501</v>
      </c>
      <c r="AA389">
        <f t="shared" si="44"/>
        <v>20.162591711542834</v>
      </c>
    </row>
    <row r="390" spans="1:27" x14ac:dyDescent="0.3">
      <c r="A390" t="s">
        <v>355</v>
      </c>
      <c r="B390" t="s">
        <v>356</v>
      </c>
      <c r="C390" t="s">
        <v>73</v>
      </c>
      <c r="D390" t="s">
        <v>354</v>
      </c>
      <c r="E390">
        <v>129</v>
      </c>
      <c r="F390">
        <v>518</v>
      </c>
      <c r="G390" t="s">
        <v>138</v>
      </c>
      <c r="H390">
        <v>0.68</v>
      </c>
      <c r="I390">
        <f>MAX('Min rate concentrations'!$L$3:$L$368)</f>
        <v>58.421240152220811</v>
      </c>
      <c r="J390">
        <f>MAX('Min rate concentrations'!AD:AD)</f>
        <v>40.397666062705881</v>
      </c>
      <c r="K390">
        <f t="shared" si="41"/>
        <v>11.590953910490715</v>
      </c>
      <c r="L390">
        <f t="shared" si="45"/>
        <v>8.0150213210840047</v>
      </c>
      <c r="M390">
        <f>IF((((1.18*F390^0.874)/3.7-(0.301*F390^0.751)/(1-H390)*H390)*(MAX('Min rate concentrations'!$P$3:$P$368)))/F390&gt;0, (((1.18*F390^0.874)/3.7-(0.301*F390^0.751)/(1-H390)*H390)*(MAX('Min rate concentrations'!$P$3:$P$368)))/F390, 0)</f>
        <v>1.4788193009716132E-3</v>
      </c>
      <c r="N390">
        <f>IF((((1.18*F390^0.874)/3.7-(0.301*F390^0.751)/(1-H390)*H390)*(MAX('Min rate concentrations'!$Q$3:$Q$368)))/F390&gt;0, (((1.18*F390^0.874)/3.7-(0.301*F390^0.751)/(1-H390)*H390)*(MAX('Min rate concentrations'!$Q$3:$Q$368)))/F390, 0)</f>
        <v>5.6314233575529438E-3</v>
      </c>
      <c r="O390">
        <f>((MAX('Min rate concentrations'!$F$3:$F$368))*0.62*6.01*8*(10*F390^0.667)*0.079*0.1/F390)*inputs!$E$80/(10^(0.84+0.62*LOG10(inputs!$E$80)))</f>
        <v>3.0530250338742082</v>
      </c>
      <c r="P390">
        <f>((MAX('Min rate concentrations'!Y:Y))*0.62*6.01*8*(10*F390^0.667)*0.079*0.1/F390)*inputs!$E$80/(10^(0.84+0.62*LOG10(inputs!$E$80)))</f>
        <v>1.0176750112914028</v>
      </c>
      <c r="Q390">
        <f>(inputs!$C$7*11.2*(10*F390^0.667)*0.5/F390)*inputs!$E$80/(10^(0.84+0.62*LOG10(inputs!$E$80)))</f>
        <v>0.53777595988596805</v>
      </c>
      <c r="R390">
        <f>(60*284*((F390/1000)^0.77)*3*24*(MAX('Min rate concentrations'!$R$3:$R$368))/F390)*(inputs!$E$73*3.4/inputs!$E$75)</f>
        <v>5.4530522656097919E-3</v>
      </c>
      <c r="S390">
        <f>(IF(inputs!$C$6="aerial",((0.025*0.112*inputs!$C$7/3.3)*(3*60*284*((F390/1000)^0.77))*MAX(inputs!$H$14:$H$16))/F390,((0.0083*0.112*inputs!$C$7/1)*(3*60*284*((F390/1000)^0.77))*MAX(inputs!$H$14:$H$16))/F390))*(inputs!E$75*3.4/inputs!$E$73)</f>
        <v>3.0073918271149299E-2</v>
      </c>
      <c r="T390">
        <f>IF((((inputs!$P$12/(V390/MAX(K390:S390)))^(1/inputs!$O$12))-1)/inputs!$N$12&lt;0, 0, IF((((inputs!$P$12/(V390/MAX(K390:S390)))^(1/inputs!$O$12))-1)/inputs!$N$12&gt;inputs!$H$17, inputs!$H$17, (((inputs!$P$12/(V390/MAX(K390:S390)))^(1/inputs!$O$12))-1)/inputs!$N$12))</f>
        <v>338.01814399274923</v>
      </c>
      <c r="U390">
        <f>IF((((inputs!$P$12/(X390/MAX(K390:S390)))^(1/inputs!$O$12))-1)/inputs!$N$12&lt;0, 0, IF((((inputs!$P$12/(X390/MAX(K390:S390)))^(1/inputs!$O$12))-1)/inputs!$N$12&gt;inputs!$H$17, inputs!$H$17, (((inputs!$P$12/(X390/MAX(K390:S390)))^(1/inputs!$O$12))-1)/inputs!$N$12))</f>
        <v>16.6296638160748</v>
      </c>
      <c r="V390">
        <f>inputs!$E$78*(F390/inputs!$F$78)^(inputs!$E$84-1)</f>
        <v>1.033835854431058E-2</v>
      </c>
      <c r="W390">
        <f>inputs!$E$85*(F390/inputs!$F$85)^(inputs!$E$84-1)</f>
        <v>0.47740635264840908</v>
      </c>
      <c r="X390">
        <f>inputs!$E$80*(F390/inputs!$F$80)^(inputs!$E$84-1)</f>
        <v>1.7827199244465908</v>
      </c>
      <c r="Y390">
        <f>inputs!$E$82*(F390/inputs!$F$82)^(inputs!$E$84-1)</f>
        <v>0.82162744220573558</v>
      </c>
      <c r="Z390">
        <f t="shared" si="43"/>
        <v>1121.1599850025964</v>
      </c>
      <c r="AA390">
        <f t="shared" si="44"/>
        <v>24.279010629393518</v>
      </c>
    </row>
    <row r="391" spans="1:27" x14ac:dyDescent="0.3">
      <c r="A391" t="s">
        <v>355</v>
      </c>
      <c r="B391" t="s">
        <v>356</v>
      </c>
      <c r="C391" t="s">
        <v>73</v>
      </c>
      <c r="D391" t="s">
        <v>354</v>
      </c>
      <c r="E391">
        <v>129</v>
      </c>
      <c r="F391">
        <v>518</v>
      </c>
      <c r="G391" t="s">
        <v>456</v>
      </c>
      <c r="H391">
        <v>0.68</v>
      </c>
      <c r="I391">
        <f>MAX('Min rate concentrations'!$J$3:$J$368)</f>
        <v>114.4108103430513</v>
      </c>
      <c r="J391">
        <f>MAX('Min rate concentrations'!AB:AB)</f>
        <v>40.520495329830666</v>
      </c>
      <c r="K391">
        <f t="shared" si="41"/>
        <v>22.699457014141981</v>
      </c>
      <c r="L391">
        <f t="shared" si="45"/>
        <v>8.039391025841951</v>
      </c>
      <c r="M391">
        <f>IF((((1.18*F391^0.874)/3.7-(0.301*F391^0.751)/(1-H391)*H391)*(MAX('Min rate concentrations'!$P$3:$P$368)))/F391&gt;0, (((1.18*F391^0.874)/3.7-(0.301*F391^0.751)/(1-H391)*H391)*(MAX('Min rate concentrations'!$P$3:$P$368)))/F391, 0)</f>
        <v>1.4788193009716132E-3</v>
      </c>
      <c r="N391">
        <f>IF((((1.18*F391^0.874)/3.7-(0.301*F391^0.751)/(1-H391)*H391)*(MAX('Min rate concentrations'!$Q$3:$Q$368)))/F391&gt;0, (((1.18*F391^0.874)/3.7-(0.301*F391^0.751)/(1-H391)*H391)*(MAX('Min rate concentrations'!$Q$3:$Q$368)))/F391, 0)</f>
        <v>5.6314233575529438E-3</v>
      </c>
      <c r="O391">
        <f>((MAX('Min rate concentrations'!$F$3:$F$368))*0.62*6.01*8*(10*F391^0.667)*0.079*0.1/F391)*inputs!$E$80/(10^(0.84+0.62*LOG10(inputs!$E$80)))</f>
        <v>3.0530250338742082</v>
      </c>
      <c r="P391">
        <f>((MAX('Min rate concentrations'!Y:Y))*0.62*6.01*8*(10*F391^0.667)*0.079*0.1/F391)*inputs!$E$80/(10^(0.84+0.62*LOG10(inputs!$E$80)))</f>
        <v>1.0176750112914028</v>
      </c>
      <c r="Q391">
        <f>(inputs!$C$7*11.2*(10*F391^0.667)*0.5/F391)*inputs!$E$80/(10^(0.84+0.62*LOG10(inputs!$E$80)))</f>
        <v>0.53777595988596805</v>
      </c>
      <c r="R391">
        <f>(60*284*((F391/1000)^0.77)*3*24*(MAX('Min rate concentrations'!$R$3:$R$368))/F391)*(inputs!$E$73*3.4/inputs!$E$75)</f>
        <v>5.4530522656097919E-3</v>
      </c>
      <c r="S391">
        <f>(IF(inputs!$C$6="aerial",((0.025*0.112*inputs!$C$7/3.3)*(3*60*284*((F391/1000)^0.77))*MAX(inputs!$H$14:$H$16))/F391,((0.0083*0.112*inputs!$C$7/1)*(3*60*284*((F391/1000)^0.77))*MAX(inputs!$H$14:$H$16))/F391))*(inputs!E$75*3.4/inputs!$E$73)</f>
        <v>3.0073918271149299E-2</v>
      </c>
      <c r="T391">
        <f>IF((((inputs!$P$12/(V391/MAX(K391:S391)))^(1/inputs!$O$12))-1)/inputs!$N$12&lt;0, 0, IF((((inputs!$P$12/(V391/MAX(K391:S391)))^(1/inputs!$O$12))-1)/inputs!$N$12&gt;inputs!$H$17, inputs!$H$17, (((inputs!$P$12/(V391/MAX(K391:S391)))^(1/inputs!$O$12))-1)/inputs!$N$12))</f>
        <v>453.24503537403234</v>
      </c>
      <c r="U391">
        <f>IF((((inputs!$P$12/(X391/MAX(K391:S391)))^(1/inputs!$O$12))-1)/inputs!$N$12&lt;0, 0, IF((((inputs!$P$12/(X391/MAX(K391:S391)))^(1/inputs!$O$12))-1)/inputs!$N$12&gt;inputs!$H$17, inputs!$H$17, (((inputs!$P$12/(X391/MAX(K391:S391)))^(1/inputs!$O$12))-1)/inputs!$N$12))</f>
        <v>30.814891526806342</v>
      </c>
      <c r="V391">
        <f>inputs!$E$78*(F391/inputs!$F$78)^(inputs!$E$84-1)</f>
        <v>1.033835854431058E-2</v>
      </c>
      <c r="W391">
        <f>inputs!$E$85*(F391/inputs!$F$85)^(inputs!$E$84-1)</f>
        <v>0.47740635264840908</v>
      </c>
      <c r="X391">
        <f>inputs!$E$80*(F391/inputs!$F$80)^(inputs!$E$84-1)</f>
        <v>1.7827199244465908</v>
      </c>
      <c r="Y391">
        <f>inputs!$E$82*(F391/inputs!$F$82)^(inputs!$E$84-1)</f>
        <v>0.82162744220573558</v>
      </c>
      <c r="Z391">
        <f t="shared" si="43"/>
        <v>2195.6538764690044</v>
      </c>
      <c r="AA391">
        <f t="shared" si="44"/>
        <v>47.547454884537814</v>
      </c>
    </row>
    <row r="392" spans="1:27" x14ac:dyDescent="0.3">
      <c r="A392" t="s">
        <v>355</v>
      </c>
      <c r="B392" t="s">
        <v>356</v>
      </c>
      <c r="C392" t="s">
        <v>73</v>
      </c>
      <c r="D392" t="s">
        <v>354</v>
      </c>
      <c r="E392">
        <v>129</v>
      </c>
      <c r="F392">
        <v>518</v>
      </c>
      <c r="G392" t="s">
        <v>145</v>
      </c>
      <c r="H392">
        <v>0.66</v>
      </c>
      <c r="I392">
        <f>MAX('Min rate concentrations'!$M$3:$M$368)</f>
        <v>2.8488184789681945</v>
      </c>
      <c r="J392">
        <f>MAX('Min rate concentrations'!AE:AE)</f>
        <v>1.9699276716269429</v>
      </c>
      <c r="K392">
        <f t="shared" si="41"/>
        <v>0.53196645366791395</v>
      </c>
      <c r="L392">
        <f t="shared" si="45"/>
        <v>0.36784914349377029</v>
      </c>
      <c r="M392">
        <f>IF((((1.18*F392^0.874)/3.7-(0.301*F392^0.751)/(1-H392)*H392)*(MAX('Min rate concentrations'!$P$3:$P$368)))/F392&gt;0, (((1.18*F392^0.874)/3.7-(0.301*F392^0.751)/(1-H392)*H392)*(MAX('Min rate concentrations'!$P$3:$P$368)))/F392, 0)</f>
        <v>3.172808489965527E-3</v>
      </c>
      <c r="N392">
        <f>IF((((1.18*F392^0.874)/3.7-(0.301*F392^0.751)/(1-H392)*H392)*(MAX('Min rate concentrations'!$Q$3:$Q$368)))/F392&gt;0, (((1.18*F392^0.874)/3.7-(0.301*F392^0.751)/(1-H392)*H392)*(MAX('Min rate concentrations'!$Q$3:$Q$368)))/F392, 0)</f>
        <v>1.2082225210135479E-2</v>
      </c>
      <c r="O392">
        <f>((MAX('Min rate concentrations'!$F$3:$F$368))*0.62*6.01*8*(10*F392^0.667)*0.079*0.1/F392)*inputs!$E$80/(10^(0.84+0.62*LOG10(inputs!$E$80)))</f>
        <v>3.0530250338742082</v>
      </c>
      <c r="P392">
        <f>((MAX('Min rate concentrations'!Y:Y))*0.62*6.01*8*(10*F392^0.667)*0.079*0.1/F392)*inputs!$E$80/(10^(0.84+0.62*LOG10(inputs!$E$80)))</f>
        <v>1.0176750112914028</v>
      </c>
      <c r="Q392">
        <f>(inputs!$C$7*11.2*(10*F392^0.667)*0.5/F392)*inputs!$E$80/(10^(0.84+0.62*LOG10(inputs!$E$80)))</f>
        <v>0.53777595988596805</v>
      </c>
      <c r="R392">
        <f>(60*284*((F392/1000)^0.77)*3*24*(MAX('Min rate concentrations'!$R$3:$R$368))/F392)*(inputs!$E$73*3.4/inputs!$E$75)</f>
        <v>5.4530522656097919E-3</v>
      </c>
      <c r="S392">
        <f>(IF(inputs!$C$6="aerial",((0.025*0.112*inputs!$C$7/3.3)*(3*60*284*((F392/1000)^0.77))*MAX(inputs!$H$14:$H$16))/F392,((0.0083*0.112*inputs!$C$7/1)*(3*60*284*((F392/1000)^0.77))*MAX(inputs!$H$14:$H$16))/F392))*(inputs!E$75*3.4/inputs!$E$73)</f>
        <v>3.0073918271149299E-2</v>
      </c>
      <c r="T392">
        <f>IF((((inputs!$P$12/(V392/MAX(K392:S392)))^(1/inputs!$O$12))-1)/inputs!$N$12&lt;0, 0, IF((((inputs!$P$12/(V392/MAX(K392:S392)))^(1/inputs!$O$12))-1)/inputs!$N$12&gt;inputs!$H$17, inputs!$H$17, (((inputs!$P$12/(V392/MAX(K392:S392)))^(1/inputs!$O$12))-1)/inputs!$N$12))</f>
        <v>184.53255176859423</v>
      </c>
      <c r="U392">
        <f>IF((((inputs!$P$12/(X392/MAX(K392:S392)))^(1/inputs!$O$12))-1)/inputs!$N$12&lt;0, 0, IF((((inputs!$P$12/(X392/MAX(K392:S392)))^(1/inputs!$O$12))-1)/inputs!$N$12&gt;inputs!$H$17, inputs!$H$17, (((inputs!$P$12/(X392/MAX(K392:S392)))^(1/inputs!$O$12))-1)/inputs!$N$12))</f>
        <v>0</v>
      </c>
      <c r="V392">
        <f>inputs!$E$78*(F392/inputs!$F$78)^(inputs!$E$84-1)</f>
        <v>1.033835854431058E-2</v>
      </c>
      <c r="W392">
        <f>inputs!$E$85*(F392/inputs!$F$85)^(inputs!$E$84-1)</f>
        <v>0.47740635264840908</v>
      </c>
      <c r="X392">
        <f>inputs!$E$80*(F392/inputs!$F$80)^(inputs!$E$84-1)</f>
        <v>1.7827199244465908</v>
      </c>
      <c r="Y392">
        <f>inputs!$E$82*(F392/inputs!$F$82)^(inputs!$E$84-1)</f>
        <v>0.82162744220573558</v>
      </c>
      <c r="Z392">
        <f t="shared" si="43"/>
        <v>295.31042290599925</v>
      </c>
      <c r="AA392">
        <f t="shared" si="44"/>
        <v>6.3950238972262703</v>
      </c>
    </row>
    <row r="393" spans="1:27" x14ac:dyDescent="0.3">
      <c r="A393" t="s">
        <v>352</v>
      </c>
      <c r="B393" t="s">
        <v>353</v>
      </c>
      <c r="C393" t="s">
        <v>73</v>
      </c>
      <c r="D393" t="s">
        <v>354</v>
      </c>
      <c r="E393">
        <v>142</v>
      </c>
      <c r="F393">
        <v>430</v>
      </c>
      <c r="G393" t="s">
        <v>142</v>
      </c>
      <c r="H393">
        <v>0.69</v>
      </c>
      <c r="I393">
        <f>MAX('Min rate concentrations'!$H$3:$H$368)</f>
        <v>47</v>
      </c>
      <c r="J393">
        <f>MAX('Min rate concentrations'!AA:AA)</f>
        <v>32.5</v>
      </c>
      <c r="K393">
        <f t="shared" si="41"/>
        <v>10.082518191378542</v>
      </c>
      <c r="L393">
        <f t="shared" si="45"/>
        <v>6.9719540685064381</v>
      </c>
      <c r="M393">
        <f>IF((((1.18*F393^0.874)/3.7-(0.301*F393^0.751)/(1-H393)*H393)*(MAX('Min rate concentrations'!$P$3:$P$368)))/F393&gt;0, (((1.18*F393^0.874)/3.7-(0.301*F393^0.751)/(1-H393)*H393)*(MAX('Min rate concentrations'!$P$3:$P$368)))/F393, 0)</f>
        <v>7.6469416796985654E-5</v>
      </c>
      <c r="N393">
        <f>IF((((1.18*F393^0.874)/3.7-(0.301*F393^0.751)/(1-H393)*H393)*(MAX('Min rate concentrations'!$Q$3:$Q$368)))/F393&gt;0, (((1.18*F393^0.874)/3.7-(0.301*F393^0.751)/(1-H393)*H393)*(MAX('Min rate concentrations'!$Q$3:$Q$368)))/F393, 0)</f>
        <v>2.9119964799354659E-4</v>
      </c>
      <c r="O393">
        <f>((MAX('Min rate concentrations'!$F$3:$F$368))*0.62*6.01*8*(10*F393^0.667)*0.079*0.1/F393)*inputs!$E$80/(10^(0.84+0.62*LOG10(inputs!$E$80)))</f>
        <v>3.2483078352167181</v>
      </c>
      <c r="P393">
        <f>((MAX('Min rate concentrations'!Y:Y))*0.62*6.01*8*(10*F393^0.667)*0.079*0.1/F393)*inputs!$E$80/(10^(0.84+0.62*LOG10(inputs!$E$80)))</f>
        <v>1.0827692784055722</v>
      </c>
      <c r="Q393">
        <f>(inputs!$C$7*11.2*(10*F393^0.667)*0.5/F393)*inputs!$E$80/(10^(0.84+0.62*LOG10(inputs!$E$80)))</f>
        <v>0.57217410427586934</v>
      </c>
      <c r="R393">
        <f>(60*284*((F393/1000)^0.77)*3*24*(MAX('Min rate concentrations'!$R$3:$R$368))/F393)*(inputs!$E$73*3.4/inputs!$E$75)</f>
        <v>5.6916444212573788E-3</v>
      </c>
      <c r="S393">
        <f>(IF(inputs!$C$6="aerial",((0.025*0.112*inputs!$C$7/3.3)*(3*60*284*((F393/1000)^0.77))*MAX(inputs!$H$14:$H$16))/F393,((0.0083*0.112*inputs!$C$7/1)*(3*60*284*((F393/1000)^0.77))*MAX(inputs!$H$14:$H$16))/F393))*(inputs!E$75*3.4/inputs!$E$73)</f>
        <v>3.1389768668244375E-2</v>
      </c>
      <c r="T393">
        <f>IF((((inputs!$P$12/(V393/MAX(K393:S393)))^(1/inputs!$O$12))-1)/inputs!$N$12&lt;0, 0, IF((((inputs!$P$12/(V393/MAX(K393:S393)))^(1/inputs!$O$12))-1)/inputs!$N$12&gt;inputs!$H$17, inputs!$H$17, (((inputs!$P$12/(V393/MAX(K393:S393)))^(1/inputs!$O$12))-1)/inputs!$N$12))</f>
        <v>308.24381514454473</v>
      </c>
      <c r="U393">
        <f>IF((((inputs!$P$12/(X393/MAX(K393:S393)))^(1/inputs!$O$12))-1)/inputs!$N$12&lt;0, 0, IF((((inputs!$P$12/(X393/MAX(K393:S393)))^(1/inputs!$O$12))-1)/inputs!$N$12&gt;inputs!$H$17, inputs!$H$17, (((inputs!$P$12/(X393/MAX(K393:S393)))^(1/inputs!$O$12))-1)/inputs!$N$12))</f>
        <v>12.964237893505913</v>
      </c>
      <c r="V393">
        <f>inputs!$E$78*(F393/inputs!$F$78)^(inputs!$E$84-1)</f>
        <v>1.1075676756739695E-2</v>
      </c>
      <c r="W393">
        <f>inputs!$E$85*(F393/inputs!$F$85)^(inputs!$E$84-1)</f>
        <v>0.51145434943903523</v>
      </c>
      <c r="X393">
        <f>inputs!$E$80*(F393/inputs!$F$80)^(inputs!$E$84-1)</f>
        <v>1.9098611782850048</v>
      </c>
      <c r="Y393">
        <f>inputs!$E$82*(F393/inputs!$F$82)^(inputs!$E$84-1)</f>
        <v>0.88022483698299681</v>
      </c>
      <c r="Z393">
        <f t="shared" si="43"/>
        <v>910.32976248997124</v>
      </c>
      <c r="AA393">
        <f t="shared" si="44"/>
        <v>19.713427410358481</v>
      </c>
    </row>
    <row r="394" spans="1:27" x14ac:dyDescent="0.3">
      <c r="A394" t="s">
        <v>352</v>
      </c>
      <c r="B394" t="s">
        <v>353</v>
      </c>
      <c r="C394" t="s">
        <v>73</v>
      </c>
      <c r="D394" t="s">
        <v>354</v>
      </c>
      <c r="E394">
        <v>142</v>
      </c>
      <c r="F394">
        <v>430</v>
      </c>
      <c r="G394" t="s">
        <v>138</v>
      </c>
      <c r="H394">
        <v>0.68</v>
      </c>
      <c r="I394">
        <f>MAX('Min rate concentrations'!$L$3:$L$368)</f>
        <v>58.421240152220811</v>
      </c>
      <c r="J394">
        <f>MAX('Min rate concentrations'!AD:AD)</f>
        <v>40.397666062705881</v>
      </c>
      <c r="K394">
        <f t="shared" si="41"/>
        <v>12.14097720380817</v>
      </c>
      <c r="L394">
        <f t="shared" si="45"/>
        <v>8.3953565771013956</v>
      </c>
      <c r="M394">
        <f>IF((((1.18*F394^0.874)/3.7-(0.301*F394^0.751)/(1-H394)*H394)*(MAX('Min rate concentrations'!$P$3:$P$368)))/F394&gt;0, (((1.18*F394^0.874)/3.7-(0.301*F394^0.751)/(1-H394)*H394)*(MAX('Min rate concentrations'!$P$3:$P$368)))/F394, 0)</f>
        <v>1.0495130753097842E-3</v>
      </c>
      <c r="N394">
        <f>IF((((1.18*F394^0.874)/3.7-(0.301*F394^0.751)/(1-H394)*H394)*(MAX('Min rate concentrations'!$Q$3:$Q$368)))/F394&gt;0, (((1.18*F394^0.874)/3.7-(0.301*F394^0.751)/(1-H394)*H394)*(MAX('Min rate concentrations'!$Q$3:$Q$368)))/F394, 0)</f>
        <v>3.9966021828857579E-3</v>
      </c>
      <c r="O394">
        <f>((MAX('Min rate concentrations'!$F$3:$F$368))*0.62*6.01*8*(10*F394^0.667)*0.079*0.1/F394)*inputs!$E$80/(10^(0.84+0.62*LOG10(inputs!$E$80)))</f>
        <v>3.2483078352167181</v>
      </c>
      <c r="P394">
        <f>((MAX('Min rate concentrations'!Y:Y))*0.62*6.01*8*(10*F394^0.667)*0.079*0.1/F394)*inputs!$E$80/(10^(0.84+0.62*LOG10(inputs!$E$80)))</f>
        <v>1.0827692784055722</v>
      </c>
      <c r="Q394">
        <f>(inputs!$C$7*11.2*(10*F394^0.667)*0.5/F394)*inputs!$E$80/(10^(0.84+0.62*LOG10(inputs!$E$80)))</f>
        <v>0.57217410427586934</v>
      </c>
      <c r="R394">
        <f>(60*284*((F394/1000)^0.77)*3*24*(MAX('Min rate concentrations'!$R$3:$R$368))/F394)*(inputs!$E$73*3.4/inputs!$E$75)</f>
        <v>5.6916444212573788E-3</v>
      </c>
      <c r="S394">
        <f>(IF(inputs!$C$6="aerial",((0.025*0.112*inputs!$C$7/3.3)*(3*60*284*((F394/1000)^0.77))*MAX(inputs!$H$14:$H$16))/F394,((0.0083*0.112*inputs!$C$7/1)*(3*60*284*((F394/1000)^0.77))*MAX(inputs!$H$14:$H$16))/F394))*(inputs!E$75*3.4/inputs!$E$73)</f>
        <v>3.1389768668244375E-2</v>
      </c>
      <c r="T394">
        <f>IF((((inputs!$P$12/(V394/MAX(K394:S394)))^(1/inputs!$O$12))-1)/inputs!$N$12&lt;0, 0, IF((((inputs!$P$12/(V394/MAX(K394:S394)))^(1/inputs!$O$12))-1)/inputs!$N$12&gt;inputs!$H$17, inputs!$H$17, (((inputs!$P$12/(V394/MAX(K394:S394)))^(1/inputs!$O$12))-1)/inputs!$N$12))</f>
        <v>334.67504442639131</v>
      </c>
      <c r="U394">
        <f>IF((((inputs!$P$12/(X394/MAX(K394:S394)))^(1/inputs!$O$12))-1)/inputs!$N$12&lt;0, 0, IF((((inputs!$P$12/(X394/MAX(K394:S394)))^(1/inputs!$O$12))-1)/inputs!$N$12&gt;inputs!$H$17, inputs!$H$17, (((inputs!$P$12/(X394/MAX(K394:S394)))^(1/inputs!$O$12))-1)/inputs!$N$12))</f>
        <v>16.218105124870377</v>
      </c>
      <c r="V394">
        <f>inputs!$E$78*(F394/inputs!$F$78)^(inputs!$E$84-1)</f>
        <v>1.1075676756739695E-2</v>
      </c>
      <c r="W394">
        <f>inputs!$E$85*(F394/inputs!$F$85)^(inputs!$E$84-1)</f>
        <v>0.51145434943903523</v>
      </c>
      <c r="X394">
        <f>inputs!$E$80*(F394/inputs!$F$80)^(inputs!$E$84-1)</f>
        <v>1.9098611782850048</v>
      </c>
      <c r="Y394">
        <f>inputs!$E$82*(F394/inputs!$F$82)^(inputs!$E$84-1)</f>
        <v>0.88022483698299681</v>
      </c>
      <c r="Z394">
        <f t="shared" si="43"/>
        <v>1096.1837791465182</v>
      </c>
      <c r="AA394">
        <f t="shared" si="44"/>
        <v>23.738144405506439</v>
      </c>
    </row>
    <row r="395" spans="1:27" x14ac:dyDescent="0.3">
      <c r="A395" t="s">
        <v>352</v>
      </c>
      <c r="B395" t="s">
        <v>353</v>
      </c>
      <c r="C395" t="s">
        <v>73</v>
      </c>
      <c r="D395" t="s">
        <v>354</v>
      </c>
      <c r="E395">
        <v>142</v>
      </c>
      <c r="F395">
        <v>430</v>
      </c>
      <c r="G395" t="s">
        <v>456</v>
      </c>
      <c r="H395">
        <v>0.68</v>
      </c>
      <c r="I395">
        <f>MAX('Min rate concentrations'!$J$3:$J$368)</f>
        <v>114.4108103430513</v>
      </c>
      <c r="J395">
        <f>MAX('Min rate concentrations'!AB:AB)</f>
        <v>40.520495329830666</v>
      </c>
      <c r="K395">
        <f t="shared" si="41"/>
        <v>23.776609955983666</v>
      </c>
      <c r="L395">
        <f t="shared" si="45"/>
        <v>8.4208826927442146</v>
      </c>
      <c r="M395">
        <f>IF((((1.18*F395^0.874)/3.7-(0.301*F395^0.751)/(1-H395)*H395)*(MAX('Min rate concentrations'!$P$3:$P$368)))/F395&gt;0, (((1.18*F395^0.874)/3.7-(0.301*F395^0.751)/(1-H395)*H395)*(MAX('Min rate concentrations'!$P$3:$P$368)))/F395, 0)</f>
        <v>1.0495130753097842E-3</v>
      </c>
      <c r="N395">
        <f>IF((((1.18*F395^0.874)/3.7-(0.301*F395^0.751)/(1-H395)*H395)*(MAX('Min rate concentrations'!$Q$3:$Q$368)))/F395&gt;0, (((1.18*F395^0.874)/3.7-(0.301*F395^0.751)/(1-H395)*H395)*(MAX('Min rate concentrations'!$Q$3:$Q$368)))/F395, 0)</f>
        <v>3.9966021828857579E-3</v>
      </c>
      <c r="O395">
        <f>((MAX('Min rate concentrations'!$F$3:$F$368))*0.62*6.01*8*(10*F395^0.667)*0.079*0.1/F395)*inputs!$E$80/(10^(0.84+0.62*LOG10(inputs!$E$80)))</f>
        <v>3.2483078352167181</v>
      </c>
      <c r="P395">
        <f>((MAX('Min rate concentrations'!Y:Y))*0.62*6.01*8*(10*F395^0.667)*0.079*0.1/F395)*inputs!$E$80/(10^(0.84+0.62*LOG10(inputs!$E$80)))</f>
        <v>1.0827692784055722</v>
      </c>
      <c r="Q395">
        <f>(inputs!$C$7*11.2*(10*F395^0.667)*0.5/F395)*inputs!$E$80/(10^(0.84+0.62*LOG10(inputs!$E$80)))</f>
        <v>0.57217410427586934</v>
      </c>
      <c r="R395">
        <f>(60*284*((F395/1000)^0.77)*3*24*(MAX('Min rate concentrations'!$R$3:$R$368))/F395)*(inputs!$E$73*3.4/inputs!$E$75)</f>
        <v>5.6916444212573788E-3</v>
      </c>
      <c r="S395">
        <f>(IF(inputs!$C$6="aerial",((0.025*0.112*inputs!$C$7/3.3)*(3*60*284*((F395/1000)^0.77))*MAX(inputs!$H$14:$H$16))/F395,((0.0083*0.112*inputs!$C$7/1)*(3*60*284*((F395/1000)^0.77))*MAX(inputs!$H$14:$H$16))/F395))*(inputs!E$75*3.4/inputs!$E$73)</f>
        <v>3.1389768668244375E-2</v>
      </c>
      <c r="T395">
        <f>IF((((inputs!$P$12/(V395/MAX(K395:S395)))^(1/inputs!$O$12))-1)/inputs!$N$12&lt;0, 0, IF((((inputs!$P$12/(V395/MAX(K395:S395)))^(1/inputs!$O$12))-1)/inputs!$N$12&gt;inputs!$H$17, inputs!$H$17, (((inputs!$P$12/(V395/MAX(K395:S395)))^(1/inputs!$O$12))-1)/inputs!$N$12))</f>
        <v>448.85089520467761</v>
      </c>
      <c r="U395">
        <f>IF((((inputs!$P$12/(X395/MAX(K395:S395)))^(1/inputs!$O$12))-1)/inputs!$N$12&lt;0, 0, IF((((inputs!$P$12/(X395/MAX(K395:S395)))^(1/inputs!$O$12))-1)/inputs!$N$12&gt;inputs!$H$17, inputs!$H$17, (((inputs!$P$12/(X395/MAX(K395:S395)))^(1/inputs!$O$12))-1)/inputs!$N$12))</f>
        <v>30.273942464066177</v>
      </c>
      <c r="V395">
        <f>inputs!$E$78*(F395/inputs!$F$78)^(inputs!$E$84-1)</f>
        <v>1.1075676756739695E-2</v>
      </c>
      <c r="W395">
        <f>inputs!$E$85*(F395/inputs!$F$85)^(inputs!$E$84-1)</f>
        <v>0.51145434943903523</v>
      </c>
      <c r="X395">
        <f>inputs!$E$80*(F395/inputs!$F$80)^(inputs!$E$84-1)</f>
        <v>1.9098611782850048</v>
      </c>
      <c r="Y395">
        <f>inputs!$E$82*(F395/inputs!$F$82)^(inputs!$E$84-1)</f>
        <v>0.88022483698299681</v>
      </c>
      <c r="Z395">
        <f t="shared" si="43"/>
        <v>2146.7410505200314</v>
      </c>
      <c r="AA395">
        <f t="shared" si="44"/>
        <v>46.488234936435539</v>
      </c>
    </row>
    <row r="396" spans="1:27" x14ac:dyDescent="0.3">
      <c r="A396" t="s">
        <v>528</v>
      </c>
      <c r="B396" t="s">
        <v>529</v>
      </c>
      <c r="C396" t="s">
        <v>61</v>
      </c>
      <c r="D396" t="s">
        <v>440</v>
      </c>
      <c r="E396">
        <v>3</v>
      </c>
      <c r="F396">
        <v>45000</v>
      </c>
      <c r="G396" t="s">
        <v>169</v>
      </c>
      <c r="H396">
        <v>0.79</v>
      </c>
      <c r="I396">
        <f>MAX('Min rate concentrations'!$D$3:$D$368)</f>
        <v>120</v>
      </c>
      <c r="J396">
        <f>MAX('Min rate concentrations'!W:W)</f>
        <v>42.5</v>
      </c>
      <c r="K396">
        <f t="shared" ref="K396:K459" si="46">(((0.235*F396^0.822)/(1-H396)))*I396/F396</f>
        <v>19.941507497793719</v>
      </c>
      <c r="L396">
        <f t="shared" ref="L396:L420" si="47">(((0.235*F396^0.822)/(1-H396)))*J396/F396</f>
        <v>7.0626172388019413</v>
      </c>
      <c r="M396">
        <f>IF((((0.326*F396^0.818)-(0.398*F396^0.85)/(1-H396)*H396)*(MAX('Min rate concentrations'!$P$3:$P$368)))/F396&gt;0, (((0.326*F396^0.818)-(0.398*F396^0.85)/(1-H396)*H396)*(MAX('Min rate concentrations'!$P$3:$P$368)))/F396, 0)</f>
        <v>0</v>
      </c>
      <c r="N396">
        <f>IF((((0.326*F396^0.818)-(0.398*F396^0.85)/(1-H396)*H396)*(MAX('Min rate concentrations'!$Q$3:$Q$368)))/F396&gt; 0, (((0.326*F396^0.818)-(0.398*F396^0.85)/(1-H396)*H396)*(MAX('Min rate concentrations'!$Q$3:$Q$368)))/F396, 0)</f>
        <v>0</v>
      </c>
      <c r="O396">
        <f>((MAX('Min rate concentrations'!$F$3:$F$368))*0.62*6.01*8*(12.3*F396^0.65)*0.079*0.1/F396)*inputs!$E$73/inputs!$E$74</f>
        <v>1.0610739357541239</v>
      </c>
      <c r="P396">
        <f>((MAX('Min rate concentrations'!Y:Y))*0.62*6.01*8*(12.3*F396^0.65)*0.079*0.1/F396)*inputs!$E$73/inputs!$E$74</f>
        <v>0.3536913119180411</v>
      </c>
      <c r="Q396">
        <f>(inputs!$C$7*11.2*(12.3*F396^0.65)*0.5/F396)*inputs!$E$73/inputs!$E$74</f>
        <v>0.18690316914501481</v>
      </c>
      <c r="R396">
        <f>(60*379*((F396/1000)^0.8)*3*24*(MAX('Min rate concentrations'!$R$3:$R$368))/F396)*(inputs!$E$73/inputs!$E$75)</f>
        <v>8.5928049772373964E-4</v>
      </c>
      <c r="S396">
        <f>(IF(inputs!$C$6="aerial",((0.025*0.112*inputs!$C$7/3.3)*(3*60*379*((F396/1000)^0.8))*MAX(inputs!$H$14:$H$16))/F396,((0.0083*0.112*inputs!$C$7/1)*(3*60*379*((F396/1000)^0.8))*MAX(inputs!$H$14:$H$16))/F396))*(inputs!E$75/inputs!$E$73)</f>
        <v>4.7389847376873521E-3</v>
      </c>
      <c r="T396">
        <f>IF((((inputs!$P$12/(V396/MAX(K396:S396)))^(1/inputs!$O$12))-1)/inputs!$N$12&lt;0, 0, IF((((inputs!$P$12/(V396/MAX(K396:S396)))^(1/inputs!$O$12))-1)/inputs!$N$12&gt;inputs!$H$17, inputs!$H$17, (((inputs!$P$12/(V396/MAX(K396:S396)))^(1/inputs!$O$12))-1)/inputs!$N$12))</f>
        <v>0</v>
      </c>
      <c r="U396">
        <f>IF((((inputs!$P$12/(X396/MAX(K396:S396)))^(1/inputs!$O$12))-1)/inputs!$N$12&lt;0, 0, IF((((inputs!$P$12/(X396/MAX(K396:S396)))^(1/inputs!$O$12))-1)/inputs!$N$12&gt;inputs!$H$17, inputs!$H$17, (((inputs!$P$12/(X396/MAX(K396:S396)))^(1/inputs!$O$12))-1)/inputs!$N$12))</f>
        <v>0</v>
      </c>
      <c r="V396">
        <f>inputs!$E$70*(F396/inputs!$F$70)^(0.25)</f>
        <v>16.39164676516263</v>
      </c>
      <c r="W396">
        <f>inputs!$E$76*(inputs!$F$76/F396)^(0.25)</f>
        <v>0.10393981200762492</v>
      </c>
      <c r="X396">
        <f>inputs!$E$72*(inputs!$F$72/F396)^(0.25)</f>
        <v>15.245570111425018</v>
      </c>
      <c r="Y396" t="s">
        <v>13</v>
      </c>
      <c r="Z396">
        <f t="shared" si="43"/>
        <v>1.2165652288320201</v>
      </c>
      <c r="AA396">
        <f t="shared" si="44"/>
        <v>191.85629753044799</v>
      </c>
    </row>
    <row r="397" spans="1:27" x14ac:dyDescent="0.3">
      <c r="A397" t="s">
        <v>528</v>
      </c>
      <c r="B397" t="s">
        <v>529</v>
      </c>
      <c r="C397" t="s">
        <v>61</v>
      </c>
      <c r="D397" t="s">
        <v>440</v>
      </c>
      <c r="E397">
        <v>3</v>
      </c>
      <c r="F397">
        <v>45000</v>
      </c>
      <c r="G397" t="s">
        <v>177</v>
      </c>
      <c r="H397">
        <v>0.85</v>
      </c>
      <c r="I397">
        <f>MAX('Min rate concentrations'!$F$3:$F$368)</f>
        <v>67.5</v>
      </c>
      <c r="J397">
        <f>MAX('Min rate concentrations'!Y:Y)</f>
        <v>22.5</v>
      </c>
      <c r="K397">
        <f t="shared" si="46"/>
        <v>15.703937154512547</v>
      </c>
      <c r="L397">
        <f t="shared" si="47"/>
        <v>5.2346457181708494</v>
      </c>
      <c r="M397">
        <f>IF((((0.326*F397^0.818)-(0.398*F397^0.85)/(1-H397)*H397)*(MAX('Min rate concentrations'!$P$3:$P$368)))/F397&gt;0, (((0.326*F397^0.818)-(0.398*F397^0.85)/(1-H397)*H397)*(MAX('Min rate concentrations'!$P$3:$P$368)))/F397, 0)</f>
        <v>0</v>
      </c>
      <c r="N397">
        <f>IF((((0.326*F397^0.818)-(0.398*F397^0.85)/(1-H397)*H397)*(MAX('Min rate concentrations'!$Q$3:$Q$368)))/F397&gt; 0, (((0.326*F397^0.818)-(0.398*F397^0.85)/(1-H397)*H397)*(MAX('Min rate concentrations'!$Q$3:$Q$368)))/F397, 0)</f>
        <v>0</v>
      </c>
      <c r="O397">
        <f>((MAX('Min rate concentrations'!$F$3:$F$368))*0.62*6.01*8*(12.3*F397^0.65)*0.079*0.1/F397)*inputs!$E$73/inputs!$E$74</f>
        <v>1.0610739357541239</v>
      </c>
      <c r="P397">
        <f>((MAX('Min rate concentrations'!Y:Y))*0.62*6.01*8*(12.3*F397^0.65)*0.079*0.1/F397)*inputs!$E$73/inputs!$E$74</f>
        <v>0.3536913119180411</v>
      </c>
      <c r="Q397">
        <f>(inputs!$C$7*11.2*(12.3*F397^0.65)*0.5/F397)*inputs!$E$73/inputs!$E$74</f>
        <v>0.18690316914501481</v>
      </c>
      <c r="R397">
        <f>(60*379*((F397/1000)^0.8)*3*24*(MAX('Min rate concentrations'!$R$3:$R$368))/F397)*(inputs!$E$73/inputs!$E$75)</f>
        <v>8.5928049772373964E-4</v>
      </c>
      <c r="S397">
        <f>(IF(inputs!$C$6="aerial",((0.025*0.112*inputs!$C$7/3.3)*(3*60*379*((F397/1000)^0.8))*MAX(inputs!$H$14:$H$16))/F397,((0.0083*0.112*inputs!$C$7/1)*(3*60*379*((F397/1000)^0.8))*MAX(inputs!$H$14:$H$16))/F397))*(inputs!E$75/inputs!$E$73)</f>
        <v>4.7389847376873521E-3</v>
      </c>
      <c r="T397">
        <f>IF((((inputs!$P$12/(V397/MAX(K397:S397)))^(1/inputs!$O$12))-1)/inputs!$N$12&lt;0, 0, IF((((inputs!$P$12/(V397/MAX(K397:S397)))^(1/inputs!$O$12))-1)/inputs!$N$12&gt;inputs!$H$17, inputs!$H$17, (((inputs!$P$12/(V397/MAX(K397:S397)))^(1/inputs!$O$12))-1)/inputs!$N$12))</f>
        <v>0</v>
      </c>
      <c r="U397">
        <f>IF((((inputs!$P$12/(X397/MAX(K397:S397)))^(1/inputs!$O$12))-1)/inputs!$N$12&lt;0, 0, IF((((inputs!$P$12/(X397/MAX(K397:S397)))^(1/inputs!$O$12))-1)/inputs!$N$12&gt;inputs!$H$17, inputs!$H$17, (((inputs!$P$12/(X397/MAX(K397:S397)))^(1/inputs!$O$12))-1)/inputs!$N$12))</f>
        <v>0</v>
      </c>
      <c r="V397">
        <f>inputs!$E$70*(F397/inputs!$F$70)^(0.25)</f>
        <v>16.39164676516263</v>
      </c>
      <c r="W397">
        <f>inputs!$E$76*(inputs!$F$76/F397)^(0.25)</f>
        <v>0.10393981200762492</v>
      </c>
      <c r="X397">
        <f>inputs!$E$72*(inputs!$F$72/F397)^(0.25)</f>
        <v>15.245570111425018</v>
      </c>
      <c r="Y397" t="s">
        <v>13</v>
      </c>
      <c r="Z397">
        <f t="shared" si="43"/>
        <v>0.9580451177052155</v>
      </c>
      <c r="AA397">
        <f t="shared" si="44"/>
        <v>151.08683430522774</v>
      </c>
    </row>
    <row r="398" spans="1:27" x14ac:dyDescent="0.3">
      <c r="A398" t="s">
        <v>526</v>
      </c>
      <c r="B398" t="s">
        <v>527</v>
      </c>
      <c r="C398" t="s">
        <v>61</v>
      </c>
      <c r="D398" t="s">
        <v>440</v>
      </c>
      <c r="E398">
        <v>4</v>
      </c>
      <c r="F398">
        <v>28000</v>
      </c>
      <c r="G398" t="s">
        <v>169</v>
      </c>
      <c r="H398">
        <v>0.79</v>
      </c>
      <c r="I398">
        <f>MAX('Min rate concentrations'!$D$3:$D$368)</f>
        <v>120</v>
      </c>
      <c r="J398">
        <f>MAX('Min rate concentrations'!W:W)</f>
        <v>42.5</v>
      </c>
      <c r="K398">
        <f t="shared" si="46"/>
        <v>21.698798356545133</v>
      </c>
      <c r="L398">
        <f t="shared" si="47"/>
        <v>7.6849910846097345</v>
      </c>
      <c r="M398">
        <f>IF((((0.326*F398^0.818)-(0.398*F398^0.85)/(1-H398)*H398)*(MAX('Min rate concentrations'!$P$3:$P$368)))/F398&gt;0, (((0.326*F398^0.818)-(0.398*F398^0.85)/(1-H398)*H398)*(MAX('Min rate concentrations'!$P$3:$P$368)))/F398, 0)</f>
        <v>0</v>
      </c>
      <c r="N398">
        <f>IF((((0.326*F398^0.818)-(0.398*F398^0.85)/(1-H398)*H398)*(MAX('Min rate concentrations'!$Q$3:$Q$368)))/F398&gt; 0, (((0.326*F398^0.818)-(0.398*F398^0.85)/(1-H398)*H398)*(MAX('Min rate concentrations'!$Q$3:$Q$368)))/F398, 0)</f>
        <v>0</v>
      </c>
      <c r="O398">
        <f>((MAX('Min rate concentrations'!$F$3:$F$368))*0.62*6.01*8*(12.3*F398^0.65)*0.079*0.1/F398)*inputs!$E$73/inputs!$E$74</f>
        <v>1.2527508771451072</v>
      </c>
      <c r="P398">
        <f>((MAX('Min rate concentrations'!Y:Y))*0.62*6.01*8*(12.3*F398^0.65)*0.079*0.1/F398)*inputs!$E$73/inputs!$E$74</f>
        <v>0.41758362571503566</v>
      </c>
      <c r="Q398">
        <f>(inputs!$C$7*11.2*(12.3*F398^0.65)*0.5/F398)*inputs!$E$73/inputs!$E$74</f>
        <v>0.220666158311775</v>
      </c>
      <c r="R398">
        <f>(60*379*((F398/1000)^0.8)*3*24*(MAX('Min rate concentrations'!$R$3:$R$368))/F398)*(inputs!$E$73/inputs!$E$75)</f>
        <v>9.4481298122449126E-4</v>
      </c>
      <c r="S398">
        <f>(IF(inputs!$C$6="aerial",((0.025*0.112*inputs!$C$7/3.3)*(3*60*379*((F398/1000)^0.8))*MAX(inputs!$H$14:$H$16))/F398,((0.0083*0.112*inputs!$C$7/1)*(3*60*379*((F398/1000)^0.8))*MAX(inputs!$H$14:$H$16))/F398))*(inputs!E$75/inputs!$E$73)</f>
        <v>5.2107016391651677E-3</v>
      </c>
      <c r="T398">
        <f>IF((((inputs!$P$12/(V398/MAX(K398:S398)))^(1/inputs!$O$12))-1)/inputs!$N$12&lt;0, 0, IF((((inputs!$P$12/(V398/MAX(K398:S398)))^(1/inputs!$O$12))-1)/inputs!$N$12&gt;inputs!$H$17, inputs!$H$17, (((inputs!$P$12/(V398/MAX(K398:S398)))^(1/inputs!$O$12))-1)/inputs!$N$12))</f>
        <v>0</v>
      </c>
      <c r="U398">
        <f>IF((((inputs!$P$12/(X398/MAX(K398:S398)))^(1/inputs!$O$12))-1)/inputs!$N$12&lt;0, 0, IF((((inputs!$P$12/(X398/MAX(K398:S398)))^(1/inputs!$O$12))-1)/inputs!$N$12&gt;inputs!$H$17, inputs!$H$17, (((inputs!$P$12/(X398/MAX(K398:S398)))^(1/inputs!$O$12))-1)/inputs!$N$12))</f>
        <v>0</v>
      </c>
      <c r="V398">
        <f>inputs!$E$70*(F398/inputs!$F$70)^(0.25)</f>
        <v>14.558243060768806</v>
      </c>
      <c r="W398">
        <f>inputs!$E$76*(inputs!$F$76/F398)^(0.25)</f>
        <v>0.11702955337087387</v>
      </c>
      <c r="X398">
        <f>inputs!$E$72*(inputs!$F$72/F398)^(0.25)</f>
        <v>17.165532884488261</v>
      </c>
      <c r="Y398" t="s">
        <v>13</v>
      </c>
      <c r="Z398">
        <f t="shared" si="43"/>
        <v>1.4904819397485207</v>
      </c>
      <c r="AA398">
        <f t="shared" si="44"/>
        <v>185.41298100814163</v>
      </c>
    </row>
    <row r="399" spans="1:27" x14ac:dyDescent="0.3">
      <c r="A399" t="s">
        <v>526</v>
      </c>
      <c r="B399" t="s">
        <v>527</v>
      </c>
      <c r="C399" t="s">
        <v>61</v>
      </c>
      <c r="D399" t="s">
        <v>440</v>
      </c>
      <c r="E399">
        <v>4</v>
      </c>
      <c r="F399">
        <v>28000</v>
      </c>
      <c r="G399" t="s">
        <v>158</v>
      </c>
      <c r="H399">
        <v>0.85</v>
      </c>
      <c r="I399">
        <f>MAX('Min rate concentrations'!$F$3:$F$368)</f>
        <v>67.5</v>
      </c>
      <c r="J399">
        <f>MAX('Min rate concentrations'!Y:Y)</f>
        <v>22.5</v>
      </c>
      <c r="K399">
        <f t="shared" si="46"/>
        <v>17.087803705779287</v>
      </c>
      <c r="L399">
        <f t="shared" si="47"/>
        <v>5.6959345685930955</v>
      </c>
      <c r="M399">
        <f>IF((((0.326*F399^0.818)-(0.398*F399^0.85)/(1-H399)*H399)*(MAX('Min rate concentrations'!$P$3:$P$368)))/F399&gt;0, (((0.326*F399^0.818)-(0.398*F399^0.85)/(1-H399)*H399)*(MAX('Min rate concentrations'!$P$3:$P$368)))/F399, 0)</f>
        <v>0</v>
      </c>
      <c r="N399">
        <f>IF((((0.326*F399^0.818)-(0.398*F399^0.85)/(1-H399)*H399)*(MAX('Min rate concentrations'!$Q$3:$Q$368)))/F399&gt; 0, (((0.326*F399^0.818)-(0.398*F399^0.85)/(1-H399)*H399)*(MAX('Min rate concentrations'!$Q$3:$Q$368)))/F399, 0)</f>
        <v>0</v>
      </c>
      <c r="O399">
        <f>((MAX('Min rate concentrations'!$F$3:$F$368))*0.62*6.01*8*(12.3*F399^0.65)*0.079*0.1/F399)*inputs!$E$73/inputs!$E$74</f>
        <v>1.2527508771451072</v>
      </c>
      <c r="P399">
        <f>((MAX('Min rate concentrations'!Y:Y))*0.62*6.01*8*(12.3*F399^0.65)*0.079*0.1/F399)*inputs!$E$73/inputs!$E$74</f>
        <v>0.41758362571503566</v>
      </c>
      <c r="Q399">
        <f>(inputs!$C$7*11.2*(12.3*F399^0.65)*0.5/F399)*inputs!$E$73/inputs!$E$74</f>
        <v>0.220666158311775</v>
      </c>
      <c r="R399">
        <f>(60*379*((F399/1000)^0.8)*3*24*(MAX('Min rate concentrations'!$R$3:$R$368))/F399)*(inputs!$E$73/inputs!$E$75)</f>
        <v>9.4481298122449126E-4</v>
      </c>
      <c r="S399">
        <f>(IF(inputs!$C$6="aerial",((0.025*0.112*inputs!$C$7/3.3)*(3*60*379*((F399/1000)^0.8))*MAX(inputs!$H$14:$H$16))/F399,((0.0083*0.112*inputs!$C$7/1)*(3*60*379*((F399/1000)^0.8))*MAX(inputs!$H$14:$H$16))/F399))*(inputs!E$75/inputs!$E$73)</f>
        <v>5.2107016391651677E-3</v>
      </c>
      <c r="T399">
        <f>IF((((inputs!$P$12/(V399/MAX(K399:S399)))^(1/inputs!$O$12))-1)/inputs!$N$12&lt;0, 0, IF((((inputs!$P$12/(V399/MAX(K399:S399)))^(1/inputs!$O$12))-1)/inputs!$N$12&gt;inputs!$H$17, inputs!$H$17, (((inputs!$P$12/(V399/MAX(K399:S399)))^(1/inputs!$O$12))-1)/inputs!$N$12))</f>
        <v>0</v>
      </c>
      <c r="U399">
        <f>IF((((inputs!$P$12/(X399/MAX(K399:S399)))^(1/inputs!$O$12))-1)/inputs!$N$12&lt;0, 0, IF((((inputs!$P$12/(X399/MAX(K399:S399)))^(1/inputs!$O$12))-1)/inputs!$N$12&gt;inputs!$H$17, inputs!$H$17, (((inputs!$P$12/(X399/MAX(K399:S399)))^(1/inputs!$O$12))-1)/inputs!$N$12))</f>
        <v>0</v>
      </c>
      <c r="V399">
        <f>inputs!$E$70*(F399/inputs!$F$70)^(0.25)</f>
        <v>14.558243060768806</v>
      </c>
      <c r="W399">
        <f>inputs!$E$76*(inputs!$F$76/F399)^(0.25)</f>
        <v>0.11702955337087387</v>
      </c>
      <c r="X399">
        <f>inputs!$E$72*(inputs!$F$72/F399)^(0.25)</f>
        <v>17.165532884488261</v>
      </c>
      <c r="Y399" t="s">
        <v>13</v>
      </c>
      <c r="Z399">
        <f t="shared" si="43"/>
        <v>1.1737545275519599</v>
      </c>
      <c r="AA399">
        <f t="shared" si="44"/>
        <v>146.01272254391148</v>
      </c>
    </row>
    <row r="400" spans="1:27" x14ac:dyDescent="0.3">
      <c r="A400" t="s">
        <v>532</v>
      </c>
      <c r="B400" t="s">
        <v>533</v>
      </c>
      <c r="C400" t="s">
        <v>61</v>
      </c>
      <c r="D400" t="s">
        <v>440</v>
      </c>
      <c r="E400">
        <v>56</v>
      </c>
      <c r="F400">
        <v>48000</v>
      </c>
      <c r="G400" t="s">
        <v>169</v>
      </c>
      <c r="H400">
        <v>0.79</v>
      </c>
      <c r="I400">
        <f>MAX('Min rate concentrations'!$D$3:$D$368)</f>
        <v>120</v>
      </c>
      <c r="J400">
        <f>MAX('Min rate concentrations'!W:W)</f>
        <v>42.5</v>
      </c>
      <c r="K400">
        <f t="shared" si="46"/>
        <v>19.71373314058506</v>
      </c>
      <c r="L400">
        <f t="shared" si="47"/>
        <v>6.9819471539572087</v>
      </c>
      <c r="M400">
        <f>IF((((0.326*F400^0.818)-(0.398*F400^0.85)/(1-H400)*H400)*(MAX('Min rate concentrations'!$P$3:$P$368)))/F400&gt;0, (((0.326*F400^0.818)-(0.398*F400^0.85)/(1-H400)*H400)*(MAX('Min rate concentrations'!$P$3:$P$368)))/F400, 0)</f>
        <v>0</v>
      </c>
      <c r="N400">
        <f>IF((((0.326*F400^0.818)-(0.398*F400^0.85)/(1-H400)*H400)*(MAX('Min rate concentrations'!$Q$3:$Q$368)))/F400&gt; 0, (((0.326*F400^0.818)-(0.398*F400^0.85)/(1-H400)*H400)*(MAX('Min rate concentrations'!$Q$3:$Q$368)))/F400, 0)</f>
        <v>0</v>
      </c>
      <c r="O400">
        <f>((MAX('Min rate concentrations'!$F$3:$F$368))*0.62*6.01*8*(12.3*F400^0.65)*0.079*0.1/F400)*inputs!$E$73/inputs!$E$74</f>
        <v>1.0373745599873574</v>
      </c>
      <c r="P400">
        <f>((MAX('Min rate concentrations'!Y:Y))*0.62*6.01*8*(12.3*F400^0.65)*0.079*0.1/F400)*inputs!$E$73/inputs!$E$74</f>
        <v>0.34579151999578572</v>
      </c>
      <c r="Q400">
        <f>(inputs!$C$7*11.2*(12.3*F400^0.65)*0.5/F400)*inputs!$E$73/inputs!$E$74</f>
        <v>0.18272863588365534</v>
      </c>
      <c r="R400">
        <f>(60*379*((F400/1000)^0.8)*3*24*(MAX('Min rate concentrations'!$R$3:$R$368))/F400)*(inputs!$E$73/inputs!$E$75)</f>
        <v>8.4826043407462606E-4</v>
      </c>
      <c r="S400">
        <f>(IF(inputs!$C$6="aerial",((0.025*0.112*inputs!$C$7/3.3)*(3*60*379*((F400/1000)^0.8))*MAX(inputs!$H$14:$H$16))/F400,((0.0083*0.112*inputs!$C$7/1)*(3*60*379*((F400/1000)^0.8))*MAX(inputs!$H$14:$H$16))/F400))*(inputs!E$75/inputs!$E$73)</f>
        <v>4.678208409608412E-3</v>
      </c>
      <c r="T400">
        <f>IF((((inputs!$P$12/(V400/MAX(K400:S400)))^(1/inputs!$O$12))-1)/inputs!$N$12&lt;0, 0, IF((((inputs!$P$12/(V400/MAX(K400:S400)))^(1/inputs!$O$12))-1)/inputs!$N$12&gt;inputs!$H$17, inputs!$H$17, (((inputs!$P$12/(V400/MAX(K400:S400)))^(1/inputs!$O$12))-1)/inputs!$N$12))</f>
        <v>0</v>
      </c>
      <c r="U400">
        <f>IF((((inputs!$P$12/(X400/MAX(K400:S400)))^(1/inputs!$O$12))-1)/inputs!$N$12&lt;0, 0, IF((((inputs!$P$12/(X400/MAX(K400:S400)))^(1/inputs!$O$12))-1)/inputs!$N$12&gt;inputs!$H$17, inputs!$H$17, (((inputs!$P$12/(X400/MAX(K400:S400)))^(1/inputs!$O$12))-1)/inputs!$N$12))</f>
        <v>0</v>
      </c>
      <c r="V400">
        <f>inputs!$E$70*(F400/inputs!$F$70)^(0.25)</f>
        <v>16.658265035123577</v>
      </c>
      <c r="W400">
        <f>inputs!$E$76*(inputs!$F$76/F400)^(0.25)</f>
        <v>0.1022762382321382</v>
      </c>
      <c r="X400">
        <f>inputs!$E$72*(inputs!$F$72/F400)^(0.25)</f>
        <v>15.001562255918696</v>
      </c>
      <c r="Y400" t="s">
        <v>13</v>
      </c>
      <c r="Z400">
        <f t="shared" si="43"/>
        <v>1.1834205482395133</v>
      </c>
      <c r="AA400">
        <f t="shared" si="44"/>
        <v>192.74988483483767</v>
      </c>
    </row>
    <row r="401" spans="1:27" x14ac:dyDescent="0.3">
      <c r="A401" t="s">
        <v>532</v>
      </c>
      <c r="B401" t="s">
        <v>533</v>
      </c>
      <c r="C401" t="s">
        <v>61</v>
      </c>
      <c r="D401" t="s">
        <v>440</v>
      </c>
      <c r="E401">
        <v>56</v>
      </c>
      <c r="F401">
        <v>48000</v>
      </c>
      <c r="G401" t="s">
        <v>177</v>
      </c>
      <c r="H401">
        <v>0.85</v>
      </c>
      <c r="I401">
        <f>MAX('Min rate concentrations'!$F$3:$F$368)</f>
        <v>67.5</v>
      </c>
      <c r="J401">
        <f>MAX('Min rate concentrations'!Y:Y)</f>
        <v>22.5</v>
      </c>
      <c r="K401">
        <f t="shared" si="46"/>
        <v>15.524564848210728</v>
      </c>
      <c r="L401">
        <f t="shared" si="47"/>
        <v>5.174854949403576</v>
      </c>
      <c r="M401">
        <f>IF((((0.326*F401^0.818)-(0.398*F401^0.85)/(1-H401)*H401)*(MAX('Min rate concentrations'!$P$3:$P$368)))/F401&gt;0, (((0.326*F401^0.818)-(0.398*F401^0.85)/(1-H401)*H401)*(MAX('Min rate concentrations'!$P$3:$P$368)))/F401, 0)</f>
        <v>0</v>
      </c>
      <c r="N401">
        <f>IF((((0.326*F401^0.818)-(0.398*F401^0.85)/(1-H401)*H401)*(MAX('Min rate concentrations'!$Q$3:$Q$368)))/F401&gt; 0, (((0.326*F401^0.818)-(0.398*F401^0.85)/(1-H401)*H401)*(MAX('Min rate concentrations'!$Q$3:$Q$368)))/F401, 0)</f>
        <v>0</v>
      </c>
      <c r="O401">
        <f>((MAX('Min rate concentrations'!$F$3:$F$368))*0.62*6.01*8*(12.3*F401^0.65)*0.079*0.1/F401)*inputs!$E$73/inputs!$E$74</f>
        <v>1.0373745599873574</v>
      </c>
      <c r="P401">
        <f>((MAX('Min rate concentrations'!Y:Y))*0.62*6.01*8*(12.3*F401^0.65)*0.079*0.1/F401)*inputs!$E$73/inputs!$E$74</f>
        <v>0.34579151999578572</v>
      </c>
      <c r="Q401">
        <f>(inputs!$C$7*11.2*(12.3*F401^0.65)*0.5/F401)*inputs!$E$73/inputs!$E$74</f>
        <v>0.18272863588365534</v>
      </c>
      <c r="R401">
        <f>(60*379*((F401/1000)^0.8)*3*24*(MAX('Min rate concentrations'!$R$3:$R$368))/F401)*(inputs!$E$73/inputs!$E$75)</f>
        <v>8.4826043407462606E-4</v>
      </c>
      <c r="S401">
        <f>(IF(inputs!$C$6="aerial",((0.025*0.112*inputs!$C$7/3.3)*(3*60*379*((F401/1000)^0.8))*MAX(inputs!$H$14:$H$16))/F401,((0.0083*0.112*inputs!$C$7/1)*(3*60*379*((F401/1000)^0.8))*MAX(inputs!$H$14:$H$16))/F401))*(inputs!E$75/inputs!$E$73)</f>
        <v>4.678208409608412E-3</v>
      </c>
      <c r="T401">
        <f>IF((((inputs!$P$12/(V401/MAX(K401:S401)))^(1/inputs!$O$12))-1)/inputs!$N$12&lt;0, 0, IF((((inputs!$P$12/(V401/MAX(K401:S401)))^(1/inputs!$O$12))-1)/inputs!$N$12&gt;inputs!$H$17, inputs!$H$17, (((inputs!$P$12/(V401/MAX(K401:S401)))^(1/inputs!$O$12))-1)/inputs!$N$12))</f>
        <v>0</v>
      </c>
      <c r="U401">
        <f>IF((((inputs!$P$12/(X401/MAX(K401:S401)))^(1/inputs!$O$12))-1)/inputs!$N$12&lt;0, 0, IF((((inputs!$P$12/(X401/MAX(K401:S401)))^(1/inputs!$O$12))-1)/inputs!$N$12&gt;inputs!$H$17, inputs!$H$17, (((inputs!$P$12/(X401/MAX(K401:S401)))^(1/inputs!$O$12))-1)/inputs!$N$12))</f>
        <v>0</v>
      </c>
      <c r="V401">
        <f>inputs!$E$70*(F401/inputs!$F$70)^(0.25)</f>
        <v>16.658265035123577</v>
      </c>
      <c r="W401">
        <f>inputs!$E$76*(inputs!$F$76/F401)^(0.25)</f>
        <v>0.1022762382321382</v>
      </c>
      <c r="X401">
        <f>inputs!$E$72*(inputs!$F$72/F401)^(0.25)</f>
        <v>15.001562255918696</v>
      </c>
      <c r="Y401" t="s">
        <v>13</v>
      </c>
      <c r="Z401">
        <f t="shared" si="43"/>
        <v>0.93194368173861641</v>
      </c>
      <c r="AA401">
        <f t="shared" si="44"/>
        <v>151.7905343074346</v>
      </c>
    </row>
    <row r="402" spans="1:27" x14ac:dyDescent="0.3">
      <c r="A402" t="s">
        <v>534</v>
      </c>
      <c r="B402" t="s">
        <v>535</v>
      </c>
      <c r="C402" t="s">
        <v>61</v>
      </c>
      <c r="D402" t="s">
        <v>440</v>
      </c>
      <c r="E402">
        <v>57</v>
      </c>
      <c r="F402">
        <v>61000</v>
      </c>
      <c r="G402" t="s">
        <v>169</v>
      </c>
      <c r="H402">
        <v>0.79</v>
      </c>
      <c r="I402">
        <f>MAX('Min rate concentrations'!$D$3:$D$368)</f>
        <v>120</v>
      </c>
      <c r="J402">
        <f>MAX('Min rate concentrations'!W:W)</f>
        <v>42.5</v>
      </c>
      <c r="K402">
        <f t="shared" si="46"/>
        <v>18.890397774953819</v>
      </c>
      <c r="L402">
        <f t="shared" si="47"/>
        <v>6.6903492119628112</v>
      </c>
      <c r="M402">
        <f>IF((((0.326*F402^0.818)-(0.398*F402^0.85)/(1-H402)*H402)*(MAX('Min rate concentrations'!$P$3:$P$368)))/F402&gt;0, (((0.326*F402^0.818)-(0.398*F402^0.85)/(1-H402)*H402)*(MAX('Min rate concentrations'!$P$3:$P$368)))/F402, 0)</f>
        <v>0</v>
      </c>
      <c r="N402">
        <f>IF((((0.326*F402^0.818)-(0.398*F402^0.85)/(1-H402)*H402)*(MAX('Min rate concentrations'!$Q$3:$Q$368)))/F402&gt; 0, (((0.326*F402^0.818)-(0.398*F402^0.85)/(1-H402)*H402)*(MAX('Min rate concentrations'!$Q$3:$Q$368)))/F402, 0)</f>
        <v>0</v>
      </c>
      <c r="O402">
        <f>((MAX('Min rate concentrations'!$F$3:$F$368))*0.62*6.01*8*(12.3*F402^0.65)*0.079*0.1/F402)*inputs!$E$73/inputs!$E$74</f>
        <v>0.95390381175842809</v>
      </c>
      <c r="P402">
        <f>((MAX('Min rate concentrations'!Y:Y))*0.62*6.01*8*(12.3*F402^0.65)*0.079*0.1/F402)*inputs!$E$73/inputs!$E$74</f>
        <v>0.31796793725280931</v>
      </c>
      <c r="Q402">
        <f>(inputs!$C$7*11.2*(12.3*F402^0.65)*0.5/F402)*inputs!$E$73/inputs!$E$74</f>
        <v>0.16802565727943145</v>
      </c>
      <c r="R402">
        <f>(60*379*((F402/1000)^0.8)*3*24*(MAX('Min rate concentrations'!$R$3:$R$368))/F402)*(inputs!$E$73/inputs!$E$75)</f>
        <v>8.0855858168681755E-4</v>
      </c>
      <c r="S402">
        <f>(IF(inputs!$C$6="aerial",((0.025*0.112*inputs!$C$7/3.3)*(3*60*379*((F402/1000)^0.8))*MAX(inputs!$H$14:$H$16))/F402,((0.0083*0.112*inputs!$C$7/1)*(3*60*379*((F402/1000)^0.8))*MAX(inputs!$H$14:$H$16))/F402))*(inputs!E$75/inputs!$E$73)</f>
        <v>4.4592502544749642E-3</v>
      </c>
      <c r="T402">
        <f>IF((((inputs!$P$12/(V402/MAX(K402:S402)))^(1/inputs!$O$12))-1)/inputs!$N$12&lt;0, 0, IF((((inputs!$P$12/(V402/MAX(K402:S402)))^(1/inputs!$O$12))-1)/inputs!$N$12&gt;inputs!$H$17, inputs!$H$17, (((inputs!$P$12/(V402/MAX(K402:S402)))^(1/inputs!$O$12))-1)/inputs!$N$12))</f>
        <v>0</v>
      </c>
      <c r="U402">
        <f>IF((((inputs!$P$12/(X402/MAX(K402:S402)))^(1/inputs!$O$12))-1)/inputs!$N$12&lt;0, 0, IF((((inputs!$P$12/(X402/MAX(K402:S402)))^(1/inputs!$O$12))-1)/inputs!$N$12&gt;inputs!$H$17, inputs!$H$17, (((inputs!$P$12/(X402/MAX(K402:S402)))^(1/inputs!$O$12))-1)/inputs!$N$12))</f>
        <v>0</v>
      </c>
      <c r="V402">
        <f>inputs!$E$70*(F402/inputs!$F$70)^(0.25)</f>
        <v>17.686908003627359</v>
      </c>
      <c r="W402">
        <f>inputs!$E$76*(inputs!$F$76/F402)^(0.25)</f>
        <v>9.6328011821906936E-2</v>
      </c>
      <c r="X402">
        <f>inputs!$E$72*(inputs!$F$72/F402)^(0.25)</f>
        <v>14.129094805533487</v>
      </c>
      <c r="Y402" t="s">
        <v>13</v>
      </c>
      <c r="Z402">
        <f t="shared" si="43"/>
        <v>1.0680441019470244</v>
      </c>
      <c r="AA402">
        <f t="shared" si="44"/>
        <v>196.10492750414849</v>
      </c>
    </row>
    <row r="403" spans="1:27" x14ac:dyDescent="0.3">
      <c r="A403" t="s">
        <v>438</v>
      </c>
      <c r="B403" t="s">
        <v>439</v>
      </c>
      <c r="C403" t="s">
        <v>61</v>
      </c>
      <c r="D403" t="s">
        <v>440</v>
      </c>
      <c r="E403">
        <v>9</v>
      </c>
      <c r="F403">
        <v>47630</v>
      </c>
      <c r="G403" t="s">
        <v>152</v>
      </c>
      <c r="H403">
        <v>0.77</v>
      </c>
      <c r="I403">
        <f>MAX('Min rate concentrations'!$G$3:$G$368)</f>
        <v>7.5</v>
      </c>
      <c r="J403">
        <f>MAX('Min rate concentrations'!Z:Z)</f>
        <v>3.5</v>
      </c>
      <c r="K403">
        <f t="shared" si="46"/>
        <v>1.1265190652473667</v>
      </c>
      <c r="L403">
        <f t="shared" si="47"/>
        <v>0.52570889711543778</v>
      </c>
      <c r="M403">
        <f>IF((((0.326*F403^0.818)-(0.398*F403^0.85)/(1-H403)*H403)*(MAX('Min rate concentrations'!$P$3:$P$368)))/F403&gt;0, (((0.326*F403^0.818)-(0.398*F403^0.85)/(1-H403)*H403)*(MAX('Min rate concentrations'!$P$3:$P$368)))/F403, 0)</f>
        <v>0</v>
      </c>
      <c r="N403">
        <f>IF((((0.326*F403^0.818)-(0.398*F403^0.85)/(1-H403)*H403)*(MAX('Min rate concentrations'!$Q$3:$Q$368)))/F403&gt; 0, (((0.326*F403^0.818)-(0.398*F403^0.85)/(1-H403)*H403)*(MAX('Min rate concentrations'!$Q$3:$Q$368)))/F403, 0)</f>
        <v>0</v>
      </c>
      <c r="O403">
        <f>((MAX('Min rate concentrations'!$F$3:$F$368))*0.62*6.01*8*(12.3*F403^0.65)*0.079*0.1/F403)*inputs!$E$73/inputs!$E$74</f>
        <v>1.0401879608501756</v>
      </c>
      <c r="P403">
        <f>((MAX('Min rate concentrations'!Y:Y))*0.62*6.01*8*(12.3*F403^0.65)*0.079*0.1/F403)*inputs!$E$73/inputs!$E$74</f>
        <v>0.34672932028339176</v>
      </c>
      <c r="Q403">
        <f>(inputs!$C$7*11.2*(12.3*F403^0.65)*0.5/F403)*inputs!$E$73/inputs!$E$74</f>
        <v>0.18322420317601595</v>
      </c>
      <c r="R403">
        <f>(60*379*((F403/1000)^0.8)*3*24*(MAX('Min rate concentrations'!$R$3:$R$368))/F403)*(inputs!$E$73/inputs!$E$75)</f>
        <v>8.4957425158586322E-4</v>
      </c>
      <c r="S403">
        <f>(IF(inputs!$C$6="aerial",((0.025*0.112*inputs!$C$7/3.3)*(3*60*379*((F403/1000)^0.8))*MAX(inputs!$H$14:$H$16))/F403,((0.0083*0.112*inputs!$C$7/1)*(3*60*379*((F403/1000)^0.8))*MAX(inputs!$H$14:$H$16))/F403))*(inputs!E$75/inputs!$E$73)</f>
        <v>4.6854541939016113E-3</v>
      </c>
      <c r="T403">
        <f>IF((((inputs!$P$12/(V403/MAX(K403:S403)))^(1/inputs!$O$12))-1)/inputs!$N$12&lt;0, 0, IF((((inputs!$P$12/(V403/MAX(K403:S403)))^(1/inputs!$O$12))-1)/inputs!$N$12&gt;inputs!$H$17, inputs!$H$17, (((inputs!$P$12/(V403/MAX(K403:S403)))^(1/inputs!$O$12))-1)/inputs!$N$12))</f>
        <v>0</v>
      </c>
      <c r="U403">
        <f>IF((((inputs!$P$12/(X403/MAX(K403:S403)))^(1/inputs!$O$12))-1)/inputs!$N$12&lt;0, 0, IF((((inputs!$P$12/(X403/MAX(K403:S403)))^(1/inputs!$O$12))-1)/inputs!$N$12&gt;inputs!$H$17, inputs!$H$17, (((inputs!$P$12/(X403/MAX(K403:S403)))^(1/inputs!$O$12))-1)/inputs!$N$12))</f>
        <v>0</v>
      </c>
      <c r="V403">
        <f>inputs!$E$70*(F403/inputs!$F$70)^(0.25)</f>
        <v>16.626069956281956</v>
      </c>
      <c r="W403">
        <f>inputs!$E$76*(inputs!$F$76/F403)^(0.25)</f>
        <v>0.10247428813582357</v>
      </c>
      <c r="X403">
        <f>inputs!$E$72*(inputs!$F$72/F403)^(0.25)</f>
        <v>15.030611603169534</v>
      </c>
      <c r="Y403" t="s">
        <v>13</v>
      </c>
      <c r="Z403">
        <f t="shared" si="43"/>
        <v>6.7756184607037889E-2</v>
      </c>
      <c r="AA403">
        <f t="shared" si="44"/>
        <v>10.993187517967753</v>
      </c>
    </row>
    <row r="404" spans="1:27" x14ac:dyDescent="0.3">
      <c r="A404" t="s">
        <v>438</v>
      </c>
      <c r="B404" t="s">
        <v>439</v>
      </c>
      <c r="C404" t="s">
        <v>61</v>
      </c>
      <c r="D404" t="s">
        <v>440</v>
      </c>
      <c r="E404">
        <v>9</v>
      </c>
      <c r="F404">
        <v>47630</v>
      </c>
      <c r="G404" t="s">
        <v>161</v>
      </c>
      <c r="H404">
        <v>0.85</v>
      </c>
      <c r="I404">
        <f>MAX('Min rate concentrations'!$F$3:$F$368)</f>
        <v>67.5</v>
      </c>
      <c r="J404">
        <f>MAX('Min rate concentrations'!Y:Y)</f>
        <v>22.5</v>
      </c>
      <c r="K404">
        <f t="shared" si="46"/>
        <v>15.545963100413658</v>
      </c>
      <c r="L404">
        <f t="shared" si="47"/>
        <v>5.1819877001378858</v>
      </c>
      <c r="M404">
        <f>IF((((0.326*F404^0.818)-(0.398*F404^0.85)/(1-H404)*H404)*(MAX('Min rate concentrations'!$P$3:$P$368)))/F404&gt;0, (((0.326*F404^0.818)-(0.398*F404^0.85)/(1-H404)*H404)*(MAX('Min rate concentrations'!$P$3:$P$368)))/F404, 0)</f>
        <v>0</v>
      </c>
      <c r="N404">
        <f>IF((((0.326*F404^0.818)-(0.398*F404^0.85)/(1-H404)*H404)*(MAX('Min rate concentrations'!$Q$3:$Q$368)))/F404&gt; 0, (((0.326*F404^0.818)-(0.398*F404^0.85)/(1-H404)*H404)*(MAX('Min rate concentrations'!$Q$3:$Q$368)))/F404, 0)</f>
        <v>0</v>
      </c>
      <c r="O404">
        <f>((MAX('Min rate concentrations'!$F$3:$F$368))*0.62*6.01*8*(12.3*F404^0.65)*0.079*0.1/F404)*inputs!$E$73/inputs!$E$74</f>
        <v>1.0401879608501756</v>
      </c>
      <c r="P404">
        <f>((MAX('Min rate concentrations'!Y:Y))*0.62*6.01*8*(12.3*F404^0.65)*0.079*0.1/F404)*inputs!$E$73/inputs!$E$74</f>
        <v>0.34672932028339176</v>
      </c>
      <c r="Q404">
        <f>(inputs!$C$7*11.2*(12.3*F404^0.65)*0.5/F404)*inputs!$E$73/inputs!$E$74</f>
        <v>0.18322420317601595</v>
      </c>
      <c r="R404">
        <f>(60*379*((F404/1000)^0.8)*3*24*(MAX('Min rate concentrations'!$R$3:$R$368))/F404)*(inputs!$E$73/inputs!$E$75)</f>
        <v>8.4957425158586322E-4</v>
      </c>
      <c r="S404">
        <f>(IF(inputs!$C$6="aerial",((0.025*0.112*inputs!$C$7/3.3)*(3*60*379*((F404/1000)^0.8))*MAX(inputs!$H$14:$H$16))/F404,((0.0083*0.112*inputs!$C$7/1)*(3*60*379*((F404/1000)^0.8))*MAX(inputs!$H$14:$H$16))/F404))*(inputs!E$75/inputs!$E$73)</f>
        <v>4.6854541939016113E-3</v>
      </c>
      <c r="T404">
        <f>IF((((inputs!$P$12/(V404/MAX(K404:S404)))^(1/inputs!$O$12))-1)/inputs!$N$12&lt;0, 0, IF((((inputs!$P$12/(V404/MAX(K404:S404)))^(1/inputs!$O$12))-1)/inputs!$N$12&gt;inputs!$H$17, inputs!$H$17, (((inputs!$P$12/(V404/MAX(K404:S404)))^(1/inputs!$O$12))-1)/inputs!$N$12))</f>
        <v>0</v>
      </c>
      <c r="U404">
        <f>IF((((inputs!$P$12/(X404/MAX(K404:S404)))^(1/inputs!$O$12))-1)/inputs!$N$12&lt;0, 0, IF((((inputs!$P$12/(X404/MAX(K404:S404)))^(1/inputs!$O$12))-1)/inputs!$N$12&gt;inputs!$H$17, inputs!$H$17, (((inputs!$P$12/(X404/MAX(K404:S404)))^(1/inputs!$O$12))-1)/inputs!$N$12))</f>
        <v>0</v>
      </c>
      <c r="V404">
        <f>inputs!$E$70*(F404/inputs!$F$70)^(0.25)</f>
        <v>16.626069956281956</v>
      </c>
      <c r="W404">
        <f>inputs!$E$76*(inputs!$F$76/F404)^(0.25)</f>
        <v>0.10247428813582357</v>
      </c>
      <c r="X404">
        <f>inputs!$E$72*(inputs!$F$72/F404)^(0.25)</f>
        <v>15.030611603169534</v>
      </c>
      <c r="Y404" t="s">
        <v>13</v>
      </c>
      <c r="Z404">
        <f t="shared" si="43"/>
        <v>0.93503534757712281</v>
      </c>
      <c r="AA404">
        <f t="shared" si="44"/>
        <v>151.70598774795496</v>
      </c>
    </row>
    <row r="405" spans="1:27" x14ac:dyDescent="0.3">
      <c r="A405" t="s">
        <v>438</v>
      </c>
      <c r="B405" t="s">
        <v>439</v>
      </c>
      <c r="C405" t="s">
        <v>61</v>
      </c>
      <c r="D405" t="s">
        <v>440</v>
      </c>
      <c r="E405">
        <v>10141</v>
      </c>
      <c r="F405">
        <v>47630</v>
      </c>
      <c r="G405" t="s">
        <v>152</v>
      </c>
      <c r="H405">
        <v>0.77</v>
      </c>
      <c r="I405">
        <f>MAX('Min rate concentrations'!$G$3:$G$368)</f>
        <v>7.5</v>
      </c>
      <c r="J405">
        <f>MAX('Min rate concentrations'!Z:Z)</f>
        <v>3.5</v>
      </c>
      <c r="K405">
        <f t="shared" si="46"/>
        <v>1.1265190652473667</v>
      </c>
      <c r="L405">
        <f t="shared" si="47"/>
        <v>0.52570889711543778</v>
      </c>
      <c r="M405">
        <f>IF((((0.326*F405^0.818)-(0.398*F405^0.85)/(1-H405)*H405)*(MAX('Min rate concentrations'!$P$3:$P$368)))/F405&gt;0, (((0.326*F405^0.818)-(0.398*F405^0.85)/(1-H405)*H405)*(MAX('Min rate concentrations'!$P$3:$P$368)))/F405, 0)</f>
        <v>0</v>
      </c>
      <c r="N405">
        <f>IF((((0.326*F405^0.818)-(0.398*F405^0.85)/(1-H405)*H405)*(MAX('Min rate concentrations'!$Q$3:$Q$368)))/F405&gt; 0, (((0.326*F405^0.818)-(0.398*F405^0.85)/(1-H405)*H405)*(MAX('Min rate concentrations'!$Q$3:$Q$368)))/F405, 0)</f>
        <v>0</v>
      </c>
      <c r="O405">
        <f>((MAX('Min rate concentrations'!$F$3:$F$368))*0.62*6.01*8*(12.3*F405^0.65)*0.079*0.1/F405)*inputs!$E$73/inputs!$E$74</f>
        <v>1.0401879608501756</v>
      </c>
      <c r="P405">
        <f>((MAX('Min rate concentrations'!Y:Y))*0.62*6.01*8*(12.3*F405^0.65)*0.079*0.1/F405)*inputs!$E$73/inputs!$E$74</f>
        <v>0.34672932028339176</v>
      </c>
      <c r="Q405">
        <f>(inputs!$C$7*11.2*(12.3*F405^0.65)*0.5/F405)*inputs!$E$73/inputs!$E$74</f>
        <v>0.18322420317601595</v>
      </c>
      <c r="R405">
        <f>(60*379*((F405/1000)^0.8)*3*24*(MAX('Min rate concentrations'!$R$3:$R$368))/F405)*(inputs!$E$73/inputs!$E$75)</f>
        <v>8.4957425158586322E-4</v>
      </c>
      <c r="S405">
        <f>(IF(inputs!$C$6="aerial",((0.025*0.112*inputs!$C$7/3.3)*(3*60*379*((F405/1000)^0.8))*MAX(inputs!$H$14:$H$16))/F405,((0.0083*0.112*inputs!$C$7/1)*(3*60*379*((F405/1000)^0.8))*MAX(inputs!$H$14:$H$16))/F405))*(inputs!E$75/inputs!$E$73)</f>
        <v>4.6854541939016113E-3</v>
      </c>
      <c r="T405">
        <f>IF((((inputs!$P$12/(V405/MAX(K405:S405)))^(1/inputs!$O$12))-1)/inputs!$N$12&lt;0, 0, IF((((inputs!$P$12/(V405/MAX(K405:S405)))^(1/inputs!$O$12))-1)/inputs!$N$12&gt;inputs!$H$17, inputs!$H$17, (((inputs!$P$12/(V405/MAX(K405:S405)))^(1/inputs!$O$12))-1)/inputs!$N$12))</f>
        <v>0</v>
      </c>
      <c r="U405">
        <f>IF((((inputs!$P$12/(X405/MAX(K405:S405)))^(1/inputs!$O$12))-1)/inputs!$N$12&lt;0, 0, IF((((inputs!$P$12/(X405/MAX(K405:S405)))^(1/inputs!$O$12))-1)/inputs!$N$12&gt;inputs!$H$17, inputs!$H$17, (((inputs!$P$12/(X405/MAX(K405:S405)))^(1/inputs!$O$12))-1)/inputs!$N$12))</f>
        <v>0</v>
      </c>
      <c r="V405">
        <f>inputs!$E$70*(F405/inputs!$F$70)^(0.25)</f>
        <v>16.626069956281956</v>
      </c>
      <c r="W405">
        <f>inputs!$E$76*(inputs!$F$76/F405)^(0.25)</f>
        <v>0.10247428813582357</v>
      </c>
      <c r="X405">
        <f>inputs!$E$72*(inputs!$F$72/F405)^(0.25)</f>
        <v>15.030611603169534</v>
      </c>
      <c r="Y405" t="s">
        <v>13</v>
      </c>
      <c r="Z405">
        <f t="shared" si="43"/>
        <v>6.7756184607037889E-2</v>
      </c>
      <c r="AA405">
        <f t="shared" si="44"/>
        <v>10.993187517967753</v>
      </c>
    </row>
    <row r="406" spans="1:27" x14ac:dyDescent="0.3">
      <c r="A406" t="s">
        <v>438</v>
      </c>
      <c r="B406" t="s">
        <v>439</v>
      </c>
      <c r="C406" t="s">
        <v>61</v>
      </c>
      <c r="D406" t="s">
        <v>440</v>
      </c>
      <c r="E406">
        <v>10141</v>
      </c>
      <c r="F406">
        <v>47630</v>
      </c>
      <c r="G406" t="s">
        <v>161</v>
      </c>
      <c r="H406">
        <v>0.85</v>
      </c>
      <c r="I406">
        <f>MAX('Min rate concentrations'!$F$3:$F$368)</f>
        <v>67.5</v>
      </c>
      <c r="J406">
        <f>MAX('Min rate concentrations'!Y:Y)</f>
        <v>22.5</v>
      </c>
      <c r="K406">
        <f t="shared" si="46"/>
        <v>15.545963100413658</v>
      </c>
      <c r="L406">
        <f t="shared" si="47"/>
        <v>5.1819877001378858</v>
      </c>
      <c r="M406">
        <f>IF((((0.326*F406^0.818)-(0.398*F406^0.85)/(1-H406)*H406)*(MAX('Min rate concentrations'!$P$3:$P$368)))/F406&gt;0, (((0.326*F406^0.818)-(0.398*F406^0.85)/(1-H406)*H406)*(MAX('Min rate concentrations'!$P$3:$P$368)))/F406, 0)</f>
        <v>0</v>
      </c>
      <c r="N406">
        <f>IF((((0.326*F406^0.818)-(0.398*F406^0.85)/(1-H406)*H406)*(MAX('Min rate concentrations'!$Q$3:$Q$368)))/F406&gt; 0, (((0.326*F406^0.818)-(0.398*F406^0.85)/(1-H406)*H406)*(MAX('Min rate concentrations'!$Q$3:$Q$368)))/F406, 0)</f>
        <v>0</v>
      </c>
      <c r="O406">
        <f>((MAX('Min rate concentrations'!$F$3:$F$368))*0.62*6.01*8*(12.3*F406^0.65)*0.079*0.1/F406)*inputs!$E$73/inputs!$E$74</f>
        <v>1.0401879608501756</v>
      </c>
      <c r="P406">
        <f>((MAX('Min rate concentrations'!Y:Y))*0.62*6.01*8*(12.3*F406^0.65)*0.079*0.1/F406)*inputs!$E$73/inputs!$E$74</f>
        <v>0.34672932028339176</v>
      </c>
      <c r="Q406">
        <f>(inputs!$C$7*11.2*(12.3*F406^0.65)*0.5/F406)*inputs!$E$73/inputs!$E$74</f>
        <v>0.18322420317601595</v>
      </c>
      <c r="R406">
        <f>(60*379*((F406/1000)^0.8)*3*24*(MAX('Min rate concentrations'!$R$3:$R$368))/F406)*(inputs!$E$73/inputs!$E$75)</f>
        <v>8.4957425158586322E-4</v>
      </c>
      <c r="S406">
        <f>(IF(inputs!$C$6="aerial",((0.025*0.112*inputs!$C$7/3.3)*(3*60*379*((F406/1000)^0.8))*MAX(inputs!$H$14:$H$16))/F406,((0.0083*0.112*inputs!$C$7/1)*(3*60*379*((F406/1000)^0.8))*MAX(inputs!$H$14:$H$16))/F406))*(inputs!E$75/inputs!$E$73)</f>
        <v>4.6854541939016113E-3</v>
      </c>
      <c r="T406">
        <f>IF((((inputs!$P$12/(V406/MAX(K406:S406)))^(1/inputs!$O$12))-1)/inputs!$N$12&lt;0, 0, IF((((inputs!$P$12/(V406/MAX(K406:S406)))^(1/inputs!$O$12))-1)/inputs!$N$12&gt;inputs!$H$17, inputs!$H$17, (((inputs!$P$12/(V406/MAX(K406:S406)))^(1/inputs!$O$12))-1)/inputs!$N$12))</f>
        <v>0</v>
      </c>
      <c r="U406">
        <f>IF((((inputs!$P$12/(X406/MAX(K406:S406)))^(1/inputs!$O$12))-1)/inputs!$N$12&lt;0, 0, IF((((inputs!$P$12/(X406/MAX(K406:S406)))^(1/inputs!$O$12))-1)/inputs!$N$12&gt;inputs!$H$17, inputs!$H$17, (((inputs!$P$12/(X406/MAX(K406:S406)))^(1/inputs!$O$12))-1)/inputs!$N$12))</f>
        <v>0</v>
      </c>
      <c r="V406">
        <f>inputs!$E$70*(F406/inputs!$F$70)^(0.25)</f>
        <v>16.626069956281956</v>
      </c>
      <c r="W406">
        <f>inputs!$E$76*(inputs!$F$76/F406)^(0.25)</f>
        <v>0.10247428813582357</v>
      </c>
      <c r="X406">
        <f>inputs!$E$72*(inputs!$F$72/F406)^(0.25)</f>
        <v>15.030611603169534</v>
      </c>
      <c r="Y406" t="s">
        <v>13</v>
      </c>
      <c r="Z406">
        <f t="shared" si="43"/>
        <v>0.93503534757712281</v>
      </c>
      <c r="AA406">
        <f t="shared" si="44"/>
        <v>151.70598774795496</v>
      </c>
    </row>
    <row r="407" spans="1:27" x14ac:dyDescent="0.3">
      <c r="A407" t="s">
        <v>447</v>
      </c>
      <c r="B407" t="s">
        <v>448</v>
      </c>
      <c r="C407" t="s">
        <v>61</v>
      </c>
      <c r="D407" t="s">
        <v>440</v>
      </c>
      <c r="E407">
        <v>6654</v>
      </c>
      <c r="F407">
        <v>350000</v>
      </c>
      <c r="G407" t="s">
        <v>169</v>
      </c>
      <c r="H407">
        <v>0.79</v>
      </c>
      <c r="I407">
        <f>MAX('Min rate concentrations'!$D$3:$D$368)</f>
        <v>120</v>
      </c>
      <c r="J407">
        <f>MAX('Min rate concentrations'!W:W)</f>
        <v>42.5</v>
      </c>
      <c r="K407">
        <f t="shared" si="46"/>
        <v>13.841581100801445</v>
      </c>
      <c r="L407">
        <f t="shared" si="47"/>
        <v>4.9022266398671785</v>
      </c>
      <c r="M407">
        <f>IF((((0.326*F407^0.818)-(0.398*F407^0.85)/(1-H407)*H407)*(MAX('Min rate concentrations'!$P$3:$P$368)))/F407&gt;0, (((0.326*F407^0.818)-(0.398*F407^0.85)/(1-H407)*H407)*(MAX('Min rate concentrations'!$P$3:$P$368)))/F407, 0)</f>
        <v>0</v>
      </c>
      <c r="N407">
        <f>IF((((0.326*F407^0.818)-(0.398*F407^0.85)/(1-H407)*H407)*(MAX('Min rate concentrations'!$Q$3:$Q$368)))/F407&gt; 0, (((0.326*F407^0.818)-(0.398*F407^0.85)/(1-H407)*H407)*(MAX('Min rate concentrations'!$Q$3:$Q$368)))/F407, 0)</f>
        <v>0</v>
      </c>
      <c r="O407">
        <f>((MAX('Min rate concentrations'!$F$3:$F$368))*0.62*6.01*8*(12.3*F407^0.65)*0.079*0.1/F407)*inputs!$E$73/inputs!$E$74</f>
        <v>0.51754272830674786</v>
      </c>
      <c r="P407">
        <f>((MAX('Min rate concentrations'!Y:Y))*0.62*6.01*8*(12.3*F407^0.65)*0.079*0.1/F407)*inputs!$E$73/inputs!$E$74</f>
        <v>0.17251424276891589</v>
      </c>
      <c r="Q407">
        <f>(inputs!$C$7*11.2*(12.3*F407^0.65)*0.5/F407)*inputs!$E$73/inputs!$E$74</f>
        <v>9.1162710560542204E-2</v>
      </c>
      <c r="R407">
        <f>(60*379*((F407/1000)^0.8)*3*24*(MAX('Min rate concentrations'!$R$3:$R$368))/F407)*(inputs!$E$73/inputs!$E$75)</f>
        <v>5.701168133765514E-4</v>
      </c>
      <c r="S407">
        <f>(IF(inputs!$C$6="aerial",((0.025*0.112*inputs!$C$7/3.3)*(3*60*379*((F407/1000)^0.8))*MAX(inputs!$H$14:$H$16))/F407,((0.0083*0.112*inputs!$C$7/1)*(3*60*379*((F407/1000)^0.8))*MAX(inputs!$H$14:$H$16))/F407))*(inputs!E$75/inputs!$E$73)</f>
        <v>3.1442292527847533E-3</v>
      </c>
      <c r="T407">
        <f>IF((((inputs!$P$12/(V407/MAX(K407:S407)))^(1/inputs!$O$12))-1)/inputs!$N$12&lt;0, 0, IF((((inputs!$P$12/(V407/MAX(K407:S407)))^(1/inputs!$O$12))-1)/inputs!$N$12&gt;inputs!$H$17, inputs!$H$17, (((inputs!$P$12/(V407/MAX(K407:S407)))^(1/inputs!$O$12))-1)/inputs!$N$12))</f>
        <v>0</v>
      </c>
      <c r="U407">
        <f>IF((((inputs!$P$12/(X407/MAX(K407:S407)))^(1/inputs!$O$12))-1)/inputs!$N$12&lt;0, 0, IF((((inputs!$P$12/(X407/MAX(K407:S407)))^(1/inputs!$O$12))-1)/inputs!$N$12&gt;inputs!$H$17, inputs!$H$17, (((inputs!$P$12/(X407/MAX(K407:S407)))^(1/inputs!$O$12))-1)/inputs!$N$12))</f>
        <v>0</v>
      </c>
      <c r="V407">
        <f>inputs!$E$70*(F407/inputs!$F$70)^(0.25)</f>
        <v>27.373886942115359</v>
      </c>
      <c r="W407">
        <f>inputs!$E$76*(inputs!$F$76/F407)^(0.25)</f>
        <v>6.2239779351362295E-2</v>
      </c>
      <c r="X407">
        <f>inputs!$E$72*(inputs!$F$72/F407)^(0.25)</f>
        <v>9.1291383108448176</v>
      </c>
      <c r="Y407" t="s">
        <v>13</v>
      </c>
      <c r="Z407">
        <f t="shared" si="43"/>
        <v>0.50564909287711901</v>
      </c>
      <c r="AA407">
        <f t="shared" si="44"/>
        <v>222.3912302558393</v>
      </c>
    </row>
    <row r="408" spans="1:27" x14ac:dyDescent="0.3">
      <c r="A408" t="s">
        <v>447</v>
      </c>
      <c r="B408" t="s">
        <v>448</v>
      </c>
      <c r="C408" t="s">
        <v>61</v>
      </c>
      <c r="D408" t="s">
        <v>440</v>
      </c>
      <c r="E408">
        <v>6654</v>
      </c>
      <c r="F408">
        <v>350000</v>
      </c>
      <c r="G408" t="s">
        <v>177</v>
      </c>
      <c r="H408">
        <v>0.85</v>
      </c>
      <c r="I408">
        <f>MAX('Min rate concentrations'!$F$3:$F$368)</f>
        <v>67.5</v>
      </c>
      <c r="J408">
        <f>MAX('Min rate concentrations'!Y:Y)</f>
        <v>22.5</v>
      </c>
      <c r="K408">
        <f t="shared" si="46"/>
        <v>10.900245116881136</v>
      </c>
      <c r="L408">
        <f t="shared" si="47"/>
        <v>3.6334150389603783</v>
      </c>
      <c r="M408">
        <f>IF((((0.326*F408^0.818)-(0.398*F408^0.85)/(1-H408)*H408)*(MAX('Min rate concentrations'!$P$3:$P$368)))/F408&gt;0, (((0.326*F408^0.818)-(0.398*F408^0.85)/(1-H408)*H408)*(MAX('Min rate concentrations'!$P$3:$P$368)))/F408, 0)</f>
        <v>0</v>
      </c>
      <c r="N408">
        <f>IF((((0.326*F408^0.818)-(0.398*F408^0.85)/(1-H408)*H408)*(MAX('Min rate concentrations'!$Q$3:$Q$368)))/F408&gt; 0, (((0.326*F408^0.818)-(0.398*F408^0.85)/(1-H408)*H408)*(MAX('Min rate concentrations'!$Q$3:$Q$368)))/F408, 0)</f>
        <v>0</v>
      </c>
      <c r="O408">
        <f>((MAX('Min rate concentrations'!$F$3:$F$368))*0.62*6.01*8*(12.3*F408^0.65)*0.079*0.1/F408)*inputs!$E$73/inputs!$E$74</f>
        <v>0.51754272830674786</v>
      </c>
      <c r="P408">
        <f>((MAX('Min rate concentrations'!Y:Y))*0.62*6.01*8*(12.3*F408^0.65)*0.079*0.1/F408)*inputs!$E$73/inputs!$E$74</f>
        <v>0.17251424276891589</v>
      </c>
      <c r="Q408">
        <f>(inputs!$C$7*11.2*(12.3*F408^0.65)*0.5/F408)*inputs!$E$73/inputs!$E$74</f>
        <v>9.1162710560542204E-2</v>
      </c>
      <c r="R408">
        <f>(60*379*((F408/1000)^0.8)*3*24*(MAX('Min rate concentrations'!$R$3:$R$368))/F408)*(inputs!$E$73/inputs!$E$75)</f>
        <v>5.701168133765514E-4</v>
      </c>
      <c r="S408">
        <f>(IF(inputs!$C$6="aerial",((0.025*0.112*inputs!$C$7/3.3)*(3*60*379*((F408/1000)^0.8))*MAX(inputs!$H$14:$H$16))/F408,((0.0083*0.112*inputs!$C$7/1)*(3*60*379*((F408/1000)^0.8))*MAX(inputs!$H$14:$H$16))/F408))*(inputs!E$75/inputs!$E$73)</f>
        <v>3.1442292527847533E-3</v>
      </c>
      <c r="T408">
        <f>IF((((inputs!$P$12/(V408/MAX(K408:S408)))^(1/inputs!$O$12))-1)/inputs!$N$12&lt;0, 0, IF((((inputs!$P$12/(V408/MAX(K408:S408)))^(1/inputs!$O$12))-1)/inputs!$N$12&gt;inputs!$H$17, inputs!$H$17, (((inputs!$P$12/(V408/MAX(K408:S408)))^(1/inputs!$O$12))-1)/inputs!$N$12))</f>
        <v>0</v>
      </c>
      <c r="U408">
        <f>IF((((inputs!$P$12/(X408/MAX(K408:S408)))^(1/inputs!$O$12))-1)/inputs!$N$12&lt;0, 0, IF((((inputs!$P$12/(X408/MAX(K408:S408)))^(1/inputs!$O$12))-1)/inputs!$N$12&gt;inputs!$H$17, inputs!$H$17, (((inputs!$P$12/(X408/MAX(K408:S408)))^(1/inputs!$O$12))-1)/inputs!$N$12))</f>
        <v>0</v>
      </c>
      <c r="V408">
        <f>inputs!$E$70*(F408/inputs!$F$70)^(0.25)</f>
        <v>27.373886942115359</v>
      </c>
      <c r="W408">
        <f>inputs!$E$76*(inputs!$F$76/F408)^(0.25)</f>
        <v>6.2239779351362295E-2</v>
      </c>
      <c r="X408">
        <f>inputs!$E$72*(inputs!$F$72/F408)^(0.25)</f>
        <v>9.1291383108448176</v>
      </c>
      <c r="Y408" t="s">
        <v>13</v>
      </c>
      <c r="Z408">
        <f t="shared" si="43"/>
        <v>0.39819866064073117</v>
      </c>
      <c r="AA408">
        <f t="shared" si="44"/>
        <v>175.13309382647341</v>
      </c>
    </row>
    <row r="409" spans="1:27" x14ac:dyDescent="0.3">
      <c r="A409" t="s">
        <v>447</v>
      </c>
      <c r="B409" t="s">
        <v>877</v>
      </c>
      <c r="C409" t="s">
        <v>61</v>
      </c>
      <c r="D409" t="s">
        <v>440</v>
      </c>
      <c r="E409" t="s">
        <v>878</v>
      </c>
      <c r="F409">
        <v>350000</v>
      </c>
      <c r="G409" t="s">
        <v>169</v>
      </c>
      <c r="H409">
        <v>0.79</v>
      </c>
      <c r="I409">
        <f>MAX('Min rate concentrations'!$D$3:$D$368)</f>
        <v>120</v>
      </c>
      <c r="J409">
        <f>MAX('Min rate concentrations'!W:W)</f>
        <v>42.5</v>
      </c>
      <c r="K409">
        <f t="shared" si="46"/>
        <v>13.841581100801445</v>
      </c>
      <c r="L409">
        <f t="shared" si="47"/>
        <v>4.9022266398671785</v>
      </c>
      <c r="M409">
        <f>IF((((0.326*F409^0.818)-(0.398*F409^0.85)/(1-H409)*H409)*(MAX('Min rate concentrations'!$P$3:$P$368)))/F409&gt;0, (((0.326*F409^0.818)-(0.398*F409^0.85)/(1-H409)*H409)*(MAX('Min rate concentrations'!$P$3:$P$368)))/F409, 0)</f>
        <v>0</v>
      </c>
      <c r="N409">
        <f>IF((((0.326*F409^0.818)-(0.398*F409^0.85)/(1-H409)*H409)*(MAX('Min rate concentrations'!$Q$3:$Q$368)))/F409&gt; 0, (((0.326*F409^0.818)-(0.398*F409^0.85)/(1-H409)*H409)*(MAX('Min rate concentrations'!$Q$3:$Q$368)))/F409, 0)</f>
        <v>0</v>
      </c>
      <c r="O409">
        <f>((MAX('Min rate concentrations'!$F$3:$F$368))*0.62*6.01*8*(12.3*F409^0.65)*0.079*0.1/F409)*inputs!$E$73/inputs!$E$74</f>
        <v>0.51754272830674786</v>
      </c>
      <c r="P409">
        <f>((MAX('Min rate concentrations'!Y:Y))*0.62*6.01*8*(12.3*F409^0.65)*0.079*0.1/F409)*inputs!$E$73/inputs!$E$74</f>
        <v>0.17251424276891589</v>
      </c>
      <c r="Q409">
        <f>(inputs!$C$7*11.2*(12.3*F409^0.65)*0.5/F409)*inputs!$E$73/inputs!$E$74</f>
        <v>9.1162710560542204E-2</v>
      </c>
      <c r="R409">
        <f>(60*379*((F409/1000)^0.8)*3*24*(MAX('Min rate concentrations'!$R$3:$R$368))/F409)*(inputs!$E$73/inputs!$E$75)</f>
        <v>5.701168133765514E-4</v>
      </c>
      <c r="S409">
        <f>(IF(inputs!$C$6="aerial",((0.025*0.112*inputs!$C$7/3.3)*(3*60*379*((F409/1000)^0.8))*MAX(inputs!$H$14:$H$16))/F409,((0.0083*0.112*inputs!$C$7/1)*(3*60*379*((F409/1000)^0.8))*MAX(inputs!$H$14:$H$16))/F409))*(inputs!E$75/inputs!$E$73)</f>
        <v>3.1442292527847533E-3</v>
      </c>
      <c r="T409">
        <f>IF((((inputs!$P$12/(V409/MAX(K409:S409)))^(1/inputs!$O$12))-1)/inputs!$N$12&lt;0, 0, IF((((inputs!$P$12/(V409/MAX(K409:S409)))^(1/inputs!$O$12))-1)/inputs!$N$12&gt;inputs!$H$17, inputs!$H$17, (((inputs!$P$12/(V409/MAX(K409:S409)))^(1/inputs!$O$12))-1)/inputs!$N$12))</f>
        <v>0</v>
      </c>
      <c r="U409">
        <f>IF((((inputs!$P$12/(X409/MAX(K409:S409)))^(1/inputs!$O$12))-1)/inputs!$N$12&lt;0, 0, IF((((inputs!$P$12/(X409/MAX(K409:S409)))^(1/inputs!$O$12))-1)/inputs!$N$12&gt;inputs!$H$17, inputs!$H$17, (((inputs!$P$12/(X409/MAX(K409:S409)))^(1/inputs!$O$12))-1)/inputs!$N$12))</f>
        <v>0</v>
      </c>
      <c r="V409">
        <f>inputs!$E$70*(F409/inputs!$F$70)^(0.25)</f>
        <v>27.373886942115359</v>
      </c>
      <c r="W409">
        <f>inputs!$E$76*(inputs!$F$76/F409)^(0.25)</f>
        <v>6.2239779351362295E-2</v>
      </c>
      <c r="X409">
        <f>inputs!$E$72*(inputs!$F$72/F409)^(0.25)</f>
        <v>9.1291383108448176</v>
      </c>
      <c r="Y409" t="s">
        <v>13</v>
      </c>
      <c r="Z409">
        <f t="shared" si="43"/>
        <v>0.50564909287711901</v>
      </c>
      <c r="AA409">
        <f t="shared" si="44"/>
        <v>222.3912302558393</v>
      </c>
    </row>
    <row r="410" spans="1:27" x14ac:dyDescent="0.3">
      <c r="A410" t="s">
        <v>447</v>
      </c>
      <c r="B410" t="s">
        <v>877</v>
      </c>
      <c r="C410" t="s">
        <v>61</v>
      </c>
      <c r="D410" t="s">
        <v>440</v>
      </c>
      <c r="E410" t="s">
        <v>878</v>
      </c>
      <c r="F410">
        <v>350000</v>
      </c>
      <c r="G410" t="s">
        <v>177</v>
      </c>
      <c r="H410">
        <v>0.85</v>
      </c>
      <c r="I410">
        <f>MAX('Min rate concentrations'!$F$3:$F$368)</f>
        <v>67.5</v>
      </c>
      <c r="J410">
        <f>MAX('Min rate concentrations'!Y:Y)</f>
        <v>22.5</v>
      </c>
      <c r="K410">
        <f t="shared" si="46"/>
        <v>10.900245116881136</v>
      </c>
      <c r="L410">
        <f t="shared" si="47"/>
        <v>3.6334150389603783</v>
      </c>
      <c r="M410">
        <f>IF((((0.326*F410^0.818)-(0.398*F410^0.85)/(1-H410)*H410)*(MAX('Min rate concentrations'!$P$3:$P$368)))/F410&gt;0, (((0.326*F410^0.818)-(0.398*F410^0.85)/(1-H410)*H410)*(MAX('Min rate concentrations'!$P$3:$P$368)))/F410, 0)</f>
        <v>0</v>
      </c>
      <c r="N410">
        <f>IF((((0.326*F410^0.818)-(0.398*F410^0.85)/(1-H410)*H410)*(MAX('Min rate concentrations'!$Q$3:$Q$368)))/F410&gt; 0, (((0.326*F410^0.818)-(0.398*F410^0.85)/(1-H410)*H410)*(MAX('Min rate concentrations'!$Q$3:$Q$368)))/F410, 0)</f>
        <v>0</v>
      </c>
      <c r="O410">
        <f>((MAX('Min rate concentrations'!$F$3:$F$368))*0.62*6.01*8*(12.3*F410^0.65)*0.079*0.1/F410)*inputs!$E$73/inputs!$E$74</f>
        <v>0.51754272830674786</v>
      </c>
      <c r="P410">
        <f>((MAX('Min rate concentrations'!Y:Y))*0.62*6.01*8*(12.3*F410^0.65)*0.079*0.1/F410)*inputs!$E$73/inputs!$E$74</f>
        <v>0.17251424276891589</v>
      </c>
      <c r="Q410">
        <f>(inputs!$C$7*11.2*(12.3*F410^0.65)*0.5/F410)*inputs!$E$73/inputs!$E$74</f>
        <v>9.1162710560542204E-2</v>
      </c>
      <c r="R410">
        <f>(60*379*((F410/1000)^0.8)*3*24*(MAX('Min rate concentrations'!$R$3:$R$368))/F410)*(inputs!$E$73/inputs!$E$75)</f>
        <v>5.701168133765514E-4</v>
      </c>
      <c r="S410">
        <f>(IF(inputs!$C$6="aerial",((0.025*0.112*inputs!$C$7/3.3)*(3*60*379*((F410/1000)^0.8))*MAX(inputs!$H$14:$H$16))/F410,((0.0083*0.112*inputs!$C$7/1)*(3*60*379*((F410/1000)^0.8))*MAX(inputs!$H$14:$H$16))/F410))*(inputs!E$75/inputs!$E$73)</f>
        <v>3.1442292527847533E-3</v>
      </c>
      <c r="T410">
        <f>IF((((inputs!$P$12/(V410/MAX(K410:S410)))^(1/inputs!$O$12))-1)/inputs!$N$12&lt;0, 0, IF((((inputs!$P$12/(V410/MAX(K410:S410)))^(1/inputs!$O$12))-1)/inputs!$N$12&gt;inputs!$H$17, inputs!$H$17, (((inputs!$P$12/(V410/MAX(K410:S410)))^(1/inputs!$O$12))-1)/inputs!$N$12))</f>
        <v>0</v>
      </c>
      <c r="U410">
        <f>IF((((inputs!$P$12/(X410/MAX(K410:S410)))^(1/inputs!$O$12))-1)/inputs!$N$12&lt;0, 0, IF((((inputs!$P$12/(X410/MAX(K410:S410)))^(1/inputs!$O$12))-1)/inputs!$N$12&gt;inputs!$H$17, inputs!$H$17, (((inputs!$P$12/(X410/MAX(K410:S410)))^(1/inputs!$O$12))-1)/inputs!$N$12))</f>
        <v>0</v>
      </c>
      <c r="V410">
        <f>inputs!$E$70*(F410/inputs!$F$70)^(0.25)</f>
        <v>27.373886942115359</v>
      </c>
      <c r="W410">
        <f>inputs!$E$76*(inputs!$F$76/F410)^(0.25)</f>
        <v>6.2239779351362295E-2</v>
      </c>
      <c r="X410">
        <f>inputs!$E$72*(inputs!$F$72/F410)^(0.25)</f>
        <v>9.1291383108448176</v>
      </c>
      <c r="Y410" t="s">
        <v>13</v>
      </c>
      <c r="Z410">
        <f t="shared" si="43"/>
        <v>0.39819866064073117</v>
      </c>
      <c r="AA410">
        <f t="shared" si="44"/>
        <v>175.13309382647341</v>
      </c>
    </row>
    <row r="411" spans="1:27" x14ac:dyDescent="0.3">
      <c r="A411" t="s">
        <v>559</v>
      </c>
      <c r="B411" t="s">
        <v>560</v>
      </c>
      <c r="C411" t="s">
        <v>61</v>
      </c>
      <c r="D411" t="s">
        <v>440</v>
      </c>
      <c r="E411">
        <v>33</v>
      </c>
      <c r="F411">
        <v>135000</v>
      </c>
      <c r="G411" t="s">
        <v>177</v>
      </c>
      <c r="H411">
        <v>0.85</v>
      </c>
      <c r="I411">
        <f>MAX('Min rate concentrations'!$F$3:$F$368)</f>
        <v>67.5</v>
      </c>
      <c r="J411">
        <f>MAX('Min rate concentrations'!Y:Y)</f>
        <v>22.5</v>
      </c>
      <c r="K411">
        <f t="shared" si="46"/>
        <v>12.914600172741125</v>
      </c>
      <c r="L411">
        <f t="shared" si="47"/>
        <v>4.3048667242470415</v>
      </c>
      <c r="M411">
        <f>IF((((0.326*F411^0.818)-(0.398*F411^0.85)/(1-H411)*H411)*(MAX('Min rate concentrations'!$P$3:$P$368)))/F411&gt;0, (((0.326*F411^0.818)-(0.398*F411^0.85)/(1-H411)*H411)*(MAX('Min rate concentrations'!$P$3:$P$368)))/F411, 0)</f>
        <v>0</v>
      </c>
      <c r="N411">
        <f>IF((((0.326*F411^0.818)-(0.398*F411^0.85)/(1-H411)*H411)*(MAX('Min rate concentrations'!$Q$3:$Q$368)))/F411&gt; 0, (((0.326*F411^0.818)-(0.398*F411^0.85)/(1-H411)*H411)*(MAX('Min rate concentrations'!$Q$3:$Q$368)))/F411, 0)</f>
        <v>0</v>
      </c>
      <c r="O411">
        <f>((MAX('Min rate concentrations'!$F$3:$F$368))*0.62*6.01*8*(12.3*F411^0.65)*0.079*0.1/F411)*inputs!$E$73/inputs!$E$74</f>
        <v>0.72235919857020869</v>
      </c>
      <c r="P411">
        <f>((MAX('Min rate concentrations'!Y:Y))*0.62*6.01*8*(12.3*F411^0.65)*0.079*0.1/F411)*inputs!$E$73/inputs!$E$74</f>
        <v>0.24078639952340289</v>
      </c>
      <c r="Q411">
        <f>(inputs!$C$7*11.2*(12.3*F411^0.65)*0.5/F411)*inputs!$E$73/inputs!$E$74</f>
        <v>0.12724016576457536</v>
      </c>
      <c r="R411">
        <f>(60*379*((F411/1000)^0.8)*3*24*(MAX('Min rate concentrations'!$R$3:$R$368))/F411)*(inputs!$E$73/inputs!$E$75)</f>
        <v>6.8978016873286316E-4</v>
      </c>
      <c r="S411">
        <f>(IF(inputs!$C$6="aerial",((0.025*0.112*inputs!$C$7/3.3)*(3*60*379*((F411/1000)^0.8))*MAX(inputs!$H$14:$H$16))/F411,((0.0083*0.112*inputs!$C$7/1)*(3*60*379*((F411/1000)^0.8))*MAX(inputs!$H$14:$H$16))/F411))*(inputs!E$75/inputs!$E$73)</f>
        <v>3.8041800094890436E-3</v>
      </c>
      <c r="T411">
        <f>IF((((inputs!$P$12/(V411/MAX(K411:S411)))^(1/inputs!$O$12))-1)/inputs!$N$12&lt;0, 0, IF((((inputs!$P$12/(V411/MAX(K411:S411)))^(1/inputs!$O$12))-1)/inputs!$N$12&gt;inputs!$H$17, inputs!$H$17, (((inputs!$P$12/(V411/MAX(K411:S411)))^(1/inputs!$O$12))-1)/inputs!$N$12))</f>
        <v>0</v>
      </c>
      <c r="U411">
        <f>IF((((inputs!$P$12/(X411/MAX(K411:S411)))^(1/inputs!$O$12))-1)/inputs!$N$12&lt;0, 0, IF((((inputs!$P$12/(X411/MAX(K411:S411)))^(1/inputs!$O$12))-1)/inputs!$N$12&gt;inputs!$H$17, inputs!$H$17, (((inputs!$P$12/(X411/MAX(K411:S411)))^(1/inputs!$O$12))-1)/inputs!$N$12))</f>
        <v>0</v>
      </c>
      <c r="V411">
        <f>inputs!$E$70*(F411/inputs!$F$70)^(0.25)</f>
        <v>21.572620337127322</v>
      </c>
      <c r="W411">
        <f>inputs!$E$76*(inputs!$F$76/F411)^(0.25)</f>
        <v>7.8977178323311303E-2</v>
      </c>
      <c r="X411">
        <f>inputs!$E$72*(inputs!$F$72/F411)^(0.25)</f>
        <v>11.584128218764057</v>
      </c>
      <c r="Y411" t="s">
        <v>13</v>
      </c>
      <c r="Z411">
        <f t="shared" si="43"/>
        <v>0.59865699998041466</v>
      </c>
      <c r="AA411">
        <f t="shared" si="44"/>
        <v>163.52319045727651</v>
      </c>
    </row>
    <row r="412" spans="1:27" x14ac:dyDescent="0.3">
      <c r="A412" t="s">
        <v>513</v>
      </c>
      <c r="B412" t="s">
        <v>514</v>
      </c>
      <c r="C412" t="s">
        <v>61</v>
      </c>
      <c r="D412" t="s">
        <v>454</v>
      </c>
      <c r="E412">
        <v>5</v>
      </c>
      <c r="F412">
        <v>645</v>
      </c>
      <c r="G412" t="s">
        <v>142</v>
      </c>
      <c r="H412">
        <v>0.69</v>
      </c>
      <c r="I412">
        <f>MAX('Min rate concentrations'!$H$3:$H$368)</f>
        <v>47</v>
      </c>
      <c r="J412">
        <f>MAX('Min rate concentrations'!AA:AA)</f>
        <v>32.5</v>
      </c>
      <c r="K412">
        <f t="shared" si="46"/>
        <v>11.264253021226741</v>
      </c>
      <c r="L412">
        <f t="shared" si="47"/>
        <v>7.789111131699344</v>
      </c>
      <c r="M412">
        <f>IF((((0.326*F412^0.818)-(0.398*F412^0.85)/(1-H412)*H412)*(MAX('Min rate concentrations'!$P$3:$P$368)))/F412&gt;0, (((0.326*F412^0.818)-(0.398*F412^0.85)/(1-H412)*H412)*(MAX('Min rate concentrations'!$P$3:$P$368)))/F412, 0)</f>
        <v>0</v>
      </c>
      <c r="N412">
        <f>IF((((0.326*F412^0.818)-(0.398*F412^0.85)/(1-H412)*H412)*(MAX('Min rate concentrations'!$Q$3:$Q$368)))/F412&gt; 0, (((0.326*F412^0.818)-(0.398*F412^0.85)/(1-H412)*H412)*(MAX('Min rate concentrations'!$Q$3:$Q$368)))/F412, 0)</f>
        <v>0</v>
      </c>
      <c r="O412">
        <f>((MAX('Min rate concentrations'!$F$3:$F$368))*0.62*6.01*8*(12.3*F412^0.65)*0.079*0.1/F412)*inputs!$E$73/inputs!$E$74</f>
        <v>4.6883942684008035</v>
      </c>
      <c r="P412">
        <f>((MAX('Min rate concentrations'!Y:Y))*0.62*6.01*8*(12.3*F412^0.65)*0.079*0.1/F412)*inputs!$E$73/inputs!$E$74</f>
        <v>1.562798089466934</v>
      </c>
      <c r="Q412">
        <f>(inputs!$C$7*11.2*(12.3*F412^0.65)*0.5/F412)*inputs!$E$73/inputs!$E$74</f>
        <v>0.82583853720113198</v>
      </c>
      <c r="R412">
        <f>(60*379*((F412/1000)^0.8)*3*24*(MAX('Min rate concentrations'!$R$3:$R$368))/F412)*(inputs!$E$73/inputs!$E$75)</f>
        <v>2.0084707667264185E-3</v>
      </c>
      <c r="S412">
        <f>(IF(inputs!$C$6="aerial",((0.025*0.112*inputs!$C$7/3.3)*(3*60*379*((F412/1000)^0.8))*MAX(inputs!$H$14:$H$16))/F412,((0.0083*0.112*inputs!$C$7/1)*(3*60*379*((F412/1000)^0.8))*MAX(inputs!$H$14:$H$16))/F412))*(inputs!E$75/inputs!$E$73)</f>
        <v>1.1076839675544225E-2</v>
      </c>
      <c r="T412">
        <f>IF((((inputs!$P$12/(V412/MAX(K412:S412)))^(1/inputs!$O$12))-1)/inputs!$N$12&lt;0, 0, IF((((inputs!$P$12/(V412/MAX(K412:S412)))^(1/inputs!$O$12))-1)/inputs!$N$12&gt;inputs!$H$17, inputs!$H$17, (((inputs!$P$12/(V412/MAX(K412:S412)))^(1/inputs!$O$12))-1)/inputs!$N$12))</f>
        <v>0</v>
      </c>
      <c r="U412">
        <f>IF((((inputs!$P$12/(X412/MAX(K412:S412)))^(1/inputs!$O$12))-1)/inputs!$N$12&lt;0, 0, IF((((inputs!$P$12/(X412/MAX(K412:S412)))^(1/inputs!$O$12))-1)/inputs!$N$12&gt;inputs!$H$17, inputs!$H$17, (((inputs!$P$12/(X412/MAX(K412:S412)))^(1/inputs!$O$12))-1)/inputs!$N$12))</f>
        <v>0</v>
      </c>
      <c r="V412">
        <f>inputs!$E$70*(F412/inputs!$F$70)^(0.25)</f>
        <v>5.6716495337733157</v>
      </c>
      <c r="W412">
        <f>inputs!$E$76*(inputs!$F$76/F412)^(0.25)</f>
        <v>0.30039667880058618</v>
      </c>
      <c r="X412">
        <f>inputs!$E$72*(inputs!$F$72/F412)^(0.25)</f>
        <v>44.061255638576625</v>
      </c>
      <c r="Y412" t="s">
        <v>13</v>
      </c>
      <c r="Z412">
        <f t="shared" si="43"/>
        <v>1.986062952964708</v>
      </c>
      <c r="AA412">
        <f t="shared" si="44"/>
        <v>37.497927960463059</v>
      </c>
    </row>
    <row r="413" spans="1:27" x14ac:dyDescent="0.3">
      <c r="A413" t="s">
        <v>513</v>
      </c>
      <c r="B413" t="s">
        <v>514</v>
      </c>
      <c r="C413" t="s">
        <v>61</v>
      </c>
      <c r="D413" t="s">
        <v>454</v>
      </c>
      <c r="E413">
        <v>5</v>
      </c>
      <c r="F413">
        <v>645</v>
      </c>
      <c r="G413" t="s">
        <v>138</v>
      </c>
      <c r="H413">
        <v>0.68</v>
      </c>
      <c r="I413">
        <f>MAX('Min rate concentrations'!$L$3:$L$368)</f>
        <v>58.421240152220811</v>
      </c>
      <c r="J413">
        <f>MAX('Min rate concentrations'!AD:AD)</f>
        <v>40.397666062705881</v>
      </c>
      <c r="K413">
        <f t="shared" si="46"/>
        <v>13.563976434536213</v>
      </c>
      <c r="L413">
        <f t="shared" si="47"/>
        <v>9.3793454068601481</v>
      </c>
      <c r="M413">
        <f>IF((((0.326*F413^0.818)-(0.398*F413^0.85)/(1-H413)*H413)*(MAX('Min rate concentrations'!$P$3:$P$368)))/F413&gt;0, (((0.326*F413^0.818)-(0.398*F413^0.85)/(1-H413)*H413)*(MAX('Min rate concentrations'!$P$3:$P$368)))/F413, 0)</f>
        <v>0</v>
      </c>
      <c r="N413">
        <f>IF((((0.326*F413^0.818)-(0.398*F413^0.85)/(1-H413)*H413)*(MAX('Min rate concentrations'!$Q$3:$Q$368)))/F413&gt; 0, (((0.326*F413^0.818)-(0.398*F413^0.85)/(1-H413)*H413)*(MAX('Min rate concentrations'!$Q$3:$Q$368)))/F413, 0)</f>
        <v>0</v>
      </c>
      <c r="O413">
        <f>((MAX('Min rate concentrations'!$F$3:$F$368))*0.62*6.01*8*(12.3*F413^0.65)*0.079*0.1/F413)*inputs!$E$73/inputs!$E$74</f>
        <v>4.6883942684008035</v>
      </c>
      <c r="P413">
        <f>((MAX('Min rate concentrations'!Y:Y))*0.62*6.01*8*(12.3*F413^0.65)*0.079*0.1/F413)*inputs!$E$73/inputs!$E$74</f>
        <v>1.562798089466934</v>
      </c>
      <c r="Q413">
        <f>(inputs!$C$7*11.2*(12.3*F413^0.65)*0.5/F413)*inputs!$E$73/inputs!$E$74</f>
        <v>0.82583853720113198</v>
      </c>
      <c r="R413">
        <f>(60*379*((F413/1000)^0.8)*3*24*(MAX('Min rate concentrations'!$R$3:$R$368))/F413)*(inputs!$E$73/inputs!$E$75)</f>
        <v>2.0084707667264185E-3</v>
      </c>
      <c r="S413">
        <f>(IF(inputs!$C$6="aerial",((0.025*0.112*inputs!$C$7/3.3)*(3*60*379*((F413/1000)^0.8))*MAX(inputs!$H$14:$H$16))/F413,((0.0083*0.112*inputs!$C$7/1)*(3*60*379*((F413/1000)^0.8))*MAX(inputs!$H$14:$H$16))/F413))*(inputs!E$75/inputs!$E$73)</f>
        <v>1.1076839675544225E-2</v>
      </c>
      <c r="T413">
        <f>IF((((inputs!$P$12/(V413/MAX(K413:S413)))^(1/inputs!$O$12))-1)/inputs!$N$12&lt;0, 0, IF((((inputs!$P$12/(V413/MAX(K413:S413)))^(1/inputs!$O$12))-1)/inputs!$N$12&gt;inputs!$H$17, inputs!$H$17, (((inputs!$P$12/(V413/MAX(K413:S413)))^(1/inputs!$O$12))-1)/inputs!$N$12))</f>
        <v>1.5497774145207159</v>
      </c>
      <c r="U413">
        <f>IF((((inputs!$P$12/(X413/MAX(K413:S413)))^(1/inputs!$O$12))-1)/inputs!$N$12&lt;0, 0, IF((((inputs!$P$12/(X413/MAX(K413:S413)))^(1/inputs!$O$12))-1)/inputs!$N$12&gt;inputs!$H$17, inputs!$H$17, (((inputs!$P$12/(X413/MAX(K413:S413)))^(1/inputs!$O$12))-1)/inputs!$N$12))</f>
        <v>0</v>
      </c>
      <c r="V413">
        <f>inputs!$E$70*(F413/inputs!$F$70)^(0.25)</f>
        <v>5.6716495337733157</v>
      </c>
      <c r="W413">
        <f>inputs!$E$76*(inputs!$F$76/F413)^(0.25)</f>
        <v>0.30039667880058618</v>
      </c>
      <c r="X413">
        <f>inputs!$E$72*(inputs!$F$72/F413)^(0.25)</f>
        <v>44.061255638576625</v>
      </c>
      <c r="Y413" t="s">
        <v>13</v>
      </c>
      <c r="Z413">
        <f t="shared" si="43"/>
        <v>2.3915399486103612</v>
      </c>
      <c r="AA413">
        <f t="shared" si="44"/>
        <v>45.153549928361407</v>
      </c>
    </row>
    <row r="414" spans="1:27" x14ac:dyDescent="0.3">
      <c r="A414" t="s">
        <v>513</v>
      </c>
      <c r="B414" t="s">
        <v>514</v>
      </c>
      <c r="C414" t="s">
        <v>61</v>
      </c>
      <c r="D414" t="s">
        <v>454</v>
      </c>
      <c r="E414">
        <v>5</v>
      </c>
      <c r="F414">
        <v>645</v>
      </c>
      <c r="G414" t="s">
        <v>456</v>
      </c>
      <c r="H414">
        <v>0.68</v>
      </c>
      <c r="I414">
        <f>MAX('Min rate concentrations'!$J$3:$J$368)</f>
        <v>114.4108103430513</v>
      </c>
      <c r="J414">
        <f>MAX('Min rate concentrations'!AB:AB)</f>
        <v>40.520495329830666</v>
      </c>
      <c r="K414">
        <f t="shared" si="46"/>
        <v>26.563378855119144</v>
      </c>
      <c r="L414">
        <f t="shared" si="47"/>
        <v>9.4078633445213633</v>
      </c>
      <c r="M414">
        <f>IF((((0.326*F414^0.818)-(0.398*F414^0.85)/(1-H414)*H414)*(MAX('Min rate concentrations'!$P$3:$P$368)))/F414&gt;0, (((0.326*F414^0.818)-(0.398*F414^0.85)/(1-H414)*H414)*(MAX('Min rate concentrations'!$P$3:$P$368)))/F414, 0)</f>
        <v>0</v>
      </c>
      <c r="N414">
        <f>IF((((0.326*F414^0.818)-(0.398*F414^0.85)/(1-H414)*H414)*(MAX('Min rate concentrations'!$Q$3:$Q$368)))/F414&gt; 0, (((0.326*F414^0.818)-(0.398*F414^0.85)/(1-H414)*H414)*(MAX('Min rate concentrations'!$Q$3:$Q$368)))/F414, 0)</f>
        <v>0</v>
      </c>
      <c r="O414">
        <f>((MAX('Min rate concentrations'!$F$3:$F$368))*0.62*6.01*8*(12.3*F414^0.65)*0.079*0.1/F414)*inputs!$E$73/inputs!$E$74</f>
        <v>4.6883942684008035</v>
      </c>
      <c r="P414">
        <f>((MAX('Min rate concentrations'!Y:Y))*0.62*6.01*8*(12.3*F414^0.65)*0.079*0.1/F414)*inputs!$E$73/inputs!$E$74</f>
        <v>1.562798089466934</v>
      </c>
      <c r="Q414">
        <f>(inputs!$C$7*11.2*(12.3*F414^0.65)*0.5/F414)*inputs!$E$73/inputs!$E$74</f>
        <v>0.82583853720113198</v>
      </c>
      <c r="R414">
        <f>(60*379*((F414/1000)^0.8)*3*24*(MAX('Min rate concentrations'!$R$3:$R$368))/F414)*(inputs!$E$73/inputs!$E$75)</f>
        <v>2.0084707667264185E-3</v>
      </c>
      <c r="S414">
        <f>(IF(inputs!$C$6="aerial",((0.025*0.112*inputs!$C$7/3.3)*(3*60*379*((F414/1000)^0.8))*MAX(inputs!$H$14:$H$16))/F414,((0.0083*0.112*inputs!$C$7/1)*(3*60*379*((F414/1000)^0.8))*MAX(inputs!$H$14:$H$16))/F414))*(inputs!E$75/inputs!$E$73)</f>
        <v>1.1076839675544225E-2</v>
      </c>
      <c r="T414">
        <f>IF((((inputs!$P$12/(V414/MAX(K414:S414)))^(1/inputs!$O$12))-1)/inputs!$N$12&lt;0, 0, IF((((inputs!$P$12/(V414/MAX(K414:S414)))^(1/inputs!$O$12))-1)/inputs!$N$12&gt;inputs!$H$17, inputs!$H$17, (((inputs!$P$12/(V414/MAX(K414:S414)))^(1/inputs!$O$12))-1)/inputs!$N$12))</f>
        <v>10.99402371503388</v>
      </c>
      <c r="U414">
        <f>IF((((inputs!$P$12/(X414/MAX(K414:S414)))^(1/inputs!$O$12))-1)/inputs!$N$12&lt;0, 0, IF((((inputs!$P$12/(X414/MAX(K414:S414)))^(1/inputs!$O$12))-1)/inputs!$N$12&gt;inputs!$H$17, inputs!$H$17, (((inputs!$P$12/(X414/MAX(K414:S414)))^(1/inputs!$O$12))-1)/inputs!$N$12))</f>
        <v>0</v>
      </c>
      <c r="V414">
        <f>inputs!$E$70*(F414/inputs!$F$70)^(0.25)</f>
        <v>5.6716495337733157</v>
      </c>
      <c r="W414">
        <f>inputs!$E$76*(inputs!$F$76/F414)^(0.25)</f>
        <v>0.30039667880058618</v>
      </c>
      <c r="X414">
        <f>inputs!$E$72*(inputs!$F$72/F414)^(0.25)</f>
        <v>44.061255638576625</v>
      </c>
      <c r="Y414" t="s">
        <v>13</v>
      </c>
      <c r="Z414">
        <f t="shared" si="43"/>
        <v>4.6835367201271128</v>
      </c>
      <c r="AA414">
        <f t="shared" si="44"/>
        <v>88.427671574734163</v>
      </c>
    </row>
    <row r="415" spans="1:27" x14ac:dyDescent="0.3">
      <c r="A415" t="s">
        <v>513</v>
      </c>
      <c r="B415" t="s">
        <v>514</v>
      </c>
      <c r="C415" t="s">
        <v>61</v>
      </c>
      <c r="D415" t="s">
        <v>454</v>
      </c>
      <c r="E415">
        <v>7572</v>
      </c>
      <c r="F415">
        <v>645</v>
      </c>
      <c r="G415" t="s">
        <v>142</v>
      </c>
      <c r="H415">
        <v>0.69</v>
      </c>
      <c r="I415">
        <f>MAX('Min rate concentrations'!$H$3:$H$368)</f>
        <v>47</v>
      </c>
      <c r="J415">
        <f>MAX('Min rate concentrations'!AA:AA)</f>
        <v>32.5</v>
      </c>
      <c r="K415">
        <f t="shared" si="46"/>
        <v>11.264253021226741</v>
      </c>
      <c r="L415">
        <f t="shared" si="47"/>
        <v>7.789111131699344</v>
      </c>
      <c r="M415">
        <f>IF((((0.326*F415^0.818)-(0.398*F415^0.85)/(1-H415)*H415)*(MAX('Min rate concentrations'!$P$3:$P$368)))/F415&gt;0, (((0.326*F415^0.818)-(0.398*F415^0.85)/(1-H415)*H415)*(MAX('Min rate concentrations'!$P$3:$P$368)))/F415, 0)</f>
        <v>0</v>
      </c>
      <c r="N415">
        <f>IF((((0.326*F415^0.818)-(0.398*F415^0.85)/(1-H415)*H415)*(MAX('Min rate concentrations'!$Q$3:$Q$368)))/F415&gt; 0, (((0.326*F415^0.818)-(0.398*F415^0.85)/(1-H415)*H415)*(MAX('Min rate concentrations'!$Q$3:$Q$368)))/F415, 0)</f>
        <v>0</v>
      </c>
      <c r="O415">
        <f>((MAX('Min rate concentrations'!$F$3:$F$368))*0.62*6.01*8*(12.3*F415^0.65)*0.079*0.1/F415)*inputs!$E$73/inputs!$E$74</f>
        <v>4.6883942684008035</v>
      </c>
      <c r="P415">
        <f>((MAX('Min rate concentrations'!Y:Y))*0.62*6.01*8*(12.3*F415^0.65)*0.079*0.1/F415)*inputs!$E$73/inputs!$E$74</f>
        <v>1.562798089466934</v>
      </c>
      <c r="Q415">
        <f>(inputs!$C$7*11.2*(12.3*F415^0.65)*0.5/F415)*inputs!$E$73/inputs!$E$74</f>
        <v>0.82583853720113198</v>
      </c>
      <c r="R415">
        <f>(60*379*((F415/1000)^0.8)*3*24*(MAX('Min rate concentrations'!$R$3:$R$368))/F415)*(inputs!$E$73/inputs!$E$75)</f>
        <v>2.0084707667264185E-3</v>
      </c>
      <c r="S415">
        <f>(IF(inputs!$C$6="aerial",((0.025*0.112*inputs!$C$7/3.3)*(3*60*379*((F415/1000)^0.8))*MAX(inputs!$H$14:$H$16))/F415,((0.0083*0.112*inputs!$C$7/1)*(3*60*379*((F415/1000)^0.8))*MAX(inputs!$H$14:$H$16))/F415))*(inputs!E$75/inputs!$E$73)</f>
        <v>1.1076839675544225E-2</v>
      </c>
      <c r="T415">
        <f>IF((((inputs!$P$12/(V415/MAX(K415:S415)))^(1/inputs!$O$12))-1)/inputs!$N$12&lt;0, 0, IF((((inputs!$P$12/(V415/MAX(K415:S415)))^(1/inputs!$O$12))-1)/inputs!$N$12&gt;inputs!$H$17, inputs!$H$17, (((inputs!$P$12/(V415/MAX(K415:S415)))^(1/inputs!$O$12))-1)/inputs!$N$12))</f>
        <v>0</v>
      </c>
      <c r="U415">
        <f>IF((((inputs!$P$12/(X415/MAX(K415:S415)))^(1/inputs!$O$12))-1)/inputs!$N$12&lt;0, 0, IF((((inputs!$P$12/(X415/MAX(K415:S415)))^(1/inputs!$O$12))-1)/inputs!$N$12&gt;inputs!$H$17, inputs!$H$17, (((inputs!$P$12/(X415/MAX(K415:S415)))^(1/inputs!$O$12))-1)/inputs!$N$12))</f>
        <v>0</v>
      </c>
      <c r="V415">
        <f>inputs!$E$70*(F415/inputs!$F$70)^(0.25)</f>
        <v>5.6716495337733157</v>
      </c>
      <c r="W415">
        <f>inputs!$E$76*(inputs!$F$76/F415)^(0.25)</f>
        <v>0.30039667880058618</v>
      </c>
      <c r="X415">
        <f>inputs!$E$72*(inputs!$F$72/F415)^(0.25)</f>
        <v>44.061255638576625</v>
      </c>
      <c r="Y415" t="s">
        <v>13</v>
      </c>
      <c r="Z415">
        <f t="shared" si="43"/>
        <v>1.986062952964708</v>
      </c>
      <c r="AA415">
        <f t="shared" si="44"/>
        <v>37.497927960463059</v>
      </c>
    </row>
    <row r="416" spans="1:27" x14ac:dyDescent="0.3">
      <c r="A416" t="s">
        <v>513</v>
      </c>
      <c r="B416" t="s">
        <v>514</v>
      </c>
      <c r="C416" t="s">
        <v>61</v>
      </c>
      <c r="D416" t="s">
        <v>454</v>
      </c>
      <c r="E416">
        <v>7572</v>
      </c>
      <c r="F416">
        <v>645</v>
      </c>
      <c r="G416" t="s">
        <v>138</v>
      </c>
      <c r="H416">
        <v>0.68</v>
      </c>
      <c r="I416">
        <f>MAX('Min rate concentrations'!$L$3:$L$368)</f>
        <v>58.421240152220811</v>
      </c>
      <c r="J416">
        <f>MAX('Min rate concentrations'!AD:AD)</f>
        <v>40.397666062705881</v>
      </c>
      <c r="K416">
        <f t="shared" si="46"/>
        <v>13.563976434536213</v>
      </c>
      <c r="L416">
        <f t="shared" si="47"/>
        <v>9.3793454068601481</v>
      </c>
      <c r="M416">
        <f>IF((((0.326*F416^0.818)-(0.398*F416^0.85)/(1-H416)*H416)*(MAX('Min rate concentrations'!$P$3:$P$368)))/F416&gt;0, (((0.326*F416^0.818)-(0.398*F416^0.85)/(1-H416)*H416)*(MAX('Min rate concentrations'!$P$3:$P$368)))/F416, 0)</f>
        <v>0</v>
      </c>
      <c r="N416">
        <f>IF((((0.326*F416^0.818)-(0.398*F416^0.85)/(1-H416)*H416)*(MAX('Min rate concentrations'!$Q$3:$Q$368)))/F416&gt; 0, (((0.326*F416^0.818)-(0.398*F416^0.85)/(1-H416)*H416)*(MAX('Min rate concentrations'!$Q$3:$Q$368)))/F416, 0)</f>
        <v>0</v>
      </c>
      <c r="O416">
        <f>((MAX('Min rate concentrations'!$F$3:$F$368))*0.62*6.01*8*(12.3*F416^0.65)*0.079*0.1/F416)*inputs!$E$73/inputs!$E$74</f>
        <v>4.6883942684008035</v>
      </c>
      <c r="P416">
        <f>((MAX('Min rate concentrations'!Y:Y))*0.62*6.01*8*(12.3*F416^0.65)*0.079*0.1/F416)*inputs!$E$73/inputs!$E$74</f>
        <v>1.562798089466934</v>
      </c>
      <c r="Q416">
        <f>(inputs!$C$7*11.2*(12.3*F416^0.65)*0.5/F416)*inputs!$E$73/inputs!$E$74</f>
        <v>0.82583853720113198</v>
      </c>
      <c r="R416">
        <f>(60*379*((F416/1000)^0.8)*3*24*(MAX('Min rate concentrations'!$R$3:$R$368))/F416)*(inputs!$E$73/inputs!$E$75)</f>
        <v>2.0084707667264185E-3</v>
      </c>
      <c r="S416">
        <f>(IF(inputs!$C$6="aerial",((0.025*0.112*inputs!$C$7/3.3)*(3*60*379*((F416/1000)^0.8))*MAX(inputs!$H$14:$H$16))/F416,((0.0083*0.112*inputs!$C$7/1)*(3*60*379*((F416/1000)^0.8))*MAX(inputs!$H$14:$H$16))/F416))*(inputs!E$75/inputs!$E$73)</f>
        <v>1.1076839675544225E-2</v>
      </c>
      <c r="T416">
        <f>IF((((inputs!$P$12/(V416/MAX(K416:S416)))^(1/inputs!$O$12))-1)/inputs!$N$12&lt;0, 0, IF((((inputs!$P$12/(V416/MAX(K416:S416)))^(1/inputs!$O$12))-1)/inputs!$N$12&gt;inputs!$H$17, inputs!$H$17, (((inputs!$P$12/(V416/MAX(K416:S416)))^(1/inputs!$O$12))-1)/inputs!$N$12))</f>
        <v>1.5497774145207159</v>
      </c>
      <c r="U416">
        <f>IF((((inputs!$P$12/(X416/MAX(K416:S416)))^(1/inputs!$O$12))-1)/inputs!$N$12&lt;0, 0, IF((((inputs!$P$12/(X416/MAX(K416:S416)))^(1/inputs!$O$12))-1)/inputs!$N$12&gt;inputs!$H$17, inputs!$H$17, (((inputs!$P$12/(X416/MAX(K416:S416)))^(1/inputs!$O$12))-1)/inputs!$N$12))</f>
        <v>0</v>
      </c>
      <c r="V416">
        <f>inputs!$E$70*(F416/inputs!$F$70)^(0.25)</f>
        <v>5.6716495337733157</v>
      </c>
      <c r="W416">
        <f>inputs!$E$76*(inputs!$F$76/F416)^(0.25)</f>
        <v>0.30039667880058618</v>
      </c>
      <c r="X416">
        <f>inputs!$E$72*(inputs!$F$72/F416)^(0.25)</f>
        <v>44.061255638576625</v>
      </c>
      <c r="Y416" t="s">
        <v>13</v>
      </c>
      <c r="Z416">
        <f t="shared" si="43"/>
        <v>2.3915399486103612</v>
      </c>
      <c r="AA416">
        <f t="shared" si="44"/>
        <v>45.153549928361407</v>
      </c>
    </row>
    <row r="417" spans="1:27" x14ac:dyDescent="0.3">
      <c r="A417" t="s">
        <v>513</v>
      </c>
      <c r="B417" t="s">
        <v>514</v>
      </c>
      <c r="C417" t="s">
        <v>61</v>
      </c>
      <c r="D417" t="s">
        <v>454</v>
      </c>
      <c r="E417">
        <v>7572</v>
      </c>
      <c r="F417">
        <v>645</v>
      </c>
      <c r="G417" t="s">
        <v>456</v>
      </c>
      <c r="H417">
        <v>0.68</v>
      </c>
      <c r="I417">
        <f>MAX('Min rate concentrations'!$J$3:$J$368)</f>
        <v>114.4108103430513</v>
      </c>
      <c r="J417">
        <f>MAX('Min rate concentrations'!AB:AB)</f>
        <v>40.520495329830666</v>
      </c>
      <c r="K417">
        <f t="shared" si="46"/>
        <v>26.563378855119144</v>
      </c>
      <c r="L417">
        <f t="shared" si="47"/>
        <v>9.4078633445213633</v>
      </c>
      <c r="M417">
        <f>IF((((0.326*F417^0.818)-(0.398*F417^0.85)/(1-H417)*H417)*(MAX('Min rate concentrations'!$P$3:$P$368)))/F417&gt;0, (((0.326*F417^0.818)-(0.398*F417^0.85)/(1-H417)*H417)*(MAX('Min rate concentrations'!$P$3:$P$368)))/F417, 0)</f>
        <v>0</v>
      </c>
      <c r="N417">
        <f>IF((((0.326*F417^0.818)-(0.398*F417^0.85)/(1-H417)*H417)*(MAX('Min rate concentrations'!$Q$3:$Q$368)))/F417&gt; 0, (((0.326*F417^0.818)-(0.398*F417^0.85)/(1-H417)*H417)*(MAX('Min rate concentrations'!$Q$3:$Q$368)))/F417, 0)</f>
        <v>0</v>
      </c>
      <c r="O417">
        <f>((MAX('Min rate concentrations'!$F$3:$F$368))*0.62*6.01*8*(12.3*F417^0.65)*0.079*0.1/F417)*inputs!$E$73/inputs!$E$74</f>
        <v>4.6883942684008035</v>
      </c>
      <c r="P417">
        <f>((MAX('Min rate concentrations'!Y:Y))*0.62*6.01*8*(12.3*F417^0.65)*0.079*0.1/F417)*inputs!$E$73/inputs!$E$74</f>
        <v>1.562798089466934</v>
      </c>
      <c r="Q417">
        <f>(inputs!$C$7*11.2*(12.3*F417^0.65)*0.5/F417)*inputs!$E$73/inputs!$E$74</f>
        <v>0.82583853720113198</v>
      </c>
      <c r="R417">
        <f>(60*379*((F417/1000)^0.8)*3*24*(MAX('Min rate concentrations'!$R$3:$R$368))/F417)*(inputs!$E$73/inputs!$E$75)</f>
        <v>2.0084707667264185E-3</v>
      </c>
      <c r="S417">
        <f>(IF(inputs!$C$6="aerial",((0.025*0.112*inputs!$C$7/3.3)*(3*60*379*((F417/1000)^0.8))*MAX(inputs!$H$14:$H$16))/F417,((0.0083*0.112*inputs!$C$7/1)*(3*60*379*((F417/1000)^0.8))*MAX(inputs!$H$14:$H$16))/F417))*(inputs!E$75/inputs!$E$73)</f>
        <v>1.1076839675544225E-2</v>
      </c>
      <c r="T417">
        <f>IF((((inputs!$P$12/(V417/MAX(K417:S417)))^(1/inputs!$O$12))-1)/inputs!$N$12&lt;0, 0, IF((((inputs!$P$12/(V417/MAX(K417:S417)))^(1/inputs!$O$12))-1)/inputs!$N$12&gt;inputs!$H$17, inputs!$H$17, (((inputs!$P$12/(V417/MAX(K417:S417)))^(1/inputs!$O$12))-1)/inputs!$N$12))</f>
        <v>10.99402371503388</v>
      </c>
      <c r="U417">
        <f>IF((((inputs!$P$12/(X417/MAX(K417:S417)))^(1/inputs!$O$12))-1)/inputs!$N$12&lt;0, 0, IF((((inputs!$P$12/(X417/MAX(K417:S417)))^(1/inputs!$O$12))-1)/inputs!$N$12&gt;inputs!$H$17, inputs!$H$17, (((inputs!$P$12/(X417/MAX(K417:S417)))^(1/inputs!$O$12))-1)/inputs!$N$12))</f>
        <v>0</v>
      </c>
      <c r="V417">
        <f>inputs!$E$70*(F417/inputs!$F$70)^(0.25)</f>
        <v>5.6716495337733157</v>
      </c>
      <c r="W417">
        <f>inputs!$E$76*(inputs!$F$76/F417)^(0.25)</f>
        <v>0.30039667880058618</v>
      </c>
      <c r="X417">
        <f>inputs!$E$72*(inputs!$F$72/F417)^(0.25)</f>
        <v>44.061255638576625</v>
      </c>
      <c r="Y417" t="s">
        <v>13</v>
      </c>
      <c r="Z417">
        <f t="shared" si="43"/>
        <v>4.6835367201271128</v>
      </c>
      <c r="AA417">
        <f t="shared" si="44"/>
        <v>88.427671574734163</v>
      </c>
    </row>
    <row r="418" spans="1:27" x14ac:dyDescent="0.3">
      <c r="A418" t="s">
        <v>503</v>
      </c>
      <c r="B418" t="s">
        <v>504</v>
      </c>
      <c r="C418" t="s">
        <v>61</v>
      </c>
      <c r="D418" t="s">
        <v>454</v>
      </c>
      <c r="E418">
        <v>24</v>
      </c>
      <c r="F418">
        <v>8000</v>
      </c>
      <c r="G418" t="s">
        <v>138</v>
      </c>
      <c r="H418">
        <v>0.68</v>
      </c>
      <c r="I418">
        <f>MAX('Min rate concentrations'!$L$3:$L$368)</f>
        <v>58.421240152220811</v>
      </c>
      <c r="J418">
        <f>MAX('Min rate concentrations'!AD:AD)</f>
        <v>40.397666062705881</v>
      </c>
      <c r="K418">
        <f t="shared" si="46"/>
        <v>8.6644028812205942</v>
      </c>
      <c r="L418">
        <f t="shared" si="47"/>
        <v>5.9913424178653045</v>
      </c>
      <c r="M418">
        <f>IF((((0.326*F418^0.818)-(0.398*F418^0.85)/(1-H418)*H418)*(MAX('Min rate concentrations'!$P$3:$P$368)))/F418&gt;0, (((0.326*F418^0.818)-(0.398*F418^0.85)/(1-H418)*H418)*(MAX('Min rate concentrations'!$P$3:$P$368)))/F418, 0)</f>
        <v>0</v>
      </c>
      <c r="N418">
        <f>IF((((0.326*F418^0.818)-(0.398*F418^0.85)/(1-H418)*H418)*(MAX('Min rate concentrations'!$Q$3:$Q$368)))/F418&gt; 0, (((0.326*F418^0.818)-(0.398*F418^0.85)/(1-H418)*H418)*(MAX('Min rate concentrations'!$Q$3:$Q$368)))/F418, 0)</f>
        <v>0</v>
      </c>
      <c r="O418">
        <f>((MAX('Min rate concentrations'!$F$3:$F$368))*0.62*6.01*8*(12.3*F418^0.65)*0.079*0.1/F418)*inputs!$E$73/inputs!$E$74</f>
        <v>1.9421757669885253</v>
      </c>
      <c r="P418">
        <f>((MAX('Min rate concentrations'!Y:Y))*0.62*6.01*8*(12.3*F418^0.65)*0.079*0.1/F418)*inputs!$E$73/inputs!$E$74</f>
        <v>0.64739192232950826</v>
      </c>
      <c r="Q418">
        <f>(inputs!$C$7*11.2*(12.3*F418^0.65)*0.5/F418)*inputs!$E$73/inputs!$E$74</f>
        <v>0.34210510093136498</v>
      </c>
      <c r="R418">
        <f>(60*379*((F418/1000)^0.8)*3*24*(MAX('Min rate concentrations'!$R$3:$R$368))/F418)*(inputs!$E$73/inputs!$E$75)</f>
        <v>1.213834453885712E-3</v>
      </c>
      <c r="S418">
        <f>(IF(inputs!$C$6="aerial",((0.025*0.112*inputs!$C$7/3.3)*(3*60*379*((F418/1000)^0.8))*MAX(inputs!$H$14:$H$16))/F418,((0.0083*0.112*inputs!$C$7/1)*(3*60*379*((F418/1000)^0.8))*MAX(inputs!$H$14:$H$16))/F418))*(inputs!E$75/inputs!$E$73)</f>
        <v>6.6943715891162239E-3</v>
      </c>
      <c r="T418">
        <f>IF((((inputs!$P$12/(V418/MAX(K418:S418)))^(1/inputs!$O$12))-1)/inputs!$N$12&lt;0, 0, IF((((inputs!$P$12/(V418/MAX(K418:S418)))^(1/inputs!$O$12))-1)/inputs!$N$12&gt;inputs!$H$17, inputs!$H$17, (((inputs!$P$12/(V418/MAX(K418:S418)))^(1/inputs!$O$12))-1)/inputs!$N$12))</f>
        <v>0</v>
      </c>
      <c r="U418">
        <f>IF((((inputs!$P$12/(X418/MAX(K418:S418)))^(1/inputs!$O$12))-1)/inputs!$N$12&lt;0, 0, IF((((inputs!$P$12/(X418/MAX(K418:S418)))^(1/inputs!$O$12))-1)/inputs!$N$12&gt;inputs!$H$17, inputs!$H$17, (((inputs!$P$12/(X418/MAX(K418:S418)))^(1/inputs!$O$12))-1)/inputs!$N$12))</f>
        <v>0</v>
      </c>
      <c r="V418">
        <f>inputs!$E$70*(F418/inputs!$F$70)^(0.25)</f>
        <v>10.643683572898997</v>
      </c>
      <c r="W418">
        <f>inputs!$E$76*(inputs!$F$76/F418)^(0.25)</f>
        <v>0.16007096336502152</v>
      </c>
      <c r="X418">
        <f>inputs!$E$72*(inputs!$F$72/F418)^(0.25)</f>
        <v>23.478713763747795</v>
      </c>
      <c r="Y418" t="s">
        <v>13</v>
      </c>
      <c r="Z418">
        <f t="shared" si="43"/>
        <v>0.8140417574308525</v>
      </c>
      <c r="AA418">
        <f t="shared" si="44"/>
        <v>54.128510874658275</v>
      </c>
    </row>
    <row r="419" spans="1:27" x14ac:dyDescent="0.3">
      <c r="A419" t="s">
        <v>503</v>
      </c>
      <c r="B419" t="s">
        <v>504</v>
      </c>
      <c r="C419" t="s">
        <v>61</v>
      </c>
      <c r="D419" t="s">
        <v>454</v>
      </c>
      <c r="E419">
        <v>24</v>
      </c>
      <c r="F419">
        <v>8000</v>
      </c>
      <c r="G419" t="s">
        <v>218</v>
      </c>
      <c r="H419">
        <v>0.68</v>
      </c>
      <c r="I419">
        <f>MAX('Min rate concentrations'!$K$3:$K$368)</f>
        <v>18.333393099490852</v>
      </c>
      <c r="J419">
        <f>MAX('Min rate concentrations'!AC:AC)</f>
        <v>6.4930767227363431</v>
      </c>
      <c r="K419">
        <f t="shared" si="46"/>
        <v>2.7190094489587779</v>
      </c>
      <c r="L419">
        <f t="shared" si="47"/>
        <v>0.96298251317290029</v>
      </c>
      <c r="M419">
        <f>IF((((0.326*F419^0.818)-(0.398*F419^0.85)/(1-H419)*H419)*(MAX('Min rate concentrations'!$P$3:$P$368)))/F419&gt;0, (((0.326*F419^0.818)-(0.398*F419^0.85)/(1-H419)*H419)*(MAX('Min rate concentrations'!$P$3:$P$368)))/F419, 0)</f>
        <v>0</v>
      </c>
      <c r="N419">
        <f>IF((((0.326*F419^0.818)-(0.398*F419^0.85)/(1-H419)*H419)*(MAX('Min rate concentrations'!$Q$3:$Q$368)))/F419&gt; 0, (((0.326*F419^0.818)-(0.398*F419^0.85)/(1-H419)*H419)*(MAX('Min rate concentrations'!$Q$3:$Q$368)))/F419, 0)</f>
        <v>0</v>
      </c>
      <c r="O419">
        <f>((MAX('Min rate concentrations'!$F$3:$F$368))*0.62*6.01*8*(12.3*F419^0.65)*0.079*0.1/F419)*inputs!$E$73/inputs!$E$74</f>
        <v>1.9421757669885253</v>
      </c>
      <c r="P419">
        <f>((MAX('Min rate concentrations'!Y:Y))*0.62*6.01*8*(12.3*F419^0.65)*0.079*0.1/F419)*inputs!$E$73/inputs!$E$74</f>
        <v>0.64739192232950826</v>
      </c>
      <c r="Q419">
        <f>(inputs!$C$7*11.2*(12.3*F419^0.65)*0.5/F419)*inputs!$E$73/inputs!$E$74</f>
        <v>0.34210510093136498</v>
      </c>
      <c r="R419">
        <f>(60*379*((F419/1000)^0.8)*3*24*(MAX('Min rate concentrations'!$R$3:$R$368))/F419)*(inputs!$E$73/inputs!$E$75)</f>
        <v>1.213834453885712E-3</v>
      </c>
      <c r="S419">
        <f>(IF(inputs!$C$6="aerial",((0.025*0.112*inputs!$C$7/3.3)*(3*60*379*((F419/1000)^0.8))*MAX(inputs!$H$14:$H$16))/F419,((0.0083*0.112*inputs!$C$7/1)*(3*60*379*((F419/1000)^0.8))*MAX(inputs!$H$14:$H$16))/F419))*(inputs!E$75/inputs!$E$73)</f>
        <v>6.6943715891162239E-3</v>
      </c>
      <c r="T419">
        <f>IF((((inputs!$P$12/(V419/MAX(K419:S419)))^(1/inputs!$O$12))-1)/inputs!$N$12&lt;0, 0, IF((((inputs!$P$12/(V419/MAX(K419:S419)))^(1/inputs!$O$12))-1)/inputs!$N$12&gt;inputs!$H$17, inputs!$H$17, (((inputs!$P$12/(V419/MAX(K419:S419)))^(1/inputs!$O$12))-1)/inputs!$N$12))</f>
        <v>0</v>
      </c>
      <c r="U419">
        <f>IF((((inputs!$P$12/(X419/MAX(K419:S419)))^(1/inputs!$O$12))-1)/inputs!$N$12&lt;0, 0, IF((((inputs!$P$12/(X419/MAX(K419:S419)))^(1/inputs!$O$12))-1)/inputs!$N$12&gt;inputs!$H$17, inputs!$H$17, (((inputs!$P$12/(X419/MAX(K419:S419)))^(1/inputs!$O$12))-1)/inputs!$N$12))</f>
        <v>0</v>
      </c>
      <c r="V419">
        <f>inputs!$E$70*(F419/inputs!$F$70)^(0.25)</f>
        <v>10.643683572898997</v>
      </c>
      <c r="W419">
        <f>inputs!$E$76*(inputs!$F$76/F419)^(0.25)</f>
        <v>0.16007096336502152</v>
      </c>
      <c r="X419">
        <f>inputs!$E$72*(inputs!$F$72/F419)^(0.25)</f>
        <v>23.478713763747795</v>
      </c>
      <c r="Y419" t="s">
        <v>13</v>
      </c>
      <c r="Z419">
        <f t="shared" si="43"/>
        <v>0.25545756131664177</v>
      </c>
      <c r="AA419">
        <f t="shared" si="44"/>
        <v>16.986275285658287</v>
      </c>
    </row>
    <row r="420" spans="1:27" x14ac:dyDescent="0.3">
      <c r="A420" t="s">
        <v>503</v>
      </c>
      <c r="B420" t="s">
        <v>504</v>
      </c>
      <c r="C420" t="s">
        <v>61</v>
      </c>
      <c r="D420" t="s">
        <v>454</v>
      </c>
      <c r="E420">
        <v>24</v>
      </c>
      <c r="F420">
        <v>8000</v>
      </c>
      <c r="G420" t="s">
        <v>186</v>
      </c>
      <c r="H420">
        <v>0.75</v>
      </c>
      <c r="I420">
        <f>inputs!$C$65*inputs!$C$64/1000</f>
        <v>2.13</v>
      </c>
      <c r="J420">
        <f>inputs!$C$65*inputs!$C$63/1000</f>
        <v>0.88</v>
      </c>
      <c r="K420">
        <f t="shared" si="46"/>
        <v>0.40434999246522907</v>
      </c>
      <c r="L420">
        <f t="shared" si="47"/>
        <v>0.16705539594807586</v>
      </c>
      <c r="M420">
        <f>IF((((0.326*F420^0.818)-(0.398*F420^0.85)/(1-H420)*H420)*(MAX('Min rate concentrations'!$P$3:$P$368)))/F420&gt;0, (((0.326*F420^0.818)-(0.398*F420^0.85)/(1-H420)*H420)*(MAX('Min rate concentrations'!$P$3:$P$368)))/F420, 0)</f>
        <v>0</v>
      </c>
      <c r="N420">
        <f>IF((((0.326*F420^0.818)-(0.398*F420^0.85)/(1-H420)*H420)*(MAX('Min rate concentrations'!$Q$3:$Q$368)))/F420&gt; 0, (((0.326*F420^0.818)-(0.398*F420^0.85)/(1-H420)*H420)*(MAX('Min rate concentrations'!$Q$3:$Q$368)))/F420, 0)</f>
        <v>0</v>
      </c>
      <c r="O420">
        <f>((MAX('Min rate concentrations'!$F$3:$F$368))*0.62*6.01*8*(12.3*F420^0.65)*0.079*0.1/F420)*inputs!$E$73/inputs!$E$74</f>
        <v>1.9421757669885253</v>
      </c>
      <c r="P420">
        <f>((MAX('Min rate concentrations'!Y:Y))*0.62*6.01*8*(12.3*F420^0.65)*0.079*0.1/F420)*inputs!$E$73/inputs!$E$74</f>
        <v>0.64739192232950826</v>
      </c>
      <c r="Q420">
        <f>(inputs!$C$7*11.2*(12.3*F420^0.65)*0.5/F420)*inputs!$E$73/inputs!$E$74</f>
        <v>0.34210510093136498</v>
      </c>
      <c r="R420">
        <f>(60*379*((F420/1000)^0.8)*3*24*(MAX('Min rate concentrations'!$R$3:$R$368))/F420)*(inputs!$E$73/inputs!$E$75)</f>
        <v>1.213834453885712E-3</v>
      </c>
      <c r="S420">
        <f>(IF(inputs!$C$6="aerial",((0.025*0.112*inputs!$C$7/3.3)*(3*60*379*((F420/1000)^0.8))*MAX(inputs!$H$14:$H$16))/F420,((0.0083*0.112*inputs!$C$7/1)*(3*60*379*((F420/1000)^0.8))*MAX(inputs!$H$14:$H$16))/F420))*(inputs!E$75/inputs!$E$73)</f>
        <v>6.6943715891162239E-3</v>
      </c>
      <c r="T420">
        <f>IF((((inputs!$P$12/(V420/MAX(K420:S420)))^(1/inputs!$O$12))-1)/inputs!$N$12&lt;0, 0, IF((((inputs!$P$12/(V420/MAX(K420:S420)))^(1/inputs!$O$12))-1)/inputs!$N$12&gt;inputs!$H$17, inputs!$H$17, (((inputs!$P$12/(V420/MAX(K420:S420)))^(1/inputs!$O$12))-1)/inputs!$N$12))</f>
        <v>0</v>
      </c>
      <c r="U420">
        <f>IF((((inputs!$P$12/(X420/MAX(K420:S420)))^(1/inputs!$O$12))-1)/inputs!$N$12&lt;0, 0, IF((((inputs!$P$12/(X420/MAX(K420:S420)))^(1/inputs!$O$12))-1)/inputs!$N$12&gt;inputs!$H$17, inputs!$H$17, (((inputs!$P$12/(X420/MAX(K420:S420)))^(1/inputs!$O$12))-1)/inputs!$N$12))</f>
        <v>0</v>
      </c>
      <c r="V420">
        <f>inputs!$E$70*(F420/inputs!$F$70)^(0.25)</f>
        <v>10.643683572898997</v>
      </c>
      <c r="W420">
        <f>inputs!$E$76*(inputs!$F$76/F420)^(0.25)</f>
        <v>0.16007096336502152</v>
      </c>
      <c r="X420">
        <f>inputs!$E$72*(inputs!$F$72/F420)^(0.25)</f>
        <v>23.478713763747795</v>
      </c>
      <c r="Y420" t="s">
        <v>13</v>
      </c>
      <c r="Z420">
        <f t="shared" si="43"/>
        <v>0.18247214450584603</v>
      </c>
      <c r="AA420">
        <f t="shared" si="44"/>
        <v>12.133217206668769</v>
      </c>
    </row>
    <row r="421" spans="1:27" x14ac:dyDescent="0.3">
      <c r="A421" t="s">
        <v>503</v>
      </c>
      <c r="B421" t="s">
        <v>504</v>
      </c>
      <c r="C421" t="s">
        <v>61</v>
      </c>
      <c r="D421" t="s">
        <v>454</v>
      </c>
      <c r="E421">
        <v>24</v>
      </c>
      <c r="F421">
        <v>8000</v>
      </c>
      <c r="G421" t="s">
        <v>455</v>
      </c>
      <c r="H421">
        <v>0.68</v>
      </c>
      <c r="I421">
        <f>MAX('Min rate concentrations'!$K$3:$K$368)</f>
        <v>18.333393099490852</v>
      </c>
      <c r="J421">
        <f>MAX('Min rate concentrations'!AC:AC)</f>
        <v>6.4930767227363431</v>
      </c>
      <c r="K421">
        <f t="shared" si="46"/>
        <v>2.7190094489587779</v>
      </c>
      <c r="M421">
        <f>IF((((0.326*F421^0.818)-(0.398*F421^0.85)/(1-H421)*H421)*(MAX('Min rate concentrations'!$P$3:$P$368)))/F421&gt;0, (((0.326*F421^0.818)-(0.398*F421^0.85)/(1-H421)*H421)*(MAX('Min rate concentrations'!$P$3:$P$368)))/F421, 0)</f>
        <v>0</v>
      </c>
      <c r="N421">
        <f>IF((((0.326*F421^0.818)-(0.398*F421^0.85)/(1-H421)*H421)*(MAX('Min rate concentrations'!$Q$3:$Q$368)))/F421&gt; 0, (((0.326*F421^0.818)-(0.398*F421^0.85)/(1-H421)*H421)*(MAX('Min rate concentrations'!$Q$3:$Q$368)))/F421, 0)</f>
        <v>0</v>
      </c>
      <c r="O421">
        <f>((MAX('Min rate concentrations'!$F$3:$F$368))*0.62*6.01*8*(12.3*F421^0.65)*0.079*0.1/F421)*inputs!$E$73/inputs!$E$74</f>
        <v>1.9421757669885253</v>
      </c>
      <c r="Q421">
        <f>(inputs!$C$7*11.2*(12.3*F421^0.65)*0.5/F421)*inputs!$E$73/inputs!$E$74</f>
        <v>0.34210510093136498</v>
      </c>
      <c r="R421">
        <f>(60*379*((F421/1000)^0.8)*3*24*(MAX('Min rate concentrations'!$R$3:$R$368))/F421)*(inputs!$E$73/inputs!$E$75)</f>
        <v>1.213834453885712E-3</v>
      </c>
      <c r="S421">
        <f>(IF(inputs!$C$6="aerial",((0.025*0.112*inputs!$C$7/3.3)*(3*60*379*((F421/1000)^0.8))*MAX(inputs!$H$14:$H$16))/F421,((0.0083*0.112*inputs!$C$7/1)*(3*60*379*((F421/1000)^0.8))*MAX(inputs!$H$14:$H$16))/F421))*(inputs!E$75/inputs!$E$73)</f>
        <v>6.6943715891162239E-3</v>
      </c>
      <c r="T421">
        <f>IF((((inputs!$P$12/(V421/MAX(K421:S421)))^(1/inputs!$O$12))-1)/inputs!$N$12&lt;0, 0, IF((((inputs!$P$12/(V421/MAX(K421:S421)))^(1/inputs!$O$12))-1)/inputs!$N$12&gt;inputs!$H$17, inputs!$H$17, (((inputs!$P$12/(V421/MAX(K421:S421)))^(1/inputs!$O$12))-1)/inputs!$N$12))</f>
        <v>0</v>
      </c>
      <c r="U421">
        <f>IF((((inputs!$P$12/(X421/MAX(K421:S421)))^(1/inputs!$O$12))-1)/inputs!$N$12&lt;0, 0, IF((((inputs!$P$12/(X421/MAX(K421:S421)))^(1/inputs!$O$12))-1)/inputs!$N$12&gt;inputs!$H$17, inputs!$H$17, (((inputs!$P$12/(X421/MAX(K421:S421)))^(1/inputs!$O$12))-1)/inputs!$N$12))</f>
        <v>0</v>
      </c>
      <c r="V421">
        <f>inputs!$E$70*(F421/inputs!$F$70)^(0.25)</f>
        <v>10.643683572898997</v>
      </c>
      <c r="W421">
        <f>inputs!$E$76*(inputs!$F$76/F421)^(0.25)</f>
        <v>0.16007096336502152</v>
      </c>
      <c r="X421">
        <f>inputs!$E$72*(inputs!$F$72/F421)^(0.25)</f>
        <v>23.478713763747795</v>
      </c>
      <c r="Y421" t="s">
        <v>13</v>
      </c>
      <c r="Z421">
        <f t="shared" si="43"/>
        <v>0.25545756131664177</v>
      </c>
      <c r="AA421">
        <f t="shared" si="44"/>
        <v>16.986275285658287</v>
      </c>
    </row>
    <row r="422" spans="1:27" x14ac:dyDescent="0.3">
      <c r="A422" t="s">
        <v>503</v>
      </c>
      <c r="B422" t="s">
        <v>504</v>
      </c>
      <c r="C422" t="s">
        <v>61</v>
      </c>
      <c r="D422" t="s">
        <v>454</v>
      </c>
      <c r="E422">
        <v>24</v>
      </c>
      <c r="F422">
        <v>8000</v>
      </c>
      <c r="G422" t="s">
        <v>456</v>
      </c>
      <c r="H422">
        <v>0.68</v>
      </c>
      <c r="I422">
        <f>MAX('Min rate concentrations'!$J$3:$J$368)</f>
        <v>114.4108103430513</v>
      </c>
      <c r="J422">
        <f>MAX('Min rate concentrations'!AB:AB)</f>
        <v>40.520495329830666</v>
      </c>
      <c r="K422">
        <f t="shared" si="46"/>
        <v>16.968166923471816</v>
      </c>
      <c r="L422">
        <f>(((0.235*F422^0.822)/(1-H422)))*J422/F422</f>
        <v>6.0095591187296016</v>
      </c>
      <c r="M422">
        <f>IF((((0.326*F422^0.818)-(0.398*F422^0.85)/(1-H422)*H422)*(MAX('Min rate concentrations'!$P$3:$P$368)))/F422&gt;0, (((0.326*F422^0.818)-(0.398*F422^0.85)/(1-H422)*H422)*(MAX('Min rate concentrations'!$P$3:$P$368)))/F422, 0)</f>
        <v>0</v>
      </c>
      <c r="N422">
        <f>IF((((0.326*F422^0.818)-(0.398*F422^0.85)/(1-H422)*H422)*(MAX('Min rate concentrations'!$Q$3:$Q$368)))/F422&gt; 0, (((0.326*F422^0.818)-(0.398*F422^0.85)/(1-H422)*H422)*(MAX('Min rate concentrations'!$Q$3:$Q$368)))/F422, 0)</f>
        <v>0</v>
      </c>
      <c r="O422">
        <f>((MAX('Min rate concentrations'!$F$3:$F$368))*0.62*6.01*8*(12.3*F422^0.65)*0.079*0.1/F422)*inputs!$E$73/inputs!$E$74</f>
        <v>1.9421757669885253</v>
      </c>
      <c r="P422">
        <f>((MAX('Min rate concentrations'!Y:Y))*0.62*6.01*8*(12.3*F422^0.65)*0.079*0.1/F422)*inputs!$E$73/inputs!$E$74</f>
        <v>0.64739192232950826</v>
      </c>
      <c r="Q422">
        <f>(inputs!$C$7*11.2*(12.3*F422^0.65)*0.5/F422)*inputs!$E$73/inputs!$E$74</f>
        <v>0.34210510093136498</v>
      </c>
      <c r="R422">
        <f>(60*379*((F422/1000)^0.8)*3*24*(MAX('Min rate concentrations'!$R$3:$R$368))/F422)*(inputs!$E$73/inputs!$E$75)</f>
        <v>1.213834453885712E-3</v>
      </c>
      <c r="S422">
        <f>(IF(inputs!$C$6="aerial",((0.025*0.112*inputs!$C$7/3.3)*(3*60*379*((F422/1000)^0.8))*MAX(inputs!$H$14:$H$16))/F422,((0.0083*0.112*inputs!$C$7/1)*(3*60*379*((F422/1000)^0.8))*MAX(inputs!$H$14:$H$16))/F422))*(inputs!E$75/inputs!$E$73)</f>
        <v>6.6943715891162239E-3</v>
      </c>
      <c r="T422">
        <f>IF((((inputs!$P$12/(V422/MAX(K422:S422)))^(1/inputs!$O$12))-1)/inputs!$N$12&lt;0, 0, IF((((inputs!$P$12/(V422/MAX(K422:S422)))^(1/inputs!$O$12))-1)/inputs!$N$12&gt;inputs!$H$17, inputs!$H$17, (((inputs!$P$12/(V422/MAX(K422:S422)))^(1/inputs!$O$12))-1)/inputs!$N$12))</f>
        <v>0</v>
      </c>
      <c r="U422">
        <f>IF((((inputs!$P$12/(X422/MAX(K422:S422)))^(1/inputs!$O$12))-1)/inputs!$N$12&lt;0, 0, IF((((inputs!$P$12/(X422/MAX(K422:S422)))^(1/inputs!$O$12))-1)/inputs!$N$12&gt;inputs!$H$17, inputs!$H$17, (((inputs!$P$12/(X422/MAX(K422:S422)))^(1/inputs!$O$12))-1)/inputs!$N$12))</f>
        <v>0</v>
      </c>
      <c r="V422">
        <f>inputs!$E$70*(F422/inputs!$F$70)^(0.25)</f>
        <v>10.643683572898997</v>
      </c>
      <c r="W422">
        <f>inputs!$E$76*(inputs!$F$76/F422)^(0.25)</f>
        <v>0.16007096336502152</v>
      </c>
      <c r="X422">
        <f>inputs!$E$72*(inputs!$F$72/F422)^(0.25)</f>
        <v>23.478713763747795</v>
      </c>
      <c r="Y422" t="s">
        <v>13</v>
      </c>
      <c r="Z422">
        <f t="shared" si="43"/>
        <v>1.5942006174137169</v>
      </c>
      <c r="AA422">
        <f t="shared" si="44"/>
        <v>106.00402825575594</v>
      </c>
    </row>
    <row r="423" spans="1:27" x14ac:dyDescent="0.3">
      <c r="A423" t="s">
        <v>505</v>
      </c>
      <c r="B423" t="s">
        <v>506</v>
      </c>
      <c r="C423" t="s">
        <v>61</v>
      </c>
      <c r="D423" t="s">
        <v>454</v>
      </c>
      <c r="E423">
        <v>4648</v>
      </c>
      <c r="F423">
        <v>1500</v>
      </c>
      <c r="G423" t="s">
        <v>142</v>
      </c>
      <c r="H423">
        <v>0.69</v>
      </c>
      <c r="I423">
        <f>MAX('Min rate concentrations'!$H$3:$H$368)</f>
        <v>47</v>
      </c>
      <c r="J423">
        <f>MAX('Min rate concentrations'!AA:AA)</f>
        <v>32.5</v>
      </c>
      <c r="K423">
        <f t="shared" si="46"/>
        <v>9.6930350302016226</v>
      </c>
      <c r="L423">
        <f>(((0.235*F423^0.822)/(1-H423)))*J423/F423</f>
        <v>6.7026306059904845</v>
      </c>
      <c r="M423">
        <f>IF((((0.326*F423^0.818)-(0.398*F423^0.85)/(1-H423)*H423)*(MAX('Min rate concentrations'!$P$3:$P$368)))/F423&gt;0, (((0.326*F423^0.818)-(0.398*F423^0.85)/(1-H423)*H423)*(MAX('Min rate concentrations'!$P$3:$P$368)))/F423, 0)</f>
        <v>0</v>
      </c>
      <c r="N423">
        <f>IF((((0.326*F423^0.818)-(0.398*F423^0.85)/(1-H423)*H423)*(MAX('Min rate concentrations'!$Q$3:$Q$368)))/F423&gt; 0, (((0.326*F423^0.818)-(0.398*F423^0.85)/(1-H423)*H423)*(MAX('Min rate concentrations'!$Q$3:$Q$368)))/F423, 0)</f>
        <v>0</v>
      </c>
      <c r="O423">
        <f>((MAX('Min rate concentrations'!$F$3:$F$368))*0.62*6.01*8*(12.3*F423^0.65)*0.079*0.1/F423)*inputs!$E$73/inputs!$E$74</f>
        <v>3.4892981950750732</v>
      </c>
      <c r="P423">
        <f>((MAX('Min rate concentrations'!Y:Y))*0.62*6.01*8*(12.3*F423^0.65)*0.079*0.1/F423)*inputs!$E$73/inputs!$E$74</f>
        <v>1.163099398358358</v>
      </c>
      <c r="Q423">
        <f>(inputs!$C$7*11.2*(12.3*F423^0.65)*0.5/F423)*inputs!$E$73/inputs!$E$74</f>
        <v>0.61462341951506838</v>
      </c>
      <c r="R423">
        <f>(60*379*((F423/1000)^0.8)*3*24*(MAX('Min rate concentrations'!$R$3:$R$368))/F423)*(inputs!$E$73/inputs!$E$75)</f>
        <v>1.6965208681492512E-3</v>
      </c>
      <c r="S423">
        <f>(IF(inputs!$C$6="aerial",((0.025*0.112*inputs!$C$7/3.3)*(3*60*379*((F423/1000)^0.8))*MAX(inputs!$H$14:$H$16))/F423,((0.0083*0.112*inputs!$C$7/1)*(3*60*379*((F423/1000)^0.8))*MAX(inputs!$H$14:$H$16))/F423))*(inputs!E$75/inputs!$E$73)</f>
        <v>9.356416819216817E-3</v>
      </c>
      <c r="T423">
        <f>IF((((inputs!$P$12/(V423/MAX(K423:S423)))^(1/inputs!$O$12))-1)/inputs!$N$12&lt;0, 0, IF((((inputs!$P$12/(V423/MAX(K423:S423)))^(1/inputs!$O$12))-1)/inputs!$N$12&gt;inputs!$H$17, inputs!$H$17, (((inputs!$P$12/(V423/MAX(K423:S423)))^(1/inputs!$O$12))-1)/inputs!$N$12))</f>
        <v>0</v>
      </c>
      <c r="U423">
        <f>IF((((inputs!$P$12/(X423/MAX(K423:S423)))^(1/inputs!$O$12))-1)/inputs!$N$12&lt;0, 0, IF((((inputs!$P$12/(X423/MAX(K423:S423)))^(1/inputs!$O$12))-1)/inputs!$N$12&gt;inputs!$H$17, inputs!$H$17, (((inputs!$P$12/(X423/MAX(K423:S423)))^(1/inputs!$O$12))-1)/inputs!$N$12))</f>
        <v>0</v>
      </c>
      <c r="V423">
        <f>inputs!$E$70*(F423/inputs!$F$70)^(0.25)</f>
        <v>7.0039376761908532</v>
      </c>
      <c r="W423">
        <f>inputs!$E$76*(inputs!$F$76/F423)^(0.25)</f>
        <v>0.24325526040274417</v>
      </c>
      <c r="X423">
        <f>inputs!$E$72*(inputs!$F$72/F423)^(0.25)</f>
        <v>35.679929141789579</v>
      </c>
      <c r="Y423" t="s">
        <v>13</v>
      </c>
      <c r="Z423">
        <f t="shared" si="43"/>
        <v>1.3839407885013129</v>
      </c>
      <c r="AA423">
        <f t="shared" si="44"/>
        <v>39.847175408060671</v>
      </c>
    </row>
    <row r="424" spans="1:27" x14ac:dyDescent="0.3">
      <c r="A424" t="s">
        <v>505</v>
      </c>
      <c r="B424" t="s">
        <v>506</v>
      </c>
      <c r="C424" t="s">
        <v>61</v>
      </c>
      <c r="D424" t="s">
        <v>454</v>
      </c>
      <c r="E424">
        <v>4648</v>
      </c>
      <c r="F424">
        <v>1500</v>
      </c>
      <c r="G424" t="s">
        <v>138</v>
      </c>
      <c r="H424">
        <v>0.68</v>
      </c>
      <c r="I424">
        <f>MAX('Min rate concentrations'!$L$3:$L$368)</f>
        <v>58.421240152220811</v>
      </c>
      <c r="J424">
        <f>MAX('Min rate concentrations'!AD:AD)</f>
        <v>40.397666062705881</v>
      </c>
      <c r="K424">
        <f t="shared" si="46"/>
        <v>11.671976693086597</v>
      </c>
      <c r="L424">
        <f>(((0.235*F424^0.822)/(1-H424)))*J424/F424</f>
        <v>8.0710477133045622</v>
      </c>
      <c r="M424">
        <f>IF((((0.326*F424^0.818)-(0.398*F424^0.85)/(1-H424)*H424)*(MAX('Min rate concentrations'!$P$3:$P$368)))/F424&gt;0, (((0.326*F424^0.818)-(0.398*F424^0.85)/(1-H424)*H424)*(MAX('Min rate concentrations'!$P$3:$P$368)))/F424, 0)</f>
        <v>0</v>
      </c>
      <c r="N424">
        <f>IF((((0.326*F424^0.818)-(0.398*F424^0.85)/(1-H424)*H424)*(MAX('Min rate concentrations'!$Q$3:$Q$368)))/F424&gt; 0, (((0.326*F424^0.818)-(0.398*F424^0.85)/(1-H424)*H424)*(MAX('Min rate concentrations'!$Q$3:$Q$368)))/F424, 0)</f>
        <v>0</v>
      </c>
      <c r="O424">
        <f>((MAX('Min rate concentrations'!$F$3:$F$368))*0.62*6.01*8*(12.3*F424^0.65)*0.079*0.1/F424)*inputs!$E$73/inputs!$E$74</f>
        <v>3.4892981950750732</v>
      </c>
      <c r="P424">
        <f>((MAX('Min rate concentrations'!Y:Y))*0.62*6.01*8*(12.3*F424^0.65)*0.079*0.1/F424)*inputs!$E$73/inputs!$E$74</f>
        <v>1.163099398358358</v>
      </c>
      <c r="Q424">
        <f>(inputs!$C$7*11.2*(12.3*F424^0.65)*0.5/F424)*inputs!$E$73/inputs!$E$74</f>
        <v>0.61462341951506838</v>
      </c>
      <c r="R424">
        <f>(60*379*((F424/1000)^0.8)*3*24*(MAX('Min rate concentrations'!$R$3:$R$368))/F424)*(inputs!$E$73/inputs!$E$75)</f>
        <v>1.6965208681492512E-3</v>
      </c>
      <c r="S424">
        <f>(IF(inputs!$C$6="aerial",((0.025*0.112*inputs!$C$7/3.3)*(3*60*379*((F424/1000)^0.8))*MAX(inputs!$H$14:$H$16))/F424,((0.0083*0.112*inputs!$C$7/1)*(3*60*379*((F424/1000)^0.8))*MAX(inputs!$H$14:$H$16))/F424))*(inputs!E$75/inputs!$E$73)</f>
        <v>9.356416819216817E-3</v>
      </c>
      <c r="T424">
        <f>IF((((inputs!$P$12/(V424/MAX(K424:S424)))^(1/inputs!$O$12))-1)/inputs!$N$12&lt;0, 0, IF((((inputs!$P$12/(V424/MAX(K424:S424)))^(1/inputs!$O$12))-1)/inputs!$N$12&gt;inputs!$H$17, inputs!$H$17, (((inputs!$P$12/(V424/MAX(K424:S424)))^(1/inputs!$O$12))-1)/inputs!$N$12))</f>
        <v>0</v>
      </c>
      <c r="U424">
        <f>IF((((inputs!$P$12/(X424/MAX(K424:S424)))^(1/inputs!$O$12))-1)/inputs!$N$12&lt;0, 0, IF((((inputs!$P$12/(X424/MAX(K424:S424)))^(1/inputs!$O$12))-1)/inputs!$N$12&gt;inputs!$H$17, inputs!$H$17, (((inputs!$P$12/(X424/MAX(K424:S424)))^(1/inputs!$O$12))-1)/inputs!$N$12))</f>
        <v>0</v>
      </c>
      <c r="V424">
        <f>inputs!$E$70*(F424/inputs!$F$70)^(0.25)</f>
        <v>7.0039376761908532</v>
      </c>
      <c r="W424">
        <f>inputs!$E$76*(inputs!$F$76/F424)^(0.25)</f>
        <v>0.24325526040274417</v>
      </c>
      <c r="X424">
        <f>inputs!$E$72*(inputs!$F$72/F424)^(0.25)</f>
        <v>35.679929141789579</v>
      </c>
      <c r="Y424" t="s">
        <v>13</v>
      </c>
      <c r="Z424">
        <f t="shared" si="43"/>
        <v>1.6664878005360113</v>
      </c>
      <c r="AA424">
        <f t="shared" si="44"/>
        <v>47.982422553830723</v>
      </c>
    </row>
    <row r="425" spans="1:27" x14ac:dyDescent="0.3">
      <c r="A425" t="s">
        <v>505</v>
      </c>
      <c r="B425" t="s">
        <v>506</v>
      </c>
      <c r="C425" t="s">
        <v>61</v>
      </c>
      <c r="D425" t="s">
        <v>454</v>
      </c>
      <c r="E425">
        <v>4648</v>
      </c>
      <c r="F425">
        <v>1500</v>
      </c>
      <c r="G425" t="s">
        <v>456</v>
      </c>
      <c r="H425">
        <v>0.68</v>
      </c>
      <c r="I425">
        <f>MAX('Min rate concentrations'!$J$3:$J$368)</f>
        <v>114.4108103430513</v>
      </c>
      <c r="J425">
        <f>MAX('Min rate concentrations'!AB:AB)</f>
        <v>40.520495329830666</v>
      </c>
      <c r="K425">
        <f t="shared" si="46"/>
        <v>22.858130164333424</v>
      </c>
      <c r="L425">
        <f>(((0.235*F425^0.822)/(1-H425)))*J425/F425</f>
        <v>8.0955877665347558</v>
      </c>
      <c r="M425">
        <f>IF((((0.326*F425^0.818)-(0.398*F425^0.85)/(1-H425)*H425)*(MAX('Min rate concentrations'!$P$3:$P$368)))/F425&gt;0, (((0.326*F425^0.818)-(0.398*F425^0.85)/(1-H425)*H425)*(MAX('Min rate concentrations'!$P$3:$P$368)))/F425, 0)</f>
        <v>0</v>
      </c>
      <c r="N425">
        <f>IF((((0.326*F425^0.818)-(0.398*F425^0.85)/(1-H425)*H425)*(MAX('Min rate concentrations'!$Q$3:$Q$368)))/F425&gt; 0, (((0.326*F425^0.818)-(0.398*F425^0.85)/(1-H425)*H425)*(MAX('Min rate concentrations'!$Q$3:$Q$368)))/F425, 0)</f>
        <v>0</v>
      </c>
      <c r="O425">
        <f>((MAX('Min rate concentrations'!$F$3:$F$368))*0.62*6.01*8*(12.3*F425^0.65)*0.079*0.1/F425)*inputs!$E$73/inputs!$E$74</f>
        <v>3.4892981950750732</v>
      </c>
      <c r="P425">
        <f>((MAX('Min rate concentrations'!Y:Y))*0.62*6.01*8*(12.3*F425^0.65)*0.079*0.1/F425)*inputs!$E$73/inputs!$E$74</f>
        <v>1.163099398358358</v>
      </c>
      <c r="Q425">
        <f>(inputs!$C$7*11.2*(12.3*F425^0.65)*0.5/F425)*inputs!$E$73/inputs!$E$74</f>
        <v>0.61462341951506838</v>
      </c>
      <c r="R425">
        <f>(60*379*((F425/1000)^0.8)*3*24*(MAX('Min rate concentrations'!$R$3:$R$368))/F425)*(inputs!$E$73/inputs!$E$75)</f>
        <v>1.6965208681492512E-3</v>
      </c>
      <c r="S425">
        <f>(IF(inputs!$C$6="aerial",((0.025*0.112*inputs!$C$7/3.3)*(3*60*379*((F425/1000)^0.8))*MAX(inputs!$H$14:$H$16))/F425,((0.0083*0.112*inputs!$C$7/1)*(3*60*379*((F425/1000)^0.8))*MAX(inputs!$H$14:$H$16))/F425))*(inputs!E$75/inputs!$E$73)</f>
        <v>9.356416819216817E-3</v>
      </c>
      <c r="T425">
        <f>IF((((inputs!$P$12/(V425/MAX(K425:S425)))^(1/inputs!$O$12))-1)/inputs!$N$12&lt;0, 0, IF((((inputs!$P$12/(V425/MAX(K425:S425)))^(1/inputs!$O$12))-1)/inputs!$N$12&gt;inputs!$H$17, inputs!$H$17, (((inputs!$P$12/(V425/MAX(K425:S425)))^(1/inputs!$O$12))-1)/inputs!$N$12))</f>
        <v>5.5990197321775952</v>
      </c>
      <c r="U425">
        <f>IF((((inputs!$P$12/(X425/MAX(K425:S425)))^(1/inputs!$O$12))-1)/inputs!$N$12&lt;0, 0, IF((((inputs!$P$12/(X425/MAX(K425:S425)))^(1/inputs!$O$12))-1)/inputs!$N$12&gt;inputs!$H$17, inputs!$H$17, (((inputs!$P$12/(X425/MAX(K425:S425)))^(1/inputs!$O$12))-1)/inputs!$N$12))</f>
        <v>0</v>
      </c>
      <c r="V425">
        <f>inputs!$E$70*(F425/inputs!$F$70)^(0.25)</f>
        <v>7.0039376761908532</v>
      </c>
      <c r="W425">
        <f>inputs!$E$76*(inputs!$F$76/F425)^(0.25)</f>
        <v>0.24325526040274417</v>
      </c>
      <c r="X425">
        <f>inputs!$E$72*(inputs!$F$72/F425)^(0.25)</f>
        <v>35.679929141789579</v>
      </c>
      <c r="Y425" t="s">
        <v>13</v>
      </c>
      <c r="Z425">
        <f t="shared" si="43"/>
        <v>3.26361130283001</v>
      </c>
      <c r="AA425">
        <f t="shared" si="44"/>
        <v>93.967670530489215</v>
      </c>
    </row>
    <row r="426" spans="1:27" x14ac:dyDescent="0.3">
      <c r="A426" t="s">
        <v>505</v>
      </c>
      <c r="B426" t="s">
        <v>506</v>
      </c>
      <c r="C426" t="s">
        <v>61</v>
      </c>
      <c r="D426" t="s">
        <v>454</v>
      </c>
      <c r="E426">
        <v>4648</v>
      </c>
      <c r="F426">
        <v>1500</v>
      </c>
      <c r="G426" t="s">
        <v>145</v>
      </c>
      <c r="H426">
        <v>0.66</v>
      </c>
      <c r="I426">
        <f>MAX('Min rate concentrations'!$M$3:$M$368)</f>
        <v>2.8488184789681945</v>
      </c>
      <c r="J426">
        <f>MAX('Min rate concentrations'!AE:AE)</f>
        <v>1.9699276716269429</v>
      </c>
      <c r="K426">
        <f t="shared" si="46"/>
        <v>0.53568499164646877</v>
      </c>
      <c r="L426">
        <f>(((0.235*F426^0.822)/(1-H426)))*J426/F426</f>
        <v>0.37042047294702624</v>
      </c>
      <c r="M426">
        <f>IF((((0.326*F426^0.818)-(0.398*F426^0.85)/(1-H426)*H426)*(MAX('Min rate concentrations'!$P$3:$P$368)))/F426&gt;0, (((0.326*F426^0.818)-(0.398*F426^0.85)/(1-H426)*H426)*(MAX('Min rate concentrations'!$P$3:$P$368)))/F426, 0)</f>
        <v>0</v>
      </c>
      <c r="N426">
        <f>IF((((0.326*F426^0.818)-(0.398*F426^0.85)/(1-H426)*H426)*(MAX('Min rate concentrations'!$Q$3:$Q$368)))/F426&gt; 0, (((0.326*F426^0.818)-(0.398*F426^0.85)/(1-H426)*H426)*(MAX('Min rate concentrations'!$Q$3:$Q$368)))/F426, 0)</f>
        <v>0</v>
      </c>
      <c r="O426">
        <f>((MAX('Min rate concentrations'!$F$3:$F$368))*0.62*6.01*8*(12.3*F426^0.65)*0.079*0.1/F426)*inputs!$E$73/inputs!$E$74</f>
        <v>3.4892981950750732</v>
      </c>
      <c r="P426">
        <f>((MAX('Min rate concentrations'!Y:Y))*0.62*6.01*8*(12.3*F426^0.65)*0.079*0.1/F426)*inputs!$E$73/inputs!$E$74</f>
        <v>1.163099398358358</v>
      </c>
      <c r="Q426">
        <f>(inputs!$C$7*11.2*(12.3*F426^0.65)*0.5/F426)*inputs!$E$73/inputs!$E$74</f>
        <v>0.61462341951506838</v>
      </c>
      <c r="R426">
        <f>(60*379*((F426/1000)^0.8)*3*24*(MAX('Min rate concentrations'!$R$3:$R$368))/F426)*(inputs!$E$73/inputs!$E$75)</f>
        <v>1.6965208681492512E-3</v>
      </c>
      <c r="S426">
        <f>(IF(inputs!$C$6="aerial",((0.025*0.112*inputs!$C$7/3.3)*(3*60*379*((F426/1000)^0.8))*MAX(inputs!$H$14:$H$16))/F426,((0.0083*0.112*inputs!$C$7/1)*(3*60*379*((F426/1000)^0.8))*MAX(inputs!$H$14:$H$16))/F426))*(inputs!E$75/inputs!$E$73)</f>
        <v>9.356416819216817E-3</v>
      </c>
      <c r="T426">
        <f>IF((((inputs!$P$12/(V426/MAX(K426:S426)))^(1/inputs!$O$12))-1)/inputs!$N$12&lt;0, 0, IF((((inputs!$P$12/(V426/MAX(K426:S426)))^(1/inputs!$O$12))-1)/inputs!$N$12&gt;inputs!$H$17, inputs!$H$17, (((inputs!$P$12/(V426/MAX(K426:S426)))^(1/inputs!$O$12))-1)/inputs!$N$12))</f>
        <v>0</v>
      </c>
      <c r="U426">
        <f>IF((((inputs!$P$12/(X426/MAX(K426:S426)))^(1/inputs!$O$12))-1)/inputs!$N$12&lt;0, 0, IF((((inputs!$P$12/(X426/MAX(K426:S426)))^(1/inputs!$O$12))-1)/inputs!$N$12&gt;inputs!$H$17, inputs!$H$17, (((inputs!$P$12/(X426/MAX(K426:S426)))^(1/inputs!$O$12))-1)/inputs!$N$12))</f>
        <v>0</v>
      </c>
      <c r="V426">
        <f>inputs!$E$70*(F426/inputs!$F$70)^(0.25)</f>
        <v>7.0039376761908532</v>
      </c>
      <c r="W426">
        <f>inputs!$E$76*(inputs!$F$76/F426)^(0.25)</f>
        <v>0.24325526040274417</v>
      </c>
      <c r="X426">
        <f>inputs!$E$72*(inputs!$F$72/F426)^(0.25)</f>
        <v>35.679929141789579</v>
      </c>
      <c r="Y426" t="s">
        <v>13</v>
      </c>
      <c r="Z426">
        <f t="shared" si="43"/>
        <v>0.4981909257897274</v>
      </c>
      <c r="AA426">
        <f t="shared" si="44"/>
        <v>14.344183921441356</v>
      </c>
    </row>
    <row r="427" spans="1:27" x14ac:dyDescent="0.3">
      <c r="A427" t="s">
        <v>557</v>
      </c>
      <c r="B427" t="s">
        <v>558</v>
      </c>
      <c r="C427" t="s">
        <v>61</v>
      </c>
      <c r="D427" t="s">
        <v>454</v>
      </c>
      <c r="E427">
        <v>8</v>
      </c>
      <c r="F427">
        <v>34000</v>
      </c>
      <c r="G427" t="s">
        <v>455</v>
      </c>
      <c r="H427">
        <v>0.68</v>
      </c>
      <c r="I427">
        <f>MAX('Min rate concentrations'!$K$3:$K$368)</f>
        <v>18.333393099490852</v>
      </c>
      <c r="J427">
        <f>MAX('Min rate concentrations'!AC:AC)</f>
        <v>6.4930767227363431</v>
      </c>
      <c r="K427">
        <f t="shared" si="46"/>
        <v>2.101635942820419</v>
      </c>
      <c r="M427">
        <f>IF((((0.326*F427^0.818)-(0.398*F427^0.85)/(1-H427)*H427)*(MAX('Min rate concentrations'!$P$3:$P$368)))/F427&gt;0, (((0.326*F427^0.818)-(0.398*F427^0.85)/(1-H427)*H427)*(MAX('Min rate concentrations'!$P$3:$P$368)))/F427, 0)</f>
        <v>0</v>
      </c>
      <c r="N427">
        <f>IF((((0.326*F427^0.818)-(0.398*F427^0.85)/(1-H427)*H427)*(MAX('Min rate concentrations'!$Q$3:$Q$368)))/F427&gt; 0, (((0.326*F427^0.818)-(0.398*F427^0.85)/(1-H427)*H427)*(MAX('Min rate concentrations'!$Q$3:$Q$368)))/F427, 0)</f>
        <v>0</v>
      </c>
      <c r="O427">
        <f>((MAX('Min rate concentrations'!$F$3:$F$368))*0.62*6.01*8*(12.3*F427^0.65)*0.079*0.1/F427)*inputs!$E$73/inputs!$E$74</f>
        <v>1.1704487590077226</v>
      </c>
      <c r="Q427">
        <f>(inputs!$C$7*11.2*(12.3*F427^0.65)*0.5/F427)*inputs!$E$73/inputs!$E$74</f>
        <v>0.20616902838624168</v>
      </c>
      <c r="R427">
        <f>(60*379*((F427/1000)^0.8)*3*24*(MAX('Min rate concentrations'!$R$3:$R$368))/F427)*(inputs!$E$73/inputs!$E$75)</f>
        <v>9.0882794928967277E-4</v>
      </c>
      <c r="S427">
        <f>(IF(inputs!$C$6="aerial",((0.025*0.112*inputs!$C$7/3.3)*(3*60*379*((F427/1000)^0.8))*MAX(inputs!$H$14:$H$16))/F427,((0.0083*0.112*inputs!$C$7/1)*(3*60*379*((F427/1000)^0.8))*MAX(inputs!$H$14:$H$16))/F427))*(inputs!E$75/inputs!$E$73)</f>
        <v>5.0122419771851242E-3</v>
      </c>
      <c r="T427">
        <f>IF((((inputs!$P$12/(V427/MAX(K427:S427)))^(1/inputs!$O$12))-1)/inputs!$N$12&lt;0, 0, IF((((inputs!$P$12/(V427/MAX(K427:S427)))^(1/inputs!$O$12))-1)/inputs!$N$12&gt;inputs!$H$17, inputs!$H$17, (((inputs!$P$12/(V427/MAX(K427:S427)))^(1/inputs!$O$12))-1)/inputs!$N$12))</f>
        <v>0</v>
      </c>
      <c r="U427">
        <f>IF((((inputs!$P$12/(X427/MAX(K427:S427)))^(1/inputs!$O$12))-1)/inputs!$N$12&lt;0, 0, IF((((inputs!$P$12/(X427/MAX(K427:S427)))^(1/inputs!$O$12))-1)/inputs!$N$12&gt;inputs!$H$17, inputs!$H$17, (((inputs!$P$12/(X427/MAX(K427:S427)))^(1/inputs!$O$12))-1)/inputs!$N$12))</f>
        <v>0</v>
      </c>
      <c r="V427">
        <f>inputs!$E$70*(F427/inputs!$F$70)^(0.25)</f>
        <v>15.282316416613245</v>
      </c>
      <c r="W427">
        <f>inputs!$E$76*(inputs!$F$76/F427)^(0.25)</f>
        <v>0.11148471454329224</v>
      </c>
      <c r="X427">
        <f>inputs!$E$72*(inputs!$F$72/F427)^(0.25)</f>
        <v>16.352233076939584</v>
      </c>
      <c r="Y427" t="s">
        <v>13</v>
      </c>
      <c r="Z427">
        <f t="shared" si="43"/>
        <v>0.13752077142806393</v>
      </c>
      <c r="AA427">
        <f t="shared" si="44"/>
        <v>18.851337166982674</v>
      </c>
    </row>
    <row r="428" spans="1:27" x14ac:dyDescent="0.3">
      <c r="A428" t="s">
        <v>557</v>
      </c>
      <c r="B428" t="s">
        <v>558</v>
      </c>
      <c r="C428" t="s">
        <v>61</v>
      </c>
      <c r="D428" t="s">
        <v>454</v>
      </c>
      <c r="E428">
        <v>8</v>
      </c>
      <c r="F428">
        <v>34000</v>
      </c>
      <c r="G428" t="s">
        <v>145</v>
      </c>
      <c r="H428">
        <v>0.66</v>
      </c>
      <c r="I428">
        <f>MAX('Min rate concentrations'!$M$3:$M$368)</f>
        <v>2.8488184789681945</v>
      </c>
      <c r="J428">
        <f>MAX('Min rate concentrations'!AE:AE)</f>
        <v>1.9699276716269429</v>
      </c>
      <c r="K428">
        <f t="shared" si="46"/>
        <v>0.30736221392064533</v>
      </c>
      <c r="L428">
        <f>(((0.235*F428^0.822)/(1-H428)))*J428/F428</f>
        <v>0.21253770111533984</v>
      </c>
      <c r="M428">
        <f>IF((((0.326*F428^0.818)-(0.398*F428^0.85)/(1-H428)*H428)*(MAX('Min rate concentrations'!$P$3:$P$368)))/F428&gt;0, (((0.326*F428^0.818)-(0.398*F428^0.85)/(1-H428)*H428)*(MAX('Min rate concentrations'!$P$3:$P$368)))/F428, 0)</f>
        <v>0</v>
      </c>
      <c r="N428">
        <f>IF((((0.326*F428^0.818)-(0.398*F428^0.85)/(1-H428)*H428)*(MAX('Min rate concentrations'!$Q$3:$Q$368)))/F428&gt; 0, (((0.326*F428^0.818)-(0.398*F428^0.85)/(1-H428)*H428)*(MAX('Min rate concentrations'!$Q$3:$Q$368)))/F428, 0)</f>
        <v>0</v>
      </c>
      <c r="O428">
        <f>((MAX('Min rate concentrations'!$F$3:$F$368))*0.62*6.01*8*(12.3*F428^0.65)*0.079*0.1/F428)*inputs!$E$73/inputs!$E$74</f>
        <v>1.1704487590077226</v>
      </c>
      <c r="P428">
        <f>((MAX('Min rate concentrations'!Y:Y))*0.62*6.01*8*(12.3*F428^0.65)*0.079*0.1/F428)*inputs!$E$73/inputs!$E$74</f>
        <v>0.39014958633590752</v>
      </c>
      <c r="Q428">
        <f>(inputs!$C$7*11.2*(12.3*F428^0.65)*0.5/F428)*inputs!$E$73/inputs!$E$74</f>
        <v>0.20616902838624168</v>
      </c>
      <c r="R428">
        <f>(60*379*((F428/1000)^0.8)*3*24*(MAX('Min rate concentrations'!$R$3:$R$368))/F428)*(inputs!$E$73/inputs!$E$75)</f>
        <v>9.0882794928967277E-4</v>
      </c>
      <c r="S428">
        <f>(IF(inputs!$C$6="aerial",((0.025*0.112*inputs!$C$7/3.3)*(3*60*379*((F428/1000)^0.8))*MAX(inputs!$H$14:$H$16))/F428,((0.0083*0.112*inputs!$C$7/1)*(3*60*379*((F428/1000)^0.8))*MAX(inputs!$H$14:$H$16))/F428))*(inputs!E$75/inputs!$E$73)</f>
        <v>5.0122419771851242E-3</v>
      </c>
      <c r="T428">
        <f>IF((((inputs!$P$12/(V428/MAX(K428:S428)))^(1/inputs!$O$12))-1)/inputs!$N$12&lt;0, 0, IF((((inputs!$P$12/(V428/MAX(K428:S428)))^(1/inputs!$O$12))-1)/inputs!$N$12&gt;inputs!$H$17, inputs!$H$17, (((inputs!$P$12/(V428/MAX(K428:S428)))^(1/inputs!$O$12))-1)/inputs!$N$12))</f>
        <v>0</v>
      </c>
      <c r="U428">
        <f>IF((((inputs!$P$12/(X428/MAX(K428:S428)))^(1/inputs!$O$12))-1)/inputs!$N$12&lt;0, 0, IF((((inputs!$P$12/(X428/MAX(K428:S428)))^(1/inputs!$O$12))-1)/inputs!$N$12&gt;inputs!$H$17, inputs!$H$17, (((inputs!$P$12/(X428/MAX(K428:S428)))^(1/inputs!$O$12))-1)/inputs!$N$12))</f>
        <v>0</v>
      </c>
      <c r="V428">
        <f>inputs!$E$70*(F428/inputs!$F$70)^(0.25)</f>
        <v>15.282316416613245</v>
      </c>
      <c r="W428">
        <f>inputs!$E$76*(inputs!$F$76/F428)^(0.25)</f>
        <v>0.11148471454329224</v>
      </c>
      <c r="X428">
        <f>inputs!$E$72*(inputs!$F$72/F428)^(0.25)</f>
        <v>16.352233076939584</v>
      </c>
      <c r="Y428" t="s">
        <v>13</v>
      </c>
      <c r="Z428">
        <f t="shared" si="43"/>
        <v>7.6588439023245206E-2</v>
      </c>
      <c r="AA428">
        <f t="shared" si="44"/>
        <v>10.498737551623803</v>
      </c>
    </row>
    <row r="429" spans="1:27" x14ac:dyDescent="0.3">
      <c r="A429" t="s">
        <v>452</v>
      </c>
      <c r="B429" t="s">
        <v>453</v>
      </c>
      <c r="C429" t="s">
        <v>61</v>
      </c>
      <c r="D429" t="s">
        <v>454</v>
      </c>
      <c r="E429">
        <v>11</v>
      </c>
      <c r="F429">
        <v>17700</v>
      </c>
      <c r="G429" t="s">
        <v>138</v>
      </c>
      <c r="H429">
        <v>0.68</v>
      </c>
      <c r="I429">
        <f>MAX('Min rate concentrations'!$L$3:$L$368)</f>
        <v>58.421240152220811</v>
      </c>
      <c r="J429">
        <f>MAX('Min rate concentrations'!AD:AD)</f>
        <v>40.397666062705881</v>
      </c>
      <c r="K429">
        <f t="shared" si="46"/>
        <v>7.5222786030832545</v>
      </c>
      <c r="L429">
        <f>(((0.235*F429^0.822)/(1-H429)))*J429/F429</f>
        <v>5.2015756297916127</v>
      </c>
      <c r="M429">
        <f>IF((((0.326*F429^0.818)-(0.398*F429^0.85)/(1-H429)*H429)*(MAX('Min rate concentrations'!$P$3:$P$368)))/F429&gt;0, (((0.326*F429^0.818)-(0.398*F429^0.85)/(1-H429)*H429)*(MAX('Min rate concentrations'!$P$3:$P$368)))/F429, 0)</f>
        <v>0</v>
      </c>
      <c r="N429">
        <f>IF((((0.326*F429^0.818)-(0.398*F429^0.85)/(1-H429)*H429)*(MAX('Min rate concentrations'!$Q$3:$Q$368)))/F429&gt; 0, (((0.326*F429^0.818)-(0.398*F429^0.85)/(1-H429)*H429)*(MAX('Min rate concentrations'!$Q$3:$Q$368)))/F429, 0)</f>
        <v>0</v>
      </c>
      <c r="O429">
        <f>((MAX('Min rate concentrations'!$F$3:$F$368))*0.62*6.01*8*(12.3*F429^0.65)*0.079*0.1/F429)*inputs!$E$73/inputs!$E$74</f>
        <v>1.4708872494091523</v>
      </c>
      <c r="P429">
        <f>((MAX('Min rate concentrations'!Y:Y))*0.62*6.01*8*(12.3*F429^0.65)*0.079*0.1/F429)*inputs!$E$73/inputs!$E$74</f>
        <v>0.49029574980305074</v>
      </c>
      <c r="Q429">
        <f>(inputs!$C$7*11.2*(12.3*F429^0.65)*0.5/F429)*inputs!$E$73/inputs!$E$74</f>
        <v>0.25908985142885316</v>
      </c>
      <c r="R429">
        <f>(60*379*((F429/1000)^0.8)*3*24*(MAX('Min rate concentrations'!$R$3:$R$368))/F429)*(inputs!$E$73/inputs!$E$75)</f>
        <v>1.0355779737304097E-3</v>
      </c>
      <c r="S429">
        <f>(IF(inputs!$C$6="aerial",((0.025*0.112*inputs!$C$7/3.3)*(3*60*379*((F429/1000)^0.8))*MAX(inputs!$H$14:$H$16))/F429,((0.0083*0.112*inputs!$C$7/1)*(3*60*379*((F429/1000)^0.8))*MAX(inputs!$H$14:$H$16))/F429))*(inputs!E$75/inputs!$E$73)</f>
        <v>5.7112761492829813E-3</v>
      </c>
      <c r="T429">
        <f>IF((((inputs!$P$12/(V429/MAX(K429:S429)))^(1/inputs!$O$12))-1)/inputs!$N$12&lt;0, 0, IF((((inputs!$P$12/(V429/MAX(K429:S429)))^(1/inputs!$O$12))-1)/inputs!$N$12&gt;inputs!$H$17, inputs!$H$17, (((inputs!$P$12/(V429/MAX(K429:S429)))^(1/inputs!$O$12))-1)/inputs!$N$12))</f>
        <v>0</v>
      </c>
      <c r="U429">
        <f>IF((((inputs!$P$12/(X429/MAX(K429:S429)))^(1/inputs!$O$12))-1)/inputs!$N$12&lt;0, 0, IF((((inputs!$P$12/(X429/MAX(K429:S429)))^(1/inputs!$O$12))-1)/inputs!$N$12&gt;inputs!$H$17, inputs!$H$17, (((inputs!$P$12/(X429/MAX(K429:S429)))^(1/inputs!$O$12))-1)/inputs!$N$12))</f>
        <v>0</v>
      </c>
      <c r="V429">
        <f>inputs!$E$70*(F429/inputs!$F$70)^(0.25)</f>
        <v>12.981138235723177</v>
      </c>
      <c r="W429">
        <f>inputs!$E$76*(inputs!$F$76/F429)^(0.25)</f>
        <v>0.13124771128141996</v>
      </c>
      <c r="X429">
        <f>inputs!$E$72*(inputs!$F$72/F429)^(0.25)</f>
        <v>19.251008306212533</v>
      </c>
      <c r="Y429" t="s">
        <v>13</v>
      </c>
      <c r="Z429">
        <f t="shared" si="43"/>
        <v>0.57947758251140669</v>
      </c>
      <c r="AA429">
        <f t="shared" si="44"/>
        <v>57.313598306899721</v>
      </c>
    </row>
    <row r="430" spans="1:27" x14ac:dyDescent="0.3">
      <c r="A430" t="s">
        <v>452</v>
      </c>
      <c r="B430" t="s">
        <v>453</v>
      </c>
      <c r="C430" t="s">
        <v>61</v>
      </c>
      <c r="D430" t="s">
        <v>454</v>
      </c>
      <c r="E430">
        <v>11</v>
      </c>
      <c r="F430">
        <v>17700</v>
      </c>
      <c r="G430" t="s">
        <v>186</v>
      </c>
      <c r="H430">
        <v>0.75</v>
      </c>
      <c r="I430">
        <f>inputs!$C$65*inputs!$C$64/1000</f>
        <v>2.13</v>
      </c>
      <c r="J430">
        <f>inputs!$C$65*inputs!$C$63/1000</f>
        <v>0.88</v>
      </c>
      <c r="K430">
        <f t="shared" si="46"/>
        <v>0.35104938426519461</v>
      </c>
      <c r="L430">
        <f>(((0.235*F430^0.822)/(1-H430)))*J430/F430</f>
        <v>0.14503448739594896</v>
      </c>
      <c r="M430">
        <f>IF((((0.326*F430^0.818)-(0.398*F430^0.85)/(1-H430)*H430)*(MAX('Min rate concentrations'!$P$3:$P$368)))/F430&gt;0, (((0.326*F430^0.818)-(0.398*F430^0.85)/(1-H430)*H430)*(MAX('Min rate concentrations'!$P$3:$P$368)))/F430, 0)</f>
        <v>0</v>
      </c>
      <c r="N430">
        <f>IF((((0.326*F430^0.818)-(0.398*F430^0.85)/(1-H430)*H430)*(MAX('Min rate concentrations'!$Q$3:$Q$368)))/F430&gt; 0, (((0.326*F430^0.818)-(0.398*F430^0.85)/(1-H430)*H430)*(MAX('Min rate concentrations'!$Q$3:$Q$368)))/F430, 0)</f>
        <v>0</v>
      </c>
      <c r="O430">
        <f>((MAX('Min rate concentrations'!$F$3:$F$368))*0.62*6.01*8*(12.3*F430^0.65)*0.079*0.1/F430)*inputs!$E$73/inputs!$E$74</f>
        <v>1.4708872494091523</v>
      </c>
      <c r="P430">
        <f>((MAX('Min rate concentrations'!Y:Y))*0.62*6.01*8*(12.3*F430^0.65)*0.079*0.1/F430)*inputs!$E$73/inputs!$E$74</f>
        <v>0.49029574980305074</v>
      </c>
      <c r="Q430">
        <f>(inputs!$C$7*11.2*(12.3*F430^0.65)*0.5/F430)*inputs!$E$73/inputs!$E$74</f>
        <v>0.25908985142885316</v>
      </c>
      <c r="R430">
        <f>(60*379*((F430/1000)^0.8)*3*24*(MAX('Min rate concentrations'!$R$3:$R$368))/F430)*(inputs!$E$73/inputs!$E$75)</f>
        <v>1.0355779737304097E-3</v>
      </c>
      <c r="S430">
        <f>(IF(inputs!$C$6="aerial",((0.025*0.112*inputs!$C$7/3.3)*(3*60*379*((F430/1000)^0.8))*MAX(inputs!$H$14:$H$16))/F430,((0.0083*0.112*inputs!$C$7/1)*(3*60*379*((F430/1000)^0.8))*MAX(inputs!$H$14:$H$16))/F430))*(inputs!E$75/inputs!$E$73)</f>
        <v>5.7112761492829813E-3</v>
      </c>
      <c r="T430">
        <f>IF((((inputs!$P$12/(V430/MAX(K430:S430)))^(1/inputs!$O$12))-1)/inputs!$N$12&lt;0, 0, IF((((inputs!$P$12/(V430/MAX(K430:S430)))^(1/inputs!$O$12))-1)/inputs!$N$12&gt;inputs!$H$17, inputs!$H$17, (((inputs!$P$12/(V430/MAX(K430:S430)))^(1/inputs!$O$12))-1)/inputs!$N$12))</f>
        <v>0</v>
      </c>
      <c r="U430">
        <f>IF((((inputs!$P$12/(X430/MAX(K430:S430)))^(1/inputs!$O$12))-1)/inputs!$N$12&lt;0, 0, IF((((inputs!$P$12/(X430/MAX(K430:S430)))^(1/inputs!$O$12))-1)/inputs!$N$12&gt;inputs!$H$17, inputs!$H$17, (((inputs!$P$12/(X430/MAX(K430:S430)))^(1/inputs!$O$12))-1)/inputs!$N$12))</f>
        <v>0</v>
      </c>
      <c r="V430">
        <f>inputs!$E$70*(F430/inputs!$F$70)^(0.25)</f>
        <v>12.981138235723177</v>
      </c>
      <c r="W430">
        <f>inputs!$E$76*(inputs!$F$76/F430)^(0.25)</f>
        <v>0.13124771128141996</v>
      </c>
      <c r="X430">
        <f>inputs!$E$72*(inputs!$F$72/F430)^(0.25)</f>
        <v>19.251008306212533</v>
      </c>
      <c r="Y430" t="s">
        <v>13</v>
      </c>
      <c r="Z430">
        <f t="shared" si="43"/>
        <v>0.11330957445329211</v>
      </c>
      <c r="AA430">
        <f t="shared" si="44"/>
        <v>11.206955420771424</v>
      </c>
    </row>
    <row r="431" spans="1:27" x14ac:dyDescent="0.3">
      <c r="A431" t="s">
        <v>452</v>
      </c>
      <c r="B431" t="s">
        <v>453</v>
      </c>
      <c r="C431" t="s">
        <v>61</v>
      </c>
      <c r="D431" t="s">
        <v>454</v>
      </c>
      <c r="E431">
        <v>11</v>
      </c>
      <c r="F431">
        <v>17700</v>
      </c>
      <c r="G431" t="s">
        <v>152</v>
      </c>
      <c r="H431">
        <v>0.77</v>
      </c>
      <c r="I431">
        <f>MAX('Min rate concentrations'!$G$3:$G$368)</f>
        <v>7.5</v>
      </c>
      <c r="J431">
        <f>MAX('Min rate concentrations'!Z:Z)</f>
        <v>3.5</v>
      </c>
      <c r="K431">
        <f t="shared" si="46"/>
        <v>1.3435754143646459</v>
      </c>
      <c r="L431">
        <f>(((0.235*F431^0.822)/(1-H431)))*J431/F431</f>
        <v>0.62700186003683478</v>
      </c>
      <c r="M431">
        <f>IF((((0.326*F431^0.818)-(0.398*F431^0.85)/(1-H431)*H431)*(MAX('Min rate concentrations'!$P$3:$P$368)))/F431&gt;0, (((0.326*F431^0.818)-(0.398*F431^0.85)/(1-H431)*H431)*(MAX('Min rate concentrations'!$P$3:$P$368)))/F431, 0)</f>
        <v>0</v>
      </c>
      <c r="N431">
        <f>IF((((0.326*F431^0.818)-(0.398*F431^0.85)/(1-H431)*H431)*(MAX('Min rate concentrations'!$Q$3:$Q$368)))/F431&gt; 0, (((0.326*F431^0.818)-(0.398*F431^0.85)/(1-H431)*H431)*(MAX('Min rate concentrations'!$Q$3:$Q$368)))/F431, 0)</f>
        <v>0</v>
      </c>
      <c r="O431">
        <f>((MAX('Min rate concentrations'!$F$3:$F$368))*0.62*6.01*8*(12.3*F431^0.65)*0.079*0.1/F431)*inputs!$E$73/inputs!$E$74</f>
        <v>1.4708872494091523</v>
      </c>
      <c r="P431">
        <f>((MAX('Min rate concentrations'!Y:Y))*0.62*6.01*8*(12.3*F431^0.65)*0.079*0.1/F431)*inputs!$E$73/inputs!$E$74</f>
        <v>0.49029574980305074</v>
      </c>
      <c r="Q431">
        <f>(inputs!$C$7*11.2*(12.3*F431^0.65)*0.5/F431)*inputs!$E$73/inputs!$E$74</f>
        <v>0.25908985142885316</v>
      </c>
      <c r="R431">
        <f>(60*379*((F431/1000)^0.8)*3*24*(MAX('Min rate concentrations'!$R$3:$R$368))/F431)*(inputs!$E$73/inputs!$E$75)</f>
        <v>1.0355779737304097E-3</v>
      </c>
      <c r="S431">
        <f>(IF(inputs!$C$6="aerial",((0.025*0.112*inputs!$C$7/3.3)*(3*60*379*((F431/1000)^0.8))*MAX(inputs!$H$14:$H$16))/F431,((0.0083*0.112*inputs!$C$7/1)*(3*60*379*((F431/1000)^0.8))*MAX(inputs!$H$14:$H$16))/F431))*(inputs!E$75/inputs!$E$73)</f>
        <v>5.7112761492829813E-3</v>
      </c>
      <c r="T431">
        <f>IF((((inputs!$P$12/(V431/MAX(K431:S431)))^(1/inputs!$O$12))-1)/inputs!$N$12&lt;0, 0, IF((((inputs!$P$12/(V431/MAX(K431:S431)))^(1/inputs!$O$12))-1)/inputs!$N$12&gt;inputs!$H$17, inputs!$H$17, (((inputs!$P$12/(V431/MAX(K431:S431)))^(1/inputs!$O$12))-1)/inputs!$N$12))</f>
        <v>0</v>
      </c>
      <c r="U431">
        <f>IF((((inputs!$P$12/(X431/MAX(K431:S431)))^(1/inputs!$O$12))-1)/inputs!$N$12&lt;0, 0, IF((((inputs!$P$12/(X431/MAX(K431:S431)))^(1/inputs!$O$12))-1)/inputs!$N$12&gt;inputs!$H$17, inputs!$H$17, (((inputs!$P$12/(X431/MAX(K431:S431)))^(1/inputs!$O$12))-1)/inputs!$N$12))</f>
        <v>0</v>
      </c>
      <c r="V431">
        <f>inputs!$E$70*(F431/inputs!$F$70)^(0.25)</f>
        <v>12.981138235723177</v>
      </c>
      <c r="W431">
        <f>inputs!$E$76*(inputs!$F$76/F431)^(0.25)</f>
        <v>0.13124771128141996</v>
      </c>
      <c r="X431">
        <f>inputs!$E$72*(inputs!$F$72/F431)^(0.25)</f>
        <v>19.251008306212533</v>
      </c>
      <c r="Y431" t="s">
        <v>13</v>
      </c>
      <c r="Z431">
        <f t="shared" si="43"/>
        <v>0.11330957445329211</v>
      </c>
      <c r="AA431">
        <f t="shared" si="44"/>
        <v>11.206955420771424</v>
      </c>
    </row>
    <row r="432" spans="1:27" x14ac:dyDescent="0.3">
      <c r="A432" t="s">
        <v>452</v>
      </c>
      <c r="B432" t="s">
        <v>453</v>
      </c>
      <c r="C432" t="s">
        <v>61</v>
      </c>
      <c r="D432" t="s">
        <v>454</v>
      </c>
      <c r="E432">
        <v>11</v>
      </c>
      <c r="F432">
        <v>17700</v>
      </c>
      <c r="G432" t="s">
        <v>455</v>
      </c>
      <c r="H432">
        <v>0.68</v>
      </c>
      <c r="I432">
        <f>MAX('Min rate concentrations'!$K$3:$K$368)</f>
        <v>18.333393099490852</v>
      </c>
      <c r="J432">
        <f>MAX('Min rate concentrations'!AC:AC)</f>
        <v>6.4930767227363431</v>
      </c>
      <c r="K432">
        <f t="shared" si="46"/>
        <v>2.3605950554093429</v>
      </c>
      <c r="M432">
        <f>IF((((0.326*F432^0.818)-(0.398*F432^0.85)/(1-H432)*H432)*(MAX('Min rate concentrations'!$P$3:$P$368)))/F432&gt;0, (((0.326*F432^0.818)-(0.398*F432^0.85)/(1-H432)*H432)*(MAX('Min rate concentrations'!$P$3:$P$368)))/F432, 0)</f>
        <v>0</v>
      </c>
      <c r="N432">
        <f>IF((((0.326*F432^0.818)-(0.398*F432^0.85)/(1-H432)*H432)*(MAX('Min rate concentrations'!$Q$3:$Q$368)))/F432&gt; 0, (((0.326*F432^0.818)-(0.398*F432^0.85)/(1-H432)*H432)*(MAX('Min rate concentrations'!$Q$3:$Q$368)))/F432, 0)</f>
        <v>0</v>
      </c>
      <c r="O432">
        <f>((MAX('Min rate concentrations'!$F$3:$F$368))*0.62*6.01*8*(12.3*F432^0.65)*0.079*0.1/F432)*inputs!$E$73/inputs!$E$74</f>
        <v>1.4708872494091523</v>
      </c>
      <c r="Q432">
        <f>(inputs!$C$7*11.2*(12.3*F432^0.65)*0.5/F432)*inputs!$E$73/inputs!$E$74</f>
        <v>0.25908985142885316</v>
      </c>
      <c r="R432">
        <f>(60*379*((F432/1000)^0.8)*3*24*(MAX('Min rate concentrations'!$R$3:$R$368))/F432)*(inputs!$E$73/inputs!$E$75)</f>
        <v>1.0355779737304097E-3</v>
      </c>
      <c r="S432">
        <f>(IF(inputs!$C$6="aerial",((0.025*0.112*inputs!$C$7/3.3)*(3*60*379*((F432/1000)^0.8))*MAX(inputs!$H$14:$H$16))/F432,((0.0083*0.112*inputs!$C$7/1)*(3*60*379*((F432/1000)^0.8))*MAX(inputs!$H$14:$H$16))/F432))*(inputs!E$75/inputs!$E$73)</f>
        <v>5.7112761492829813E-3</v>
      </c>
      <c r="T432">
        <f>IF((((inputs!$P$12/(V432/MAX(K432:S432)))^(1/inputs!$O$12))-1)/inputs!$N$12&lt;0, 0, IF((((inputs!$P$12/(V432/MAX(K432:S432)))^(1/inputs!$O$12))-1)/inputs!$N$12&gt;inputs!$H$17, inputs!$H$17, (((inputs!$P$12/(V432/MAX(K432:S432)))^(1/inputs!$O$12))-1)/inputs!$N$12))</f>
        <v>0</v>
      </c>
      <c r="U432">
        <f>IF((((inputs!$P$12/(X432/MAX(K432:S432)))^(1/inputs!$O$12))-1)/inputs!$N$12&lt;0, 0, IF((((inputs!$P$12/(X432/MAX(K432:S432)))^(1/inputs!$O$12))-1)/inputs!$N$12&gt;inputs!$H$17, inputs!$H$17, (((inputs!$P$12/(X432/MAX(K432:S432)))^(1/inputs!$O$12))-1)/inputs!$N$12))</f>
        <v>0</v>
      </c>
      <c r="V432">
        <f>inputs!$E$70*(F432/inputs!$F$70)^(0.25)</f>
        <v>12.981138235723177</v>
      </c>
      <c r="W432">
        <f>inputs!$E$76*(inputs!$F$76/F432)^(0.25)</f>
        <v>0.13124771128141996</v>
      </c>
      <c r="X432">
        <f>inputs!$E$72*(inputs!$F$72/F432)^(0.25)</f>
        <v>19.251008306212533</v>
      </c>
      <c r="Y432" t="s">
        <v>13</v>
      </c>
      <c r="Z432">
        <f t="shared" si="43"/>
        <v>0.18184807930888153</v>
      </c>
      <c r="AA432">
        <f t="shared" si="44"/>
        <v>17.98579977023584</v>
      </c>
    </row>
    <row r="433" spans="1:27" x14ac:dyDescent="0.3">
      <c r="A433" t="s">
        <v>452</v>
      </c>
      <c r="B433" t="s">
        <v>453</v>
      </c>
      <c r="C433" t="s">
        <v>61</v>
      </c>
      <c r="D433" t="s">
        <v>454</v>
      </c>
      <c r="E433">
        <v>11</v>
      </c>
      <c r="F433">
        <v>17700</v>
      </c>
      <c r="G433" t="s">
        <v>456</v>
      </c>
      <c r="H433">
        <v>0.68</v>
      </c>
      <c r="I433">
        <f>MAX('Min rate concentrations'!$J$3:$J$368)</f>
        <v>114.4108103430513</v>
      </c>
      <c r="J433">
        <f>MAX('Min rate concentrations'!AB:AB)</f>
        <v>40.520495329830666</v>
      </c>
      <c r="K433">
        <f t="shared" si="46"/>
        <v>14.73145705846909</v>
      </c>
      <c r="L433">
        <f>(((0.235*F433^0.822)/(1-H433)))*J433/F433</f>
        <v>5.217391041541136</v>
      </c>
      <c r="M433">
        <f>IF((((0.326*F433^0.818)-(0.398*F433^0.85)/(1-H433)*H433)*(MAX('Min rate concentrations'!$P$3:$P$368)))/F433&gt;0, (((0.326*F433^0.818)-(0.398*F433^0.85)/(1-H433)*H433)*(MAX('Min rate concentrations'!$P$3:$P$368)))/F433, 0)</f>
        <v>0</v>
      </c>
      <c r="N433">
        <f>IF((((0.326*F433^0.818)-(0.398*F433^0.85)/(1-H433)*H433)*(MAX('Min rate concentrations'!$Q$3:$Q$368)))/F433&gt; 0, (((0.326*F433^0.818)-(0.398*F433^0.85)/(1-H433)*H433)*(MAX('Min rate concentrations'!$Q$3:$Q$368)))/F433, 0)</f>
        <v>0</v>
      </c>
      <c r="O433">
        <f>((MAX('Min rate concentrations'!$F$3:$F$368))*0.62*6.01*8*(12.3*F433^0.65)*0.079*0.1/F433)*inputs!$E$73/inputs!$E$74</f>
        <v>1.4708872494091523</v>
      </c>
      <c r="P433">
        <f>((MAX('Min rate concentrations'!Y:Y))*0.62*6.01*8*(12.3*F433^0.65)*0.079*0.1/F433)*inputs!$E$73/inputs!$E$74</f>
        <v>0.49029574980305074</v>
      </c>
      <c r="Q433">
        <f>(inputs!$C$7*11.2*(12.3*F433^0.65)*0.5/F433)*inputs!$E$73/inputs!$E$74</f>
        <v>0.25908985142885316</v>
      </c>
      <c r="R433">
        <f>(60*379*((F433/1000)^0.8)*3*24*(MAX('Min rate concentrations'!$R$3:$R$368))/F433)*(inputs!$E$73/inputs!$E$75)</f>
        <v>1.0355779737304097E-3</v>
      </c>
      <c r="S433">
        <f>(IF(inputs!$C$6="aerial",((0.025*0.112*inputs!$C$7/3.3)*(3*60*379*((F433/1000)^0.8))*MAX(inputs!$H$14:$H$16))/F433,((0.0083*0.112*inputs!$C$7/1)*(3*60*379*((F433/1000)^0.8))*MAX(inputs!$H$14:$H$16))/F433))*(inputs!E$75/inputs!$E$73)</f>
        <v>5.7112761492829813E-3</v>
      </c>
      <c r="T433">
        <f>IF((((inputs!$P$12/(V433/MAX(K433:S433)))^(1/inputs!$O$12))-1)/inputs!$N$12&lt;0, 0, IF((((inputs!$P$12/(V433/MAX(K433:S433)))^(1/inputs!$O$12))-1)/inputs!$N$12&gt;inputs!$H$17, inputs!$H$17, (((inputs!$P$12/(V433/MAX(K433:S433)))^(1/inputs!$O$12))-1)/inputs!$N$12))</f>
        <v>0</v>
      </c>
      <c r="U433">
        <f>IF((((inputs!$P$12/(X433/MAX(K433:S433)))^(1/inputs!$O$12))-1)/inputs!$N$12&lt;0, 0, IF((((inputs!$P$12/(X433/MAX(K433:S433)))^(1/inputs!$O$12))-1)/inputs!$N$12&gt;inputs!$H$17, inputs!$H$17, (((inputs!$P$12/(X433/MAX(K433:S433)))^(1/inputs!$O$12))-1)/inputs!$N$12))</f>
        <v>0</v>
      </c>
      <c r="V433">
        <f>inputs!$E$70*(F433/inputs!$F$70)^(0.25)</f>
        <v>12.981138235723177</v>
      </c>
      <c r="W433">
        <f>inputs!$E$76*(inputs!$F$76/F433)^(0.25)</f>
        <v>0.13124771128141996</v>
      </c>
      <c r="X433">
        <f>inputs!$E$72*(inputs!$F$72/F433)^(0.25)</f>
        <v>19.251008306212533</v>
      </c>
      <c r="Y433" t="s">
        <v>13</v>
      </c>
      <c r="Z433">
        <f t="shared" si="43"/>
        <v>1.1348355429980059</v>
      </c>
      <c r="AA433">
        <f t="shared" si="44"/>
        <v>112.24163007979662</v>
      </c>
    </row>
    <row r="434" spans="1:27" x14ac:dyDescent="0.3">
      <c r="A434" t="s">
        <v>452</v>
      </c>
      <c r="B434" t="s">
        <v>457</v>
      </c>
      <c r="C434" t="s">
        <v>61</v>
      </c>
      <c r="D434" t="s">
        <v>454</v>
      </c>
      <c r="E434">
        <v>12</v>
      </c>
      <c r="F434">
        <v>17700</v>
      </c>
      <c r="G434" t="s">
        <v>138</v>
      </c>
      <c r="H434">
        <v>0.68</v>
      </c>
      <c r="I434">
        <f>MAX('Min rate concentrations'!$L$3:$L$368)</f>
        <v>58.421240152220811</v>
      </c>
      <c r="J434">
        <f>MAX('Min rate concentrations'!AD:AD)</f>
        <v>40.397666062705881</v>
      </c>
      <c r="K434">
        <f t="shared" si="46"/>
        <v>7.5222786030832545</v>
      </c>
      <c r="L434">
        <f>(((0.235*F434^0.822)/(1-H434)))*J434/F434</f>
        <v>5.2015756297916127</v>
      </c>
      <c r="M434">
        <f>IF((((0.326*F434^0.818)-(0.398*F434^0.85)/(1-H434)*H434)*(MAX('Min rate concentrations'!$P$3:$P$368)))/F434&gt;0, (((0.326*F434^0.818)-(0.398*F434^0.85)/(1-H434)*H434)*(MAX('Min rate concentrations'!$P$3:$P$368)))/F434, 0)</f>
        <v>0</v>
      </c>
      <c r="N434">
        <f>IF((((0.326*F434^0.818)-(0.398*F434^0.85)/(1-H434)*H434)*(MAX('Min rate concentrations'!$Q$3:$Q$368)))/F434&gt; 0, (((0.326*F434^0.818)-(0.398*F434^0.85)/(1-H434)*H434)*(MAX('Min rate concentrations'!$Q$3:$Q$368)))/F434, 0)</f>
        <v>0</v>
      </c>
      <c r="O434">
        <f>((MAX('Min rate concentrations'!$F$3:$F$368))*0.62*6.01*8*(12.3*F434^0.65)*0.079*0.1/F434)*inputs!$E$73/inputs!$E$74</f>
        <v>1.4708872494091523</v>
      </c>
      <c r="P434">
        <f>((MAX('Min rate concentrations'!Y:Y))*0.62*6.01*8*(12.3*F434^0.65)*0.079*0.1/F434)*inputs!$E$73/inputs!$E$74</f>
        <v>0.49029574980305074</v>
      </c>
      <c r="Q434">
        <f>(inputs!$C$7*11.2*(12.3*F434^0.65)*0.5/F434)*inputs!$E$73/inputs!$E$74</f>
        <v>0.25908985142885316</v>
      </c>
      <c r="R434">
        <f>(60*379*((F434/1000)^0.8)*3*24*(MAX('Min rate concentrations'!$R$3:$R$368))/F434)*(inputs!$E$73/inputs!$E$75)</f>
        <v>1.0355779737304097E-3</v>
      </c>
      <c r="S434">
        <f>(IF(inputs!$C$6="aerial",((0.025*0.112*inputs!$C$7/3.3)*(3*60*379*((F434/1000)^0.8))*MAX(inputs!$H$14:$H$16))/F434,((0.0083*0.112*inputs!$C$7/1)*(3*60*379*((F434/1000)^0.8))*MAX(inputs!$H$14:$H$16))/F434))*(inputs!E$75/inputs!$E$73)</f>
        <v>5.7112761492829813E-3</v>
      </c>
      <c r="T434">
        <f>IF((((inputs!$P$12/(V434/MAX(K434:S434)))^(1/inputs!$O$12))-1)/inputs!$N$12&lt;0, 0, IF((((inputs!$P$12/(V434/MAX(K434:S434)))^(1/inputs!$O$12))-1)/inputs!$N$12&gt;inputs!$H$17, inputs!$H$17, (((inputs!$P$12/(V434/MAX(K434:S434)))^(1/inputs!$O$12))-1)/inputs!$N$12))</f>
        <v>0</v>
      </c>
      <c r="U434">
        <f>IF((((inputs!$P$12/(X434/MAX(K434:S434)))^(1/inputs!$O$12))-1)/inputs!$N$12&lt;0, 0, IF((((inputs!$P$12/(X434/MAX(K434:S434)))^(1/inputs!$O$12))-1)/inputs!$N$12&gt;inputs!$H$17, inputs!$H$17, (((inputs!$P$12/(X434/MAX(K434:S434)))^(1/inputs!$O$12))-1)/inputs!$N$12))</f>
        <v>0</v>
      </c>
      <c r="V434">
        <f>inputs!$E$70*(F434/inputs!$F$70)^(0.25)</f>
        <v>12.981138235723177</v>
      </c>
      <c r="W434">
        <f>inputs!$E$76*(inputs!$F$76/F434)^(0.25)</f>
        <v>0.13124771128141996</v>
      </c>
      <c r="X434">
        <f>inputs!$E$72*(inputs!$F$72/F434)^(0.25)</f>
        <v>19.251008306212533</v>
      </c>
      <c r="Y434" t="s">
        <v>13</v>
      </c>
      <c r="Z434">
        <f t="shared" si="43"/>
        <v>0.57947758251140669</v>
      </c>
      <c r="AA434">
        <f t="shared" si="44"/>
        <v>57.313598306899721</v>
      </c>
    </row>
    <row r="435" spans="1:27" x14ac:dyDescent="0.3">
      <c r="A435" t="s">
        <v>452</v>
      </c>
      <c r="B435" t="s">
        <v>457</v>
      </c>
      <c r="C435" t="s">
        <v>61</v>
      </c>
      <c r="D435" t="s">
        <v>454</v>
      </c>
      <c r="E435">
        <v>12</v>
      </c>
      <c r="F435">
        <v>17700</v>
      </c>
      <c r="G435" t="s">
        <v>186</v>
      </c>
      <c r="H435">
        <v>0.75</v>
      </c>
      <c r="I435">
        <f>inputs!$C$65*inputs!$C$64/1000</f>
        <v>2.13</v>
      </c>
      <c r="J435">
        <f>inputs!$C$65*inputs!$C$63/1000</f>
        <v>0.88</v>
      </c>
      <c r="K435">
        <f t="shared" si="46"/>
        <v>0.35104938426519461</v>
      </c>
      <c r="L435">
        <f>(((0.235*F435^0.822)/(1-H435)))*J435/F435</f>
        <v>0.14503448739594896</v>
      </c>
      <c r="M435">
        <f>IF((((0.326*F435^0.818)-(0.398*F435^0.85)/(1-H435)*H435)*(MAX('Min rate concentrations'!$P$3:$P$368)))/F435&gt;0, (((0.326*F435^0.818)-(0.398*F435^0.85)/(1-H435)*H435)*(MAX('Min rate concentrations'!$P$3:$P$368)))/F435, 0)</f>
        <v>0</v>
      </c>
      <c r="N435">
        <f>IF((((0.326*F435^0.818)-(0.398*F435^0.85)/(1-H435)*H435)*(MAX('Min rate concentrations'!$Q$3:$Q$368)))/F435&gt; 0, (((0.326*F435^0.818)-(0.398*F435^0.85)/(1-H435)*H435)*(MAX('Min rate concentrations'!$Q$3:$Q$368)))/F435, 0)</f>
        <v>0</v>
      </c>
      <c r="O435">
        <f>((MAX('Min rate concentrations'!$F$3:$F$368))*0.62*6.01*8*(12.3*F435^0.65)*0.079*0.1/F435)*inputs!$E$73/inputs!$E$74</f>
        <v>1.4708872494091523</v>
      </c>
      <c r="P435">
        <f>((MAX('Min rate concentrations'!Y:Y))*0.62*6.01*8*(12.3*F435^0.65)*0.079*0.1/F435)*inputs!$E$73/inputs!$E$74</f>
        <v>0.49029574980305074</v>
      </c>
      <c r="Q435">
        <f>(inputs!$C$7*11.2*(12.3*F435^0.65)*0.5/F435)*inputs!$E$73/inputs!$E$74</f>
        <v>0.25908985142885316</v>
      </c>
      <c r="R435">
        <f>(60*379*((F435/1000)^0.8)*3*24*(MAX('Min rate concentrations'!$R$3:$R$368))/F435)*(inputs!$E$73/inputs!$E$75)</f>
        <v>1.0355779737304097E-3</v>
      </c>
      <c r="S435">
        <f>(IF(inputs!$C$6="aerial",((0.025*0.112*inputs!$C$7/3.3)*(3*60*379*((F435/1000)^0.8))*MAX(inputs!$H$14:$H$16))/F435,((0.0083*0.112*inputs!$C$7/1)*(3*60*379*((F435/1000)^0.8))*MAX(inputs!$H$14:$H$16))/F435))*(inputs!E$75/inputs!$E$73)</f>
        <v>5.7112761492829813E-3</v>
      </c>
      <c r="T435">
        <f>IF((((inputs!$P$12/(V435/MAX(K435:S435)))^(1/inputs!$O$12))-1)/inputs!$N$12&lt;0, 0, IF((((inputs!$P$12/(V435/MAX(K435:S435)))^(1/inputs!$O$12))-1)/inputs!$N$12&gt;inputs!$H$17, inputs!$H$17, (((inputs!$P$12/(V435/MAX(K435:S435)))^(1/inputs!$O$12))-1)/inputs!$N$12))</f>
        <v>0</v>
      </c>
      <c r="U435">
        <f>IF((((inputs!$P$12/(X435/MAX(K435:S435)))^(1/inputs!$O$12))-1)/inputs!$N$12&lt;0, 0, IF((((inputs!$P$12/(X435/MAX(K435:S435)))^(1/inputs!$O$12))-1)/inputs!$N$12&gt;inputs!$H$17, inputs!$H$17, (((inputs!$P$12/(X435/MAX(K435:S435)))^(1/inputs!$O$12))-1)/inputs!$N$12))</f>
        <v>0</v>
      </c>
      <c r="V435">
        <f>inputs!$E$70*(F435/inputs!$F$70)^(0.25)</f>
        <v>12.981138235723177</v>
      </c>
      <c r="W435">
        <f>inputs!$E$76*(inputs!$F$76/F435)^(0.25)</f>
        <v>0.13124771128141996</v>
      </c>
      <c r="X435">
        <f>inputs!$E$72*(inputs!$F$72/F435)^(0.25)</f>
        <v>19.251008306212533</v>
      </c>
      <c r="Y435" t="s">
        <v>13</v>
      </c>
      <c r="Z435">
        <f t="shared" si="43"/>
        <v>0.11330957445329211</v>
      </c>
      <c r="AA435">
        <f t="shared" si="44"/>
        <v>11.206955420771424</v>
      </c>
    </row>
    <row r="436" spans="1:27" x14ac:dyDescent="0.3">
      <c r="A436" t="s">
        <v>452</v>
      </c>
      <c r="B436" t="s">
        <v>457</v>
      </c>
      <c r="C436" t="s">
        <v>61</v>
      </c>
      <c r="D436" t="s">
        <v>454</v>
      </c>
      <c r="E436">
        <v>12</v>
      </c>
      <c r="F436">
        <v>17700</v>
      </c>
      <c r="G436" t="s">
        <v>152</v>
      </c>
      <c r="H436">
        <v>0.77</v>
      </c>
      <c r="I436">
        <f>MAX('Min rate concentrations'!$G$3:$G$368)</f>
        <v>7.5</v>
      </c>
      <c r="J436">
        <f>MAX('Min rate concentrations'!Z:Z)</f>
        <v>3.5</v>
      </c>
      <c r="K436">
        <f t="shared" si="46"/>
        <v>1.3435754143646459</v>
      </c>
      <c r="L436">
        <f>(((0.235*F436^0.822)/(1-H436)))*J436/F436</f>
        <v>0.62700186003683478</v>
      </c>
      <c r="M436">
        <f>IF((((0.326*F436^0.818)-(0.398*F436^0.85)/(1-H436)*H436)*(MAX('Min rate concentrations'!$P$3:$P$368)))/F436&gt;0, (((0.326*F436^0.818)-(0.398*F436^0.85)/(1-H436)*H436)*(MAX('Min rate concentrations'!$P$3:$P$368)))/F436, 0)</f>
        <v>0</v>
      </c>
      <c r="N436">
        <f>IF((((0.326*F436^0.818)-(0.398*F436^0.85)/(1-H436)*H436)*(MAX('Min rate concentrations'!$Q$3:$Q$368)))/F436&gt; 0, (((0.326*F436^0.818)-(0.398*F436^0.85)/(1-H436)*H436)*(MAX('Min rate concentrations'!$Q$3:$Q$368)))/F436, 0)</f>
        <v>0</v>
      </c>
      <c r="O436">
        <f>((MAX('Min rate concentrations'!$F$3:$F$368))*0.62*6.01*8*(12.3*F436^0.65)*0.079*0.1/F436)*inputs!$E$73/inputs!$E$74</f>
        <v>1.4708872494091523</v>
      </c>
      <c r="P436">
        <f>((MAX('Min rate concentrations'!Y:Y))*0.62*6.01*8*(12.3*F436^0.65)*0.079*0.1/F436)*inputs!$E$73/inputs!$E$74</f>
        <v>0.49029574980305074</v>
      </c>
      <c r="Q436">
        <f>(inputs!$C$7*11.2*(12.3*F436^0.65)*0.5/F436)*inputs!$E$73/inputs!$E$74</f>
        <v>0.25908985142885316</v>
      </c>
      <c r="R436">
        <f>(60*379*((F436/1000)^0.8)*3*24*(MAX('Min rate concentrations'!$R$3:$R$368))/F436)*(inputs!$E$73/inputs!$E$75)</f>
        <v>1.0355779737304097E-3</v>
      </c>
      <c r="S436">
        <f>(IF(inputs!$C$6="aerial",((0.025*0.112*inputs!$C$7/3.3)*(3*60*379*((F436/1000)^0.8))*MAX(inputs!$H$14:$H$16))/F436,((0.0083*0.112*inputs!$C$7/1)*(3*60*379*((F436/1000)^0.8))*MAX(inputs!$H$14:$H$16))/F436))*(inputs!E$75/inputs!$E$73)</f>
        <v>5.7112761492829813E-3</v>
      </c>
      <c r="T436">
        <f>IF((((inputs!$P$12/(V436/MAX(K436:S436)))^(1/inputs!$O$12))-1)/inputs!$N$12&lt;0, 0, IF((((inputs!$P$12/(V436/MAX(K436:S436)))^(1/inputs!$O$12))-1)/inputs!$N$12&gt;inputs!$H$17, inputs!$H$17, (((inputs!$P$12/(V436/MAX(K436:S436)))^(1/inputs!$O$12))-1)/inputs!$N$12))</f>
        <v>0</v>
      </c>
      <c r="U436">
        <f>IF((((inputs!$P$12/(X436/MAX(K436:S436)))^(1/inputs!$O$12))-1)/inputs!$N$12&lt;0, 0, IF((((inputs!$P$12/(X436/MAX(K436:S436)))^(1/inputs!$O$12))-1)/inputs!$N$12&gt;inputs!$H$17, inputs!$H$17, (((inputs!$P$12/(X436/MAX(K436:S436)))^(1/inputs!$O$12))-1)/inputs!$N$12))</f>
        <v>0</v>
      </c>
      <c r="V436">
        <f>inputs!$E$70*(F436/inputs!$F$70)^(0.25)</f>
        <v>12.981138235723177</v>
      </c>
      <c r="W436">
        <f>inputs!$E$76*(inputs!$F$76/F436)^(0.25)</f>
        <v>0.13124771128141996</v>
      </c>
      <c r="X436">
        <f>inputs!$E$72*(inputs!$F$72/F436)^(0.25)</f>
        <v>19.251008306212533</v>
      </c>
      <c r="Y436" t="s">
        <v>13</v>
      </c>
      <c r="Z436">
        <f t="shared" si="43"/>
        <v>0.11330957445329211</v>
      </c>
      <c r="AA436">
        <f t="shared" si="44"/>
        <v>11.206955420771424</v>
      </c>
    </row>
    <row r="437" spans="1:27" x14ac:dyDescent="0.3">
      <c r="A437" t="s">
        <v>452</v>
      </c>
      <c r="B437" t="s">
        <v>457</v>
      </c>
      <c r="C437" t="s">
        <v>61</v>
      </c>
      <c r="D437" t="s">
        <v>454</v>
      </c>
      <c r="E437">
        <v>12</v>
      </c>
      <c r="F437">
        <v>17700</v>
      </c>
      <c r="G437" t="s">
        <v>455</v>
      </c>
      <c r="H437">
        <v>0.68</v>
      </c>
      <c r="I437">
        <f>MAX('Min rate concentrations'!$K$3:$K$368)</f>
        <v>18.333393099490852</v>
      </c>
      <c r="J437">
        <f>MAX('Min rate concentrations'!AC:AC)</f>
        <v>6.4930767227363431</v>
      </c>
      <c r="K437">
        <f t="shared" si="46"/>
        <v>2.3605950554093429</v>
      </c>
      <c r="M437">
        <f>IF((((0.326*F437^0.818)-(0.398*F437^0.85)/(1-H437)*H437)*(MAX('Min rate concentrations'!$P$3:$P$368)))/F437&gt;0, (((0.326*F437^0.818)-(0.398*F437^0.85)/(1-H437)*H437)*(MAX('Min rate concentrations'!$P$3:$P$368)))/F437, 0)</f>
        <v>0</v>
      </c>
      <c r="N437">
        <f>IF((((0.326*F437^0.818)-(0.398*F437^0.85)/(1-H437)*H437)*(MAX('Min rate concentrations'!$Q$3:$Q$368)))/F437&gt; 0, (((0.326*F437^0.818)-(0.398*F437^0.85)/(1-H437)*H437)*(MAX('Min rate concentrations'!$Q$3:$Q$368)))/F437, 0)</f>
        <v>0</v>
      </c>
      <c r="O437">
        <f>((MAX('Min rate concentrations'!$F$3:$F$368))*0.62*6.01*8*(12.3*F437^0.65)*0.079*0.1/F437)*inputs!$E$73/inputs!$E$74</f>
        <v>1.4708872494091523</v>
      </c>
      <c r="Q437">
        <f>(inputs!$C$7*11.2*(12.3*F437^0.65)*0.5/F437)*inputs!$E$73/inputs!$E$74</f>
        <v>0.25908985142885316</v>
      </c>
      <c r="R437">
        <f>(60*379*((F437/1000)^0.8)*3*24*(MAX('Min rate concentrations'!$R$3:$R$368))/F437)*(inputs!$E$73/inputs!$E$75)</f>
        <v>1.0355779737304097E-3</v>
      </c>
      <c r="S437">
        <f>(IF(inputs!$C$6="aerial",((0.025*0.112*inputs!$C$7/3.3)*(3*60*379*((F437/1000)^0.8))*MAX(inputs!$H$14:$H$16))/F437,((0.0083*0.112*inputs!$C$7/1)*(3*60*379*((F437/1000)^0.8))*MAX(inputs!$H$14:$H$16))/F437))*(inputs!E$75/inputs!$E$73)</f>
        <v>5.7112761492829813E-3</v>
      </c>
      <c r="T437">
        <f>IF((((inputs!$P$12/(V437/MAX(K437:S437)))^(1/inputs!$O$12))-1)/inputs!$N$12&lt;0, 0, IF((((inputs!$P$12/(V437/MAX(K437:S437)))^(1/inputs!$O$12))-1)/inputs!$N$12&gt;inputs!$H$17, inputs!$H$17, (((inputs!$P$12/(V437/MAX(K437:S437)))^(1/inputs!$O$12))-1)/inputs!$N$12))</f>
        <v>0</v>
      </c>
      <c r="U437">
        <f>IF((((inputs!$P$12/(X437/MAX(K437:S437)))^(1/inputs!$O$12))-1)/inputs!$N$12&lt;0, 0, IF((((inputs!$P$12/(X437/MAX(K437:S437)))^(1/inputs!$O$12))-1)/inputs!$N$12&gt;inputs!$H$17, inputs!$H$17, (((inputs!$P$12/(X437/MAX(K437:S437)))^(1/inputs!$O$12))-1)/inputs!$N$12))</f>
        <v>0</v>
      </c>
      <c r="V437">
        <f>inputs!$E$70*(F437/inputs!$F$70)^(0.25)</f>
        <v>12.981138235723177</v>
      </c>
      <c r="W437">
        <f>inputs!$E$76*(inputs!$F$76/F437)^(0.25)</f>
        <v>0.13124771128141996</v>
      </c>
      <c r="X437">
        <f>inputs!$E$72*(inputs!$F$72/F437)^(0.25)</f>
        <v>19.251008306212533</v>
      </c>
      <c r="Y437" t="s">
        <v>13</v>
      </c>
      <c r="Z437">
        <f t="shared" si="43"/>
        <v>0.18184807930888153</v>
      </c>
      <c r="AA437">
        <f t="shared" si="44"/>
        <v>17.98579977023584</v>
      </c>
    </row>
    <row r="438" spans="1:27" x14ac:dyDescent="0.3">
      <c r="A438" t="s">
        <v>452</v>
      </c>
      <c r="B438" t="s">
        <v>457</v>
      </c>
      <c r="C438" t="s">
        <v>61</v>
      </c>
      <c r="D438" t="s">
        <v>454</v>
      </c>
      <c r="E438">
        <v>12</v>
      </c>
      <c r="F438">
        <v>17700</v>
      </c>
      <c r="G438" t="s">
        <v>456</v>
      </c>
      <c r="H438">
        <v>0.68</v>
      </c>
      <c r="I438">
        <f>MAX('Min rate concentrations'!$J$3:$J$368)</f>
        <v>114.4108103430513</v>
      </c>
      <c r="J438">
        <f>MAX('Min rate concentrations'!AB:AB)</f>
        <v>40.520495329830666</v>
      </c>
      <c r="K438">
        <f t="shared" si="46"/>
        <v>14.73145705846909</v>
      </c>
      <c r="L438">
        <f>(((0.235*F438^0.822)/(1-H438)))*J438/F438</f>
        <v>5.217391041541136</v>
      </c>
      <c r="M438">
        <f>IF((((0.326*F438^0.818)-(0.398*F438^0.85)/(1-H438)*H438)*(MAX('Min rate concentrations'!$P$3:$P$368)))/F438&gt;0, (((0.326*F438^0.818)-(0.398*F438^0.85)/(1-H438)*H438)*(MAX('Min rate concentrations'!$P$3:$P$368)))/F438, 0)</f>
        <v>0</v>
      </c>
      <c r="N438">
        <f>IF((((0.326*F438^0.818)-(0.398*F438^0.85)/(1-H438)*H438)*(MAX('Min rate concentrations'!$Q$3:$Q$368)))/F438&gt; 0, (((0.326*F438^0.818)-(0.398*F438^0.85)/(1-H438)*H438)*(MAX('Min rate concentrations'!$Q$3:$Q$368)))/F438, 0)</f>
        <v>0</v>
      </c>
      <c r="O438">
        <f>((MAX('Min rate concentrations'!$F$3:$F$368))*0.62*6.01*8*(12.3*F438^0.65)*0.079*0.1/F438)*inputs!$E$73/inputs!$E$74</f>
        <v>1.4708872494091523</v>
      </c>
      <c r="P438">
        <f>((MAX('Min rate concentrations'!Y:Y))*0.62*6.01*8*(12.3*F438^0.65)*0.079*0.1/F438)*inputs!$E$73/inputs!$E$74</f>
        <v>0.49029574980305074</v>
      </c>
      <c r="Q438">
        <f>(inputs!$C$7*11.2*(12.3*F438^0.65)*0.5/F438)*inputs!$E$73/inputs!$E$74</f>
        <v>0.25908985142885316</v>
      </c>
      <c r="R438">
        <f>(60*379*((F438/1000)^0.8)*3*24*(MAX('Min rate concentrations'!$R$3:$R$368))/F438)*(inputs!$E$73/inputs!$E$75)</f>
        <v>1.0355779737304097E-3</v>
      </c>
      <c r="S438">
        <f>(IF(inputs!$C$6="aerial",((0.025*0.112*inputs!$C$7/3.3)*(3*60*379*((F438/1000)^0.8))*MAX(inputs!$H$14:$H$16))/F438,((0.0083*0.112*inputs!$C$7/1)*(3*60*379*((F438/1000)^0.8))*MAX(inputs!$H$14:$H$16))/F438))*(inputs!E$75/inputs!$E$73)</f>
        <v>5.7112761492829813E-3</v>
      </c>
      <c r="T438">
        <f>IF((((inputs!$P$12/(V438/MAX(K438:S438)))^(1/inputs!$O$12))-1)/inputs!$N$12&lt;0, 0, IF((((inputs!$P$12/(V438/MAX(K438:S438)))^(1/inputs!$O$12))-1)/inputs!$N$12&gt;inputs!$H$17, inputs!$H$17, (((inputs!$P$12/(V438/MAX(K438:S438)))^(1/inputs!$O$12))-1)/inputs!$N$12))</f>
        <v>0</v>
      </c>
      <c r="U438">
        <f>IF((((inputs!$P$12/(X438/MAX(K438:S438)))^(1/inputs!$O$12))-1)/inputs!$N$12&lt;0, 0, IF((((inputs!$P$12/(X438/MAX(K438:S438)))^(1/inputs!$O$12))-1)/inputs!$N$12&gt;inputs!$H$17, inputs!$H$17, (((inputs!$P$12/(X438/MAX(K438:S438)))^(1/inputs!$O$12))-1)/inputs!$N$12))</f>
        <v>0</v>
      </c>
      <c r="V438">
        <f>inputs!$E$70*(F438/inputs!$F$70)^(0.25)</f>
        <v>12.981138235723177</v>
      </c>
      <c r="W438">
        <f>inputs!$E$76*(inputs!$F$76/F438)^(0.25)</f>
        <v>0.13124771128141996</v>
      </c>
      <c r="X438">
        <f>inputs!$E$72*(inputs!$F$72/F438)^(0.25)</f>
        <v>19.251008306212533</v>
      </c>
      <c r="Y438" t="s">
        <v>13</v>
      </c>
      <c r="Z438">
        <f t="shared" si="43"/>
        <v>1.1348355429980059</v>
      </c>
      <c r="AA438">
        <f t="shared" si="44"/>
        <v>112.24163007979662</v>
      </c>
    </row>
    <row r="439" spans="1:27" x14ac:dyDescent="0.3">
      <c r="A439" t="s">
        <v>452</v>
      </c>
      <c r="B439" t="s">
        <v>458</v>
      </c>
      <c r="C439" t="s">
        <v>61</v>
      </c>
      <c r="D439" t="s">
        <v>454</v>
      </c>
      <c r="E439">
        <v>10010</v>
      </c>
      <c r="F439">
        <v>17700</v>
      </c>
      <c r="G439" t="s">
        <v>138</v>
      </c>
      <c r="H439">
        <v>0.68</v>
      </c>
      <c r="I439">
        <f>MAX('Min rate concentrations'!$L$3:$L$368)</f>
        <v>58.421240152220811</v>
      </c>
      <c r="J439">
        <f>MAX('Min rate concentrations'!AD:AD)</f>
        <v>40.397666062705881</v>
      </c>
      <c r="K439">
        <f t="shared" si="46"/>
        <v>7.5222786030832545</v>
      </c>
      <c r="L439">
        <f>(((0.235*F439^0.822)/(1-H439)))*J439/F439</f>
        <v>5.2015756297916127</v>
      </c>
      <c r="M439">
        <f>IF((((0.326*F439^0.818)-(0.398*F439^0.85)/(1-H439)*H439)*(MAX('Min rate concentrations'!$P$3:$P$368)))/F439&gt;0, (((0.326*F439^0.818)-(0.398*F439^0.85)/(1-H439)*H439)*(MAX('Min rate concentrations'!$P$3:$P$368)))/F439, 0)</f>
        <v>0</v>
      </c>
      <c r="N439">
        <f>IF((((0.326*F439^0.818)-(0.398*F439^0.85)/(1-H439)*H439)*(MAX('Min rate concentrations'!$Q$3:$Q$368)))/F439&gt; 0, (((0.326*F439^0.818)-(0.398*F439^0.85)/(1-H439)*H439)*(MAX('Min rate concentrations'!$Q$3:$Q$368)))/F439, 0)</f>
        <v>0</v>
      </c>
      <c r="O439">
        <f>((MAX('Min rate concentrations'!$F$3:$F$368))*0.62*6.01*8*(12.3*F439^0.65)*0.079*0.1/F439)*inputs!$E$73/inputs!$E$74</f>
        <v>1.4708872494091523</v>
      </c>
      <c r="P439">
        <f>((MAX('Min rate concentrations'!Y:Y))*0.62*6.01*8*(12.3*F439^0.65)*0.079*0.1/F439)*inputs!$E$73/inputs!$E$74</f>
        <v>0.49029574980305074</v>
      </c>
      <c r="Q439">
        <f>(inputs!$C$7*11.2*(12.3*F439^0.65)*0.5/F439)*inputs!$E$73/inputs!$E$74</f>
        <v>0.25908985142885316</v>
      </c>
      <c r="R439">
        <f>(60*379*((F439/1000)^0.8)*3*24*(MAX('Min rate concentrations'!$R$3:$R$368))/F439)*(inputs!$E$73/inputs!$E$75)</f>
        <v>1.0355779737304097E-3</v>
      </c>
      <c r="S439">
        <f>(IF(inputs!$C$6="aerial",((0.025*0.112*inputs!$C$7/3.3)*(3*60*379*((F439/1000)^0.8))*MAX(inputs!$H$14:$H$16))/F439,((0.0083*0.112*inputs!$C$7/1)*(3*60*379*((F439/1000)^0.8))*MAX(inputs!$H$14:$H$16))/F439))*(inputs!E$75/inputs!$E$73)</f>
        <v>5.7112761492829813E-3</v>
      </c>
      <c r="T439">
        <f>IF((((inputs!$P$12/(V439/MAX(K439:S439)))^(1/inputs!$O$12))-1)/inputs!$N$12&lt;0, 0, IF((((inputs!$P$12/(V439/MAX(K439:S439)))^(1/inputs!$O$12))-1)/inputs!$N$12&gt;inputs!$H$17, inputs!$H$17, (((inputs!$P$12/(V439/MAX(K439:S439)))^(1/inputs!$O$12))-1)/inputs!$N$12))</f>
        <v>0</v>
      </c>
      <c r="U439">
        <f>IF((((inputs!$P$12/(X439/MAX(K439:S439)))^(1/inputs!$O$12))-1)/inputs!$N$12&lt;0, 0, IF((((inputs!$P$12/(X439/MAX(K439:S439)))^(1/inputs!$O$12))-1)/inputs!$N$12&gt;inputs!$H$17, inputs!$H$17, (((inputs!$P$12/(X439/MAX(K439:S439)))^(1/inputs!$O$12))-1)/inputs!$N$12))</f>
        <v>0</v>
      </c>
      <c r="V439">
        <f>inputs!$E$70*(F439/inputs!$F$70)^(0.25)</f>
        <v>12.981138235723177</v>
      </c>
      <c r="W439">
        <f>inputs!$E$76*(inputs!$F$76/F439)^(0.25)</f>
        <v>0.13124771128141996</v>
      </c>
      <c r="X439">
        <f>inputs!$E$72*(inputs!$F$72/F439)^(0.25)</f>
        <v>19.251008306212533</v>
      </c>
      <c r="Y439" t="s">
        <v>13</v>
      </c>
      <c r="Z439">
        <f t="shared" si="43"/>
        <v>0.57947758251140669</v>
      </c>
      <c r="AA439">
        <f t="shared" si="44"/>
        <v>57.313598306899721</v>
      </c>
    </row>
    <row r="440" spans="1:27" x14ac:dyDescent="0.3">
      <c r="A440" t="s">
        <v>452</v>
      </c>
      <c r="B440" t="s">
        <v>458</v>
      </c>
      <c r="C440" t="s">
        <v>61</v>
      </c>
      <c r="D440" t="s">
        <v>454</v>
      </c>
      <c r="E440">
        <v>10010</v>
      </c>
      <c r="F440">
        <v>17700</v>
      </c>
      <c r="G440" t="s">
        <v>186</v>
      </c>
      <c r="H440">
        <v>0.75</v>
      </c>
      <c r="I440">
        <f>inputs!$C$65*inputs!$C$64/1000</f>
        <v>2.13</v>
      </c>
      <c r="J440">
        <f>inputs!$C$65*inputs!$C$63/1000</f>
        <v>0.88</v>
      </c>
      <c r="K440">
        <f t="shared" si="46"/>
        <v>0.35104938426519461</v>
      </c>
      <c r="L440">
        <f>(((0.235*F440^0.822)/(1-H440)))*J440/F440</f>
        <v>0.14503448739594896</v>
      </c>
      <c r="M440">
        <f>IF((((0.326*F440^0.818)-(0.398*F440^0.85)/(1-H440)*H440)*(MAX('Min rate concentrations'!$P$3:$P$368)))/F440&gt;0, (((0.326*F440^0.818)-(0.398*F440^0.85)/(1-H440)*H440)*(MAX('Min rate concentrations'!$P$3:$P$368)))/F440, 0)</f>
        <v>0</v>
      </c>
      <c r="N440">
        <f>IF((((0.326*F440^0.818)-(0.398*F440^0.85)/(1-H440)*H440)*(MAX('Min rate concentrations'!$Q$3:$Q$368)))/F440&gt; 0, (((0.326*F440^0.818)-(0.398*F440^0.85)/(1-H440)*H440)*(MAX('Min rate concentrations'!$Q$3:$Q$368)))/F440, 0)</f>
        <v>0</v>
      </c>
      <c r="O440">
        <f>((MAX('Min rate concentrations'!$F$3:$F$368))*0.62*6.01*8*(12.3*F440^0.65)*0.079*0.1/F440)*inputs!$E$73/inputs!$E$74</f>
        <v>1.4708872494091523</v>
      </c>
      <c r="P440">
        <f>((MAX('Min rate concentrations'!Y:Y))*0.62*6.01*8*(12.3*F440^0.65)*0.079*0.1/F440)*inputs!$E$73/inputs!$E$74</f>
        <v>0.49029574980305074</v>
      </c>
      <c r="Q440">
        <f>(inputs!$C$7*11.2*(12.3*F440^0.65)*0.5/F440)*inputs!$E$73/inputs!$E$74</f>
        <v>0.25908985142885316</v>
      </c>
      <c r="R440">
        <f>(60*379*((F440/1000)^0.8)*3*24*(MAX('Min rate concentrations'!$R$3:$R$368))/F440)*(inputs!$E$73/inputs!$E$75)</f>
        <v>1.0355779737304097E-3</v>
      </c>
      <c r="S440">
        <f>(IF(inputs!$C$6="aerial",((0.025*0.112*inputs!$C$7/3.3)*(3*60*379*((F440/1000)^0.8))*MAX(inputs!$H$14:$H$16))/F440,((0.0083*0.112*inputs!$C$7/1)*(3*60*379*((F440/1000)^0.8))*MAX(inputs!$H$14:$H$16))/F440))*(inputs!E$75/inputs!$E$73)</f>
        <v>5.7112761492829813E-3</v>
      </c>
      <c r="T440">
        <f>IF((((inputs!$P$12/(V440/MAX(K440:S440)))^(1/inputs!$O$12))-1)/inputs!$N$12&lt;0, 0, IF((((inputs!$P$12/(V440/MAX(K440:S440)))^(1/inputs!$O$12))-1)/inputs!$N$12&gt;inputs!$H$17, inputs!$H$17, (((inputs!$P$12/(V440/MAX(K440:S440)))^(1/inputs!$O$12))-1)/inputs!$N$12))</f>
        <v>0</v>
      </c>
      <c r="U440">
        <f>IF((((inputs!$P$12/(X440/MAX(K440:S440)))^(1/inputs!$O$12))-1)/inputs!$N$12&lt;0, 0, IF((((inputs!$P$12/(X440/MAX(K440:S440)))^(1/inputs!$O$12))-1)/inputs!$N$12&gt;inputs!$H$17, inputs!$H$17, (((inputs!$P$12/(X440/MAX(K440:S440)))^(1/inputs!$O$12))-1)/inputs!$N$12))</f>
        <v>0</v>
      </c>
      <c r="V440">
        <f>inputs!$E$70*(F440/inputs!$F$70)^(0.25)</f>
        <v>12.981138235723177</v>
      </c>
      <c r="W440">
        <f>inputs!$E$76*(inputs!$F$76/F440)^(0.25)</f>
        <v>0.13124771128141996</v>
      </c>
      <c r="X440">
        <f>inputs!$E$72*(inputs!$F$72/F440)^(0.25)</f>
        <v>19.251008306212533</v>
      </c>
      <c r="Y440" t="s">
        <v>13</v>
      </c>
      <c r="Z440">
        <f t="shared" si="43"/>
        <v>0.11330957445329211</v>
      </c>
      <c r="AA440">
        <f t="shared" si="44"/>
        <v>11.206955420771424</v>
      </c>
    </row>
    <row r="441" spans="1:27" x14ac:dyDescent="0.3">
      <c r="A441" t="s">
        <v>452</v>
      </c>
      <c r="B441" t="s">
        <v>458</v>
      </c>
      <c r="C441" t="s">
        <v>61</v>
      </c>
      <c r="D441" t="s">
        <v>454</v>
      </c>
      <c r="E441">
        <v>10010</v>
      </c>
      <c r="F441">
        <v>17700</v>
      </c>
      <c r="G441" t="s">
        <v>152</v>
      </c>
      <c r="H441">
        <v>0.77</v>
      </c>
      <c r="I441">
        <f>MAX('Min rate concentrations'!$G$3:$G$368)</f>
        <v>7.5</v>
      </c>
      <c r="J441">
        <f>MAX('Min rate concentrations'!Z:Z)</f>
        <v>3.5</v>
      </c>
      <c r="K441">
        <f t="shared" si="46"/>
        <v>1.3435754143646459</v>
      </c>
      <c r="L441">
        <f>(((0.235*F441^0.822)/(1-H441)))*J441/F441</f>
        <v>0.62700186003683478</v>
      </c>
      <c r="M441">
        <f>IF((((0.326*F441^0.818)-(0.398*F441^0.85)/(1-H441)*H441)*(MAX('Min rate concentrations'!$P$3:$P$368)))/F441&gt;0, (((0.326*F441^0.818)-(0.398*F441^0.85)/(1-H441)*H441)*(MAX('Min rate concentrations'!$P$3:$P$368)))/F441, 0)</f>
        <v>0</v>
      </c>
      <c r="N441">
        <f>IF((((0.326*F441^0.818)-(0.398*F441^0.85)/(1-H441)*H441)*(MAX('Min rate concentrations'!$Q$3:$Q$368)))/F441&gt; 0, (((0.326*F441^0.818)-(0.398*F441^0.85)/(1-H441)*H441)*(MAX('Min rate concentrations'!$Q$3:$Q$368)))/F441, 0)</f>
        <v>0</v>
      </c>
      <c r="O441">
        <f>((MAX('Min rate concentrations'!$F$3:$F$368))*0.62*6.01*8*(12.3*F441^0.65)*0.079*0.1/F441)*inputs!$E$73/inputs!$E$74</f>
        <v>1.4708872494091523</v>
      </c>
      <c r="P441">
        <f>((MAX('Min rate concentrations'!Y:Y))*0.62*6.01*8*(12.3*F441^0.65)*0.079*0.1/F441)*inputs!$E$73/inputs!$E$74</f>
        <v>0.49029574980305074</v>
      </c>
      <c r="Q441">
        <f>(inputs!$C$7*11.2*(12.3*F441^0.65)*0.5/F441)*inputs!$E$73/inputs!$E$74</f>
        <v>0.25908985142885316</v>
      </c>
      <c r="R441">
        <f>(60*379*((F441/1000)^0.8)*3*24*(MAX('Min rate concentrations'!$R$3:$R$368))/F441)*(inputs!$E$73/inputs!$E$75)</f>
        <v>1.0355779737304097E-3</v>
      </c>
      <c r="S441">
        <f>(IF(inputs!$C$6="aerial",((0.025*0.112*inputs!$C$7/3.3)*(3*60*379*((F441/1000)^0.8))*MAX(inputs!$H$14:$H$16))/F441,((0.0083*0.112*inputs!$C$7/1)*(3*60*379*((F441/1000)^0.8))*MAX(inputs!$H$14:$H$16))/F441))*(inputs!E$75/inputs!$E$73)</f>
        <v>5.7112761492829813E-3</v>
      </c>
      <c r="T441">
        <f>IF((((inputs!$P$12/(V441/MAX(K441:S441)))^(1/inputs!$O$12))-1)/inputs!$N$12&lt;0, 0, IF((((inputs!$P$12/(V441/MAX(K441:S441)))^(1/inputs!$O$12))-1)/inputs!$N$12&gt;inputs!$H$17, inputs!$H$17, (((inputs!$P$12/(V441/MAX(K441:S441)))^(1/inputs!$O$12))-1)/inputs!$N$12))</f>
        <v>0</v>
      </c>
      <c r="U441">
        <f>IF((((inputs!$P$12/(X441/MAX(K441:S441)))^(1/inputs!$O$12))-1)/inputs!$N$12&lt;0, 0, IF((((inputs!$P$12/(X441/MAX(K441:S441)))^(1/inputs!$O$12))-1)/inputs!$N$12&gt;inputs!$H$17, inputs!$H$17, (((inputs!$P$12/(X441/MAX(K441:S441)))^(1/inputs!$O$12))-1)/inputs!$N$12))</f>
        <v>0</v>
      </c>
      <c r="V441">
        <f>inputs!$E$70*(F441/inputs!$F$70)^(0.25)</f>
        <v>12.981138235723177</v>
      </c>
      <c r="W441">
        <f>inputs!$E$76*(inputs!$F$76/F441)^(0.25)</f>
        <v>0.13124771128141996</v>
      </c>
      <c r="X441">
        <f>inputs!$E$72*(inputs!$F$72/F441)^(0.25)</f>
        <v>19.251008306212533</v>
      </c>
      <c r="Y441" t="s">
        <v>13</v>
      </c>
      <c r="Z441">
        <f t="shared" si="43"/>
        <v>0.11330957445329211</v>
      </c>
      <c r="AA441">
        <f t="shared" si="44"/>
        <v>11.206955420771424</v>
      </c>
    </row>
    <row r="442" spans="1:27" x14ac:dyDescent="0.3">
      <c r="A442" t="s">
        <v>452</v>
      </c>
      <c r="B442" t="s">
        <v>458</v>
      </c>
      <c r="C442" t="s">
        <v>61</v>
      </c>
      <c r="D442" t="s">
        <v>454</v>
      </c>
      <c r="E442">
        <v>10010</v>
      </c>
      <c r="F442">
        <v>17700</v>
      </c>
      <c r="G442" t="s">
        <v>455</v>
      </c>
      <c r="H442">
        <v>0.68</v>
      </c>
      <c r="I442">
        <f>MAX('Min rate concentrations'!$K$3:$K$368)</f>
        <v>18.333393099490852</v>
      </c>
      <c r="J442">
        <f>MAX('Min rate concentrations'!AC:AC)</f>
        <v>6.4930767227363431</v>
      </c>
      <c r="K442">
        <f t="shared" si="46"/>
        <v>2.3605950554093429</v>
      </c>
      <c r="M442">
        <f>IF((((0.326*F442^0.818)-(0.398*F442^0.85)/(1-H442)*H442)*(MAX('Min rate concentrations'!$P$3:$P$368)))/F442&gt;0, (((0.326*F442^0.818)-(0.398*F442^0.85)/(1-H442)*H442)*(MAX('Min rate concentrations'!$P$3:$P$368)))/F442, 0)</f>
        <v>0</v>
      </c>
      <c r="N442">
        <f>IF((((0.326*F442^0.818)-(0.398*F442^0.85)/(1-H442)*H442)*(MAX('Min rate concentrations'!$Q$3:$Q$368)))/F442&gt; 0, (((0.326*F442^0.818)-(0.398*F442^0.85)/(1-H442)*H442)*(MAX('Min rate concentrations'!$Q$3:$Q$368)))/F442, 0)</f>
        <v>0</v>
      </c>
      <c r="O442">
        <f>((MAX('Min rate concentrations'!$F$3:$F$368))*0.62*6.01*8*(12.3*F442^0.65)*0.079*0.1/F442)*inputs!$E$73/inputs!$E$74</f>
        <v>1.4708872494091523</v>
      </c>
      <c r="Q442">
        <f>(inputs!$C$7*11.2*(12.3*F442^0.65)*0.5/F442)*inputs!$E$73/inputs!$E$74</f>
        <v>0.25908985142885316</v>
      </c>
      <c r="R442">
        <f>(60*379*((F442/1000)^0.8)*3*24*(MAX('Min rate concentrations'!$R$3:$R$368))/F442)*(inputs!$E$73/inputs!$E$75)</f>
        <v>1.0355779737304097E-3</v>
      </c>
      <c r="S442">
        <f>(IF(inputs!$C$6="aerial",((0.025*0.112*inputs!$C$7/3.3)*(3*60*379*((F442/1000)^0.8))*MAX(inputs!$H$14:$H$16))/F442,((0.0083*0.112*inputs!$C$7/1)*(3*60*379*((F442/1000)^0.8))*MAX(inputs!$H$14:$H$16))/F442))*(inputs!E$75/inputs!$E$73)</f>
        <v>5.7112761492829813E-3</v>
      </c>
      <c r="T442">
        <f>IF((((inputs!$P$12/(V442/MAX(K442:S442)))^(1/inputs!$O$12))-1)/inputs!$N$12&lt;0, 0, IF((((inputs!$P$12/(V442/MAX(K442:S442)))^(1/inputs!$O$12))-1)/inputs!$N$12&gt;inputs!$H$17, inputs!$H$17, (((inputs!$P$12/(V442/MAX(K442:S442)))^(1/inputs!$O$12))-1)/inputs!$N$12))</f>
        <v>0</v>
      </c>
      <c r="U442">
        <f>IF((((inputs!$P$12/(X442/MAX(K442:S442)))^(1/inputs!$O$12))-1)/inputs!$N$12&lt;0, 0, IF((((inputs!$P$12/(X442/MAX(K442:S442)))^(1/inputs!$O$12))-1)/inputs!$N$12&gt;inputs!$H$17, inputs!$H$17, (((inputs!$P$12/(X442/MAX(K442:S442)))^(1/inputs!$O$12))-1)/inputs!$N$12))</f>
        <v>0</v>
      </c>
      <c r="V442">
        <f>inputs!$E$70*(F442/inputs!$F$70)^(0.25)</f>
        <v>12.981138235723177</v>
      </c>
      <c r="W442">
        <f>inputs!$E$76*(inputs!$F$76/F442)^(0.25)</f>
        <v>0.13124771128141996</v>
      </c>
      <c r="X442">
        <f>inputs!$E$72*(inputs!$F$72/F442)^(0.25)</f>
        <v>19.251008306212533</v>
      </c>
      <c r="Y442" t="s">
        <v>13</v>
      </c>
      <c r="Z442">
        <f t="shared" si="43"/>
        <v>0.18184807930888153</v>
      </c>
      <c r="AA442">
        <f t="shared" si="44"/>
        <v>17.98579977023584</v>
      </c>
    </row>
    <row r="443" spans="1:27" x14ac:dyDescent="0.3">
      <c r="A443" t="s">
        <v>452</v>
      </c>
      <c r="B443" t="s">
        <v>458</v>
      </c>
      <c r="C443" t="s">
        <v>61</v>
      </c>
      <c r="D443" t="s">
        <v>454</v>
      </c>
      <c r="E443">
        <v>10010</v>
      </c>
      <c r="F443">
        <v>17700</v>
      </c>
      <c r="G443" t="s">
        <v>456</v>
      </c>
      <c r="H443">
        <v>0.68</v>
      </c>
      <c r="I443">
        <f>MAX('Min rate concentrations'!$J$3:$J$368)</f>
        <v>114.4108103430513</v>
      </c>
      <c r="J443">
        <f>MAX('Min rate concentrations'!AB:AB)</f>
        <v>40.520495329830666</v>
      </c>
      <c r="K443">
        <f t="shared" si="46"/>
        <v>14.73145705846909</v>
      </c>
      <c r="L443">
        <f t="shared" ref="L443:L448" si="48">(((0.235*F443^0.822)/(1-H443)))*J443/F443</f>
        <v>5.217391041541136</v>
      </c>
      <c r="M443">
        <f>IF((((0.326*F443^0.818)-(0.398*F443^0.85)/(1-H443)*H443)*(MAX('Min rate concentrations'!$P$3:$P$368)))/F443&gt;0, (((0.326*F443^0.818)-(0.398*F443^0.85)/(1-H443)*H443)*(MAX('Min rate concentrations'!$P$3:$P$368)))/F443, 0)</f>
        <v>0</v>
      </c>
      <c r="N443">
        <f>IF((((0.326*F443^0.818)-(0.398*F443^0.85)/(1-H443)*H443)*(MAX('Min rate concentrations'!$Q$3:$Q$368)))/F443&gt; 0, (((0.326*F443^0.818)-(0.398*F443^0.85)/(1-H443)*H443)*(MAX('Min rate concentrations'!$Q$3:$Q$368)))/F443, 0)</f>
        <v>0</v>
      </c>
      <c r="O443">
        <f>((MAX('Min rate concentrations'!$F$3:$F$368))*0.62*6.01*8*(12.3*F443^0.65)*0.079*0.1/F443)*inputs!$E$73/inputs!$E$74</f>
        <v>1.4708872494091523</v>
      </c>
      <c r="P443">
        <f>((MAX('Min rate concentrations'!Y:Y))*0.62*6.01*8*(12.3*F443^0.65)*0.079*0.1/F443)*inputs!$E$73/inputs!$E$74</f>
        <v>0.49029574980305074</v>
      </c>
      <c r="Q443">
        <f>(inputs!$C$7*11.2*(12.3*F443^0.65)*0.5/F443)*inputs!$E$73/inputs!$E$74</f>
        <v>0.25908985142885316</v>
      </c>
      <c r="R443">
        <f>(60*379*((F443/1000)^0.8)*3*24*(MAX('Min rate concentrations'!$R$3:$R$368))/F443)*(inputs!$E$73/inputs!$E$75)</f>
        <v>1.0355779737304097E-3</v>
      </c>
      <c r="S443">
        <f>(IF(inputs!$C$6="aerial",((0.025*0.112*inputs!$C$7/3.3)*(3*60*379*((F443/1000)^0.8))*MAX(inputs!$H$14:$H$16))/F443,((0.0083*0.112*inputs!$C$7/1)*(3*60*379*((F443/1000)^0.8))*MAX(inputs!$H$14:$H$16))/F443))*(inputs!E$75/inputs!$E$73)</f>
        <v>5.7112761492829813E-3</v>
      </c>
      <c r="T443">
        <f>IF((((inputs!$P$12/(V443/MAX(K443:S443)))^(1/inputs!$O$12))-1)/inputs!$N$12&lt;0, 0, IF((((inputs!$P$12/(V443/MAX(K443:S443)))^(1/inputs!$O$12))-1)/inputs!$N$12&gt;inputs!$H$17, inputs!$H$17, (((inputs!$P$12/(V443/MAX(K443:S443)))^(1/inputs!$O$12))-1)/inputs!$N$12))</f>
        <v>0</v>
      </c>
      <c r="U443">
        <f>IF((((inputs!$P$12/(X443/MAX(K443:S443)))^(1/inputs!$O$12))-1)/inputs!$N$12&lt;0, 0, IF((((inputs!$P$12/(X443/MAX(K443:S443)))^(1/inputs!$O$12))-1)/inputs!$N$12&gt;inputs!$H$17, inputs!$H$17, (((inputs!$P$12/(X443/MAX(K443:S443)))^(1/inputs!$O$12))-1)/inputs!$N$12))</f>
        <v>0</v>
      </c>
      <c r="V443">
        <f>inputs!$E$70*(F443/inputs!$F$70)^(0.25)</f>
        <v>12.981138235723177</v>
      </c>
      <c r="W443">
        <f>inputs!$E$76*(inputs!$F$76/F443)^(0.25)</f>
        <v>0.13124771128141996</v>
      </c>
      <c r="X443">
        <f>inputs!$E$72*(inputs!$F$72/F443)^(0.25)</f>
        <v>19.251008306212533</v>
      </c>
      <c r="Y443" t="s">
        <v>13</v>
      </c>
      <c r="Z443">
        <f t="shared" si="43"/>
        <v>1.1348355429980059</v>
      </c>
      <c r="AA443">
        <f t="shared" si="44"/>
        <v>112.24163007979662</v>
      </c>
    </row>
    <row r="444" spans="1:27" x14ac:dyDescent="0.3">
      <c r="A444" t="s">
        <v>604</v>
      </c>
      <c r="B444" t="s">
        <v>607</v>
      </c>
      <c r="C444" t="s">
        <v>61</v>
      </c>
      <c r="D444" t="s">
        <v>454</v>
      </c>
      <c r="E444">
        <v>7753</v>
      </c>
      <c r="F444">
        <v>113000</v>
      </c>
      <c r="G444" t="s">
        <v>142</v>
      </c>
      <c r="H444">
        <v>0.69</v>
      </c>
      <c r="I444">
        <f>MAX('Min rate concentrations'!$H$3:$H$368)</f>
        <v>47</v>
      </c>
      <c r="J444">
        <f>MAX('Min rate concentrations'!AA:AA)</f>
        <v>32.5</v>
      </c>
      <c r="K444">
        <f t="shared" si="46"/>
        <v>4.4911345203978366</v>
      </c>
      <c r="L444">
        <f t="shared" si="48"/>
        <v>3.1055717428282912</v>
      </c>
      <c r="M444">
        <f>IF((((0.326*F444^0.818)-(0.398*F444^0.85)/(1-H444)*H444)*(MAX('Min rate concentrations'!$P$3:$P$368)))/F444&gt;0, (((0.326*F444^0.818)-(0.398*F444^0.85)/(1-H444)*H444)*(MAX('Min rate concentrations'!$P$3:$P$368)))/F444, 0)</f>
        <v>0</v>
      </c>
      <c r="N444">
        <f>IF((((0.326*F444^0.818)-(0.398*F444^0.85)/(1-H444)*H444)*(MAX('Min rate concentrations'!$Q$3:$Q$368)))/F444&gt; 0, (((0.326*F444^0.818)-(0.398*F444^0.85)/(1-H444)*H444)*(MAX('Min rate concentrations'!$Q$3:$Q$368)))/F444, 0)</f>
        <v>0</v>
      </c>
      <c r="O444">
        <f>((MAX('Min rate concentrations'!$F$3:$F$368))*0.62*6.01*8*(12.3*F444^0.65)*0.079*0.1/F444)*inputs!$E$73/inputs!$E$74</f>
        <v>0.76876317410980122</v>
      </c>
      <c r="P444">
        <f>((MAX('Min rate concentrations'!Y:Y))*0.62*6.01*8*(12.3*F444^0.65)*0.079*0.1/F444)*inputs!$E$73/inputs!$E$74</f>
        <v>0.25625439136993378</v>
      </c>
      <c r="Q444">
        <f>(inputs!$C$7*11.2*(12.3*F444^0.65)*0.5/F444)*inputs!$E$73/inputs!$E$74</f>
        <v>0.13541400718790042</v>
      </c>
      <c r="R444">
        <f>(60*379*((F444/1000)^0.8)*3*24*(MAX('Min rate concentrations'!$R$3:$R$368))/F444)*(inputs!$E$73/inputs!$E$75)</f>
        <v>7.147625164772829E-4</v>
      </c>
      <c r="S444">
        <f>(IF(inputs!$C$6="aerial",((0.025*0.112*inputs!$C$7/3.3)*(3*60*379*((F444/1000)^0.8))*MAX(inputs!$H$14:$H$16))/F444,((0.0083*0.112*inputs!$C$7/1)*(3*60*379*((F444/1000)^0.8))*MAX(inputs!$H$14:$H$16))/F444))*(inputs!E$75/inputs!$E$73)</f>
        <v>3.9419591921727231E-3</v>
      </c>
      <c r="T444">
        <f>IF((((inputs!$P$12/(V444/MAX(K444:S444)))^(1/inputs!$O$12))-1)/inputs!$N$12&lt;0, 0, IF((((inputs!$P$12/(V444/MAX(K444:S444)))^(1/inputs!$O$12))-1)/inputs!$N$12&gt;inputs!$H$17, inputs!$H$17, (((inputs!$P$12/(V444/MAX(K444:S444)))^(1/inputs!$O$12))-1)/inputs!$N$12))</f>
        <v>0</v>
      </c>
      <c r="U444">
        <f>IF((((inputs!$P$12/(X444/MAX(K444:S444)))^(1/inputs!$O$12))-1)/inputs!$N$12&lt;0, 0, IF((((inputs!$P$12/(X444/MAX(K444:S444)))^(1/inputs!$O$12))-1)/inputs!$N$12&gt;inputs!$H$17, inputs!$H$17, (((inputs!$P$12/(X444/MAX(K444:S444)))^(1/inputs!$O$12))-1)/inputs!$N$12))</f>
        <v>0</v>
      </c>
      <c r="V444">
        <f>inputs!$E$70*(F444/inputs!$F$70)^(0.25)</f>
        <v>20.634268100135696</v>
      </c>
      <c r="W444">
        <f>inputs!$E$76*(inputs!$F$76/F444)^(0.25)</f>
        <v>8.2568699553496286E-2</v>
      </c>
      <c r="X444">
        <f>inputs!$E$72*(inputs!$F$72/F444)^(0.25)</f>
        <v>12.110921443264401</v>
      </c>
      <c r="Y444" t="s">
        <v>13</v>
      </c>
      <c r="Z444">
        <f t="shared" si="43"/>
        <v>0.21765417113914023</v>
      </c>
      <c r="AA444">
        <f t="shared" si="44"/>
        <v>54.392700196132182</v>
      </c>
    </row>
    <row r="445" spans="1:27" x14ac:dyDescent="0.3">
      <c r="A445" t="s">
        <v>604</v>
      </c>
      <c r="B445" t="s">
        <v>607</v>
      </c>
      <c r="C445" t="s">
        <v>61</v>
      </c>
      <c r="D445" t="s">
        <v>454</v>
      </c>
      <c r="E445">
        <v>7753</v>
      </c>
      <c r="F445">
        <v>113000</v>
      </c>
      <c r="G445" t="s">
        <v>218</v>
      </c>
      <c r="H445">
        <v>0.68</v>
      </c>
      <c r="I445">
        <f>MAX('Min rate concentrations'!$K$3:$K$368)</f>
        <v>18.333393099490852</v>
      </c>
      <c r="J445">
        <f>MAX('Min rate concentrations'!AC:AC)</f>
        <v>6.4930767227363431</v>
      </c>
      <c r="K445">
        <f t="shared" si="46"/>
        <v>1.6971208599598093</v>
      </c>
      <c r="L445">
        <f t="shared" si="48"/>
        <v>0.60106363790243234</v>
      </c>
      <c r="M445">
        <f>IF((((0.326*F445^0.818)-(0.398*F445^0.85)/(1-H445)*H445)*(MAX('Min rate concentrations'!$P$3:$P$368)))/F445&gt;0, (((0.326*F445^0.818)-(0.398*F445^0.85)/(1-H445)*H445)*(MAX('Min rate concentrations'!$P$3:$P$368)))/F445, 0)</f>
        <v>0</v>
      </c>
      <c r="N445">
        <f>IF((((0.326*F445^0.818)-(0.398*F445^0.85)/(1-H445)*H445)*(MAX('Min rate concentrations'!$Q$3:$Q$368)))/F445&gt; 0, (((0.326*F445^0.818)-(0.398*F445^0.85)/(1-H445)*H445)*(MAX('Min rate concentrations'!$Q$3:$Q$368)))/F445, 0)</f>
        <v>0</v>
      </c>
      <c r="O445">
        <f>((MAX('Min rate concentrations'!$F$3:$F$368))*0.62*6.01*8*(12.3*F445^0.65)*0.079*0.1/F445)*inputs!$E$73/inputs!$E$74</f>
        <v>0.76876317410980122</v>
      </c>
      <c r="P445">
        <f>((MAX('Min rate concentrations'!Y:Y))*0.62*6.01*8*(12.3*F445^0.65)*0.079*0.1/F445)*inputs!$E$73/inputs!$E$74</f>
        <v>0.25625439136993378</v>
      </c>
      <c r="Q445">
        <f>(inputs!$C$7*11.2*(12.3*F445^0.65)*0.5/F445)*inputs!$E$73/inputs!$E$74</f>
        <v>0.13541400718790042</v>
      </c>
      <c r="R445">
        <f>(60*379*((F445/1000)^0.8)*3*24*(MAX('Min rate concentrations'!$R$3:$R$368))/F445)*(inputs!$E$73/inputs!$E$75)</f>
        <v>7.147625164772829E-4</v>
      </c>
      <c r="S445">
        <f>(IF(inputs!$C$6="aerial",((0.025*0.112*inputs!$C$7/3.3)*(3*60*379*((F445/1000)^0.8))*MAX(inputs!$H$14:$H$16))/F445,((0.0083*0.112*inputs!$C$7/1)*(3*60*379*((F445/1000)^0.8))*MAX(inputs!$H$14:$H$16))/F445))*(inputs!E$75/inputs!$E$73)</f>
        <v>3.9419591921727231E-3</v>
      </c>
      <c r="T445">
        <f>IF((((inputs!$P$12/(V445/MAX(K445:S445)))^(1/inputs!$O$12))-1)/inputs!$N$12&lt;0, 0, IF((((inputs!$P$12/(V445/MAX(K445:S445)))^(1/inputs!$O$12))-1)/inputs!$N$12&gt;inputs!$H$17, inputs!$H$17, (((inputs!$P$12/(V445/MAX(K445:S445)))^(1/inputs!$O$12))-1)/inputs!$N$12))</f>
        <v>0</v>
      </c>
      <c r="U445">
        <f>IF((((inputs!$P$12/(X445/MAX(K445:S445)))^(1/inputs!$O$12))-1)/inputs!$N$12&lt;0, 0, IF((((inputs!$P$12/(X445/MAX(K445:S445)))^(1/inputs!$O$12))-1)/inputs!$N$12&gt;inputs!$H$17, inputs!$H$17, (((inputs!$P$12/(X445/MAX(K445:S445)))^(1/inputs!$O$12))-1)/inputs!$N$12))</f>
        <v>0</v>
      </c>
      <c r="V445">
        <f>inputs!$E$70*(F445/inputs!$F$70)^(0.25)</f>
        <v>20.634268100135696</v>
      </c>
      <c r="W445">
        <f>inputs!$E$76*(inputs!$F$76/F445)^(0.25)</f>
        <v>8.2568699553496286E-2</v>
      </c>
      <c r="X445">
        <f>inputs!$E$72*(inputs!$F$72/F445)^(0.25)</f>
        <v>12.110921443264401</v>
      </c>
      <c r="Y445" t="s">
        <v>13</v>
      </c>
      <c r="Z445">
        <f t="shared" si="43"/>
        <v>8.2247688734288019E-2</v>
      </c>
      <c r="AA445">
        <f t="shared" si="44"/>
        <v>20.554046135366878</v>
      </c>
    </row>
    <row r="446" spans="1:27" x14ac:dyDescent="0.3">
      <c r="A446" t="s">
        <v>604</v>
      </c>
      <c r="B446" t="s">
        <v>607</v>
      </c>
      <c r="C446" t="s">
        <v>61</v>
      </c>
      <c r="D446" t="s">
        <v>454</v>
      </c>
      <c r="E446">
        <v>7753</v>
      </c>
      <c r="F446">
        <v>113000</v>
      </c>
      <c r="G446" t="s">
        <v>186</v>
      </c>
      <c r="H446">
        <v>0.75</v>
      </c>
      <c r="I446">
        <f>inputs!$C$65*inputs!$C$64/1000</f>
        <v>2.13</v>
      </c>
      <c r="J446">
        <f>inputs!$C$65*inputs!$C$63/1000</f>
        <v>0.88</v>
      </c>
      <c r="K446">
        <f t="shared" si="46"/>
        <v>0.25238264883563333</v>
      </c>
      <c r="L446">
        <f t="shared" si="48"/>
        <v>0.1042707657161302</v>
      </c>
      <c r="M446">
        <f>IF((((0.326*F446^0.818)-(0.398*F446^0.85)/(1-H446)*H446)*(MAX('Min rate concentrations'!$P$3:$P$368)))/F446&gt;0, (((0.326*F446^0.818)-(0.398*F446^0.85)/(1-H446)*H446)*(MAX('Min rate concentrations'!$P$3:$P$368)))/F446, 0)</f>
        <v>0</v>
      </c>
      <c r="N446">
        <f>IF((((0.326*F446^0.818)-(0.398*F446^0.85)/(1-H446)*H446)*(MAX('Min rate concentrations'!$Q$3:$Q$368)))/F446&gt; 0, (((0.326*F446^0.818)-(0.398*F446^0.85)/(1-H446)*H446)*(MAX('Min rate concentrations'!$Q$3:$Q$368)))/F446, 0)</f>
        <v>0</v>
      </c>
      <c r="O446">
        <f>((MAX('Min rate concentrations'!$F$3:$F$368))*0.62*6.01*8*(12.3*F446^0.65)*0.079*0.1/F446)*inputs!$E$73/inputs!$E$74</f>
        <v>0.76876317410980122</v>
      </c>
      <c r="P446">
        <f>((MAX('Min rate concentrations'!Y:Y))*0.62*6.01*8*(12.3*F446^0.65)*0.079*0.1/F446)*inputs!$E$73/inputs!$E$74</f>
        <v>0.25625439136993378</v>
      </c>
      <c r="Q446">
        <f>(inputs!$C$7*11.2*(12.3*F446^0.65)*0.5/F446)*inputs!$E$73/inputs!$E$74</f>
        <v>0.13541400718790042</v>
      </c>
      <c r="R446">
        <f>(60*379*((F446/1000)^0.8)*3*24*(MAX('Min rate concentrations'!$R$3:$R$368))/F446)*(inputs!$E$73/inputs!$E$75)</f>
        <v>7.147625164772829E-4</v>
      </c>
      <c r="S446">
        <f>(IF(inputs!$C$6="aerial",((0.025*0.112*inputs!$C$7/3.3)*(3*60*379*((F446/1000)^0.8))*MAX(inputs!$H$14:$H$16))/F446,((0.0083*0.112*inputs!$C$7/1)*(3*60*379*((F446/1000)^0.8))*MAX(inputs!$H$14:$H$16))/F446))*(inputs!E$75/inputs!$E$73)</f>
        <v>3.9419591921727231E-3</v>
      </c>
      <c r="T446">
        <f>IF((((inputs!$P$12/(V446/MAX(K446:S446)))^(1/inputs!$O$12))-1)/inputs!$N$12&lt;0, 0, IF((((inputs!$P$12/(V446/MAX(K446:S446)))^(1/inputs!$O$12))-1)/inputs!$N$12&gt;inputs!$H$17, inputs!$H$17, (((inputs!$P$12/(V446/MAX(K446:S446)))^(1/inputs!$O$12))-1)/inputs!$N$12))</f>
        <v>0</v>
      </c>
      <c r="U446">
        <f>IF((((inputs!$P$12/(X446/MAX(K446:S446)))^(1/inputs!$O$12))-1)/inputs!$N$12&lt;0, 0, IF((((inputs!$P$12/(X446/MAX(K446:S446)))^(1/inputs!$O$12))-1)/inputs!$N$12&gt;inputs!$H$17, inputs!$H$17, (((inputs!$P$12/(X446/MAX(K446:S446)))^(1/inputs!$O$12))-1)/inputs!$N$12))</f>
        <v>0</v>
      </c>
      <c r="V446">
        <f>inputs!$E$70*(F446/inputs!$F$70)^(0.25)</f>
        <v>20.634268100135696</v>
      </c>
      <c r="W446">
        <f>inputs!$E$76*(inputs!$F$76/F446)^(0.25)</f>
        <v>8.2568699553496286E-2</v>
      </c>
      <c r="X446">
        <f>inputs!$E$72*(inputs!$F$72/F446)^(0.25)</f>
        <v>12.110921443264401</v>
      </c>
      <c r="Y446" t="s">
        <v>13</v>
      </c>
      <c r="Z446">
        <f t="shared" si="43"/>
        <v>3.7256624290189659E-2</v>
      </c>
      <c r="AA446">
        <f t="shared" si="44"/>
        <v>9.3105883738876045</v>
      </c>
    </row>
    <row r="447" spans="1:27" x14ac:dyDescent="0.3">
      <c r="A447" t="s">
        <v>604</v>
      </c>
      <c r="B447" t="s">
        <v>607</v>
      </c>
      <c r="C447" t="s">
        <v>61</v>
      </c>
      <c r="D447" t="s">
        <v>454</v>
      </c>
      <c r="E447">
        <v>7753</v>
      </c>
      <c r="F447">
        <v>113000</v>
      </c>
      <c r="G447" t="s">
        <v>152</v>
      </c>
      <c r="H447">
        <v>0.77</v>
      </c>
      <c r="I447">
        <f>MAX('Min rate concentrations'!$G$3:$G$368)</f>
        <v>7.5</v>
      </c>
      <c r="J447">
        <f>MAX('Min rate concentrations'!Z:Z)</f>
        <v>3.5</v>
      </c>
      <c r="K447">
        <f t="shared" si="46"/>
        <v>0.96594706382284656</v>
      </c>
      <c r="L447">
        <f t="shared" si="48"/>
        <v>0.45077529645066172</v>
      </c>
      <c r="M447">
        <f>IF((((0.326*F447^0.818)-(0.398*F447^0.85)/(1-H447)*H447)*(MAX('Min rate concentrations'!$P$3:$P$368)))/F447&gt;0, (((0.326*F447^0.818)-(0.398*F447^0.85)/(1-H447)*H447)*(MAX('Min rate concentrations'!$P$3:$P$368)))/F447, 0)</f>
        <v>0</v>
      </c>
      <c r="N447">
        <f>IF((((0.326*F447^0.818)-(0.398*F447^0.85)/(1-H447)*H447)*(MAX('Min rate concentrations'!$Q$3:$Q$368)))/F447&gt; 0, (((0.326*F447^0.818)-(0.398*F447^0.85)/(1-H447)*H447)*(MAX('Min rate concentrations'!$Q$3:$Q$368)))/F447, 0)</f>
        <v>0</v>
      </c>
      <c r="O447">
        <f>((MAX('Min rate concentrations'!$F$3:$F$368))*0.62*6.01*8*(12.3*F447^0.65)*0.079*0.1/F447)*inputs!$E$73/inputs!$E$74</f>
        <v>0.76876317410980122</v>
      </c>
      <c r="P447">
        <f>((MAX('Min rate concentrations'!Y:Y))*0.62*6.01*8*(12.3*F447^0.65)*0.079*0.1/F447)*inputs!$E$73/inputs!$E$74</f>
        <v>0.25625439136993378</v>
      </c>
      <c r="Q447">
        <f>(inputs!$C$7*11.2*(12.3*F447^0.65)*0.5/F447)*inputs!$E$73/inputs!$E$74</f>
        <v>0.13541400718790042</v>
      </c>
      <c r="R447">
        <f>(60*379*((F447/1000)^0.8)*3*24*(MAX('Min rate concentrations'!$R$3:$R$368))/F447)*(inputs!$E$73/inputs!$E$75)</f>
        <v>7.147625164772829E-4</v>
      </c>
      <c r="S447">
        <f>(IF(inputs!$C$6="aerial",((0.025*0.112*inputs!$C$7/3.3)*(3*60*379*((F447/1000)^0.8))*MAX(inputs!$H$14:$H$16))/F447,((0.0083*0.112*inputs!$C$7/1)*(3*60*379*((F447/1000)^0.8))*MAX(inputs!$H$14:$H$16))/F447))*(inputs!E$75/inputs!$E$73)</f>
        <v>3.9419591921727231E-3</v>
      </c>
      <c r="T447">
        <f>IF((((inputs!$P$12/(V447/MAX(K447:S447)))^(1/inputs!$O$12))-1)/inputs!$N$12&lt;0, 0, IF((((inputs!$P$12/(V447/MAX(K447:S447)))^(1/inputs!$O$12))-1)/inputs!$N$12&gt;inputs!$H$17, inputs!$H$17, (((inputs!$P$12/(V447/MAX(K447:S447)))^(1/inputs!$O$12))-1)/inputs!$N$12))</f>
        <v>0</v>
      </c>
      <c r="U447">
        <f>IF((((inputs!$P$12/(X447/MAX(K447:S447)))^(1/inputs!$O$12))-1)/inputs!$N$12&lt;0, 0, IF((((inputs!$P$12/(X447/MAX(K447:S447)))^(1/inputs!$O$12))-1)/inputs!$N$12&gt;inputs!$H$17, inputs!$H$17, (((inputs!$P$12/(X447/MAX(K447:S447)))^(1/inputs!$O$12))-1)/inputs!$N$12))</f>
        <v>0</v>
      </c>
      <c r="V447">
        <f>inputs!$E$70*(F447/inputs!$F$70)^(0.25)</f>
        <v>20.634268100135696</v>
      </c>
      <c r="W447">
        <f>inputs!$E$76*(inputs!$F$76/F447)^(0.25)</f>
        <v>8.2568699553496286E-2</v>
      </c>
      <c r="X447">
        <f>inputs!$E$72*(inputs!$F$72/F447)^(0.25)</f>
        <v>12.110921443264401</v>
      </c>
      <c r="Y447" t="s">
        <v>13</v>
      </c>
      <c r="Z447">
        <f t="shared" si="43"/>
        <v>4.6812761137696675E-2</v>
      </c>
      <c r="AA447">
        <f t="shared" si="44"/>
        <v>11.698707488992353</v>
      </c>
    </row>
    <row r="448" spans="1:27" x14ac:dyDescent="0.3">
      <c r="A448" t="s">
        <v>604</v>
      </c>
      <c r="B448" t="s">
        <v>607</v>
      </c>
      <c r="C448" t="s">
        <v>61</v>
      </c>
      <c r="D448" t="s">
        <v>454</v>
      </c>
      <c r="E448">
        <v>7753</v>
      </c>
      <c r="F448">
        <v>113000</v>
      </c>
      <c r="G448" t="s">
        <v>169</v>
      </c>
      <c r="H448">
        <v>0.79</v>
      </c>
      <c r="I448">
        <f>MAX('Min rate concentrations'!$D$3:$D$368)</f>
        <v>120</v>
      </c>
      <c r="J448">
        <f>MAX('Min rate concentrations'!W:W)</f>
        <v>42.5</v>
      </c>
      <c r="K448">
        <f t="shared" si="46"/>
        <v>16.927072356514646</v>
      </c>
      <c r="L448">
        <f t="shared" si="48"/>
        <v>5.9950047929322707</v>
      </c>
      <c r="M448">
        <f>IF((((0.326*F448^0.818)-(0.398*F448^0.85)/(1-H448)*H448)*(MAX('Min rate concentrations'!$P$3:$P$368)))/F448&gt;0, (((0.326*F448^0.818)-(0.398*F448^0.85)/(1-H448)*H448)*(MAX('Min rate concentrations'!$P$3:$P$368)))/F448, 0)</f>
        <v>0</v>
      </c>
      <c r="N448">
        <f>IF((((0.326*F448^0.818)-(0.398*F448^0.85)/(1-H448)*H448)*(MAX('Min rate concentrations'!$Q$3:$Q$368)))/F448&gt; 0, (((0.326*F448^0.818)-(0.398*F448^0.85)/(1-H448)*H448)*(MAX('Min rate concentrations'!$Q$3:$Q$368)))/F448, 0)</f>
        <v>0</v>
      </c>
      <c r="O448">
        <f>((MAX('Min rate concentrations'!$F$3:$F$368))*0.62*6.01*8*(12.3*F448^0.65)*0.079*0.1/F448)*inputs!$E$73/inputs!$E$74</f>
        <v>0.76876317410980122</v>
      </c>
      <c r="P448">
        <f>((MAX('Min rate concentrations'!Y:Y))*0.62*6.01*8*(12.3*F448^0.65)*0.079*0.1/F448)*inputs!$E$73/inputs!$E$74</f>
        <v>0.25625439136993378</v>
      </c>
      <c r="Q448">
        <f>(inputs!$C$7*11.2*(12.3*F448^0.65)*0.5/F448)*inputs!$E$73/inputs!$E$74</f>
        <v>0.13541400718790042</v>
      </c>
      <c r="R448">
        <f>(60*379*((F448/1000)^0.8)*3*24*(MAX('Min rate concentrations'!$R$3:$R$368))/F448)*(inputs!$E$73/inputs!$E$75)</f>
        <v>7.147625164772829E-4</v>
      </c>
      <c r="S448">
        <f>(IF(inputs!$C$6="aerial",((0.025*0.112*inputs!$C$7/3.3)*(3*60*379*((F448/1000)^0.8))*MAX(inputs!$H$14:$H$16))/F448,((0.0083*0.112*inputs!$C$7/1)*(3*60*379*((F448/1000)^0.8))*MAX(inputs!$H$14:$H$16))/F448))*(inputs!E$75/inputs!$E$73)</f>
        <v>3.9419591921727231E-3</v>
      </c>
      <c r="T448">
        <f>IF((((inputs!$P$12/(V448/MAX(K448:S448)))^(1/inputs!$O$12))-1)/inputs!$N$12&lt;0, 0, IF((((inputs!$P$12/(V448/MAX(K448:S448)))^(1/inputs!$O$12))-1)/inputs!$N$12&gt;inputs!$H$17, inputs!$H$17, (((inputs!$P$12/(V448/MAX(K448:S448)))^(1/inputs!$O$12))-1)/inputs!$N$12))</f>
        <v>0</v>
      </c>
      <c r="U448">
        <f>IF((((inputs!$P$12/(X448/MAX(K448:S448)))^(1/inputs!$O$12))-1)/inputs!$N$12&lt;0, 0, IF((((inputs!$P$12/(X448/MAX(K448:S448)))^(1/inputs!$O$12))-1)/inputs!$N$12&gt;inputs!$H$17, inputs!$H$17, (((inputs!$P$12/(X448/MAX(K448:S448)))^(1/inputs!$O$12))-1)/inputs!$N$12))</f>
        <v>0</v>
      </c>
      <c r="V448">
        <f>inputs!$E$70*(F448/inputs!$F$70)^(0.25)</f>
        <v>20.634268100135696</v>
      </c>
      <c r="W448">
        <f>inputs!$E$76*(inputs!$F$76/F448)^(0.25)</f>
        <v>8.2568699553496286E-2</v>
      </c>
      <c r="X448">
        <f>inputs!$E$72*(inputs!$F$72/F448)^(0.25)</f>
        <v>12.110921443264401</v>
      </c>
      <c r="Y448" t="s">
        <v>13</v>
      </c>
      <c r="Z448">
        <f t="shared" si="43"/>
        <v>0.82033790946058949</v>
      </c>
      <c r="AA448">
        <f t="shared" si="44"/>
        <v>205.00592171186602</v>
      </c>
    </row>
    <row r="449" spans="1:27" x14ac:dyDescent="0.3">
      <c r="A449" t="s">
        <v>604</v>
      </c>
      <c r="B449" t="s">
        <v>607</v>
      </c>
      <c r="C449" t="s">
        <v>61</v>
      </c>
      <c r="D449" t="s">
        <v>454</v>
      </c>
      <c r="E449">
        <v>7753</v>
      </c>
      <c r="F449">
        <v>113000</v>
      </c>
      <c r="G449" t="s">
        <v>580</v>
      </c>
      <c r="H449">
        <v>0.85</v>
      </c>
      <c r="I449">
        <f>MAX('Min rate concentrations'!$F$3:$F$368)</f>
        <v>67.5</v>
      </c>
      <c r="J449">
        <f>MAX('Min rate concentrations'!Y:Y)</f>
        <v>22.5</v>
      </c>
      <c r="K449">
        <f t="shared" si="46"/>
        <v>13.330069480755279</v>
      </c>
      <c r="M449">
        <f>IF((((0.326*F449^0.818)-(0.398*F449^0.85)/(1-H449)*H449)*(MAX('Min rate concentrations'!$P$3:$P$368)))/F449&gt;0, (((0.326*F449^0.818)-(0.398*F449^0.85)/(1-H449)*H449)*(MAX('Min rate concentrations'!$P$3:$P$368)))/F449, 0)</f>
        <v>0</v>
      </c>
      <c r="N449">
        <f>IF((((0.326*F449^0.818)-(0.398*F449^0.85)/(1-H449)*H449)*(MAX('Min rate concentrations'!$Q$3:$Q$368)))/F449&gt; 0, (((0.326*F449^0.818)-(0.398*F449^0.85)/(1-H449)*H449)*(MAX('Min rate concentrations'!$Q$3:$Q$368)))/F449, 0)</f>
        <v>0</v>
      </c>
      <c r="O449">
        <f>((MAX('Min rate concentrations'!$F$3:$F$368))*0.62*6.01*8*(12.3*F449^0.65)*0.079*0.1/F449)*inputs!$E$73/inputs!$E$74</f>
        <v>0.76876317410980122</v>
      </c>
      <c r="Q449">
        <f>(inputs!$C$7*11.2*(12.3*F449^0.65)*0.5/F449)*inputs!$E$73/inputs!$E$74</f>
        <v>0.13541400718790042</v>
      </c>
      <c r="R449">
        <f>(60*379*((F449/1000)^0.8)*3*24*(MAX('Min rate concentrations'!$R$3:$R$368))/F449)*(inputs!$E$73/inputs!$E$75)</f>
        <v>7.147625164772829E-4</v>
      </c>
      <c r="S449">
        <f>(IF(inputs!$C$6="aerial",((0.025*0.112*inputs!$C$7/3.3)*(3*60*379*((F449/1000)^0.8))*MAX(inputs!$H$14:$H$16))/F449,((0.0083*0.112*inputs!$C$7/1)*(3*60*379*((F449/1000)^0.8))*MAX(inputs!$H$14:$H$16))/F449))*(inputs!E$75/inputs!$E$73)</f>
        <v>3.9419591921727231E-3</v>
      </c>
      <c r="T449">
        <f>IF((((inputs!$P$12/(V449/MAX(K449:S449)))^(1/inputs!$O$12))-1)/inputs!$N$12&lt;0, 0, IF((((inputs!$P$12/(V449/MAX(K449:S449)))^(1/inputs!$O$12))-1)/inputs!$N$12&gt;inputs!$H$17, inputs!$H$17, (((inputs!$P$12/(V449/MAX(K449:S449)))^(1/inputs!$O$12))-1)/inputs!$N$12))</f>
        <v>0</v>
      </c>
      <c r="U449">
        <f>IF((((inputs!$P$12/(X449/MAX(K449:S449)))^(1/inputs!$O$12))-1)/inputs!$N$12&lt;0, 0, IF((((inputs!$P$12/(X449/MAX(K449:S449)))^(1/inputs!$O$12))-1)/inputs!$N$12&gt;inputs!$H$17, inputs!$H$17, (((inputs!$P$12/(X449/MAX(K449:S449)))^(1/inputs!$O$12))-1)/inputs!$N$12))</f>
        <v>0</v>
      </c>
      <c r="V449">
        <f>inputs!$E$70*(F449/inputs!$F$70)^(0.25)</f>
        <v>20.634268100135696</v>
      </c>
      <c r="W449">
        <f>inputs!$E$76*(inputs!$F$76/F449)^(0.25)</f>
        <v>8.2568699553496286E-2</v>
      </c>
      <c r="X449">
        <f>inputs!$E$72*(inputs!$F$72/F449)^(0.25)</f>
        <v>12.110921443264401</v>
      </c>
      <c r="Y449" t="s">
        <v>13</v>
      </c>
      <c r="Z449">
        <f t="shared" si="43"/>
        <v>0.64601610370021401</v>
      </c>
      <c r="AA449">
        <f t="shared" si="44"/>
        <v>161.44216334809443</v>
      </c>
    </row>
    <row r="450" spans="1:27" x14ac:dyDescent="0.3">
      <c r="A450" t="s">
        <v>604</v>
      </c>
      <c r="B450" t="s">
        <v>607</v>
      </c>
      <c r="C450" t="s">
        <v>61</v>
      </c>
      <c r="D450" t="s">
        <v>454</v>
      </c>
      <c r="E450">
        <v>7753</v>
      </c>
      <c r="F450">
        <v>113000</v>
      </c>
      <c r="G450" t="s">
        <v>455</v>
      </c>
      <c r="H450">
        <v>0.68</v>
      </c>
      <c r="I450">
        <f>MAX('Min rate concentrations'!$K$3:$K$368)</f>
        <v>18.333393099490852</v>
      </c>
      <c r="J450">
        <f>MAX('Min rate concentrations'!AC:AC)</f>
        <v>6.4930767227363431</v>
      </c>
      <c r="K450">
        <f t="shared" si="46"/>
        <v>1.6971208599598093</v>
      </c>
      <c r="M450">
        <f>IF((((0.326*F450^0.818)-(0.398*F450^0.85)/(1-H450)*H450)*(MAX('Min rate concentrations'!$P$3:$P$368)))/F450&gt;0, (((0.326*F450^0.818)-(0.398*F450^0.85)/(1-H450)*H450)*(MAX('Min rate concentrations'!$P$3:$P$368)))/F450, 0)</f>
        <v>0</v>
      </c>
      <c r="N450">
        <f>IF((((0.326*F450^0.818)-(0.398*F450^0.85)/(1-H450)*H450)*(MAX('Min rate concentrations'!$Q$3:$Q$368)))/F450&gt; 0, (((0.326*F450^0.818)-(0.398*F450^0.85)/(1-H450)*H450)*(MAX('Min rate concentrations'!$Q$3:$Q$368)))/F450, 0)</f>
        <v>0</v>
      </c>
      <c r="O450">
        <f>((MAX('Min rate concentrations'!$F$3:$F$368))*0.62*6.01*8*(12.3*F450^0.65)*0.079*0.1/F450)*inputs!$E$73/inputs!$E$74</f>
        <v>0.76876317410980122</v>
      </c>
      <c r="Q450">
        <f>(inputs!$C$7*11.2*(12.3*F450^0.65)*0.5/F450)*inputs!$E$73/inputs!$E$74</f>
        <v>0.13541400718790042</v>
      </c>
      <c r="R450">
        <f>(60*379*((F450/1000)^0.8)*3*24*(MAX('Min rate concentrations'!$R$3:$R$368))/F450)*(inputs!$E$73/inputs!$E$75)</f>
        <v>7.147625164772829E-4</v>
      </c>
      <c r="S450">
        <f>(IF(inputs!$C$6="aerial",((0.025*0.112*inputs!$C$7/3.3)*(3*60*379*((F450/1000)^0.8))*MAX(inputs!$H$14:$H$16))/F450,((0.0083*0.112*inputs!$C$7/1)*(3*60*379*((F450/1000)^0.8))*MAX(inputs!$H$14:$H$16))/F450))*(inputs!E$75/inputs!$E$73)</f>
        <v>3.9419591921727231E-3</v>
      </c>
      <c r="T450">
        <f>IF((((inputs!$P$12/(V450/MAX(K450:S450)))^(1/inputs!$O$12))-1)/inputs!$N$12&lt;0, 0, IF((((inputs!$P$12/(V450/MAX(K450:S450)))^(1/inputs!$O$12))-1)/inputs!$N$12&gt;inputs!$H$17, inputs!$H$17, (((inputs!$P$12/(V450/MAX(K450:S450)))^(1/inputs!$O$12))-1)/inputs!$N$12))</f>
        <v>0</v>
      </c>
      <c r="U450">
        <f>IF((((inputs!$P$12/(X450/MAX(K450:S450)))^(1/inputs!$O$12))-1)/inputs!$N$12&lt;0, 0, IF((((inputs!$P$12/(X450/MAX(K450:S450)))^(1/inputs!$O$12))-1)/inputs!$N$12&gt;inputs!$H$17, inputs!$H$17, (((inputs!$P$12/(X450/MAX(K450:S450)))^(1/inputs!$O$12))-1)/inputs!$N$12))</f>
        <v>0</v>
      </c>
      <c r="V450">
        <f>inputs!$E$70*(F450/inputs!$F$70)^(0.25)</f>
        <v>20.634268100135696</v>
      </c>
      <c r="W450">
        <f>inputs!$E$76*(inputs!$F$76/F450)^(0.25)</f>
        <v>8.2568699553496286E-2</v>
      </c>
      <c r="X450">
        <f>inputs!$E$72*(inputs!$F$72/F450)^(0.25)</f>
        <v>12.110921443264401</v>
      </c>
      <c r="Y450" t="s">
        <v>13</v>
      </c>
      <c r="Z450">
        <f t="shared" si="43"/>
        <v>8.2247688734288019E-2</v>
      </c>
      <c r="AA450">
        <f t="shared" si="44"/>
        <v>20.554046135366878</v>
      </c>
    </row>
    <row r="451" spans="1:27" x14ac:dyDescent="0.3">
      <c r="A451" t="s">
        <v>604</v>
      </c>
      <c r="B451" t="s">
        <v>607</v>
      </c>
      <c r="C451" t="s">
        <v>61</v>
      </c>
      <c r="D451" t="s">
        <v>454</v>
      </c>
      <c r="E451">
        <v>7753</v>
      </c>
      <c r="F451">
        <v>113000</v>
      </c>
      <c r="G451" t="s">
        <v>456</v>
      </c>
      <c r="H451">
        <v>0.68</v>
      </c>
      <c r="I451">
        <f>MAX('Min rate concentrations'!$J$3:$J$368)</f>
        <v>114.4108103430513</v>
      </c>
      <c r="J451">
        <f>MAX('Min rate concentrations'!AB:AB)</f>
        <v>40.520495329830666</v>
      </c>
      <c r="K451">
        <f t="shared" si="46"/>
        <v>10.591000355711033</v>
      </c>
      <c r="L451">
        <f t="shared" ref="L451:L456" si="49">(((0.235*F451^0.822)/(1-H451)))*J451/F451</f>
        <v>3.7509792926476582</v>
      </c>
      <c r="M451">
        <f>IF((((0.326*F451^0.818)-(0.398*F451^0.85)/(1-H451)*H451)*(MAX('Min rate concentrations'!$P$3:$P$368)))/F451&gt;0, (((0.326*F451^0.818)-(0.398*F451^0.85)/(1-H451)*H451)*(MAX('Min rate concentrations'!$P$3:$P$368)))/F451, 0)</f>
        <v>0</v>
      </c>
      <c r="N451">
        <f>IF((((0.326*F451^0.818)-(0.398*F451^0.85)/(1-H451)*H451)*(MAX('Min rate concentrations'!$Q$3:$Q$368)))/F451&gt; 0, (((0.326*F451^0.818)-(0.398*F451^0.85)/(1-H451)*H451)*(MAX('Min rate concentrations'!$Q$3:$Q$368)))/F451, 0)</f>
        <v>0</v>
      </c>
      <c r="O451">
        <f>((MAX('Min rate concentrations'!$F$3:$F$368))*0.62*6.01*8*(12.3*F451^0.65)*0.079*0.1/F451)*inputs!$E$73/inputs!$E$74</f>
        <v>0.76876317410980122</v>
      </c>
      <c r="P451">
        <f>((MAX('Min rate concentrations'!Y:Y))*0.62*6.01*8*(12.3*F451^0.65)*0.079*0.1/F451)*inputs!$E$73/inputs!$E$74</f>
        <v>0.25625439136993378</v>
      </c>
      <c r="Q451">
        <f>(inputs!$C$7*11.2*(12.3*F451^0.65)*0.5/F451)*inputs!$E$73/inputs!$E$74</f>
        <v>0.13541400718790042</v>
      </c>
      <c r="R451">
        <f>(60*379*((F451/1000)^0.8)*3*24*(MAX('Min rate concentrations'!$R$3:$R$368))/F451)*(inputs!$E$73/inputs!$E$75)</f>
        <v>7.147625164772829E-4</v>
      </c>
      <c r="S451">
        <f>(IF(inputs!$C$6="aerial",((0.025*0.112*inputs!$C$7/3.3)*(3*60*379*((F451/1000)^0.8))*MAX(inputs!$H$14:$H$16))/F451,((0.0083*0.112*inputs!$C$7/1)*(3*60*379*((F451/1000)^0.8))*MAX(inputs!$H$14:$H$16))/F451))*(inputs!E$75/inputs!$E$73)</f>
        <v>3.9419591921727231E-3</v>
      </c>
      <c r="T451">
        <f>IF((((inputs!$P$12/(V451/MAX(K451:S451)))^(1/inputs!$O$12))-1)/inputs!$N$12&lt;0, 0, IF((((inputs!$P$12/(V451/MAX(K451:S451)))^(1/inputs!$O$12))-1)/inputs!$N$12&gt;inputs!$H$17, inputs!$H$17, (((inputs!$P$12/(V451/MAX(K451:S451)))^(1/inputs!$O$12))-1)/inputs!$N$12))</f>
        <v>0</v>
      </c>
      <c r="U451">
        <f>IF((((inputs!$P$12/(X451/MAX(K451:S451)))^(1/inputs!$O$12))-1)/inputs!$N$12&lt;0, 0, IF((((inputs!$P$12/(X451/MAX(K451:S451)))^(1/inputs!$O$12))-1)/inputs!$N$12&gt;inputs!$H$17, inputs!$H$17, (((inputs!$P$12/(X451/MAX(K451:S451)))^(1/inputs!$O$12))-1)/inputs!$N$12))</f>
        <v>0</v>
      </c>
      <c r="V451">
        <f>inputs!$E$70*(F451/inputs!$F$70)^(0.25)</f>
        <v>20.634268100135696</v>
      </c>
      <c r="W451">
        <f>inputs!$E$76*(inputs!$F$76/F451)^(0.25)</f>
        <v>8.2568699553496286E-2</v>
      </c>
      <c r="X451">
        <f>inputs!$E$72*(inputs!$F$72/F451)^(0.25)</f>
        <v>12.110921443264401</v>
      </c>
      <c r="Y451" t="s">
        <v>13</v>
      </c>
      <c r="Z451">
        <f t="shared" si="43"/>
        <v>0.51327240221529269</v>
      </c>
      <c r="AA451">
        <f t="shared" si="44"/>
        <v>128.26894952910237</v>
      </c>
    </row>
    <row r="452" spans="1:27" x14ac:dyDescent="0.3">
      <c r="A452" t="s">
        <v>604</v>
      </c>
      <c r="B452" t="s">
        <v>608</v>
      </c>
      <c r="C452" t="s">
        <v>61</v>
      </c>
      <c r="D452" t="s">
        <v>454</v>
      </c>
      <c r="E452">
        <v>1302</v>
      </c>
      <c r="F452">
        <v>113000</v>
      </c>
      <c r="G452" t="s">
        <v>142</v>
      </c>
      <c r="H452">
        <v>0.69</v>
      </c>
      <c r="I452">
        <f>MAX('Min rate concentrations'!$H$3:$H$368)</f>
        <v>47</v>
      </c>
      <c r="J452">
        <f>MAX('Min rate concentrations'!AA:AA)</f>
        <v>32.5</v>
      </c>
      <c r="K452">
        <f t="shared" si="46"/>
        <v>4.4911345203978366</v>
      </c>
      <c r="L452">
        <f t="shared" si="49"/>
        <v>3.1055717428282912</v>
      </c>
      <c r="M452">
        <f>IF((((0.326*F452^0.818)-(0.398*F452^0.85)/(1-H452)*H452)*(MAX('Min rate concentrations'!$P$3:$P$368)))/F452&gt;0, (((0.326*F452^0.818)-(0.398*F452^0.85)/(1-H452)*H452)*(MAX('Min rate concentrations'!$P$3:$P$368)))/F452, 0)</f>
        <v>0</v>
      </c>
      <c r="N452">
        <f>IF((((0.326*F452^0.818)-(0.398*F452^0.85)/(1-H452)*H452)*(MAX('Min rate concentrations'!$Q$3:$Q$368)))/F452&gt; 0, (((0.326*F452^0.818)-(0.398*F452^0.85)/(1-H452)*H452)*(MAX('Min rate concentrations'!$Q$3:$Q$368)))/F452, 0)</f>
        <v>0</v>
      </c>
      <c r="O452">
        <f>((MAX('Min rate concentrations'!$F$3:$F$368))*0.62*6.01*8*(12.3*F452^0.65)*0.079*0.1/F452)*inputs!$E$73/inputs!$E$74</f>
        <v>0.76876317410980122</v>
      </c>
      <c r="P452">
        <f>((MAX('Min rate concentrations'!Y:Y))*0.62*6.01*8*(12.3*F452^0.65)*0.079*0.1/F452)*inputs!$E$73/inputs!$E$74</f>
        <v>0.25625439136993378</v>
      </c>
      <c r="Q452">
        <f>(inputs!$C$7*11.2*(12.3*F452^0.65)*0.5/F452)*inputs!$E$73/inputs!$E$74</f>
        <v>0.13541400718790042</v>
      </c>
      <c r="R452">
        <f>(60*379*((F452/1000)^0.8)*3*24*(MAX('Min rate concentrations'!$R$3:$R$368))/F452)*(inputs!$E$73/inputs!$E$75)</f>
        <v>7.147625164772829E-4</v>
      </c>
      <c r="S452">
        <f>(IF(inputs!$C$6="aerial",((0.025*0.112*inputs!$C$7/3.3)*(3*60*379*((F452/1000)^0.8))*MAX(inputs!$H$14:$H$16))/F452,((0.0083*0.112*inputs!$C$7/1)*(3*60*379*((F452/1000)^0.8))*MAX(inputs!$H$14:$H$16))/F452))*(inputs!E$75/inputs!$E$73)</f>
        <v>3.9419591921727231E-3</v>
      </c>
      <c r="T452">
        <f>IF((((inputs!$P$12/(V452/MAX(K452:S452)))^(1/inputs!$O$12))-1)/inputs!$N$12&lt;0, 0, IF((((inputs!$P$12/(V452/MAX(K452:S452)))^(1/inputs!$O$12))-1)/inputs!$N$12&gt;inputs!$H$17, inputs!$H$17, (((inputs!$P$12/(V452/MAX(K452:S452)))^(1/inputs!$O$12))-1)/inputs!$N$12))</f>
        <v>0</v>
      </c>
      <c r="U452">
        <f>IF((((inputs!$P$12/(X452/MAX(K452:S452)))^(1/inputs!$O$12))-1)/inputs!$N$12&lt;0, 0, IF((((inputs!$P$12/(X452/MAX(K452:S452)))^(1/inputs!$O$12))-1)/inputs!$N$12&gt;inputs!$H$17, inputs!$H$17, (((inputs!$P$12/(X452/MAX(K452:S452)))^(1/inputs!$O$12))-1)/inputs!$N$12))</f>
        <v>0</v>
      </c>
      <c r="V452">
        <f>inputs!$E$70*(F452/inputs!$F$70)^(0.25)</f>
        <v>20.634268100135696</v>
      </c>
      <c r="W452">
        <f>inputs!$E$76*(inputs!$F$76/F452)^(0.25)</f>
        <v>8.2568699553496286E-2</v>
      </c>
      <c r="X452">
        <f>inputs!$E$72*(inputs!$F$72/F452)^(0.25)</f>
        <v>12.110921443264401</v>
      </c>
      <c r="Y452" t="s">
        <v>13</v>
      </c>
      <c r="Z452">
        <f t="shared" ref="Z452:Z515" si="50">MAX(K452:S452)/V452</f>
        <v>0.21765417113914023</v>
      </c>
      <c r="AA452">
        <f t="shared" ref="AA452:AA515" si="51">MAX(K452:S452)/W452</f>
        <v>54.392700196132182</v>
      </c>
    </row>
    <row r="453" spans="1:27" x14ac:dyDescent="0.3">
      <c r="A453" t="s">
        <v>604</v>
      </c>
      <c r="B453" t="s">
        <v>608</v>
      </c>
      <c r="C453" t="s">
        <v>61</v>
      </c>
      <c r="D453" t="s">
        <v>454</v>
      </c>
      <c r="E453">
        <v>1302</v>
      </c>
      <c r="F453">
        <v>113000</v>
      </c>
      <c r="G453" t="s">
        <v>218</v>
      </c>
      <c r="H453">
        <v>0.68</v>
      </c>
      <c r="I453">
        <f>MAX('Min rate concentrations'!$K$3:$K$368)</f>
        <v>18.333393099490852</v>
      </c>
      <c r="J453">
        <f>MAX('Min rate concentrations'!AC:AC)</f>
        <v>6.4930767227363431</v>
      </c>
      <c r="K453">
        <f t="shared" si="46"/>
        <v>1.6971208599598093</v>
      </c>
      <c r="L453">
        <f t="shared" si="49"/>
        <v>0.60106363790243234</v>
      </c>
      <c r="M453">
        <f>IF((((0.326*F453^0.818)-(0.398*F453^0.85)/(1-H453)*H453)*(MAX('Min rate concentrations'!$P$3:$P$368)))/F453&gt;0, (((0.326*F453^0.818)-(0.398*F453^0.85)/(1-H453)*H453)*(MAX('Min rate concentrations'!$P$3:$P$368)))/F453, 0)</f>
        <v>0</v>
      </c>
      <c r="N453">
        <f>IF((((0.326*F453^0.818)-(0.398*F453^0.85)/(1-H453)*H453)*(MAX('Min rate concentrations'!$Q$3:$Q$368)))/F453&gt; 0, (((0.326*F453^0.818)-(0.398*F453^0.85)/(1-H453)*H453)*(MAX('Min rate concentrations'!$Q$3:$Q$368)))/F453, 0)</f>
        <v>0</v>
      </c>
      <c r="O453">
        <f>((MAX('Min rate concentrations'!$F$3:$F$368))*0.62*6.01*8*(12.3*F453^0.65)*0.079*0.1/F453)*inputs!$E$73/inputs!$E$74</f>
        <v>0.76876317410980122</v>
      </c>
      <c r="P453">
        <f>((MAX('Min rate concentrations'!Y:Y))*0.62*6.01*8*(12.3*F453^0.65)*0.079*0.1/F453)*inputs!$E$73/inputs!$E$74</f>
        <v>0.25625439136993378</v>
      </c>
      <c r="Q453">
        <f>(inputs!$C$7*11.2*(12.3*F453^0.65)*0.5/F453)*inputs!$E$73/inputs!$E$74</f>
        <v>0.13541400718790042</v>
      </c>
      <c r="R453">
        <f>(60*379*((F453/1000)^0.8)*3*24*(MAX('Min rate concentrations'!$R$3:$R$368))/F453)*(inputs!$E$73/inputs!$E$75)</f>
        <v>7.147625164772829E-4</v>
      </c>
      <c r="S453">
        <f>(IF(inputs!$C$6="aerial",((0.025*0.112*inputs!$C$7/3.3)*(3*60*379*((F453/1000)^0.8))*MAX(inputs!$H$14:$H$16))/F453,((0.0083*0.112*inputs!$C$7/1)*(3*60*379*((F453/1000)^0.8))*MAX(inputs!$H$14:$H$16))/F453))*(inputs!E$75/inputs!$E$73)</f>
        <v>3.9419591921727231E-3</v>
      </c>
      <c r="T453">
        <f>IF((((inputs!$P$12/(V453/MAX(K453:S453)))^(1/inputs!$O$12))-1)/inputs!$N$12&lt;0, 0, IF((((inputs!$P$12/(V453/MAX(K453:S453)))^(1/inputs!$O$12))-1)/inputs!$N$12&gt;inputs!$H$17, inputs!$H$17, (((inputs!$P$12/(V453/MAX(K453:S453)))^(1/inputs!$O$12))-1)/inputs!$N$12))</f>
        <v>0</v>
      </c>
      <c r="U453">
        <f>IF((((inputs!$P$12/(X453/MAX(K453:S453)))^(1/inputs!$O$12))-1)/inputs!$N$12&lt;0, 0, IF((((inputs!$P$12/(X453/MAX(K453:S453)))^(1/inputs!$O$12))-1)/inputs!$N$12&gt;inputs!$H$17, inputs!$H$17, (((inputs!$P$12/(X453/MAX(K453:S453)))^(1/inputs!$O$12))-1)/inputs!$N$12))</f>
        <v>0</v>
      </c>
      <c r="V453">
        <f>inputs!$E$70*(F453/inputs!$F$70)^(0.25)</f>
        <v>20.634268100135696</v>
      </c>
      <c r="W453">
        <f>inputs!$E$76*(inputs!$F$76/F453)^(0.25)</f>
        <v>8.2568699553496286E-2</v>
      </c>
      <c r="X453">
        <f>inputs!$E$72*(inputs!$F$72/F453)^(0.25)</f>
        <v>12.110921443264401</v>
      </c>
      <c r="Y453" t="s">
        <v>13</v>
      </c>
      <c r="Z453">
        <f t="shared" si="50"/>
        <v>8.2247688734288019E-2</v>
      </c>
      <c r="AA453">
        <f t="shared" si="51"/>
        <v>20.554046135366878</v>
      </c>
    </row>
    <row r="454" spans="1:27" x14ac:dyDescent="0.3">
      <c r="A454" t="s">
        <v>604</v>
      </c>
      <c r="B454" t="s">
        <v>608</v>
      </c>
      <c r="C454" t="s">
        <v>61</v>
      </c>
      <c r="D454" t="s">
        <v>454</v>
      </c>
      <c r="E454">
        <v>1302</v>
      </c>
      <c r="F454">
        <v>113000</v>
      </c>
      <c r="G454" t="s">
        <v>186</v>
      </c>
      <c r="H454">
        <v>0.75</v>
      </c>
      <c r="I454">
        <f>inputs!$C$65*inputs!$C$64/1000</f>
        <v>2.13</v>
      </c>
      <c r="J454">
        <f>inputs!$C$65*inputs!$C$63/1000</f>
        <v>0.88</v>
      </c>
      <c r="K454">
        <f t="shared" si="46"/>
        <v>0.25238264883563333</v>
      </c>
      <c r="L454">
        <f t="shared" si="49"/>
        <v>0.1042707657161302</v>
      </c>
      <c r="M454">
        <f>IF((((0.326*F454^0.818)-(0.398*F454^0.85)/(1-H454)*H454)*(MAX('Min rate concentrations'!$P$3:$P$368)))/F454&gt;0, (((0.326*F454^0.818)-(0.398*F454^0.85)/(1-H454)*H454)*(MAX('Min rate concentrations'!$P$3:$P$368)))/F454, 0)</f>
        <v>0</v>
      </c>
      <c r="N454">
        <f>IF((((0.326*F454^0.818)-(0.398*F454^0.85)/(1-H454)*H454)*(MAX('Min rate concentrations'!$Q$3:$Q$368)))/F454&gt; 0, (((0.326*F454^0.818)-(0.398*F454^0.85)/(1-H454)*H454)*(MAX('Min rate concentrations'!$Q$3:$Q$368)))/F454, 0)</f>
        <v>0</v>
      </c>
      <c r="O454">
        <f>((MAX('Min rate concentrations'!$F$3:$F$368))*0.62*6.01*8*(12.3*F454^0.65)*0.079*0.1/F454)*inputs!$E$73/inputs!$E$74</f>
        <v>0.76876317410980122</v>
      </c>
      <c r="P454">
        <f>((MAX('Min rate concentrations'!Y:Y))*0.62*6.01*8*(12.3*F454^0.65)*0.079*0.1/F454)*inputs!$E$73/inputs!$E$74</f>
        <v>0.25625439136993378</v>
      </c>
      <c r="Q454">
        <f>(inputs!$C$7*11.2*(12.3*F454^0.65)*0.5/F454)*inputs!$E$73/inputs!$E$74</f>
        <v>0.13541400718790042</v>
      </c>
      <c r="R454">
        <f>(60*379*((F454/1000)^0.8)*3*24*(MAX('Min rate concentrations'!$R$3:$R$368))/F454)*(inputs!$E$73/inputs!$E$75)</f>
        <v>7.147625164772829E-4</v>
      </c>
      <c r="S454">
        <f>(IF(inputs!$C$6="aerial",((0.025*0.112*inputs!$C$7/3.3)*(3*60*379*((F454/1000)^0.8))*MAX(inputs!$H$14:$H$16))/F454,((0.0083*0.112*inputs!$C$7/1)*(3*60*379*((F454/1000)^0.8))*MAX(inputs!$H$14:$H$16))/F454))*(inputs!E$75/inputs!$E$73)</f>
        <v>3.9419591921727231E-3</v>
      </c>
      <c r="T454">
        <f>IF((((inputs!$P$12/(V454/MAX(K454:S454)))^(1/inputs!$O$12))-1)/inputs!$N$12&lt;0, 0, IF((((inputs!$P$12/(V454/MAX(K454:S454)))^(1/inputs!$O$12))-1)/inputs!$N$12&gt;inputs!$H$17, inputs!$H$17, (((inputs!$P$12/(V454/MAX(K454:S454)))^(1/inputs!$O$12))-1)/inputs!$N$12))</f>
        <v>0</v>
      </c>
      <c r="U454">
        <f>IF((((inputs!$P$12/(X454/MAX(K454:S454)))^(1/inputs!$O$12))-1)/inputs!$N$12&lt;0, 0, IF((((inputs!$P$12/(X454/MAX(K454:S454)))^(1/inputs!$O$12))-1)/inputs!$N$12&gt;inputs!$H$17, inputs!$H$17, (((inputs!$P$12/(X454/MAX(K454:S454)))^(1/inputs!$O$12))-1)/inputs!$N$12))</f>
        <v>0</v>
      </c>
      <c r="V454">
        <f>inputs!$E$70*(F454/inputs!$F$70)^(0.25)</f>
        <v>20.634268100135696</v>
      </c>
      <c r="W454">
        <f>inputs!$E$76*(inputs!$F$76/F454)^(0.25)</f>
        <v>8.2568699553496286E-2</v>
      </c>
      <c r="X454">
        <f>inputs!$E$72*(inputs!$F$72/F454)^(0.25)</f>
        <v>12.110921443264401</v>
      </c>
      <c r="Y454" t="s">
        <v>13</v>
      </c>
      <c r="Z454">
        <f t="shared" si="50"/>
        <v>3.7256624290189659E-2</v>
      </c>
      <c r="AA454">
        <f t="shared" si="51"/>
        <v>9.3105883738876045</v>
      </c>
    </row>
    <row r="455" spans="1:27" x14ac:dyDescent="0.3">
      <c r="A455" t="s">
        <v>604</v>
      </c>
      <c r="B455" t="s">
        <v>608</v>
      </c>
      <c r="C455" t="s">
        <v>61</v>
      </c>
      <c r="D455" t="s">
        <v>454</v>
      </c>
      <c r="E455">
        <v>1302</v>
      </c>
      <c r="F455">
        <v>113000</v>
      </c>
      <c r="G455" t="s">
        <v>152</v>
      </c>
      <c r="H455">
        <v>0.77</v>
      </c>
      <c r="I455">
        <f>MAX('Min rate concentrations'!$G$3:$G$368)</f>
        <v>7.5</v>
      </c>
      <c r="J455">
        <f>MAX('Min rate concentrations'!Z:Z)</f>
        <v>3.5</v>
      </c>
      <c r="K455">
        <f t="shared" si="46"/>
        <v>0.96594706382284656</v>
      </c>
      <c r="L455">
        <f t="shared" si="49"/>
        <v>0.45077529645066172</v>
      </c>
      <c r="M455">
        <f>IF((((0.326*F455^0.818)-(0.398*F455^0.85)/(1-H455)*H455)*(MAX('Min rate concentrations'!$P$3:$P$368)))/F455&gt;0, (((0.326*F455^0.818)-(0.398*F455^0.85)/(1-H455)*H455)*(MAX('Min rate concentrations'!$P$3:$P$368)))/F455, 0)</f>
        <v>0</v>
      </c>
      <c r="N455">
        <f>IF((((0.326*F455^0.818)-(0.398*F455^0.85)/(1-H455)*H455)*(MAX('Min rate concentrations'!$Q$3:$Q$368)))/F455&gt; 0, (((0.326*F455^0.818)-(0.398*F455^0.85)/(1-H455)*H455)*(MAX('Min rate concentrations'!$Q$3:$Q$368)))/F455, 0)</f>
        <v>0</v>
      </c>
      <c r="O455">
        <f>((MAX('Min rate concentrations'!$F$3:$F$368))*0.62*6.01*8*(12.3*F455^0.65)*0.079*0.1/F455)*inputs!$E$73/inputs!$E$74</f>
        <v>0.76876317410980122</v>
      </c>
      <c r="P455">
        <f>((MAX('Min rate concentrations'!Y:Y))*0.62*6.01*8*(12.3*F455^0.65)*0.079*0.1/F455)*inputs!$E$73/inputs!$E$74</f>
        <v>0.25625439136993378</v>
      </c>
      <c r="Q455">
        <f>(inputs!$C$7*11.2*(12.3*F455^0.65)*0.5/F455)*inputs!$E$73/inputs!$E$74</f>
        <v>0.13541400718790042</v>
      </c>
      <c r="R455">
        <f>(60*379*((F455/1000)^0.8)*3*24*(MAX('Min rate concentrations'!$R$3:$R$368))/F455)*(inputs!$E$73/inputs!$E$75)</f>
        <v>7.147625164772829E-4</v>
      </c>
      <c r="S455">
        <f>(IF(inputs!$C$6="aerial",((0.025*0.112*inputs!$C$7/3.3)*(3*60*379*((F455/1000)^0.8))*MAX(inputs!$H$14:$H$16))/F455,((0.0083*0.112*inputs!$C$7/1)*(3*60*379*((F455/1000)^0.8))*MAX(inputs!$H$14:$H$16))/F455))*(inputs!E$75/inputs!$E$73)</f>
        <v>3.9419591921727231E-3</v>
      </c>
      <c r="T455">
        <f>IF((((inputs!$P$12/(V455/MAX(K455:S455)))^(1/inputs!$O$12))-1)/inputs!$N$12&lt;0, 0, IF((((inputs!$P$12/(V455/MAX(K455:S455)))^(1/inputs!$O$12))-1)/inputs!$N$12&gt;inputs!$H$17, inputs!$H$17, (((inputs!$P$12/(V455/MAX(K455:S455)))^(1/inputs!$O$12))-1)/inputs!$N$12))</f>
        <v>0</v>
      </c>
      <c r="U455">
        <f>IF((((inputs!$P$12/(X455/MAX(K455:S455)))^(1/inputs!$O$12))-1)/inputs!$N$12&lt;0, 0, IF((((inputs!$P$12/(X455/MAX(K455:S455)))^(1/inputs!$O$12))-1)/inputs!$N$12&gt;inputs!$H$17, inputs!$H$17, (((inputs!$P$12/(X455/MAX(K455:S455)))^(1/inputs!$O$12))-1)/inputs!$N$12))</f>
        <v>0</v>
      </c>
      <c r="V455">
        <f>inputs!$E$70*(F455/inputs!$F$70)^(0.25)</f>
        <v>20.634268100135696</v>
      </c>
      <c r="W455">
        <f>inputs!$E$76*(inputs!$F$76/F455)^(0.25)</f>
        <v>8.2568699553496286E-2</v>
      </c>
      <c r="X455">
        <f>inputs!$E$72*(inputs!$F$72/F455)^(0.25)</f>
        <v>12.110921443264401</v>
      </c>
      <c r="Y455" t="s">
        <v>13</v>
      </c>
      <c r="Z455">
        <f t="shared" si="50"/>
        <v>4.6812761137696675E-2</v>
      </c>
      <c r="AA455">
        <f t="shared" si="51"/>
        <v>11.698707488992353</v>
      </c>
    </row>
    <row r="456" spans="1:27" x14ac:dyDescent="0.3">
      <c r="A456" t="s">
        <v>604</v>
      </c>
      <c r="B456" t="s">
        <v>608</v>
      </c>
      <c r="C456" t="s">
        <v>61</v>
      </c>
      <c r="D456" t="s">
        <v>454</v>
      </c>
      <c r="E456">
        <v>1302</v>
      </c>
      <c r="F456">
        <v>113000</v>
      </c>
      <c r="G456" t="s">
        <v>169</v>
      </c>
      <c r="H456">
        <v>0.79</v>
      </c>
      <c r="I456">
        <f>MAX('Min rate concentrations'!$D$3:$D$368)</f>
        <v>120</v>
      </c>
      <c r="J456">
        <f>MAX('Min rate concentrations'!W:W)</f>
        <v>42.5</v>
      </c>
      <c r="K456">
        <f t="shared" si="46"/>
        <v>16.927072356514646</v>
      </c>
      <c r="L456">
        <f t="shared" si="49"/>
        <v>5.9950047929322707</v>
      </c>
      <c r="M456">
        <f>IF((((0.326*F456^0.818)-(0.398*F456^0.85)/(1-H456)*H456)*(MAX('Min rate concentrations'!$P$3:$P$368)))/F456&gt;0, (((0.326*F456^0.818)-(0.398*F456^0.85)/(1-H456)*H456)*(MAX('Min rate concentrations'!$P$3:$P$368)))/F456, 0)</f>
        <v>0</v>
      </c>
      <c r="N456">
        <f>IF((((0.326*F456^0.818)-(0.398*F456^0.85)/(1-H456)*H456)*(MAX('Min rate concentrations'!$Q$3:$Q$368)))/F456&gt; 0, (((0.326*F456^0.818)-(0.398*F456^0.85)/(1-H456)*H456)*(MAX('Min rate concentrations'!$Q$3:$Q$368)))/F456, 0)</f>
        <v>0</v>
      </c>
      <c r="O456">
        <f>((MAX('Min rate concentrations'!$F$3:$F$368))*0.62*6.01*8*(12.3*F456^0.65)*0.079*0.1/F456)*inputs!$E$73/inputs!$E$74</f>
        <v>0.76876317410980122</v>
      </c>
      <c r="P456">
        <f>((MAX('Min rate concentrations'!Y:Y))*0.62*6.01*8*(12.3*F456^0.65)*0.079*0.1/F456)*inputs!$E$73/inputs!$E$74</f>
        <v>0.25625439136993378</v>
      </c>
      <c r="Q456">
        <f>(inputs!$C$7*11.2*(12.3*F456^0.65)*0.5/F456)*inputs!$E$73/inputs!$E$74</f>
        <v>0.13541400718790042</v>
      </c>
      <c r="R456">
        <f>(60*379*((F456/1000)^0.8)*3*24*(MAX('Min rate concentrations'!$R$3:$R$368))/F456)*(inputs!$E$73/inputs!$E$75)</f>
        <v>7.147625164772829E-4</v>
      </c>
      <c r="S456">
        <f>(IF(inputs!$C$6="aerial",((0.025*0.112*inputs!$C$7/3.3)*(3*60*379*((F456/1000)^0.8))*MAX(inputs!$H$14:$H$16))/F456,((0.0083*0.112*inputs!$C$7/1)*(3*60*379*((F456/1000)^0.8))*MAX(inputs!$H$14:$H$16))/F456))*(inputs!E$75/inputs!$E$73)</f>
        <v>3.9419591921727231E-3</v>
      </c>
      <c r="T456">
        <f>IF((((inputs!$P$12/(V456/MAX(K456:S456)))^(1/inputs!$O$12))-1)/inputs!$N$12&lt;0, 0, IF((((inputs!$P$12/(V456/MAX(K456:S456)))^(1/inputs!$O$12))-1)/inputs!$N$12&gt;inputs!$H$17, inputs!$H$17, (((inputs!$P$12/(V456/MAX(K456:S456)))^(1/inputs!$O$12))-1)/inputs!$N$12))</f>
        <v>0</v>
      </c>
      <c r="U456">
        <f>IF((((inputs!$P$12/(X456/MAX(K456:S456)))^(1/inputs!$O$12))-1)/inputs!$N$12&lt;0, 0, IF((((inputs!$P$12/(X456/MAX(K456:S456)))^(1/inputs!$O$12))-1)/inputs!$N$12&gt;inputs!$H$17, inputs!$H$17, (((inputs!$P$12/(X456/MAX(K456:S456)))^(1/inputs!$O$12))-1)/inputs!$N$12))</f>
        <v>0</v>
      </c>
      <c r="V456">
        <f>inputs!$E$70*(F456/inputs!$F$70)^(0.25)</f>
        <v>20.634268100135696</v>
      </c>
      <c r="W456">
        <f>inputs!$E$76*(inputs!$F$76/F456)^(0.25)</f>
        <v>8.2568699553496286E-2</v>
      </c>
      <c r="X456">
        <f>inputs!$E$72*(inputs!$F$72/F456)^(0.25)</f>
        <v>12.110921443264401</v>
      </c>
      <c r="Y456" t="s">
        <v>13</v>
      </c>
      <c r="Z456">
        <f t="shared" si="50"/>
        <v>0.82033790946058949</v>
      </c>
      <c r="AA456">
        <f t="shared" si="51"/>
        <v>205.00592171186602</v>
      </c>
    </row>
    <row r="457" spans="1:27" x14ac:dyDescent="0.3">
      <c r="A457" t="s">
        <v>604</v>
      </c>
      <c r="B457" t="s">
        <v>608</v>
      </c>
      <c r="C457" t="s">
        <v>61</v>
      </c>
      <c r="D457" t="s">
        <v>454</v>
      </c>
      <c r="E457">
        <v>1302</v>
      </c>
      <c r="F457">
        <v>113000</v>
      </c>
      <c r="G457" t="s">
        <v>580</v>
      </c>
      <c r="H457">
        <v>0.85</v>
      </c>
      <c r="I457">
        <f>MAX('Min rate concentrations'!$F$3:$F$368)</f>
        <v>67.5</v>
      </c>
      <c r="J457">
        <f>MAX('Min rate concentrations'!Y:Y)</f>
        <v>22.5</v>
      </c>
      <c r="K457">
        <f t="shared" si="46"/>
        <v>13.330069480755279</v>
      </c>
      <c r="M457">
        <f>IF((((0.326*F457^0.818)-(0.398*F457^0.85)/(1-H457)*H457)*(MAX('Min rate concentrations'!$P$3:$P$368)))/F457&gt;0, (((0.326*F457^0.818)-(0.398*F457^0.85)/(1-H457)*H457)*(MAX('Min rate concentrations'!$P$3:$P$368)))/F457, 0)</f>
        <v>0</v>
      </c>
      <c r="N457">
        <f>IF((((0.326*F457^0.818)-(0.398*F457^0.85)/(1-H457)*H457)*(MAX('Min rate concentrations'!$Q$3:$Q$368)))/F457&gt; 0, (((0.326*F457^0.818)-(0.398*F457^0.85)/(1-H457)*H457)*(MAX('Min rate concentrations'!$Q$3:$Q$368)))/F457, 0)</f>
        <v>0</v>
      </c>
      <c r="O457">
        <f>((MAX('Min rate concentrations'!$F$3:$F$368))*0.62*6.01*8*(12.3*F457^0.65)*0.079*0.1/F457)*inputs!$E$73/inputs!$E$74</f>
        <v>0.76876317410980122</v>
      </c>
      <c r="Q457">
        <f>(inputs!$C$7*11.2*(12.3*F457^0.65)*0.5/F457)*inputs!$E$73/inputs!$E$74</f>
        <v>0.13541400718790042</v>
      </c>
      <c r="R457">
        <f>(60*379*((F457/1000)^0.8)*3*24*(MAX('Min rate concentrations'!$R$3:$R$368))/F457)*(inputs!$E$73/inputs!$E$75)</f>
        <v>7.147625164772829E-4</v>
      </c>
      <c r="S457">
        <f>(IF(inputs!$C$6="aerial",((0.025*0.112*inputs!$C$7/3.3)*(3*60*379*((F457/1000)^0.8))*MAX(inputs!$H$14:$H$16))/F457,((0.0083*0.112*inputs!$C$7/1)*(3*60*379*((F457/1000)^0.8))*MAX(inputs!$H$14:$H$16))/F457))*(inputs!E$75/inputs!$E$73)</f>
        <v>3.9419591921727231E-3</v>
      </c>
      <c r="T457">
        <f>IF((((inputs!$P$12/(V457/MAX(K457:S457)))^(1/inputs!$O$12))-1)/inputs!$N$12&lt;0, 0, IF((((inputs!$P$12/(V457/MAX(K457:S457)))^(1/inputs!$O$12))-1)/inputs!$N$12&gt;inputs!$H$17, inputs!$H$17, (((inputs!$P$12/(V457/MAX(K457:S457)))^(1/inputs!$O$12))-1)/inputs!$N$12))</f>
        <v>0</v>
      </c>
      <c r="U457">
        <f>IF((((inputs!$P$12/(X457/MAX(K457:S457)))^(1/inputs!$O$12))-1)/inputs!$N$12&lt;0, 0, IF((((inputs!$P$12/(X457/MAX(K457:S457)))^(1/inputs!$O$12))-1)/inputs!$N$12&gt;inputs!$H$17, inputs!$H$17, (((inputs!$P$12/(X457/MAX(K457:S457)))^(1/inputs!$O$12))-1)/inputs!$N$12))</f>
        <v>0</v>
      </c>
      <c r="V457">
        <f>inputs!$E$70*(F457/inputs!$F$70)^(0.25)</f>
        <v>20.634268100135696</v>
      </c>
      <c r="W457">
        <f>inputs!$E$76*(inputs!$F$76/F457)^(0.25)</f>
        <v>8.2568699553496286E-2</v>
      </c>
      <c r="X457">
        <f>inputs!$E$72*(inputs!$F$72/F457)^(0.25)</f>
        <v>12.110921443264401</v>
      </c>
      <c r="Y457" t="s">
        <v>13</v>
      </c>
      <c r="Z457">
        <f t="shared" si="50"/>
        <v>0.64601610370021401</v>
      </c>
      <c r="AA457">
        <f t="shared" si="51"/>
        <v>161.44216334809443</v>
      </c>
    </row>
    <row r="458" spans="1:27" x14ac:dyDescent="0.3">
      <c r="A458" t="s">
        <v>604</v>
      </c>
      <c r="B458" t="s">
        <v>608</v>
      </c>
      <c r="C458" t="s">
        <v>61</v>
      </c>
      <c r="D458" t="s">
        <v>454</v>
      </c>
      <c r="E458">
        <v>1302</v>
      </c>
      <c r="F458">
        <v>113000</v>
      </c>
      <c r="G458" t="s">
        <v>455</v>
      </c>
      <c r="H458">
        <v>0.68</v>
      </c>
      <c r="I458">
        <f>MAX('Min rate concentrations'!$K$3:$K$368)</f>
        <v>18.333393099490852</v>
      </c>
      <c r="J458">
        <f>MAX('Min rate concentrations'!AC:AC)</f>
        <v>6.4930767227363431</v>
      </c>
      <c r="K458">
        <f t="shared" si="46"/>
        <v>1.6971208599598093</v>
      </c>
      <c r="M458">
        <f>IF((((0.326*F458^0.818)-(0.398*F458^0.85)/(1-H458)*H458)*(MAX('Min rate concentrations'!$P$3:$P$368)))/F458&gt;0, (((0.326*F458^0.818)-(0.398*F458^0.85)/(1-H458)*H458)*(MAX('Min rate concentrations'!$P$3:$P$368)))/F458, 0)</f>
        <v>0</v>
      </c>
      <c r="N458">
        <f>IF((((0.326*F458^0.818)-(0.398*F458^0.85)/(1-H458)*H458)*(MAX('Min rate concentrations'!$Q$3:$Q$368)))/F458&gt; 0, (((0.326*F458^0.818)-(0.398*F458^0.85)/(1-H458)*H458)*(MAX('Min rate concentrations'!$Q$3:$Q$368)))/F458, 0)</f>
        <v>0</v>
      </c>
      <c r="O458">
        <f>((MAX('Min rate concentrations'!$F$3:$F$368))*0.62*6.01*8*(12.3*F458^0.65)*0.079*0.1/F458)*inputs!$E$73/inputs!$E$74</f>
        <v>0.76876317410980122</v>
      </c>
      <c r="Q458">
        <f>(inputs!$C$7*11.2*(12.3*F458^0.65)*0.5/F458)*inputs!$E$73/inputs!$E$74</f>
        <v>0.13541400718790042</v>
      </c>
      <c r="R458">
        <f>(60*379*((F458/1000)^0.8)*3*24*(MAX('Min rate concentrations'!$R$3:$R$368))/F458)*(inputs!$E$73/inputs!$E$75)</f>
        <v>7.147625164772829E-4</v>
      </c>
      <c r="S458">
        <f>(IF(inputs!$C$6="aerial",((0.025*0.112*inputs!$C$7/3.3)*(3*60*379*((F458/1000)^0.8))*MAX(inputs!$H$14:$H$16))/F458,((0.0083*0.112*inputs!$C$7/1)*(3*60*379*((F458/1000)^0.8))*MAX(inputs!$H$14:$H$16))/F458))*(inputs!E$75/inputs!$E$73)</f>
        <v>3.9419591921727231E-3</v>
      </c>
      <c r="T458">
        <f>IF((((inputs!$P$12/(V458/MAX(K458:S458)))^(1/inputs!$O$12))-1)/inputs!$N$12&lt;0, 0, IF((((inputs!$P$12/(V458/MAX(K458:S458)))^(1/inputs!$O$12))-1)/inputs!$N$12&gt;inputs!$H$17, inputs!$H$17, (((inputs!$P$12/(V458/MAX(K458:S458)))^(1/inputs!$O$12))-1)/inputs!$N$12))</f>
        <v>0</v>
      </c>
      <c r="U458">
        <f>IF((((inputs!$P$12/(X458/MAX(K458:S458)))^(1/inputs!$O$12))-1)/inputs!$N$12&lt;0, 0, IF((((inputs!$P$12/(X458/MAX(K458:S458)))^(1/inputs!$O$12))-1)/inputs!$N$12&gt;inputs!$H$17, inputs!$H$17, (((inputs!$P$12/(X458/MAX(K458:S458)))^(1/inputs!$O$12))-1)/inputs!$N$12))</f>
        <v>0</v>
      </c>
      <c r="V458">
        <f>inputs!$E$70*(F458/inputs!$F$70)^(0.25)</f>
        <v>20.634268100135696</v>
      </c>
      <c r="W458">
        <f>inputs!$E$76*(inputs!$F$76/F458)^(0.25)</f>
        <v>8.2568699553496286E-2</v>
      </c>
      <c r="X458">
        <f>inputs!$E$72*(inputs!$F$72/F458)^(0.25)</f>
        <v>12.110921443264401</v>
      </c>
      <c r="Y458" t="s">
        <v>13</v>
      </c>
      <c r="Z458">
        <f t="shared" si="50"/>
        <v>8.2247688734288019E-2</v>
      </c>
      <c r="AA458">
        <f t="shared" si="51"/>
        <v>20.554046135366878</v>
      </c>
    </row>
    <row r="459" spans="1:27" x14ac:dyDescent="0.3">
      <c r="A459" t="s">
        <v>604</v>
      </c>
      <c r="B459" t="s">
        <v>608</v>
      </c>
      <c r="C459" t="s">
        <v>61</v>
      </c>
      <c r="D459" t="s">
        <v>454</v>
      </c>
      <c r="E459">
        <v>1302</v>
      </c>
      <c r="F459">
        <v>113000</v>
      </c>
      <c r="G459" t="s">
        <v>456</v>
      </c>
      <c r="H459">
        <v>0.68</v>
      </c>
      <c r="I459">
        <f>MAX('Min rate concentrations'!$J$3:$J$368)</f>
        <v>114.4108103430513</v>
      </c>
      <c r="J459">
        <f>MAX('Min rate concentrations'!AB:AB)</f>
        <v>40.520495329830666</v>
      </c>
      <c r="K459">
        <f t="shared" si="46"/>
        <v>10.591000355711033</v>
      </c>
      <c r="L459">
        <f t="shared" ref="L459:L464" si="52">(((0.235*F459^0.822)/(1-H459)))*J459/F459</f>
        <v>3.7509792926476582</v>
      </c>
      <c r="M459">
        <f>IF((((0.326*F459^0.818)-(0.398*F459^0.85)/(1-H459)*H459)*(MAX('Min rate concentrations'!$P$3:$P$368)))/F459&gt;0, (((0.326*F459^0.818)-(0.398*F459^0.85)/(1-H459)*H459)*(MAX('Min rate concentrations'!$P$3:$P$368)))/F459, 0)</f>
        <v>0</v>
      </c>
      <c r="N459">
        <f>IF((((0.326*F459^0.818)-(0.398*F459^0.85)/(1-H459)*H459)*(MAX('Min rate concentrations'!$Q$3:$Q$368)))/F459&gt; 0, (((0.326*F459^0.818)-(0.398*F459^0.85)/(1-H459)*H459)*(MAX('Min rate concentrations'!$Q$3:$Q$368)))/F459, 0)</f>
        <v>0</v>
      </c>
      <c r="O459">
        <f>((MAX('Min rate concentrations'!$F$3:$F$368))*0.62*6.01*8*(12.3*F459^0.65)*0.079*0.1/F459)*inputs!$E$73/inputs!$E$74</f>
        <v>0.76876317410980122</v>
      </c>
      <c r="P459">
        <f>((MAX('Min rate concentrations'!Y:Y))*0.62*6.01*8*(12.3*F459^0.65)*0.079*0.1/F459)*inputs!$E$73/inputs!$E$74</f>
        <v>0.25625439136993378</v>
      </c>
      <c r="Q459">
        <f>(inputs!$C$7*11.2*(12.3*F459^0.65)*0.5/F459)*inputs!$E$73/inputs!$E$74</f>
        <v>0.13541400718790042</v>
      </c>
      <c r="R459">
        <f>(60*379*((F459/1000)^0.8)*3*24*(MAX('Min rate concentrations'!$R$3:$R$368))/F459)*(inputs!$E$73/inputs!$E$75)</f>
        <v>7.147625164772829E-4</v>
      </c>
      <c r="S459">
        <f>(IF(inputs!$C$6="aerial",((0.025*0.112*inputs!$C$7/3.3)*(3*60*379*((F459/1000)^0.8))*MAX(inputs!$H$14:$H$16))/F459,((0.0083*0.112*inputs!$C$7/1)*(3*60*379*((F459/1000)^0.8))*MAX(inputs!$H$14:$H$16))/F459))*(inputs!E$75/inputs!$E$73)</f>
        <v>3.9419591921727231E-3</v>
      </c>
      <c r="T459">
        <f>IF((((inputs!$P$12/(V459/MAX(K459:S459)))^(1/inputs!$O$12))-1)/inputs!$N$12&lt;0, 0, IF((((inputs!$P$12/(V459/MAX(K459:S459)))^(1/inputs!$O$12))-1)/inputs!$N$12&gt;inputs!$H$17, inputs!$H$17, (((inputs!$P$12/(V459/MAX(K459:S459)))^(1/inputs!$O$12))-1)/inputs!$N$12))</f>
        <v>0</v>
      </c>
      <c r="U459">
        <f>IF((((inputs!$P$12/(X459/MAX(K459:S459)))^(1/inputs!$O$12))-1)/inputs!$N$12&lt;0, 0, IF((((inputs!$P$12/(X459/MAX(K459:S459)))^(1/inputs!$O$12))-1)/inputs!$N$12&gt;inputs!$H$17, inputs!$H$17, (((inputs!$P$12/(X459/MAX(K459:S459)))^(1/inputs!$O$12))-1)/inputs!$N$12))</f>
        <v>0</v>
      </c>
      <c r="V459">
        <f>inputs!$E$70*(F459/inputs!$F$70)^(0.25)</f>
        <v>20.634268100135696</v>
      </c>
      <c r="W459">
        <f>inputs!$E$76*(inputs!$F$76/F459)^(0.25)</f>
        <v>8.2568699553496286E-2</v>
      </c>
      <c r="X459">
        <f>inputs!$E$72*(inputs!$F$72/F459)^(0.25)</f>
        <v>12.110921443264401</v>
      </c>
      <c r="Y459" t="s">
        <v>13</v>
      </c>
      <c r="Z459">
        <f t="shared" si="50"/>
        <v>0.51327240221529269</v>
      </c>
      <c r="AA459">
        <f t="shared" si="51"/>
        <v>128.26894952910237</v>
      </c>
    </row>
    <row r="460" spans="1:27" x14ac:dyDescent="0.3">
      <c r="A460" t="s">
        <v>604</v>
      </c>
      <c r="B460" t="s">
        <v>605</v>
      </c>
      <c r="C460" t="s">
        <v>61</v>
      </c>
      <c r="D460" t="s">
        <v>454</v>
      </c>
      <c r="E460">
        <v>2</v>
      </c>
      <c r="F460">
        <v>113000</v>
      </c>
      <c r="G460" t="s">
        <v>142</v>
      </c>
      <c r="H460">
        <v>0.69</v>
      </c>
      <c r="I460">
        <f>MAX('Min rate concentrations'!$H$3:$H$368)</f>
        <v>47</v>
      </c>
      <c r="J460">
        <f>MAX('Min rate concentrations'!AA:AA)</f>
        <v>32.5</v>
      </c>
      <c r="K460">
        <f t="shared" ref="K460:K523" si="53">(((0.235*F460^0.822)/(1-H460)))*I460/F460</f>
        <v>4.4911345203978366</v>
      </c>
      <c r="L460">
        <f t="shared" si="52"/>
        <v>3.1055717428282912</v>
      </c>
      <c r="M460">
        <f>IF((((0.326*F460^0.818)-(0.398*F460^0.85)/(1-H460)*H460)*(MAX('Min rate concentrations'!$P$3:$P$368)))/F460&gt;0, (((0.326*F460^0.818)-(0.398*F460^0.85)/(1-H460)*H460)*(MAX('Min rate concentrations'!$P$3:$P$368)))/F460, 0)</f>
        <v>0</v>
      </c>
      <c r="N460">
        <f>IF((((0.326*F460^0.818)-(0.398*F460^0.85)/(1-H460)*H460)*(MAX('Min rate concentrations'!$Q$3:$Q$368)))/F460&gt; 0, (((0.326*F460^0.818)-(0.398*F460^0.85)/(1-H460)*H460)*(MAX('Min rate concentrations'!$Q$3:$Q$368)))/F460, 0)</f>
        <v>0</v>
      </c>
      <c r="O460">
        <f>((MAX('Min rate concentrations'!$F$3:$F$368))*0.62*6.01*8*(12.3*F460^0.65)*0.079*0.1/F460)*inputs!$E$73/inputs!$E$74</f>
        <v>0.76876317410980122</v>
      </c>
      <c r="P460">
        <f>((MAX('Min rate concentrations'!Y:Y))*0.62*6.01*8*(12.3*F460^0.65)*0.079*0.1/F460)*inputs!$E$73/inputs!$E$74</f>
        <v>0.25625439136993378</v>
      </c>
      <c r="Q460">
        <f>(inputs!$C$7*11.2*(12.3*F460^0.65)*0.5/F460)*inputs!$E$73/inputs!$E$74</f>
        <v>0.13541400718790042</v>
      </c>
      <c r="R460">
        <f>(60*379*((F460/1000)^0.8)*3*24*(MAX('Min rate concentrations'!$R$3:$R$368))/F460)*(inputs!$E$73/inputs!$E$75)</f>
        <v>7.147625164772829E-4</v>
      </c>
      <c r="S460">
        <f>(IF(inputs!$C$6="aerial",((0.025*0.112*inputs!$C$7/3.3)*(3*60*379*((F460/1000)^0.8))*MAX(inputs!$H$14:$H$16))/F460,((0.0083*0.112*inputs!$C$7/1)*(3*60*379*((F460/1000)^0.8))*MAX(inputs!$H$14:$H$16))/F460))*(inputs!E$75/inputs!$E$73)</f>
        <v>3.9419591921727231E-3</v>
      </c>
      <c r="T460">
        <f>IF((((inputs!$P$12/(V460/MAX(K460:S460)))^(1/inputs!$O$12))-1)/inputs!$N$12&lt;0, 0, IF((((inputs!$P$12/(V460/MAX(K460:S460)))^(1/inputs!$O$12))-1)/inputs!$N$12&gt;inputs!$H$17, inputs!$H$17, (((inputs!$P$12/(V460/MAX(K460:S460)))^(1/inputs!$O$12))-1)/inputs!$N$12))</f>
        <v>0</v>
      </c>
      <c r="U460">
        <f>IF((((inputs!$P$12/(X460/MAX(K460:S460)))^(1/inputs!$O$12))-1)/inputs!$N$12&lt;0, 0, IF((((inputs!$P$12/(X460/MAX(K460:S460)))^(1/inputs!$O$12))-1)/inputs!$N$12&gt;inputs!$H$17, inputs!$H$17, (((inputs!$P$12/(X460/MAX(K460:S460)))^(1/inputs!$O$12))-1)/inputs!$N$12))</f>
        <v>0</v>
      </c>
      <c r="V460">
        <f>inputs!$E$70*(F460/inputs!$F$70)^(0.25)</f>
        <v>20.634268100135696</v>
      </c>
      <c r="W460">
        <f>inputs!$E$76*(inputs!$F$76/F460)^(0.25)</f>
        <v>8.2568699553496286E-2</v>
      </c>
      <c r="X460">
        <f>inputs!$E$72*(inputs!$F$72/F460)^(0.25)</f>
        <v>12.110921443264401</v>
      </c>
      <c r="Y460" t="s">
        <v>13</v>
      </c>
      <c r="Z460">
        <f t="shared" si="50"/>
        <v>0.21765417113914023</v>
      </c>
      <c r="AA460">
        <f t="shared" si="51"/>
        <v>54.392700196132182</v>
      </c>
    </row>
    <row r="461" spans="1:27" x14ac:dyDescent="0.3">
      <c r="A461" t="s">
        <v>604</v>
      </c>
      <c r="B461" t="s">
        <v>605</v>
      </c>
      <c r="C461" t="s">
        <v>61</v>
      </c>
      <c r="D461" t="s">
        <v>454</v>
      </c>
      <c r="E461">
        <v>2</v>
      </c>
      <c r="F461">
        <v>113000</v>
      </c>
      <c r="G461" t="s">
        <v>218</v>
      </c>
      <c r="H461">
        <v>0.68</v>
      </c>
      <c r="I461">
        <f>MAX('Min rate concentrations'!$K$3:$K$368)</f>
        <v>18.333393099490852</v>
      </c>
      <c r="J461">
        <f>MAX('Min rate concentrations'!AC:AC)</f>
        <v>6.4930767227363431</v>
      </c>
      <c r="K461">
        <f t="shared" si="53"/>
        <v>1.6971208599598093</v>
      </c>
      <c r="L461">
        <f t="shared" si="52"/>
        <v>0.60106363790243234</v>
      </c>
      <c r="M461">
        <f>IF((((0.326*F461^0.818)-(0.398*F461^0.85)/(1-H461)*H461)*(MAX('Min rate concentrations'!$P$3:$P$368)))/F461&gt;0, (((0.326*F461^0.818)-(0.398*F461^0.85)/(1-H461)*H461)*(MAX('Min rate concentrations'!$P$3:$P$368)))/F461, 0)</f>
        <v>0</v>
      </c>
      <c r="N461">
        <f>IF((((0.326*F461^0.818)-(0.398*F461^0.85)/(1-H461)*H461)*(MAX('Min rate concentrations'!$Q$3:$Q$368)))/F461&gt; 0, (((0.326*F461^0.818)-(0.398*F461^0.85)/(1-H461)*H461)*(MAX('Min rate concentrations'!$Q$3:$Q$368)))/F461, 0)</f>
        <v>0</v>
      </c>
      <c r="O461">
        <f>((MAX('Min rate concentrations'!$F$3:$F$368))*0.62*6.01*8*(12.3*F461^0.65)*0.079*0.1/F461)*inputs!$E$73/inputs!$E$74</f>
        <v>0.76876317410980122</v>
      </c>
      <c r="P461">
        <f>((MAX('Min rate concentrations'!Y:Y))*0.62*6.01*8*(12.3*F461^0.65)*0.079*0.1/F461)*inputs!$E$73/inputs!$E$74</f>
        <v>0.25625439136993378</v>
      </c>
      <c r="Q461">
        <f>(inputs!$C$7*11.2*(12.3*F461^0.65)*0.5/F461)*inputs!$E$73/inputs!$E$74</f>
        <v>0.13541400718790042</v>
      </c>
      <c r="R461">
        <f>(60*379*((F461/1000)^0.8)*3*24*(MAX('Min rate concentrations'!$R$3:$R$368))/F461)*(inputs!$E$73/inputs!$E$75)</f>
        <v>7.147625164772829E-4</v>
      </c>
      <c r="S461">
        <f>(IF(inputs!$C$6="aerial",((0.025*0.112*inputs!$C$7/3.3)*(3*60*379*((F461/1000)^0.8))*MAX(inputs!$H$14:$H$16))/F461,((0.0083*0.112*inputs!$C$7/1)*(3*60*379*((F461/1000)^0.8))*MAX(inputs!$H$14:$H$16))/F461))*(inputs!E$75/inputs!$E$73)</f>
        <v>3.9419591921727231E-3</v>
      </c>
      <c r="T461">
        <f>IF((((inputs!$P$12/(V461/MAX(K461:S461)))^(1/inputs!$O$12))-1)/inputs!$N$12&lt;0, 0, IF((((inputs!$P$12/(V461/MAX(K461:S461)))^(1/inputs!$O$12))-1)/inputs!$N$12&gt;inputs!$H$17, inputs!$H$17, (((inputs!$P$12/(V461/MAX(K461:S461)))^(1/inputs!$O$12))-1)/inputs!$N$12))</f>
        <v>0</v>
      </c>
      <c r="U461">
        <f>IF((((inputs!$P$12/(X461/MAX(K461:S461)))^(1/inputs!$O$12))-1)/inputs!$N$12&lt;0, 0, IF((((inputs!$P$12/(X461/MAX(K461:S461)))^(1/inputs!$O$12))-1)/inputs!$N$12&gt;inputs!$H$17, inputs!$H$17, (((inputs!$P$12/(X461/MAX(K461:S461)))^(1/inputs!$O$12))-1)/inputs!$N$12))</f>
        <v>0</v>
      </c>
      <c r="V461">
        <f>inputs!$E$70*(F461/inputs!$F$70)^(0.25)</f>
        <v>20.634268100135696</v>
      </c>
      <c r="W461">
        <f>inputs!$E$76*(inputs!$F$76/F461)^(0.25)</f>
        <v>8.2568699553496286E-2</v>
      </c>
      <c r="X461">
        <f>inputs!$E$72*(inputs!$F$72/F461)^(0.25)</f>
        <v>12.110921443264401</v>
      </c>
      <c r="Y461" t="s">
        <v>13</v>
      </c>
      <c r="Z461">
        <f t="shared" si="50"/>
        <v>8.2247688734288019E-2</v>
      </c>
      <c r="AA461">
        <f t="shared" si="51"/>
        <v>20.554046135366878</v>
      </c>
    </row>
    <row r="462" spans="1:27" x14ac:dyDescent="0.3">
      <c r="A462" t="s">
        <v>604</v>
      </c>
      <c r="B462" t="s">
        <v>605</v>
      </c>
      <c r="C462" t="s">
        <v>61</v>
      </c>
      <c r="D462" t="s">
        <v>454</v>
      </c>
      <c r="E462">
        <v>2</v>
      </c>
      <c r="F462">
        <v>113000</v>
      </c>
      <c r="G462" t="s">
        <v>186</v>
      </c>
      <c r="H462">
        <v>0.75</v>
      </c>
      <c r="I462">
        <f>inputs!$C$65*inputs!$C$64/1000</f>
        <v>2.13</v>
      </c>
      <c r="J462">
        <f>inputs!$C$65*inputs!$C$63/1000</f>
        <v>0.88</v>
      </c>
      <c r="K462">
        <f t="shared" si="53"/>
        <v>0.25238264883563333</v>
      </c>
      <c r="L462">
        <f t="shared" si="52"/>
        <v>0.1042707657161302</v>
      </c>
      <c r="M462">
        <f>IF((((0.326*F462^0.818)-(0.398*F462^0.85)/(1-H462)*H462)*(MAX('Min rate concentrations'!$P$3:$P$368)))/F462&gt;0, (((0.326*F462^0.818)-(0.398*F462^0.85)/(1-H462)*H462)*(MAX('Min rate concentrations'!$P$3:$P$368)))/F462, 0)</f>
        <v>0</v>
      </c>
      <c r="N462">
        <f>IF((((0.326*F462^0.818)-(0.398*F462^0.85)/(1-H462)*H462)*(MAX('Min rate concentrations'!$Q$3:$Q$368)))/F462&gt; 0, (((0.326*F462^0.818)-(0.398*F462^0.85)/(1-H462)*H462)*(MAX('Min rate concentrations'!$Q$3:$Q$368)))/F462, 0)</f>
        <v>0</v>
      </c>
      <c r="O462">
        <f>((MAX('Min rate concentrations'!$F$3:$F$368))*0.62*6.01*8*(12.3*F462^0.65)*0.079*0.1/F462)*inputs!$E$73/inputs!$E$74</f>
        <v>0.76876317410980122</v>
      </c>
      <c r="P462">
        <f>((MAX('Min rate concentrations'!Y:Y))*0.62*6.01*8*(12.3*F462^0.65)*0.079*0.1/F462)*inputs!$E$73/inputs!$E$74</f>
        <v>0.25625439136993378</v>
      </c>
      <c r="Q462">
        <f>(inputs!$C$7*11.2*(12.3*F462^0.65)*0.5/F462)*inputs!$E$73/inputs!$E$74</f>
        <v>0.13541400718790042</v>
      </c>
      <c r="R462">
        <f>(60*379*((F462/1000)^0.8)*3*24*(MAX('Min rate concentrations'!$R$3:$R$368))/F462)*(inputs!$E$73/inputs!$E$75)</f>
        <v>7.147625164772829E-4</v>
      </c>
      <c r="S462">
        <f>(IF(inputs!$C$6="aerial",((0.025*0.112*inputs!$C$7/3.3)*(3*60*379*((F462/1000)^0.8))*MAX(inputs!$H$14:$H$16))/F462,((0.0083*0.112*inputs!$C$7/1)*(3*60*379*((F462/1000)^0.8))*MAX(inputs!$H$14:$H$16))/F462))*(inputs!E$75/inputs!$E$73)</f>
        <v>3.9419591921727231E-3</v>
      </c>
      <c r="T462">
        <f>IF((((inputs!$P$12/(V462/MAX(K462:S462)))^(1/inputs!$O$12))-1)/inputs!$N$12&lt;0, 0, IF((((inputs!$P$12/(V462/MAX(K462:S462)))^(1/inputs!$O$12))-1)/inputs!$N$12&gt;inputs!$H$17, inputs!$H$17, (((inputs!$P$12/(V462/MAX(K462:S462)))^(1/inputs!$O$12))-1)/inputs!$N$12))</f>
        <v>0</v>
      </c>
      <c r="U462">
        <f>IF((((inputs!$P$12/(X462/MAX(K462:S462)))^(1/inputs!$O$12))-1)/inputs!$N$12&lt;0, 0, IF((((inputs!$P$12/(X462/MAX(K462:S462)))^(1/inputs!$O$12))-1)/inputs!$N$12&gt;inputs!$H$17, inputs!$H$17, (((inputs!$P$12/(X462/MAX(K462:S462)))^(1/inputs!$O$12))-1)/inputs!$N$12))</f>
        <v>0</v>
      </c>
      <c r="V462">
        <f>inputs!$E$70*(F462/inputs!$F$70)^(0.25)</f>
        <v>20.634268100135696</v>
      </c>
      <c r="W462">
        <f>inputs!$E$76*(inputs!$F$76/F462)^(0.25)</f>
        <v>8.2568699553496286E-2</v>
      </c>
      <c r="X462">
        <f>inputs!$E$72*(inputs!$F$72/F462)^(0.25)</f>
        <v>12.110921443264401</v>
      </c>
      <c r="Y462" t="s">
        <v>13</v>
      </c>
      <c r="Z462">
        <f t="shared" si="50"/>
        <v>3.7256624290189659E-2</v>
      </c>
      <c r="AA462">
        <f t="shared" si="51"/>
        <v>9.3105883738876045</v>
      </c>
    </row>
    <row r="463" spans="1:27" x14ac:dyDescent="0.3">
      <c r="A463" t="s">
        <v>604</v>
      </c>
      <c r="B463" t="s">
        <v>605</v>
      </c>
      <c r="C463" t="s">
        <v>61</v>
      </c>
      <c r="D463" t="s">
        <v>454</v>
      </c>
      <c r="E463">
        <v>2</v>
      </c>
      <c r="F463">
        <v>113000</v>
      </c>
      <c r="G463" t="s">
        <v>152</v>
      </c>
      <c r="H463">
        <v>0.77</v>
      </c>
      <c r="I463">
        <f>MAX('Min rate concentrations'!$G$3:$G$368)</f>
        <v>7.5</v>
      </c>
      <c r="J463">
        <f>MAX('Min rate concentrations'!Z:Z)</f>
        <v>3.5</v>
      </c>
      <c r="K463">
        <f t="shared" si="53"/>
        <v>0.96594706382284656</v>
      </c>
      <c r="L463">
        <f t="shared" si="52"/>
        <v>0.45077529645066172</v>
      </c>
      <c r="M463">
        <f>IF((((0.326*F463^0.818)-(0.398*F463^0.85)/(1-H463)*H463)*(MAX('Min rate concentrations'!$P$3:$P$368)))/F463&gt;0, (((0.326*F463^0.818)-(0.398*F463^0.85)/(1-H463)*H463)*(MAX('Min rate concentrations'!$P$3:$P$368)))/F463, 0)</f>
        <v>0</v>
      </c>
      <c r="N463">
        <f>IF((((0.326*F463^0.818)-(0.398*F463^0.85)/(1-H463)*H463)*(MAX('Min rate concentrations'!$Q$3:$Q$368)))/F463&gt; 0, (((0.326*F463^0.818)-(0.398*F463^0.85)/(1-H463)*H463)*(MAX('Min rate concentrations'!$Q$3:$Q$368)))/F463, 0)</f>
        <v>0</v>
      </c>
      <c r="O463">
        <f>((MAX('Min rate concentrations'!$F$3:$F$368))*0.62*6.01*8*(12.3*F463^0.65)*0.079*0.1/F463)*inputs!$E$73/inputs!$E$74</f>
        <v>0.76876317410980122</v>
      </c>
      <c r="P463">
        <f>((MAX('Min rate concentrations'!Y:Y))*0.62*6.01*8*(12.3*F463^0.65)*0.079*0.1/F463)*inputs!$E$73/inputs!$E$74</f>
        <v>0.25625439136993378</v>
      </c>
      <c r="Q463">
        <f>(inputs!$C$7*11.2*(12.3*F463^0.65)*0.5/F463)*inputs!$E$73/inputs!$E$74</f>
        <v>0.13541400718790042</v>
      </c>
      <c r="R463">
        <f>(60*379*((F463/1000)^0.8)*3*24*(MAX('Min rate concentrations'!$R$3:$R$368))/F463)*(inputs!$E$73/inputs!$E$75)</f>
        <v>7.147625164772829E-4</v>
      </c>
      <c r="S463">
        <f>(IF(inputs!$C$6="aerial",((0.025*0.112*inputs!$C$7/3.3)*(3*60*379*((F463/1000)^0.8))*MAX(inputs!$H$14:$H$16))/F463,((0.0083*0.112*inputs!$C$7/1)*(3*60*379*((F463/1000)^0.8))*MAX(inputs!$H$14:$H$16))/F463))*(inputs!E$75/inputs!$E$73)</f>
        <v>3.9419591921727231E-3</v>
      </c>
      <c r="T463">
        <f>IF((((inputs!$P$12/(V463/MAX(K463:S463)))^(1/inputs!$O$12))-1)/inputs!$N$12&lt;0, 0, IF((((inputs!$P$12/(V463/MAX(K463:S463)))^(1/inputs!$O$12))-1)/inputs!$N$12&gt;inputs!$H$17, inputs!$H$17, (((inputs!$P$12/(V463/MAX(K463:S463)))^(1/inputs!$O$12))-1)/inputs!$N$12))</f>
        <v>0</v>
      </c>
      <c r="U463">
        <f>IF((((inputs!$P$12/(X463/MAX(K463:S463)))^(1/inputs!$O$12))-1)/inputs!$N$12&lt;0, 0, IF((((inputs!$P$12/(X463/MAX(K463:S463)))^(1/inputs!$O$12))-1)/inputs!$N$12&gt;inputs!$H$17, inputs!$H$17, (((inputs!$P$12/(X463/MAX(K463:S463)))^(1/inputs!$O$12))-1)/inputs!$N$12))</f>
        <v>0</v>
      </c>
      <c r="V463">
        <f>inputs!$E$70*(F463/inputs!$F$70)^(0.25)</f>
        <v>20.634268100135696</v>
      </c>
      <c r="W463">
        <f>inputs!$E$76*(inputs!$F$76/F463)^(0.25)</f>
        <v>8.2568699553496286E-2</v>
      </c>
      <c r="X463">
        <f>inputs!$E$72*(inputs!$F$72/F463)^(0.25)</f>
        <v>12.110921443264401</v>
      </c>
      <c r="Y463" t="s">
        <v>13</v>
      </c>
      <c r="Z463">
        <f t="shared" si="50"/>
        <v>4.6812761137696675E-2</v>
      </c>
      <c r="AA463">
        <f t="shared" si="51"/>
        <v>11.698707488992353</v>
      </c>
    </row>
    <row r="464" spans="1:27" x14ac:dyDescent="0.3">
      <c r="A464" t="s">
        <v>604</v>
      </c>
      <c r="B464" t="s">
        <v>605</v>
      </c>
      <c r="C464" t="s">
        <v>61</v>
      </c>
      <c r="D464" t="s">
        <v>454</v>
      </c>
      <c r="E464">
        <v>2</v>
      </c>
      <c r="F464">
        <v>113000</v>
      </c>
      <c r="G464" t="s">
        <v>169</v>
      </c>
      <c r="H464">
        <v>0.79</v>
      </c>
      <c r="I464">
        <f>MAX('Min rate concentrations'!$D$3:$D$368)</f>
        <v>120</v>
      </c>
      <c r="J464">
        <f>MAX('Min rate concentrations'!W:W)</f>
        <v>42.5</v>
      </c>
      <c r="K464">
        <f t="shared" si="53"/>
        <v>16.927072356514646</v>
      </c>
      <c r="L464">
        <f t="shared" si="52"/>
        <v>5.9950047929322707</v>
      </c>
      <c r="M464">
        <f>IF((((0.326*F464^0.818)-(0.398*F464^0.85)/(1-H464)*H464)*(MAX('Min rate concentrations'!$P$3:$P$368)))/F464&gt;0, (((0.326*F464^0.818)-(0.398*F464^0.85)/(1-H464)*H464)*(MAX('Min rate concentrations'!$P$3:$P$368)))/F464, 0)</f>
        <v>0</v>
      </c>
      <c r="N464">
        <f>IF((((0.326*F464^0.818)-(0.398*F464^0.85)/(1-H464)*H464)*(MAX('Min rate concentrations'!$Q$3:$Q$368)))/F464&gt; 0, (((0.326*F464^0.818)-(0.398*F464^0.85)/(1-H464)*H464)*(MAX('Min rate concentrations'!$Q$3:$Q$368)))/F464, 0)</f>
        <v>0</v>
      </c>
      <c r="O464">
        <f>((MAX('Min rate concentrations'!$F$3:$F$368))*0.62*6.01*8*(12.3*F464^0.65)*0.079*0.1/F464)*inputs!$E$73/inputs!$E$74</f>
        <v>0.76876317410980122</v>
      </c>
      <c r="P464">
        <f>((MAX('Min rate concentrations'!Y:Y))*0.62*6.01*8*(12.3*F464^0.65)*0.079*0.1/F464)*inputs!$E$73/inputs!$E$74</f>
        <v>0.25625439136993378</v>
      </c>
      <c r="Q464">
        <f>(inputs!$C$7*11.2*(12.3*F464^0.65)*0.5/F464)*inputs!$E$73/inputs!$E$74</f>
        <v>0.13541400718790042</v>
      </c>
      <c r="R464">
        <f>(60*379*((F464/1000)^0.8)*3*24*(MAX('Min rate concentrations'!$R$3:$R$368))/F464)*(inputs!$E$73/inputs!$E$75)</f>
        <v>7.147625164772829E-4</v>
      </c>
      <c r="S464">
        <f>(IF(inputs!$C$6="aerial",((0.025*0.112*inputs!$C$7/3.3)*(3*60*379*((F464/1000)^0.8))*MAX(inputs!$H$14:$H$16))/F464,((0.0083*0.112*inputs!$C$7/1)*(3*60*379*((F464/1000)^0.8))*MAX(inputs!$H$14:$H$16))/F464))*(inputs!E$75/inputs!$E$73)</f>
        <v>3.9419591921727231E-3</v>
      </c>
      <c r="T464">
        <f>IF((((inputs!$P$12/(V464/MAX(K464:S464)))^(1/inputs!$O$12))-1)/inputs!$N$12&lt;0, 0, IF((((inputs!$P$12/(V464/MAX(K464:S464)))^(1/inputs!$O$12))-1)/inputs!$N$12&gt;inputs!$H$17, inputs!$H$17, (((inputs!$P$12/(V464/MAX(K464:S464)))^(1/inputs!$O$12))-1)/inputs!$N$12))</f>
        <v>0</v>
      </c>
      <c r="U464">
        <f>IF((((inputs!$P$12/(X464/MAX(K464:S464)))^(1/inputs!$O$12))-1)/inputs!$N$12&lt;0, 0, IF((((inputs!$P$12/(X464/MAX(K464:S464)))^(1/inputs!$O$12))-1)/inputs!$N$12&gt;inputs!$H$17, inputs!$H$17, (((inputs!$P$12/(X464/MAX(K464:S464)))^(1/inputs!$O$12))-1)/inputs!$N$12))</f>
        <v>0</v>
      </c>
      <c r="V464">
        <f>inputs!$E$70*(F464/inputs!$F$70)^(0.25)</f>
        <v>20.634268100135696</v>
      </c>
      <c r="W464">
        <f>inputs!$E$76*(inputs!$F$76/F464)^(0.25)</f>
        <v>8.2568699553496286E-2</v>
      </c>
      <c r="X464">
        <f>inputs!$E$72*(inputs!$F$72/F464)^(0.25)</f>
        <v>12.110921443264401</v>
      </c>
      <c r="Y464" t="s">
        <v>13</v>
      </c>
      <c r="Z464">
        <f t="shared" si="50"/>
        <v>0.82033790946058949</v>
      </c>
      <c r="AA464">
        <f t="shared" si="51"/>
        <v>205.00592171186602</v>
      </c>
    </row>
    <row r="465" spans="1:27" x14ac:dyDescent="0.3">
      <c r="A465" t="s">
        <v>604</v>
      </c>
      <c r="B465" t="s">
        <v>605</v>
      </c>
      <c r="C465" t="s">
        <v>61</v>
      </c>
      <c r="D465" t="s">
        <v>454</v>
      </c>
      <c r="E465">
        <v>2</v>
      </c>
      <c r="F465">
        <v>113000</v>
      </c>
      <c r="G465" t="s">
        <v>580</v>
      </c>
      <c r="H465">
        <v>0.85</v>
      </c>
      <c r="I465">
        <f>MAX('Min rate concentrations'!$F$3:$F$368)</f>
        <v>67.5</v>
      </c>
      <c r="J465">
        <f>MAX('Min rate concentrations'!Y:Y)</f>
        <v>22.5</v>
      </c>
      <c r="K465">
        <f t="shared" si="53"/>
        <v>13.330069480755279</v>
      </c>
      <c r="M465">
        <f>IF((((0.326*F465^0.818)-(0.398*F465^0.85)/(1-H465)*H465)*(MAX('Min rate concentrations'!$P$3:$P$368)))/F465&gt;0, (((0.326*F465^0.818)-(0.398*F465^0.85)/(1-H465)*H465)*(MAX('Min rate concentrations'!$P$3:$P$368)))/F465, 0)</f>
        <v>0</v>
      </c>
      <c r="N465">
        <f>IF((((0.326*F465^0.818)-(0.398*F465^0.85)/(1-H465)*H465)*(MAX('Min rate concentrations'!$Q$3:$Q$368)))/F465&gt; 0, (((0.326*F465^0.818)-(0.398*F465^0.85)/(1-H465)*H465)*(MAX('Min rate concentrations'!$Q$3:$Q$368)))/F465, 0)</f>
        <v>0</v>
      </c>
      <c r="O465">
        <f>((MAX('Min rate concentrations'!$F$3:$F$368))*0.62*6.01*8*(12.3*F465^0.65)*0.079*0.1/F465)*inputs!$E$73/inputs!$E$74</f>
        <v>0.76876317410980122</v>
      </c>
      <c r="Q465">
        <f>(inputs!$C$7*11.2*(12.3*F465^0.65)*0.5/F465)*inputs!$E$73/inputs!$E$74</f>
        <v>0.13541400718790042</v>
      </c>
      <c r="R465">
        <f>(60*379*((F465/1000)^0.8)*3*24*(MAX('Min rate concentrations'!$R$3:$R$368))/F465)*(inputs!$E$73/inputs!$E$75)</f>
        <v>7.147625164772829E-4</v>
      </c>
      <c r="S465">
        <f>(IF(inputs!$C$6="aerial",((0.025*0.112*inputs!$C$7/3.3)*(3*60*379*((F465/1000)^0.8))*MAX(inputs!$H$14:$H$16))/F465,((0.0083*0.112*inputs!$C$7/1)*(3*60*379*((F465/1000)^0.8))*MAX(inputs!$H$14:$H$16))/F465))*(inputs!E$75/inputs!$E$73)</f>
        <v>3.9419591921727231E-3</v>
      </c>
      <c r="T465">
        <f>IF((((inputs!$P$12/(V465/MAX(K465:S465)))^(1/inputs!$O$12))-1)/inputs!$N$12&lt;0, 0, IF((((inputs!$P$12/(V465/MAX(K465:S465)))^(1/inputs!$O$12))-1)/inputs!$N$12&gt;inputs!$H$17, inputs!$H$17, (((inputs!$P$12/(V465/MAX(K465:S465)))^(1/inputs!$O$12))-1)/inputs!$N$12))</f>
        <v>0</v>
      </c>
      <c r="U465">
        <f>IF((((inputs!$P$12/(X465/MAX(K465:S465)))^(1/inputs!$O$12))-1)/inputs!$N$12&lt;0, 0, IF((((inputs!$P$12/(X465/MAX(K465:S465)))^(1/inputs!$O$12))-1)/inputs!$N$12&gt;inputs!$H$17, inputs!$H$17, (((inputs!$P$12/(X465/MAX(K465:S465)))^(1/inputs!$O$12))-1)/inputs!$N$12))</f>
        <v>0</v>
      </c>
      <c r="V465">
        <f>inputs!$E$70*(F465/inputs!$F$70)^(0.25)</f>
        <v>20.634268100135696</v>
      </c>
      <c r="W465">
        <f>inputs!$E$76*(inputs!$F$76/F465)^(0.25)</f>
        <v>8.2568699553496286E-2</v>
      </c>
      <c r="X465">
        <f>inputs!$E$72*(inputs!$F$72/F465)^(0.25)</f>
        <v>12.110921443264401</v>
      </c>
      <c r="Y465" t="s">
        <v>13</v>
      </c>
      <c r="Z465">
        <f t="shared" si="50"/>
        <v>0.64601610370021401</v>
      </c>
      <c r="AA465">
        <f t="shared" si="51"/>
        <v>161.44216334809443</v>
      </c>
    </row>
    <row r="466" spans="1:27" x14ac:dyDescent="0.3">
      <c r="A466" t="s">
        <v>604</v>
      </c>
      <c r="B466" t="s">
        <v>605</v>
      </c>
      <c r="C466" t="s">
        <v>61</v>
      </c>
      <c r="D466" t="s">
        <v>454</v>
      </c>
      <c r="E466">
        <v>2</v>
      </c>
      <c r="F466">
        <v>113000</v>
      </c>
      <c r="G466" t="s">
        <v>455</v>
      </c>
      <c r="H466">
        <v>0.68</v>
      </c>
      <c r="I466">
        <f>MAX('Min rate concentrations'!$K$3:$K$368)</f>
        <v>18.333393099490852</v>
      </c>
      <c r="J466">
        <f>MAX('Min rate concentrations'!AC:AC)</f>
        <v>6.4930767227363431</v>
      </c>
      <c r="K466">
        <f t="shared" si="53"/>
        <v>1.6971208599598093</v>
      </c>
      <c r="M466">
        <f>IF((((0.326*F466^0.818)-(0.398*F466^0.85)/(1-H466)*H466)*(MAX('Min rate concentrations'!$P$3:$P$368)))/F466&gt;0, (((0.326*F466^0.818)-(0.398*F466^0.85)/(1-H466)*H466)*(MAX('Min rate concentrations'!$P$3:$P$368)))/F466, 0)</f>
        <v>0</v>
      </c>
      <c r="N466">
        <f>IF((((0.326*F466^0.818)-(0.398*F466^0.85)/(1-H466)*H466)*(MAX('Min rate concentrations'!$Q$3:$Q$368)))/F466&gt; 0, (((0.326*F466^0.818)-(0.398*F466^0.85)/(1-H466)*H466)*(MAX('Min rate concentrations'!$Q$3:$Q$368)))/F466, 0)</f>
        <v>0</v>
      </c>
      <c r="O466">
        <f>((MAX('Min rate concentrations'!$F$3:$F$368))*0.62*6.01*8*(12.3*F466^0.65)*0.079*0.1/F466)*inputs!$E$73/inputs!$E$74</f>
        <v>0.76876317410980122</v>
      </c>
      <c r="Q466">
        <f>(inputs!$C$7*11.2*(12.3*F466^0.65)*0.5/F466)*inputs!$E$73/inputs!$E$74</f>
        <v>0.13541400718790042</v>
      </c>
      <c r="R466">
        <f>(60*379*((F466/1000)^0.8)*3*24*(MAX('Min rate concentrations'!$R$3:$R$368))/F466)*(inputs!$E$73/inputs!$E$75)</f>
        <v>7.147625164772829E-4</v>
      </c>
      <c r="S466">
        <f>(IF(inputs!$C$6="aerial",((0.025*0.112*inputs!$C$7/3.3)*(3*60*379*((F466/1000)^0.8))*MAX(inputs!$H$14:$H$16))/F466,((0.0083*0.112*inputs!$C$7/1)*(3*60*379*((F466/1000)^0.8))*MAX(inputs!$H$14:$H$16))/F466))*(inputs!E$75/inputs!$E$73)</f>
        <v>3.9419591921727231E-3</v>
      </c>
      <c r="T466">
        <f>IF((((inputs!$P$12/(V466/MAX(K466:S466)))^(1/inputs!$O$12))-1)/inputs!$N$12&lt;0, 0, IF((((inputs!$P$12/(V466/MAX(K466:S466)))^(1/inputs!$O$12))-1)/inputs!$N$12&gt;inputs!$H$17, inputs!$H$17, (((inputs!$P$12/(V466/MAX(K466:S466)))^(1/inputs!$O$12))-1)/inputs!$N$12))</f>
        <v>0</v>
      </c>
      <c r="U466">
        <f>IF((((inputs!$P$12/(X466/MAX(K466:S466)))^(1/inputs!$O$12))-1)/inputs!$N$12&lt;0, 0, IF((((inputs!$P$12/(X466/MAX(K466:S466)))^(1/inputs!$O$12))-1)/inputs!$N$12&gt;inputs!$H$17, inputs!$H$17, (((inputs!$P$12/(X466/MAX(K466:S466)))^(1/inputs!$O$12))-1)/inputs!$N$12))</f>
        <v>0</v>
      </c>
      <c r="V466">
        <f>inputs!$E$70*(F466/inputs!$F$70)^(0.25)</f>
        <v>20.634268100135696</v>
      </c>
      <c r="W466">
        <f>inputs!$E$76*(inputs!$F$76/F466)^(0.25)</f>
        <v>8.2568699553496286E-2</v>
      </c>
      <c r="X466">
        <f>inputs!$E$72*(inputs!$F$72/F466)^(0.25)</f>
        <v>12.110921443264401</v>
      </c>
      <c r="Y466" t="s">
        <v>13</v>
      </c>
      <c r="Z466">
        <f t="shared" si="50"/>
        <v>8.2247688734288019E-2</v>
      </c>
      <c r="AA466">
        <f t="shared" si="51"/>
        <v>20.554046135366878</v>
      </c>
    </row>
    <row r="467" spans="1:27" x14ac:dyDescent="0.3">
      <c r="A467" t="s">
        <v>604</v>
      </c>
      <c r="B467" t="s">
        <v>605</v>
      </c>
      <c r="C467" t="s">
        <v>61</v>
      </c>
      <c r="D467" t="s">
        <v>454</v>
      </c>
      <c r="E467">
        <v>2</v>
      </c>
      <c r="F467">
        <v>113000</v>
      </c>
      <c r="G467" t="s">
        <v>456</v>
      </c>
      <c r="H467">
        <v>0.68</v>
      </c>
      <c r="I467">
        <f>MAX('Min rate concentrations'!$J$3:$J$368)</f>
        <v>114.4108103430513</v>
      </c>
      <c r="J467">
        <f>MAX('Min rate concentrations'!AB:AB)</f>
        <v>40.520495329830666</v>
      </c>
      <c r="K467">
        <f t="shared" si="53"/>
        <v>10.591000355711033</v>
      </c>
      <c r="L467">
        <f t="shared" ref="L467:L472" si="54">(((0.235*F467^0.822)/(1-H467)))*J467/F467</f>
        <v>3.7509792926476582</v>
      </c>
      <c r="M467">
        <f>IF((((0.326*F467^0.818)-(0.398*F467^0.85)/(1-H467)*H467)*(MAX('Min rate concentrations'!$P$3:$P$368)))/F467&gt;0, (((0.326*F467^0.818)-(0.398*F467^0.85)/(1-H467)*H467)*(MAX('Min rate concentrations'!$P$3:$P$368)))/F467, 0)</f>
        <v>0</v>
      </c>
      <c r="N467">
        <f>IF((((0.326*F467^0.818)-(0.398*F467^0.85)/(1-H467)*H467)*(MAX('Min rate concentrations'!$Q$3:$Q$368)))/F467&gt; 0, (((0.326*F467^0.818)-(0.398*F467^0.85)/(1-H467)*H467)*(MAX('Min rate concentrations'!$Q$3:$Q$368)))/F467, 0)</f>
        <v>0</v>
      </c>
      <c r="O467">
        <f>((MAX('Min rate concentrations'!$F$3:$F$368))*0.62*6.01*8*(12.3*F467^0.65)*0.079*0.1/F467)*inputs!$E$73/inputs!$E$74</f>
        <v>0.76876317410980122</v>
      </c>
      <c r="P467">
        <f>((MAX('Min rate concentrations'!Y:Y))*0.62*6.01*8*(12.3*F467^0.65)*0.079*0.1/F467)*inputs!$E$73/inputs!$E$74</f>
        <v>0.25625439136993378</v>
      </c>
      <c r="Q467">
        <f>(inputs!$C$7*11.2*(12.3*F467^0.65)*0.5/F467)*inputs!$E$73/inputs!$E$74</f>
        <v>0.13541400718790042</v>
      </c>
      <c r="R467">
        <f>(60*379*((F467/1000)^0.8)*3*24*(MAX('Min rate concentrations'!$R$3:$R$368))/F467)*(inputs!$E$73/inputs!$E$75)</f>
        <v>7.147625164772829E-4</v>
      </c>
      <c r="S467">
        <f>(IF(inputs!$C$6="aerial",((0.025*0.112*inputs!$C$7/3.3)*(3*60*379*((F467/1000)^0.8))*MAX(inputs!$H$14:$H$16))/F467,((0.0083*0.112*inputs!$C$7/1)*(3*60*379*((F467/1000)^0.8))*MAX(inputs!$H$14:$H$16))/F467))*(inputs!E$75/inputs!$E$73)</f>
        <v>3.9419591921727231E-3</v>
      </c>
      <c r="T467">
        <f>IF((((inputs!$P$12/(V467/MAX(K467:S467)))^(1/inputs!$O$12))-1)/inputs!$N$12&lt;0, 0, IF((((inputs!$P$12/(V467/MAX(K467:S467)))^(1/inputs!$O$12))-1)/inputs!$N$12&gt;inputs!$H$17, inputs!$H$17, (((inputs!$P$12/(V467/MAX(K467:S467)))^(1/inputs!$O$12))-1)/inputs!$N$12))</f>
        <v>0</v>
      </c>
      <c r="U467">
        <f>IF((((inputs!$P$12/(X467/MAX(K467:S467)))^(1/inputs!$O$12))-1)/inputs!$N$12&lt;0, 0, IF((((inputs!$P$12/(X467/MAX(K467:S467)))^(1/inputs!$O$12))-1)/inputs!$N$12&gt;inputs!$H$17, inputs!$H$17, (((inputs!$P$12/(X467/MAX(K467:S467)))^(1/inputs!$O$12))-1)/inputs!$N$12))</f>
        <v>0</v>
      </c>
      <c r="V467">
        <f>inputs!$E$70*(F467/inputs!$F$70)^(0.25)</f>
        <v>20.634268100135696</v>
      </c>
      <c r="W467">
        <f>inputs!$E$76*(inputs!$F$76/F467)^(0.25)</f>
        <v>8.2568699553496286E-2</v>
      </c>
      <c r="X467">
        <f>inputs!$E$72*(inputs!$F$72/F467)^(0.25)</f>
        <v>12.110921443264401</v>
      </c>
      <c r="Y467" t="s">
        <v>13</v>
      </c>
      <c r="Z467">
        <f t="shared" si="50"/>
        <v>0.51327240221529269</v>
      </c>
      <c r="AA467">
        <f t="shared" si="51"/>
        <v>128.26894952910237</v>
      </c>
    </row>
    <row r="468" spans="1:27" x14ac:dyDescent="0.3">
      <c r="A468" t="s">
        <v>604</v>
      </c>
      <c r="B468" t="s">
        <v>606</v>
      </c>
      <c r="C468" t="s">
        <v>61</v>
      </c>
      <c r="D468" t="s">
        <v>454</v>
      </c>
      <c r="E468">
        <v>4110</v>
      </c>
      <c r="F468">
        <v>113000</v>
      </c>
      <c r="G468" t="s">
        <v>142</v>
      </c>
      <c r="H468">
        <v>0.69</v>
      </c>
      <c r="I468">
        <f>MAX('Min rate concentrations'!$H$3:$H$368)</f>
        <v>47</v>
      </c>
      <c r="J468">
        <f>MAX('Min rate concentrations'!AA:AA)</f>
        <v>32.5</v>
      </c>
      <c r="K468">
        <f t="shared" si="53"/>
        <v>4.4911345203978366</v>
      </c>
      <c r="L468">
        <f t="shared" si="54"/>
        <v>3.1055717428282912</v>
      </c>
      <c r="M468">
        <f>IF((((0.326*F468^0.818)-(0.398*F468^0.85)/(1-H468)*H468)*(MAX('Min rate concentrations'!$P$3:$P$368)))/F468&gt;0, (((0.326*F468^0.818)-(0.398*F468^0.85)/(1-H468)*H468)*(MAX('Min rate concentrations'!$P$3:$P$368)))/F468, 0)</f>
        <v>0</v>
      </c>
      <c r="N468">
        <f>IF((((0.326*F468^0.818)-(0.398*F468^0.85)/(1-H468)*H468)*(MAX('Min rate concentrations'!$Q$3:$Q$368)))/F468&gt; 0, (((0.326*F468^0.818)-(0.398*F468^0.85)/(1-H468)*H468)*(MAX('Min rate concentrations'!$Q$3:$Q$368)))/F468, 0)</f>
        <v>0</v>
      </c>
      <c r="O468">
        <f>((MAX('Min rate concentrations'!$F$3:$F$368))*0.62*6.01*8*(12.3*F468^0.65)*0.079*0.1/F468)*inputs!$E$73/inputs!$E$74</f>
        <v>0.76876317410980122</v>
      </c>
      <c r="P468">
        <f>((MAX('Min rate concentrations'!Y:Y))*0.62*6.01*8*(12.3*F468^0.65)*0.079*0.1/F468)*inputs!$E$73/inputs!$E$74</f>
        <v>0.25625439136993378</v>
      </c>
      <c r="Q468">
        <f>(inputs!$C$7*11.2*(12.3*F468^0.65)*0.5/F468)*inputs!$E$73/inputs!$E$74</f>
        <v>0.13541400718790042</v>
      </c>
      <c r="R468">
        <f>(60*379*((F468/1000)^0.8)*3*24*(MAX('Min rate concentrations'!$R$3:$R$368))/F468)*(inputs!$E$73/inputs!$E$75)</f>
        <v>7.147625164772829E-4</v>
      </c>
      <c r="S468">
        <f>(IF(inputs!$C$6="aerial",((0.025*0.112*inputs!$C$7/3.3)*(3*60*379*((F468/1000)^0.8))*MAX(inputs!$H$14:$H$16))/F468,((0.0083*0.112*inputs!$C$7/1)*(3*60*379*((F468/1000)^0.8))*MAX(inputs!$H$14:$H$16))/F468))*(inputs!E$75/inputs!$E$73)</f>
        <v>3.9419591921727231E-3</v>
      </c>
      <c r="T468">
        <f>IF((((inputs!$P$12/(V468/MAX(K468:S468)))^(1/inputs!$O$12))-1)/inputs!$N$12&lt;0, 0, IF((((inputs!$P$12/(V468/MAX(K468:S468)))^(1/inputs!$O$12))-1)/inputs!$N$12&gt;inputs!$H$17, inputs!$H$17, (((inputs!$P$12/(V468/MAX(K468:S468)))^(1/inputs!$O$12))-1)/inputs!$N$12))</f>
        <v>0</v>
      </c>
      <c r="U468">
        <f>IF((((inputs!$P$12/(X468/MAX(K468:S468)))^(1/inputs!$O$12))-1)/inputs!$N$12&lt;0, 0, IF((((inputs!$P$12/(X468/MAX(K468:S468)))^(1/inputs!$O$12))-1)/inputs!$N$12&gt;inputs!$H$17, inputs!$H$17, (((inputs!$P$12/(X468/MAX(K468:S468)))^(1/inputs!$O$12))-1)/inputs!$N$12))</f>
        <v>0</v>
      </c>
      <c r="V468">
        <f>inputs!$E$70*(F468/inputs!$F$70)^(0.25)</f>
        <v>20.634268100135696</v>
      </c>
      <c r="W468">
        <f>inputs!$E$76*(inputs!$F$76/F468)^(0.25)</f>
        <v>8.2568699553496286E-2</v>
      </c>
      <c r="X468">
        <f>inputs!$E$72*(inputs!$F$72/F468)^(0.25)</f>
        <v>12.110921443264401</v>
      </c>
      <c r="Y468" t="s">
        <v>13</v>
      </c>
      <c r="Z468">
        <f t="shared" si="50"/>
        <v>0.21765417113914023</v>
      </c>
      <c r="AA468">
        <f t="shared" si="51"/>
        <v>54.392700196132182</v>
      </c>
    </row>
    <row r="469" spans="1:27" x14ac:dyDescent="0.3">
      <c r="A469" t="s">
        <v>604</v>
      </c>
      <c r="B469" t="s">
        <v>606</v>
      </c>
      <c r="C469" t="s">
        <v>61</v>
      </c>
      <c r="D469" t="s">
        <v>454</v>
      </c>
      <c r="E469">
        <v>4110</v>
      </c>
      <c r="F469">
        <v>113000</v>
      </c>
      <c r="G469" t="s">
        <v>218</v>
      </c>
      <c r="H469">
        <v>0.68</v>
      </c>
      <c r="I469">
        <f>MAX('Min rate concentrations'!$K$3:$K$368)</f>
        <v>18.333393099490852</v>
      </c>
      <c r="J469">
        <f>MAX('Min rate concentrations'!AC:AC)</f>
        <v>6.4930767227363431</v>
      </c>
      <c r="K469">
        <f t="shared" si="53"/>
        <v>1.6971208599598093</v>
      </c>
      <c r="L469">
        <f t="shared" si="54"/>
        <v>0.60106363790243234</v>
      </c>
      <c r="M469">
        <f>IF((((0.326*F469^0.818)-(0.398*F469^0.85)/(1-H469)*H469)*(MAX('Min rate concentrations'!$P$3:$P$368)))/F469&gt;0, (((0.326*F469^0.818)-(0.398*F469^0.85)/(1-H469)*H469)*(MAX('Min rate concentrations'!$P$3:$P$368)))/F469, 0)</f>
        <v>0</v>
      </c>
      <c r="N469">
        <f>IF((((0.326*F469^0.818)-(0.398*F469^0.85)/(1-H469)*H469)*(MAX('Min rate concentrations'!$Q$3:$Q$368)))/F469&gt; 0, (((0.326*F469^0.818)-(0.398*F469^0.85)/(1-H469)*H469)*(MAX('Min rate concentrations'!$Q$3:$Q$368)))/F469, 0)</f>
        <v>0</v>
      </c>
      <c r="O469">
        <f>((MAX('Min rate concentrations'!$F$3:$F$368))*0.62*6.01*8*(12.3*F469^0.65)*0.079*0.1/F469)*inputs!$E$73/inputs!$E$74</f>
        <v>0.76876317410980122</v>
      </c>
      <c r="P469">
        <f>((MAX('Min rate concentrations'!Y:Y))*0.62*6.01*8*(12.3*F469^0.65)*0.079*0.1/F469)*inputs!$E$73/inputs!$E$74</f>
        <v>0.25625439136993378</v>
      </c>
      <c r="Q469">
        <f>(inputs!$C$7*11.2*(12.3*F469^0.65)*0.5/F469)*inputs!$E$73/inputs!$E$74</f>
        <v>0.13541400718790042</v>
      </c>
      <c r="R469">
        <f>(60*379*((F469/1000)^0.8)*3*24*(MAX('Min rate concentrations'!$R$3:$R$368))/F469)*(inputs!$E$73/inputs!$E$75)</f>
        <v>7.147625164772829E-4</v>
      </c>
      <c r="S469">
        <f>(IF(inputs!$C$6="aerial",((0.025*0.112*inputs!$C$7/3.3)*(3*60*379*((F469/1000)^0.8))*MAX(inputs!$H$14:$H$16))/F469,((0.0083*0.112*inputs!$C$7/1)*(3*60*379*((F469/1000)^0.8))*MAX(inputs!$H$14:$H$16))/F469))*(inputs!E$75/inputs!$E$73)</f>
        <v>3.9419591921727231E-3</v>
      </c>
      <c r="T469">
        <f>IF((((inputs!$P$12/(V469/MAX(K469:S469)))^(1/inputs!$O$12))-1)/inputs!$N$12&lt;0, 0, IF((((inputs!$P$12/(V469/MAX(K469:S469)))^(1/inputs!$O$12))-1)/inputs!$N$12&gt;inputs!$H$17, inputs!$H$17, (((inputs!$P$12/(V469/MAX(K469:S469)))^(1/inputs!$O$12))-1)/inputs!$N$12))</f>
        <v>0</v>
      </c>
      <c r="U469">
        <f>IF((((inputs!$P$12/(X469/MAX(K469:S469)))^(1/inputs!$O$12))-1)/inputs!$N$12&lt;0, 0, IF((((inputs!$P$12/(X469/MAX(K469:S469)))^(1/inputs!$O$12))-1)/inputs!$N$12&gt;inputs!$H$17, inputs!$H$17, (((inputs!$P$12/(X469/MAX(K469:S469)))^(1/inputs!$O$12))-1)/inputs!$N$12))</f>
        <v>0</v>
      </c>
      <c r="V469">
        <f>inputs!$E$70*(F469/inputs!$F$70)^(0.25)</f>
        <v>20.634268100135696</v>
      </c>
      <c r="W469">
        <f>inputs!$E$76*(inputs!$F$76/F469)^(0.25)</f>
        <v>8.2568699553496286E-2</v>
      </c>
      <c r="X469">
        <f>inputs!$E$72*(inputs!$F$72/F469)^(0.25)</f>
        <v>12.110921443264401</v>
      </c>
      <c r="Y469" t="s">
        <v>13</v>
      </c>
      <c r="Z469">
        <f t="shared" si="50"/>
        <v>8.2247688734288019E-2</v>
      </c>
      <c r="AA469">
        <f t="shared" si="51"/>
        <v>20.554046135366878</v>
      </c>
    </row>
    <row r="470" spans="1:27" x14ac:dyDescent="0.3">
      <c r="A470" t="s">
        <v>604</v>
      </c>
      <c r="B470" t="s">
        <v>606</v>
      </c>
      <c r="C470" t="s">
        <v>61</v>
      </c>
      <c r="D470" t="s">
        <v>454</v>
      </c>
      <c r="E470">
        <v>4110</v>
      </c>
      <c r="F470">
        <v>113000</v>
      </c>
      <c r="G470" t="s">
        <v>186</v>
      </c>
      <c r="H470">
        <v>0.75</v>
      </c>
      <c r="I470">
        <f>inputs!$C$65*inputs!$C$64/1000</f>
        <v>2.13</v>
      </c>
      <c r="J470">
        <f>inputs!$C$65*inputs!$C$63/1000</f>
        <v>0.88</v>
      </c>
      <c r="K470">
        <f t="shared" si="53"/>
        <v>0.25238264883563333</v>
      </c>
      <c r="L470">
        <f t="shared" si="54"/>
        <v>0.1042707657161302</v>
      </c>
      <c r="M470">
        <f>IF((((0.326*F470^0.818)-(0.398*F470^0.85)/(1-H470)*H470)*(MAX('Min rate concentrations'!$P$3:$P$368)))/F470&gt;0, (((0.326*F470^0.818)-(0.398*F470^0.85)/(1-H470)*H470)*(MAX('Min rate concentrations'!$P$3:$P$368)))/F470, 0)</f>
        <v>0</v>
      </c>
      <c r="N470">
        <f>IF((((0.326*F470^0.818)-(0.398*F470^0.85)/(1-H470)*H470)*(MAX('Min rate concentrations'!$Q$3:$Q$368)))/F470&gt; 0, (((0.326*F470^0.818)-(0.398*F470^0.85)/(1-H470)*H470)*(MAX('Min rate concentrations'!$Q$3:$Q$368)))/F470, 0)</f>
        <v>0</v>
      </c>
      <c r="O470">
        <f>((MAX('Min rate concentrations'!$F$3:$F$368))*0.62*6.01*8*(12.3*F470^0.65)*0.079*0.1/F470)*inputs!$E$73/inputs!$E$74</f>
        <v>0.76876317410980122</v>
      </c>
      <c r="P470">
        <f>((MAX('Min rate concentrations'!Y:Y))*0.62*6.01*8*(12.3*F470^0.65)*0.079*0.1/F470)*inputs!$E$73/inputs!$E$74</f>
        <v>0.25625439136993378</v>
      </c>
      <c r="Q470">
        <f>(inputs!$C$7*11.2*(12.3*F470^0.65)*0.5/F470)*inputs!$E$73/inputs!$E$74</f>
        <v>0.13541400718790042</v>
      </c>
      <c r="R470">
        <f>(60*379*((F470/1000)^0.8)*3*24*(MAX('Min rate concentrations'!$R$3:$R$368))/F470)*(inputs!$E$73/inputs!$E$75)</f>
        <v>7.147625164772829E-4</v>
      </c>
      <c r="S470">
        <f>(IF(inputs!$C$6="aerial",((0.025*0.112*inputs!$C$7/3.3)*(3*60*379*((F470/1000)^0.8))*MAX(inputs!$H$14:$H$16))/F470,((0.0083*0.112*inputs!$C$7/1)*(3*60*379*((F470/1000)^0.8))*MAX(inputs!$H$14:$H$16))/F470))*(inputs!E$75/inputs!$E$73)</f>
        <v>3.9419591921727231E-3</v>
      </c>
      <c r="T470">
        <f>IF((((inputs!$P$12/(V470/MAX(K470:S470)))^(1/inputs!$O$12))-1)/inputs!$N$12&lt;0, 0, IF((((inputs!$P$12/(V470/MAX(K470:S470)))^(1/inputs!$O$12))-1)/inputs!$N$12&gt;inputs!$H$17, inputs!$H$17, (((inputs!$P$12/(V470/MAX(K470:S470)))^(1/inputs!$O$12))-1)/inputs!$N$12))</f>
        <v>0</v>
      </c>
      <c r="U470">
        <f>IF((((inputs!$P$12/(X470/MAX(K470:S470)))^(1/inputs!$O$12))-1)/inputs!$N$12&lt;0, 0, IF((((inputs!$P$12/(X470/MAX(K470:S470)))^(1/inputs!$O$12))-1)/inputs!$N$12&gt;inputs!$H$17, inputs!$H$17, (((inputs!$P$12/(X470/MAX(K470:S470)))^(1/inputs!$O$12))-1)/inputs!$N$12))</f>
        <v>0</v>
      </c>
      <c r="V470">
        <f>inputs!$E$70*(F470/inputs!$F$70)^(0.25)</f>
        <v>20.634268100135696</v>
      </c>
      <c r="W470">
        <f>inputs!$E$76*(inputs!$F$76/F470)^(0.25)</f>
        <v>8.2568699553496286E-2</v>
      </c>
      <c r="X470">
        <f>inputs!$E$72*(inputs!$F$72/F470)^(0.25)</f>
        <v>12.110921443264401</v>
      </c>
      <c r="Y470" t="s">
        <v>13</v>
      </c>
      <c r="Z470">
        <f t="shared" si="50"/>
        <v>3.7256624290189659E-2</v>
      </c>
      <c r="AA470">
        <f t="shared" si="51"/>
        <v>9.3105883738876045</v>
      </c>
    </row>
    <row r="471" spans="1:27" x14ac:dyDescent="0.3">
      <c r="A471" t="s">
        <v>604</v>
      </c>
      <c r="B471" t="s">
        <v>606</v>
      </c>
      <c r="C471" t="s">
        <v>61</v>
      </c>
      <c r="D471" t="s">
        <v>454</v>
      </c>
      <c r="E471">
        <v>4110</v>
      </c>
      <c r="F471">
        <v>113000</v>
      </c>
      <c r="G471" t="s">
        <v>152</v>
      </c>
      <c r="H471">
        <v>0.77</v>
      </c>
      <c r="I471">
        <f>MAX('Min rate concentrations'!$G$3:$G$368)</f>
        <v>7.5</v>
      </c>
      <c r="J471">
        <f>MAX('Min rate concentrations'!Z:Z)</f>
        <v>3.5</v>
      </c>
      <c r="K471">
        <f t="shared" si="53"/>
        <v>0.96594706382284656</v>
      </c>
      <c r="L471">
        <f t="shared" si="54"/>
        <v>0.45077529645066172</v>
      </c>
      <c r="M471">
        <f>IF((((0.326*F471^0.818)-(0.398*F471^0.85)/(1-H471)*H471)*(MAX('Min rate concentrations'!$P$3:$P$368)))/F471&gt;0, (((0.326*F471^0.818)-(0.398*F471^0.85)/(1-H471)*H471)*(MAX('Min rate concentrations'!$P$3:$P$368)))/F471, 0)</f>
        <v>0</v>
      </c>
      <c r="N471">
        <f>IF((((0.326*F471^0.818)-(0.398*F471^0.85)/(1-H471)*H471)*(MAX('Min rate concentrations'!$Q$3:$Q$368)))/F471&gt; 0, (((0.326*F471^0.818)-(0.398*F471^0.85)/(1-H471)*H471)*(MAX('Min rate concentrations'!$Q$3:$Q$368)))/F471, 0)</f>
        <v>0</v>
      </c>
      <c r="O471">
        <f>((MAX('Min rate concentrations'!$F$3:$F$368))*0.62*6.01*8*(12.3*F471^0.65)*0.079*0.1/F471)*inputs!$E$73/inputs!$E$74</f>
        <v>0.76876317410980122</v>
      </c>
      <c r="P471">
        <f>((MAX('Min rate concentrations'!Y:Y))*0.62*6.01*8*(12.3*F471^0.65)*0.079*0.1/F471)*inputs!$E$73/inputs!$E$74</f>
        <v>0.25625439136993378</v>
      </c>
      <c r="Q471">
        <f>(inputs!$C$7*11.2*(12.3*F471^0.65)*0.5/F471)*inputs!$E$73/inputs!$E$74</f>
        <v>0.13541400718790042</v>
      </c>
      <c r="R471">
        <f>(60*379*((F471/1000)^0.8)*3*24*(MAX('Min rate concentrations'!$R$3:$R$368))/F471)*(inputs!$E$73/inputs!$E$75)</f>
        <v>7.147625164772829E-4</v>
      </c>
      <c r="S471">
        <f>(IF(inputs!$C$6="aerial",((0.025*0.112*inputs!$C$7/3.3)*(3*60*379*((F471/1000)^0.8))*MAX(inputs!$H$14:$H$16))/F471,((0.0083*0.112*inputs!$C$7/1)*(3*60*379*((F471/1000)^0.8))*MAX(inputs!$H$14:$H$16))/F471))*(inputs!E$75/inputs!$E$73)</f>
        <v>3.9419591921727231E-3</v>
      </c>
      <c r="T471">
        <f>IF((((inputs!$P$12/(V471/MAX(K471:S471)))^(1/inputs!$O$12))-1)/inputs!$N$12&lt;0, 0, IF((((inputs!$P$12/(V471/MAX(K471:S471)))^(1/inputs!$O$12))-1)/inputs!$N$12&gt;inputs!$H$17, inputs!$H$17, (((inputs!$P$12/(V471/MAX(K471:S471)))^(1/inputs!$O$12))-1)/inputs!$N$12))</f>
        <v>0</v>
      </c>
      <c r="U471">
        <f>IF((((inputs!$P$12/(X471/MAX(K471:S471)))^(1/inputs!$O$12))-1)/inputs!$N$12&lt;0, 0, IF((((inputs!$P$12/(X471/MAX(K471:S471)))^(1/inputs!$O$12))-1)/inputs!$N$12&gt;inputs!$H$17, inputs!$H$17, (((inputs!$P$12/(X471/MAX(K471:S471)))^(1/inputs!$O$12))-1)/inputs!$N$12))</f>
        <v>0</v>
      </c>
      <c r="V471">
        <f>inputs!$E$70*(F471/inputs!$F$70)^(0.25)</f>
        <v>20.634268100135696</v>
      </c>
      <c r="W471">
        <f>inputs!$E$76*(inputs!$F$76/F471)^(0.25)</f>
        <v>8.2568699553496286E-2</v>
      </c>
      <c r="X471">
        <f>inputs!$E$72*(inputs!$F$72/F471)^(0.25)</f>
        <v>12.110921443264401</v>
      </c>
      <c r="Y471" t="s">
        <v>13</v>
      </c>
      <c r="Z471">
        <f t="shared" si="50"/>
        <v>4.6812761137696675E-2</v>
      </c>
      <c r="AA471">
        <f t="shared" si="51"/>
        <v>11.698707488992353</v>
      </c>
    </row>
    <row r="472" spans="1:27" x14ac:dyDescent="0.3">
      <c r="A472" t="s">
        <v>604</v>
      </c>
      <c r="B472" t="s">
        <v>606</v>
      </c>
      <c r="C472" t="s">
        <v>61</v>
      </c>
      <c r="D472" t="s">
        <v>454</v>
      </c>
      <c r="E472">
        <v>4110</v>
      </c>
      <c r="F472">
        <v>113000</v>
      </c>
      <c r="G472" t="s">
        <v>169</v>
      </c>
      <c r="H472">
        <v>0.79</v>
      </c>
      <c r="I472">
        <f>MAX('Min rate concentrations'!$D$3:$D$368)</f>
        <v>120</v>
      </c>
      <c r="J472">
        <f>MAX('Min rate concentrations'!W:W)</f>
        <v>42.5</v>
      </c>
      <c r="K472">
        <f t="shared" si="53"/>
        <v>16.927072356514646</v>
      </c>
      <c r="L472">
        <f t="shared" si="54"/>
        <v>5.9950047929322707</v>
      </c>
      <c r="M472">
        <f>IF((((0.326*F472^0.818)-(0.398*F472^0.85)/(1-H472)*H472)*(MAX('Min rate concentrations'!$P$3:$P$368)))/F472&gt;0, (((0.326*F472^0.818)-(0.398*F472^0.85)/(1-H472)*H472)*(MAX('Min rate concentrations'!$P$3:$P$368)))/F472, 0)</f>
        <v>0</v>
      </c>
      <c r="N472">
        <f>IF((((0.326*F472^0.818)-(0.398*F472^0.85)/(1-H472)*H472)*(MAX('Min rate concentrations'!$Q$3:$Q$368)))/F472&gt; 0, (((0.326*F472^0.818)-(0.398*F472^0.85)/(1-H472)*H472)*(MAX('Min rate concentrations'!$Q$3:$Q$368)))/F472, 0)</f>
        <v>0</v>
      </c>
      <c r="O472">
        <f>((MAX('Min rate concentrations'!$F$3:$F$368))*0.62*6.01*8*(12.3*F472^0.65)*0.079*0.1/F472)*inputs!$E$73/inputs!$E$74</f>
        <v>0.76876317410980122</v>
      </c>
      <c r="P472">
        <f>((MAX('Min rate concentrations'!Y:Y))*0.62*6.01*8*(12.3*F472^0.65)*0.079*0.1/F472)*inputs!$E$73/inputs!$E$74</f>
        <v>0.25625439136993378</v>
      </c>
      <c r="Q472">
        <f>(inputs!$C$7*11.2*(12.3*F472^0.65)*0.5/F472)*inputs!$E$73/inputs!$E$74</f>
        <v>0.13541400718790042</v>
      </c>
      <c r="R472">
        <f>(60*379*((F472/1000)^0.8)*3*24*(MAX('Min rate concentrations'!$R$3:$R$368))/F472)*(inputs!$E$73/inputs!$E$75)</f>
        <v>7.147625164772829E-4</v>
      </c>
      <c r="S472">
        <f>(IF(inputs!$C$6="aerial",((0.025*0.112*inputs!$C$7/3.3)*(3*60*379*((F472/1000)^0.8))*MAX(inputs!$H$14:$H$16))/F472,((0.0083*0.112*inputs!$C$7/1)*(3*60*379*((F472/1000)^0.8))*MAX(inputs!$H$14:$H$16))/F472))*(inputs!E$75/inputs!$E$73)</f>
        <v>3.9419591921727231E-3</v>
      </c>
      <c r="T472">
        <f>IF((((inputs!$P$12/(V472/MAX(K472:S472)))^(1/inputs!$O$12))-1)/inputs!$N$12&lt;0, 0, IF((((inputs!$P$12/(V472/MAX(K472:S472)))^(1/inputs!$O$12))-1)/inputs!$N$12&gt;inputs!$H$17, inputs!$H$17, (((inputs!$P$12/(V472/MAX(K472:S472)))^(1/inputs!$O$12))-1)/inputs!$N$12))</f>
        <v>0</v>
      </c>
      <c r="U472">
        <f>IF((((inputs!$P$12/(X472/MAX(K472:S472)))^(1/inputs!$O$12))-1)/inputs!$N$12&lt;0, 0, IF((((inputs!$P$12/(X472/MAX(K472:S472)))^(1/inputs!$O$12))-1)/inputs!$N$12&gt;inputs!$H$17, inputs!$H$17, (((inputs!$P$12/(X472/MAX(K472:S472)))^(1/inputs!$O$12))-1)/inputs!$N$12))</f>
        <v>0</v>
      </c>
      <c r="V472">
        <f>inputs!$E$70*(F472/inputs!$F$70)^(0.25)</f>
        <v>20.634268100135696</v>
      </c>
      <c r="W472">
        <f>inputs!$E$76*(inputs!$F$76/F472)^(0.25)</f>
        <v>8.2568699553496286E-2</v>
      </c>
      <c r="X472">
        <f>inputs!$E$72*(inputs!$F$72/F472)^(0.25)</f>
        <v>12.110921443264401</v>
      </c>
      <c r="Y472" t="s">
        <v>13</v>
      </c>
      <c r="Z472">
        <f t="shared" si="50"/>
        <v>0.82033790946058949</v>
      </c>
      <c r="AA472">
        <f t="shared" si="51"/>
        <v>205.00592171186602</v>
      </c>
    </row>
    <row r="473" spans="1:27" x14ac:dyDescent="0.3">
      <c r="A473" t="s">
        <v>604</v>
      </c>
      <c r="B473" t="s">
        <v>606</v>
      </c>
      <c r="C473" t="s">
        <v>61</v>
      </c>
      <c r="D473" t="s">
        <v>454</v>
      </c>
      <c r="E473">
        <v>4110</v>
      </c>
      <c r="F473">
        <v>113000</v>
      </c>
      <c r="G473" t="s">
        <v>580</v>
      </c>
      <c r="H473">
        <v>0.85</v>
      </c>
      <c r="I473">
        <f>MAX('Min rate concentrations'!$F$3:$F$368)</f>
        <v>67.5</v>
      </c>
      <c r="J473">
        <f>MAX('Min rate concentrations'!Y:Y)</f>
        <v>22.5</v>
      </c>
      <c r="K473">
        <f t="shared" si="53"/>
        <v>13.330069480755279</v>
      </c>
      <c r="M473">
        <f>IF((((0.326*F473^0.818)-(0.398*F473^0.85)/(1-H473)*H473)*(MAX('Min rate concentrations'!$P$3:$P$368)))/F473&gt;0, (((0.326*F473^0.818)-(0.398*F473^0.85)/(1-H473)*H473)*(MAX('Min rate concentrations'!$P$3:$P$368)))/F473, 0)</f>
        <v>0</v>
      </c>
      <c r="N473">
        <f>IF((((0.326*F473^0.818)-(0.398*F473^0.85)/(1-H473)*H473)*(MAX('Min rate concentrations'!$Q$3:$Q$368)))/F473&gt; 0, (((0.326*F473^0.818)-(0.398*F473^0.85)/(1-H473)*H473)*(MAX('Min rate concentrations'!$Q$3:$Q$368)))/F473, 0)</f>
        <v>0</v>
      </c>
      <c r="O473">
        <f>((MAX('Min rate concentrations'!$F$3:$F$368))*0.62*6.01*8*(12.3*F473^0.65)*0.079*0.1/F473)*inputs!$E$73/inputs!$E$74</f>
        <v>0.76876317410980122</v>
      </c>
      <c r="Q473">
        <f>(inputs!$C$7*11.2*(12.3*F473^0.65)*0.5/F473)*inputs!$E$73/inputs!$E$74</f>
        <v>0.13541400718790042</v>
      </c>
      <c r="R473">
        <f>(60*379*((F473/1000)^0.8)*3*24*(MAX('Min rate concentrations'!$R$3:$R$368))/F473)*(inputs!$E$73/inputs!$E$75)</f>
        <v>7.147625164772829E-4</v>
      </c>
      <c r="S473">
        <f>(IF(inputs!$C$6="aerial",((0.025*0.112*inputs!$C$7/3.3)*(3*60*379*((F473/1000)^0.8))*MAX(inputs!$H$14:$H$16))/F473,((0.0083*0.112*inputs!$C$7/1)*(3*60*379*((F473/1000)^0.8))*MAX(inputs!$H$14:$H$16))/F473))*(inputs!E$75/inputs!$E$73)</f>
        <v>3.9419591921727231E-3</v>
      </c>
      <c r="T473">
        <f>IF((((inputs!$P$12/(V473/MAX(K473:S473)))^(1/inputs!$O$12))-1)/inputs!$N$12&lt;0, 0, IF((((inputs!$P$12/(V473/MAX(K473:S473)))^(1/inputs!$O$12))-1)/inputs!$N$12&gt;inputs!$H$17, inputs!$H$17, (((inputs!$P$12/(V473/MAX(K473:S473)))^(1/inputs!$O$12))-1)/inputs!$N$12))</f>
        <v>0</v>
      </c>
      <c r="U473">
        <f>IF((((inputs!$P$12/(X473/MAX(K473:S473)))^(1/inputs!$O$12))-1)/inputs!$N$12&lt;0, 0, IF((((inputs!$P$12/(X473/MAX(K473:S473)))^(1/inputs!$O$12))-1)/inputs!$N$12&gt;inputs!$H$17, inputs!$H$17, (((inputs!$P$12/(X473/MAX(K473:S473)))^(1/inputs!$O$12))-1)/inputs!$N$12))</f>
        <v>0</v>
      </c>
      <c r="V473">
        <f>inputs!$E$70*(F473/inputs!$F$70)^(0.25)</f>
        <v>20.634268100135696</v>
      </c>
      <c r="W473">
        <f>inputs!$E$76*(inputs!$F$76/F473)^(0.25)</f>
        <v>8.2568699553496286E-2</v>
      </c>
      <c r="X473">
        <f>inputs!$E$72*(inputs!$F$72/F473)^(0.25)</f>
        <v>12.110921443264401</v>
      </c>
      <c r="Y473" t="s">
        <v>13</v>
      </c>
      <c r="Z473">
        <f t="shared" si="50"/>
        <v>0.64601610370021401</v>
      </c>
      <c r="AA473">
        <f t="shared" si="51"/>
        <v>161.44216334809443</v>
      </c>
    </row>
    <row r="474" spans="1:27" x14ac:dyDescent="0.3">
      <c r="A474" t="s">
        <v>604</v>
      </c>
      <c r="B474" t="s">
        <v>606</v>
      </c>
      <c r="C474" t="s">
        <v>61</v>
      </c>
      <c r="D474" t="s">
        <v>454</v>
      </c>
      <c r="E474">
        <v>4110</v>
      </c>
      <c r="F474">
        <v>113000</v>
      </c>
      <c r="G474" t="s">
        <v>455</v>
      </c>
      <c r="H474">
        <v>0.68</v>
      </c>
      <c r="I474">
        <f>MAX('Min rate concentrations'!$K$3:$K$368)</f>
        <v>18.333393099490852</v>
      </c>
      <c r="J474">
        <f>MAX('Min rate concentrations'!AC:AC)</f>
        <v>6.4930767227363431</v>
      </c>
      <c r="K474">
        <f t="shared" si="53"/>
        <v>1.6971208599598093</v>
      </c>
      <c r="M474">
        <f>IF((((0.326*F474^0.818)-(0.398*F474^0.85)/(1-H474)*H474)*(MAX('Min rate concentrations'!$P$3:$P$368)))/F474&gt;0, (((0.326*F474^0.818)-(0.398*F474^0.85)/(1-H474)*H474)*(MAX('Min rate concentrations'!$P$3:$P$368)))/F474, 0)</f>
        <v>0</v>
      </c>
      <c r="N474">
        <f>IF((((0.326*F474^0.818)-(0.398*F474^0.85)/(1-H474)*H474)*(MAX('Min rate concentrations'!$Q$3:$Q$368)))/F474&gt; 0, (((0.326*F474^0.818)-(0.398*F474^0.85)/(1-H474)*H474)*(MAX('Min rate concentrations'!$Q$3:$Q$368)))/F474, 0)</f>
        <v>0</v>
      </c>
      <c r="O474">
        <f>((MAX('Min rate concentrations'!$F$3:$F$368))*0.62*6.01*8*(12.3*F474^0.65)*0.079*0.1/F474)*inputs!$E$73/inputs!$E$74</f>
        <v>0.76876317410980122</v>
      </c>
      <c r="Q474">
        <f>(inputs!$C$7*11.2*(12.3*F474^0.65)*0.5/F474)*inputs!$E$73/inputs!$E$74</f>
        <v>0.13541400718790042</v>
      </c>
      <c r="R474">
        <f>(60*379*((F474/1000)^0.8)*3*24*(MAX('Min rate concentrations'!$R$3:$R$368))/F474)*(inputs!$E$73/inputs!$E$75)</f>
        <v>7.147625164772829E-4</v>
      </c>
      <c r="S474">
        <f>(IF(inputs!$C$6="aerial",((0.025*0.112*inputs!$C$7/3.3)*(3*60*379*((F474/1000)^0.8))*MAX(inputs!$H$14:$H$16))/F474,((0.0083*0.112*inputs!$C$7/1)*(3*60*379*((F474/1000)^0.8))*MAX(inputs!$H$14:$H$16))/F474))*(inputs!E$75/inputs!$E$73)</f>
        <v>3.9419591921727231E-3</v>
      </c>
      <c r="T474">
        <f>IF((((inputs!$P$12/(V474/MAX(K474:S474)))^(1/inputs!$O$12))-1)/inputs!$N$12&lt;0, 0, IF((((inputs!$P$12/(V474/MAX(K474:S474)))^(1/inputs!$O$12))-1)/inputs!$N$12&gt;inputs!$H$17, inputs!$H$17, (((inputs!$P$12/(V474/MAX(K474:S474)))^(1/inputs!$O$12))-1)/inputs!$N$12))</f>
        <v>0</v>
      </c>
      <c r="U474">
        <f>IF((((inputs!$P$12/(X474/MAX(K474:S474)))^(1/inputs!$O$12))-1)/inputs!$N$12&lt;0, 0, IF((((inputs!$P$12/(X474/MAX(K474:S474)))^(1/inputs!$O$12))-1)/inputs!$N$12&gt;inputs!$H$17, inputs!$H$17, (((inputs!$P$12/(X474/MAX(K474:S474)))^(1/inputs!$O$12))-1)/inputs!$N$12))</f>
        <v>0</v>
      </c>
      <c r="V474">
        <f>inputs!$E$70*(F474/inputs!$F$70)^(0.25)</f>
        <v>20.634268100135696</v>
      </c>
      <c r="W474">
        <f>inputs!$E$76*(inputs!$F$76/F474)^(0.25)</f>
        <v>8.2568699553496286E-2</v>
      </c>
      <c r="X474">
        <f>inputs!$E$72*(inputs!$F$72/F474)^(0.25)</f>
        <v>12.110921443264401</v>
      </c>
      <c r="Y474" t="s">
        <v>13</v>
      </c>
      <c r="Z474">
        <f t="shared" si="50"/>
        <v>8.2247688734288019E-2</v>
      </c>
      <c r="AA474">
        <f t="shared" si="51"/>
        <v>20.554046135366878</v>
      </c>
    </row>
    <row r="475" spans="1:27" x14ac:dyDescent="0.3">
      <c r="A475" t="s">
        <v>604</v>
      </c>
      <c r="B475" t="s">
        <v>606</v>
      </c>
      <c r="C475" t="s">
        <v>61</v>
      </c>
      <c r="D475" t="s">
        <v>454</v>
      </c>
      <c r="E475">
        <v>4110</v>
      </c>
      <c r="F475">
        <v>113000</v>
      </c>
      <c r="G475" t="s">
        <v>456</v>
      </c>
      <c r="H475">
        <v>0.68</v>
      </c>
      <c r="I475">
        <f>MAX('Min rate concentrations'!$J$3:$J$368)</f>
        <v>114.4108103430513</v>
      </c>
      <c r="J475">
        <f>MAX('Min rate concentrations'!AB:AB)</f>
        <v>40.520495329830666</v>
      </c>
      <c r="K475">
        <f t="shared" si="53"/>
        <v>10.591000355711033</v>
      </c>
      <c r="L475">
        <f t="shared" ref="L475:L486" si="55">(((0.235*F475^0.822)/(1-H475)))*J475/F475</f>
        <v>3.7509792926476582</v>
      </c>
      <c r="M475">
        <f>IF((((0.326*F475^0.818)-(0.398*F475^0.85)/(1-H475)*H475)*(MAX('Min rate concentrations'!$P$3:$P$368)))/F475&gt;0, (((0.326*F475^0.818)-(0.398*F475^0.85)/(1-H475)*H475)*(MAX('Min rate concentrations'!$P$3:$P$368)))/F475, 0)</f>
        <v>0</v>
      </c>
      <c r="N475">
        <f>IF((((0.326*F475^0.818)-(0.398*F475^0.85)/(1-H475)*H475)*(MAX('Min rate concentrations'!$Q$3:$Q$368)))/F475&gt; 0, (((0.326*F475^0.818)-(0.398*F475^0.85)/(1-H475)*H475)*(MAX('Min rate concentrations'!$Q$3:$Q$368)))/F475, 0)</f>
        <v>0</v>
      </c>
      <c r="O475">
        <f>((MAX('Min rate concentrations'!$F$3:$F$368))*0.62*6.01*8*(12.3*F475^0.65)*0.079*0.1/F475)*inputs!$E$73/inputs!$E$74</f>
        <v>0.76876317410980122</v>
      </c>
      <c r="P475">
        <f>((MAX('Min rate concentrations'!Y:Y))*0.62*6.01*8*(12.3*F475^0.65)*0.079*0.1/F475)*inputs!$E$73/inputs!$E$74</f>
        <v>0.25625439136993378</v>
      </c>
      <c r="Q475">
        <f>(inputs!$C$7*11.2*(12.3*F475^0.65)*0.5/F475)*inputs!$E$73/inputs!$E$74</f>
        <v>0.13541400718790042</v>
      </c>
      <c r="R475">
        <f>(60*379*((F475/1000)^0.8)*3*24*(MAX('Min rate concentrations'!$R$3:$R$368))/F475)*(inputs!$E$73/inputs!$E$75)</f>
        <v>7.147625164772829E-4</v>
      </c>
      <c r="S475">
        <f>(IF(inputs!$C$6="aerial",((0.025*0.112*inputs!$C$7/3.3)*(3*60*379*((F475/1000)^0.8))*MAX(inputs!$H$14:$H$16))/F475,((0.0083*0.112*inputs!$C$7/1)*(3*60*379*((F475/1000)^0.8))*MAX(inputs!$H$14:$H$16))/F475))*(inputs!E$75/inputs!$E$73)</f>
        <v>3.9419591921727231E-3</v>
      </c>
      <c r="T475">
        <f>IF((((inputs!$P$12/(V475/MAX(K475:S475)))^(1/inputs!$O$12))-1)/inputs!$N$12&lt;0, 0, IF((((inputs!$P$12/(V475/MAX(K475:S475)))^(1/inputs!$O$12))-1)/inputs!$N$12&gt;inputs!$H$17, inputs!$H$17, (((inputs!$P$12/(V475/MAX(K475:S475)))^(1/inputs!$O$12))-1)/inputs!$N$12))</f>
        <v>0</v>
      </c>
      <c r="U475">
        <f>IF((((inputs!$P$12/(X475/MAX(K475:S475)))^(1/inputs!$O$12))-1)/inputs!$N$12&lt;0, 0, IF((((inputs!$P$12/(X475/MAX(K475:S475)))^(1/inputs!$O$12))-1)/inputs!$N$12&gt;inputs!$H$17, inputs!$H$17, (((inputs!$P$12/(X475/MAX(K475:S475)))^(1/inputs!$O$12))-1)/inputs!$N$12))</f>
        <v>0</v>
      </c>
      <c r="V475">
        <f>inputs!$E$70*(F475/inputs!$F$70)^(0.25)</f>
        <v>20.634268100135696</v>
      </c>
      <c r="W475">
        <f>inputs!$E$76*(inputs!$F$76/F475)^(0.25)</f>
        <v>8.2568699553496286E-2</v>
      </c>
      <c r="X475">
        <f>inputs!$E$72*(inputs!$F$72/F475)^(0.25)</f>
        <v>12.110921443264401</v>
      </c>
      <c r="Y475" t="s">
        <v>13</v>
      </c>
      <c r="Z475">
        <f t="shared" si="50"/>
        <v>0.51327240221529269</v>
      </c>
      <c r="AA475">
        <f t="shared" si="51"/>
        <v>128.26894952910237</v>
      </c>
    </row>
    <row r="476" spans="1:27" x14ac:dyDescent="0.3">
      <c r="A476" t="s">
        <v>493</v>
      </c>
      <c r="B476" t="s">
        <v>494</v>
      </c>
      <c r="C476" t="s">
        <v>61</v>
      </c>
      <c r="D476" t="s">
        <v>454</v>
      </c>
      <c r="E476">
        <v>22</v>
      </c>
      <c r="F476">
        <v>9100</v>
      </c>
      <c r="G476" t="s">
        <v>138</v>
      </c>
      <c r="H476">
        <v>0.68</v>
      </c>
      <c r="I476">
        <f>MAX('Min rate concentrations'!$L$3:$L$368)</f>
        <v>58.421240152220811</v>
      </c>
      <c r="J476">
        <f>MAX('Min rate concentrations'!AD:AD)</f>
        <v>40.397666062705881</v>
      </c>
      <c r="K476">
        <f t="shared" si="53"/>
        <v>8.4679695555578753</v>
      </c>
      <c r="L476">
        <f t="shared" si="55"/>
        <v>5.8555108628857653</v>
      </c>
      <c r="M476">
        <f>IF((((0.326*F476^0.818)-(0.398*F476^0.85)/(1-H476)*H476)*(MAX('Min rate concentrations'!$P$3:$P$368)))/F476&gt;0, (((0.326*F476^0.818)-(0.398*F476^0.85)/(1-H476)*H476)*(MAX('Min rate concentrations'!$P$3:$P$368)))/F476, 0)</f>
        <v>0</v>
      </c>
      <c r="N476">
        <f>IF((((0.326*F476^0.818)-(0.398*F476^0.85)/(1-H476)*H476)*(MAX('Min rate concentrations'!$Q$3:$Q$368)))/F476&gt; 0, (((0.326*F476^0.818)-(0.398*F476^0.85)/(1-H476)*H476)*(MAX('Min rate concentrations'!$Q$3:$Q$368)))/F476, 0)</f>
        <v>0</v>
      </c>
      <c r="O476">
        <f>((MAX('Min rate concentrations'!$F$3:$F$368))*0.62*6.01*8*(12.3*F476^0.65)*0.079*0.1/F476)*inputs!$E$73/inputs!$E$74</f>
        <v>1.8565452513029643</v>
      </c>
      <c r="P476">
        <f>((MAX('Min rate concentrations'!Y:Y))*0.62*6.01*8*(12.3*F476^0.65)*0.079*0.1/F476)*inputs!$E$73/inputs!$E$74</f>
        <v>0.61884841710098792</v>
      </c>
      <c r="Q476">
        <f>(inputs!$C$7*11.2*(12.3*F476^0.65)*0.5/F476)*inputs!$E$73/inputs!$E$74</f>
        <v>0.32702168947636734</v>
      </c>
      <c r="R476">
        <f>(60*379*((F476/1000)^0.8)*3*24*(MAX('Min rate concentrations'!$R$3:$R$368))/F476)*(inputs!$E$73/inputs!$E$75)</f>
        <v>1.1829576017963403E-3</v>
      </c>
      <c r="S476">
        <f>(IF(inputs!$C$6="aerial",((0.025*0.112*inputs!$C$7/3.3)*(3*60*379*((F476/1000)^0.8))*MAX(inputs!$H$14:$H$16))/F476,((0.0083*0.112*inputs!$C$7/1)*(3*60*379*((F476/1000)^0.8))*MAX(inputs!$H$14:$H$16))/F476))*(inputs!E$75/inputs!$E$73)</f>
        <v>6.5240838528217516E-3</v>
      </c>
      <c r="T476">
        <f>IF((((inputs!$P$12/(V476/MAX(K476:S476)))^(1/inputs!$O$12))-1)/inputs!$N$12&lt;0, 0, IF((((inputs!$P$12/(V476/MAX(K476:S476)))^(1/inputs!$O$12))-1)/inputs!$N$12&gt;inputs!$H$17, inputs!$H$17, (((inputs!$P$12/(V476/MAX(K476:S476)))^(1/inputs!$O$12))-1)/inputs!$N$12))</f>
        <v>0</v>
      </c>
      <c r="U476">
        <f>IF((((inputs!$P$12/(X476/MAX(K476:S476)))^(1/inputs!$O$12))-1)/inputs!$N$12&lt;0, 0, IF((((inputs!$P$12/(X476/MAX(K476:S476)))^(1/inputs!$O$12))-1)/inputs!$N$12&gt;inputs!$H$17, inputs!$H$17, (((inputs!$P$12/(X476/MAX(K476:S476)))^(1/inputs!$O$12))-1)/inputs!$N$12))</f>
        <v>0</v>
      </c>
      <c r="V476">
        <f>inputs!$E$70*(F476/inputs!$F$70)^(0.25)</f>
        <v>10.992078119774469</v>
      </c>
      <c r="W476">
        <f>inputs!$E$76*(inputs!$F$76/F476)^(0.25)</f>
        <v>0.15499750499420156</v>
      </c>
      <c r="X476">
        <f>inputs!$E$72*(inputs!$F$72/F476)^(0.25)</f>
        <v>22.734554583490112</v>
      </c>
      <c r="Y476" t="s">
        <v>13</v>
      </c>
      <c r="Z476">
        <f t="shared" si="50"/>
        <v>0.77037021237360148</v>
      </c>
      <c r="AA476">
        <f t="shared" si="51"/>
        <v>54.632941064920118</v>
      </c>
    </row>
    <row r="477" spans="1:27" x14ac:dyDescent="0.3">
      <c r="A477" t="s">
        <v>493</v>
      </c>
      <c r="B477" t="s">
        <v>494</v>
      </c>
      <c r="C477" t="s">
        <v>61</v>
      </c>
      <c r="D477" t="s">
        <v>454</v>
      </c>
      <c r="E477">
        <v>22</v>
      </c>
      <c r="F477">
        <v>9100</v>
      </c>
      <c r="G477" t="s">
        <v>456</v>
      </c>
      <c r="H477">
        <v>0.68</v>
      </c>
      <c r="I477">
        <f>MAX('Min rate concentrations'!$J$3:$J$368)</f>
        <v>114.4108103430513</v>
      </c>
      <c r="J477">
        <f>MAX('Min rate concentrations'!AB:AB)</f>
        <v>40.520495329830666</v>
      </c>
      <c r="K477">
        <f t="shared" si="53"/>
        <v>16.583476425480086</v>
      </c>
      <c r="L477">
        <f t="shared" si="55"/>
        <v>5.8733145673575304</v>
      </c>
      <c r="M477">
        <f>IF((((0.326*F477^0.818)-(0.398*F477^0.85)/(1-H477)*H477)*(MAX('Min rate concentrations'!$P$3:$P$368)))/F477&gt;0, (((0.326*F477^0.818)-(0.398*F477^0.85)/(1-H477)*H477)*(MAX('Min rate concentrations'!$P$3:$P$368)))/F477, 0)</f>
        <v>0</v>
      </c>
      <c r="N477">
        <f>IF((((0.326*F477^0.818)-(0.398*F477^0.85)/(1-H477)*H477)*(MAX('Min rate concentrations'!$Q$3:$Q$368)))/F477&gt; 0, (((0.326*F477^0.818)-(0.398*F477^0.85)/(1-H477)*H477)*(MAX('Min rate concentrations'!$Q$3:$Q$368)))/F477, 0)</f>
        <v>0</v>
      </c>
      <c r="O477">
        <f>((MAX('Min rate concentrations'!$F$3:$F$368))*0.62*6.01*8*(12.3*F477^0.65)*0.079*0.1/F477)*inputs!$E$73/inputs!$E$74</f>
        <v>1.8565452513029643</v>
      </c>
      <c r="P477">
        <f>((MAX('Min rate concentrations'!Y:Y))*0.62*6.01*8*(12.3*F477^0.65)*0.079*0.1/F477)*inputs!$E$73/inputs!$E$74</f>
        <v>0.61884841710098792</v>
      </c>
      <c r="Q477">
        <f>(inputs!$C$7*11.2*(12.3*F477^0.65)*0.5/F477)*inputs!$E$73/inputs!$E$74</f>
        <v>0.32702168947636734</v>
      </c>
      <c r="R477">
        <f>(60*379*((F477/1000)^0.8)*3*24*(MAX('Min rate concentrations'!$R$3:$R$368))/F477)*(inputs!$E$73/inputs!$E$75)</f>
        <v>1.1829576017963403E-3</v>
      </c>
      <c r="S477">
        <f>(IF(inputs!$C$6="aerial",((0.025*0.112*inputs!$C$7/3.3)*(3*60*379*((F477/1000)^0.8))*MAX(inputs!$H$14:$H$16))/F477,((0.0083*0.112*inputs!$C$7/1)*(3*60*379*((F477/1000)^0.8))*MAX(inputs!$H$14:$H$16))/F477))*(inputs!E$75/inputs!$E$73)</f>
        <v>6.5240838528217516E-3</v>
      </c>
      <c r="T477">
        <f>IF((((inputs!$P$12/(V477/MAX(K477:S477)))^(1/inputs!$O$12))-1)/inputs!$N$12&lt;0, 0, IF((((inputs!$P$12/(V477/MAX(K477:S477)))^(1/inputs!$O$12))-1)/inputs!$N$12&gt;inputs!$H$17, inputs!$H$17, (((inputs!$P$12/(V477/MAX(K477:S477)))^(1/inputs!$O$12))-1)/inputs!$N$12))</f>
        <v>0</v>
      </c>
      <c r="U477">
        <f>IF((((inputs!$P$12/(X477/MAX(K477:S477)))^(1/inputs!$O$12))-1)/inputs!$N$12&lt;0, 0, IF((((inputs!$P$12/(X477/MAX(K477:S477)))^(1/inputs!$O$12))-1)/inputs!$N$12&gt;inputs!$H$17, inputs!$H$17, (((inputs!$P$12/(X477/MAX(K477:S477)))^(1/inputs!$O$12))-1)/inputs!$N$12))</f>
        <v>0</v>
      </c>
      <c r="V477">
        <f>inputs!$E$70*(F477/inputs!$F$70)^(0.25)</f>
        <v>10.992078119774469</v>
      </c>
      <c r="W477">
        <f>inputs!$E$76*(inputs!$F$76/F477)^(0.25)</f>
        <v>0.15499750499420156</v>
      </c>
      <c r="X477">
        <f>inputs!$E$72*(inputs!$F$72/F477)^(0.25)</f>
        <v>22.734554583490112</v>
      </c>
      <c r="Y477" t="s">
        <v>13</v>
      </c>
      <c r="Z477">
        <f t="shared" si="50"/>
        <v>1.5086752700244037</v>
      </c>
      <c r="AA477">
        <f t="shared" si="51"/>
        <v>106.99189271530837</v>
      </c>
    </row>
    <row r="478" spans="1:27" x14ac:dyDescent="0.3">
      <c r="A478" t="s">
        <v>493</v>
      </c>
      <c r="B478" t="s">
        <v>494</v>
      </c>
      <c r="C478" t="s">
        <v>61</v>
      </c>
      <c r="D478" t="s">
        <v>454</v>
      </c>
      <c r="E478">
        <v>22</v>
      </c>
      <c r="F478">
        <v>9100</v>
      </c>
      <c r="G478" t="s">
        <v>145</v>
      </c>
      <c r="H478">
        <v>0.66</v>
      </c>
      <c r="I478">
        <f>MAX('Min rate concentrations'!$M$3:$M$368)</f>
        <v>2.8488184789681945</v>
      </c>
      <c r="J478">
        <f>MAX('Min rate concentrations'!AE:AE)</f>
        <v>1.9699276716269429</v>
      </c>
      <c r="K478">
        <f t="shared" si="53"/>
        <v>0.38863718801960756</v>
      </c>
      <c r="L478">
        <f t="shared" si="55"/>
        <v>0.26873848107738818</v>
      </c>
      <c r="M478">
        <f>IF((((0.326*F478^0.818)-(0.398*F478^0.85)/(1-H478)*H478)*(MAX('Min rate concentrations'!$P$3:$P$368)))/F478&gt;0, (((0.326*F478^0.818)-(0.398*F478^0.85)/(1-H478)*H478)*(MAX('Min rate concentrations'!$P$3:$P$368)))/F478, 0)</f>
        <v>0</v>
      </c>
      <c r="N478">
        <f>IF((((0.326*F478^0.818)-(0.398*F478^0.85)/(1-H478)*H478)*(MAX('Min rate concentrations'!$Q$3:$Q$368)))/F478&gt; 0, (((0.326*F478^0.818)-(0.398*F478^0.85)/(1-H478)*H478)*(MAX('Min rate concentrations'!$Q$3:$Q$368)))/F478, 0)</f>
        <v>0</v>
      </c>
      <c r="O478">
        <f>((MAX('Min rate concentrations'!$F$3:$F$368))*0.62*6.01*8*(12.3*F478^0.65)*0.079*0.1/F478)*inputs!$E$73/inputs!$E$74</f>
        <v>1.8565452513029643</v>
      </c>
      <c r="P478">
        <f>((MAX('Min rate concentrations'!Y:Y))*0.62*6.01*8*(12.3*F478^0.65)*0.079*0.1/F478)*inputs!$E$73/inputs!$E$74</f>
        <v>0.61884841710098792</v>
      </c>
      <c r="Q478">
        <f>(inputs!$C$7*11.2*(12.3*F478^0.65)*0.5/F478)*inputs!$E$73/inputs!$E$74</f>
        <v>0.32702168947636734</v>
      </c>
      <c r="R478">
        <f>(60*379*((F478/1000)^0.8)*3*24*(MAX('Min rate concentrations'!$R$3:$R$368))/F478)*(inputs!$E$73/inputs!$E$75)</f>
        <v>1.1829576017963403E-3</v>
      </c>
      <c r="S478">
        <f>(IF(inputs!$C$6="aerial",((0.025*0.112*inputs!$C$7/3.3)*(3*60*379*((F478/1000)^0.8))*MAX(inputs!$H$14:$H$16))/F478,((0.0083*0.112*inputs!$C$7/1)*(3*60*379*((F478/1000)^0.8))*MAX(inputs!$H$14:$H$16))/F478))*(inputs!E$75/inputs!$E$73)</f>
        <v>6.5240838528217516E-3</v>
      </c>
      <c r="T478">
        <f>IF((((inputs!$P$12/(V478/MAX(K478:S478)))^(1/inputs!$O$12))-1)/inputs!$N$12&lt;0, 0, IF((((inputs!$P$12/(V478/MAX(K478:S478)))^(1/inputs!$O$12))-1)/inputs!$N$12&gt;inputs!$H$17, inputs!$H$17, (((inputs!$P$12/(V478/MAX(K478:S478)))^(1/inputs!$O$12))-1)/inputs!$N$12))</f>
        <v>0</v>
      </c>
      <c r="U478">
        <f>IF((((inputs!$P$12/(X478/MAX(K478:S478)))^(1/inputs!$O$12))-1)/inputs!$N$12&lt;0, 0, IF((((inputs!$P$12/(X478/MAX(K478:S478)))^(1/inputs!$O$12))-1)/inputs!$N$12&gt;inputs!$H$17, inputs!$H$17, (((inputs!$P$12/(X478/MAX(K478:S478)))^(1/inputs!$O$12))-1)/inputs!$N$12))</f>
        <v>0</v>
      </c>
      <c r="V478">
        <f>inputs!$E$70*(F478/inputs!$F$70)^(0.25)</f>
        <v>10.992078119774469</v>
      </c>
      <c r="W478">
        <f>inputs!$E$76*(inputs!$F$76/F478)^(0.25)</f>
        <v>0.15499750499420156</v>
      </c>
      <c r="X478">
        <f>inputs!$E$72*(inputs!$F$72/F478)^(0.25)</f>
        <v>22.734554583490112</v>
      </c>
      <c r="Y478" t="s">
        <v>13</v>
      </c>
      <c r="Z478">
        <f t="shared" si="50"/>
        <v>0.16889847680058664</v>
      </c>
      <c r="AA478">
        <f t="shared" si="51"/>
        <v>11.977904104794574</v>
      </c>
    </row>
    <row r="479" spans="1:27" x14ac:dyDescent="0.3">
      <c r="A479" t="s">
        <v>536</v>
      </c>
      <c r="B479" t="s">
        <v>537</v>
      </c>
      <c r="C479" t="s">
        <v>61</v>
      </c>
      <c r="D479" t="s">
        <v>454</v>
      </c>
      <c r="E479">
        <v>18</v>
      </c>
      <c r="F479">
        <v>45000</v>
      </c>
      <c r="G479" t="s">
        <v>138</v>
      </c>
      <c r="H479">
        <v>0.68</v>
      </c>
      <c r="I479">
        <f>MAX('Min rate concentrations'!$L$3:$L$368)</f>
        <v>58.421240152220811</v>
      </c>
      <c r="J479">
        <f>MAX('Min rate concentrations'!AD:AD)</f>
        <v>40.397666062705881</v>
      </c>
      <c r="K479">
        <f t="shared" si="53"/>
        <v>6.3711353044386181</v>
      </c>
      <c r="L479">
        <f t="shared" si="55"/>
        <v>4.4055722849841512</v>
      </c>
      <c r="M479">
        <f>IF((((0.326*F479^0.818)-(0.398*F479^0.85)/(1-H479)*H479)*(MAX('Min rate concentrations'!$P$3:$P$368)))/F479&gt;0, (((0.326*F479^0.818)-(0.398*F479^0.85)/(1-H479)*H479)*(MAX('Min rate concentrations'!$P$3:$P$368)))/F479, 0)</f>
        <v>0</v>
      </c>
      <c r="N479">
        <f>IF((((0.326*F479^0.818)-(0.398*F479^0.85)/(1-H479)*H479)*(MAX('Min rate concentrations'!$Q$3:$Q$368)))/F479&gt; 0, (((0.326*F479^0.818)-(0.398*F479^0.85)/(1-H479)*H479)*(MAX('Min rate concentrations'!$Q$3:$Q$368)))/F479, 0)</f>
        <v>0</v>
      </c>
      <c r="O479">
        <f>((MAX('Min rate concentrations'!$F$3:$F$368))*0.62*6.01*8*(12.3*F479^0.65)*0.079*0.1/F479)*inputs!$E$73/inputs!$E$74</f>
        <v>1.0610739357541239</v>
      </c>
      <c r="P479">
        <f>((MAX('Min rate concentrations'!Y:Y))*0.62*6.01*8*(12.3*F479^0.65)*0.079*0.1/F479)*inputs!$E$73/inputs!$E$74</f>
        <v>0.3536913119180411</v>
      </c>
      <c r="Q479">
        <f>(inputs!$C$7*11.2*(12.3*F479^0.65)*0.5/F479)*inputs!$E$73/inputs!$E$74</f>
        <v>0.18690316914501481</v>
      </c>
      <c r="R479">
        <f>(60*379*((F479/1000)^0.8)*3*24*(MAX('Min rate concentrations'!$R$3:$R$368))/F479)*(inputs!$E$73/inputs!$E$75)</f>
        <v>8.5928049772373964E-4</v>
      </c>
      <c r="S479">
        <f>(IF(inputs!$C$6="aerial",((0.025*0.112*inputs!$C$7/3.3)*(3*60*379*((F479/1000)^0.8))*MAX(inputs!$H$14:$H$16))/F479,((0.0083*0.112*inputs!$C$7/1)*(3*60*379*((F479/1000)^0.8))*MAX(inputs!$H$14:$H$16))/F479))*(inputs!E$75/inputs!$E$73)</f>
        <v>4.7389847376873521E-3</v>
      </c>
      <c r="T479">
        <f>IF((((inputs!$P$12/(V479/MAX(K479:S479)))^(1/inputs!$O$12))-1)/inputs!$N$12&lt;0, 0, IF((((inputs!$P$12/(V479/MAX(K479:S479)))^(1/inputs!$O$12))-1)/inputs!$N$12&gt;inputs!$H$17, inputs!$H$17, (((inputs!$P$12/(V479/MAX(K479:S479)))^(1/inputs!$O$12))-1)/inputs!$N$12))</f>
        <v>0</v>
      </c>
      <c r="U479">
        <f>IF((((inputs!$P$12/(X479/MAX(K479:S479)))^(1/inputs!$O$12))-1)/inputs!$N$12&lt;0, 0, IF((((inputs!$P$12/(X479/MAX(K479:S479)))^(1/inputs!$O$12))-1)/inputs!$N$12&gt;inputs!$H$17, inputs!$H$17, (((inputs!$P$12/(X479/MAX(K479:S479)))^(1/inputs!$O$12))-1)/inputs!$N$12))</f>
        <v>0</v>
      </c>
      <c r="V479">
        <f>inputs!$E$70*(F479/inputs!$F$70)^(0.25)</f>
        <v>16.39164676516263</v>
      </c>
      <c r="W479">
        <f>inputs!$E$76*(inputs!$F$76/F479)^(0.25)</f>
        <v>0.10393981200762492</v>
      </c>
      <c r="X479">
        <f>inputs!$E$72*(inputs!$F$72/F479)^(0.25)</f>
        <v>15.245570111425018</v>
      </c>
      <c r="Y479" t="s">
        <v>13</v>
      </c>
      <c r="Z479">
        <f t="shared" si="50"/>
        <v>0.3886818326258269</v>
      </c>
      <c r="AA479">
        <f t="shared" si="51"/>
        <v>61.296390491559073</v>
      </c>
    </row>
    <row r="480" spans="1:27" x14ac:dyDescent="0.3">
      <c r="A480" t="s">
        <v>536</v>
      </c>
      <c r="B480" t="s">
        <v>537</v>
      </c>
      <c r="C480" t="s">
        <v>61</v>
      </c>
      <c r="D480" t="s">
        <v>454</v>
      </c>
      <c r="E480">
        <v>18</v>
      </c>
      <c r="F480">
        <v>45000</v>
      </c>
      <c r="G480" t="s">
        <v>186</v>
      </c>
      <c r="H480">
        <v>0.75</v>
      </c>
      <c r="I480">
        <f>inputs!$C$65*inputs!$C$64/1000</f>
        <v>2.13</v>
      </c>
      <c r="J480">
        <f>inputs!$C$65*inputs!$C$63/1000</f>
        <v>0.88</v>
      </c>
      <c r="K480">
        <f t="shared" si="53"/>
        <v>0.29732787679210426</v>
      </c>
      <c r="L480">
        <f t="shared" si="55"/>
        <v>0.12283968618640928</v>
      </c>
      <c r="M480">
        <f>IF((((0.326*F480^0.818)-(0.398*F480^0.85)/(1-H480)*H480)*(MAX('Min rate concentrations'!$P$3:$P$368)))/F480&gt;0, (((0.326*F480^0.818)-(0.398*F480^0.85)/(1-H480)*H480)*(MAX('Min rate concentrations'!$P$3:$P$368)))/F480, 0)</f>
        <v>0</v>
      </c>
      <c r="N480">
        <f>IF((((0.326*F480^0.818)-(0.398*F480^0.85)/(1-H480)*H480)*(MAX('Min rate concentrations'!$Q$3:$Q$368)))/F480&gt; 0, (((0.326*F480^0.818)-(0.398*F480^0.85)/(1-H480)*H480)*(MAX('Min rate concentrations'!$Q$3:$Q$368)))/F480, 0)</f>
        <v>0</v>
      </c>
      <c r="O480">
        <f>((MAX('Min rate concentrations'!$F$3:$F$368))*0.62*6.01*8*(12.3*F480^0.65)*0.079*0.1/F480)*inputs!$E$73/inputs!$E$74</f>
        <v>1.0610739357541239</v>
      </c>
      <c r="P480">
        <f>((MAX('Min rate concentrations'!Y:Y))*0.62*6.01*8*(12.3*F480^0.65)*0.079*0.1/F480)*inputs!$E$73/inputs!$E$74</f>
        <v>0.3536913119180411</v>
      </c>
      <c r="Q480">
        <f>(inputs!$C$7*11.2*(12.3*F480^0.65)*0.5/F480)*inputs!$E$73/inputs!$E$74</f>
        <v>0.18690316914501481</v>
      </c>
      <c r="R480">
        <f>(60*379*((F480/1000)^0.8)*3*24*(MAX('Min rate concentrations'!$R$3:$R$368))/F480)*(inputs!$E$73/inputs!$E$75)</f>
        <v>8.5928049772373964E-4</v>
      </c>
      <c r="S480">
        <f>(IF(inputs!$C$6="aerial",((0.025*0.112*inputs!$C$7/3.3)*(3*60*379*((F480/1000)^0.8))*MAX(inputs!$H$14:$H$16))/F480,((0.0083*0.112*inputs!$C$7/1)*(3*60*379*((F480/1000)^0.8))*MAX(inputs!$H$14:$H$16))/F480))*(inputs!E$75/inputs!$E$73)</f>
        <v>4.7389847376873521E-3</v>
      </c>
      <c r="T480">
        <f>IF((((inputs!$P$12/(V480/MAX(K480:S480)))^(1/inputs!$O$12))-1)/inputs!$N$12&lt;0, 0, IF((((inputs!$P$12/(V480/MAX(K480:S480)))^(1/inputs!$O$12))-1)/inputs!$N$12&gt;inputs!$H$17, inputs!$H$17, (((inputs!$P$12/(V480/MAX(K480:S480)))^(1/inputs!$O$12))-1)/inputs!$N$12))</f>
        <v>0</v>
      </c>
      <c r="U480">
        <f>IF((((inputs!$P$12/(X480/MAX(K480:S480)))^(1/inputs!$O$12))-1)/inputs!$N$12&lt;0, 0, IF((((inputs!$P$12/(X480/MAX(K480:S480)))^(1/inputs!$O$12))-1)/inputs!$N$12&gt;inputs!$H$17, inputs!$H$17, (((inputs!$P$12/(X480/MAX(K480:S480)))^(1/inputs!$O$12))-1)/inputs!$N$12))</f>
        <v>0</v>
      </c>
      <c r="V480">
        <f>inputs!$E$70*(F480/inputs!$F$70)^(0.25)</f>
        <v>16.39164676516263</v>
      </c>
      <c r="W480">
        <f>inputs!$E$76*(inputs!$F$76/F480)^(0.25)</f>
        <v>0.10393981200762492</v>
      </c>
      <c r="X480">
        <f>inputs!$E$72*(inputs!$F$72/F480)^(0.25)</f>
        <v>15.245570111425018</v>
      </c>
      <c r="Y480" t="s">
        <v>13</v>
      </c>
      <c r="Z480">
        <f t="shared" si="50"/>
        <v>6.4732601364326459E-2</v>
      </c>
      <c r="AA480">
        <f t="shared" si="51"/>
        <v>10.208541994248408</v>
      </c>
    </row>
    <row r="481" spans="1:27" x14ac:dyDescent="0.3">
      <c r="A481" t="s">
        <v>536</v>
      </c>
      <c r="B481" t="s">
        <v>537</v>
      </c>
      <c r="C481" t="s">
        <v>61</v>
      </c>
      <c r="D481" t="s">
        <v>454</v>
      </c>
      <c r="E481">
        <v>18</v>
      </c>
      <c r="F481">
        <v>45000</v>
      </c>
      <c r="G481" t="s">
        <v>456</v>
      </c>
      <c r="H481">
        <v>0.68</v>
      </c>
      <c r="I481">
        <f>MAX('Min rate concentrations'!$J$3:$J$368)</f>
        <v>114.4108103430513</v>
      </c>
      <c r="J481">
        <f>MAX('Min rate concentrations'!AB:AB)</f>
        <v>40.520495329830666</v>
      </c>
      <c r="K481">
        <f t="shared" si="53"/>
        <v>12.477084551556473</v>
      </c>
      <c r="L481">
        <f t="shared" si="55"/>
        <v>4.4189674453429175</v>
      </c>
      <c r="M481">
        <f>IF((((0.326*F481^0.818)-(0.398*F481^0.85)/(1-H481)*H481)*(MAX('Min rate concentrations'!$P$3:$P$368)))/F481&gt;0, (((0.326*F481^0.818)-(0.398*F481^0.85)/(1-H481)*H481)*(MAX('Min rate concentrations'!$P$3:$P$368)))/F481, 0)</f>
        <v>0</v>
      </c>
      <c r="N481">
        <f>IF((((0.326*F481^0.818)-(0.398*F481^0.85)/(1-H481)*H481)*(MAX('Min rate concentrations'!$Q$3:$Q$368)))/F481&gt; 0, (((0.326*F481^0.818)-(0.398*F481^0.85)/(1-H481)*H481)*(MAX('Min rate concentrations'!$Q$3:$Q$368)))/F481, 0)</f>
        <v>0</v>
      </c>
      <c r="O481">
        <f>((MAX('Min rate concentrations'!$F$3:$F$368))*0.62*6.01*8*(12.3*F481^0.65)*0.079*0.1/F481)*inputs!$E$73/inputs!$E$74</f>
        <v>1.0610739357541239</v>
      </c>
      <c r="P481">
        <f>((MAX('Min rate concentrations'!Y:Y))*0.62*6.01*8*(12.3*F481^0.65)*0.079*0.1/F481)*inputs!$E$73/inputs!$E$74</f>
        <v>0.3536913119180411</v>
      </c>
      <c r="Q481">
        <f>(inputs!$C$7*11.2*(12.3*F481^0.65)*0.5/F481)*inputs!$E$73/inputs!$E$74</f>
        <v>0.18690316914501481</v>
      </c>
      <c r="R481">
        <f>(60*379*((F481/1000)^0.8)*3*24*(MAX('Min rate concentrations'!$R$3:$R$368))/F481)*(inputs!$E$73/inputs!$E$75)</f>
        <v>8.5928049772373964E-4</v>
      </c>
      <c r="S481">
        <f>(IF(inputs!$C$6="aerial",((0.025*0.112*inputs!$C$7/3.3)*(3*60*379*((F481/1000)^0.8))*MAX(inputs!$H$14:$H$16))/F481,((0.0083*0.112*inputs!$C$7/1)*(3*60*379*((F481/1000)^0.8))*MAX(inputs!$H$14:$H$16))/F481))*(inputs!E$75/inputs!$E$73)</f>
        <v>4.7389847376873521E-3</v>
      </c>
      <c r="T481">
        <f>IF((((inputs!$P$12/(V481/MAX(K481:S481)))^(1/inputs!$O$12))-1)/inputs!$N$12&lt;0, 0, IF((((inputs!$P$12/(V481/MAX(K481:S481)))^(1/inputs!$O$12))-1)/inputs!$N$12&gt;inputs!$H$17, inputs!$H$17, (((inputs!$P$12/(V481/MAX(K481:S481)))^(1/inputs!$O$12))-1)/inputs!$N$12))</f>
        <v>0</v>
      </c>
      <c r="U481">
        <f>IF((((inputs!$P$12/(X481/MAX(K481:S481)))^(1/inputs!$O$12))-1)/inputs!$N$12&lt;0, 0, IF((((inputs!$P$12/(X481/MAX(K481:S481)))^(1/inputs!$O$12))-1)/inputs!$N$12&gt;inputs!$H$17, inputs!$H$17, (((inputs!$P$12/(X481/MAX(K481:S481)))^(1/inputs!$O$12))-1)/inputs!$N$12))</f>
        <v>0</v>
      </c>
      <c r="V481">
        <f>inputs!$E$70*(F481/inputs!$F$70)^(0.25)</f>
        <v>16.39164676516263</v>
      </c>
      <c r="W481">
        <f>inputs!$E$76*(inputs!$F$76/F481)^(0.25)</f>
        <v>0.10393981200762492</v>
      </c>
      <c r="X481">
        <f>inputs!$E$72*(inputs!$F$72/F481)^(0.25)</f>
        <v>15.245570111425018</v>
      </c>
      <c r="Y481" t="s">
        <v>13</v>
      </c>
      <c r="Z481">
        <f t="shared" si="50"/>
        <v>0.76118554348512291</v>
      </c>
      <c r="AA481">
        <f t="shared" si="51"/>
        <v>120.04143850713494</v>
      </c>
    </row>
    <row r="482" spans="1:27" x14ac:dyDescent="0.3">
      <c r="A482" t="s">
        <v>536</v>
      </c>
      <c r="B482" t="s">
        <v>537</v>
      </c>
      <c r="C482" t="s">
        <v>61</v>
      </c>
      <c r="D482" t="s">
        <v>454</v>
      </c>
      <c r="E482">
        <v>18</v>
      </c>
      <c r="F482">
        <v>45000</v>
      </c>
      <c r="G482" t="s">
        <v>145</v>
      </c>
      <c r="H482">
        <v>0.66</v>
      </c>
      <c r="I482">
        <f>MAX('Min rate concentrations'!$M$3:$M$368)</f>
        <v>2.8488184789681945</v>
      </c>
      <c r="J482">
        <f>MAX('Min rate concentrations'!AE:AE)</f>
        <v>1.9699276716269429</v>
      </c>
      <c r="K482">
        <f t="shared" si="53"/>
        <v>0.29240304809366385</v>
      </c>
      <c r="L482">
        <f t="shared" si="55"/>
        <v>0.20219359708604412</v>
      </c>
      <c r="M482">
        <f>IF((((0.326*F482^0.818)-(0.398*F482^0.85)/(1-H482)*H482)*(MAX('Min rate concentrations'!$P$3:$P$368)))/F482&gt;0, (((0.326*F482^0.818)-(0.398*F482^0.85)/(1-H482)*H482)*(MAX('Min rate concentrations'!$P$3:$P$368)))/F482, 0)</f>
        <v>0</v>
      </c>
      <c r="N482">
        <f>IF((((0.326*F482^0.818)-(0.398*F482^0.85)/(1-H482)*H482)*(MAX('Min rate concentrations'!$Q$3:$Q$368)))/F482&gt; 0, (((0.326*F482^0.818)-(0.398*F482^0.85)/(1-H482)*H482)*(MAX('Min rate concentrations'!$Q$3:$Q$368)))/F482, 0)</f>
        <v>0</v>
      </c>
      <c r="O482">
        <f>((MAX('Min rate concentrations'!$F$3:$F$368))*0.62*6.01*8*(12.3*F482^0.65)*0.079*0.1/F482)*inputs!$E$73/inputs!$E$74</f>
        <v>1.0610739357541239</v>
      </c>
      <c r="P482">
        <f>((MAX('Min rate concentrations'!Y:Y))*0.62*6.01*8*(12.3*F482^0.65)*0.079*0.1/F482)*inputs!$E$73/inputs!$E$74</f>
        <v>0.3536913119180411</v>
      </c>
      <c r="Q482">
        <f>(inputs!$C$7*11.2*(12.3*F482^0.65)*0.5/F482)*inputs!$E$73/inputs!$E$74</f>
        <v>0.18690316914501481</v>
      </c>
      <c r="R482">
        <f>(60*379*((F482/1000)^0.8)*3*24*(MAX('Min rate concentrations'!$R$3:$R$368))/F482)*(inputs!$E$73/inputs!$E$75)</f>
        <v>8.5928049772373964E-4</v>
      </c>
      <c r="S482">
        <f>(IF(inputs!$C$6="aerial",((0.025*0.112*inputs!$C$7/3.3)*(3*60*379*((F482/1000)^0.8))*MAX(inputs!$H$14:$H$16))/F482,((0.0083*0.112*inputs!$C$7/1)*(3*60*379*((F482/1000)^0.8))*MAX(inputs!$H$14:$H$16))/F482))*(inputs!E$75/inputs!$E$73)</f>
        <v>4.7389847376873521E-3</v>
      </c>
      <c r="T482">
        <f>IF((((inputs!$P$12/(V482/MAX(K482:S482)))^(1/inputs!$O$12))-1)/inputs!$N$12&lt;0, 0, IF((((inputs!$P$12/(V482/MAX(K482:S482)))^(1/inputs!$O$12))-1)/inputs!$N$12&gt;inputs!$H$17, inputs!$H$17, (((inputs!$P$12/(V482/MAX(K482:S482)))^(1/inputs!$O$12))-1)/inputs!$N$12))</f>
        <v>0</v>
      </c>
      <c r="U482">
        <f>IF((((inputs!$P$12/(X482/MAX(K482:S482)))^(1/inputs!$O$12))-1)/inputs!$N$12&lt;0, 0, IF((((inputs!$P$12/(X482/MAX(K482:S482)))^(1/inputs!$O$12))-1)/inputs!$N$12&gt;inputs!$H$17, inputs!$H$17, (((inputs!$P$12/(X482/MAX(K482:S482)))^(1/inputs!$O$12))-1)/inputs!$N$12))</f>
        <v>0</v>
      </c>
      <c r="V482">
        <f>inputs!$E$70*(F482/inputs!$F$70)^(0.25)</f>
        <v>16.39164676516263</v>
      </c>
      <c r="W482">
        <f>inputs!$E$76*(inputs!$F$76/F482)^(0.25)</f>
        <v>0.10393981200762492</v>
      </c>
      <c r="X482">
        <f>inputs!$E$72*(inputs!$F$72/F482)^(0.25)</f>
        <v>15.245570111425018</v>
      </c>
      <c r="Y482" t="s">
        <v>13</v>
      </c>
      <c r="Z482">
        <f t="shared" si="50"/>
        <v>6.4732601364326459E-2</v>
      </c>
      <c r="AA482">
        <f t="shared" si="51"/>
        <v>10.208541994248408</v>
      </c>
    </row>
    <row r="483" spans="1:27" x14ac:dyDescent="0.3">
      <c r="A483" t="s">
        <v>602</v>
      </c>
      <c r="B483" t="s">
        <v>603</v>
      </c>
      <c r="C483" t="s">
        <v>61</v>
      </c>
      <c r="D483" t="s">
        <v>454</v>
      </c>
      <c r="E483">
        <v>36</v>
      </c>
      <c r="F483">
        <v>92000</v>
      </c>
      <c r="G483" t="s">
        <v>142</v>
      </c>
      <c r="H483">
        <v>0.69</v>
      </c>
      <c r="I483">
        <f>MAX('Min rate concentrations'!$H$3:$H$368)</f>
        <v>47</v>
      </c>
      <c r="J483">
        <f>MAX('Min rate concentrations'!AA:AA)</f>
        <v>32.5</v>
      </c>
      <c r="K483">
        <f t="shared" si="53"/>
        <v>4.6585396164863102</v>
      </c>
      <c r="L483">
        <f t="shared" si="55"/>
        <v>3.2213305858681935</v>
      </c>
      <c r="M483">
        <f>IF((((0.326*F483^0.818)-(0.398*F483^0.85)/(1-H483)*H483)*(MAX('Min rate concentrations'!$P$3:$P$368)))/F483&gt;0, (((0.326*F483^0.818)-(0.398*F483^0.85)/(1-H483)*H483)*(MAX('Min rate concentrations'!$P$3:$P$368)))/F483, 0)</f>
        <v>0</v>
      </c>
      <c r="N483">
        <f>IF((((0.326*F483^0.818)-(0.398*F483^0.85)/(1-H483)*H483)*(MAX('Min rate concentrations'!$Q$3:$Q$368)))/F483&gt; 0, (((0.326*F483^0.818)-(0.398*F483^0.85)/(1-H483)*H483)*(MAX('Min rate concentrations'!$Q$3:$Q$368)))/F483, 0)</f>
        <v>0</v>
      </c>
      <c r="O483">
        <f>((MAX('Min rate concentrations'!$F$3:$F$368))*0.62*6.01*8*(12.3*F483^0.65)*0.079*0.1/F483)*inputs!$E$73/inputs!$E$74</f>
        <v>0.82612218855173813</v>
      </c>
      <c r="P483">
        <f>((MAX('Min rate concentrations'!Y:Y))*0.62*6.01*8*(12.3*F483^0.65)*0.079*0.1/F483)*inputs!$E$73/inputs!$E$74</f>
        <v>0.27537406285057942</v>
      </c>
      <c r="Q483">
        <f>(inputs!$C$7*11.2*(12.3*F483^0.65)*0.5/F483)*inputs!$E$73/inputs!$E$74</f>
        <v>0.14551752704357698</v>
      </c>
      <c r="R483">
        <f>(60*379*((F483/1000)^0.8)*3*24*(MAX('Min rate concentrations'!$R$3:$R$368))/F483)*(inputs!$E$73/inputs!$E$75)</f>
        <v>7.4476608638196159E-4</v>
      </c>
      <c r="S483">
        <f>(IF(inputs!$C$6="aerial",((0.025*0.112*inputs!$C$7/3.3)*(3*60*379*((F483/1000)^0.8))*MAX(inputs!$H$14:$H$16))/F483,((0.0083*0.112*inputs!$C$7/1)*(3*60*379*((F483/1000)^0.8))*MAX(inputs!$H$14:$H$16))/F483))*(inputs!E$75/inputs!$E$73)</f>
        <v>4.1074307235656315E-3</v>
      </c>
      <c r="T483">
        <f>IF((((inputs!$P$12/(V483/MAX(K483:S483)))^(1/inputs!$O$12))-1)/inputs!$N$12&lt;0, 0, IF((((inputs!$P$12/(V483/MAX(K483:S483)))^(1/inputs!$O$12))-1)/inputs!$N$12&gt;inputs!$H$17, inputs!$H$17, (((inputs!$P$12/(V483/MAX(K483:S483)))^(1/inputs!$O$12))-1)/inputs!$N$12))</f>
        <v>0</v>
      </c>
      <c r="U483">
        <f>IF((((inputs!$P$12/(X483/MAX(K483:S483)))^(1/inputs!$O$12))-1)/inputs!$N$12&lt;0, 0, IF((((inputs!$P$12/(X483/MAX(K483:S483)))^(1/inputs!$O$12))-1)/inputs!$N$12&gt;inputs!$H$17, inputs!$H$17, (((inputs!$P$12/(X483/MAX(K483:S483)))^(1/inputs!$O$12))-1)/inputs!$N$12))</f>
        <v>0</v>
      </c>
      <c r="V483">
        <f>inputs!$E$70*(F483/inputs!$F$70)^(0.25)</f>
        <v>19.600466820056806</v>
      </c>
      <c r="W483">
        <f>inputs!$E$76*(inputs!$F$76/F483)^(0.25)</f>
        <v>8.6923678854576344E-2</v>
      </c>
      <c r="X483">
        <f>inputs!$E$72*(inputs!$F$72/F483)^(0.25)</f>
        <v>12.749696336022048</v>
      </c>
      <c r="Y483" t="s">
        <v>13</v>
      </c>
      <c r="Z483">
        <f t="shared" si="50"/>
        <v>0.23767493189087263</v>
      </c>
      <c r="AA483">
        <f t="shared" si="51"/>
        <v>53.593447468785406</v>
      </c>
    </row>
    <row r="484" spans="1:27" x14ac:dyDescent="0.3">
      <c r="A484" t="s">
        <v>602</v>
      </c>
      <c r="B484" t="s">
        <v>603</v>
      </c>
      <c r="C484" t="s">
        <v>61</v>
      </c>
      <c r="D484" t="s">
        <v>454</v>
      </c>
      <c r="E484">
        <v>36</v>
      </c>
      <c r="F484">
        <v>92000</v>
      </c>
      <c r="G484" t="s">
        <v>218</v>
      </c>
      <c r="H484">
        <v>0.68</v>
      </c>
      <c r="I484">
        <f>MAX('Min rate concentrations'!$K$3:$K$368)</f>
        <v>18.333393099490852</v>
      </c>
      <c r="J484">
        <f>MAX('Min rate concentrations'!AC:AC)</f>
        <v>6.4930767227363431</v>
      </c>
      <c r="K484">
        <f t="shared" si="53"/>
        <v>1.760380305729017</v>
      </c>
      <c r="L484">
        <f t="shared" si="55"/>
        <v>0.62346802494569353</v>
      </c>
      <c r="M484">
        <f>IF((((0.326*F484^0.818)-(0.398*F484^0.85)/(1-H484)*H484)*(MAX('Min rate concentrations'!$P$3:$P$368)))/F484&gt;0, (((0.326*F484^0.818)-(0.398*F484^0.85)/(1-H484)*H484)*(MAX('Min rate concentrations'!$P$3:$P$368)))/F484, 0)</f>
        <v>0</v>
      </c>
      <c r="N484">
        <f>IF((((0.326*F484^0.818)-(0.398*F484^0.85)/(1-H484)*H484)*(MAX('Min rate concentrations'!$Q$3:$Q$368)))/F484&gt; 0, (((0.326*F484^0.818)-(0.398*F484^0.85)/(1-H484)*H484)*(MAX('Min rate concentrations'!$Q$3:$Q$368)))/F484, 0)</f>
        <v>0</v>
      </c>
      <c r="O484">
        <f>((MAX('Min rate concentrations'!$F$3:$F$368))*0.62*6.01*8*(12.3*F484^0.65)*0.079*0.1/F484)*inputs!$E$73/inputs!$E$74</f>
        <v>0.82612218855173813</v>
      </c>
      <c r="P484">
        <f>((MAX('Min rate concentrations'!Y:Y))*0.62*6.01*8*(12.3*F484^0.65)*0.079*0.1/F484)*inputs!$E$73/inputs!$E$74</f>
        <v>0.27537406285057942</v>
      </c>
      <c r="Q484">
        <f>(inputs!$C$7*11.2*(12.3*F484^0.65)*0.5/F484)*inputs!$E$73/inputs!$E$74</f>
        <v>0.14551752704357698</v>
      </c>
      <c r="R484">
        <f>(60*379*((F484/1000)^0.8)*3*24*(MAX('Min rate concentrations'!$R$3:$R$368))/F484)*(inputs!$E$73/inputs!$E$75)</f>
        <v>7.4476608638196159E-4</v>
      </c>
      <c r="S484">
        <f>(IF(inputs!$C$6="aerial",((0.025*0.112*inputs!$C$7/3.3)*(3*60*379*((F484/1000)^0.8))*MAX(inputs!$H$14:$H$16))/F484,((0.0083*0.112*inputs!$C$7/1)*(3*60*379*((F484/1000)^0.8))*MAX(inputs!$H$14:$H$16))/F484))*(inputs!E$75/inputs!$E$73)</f>
        <v>4.1074307235656315E-3</v>
      </c>
      <c r="T484">
        <f>IF((((inputs!$P$12/(V484/MAX(K484:S484)))^(1/inputs!$O$12))-1)/inputs!$N$12&lt;0, 0, IF((((inputs!$P$12/(V484/MAX(K484:S484)))^(1/inputs!$O$12))-1)/inputs!$N$12&gt;inputs!$H$17, inputs!$H$17, (((inputs!$P$12/(V484/MAX(K484:S484)))^(1/inputs!$O$12))-1)/inputs!$N$12))</f>
        <v>0</v>
      </c>
      <c r="U484">
        <f>IF((((inputs!$P$12/(X484/MAX(K484:S484)))^(1/inputs!$O$12))-1)/inputs!$N$12&lt;0, 0, IF((((inputs!$P$12/(X484/MAX(K484:S484)))^(1/inputs!$O$12))-1)/inputs!$N$12&gt;inputs!$H$17, inputs!$H$17, (((inputs!$P$12/(X484/MAX(K484:S484)))^(1/inputs!$O$12))-1)/inputs!$N$12))</f>
        <v>0</v>
      </c>
      <c r="V484">
        <f>inputs!$E$70*(F484/inputs!$F$70)^(0.25)</f>
        <v>19.600466820056806</v>
      </c>
      <c r="W484">
        <f>inputs!$E$76*(inputs!$F$76/F484)^(0.25)</f>
        <v>8.6923678854576344E-2</v>
      </c>
      <c r="X484">
        <f>inputs!$E$72*(inputs!$F$72/F484)^(0.25)</f>
        <v>12.749696336022048</v>
      </c>
      <c r="Y484" t="s">
        <v>13</v>
      </c>
      <c r="Z484">
        <f t="shared" si="50"/>
        <v>8.981318260887805E-2</v>
      </c>
      <c r="AA484">
        <f t="shared" si="51"/>
        <v>20.2520225665338</v>
      </c>
    </row>
    <row r="485" spans="1:27" x14ac:dyDescent="0.3">
      <c r="A485" t="s">
        <v>602</v>
      </c>
      <c r="B485" t="s">
        <v>603</v>
      </c>
      <c r="C485" t="s">
        <v>61</v>
      </c>
      <c r="D485" t="s">
        <v>454</v>
      </c>
      <c r="E485">
        <v>36</v>
      </c>
      <c r="F485">
        <v>92000</v>
      </c>
      <c r="G485" t="s">
        <v>152</v>
      </c>
      <c r="H485">
        <v>0.77</v>
      </c>
      <c r="I485">
        <f>MAX('Min rate concentrations'!$G$3:$G$368)</f>
        <v>7.5</v>
      </c>
      <c r="J485">
        <f>MAX('Min rate concentrations'!Z:Z)</f>
        <v>3.5</v>
      </c>
      <c r="K485">
        <f t="shared" si="53"/>
        <v>1.0019523226947895</v>
      </c>
      <c r="L485">
        <f t="shared" si="55"/>
        <v>0.46757775059090179</v>
      </c>
      <c r="M485">
        <f>IF((((0.326*F485^0.818)-(0.398*F485^0.85)/(1-H485)*H485)*(MAX('Min rate concentrations'!$P$3:$P$368)))/F485&gt;0, (((0.326*F485^0.818)-(0.398*F485^0.85)/(1-H485)*H485)*(MAX('Min rate concentrations'!$P$3:$P$368)))/F485, 0)</f>
        <v>0</v>
      </c>
      <c r="N485">
        <f>IF((((0.326*F485^0.818)-(0.398*F485^0.85)/(1-H485)*H485)*(MAX('Min rate concentrations'!$Q$3:$Q$368)))/F485&gt; 0, (((0.326*F485^0.818)-(0.398*F485^0.85)/(1-H485)*H485)*(MAX('Min rate concentrations'!$Q$3:$Q$368)))/F485, 0)</f>
        <v>0</v>
      </c>
      <c r="O485">
        <f>((MAX('Min rate concentrations'!$F$3:$F$368))*0.62*6.01*8*(12.3*F485^0.65)*0.079*0.1/F485)*inputs!$E$73/inputs!$E$74</f>
        <v>0.82612218855173813</v>
      </c>
      <c r="P485">
        <f>((MAX('Min rate concentrations'!Y:Y))*0.62*6.01*8*(12.3*F485^0.65)*0.079*0.1/F485)*inputs!$E$73/inputs!$E$74</f>
        <v>0.27537406285057942</v>
      </c>
      <c r="Q485">
        <f>(inputs!$C$7*11.2*(12.3*F485^0.65)*0.5/F485)*inputs!$E$73/inputs!$E$74</f>
        <v>0.14551752704357698</v>
      </c>
      <c r="R485">
        <f>(60*379*((F485/1000)^0.8)*3*24*(MAX('Min rate concentrations'!$R$3:$R$368))/F485)*(inputs!$E$73/inputs!$E$75)</f>
        <v>7.4476608638196159E-4</v>
      </c>
      <c r="S485">
        <f>(IF(inputs!$C$6="aerial",((0.025*0.112*inputs!$C$7/3.3)*(3*60*379*((F485/1000)^0.8))*MAX(inputs!$H$14:$H$16))/F485,((0.0083*0.112*inputs!$C$7/1)*(3*60*379*((F485/1000)^0.8))*MAX(inputs!$H$14:$H$16))/F485))*(inputs!E$75/inputs!$E$73)</f>
        <v>4.1074307235656315E-3</v>
      </c>
      <c r="T485">
        <f>IF((((inputs!$P$12/(V485/MAX(K485:S485)))^(1/inputs!$O$12))-1)/inputs!$N$12&lt;0, 0, IF((((inputs!$P$12/(V485/MAX(K485:S485)))^(1/inputs!$O$12))-1)/inputs!$N$12&gt;inputs!$H$17, inputs!$H$17, (((inputs!$P$12/(V485/MAX(K485:S485)))^(1/inputs!$O$12))-1)/inputs!$N$12))</f>
        <v>0</v>
      </c>
      <c r="U485">
        <f>IF((((inputs!$P$12/(X485/MAX(K485:S485)))^(1/inputs!$O$12))-1)/inputs!$N$12&lt;0, 0, IF((((inputs!$P$12/(X485/MAX(K485:S485)))^(1/inputs!$O$12))-1)/inputs!$N$12&gt;inputs!$H$17, inputs!$H$17, (((inputs!$P$12/(X485/MAX(K485:S485)))^(1/inputs!$O$12))-1)/inputs!$N$12))</f>
        <v>0</v>
      </c>
      <c r="V485">
        <f>inputs!$E$70*(F485/inputs!$F$70)^(0.25)</f>
        <v>19.600466820056806</v>
      </c>
      <c r="W485">
        <f>inputs!$E$76*(inputs!$F$76/F485)^(0.25)</f>
        <v>8.6923678854576344E-2</v>
      </c>
      <c r="X485">
        <f>inputs!$E$72*(inputs!$F$72/F485)^(0.25)</f>
        <v>12.749696336022048</v>
      </c>
      <c r="Y485" t="s">
        <v>13</v>
      </c>
      <c r="Z485">
        <f t="shared" si="50"/>
        <v>5.1118798949702039E-2</v>
      </c>
      <c r="AA485">
        <f t="shared" si="51"/>
        <v>11.526805306653664</v>
      </c>
    </row>
    <row r="486" spans="1:27" x14ac:dyDescent="0.3">
      <c r="A486" t="s">
        <v>602</v>
      </c>
      <c r="B486" t="s">
        <v>603</v>
      </c>
      <c r="C486" t="s">
        <v>61</v>
      </c>
      <c r="D486" t="s">
        <v>454</v>
      </c>
      <c r="E486">
        <v>36</v>
      </c>
      <c r="F486">
        <v>92000</v>
      </c>
      <c r="G486" t="s">
        <v>169</v>
      </c>
      <c r="H486">
        <v>0.79</v>
      </c>
      <c r="I486">
        <f>MAX('Min rate concentrations'!$D$3:$D$368)</f>
        <v>120</v>
      </c>
      <c r="J486">
        <f>MAX('Min rate concentrations'!W:W)</f>
        <v>42.5</v>
      </c>
      <c r="K486">
        <f t="shared" si="53"/>
        <v>17.558021654842022</v>
      </c>
      <c r="L486">
        <f t="shared" si="55"/>
        <v>6.2184660027565499</v>
      </c>
      <c r="M486">
        <f>IF((((0.326*F486^0.818)-(0.398*F486^0.85)/(1-H486)*H486)*(MAX('Min rate concentrations'!$P$3:$P$368)))/F486&gt;0, (((0.326*F486^0.818)-(0.398*F486^0.85)/(1-H486)*H486)*(MAX('Min rate concentrations'!$P$3:$P$368)))/F486, 0)</f>
        <v>0</v>
      </c>
      <c r="N486">
        <f>IF((((0.326*F486^0.818)-(0.398*F486^0.85)/(1-H486)*H486)*(MAX('Min rate concentrations'!$Q$3:$Q$368)))/F486&gt; 0, (((0.326*F486^0.818)-(0.398*F486^0.85)/(1-H486)*H486)*(MAX('Min rate concentrations'!$Q$3:$Q$368)))/F486, 0)</f>
        <v>0</v>
      </c>
      <c r="O486">
        <f>((MAX('Min rate concentrations'!$F$3:$F$368))*0.62*6.01*8*(12.3*F486^0.65)*0.079*0.1/F486)*inputs!$E$73/inputs!$E$74</f>
        <v>0.82612218855173813</v>
      </c>
      <c r="P486">
        <f>((MAX('Min rate concentrations'!Y:Y))*0.62*6.01*8*(12.3*F486^0.65)*0.079*0.1/F486)*inputs!$E$73/inputs!$E$74</f>
        <v>0.27537406285057942</v>
      </c>
      <c r="Q486">
        <f>(inputs!$C$7*11.2*(12.3*F486^0.65)*0.5/F486)*inputs!$E$73/inputs!$E$74</f>
        <v>0.14551752704357698</v>
      </c>
      <c r="R486">
        <f>(60*379*((F486/1000)^0.8)*3*24*(MAX('Min rate concentrations'!$R$3:$R$368))/F486)*(inputs!$E$73/inputs!$E$75)</f>
        <v>7.4476608638196159E-4</v>
      </c>
      <c r="S486">
        <f>(IF(inputs!$C$6="aerial",((0.025*0.112*inputs!$C$7/3.3)*(3*60*379*((F486/1000)^0.8))*MAX(inputs!$H$14:$H$16))/F486,((0.0083*0.112*inputs!$C$7/1)*(3*60*379*((F486/1000)^0.8))*MAX(inputs!$H$14:$H$16))/F486))*(inputs!E$75/inputs!$E$73)</f>
        <v>4.1074307235656315E-3</v>
      </c>
      <c r="T486">
        <f>IF((((inputs!$P$12/(V486/MAX(K486:S486)))^(1/inputs!$O$12))-1)/inputs!$N$12&lt;0, 0, IF((((inputs!$P$12/(V486/MAX(K486:S486)))^(1/inputs!$O$12))-1)/inputs!$N$12&gt;inputs!$H$17, inputs!$H$17, (((inputs!$P$12/(V486/MAX(K486:S486)))^(1/inputs!$O$12))-1)/inputs!$N$12))</f>
        <v>0</v>
      </c>
      <c r="U486">
        <f>IF((((inputs!$P$12/(X486/MAX(K486:S486)))^(1/inputs!$O$12))-1)/inputs!$N$12&lt;0, 0, IF((((inputs!$P$12/(X486/MAX(K486:S486)))^(1/inputs!$O$12))-1)/inputs!$N$12&gt;inputs!$H$17, inputs!$H$17, (((inputs!$P$12/(X486/MAX(K486:S486)))^(1/inputs!$O$12))-1)/inputs!$N$12))</f>
        <v>0</v>
      </c>
      <c r="V486">
        <f>inputs!$E$70*(F486/inputs!$F$70)^(0.25)</f>
        <v>19.600466820056806</v>
      </c>
      <c r="W486">
        <f>inputs!$E$76*(inputs!$F$76/F486)^(0.25)</f>
        <v>8.6923678854576344E-2</v>
      </c>
      <c r="X486">
        <f>inputs!$E$72*(inputs!$F$72/F486)^(0.25)</f>
        <v>12.749696336022048</v>
      </c>
      <c r="Y486" t="s">
        <v>13</v>
      </c>
      <c r="Z486">
        <f t="shared" si="50"/>
        <v>0.89579609588049269</v>
      </c>
      <c r="AA486">
        <f t="shared" si="51"/>
        <v>201.99354061183561</v>
      </c>
    </row>
    <row r="487" spans="1:27" x14ac:dyDescent="0.3">
      <c r="A487" t="s">
        <v>602</v>
      </c>
      <c r="B487" t="s">
        <v>603</v>
      </c>
      <c r="C487" t="s">
        <v>61</v>
      </c>
      <c r="D487" t="s">
        <v>454</v>
      </c>
      <c r="E487">
        <v>36</v>
      </c>
      <c r="F487">
        <v>92000</v>
      </c>
      <c r="G487" t="s">
        <v>154</v>
      </c>
      <c r="H487">
        <v>9.2999999999999999E-2</v>
      </c>
      <c r="I487">
        <f>MAX('Min rate concentrations'!$G$3:$G$368)</f>
        <v>7.5</v>
      </c>
      <c r="J487">
        <f>MAX('Min rate concentrations'!Z:Z)</f>
        <v>3.5</v>
      </c>
      <c r="K487">
        <f t="shared" si="53"/>
        <v>0.25407831777265882</v>
      </c>
      <c r="M487">
        <f>IF((((0.326*F487^0.818)-(0.398*F487^0.85)/(1-H487)*H487)*(MAX('Min rate concentrations'!$P$3:$P$368)))/F487&gt;0, (((0.326*F487^0.818)-(0.398*F487^0.85)/(1-H487)*H487)*(MAX('Min rate concentrations'!$P$3:$P$368)))/F487, 0)</f>
        <v>4.8438335756646406E-3</v>
      </c>
      <c r="N487">
        <f>IF((((0.326*F487^0.818)-(0.398*F487^0.85)/(1-H487)*H487)*(MAX('Min rate concentrations'!$Q$3:$Q$368)))/F487&gt; 0, (((0.326*F487^0.818)-(0.398*F487^0.85)/(1-H487)*H487)*(MAX('Min rate concentrations'!$Q$3:$Q$368)))/F487, 0)</f>
        <v>1.8445578523471451E-2</v>
      </c>
      <c r="O487">
        <f>((MAX('Min rate concentrations'!$F$3:$F$368))*0.62*6.01*8*(12.3*F487^0.65)*0.079*0.1/F487)*inputs!$E$73/inputs!$E$74</f>
        <v>0.82612218855173813</v>
      </c>
      <c r="Q487">
        <f>(inputs!$C$7*11.2*(12.3*F487^0.65)*0.5/F487)*inputs!$E$73/inputs!$E$74</f>
        <v>0.14551752704357698</v>
      </c>
      <c r="R487">
        <f>(60*379*((F487/1000)^0.8)*3*24*(MAX('Min rate concentrations'!$R$3:$R$368))/F487)*(inputs!$E$73/inputs!$E$75)</f>
        <v>7.4476608638196159E-4</v>
      </c>
      <c r="S487">
        <f>(IF(inputs!$C$6="aerial",((0.025*0.112*inputs!$C$7/3.3)*(3*60*379*((F487/1000)^0.8))*MAX(inputs!$H$14:$H$16))/F487,((0.0083*0.112*inputs!$C$7/1)*(3*60*379*((F487/1000)^0.8))*MAX(inputs!$H$14:$H$16))/F487))*(inputs!E$75/inputs!$E$73)</f>
        <v>4.1074307235656315E-3</v>
      </c>
      <c r="T487">
        <f>IF((((inputs!$P$12/(V487/MAX(K487:S487)))^(1/inputs!$O$12))-1)/inputs!$N$12&lt;0, 0, IF((((inputs!$P$12/(V487/MAX(K487:S487)))^(1/inputs!$O$12))-1)/inputs!$N$12&gt;inputs!$H$17, inputs!$H$17, (((inputs!$P$12/(V487/MAX(K487:S487)))^(1/inputs!$O$12))-1)/inputs!$N$12))</f>
        <v>0</v>
      </c>
      <c r="U487">
        <f>IF((((inputs!$P$12/(X487/MAX(K487:S487)))^(1/inputs!$O$12))-1)/inputs!$N$12&lt;0, 0, IF((((inputs!$P$12/(X487/MAX(K487:S487)))^(1/inputs!$O$12))-1)/inputs!$N$12&gt;inputs!$H$17, inputs!$H$17, (((inputs!$P$12/(X487/MAX(K487:S487)))^(1/inputs!$O$12))-1)/inputs!$N$12))</f>
        <v>0</v>
      </c>
      <c r="V487">
        <f>inputs!$E$70*(F487/inputs!$F$70)^(0.25)</f>
        <v>19.600466820056806</v>
      </c>
      <c r="W487">
        <f>inputs!$E$76*(inputs!$F$76/F487)^(0.25)</f>
        <v>8.6923678854576344E-2</v>
      </c>
      <c r="X487">
        <f>inputs!$E$72*(inputs!$F$72/F487)^(0.25)</f>
        <v>12.749696336022048</v>
      </c>
      <c r="Y487" t="s">
        <v>13</v>
      </c>
      <c r="Z487">
        <f t="shared" si="50"/>
        <v>4.214808739689721E-2</v>
      </c>
      <c r="AA487">
        <f t="shared" si="51"/>
        <v>9.5039947622769603</v>
      </c>
    </row>
    <row r="488" spans="1:27" x14ac:dyDescent="0.3">
      <c r="A488" t="s">
        <v>459</v>
      </c>
      <c r="B488" t="s">
        <v>460</v>
      </c>
      <c r="C488" t="s">
        <v>61</v>
      </c>
      <c r="D488" t="s">
        <v>454</v>
      </c>
      <c r="E488">
        <v>13</v>
      </c>
      <c r="F488">
        <v>23000</v>
      </c>
      <c r="G488" t="s">
        <v>138</v>
      </c>
      <c r="H488">
        <v>0.68</v>
      </c>
      <c r="I488">
        <f>MAX('Min rate concentrations'!$L$3:$L$368)</f>
        <v>58.421240152220811</v>
      </c>
      <c r="J488">
        <f>MAX('Min rate concentrations'!AD:AD)</f>
        <v>40.397666062705881</v>
      </c>
      <c r="K488">
        <f t="shared" si="53"/>
        <v>7.1796140864026876</v>
      </c>
      <c r="L488">
        <f>(((0.235*F488^0.822)/(1-H488)))*J488/F488</f>
        <v>4.9646267618741984</v>
      </c>
      <c r="M488">
        <f>IF((((0.326*F488^0.818)-(0.398*F488^0.85)/(1-H488)*H488)*(MAX('Min rate concentrations'!$P$3:$P$368)))/F488&gt;0, (((0.326*F488^0.818)-(0.398*F488^0.85)/(1-H488)*H488)*(MAX('Min rate concentrations'!$P$3:$P$368)))/F488, 0)</f>
        <v>0</v>
      </c>
      <c r="N488">
        <f>IF((((0.326*F488^0.818)-(0.398*F488^0.85)/(1-H488)*H488)*(MAX('Min rate concentrations'!$Q$3:$Q$368)))/F488&gt; 0, (((0.326*F488^0.818)-(0.398*F488^0.85)/(1-H488)*H488)*(MAX('Min rate concentrations'!$Q$3:$Q$368)))/F488, 0)</f>
        <v>0</v>
      </c>
      <c r="O488">
        <f>((MAX('Min rate concentrations'!$F$3:$F$368))*0.62*6.01*8*(12.3*F488^0.65)*0.079*0.1/F488)*inputs!$E$73/inputs!$E$74</f>
        <v>1.3420394546684138</v>
      </c>
      <c r="P488">
        <f>((MAX('Min rate concentrations'!Y:Y))*0.62*6.01*8*(12.3*F488^0.65)*0.079*0.1/F488)*inputs!$E$73/inputs!$E$74</f>
        <v>0.44734648488947132</v>
      </c>
      <c r="Q488">
        <f>(inputs!$C$7*11.2*(12.3*F488^0.65)*0.5/F488)*inputs!$E$73/inputs!$E$74</f>
        <v>0.23639392010595736</v>
      </c>
      <c r="R488">
        <f>(60*379*((F488/1000)^0.8)*3*24*(MAX('Min rate concentrations'!$R$3:$R$368))/F488)*(inputs!$E$73/inputs!$E$75)</f>
        <v>9.8272474265636688E-4</v>
      </c>
      <c r="S488">
        <f>(IF(inputs!$C$6="aerial",((0.025*0.112*inputs!$C$7/3.3)*(3*60*379*((F488/1000)^0.8))*MAX(inputs!$H$14:$H$16))/F488,((0.0083*0.112*inputs!$C$7/1)*(3*60*379*((F488/1000)^0.8))*MAX(inputs!$H$14:$H$16))/F488))*(inputs!E$75/inputs!$E$73)</f>
        <v>5.4197873326964829E-3</v>
      </c>
      <c r="T488">
        <f>IF((((inputs!$P$12/(V488/MAX(K488:S488)))^(1/inputs!$O$12))-1)/inputs!$N$12&lt;0, 0, IF((((inputs!$P$12/(V488/MAX(K488:S488)))^(1/inputs!$O$12))-1)/inputs!$N$12&gt;inputs!$H$17, inputs!$H$17, (((inputs!$P$12/(V488/MAX(K488:S488)))^(1/inputs!$O$12))-1)/inputs!$N$12))</f>
        <v>0</v>
      </c>
      <c r="U488">
        <f>IF((((inputs!$P$12/(X488/MAX(K488:S488)))^(1/inputs!$O$12))-1)/inputs!$N$12&lt;0, 0, IF((((inputs!$P$12/(X488/MAX(K488:S488)))^(1/inputs!$O$12))-1)/inputs!$N$12&gt;inputs!$H$17, inputs!$H$17, (((inputs!$P$12/(X488/MAX(K488:S488)))^(1/inputs!$O$12))-1)/inputs!$N$12))</f>
        <v>0</v>
      </c>
      <c r="V488">
        <f>inputs!$E$70*(F488/inputs!$F$70)^(0.25)</f>
        <v>13.859623002884094</v>
      </c>
      <c r="W488">
        <f>inputs!$E$76*(inputs!$F$76/F488)^(0.25)</f>
        <v>0.12292864552750529</v>
      </c>
      <c r="X488">
        <f>inputs!$E$72*(inputs!$F$72/F488)^(0.25)</f>
        <v>18.030793474540939</v>
      </c>
      <c r="Y488" t="s">
        <v>13</v>
      </c>
      <c r="Z488">
        <f t="shared" si="50"/>
        <v>0.51802376478123957</v>
      </c>
      <c r="AA488">
        <f t="shared" si="51"/>
        <v>58.404727845116042</v>
      </c>
    </row>
    <row r="489" spans="1:27" x14ac:dyDescent="0.3">
      <c r="A489" t="s">
        <v>459</v>
      </c>
      <c r="B489" t="s">
        <v>460</v>
      </c>
      <c r="C489" t="s">
        <v>61</v>
      </c>
      <c r="D489" t="s">
        <v>454</v>
      </c>
      <c r="E489">
        <v>13</v>
      </c>
      <c r="F489">
        <v>23000</v>
      </c>
      <c r="G489" t="s">
        <v>455</v>
      </c>
      <c r="H489">
        <v>0.68</v>
      </c>
      <c r="I489">
        <f>MAX('Min rate concentrations'!$K$3:$K$368)</f>
        <v>18.333393099490852</v>
      </c>
      <c r="J489">
        <f>MAX('Min rate concentrations'!AC:AC)</f>
        <v>6.4930767227363431</v>
      </c>
      <c r="K489">
        <f t="shared" si="53"/>
        <v>2.2530621911773761</v>
      </c>
      <c r="M489">
        <f>IF((((0.326*F489^0.818)-(0.398*F489^0.85)/(1-H489)*H489)*(MAX('Min rate concentrations'!$P$3:$P$368)))/F489&gt;0, (((0.326*F489^0.818)-(0.398*F489^0.85)/(1-H489)*H489)*(MAX('Min rate concentrations'!$P$3:$P$368)))/F489, 0)</f>
        <v>0</v>
      </c>
      <c r="N489">
        <f>IF((((0.326*F489^0.818)-(0.398*F489^0.85)/(1-H489)*H489)*(MAX('Min rate concentrations'!$Q$3:$Q$368)))/F489&gt; 0, (((0.326*F489^0.818)-(0.398*F489^0.85)/(1-H489)*H489)*(MAX('Min rate concentrations'!$Q$3:$Q$368)))/F489, 0)</f>
        <v>0</v>
      </c>
      <c r="O489">
        <f>((MAX('Min rate concentrations'!$F$3:$F$368))*0.62*6.01*8*(12.3*F489^0.65)*0.079*0.1/F489)*inputs!$E$73/inputs!$E$74</f>
        <v>1.3420394546684138</v>
      </c>
      <c r="Q489">
        <f>(inputs!$C$7*11.2*(12.3*F489^0.65)*0.5/F489)*inputs!$E$73/inputs!$E$74</f>
        <v>0.23639392010595736</v>
      </c>
      <c r="R489">
        <f>(60*379*((F489/1000)^0.8)*3*24*(MAX('Min rate concentrations'!$R$3:$R$368))/F489)*(inputs!$E$73/inputs!$E$75)</f>
        <v>9.8272474265636688E-4</v>
      </c>
      <c r="S489">
        <f>(IF(inputs!$C$6="aerial",((0.025*0.112*inputs!$C$7/3.3)*(3*60*379*((F489/1000)^0.8))*MAX(inputs!$H$14:$H$16))/F489,((0.0083*0.112*inputs!$C$7/1)*(3*60*379*((F489/1000)^0.8))*MAX(inputs!$H$14:$H$16))/F489))*(inputs!E$75/inputs!$E$73)</f>
        <v>5.4197873326964829E-3</v>
      </c>
      <c r="T489">
        <f>IF((((inputs!$P$12/(V489/MAX(K489:S489)))^(1/inputs!$O$12))-1)/inputs!$N$12&lt;0, 0, IF((((inputs!$P$12/(V489/MAX(K489:S489)))^(1/inputs!$O$12))-1)/inputs!$N$12&gt;inputs!$H$17, inputs!$H$17, (((inputs!$P$12/(V489/MAX(K489:S489)))^(1/inputs!$O$12))-1)/inputs!$N$12))</f>
        <v>0</v>
      </c>
      <c r="U489">
        <f>IF((((inputs!$P$12/(X489/MAX(K489:S489)))^(1/inputs!$O$12))-1)/inputs!$N$12&lt;0, 0, IF((((inputs!$P$12/(X489/MAX(K489:S489)))^(1/inputs!$O$12))-1)/inputs!$N$12&gt;inputs!$H$17, inputs!$H$17, (((inputs!$P$12/(X489/MAX(K489:S489)))^(1/inputs!$O$12))-1)/inputs!$N$12))</f>
        <v>0</v>
      </c>
      <c r="V489">
        <f>inputs!$E$70*(F489/inputs!$F$70)^(0.25)</f>
        <v>13.859623002884094</v>
      </c>
      <c r="W489">
        <f>inputs!$E$76*(inputs!$F$76/F489)^(0.25)</f>
        <v>0.12292864552750529</v>
      </c>
      <c r="X489">
        <f>inputs!$E$72*(inputs!$F$72/F489)^(0.25)</f>
        <v>18.030793474540939</v>
      </c>
      <c r="Y489" t="s">
        <v>13</v>
      </c>
      <c r="Z489">
        <f t="shared" si="50"/>
        <v>0.16256302142623424</v>
      </c>
      <c r="AA489">
        <f t="shared" si="51"/>
        <v>18.328211309163521</v>
      </c>
    </row>
    <row r="490" spans="1:27" x14ac:dyDescent="0.3">
      <c r="A490" t="s">
        <v>459</v>
      </c>
      <c r="B490" t="s">
        <v>460</v>
      </c>
      <c r="C490" t="s">
        <v>61</v>
      </c>
      <c r="D490" t="s">
        <v>454</v>
      </c>
      <c r="E490">
        <v>13</v>
      </c>
      <c r="F490">
        <v>23000</v>
      </c>
      <c r="G490" t="s">
        <v>456</v>
      </c>
      <c r="H490">
        <v>0.68</v>
      </c>
      <c r="I490">
        <f>MAX('Min rate concentrations'!$J$3:$J$368)</f>
        <v>114.4108103430513</v>
      </c>
      <c r="J490">
        <f>MAX('Min rate concentrations'!AB:AB)</f>
        <v>40.520495329830666</v>
      </c>
      <c r="K490">
        <f t="shared" si="53"/>
        <v>14.060390766019916</v>
      </c>
      <c r="L490">
        <f>(((0.235*F490^0.822)/(1-H490)))*J490/F490</f>
        <v>4.9797217296320531</v>
      </c>
      <c r="M490">
        <f>IF((((0.326*F490^0.818)-(0.398*F490^0.85)/(1-H490)*H490)*(MAX('Min rate concentrations'!$P$3:$P$368)))/F490&gt;0, (((0.326*F490^0.818)-(0.398*F490^0.85)/(1-H490)*H490)*(MAX('Min rate concentrations'!$P$3:$P$368)))/F490, 0)</f>
        <v>0</v>
      </c>
      <c r="N490">
        <f>IF((((0.326*F490^0.818)-(0.398*F490^0.85)/(1-H490)*H490)*(MAX('Min rate concentrations'!$Q$3:$Q$368)))/F490&gt; 0, (((0.326*F490^0.818)-(0.398*F490^0.85)/(1-H490)*H490)*(MAX('Min rate concentrations'!$Q$3:$Q$368)))/F490, 0)</f>
        <v>0</v>
      </c>
      <c r="O490">
        <f>((MAX('Min rate concentrations'!$F$3:$F$368))*0.62*6.01*8*(12.3*F490^0.65)*0.079*0.1/F490)*inputs!$E$73/inputs!$E$74</f>
        <v>1.3420394546684138</v>
      </c>
      <c r="P490">
        <f>((MAX('Min rate concentrations'!Y:Y))*0.62*6.01*8*(12.3*F490^0.65)*0.079*0.1/F490)*inputs!$E$73/inputs!$E$74</f>
        <v>0.44734648488947132</v>
      </c>
      <c r="Q490">
        <f>(inputs!$C$7*11.2*(12.3*F490^0.65)*0.5/F490)*inputs!$E$73/inputs!$E$74</f>
        <v>0.23639392010595736</v>
      </c>
      <c r="R490">
        <f>(60*379*((F490/1000)^0.8)*3*24*(MAX('Min rate concentrations'!$R$3:$R$368))/F490)*(inputs!$E$73/inputs!$E$75)</f>
        <v>9.8272474265636688E-4</v>
      </c>
      <c r="S490">
        <f>(IF(inputs!$C$6="aerial",((0.025*0.112*inputs!$C$7/3.3)*(3*60*379*((F490/1000)^0.8))*MAX(inputs!$H$14:$H$16))/F490,((0.0083*0.112*inputs!$C$7/1)*(3*60*379*((F490/1000)^0.8))*MAX(inputs!$H$14:$H$16))/F490))*(inputs!E$75/inputs!$E$73)</f>
        <v>5.4197873326964829E-3</v>
      </c>
      <c r="T490">
        <f>IF((((inputs!$P$12/(V490/MAX(K490:S490)))^(1/inputs!$O$12))-1)/inputs!$N$12&lt;0, 0, IF((((inputs!$P$12/(V490/MAX(K490:S490)))^(1/inputs!$O$12))-1)/inputs!$N$12&gt;inputs!$H$17, inputs!$H$17, (((inputs!$P$12/(V490/MAX(K490:S490)))^(1/inputs!$O$12))-1)/inputs!$N$12))</f>
        <v>0</v>
      </c>
      <c r="U490">
        <f>IF((((inputs!$P$12/(X490/MAX(K490:S490)))^(1/inputs!$O$12))-1)/inputs!$N$12&lt;0, 0, IF((((inputs!$P$12/(X490/MAX(K490:S490)))^(1/inputs!$O$12))-1)/inputs!$N$12&gt;inputs!$H$17, inputs!$H$17, (((inputs!$P$12/(X490/MAX(K490:S490)))^(1/inputs!$O$12))-1)/inputs!$N$12))</f>
        <v>0</v>
      </c>
      <c r="V490">
        <f>inputs!$E$70*(F490/inputs!$F$70)^(0.25)</f>
        <v>13.859623002884094</v>
      </c>
      <c r="W490">
        <f>inputs!$E$76*(inputs!$F$76/F490)^(0.25)</f>
        <v>0.12292864552750529</v>
      </c>
      <c r="X490">
        <f>inputs!$E$72*(inputs!$F$72/F490)^(0.25)</f>
        <v>18.030793474540939</v>
      </c>
      <c r="Y490" t="s">
        <v>13</v>
      </c>
      <c r="Z490">
        <f t="shared" si="50"/>
        <v>1.0144858026148362</v>
      </c>
      <c r="AA490">
        <f t="shared" si="51"/>
        <v>114.37847302135857</v>
      </c>
    </row>
    <row r="491" spans="1:27" x14ac:dyDescent="0.3">
      <c r="A491" t="s">
        <v>459</v>
      </c>
      <c r="B491" t="s">
        <v>461</v>
      </c>
      <c r="C491" t="s">
        <v>61</v>
      </c>
      <c r="D491" t="s">
        <v>454</v>
      </c>
      <c r="E491">
        <v>10484</v>
      </c>
      <c r="F491">
        <v>23000</v>
      </c>
      <c r="G491" t="s">
        <v>138</v>
      </c>
      <c r="H491">
        <v>0.68</v>
      </c>
      <c r="I491">
        <f>MAX('Min rate concentrations'!$L$3:$L$368)</f>
        <v>58.421240152220811</v>
      </c>
      <c r="J491">
        <f>MAX('Min rate concentrations'!AD:AD)</f>
        <v>40.397666062705881</v>
      </c>
      <c r="K491">
        <f t="shared" si="53"/>
        <v>7.1796140864026876</v>
      </c>
      <c r="L491">
        <f>(((0.235*F491^0.822)/(1-H491)))*J491/F491</f>
        <v>4.9646267618741984</v>
      </c>
      <c r="M491">
        <f>IF((((0.326*F491^0.818)-(0.398*F491^0.85)/(1-H491)*H491)*(MAX('Min rate concentrations'!$P$3:$P$368)))/F491&gt;0, (((0.326*F491^0.818)-(0.398*F491^0.85)/(1-H491)*H491)*(MAX('Min rate concentrations'!$P$3:$P$368)))/F491, 0)</f>
        <v>0</v>
      </c>
      <c r="N491">
        <f>IF((((0.326*F491^0.818)-(0.398*F491^0.85)/(1-H491)*H491)*(MAX('Min rate concentrations'!$Q$3:$Q$368)))/F491&gt; 0, (((0.326*F491^0.818)-(0.398*F491^0.85)/(1-H491)*H491)*(MAX('Min rate concentrations'!$Q$3:$Q$368)))/F491, 0)</f>
        <v>0</v>
      </c>
      <c r="O491">
        <f>((MAX('Min rate concentrations'!$F$3:$F$368))*0.62*6.01*8*(12.3*F491^0.65)*0.079*0.1/F491)*inputs!$E$73/inputs!$E$74</f>
        <v>1.3420394546684138</v>
      </c>
      <c r="P491">
        <f>((MAX('Min rate concentrations'!Y:Y))*0.62*6.01*8*(12.3*F491^0.65)*0.079*0.1/F491)*inputs!$E$73/inputs!$E$74</f>
        <v>0.44734648488947132</v>
      </c>
      <c r="Q491">
        <f>(inputs!$C$7*11.2*(12.3*F491^0.65)*0.5/F491)*inputs!$E$73/inputs!$E$74</f>
        <v>0.23639392010595736</v>
      </c>
      <c r="R491">
        <f>(60*379*((F491/1000)^0.8)*3*24*(MAX('Min rate concentrations'!$R$3:$R$368))/F491)*(inputs!$E$73/inputs!$E$75)</f>
        <v>9.8272474265636688E-4</v>
      </c>
      <c r="S491">
        <f>(IF(inputs!$C$6="aerial",((0.025*0.112*inputs!$C$7/3.3)*(3*60*379*((F491/1000)^0.8))*MAX(inputs!$H$14:$H$16))/F491,((0.0083*0.112*inputs!$C$7/1)*(3*60*379*((F491/1000)^0.8))*MAX(inputs!$H$14:$H$16))/F491))*(inputs!E$75/inputs!$E$73)</f>
        <v>5.4197873326964829E-3</v>
      </c>
      <c r="T491">
        <f>IF((((inputs!$P$12/(V491/MAX(K491:S491)))^(1/inputs!$O$12))-1)/inputs!$N$12&lt;0, 0, IF((((inputs!$P$12/(V491/MAX(K491:S491)))^(1/inputs!$O$12))-1)/inputs!$N$12&gt;inputs!$H$17, inputs!$H$17, (((inputs!$P$12/(V491/MAX(K491:S491)))^(1/inputs!$O$12))-1)/inputs!$N$12))</f>
        <v>0</v>
      </c>
      <c r="U491">
        <f>IF((((inputs!$P$12/(X491/MAX(K491:S491)))^(1/inputs!$O$12))-1)/inputs!$N$12&lt;0, 0, IF((((inputs!$P$12/(X491/MAX(K491:S491)))^(1/inputs!$O$12))-1)/inputs!$N$12&gt;inputs!$H$17, inputs!$H$17, (((inputs!$P$12/(X491/MAX(K491:S491)))^(1/inputs!$O$12))-1)/inputs!$N$12))</f>
        <v>0</v>
      </c>
      <c r="V491">
        <f>inputs!$E$70*(F491/inputs!$F$70)^(0.25)</f>
        <v>13.859623002884094</v>
      </c>
      <c r="W491">
        <f>inputs!$E$76*(inputs!$F$76/F491)^(0.25)</f>
        <v>0.12292864552750529</v>
      </c>
      <c r="X491">
        <f>inputs!$E$72*(inputs!$F$72/F491)^(0.25)</f>
        <v>18.030793474540939</v>
      </c>
      <c r="Y491" t="s">
        <v>13</v>
      </c>
      <c r="Z491">
        <f t="shared" si="50"/>
        <v>0.51802376478123957</v>
      </c>
      <c r="AA491">
        <f t="shared" si="51"/>
        <v>58.404727845116042</v>
      </c>
    </row>
    <row r="492" spans="1:27" x14ac:dyDescent="0.3">
      <c r="A492" t="s">
        <v>459</v>
      </c>
      <c r="B492" t="s">
        <v>461</v>
      </c>
      <c r="C492" t="s">
        <v>61</v>
      </c>
      <c r="D492" t="s">
        <v>454</v>
      </c>
      <c r="E492">
        <v>10484</v>
      </c>
      <c r="F492">
        <v>23000</v>
      </c>
      <c r="G492" t="s">
        <v>455</v>
      </c>
      <c r="H492">
        <v>0.68</v>
      </c>
      <c r="I492">
        <f>MAX('Min rate concentrations'!$K$3:$K$368)</f>
        <v>18.333393099490852</v>
      </c>
      <c r="J492">
        <f>MAX('Min rate concentrations'!AC:AC)</f>
        <v>6.4930767227363431</v>
      </c>
      <c r="K492">
        <f t="shared" si="53"/>
        <v>2.2530621911773761</v>
      </c>
      <c r="M492">
        <f>IF((((0.326*F492^0.818)-(0.398*F492^0.85)/(1-H492)*H492)*(MAX('Min rate concentrations'!$P$3:$P$368)))/F492&gt;0, (((0.326*F492^0.818)-(0.398*F492^0.85)/(1-H492)*H492)*(MAX('Min rate concentrations'!$P$3:$P$368)))/F492, 0)</f>
        <v>0</v>
      </c>
      <c r="N492">
        <f>IF((((0.326*F492^0.818)-(0.398*F492^0.85)/(1-H492)*H492)*(MAX('Min rate concentrations'!$Q$3:$Q$368)))/F492&gt; 0, (((0.326*F492^0.818)-(0.398*F492^0.85)/(1-H492)*H492)*(MAX('Min rate concentrations'!$Q$3:$Q$368)))/F492, 0)</f>
        <v>0</v>
      </c>
      <c r="O492">
        <f>((MAX('Min rate concentrations'!$F$3:$F$368))*0.62*6.01*8*(12.3*F492^0.65)*0.079*0.1/F492)*inputs!$E$73/inputs!$E$74</f>
        <v>1.3420394546684138</v>
      </c>
      <c r="Q492">
        <f>(inputs!$C$7*11.2*(12.3*F492^0.65)*0.5/F492)*inputs!$E$73/inputs!$E$74</f>
        <v>0.23639392010595736</v>
      </c>
      <c r="R492">
        <f>(60*379*((F492/1000)^0.8)*3*24*(MAX('Min rate concentrations'!$R$3:$R$368))/F492)*(inputs!$E$73/inputs!$E$75)</f>
        <v>9.8272474265636688E-4</v>
      </c>
      <c r="S492">
        <f>(IF(inputs!$C$6="aerial",((0.025*0.112*inputs!$C$7/3.3)*(3*60*379*((F492/1000)^0.8))*MAX(inputs!$H$14:$H$16))/F492,((0.0083*0.112*inputs!$C$7/1)*(3*60*379*((F492/1000)^0.8))*MAX(inputs!$H$14:$H$16))/F492))*(inputs!E$75/inputs!$E$73)</f>
        <v>5.4197873326964829E-3</v>
      </c>
      <c r="T492">
        <f>IF((((inputs!$P$12/(V492/MAX(K492:S492)))^(1/inputs!$O$12))-1)/inputs!$N$12&lt;0, 0, IF((((inputs!$P$12/(V492/MAX(K492:S492)))^(1/inputs!$O$12))-1)/inputs!$N$12&gt;inputs!$H$17, inputs!$H$17, (((inputs!$P$12/(V492/MAX(K492:S492)))^(1/inputs!$O$12))-1)/inputs!$N$12))</f>
        <v>0</v>
      </c>
      <c r="U492">
        <f>IF((((inputs!$P$12/(X492/MAX(K492:S492)))^(1/inputs!$O$12))-1)/inputs!$N$12&lt;0, 0, IF((((inputs!$P$12/(X492/MAX(K492:S492)))^(1/inputs!$O$12))-1)/inputs!$N$12&gt;inputs!$H$17, inputs!$H$17, (((inputs!$P$12/(X492/MAX(K492:S492)))^(1/inputs!$O$12))-1)/inputs!$N$12))</f>
        <v>0</v>
      </c>
      <c r="V492">
        <f>inputs!$E$70*(F492/inputs!$F$70)^(0.25)</f>
        <v>13.859623002884094</v>
      </c>
      <c r="W492">
        <f>inputs!$E$76*(inputs!$F$76/F492)^(0.25)</f>
        <v>0.12292864552750529</v>
      </c>
      <c r="X492">
        <f>inputs!$E$72*(inputs!$F$72/F492)^(0.25)</f>
        <v>18.030793474540939</v>
      </c>
      <c r="Y492" t="s">
        <v>13</v>
      </c>
      <c r="Z492">
        <f t="shared" si="50"/>
        <v>0.16256302142623424</v>
      </c>
      <c r="AA492">
        <f t="shared" si="51"/>
        <v>18.328211309163521</v>
      </c>
    </row>
    <row r="493" spans="1:27" x14ac:dyDescent="0.3">
      <c r="A493" t="s">
        <v>459</v>
      </c>
      <c r="B493" t="s">
        <v>461</v>
      </c>
      <c r="C493" t="s">
        <v>61</v>
      </c>
      <c r="D493" t="s">
        <v>454</v>
      </c>
      <c r="E493">
        <v>10484</v>
      </c>
      <c r="F493">
        <v>23000</v>
      </c>
      <c r="G493" t="s">
        <v>456</v>
      </c>
      <c r="H493">
        <v>0.68</v>
      </c>
      <c r="I493">
        <f>MAX('Min rate concentrations'!$J$3:$J$368)</f>
        <v>114.4108103430513</v>
      </c>
      <c r="J493">
        <f>MAX('Min rate concentrations'!AB:AB)</f>
        <v>40.520495329830666</v>
      </c>
      <c r="K493">
        <f t="shared" si="53"/>
        <v>14.060390766019916</v>
      </c>
      <c r="L493">
        <f>(((0.235*F493^0.822)/(1-H493)))*J493/F493</f>
        <v>4.9797217296320531</v>
      </c>
      <c r="M493">
        <f>IF((((0.326*F493^0.818)-(0.398*F493^0.85)/(1-H493)*H493)*(MAX('Min rate concentrations'!$P$3:$P$368)))/F493&gt;0, (((0.326*F493^0.818)-(0.398*F493^0.85)/(1-H493)*H493)*(MAX('Min rate concentrations'!$P$3:$P$368)))/F493, 0)</f>
        <v>0</v>
      </c>
      <c r="N493">
        <f>IF((((0.326*F493^0.818)-(0.398*F493^0.85)/(1-H493)*H493)*(MAX('Min rate concentrations'!$Q$3:$Q$368)))/F493&gt; 0, (((0.326*F493^0.818)-(0.398*F493^0.85)/(1-H493)*H493)*(MAX('Min rate concentrations'!$Q$3:$Q$368)))/F493, 0)</f>
        <v>0</v>
      </c>
      <c r="O493">
        <f>((MAX('Min rate concentrations'!$F$3:$F$368))*0.62*6.01*8*(12.3*F493^0.65)*0.079*0.1/F493)*inputs!$E$73/inputs!$E$74</f>
        <v>1.3420394546684138</v>
      </c>
      <c r="P493">
        <f>((MAX('Min rate concentrations'!Y:Y))*0.62*6.01*8*(12.3*F493^0.65)*0.079*0.1/F493)*inputs!$E$73/inputs!$E$74</f>
        <v>0.44734648488947132</v>
      </c>
      <c r="Q493">
        <f>(inputs!$C$7*11.2*(12.3*F493^0.65)*0.5/F493)*inputs!$E$73/inputs!$E$74</f>
        <v>0.23639392010595736</v>
      </c>
      <c r="R493">
        <f>(60*379*((F493/1000)^0.8)*3*24*(MAX('Min rate concentrations'!$R$3:$R$368))/F493)*(inputs!$E$73/inputs!$E$75)</f>
        <v>9.8272474265636688E-4</v>
      </c>
      <c r="S493">
        <f>(IF(inputs!$C$6="aerial",((0.025*0.112*inputs!$C$7/3.3)*(3*60*379*((F493/1000)^0.8))*MAX(inputs!$H$14:$H$16))/F493,((0.0083*0.112*inputs!$C$7/1)*(3*60*379*((F493/1000)^0.8))*MAX(inputs!$H$14:$H$16))/F493))*(inputs!E$75/inputs!$E$73)</f>
        <v>5.4197873326964829E-3</v>
      </c>
      <c r="T493">
        <f>IF((((inputs!$P$12/(V493/MAX(K493:S493)))^(1/inputs!$O$12))-1)/inputs!$N$12&lt;0, 0, IF((((inputs!$P$12/(V493/MAX(K493:S493)))^(1/inputs!$O$12))-1)/inputs!$N$12&gt;inputs!$H$17, inputs!$H$17, (((inputs!$P$12/(V493/MAX(K493:S493)))^(1/inputs!$O$12))-1)/inputs!$N$12))</f>
        <v>0</v>
      </c>
      <c r="U493">
        <f>IF((((inputs!$P$12/(X493/MAX(K493:S493)))^(1/inputs!$O$12))-1)/inputs!$N$12&lt;0, 0, IF((((inputs!$P$12/(X493/MAX(K493:S493)))^(1/inputs!$O$12))-1)/inputs!$N$12&gt;inputs!$H$17, inputs!$H$17, (((inputs!$P$12/(X493/MAX(K493:S493)))^(1/inputs!$O$12))-1)/inputs!$N$12))</f>
        <v>0</v>
      </c>
      <c r="V493">
        <f>inputs!$E$70*(F493/inputs!$F$70)^(0.25)</f>
        <v>13.859623002884094</v>
      </c>
      <c r="W493">
        <f>inputs!$E$76*(inputs!$F$76/F493)^(0.25)</f>
        <v>0.12292864552750529</v>
      </c>
      <c r="X493">
        <f>inputs!$E$72*(inputs!$F$72/F493)^(0.25)</f>
        <v>18.030793474540939</v>
      </c>
      <c r="Y493" t="s">
        <v>13</v>
      </c>
      <c r="Z493">
        <f t="shared" si="50"/>
        <v>1.0144858026148362</v>
      </c>
      <c r="AA493">
        <f t="shared" si="51"/>
        <v>114.37847302135857</v>
      </c>
    </row>
    <row r="494" spans="1:27" x14ac:dyDescent="0.3">
      <c r="A494" t="s">
        <v>497</v>
      </c>
      <c r="B494" t="s">
        <v>498</v>
      </c>
      <c r="C494" t="s">
        <v>61</v>
      </c>
      <c r="D494" t="s">
        <v>454</v>
      </c>
      <c r="E494">
        <v>30</v>
      </c>
      <c r="F494">
        <v>7000</v>
      </c>
      <c r="G494" t="s">
        <v>138</v>
      </c>
      <c r="H494">
        <v>0.68</v>
      </c>
      <c r="I494">
        <f>MAX('Min rate concentrations'!$L$3:$L$368)</f>
        <v>58.421240152220811</v>
      </c>
      <c r="J494">
        <f>MAX('Min rate concentrations'!AD:AD)</f>
        <v>40.397666062705881</v>
      </c>
      <c r="K494">
        <f t="shared" si="53"/>
        <v>8.8728104681258717</v>
      </c>
      <c r="L494">
        <f>(((0.235*F494^0.822)/(1-H494)))*J494/F494</f>
        <v>6.1354540471083165</v>
      </c>
      <c r="M494">
        <f>IF((((0.326*F494^0.818)-(0.398*F494^0.85)/(1-H494)*H494)*(MAX('Min rate concentrations'!$P$3:$P$368)))/F494&gt;0, (((0.326*F494^0.818)-(0.398*F494^0.85)/(1-H494)*H494)*(MAX('Min rate concentrations'!$P$3:$P$368)))/F494, 0)</f>
        <v>0</v>
      </c>
      <c r="N494">
        <f>IF((((0.326*F494^0.818)-(0.398*F494^0.85)/(1-H494)*H494)*(MAX('Min rate concentrations'!$Q$3:$Q$368)))/F494&gt; 0, (((0.326*F494^0.818)-(0.398*F494^0.85)/(1-H494)*H494)*(MAX('Min rate concentrations'!$Q$3:$Q$368)))/F494, 0)</f>
        <v>0</v>
      </c>
      <c r="O494">
        <f>((MAX('Min rate concentrations'!$F$3:$F$368))*0.62*6.01*8*(12.3*F494^0.65)*0.079*0.1/F494)*inputs!$E$73/inputs!$E$74</f>
        <v>2.0350998039969781</v>
      </c>
      <c r="P494">
        <f>((MAX('Min rate concentrations'!Y:Y))*0.62*6.01*8*(12.3*F494^0.65)*0.079*0.1/F494)*inputs!$E$73/inputs!$E$74</f>
        <v>0.67836660133232596</v>
      </c>
      <c r="Q494">
        <f>(inputs!$C$7*11.2*(12.3*F494^0.65)*0.5/F494)*inputs!$E$73/inputs!$E$74</f>
        <v>0.35847323176692736</v>
      </c>
      <c r="R494">
        <f>(60*379*((F494/1000)^0.8)*3*24*(MAX('Min rate concentrations'!$R$3:$R$368))/F494)*(inputs!$E$73/inputs!$E$75)</f>
        <v>1.2466882029266383E-3</v>
      </c>
      <c r="S494">
        <f>(IF(inputs!$C$6="aerial",((0.025*0.112*inputs!$C$7/3.3)*(3*60*379*((F494/1000)^0.8))*MAX(inputs!$H$14:$H$16))/F494,((0.0083*0.112*inputs!$C$7/1)*(3*60*379*((F494/1000)^0.8))*MAX(inputs!$H$14:$H$16))/F494))*(inputs!E$75/inputs!$E$73)</f>
        <v>6.8755620335557259E-3</v>
      </c>
      <c r="T494">
        <f>IF((((inputs!$P$12/(V494/MAX(K494:S494)))^(1/inputs!$O$12))-1)/inputs!$N$12&lt;0, 0, IF((((inputs!$P$12/(V494/MAX(K494:S494)))^(1/inputs!$O$12))-1)/inputs!$N$12&gt;inputs!$H$17, inputs!$H$17, (((inputs!$P$12/(V494/MAX(K494:S494)))^(1/inputs!$O$12))-1)/inputs!$N$12))</f>
        <v>0</v>
      </c>
      <c r="U494">
        <f>IF((((inputs!$P$12/(X494/MAX(K494:S494)))^(1/inputs!$O$12))-1)/inputs!$N$12&lt;0, 0, IF((((inputs!$P$12/(X494/MAX(K494:S494)))^(1/inputs!$O$12))-1)/inputs!$N$12&gt;inputs!$H$17, inputs!$H$17, (((inputs!$P$12/(X494/MAX(K494:S494)))^(1/inputs!$O$12))-1)/inputs!$N$12))</f>
        <v>0</v>
      </c>
      <c r="V494">
        <f>inputs!$E$70*(F494/inputs!$F$70)^(0.25)</f>
        <v>10.294232390431622</v>
      </c>
      <c r="W494">
        <f>inputs!$E$76*(inputs!$F$76/F494)^(0.25)</f>
        <v>0.16550478157555576</v>
      </c>
      <c r="X494">
        <f>inputs!$E$72*(inputs!$F$72/F494)^(0.25)</f>
        <v>24.275729410604654</v>
      </c>
      <c r="Y494" t="s">
        <v>13</v>
      </c>
      <c r="Z494">
        <f t="shared" si="50"/>
        <v>0.86192055236416198</v>
      </c>
      <c r="AA494">
        <f t="shared" si="51"/>
        <v>53.610598942576665</v>
      </c>
    </row>
    <row r="495" spans="1:27" x14ac:dyDescent="0.3">
      <c r="A495" t="s">
        <v>497</v>
      </c>
      <c r="B495" t="s">
        <v>498</v>
      </c>
      <c r="C495" t="s">
        <v>61</v>
      </c>
      <c r="D495" t="s">
        <v>454</v>
      </c>
      <c r="E495">
        <v>30</v>
      </c>
      <c r="F495">
        <v>7000</v>
      </c>
      <c r="G495" t="s">
        <v>456</v>
      </c>
      <c r="H495">
        <v>0.68</v>
      </c>
      <c r="I495">
        <f>MAX('Min rate concentrations'!$J$3:$J$368)</f>
        <v>114.4108103430513</v>
      </c>
      <c r="J495">
        <f>MAX('Min rate concentrations'!AB:AB)</f>
        <v>40.520495329830666</v>
      </c>
      <c r="K495">
        <f t="shared" si="53"/>
        <v>17.37630753872314</v>
      </c>
      <c r="L495">
        <f>(((0.235*F495^0.822)/(1-H495)))*J495/F495</f>
        <v>6.1541089199644441</v>
      </c>
      <c r="M495">
        <f>IF((((0.326*F495^0.818)-(0.398*F495^0.85)/(1-H495)*H495)*(MAX('Min rate concentrations'!$P$3:$P$368)))/F495&gt;0, (((0.326*F495^0.818)-(0.398*F495^0.85)/(1-H495)*H495)*(MAX('Min rate concentrations'!$P$3:$P$368)))/F495, 0)</f>
        <v>0</v>
      </c>
      <c r="N495">
        <f>IF((((0.326*F495^0.818)-(0.398*F495^0.85)/(1-H495)*H495)*(MAX('Min rate concentrations'!$Q$3:$Q$368)))/F495&gt; 0, (((0.326*F495^0.818)-(0.398*F495^0.85)/(1-H495)*H495)*(MAX('Min rate concentrations'!$Q$3:$Q$368)))/F495, 0)</f>
        <v>0</v>
      </c>
      <c r="O495">
        <f>((MAX('Min rate concentrations'!$F$3:$F$368))*0.62*6.01*8*(12.3*F495^0.65)*0.079*0.1/F495)*inputs!$E$73/inputs!$E$74</f>
        <v>2.0350998039969781</v>
      </c>
      <c r="P495">
        <f>((MAX('Min rate concentrations'!Y:Y))*0.62*6.01*8*(12.3*F495^0.65)*0.079*0.1/F495)*inputs!$E$73/inputs!$E$74</f>
        <v>0.67836660133232596</v>
      </c>
      <c r="Q495">
        <f>(inputs!$C$7*11.2*(12.3*F495^0.65)*0.5/F495)*inputs!$E$73/inputs!$E$74</f>
        <v>0.35847323176692736</v>
      </c>
      <c r="R495">
        <f>(60*379*((F495/1000)^0.8)*3*24*(MAX('Min rate concentrations'!$R$3:$R$368))/F495)*(inputs!$E$73/inputs!$E$75)</f>
        <v>1.2466882029266383E-3</v>
      </c>
      <c r="S495">
        <f>(IF(inputs!$C$6="aerial",((0.025*0.112*inputs!$C$7/3.3)*(3*60*379*((F495/1000)^0.8))*MAX(inputs!$H$14:$H$16))/F495,((0.0083*0.112*inputs!$C$7/1)*(3*60*379*((F495/1000)^0.8))*MAX(inputs!$H$14:$H$16))/F495))*(inputs!E$75/inputs!$E$73)</f>
        <v>6.8755620335557259E-3</v>
      </c>
      <c r="T495">
        <f>IF((((inputs!$P$12/(V495/MAX(K495:S495)))^(1/inputs!$O$12))-1)/inputs!$N$12&lt;0, 0, IF((((inputs!$P$12/(V495/MAX(K495:S495)))^(1/inputs!$O$12))-1)/inputs!$N$12&gt;inputs!$H$17, inputs!$H$17, (((inputs!$P$12/(V495/MAX(K495:S495)))^(1/inputs!$O$12))-1)/inputs!$N$12))</f>
        <v>0</v>
      </c>
      <c r="U495">
        <f>IF((((inputs!$P$12/(X495/MAX(K495:S495)))^(1/inputs!$O$12))-1)/inputs!$N$12&lt;0, 0, IF((((inputs!$P$12/(X495/MAX(K495:S495)))^(1/inputs!$O$12))-1)/inputs!$N$12&gt;inputs!$H$17, inputs!$H$17, (((inputs!$P$12/(X495/MAX(K495:S495)))^(1/inputs!$O$12))-1)/inputs!$N$12))</f>
        <v>0</v>
      </c>
      <c r="V495">
        <f>inputs!$E$70*(F495/inputs!$F$70)^(0.25)</f>
        <v>10.294232390431622</v>
      </c>
      <c r="W495">
        <f>inputs!$E$76*(inputs!$F$76/F495)^(0.25)</f>
        <v>0.16550478157555576</v>
      </c>
      <c r="X495">
        <f>inputs!$E$72*(inputs!$F$72/F495)^(0.25)</f>
        <v>24.275729410604654</v>
      </c>
      <c r="Y495" t="s">
        <v>13</v>
      </c>
      <c r="Z495">
        <f t="shared" si="50"/>
        <v>1.687965346000371</v>
      </c>
      <c r="AA495">
        <f t="shared" si="51"/>
        <v>104.98976146372277</v>
      </c>
    </row>
    <row r="496" spans="1:27" x14ac:dyDescent="0.3">
      <c r="A496" t="s">
        <v>497</v>
      </c>
      <c r="B496" t="s">
        <v>498</v>
      </c>
      <c r="C496" t="s">
        <v>61</v>
      </c>
      <c r="D496" t="s">
        <v>454</v>
      </c>
      <c r="E496">
        <v>30</v>
      </c>
      <c r="F496">
        <v>7000</v>
      </c>
      <c r="G496" t="s">
        <v>145</v>
      </c>
      <c r="H496">
        <v>0.66</v>
      </c>
      <c r="I496">
        <f>MAX('Min rate concentrations'!$M$3:$M$368)</f>
        <v>2.8488184789681945</v>
      </c>
      <c r="J496">
        <f>MAX('Min rate concentrations'!AE:AE)</f>
        <v>1.9699276716269429</v>
      </c>
      <c r="K496">
        <f t="shared" si="53"/>
        <v>0.40721734856735675</v>
      </c>
      <c r="L496">
        <f>(((0.235*F496^0.822)/(1-H496)))*J496/F496</f>
        <v>0.28158646443487434</v>
      </c>
      <c r="M496">
        <f>IF((((0.326*F496^0.818)-(0.398*F496^0.85)/(1-H496)*H496)*(MAX('Min rate concentrations'!$P$3:$P$368)))/F496&gt;0, (((0.326*F496^0.818)-(0.398*F496^0.85)/(1-H496)*H496)*(MAX('Min rate concentrations'!$P$3:$P$368)))/F496, 0)</f>
        <v>0</v>
      </c>
      <c r="N496">
        <f>IF((((0.326*F496^0.818)-(0.398*F496^0.85)/(1-H496)*H496)*(MAX('Min rate concentrations'!$Q$3:$Q$368)))/F496&gt; 0, (((0.326*F496^0.818)-(0.398*F496^0.85)/(1-H496)*H496)*(MAX('Min rate concentrations'!$Q$3:$Q$368)))/F496, 0)</f>
        <v>0</v>
      </c>
      <c r="O496">
        <f>((MAX('Min rate concentrations'!$F$3:$F$368))*0.62*6.01*8*(12.3*F496^0.65)*0.079*0.1/F496)*inputs!$E$73/inputs!$E$74</f>
        <v>2.0350998039969781</v>
      </c>
      <c r="P496">
        <f>((MAX('Min rate concentrations'!Y:Y))*0.62*6.01*8*(12.3*F496^0.65)*0.079*0.1/F496)*inputs!$E$73/inputs!$E$74</f>
        <v>0.67836660133232596</v>
      </c>
      <c r="Q496">
        <f>(inputs!$C$7*11.2*(12.3*F496^0.65)*0.5/F496)*inputs!$E$73/inputs!$E$74</f>
        <v>0.35847323176692736</v>
      </c>
      <c r="R496">
        <f>(60*379*((F496/1000)^0.8)*3*24*(MAX('Min rate concentrations'!$R$3:$R$368))/F496)*(inputs!$E$73/inputs!$E$75)</f>
        <v>1.2466882029266383E-3</v>
      </c>
      <c r="S496">
        <f>(IF(inputs!$C$6="aerial",((0.025*0.112*inputs!$C$7/3.3)*(3*60*379*((F496/1000)^0.8))*MAX(inputs!$H$14:$H$16))/F496,((0.0083*0.112*inputs!$C$7/1)*(3*60*379*((F496/1000)^0.8))*MAX(inputs!$H$14:$H$16))/F496))*(inputs!E$75/inputs!$E$73)</f>
        <v>6.8755620335557259E-3</v>
      </c>
      <c r="T496">
        <f>IF((((inputs!$P$12/(V496/MAX(K496:S496)))^(1/inputs!$O$12))-1)/inputs!$N$12&lt;0, 0, IF((((inputs!$P$12/(V496/MAX(K496:S496)))^(1/inputs!$O$12))-1)/inputs!$N$12&gt;inputs!$H$17, inputs!$H$17, (((inputs!$P$12/(V496/MAX(K496:S496)))^(1/inputs!$O$12))-1)/inputs!$N$12))</f>
        <v>0</v>
      </c>
      <c r="U496">
        <f>IF((((inputs!$P$12/(X496/MAX(K496:S496)))^(1/inputs!$O$12))-1)/inputs!$N$12&lt;0, 0, IF((((inputs!$P$12/(X496/MAX(K496:S496)))^(1/inputs!$O$12))-1)/inputs!$N$12&gt;inputs!$H$17, inputs!$H$17, (((inputs!$P$12/(X496/MAX(K496:S496)))^(1/inputs!$O$12))-1)/inputs!$N$12))</f>
        <v>0</v>
      </c>
      <c r="V496">
        <f>inputs!$E$70*(F496/inputs!$F$70)^(0.25)</f>
        <v>10.294232390431622</v>
      </c>
      <c r="W496">
        <f>inputs!$E$76*(inputs!$F$76/F496)^(0.25)</f>
        <v>0.16550478157555576</v>
      </c>
      <c r="X496">
        <f>inputs!$E$72*(inputs!$F$72/F496)^(0.25)</f>
        <v>24.275729410604654</v>
      </c>
      <c r="Y496" t="s">
        <v>13</v>
      </c>
      <c r="Z496">
        <f t="shared" si="50"/>
        <v>0.19769320594399845</v>
      </c>
      <c r="AA496">
        <f t="shared" si="51"/>
        <v>12.296320291313881</v>
      </c>
    </row>
    <row r="497" spans="1:27" x14ac:dyDescent="0.3">
      <c r="A497" t="s">
        <v>462</v>
      </c>
      <c r="B497" t="s">
        <v>463</v>
      </c>
      <c r="C497" t="s">
        <v>61</v>
      </c>
      <c r="D497" t="s">
        <v>454</v>
      </c>
      <c r="E497">
        <v>14</v>
      </c>
      <c r="F497">
        <v>19000</v>
      </c>
      <c r="G497" t="s">
        <v>455</v>
      </c>
      <c r="H497">
        <v>0.68</v>
      </c>
      <c r="I497">
        <f>MAX('Min rate concentrations'!$K$3:$K$368)</f>
        <v>18.333393099490852</v>
      </c>
      <c r="J497">
        <f>MAX('Min rate concentrations'!AC:AC)</f>
        <v>6.4930767227363431</v>
      </c>
      <c r="K497">
        <f t="shared" si="53"/>
        <v>2.3310017176623061</v>
      </c>
      <c r="M497">
        <f>IF((((0.326*F497^0.818)-(0.398*F497^0.85)/(1-H497)*H497)*(MAX('Min rate concentrations'!$P$3:$P$368)))/F497&gt;0, (((0.326*F497^0.818)-(0.398*F497^0.85)/(1-H497)*H497)*(MAX('Min rate concentrations'!$P$3:$P$368)))/F497, 0)</f>
        <v>0</v>
      </c>
      <c r="N497">
        <f>IF((((0.326*F497^0.818)-(0.398*F497^0.85)/(1-H497)*H497)*(MAX('Min rate concentrations'!$Q$3:$Q$368)))/F497&gt; 0, (((0.326*F497^0.818)-(0.398*F497^0.85)/(1-H497)*H497)*(MAX('Min rate concentrations'!$Q$3:$Q$368)))/F497, 0)</f>
        <v>0</v>
      </c>
      <c r="O497">
        <f>((MAX('Min rate concentrations'!$F$3:$F$368))*0.62*6.01*8*(12.3*F497^0.65)*0.079*0.1/F497)*inputs!$E$73/inputs!$E$74</f>
        <v>1.4348492205250649</v>
      </c>
      <c r="Q497">
        <f>(inputs!$C$7*11.2*(12.3*F497^0.65)*0.5/F497)*inputs!$E$73/inputs!$E$74</f>
        <v>0.25274192261709855</v>
      </c>
      <c r="R497">
        <f>(60*379*((F497/1000)^0.8)*3*24*(MAX('Min rate concentrations'!$R$3:$R$368))/F497)*(inputs!$E$73/inputs!$E$75)</f>
        <v>1.0210023406239544E-3</v>
      </c>
      <c r="S497">
        <f>(IF(inputs!$C$6="aerial",((0.025*0.112*inputs!$C$7/3.3)*(3*60*379*((F497/1000)^0.8))*MAX(inputs!$H$14:$H$16))/F497,((0.0083*0.112*inputs!$C$7/1)*(3*60*379*((F497/1000)^0.8))*MAX(inputs!$H$14:$H$16))/F497))*(inputs!E$75/inputs!$E$73)</f>
        <v>5.6308906371986276E-3</v>
      </c>
      <c r="T497">
        <f>IF((((inputs!$P$12/(V497/MAX(K497:S497)))^(1/inputs!$O$12))-1)/inputs!$N$12&lt;0, 0, IF((((inputs!$P$12/(V497/MAX(K497:S497)))^(1/inputs!$O$12))-1)/inputs!$N$12&gt;inputs!$H$17, inputs!$H$17, (((inputs!$P$12/(V497/MAX(K497:S497)))^(1/inputs!$O$12))-1)/inputs!$N$12))</f>
        <v>0</v>
      </c>
      <c r="U497">
        <f>IF((((inputs!$P$12/(X497/MAX(K497:S497)))^(1/inputs!$O$12))-1)/inputs!$N$12&lt;0, 0, IF((((inputs!$P$12/(X497/MAX(K497:S497)))^(1/inputs!$O$12))-1)/inputs!$N$12&gt;inputs!$H$17, inputs!$H$17, (((inputs!$P$12/(X497/MAX(K497:S497)))^(1/inputs!$O$12))-1)/inputs!$N$12))</f>
        <v>0</v>
      </c>
      <c r="V497">
        <f>inputs!$E$70*(F497/inputs!$F$70)^(0.25)</f>
        <v>13.213195426999759</v>
      </c>
      <c r="W497">
        <f>inputs!$E$76*(inputs!$F$76/F497)^(0.25)</f>
        <v>0.12894266891602738</v>
      </c>
      <c r="X497">
        <f>inputs!$E$72*(inputs!$F$72/F497)^(0.25)</f>
        <v>18.91291182217406</v>
      </c>
      <c r="Y497" t="s">
        <v>13</v>
      </c>
      <c r="Z497">
        <f t="shared" si="50"/>
        <v>0.17641468564819318</v>
      </c>
      <c r="AA497">
        <f t="shared" si="51"/>
        <v>18.077815026307139</v>
      </c>
    </row>
    <row r="498" spans="1:27" x14ac:dyDescent="0.3">
      <c r="A498" t="s">
        <v>462</v>
      </c>
      <c r="B498" t="s">
        <v>463</v>
      </c>
      <c r="C498" t="s">
        <v>61</v>
      </c>
      <c r="D498" t="s">
        <v>454</v>
      </c>
      <c r="E498">
        <v>14</v>
      </c>
      <c r="F498">
        <v>19000</v>
      </c>
      <c r="G498" t="s">
        <v>456</v>
      </c>
      <c r="H498">
        <v>0.68</v>
      </c>
      <c r="I498">
        <f>MAX('Min rate concentrations'!$J$3:$J$368)</f>
        <v>114.4108103430513</v>
      </c>
      <c r="J498">
        <f>MAX('Min rate concentrations'!AB:AB)</f>
        <v>40.520495329830666</v>
      </c>
      <c r="K498">
        <f t="shared" si="53"/>
        <v>14.546777783115084</v>
      </c>
      <c r="L498">
        <f>(((0.235*F498^0.822)/(1-H498)))*J498/F498</f>
        <v>5.1519837981865928</v>
      </c>
      <c r="M498">
        <f>IF((((0.326*F498^0.818)-(0.398*F498^0.85)/(1-H498)*H498)*(MAX('Min rate concentrations'!$P$3:$P$368)))/F498&gt;0, (((0.326*F498^0.818)-(0.398*F498^0.85)/(1-H498)*H498)*(MAX('Min rate concentrations'!$P$3:$P$368)))/F498, 0)</f>
        <v>0</v>
      </c>
      <c r="N498">
        <f>IF((((0.326*F498^0.818)-(0.398*F498^0.85)/(1-H498)*H498)*(MAX('Min rate concentrations'!$Q$3:$Q$368)))/F498&gt; 0, (((0.326*F498^0.818)-(0.398*F498^0.85)/(1-H498)*H498)*(MAX('Min rate concentrations'!$Q$3:$Q$368)))/F498, 0)</f>
        <v>0</v>
      </c>
      <c r="O498">
        <f>((MAX('Min rate concentrations'!$F$3:$F$368))*0.62*6.01*8*(12.3*F498^0.65)*0.079*0.1/F498)*inputs!$E$73/inputs!$E$74</f>
        <v>1.4348492205250649</v>
      </c>
      <c r="P498">
        <f>((MAX('Min rate concentrations'!Y:Y))*0.62*6.01*8*(12.3*F498^0.65)*0.079*0.1/F498)*inputs!$E$73/inputs!$E$74</f>
        <v>0.47828307350835503</v>
      </c>
      <c r="Q498">
        <f>(inputs!$C$7*11.2*(12.3*F498^0.65)*0.5/F498)*inputs!$E$73/inputs!$E$74</f>
        <v>0.25274192261709855</v>
      </c>
      <c r="R498">
        <f>(60*379*((F498/1000)^0.8)*3*24*(MAX('Min rate concentrations'!$R$3:$R$368))/F498)*(inputs!$E$73/inputs!$E$75)</f>
        <v>1.0210023406239544E-3</v>
      </c>
      <c r="S498">
        <f>(IF(inputs!$C$6="aerial",((0.025*0.112*inputs!$C$7/3.3)*(3*60*379*((F498/1000)^0.8))*MAX(inputs!$H$14:$H$16))/F498,((0.0083*0.112*inputs!$C$7/1)*(3*60*379*((F498/1000)^0.8))*MAX(inputs!$H$14:$H$16))/F498))*(inputs!E$75/inputs!$E$73)</f>
        <v>5.6308906371986276E-3</v>
      </c>
      <c r="T498">
        <f>IF((((inputs!$P$12/(V498/MAX(K498:S498)))^(1/inputs!$O$12))-1)/inputs!$N$12&lt;0, 0, IF((((inputs!$P$12/(V498/MAX(K498:S498)))^(1/inputs!$O$12))-1)/inputs!$N$12&gt;inputs!$H$17, inputs!$H$17, (((inputs!$P$12/(V498/MAX(K498:S498)))^(1/inputs!$O$12))-1)/inputs!$N$12))</f>
        <v>0</v>
      </c>
      <c r="U498">
        <f>IF((((inputs!$P$12/(X498/MAX(K498:S498)))^(1/inputs!$O$12))-1)/inputs!$N$12&lt;0, 0, IF((((inputs!$P$12/(X498/MAX(K498:S498)))^(1/inputs!$O$12))-1)/inputs!$N$12&gt;inputs!$H$17, inputs!$H$17, (((inputs!$P$12/(X498/MAX(K498:S498)))^(1/inputs!$O$12))-1)/inputs!$N$12))</f>
        <v>0</v>
      </c>
      <c r="V498">
        <f>inputs!$E$70*(F498/inputs!$F$70)^(0.25)</f>
        <v>13.213195426999759</v>
      </c>
      <c r="W498">
        <f>inputs!$E$76*(inputs!$F$76/F498)^(0.25)</f>
        <v>0.12894266891602738</v>
      </c>
      <c r="X498">
        <f>inputs!$E$72*(inputs!$F$72/F498)^(0.25)</f>
        <v>18.91291182217406</v>
      </c>
      <c r="Y498" t="s">
        <v>13</v>
      </c>
      <c r="Z498">
        <f t="shared" si="50"/>
        <v>1.100928073264571</v>
      </c>
      <c r="AA498">
        <f t="shared" si="51"/>
        <v>112.81585766297833</v>
      </c>
    </row>
    <row r="499" spans="1:27" x14ac:dyDescent="0.3">
      <c r="A499" t="s">
        <v>462</v>
      </c>
      <c r="B499" t="s">
        <v>464</v>
      </c>
      <c r="C499" t="s">
        <v>61</v>
      </c>
      <c r="D499" t="s">
        <v>454</v>
      </c>
      <c r="E499">
        <v>4369</v>
      </c>
      <c r="F499">
        <v>19000</v>
      </c>
      <c r="G499" t="s">
        <v>455</v>
      </c>
      <c r="H499">
        <v>0.68</v>
      </c>
      <c r="I499">
        <f>MAX('Min rate concentrations'!$K$3:$K$368)</f>
        <v>18.333393099490852</v>
      </c>
      <c r="J499">
        <f>MAX('Min rate concentrations'!AC:AC)</f>
        <v>6.4930767227363431</v>
      </c>
      <c r="K499">
        <f t="shared" si="53"/>
        <v>2.3310017176623061</v>
      </c>
      <c r="M499">
        <f>IF((((0.326*F499^0.818)-(0.398*F499^0.85)/(1-H499)*H499)*(MAX('Min rate concentrations'!$P$3:$P$368)))/F499&gt;0, (((0.326*F499^0.818)-(0.398*F499^0.85)/(1-H499)*H499)*(MAX('Min rate concentrations'!$P$3:$P$368)))/F499, 0)</f>
        <v>0</v>
      </c>
      <c r="N499">
        <f>IF((((0.326*F499^0.818)-(0.398*F499^0.85)/(1-H499)*H499)*(MAX('Min rate concentrations'!$Q$3:$Q$368)))/F499&gt; 0, (((0.326*F499^0.818)-(0.398*F499^0.85)/(1-H499)*H499)*(MAX('Min rate concentrations'!$Q$3:$Q$368)))/F499, 0)</f>
        <v>0</v>
      </c>
      <c r="O499">
        <f>((MAX('Min rate concentrations'!$F$3:$F$368))*0.62*6.01*8*(12.3*F499^0.65)*0.079*0.1/F499)*inputs!$E$73/inputs!$E$74</f>
        <v>1.4348492205250649</v>
      </c>
      <c r="Q499">
        <f>(inputs!$C$7*11.2*(12.3*F499^0.65)*0.5/F499)*inputs!$E$73/inputs!$E$74</f>
        <v>0.25274192261709855</v>
      </c>
      <c r="R499">
        <f>(60*379*((F499/1000)^0.8)*3*24*(MAX('Min rate concentrations'!$R$3:$R$368))/F499)*(inputs!$E$73/inputs!$E$75)</f>
        <v>1.0210023406239544E-3</v>
      </c>
      <c r="S499">
        <f>(IF(inputs!$C$6="aerial",((0.025*0.112*inputs!$C$7/3.3)*(3*60*379*((F499/1000)^0.8))*MAX(inputs!$H$14:$H$16))/F499,((0.0083*0.112*inputs!$C$7/1)*(3*60*379*((F499/1000)^0.8))*MAX(inputs!$H$14:$H$16))/F499))*(inputs!E$75/inputs!$E$73)</f>
        <v>5.6308906371986276E-3</v>
      </c>
      <c r="T499">
        <f>IF((((inputs!$P$12/(V499/MAX(K499:S499)))^(1/inputs!$O$12))-1)/inputs!$N$12&lt;0, 0, IF((((inputs!$P$12/(V499/MAX(K499:S499)))^(1/inputs!$O$12))-1)/inputs!$N$12&gt;inputs!$H$17, inputs!$H$17, (((inputs!$P$12/(V499/MAX(K499:S499)))^(1/inputs!$O$12))-1)/inputs!$N$12))</f>
        <v>0</v>
      </c>
      <c r="U499">
        <f>IF((((inputs!$P$12/(X499/MAX(K499:S499)))^(1/inputs!$O$12))-1)/inputs!$N$12&lt;0, 0, IF((((inputs!$P$12/(X499/MAX(K499:S499)))^(1/inputs!$O$12))-1)/inputs!$N$12&gt;inputs!$H$17, inputs!$H$17, (((inputs!$P$12/(X499/MAX(K499:S499)))^(1/inputs!$O$12))-1)/inputs!$N$12))</f>
        <v>0</v>
      </c>
      <c r="V499">
        <f>inputs!$E$70*(F499/inputs!$F$70)^(0.25)</f>
        <v>13.213195426999759</v>
      </c>
      <c r="W499">
        <f>inputs!$E$76*(inputs!$F$76/F499)^(0.25)</f>
        <v>0.12894266891602738</v>
      </c>
      <c r="X499">
        <f>inputs!$E$72*(inputs!$F$72/F499)^(0.25)</f>
        <v>18.91291182217406</v>
      </c>
      <c r="Y499" t="s">
        <v>13</v>
      </c>
      <c r="Z499">
        <f t="shared" si="50"/>
        <v>0.17641468564819318</v>
      </c>
      <c r="AA499">
        <f t="shared" si="51"/>
        <v>18.077815026307139</v>
      </c>
    </row>
    <row r="500" spans="1:27" x14ac:dyDescent="0.3">
      <c r="A500" t="s">
        <v>462</v>
      </c>
      <c r="B500" t="s">
        <v>464</v>
      </c>
      <c r="C500" t="s">
        <v>61</v>
      </c>
      <c r="D500" t="s">
        <v>454</v>
      </c>
      <c r="E500">
        <v>4369</v>
      </c>
      <c r="F500">
        <v>19000</v>
      </c>
      <c r="G500" t="s">
        <v>456</v>
      </c>
      <c r="H500">
        <v>0.68</v>
      </c>
      <c r="I500">
        <f>MAX('Min rate concentrations'!$J$3:$J$368)</f>
        <v>114.4108103430513</v>
      </c>
      <c r="J500">
        <f>MAX('Min rate concentrations'!AB:AB)</f>
        <v>40.520495329830666</v>
      </c>
      <c r="K500">
        <f t="shared" si="53"/>
        <v>14.546777783115084</v>
      </c>
      <c r="L500">
        <f t="shared" ref="L500:L548" si="56">(((0.235*F500^0.822)/(1-H500)))*J500/F500</f>
        <v>5.1519837981865928</v>
      </c>
      <c r="M500">
        <f>IF((((0.326*F500^0.818)-(0.398*F500^0.85)/(1-H500)*H500)*(MAX('Min rate concentrations'!$P$3:$P$368)))/F500&gt;0, (((0.326*F500^0.818)-(0.398*F500^0.85)/(1-H500)*H500)*(MAX('Min rate concentrations'!$P$3:$P$368)))/F500, 0)</f>
        <v>0</v>
      </c>
      <c r="N500">
        <f>IF((((0.326*F500^0.818)-(0.398*F500^0.85)/(1-H500)*H500)*(MAX('Min rate concentrations'!$Q$3:$Q$368)))/F500&gt; 0, (((0.326*F500^0.818)-(0.398*F500^0.85)/(1-H500)*H500)*(MAX('Min rate concentrations'!$Q$3:$Q$368)))/F500, 0)</f>
        <v>0</v>
      </c>
      <c r="O500">
        <f>((MAX('Min rate concentrations'!$F$3:$F$368))*0.62*6.01*8*(12.3*F500^0.65)*0.079*0.1/F500)*inputs!$E$73/inputs!$E$74</f>
        <v>1.4348492205250649</v>
      </c>
      <c r="P500">
        <f>((MAX('Min rate concentrations'!Y:Y))*0.62*6.01*8*(12.3*F500^0.65)*0.079*0.1/F500)*inputs!$E$73/inputs!$E$74</f>
        <v>0.47828307350835503</v>
      </c>
      <c r="Q500">
        <f>(inputs!$C$7*11.2*(12.3*F500^0.65)*0.5/F500)*inputs!$E$73/inputs!$E$74</f>
        <v>0.25274192261709855</v>
      </c>
      <c r="R500">
        <f>(60*379*((F500/1000)^0.8)*3*24*(MAX('Min rate concentrations'!$R$3:$R$368))/F500)*(inputs!$E$73/inputs!$E$75)</f>
        <v>1.0210023406239544E-3</v>
      </c>
      <c r="S500">
        <f>(IF(inputs!$C$6="aerial",((0.025*0.112*inputs!$C$7/3.3)*(3*60*379*((F500/1000)^0.8))*MAX(inputs!$H$14:$H$16))/F500,((0.0083*0.112*inputs!$C$7/1)*(3*60*379*((F500/1000)^0.8))*MAX(inputs!$H$14:$H$16))/F500))*(inputs!E$75/inputs!$E$73)</f>
        <v>5.6308906371986276E-3</v>
      </c>
      <c r="T500">
        <f>IF((((inputs!$P$12/(V500/MAX(K500:S500)))^(1/inputs!$O$12))-1)/inputs!$N$12&lt;0, 0, IF((((inputs!$P$12/(V500/MAX(K500:S500)))^(1/inputs!$O$12))-1)/inputs!$N$12&gt;inputs!$H$17, inputs!$H$17, (((inputs!$P$12/(V500/MAX(K500:S500)))^(1/inputs!$O$12))-1)/inputs!$N$12))</f>
        <v>0</v>
      </c>
      <c r="U500">
        <f>IF((((inputs!$P$12/(X500/MAX(K500:S500)))^(1/inputs!$O$12))-1)/inputs!$N$12&lt;0, 0, IF((((inputs!$P$12/(X500/MAX(K500:S500)))^(1/inputs!$O$12))-1)/inputs!$N$12&gt;inputs!$H$17, inputs!$H$17, (((inputs!$P$12/(X500/MAX(K500:S500)))^(1/inputs!$O$12))-1)/inputs!$N$12))</f>
        <v>0</v>
      </c>
      <c r="V500">
        <f>inputs!$E$70*(F500/inputs!$F$70)^(0.25)</f>
        <v>13.213195426999759</v>
      </c>
      <c r="W500">
        <f>inputs!$E$76*(inputs!$F$76/F500)^(0.25)</f>
        <v>0.12894266891602738</v>
      </c>
      <c r="X500">
        <f>inputs!$E$72*(inputs!$F$72/F500)^(0.25)</f>
        <v>18.91291182217406</v>
      </c>
      <c r="Y500" t="s">
        <v>13</v>
      </c>
      <c r="Z500">
        <f t="shared" si="50"/>
        <v>1.100928073264571</v>
      </c>
      <c r="AA500">
        <f t="shared" si="51"/>
        <v>112.81585766297833</v>
      </c>
    </row>
    <row r="501" spans="1:27" x14ac:dyDescent="0.3">
      <c r="A501" t="s">
        <v>609</v>
      </c>
      <c r="B501" t="s">
        <v>610</v>
      </c>
      <c r="C501" t="s">
        <v>61</v>
      </c>
      <c r="D501" t="s">
        <v>454</v>
      </c>
      <c r="E501">
        <v>6</v>
      </c>
      <c r="F501">
        <v>2100</v>
      </c>
      <c r="G501" t="s">
        <v>142</v>
      </c>
      <c r="H501">
        <v>0.69</v>
      </c>
      <c r="I501">
        <f>MAX('Min rate concentrations'!$H$3:$H$368)</f>
        <v>47</v>
      </c>
      <c r="J501">
        <f>MAX('Min rate concentrations'!AA:AA)</f>
        <v>32.5</v>
      </c>
      <c r="K501">
        <f t="shared" si="53"/>
        <v>9.1295420209916127</v>
      </c>
      <c r="L501">
        <f t="shared" si="56"/>
        <v>6.3129811847282431</v>
      </c>
      <c r="M501">
        <f>IF((((0.326*F501^0.818)-(0.398*F501^0.85)/(1-H501)*H501)*(MAX('Min rate concentrations'!$P$3:$P$368)))/F501&gt;0, (((0.326*F501^0.818)-(0.398*F501^0.85)/(1-H501)*H501)*(MAX('Min rate concentrations'!$P$3:$P$368)))/F501, 0)</f>
        <v>0</v>
      </c>
      <c r="N501">
        <f>IF((((0.326*F501^0.818)-(0.398*F501^0.85)/(1-H501)*H501)*(MAX('Min rate concentrations'!$Q$3:$Q$368)))/F501&gt; 0, (((0.326*F501^0.818)-(0.398*F501^0.85)/(1-H501)*H501)*(MAX('Min rate concentrations'!$Q$3:$Q$368)))/F501, 0)</f>
        <v>0</v>
      </c>
      <c r="O501">
        <f>((MAX('Min rate concentrations'!$F$3:$F$368))*0.62*6.01*8*(12.3*F501^0.65)*0.079*0.1/F501)*inputs!$E$73/inputs!$E$74</f>
        <v>3.1016534582878768</v>
      </c>
      <c r="P501">
        <f>((MAX('Min rate concentrations'!Y:Y))*0.62*6.01*8*(12.3*F501^0.65)*0.079*0.1/F501)*inputs!$E$73/inputs!$E$74</f>
        <v>1.0338844860959588</v>
      </c>
      <c r="Q501">
        <f>(inputs!$C$7*11.2*(12.3*F501^0.65)*0.5/F501)*inputs!$E$73/inputs!$E$74</f>
        <v>0.5463416274866747</v>
      </c>
      <c r="R501">
        <f>(60*379*((F501/1000)^0.8)*3*24*(MAX('Min rate concentrations'!$R$3:$R$368))/F501)*(inputs!$E$73/inputs!$E$75)</f>
        <v>1.5861110799333931E-3</v>
      </c>
      <c r="S501">
        <f>(IF(inputs!$C$6="aerial",((0.025*0.112*inputs!$C$7/3.3)*(3*60*379*((F501/1000)^0.8))*MAX(inputs!$H$14:$H$16))/F501,((0.0083*0.112*inputs!$C$7/1)*(3*60*379*((F501/1000)^0.8))*MAX(inputs!$H$14:$H$16))/F501))*(inputs!E$75/inputs!$E$73)</f>
        <v>8.7475000538156534E-3</v>
      </c>
      <c r="T501">
        <f>IF((((inputs!$P$12/(V501/MAX(K501:S501)))^(1/inputs!$O$12))-1)/inputs!$N$12&lt;0, 0, IF((((inputs!$P$12/(V501/MAX(K501:S501)))^(1/inputs!$O$12))-1)/inputs!$N$12&gt;inputs!$H$17, inputs!$H$17, (((inputs!$P$12/(V501/MAX(K501:S501)))^(1/inputs!$O$12))-1)/inputs!$N$12))</f>
        <v>0</v>
      </c>
      <c r="U501">
        <f>IF((((inputs!$P$12/(X501/MAX(K501:S501)))^(1/inputs!$O$12))-1)/inputs!$N$12&lt;0, 0, IF((((inputs!$P$12/(X501/MAX(K501:S501)))^(1/inputs!$O$12))-1)/inputs!$N$12&gt;inputs!$H$17, inputs!$H$17, (((inputs!$P$12/(X501/MAX(K501:S501)))^(1/inputs!$O$12))-1)/inputs!$N$12))</f>
        <v>0</v>
      </c>
      <c r="V501">
        <f>inputs!$E$70*(F501/inputs!$F$70)^(0.25)</f>
        <v>7.6185843776059556</v>
      </c>
      <c r="W501">
        <f>inputs!$E$76*(inputs!$F$76/F501)^(0.25)</f>
        <v>0.22363008648619534</v>
      </c>
      <c r="X501">
        <f>inputs!$E$72*(inputs!$F$72/F501)^(0.25)</f>
        <v>32.801369337662685</v>
      </c>
      <c r="Y501" t="s">
        <v>13</v>
      </c>
      <c r="Z501">
        <f t="shared" si="50"/>
        <v>1.1983252489566121</v>
      </c>
      <c r="AA501">
        <f t="shared" si="51"/>
        <v>40.824301257671685</v>
      </c>
    </row>
    <row r="502" spans="1:27" x14ac:dyDescent="0.3">
      <c r="A502" t="s">
        <v>609</v>
      </c>
      <c r="B502" t="s">
        <v>610</v>
      </c>
      <c r="C502" t="s">
        <v>61</v>
      </c>
      <c r="D502" t="s">
        <v>454</v>
      </c>
      <c r="E502">
        <v>6</v>
      </c>
      <c r="F502">
        <v>2100</v>
      </c>
      <c r="G502" t="s">
        <v>138</v>
      </c>
      <c r="H502">
        <v>0.68</v>
      </c>
      <c r="I502">
        <f>MAX('Min rate concentrations'!$L$3:$L$368)</f>
        <v>58.421240152220811</v>
      </c>
      <c r="J502">
        <f>MAX('Min rate concentrations'!AD:AD)</f>
        <v>40.397666062705881</v>
      </c>
      <c r="K502">
        <f t="shared" si="53"/>
        <v>10.993440274955066</v>
      </c>
      <c r="L502">
        <f t="shared" si="56"/>
        <v>7.6018469986391413</v>
      </c>
      <c r="M502">
        <f>IF((((0.326*F502^0.818)-(0.398*F502^0.85)/(1-H502)*H502)*(MAX('Min rate concentrations'!$P$3:$P$368)))/F502&gt;0, (((0.326*F502^0.818)-(0.398*F502^0.85)/(1-H502)*H502)*(MAX('Min rate concentrations'!$P$3:$P$368)))/F502, 0)</f>
        <v>0</v>
      </c>
      <c r="N502">
        <f>IF((((0.326*F502^0.818)-(0.398*F502^0.85)/(1-H502)*H502)*(MAX('Min rate concentrations'!$Q$3:$Q$368)))/F502&gt; 0, (((0.326*F502^0.818)-(0.398*F502^0.85)/(1-H502)*H502)*(MAX('Min rate concentrations'!$Q$3:$Q$368)))/F502, 0)</f>
        <v>0</v>
      </c>
      <c r="O502">
        <f>((MAX('Min rate concentrations'!$F$3:$F$368))*0.62*6.01*8*(12.3*F502^0.65)*0.079*0.1/F502)*inputs!$E$73/inputs!$E$74</f>
        <v>3.1016534582878768</v>
      </c>
      <c r="P502">
        <f>((MAX('Min rate concentrations'!Y:Y))*0.62*6.01*8*(12.3*F502^0.65)*0.079*0.1/F502)*inputs!$E$73/inputs!$E$74</f>
        <v>1.0338844860959588</v>
      </c>
      <c r="Q502">
        <f>(inputs!$C$7*11.2*(12.3*F502^0.65)*0.5/F502)*inputs!$E$73/inputs!$E$74</f>
        <v>0.5463416274866747</v>
      </c>
      <c r="R502">
        <f>(60*379*((F502/1000)^0.8)*3*24*(MAX('Min rate concentrations'!$R$3:$R$368))/F502)*(inputs!$E$73/inputs!$E$75)</f>
        <v>1.5861110799333931E-3</v>
      </c>
      <c r="S502">
        <f>(IF(inputs!$C$6="aerial",((0.025*0.112*inputs!$C$7/3.3)*(3*60*379*((F502/1000)^0.8))*MAX(inputs!$H$14:$H$16))/F502,((0.0083*0.112*inputs!$C$7/1)*(3*60*379*((F502/1000)^0.8))*MAX(inputs!$H$14:$H$16))/F502))*(inputs!E$75/inputs!$E$73)</f>
        <v>8.7475000538156534E-3</v>
      </c>
      <c r="T502">
        <f>IF((((inputs!$P$12/(V502/MAX(K502:S502)))^(1/inputs!$O$12))-1)/inputs!$N$12&lt;0, 0, IF((((inputs!$P$12/(V502/MAX(K502:S502)))^(1/inputs!$O$12))-1)/inputs!$N$12&gt;inputs!$H$17, inputs!$H$17, (((inputs!$P$12/(V502/MAX(K502:S502)))^(1/inputs!$O$12))-1)/inputs!$N$12))</f>
        <v>0</v>
      </c>
      <c r="U502">
        <f>IF((((inputs!$P$12/(X502/MAX(K502:S502)))^(1/inputs!$O$12))-1)/inputs!$N$12&lt;0, 0, IF((((inputs!$P$12/(X502/MAX(K502:S502)))^(1/inputs!$O$12))-1)/inputs!$N$12&gt;inputs!$H$17, inputs!$H$17, (((inputs!$P$12/(X502/MAX(K502:S502)))^(1/inputs!$O$12))-1)/inputs!$N$12))</f>
        <v>0</v>
      </c>
      <c r="V502">
        <f>inputs!$E$70*(F502/inputs!$F$70)^(0.25)</f>
        <v>7.6185843776059556</v>
      </c>
      <c r="W502">
        <f>inputs!$E$76*(inputs!$F$76/F502)^(0.25)</f>
        <v>0.22363008648619534</v>
      </c>
      <c r="X502">
        <f>inputs!$E$72*(inputs!$F$72/F502)^(0.25)</f>
        <v>32.801369337662685</v>
      </c>
      <c r="Y502" t="s">
        <v>13</v>
      </c>
      <c r="Z502">
        <f t="shared" si="50"/>
        <v>1.4429767697092326</v>
      </c>
      <c r="AA502">
        <f t="shared" si="51"/>
        <v>49.15903958939662</v>
      </c>
    </row>
    <row r="503" spans="1:27" x14ac:dyDescent="0.3">
      <c r="A503" t="s">
        <v>609</v>
      </c>
      <c r="B503" t="s">
        <v>610</v>
      </c>
      <c r="C503" t="s">
        <v>61</v>
      </c>
      <c r="D503" t="s">
        <v>454</v>
      </c>
      <c r="E503">
        <v>6</v>
      </c>
      <c r="F503">
        <v>2100</v>
      </c>
      <c r="G503" t="s">
        <v>169</v>
      </c>
      <c r="H503">
        <v>0.79</v>
      </c>
      <c r="I503">
        <f>MAX('Min rate concentrations'!$D$3:$D$368)</f>
        <v>120</v>
      </c>
      <c r="J503">
        <f>MAX('Min rate concentrations'!W:W)</f>
        <v>42.5</v>
      </c>
      <c r="K503">
        <f t="shared" si="53"/>
        <v>34.409216127749559</v>
      </c>
      <c r="L503">
        <f t="shared" si="56"/>
        <v>12.186597378577968</v>
      </c>
      <c r="M503">
        <f>IF((((0.326*F503^0.818)-(0.398*F503^0.85)/(1-H503)*H503)*(MAX('Min rate concentrations'!$P$3:$P$368)))/F503&gt;0, (((0.326*F503^0.818)-(0.398*F503^0.85)/(1-H503)*H503)*(MAX('Min rate concentrations'!$P$3:$P$368)))/F503, 0)</f>
        <v>0</v>
      </c>
      <c r="N503">
        <f>IF((((0.326*F503^0.818)-(0.398*F503^0.85)/(1-H503)*H503)*(MAX('Min rate concentrations'!$Q$3:$Q$368)))/F503&gt; 0, (((0.326*F503^0.818)-(0.398*F503^0.85)/(1-H503)*H503)*(MAX('Min rate concentrations'!$Q$3:$Q$368)))/F503, 0)</f>
        <v>0</v>
      </c>
      <c r="O503">
        <f>((MAX('Min rate concentrations'!$F$3:$F$368))*0.62*6.01*8*(12.3*F503^0.65)*0.079*0.1/F503)*inputs!$E$73/inputs!$E$74</f>
        <v>3.1016534582878768</v>
      </c>
      <c r="P503">
        <f>((MAX('Min rate concentrations'!Y:Y))*0.62*6.01*8*(12.3*F503^0.65)*0.079*0.1/F503)*inputs!$E$73/inputs!$E$74</f>
        <v>1.0338844860959588</v>
      </c>
      <c r="Q503">
        <f>(inputs!$C$7*11.2*(12.3*F503^0.65)*0.5/F503)*inputs!$E$73/inputs!$E$74</f>
        <v>0.5463416274866747</v>
      </c>
      <c r="R503">
        <f>(60*379*((F503/1000)^0.8)*3*24*(MAX('Min rate concentrations'!$R$3:$R$368))/F503)*(inputs!$E$73/inputs!$E$75)</f>
        <v>1.5861110799333931E-3</v>
      </c>
      <c r="S503">
        <f>(IF(inputs!$C$6="aerial",((0.025*0.112*inputs!$C$7/3.3)*(3*60*379*((F503/1000)^0.8))*MAX(inputs!$H$14:$H$16))/F503,((0.0083*0.112*inputs!$C$7/1)*(3*60*379*((F503/1000)^0.8))*MAX(inputs!$H$14:$H$16))/F503))*(inputs!E$75/inputs!$E$73)</f>
        <v>8.7475000538156534E-3</v>
      </c>
      <c r="T503">
        <f>IF((((inputs!$P$12/(V503/MAX(K503:S503)))^(1/inputs!$O$12))-1)/inputs!$N$12&lt;0, 0, IF((((inputs!$P$12/(V503/MAX(K503:S503)))^(1/inputs!$O$12))-1)/inputs!$N$12&gt;inputs!$H$17, inputs!$H$17, (((inputs!$P$12/(V503/MAX(K503:S503)))^(1/inputs!$O$12))-1)/inputs!$N$12))</f>
        <v>10.415032632231743</v>
      </c>
      <c r="U503">
        <f>IF((((inputs!$P$12/(X503/MAX(K503:S503)))^(1/inputs!$O$12))-1)/inputs!$N$12&lt;0, 0, IF((((inputs!$P$12/(X503/MAX(K503:S503)))^(1/inputs!$O$12))-1)/inputs!$N$12&gt;inputs!$H$17, inputs!$H$17, (((inputs!$P$12/(X503/MAX(K503:S503)))^(1/inputs!$O$12))-1)/inputs!$N$12))</f>
        <v>0</v>
      </c>
      <c r="V503">
        <f>inputs!$E$70*(F503/inputs!$F$70)^(0.25)</f>
        <v>7.6185843776059556</v>
      </c>
      <c r="W503">
        <f>inputs!$E$76*(inputs!$F$76/F503)^(0.25)</f>
        <v>0.22363008648619534</v>
      </c>
      <c r="X503">
        <f>inputs!$E$72*(inputs!$F$72/F503)^(0.25)</f>
        <v>32.801369337662685</v>
      </c>
      <c r="Y503" t="s">
        <v>13</v>
      </c>
      <c r="Z503">
        <f t="shared" si="50"/>
        <v>4.5164842209914884</v>
      </c>
      <c r="AA503">
        <f t="shared" si="51"/>
        <v>153.86666735414261</v>
      </c>
    </row>
    <row r="504" spans="1:27" x14ac:dyDescent="0.3">
      <c r="A504" t="s">
        <v>609</v>
      </c>
      <c r="B504" t="s">
        <v>610</v>
      </c>
      <c r="C504" t="s">
        <v>61</v>
      </c>
      <c r="D504" t="s">
        <v>454</v>
      </c>
      <c r="E504">
        <v>6</v>
      </c>
      <c r="F504">
        <v>2100</v>
      </c>
      <c r="G504" t="s">
        <v>177</v>
      </c>
      <c r="H504">
        <v>0.85</v>
      </c>
      <c r="I504">
        <f>MAX('Min rate concentrations'!$F$3:$F$368)</f>
        <v>67.5</v>
      </c>
      <c r="J504">
        <f>MAX('Min rate concentrations'!Y:Y)</f>
        <v>22.5</v>
      </c>
      <c r="K504">
        <f t="shared" si="53"/>
        <v>27.097257700602764</v>
      </c>
      <c r="L504">
        <f t="shared" si="56"/>
        <v>9.0324192335342559</v>
      </c>
      <c r="M504">
        <f>IF((((0.326*F504^0.818)-(0.398*F504^0.85)/(1-H504)*H504)*(MAX('Min rate concentrations'!$P$3:$P$368)))/F504&gt;0, (((0.326*F504^0.818)-(0.398*F504^0.85)/(1-H504)*H504)*(MAX('Min rate concentrations'!$P$3:$P$368)))/F504, 0)</f>
        <v>0</v>
      </c>
      <c r="N504">
        <f>IF((((0.326*F504^0.818)-(0.398*F504^0.85)/(1-H504)*H504)*(MAX('Min rate concentrations'!$Q$3:$Q$368)))/F504&gt; 0, (((0.326*F504^0.818)-(0.398*F504^0.85)/(1-H504)*H504)*(MAX('Min rate concentrations'!$Q$3:$Q$368)))/F504, 0)</f>
        <v>0</v>
      </c>
      <c r="O504">
        <f>((MAX('Min rate concentrations'!$F$3:$F$368))*0.62*6.01*8*(12.3*F504^0.65)*0.079*0.1/F504)*inputs!$E$73/inputs!$E$74</f>
        <v>3.1016534582878768</v>
      </c>
      <c r="P504">
        <f>((MAX('Min rate concentrations'!Y:Y))*0.62*6.01*8*(12.3*F504^0.65)*0.079*0.1/F504)*inputs!$E$73/inputs!$E$74</f>
        <v>1.0338844860959588</v>
      </c>
      <c r="Q504">
        <f>(inputs!$C$7*11.2*(12.3*F504^0.65)*0.5/F504)*inputs!$E$73/inputs!$E$74</f>
        <v>0.5463416274866747</v>
      </c>
      <c r="R504">
        <f>(60*379*((F504/1000)^0.8)*3*24*(MAX('Min rate concentrations'!$R$3:$R$368))/F504)*(inputs!$E$73/inputs!$E$75)</f>
        <v>1.5861110799333931E-3</v>
      </c>
      <c r="S504">
        <f>(IF(inputs!$C$6="aerial",((0.025*0.112*inputs!$C$7/3.3)*(3*60*379*((F504/1000)^0.8))*MAX(inputs!$H$14:$H$16))/F504,((0.0083*0.112*inputs!$C$7/1)*(3*60*379*((F504/1000)^0.8))*MAX(inputs!$H$14:$H$16))/F504))*(inputs!E$75/inputs!$E$73)</f>
        <v>8.7475000538156534E-3</v>
      </c>
      <c r="T504">
        <f>IF((((inputs!$P$12/(V504/MAX(K504:S504)))^(1/inputs!$O$12))-1)/inputs!$N$12&lt;0, 0, IF((((inputs!$P$12/(V504/MAX(K504:S504)))^(1/inputs!$O$12))-1)/inputs!$N$12&gt;inputs!$H$17, inputs!$H$17, (((inputs!$P$12/(V504/MAX(K504:S504)))^(1/inputs!$O$12))-1)/inputs!$N$12))</f>
        <v>6.8126386931994336</v>
      </c>
      <c r="U504">
        <f>IF((((inputs!$P$12/(X504/MAX(K504:S504)))^(1/inputs!$O$12))-1)/inputs!$N$12&lt;0, 0, IF((((inputs!$P$12/(X504/MAX(K504:S504)))^(1/inputs!$O$12))-1)/inputs!$N$12&gt;inputs!$H$17, inputs!$H$17, (((inputs!$P$12/(X504/MAX(K504:S504)))^(1/inputs!$O$12))-1)/inputs!$N$12))</f>
        <v>0</v>
      </c>
      <c r="V504">
        <f>inputs!$E$70*(F504/inputs!$F$70)^(0.25)</f>
        <v>7.6185843776059556</v>
      </c>
      <c r="W504">
        <f>inputs!$E$76*(inputs!$F$76/F504)^(0.25)</f>
        <v>0.22363008648619534</v>
      </c>
      <c r="X504">
        <f>inputs!$E$72*(inputs!$F$72/F504)^(0.25)</f>
        <v>32.801369337662685</v>
      </c>
      <c r="Y504" t="s">
        <v>13</v>
      </c>
      <c r="Z504">
        <f t="shared" si="50"/>
        <v>3.5567313240307956</v>
      </c>
      <c r="AA504">
        <f t="shared" si="51"/>
        <v>121.17000054138724</v>
      </c>
    </row>
    <row r="505" spans="1:27" x14ac:dyDescent="0.3">
      <c r="A505" t="s">
        <v>609</v>
      </c>
      <c r="B505" t="s">
        <v>610</v>
      </c>
      <c r="C505" t="s">
        <v>61</v>
      </c>
      <c r="D505" t="s">
        <v>454</v>
      </c>
      <c r="E505">
        <v>6</v>
      </c>
      <c r="F505">
        <v>2100</v>
      </c>
      <c r="G505" t="s">
        <v>456</v>
      </c>
      <c r="H505">
        <v>0.68</v>
      </c>
      <c r="I505">
        <f>MAX('Min rate concentrations'!$J$3:$J$368)</f>
        <v>114.4108103430513</v>
      </c>
      <c r="J505">
        <f>MAX('Min rate concentrations'!AB:AB)</f>
        <v>40.520495329830666</v>
      </c>
      <c r="K505">
        <f t="shared" si="53"/>
        <v>21.529300080558684</v>
      </c>
      <c r="L505">
        <f t="shared" si="56"/>
        <v>7.6249604451978668</v>
      </c>
      <c r="M505">
        <f>IF((((0.326*F505^0.818)-(0.398*F505^0.85)/(1-H505)*H505)*(MAX('Min rate concentrations'!$P$3:$P$368)))/F505&gt;0, (((0.326*F505^0.818)-(0.398*F505^0.85)/(1-H505)*H505)*(MAX('Min rate concentrations'!$P$3:$P$368)))/F505, 0)</f>
        <v>0</v>
      </c>
      <c r="N505">
        <f>IF((((0.326*F505^0.818)-(0.398*F505^0.85)/(1-H505)*H505)*(MAX('Min rate concentrations'!$Q$3:$Q$368)))/F505&gt; 0, (((0.326*F505^0.818)-(0.398*F505^0.85)/(1-H505)*H505)*(MAX('Min rate concentrations'!$Q$3:$Q$368)))/F505, 0)</f>
        <v>0</v>
      </c>
      <c r="O505">
        <f>((MAX('Min rate concentrations'!$F$3:$F$368))*0.62*6.01*8*(12.3*F505^0.65)*0.079*0.1/F505)*inputs!$E$73/inputs!$E$74</f>
        <v>3.1016534582878768</v>
      </c>
      <c r="P505">
        <f>((MAX('Min rate concentrations'!Y:Y))*0.62*6.01*8*(12.3*F505^0.65)*0.079*0.1/F505)*inputs!$E$73/inputs!$E$74</f>
        <v>1.0338844860959588</v>
      </c>
      <c r="Q505">
        <f>(inputs!$C$7*11.2*(12.3*F505^0.65)*0.5/F505)*inputs!$E$73/inputs!$E$74</f>
        <v>0.5463416274866747</v>
      </c>
      <c r="R505">
        <f>(60*379*((F505/1000)^0.8)*3*24*(MAX('Min rate concentrations'!$R$3:$R$368))/F505)*(inputs!$E$73/inputs!$E$75)</f>
        <v>1.5861110799333931E-3</v>
      </c>
      <c r="S505">
        <f>(IF(inputs!$C$6="aerial",((0.025*0.112*inputs!$C$7/3.3)*(3*60*379*((F505/1000)^0.8))*MAX(inputs!$H$14:$H$16))/F505,((0.0083*0.112*inputs!$C$7/1)*(3*60*379*((F505/1000)^0.8))*MAX(inputs!$H$14:$H$16))/F505))*(inputs!E$75/inputs!$E$73)</f>
        <v>8.7475000538156534E-3</v>
      </c>
      <c r="T505">
        <f>IF((((inputs!$P$12/(V505/MAX(K505:S505)))^(1/inputs!$O$12))-1)/inputs!$N$12&lt;0, 0, IF((((inputs!$P$12/(V505/MAX(K505:S505)))^(1/inputs!$O$12))-1)/inputs!$N$12&gt;inputs!$H$17, inputs!$H$17, (((inputs!$P$12/(V505/MAX(K505:S505)))^(1/inputs!$O$12))-1)/inputs!$N$12))</f>
        <v>3.6596398079907067</v>
      </c>
      <c r="U505">
        <f>IF((((inputs!$P$12/(X505/MAX(K505:S505)))^(1/inputs!$O$12))-1)/inputs!$N$12&lt;0, 0, IF((((inputs!$P$12/(X505/MAX(K505:S505)))^(1/inputs!$O$12))-1)/inputs!$N$12&gt;inputs!$H$17, inputs!$H$17, (((inputs!$P$12/(X505/MAX(K505:S505)))^(1/inputs!$O$12))-1)/inputs!$N$12))</f>
        <v>0</v>
      </c>
      <c r="V505">
        <f>inputs!$E$70*(F505/inputs!$F$70)^(0.25)</f>
        <v>7.6185843776059556</v>
      </c>
      <c r="W505">
        <f>inputs!$E$76*(inputs!$F$76/F505)^(0.25)</f>
        <v>0.22363008648619534</v>
      </c>
      <c r="X505">
        <f>inputs!$E$72*(inputs!$F$72/F505)^(0.25)</f>
        <v>32.801369337662685</v>
      </c>
      <c r="Y505" t="s">
        <v>13</v>
      </c>
      <c r="Z505">
        <f t="shared" si="50"/>
        <v>2.8258924510755365</v>
      </c>
      <c r="AA505">
        <f t="shared" si="51"/>
        <v>96.271930216722808</v>
      </c>
    </row>
    <row r="506" spans="1:27" x14ac:dyDescent="0.3">
      <c r="A506" t="s">
        <v>596</v>
      </c>
      <c r="B506" t="s">
        <v>597</v>
      </c>
      <c r="C506" t="s">
        <v>61</v>
      </c>
      <c r="D506" t="s">
        <v>454</v>
      </c>
      <c r="E506">
        <v>1236</v>
      </c>
      <c r="F506">
        <v>1400</v>
      </c>
      <c r="G506" t="s">
        <v>182</v>
      </c>
      <c r="H506">
        <v>0.85</v>
      </c>
      <c r="I506">
        <f>MAX('Min rate concentrations'!$M$3:$M$368)</f>
        <v>2.8488184789681945</v>
      </c>
      <c r="J506">
        <f>MAX('Min rate concentrations'!AE:AE)</f>
        <v>1.9699276716269429</v>
      </c>
      <c r="K506">
        <f t="shared" si="53"/>
        <v>1.2292227533619149</v>
      </c>
      <c r="L506">
        <f t="shared" si="56"/>
        <v>0.84999445711196242</v>
      </c>
      <c r="M506">
        <f>IF((((0.326*F506^0.818)-(0.398*F506^0.85)/(1-H506)*H506)*(MAX('Min rate concentrations'!$P$3:$P$368)))/F506&gt;0, (((0.326*F506^0.818)-(0.398*F506^0.85)/(1-H506)*H506)*(MAX('Min rate concentrations'!$P$3:$P$368)))/F506, 0)</f>
        <v>0</v>
      </c>
      <c r="N506">
        <f>IF((((0.326*F506^0.818)-(0.398*F506^0.85)/(1-H506)*H506)*(MAX('Min rate concentrations'!$Q$3:$Q$368)))/F506&gt; 0, (((0.326*F506^0.818)-(0.398*F506^0.85)/(1-H506)*H506)*(MAX('Min rate concentrations'!$Q$3:$Q$368)))/F506, 0)</f>
        <v>0</v>
      </c>
      <c r="O506">
        <f>((MAX('Min rate concentrations'!$F$3:$F$368))*0.62*6.01*8*(12.3*F506^0.65)*0.079*0.1/F506)*inputs!$E$73/inputs!$E$74</f>
        <v>3.5745815872932107</v>
      </c>
      <c r="P506">
        <f>((MAX('Min rate concentrations'!Y:Y))*0.62*6.01*8*(12.3*F506^0.65)*0.079*0.1/F506)*inputs!$E$73/inputs!$E$74</f>
        <v>1.1915271957644034</v>
      </c>
      <c r="Q506">
        <f>(inputs!$C$7*11.2*(12.3*F506^0.65)*0.5/F506)*inputs!$E$73/inputs!$E$74</f>
        <v>0.62964568680851429</v>
      </c>
      <c r="R506">
        <f>(60*379*((F506/1000)^0.8)*3*24*(MAX('Min rate concentrations'!$R$3:$R$368))/F506)*(inputs!$E$73/inputs!$E$75)</f>
        <v>1.7200926921716615E-3</v>
      </c>
      <c r="S506">
        <f>(IF(inputs!$C$6="aerial",((0.025*0.112*inputs!$C$7/3.3)*(3*60*379*((F506/1000)^0.8))*MAX(inputs!$H$14:$H$16))/F506,((0.0083*0.112*inputs!$C$7/1)*(3*60*379*((F506/1000)^0.8))*MAX(inputs!$H$14:$H$16))/F506))*(inputs!E$75/inputs!$E$73)</f>
        <v>9.4864168769134231E-3</v>
      </c>
      <c r="T506">
        <f>IF((((inputs!$P$12/(V506/MAX(K506:S506)))^(1/inputs!$O$12))-1)/inputs!$N$12&lt;0, 0, IF((((inputs!$P$12/(V506/MAX(K506:S506)))^(1/inputs!$O$12))-1)/inputs!$N$12&gt;inputs!$H$17, inputs!$H$17, (((inputs!$P$12/(V506/MAX(K506:S506)))^(1/inputs!$O$12))-1)/inputs!$N$12))</f>
        <v>0</v>
      </c>
      <c r="U506">
        <f>IF((((inputs!$P$12/(X506/MAX(K506:S506)))^(1/inputs!$O$12))-1)/inputs!$N$12&lt;0, 0, IF((((inputs!$P$12/(X506/MAX(K506:S506)))^(1/inputs!$O$12))-1)/inputs!$N$12&gt;inputs!$H$17, inputs!$H$17, (((inputs!$P$12/(X506/MAX(K506:S506)))^(1/inputs!$O$12))-1)/inputs!$N$12))</f>
        <v>0</v>
      </c>
      <c r="V506">
        <f>inputs!$E$70*(F506/inputs!$F$70)^(0.25)</f>
        <v>6.8841681082754063</v>
      </c>
      <c r="W506">
        <f>inputs!$E$76*(inputs!$F$76/F506)^(0.25)</f>
        <v>0.24748737341529164</v>
      </c>
      <c r="X506">
        <f>inputs!$E$72*(inputs!$F$72/F506)^(0.25)</f>
        <v>36.300682387403803</v>
      </c>
      <c r="Y506" t="s">
        <v>13</v>
      </c>
      <c r="Z506">
        <f t="shared" si="50"/>
        <v>0.51924670215363178</v>
      </c>
      <c r="AA506">
        <f t="shared" si="51"/>
        <v>14.443490744454868</v>
      </c>
    </row>
    <row r="507" spans="1:27" x14ac:dyDescent="0.3">
      <c r="A507" t="s">
        <v>596</v>
      </c>
      <c r="B507" t="s">
        <v>597</v>
      </c>
      <c r="C507" t="s">
        <v>61</v>
      </c>
      <c r="D507" t="s">
        <v>454</v>
      </c>
      <c r="E507">
        <v>1236</v>
      </c>
      <c r="F507">
        <v>1400</v>
      </c>
      <c r="G507" t="s">
        <v>142</v>
      </c>
      <c r="H507">
        <v>0.69</v>
      </c>
      <c r="I507">
        <f>MAX('Min rate concentrations'!$H$3:$H$368)</f>
        <v>47</v>
      </c>
      <c r="J507">
        <f>MAX('Min rate concentrations'!AA:AA)</f>
        <v>32.5</v>
      </c>
      <c r="K507">
        <f t="shared" si="53"/>
        <v>9.8128065226492804</v>
      </c>
      <c r="L507">
        <f t="shared" si="56"/>
        <v>6.7854513188532266</v>
      </c>
      <c r="M507">
        <f>IF((((0.326*F507^0.818)-(0.398*F507^0.85)/(1-H507)*H507)*(MAX('Min rate concentrations'!$P$3:$P$368)))/F507&gt;0, (((0.326*F507^0.818)-(0.398*F507^0.85)/(1-H507)*H507)*(MAX('Min rate concentrations'!$P$3:$P$368)))/F507, 0)</f>
        <v>0</v>
      </c>
      <c r="N507">
        <f>IF((((0.326*F507^0.818)-(0.398*F507^0.85)/(1-H507)*H507)*(MAX('Min rate concentrations'!$Q$3:$Q$368)))/F507&gt; 0, (((0.326*F507^0.818)-(0.398*F507^0.85)/(1-H507)*H507)*(MAX('Min rate concentrations'!$Q$3:$Q$368)))/F507, 0)</f>
        <v>0</v>
      </c>
      <c r="O507">
        <f>((MAX('Min rate concentrations'!$F$3:$F$368))*0.62*6.01*8*(12.3*F507^0.65)*0.079*0.1/F507)*inputs!$E$73/inputs!$E$74</f>
        <v>3.5745815872932107</v>
      </c>
      <c r="P507">
        <f>((MAX('Min rate concentrations'!Y:Y))*0.62*6.01*8*(12.3*F507^0.65)*0.079*0.1/F507)*inputs!$E$73/inputs!$E$74</f>
        <v>1.1915271957644034</v>
      </c>
      <c r="Q507">
        <f>(inputs!$C$7*11.2*(12.3*F507^0.65)*0.5/F507)*inputs!$E$73/inputs!$E$74</f>
        <v>0.62964568680851429</v>
      </c>
      <c r="R507">
        <f>(60*379*((F507/1000)^0.8)*3*24*(MAX('Min rate concentrations'!$R$3:$R$368))/F507)*(inputs!$E$73/inputs!$E$75)</f>
        <v>1.7200926921716615E-3</v>
      </c>
      <c r="S507">
        <f>(IF(inputs!$C$6="aerial",((0.025*0.112*inputs!$C$7/3.3)*(3*60*379*((F507/1000)^0.8))*MAX(inputs!$H$14:$H$16))/F507,((0.0083*0.112*inputs!$C$7/1)*(3*60*379*((F507/1000)^0.8))*MAX(inputs!$H$14:$H$16))/F507))*(inputs!E$75/inputs!$E$73)</f>
        <v>9.4864168769134231E-3</v>
      </c>
      <c r="T507">
        <f>IF((((inputs!$P$12/(V507/MAX(K507:S507)))^(1/inputs!$O$12))-1)/inputs!$N$12&lt;0, 0, IF((((inputs!$P$12/(V507/MAX(K507:S507)))^(1/inputs!$O$12))-1)/inputs!$N$12&gt;inputs!$H$17, inputs!$H$17, (((inputs!$P$12/(V507/MAX(K507:S507)))^(1/inputs!$O$12))-1)/inputs!$N$12))</f>
        <v>0</v>
      </c>
      <c r="U507">
        <f>IF((((inputs!$P$12/(X507/MAX(K507:S507)))^(1/inputs!$O$12))-1)/inputs!$N$12&lt;0, 0, IF((((inputs!$P$12/(X507/MAX(K507:S507)))^(1/inputs!$O$12))-1)/inputs!$N$12&gt;inputs!$H$17, inputs!$H$17, (((inputs!$P$12/(X507/MAX(K507:S507)))^(1/inputs!$O$12))-1)/inputs!$N$12))</f>
        <v>0</v>
      </c>
      <c r="V507">
        <f>inputs!$E$70*(F507/inputs!$F$70)^(0.25)</f>
        <v>6.8841681082754063</v>
      </c>
      <c r="W507">
        <f>inputs!$E$76*(inputs!$F$76/F507)^(0.25)</f>
        <v>0.24748737341529164</v>
      </c>
      <c r="X507">
        <f>inputs!$E$72*(inputs!$F$72/F507)^(0.25)</f>
        <v>36.300682387403803</v>
      </c>
      <c r="Y507" t="s">
        <v>13</v>
      </c>
      <c r="Z507">
        <f t="shared" si="50"/>
        <v>1.4254164582142292</v>
      </c>
      <c r="AA507">
        <f t="shared" si="51"/>
        <v>39.649725912210805</v>
      </c>
    </row>
    <row r="508" spans="1:27" x14ac:dyDescent="0.3">
      <c r="A508" t="s">
        <v>596</v>
      </c>
      <c r="B508" t="s">
        <v>597</v>
      </c>
      <c r="C508" t="s">
        <v>61</v>
      </c>
      <c r="D508" t="s">
        <v>454</v>
      </c>
      <c r="E508">
        <v>1236</v>
      </c>
      <c r="F508">
        <v>1400</v>
      </c>
      <c r="G508" t="s">
        <v>164</v>
      </c>
      <c r="H508">
        <v>0.78</v>
      </c>
      <c r="I508">
        <f>inputs!$C$65*(inputs!$C$62/1000)</f>
        <v>0.82000000000000006</v>
      </c>
      <c r="J508">
        <f>inputs!$C$65*(inputs!$C$61/1000)</f>
        <v>0.25</v>
      </c>
      <c r="K508">
        <f t="shared" si="53"/>
        <v>0.24123940213321549</v>
      </c>
      <c r="L508">
        <f t="shared" si="56"/>
        <v>7.3548598211346169E-2</v>
      </c>
      <c r="M508">
        <f>IF((((0.326*F508^0.818)-(0.398*F508^0.85)/(1-H508)*H508)*(MAX('Min rate concentrations'!$P$3:$P$368)))/F508&gt;0, (((0.326*F508^0.818)-(0.398*F508^0.85)/(1-H508)*H508)*(MAX('Min rate concentrations'!$P$3:$P$368)))/F508, 0)</f>
        <v>0</v>
      </c>
      <c r="N508">
        <f>IF((((0.326*F508^0.818)-(0.398*F508^0.85)/(1-H508)*H508)*(MAX('Min rate concentrations'!$Q$3:$Q$368)))/F508&gt; 0, (((0.326*F508^0.818)-(0.398*F508^0.85)/(1-H508)*H508)*(MAX('Min rate concentrations'!$Q$3:$Q$368)))/F508, 0)</f>
        <v>0</v>
      </c>
      <c r="O508">
        <f>((MAX('Min rate concentrations'!$F$3:$F$368))*0.62*6.01*8*(12.3*F508^0.65)*0.079*0.1/F508)*inputs!$E$73/inputs!$E$74</f>
        <v>3.5745815872932107</v>
      </c>
      <c r="P508">
        <f>((MAX('Min rate concentrations'!Y:Y))*0.62*6.01*8*(12.3*F508^0.65)*0.079*0.1/F508)*inputs!$E$73/inputs!$E$74</f>
        <v>1.1915271957644034</v>
      </c>
      <c r="Q508">
        <f>(inputs!$C$7*11.2*(12.3*F508^0.65)*0.5/F508)*inputs!$E$73/inputs!$E$74</f>
        <v>0.62964568680851429</v>
      </c>
      <c r="R508">
        <f>(60*379*((F508/1000)^0.8)*3*24*(MAX('Min rate concentrations'!$R$3:$R$368))/F508)*(inputs!$E$73/inputs!$E$75)</f>
        <v>1.7200926921716615E-3</v>
      </c>
      <c r="S508">
        <f>(IF(inputs!$C$6="aerial",((0.025*0.112*inputs!$C$7/3.3)*(3*60*379*((F508/1000)^0.8))*MAX(inputs!$H$14:$H$16))/F508,((0.0083*0.112*inputs!$C$7/1)*(3*60*379*((F508/1000)^0.8))*MAX(inputs!$H$14:$H$16))/F508))*(inputs!E$75/inputs!$E$73)</f>
        <v>9.4864168769134231E-3</v>
      </c>
      <c r="T508">
        <f>IF((((inputs!$P$12/(V508/MAX(K508:S508)))^(1/inputs!$O$12))-1)/inputs!$N$12&lt;0, 0, IF((((inputs!$P$12/(V508/MAX(K508:S508)))^(1/inputs!$O$12))-1)/inputs!$N$12&gt;inputs!$H$17, inputs!$H$17, (((inputs!$P$12/(V508/MAX(K508:S508)))^(1/inputs!$O$12))-1)/inputs!$N$12))</f>
        <v>0</v>
      </c>
      <c r="U508">
        <f>IF((((inputs!$P$12/(X508/MAX(K508:S508)))^(1/inputs!$O$12))-1)/inputs!$N$12&lt;0, 0, IF((((inputs!$P$12/(X508/MAX(K508:S508)))^(1/inputs!$O$12))-1)/inputs!$N$12&gt;inputs!$H$17, inputs!$H$17, (((inputs!$P$12/(X508/MAX(K508:S508)))^(1/inputs!$O$12))-1)/inputs!$N$12))</f>
        <v>0</v>
      </c>
      <c r="V508">
        <f>inputs!$E$70*(F508/inputs!$F$70)^(0.25)</f>
        <v>6.8841681082754063</v>
      </c>
      <c r="W508">
        <f>inputs!$E$76*(inputs!$F$76/F508)^(0.25)</f>
        <v>0.24748737341529164</v>
      </c>
      <c r="X508">
        <f>inputs!$E$72*(inputs!$F$72/F508)^(0.25)</f>
        <v>36.300682387403803</v>
      </c>
      <c r="Y508" t="s">
        <v>13</v>
      </c>
      <c r="Z508">
        <f t="shared" si="50"/>
        <v>0.51924670215363178</v>
      </c>
      <c r="AA508">
        <f t="shared" si="51"/>
        <v>14.443490744454868</v>
      </c>
    </row>
    <row r="509" spans="1:27" x14ac:dyDescent="0.3">
      <c r="A509" t="s">
        <v>596</v>
      </c>
      <c r="B509" t="s">
        <v>597</v>
      </c>
      <c r="C509" t="s">
        <v>61</v>
      </c>
      <c r="D509" t="s">
        <v>454</v>
      </c>
      <c r="E509">
        <v>1236</v>
      </c>
      <c r="F509">
        <v>1400</v>
      </c>
      <c r="G509" t="s">
        <v>138</v>
      </c>
      <c r="H509">
        <v>0.68</v>
      </c>
      <c r="I509">
        <f>MAX('Min rate concentrations'!$L$3:$L$368)</f>
        <v>58.421240152220811</v>
      </c>
      <c r="J509">
        <f>MAX('Min rate concentrations'!AD:AD)</f>
        <v>40.397666062705881</v>
      </c>
      <c r="K509">
        <f t="shared" si="53"/>
        <v>11.816200877151696</v>
      </c>
      <c r="L509">
        <f t="shared" si="56"/>
        <v>8.1707772022857483</v>
      </c>
      <c r="M509">
        <f>IF((((0.326*F509^0.818)-(0.398*F509^0.85)/(1-H509)*H509)*(MAX('Min rate concentrations'!$P$3:$P$368)))/F509&gt;0, (((0.326*F509^0.818)-(0.398*F509^0.85)/(1-H509)*H509)*(MAX('Min rate concentrations'!$P$3:$P$368)))/F509, 0)</f>
        <v>0</v>
      </c>
      <c r="N509">
        <f>IF((((0.326*F509^0.818)-(0.398*F509^0.85)/(1-H509)*H509)*(MAX('Min rate concentrations'!$Q$3:$Q$368)))/F509&gt; 0, (((0.326*F509^0.818)-(0.398*F509^0.85)/(1-H509)*H509)*(MAX('Min rate concentrations'!$Q$3:$Q$368)))/F509, 0)</f>
        <v>0</v>
      </c>
      <c r="O509">
        <f>((MAX('Min rate concentrations'!$F$3:$F$368))*0.62*6.01*8*(12.3*F509^0.65)*0.079*0.1/F509)*inputs!$E$73/inputs!$E$74</f>
        <v>3.5745815872932107</v>
      </c>
      <c r="P509">
        <f>((MAX('Min rate concentrations'!Y:Y))*0.62*6.01*8*(12.3*F509^0.65)*0.079*0.1/F509)*inputs!$E$73/inputs!$E$74</f>
        <v>1.1915271957644034</v>
      </c>
      <c r="Q509">
        <f>(inputs!$C$7*11.2*(12.3*F509^0.65)*0.5/F509)*inputs!$E$73/inputs!$E$74</f>
        <v>0.62964568680851429</v>
      </c>
      <c r="R509">
        <f>(60*379*((F509/1000)^0.8)*3*24*(MAX('Min rate concentrations'!$R$3:$R$368))/F509)*(inputs!$E$73/inputs!$E$75)</f>
        <v>1.7200926921716615E-3</v>
      </c>
      <c r="S509">
        <f>(IF(inputs!$C$6="aerial",((0.025*0.112*inputs!$C$7/3.3)*(3*60*379*((F509/1000)^0.8))*MAX(inputs!$H$14:$H$16))/F509,((0.0083*0.112*inputs!$C$7/1)*(3*60*379*((F509/1000)^0.8))*MAX(inputs!$H$14:$H$16))/F509))*(inputs!E$75/inputs!$E$73)</f>
        <v>9.4864168769134231E-3</v>
      </c>
      <c r="T509">
        <f>IF((((inputs!$P$12/(V509/MAX(K509:S509)))^(1/inputs!$O$12))-1)/inputs!$N$12&lt;0, 0, IF((((inputs!$P$12/(V509/MAX(K509:S509)))^(1/inputs!$O$12))-1)/inputs!$N$12&gt;inputs!$H$17, inputs!$H$17, (((inputs!$P$12/(V509/MAX(K509:S509)))^(1/inputs!$O$12))-1)/inputs!$N$12))</f>
        <v>0</v>
      </c>
      <c r="U509">
        <f>IF((((inputs!$P$12/(X509/MAX(K509:S509)))^(1/inputs!$O$12))-1)/inputs!$N$12&lt;0, 0, IF((((inputs!$P$12/(X509/MAX(K509:S509)))^(1/inputs!$O$12))-1)/inputs!$N$12&gt;inputs!$H$17, inputs!$H$17, (((inputs!$P$12/(X509/MAX(K509:S509)))^(1/inputs!$O$12))-1)/inputs!$N$12))</f>
        <v>0</v>
      </c>
      <c r="V509">
        <f>inputs!$E$70*(F509/inputs!$F$70)^(0.25)</f>
        <v>6.8841681082754063</v>
      </c>
      <c r="W509">
        <f>inputs!$E$76*(inputs!$F$76/F509)^(0.25)</f>
        <v>0.24748737341529164</v>
      </c>
      <c r="X509">
        <f>inputs!$E$72*(inputs!$F$72/F509)^(0.25)</f>
        <v>36.300682387403803</v>
      </c>
      <c r="Y509" t="s">
        <v>13</v>
      </c>
      <c r="Z509">
        <f t="shared" si="50"/>
        <v>1.7164311927460822</v>
      </c>
      <c r="AA509">
        <f t="shared" si="51"/>
        <v>47.744661531979396</v>
      </c>
    </row>
    <row r="510" spans="1:27" x14ac:dyDescent="0.3">
      <c r="A510" t="s">
        <v>596</v>
      </c>
      <c r="B510" t="s">
        <v>597</v>
      </c>
      <c r="C510" t="s">
        <v>61</v>
      </c>
      <c r="D510" t="s">
        <v>454</v>
      </c>
      <c r="E510">
        <v>1236</v>
      </c>
      <c r="F510">
        <v>1400</v>
      </c>
      <c r="G510" t="s">
        <v>152</v>
      </c>
      <c r="H510">
        <v>0.77</v>
      </c>
      <c r="I510">
        <f>MAX('Min rate concentrations'!$G$3:$G$368)</f>
        <v>7.5</v>
      </c>
      <c r="J510">
        <f>MAX('Min rate concentrations'!Z:Z)</f>
        <v>3.5</v>
      </c>
      <c r="K510">
        <f t="shared" si="53"/>
        <v>2.1105249921516727</v>
      </c>
      <c r="L510">
        <f t="shared" si="56"/>
        <v>0.98491166300411404</v>
      </c>
      <c r="M510">
        <f>IF((((0.326*F510^0.818)-(0.398*F510^0.85)/(1-H510)*H510)*(MAX('Min rate concentrations'!$P$3:$P$368)))/F510&gt;0, (((0.326*F510^0.818)-(0.398*F510^0.85)/(1-H510)*H510)*(MAX('Min rate concentrations'!$P$3:$P$368)))/F510, 0)</f>
        <v>0</v>
      </c>
      <c r="N510">
        <f>IF((((0.326*F510^0.818)-(0.398*F510^0.85)/(1-H510)*H510)*(MAX('Min rate concentrations'!$Q$3:$Q$368)))/F510&gt; 0, (((0.326*F510^0.818)-(0.398*F510^0.85)/(1-H510)*H510)*(MAX('Min rate concentrations'!$Q$3:$Q$368)))/F510, 0)</f>
        <v>0</v>
      </c>
      <c r="O510">
        <f>((MAX('Min rate concentrations'!$F$3:$F$368))*0.62*6.01*8*(12.3*F510^0.65)*0.079*0.1/F510)*inputs!$E$73/inputs!$E$74</f>
        <v>3.5745815872932107</v>
      </c>
      <c r="P510">
        <f>((MAX('Min rate concentrations'!Y:Y))*0.62*6.01*8*(12.3*F510^0.65)*0.079*0.1/F510)*inputs!$E$73/inputs!$E$74</f>
        <v>1.1915271957644034</v>
      </c>
      <c r="Q510">
        <f>(inputs!$C$7*11.2*(12.3*F510^0.65)*0.5/F510)*inputs!$E$73/inputs!$E$74</f>
        <v>0.62964568680851429</v>
      </c>
      <c r="R510">
        <f>(60*379*((F510/1000)^0.8)*3*24*(MAX('Min rate concentrations'!$R$3:$R$368))/F510)*(inputs!$E$73/inputs!$E$75)</f>
        <v>1.7200926921716615E-3</v>
      </c>
      <c r="S510">
        <f>(IF(inputs!$C$6="aerial",((0.025*0.112*inputs!$C$7/3.3)*(3*60*379*((F510/1000)^0.8))*MAX(inputs!$H$14:$H$16))/F510,((0.0083*0.112*inputs!$C$7/1)*(3*60*379*((F510/1000)^0.8))*MAX(inputs!$H$14:$H$16))/F510))*(inputs!E$75/inputs!$E$73)</f>
        <v>9.4864168769134231E-3</v>
      </c>
      <c r="T510">
        <f>IF((((inputs!$P$12/(V510/MAX(K510:S510)))^(1/inputs!$O$12))-1)/inputs!$N$12&lt;0, 0, IF((((inputs!$P$12/(V510/MAX(K510:S510)))^(1/inputs!$O$12))-1)/inputs!$N$12&gt;inputs!$H$17, inputs!$H$17, (((inputs!$P$12/(V510/MAX(K510:S510)))^(1/inputs!$O$12))-1)/inputs!$N$12))</f>
        <v>0</v>
      </c>
      <c r="U510">
        <f>IF((((inputs!$P$12/(X510/MAX(K510:S510)))^(1/inputs!$O$12))-1)/inputs!$N$12&lt;0, 0, IF((((inputs!$P$12/(X510/MAX(K510:S510)))^(1/inputs!$O$12))-1)/inputs!$N$12&gt;inputs!$H$17, inputs!$H$17, (((inputs!$P$12/(X510/MAX(K510:S510)))^(1/inputs!$O$12))-1)/inputs!$N$12))</f>
        <v>0</v>
      </c>
      <c r="V510">
        <f>inputs!$E$70*(F510/inputs!$F$70)^(0.25)</f>
        <v>6.8841681082754063</v>
      </c>
      <c r="W510">
        <f>inputs!$E$76*(inputs!$F$76/F510)^(0.25)</f>
        <v>0.24748737341529164</v>
      </c>
      <c r="X510">
        <f>inputs!$E$72*(inputs!$F$72/F510)^(0.25)</f>
        <v>36.300682387403803</v>
      </c>
      <c r="Y510" t="s">
        <v>13</v>
      </c>
      <c r="Z510">
        <f t="shared" si="50"/>
        <v>0.51924670215363178</v>
      </c>
      <c r="AA510">
        <f t="shared" si="51"/>
        <v>14.443490744454868</v>
      </c>
    </row>
    <row r="511" spans="1:27" x14ac:dyDescent="0.3">
      <c r="A511" t="s">
        <v>596</v>
      </c>
      <c r="B511" t="s">
        <v>597</v>
      </c>
      <c r="C511" t="s">
        <v>61</v>
      </c>
      <c r="D511" t="s">
        <v>454</v>
      </c>
      <c r="E511">
        <v>1236</v>
      </c>
      <c r="F511">
        <v>1400</v>
      </c>
      <c r="G511" t="s">
        <v>169</v>
      </c>
      <c r="H511">
        <v>0.79</v>
      </c>
      <c r="I511">
        <f>MAX('Min rate concentrations'!$D$3:$D$368)</f>
        <v>120</v>
      </c>
      <c r="J511">
        <f>MAX('Min rate concentrations'!W:W)</f>
        <v>42.5</v>
      </c>
      <c r="K511">
        <f t="shared" si="53"/>
        <v>36.984437957705509</v>
      </c>
      <c r="L511">
        <f t="shared" si="56"/>
        <v>13.098655110020699</v>
      </c>
      <c r="M511">
        <f>IF((((0.326*F511^0.818)-(0.398*F511^0.85)/(1-H511)*H511)*(MAX('Min rate concentrations'!$P$3:$P$368)))/F511&gt;0, (((0.326*F511^0.818)-(0.398*F511^0.85)/(1-H511)*H511)*(MAX('Min rate concentrations'!$P$3:$P$368)))/F511, 0)</f>
        <v>0</v>
      </c>
      <c r="N511">
        <f>IF((((0.326*F511^0.818)-(0.398*F511^0.85)/(1-H511)*H511)*(MAX('Min rate concentrations'!$Q$3:$Q$368)))/F511&gt; 0, (((0.326*F511^0.818)-(0.398*F511^0.85)/(1-H511)*H511)*(MAX('Min rate concentrations'!$Q$3:$Q$368)))/F511, 0)</f>
        <v>0</v>
      </c>
      <c r="O511">
        <f>((MAX('Min rate concentrations'!$F$3:$F$368))*0.62*6.01*8*(12.3*F511^0.65)*0.079*0.1/F511)*inputs!$E$73/inputs!$E$74</f>
        <v>3.5745815872932107</v>
      </c>
      <c r="P511">
        <f>((MAX('Min rate concentrations'!Y:Y))*0.62*6.01*8*(12.3*F511^0.65)*0.079*0.1/F511)*inputs!$E$73/inputs!$E$74</f>
        <v>1.1915271957644034</v>
      </c>
      <c r="Q511">
        <f>(inputs!$C$7*11.2*(12.3*F511^0.65)*0.5/F511)*inputs!$E$73/inputs!$E$74</f>
        <v>0.62964568680851429</v>
      </c>
      <c r="R511">
        <f>(60*379*((F511/1000)^0.8)*3*24*(MAX('Min rate concentrations'!$R$3:$R$368))/F511)*(inputs!$E$73/inputs!$E$75)</f>
        <v>1.7200926921716615E-3</v>
      </c>
      <c r="S511">
        <f>(IF(inputs!$C$6="aerial",((0.025*0.112*inputs!$C$7/3.3)*(3*60*379*((F511/1000)^0.8))*MAX(inputs!$H$14:$H$16))/F511,((0.0083*0.112*inputs!$C$7/1)*(3*60*379*((F511/1000)^0.8))*MAX(inputs!$H$14:$H$16))/F511))*(inputs!E$75/inputs!$E$73)</f>
        <v>9.4864168769134231E-3</v>
      </c>
      <c r="T511">
        <f>IF((((inputs!$P$12/(V511/MAX(K511:S511)))^(1/inputs!$O$12))-1)/inputs!$N$12&lt;0, 0, IF((((inputs!$P$12/(V511/MAX(K511:S511)))^(1/inputs!$O$12))-1)/inputs!$N$12&gt;inputs!$H$17, inputs!$H$17, (((inputs!$P$12/(V511/MAX(K511:S511)))^(1/inputs!$O$12))-1)/inputs!$N$12))</f>
        <v>13.260364077107427</v>
      </c>
      <c r="U511">
        <f>IF((((inputs!$P$12/(X511/MAX(K511:S511)))^(1/inputs!$O$12))-1)/inputs!$N$12&lt;0, 0, IF((((inputs!$P$12/(X511/MAX(K511:S511)))^(1/inputs!$O$12))-1)/inputs!$N$12&gt;inputs!$H$17, inputs!$H$17, (((inputs!$P$12/(X511/MAX(K511:S511)))^(1/inputs!$O$12))-1)/inputs!$N$12))</f>
        <v>0</v>
      </c>
      <c r="V511">
        <f>inputs!$E$70*(F511/inputs!$F$70)^(0.25)</f>
        <v>6.8841681082754063</v>
      </c>
      <c r="W511">
        <f>inputs!$E$76*(inputs!$F$76/F511)^(0.25)</f>
        <v>0.24748737341529164</v>
      </c>
      <c r="X511">
        <f>inputs!$E$72*(inputs!$F$72/F511)^(0.25)</f>
        <v>36.300682387403803</v>
      </c>
      <c r="Y511" t="s">
        <v>13</v>
      </c>
      <c r="Z511">
        <f t="shared" si="50"/>
        <v>5.3723902984366108</v>
      </c>
      <c r="AA511">
        <f t="shared" si="51"/>
        <v>149.43969644723836</v>
      </c>
    </row>
    <row r="512" spans="1:27" x14ac:dyDescent="0.3">
      <c r="A512" t="s">
        <v>596</v>
      </c>
      <c r="B512" t="s">
        <v>597</v>
      </c>
      <c r="C512" t="s">
        <v>61</v>
      </c>
      <c r="D512" t="s">
        <v>454</v>
      </c>
      <c r="E512">
        <v>1236</v>
      </c>
      <c r="F512">
        <v>1400</v>
      </c>
      <c r="G512" t="s">
        <v>456</v>
      </c>
      <c r="H512">
        <v>0.68</v>
      </c>
      <c r="I512">
        <f>MAX('Min rate concentrations'!$J$3:$J$368)</f>
        <v>114.4108103430513</v>
      </c>
      <c r="J512">
        <f>MAX('Min rate concentrations'!AB:AB)</f>
        <v>40.520495329830666</v>
      </c>
      <c r="K512">
        <f t="shared" si="53"/>
        <v>23.140575482627927</v>
      </c>
      <c r="L512">
        <f t="shared" si="56"/>
        <v>8.1956204834307229</v>
      </c>
      <c r="M512">
        <f>IF((((0.326*F512^0.818)-(0.398*F512^0.85)/(1-H512)*H512)*(MAX('Min rate concentrations'!$P$3:$P$368)))/F512&gt;0, (((0.326*F512^0.818)-(0.398*F512^0.85)/(1-H512)*H512)*(MAX('Min rate concentrations'!$P$3:$P$368)))/F512, 0)</f>
        <v>0</v>
      </c>
      <c r="N512">
        <f>IF((((0.326*F512^0.818)-(0.398*F512^0.85)/(1-H512)*H512)*(MAX('Min rate concentrations'!$Q$3:$Q$368)))/F512&gt; 0, (((0.326*F512^0.818)-(0.398*F512^0.85)/(1-H512)*H512)*(MAX('Min rate concentrations'!$Q$3:$Q$368)))/F512, 0)</f>
        <v>0</v>
      </c>
      <c r="O512">
        <f>((MAX('Min rate concentrations'!$F$3:$F$368))*0.62*6.01*8*(12.3*F512^0.65)*0.079*0.1/F512)*inputs!$E$73/inputs!$E$74</f>
        <v>3.5745815872932107</v>
      </c>
      <c r="P512">
        <f>((MAX('Min rate concentrations'!Y:Y))*0.62*6.01*8*(12.3*F512^0.65)*0.079*0.1/F512)*inputs!$E$73/inputs!$E$74</f>
        <v>1.1915271957644034</v>
      </c>
      <c r="Q512">
        <f>(inputs!$C$7*11.2*(12.3*F512^0.65)*0.5/F512)*inputs!$E$73/inputs!$E$74</f>
        <v>0.62964568680851429</v>
      </c>
      <c r="R512">
        <f>(60*379*((F512/1000)^0.8)*3*24*(MAX('Min rate concentrations'!$R$3:$R$368))/F512)*(inputs!$E$73/inputs!$E$75)</f>
        <v>1.7200926921716615E-3</v>
      </c>
      <c r="S512">
        <f>(IF(inputs!$C$6="aerial",((0.025*0.112*inputs!$C$7/3.3)*(3*60*379*((F512/1000)^0.8))*MAX(inputs!$H$14:$H$16))/F512,((0.0083*0.112*inputs!$C$7/1)*(3*60*379*((F512/1000)^0.8))*MAX(inputs!$H$14:$H$16))/F512))*(inputs!E$75/inputs!$E$73)</f>
        <v>9.4864168769134231E-3</v>
      </c>
      <c r="T512">
        <f>IF((((inputs!$P$12/(V512/MAX(K512:S512)))^(1/inputs!$O$12))-1)/inputs!$N$12&lt;0, 0, IF((((inputs!$P$12/(V512/MAX(K512:S512)))^(1/inputs!$O$12))-1)/inputs!$N$12&gt;inputs!$H$17, inputs!$H$17, (((inputs!$P$12/(V512/MAX(K512:S512)))^(1/inputs!$O$12))-1)/inputs!$N$12))</f>
        <v>6.0109138970664153</v>
      </c>
      <c r="U512">
        <f>IF((((inputs!$P$12/(X512/MAX(K512:S512)))^(1/inputs!$O$12))-1)/inputs!$N$12&lt;0, 0, IF((((inputs!$P$12/(X512/MAX(K512:S512)))^(1/inputs!$O$12))-1)/inputs!$N$12&gt;inputs!$H$17, inputs!$H$17, (((inputs!$P$12/(X512/MAX(K512:S512)))^(1/inputs!$O$12))-1)/inputs!$N$12))</f>
        <v>0</v>
      </c>
      <c r="V512">
        <f>inputs!$E$70*(F512/inputs!$F$70)^(0.25)</f>
        <v>6.8841681082754063</v>
      </c>
      <c r="W512">
        <f>inputs!$E$76*(inputs!$F$76/F512)^(0.25)</f>
        <v>0.24748737341529164</v>
      </c>
      <c r="X512">
        <f>inputs!$E$72*(inputs!$F$72/F512)^(0.25)</f>
        <v>36.300682387403803</v>
      </c>
      <c r="Y512" t="s">
        <v>13</v>
      </c>
      <c r="Z512">
        <f t="shared" si="50"/>
        <v>3.3614192911429366</v>
      </c>
      <c r="AA512">
        <f t="shared" si="51"/>
        <v>93.502044824716407</v>
      </c>
    </row>
    <row r="513" spans="1:27" x14ac:dyDescent="0.3">
      <c r="A513" t="s">
        <v>596</v>
      </c>
      <c r="B513" t="s">
        <v>597</v>
      </c>
      <c r="C513" t="s">
        <v>61</v>
      </c>
      <c r="D513" t="s">
        <v>454</v>
      </c>
      <c r="E513">
        <v>1236</v>
      </c>
      <c r="F513">
        <v>1400</v>
      </c>
      <c r="G513" t="s">
        <v>145</v>
      </c>
      <c r="H513">
        <v>0.66</v>
      </c>
      <c r="I513">
        <f>MAX('Min rate concentrations'!$M$3:$M$368)</f>
        <v>2.8488184789681945</v>
      </c>
      <c r="J513">
        <f>MAX('Min rate concentrations'!AE:AE)</f>
        <v>1.9699276716269429</v>
      </c>
      <c r="K513">
        <f t="shared" si="53"/>
        <v>0.54230415589496261</v>
      </c>
      <c r="L513">
        <f t="shared" si="56"/>
        <v>0.37499755460821876</v>
      </c>
      <c r="M513">
        <f>IF((((0.326*F513^0.818)-(0.398*F513^0.85)/(1-H513)*H513)*(MAX('Min rate concentrations'!$P$3:$P$368)))/F513&gt;0, (((0.326*F513^0.818)-(0.398*F513^0.85)/(1-H513)*H513)*(MAX('Min rate concentrations'!$P$3:$P$368)))/F513, 0)</f>
        <v>0</v>
      </c>
      <c r="N513">
        <f>IF((((0.326*F513^0.818)-(0.398*F513^0.85)/(1-H513)*H513)*(MAX('Min rate concentrations'!$Q$3:$Q$368)))/F513&gt; 0, (((0.326*F513^0.818)-(0.398*F513^0.85)/(1-H513)*H513)*(MAX('Min rate concentrations'!$Q$3:$Q$368)))/F513, 0)</f>
        <v>0</v>
      </c>
      <c r="O513">
        <f>((MAX('Min rate concentrations'!$F$3:$F$368))*0.62*6.01*8*(12.3*F513^0.65)*0.079*0.1/F513)*inputs!$E$73/inputs!$E$74</f>
        <v>3.5745815872932107</v>
      </c>
      <c r="P513">
        <f>((MAX('Min rate concentrations'!Y:Y))*0.62*6.01*8*(12.3*F513^0.65)*0.079*0.1/F513)*inputs!$E$73/inputs!$E$74</f>
        <v>1.1915271957644034</v>
      </c>
      <c r="Q513">
        <f>(inputs!$C$7*11.2*(12.3*F513^0.65)*0.5/F513)*inputs!$E$73/inputs!$E$74</f>
        <v>0.62964568680851429</v>
      </c>
      <c r="R513">
        <f>(60*379*((F513/1000)^0.8)*3*24*(MAX('Min rate concentrations'!$R$3:$R$368))/F513)*(inputs!$E$73/inputs!$E$75)</f>
        <v>1.7200926921716615E-3</v>
      </c>
      <c r="S513">
        <f>(IF(inputs!$C$6="aerial",((0.025*0.112*inputs!$C$7/3.3)*(3*60*379*((F513/1000)^0.8))*MAX(inputs!$H$14:$H$16))/F513,((0.0083*0.112*inputs!$C$7/1)*(3*60*379*((F513/1000)^0.8))*MAX(inputs!$H$14:$H$16))/F513))*(inputs!E$75/inputs!$E$73)</f>
        <v>9.4864168769134231E-3</v>
      </c>
      <c r="T513">
        <f>IF((((inputs!$P$12/(V513/MAX(K513:S513)))^(1/inputs!$O$12))-1)/inputs!$N$12&lt;0, 0, IF((((inputs!$P$12/(V513/MAX(K513:S513)))^(1/inputs!$O$12))-1)/inputs!$N$12&gt;inputs!$H$17, inputs!$H$17, (((inputs!$P$12/(V513/MAX(K513:S513)))^(1/inputs!$O$12))-1)/inputs!$N$12))</f>
        <v>0</v>
      </c>
      <c r="U513">
        <f>IF((((inputs!$P$12/(X513/MAX(K513:S513)))^(1/inputs!$O$12))-1)/inputs!$N$12&lt;0, 0, IF((((inputs!$P$12/(X513/MAX(K513:S513)))^(1/inputs!$O$12))-1)/inputs!$N$12&gt;inputs!$H$17, inputs!$H$17, (((inputs!$P$12/(X513/MAX(K513:S513)))^(1/inputs!$O$12))-1)/inputs!$N$12))</f>
        <v>0</v>
      </c>
      <c r="V513">
        <f>inputs!$E$70*(F513/inputs!$F$70)^(0.25)</f>
        <v>6.8841681082754063</v>
      </c>
      <c r="W513">
        <f>inputs!$E$76*(inputs!$F$76/F513)^(0.25)</f>
        <v>0.24748737341529164</v>
      </c>
      <c r="X513">
        <f>inputs!$E$72*(inputs!$F$72/F513)^(0.25)</f>
        <v>36.300682387403803</v>
      </c>
      <c r="Y513" t="s">
        <v>13</v>
      </c>
      <c r="Z513">
        <f t="shared" si="50"/>
        <v>0.51924670215363178</v>
      </c>
      <c r="AA513">
        <f t="shared" si="51"/>
        <v>14.443490744454868</v>
      </c>
    </row>
    <row r="514" spans="1:27" x14ac:dyDescent="0.3">
      <c r="A514" t="s">
        <v>594</v>
      </c>
      <c r="B514" t="s">
        <v>595</v>
      </c>
      <c r="C514" t="s">
        <v>61</v>
      </c>
      <c r="D514" t="s">
        <v>454</v>
      </c>
      <c r="E514">
        <v>1237</v>
      </c>
      <c r="F514">
        <v>1400</v>
      </c>
      <c r="G514" t="s">
        <v>182</v>
      </c>
      <c r="H514">
        <v>0.85</v>
      </c>
      <c r="I514">
        <f>MAX('Min rate concentrations'!$M$3:$M$368)</f>
        <v>2.8488184789681945</v>
      </c>
      <c r="J514">
        <f>MAX('Min rate concentrations'!AE:AE)</f>
        <v>1.9699276716269429</v>
      </c>
      <c r="K514">
        <f t="shared" si="53"/>
        <v>1.2292227533619149</v>
      </c>
      <c r="L514">
        <f t="shared" si="56"/>
        <v>0.84999445711196242</v>
      </c>
      <c r="M514">
        <f>IF((((0.326*F514^0.818)-(0.398*F514^0.85)/(1-H514)*H514)*(MAX('Min rate concentrations'!$P$3:$P$368)))/F514&gt;0, (((0.326*F514^0.818)-(0.398*F514^0.85)/(1-H514)*H514)*(MAX('Min rate concentrations'!$P$3:$P$368)))/F514, 0)</f>
        <v>0</v>
      </c>
      <c r="N514">
        <f>IF((((0.326*F514^0.818)-(0.398*F514^0.85)/(1-H514)*H514)*(MAX('Min rate concentrations'!$Q$3:$Q$368)))/F514&gt; 0, (((0.326*F514^0.818)-(0.398*F514^0.85)/(1-H514)*H514)*(MAX('Min rate concentrations'!$Q$3:$Q$368)))/F514, 0)</f>
        <v>0</v>
      </c>
      <c r="O514">
        <f>((MAX('Min rate concentrations'!$F$3:$F$368))*0.62*6.01*8*(12.3*F514^0.65)*0.079*0.1/F514)*inputs!$E$73/inputs!$E$74</f>
        <v>3.5745815872932107</v>
      </c>
      <c r="P514">
        <f>((MAX('Min rate concentrations'!Y:Y))*0.62*6.01*8*(12.3*F514^0.65)*0.079*0.1/F514)*inputs!$E$73/inputs!$E$74</f>
        <v>1.1915271957644034</v>
      </c>
      <c r="Q514">
        <f>(inputs!$C$7*11.2*(12.3*F514^0.65)*0.5/F514)*inputs!$E$73/inputs!$E$74</f>
        <v>0.62964568680851429</v>
      </c>
      <c r="R514">
        <f>(60*379*((F514/1000)^0.8)*3*24*(MAX('Min rate concentrations'!$R$3:$R$368))/F514)*(inputs!$E$73/inputs!$E$75)</f>
        <v>1.7200926921716615E-3</v>
      </c>
      <c r="S514">
        <f>(IF(inputs!$C$6="aerial",((0.025*0.112*inputs!$C$7/3.3)*(3*60*379*((F514/1000)^0.8))*MAX(inputs!$H$14:$H$16))/F514,((0.0083*0.112*inputs!$C$7/1)*(3*60*379*((F514/1000)^0.8))*MAX(inputs!$H$14:$H$16))/F514))*(inputs!E$75/inputs!$E$73)</f>
        <v>9.4864168769134231E-3</v>
      </c>
      <c r="T514">
        <f>IF((((inputs!$P$12/(V514/MAX(K514:S514)))^(1/inputs!$O$12))-1)/inputs!$N$12&lt;0, 0, IF((((inputs!$P$12/(V514/MAX(K514:S514)))^(1/inputs!$O$12))-1)/inputs!$N$12&gt;inputs!$H$17, inputs!$H$17, (((inputs!$P$12/(V514/MAX(K514:S514)))^(1/inputs!$O$12))-1)/inputs!$N$12))</f>
        <v>0</v>
      </c>
      <c r="U514">
        <f>IF((((inputs!$P$12/(X514/MAX(K514:S514)))^(1/inputs!$O$12))-1)/inputs!$N$12&lt;0, 0, IF((((inputs!$P$12/(X514/MAX(K514:S514)))^(1/inputs!$O$12))-1)/inputs!$N$12&gt;inputs!$H$17, inputs!$H$17, (((inputs!$P$12/(X514/MAX(K514:S514)))^(1/inputs!$O$12))-1)/inputs!$N$12))</f>
        <v>0</v>
      </c>
      <c r="V514">
        <f>inputs!$E$70*(F514/inputs!$F$70)^(0.25)</f>
        <v>6.8841681082754063</v>
      </c>
      <c r="W514">
        <f>inputs!$E$76*(inputs!$F$76/F514)^(0.25)</f>
        <v>0.24748737341529164</v>
      </c>
      <c r="X514">
        <f>inputs!$E$72*(inputs!$F$72/F514)^(0.25)</f>
        <v>36.300682387403803</v>
      </c>
      <c r="Y514" t="s">
        <v>13</v>
      </c>
      <c r="Z514">
        <f t="shared" si="50"/>
        <v>0.51924670215363178</v>
      </c>
      <c r="AA514">
        <f t="shared" si="51"/>
        <v>14.443490744454868</v>
      </c>
    </row>
    <row r="515" spans="1:27" x14ac:dyDescent="0.3">
      <c r="A515" t="s">
        <v>594</v>
      </c>
      <c r="B515" t="s">
        <v>595</v>
      </c>
      <c r="C515" t="s">
        <v>61</v>
      </c>
      <c r="D515" t="s">
        <v>454</v>
      </c>
      <c r="E515">
        <v>1237</v>
      </c>
      <c r="F515">
        <v>1400</v>
      </c>
      <c r="G515" t="s">
        <v>142</v>
      </c>
      <c r="H515">
        <v>0.69</v>
      </c>
      <c r="I515">
        <f>MAX('Min rate concentrations'!$H$3:$H$368)</f>
        <v>47</v>
      </c>
      <c r="J515">
        <f>MAX('Min rate concentrations'!AA:AA)</f>
        <v>32.5</v>
      </c>
      <c r="K515">
        <f t="shared" si="53"/>
        <v>9.8128065226492804</v>
      </c>
      <c r="L515">
        <f t="shared" si="56"/>
        <v>6.7854513188532266</v>
      </c>
      <c r="M515">
        <f>IF((((0.326*F515^0.818)-(0.398*F515^0.85)/(1-H515)*H515)*(MAX('Min rate concentrations'!$P$3:$P$368)))/F515&gt;0, (((0.326*F515^0.818)-(0.398*F515^0.85)/(1-H515)*H515)*(MAX('Min rate concentrations'!$P$3:$P$368)))/F515, 0)</f>
        <v>0</v>
      </c>
      <c r="N515">
        <f>IF((((0.326*F515^0.818)-(0.398*F515^0.85)/(1-H515)*H515)*(MAX('Min rate concentrations'!$Q$3:$Q$368)))/F515&gt; 0, (((0.326*F515^0.818)-(0.398*F515^0.85)/(1-H515)*H515)*(MAX('Min rate concentrations'!$Q$3:$Q$368)))/F515, 0)</f>
        <v>0</v>
      </c>
      <c r="O515">
        <f>((MAX('Min rate concentrations'!$F$3:$F$368))*0.62*6.01*8*(12.3*F515^0.65)*0.079*0.1/F515)*inputs!$E$73/inputs!$E$74</f>
        <v>3.5745815872932107</v>
      </c>
      <c r="P515">
        <f>((MAX('Min rate concentrations'!Y:Y))*0.62*6.01*8*(12.3*F515^0.65)*0.079*0.1/F515)*inputs!$E$73/inputs!$E$74</f>
        <v>1.1915271957644034</v>
      </c>
      <c r="Q515">
        <f>(inputs!$C$7*11.2*(12.3*F515^0.65)*0.5/F515)*inputs!$E$73/inputs!$E$74</f>
        <v>0.62964568680851429</v>
      </c>
      <c r="R515">
        <f>(60*379*((F515/1000)^0.8)*3*24*(MAX('Min rate concentrations'!$R$3:$R$368))/F515)*(inputs!$E$73/inputs!$E$75)</f>
        <v>1.7200926921716615E-3</v>
      </c>
      <c r="S515">
        <f>(IF(inputs!$C$6="aerial",((0.025*0.112*inputs!$C$7/3.3)*(3*60*379*((F515/1000)^0.8))*MAX(inputs!$H$14:$H$16))/F515,((0.0083*0.112*inputs!$C$7/1)*(3*60*379*((F515/1000)^0.8))*MAX(inputs!$H$14:$H$16))/F515))*(inputs!E$75/inputs!$E$73)</f>
        <v>9.4864168769134231E-3</v>
      </c>
      <c r="T515">
        <f>IF((((inputs!$P$12/(V515/MAX(K515:S515)))^(1/inputs!$O$12))-1)/inputs!$N$12&lt;0, 0, IF((((inputs!$P$12/(V515/MAX(K515:S515)))^(1/inputs!$O$12))-1)/inputs!$N$12&gt;inputs!$H$17, inputs!$H$17, (((inputs!$P$12/(V515/MAX(K515:S515)))^(1/inputs!$O$12))-1)/inputs!$N$12))</f>
        <v>0</v>
      </c>
      <c r="U515">
        <f>IF((((inputs!$P$12/(X515/MAX(K515:S515)))^(1/inputs!$O$12))-1)/inputs!$N$12&lt;0, 0, IF((((inputs!$P$12/(X515/MAX(K515:S515)))^(1/inputs!$O$12))-1)/inputs!$N$12&gt;inputs!$H$17, inputs!$H$17, (((inputs!$P$12/(X515/MAX(K515:S515)))^(1/inputs!$O$12))-1)/inputs!$N$12))</f>
        <v>0</v>
      </c>
      <c r="V515">
        <f>inputs!$E$70*(F515/inputs!$F$70)^(0.25)</f>
        <v>6.8841681082754063</v>
      </c>
      <c r="W515">
        <f>inputs!$E$76*(inputs!$F$76/F515)^(0.25)</f>
        <v>0.24748737341529164</v>
      </c>
      <c r="X515">
        <f>inputs!$E$72*(inputs!$F$72/F515)^(0.25)</f>
        <v>36.300682387403803</v>
      </c>
      <c r="Y515" t="s">
        <v>13</v>
      </c>
      <c r="Z515">
        <f t="shared" si="50"/>
        <v>1.4254164582142292</v>
      </c>
      <c r="AA515">
        <f t="shared" si="51"/>
        <v>39.649725912210805</v>
      </c>
    </row>
    <row r="516" spans="1:27" x14ac:dyDescent="0.3">
      <c r="A516" t="s">
        <v>594</v>
      </c>
      <c r="B516" t="s">
        <v>595</v>
      </c>
      <c r="C516" t="s">
        <v>61</v>
      </c>
      <c r="D516" t="s">
        <v>454</v>
      </c>
      <c r="E516">
        <v>1237</v>
      </c>
      <c r="F516">
        <v>1400</v>
      </c>
      <c r="G516" t="s">
        <v>164</v>
      </c>
      <c r="H516">
        <v>0.78</v>
      </c>
      <c r="I516">
        <f>inputs!$C$65*(inputs!$C$62/1000)</f>
        <v>0.82000000000000006</v>
      </c>
      <c r="J516">
        <f>inputs!$C$65*(inputs!$C$61/1000)</f>
        <v>0.25</v>
      </c>
      <c r="K516">
        <f t="shared" si="53"/>
        <v>0.24123940213321549</v>
      </c>
      <c r="L516">
        <f t="shared" si="56"/>
        <v>7.3548598211346169E-2</v>
      </c>
      <c r="M516">
        <f>IF((((0.326*F516^0.818)-(0.398*F516^0.85)/(1-H516)*H516)*(MAX('Min rate concentrations'!$P$3:$P$368)))/F516&gt;0, (((0.326*F516^0.818)-(0.398*F516^0.85)/(1-H516)*H516)*(MAX('Min rate concentrations'!$P$3:$P$368)))/F516, 0)</f>
        <v>0</v>
      </c>
      <c r="N516">
        <f>IF((((0.326*F516^0.818)-(0.398*F516^0.85)/(1-H516)*H516)*(MAX('Min rate concentrations'!$Q$3:$Q$368)))/F516&gt; 0, (((0.326*F516^0.818)-(0.398*F516^0.85)/(1-H516)*H516)*(MAX('Min rate concentrations'!$Q$3:$Q$368)))/F516, 0)</f>
        <v>0</v>
      </c>
      <c r="O516">
        <f>((MAX('Min rate concentrations'!$F$3:$F$368))*0.62*6.01*8*(12.3*F516^0.65)*0.079*0.1/F516)*inputs!$E$73/inputs!$E$74</f>
        <v>3.5745815872932107</v>
      </c>
      <c r="P516">
        <f>((MAX('Min rate concentrations'!Y:Y))*0.62*6.01*8*(12.3*F516^0.65)*0.079*0.1/F516)*inputs!$E$73/inputs!$E$74</f>
        <v>1.1915271957644034</v>
      </c>
      <c r="Q516">
        <f>(inputs!$C$7*11.2*(12.3*F516^0.65)*0.5/F516)*inputs!$E$73/inputs!$E$74</f>
        <v>0.62964568680851429</v>
      </c>
      <c r="R516">
        <f>(60*379*((F516/1000)^0.8)*3*24*(MAX('Min rate concentrations'!$R$3:$R$368))/F516)*(inputs!$E$73/inputs!$E$75)</f>
        <v>1.7200926921716615E-3</v>
      </c>
      <c r="S516">
        <f>(IF(inputs!$C$6="aerial",((0.025*0.112*inputs!$C$7/3.3)*(3*60*379*((F516/1000)^0.8))*MAX(inputs!$H$14:$H$16))/F516,((0.0083*0.112*inputs!$C$7/1)*(3*60*379*((F516/1000)^0.8))*MAX(inputs!$H$14:$H$16))/F516))*(inputs!E$75/inputs!$E$73)</f>
        <v>9.4864168769134231E-3</v>
      </c>
      <c r="T516">
        <f>IF((((inputs!$P$12/(V516/MAX(K516:S516)))^(1/inputs!$O$12))-1)/inputs!$N$12&lt;0, 0, IF((((inputs!$P$12/(V516/MAX(K516:S516)))^(1/inputs!$O$12))-1)/inputs!$N$12&gt;inputs!$H$17, inputs!$H$17, (((inputs!$P$12/(V516/MAX(K516:S516)))^(1/inputs!$O$12))-1)/inputs!$N$12))</f>
        <v>0</v>
      </c>
      <c r="U516">
        <f>IF((((inputs!$P$12/(X516/MAX(K516:S516)))^(1/inputs!$O$12))-1)/inputs!$N$12&lt;0, 0, IF((((inputs!$P$12/(X516/MAX(K516:S516)))^(1/inputs!$O$12))-1)/inputs!$N$12&gt;inputs!$H$17, inputs!$H$17, (((inputs!$P$12/(X516/MAX(K516:S516)))^(1/inputs!$O$12))-1)/inputs!$N$12))</f>
        <v>0</v>
      </c>
      <c r="V516">
        <f>inputs!$E$70*(F516/inputs!$F$70)^(0.25)</f>
        <v>6.8841681082754063</v>
      </c>
      <c r="W516">
        <f>inputs!$E$76*(inputs!$F$76/F516)^(0.25)</f>
        <v>0.24748737341529164</v>
      </c>
      <c r="X516">
        <f>inputs!$E$72*(inputs!$F$72/F516)^(0.25)</f>
        <v>36.300682387403803</v>
      </c>
      <c r="Y516" t="s">
        <v>13</v>
      </c>
      <c r="Z516">
        <f t="shared" ref="Z516:Z579" si="57">MAX(K516:S516)/V516</f>
        <v>0.51924670215363178</v>
      </c>
      <c r="AA516">
        <f t="shared" ref="AA516:AA579" si="58">MAX(K516:S516)/W516</f>
        <v>14.443490744454868</v>
      </c>
    </row>
    <row r="517" spans="1:27" x14ac:dyDescent="0.3">
      <c r="A517" t="s">
        <v>594</v>
      </c>
      <c r="B517" t="s">
        <v>595</v>
      </c>
      <c r="C517" t="s">
        <v>61</v>
      </c>
      <c r="D517" t="s">
        <v>454</v>
      </c>
      <c r="E517">
        <v>1237</v>
      </c>
      <c r="F517">
        <v>1400</v>
      </c>
      <c r="G517" t="s">
        <v>138</v>
      </c>
      <c r="H517">
        <v>0.68</v>
      </c>
      <c r="I517">
        <f>MAX('Min rate concentrations'!$L$3:$L$368)</f>
        <v>58.421240152220811</v>
      </c>
      <c r="J517">
        <f>MAX('Min rate concentrations'!AD:AD)</f>
        <v>40.397666062705881</v>
      </c>
      <c r="K517">
        <f t="shared" si="53"/>
        <v>11.816200877151696</v>
      </c>
      <c r="L517">
        <f t="shared" si="56"/>
        <v>8.1707772022857483</v>
      </c>
      <c r="M517">
        <f>IF((((0.326*F517^0.818)-(0.398*F517^0.85)/(1-H517)*H517)*(MAX('Min rate concentrations'!$P$3:$P$368)))/F517&gt;0, (((0.326*F517^0.818)-(0.398*F517^0.85)/(1-H517)*H517)*(MAX('Min rate concentrations'!$P$3:$P$368)))/F517, 0)</f>
        <v>0</v>
      </c>
      <c r="N517">
        <f>IF((((0.326*F517^0.818)-(0.398*F517^0.85)/(1-H517)*H517)*(MAX('Min rate concentrations'!$Q$3:$Q$368)))/F517&gt; 0, (((0.326*F517^0.818)-(0.398*F517^0.85)/(1-H517)*H517)*(MAX('Min rate concentrations'!$Q$3:$Q$368)))/F517, 0)</f>
        <v>0</v>
      </c>
      <c r="O517">
        <f>((MAX('Min rate concentrations'!$F$3:$F$368))*0.62*6.01*8*(12.3*F517^0.65)*0.079*0.1/F517)*inputs!$E$73/inputs!$E$74</f>
        <v>3.5745815872932107</v>
      </c>
      <c r="P517">
        <f>((MAX('Min rate concentrations'!Y:Y))*0.62*6.01*8*(12.3*F517^0.65)*0.079*0.1/F517)*inputs!$E$73/inputs!$E$74</f>
        <v>1.1915271957644034</v>
      </c>
      <c r="Q517">
        <f>(inputs!$C$7*11.2*(12.3*F517^0.65)*0.5/F517)*inputs!$E$73/inputs!$E$74</f>
        <v>0.62964568680851429</v>
      </c>
      <c r="R517">
        <f>(60*379*((F517/1000)^0.8)*3*24*(MAX('Min rate concentrations'!$R$3:$R$368))/F517)*(inputs!$E$73/inputs!$E$75)</f>
        <v>1.7200926921716615E-3</v>
      </c>
      <c r="S517">
        <f>(IF(inputs!$C$6="aerial",((0.025*0.112*inputs!$C$7/3.3)*(3*60*379*((F517/1000)^0.8))*MAX(inputs!$H$14:$H$16))/F517,((0.0083*0.112*inputs!$C$7/1)*(3*60*379*((F517/1000)^0.8))*MAX(inputs!$H$14:$H$16))/F517))*(inputs!E$75/inputs!$E$73)</f>
        <v>9.4864168769134231E-3</v>
      </c>
      <c r="T517">
        <f>IF((((inputs!$P$12/(V517/MAX(K517:S517)))^(1/inputs!$O$12))-1)/inputs!$N$12&lt;0, 0, IF((((inputs!$P$12/(V517/MAX(K517:S517)))^(1/inputs!$O$12))-1)/inputs!$N$12&gt;inputs!$H$17, inputs!$H$17, (((inputs!$P$12/(V517/MAX(K517:S517)))^(1/inputs!$O$12))-1)/inputs!$N$12))</f>
        <v>0</v>
      </c>
      <c r="U517">
        <f>IF((((inputs!$P$12/(X517/MAX(K517:S517)))^(1/inputs!$O$12))-1)/inputs!$N$12&lt;0, 0, IF((((inputs!$P$12/(X517/MAX(K517:S517)))^(1/inputs!$O$12))-1)/inputs!$N$12&gt;inputs!$H$17, inputs!$H$17, (((inputs!$P$12/(X517/MAX(K517:S517)))^(1/inputs!$O$12))-1)/inputs!$N$12))</f>
        <v>0</v>
      </c>
      <c r="V517">
        <f>inputs!$E$70*(F517/inputs!$F$70)^(0.25)</f>
        <v>6.8841681082754063</v>
      </c>
      <c r="W517">
        <f>inputs!$E$76*(inputs!$F$76/F517)^(0.25)</f>
        <v>0.24748737341529164</v>
      </c>
      <c r="X517">
        <f>inputs!$E$72*(inputs!$F$72/F517)^(0.25)</f>
        <v>36.300682387403803</v>
      </c>
      <c r="Y517" t="s">
        <v>13</v>
      </c>
      <c r="Z517">
        <f t="shared" si="57"/>
        <v>1.7164311927460822</v>
      </c>
      <c r="AA517">
        <f t="shared" si="58"/>
        <v>47.744661531979396</v>
      </c>
    </row>
    <row r="518" spans="1:27" x14ac:dyDescent="0.3">
      <c r="A518" t="s">
        <v>594</v>
      </c>
      <c r="B518" t="s">
        <v>595</v>
      </c>
      <c r="C518" t="s">
        <v>61</v>
      </c>
      <c r="D518" t="s">
        <v>454</v>
      </c>
      <c r="E518">
        <v>1237</v>
      </c>
      <c r="F518">
        <v>1400</v>
      </c>
      <c r="G518" t="s">
        <v>152</v>
      </c>
      <c r="H518">
        <v>0.77</v>
      </c>
      <c r="I518">
        <f>MAX('Min rate concentrations'!$G$3:$G$368)</f>
        <v>7.5</v>
      </c>
      <c r="J518">
        <f>MAX('Min rate concentrations'!Z:Z)</f>
        <v>3.5</v>
      </c>
      <c r="K518">
        <f t="shared" si="53"/>
        <v>2.1105249921516727</v>
      </c>
      <c r="L518">
        <f t="shared" si="56"/>
        <v>0.98491166300411404</v>
      </c>
      <c r="M518">
        <f>IF((((0.326*F518^0.818)-(0.398*F518^0.85)/(1-H518)*H518)*(MAX('Min rate concentrations'!$P$3:$P$368)))/F518&gt;0, (((0.326*F518^0.818)-(0.398*F518^0.85)/(1-H518)*H518)*(MAX('Min rate concentrations'!$P$3:$P$368)))/F518, 0)</f>
        <v>0</v>
      </c>
      <c r="N518">
        <f>IF((((0.326*F518^0.818)-(0.398*F518^0.85)/(1-H518)*H518)*(MAX('Min rate concentrations'!$Q$3:$Q$368)))/F518&gt; 0, (((0.326*F518^0.818)-(0.398*F518^0.85)/(1-H518)*H518)*(MAX('Min rate concentrations'!$Q$3:$Q$368)))/F518, 0)</f>
        <v>0</v>
      </c>
      <c r="O518">
        <f>((MAX('Min rate concentrations'!$F$3:$F$368))*0.62*6.01*8*(12.3*F518^0.65)*0.079*0.1/F518)*inputs!$E$73/inputs!$E$74</f>
        <v>3.5745815872932107</v>
      </c>
      <c r="P518">
        <f>((MAX('Min rate concentrations'!Y:Y))*0.62*6.01*8*(12.3*F518^0.65)*0.079*0.1/F518)*inputs!$E$73/inputs!$E$74</f>
        <v>1.1915271957644034</v>
      </c>
      <c r="Q518">
        <f>(inputs!$C$7*11.2*(12.3*F518^0.65)*0.5/F518)*inputs!$E$73/inputs!$E$74</f>
        <v>0.62964568680851429</v>
      </c>
      <c r="R518">
        <f>(60*379*((F518/1000)^0.8)*3*24*(MAX('Min rate concentrations'!$R$3:$R$368))/F518)*(inputs!$E$73/inputs!$E$75)</f>
        <v>1.7200926921716615E-3</v>
      </c>
      <c r="S518">
        <f>(IF(inputs!$C$6="aerial",((0.025*0.112*inputs!$C$7/3.3)*(3*60*379*((F518/1000)^0.8))*MAX(inputs!$H$14:$H$16))/F518,((0.0083*0.112*inputs!$C$7/1)*(3*60*379*((F518/1000)^0.8))*MAX(inputs!$H$14:$H$16))/F518))*(inputs!E$75/inputs!$E$73)</f>
        <v>9.4864168769134231E-3</v>
      </c>
      <c r="T518">
        <f>IF((((inputs!$P$12/(V518/MAX(K518:S518)))^(1/inputs!$O$12))-1)/inputs!$N$12&lt;0, 0, IF((((inputs!$P$12/(V518/MAX(K518:S518)))^(1/inputs!$O$12))-1)/inputs!$N$12&gt;inputs!$H$17, inputs!$H$17, (((inputs!$P$12/(V518/MAX(K518:S518)))^(1/inputs!$O$12))-1)/inputs!$N$12))</f>
        <v>0</v>
      </c>
      <c r="U518">
        <f>IF((((inputs!$P$12/(X518/MAX(K518:S518)))^(1/inputs!$O$12))-1)/inputs!$N$12&lt;0, 0, IF((((inputs!$P$12/(X518/MAX(K518:S518)))^(1/inputs!$O$12))-1)/inputs!$N$12&gt;inputs!$H$17, inputs!$H$17, (((inputs!$P$12/(X518/MAX(K518:S518)))^(1/inputs!$O$12))-1)/inputs!$N$12))</f>
        <v>0</v>
      </c>
      <c r="V518">
        <f>inputs!$E$70*(F518/inputs!$F$70)^(0.25)</f>
        <v>6.8841681082754063</v>
      </c>
      <c r="W518">
        <f>inputs!$E$76*(inputs!$F$76/F518)^(0.25)</f>
        <v>0.24748737341529164</v>
      </c>
      <c r="X518">
        <f>inputs!$E$72*(inputs!$F$72/F518)^(0.25)</f>
        <v>36.300682387403803</v>
      </c>
      <c r="Y518" t="s">
        <v>13</v>
      </c>
      <c r="Z518">
        <f t="shared" si="57"/>
        <v>0.51924670215363178</v>
      </c>
      <c r="AA518">
        <f t="shared" si="58"/>
        <v>14.443490744454868</v>
      </c>
    </row>
    <row r="519" spans="1:27" x14ac:dyDescent="0.3">
      <c r="A519" t="s">
        <v>594</v>
      </c>
      <c r="B519" t="s">
        <v>595</v>
      </c>
      <c r="C519" t="s">
        <v>61</v>
      </c>
      <c r="D519" t="s">
        <v>454</v>
      </c>
      <c r="E519">
        <v>1237</v>
      </c>
      <c r="F519">
        <v>1400</v>
      </c>
      <c r="G519" t="s">
        <v>169</v>
      </c>
      <c r="H519">
        <v>0.79</v>
      </c>
      <c r="I519">
        <f>MAX('Min rate concentrations'!$D$3:$D$368)</f>
        <v>120</v>
      </c>
      <c r="J519">
        <f>MAX('Min rate concentrations'!W:W)</f>
        <v>42.5</v>
      </c>
      <c r="K519">
        <f t="shared" si="53"/>
        <v>36.984437957705509</v>
      </c>
      <c r="L519">
        <f t="shared" si="56"/>
        <v>13.098655110020699</v>
      </c>
      <c r="M519">
        <f>IF((((0.326*F519^0.818)-(0.398*F519^0.85)/(1-H519)*H519)*(MAX('Min rate concentrations'!$P$3:$P$368)))/F519&gt;0, (((0.326*F519^0.818)-(0.398*F519^0.85)/(1-H519)*H519)*(MAX('Min rate concentrations'!$P$3:$P$368)))/F519, 0)</f>
        <v>0</v>
      </c>
      <c r="N519">
        <f>IF((((0.326*F519^0.818)-(0.398*F519^0.85)/(1-H519)*H519)*(MAX('Min rate concentrations'!$Q$3:$Q$368)))/F519&gt; 0, (((0.326*F519^0.818)-(0.398*F519^0.85)/(1-H519)*H519)*(MAX('Min rate concentrations'!$Q$3:$Q$368)))/F519, 0)</f>
        <v>0</v>
      </c>
      <c r="O519">
        <f>((MAX('Min rate concentrations'!$F$3:$F$368))*0.62*6.01*8*(12.3*F519^0.65)*0.079*0.1/F519)*inputs!$E$73/inputs!$E$74</f>
        <v>3.5745815872932107</v>
      </c>
      <c r="P519">
        <f>((MAX('Min rate concentrations'!Y:Y))*0.62*6.01*8*(12.3*F519^0.65)*0.079*0.1/F519)*inputs!$E$73/inputs!$E$74</f>
        <v>1.1915271957644034</v>
      </c>
      <c r="Q519">
        <f>(inputs!$C$7*11.2*(12.3*F519^0.65)*0.5/F519)*inputs!$E$73/inputs!$E$74</f>
        <v>0.62964568680851429</v>
      </c>
      <c r="R519">
        <f>(60*379*((F519/1000)^0.8)*3*24*(MAX('Min rate concentrations'!$R$3:$R$368))/F519)*(inputs!$E$73/inputs!$E$75)</f>
        <v>1.7200926921716615E-3</v>
      </c>
      <c r="S519">
        <f>(IF(inputs!$C$6="aerial",((0.025*0.112*inputs!$C$7/3.3)*(3*60*379*((F519/1000)^0.8))*MAX(inputs!$H$14:$H$16))/F519,((0.0083*0.112*inputs!$C$7/1)*(3*60*379*((F519/1000)^0.8))*MAX(inputs!$H$14:$H$16))/F519))*(inputs!E$75/inputs!$E$73)</f>
        <v>9.4864168769134231E-3</v>
      </c>
      <c r="T519">
        <f>IF((((inputs!$P$12/(V519/MAX(K519:S519)))^(1/inputs!$O$12))-1)/inputs!$N$12&lt;0, 0, IF((((inputs!$P$12/(V519/MAX(K519:S519)))^(1/inputs!$O$12))-1)/inputs!$N$12&gt;inputs!$H$17, inputs!$H$17, (((inputs!$P$12/(V519/MAX(K519:S519)))^(1/inputs!$O$12))-1)/inputs!$N$12))</f>
        <v>13.260364077107427</v>
      </c>
      <c r="U519">
        <f>IF((((inputs!$P$12/(X519/MAX(K519:S519)))^(1/inputs!$O$12))-1)/inputs!$N$12&lt;0, 0, IF((((inputs!$P$12/(X519/MAX(K519:S519)))^(1/inputs!$O$12))-1)/inputs!$N$12&gt;inputs!$H$17, inputs!$H$17, (((inputs!$P$12/(X519/MAX(K519:S519)))^(1/inputs!$O$12))-1)/inputs!$N$12))</f>
        <v>0</v>
      </c>
      <c r="V519">
        <f>inputs!$E$70*(F519/inputs!$F$70)^(0.25)</f>
        <v>6.8841681082754063</v>
      </c>
      <c r="W519">
        <f>inputs!$E$76*(inputs!$F$76/F519)^(0.25)</f>
        <v>0.24748737341529164</v>
      </c>
      <c r="X519">
        <f>inputs!$E$72*(inputs!$F$72/F519)^(0.25)</f>
        <v>36.300682387403803</v>
      </c>
      <c r="Y519" t="s">
        <v>13</v>
      </c>
      <c r="Z519">
        <f t="shared" si="57"/>
        <v>5.3723902984366108</v>
      </c>
      <c r="AA519">
        <f t="shared" si="58"/>
        <v>149.43969644723836</v>
      </c>
    </row>
    <row r="520" spans="1:27" x14ac:dyDescent="0.3">
      <c r="A520" t="s">
        <v>594</v>
      </c>
      <c r="B520" t="s">
        <v>595</v>
      </c>
      <c r="C520" t="s">
        <v>61</v>
      </c>
      <c r="D520" t="s">
        <v>454</v>
      </c>
      <c r="E520">
        <v>1237</v>
      </c>
      <c r="F520">
        <v>1400</v>
      </c>
      <c r="G520" t="s">
        <v>456</v>
      </c>
      <c r="H520">
        <v>0.68</v>
      </c>
      <c r="I520">
        <f>MAX('Min rate concentrations'!$J$3:$J$368)</f>
        <v>114.4108103430513</v>
      </c>
      <c r="J520">
        <f>MAX('Min rate concentrations'!AB:AB)</f>
        <v>40.520495329830666</v>
      </c>
      <c r="K520">
        <f t="shared" si="53"/>
        <v>23.140575482627927</v>
      </c>
      <c r="L520">
        <f t="shared" si="56"/>
        <v>8.1956204834307229</v>
      </c>
      <c r="M520">
        <f>IF((((0.326*F520^0.818)-(0.398*F520^0.85)/(1-H520)*H520)*(MAX('Min rate concentrations'!$P$3:$P$368)))/F520&gt;0, (((0.326*F520^0.818)-(0.398*F520^0.85)/(1-H520)*H520)*(MAX('Min rate concentrations'!$P$3:$P$368)))/F520, 0)</f>
        <v>0</v>
      </c>
      <c r="N520">
        <f>IF((((0.326*F520^0.818)-(0.398*F520^0.85)/(1-H520)*H520)*(MAX('Min rate concentrations'!$Q$3:$Q$368)))/F520&gt; 0, (((0.326*F520^0.818)-(0.398*F520^0.85)/(1-H520)*H520)*(MAX('Min rate concentrations'!$Q$3:$Q$368)))/F520, 0)</f>
        <v>0</v>
      </c>
      <c r="O520">
        <f>((MAX('Min rate concentrations'!$F$3:$F$368))*0.62*6.01*8*(12.3*F520^0.65)*0.079*0.1/F520)*inputs!$E$73/inputs!$E$74</f>
        <v>3.5745815872932107</v>
      </c>
      <c r="P520">
        <f>((MAX('Min rate concentrations'!Y:Y))*0.62*6.01*8*(12.3*F520^0.65)*0.079*0.1/F520)*inputs!$E$73/inputs!$E$74</f>
        <v>1.1915271957644034</v>
      </c>
      <c r="Q520">
        <f>(inputs!$C$7*11.2*(12.3*F520^0.65)*0.5/F520)*inputs!$E$73/inputs!$E$74</f>
        <v>0.62964568680851429</v>
      </c>
      <c r="R520">
        <f>(60*379*((F520/1000)^0.8)*3*24*(MAX('Min rate concentrations'!$R$3:$R$368))/F520)*(inputs!$E$73/inputs!$E$75)</f>
        <v>1.7200926921716615E-3</v>
      </c>
      <c r="S520">
        <f>(IF(inputs!$C$6="aerial",((0.025*0.112*inputs!$C$7/3.3)*(3*60*379*((F520/1000)^0.8))*MAX(inputs!$H$14:$H$16))/F520,((0.0083*0.112*inputs!$C$7/1)*(3*60*379*((F520/1000)^0.8))*MAX(inputs!$H$14:$H$16))/F520))*(inputs!E$75/inputs!$E$73)</f>
        <v>9.4864168769134231E-3</v>
      </c>
      <c r="T520">
        <f>IF((((inputs!$P$12/(V520/MAX(K520:S520)))^(1/inputs!$O$12))-1)/inputs!$N$12&lt;0, 0, IF((((inputs!$P$12/(V520/MAX(K520:S520)))^(1/inputs!$O$12))-1)/inputs!$N$12&gt;inputs!$H$17, inputs!$H$17, (((inputs!$P$12/(V520/MAX(K520:S520)))^(1/inputs!$O$12))-1)/inputs!$N$12))</f>
        <v>6.0109138970664153</v>
      </c>
      <c r="U520">
        <f>IF((((inputs!$P$12/(X520/MAX(K520:S520)))^(1/inputs!$O$12))-1)/inputs!$N$12&lt;0, 0, IF((((inputs!$P$12/(X520/MAX(K520:S520)))^(1/inputs!$O$12))-1)/inputs!$N$12&gt;inputs!$H$17, inputs!$H$17, (((inputs!$P$12/(X520/MAX(K520:S520)))^(1/inputs!$O$12))-1)/inputs!$N$12))</f>
        <v>0</v>
      </c>
      <c r="V520">
        <f>inputs!$E$70*(F520/inputs!$F$70)^(0.25)</f>
        <v>6.8841681082754063</v>
      </c>
      <c r="W520">
        <f>inputs!$E$76*(inputs!$F$76/F520)^(0.25)</f>
        <v>0.24748737341529164</v>
      </c>
      <c r="X520">
        <f>inputs!$E$72*(inputs!$F$72/F520)^(0.25)</f>
        <v>36.300682387403803</v>
      </c>
      <c r="Y520" t="s">
        <v>13</v>
      </c>
      <c r="Z520">
        <f t="shared" si="57"/>
        <v>3.3614192911429366</v>
      </c>
      <c r="AA520">
        <f t="shared" si="58"/>
        <v>93.502044824716407</v>
      </c>
    </row>
    <row r="521" spans="1:27" x14ac:dyDescent="0.3">
      <c r="A521" t="s">
        <v>594</v>
      </c>
      <c r="B521" t="s">
        <v>595</v>
      </c>
      <c r="C521" t="s">
        <v>61</v>
      </c>
      <c r="D521" t="s">
        <v>454</v>
      </c>
      <c r="E521">
        <v>1237</v>
      </c>
      <c r="F521">
        <v>1400</v>
      </c>
      <c r="G521" t="s">
        <v>145</v>
      </c>
      <c r="H521">
        <v>0.66</v>
      </c>
      <c r="I521">
        <f>MAX('Min rate concentrations'!$M$3:$M$368)</f>
        <v>2.8488184789681945</v>
      </c>
      <c r="J521">
        <f>MAX('Min rate concentrations'!AE:AE)</f>
        <v>1.9699276716269429</v>
      </c>
      <c r="K521">
        <f t="shared" si="53"/>
        <v>0.54230415589496261</v>
      </c>
      <c r="L521">
        <f t="shared" si="56"/>
        <v>0.37499755460821876</v>
      </c>
      <c r="M521">
        <f>IF((((0.326*F521^0.818)-(0.398*F521^0.85)/(1-H521)*H521)*(MAX('Min rate concentrations'!$P$3:$P$368)))/F521&gt;0, (((0.326*F521^0.818)-(0.398*F521^0.85)/(1-H521)*H521)*(MAX('Min rate concentrations'!$P$3:$P$368)))/F521, 0)</f>
        <v>0</v>
      </c>
      <c r="N521">
        <f>IF((((0.326*F521^0.818)-(0.398*F521^0.85)/(1-H521)*H521)*(MAX('Min rate concentrations'!$Q$3:$Q$368)))/F521&gt; 0, (((0.326*F521^0.818)-(0.398*F521^0.85)/(1-H521)*H521)*(MAX('Min rate concentrations'!$Q$3:$Q$368)))/F521, 0)</f>
        <v>0</v>
      </c>
      <c r="O521">
        <f>((MAX('Min rate concentrations'!$F$3:$F$368))*0.62*6.01*8*(12.3*F521^0.65)*0.079*0.1/F521)*inputs!$E$73/inputs!$E$74</f>
        <v>3.5745815872932107</v>
      </c>
      <c r="P521">
        <f>((MAX('Min rate concentrations'!Y:Y))*0.62*6.01*8*(12.3*F521^0.65)*0.079*0.1/F521)*inputs!$E$73/inputs!$E$74</f>
        <v>1.1915271957644034</v>
      </c>
      <c r="Q521">
        <f>(inputs!$C$7*11.2*(12.3*F521^0.65)*0.5/F521)*inputs!$E$73/inputs!$E$74</f>
        <v>0.62964568680851429</v>
      </c>
      <c r="R521">
        <f>(60*379*((F521/1000)^0.8)*3*24*(MAX('Min rate concentrations'!$R$3:$R$368))/F521)*(inputs!$E$73/inputs!$E$75)</f>
        <v>1.7200926921716615E-3</v>
      </c>
      <c r="S521">
        <f>(IF(inputs!$C$6="aerial",((0.025*0.112*inputs!$C$7/3.3)*(3*60*379*((F521/1000)^0.8))*MAX(inputs!$H$14:$H$16))/F521,((0.0083*0.112*inputs!$C$7/1)*(3*60*379*((F521/1000)^0.8))*MAX(inputs!$H$14:$H$16))/F521))*(inputs!E$75/inputs!$E$73)</f>
        <v>9.4864168769134231E-3</v>
      </c>
      <c r="T521">
        <f>IF((((inputs!$P$12/(V521/MAX(K521:S521)))^(1/inputs!$O$12))-1)/inputs!$N$12&lt;0, 0, IF((((inputs!$P$12/(V521/MAX(K521:S521)))^(1/inputs!$O$12))-1)/inputs!$N$12&gt;inputs!$H$17, inputs!$H$17, (((inputs!$P$12/(V521/MAX(K521:S521)))^(1/inputs!$O$12))-1)/inputs!$N$12))</f>
        <v>0</v>
      </c>
      <c r="U521">
        <f>IF((((inputs!$P$12/(X521/MAX(K521:S521)))^(1/inputs!$O$12))-1)/inputs!$N$12&lt;0, 0, IF((((inputs!$P$12/(X521/MAX(K521:S521)))^(1/inputs!$O$12))-1)/inputs!$N$12&gt;inputs!$H$17, inputs!$H$17, (((inputs!$P$12/(X521/MAX(K521:S521)))^(1/inputs!$O$12))-1)/inputs!$N$12))</f>
        <v>0</v>
      </c>
      <c r="V521">
        <f>inputs!$E$70*(F521/inputs!$F$70)^(0.25)</f>
        <v>6.8841681082754063</v>
      </c>
      <c r="W521">
        <f>inputs!$E$76*(inputs!$F$76/F521)^(0.25)</f>
        <v>0.24748737341529164</v>
      </c>
      <c r="X521">
        <f>inputs!$E$72*(inputs!$F$72/F521)^(0.25)</f>
        <v>36.300682387403803</v>
      </c>
      <c r="Y521" t="s">
        <v>13</v>
      </c>
      <c r="Z521">
        <f t="shared" si="57"/>
        <v>0.51924670215363178</v>
      </c>
      <c r="AA521">
        <f t="shared" si="58"/>
        <v>14.443490744454868</v>
      </c>
    </row>
    <row r="522" spans="1:27" x14ac:dyDescent="0.3">
      <c r="A522" t="s">
        <v>598</v>
      </c>
      <c r="B522" t="s">
        <v>599</v>
      </c>
      <c r="C522" t="s">
        <v>61</v>
      </c>
      <c r="D522" t="s">
        <v>454</v>
      </c>
      <c r="E522">
        <v>1238</v>
      </c>
      <c r="F522">
        <v>1400</v>
      </c>
      <c r="G522" t="s">
        <v>182</v>
      </c>
      <c r="H522">
        <v>0.85</v>
      </c>
      <c r="I522">
        <f>MAX('Min rate concentrations'!$M$3:$M$368)</f>
        <v>2.8488184789681945</v>
      </c>
      <c r="J522">
        <f>MAX('Min rate concentrations'!AE:AE)</f>
        <v>1.9699276716269429</v>
      </c>
      <c r="K522">
        <f t="shared" si="53"/>
        <v>1.2292227533619149</v>
      </c>
      <c r="L522">
        <f t="shared" si="56"/>
        <v>0.84999445711196242</v>
      </c>
      <c r="M522">
        <f>IF((((0.326*F522^0.818)-(0.398*F522^0.85)/(1-H522)*H522)*(MAX('Min rate concentrations'!$P$3:$P$368)))/F522&gt;0, (((0.326*F522^0.818)-(0.398*F522^0.85)/(1-H522)*H522)*(MAX('Min rate concentrations'!$P$3:$P$368)))/F522, 0)</f>
        <v>0</v>
      </c>
      <c r="N522">
        <f>IF((((0.326*F522^0.818)-(0.398*F522^0.85)/(1-H522)*H522)*(MAX('Min rate concentrations'!$Q$3:$Q$368)))/F522&gt; 0, (((0.326*F522^0.818)-(0.398*F522^0.85)/(1-H522)*H522)*(MAX('Min rate concentrations'!$Q$3:$Q$368)))/F522, 0)</f>
        <v>0</v>
      </c>
      <c r="O522">
        <f>((MAX('Min rate concentrations'!$F$3:$F$368))*0.62*6.01*8*(12.3*F522^0.65)*0.079*0.1/F522)*inputs!$E$73/inputs!$E$74</f>
        <v>3.5745815872932107</v>
      </c>
      <c r="P522">
        <f>((MAX('Min rate concentrations'!Y:Y))*0.62*6.01*8*(12.3*F522^0.65)*0.079*0.1/F522)*inputs!$E$73/inputs!$E$74</f>
        <v>1.1915271957644034</v>
      </c>
      <c r="Q522">
        <f>(inputs!$C$7*11.2*(12.3*F522^0.65)*0.5/F522)*inputs!$E$73/inputs!$E$74</f>
        <v>0.62964568680851429</v>
      </c>
      <c r="R522">
        <f>(60*379*((F522/1000)^0.8)*3*24*(MAX('Min rate concentrations'!$R$3:$R$368))/F522)*(inputs!$E$73/inputs!$E$75)</f>
        <v>1.7200926921716615E-3</v>
      </c>
      <c r="S522">
        <f>(IF(inputs!$C$6="aerial",((0.025*0.112*inputs!$C$7/3.3)*(3*60*379*((F522/1000)^0.8))*MAX(inputs!$H$14:$H$16))/F522,((0.0083*0.112*inputs!$C$7/1)*(3*60*379*((F522/1000)^0.8))*MAX(inputs!$H$14:$H$16))/F522))*(inputs!E$75/inputs!$E$73)</f>
        <v>9.4864168769134231E-3</v>
      </c>
      <c r="T522">
        <f>IF((((inputs!$P$12/(V522/MAX(K522:S522)))^(1/inputs!$O$12))-1)/inputs!$N$12&lt;0, 0, IF((((inputs!$P$12/(V522/MAX(K522:S522)))^(1/inputs!$O$12))-1)/inputs!$N$12&gt;inputs!$H$17, inputs!$H$17, (((inputs!$P$12/(V522/MAX(K522:S522)))^(1/inputs!$O$12))-1)/inputs!$N$12))</f>
        <v>0</v>
      </c>
      <c r="U522">
        <f>IF((((inputs!$P$12/(X522/MAX(K522:S522)))^(1/inputs!$O$12))-1)/inputs!$N$12&lt;0, 0, IF((((inputs!$P$12/(X522/MAX(K522:S522)))^(1/inputs!$O$12))-1)/inputs!$N$12&gt;inputs!$H$17, inputs!$H$17, (((inputs!$P$12/(X522/MAX(K522:S522)))^(1/inputs!$O$12))-1)/inputs!$N$12))</f>
        <v>0</v>
      </c>
      <c r="V522">
        <f>inputs!$E$70*(F522/inputs!$F$70)^(0.25)</f>
        <v>6.8841681082754063</v>
      </c>
      <c r="W522">
        <f>inputs!$E$76*(inputs!$F$76/F522)^(0.25)</f>
        <v>0.24748737341529164</v>
      </c>
      <c r="X522">
        <f>inputs!$E$72*(inputs!$F$72/F522)^(0.25)</f>
        <v>36.300682387403803</v>
      </c>
      <c r="Y522" t="s">
        <v>13</v>
      </c>
      <c r="Z522">
        <f t="shared" si="57"/>
        <v>0.51924670215363178</v>
      </c>
      <c r="AA522">
        <f t="shared" si="58"/>
        <v>14.443490744454868</v>
      </c>
    </row>
    <row r="523" spans="1:27" x14ac:dyDescent="0.3">
      <c r="A523" t="s">
        <v>598</v>
      </c>
      <c r="B523" t="s">
        <v>599</v>
      </c>
      <c r="C523" t="s">
        <v>61</v>
      </c>
      <c r="D523" t="s">
        <v>454</v>
      </c>
      <c r="E523">
        <v>1238</v>
      </c>
      <c r="F523">
        <v>1400</v>
      </c>
      <c r="G523" t="s">
        <v>142</v>
      </c>
      <c r="H523">
        <v>0.69</v>
      </c>
      <c r="I523">
        <f>MAX('Min rate concentrations'!$H$3:$H$368)</f>
        <v>47</v>
      </c>
      <c r="J523">
        <f>MAX('Min rate concentrations'!AA:AA)</f>
        <v>32.5</v>
      </c>
      <c r="K523">
        <f t="shared" si="53"/>
        <v>9.8128065226492804</v>
      </c>
      <c r="L523">
        <f t="shared" si="56"/>
        <v>6.7854513188532266</v>
      </c>
      <c r="M523">
        <f>IF((((0.326*F523^0.818)-(0.398*F523^0.85)/(1-H523)*H523)*(MAX('Min rate concentrations'!$P$3:$P$368)))/F523&gt;0, (((0.326*F523^0.818)-(0.398*F523^0.85)/(1-H523)*H523)*(MAX('Min rate concentrations'!$P$3:$P$368)))/F523, 0)</f>
        <v>0</v>
      </c>
      <c r="N523">
        <f>IF((((0.326*F523^0.818)-(0.398*F523^0.85)/(1-H523)*H523)*(MAX('Min rate concentrations'!$Q$3:$Q$368)))/F523&gt; 0, (((0.326*F523^0.818)-(0.398*F523^0.85)/(1-H523)*H523)*(MAX('Min rate concentrations'!$Q$3:$Q$368)))/F523, 0)</f>
        <v>0</v>
      </c>
      <c r="O523">
        <f>((MAX('Min rate concentrations'!$F$3:$F$368))*0.62*6.01*8*(12.3*F523^0.65)*0.079*0.1/F523)*inputs!$E$73/inputs!$E$74</f>
        <v>3.5745815872932107</v>
      </c>
      <c r="P523">
        <f>((MAX('Min rate concentrations'!Y:Y))*0.62*6.01*8*(12.3*F523^0.65)*0.079*0.1/F523)*inputs!$E$73/inputs!$E$74</f>
        <v>1.1915271957644034</v>
      </c>
      <c r="Q523">
        <f>(inputs!$C$7*11.2*(12.3*F523^0.65)*0.5/F523)*inputs!$E$73/inputs!$E$74</f>
        <v>0.62964568680851429</v>
      </c>
      <c r="R523">
        <f>(60*379*((F523/1000)^0.8)*3*24*(MAX('Min rate concentrations'!$R$3:$R$368))/F523)*(inputs!$E$73/inputs!$E$75)</f>
        <v>1.7200926921716615E-3</v>
      </c>
      <c r="S523">
        <f>(IF(inputs!$C$6="aerial",((0.025*0.112*inputs!$C$7/3.3)*(3*60*379*((F523/1000)^0.8))*MAX(inputs!$H$14:$H$16))/F523,((0.0083*0.112*inputs!$C$7/1)*(3*60*379*((F523/1000)^0.8))*MAX(inputs!$H$14:$H$16))/F523))*(inputs!E$75/inputs!$E$73)</f>
        <v>9.4864168769134231E-3</v>
      </c>
      <c r="T523">
        <f>IF((((inputs!$P$12/(V523/MAX(K523:S523)))^(1/inputs!$O$12))-1)/inputs!$N$12&lt;0, 0, IF((((inputs!$P$12/(V523/MAX(K523:S523)))^(1/inputs!$O$12))-1)/inputs!$N$12&gt;inputs!$H$17, inputs!$H$17, (((inputs!$P$12/(V523/MAX(K523:S523)))^(1/inputs!$O$12))-1)/inputs!$N$12))</f>
        <v>0</v>
      </c>
      <c r="U523">
        <f>IF((((inputs!$P$12/(X523/MAX(K523:S523)))^(1/inputs!$O$12))-1)/inputs!$N$12&lt;0, 0, IF((((inputs!$P$12/(X523/MAX(K523:S523)))^(1/inputs!$O$12))-1)/inputs!$N$12&gt;inputs!$H$17, inputs!$H$17, (((inputs!$P$12/(X523/MAX(K523:S523)))^(1/inputs!$O$12))-1)/inputs!$N$12))</f>
        <v>0</v>
      </c>
      <c r="V523">
        <f>inputs!$E$70*(F523/inputs!$F$70)^(0.25)</f>
        <v>6.8841681082754063</v>
      </c>
      <c r="W523">
        <f>inputs!$E$76*(inputs!$F$76/F523)^(0.25)</f>
        <v>0.24748737341529164</v>
      </c>
      <c r="X523">
        <f>inputs!$E$72*(inputs!$F$72/F523)^(0.25)</f>
        <v>36.300682387403803</v>
      </c>
      <c r="Y523" t="s">
        <v>13</v>
      </c>
      <c r="Z523">
        <f t="shared" si="57"/>
        <v>1.4254164582142292</v>
      </c>
      <c r="AA523">
        <f t="shared" si="58"/>
        <v>39.649725912210805</v>
      </c>
    </row>
    <row r="524" spans="1:27" x14ac:dyDescent="0.3">
      <c r="A524" t="s">
        <v>598</v>
      </c>
      <c r="B524" t="s">
        <v>599</v>
      </c>
      <c r="C524" t="s">
        <v>61</v>
      </c>
      <c r="D524" t="s">
        <v>454</v>
      </c>
      <c r="E524">
        <v>1238</v>
      </c>
      <c r="F524">
        <v>1400</v>
      </c>
      <c r="G524" t="s">
        <v>164</v>
      </c>
      <c r="H524">
        <v>0.78</v>
      </c>
      <c r="I524">
        <f>inputs!$C$65*(inputs!$C$62/1000)</f>
        <v>0.82000000000000006</v>
      </c>
      <c r="J524">
        <f>inputs!$C$65*(inputs!$C$61/1000)</f>
        <v>0.25</v>
      </c>
      <c r="K524">
        <f t="shared" ref="K524:K573" si="59">(((0.235*F524^0.822)/(1-H524)))*I524/F524</f>
        <v>0.24123940213321549</v>
      </c>
      <c r="L524">
        <f t="shared" si="56"/>
        <v>7.3548598211346169E-2</v>
      </c>
      <c r="M524">
        <f>IF((((0.326*F524^0.818)-(0.398*F524^0.85)/(1-H524)*H524)*(MAX('Min rate concentrations'!$P$3:$P$368)))/F524&gt;0, (((0.326*F524^0.818)-(0.398*F524^0.85)/(1-H524)*H524)*(MAX('Min rate concentrations'!$P$3:$P$368)))/F524, 0)</f>
        <v>0</v>
      </c>
      <c r="N524">
        <f>IF((((0.326*F524^0.818)-(0.398*F524^0.85)/(1-H524)*H524)*(MAX('Min rate concentrations'!$Q$3:$Q$368)))/F524&gt; 0, (((0.326*F524^0.818)-(0.398*F524^0.85)/(1-H524)*H524)*(MAX('Min rate concentrations'!$Q$3:$Q$368)))/F524, 0)</f>
        <v>0</v>
      </c>
      <c r="O524">
        <f>((MAX('Min rate concentrations'!$F$3:$F$368))*0.62*6.01*8*(12.3*F524^0.65)*0.079*0.1/F524)*inputs!$E$73/inputs!$E$74</f>
        <v>3.5745815872932107</v>
      </c>
      <c r="P524">
        <f>((MAX('Min rate concentrations'!Y:Y))*0.62*6.01*8*(12.3*F524^0.65)*0.079*0.1/F524)*inputs!$E$73/inputs!$E$74</f>
        <v>1.1915271957644034</v>
      </c>
      <c r="Q524">
        <f>(inputs!$C$7*11.2*(12.3*F524^0.65)*0.5/F524)*inputs!$E$73/inputs!$E$74</f>
        <v>0.62964568680851429</v>
      </c>
      <c r="R524">
        <f>(60*379*((F524/1000)^0.8)*3*24*(MAX('Min rate concentrations'!$R$3:$R$368))/F524)*(inputs!$E$73/inputs!$E$75)</f>
        <v>1.7200926921716615E-3</v>
      </c>
      <c r="S524">
        <f>(IF(inputs!$C$6="aerial",((0.025*0.112*inputs!$C$7/3.3)*(3*60*379*((F524/1000)^0.8))*MAX(inputs!$H$14:$H$16))/F524,((0.0083*0.112*inputs!$C$7/1)*(3*60*379*((F524/1000)^0.8))*MAX(inputs!$H$14:$H$16))/F524))*(inputs!E$75/inputs!$E$73)</f>
        <v>9.4864168769134231E-3</v>
      </c>
      <c r="T524">
        <f>IF((((inputs!$P$12/(V524/MAX(K524:S524)))^(1/inputs!$O$12))-1)/inputs!$N$12&lt;0, 0, IF((((inputs!$P$12/(V524/MAX(K524:S524)))^(1/inputs!$O$12))-1)/inputs!$N$12&gt;inputs!$H$17, inputs!$H$17, (((inputs!$P$12/(V524/MAX(K524:S524)))^(1/inputs!$O$12))-1)/inputs!$N$12))</f>
        <v>0</v>
      </c>
      <c r="U524">
        <f>IF((((inputs!$P$12/(X524/MAX(K524:S524)))^(1/inputs!$O$12))-1)/inputs!$N$12&lt;0, 0, IF((((inputs!$P$12/(X524/MAX(K524:S524)))^(1/inputs!$O$12))-1)/inputs!$N$12&gt;inputs!$H$17, inputs!$H$17, (((inputs!$P$12/(X524/MAX(K524:S524)))^(1/inputs!$O$12))-1)/inputs!$N$12))</f>
        <v>0</v>
      </c>
      <c r="V524">
        <f>inputs!$E$70*(F524/inputs!$F$70)^(0.25)</f>
        <v>6.8841681082754063</v>
      </c>
      <c r="W524">
        <f>inputs!$E$76*(inputs!$F$76/F524)^(0.25)</f>
        <v>0.24748737341529164</v>
      </c>
      <c r="X524">
        <f>inputs!$E$72*(inputs!$F$72/F524)^(0.25)</f>
        <v>36.300682387403803</v>
      </c>
      <c r="Y524" t="s">
        <v>13</v>
      </c>
      <c r="Z524">
        <f t="shared" si="57"/>
        <v>0.51924670215363178</v>
      </c>
      <c r="AA524">
        <f t="shared" si="58"/>
        <v>14.443490744454868</v>
      </c>
    </row>
    <row r="525" spans="1:27" x14ac:dyDescent="0.3">
      <c r="A525" t="s">
        <v>598</v>
      </c>
      <c r="B525" t="s">
        <v>599</v>
      </c>
      <c r="C525" t="s">
        <v>61</v>
      </c>
      <c r="D525" t="s">
        <v>454</v>
      </c>
      <c r="E525">
        <v>1238</v>
      </c>
      <c r="F525">
        <v>1400</v>
      </c>
      <c r="G525" t="s">
        <v>138</v>
      </c>
      <c r="H525">
        <v>0.68</v>
      </c>
      <c r="I525">
        <f>MAX('Min rate concentrations'!$L$3:$L$368)</f>
        <v>58.421240152220811</v>
      </c>
      <c r="J525">
        <f>MAX('Min rate concentrations'!AD:AD)</f>
        <v>40.397666062705881</v>
      </c>
      <c r="K525">
        <f t="shared" si="59"/>
        <v>11.816200877151696</v>
      </c>
      <c r="L525">
        <f t="shared" si="56"/>
        <v>8.1707772022857483</v>
      </c>
      <c r="M525">
        <f>IF((((0.326*F525^0.818)-(0.398*F525^0.85)/(1-H525)*H525)*(MAX('Min rate concentrations'!$P$3:$P$368)))/F525&gt;0, (((0.326*F525^0.818)-(0.398*F525^0.85)/(1-H525)*H525)*(MAX('Min rate concentrations'!$P$3:$P$368)))/F525, 0)</f>
        <v>0</v>
      </c>
      <c r="N525">
        <f>IF((((0.326*F525^0.818)-(0.398*F525^0.85)/(1-H525)*H525)*(MAX('Min rate concentrations'!$Q$3:$Q$368)))/F525&gt; 0, (((0.326*F525^0.818)-(0.398*F525^0.85)/(1-H525)*H525)*(MAX('Min rate concentrations'!$Q$3:$Q$368)))/F525, 0)</f>
        <v>0</v>
      </c>
      <c r="O525">
        <f>((MAX('Min rate concentrations'!$F$3:$F$368))*0.62*6.01*8*(12.3*F525^0.65)*0.079*0.1/F525)*inputs!$E$73/inputs!$E$74</f>
        <v>3.5745815872932107</v>
      </c>
      <c r="P525">
        <f>((MAX('Min rate concentrations'!Y:Y))*0.62*6.01*8*(12.3*F525^0.65)*0.079*0.1/F525)*inputs!$E$73/inputs!$E$74</f>
        <v>1.1915271957644034</v>
      </c>
      <c r="Q525">
        <f>(inputs!$C$7*11.2*(12.3*F525^0.65)*0.5/F525)*inputs!$E$73/inputs!$E$74</f>
        <v>0.62964568680851429</v>
      </c>
      <c r="R525">
        <f>(60*379*((F525/1000)^0.8)*3*24*(MAX('Min rate concentrations'!$R$3:$R$368))/F525)*(inputs!$E$73/inputs!$E$75)</f>
        <v>1.7200926921716615E-3</v>
      </c>
      <c r="S525">
        <f>(IF(inputs!$C$6="aerial",((0.025*0.112*inputs!$C$7/3.3)*(3*60*379*((F525/1000)^0.8))*MAX(inputs!$H$14:$H$16))/F525,((0.0083*0.112*inputs!$C$7/1)*(3*60*379*((F525/1000)^0.8))*MAX(inputs!$H$14:$H$16))/F525))*(inputs!E$75/inputs!$E$73)</f>
        <v>9.4864168769134231E-3</v>
      </c>
      <c r="T525">
        <f>IF((((inputs!$P$12/(V525/MAX(K525:S525)))^(1/inputs!$O$12))-1)/inputs!$N$12&lt;0, 0, IF((((inputs!$P$12/(V525/MAX(K525:S525)))^(1/inputs!$O$12))-1)/inputs!$N$12&gt;inputs!$H$17, inputs!$H$17, (((inputs!$P$12/(V525/MAX(K525:S525)))^(1/inputs!$O$12))-1)/inputs!$N$12))</f>
        <v>0</v>
      </c>
      <c r="U525">
        <f>IF((((inputs!$P$12/(X525/MAX(K525:S525)))^(1/inputs!$O$12))-1)/inputs!$N$12&lt;0, 0, IF((((inputs!$P$12/(X525/MAX(K525:S525)))^(1/inputs!$O$12))-1)/inputs!$N$12&gt;inputs!$H$17, inputs!$H$17, (((inputs!$P$12/(X525/MAX(K525:S525)))^(1/inputs!$O$12))-1)/inputs!$N$12))</f>
        <v>0</v>
      </c>
      <c r="V525">
        <f>inputs!$E$70*(F525/inputs!$F$70)^(0.25)</f>
        <v>6.8841681082754063</v>
      </c>
      <c r="W525">
        <f>inputs!$E$76*(inputs!$F$76/F525)^(0.25)</f>
        <v>0.24748737341529164</v>
      </c>
      <c r="X525">
        <f>inputs!$E$72*(inputs!$F$72/F525)^(0.25)</f>
        <v>36.300682387403803</v>
      </c>
      <c r="Y525" t="s">
        <v>13</v>
      </c>
      <c r="Z525">
        <f t="shared" si="57"/>
        <v>1.7164311927460822</v>
      </c>
      <c r="AA525">
        <f t="shared" si="58"/>
        <v>47.744661531979396</v>
      </c>
    </row>
    <row r="526" spans="1:27" x14ac:dyDescent="0.3">
      <c r="A526" t="s">
        <v>598</v>
      </c>
      <c r="B526" t="s">
        <v>599</v>
      </c>
      <c r="C526" t="s">
        <v>61</v>
      </c>
      <c r="D526" t="s">
        <v>454</v>
      </c>
      <c r="E526">
        <v>1238</v>
      </c>
      <c r="F526">
        <v>1400</v>
      </c>
      <c r="G526" t="s">
        <v>152</v>
      </c>
      <c r="H526">
        <v>0.77</v>
      </c>
      <c r="I526">
        <f>MAX('Min rate concentrations'!$G$3:$G$368)</f>
        <v>7.5</v>
      </c>
      <c r="J526">
        <f>MAX('Min rate concentrations'!Z:Z)</f>
        <v>3.5</v>
      </c>
      <c r="K526">
        <f t="shared" si="59"/>
        <v>2.1105249921516727</v>
      </c>
      <c r="L526">
        <f t="shared" si="56"/>
        <v>0.98491166300411404</v>
      </c>
      <c r="M526">
        <f>IF((((0.326*F526^0.818)-(0.398*F526^0.85)/(1-H526)*H526)*(MAX('Min rate concentrations'!$P$3:$P$368)))/F526&gt;0, (((0.326*F526^0.818)-(0.398*F526^0.85)/(1-H526)*H526)*(MAX('Min rate concentrations'!$P$3:$P$368)))/F526, 0)</f>
        <v>0</v>
      </c>
      <c r="N526">
        <f>IF((((0.326*F526^0.818)-(0.398*F526^0.85)/(1-H526)*H526)*(MAX('Min rate concentrations'!$Q$3:$Q$368)))/F526&gt; 0, (((0.326*F526^0.818)-(0.398*F526^0.85)/(1-H526)*H526)*(MAX('Min rate concentrations'!$Q$3:$Q$368)))/F526, 0)</f>
        <v>0</v>
      </c>
      <c r="O526">
        <f>((MAX('Min rate concentrations'!$F$3:$F$368))*0.62*6.01*8*(12.3*F526^0.65)*0.079*0.1/F526)*inputs!$E$73/inputs!$E$74</f>
        <v>3.5745815872932107</v>
      </c>
      <c r="P526">
        <f>((MAX('Min rate concentrations'!Y:Y))*0.62*6.01*8*(12.3*F526^0.65)*0.079*0.1/F526)*inputs!$E$73/inputs!$E$74</f>
        <v>1.1915271957644034</v>
      </c>
      <c r="Q526">
        <f>(inputs!$C$7*11.2*(12.3*F526^0.65)*0.5/F526)*inputs!$E$73/inputs!$E$74</f>
        <v>0.62964568680851429</v>
      </c>
      <c r="R526">
        <f>(60*379*((F526/1000)^0.8)*3*24*(MAX('Min rate concentrations'!$R$3:$R$368))/F526)*(inputs!$E$73/inputs!$E$75)</f>
        <v>1.7200926921716615E-3</v>
      </c>
      <c r="S526">
        <f>(IF(inputs!$C$6="aerial",((0.025*0.112*inputs!$C$7/3.3)*(3*60*379*((F526/1000)^0.8))*MAX(inputs!$H$14:$H$16))/F526,((0.0083*0.112*inputs!$C$7/1)*(3*60*379*((F526/1000)^0.8))*MAX(inputs!$H$14:$H$16))/F526))*(inputs!E$75/inputs!$E$73)</f>
        <v>9.4864168769134231E-3</v>
      </c>
      <c r="T526">
        <f>IF((((inputs!$P$12/(V526/MAX(K526:S526)))^(1/inputs!$O$12))-1)/inputs!$N$12&lt;0, 0, IF((((inputs!$P$12/(V526/MAX(K526:S526)))^(1/inputs!$O$12))-1)/inputs!$N$12&gt;inputs!$H$17, inputs!$H$17, (((inputs!$P$12/(V526/MAX(K526:S526)))^(1/inputs!$O$12))-1)/inputs!$N$12))</f>
        <v>0</v>
      </c>
      <c r="U526">
        <f>IF((((inputs!$P$12/(X526/MAX(K526:S526)))^(1/inputs!$O$12))-1)/inputs!$N$12&lt;0, 0, IF((((inputs!$P$12/(X526/MAX(K526:S526)))^(1/inputs!$O$12))-1)/inputs!$N$12&gt;inputs!$H$17, inputs!$H$17, (((inputs!$P$12/(X526/MAX(K526:S526)))^(1/inputs!$O$12))-1)/inputs!$N$12))</f>
        <v>0</v>
      </c>
      <c r="V526">
        <f>inputs!$E$70*(F526/inputs!$F$70)^(0.25)</f>
        <v>6.8841681082754063</v>
      </c>
      <c r="W526">
        <f>inputs!$E$76*(inputs!$F$76/F526)^(0.25)</f>
        <v>0.24748737341529164</v>
      </c>
      <c r="X526">
        <f>inputs!$E$72*(inputs!$F$72/F526)^(0.25)</f>
        <v>36.300682387403803</v>
      </c>
      <c r="Y526" t="s">
        <v>13</v>
      </c>
      <c r="Z526">
        <f t="shared" si="57"/>
        <v>0.51924670215363178</v>
      </c>
      <c r="AA526">
        <f t="shared" si="58"/>
        <v>14.443490744454868</v>
      </c>
    </row>
    <row r="527" spans="1:27" x14ac:dyDescent="0.3">
      <c r="A527" t="s">
        <v>598</v>
      </c>
      <c r="B527" t="s">
        <v>599</v>
      </c>
      <c r="C527" t="s">
        <v>61</v>
      </c>
      <c r="D527" t="s">
        <v>454</v>
      </c>
      <c r="E527">
        <v>1238</v>
      </c>
      <c r="F527">
        <v>1400</v>
      </c>
      <c r="G527" t="s">
        <v>169</v>
      </c>
      <c r="H527">
        <v>0.79</v>
      </c>
      <c r="I527">
        <f>MAX('Min rate concentrations'!$D$3:$D$368)</f>
        <v>120</v>
      </c>
      <c r="J527">
        <f>MAX('Min rate concentrations'!W:W)</f>
        <v>42.5</v>
      </c>
      <c r="K527">
        <f t="shared" si="59"/>
        <v>36.984437957705509</v>
      </c>
      <c r="L527">
        <f t="shared" si="56"/>
        <v>13.098655110020699</v>
      </c>
      <c r="M527">
        <f>IF((((0.326*F527^0.818)-(0.398*F527^0.85)/(1-H527)*H527)*(MAX('Min rate concentrations'!$P$3:$P$368)))/F527&gt;0, (((0.326*F527^0.818)-(0.398*F527^0.85)/(1-H527)*H527)*(MAX('Min rate concentrations'!$P$3:$P$368)))/F527, 0)</f>
        <v>0</v>
      </c>
      <c r="N527">
        <f>IF((((0.326*F527^0.818)-(0.398*F527^0.85)/(1-H527)*H527)*(MAX('Min rate concentrations'!$Q$3:$Q$368)))/F527&gt; 0, (((0.326*F527^0.818)-(0.398*F527^0.85)/(1-H527)*H527)*(MAX('Min rate concentrations'!$Q$3:$Q$368)))/F527, 0)</f>
        <v>0</v>
      </c>
      <c r="O527">
        <f>((MAX('Min rate concentrations'!$F$3:$F$368))*0.62*6.01*8*(12.3*F527^0.65)*0.079*0.1/F527)*inputs!$E$73/inputs!$E$74</f>
        <v>3.5745815872932107</v>
      </c>
      <c r="P527">
        <f>((MAX('Min rate concentrations'!Y:Y))*0.62*6.01*8*(12.3*F527^0.65)*0.079*0.1/F527)*inputs!$E$73/inputs!$E$74</f>
        <v>1.1915271957644034</v>
      </c>
      <c r="Q527">
        <f>(inputs!$C$7*11.2*(12.3*F527^0.65)*0.5/F527)*inputs!$E$73/inputs!$E$74</f>
        <v>0.62964568680851429</v>
      </c>
      <c r="R527">
        <f>(60*379*((F527/1000)^0.8)*3*24*(MAX('Min rate concentrations'!$R$3:$R$368))/F527)*(inputs!$E$73/inputs!$E$75)</f>
        <v>1.7200926921716615E-3</v>
      </c>
      <c r="S527">
        <f>(IF(inputs!$C$6="aerial",((0.025*0.112*inputs!$C$7/3.3)*(3*60*379*((F527/1000)^0.8))*MAX(inputs!$H$14:$H$16))/F527,((0.0083*0.112*inputs!$C$7/1)*(3*60*379*((F527/1000)^0.8))*MAX(inputs!$H$14:$H$16))/F527))*(inputs!E$75/inputs!$E$73)</f>
        <v>9.4864168769134231E-3</v>
      </c>
      <c r="T527">
        <f>IF((((inputs!$P$12/(V527/MAX(K527:S527)))^(1/inputs!$O$12))-1)/inputs!$N$12&lt;0, 0, IF((((inputs!$P$12/(V527/MAX(K527:S527)))^(1/inputs!$O$12))-1)/inputs!$N$12&gt;inputs!$H$17, inputs!$H$17, (((inputs!$P$12/(V527/MAX(K527:S527)))^(1/inputs!$O$12))-1)/inputs!$N$12))</f>
        <v>13.260364077107427</v>
      </c>
      <c r="U527">
        <f>IF((((inputs!$P$12/(X527/MAX(K527:S527)))^(1/inputs!$O$12))-1)/inputs!$N$12&lt;0, 0, IF((((inputs!$P$12/(X527/MAX(K527:S527)))^(1/inputs!$O$12))-1)/inputs!$N$12&gt;inputs!$H$17, inputs!$H$17, (((inputs!$P$12/(X527/MAX(K527:S527)))^(1/inputs!$O$12))-1)/inputs!$N$12))</f>
        <v>0</v>
      </c>
      <c r="V527">
        <f>inputs!$E$70*(F527/inputs!$F$70)^(0.25)</f>
        <v>6.8841681082754063</v>
      </c>
      <c r="W527">
        <f>inputs!$E$76*(inputs!$F$76/F527)^(0.25)</f>
        <v>0.24748737341529164</v>
      </c>
      <c r="X527">
        <f>inputs!$E$72*(inputs!$F$72/F527)^(0.25)</f>
        <v>36.300682387403803</v>
      </c>
      <c r="Y527" t="s">
        <v>13</v>
      </c>
      <c r="Z527">
        <f t="shared" si="57"/>
        <v>5.3723902984366108</v>
      </c>
      <c r="AA527">
        <f t="shared" si="58"/>
        <v>149.43969644723836</v>
      </c>
    </row>
    <row r="528" spans="1:27" x14ac:dyDescent="0.3">
      <c r="A528" t="s">
        <v>598</v>
      </c>
      <c r="B528" t="s">
        <v>599</v>
      </c>
      <c r="C528" t="s">
        <v>61</v>
      </c>
      <c r="D528" t="s">
        <v>454</v>
      </c>
      <c r="E528">
        <v>1238</v>
      </c>
      <c r="F528">
        <v>1400</v>
      </c>
      <c r="G528" t="s">
        <v>456</v>
      </c>
      <c r="H528">
        <v>0.68</v>
      </c>
      <c r="I528">
        <f>MAX('Min rate concentrations'!$J$3:$J$368)</f>
        <v>114.4108103430513</v>
      </c>
      <c r="J528">
        <f>MAX('Min rate concentrations'!AB:AB)</f>
        <v>40.520495329830666</v>
      </c>
      <c r="K528">
        <f t="shared" si="59"/>
        <v>23.140575482627927</v>
      </c>
      <c r="L528">
        <f t="shared" si="56"/>
        <v>8.1956204834307229</v>
      </c>
      <c r="M528">
        <f>IF((((0.326*F528^0.818)-(0.398*F528^0.85)/(1-H528)*H528)*(MAX('Min rate concentrations'!$P$3:$P$368)))/F528&gt;0, (((0.326*F528^0.818)-(0.398*F528^0.85)/(1-H528)*H528)*(MAX('Min rate concentrations'!$P$3:$P$368)))/F528, 0)</f>
        <v>0</v>
      </c>
      <c r="N528">
        <f>IF((((0.326*F528^0.818)-(0.398*F528^0.85)/(1-H528)*H528)*(MAX('Min rate concentrations'!$Q$3:$Q$368)))/F528&gt; 0, (((0.326*F528^0.818)-(0.398*F528^0.85)/(1-H528)*H528)*(MAX('Min rate concentrations'!$Q$3:$Q$368)))/F528, 0)</f>
        <v>0</v>
      </c>
      <c r="O528">
        <f>((MAX('Min rate concentrations'!$F$3:$F$368))*0.62*6.01*8*(12.3*F528^0.65)*0.079*0.1/F528)*inputs!$E$73/inputs!$E$74</f>
        <v>3.5745815872932107</v>
      </c>
      <c r="P528">
        <f>((MAX('Min rate concentrations'!Y:Y))*0.62*6.01*8*(12.3*F528^0.65)*0.079*0.1/F528)*inputs!$E$73/inputs!$E$74</f>
        <v>1.1915271957644034</v>
      </c>
      <c r="Q528">
        <f>(inputs!$C$7*11.2*(12.3*F528^0.65)*0.5/F528)*inputs!$E$73/inputs!$E$74</f>
        <v>0.62964568680851429</v>
      </c>
      <c r="R528">
        <f>(60*379*((F528/1000)^0.8)*3*24*(MAX('Min rate concentrations'!$R$3:$R$368))/F528)*(inputs!$E$73/inputs!$E$75)</f>
        <v>1.7200926921716615E-3</v>
      </c>
      <c r="S528">
        <f>(IF(inputs!$C$6="aerial",((0.025*0.112*inputs!$C$7/3.3)*(3*60*379*((F528/1000)^0.8))*MAX(inputs!$H$14:$H$16))/F528,((0.0083*0.112*inputs!$C$7/1)*(3*60*379*((F528/1000)^0.8))*MAX(inputs!$H$14:$H$16))/F528))*(inputs!E$75/inputs!$E$73)</f>
        <v>9.4864168769134231E-3</v>
      </c>
      <c r="T528">
        <f>IF((((inputs!$P$12/(V528/MAX(K528:S528)))^(1/inputs!$O$12))-1)/inputs!$N$12&lt;0, 0, IF((((inputs!$P$12/(V528/MAX(K528:S528)))^(1/inputs!$O$12))-1)/inputs!$N$12&gt;inputs!$H$17, inputs!$H$17, (((inputs!$P$12/(V528/MAX(K528:S528)))^(1/inputs!$O$12))-1)/inputs!$N$12))</f>
        <v>6.0109138970664153</v>
      </c>
      <c r="U528">
        <f>IF((((inputs!$P$12/(X528/MAX(K528:S528)))^(1/inputs!$O$12))-1)/inputs!$N$12&lt;0, 0, IF((((inputs!$P$12/(X528/MAX(K528:S528)))^(1/inputs!$O$12))-1)/inputs!$N$12&gt;inputs!$H$17, inputs!$H$17, (((inputs!$P$12/(X528/MAX(K528:S528)))^(1/inputs!$O$12))-1)/inputs!$N$12))</f>
        <v>0</v>
      </c>
      <c r="V528">
        <f>inputs!$E$70*(F528/inputs!$F$70)^(0.25)</f>
        <v>6.8841681082754063</v>
      </c>
      <c r="W528">
        <f>inputs!$E$76*(inputs!$F$76/F528)^(0.25)</f>
        <v>0.24748737341529164</v>
      </c>
      <c r="X528">
        <f>inputs!$E$72*(inputs!$F$72/F528)^(0.25)</f>
        <v>36.300682387403803</v>
      </c>
      <c r="Y528" t="s">
        <v>13</v>
      </c>
      <c r="Z528">
        <f t="shared" si="57"/>
        <v>3.3614192911429366</v>
      </c>
      <c r="AA528">
        <f t="shared" si="58"/>
        <v>93.502044824716407</v>
      </c>
    </row>
    <row r="529" spans="1:27" x14ac:dyDescent="0.3">
      <c r="A529" t="s">
        <v>598</v>
      </c>
      <c r="B529" t="s">
        <v>599</v>
      </c>
      <c r="C529" t="s">
        <v>61</v>
      </c>
      <c r="D529" t="s">
        <v>454</v>
      </c>
      <c r="E529">
        <v>1238</v>
      </c>
      <c r="F529">
        <v>1400</v>
      </c>
      <c r="G529" t="s">
        <v>145</v>
      </c>
      <c r="H529">
        <v>0.66</v>
      </c>
      <c r="I529">
        <f>MAX('Min rate concentrations'!$M$3:$M$368)</f>
        <v>2.8488184789681945</v>
      </c>
      <c r="J529">
        <f>MAX('Min rate concentrations'!AE:AE)</f>
        <v>1.9699276716269429</v>
      </c>
      <c r="K529">
        <f t="shared" si="59"/>
        <v>0.54230415589496261</v>
      </c>
      <c r="L529">
        <f t="shared" si="56"/>
        <v>0.37499755460821876</v>
      </c>
      <c r="M529">
        <f>IF((((0.326*F529^0.818)-(0.398*F529^0.85)/(1-H529)*H529)*(MAX('Min rate concentrations'!$P$3:$P$368)))/F529&gt;0, (((0.326*F529^0.818)-(0.398*F529^0.85)/(1-H529)*H529)*(MAX('Min rate concentrations'!$P$3:$P$368)))/F529, 0)</f>
        <v>0</v>
      </c>
      <c r="N529">
        <f>IF((((0.326*F529^0.818)-(0.398*F529^0.85)/(1-H529)*H529)*(MAX('Min rate concentrations'!$Q$3:$Q$368)))/F529&gt; 0, (((0.326*F529^0.818)-(0.398*F529^0.85)/(1-H529)*H529)*(MAX('Min rate concentrations'!$Q$3:$Q$368)))/F529, 0)</f>
        <v>0</v>
      </c>
      <c r="O529">
        <f>((MAX('Min rate concentrations'!$F$3:$F$368))*0.62*6.01*8*(12.3*F529^0.65)*0.079*0.1/F529)*inputs!$E$73/inputs!$E$74</f>
        <v>3.5745815872932107</v>
      </c>
      <c r="P529">
        <f>((MAX('Min rate concentrations'!Y:Y))*0.62*6.01*8*(12.3*F529^0.65)*0.079*0.1/F529)*inputs!$E$73/inputs!$E$74</f>
        <v>1.1915271957644034</v>
      </c>
      <c r="Q529">
        <f>(inputs!$C$7*11.2*(12.3*F529^0.65)*0.5/F529)*inputs!$E$73/inputs!$E$74</f>
        <v>0.62964568680851429</v>
      </c>
      <c r="R529">
        <f>(60*379*((F529/1000)^0.8)*3*24*(MAX('Min rate concentrations'!$R$3:$R$368))/F529)*(inputs!$E$73/inputs!$E$75)</f>
        <v>1.7200926921716615E-3</v>
      </c>
      <c r="S529">
        <f>(IF(inputs!$C$6="aerial",((0.025*0.112*inputs!$C$7/3.3)*(3*60*379*((F529/1000)^0.8))*MAX(inputs!$H$14:$H$16))/F529,((0.0083*0.112*inputs!$C$7/1)*(3*60*379*((F529/1000)^0.8))*MAX(inputs!$H$14:$H$16))/F529))*(inputs!E$75/inputs!$E$73)</f>
        <v>9.4864168769134231E-3</v>
      </c>
      <c r="T529">
        <f>IF((((inputs!$P$12/(V529/MAX(K529:S529)))^(1/inputs!$O$12))-1)/inputs!$N$12&lt;0, 0, IF((((inputs!$P$12/(V529/MAX(K529:S529)))^(1/inputs!$O$12))-1)/inputs!$N$12&gt;inputs!$H$17, inputs!$H$17, (((inputs!$P$12/(V529/MAX(K529:S529)))^(1/inputs!$O$12))-1)/inputs!$N$12))</f>
        <v>0</v>
      </c>
      <c r="U529">
        <f>IF((((inputs!$P$12/(X529/MAX(K529:S529)))^(1/inputs!$O$12))-1)/inputs!$N$12&lt;0, 0, IF((((inputs!$P$12/(X529/MAX(K529:S529)))^(1/inputs!$O$12))-1)/inputs!$N$12&gt;inputs!$H$17, inputs!$H$17, (((inputs!$P$12/(X529/MAX(K529:S529)))^(1/inputs!$O$12))-1)/inputs!$N$12))</f>
        <v>0</v>
      </c>
      <c r="V529">
        <f>inputs!$E$70*(F529/inputs!$F$70)^(0.25)</f>
        <v>6.8841681082754063</v>
      </c>
      <c r="W529">
        <f>inputs!$E$76*(inputs!$F$76/F529)^(0.25)</f>
        <v>0.24748737341529164</v>
      </c>
      <c r="X529">
        <f>inputs!$E$72*(inputs!$F$72/F529)^(0.25)</f>
        <v>36.300682387403803</v>
      </c>
      <c r="Y529" t="s">
        <v>13</v>
      </c>
      <c r="Z529">
        <f t="shared" si="57"/>
        <v>0.51924670215363178</v>
      </c>
      <c r="AA529">
        <f t="shared" si="58"/>
        <v>14.443490744454868</v>
      </c>
    </row>
    <row r="530" spans="1:27" x14ac:dyDescent="0.3">
      <c r="A530" t="s">
        <v>600</v>
      </c>
      <c r="B530" t="s">
        <v>601</v>
      </c>
      <c r="C530" t="s">
        <v>61</v>
      </c>
      <c r="D530" t="s">
        <v>454</v>
      </c>
      <c r="E530">
        <v>1239</v>
      </c>
      <c r="F530">
        <v>1400</v>
      </c>
      <c r="G530" t="s">
        <v>182</v>
      </c>
      <c r="H530">
        <v>0.85</v>
      </c>
      <c r="I530">
        <f>MAX('Min rate concentrations'!$M$3:$M$368)</f>
        <v>2.8488184789681945</v>
      </c>
      <c r="J530">
        <f>MAX('Min rate concentrations'!AE:AE)</f>
        <v>1.9699276716269429</v>
      </c>
      <c r="K530">
        <f t="shared" si="59"/>
        <v>1.2292227533619149</v>
      </c>
      <c r="L530">
        <f t="shared" si="56"/>
        <v>0.84999445711196242</v>
      </c>
      <c r="M530">
        <f>IF((((0.326*F530^0.818)-(0.398*F530^0.85)/(1-H530)*H530)*(MAX('Min rate concentrations'!$P$3:$P$368)))/F530&gt;0, (((0.326*F530^0.818)-(0.398*F530^0.85)/(1-H530)*H530)*(MAX('Min rate concentrations'!$P$3:$P$368)))/F530, 0)</f>
        <v>0</v>
      </c>
      <c r="N530">
        <f>IF((((0.326*F530^0.818)-(0.398*F530^0.85)/(1-H530)*H530)*(MAX('Min rate concentrations'!$Q$3:$Q$368)))/F530&gt; 0, (((0.326*F530^0.818)-(0.398*F530^0.85)/(1-H530)*H530)*(MAX('Min rate concentrations'!$Q$3:$Q$368)))/F530, 0)</f>
        <v>0</v>
      </c>
      <c r="O530">
        <f>((MAX('Min rate concentrations'!$F$3:$F$368))*0.62*6.01*8*(12.3*F530^0.65)*0.079*0.1/F530)*inputs!$E$73/inputs!$E$74</f>
        <v>3.5745815872932107</v>
      </c>
      <c r="P530">
        <f>((MAX('Min rate concentrations'!Y:Y))*0.62*6.01*8*(12.3*F530^0.65)*0.079*0.1/F530)*inputs!$E$73/inputs!$E$74</f>
        <v>1.1915271957644034</v>
      </c>
      <c r="Q530">
        <f>(inputs!$C$7*11.2*(12.3*F530^0.65)*0.5/F530)*inputs!$E$73/inputs!$E$74</f>
        <v>0.62964568680851429</v>
      </c>
      <c r="R530">
        <f>(60*379*((F530/1000)^0.8)*3*24*(MAX('Min rate concentrations'!$R$3:$R$368))/F530)*(inputs!$E$73/inputs!$E$75)</f>
        <v>1.7200926921716615E-3</v>
      </c>
      <c r="S530">
        <f>(IF(inputs!$C$6="aerial",((0.025*0.112*inputs!$C$7/3.3)*(3*60*379*((F530/1000)^0.8))*MAX(inputs!$H$14:$H$16))/F530,((0.0083*0.112*inputs!$C$7/1)*(3*60*379*((F530/1000)^0.8))*MAX(inputs!$H$14:$H$16))/F530))*(inputs!E$75/inputs!$E$73)</f>
        <v>9.4864168769134231E-3</v>
      </c>
      <c r="T530">
        <f>IF((((inputs!$P$12/(V530/MAX(K530:S530)))^(1/inputs!$O$12))-1)/inputs!$N$12&lt;0, 0, IF((((inputs!$P$12/(V530/MAX(K530:S530)))^(1/inputs!$O$12))-1)/inputs!$N$12&gt;inputs!$H$17, inputs!$H$17, (((inputs!$P$12/(V530/MAX(K530:S530)))^(1/inputs!$O$12))-1)/inputs!$N$12))</f>
        <v>0</v>
      </c>
      <c r="U530">
        <f>IF((((inputs!$P$12/(X530/MAX(K530:S530)))^(1/inputs!$O$12))-1)/inputs!$N$12&lt;0, 0, IF((((inputs!$P$12/(X530/MAX(K530:S530)))^(1/inputs!$O$12))-1)/inputs!$N$12&gt;inputs!$H$17, inputs!$H$17, (((inputs!$P$12/(X530/MAX(K530:S530)))^(1/inputs!$O$12))-1)/inputs!$N$12))</f>
        <v>0</v>
      </c>
      <c r="V530">
        <f>inputs!$E$70*(F530/inputs!$F$70)^(0.25)</f>
        <v>6.8841681082754063</v>
      </c>
      <c r="W530">
        <f>inputs!$E$76*(inputs!$F$76/F530)^(0.25)</f>
        <v>0.24748737341529164</v>
      </c>
      <c r="X530">
        <f>inputs!$E$72*(inputs!$F$72/F530)^(0.25)</f>
        <v>36.300682387403803</v>
      </c>
      <c r="Y530" t="s">
        <v>13</v>
      </c>
      <c r="Z530">
        <f t="shared" si="57"/>
        <v>0.51924670215363178</v>
      </c>
      <c r="AA530">
        <f t="shared" si="58"/>
        <v>14.443490744454868</v>
      </c>
    </row>
    <row r="531" spans="1:27" x14ac:dyDescent="0.3">
      <c r="A531" t="s">
        <v>600</v>
      </c>
      <c r="B531" t="s">
        <v>601</v>
      </c>
      <c r="C531" t="s">
        <v>61</v>
      </c>
      <c r="D531" t="s">
        <v>454</v>
      </c>
      <c r="E531">
        <v>1239</v>
      </c>
      <c r="F531">
        <v>1400</v>
      </c>
      <c r="G531" t="s">
        <v>142</v>
      </c>
      <c r="H531">
        <v>0.69</v>
      </c>
      <c r="I531">
        <f>MAX('Min rate concentrations'!$H$3:$H$368)</f>
        <v>47</v>
      </c>
      <c r="J531">
        <f>MAX('Min rate concentrations'!AA:AA)</f>
        <v>32.5</v>
      </c>
      <c r="K531">
        <f t="shared" si="59"/>
        <v>9.8128065226492804</v>
      </c>
      <c r="L531">
        <f t="shared" si="56"/>
        <v>6.7854513188532266</v>
      </c>
      <c r="M531">
        <f>IF((((0.326*F531^0.818)-(0.398*F531^0.85)/(1-H531)*H531)*(MAX('Min rate concentrations'!$P$3:$P$368)))/F531&gt;0, (((0.326*F531^0.818)-(0.398*F531^0.85)/(1-H531)*H531)*(MAX('Min rate concentrations'!$P$3:$P$368)))/F531, 0)</f>
        <v>0</v>
      </c>
      <c r="N531">
        <f>IF((((0.326*F531^0.818)-(0.398*F531^0.85)/(1-H531)*H531)*(MAX('Min rate concentrations'!$Q$3:$Q$368)))/F531&gt; 0, (((0.326*F531^0.818)-(0.398*F531^0.85)/(1-H531)*H531)*(MAX('Min rate concentrations'!$Q$3:$Q$368)))/F531, 0)</f>
        <v>0</v>
      </c>
      <c r="O531">
        <f>((MAX('Min rate concentrations'!$F$3:$F$368))*0.62*6.01*8*(12.3*F531^0.65)*0.079*0.1/F531)*inputs!$E$73/inputs!$E$74</f>
        <v>3.5745815872932107</v>
      </c>
      <c r="P531">
        <f>((MAX('Min rate concentrations'!Y:Y))*0.62*6.01*8*(12.3*F531^0.65)*0.079*0.1/F531)*inputs!$E$73/inputs!$E$74</f>
        <v>1.1915271957644034</v>
      </c>
      <c r="Q531">
        <f>(inputs!$C$7*11.2*(12.3*F531^0.65)*0.5/F531)*inputs!$E$73/inputs!$E$74</f>
        <v>0.62964568680851429</v>
      </c>
      <c r="R531">
        <f>(60*379*((F531/1000)^0.8)*3*24*(MAX('Min rate concentrations'!$R$3:$R$368))/F531)*(inputs!$E$73/inputs!$E$75)</f>
        <v>1.7200926921716615E-3</v>
      </c>
      <c r="S531">
        <f>(IF(inputs!$C$6="aerial",((0.025*0.112*inputs!$C$7/3.3)*(3*60*379*((F531/1000)^0.8))*MAX(inputs!$H$14:$H$16))/F531,((0.0083*0.112*inputs!$C$7/1)*(3*60*379*((F531/1000)^0.8))*MAX(inputs!$H$14:$H$16))/F531))*(inputs!E$75/inputs!$E$73)</f>
        <v>9.4864168769134231E-3</v>
      </c>
      <c r="T531">
        <f>IF((((inputs!$P$12/(V531/MAX(K531:S531)))^(1/inputs!$O$12))-1)/inputs!$N$12&lt;0, 0, IF((((inputs!$P$12/(V531/MAX(K531:S531)))^(1/inputs!$O$12))-1)/inputs!$N$12&gt;inputs!$H$17, inputs!$H$17, (((inputs!$P$12/(V531/MAX(K531:S531)))^(1/inputs!$O$12))-1)/inputs!$N$12))</f>
        <v>0</v>
      </c>
      <c r="U531">
        <f>IF((((inputs!$P$12/(X531/MAX(K531:S531)))^(1/inputs!$O$12))-1)/inputs!$N$12&lt;0, 0, IF((((inputs!$P$12/(X531/MAX(K531:S531)))^(1/inputs!$O$12))-1)/inputs!$N$12&gt;inputs!$H$17, inputs!$H$17, (((inputs!$P$12/(X531/MAX(K531:S531)))^(1/inputs!$O$12))-1)/inputs!$N$12))</f>
        <v>0</v>
      </c>
      <c r="V531">
        <f>inputs!$E$70*(F531/inputs!$F$70)^(0.25)</f>
        <v>6.8841681082754063</v>
      </c>
      <c r="W531">
        <f>inputs!$E$76*(inputs!$F$76/F531)^(0.25)</f>
        <v>0.24748737341529164</v>
      </c>
      <c r="X531">
        <f>inputs!$E$72*(inputs!$F$72/F531)^(0.25)</f>
        <v>36.300682387403803</v>
      </c>
      <c r="Y531" t="s">
        <v>13</v>
      </c>
      <c r="Z531">
        <f t="shared" si="57"/>
        <v>1.4254164582142292</v>
      </c>
      <c r="AA531">
        <f t="shared" si="58"/>
        <v>39.649725912210805</v>
      </c>
    </row>
    <row r="532" spans="1:27" x14ac:dyDescent="0.3">
      <c r="A532" t="s">
        <v>600</v>
      </c>
      <c r="B532" t="s">
        <v>601</v>
      </c>
      <c r="C532" t="s">
        <v>61</v>
      </c>
      <c r="D532" t="s">
        <v>454</v>
      </c>
      <c r="E532">
        <v>1239</v>
      </c>
      <c r="F532">
        <v>1400</v>
      </c>
      <c r="G532" t="s">
        <v>164</v>
      </c>
      <c r="H532">
        <v>0.78</v>
      </c>
      <c r="I532">
        <f>inputs!$C$65*(inputs!$C$62/1000)</f>
        <v>0.82000000000000006</v>
      </c>
      <c r="J532">
        <f>inputs!$C$65*(inputs!$C$61/1000)</f>
        <v>0.25</v>
      </c>
      <c r="K532">
        <f t="shared" si="59"/>
        <v>0.24123940213321549</v>
      </c>
      <c r="L532">
        <f t="shared" si="56"/>
        <v>7.3548598211346169E-2</v>
      </c>
      <c r="M532">
        <f>IF((((0.326*F532^0.818)-(0.398*F532^0.85)/(1-H532)*H532)*(MAX('Min rate concentrations'!$P$3:$P$368)))/F532&gt;0, (((0.326*F532^0.818)-(0.398*F532^0.85)/(1-H532)*H532)*(MAX('Min rate concentrations'!$P$3:$P$368)))/F532, 0)</f>
        <v>0</v>
      </c>
      <c r="N532">
        <f>IF((((0.326*F532^0.818)-(0.398*F532^0.85)/(1-H532)*H532)*(MAX('Min rate concentrations'!$Q$3:$Q$368)))/F532&gt; 0, (((0.326*F532^0.818)-(0.398*F532^0.85)/(1-H532)*H532)*(MAX('Min rate concentrations'!$Q$3:$Q$368)))/F532, 0)</f>
        <v>0</v>
      </c>
      <c r="O532">
        <f>((MAX('Min rate concentrations'!$F$3:$F$368))*0.62*6.01*8*(12.3*F532^0.65)*0.079*0.1/F532)*inputs!$E$73/inputs!$E$74</f>
        <v>3.5745815872932107</v>
      </c>
      <c r="P532">
        <f>((MAX('Min rate concentrations'!Y:Y))*0.62*6.01*8*(12.3*F532^0.65)*0.079*0.1/F532)*inputs!$E$73/inputs!$E$74</f>
        <v>1.1915271957644034</v>
      </c>
      <c r="Q532">
        <f>(inputs!$C$7*11.2*(12.3*F532^0.65)*0.5/F532)*inputs!$E$73/inputs!$E$74</f>
        <v>0.62964568680851429</v>
      </c>
      <c r="R532">
        <f>(60*379*((F532/1000)^0.8)*3*24*(MAX('Min rate concentrations'!$R$3:$R$368))/F532)*(inputs!$E$73/inputs!$E$75)</f>
        <v>1.7200926921716615E-3</v>
      </c>
      <c r="S532">
        <f>(IF(inputs!$C$6="aerial",((0.025*0.112*inputs!$C$7/3.3)*(3*60*379*((F532/1000)^0.8))*MAX(inputs!$H$14:$H$16))/F532,((0.0083*0.112*inputs!$C$7/1)*(3*60*379*((F532/1000)^0.8))*MAX(inputs!$H$14:$H$16))/F532))*(inputs!E$75/inputs!$E$73)</f>
        <v>9.4864168769134231E-3</v>
      </c>
      <c r="T532">
        <f>IF((((inputs!$P$12/(V532/MAX(K532:S532)))^(1/inputs!$O$12))-1)/inputs!$N$12&lt;0, 0, IF((((inputs!$P$12/(V532/MAX(K532:S532)))^(1/inputs!$O$12))-1)/inputs!$N$12&gt;inputs!$H$17, inputs!$H$17, (((inputs!$P$12/(V532/MAX(K532:S532)))^(1/inputs!$O$12))-1)/inputs!$N$12))</f>
        <v>0</v>
      </c>
      <c r="U532">
        <f>IF((((inputs!$P$12/(X532/MAX(K532:S532)))^(1/inputs!$O$12))-1)/inputs!$N$12&lt;0, 0, IF((((inputs!$P$12/(X532/MAX(K532:S532)))^(1/inputs!$O$12))-1)/inputs!$N$12&gt;inputs!$H$17, inputs!$H$17, (((inputs!$P$12/(X532/MAX(K532:S532)))^(1/inputs!$O$12))-1)/inputs!$N$12))</f>
        <v>0</v>
      </c>
      <c r="V532">
        <f>inputs!$E$70*(F532/inputs!$F$70)^(0.25)</f>
        <v>6.8841681082754063</v>
      </c>
      <c r="W532">
        <f>inputs!$E$76*(inputs!$F$76/F532)^(0.25)</f>
        <v>0.24748737341529164</v>
      </c>
      <c r="X532">
        <f>inputs!$E$72*(inputs!$F$72/F532)^(0.25)</f>
        <v>36.300682387403803</v>
      </c>
      <c r="Y532" t="s">
        <v>13</v>
      </c>
      <c r="Z532">
        <f t="shared" si="57"/>
        <v>0.51924670215363178</v>
      </c>
      <c r="AA532">
        <f t="shared" si="58"/>
        <v>14.443490744454868</v>
      </c>
    </row>
    <row r="533" spans="1:27" x14ac:dyDescent="0.3">
      <c r="A533" t="s">
        <v>600</v>
      </c>
      <c r="B533" t="s">
        <v>601</v>
      </c>
      <c r="C533" t="s">
        <v>61</v>
      </c>
      <c r="D533" t="s">
        <v>454</v>
      </c>
      <c r="E533">
        <v>1239</v>
      </c>
      <c r="F533">
        <v>1400</v>
      </c>
      <c r="G533" t="s">
        <v>138</v>
      </c>
      <c r="H533">
        <v>0.68</v>
      </c>
      <c r="I533">
        <f>MAX('Min rate concentrations'!$L$3:$L$368)</f>
        <v>58.421240152220811</v>
      </c>
      <c r="J533">
        <f>MAX('Min rate concentrations'!AD:AD)</f>
        <v>40.397666062705881</v>
      </c>
      <c r="K533">
        <f t="shared" si="59"/>
        <v>11.816200877151696</v>
      </c>
      <c r="L533">
        <f t="shared" si="56"/>
        <v>8.1707772022857483</v>
      </c>
      <c r="M533">
        <f>IF((((0.326*F533^0.818)-(0.398*F533^0.85)/(1-H533)*H533)*(MAX('Min rate concentrations'!$P$3:$P$368)))/F533&gt;0, (((0.326*F533^0.818)-(0.398*F533^0.85)/(1-H533)*H533)*(MAX('Min rate concentrations'!$P$3:$P$368)))/F533, 0)</f>
        <v>0</v>
      </c>
      <c r="N533">
        <f>IF((((0.326*F533^0.818)-(0.398*F533^0.85)/(1-H533)*H533)*(MAX('Min rate concentrations'!$Q$3:$Q$368)))/F533&gt; 0, (((0.326*F533^0.818)-(0.398*F533^0.85)/(1-H533)*H533)*(MAX('Min rate concentrations'!$Q$3:$Q$368)))/F533, 0)</f>
        <v>0</v>
      </c>
      <c r="O533">
        <f>((MAX('Min rate concentrations'!$F$3:$F$368))*0.62*6.01*8*(12.3*F533^0.65)*0.079*0.1/F533)*inputs!$E$73/inputs!$E$74</f>
        <v>3.5745815872932107</v>
      </c>
      <c r="P533">
        <f>((MAX('Min rate concentrations'!Y:Y))*0.62*6.01*8*(12.3*F533^0.65)*0.079*0.1/F533)*inputs!$E$73/inputs!$E$74</f>
        <v>1.1915271957644034</v>
      </c>
      <c r="Q533">
        <f>(inputs!$C$7*11.2*(12.3*F533^0.65)*0.5/F533)*inputs!$E$73/inputs!$E$74</f>
        <v>0.62964568680851429</v>
      </c>
      <c r="R533">
        <f>(60*379*((F533/1000)^0.8)*3*24*(MAX('Min rate concentrations'!$R$3:$R$368))/F533)*(inputs!$E$73/inputs!$E$75)</f>
        <v>1.7200926921716615E-3</v>
      </c>
      <c r="S533">
        <f>(IF(inputs!$C$6="aerial",((0.025*0.112*inputs!$C$7/3.3)*(3*60*379*((F533/1000)^0.8))*MAX(inputs!$H$14:$H$16))/F533,((0.0083*0.112*inputs!$C$7/1)*(3*60*379*((F533/1000)^0.8))*MAX(inputs!$H$14:$H$16))/F533))*(inputs!E$75/inputs!$E$73)</f>
        <v>9.4864168769134231E-3</v>
      </c>
      <c r="T533">
        <f>IF((((inputs!$P$12/(V533/MAX(K533:S533)))^(1/inputs!$O$12))-1)/inputs!$N$12&lt;0, 0, IF((((inputs!$P$12/(V533/MAX(K533:S533)))^(1/inputs!$O$12))-1)/inputs!$N$12&gt;inputs!$H$17, inputs!$H$17, (((inputs!$P$12/(V533/MAX(K533:S533)))^(1/inputs!$O$12))-1)/inputs!$N$12))</f>
        <v>0</v>
      </c>
      <c r="U533">
        <f>IF((((inputs!$P$12/(X533/MAX(K533:S533)))^(1/inputs!$O$12))-1)/inputs!$N$12&lt;0, 0, IF((((inputs!$P$12/(X533/MAX(K533:S533)))^(1/inputs!$O$12))-1)/inputs!$N$12&gt;inputs!$H$17, inputs!$H$17, (((inputs!$P$12/(X533/MAX(K533:S533)))^(1/inputs!$O$12))-1)/inputs!$N$12))</f>
        <v>0</v>
      </c>
      <c r="V533">
        <f>inputs!$E$70*(F533/inputs!$F$70)^(0.25)</f>
        <v>6.8841681082754063</v>
      </c>
      <c r="W533">
        <f>inputs!$E$76*(inputs!$F$76/F533)^(0.25)</f>
        <v>0.24748737341529164</v>
      </c>
      <c r="X533">
        <f>inputs!$E$72*(inputs!$F$72/F533)^(0.25)</f>
        <v>36.300682387403803</v>
      </c>
      <c r="Y533" t="s">
        <v>13</v>
      </c>
      <c r="Z533">
        <f t="shared" si="57"/>
        <v>1.7164311927460822</v>
      </c>
      <c r="AA533">
        <f t="shared" si="58"/>
        <v>47.744661531979396</v>
      </c>
    </row>
    <row r="534" spans="1:27" x14ac:dyDescent="0.3">
      <c r="A534" t="s">
        <v>600</v>
      </c>
      <c r="B534" t="s">
        <v>601</v>
      </c>
      <c r="C534" t="s">
        <v>61</v>
      </c>
      <c r="D534" t="s">
        <v>454</v>
      </c>
      <c r="E534">
        <v>1239</v>
      </c>
      <c r="F534">
        <v>1400</v>
      </c>
      <c r="G534" t="s">
        <v>152</v>
      </c>
      <c r="H534">
        <v>0.77</v>
      </c>
      <c r="I534">
        <f>MAX('Min rate concentrations'!$G$3:$G$368)</f>
        <v>7.5</v>
      </c>
      <c r="J534">
        <f>MAX('Min rate concentrations'!Z:Z)</f>
        <v>3.5</v>
      </c>
      <c r="K534">
        <f t="shared" si="59"/>
        <v>2.1105249921516727</v>
      </c>
      <c r="L534">
        <f t="shared" si="56"/>
        <v>0.98491166300411404</v>
      </c>
      <c r="M534">
        <f>IF((((0.326*F534^0.818)-(0.398*F534^0.85)/(1-H534)*H534)*(MAX('Min rate concentrations'!$P$3:$P$368)))/F534&gt;0, (((0.326*F534^0.818)-(0.398*F534^0.85)/(1-H534)*H534)*(MAX('Min rate concentrations'!$P$3:$P$368)))/F534, 0)</f>
        <v>0</v>
      </c>
      <c r="N534">
        <f>IF((((0.326*F534^0.818)-(0.398*F534^0.85)/(1-H534)*H534)*(MAX('Min rate concentrations'!$Q$3:$Q$368)))/F534&gt; 0, (((0.326*F534^0.818)-(0.398*F534^0.85)/(1-H534)*H534)*(MAX('Min rate concentrations'!$Q$3:$Q$368)))/F534, 0)</f>
        <v>0</v>
      </c>
      <c r="O534">
        <f>((MAX('Min rate concentrations'!$F$3:$F$368))*0.62*6.01*8*(12.3*F534^0.65)*0.079*0.1/F534)*inputs!$E$73/inputs!$E$74</f>
        <v>3.5745815872932107</v>
      </c>
      <c r="P534">
        <f>((MAX('Min rate concentrations'!Y:Y))*0.62*6.01*8*(12.3*F534^0.65)*0.079*0.1/F534)*inputs!$E$73/inputs!$E$74</f>
        <v>1.1915271957644034</v>
      </c>
      <c r="Q534">
        <f>(inputs!$C$7*11.2*(12.3*F534^0.65)*0.5/F534)*inputs!$E$73/inputs!$E$74</f>
        <v>0.62964568680851429</v>
      </c>
      <c r="R534">
        <f>(60*379*((F534/1000)^0.8)*3*24*(MAX('Min rate concentrations'!$R$3:$R$368))/F534)*(inputs!$E$73/inputs!$E$75)</f>
        <v>1.7200926921716615E-3</v>
      </c>
      <c r="S534">
        <f>(IF(inputs!$C$6="aerial",((0.025*0.112*inputs!$C$7/3.3)*(3*60*379*((F534/1000)^0.8))*MAX(inputs!$H$14:$H$16))/F534,((0.0083*0.112*inputs!$C$7/1)*(3*60*379*((F534/1000)^0.8))*MAX(inputs!$H$14:$H$16))/F534))*(inputs!E$75/inputs!$E$73)</f>
        <v>9.4864168769134231E-3</v>
      </c>
      <c r="T534">
        <f>IF((((inputs!$P$12/(V534/MAX(K534:S534)))^(1/inputs!$O$12))-1)/inputs!$N$12&lt;0, 0, IF((((inputs!$P$12/(V534/MAX(K534:S534)))^(1/inputs!$O$12))-1)/inputs!$N$12&gt;inputs!$H$17, inputs!$H$17, (((inputs!$P$12/(V534/MAX(K534:S534)))^(1/inputs!$O$12))-1)/inputs!$N$12))</f>
        <v>0</v>
      </c>
      <c r="U534">
        <f>IF((((inputs!$P$12/(X534/MAX(K534:S534)))^(1/inputs!$O$12))-1)/inputs!$N$12&lt;0, 0, IF((((inputs!$P$12/(X534/MAX(K534:S534)))^(1/inputs!$O$12))-1)/inputs!$N$12&gt;inputs!$H$17, inputs!$H$17, (((inputs!$P$12/(X534/MAX(K534:S534)))^(1/inputs!$O$12))-1)/inputs!$N$12))</f>
        <v>0</v>
      </c>
      <c r="V534">
        <f>inputs!$E$70*(F534/inputs!$F$70)^(0.25)</f>
        <v>6.8841681082754063</v>
      </c>
      <c r="W534">
        <f>inputs!$E$76*(inputs!$F$76/F534)^(0.25)</f>
        <v>0.24748737341529164</v>
      </c>
      <c r="X534">
        <f>inputs!$E$72*(inputs!$F$72/F534)^(0.25)</f>
        <v>36.300682387403803</v>
      </c>
      <c r="Y534" t="s">
        <v>13</v>
      </c>
      <c r="Z534">
        <f t="shared" si="57"/>
        <v>0.51924670215363178</v>
      </c>
      <c r="AA534">
        <f t="shared" si="58"/>
        <v>14.443490744454868</v>
      </c>
    </row>
    <row r="535" spans="1:27" x14ac:dyDescent="0.3">
      <c r="A535" t="s">
        <v>600</v>
      </c>
      <c r="B535" t="s">
        <v>601</v>
      </c>
      <c r="C535" t="s">
        <v>61</v>
      </c>
      <c r="D535" t="s">
        <v>454</v>
      </c>
      <c r="E535">
        <v>1239</v>
      </c>
      <c r="F535">
        <v>1400</v>
      </c>
      <c r="G535" t="s">
        <v>169</v>
      </c>
      <c r="H535">
        <v>0.79</v>
      </c>
      <c r="I535">
        <f>MAX('Min rate concentrations'!$D$3:$D$368)</f>
        <v>120</v>
      </c>
      <c r="J535">
        <f>MAX('Min rate concentrations'!W:W)</f>
        <v>42.5</v>
      </c>
      <c r="K535">
        <f t="shared" si="59"/>
        <v>36.984437957705509</v>
      </c>
      <c r="L535">
        <f t="shared" si="56"/>
        <v>13.098655110020699</v>
      </c>
      <c r="M535">
        <f>IF((((0.326*F535^0.818)-(0.398*F535^0.85)/(1-H535)*H535)*(MAX('Min rate concentrations'!$P$3:$P$368)))/F535&gt;0, (((0.326*F535^0.818)-(0.398*F535^0.85)/(1-H535)*H535)*(MAX('Min rate concentrations'!$P$3:$P$368)))/F535, 0)</f>
        <v>0</v>
      </c>
      <c r="N535">
        <f>IF((((0.326*F535^0.818)-(0.398*F535^0.85)/(1-H535)*H535)*(MAX('Min rate concentrations'!$Q$3:$Q$368)))/F535&gt; 0, (((0.326*F535^0.818)-(0.398*F535^0.85)/(1-H535)*H535)*(MAX('Min rate concentrations'!$Q$3:$Q$368)))/F535, 0)</f>
        <v>0</v>
      </c>
      <c r="O535">
        <f>((MAX('Min rate concentrations'!$F$3:$F$368))*0.62*6.01*8*(12.3*F535^0.65)*0.079*0.1/F535)*inputs!$E$73/inputs!$E$74</f>
        <v>3.5745815872932107</v>
      </c>
      <c r="P535">
        <f>((MAX('Min rate concentrations'!Y:Y))*0.62*6.01*8*(12.3*F535^0.65)*0.079*0.1/F535)*inputs!$E$73/inputs!$E$74</f>
        <v>1.1915271957644034</v>
      </c>
      <c r="Q535">
        <f>(inputs!$C$7*11.2*(12.3*F535^0.65)*0.5/F535)*inputs!$E$73/inputs!$E$74</f>
        <v>0.62964568680851429</v>
      </c>
      <c r="R535">
        <f>(60*379*((F535/1000)^0.8)*3*24*(MAX('Min rate concentrations'!$R$3:$R$368))/F535)*(inputs!$E$73/inputs!$E$75)</f>
        <v>1.7200926921716615E-3</v>
      </c>
      <c r="S535">
        <f>(IF(inputs!$C$6="aerial",((0.025*0.112*inputs!$C$7/3.3)*(3*60*379*((F535/1000)^0.8))*MAX(inputs!$H$14:$H$16))/F535,((0.0083*0.112*inputs!$C$7/1)*(3*60*379*((F535/1000)^0.8))*MAX(inputs!$H$14:$H$16))/F535))*(inputs!E$75/inputs!$E$73)</f>
        <v>9.4864168769134231E-3</v>
      </c>
      <c r="T535">
        <f>IF((((inputs!$P$12/(V535/MAX(K535:S535)))^(1/inputs!$O$12))-1)/inputs!$N$12&lt;0, 0, IF((((inputs!$P$12/(V535/MAX(K535:S535)))^(1/inputs!$O$12))-1)/inputs!$N$12&gt;inputs!$H$17, inputs!$H$17, (((inputs!$P$12/(V535/MAX(K535:S535)))^(1/inputs!$O$12))-1)/inputs!$N$12))</f>
        <v>13.260364077107427</v>
      </c>
      <c r="U535">
        <f>IF((((inputs!$P$12/(X535/MAX(K535:S535)))^(1/inputs!$O$12))-1)/inputs!$N$12&lt;0, 0, IF((((inputs!$P$12/(X535/MAX(K535:S535)))^(1/inputs!$O$12))-1)/inputs!$N$12&gt;inputs!$H$17, inputs!$H$17, (((inputs!$P$12/(X535/MAX(K535:S535)))^(1/inputs!$O$12))-1)/inputs!$N$12))</f>
        <v>0</v>
      </c>
      <c r="V535">
        <f>inputs!$E$70*(F535/inputs!$F$70)^(0.25)</f>
        <v>6.8841681082754063</v>
      </c>
      <c r="W535">
        <f>inputs!$E$76*(inputs!$F$76/F535)^(0.25)</f>
        <v>0.24748737341529164</v>
      </c>
      <c r="X535">
        <f>inputs!$E$72*(inputs!$F$72/F535)^(0.25)</f>
        <v>36.300682387403803</v>
      </c>
      <c r="Y535" t="s">
        <v>13</v>
      </c>
      <c r="Z535">
        <f t="shared" si="57"/>
        <v>5.3723902984366108</v>
      </c>
      <c r="AA535">
        <f t="shared" si="58"/>
        <v>149.43969644723836</v>
      </c>
    </row>
    <row r="536" spans="1:27" x14ac:dyDescent="0.3">
      <c r="A536" t="s">
        <v>600</v>
      </c>
      <c r="B536" t="s">
        <v>601</v>
      </c>
      <c r="C536" t="s">
        <v>61</v>
      </c>
      <c r="D536" t="s">
        <v>454</v>
      </c>
      <c r="E536">
        <v>1239</v>
      </c>
      <c r="F536">
        <v>1400</v>
      </c>
      <c r="G536" t="s">
        <v>456</v>
      </c>
      <c r="H536">
        <v>0.68</v>
      </c>
      <c r="I536">
        <f>MAX('Min rate concentrations'!$J$3:$J$368)</f>
        <v>114.4108103430513</v>
      </c>
      <c r="J536">
        <f>MAX('Min rate concentrations'!AB:AB)</f>
        <v>40.520495329830666</v>
      </c>
      <c r="K536">
        <f t="shared" si="59"/>
        <v>23.140575482627927</v>
      </c>
      <c r="L536">
        <f t="shared" si="56"/>
        <v>8.1956204834307229</v>
      </c>
      <c r="M536">
        <f>IF((((0.326*F536^0.818)-(0.398*F536^0.85)/(1-H536)*H536)*(MAX('Min rate concentrations'!$P$3:$P$368)))/F536&gt;0, (((0.326*F536^0.818)-(0.398*F536^0.85)/(1-H536)*H536)*(MAX('Min rate concentrations'!$P$3:$P$368)))/F536, 0)</f>
        <v>0</v>
      </c>
      <c r="N536">
        <f>IF((((0.326*F536^0.818)-(0.398*F536^0.85)/(1-H536)*H536)*(MAX('Min rate concentrations'!$Q$3:$Q$368)))/F536&gt; 0, (((0.326*F536^0.818)-(0.398*F536^0.85)/(1-H536)*H536)*(MAX('Min rate concentrations'!$Q$3:$Q$368)))/F536, 0)</f>
        <v>0</v>
      </c>
      <c r="O536">
        <f>((MAX('Min rate concentrations'!$F$3:$F$368))*0.62*6.01*8*(12.3*F536^0.65)*0.079*0.1/F536)*inputs!$E$73/inputs!$E$74</f>
        <v>3.5745815872932107</v>
      </c>
      <c r="P536">
        <f>((MAX('Min rate concentrations'!Y:Y))*0.62*6.01*8*(12.3*F536^0.65)*0.079*0.1/F536)*inputs!$E$73/inputs!$E$74</f>
        <v>1.1915271957644034</v>
      </c>
      <c r="Q536">
        <f>(inputs!$C$7*11.2*(12.3*F536^0.65)*0.5/F536)*inputs!$E$73/inputs!$E$74</f>
        <v>0.62964568680851429</v>
      </c>
      <c r="R536">
        <f>(60*379*((F536/1000)^0.8)*3*24*(MAX('Min rate concentrations'!$R$3:$R$368))/F536)*(inputs!$E$73/inputs!$E$75)</f>
        <v>1.7200926921716615E-3</v>
      </c>
      <c r="S536">
        <f>(IF(inputs!$C$6="aerial",((0.025*0.112*inputs!$C$7/3.3)*(3*60*379*((F536/1000)^0.8))*MAX(inputs!$H$14:$H$16))/F536,((0.0083*0.112*inputs!$C$7/1)*(3*60*379*((F536/1000)^0.8))*MAX(inputs!$H$14:$H$16))/F536))*(inputs!E$75/inputs!$E$73)</f>
        <v>9.4864168769134231E-3</v>
      </c>
      <c r="T536">
        <f>IF((((inputs!$P$12/(V536/MAX(K536:S536)))^(1/inputs!$O$12))-1)/inputs!$N$12&lt;0, 0, IF((((inputs!$P$12/(V536/MAX(K536:S536)))^(1/inputs!$O$12))-1)/inputs!$N$12&gt;inputs!$H$17, inputs!$H$17, (((inputs!$P$12/(V536/MAX(K536:S536)))^(1/inputs!$O$12))-1)/inputs!$N$12))</f>
        <v>6.0109138970664153</v>
      </c>
      <c r="U536">
        <f>IF((((inputs!$P$12/(X536/MAX(K536:S536)))^(1/inputs!$O$12))-1)/inputs!$N$12&lt;0, 0, IF((((inputs!$P$12/(X536/MAX(K536:S536)))^(1/inputs!$O$12))-1)/inputs!$N$12&gt;inputs!$H$17, inputs!$H$17, (((inputs!$P$12/(X536/MAX(K536:S536)))^(1/inputs!$O$12))-1)/inputs!$N$12))</f>
        <v>0</v>
      </c>
      <c r="V536">
        <f>inputs!$E$70*(F536/inputs!$F$70)^(0.25)</f>
        <v>6.8841681082754063</v>
      </c>
      <c r="W536">
        <f>inputs!$E$76*(inputs!$F$76/F536)^(0.25)</f>
        <v>0.24748737341529164</v>
      </c>
      <c r="X536">
        <f>inputs!$E$72*(inputs!$F$72/F536)^(0.25)</f>
        <v>36.300682387403803</v>
      </c>
      <c r="Y536" t="s">
        <v>13</v>
      </c>
      <c r="Z536">
        <f t="shared" si="57"/>
        <v>3.3614192911429366</v>
      </c>
      <c r="AA536">
        <f t="shared" si="58"/>
        <v>93.502044824716407</v>
      </c>
    </row>
    <row r="537" spans="1:27" x14ac:dyDescent="0.3">
      <c r="A537" t="s">
        <v>600</v>
      </c>
      <c r="B537" t="s">
        <v>601</v>
      </c>
      <c r="C537" t="s">
        <v>61</v>
      </c>
      <c r="D537" t="s">
        <v>454</v>
      </c>
      <c r="E537">
        <v>1239</v>
      </c>
      <c r="F537">
        <v>1400</v>
      </c>
      <c r="G537" t="s">
        <v>145</v>
      </c>
      <c r="H537">
        <v>0.66</v>
      </c>
      <c r="I537">
        <f>MAX('Min rate concentrations'!$M$3:$M$368)</f>
        <v>2.8488184789681945</v>
      </c>
      <c r="J537">
        <f>MAX('Min rate concentrations'!AE:AE)</f>
        <v>1.9699276716269429</v>
      </c>
      <c r="K537">
        <f t="shared" si="59"/>
        <v>0.54230415589496261</v>
      </c>
      <c r="L537">
        <f t="shared" si="56"/>
        <v>0.37499755460821876</v>
      </c>
      <c r="M537">
        <f>IF((((0.326*F537^0.818)-(0.398*F537^0.85)/(1-H537)*H537)*(MAX('Min rate concentrations'!$P$3:$P$368)))/F537&gt;0, (((0.326*F537^0.818)-(0.398*F537^0.85)/(1-H537)*H537)*(MAX('Min rate concentrations'!$P$3:$P$368)))/F537, 0)</f>
        <v>0</v>
      </c>
      <c r="N537">
        <f>IF((((0.326*F537^0.818)-(0.398*F537^0.85)/(1-H537)*H537)*(MAX('Min rate concentrations'!$Q$3:$Q$368)))/F537&gt; 0, (((0.326*F537^0.818)-(0.398*F537^0.85)/(1-H537)*H537)*(MAX('Min rate concentrations'!$Q$3:$Q$368)))/F537, 0)</f>
        <v>0</v>
      </c>
      <c r="O537">
        <f>((MAX('Min rate concentrations'!$F$3:$F$368))*0.62*6.01*8*(12.3*F537^0.65)*0.079*0.1/F537)*inputs!$E$73/inputs!$E$74</f>
        <v>3.5745815872932107</v>
      </c>
      <c r="P537">
        <f>((MAX('Min rate concentrations'!Y:Y))*0.62*6.01*8*(12.3*F537^0.65)*0.079*0.1/F537)*inputs!$E$73/inputs!$E$74</f>
        <v>1.1915271957644034</v>
      </c>
      <c r="Q537">
        <f>(inputs!$C$7*11.2*(12.3*F537^0.65)*0.5/F537)*inputs!$E$73/inputs!$E$74</f>
        <v>0.62964568680851429</v>
      </c>
      <c r="R537">
        <f>(60*379*((F537/1000)^0.8)*3*24*(MAX('Min rate concentrations'!$R$3:$R$368))/F537)*(inputs!$E$73/inputs!$E$75)</f>
        <v>1.7200926921716615E-3</v>
      </c>
      <c r="S537">
        <f>(IF(inputs!$C$6="aerial",((0.025*0.112*inputs!$C$7/3.3)*(3*60*379*((F537/1000)^0.8))*MAX(inputs!$H$14:$H$16))/F537,((0.0083*0.112*inputs!$C$7/1)*(3*60*379*((F537/1000)^0.8))*MAX(inputs!$H$14:$H$16))/F537))*(inputs!E$75/inputs!$E$73)</f>
        <v>9.4864168769134231E-3</v>
      </c>
      <c r="T537">
        <f>IF((((inputs!$P$12/(V537/MAX(K537:S537)))^(1/inputs!$O$12))-1)/inputs!$N$12&lt;0, 0, IF((((inputs!$P$12/(V537/MAX(K537:S537)))^(1/inputs!$O$12))-1)/inputs!$N$12&gt;inputs!$H$17, inputs!$H$17, (((inputs!$P$12/(V537/MAX(K537:S537)))^(1/inputs!$O$12))-1)/inputs!$N$12))</f>
        <v>0</v>
      </c>
      <c r="U537">
        <f>IF((((inputs!$P$12/(X537/MAX(K537:S537)))^(1/inputs!$O$12))-1)/inputs!$N$12&lt;0, 0, IF((((inputs!$P$12/(X537/MAX(K537:S537)))^(1/inputs!$O$12))-1)/inputs!$N$12&gt;inputs!$H$17, inputs!$H$17, (((inputs!$P$12/(X537/MAX(K537:S537)))^(1/inputs!$O$12))-1)/inputs!$N$12))</f>
        <v>0</v>
      </c>
      <c r="V537">
        <f>inputs!$E$70*(F537/inputs!$F$70)^(0.25)</f>
        <v>6.8841681082754063</v>
      </c>
      <c r="W537">
        <f>inputs!$E$76*(inputs!$F$76/F537)^(0.25)</f>
        <v>0.24748737341529164</v>
      </c>
      <c r="X537">
        <f>inputs!$E$72*(inputs!$F$72/F537)^(0.25)</f>
        <v>36.300682387403803</v>
      </c>
      <c r="Y537" t="s">
        <v>13</v>
      </c>
      <c r="Z537">
        <f t="shared" si="57"/>
        <v>0.51924670215363178</v>
      </c>
      <c r="AA537">
        <f t="shared" si="58"/>
        <v>14.443490744454868</v>
      </c>
    </row>
    <row r="538" spans="1:27" x14ac:dyDescent="0.3">
      <c r="A538" t="s">
        <v>872</v>
      </c>
      <c r="B538" t="s">
        <v>874</v>
      </c>
      <c r="C538" t="s">
        <v>61</v>
      </c>
      <c r="D538" t="s">
        <v>454</v>
      </c>
      <c r="E538">
        <v>11260</v>
      </c>
      <c r="F538">
        <v>4200</v>
      </c>
      <c r="G538" t="s">
        <v>456</v>
      </c>
      <c r="H538">
        <v>0.68</v>
      </c>
      <c r="I538">
        <f>MAX('Min rate concentrations'!$J$3:$J$368)</f>
        <v>114.4108103430513</v>
      </c>
      <c r="J538">
        <f>MAX('Min rate concentrations'!AB:AB)</f>
        <v>40.520495329830666</v>
      </c>
      <c r="K538">
        <f t="shared" si="59"/>
        <v>19.03034106573714</v>
      </c>
      <c r="L538">
        <f t="shared" si="56"/>
        <v>6.7399124607819036</v>
      </c>
      <c r="M538">
        <f>IF((((0.326*F538^0.818)-(0.398*F538^0.85)/(1-H538)*H538)*(MAX('Min rate concentrations'!$P$3:$P$368)))/F538&gt;0, (((0.326*F538^0.818)-(0.398*F538^0.85)/(1-H538)*H538)*(MAX('Min rate concentrations'!$P$3:$P$368)))/F538, 0)</f>
        <v>0</v>
      </c>
      <c r="N538">
        <f>IF((((0.326*F538^0.818)-(0.398*F538^0.85)/(1-H538)*H538)*(MAX('Min rate concentrations'!$Q$3:$Q$368)))/F538&gt; 0, (((0.326*F538^0.818)-(0.398*F538^0.85)/(1-H538)*H538)*(MAX('Min rate concentrations'!$Q$3:$Q$368)))/F538, 0)</f>
        <v>0</v>
      </c>
      <c r="O538">
        <f>((MAX('Min rate concentrations'!$F$3:$F$368))*0.62*6.01*8*(12.3*F538^0.65)*0.079*0.1/F538)*inputs!$E$73/inputs!$E$74</f>
        <v>2.4335079805591318</v>
      </c>
      <c r="P538">
        <f>((MAX('Min rate concentrations'!Y:Y))*0.62*6.01*8*(12.3*F538^0.65)*0.079*0.1/F538)*inputs!$E$73/inputs!$E$74</f>
        <v>0.81116932685304399</v>
      </c>
      <c r="Q538">
        <f>(inputs!$C$7*11.2*(12.3*F538^0.65)*0.5/F538)*inputs!$E$73/inputs!$E$74</f>
        <v>0.42865095294507549</v>
      </c>
      <c r="R538">
        <f>(60*379*((F538/1000)^0.8)*3*24*(MAX('Min rate concentrations'!$R$3:$R$368))/F538)*(inputs!$E$73/inputs!$E$75)</f>
        <v>1.380789894086239E-3</v>
      </c>
      <c r="S538">
        <f>(IF(inputs!$C$6="aerial",((0.025*0.112*inputs!$C$7/3.3)*(3*60*379*((F538/1000)^0.8))*MAX(inputs!$H$14:$H$16))/F538,((0.0083*0.112*inputs!$C$7/1)*(3*60*379*((F538/1000)^0.8))*MAX(inputs!$H$14:$H$16))/F538))*(inputs!E$75/inputs!$E$73)</f>
        <v>7.615141099282091E-3</v>
      </c>
      <c r="T538">
        <f>IF((((inputs!$P$12/(V538/MAX(K538:S538)))^(1/inputs!$O$12))-1)/inputs!$N$12&lt;0, 0, IF((((inputs!$P$12/(V538/MAX(K538:S538)))^(1/inputs!$O$12))-1)/inputs!$N$12&gt;inputs!$H$17, inputs!$H$17, (((inputs!$P$12/(V538/MAX(K538:S538)))^(1/inputs!$O$12))-1)/inputs!$N$12))</f>
        <v>5.2134376404105705E-3</v>
      </c>
      <c r="U538">
        <f>IF((((inputs!$P$12/(X538/MAX(K538:S538)))^(1/inputs!$O$12))-1)/inputs!$N$12&lt;0, 0, IF((((inputs!$P$12/(X538/MAX(K538:S538)))^(1/inputs!$O$12))-1)/inputs!$N$12&gt;inputs!$H$17, inputs!$H$17, (((inputs!$P$12/(X538/MAX(K538:S538)))^(1/inputs!$O$12))-1)/inputs!$N$12))</f>
        <v>0</v>
      </c>
      <c r="V538">
        <f>inputs!$E$70*(F538/inputs!$F$70)^(0.25)</f>
        <v>9.0600747480975805</v>
      </c>
      <c r="W538">
        <f>inputs!$E$76*(inputs!$F$76/F538)^(0.25)</f>
        <v>0.18804973806911984</v>
      </c>
      <c r="X538">
        <f>inputs!$E$72*(inputs!$F$72/F538)^(0.25)</f>
        <v>27.58255389145366</v>
      </c>
      <c r="Y538" t="s">
        <v>13</v>
      </c>
      <c r="Z538">
        <f t="shared" si="57"/>
        <v>2.1004618168004741</v>
      </c>
      <c r="AA538">
        <f t="shared" si="58"/>
        <v>101.19844494940121</v>
      </c>
    </row>
    <row r="539" spans="1:27" x14ac:dyDescent="0.3">
      <c r="A539" t="s">
        <v>872</v>
      </c>
      <c r="B539" t="s">
        <v>874</v>
      </c>
      <c r="C539" t="s">
        <v>61</v>
      </c>
      <c r="D539" t="s">
        <v>454</v>
      </c>
      <c r="E539">
        <v>11260</v>
      </c>
      <c r="F539">
        <v>4200</v>
      </c>
      <c r="G539" t="s">
        <v>152</v>
      </c>
      <c r="H539">
        <v>0.77</v>
      </c>
      <c r="I539">
        <f>MAX('Min rate concentrations'!$G$3:$G$368)</f>
        <v>7.5</v>
      </c>
      <c r="J539">
        <f>MAX('Min rate concentrations'!Z:Z)</f>
        <v>3.5</v>
      </c>
      <c r="K539">
        <f t="shared" si="59"/>
        <v>1.7356530505717296</v>
      </c>
      <c r="L539">
        <f t="shared" si="56"/>
        <v>0.80997142360014052</v>
      </c>
      <c r="M539">
        <f>IF((((0.326*F539^0.818)-(0.398*F539^0.85)/(1-H539)*H539)*(MAX('Min rate concentrations'!$P$3:$P$368)))/F539&gt;0, (((0.326*F539^0.818)-(0.398*F539^0.85)/(1-H539)*H539)*(MAX('Min rate concentrations'!$P$3:$P$368)))/F539, 0)</f>
        <v>0</v>
      </c>
      <c r="N539">
        <f>IF((((0.326*F539^0.818)-(0.398*F539^0.85)/(1-H539)*H539)*(MAX('Min rate concentrations'!$Q$3:$Q$368)))/F539&gt; 0, (((0.326*F539^0.818)-(0.398*F539^0.85)/(1-H539)*H539)*(MAX('Min rate concentrations'!$Q$3:$Q$368)))/F539, 0)</f>
        <v>0</v>
      </c>
      <c r="O539">
        <f>((MAX('Min rate concentrations'!$F$3:$F$368))*0.62*6.01*8*(12.3*F539^0.65)*0.079*0.1/F539)*inputs!$E$73/inputs!$E$74</f>
        <v>2.4335079805591318</v>
      </c>
      <c r="P539">
        <f>((MAX('Min rate concentrations'!Y:Y))*0.62*6.01*8*(12.3*F539^0.65)*0.079*0.1/F539)*inputs!$E$73/inputs!$E$74</f>
        <v>0.81116932685304399</v>
      </c>
      <c r="Q539">
        <f>(inputs!$C$7*11.2*(12.3*F539^0.65)*0.5/F539)*inputs!$E$73/inputs!$E$74</f>
        <v>0.42865095294507549</v>
      </c>
      <c r="R539">
        <f>(60*379*((F539/1000)^0.8)*3*24*(MAX('Min rate concentrations'!$R$3:$R$368))/F539)*(inputs!$E$73/inputs!$E$75)</f>
        <v>1.380789894086239E-3</v>
      </c>
      <c r="S539">
        <f>(IF(inputs!$C$6="aerial",((0.025*0.112*inputs!$C$7/3.3)*(3*60*379*((F539/1000)^0.8))*MAX(inputs!$H$14:$H$16))/F539,((0.0083*0.112*inputs!$C$7/1)*(3*60*379*((F539/1000)^0.8))*MAX(inputs!$H$14:$H$16))/F539))*(inputs!E$75/inputs!$E$73)</f>
        <v>7.615141099282091E-3</v>
      </c>
      <c r="T539">
        <f>IF((((inputs!$P$12/(V539/MAX(K539:S539)))^(1/inputs!$O$12))-1)/inputs!$N$12&lt;0, 0, IF((((inputs!$P$12/(V539/MAX(K539:S539)))^(1/inputs!$O$12))-1)/inputs!$N$12&gt;inputs!$H$17, inputs!$H$17, (((inputs!$P$12/(V539/MAX(K539:S539)))^(1/inputs!$O$12))-1)/inputs!$N$12))</f>
        <v>0</v>
      </c>
      <c r="U539">
        <f>IF((((inputs!$P$12/(X539/MAX(K539:S539)))^(1/inputs!$O$12))-1)/inputs!$N$12&lt;0, 0, IF((((inputs!$P$12/(X539/MAX(K539:S539)))^(1/inputs!$O$12))-1)/inputs!$N$12&gt;inputs!$H$17, inputs!$H$17, (((inputs!$P$12/(X539/MAX(K539:S539)))^(1/inputs!$O$12))-1)/inputs!$N$12))</f>
        <v>0</v>
      </c>
      <c r="V539">
        <f>inputs!$E$70*(F539/inputs!$F$70)^(0.25)</f>
        <v>9.0600747480975805</v>
      </c>
      <c r="W539">
        <f>inputs!$E$76*(inputs!$F$76/F539)^(0.25)</f>
        <v>0.18804973806911984</v>
      </c>
      <c r="X539">
        <f>inputs!$E$72*(inputs!$F$72/F539)^(0.25)</f>
        <v>27.58255389145366</v>
      </c>
      <c r="Y539" t="s">
        <v>13</v>
      </c>
      <c r="Z539">
        <f t="shared" si="57"/>
        <v>0.26859689883575361</v>
      </c>
      <c r="AA539">
        <f t="shared" si="58"/>
        <v>12.94076772212609</v>
      </c>
    </row>
    <row r="540" spans="1:27" x14ac:dyDescent="0.3">
      <c r="A540" t="s">
        <v>872</v>
      </c>
      <c r="B540" t="s">
        <v>874</v>
      </c>
      <c r="C540" t="s">
        <v>61</v>
      </c>
      <c r="D540" t="s">
        <v>454</v>
      </c>
      <c r="E540">
        <v>11260</v>
      </c>
      <c r="F540">
        <v>4200</v>
      </c>
      <c r="G540" t="s">
        <v>218</v>
      </c>
      <c r="H540">
        <v>0.68</v>
      </c>
      <c r="I540">
        <f>MAX('Min rate concentrations'!$K$3:$K$368)</f>
        <v>18.333393099490852</v>
      </c>
      <c r="J540">
        <f>MAX('Min rate concentrations'!AC:AC)</f>
        <v>6.4930767227363431</v>
      </c>
      <c r="K540">
        <f t="shared" si="59"/>
        <v>3.0494559257942746</v>
      </c>
      <c r="L540">
        <f t="shared" si="56"/>
        <v>1.0800156403854722</v>
      </c>
      <c r="M540">
        <f>IF((((0.326*F540^0.818)-(0.398*F540^0.85)/(1-H540)*H540)*(MAX('Min rate concentrations'!$P$3:$P$368)))/F540&gt;0, (((0.326*F540^0.818)-(0.398*F540^0.85)/(1-H540)*H540)*(MAX('Min rate concentrations'!$P$3:$P$368)))/F540, 0)</f>
        <v>0</v>
      </c>
      <c r="N540">
        <f>IF((((0.326*F540^0.818)-(0.398*F540^0.85)/(1-H540)*H540)*(MAX('Min rate concentrations'!$Q$3:$Q$368)))/F540&gt; 0, (((0.326*F540^0.818)-(0.398*F540^0.85)/(1-H540)*H540)*(MAX('Min rate concentrations'!$Q$3:$Q$368)))/F540, 0)</f>
        <v>0</v>
      </c>
      <c r="O540">
        <f>((MAX('Min rate concentrations'!$F$3:$F$368))*0.62*6.01*8*(12.3*F540^0.65)*0.079*0.1/F540)*inputs!$E$73/inputs!$E$74</f>
        <v>2.4335079805591318</v>
      </c>
      <c r="P540">
        <f>((MAX('Min rate concentrations'!Y:Y))*0.62*6.01*8*(12.3*F540^0.65)*0.079*0.1/F540)*inputs!$E$73/inputs!$E$74</f>
        <v>0.81116932685304399</v>
      </c>
      <c r="Q540">
        <f>(inputs!$C$7*11.2*(12.3*F540^0.65)*0.5/F540)*inputs!$E$73/inputs!$E$74</f>
        <v>0.42865095294507549</v>
      </c>
      <c r="R540">
        <f>(60*379*((F540/1000)^0.8)*3*24*(MAX('Min rate concentrations'!$R$3:$R$368))/F540)*(inputs!$E$73/inputs!$E$75)</f>
        <v>1.380789894086239E-3</v>
      </c>
      <c r="S540">
        <f>(IF(inputs!$C$6="aerial",((0.025*0.112*inputs!$C$7/3.3)*(3*60*379*((F540/1000)^0.8))*MAX(inputs!$H$14:$H$16))/F540,((0.0083*0.112*inputs!$C$7/1)*(3*60*379*((F540/1000)^0.8))*MAX(inputs!$H$14:$H$16))/F540))*(inputs!E$75/inputs!$E$73)</f>
        <v>7.615141099282091E-3</v>
      </c>
      <c r="T540">
        <f>IF((((inputs!$P$12/(V540/MAX(K540:S540)))^(1/inputs!$O$12))-1)/inputs!$N$12&lt;0, 0, IF((((inputs!$P$12/(V540/MAX(K540:S540)))^(1/inputs!$O$12))-1)/inputs!$N$12&gt;inputs!$H$17, inputs!$H$17, (((inputs!$P$12/(V540/MAX(K540:S540)))^(1/inputs!$O$12))-1)/inputs!$N$12))</f>
        <v>0</v>
      </c>
      <c r="U540">
        <f>IF((((inputs!$P$12/(X540/MAX(K540:S540)))^(1/inputs!$O$12))-1)/inputs!$N$12&lt;0, 0, IF((((inputs!$P$12/(X540/MAX(K540:S540)))^(1/inputs!$O$12))-1)/inputs!$N$12&gt;inputs!$H$17, inputs!$H$17, (((inputs!$P$12/(X540/MAX(K540:S540)))^(1/inputs!$O$12))-1)/inputs!$N$12))</f>
        <v>0</v>
      </c>
      <c r="V540">
        <f>inputs!$E$70*(F540/inputs!$F$70)^(0.25)</f>
        <v>9.0600747480975805</v>
      </c>
      <c r="W540">
        <f>inputs!$E$76*(inputs!$F$76/F540)^(0.25)</f>
        <v>0.18804973806911984</v>
      </c>
      <c r="X540">
        <f>inputs!$E$72*(inputs!$F$72/F540)^(0.25)</f>
        <v>27.58255389145366</v>
      </c>
      <c r="Y540" t="s">
        <v>13</v>
      </c>
      <c r="Z540">
        <f t="shared" si="57"/>
        <v>0.33658176235627574</v>
      </c>
      <c r="AA540">
        <f t="shared" si="58"/>
        <v>16.216220012353393</v>
      </c>
    </row>
    <row r="541" spans="1:27" x14ac:dyDescent="0.3">
      <c r="A541" t="s">
        <v>872</v>
      </c>
      <c r="B541" t="s">
        <v>874</v>
      </c>
      <c r="C541" t="s">
        <v>61</v>
      </c>
      <c r="D541" t="s">
        <v>454</v>
      </c>
      <c r="E541">
        <v>11260</v>
      </c>
      <c r="F541">
        <v>4200</v>
      </c>
      <c r="G541" t="s">
        <v>138</v>
      </c>
      <c r="H541">
        <v>0.68</v>
      </c>
      <c r="I541">
        <f>MAX('Min rate concentrations'!$L$3:$L$368)</f>
        <v>58.421240152220811</v>
      </c>
      <c r="J541">
        <f>MAX('Min rate concentrations'!AD:AD)</f>
        <v>40.397666062705881</v>
      </c>
      <c r="K541">
        <f t="shared" si="59"/>
        <v>9.7174045201369612</v>
      </c>
      <c r="L541">
        <f t="shared" si="56"/>
        <v>6.7194818490308768</v>
      </c>
      <c r="M541">
        <f>IF((((0.326*F541^0.818)-(0.398*F541^0.85)/(1-H541)*H541)*(MAX('Min rate concentrations'!$P$3:$P$368)))/F541&gt;0, (((0.326*F541^0.818)-(0.398*F541^0.85)/(1-H541)*H541)*(MAX('Min rate concentrations'!$P$3:$P$368)))/F541, 0)</f>
        <v>0</v>
      </c>
      <c r="N541">
        <f>IF((((0.326*F541^0.818)-(0.398*F541^0.85)/(1-H541)*H541)*(MAX('Min rate concentrations'!$Q$3:$Q$368)))/F541&gt; 0, (((0.326*F541^0.818)-(0.398*F541^0.85)/(1-H541)*H541)*(MAX('Min rate concentrations'!$Q$3:$Q$368)))/F541, 0)</f>
        <v>0</v>
      </c>
      <c r="O541">
        <f>((MAX('Min rate concentrations'!$F$3:$F$368))*0.62*6.01*8*(12.3*F541^0.65)*0.079*0.1/F541)*inputs!$E$73/inputs!$E$74</f>
        <v>2.4335079805591318</v>
      </c>
      <c r="P541">
        <f>((MAX('Min rate concentrations'!Y:Y))*0.62*6.01*8*(12.3*F541^0.65)*0.079*0.1/F541)*inputs!$E$73/inputs!$E$74</f>
        <v>0.81116932685304399</v>
      </c>
      <c r="Q541">
        <f>(inputs!$C$7*11.2*(12.3*F541^0.65)*0.5/F541)*inputs!$E$73/inputs!$E$74</f>
        <v>0.42865095294507549</v>
      </c>
      <c r="R541">
        <f>(60*379*((F541/1000)^0.8)*3*24*(MAX('Min rate concentrations'!$R$3:$R$368))/F541)*(inputs!$E$73/inputs!$E$75)</f>
        <v>1.380789894086239E-3</v>
      </c>
      <c r="S541">
        <f>(IF(inputs!$C$6="aerial",((0.025*0.112*inputs!$C$7/3.3)*(3*60*379*((F541/1000)^0.8))*MAX(inputs!$H$14:$H$16))/F541,((0.0083*0.112*inputs!$C$7/1)*(3*60*379*((F541/1000)^0.8))*MAX(inputs!$H$14:$H$16))/F541))*(inputs!E$75/inputs!$E$73)</f>
        <v>7.615141099282091E-3</v>
      </c>
      <c r="T541">
        <f>IF((((inputs!$P$12/(V541/MAX(K541:S541)))^(1/inputs!$O$12))-1)/inputs!$N$12&lt;0, 0, IF((((inputs!$P$12/(V541/MAX(K541:S541)))^(1/inputs!$O$12))-1)/inputs!$N$12&gt;inputs!$H$17, inputs!$H$17, (((inputs!$P$12/(V541/MAX(K541:S541)))^(1/inputs!$O$12))-1)/inputs!$N$12))</f>
        <v>0</v>
      </c>
      <c r="U541">
        <f>IF((((inputs!$P$12/(X541/MAX(K541:S541)))^(1/inputs!$O$12))-1)/inputs!$N$12&lt;0, 0, IF((((inputs!$P$12/(X541/MAX(K541:S541)))^(1/inputs!$O$12))-1)/inputs!$N$12&gt;inputs!$H$17, inputs!$H$17, (((inputs!$P$12/(X541/MAX(K541:S541)))^(1/inputs!$O$12))-1)/inputs!$N$12))</f>
        <v>0</v>
      </c>
      <c r="V541">
        <f>inputs!$E$70*(F541/inputs!$F$70)^(0.25)</f>
        <v>9.0600747480975805</v>
      </c>
      <c r="W541">
        <f>inputs!$E$76*(inputs!$F$76/F541)^(0.25)</f>
        <v>0.18804973806911984</v>
      </c>
      <c r="X541">
        <f>inputs!$E$72*(inputs!$F$72/F541)^(0.25)</f>
        <v>27.58255389145366</v>
      </c>
      <c r="Y541" t="s">
        <v>13</v>
      </c>
      <c r="Z541">
        <f t="shared" si="57"/>
        <v>1.0725523563894885</v>
      </c>
      <c r="AA541">
        <f t="shared" si="58"/>
        <v>51.674650653143786</v>
      </c>
    </row>
    <row r="542" spans="1:27" x14ac:dyDescent="0.3">
      <c r="A542" t="s">
        <v>872</v>
      </c>
      <c r="B542" t="s">
        <v>874</v>
      </c>
      <c r="C542" t="s">
        <v>61</v>
      </c>
      <c r="D542" t="s">
        <v>454</v>
      </c>
      <c r="E542">
        <v>11260</v>
      </c>
      <c r="F542">
        <v>4200</v>
      </c>
      <c r="G542" t="s">
        <v>142</v>
      </c>
      <c r="H542">
        <v>0.69</v>
      </c>
      <c r="I542">
        <f>MAX('Min rate concentrations'!$H$3:$H$368)</f>
        <v>47</v>
      </c>
      <c r="J542">
        <f>MAX('Min rate concentrations'!AA:AA)</f>
        <v>32.5</v>
      </c>
      <c r="K542">
        <f t="shared" si="59"/>
        <v>8.0698535383571564</v>
      </c>
      <c r="L542">
        <f t="shared" si="56"/>
        <v>5.5802178722682472</v>
      </c>
      <c r="M542">
        <f>IF((((0.326*F542^0.818)-(0.398*F542^0.85)/(1-H542)*H542)*(MAX('Min rate concentrations'!$P$3:$P$368)))/F542&gt;0, (((0.326*F542^0.818)-(0.398*F542^0.85)/(1-H542)*H542)*(MAX('Min rate concentrations'!$P$3:$P$368)))/F542, 0)</f>
        <v>0</v>
      </c>
      <c r="N542">
        <f>IF((((0.326*F542^0.818)-(0.398*F542^0.85)/(1-H542)*H542)*(MAX('Min rate concentrations'!$Q$3:$Q$368)))/F542&gt; 0, (((0.326*F542^0.818)-(0.398*F542^0.85)/(1-H542)*H542)*(MAX('Min rate concentrations'!$Q$3:$Q$368)))/F542, 0)</f>
        <v>0</v>
      </c>
      <c r="O542">
        <f>((MAX('Min rate concentrations'!$F$3:$F$368))*0.62*6.01*8*(12.3*F542^0.65)*0.079*0.1/F542)*inputs!$E$73/inputs!$E$74</f>
        <v>2.4335079805591318</v>
      </c>
      <c r="P542">
        <f>((MAX('Min rate concentrations'!Y:Y))*0.62*6.01*8*(12.3*F542^0.65)*0.079*0.1/F542)*inputs!$E$73/inputs!$E$74</f>
        <v>0.81116932685304399</v>
      </c>
      <c r="Q542">
        <f>(inputs!$C$7*11.2*(12.3*F542^0.65)*0.5/F542)*inputs!$E$73/inputs!$E$74</f>
        <v>0.42865095294507549</v>
      </c>
      <c r="R542">
        <f>(60*379*((F542/1000)^0.8)*3*24*(MAX('Min rate concentrations'!$R$3:$R$368))/F542)*(inputs!$E$73/inputs!$E$75)</f>
        <v>1.380789894086239E-3</v>
      </c>
      <c r="S542">
        <f>(IF(inputs!$C$6="aerial",((0.025*0.112*inputs!$C$7/3.3)*(3*60*379*((F542/1000)^0.8))*MAX(inputs!$H$14:$H$16))/F542,((0.0083*0.112*inputs!$C$7/1)*(3*60*379*((F542/1000)^0.8))*MAX(inputs!$H$14:$H$16))/F542))*(inputs!E$75/inputs!$E$73)</f>
        <v>7.615141099282091E-3</v>
      </c>
      <c r="T542">
        <f>IF((((inputs!$P$12/(V542/MAX(K542:S542)))^(1/inputs!$O$12))-1)/inputs!$N$12&lt;0, 0, IF((((inputs!$P$12/(V542/MAX(K542:S542)))^(1/inputs!$O$12))-1)/inputs!$N$12&gt;inputs!$H$17, inputs!$H$17, (((inputs!$P$12/(V542/MAX(K542:S542)))^(1/inputs!$O$12))-1)/inputs!$N$12))</f>
        <v>0</v>
      </c>
      <c r="U542">
        <f>IF((((inputs!$P$12/(X542/MAX(K542:S542)))^(1/inputs!$O$12))-1)/inputs!$N$12&lt;0, 0, IF((((inputs!$P$12/(X542/MAX(K542:S542)))^(1/inputs!$O$12))-1)/inputs!$N$12&gt;inputs!$H$17, inputs!$H$17, (((inputs!$P$12/(X542/MAX(K542:S542)))^(1/inputs!$O$12))-1)/inputs!$N$12))</f>
        <v>0</v>
      </c>
      <c r="V542">
        <f>inputs!$E$70*(F542/inputs!$F$70)^(0.25)</f>
        <v>9.0600747480975805</v>
      </c>
      <c r="W542">
        <f>inputs!$E$76*(inputs!$F$76/F542)^(0.25)</f>
        <v>0.18804973806911984</v>
      </c>
      <c r="X542">
        <f>inputs!$E$72*(inputs!$F$72/F542)^(0.25)</f>
        <v>27.58255389145366</v>
      </c>
      <c r="Y542" t="s">
        <v>13</v>
      </c>
      <c r="Z542">
        <f t="shared" si="57"/>
        <v>0.89070496245647979</v>
      </c>
      <c r="AA542">
        <f t="shared" si="58"/>
        <v>42.913399514499666</v>
      </c>
    </row>
    <row r="543" spans="1:27" x14ac:dyDescent="0.3">
      <c r="A543" t="s">
        <v>872</v>
      </c>
      <c r="B543" t="s">
        <v>874</v>
      </c>
      <c r="C543" t="s">
        <v>61</v>
      </c>
      <c r="D543" t="s">
        <v>454</v>
      </c>
      <c r="E543">
        <v>11260</v>
      </c>
      <c r="F543">
        <v>4200</v>
      </c>
      <c r="G543" t="s">
        <v>169</v>
      </c>
      <c r="H543">
        <v>0.79</v>
      </c>
      <c r="I543">
        <f>MAX('Min rate concentrations'!$D$3:$D$368)</f>
        <v>120</v>
      </c>
      <c r="J543">
        <f>MAX('Min rate concentrations'!W:W)</f>
        <v>42.5</v>
      </c>
      <c r="K543">
        <f t="shared" si="59"/>
        <v>30.415253457637931</v>
      </c>
      <c r="L543">
        <f t="shared" si="56"/>
        <v>10.772068932913434</v>
      </c>
      <c r="M543">
        <f>IF((((0.326*F543^0.818)-(0.398*F543^0.85)/(1-H543)*H543)*(MAX('Min rate concentrations'!$P$3:$P$368)))/F543&gt;0, (((0.326*F543^0.818)-(0.398*F543^0.85)/(1-H543)*H543)*(MAX('Min rate concentrations'!$P$3:$P$368)))/F543, 0)</f>
        <v>0</v>
      </c>
      <c r="N543">
        <f>IF((((0.326*F543^0.818)-(0.398*F543^0.85)/(1-H543)*H543)*(MAX('Min rate concentrations'!$Q$3:$Q$368)))/F543&gt; 0, (((0.326*F543^0.818)-(0.398*F543^0.85)/(1-H543)*H543)*(MAX('Min rate concentrations'!$Q$3:$Q$368)))/F543, 0)</f>
        <v>0</v>
      </c>
      <c r="O543">
        <f>((MAX('Min rate concentrations'!$F$3:$F$368))*0.62*6.01*8*(12.3*F543^0.65)*0.079*0.1/F543)*inputs!$E$73/inputs!$E$74</f>
        <v>2.4335079805591318</v>
      </c>
      <c r="P543">
        <f>((MAX('Min rate concentrations'!Y:Y))*0.62*6.01*8*(12.3*F543^0.65)*0.079*0.1/F543)*inputs!$E$73/inputs!$E$74</f>
        <v>0.81116932685304399</v>
      </c>
      <c r="Q543">
        <f>(inputs!$C$7*11.2*(12.3*F543^0.65)*0.5/F543)*inputs!$E$73/inputs!$E$74</f>
        <v>0.42865095294507549</v>
      </c>
      <c r="R543">
        <f>(60*379*((F543/1000)^0.8)*3*24*(MAX('Min rate concentrations'!$R$3:$R$368))/F543)*(inputs!$E$73/inputs!$E$75)</f>
        <v>1.380789894086239E-3</v>
      </c>
      <c r="S543">
        <f>(IF(inputs!$C$6="aerial",((0.025*0.112*inputs!$C$7/3.3)*(3*60*379*((F543/1000)^0.8))*MAX(inputs!$H$14:$H$16))/F543,((0.0083*0.112*inputs!$C$7/1)*(3*60*379*((F543/1000)^0.8))*MAX(inputs!$H$14:$H$16))/F543))*(inputs!E$75/inputs!$E$73)</f>
        <v>7.615141099282091E-3</v>
      </c>
      <c r="T543">
        <f>IF((((inputs!$P$12/(V543/MAX(K543:S543)))^(1/inputs!$O$12))-1)/inputs!$N$12&lt;0, 0, IF((((inputs!$P$12/(V543/MAX(K543:S543)))^(1/inputs!$O$12))-1)/inputs!$N$12&gt;inputs!$H$17, inputs!$H$17, (((inputs!$P$12/(V543/MAX(K543:S543)))^(1/inputs!$O$12))-1)/inputs!$N$12))</f>
        <v>5.9927263120748471</v>
      </c>
      <c r="U543">
        <f>IF((((inputs!$P$12/(X543/MAX(K543:S543)))^(1/inputs!$O$12))-1)/inputs!$N$12&lt;0, 0, IF((((inputs!$P$12/(X543/MAX(K543:S543)))^(1/inputs!$O$12))-1)/inputs!$N$12&gt;inputs!$H$17, inputs!$H$17, (((inputs!$P$12/(X543/MAX(K543:S543)))^(1/inputs!$O$12))-1)/inputs!$N$12))</f>
        <v>0</v>
      </c>
      <c r="V543">
        <f>inputs!$E$70*(F543/inputs!$F$70)^(0.25)</f>
        <v>9.0600747480975805</v>
      </c>
      <c r="W543">
        <f>inputs!$E$76*(inputs!$F$76/F543)^(0.25)</f>
        <v>0.18804973806911984</v>
      </c>
      <c r="X543">
        <f>inputs!$E$72*(inputs!$F$72/F543)^(0.25)</f>
        <v>27.58255389145366</v>
      </c>
      <c r="Y543" t="s">
        <v>13</v>
      </c>
      <c r="Z543">
        <f t="shared" si="57"/>
        <v>3.357064296188558</v>
      </c>
      <c r="AA543">
        <f t="shared" si="58"/>
        <v>161.74047233428453</v>
      </c>
    </row>
    <row r="544" spans="1:27" x14ac:dyDescent="0.3">
      <c r="A544" t="s">
        <v>488</v>
      </c>
      <c r="B544" t="s">
        <v>489</v>
      </c>
      <c r="C544" t="s">
        <v>61</v>
      </c>
      <c r="D544" t="s">
        <v>467</v>
      </c>
      <c r="E544">
        <v>9725</v>
      </c>
      <c r="F544">
        <v>30</v>
      </c>
      <c r="G544" t="s">
        <v>142</v>
      </c>
      <c r="H544">
        <v>0.69</v>
      </c>
      <c r="I544">
        <f>MAX('Min rate concentrations'!$H$3:$H$368)</f>
        <v>47</v>
      </c>
      <c r="J544">
        <f>MAX('Min rate concentrations'!AA:AA)</f>
        <v>32.5</v>
      </c>
      <c r="K544">
        <f t="shared" si="59"/>
        <v>19.448067045643576</v>
      </c>
      <c r="L544">
        <f t="shared" si="56"/>
        <v>13.448131467732257</v>
      </c>
      <c r="M544">
        <f>IF((((0.326*F544^0.818)-(0.398*F544^0.85)/(1-H544)*H544)*(MAX('Min rate concentrations'!$P$3:$P$368)))/F544&gt;0, (((0.326*F544^0.818)-(0.398*F544^0.85)/(1-H544)*H544)*(MAX('Min rate concentrations'!$P$3:$P$368)))/F544, 0)</f>
        <v>0</v>
      </c>
      <c r="N544">
        <f>IF((((0.326*F544^0.818)-(0.398*F544^0.85)/(1-H544)*H544)*(MAX('Min rate concentrations'!$Q$3:$Q$368)))/F544&gt; 0, (((0.326*F544^0.818)-(0.398*F544^0.85)/(1-H544)*H544)*(MAX('Min rate concentrations'!$Q$3:$Q$368)))/F544, 0)</f>
        <v>0</v>
      </c>
      <c r="O544">
        <f>((MAX('Min rate concentrations'!$F$3:$F$368))*0.62*6.01*8*(12.3*F544^0.65)*0.079*0.1/F544)*inputs!$E$73/inputs!$E$74</f>
        <v>13.720741659566887</v>
      </c>
      <c r="P544">
        <f>((MAX('Min rate concentrations'!Y:Y))*0.62*6.01*8*(12.3*F544^0.65)*0.079*0.1/F544)*inputs!$E$73/inputs!$E$74</f>
        <v>4.573580553188962</v>
      </c>
      <c r="Q544">
        <f>(inputs!$C$7*11.2*(12.3*F544^0.65)*0.5/F544)*inputs!$E$73/inputs!$E$74</f>
        <v>2.4168439283832583</v>
      </c>
      <c r="R544">
        <f>(60*379*((F544/1000)^0.8)*3*24*(MAX('Min rate concentrations'!$R$3:$R$368))/F544)*(inputs!$E$73/inputs!$E$75)</f>
        <v>3.7098231497754318E-3</v>
      </c>
      <c r="S544">
        <f>(IF(inputs!$C$6="aerial",((0.025*0.112*inputs!$C$7/3.3)*(3*60*379*((F544/1000)^0.8))*MAX(inputs!$H$14:$H$16))/F544,((0.0083*0.112*inputs!$C$7/1)*(3*60*379*((F544/1000)^0.8))*MAX(inputs!$H$14:$H$16))/F544))*(inputs!E$75/inputs!$E$73)</f>
        <v>2.0459902596273338E-2</v>
      </c>
      <c r="T544">
        <f>IF((((inputs!$P$12/(V544/MAX(K544:S544)))^(1/inputs!$O$12))-1)/inputs!$N$12&lt;0, 0, IF((((inputs!$P$12/(V544/MAX(K544:S544)))^(1/inputs!$O$12))-1)/inputs!$N$12&gt;inputs!$H$17, inputs!$H$17, (((inputs!$P$12/(V544/MAX(K544:S544)))^(1/inputs!$O$12))-1)/inputs!$N$12))</f>
        <v>19.025377997841787</v>
      </c>
      <c r="U544">
        <f>IF((((inputs!$P$12/(X544/MAX(K544:S544)))^(1/inputs!$O$12))-1)/inputs!$N$12&lt;0, 0, IF((((inputs!$P$12/(X544/MAX(K544:S544)))^(1/inputs!$O$12))-1)/inputs!$N$12&gt;inputs!$H$17, inputs!$H$17, (((inputs!$P$12/(X544/MAX(K544:S544)))^(1/inputs!$O$12))-1)/inputs!$N$12))</f>
        <v>0</v>
      </c>
      <c r="V544">
        <f>inputs!$E$70*(F544/inputs!$F$70)^(0.25)</f>
        <v>2.6339029688867654</v>
      </c>
      <c r="W544">
        <f>inputs!$E$76*(inputs!$F$76/F544)^(0.25)</f>
        <v>0.64685172665509949</v>
      </c>
      <c r="X544">
        <f>inputs!$E$72*(inputs!$F$72/F544)^(0.25)</f>
        <v>94.878210379033703</v>
      </c>
      <c r="Y544" t="s">
        <v>13</v>
      </c>
      <c r="Z544">
        <f t="shared" si="57"/>
        <v>7.3837446843622399</v>
      </c>
      <c r="AA544">
        <f t="shared" si="58"/>
        <v>30.065726416485646</v>
      </c>
    </row>
    <row r="545" spans="1:27" x14ac:dyDescent="0.3">
      <c r="A545" t="s">
        <v>515</v>
      </c>
      <c r="B545" t="s">
        <v>516</v>
      </c>
      <c r="C545" t="s">
        <v>61</v>
      </c>
      <c r="D545" t="s">
        <v>467</v>
      </c>
      <c r="E545">
        <v>21</v>
      </c>
      <c r="F545">
        <v>7</v>
      </c>
      <c r="G545" t="s">
        <v>142</v>
      </c>
      <c r="H545">
        <v>0.69</v>
      </c>
      <c r="I545">
        <f>MAX('Min rate concentrations'!$H$3:$H$368)</f>
        <v>47</v>
      </c>
      <c r="J545">
        <f>MAX('Min rate concentrations'!AA:AA)</f>
        <v>32.5</v>
      </c>
      <c r="K545">
        <f t="shared" si="59"/>
        <v>25.198609434978106</v>
      </c>
      <c r="L545">
        <f t="shared" si="56"/>
        <v>17.424570353974222</v>
      </c>
      <c r="M545">
        <f>IF((((0.326*F545^0.818)-(0.398*F545^0.85)/(1-H545)*H545)*(MAX('Min rate concentrations'!$P$3:$P$368)))/F545&gt;0, (((0.326*F545^0.818)-(0.398*F545^0.85)/(1-H545)*H545)*(MAX('Min rate concentrations'!$P$3:$P$368)))/F545, 0)</f>
        <v>0</v>
      </c>
      <c r="N545">
        <f>IF((((0.326*F545^0.818)-(0.398*F545^0.85)/(1-H545)*H545)*(MAX('Min rate concentrations'!$Q$3:$Q$368)))/F545&gt; 0, (((0.326*F545^0.818)-(0.398*F545^0.85)/(1-H545)*H545)*(MAX('Min rate concentrations'!$Q$3:$Q$368)))/F545, 0)</f>
        <v>0</v>
      </c>
      <c r="O545">
        <f>((MAX('Min rate concentrations'!$F$3:$F$368))*0.62*6.01*8*(12.3*F545^0.65)*0.079*0.1/F545)*inputs!$E$73/inputs!$E$74</f>
        <v>22.834195364309181</v>
      </c>
      <c r="P545">
        <f>((MAX('Min rate concentrations'!Y:Y))*0.62*6.01*8*(12.3*F545^0.65)*0.079*0.1/F545)*inputs!$E$73/inputs!$E$74</f>
        <v>7.6113984547697271</v>
      </c>
      <c r="Q545">
        <f>(inputs!$C$7*11.2*(12.3*F545^0.65)*0.5/F545)*inputs!$E$73/inputs!$E$74</f>
        <v>4.0221358141575729</v>
      </c>
      <c r="R545">
        <f>(60*379*((F545/1000)^0.8)*3*24*(MAX('Min rate concentrations'!$R$3:$R$368))/F545)*(inputs!$E$73/inputs!$E$75)</f>
        <v>4.9631551302954831E-3</v>
      </c>
      <c r="S545">
        <f>(IF(inputs!$C$6="aerial",((0.025*0.112*inputs!$C$7/3.3)*(3*60*379*((F545/1000)^0.8))*MAX(inputs!$H$14:$H$16))/F545,((0.0083*0.112*inputs!$C$7/1)*(3*60*379*((F545/1000)^0.8))*MAX(inputs!$H$14:$H$16))/F545))*(inputs!E$75/inputs!$E$73)</f>
        <v>2.7372105471439204E-2</v>
      </c>
      <c r="T545">
        <f>IF((((inputs!$P$12/(V545/MAX(K545:S545)))^(1/inputs!$O$12))-1)/inputs!$N$12&lt;0, 0, IF((((inputs!$P$12/(V545/MAX(K545:S545)))^(1/inputs!$O$12))-1)/inputs!$N$12&gt;inputs!$H$17, inputs!$H$17, (((inputs!$P$12/(V545/MAX(K545:S545)))^(1/inputs!$O$12))-1)/inputs!$N$12))</f>
        <v>32.725108682006919</v>
      </c>
      <c r="U545">
        <f>IF((((inputs!$P$12/(X545/MAX(K545:S545)))^(1/inputs!$O$12))-1)/inputs!$N$12&lt;0, 0, IF((((inputs!$P$12/(X545/MAX(K545:S545)))^(1/inputs!$O$12))-1)/inputs!$N$12&gt;inputs!$H$17, inputs!$H$17, (((inputs!$P$12/(X545/MAX(K545:S545)))^(1/inputs!$O$12))-1)/inputs!$N$12))</f>
        <v>0</v>
      </c>
      <c r="V545">
        <f>inputs!$E$70*(F545/inputs!$F$70)^(0.25)</f>
        <v>1.8306021502060315</v>
      </c>
      <c r="W545">
        <f>inputs!$E$76*(inputs!$F$76/F545)^(0.25)</f>
        <v>0.9307017819653729</v>
      </c>
      <c r="X545">
        <f>inputs!$E$72*(inputs!$F$72/F545)^(0.25)</f>
        <v>136.51245846721753</v>
      </c>
      <c r="Y545" t="s">
        <v>13</v>
      </c>
      <c r="Z545">
        <f t="shared" si="57"/>
        <v>13.765202576727031</v>
      </c>
      <c r="AA545">
        <f t="shared" si="58"/>
        <v>27.074848166472758</v>
      </c>
    </row>
    <row r="546" spans="1:27" x14ac:dyDescent="0.3">
      <c r="A546" t="s">
        <v>495</v>
      </c>
      <c r="B546" t="s">
        <v>496</v>
      </c>
      <c r="C546" t="s">
        <v>61</v>
      </c>
      <c r="D546" t="s">
        <v>467</v>
      </c>
      <c r="E546">
        <v>15</v>
      </c>
      <c r="F546">
        <v>13</v>
      </c>
      <c r="G546" t="s">
        <v>142</v>
      </c>
      <c r="H546">
        <v>0.69</v>
      </c>
      <c r="I546">
        <f>MAX('Min rate concentrations'!$H$3:$H$368)</f>
        <v>47</v>
      </c>
      <c r="J546">
        <f>MAX('Min rate concentrations'!AA:AA)</f>
        <v>32.5</v>
      </c>
      <c r="K546">
        <f t="shared" si="59"/>
        <v>22.56950892541877</v>
      </c>
      <c r="L546">
        <f t="shared" si="56"/>
        <v>15.606575320768298</v>
      </c>
      <c r="M546">
        <f>IF((((0.326*F546^0.818)-(0.398*F546^0.85)/(1-H546)*H546)*(MAX('Min rate concentrations'!$P$3:$P$368)))/F546&gt;0, (((0.326*F546^0.818)-(0.398*F546^0.85)/(1-H546)*H546)*(MAX('Min rate concentrations'!$P$3:$P$368)))/F546, 0)</f>
        <v>0</v>
      </c>
      <c r="N546">
        <f>IF((((0.326*F546^0.818)-(0.398*F546^0.85)/(1-H546)*H546)*(MAX('Min rate concentrations'!$Q$3:$Q$368)))/F546&gt; 0, (((0.326*F546^0.818)-(0.398*F546^0.85)/(1-H546)*H546)*(MAX('Min rate concentrations'!$Q$3:$Q$368)))/F546, 0)</f>
        <v>0</v>
      </c>
      <c r="O546">
        <f>((MAX('Min rate concentrations'!$F$3:$F$368))*0.62*6.01*8*(12.3*F546^0.65)*0.079*0.1/F546)*inputs!$E$73/inputs!$E$74</f>
        <v>18.386109961205431</v>
      </c>
      <c r="P546">
        <f>((MAX('Min rate concentrations'!Y:Y))*0.62*6.01*8*(12.3*F546^0.65)*0.079*0.1/F546)*inputs!$E$73/inputs!$E$74</f>
        <v>6.1287033204018089</v>
      </c>
      <c r="Q546">
        <f>(inputs!$C$7*11.2*(12.3*F546^0.65)*0.5/F546)*inputs!$E$73/inputs!$E$74</f>
        <v>3.2386265501429881</v>
      </c>
      <c r="R546">
        <f>(60*379*((F546/1000)^0.8)*3*24*(MAX('Min rate concentrations'!$R$3:$R$368))/F546)*(inputs!$E$73/inputs!$E$75)</f>
        <v>4.385193759781067E-3</v>
      </c>
      <c r="S546">
        <f>(IF(inputs!$C$6="aerial",((0.025*0.112*inputs!$C$7/3.3)*(3*60*379*((F546/1000)^0.8))*MAX(inputs!$H$14:$H$16))/F546,((0.0083*0.112*inputs!$C$7/1)*(3*60*379*((F546/1000)^0.8))*MAX(inputs!$H$14:$H$16))/F546))*(inputs!E$75/inputs!$E$73)</f>
        <v>2.4184613004082801E-2</v>
      </c>
      <c r="T546">
        <f>IF((((inputs!$P$12/(V546/MAX(K546:S546)))^(1/inputs!$O$12))-1)/inputs!$N$12&lt;0, 0, IF((((inputs!$P$12/(V546/MAX(K546:S546)))^(1/inputs!$O$12))-1)/inputs!$N$12&gt;inputs!$H$17, inputs!$H$17, (((inputs!$P$12/(V546/MAX(K546:S546)))^(1/inputs!$O$12))-1)/inputs!$N$12))</f>
        <v>26.471332594417937</v>
      </c>
      <c r="U546">
        <f>IF((((inputs!$P$12/(X546/MAX(K546:S546)))^(1/inputs!$O$12))-1)/inputs!$N$12&lt;0, 0, IF((((inputs!$P$12/(X546/MAX(K546:S546)))^(1/inputs!$O$12))-1)/inputs!$N$12&gt;inputs!$H$17, inputs!$H$17, (((inputs!$P$12/(X546/MAX(K546:S546)))^(1/inputs!$O$12))-1)/inputs!$N$12))</f>
        <v>0</v>
      </c>
      <c r="V546">
        <f>inputs!$E$70*(F546/inputs!$F$70)^(0.25)</f>
        <v>2.1370038088281991</v>
      </c>
      <c r="W546">
        <f>inputs!$E$76*(inputs!$F$76/F546)^(0.25)</f>
        <v>0.79725860863141151</v>
      </c>
      <c r="X546">
        <f>inputs!$E$72*(inputs!$F$72/F546)^(0.25)</f>
        <v>116.93942657829409</v>
      </c>
      <c r="Y546" t="s">
        <v>13</v>
      </c>
      <c r="Z546">
        <f t="shared" si="57"/>
        <v>10.561286242065471</v>
      </c>
      <c r="AA546">
        <f t="shared" si="58"/>
        <v>28.30889335163404</v>
      </c>
    </row>
    <row r="547" spans="1:27" x14ac:dyDescent="0.3">
      <c r="A547" t="s">
        <v>519</v>
      </c>
      <c r="B547" t="s">
        <v>520</v>
      </c>
      <c r="C547" t="s">
        <v>61</v>
      </c>
      <c r="D547" t="s">
        <v>467</v>
      </c>
      <c r="E547">
        <v>1</v>
      </c>
      <c r="F547">
        <v>5.4</v>
      </c>
      <c r="G547" t="s">
        <v>142</v>
      </c>
      <c r="H547">
        <v>0.69</v>
      </c>
      <c r="I547">
        <f>MAX('Min rate concentrations'!$H$3:$H$368)</f>
        <v>47</v>
      </c>
      <c r="J547">
        <f>MAX('Min rate concentrations'!AA:AA)</f>
        <v>32.5</v>
      </c>
      <c r="K547">
        <f t="shared" si="59"/>
        <v>26.389911702487783</v>
      </c>
      <c r="L547">
        <f t="shared" si="56"/>
        <v>18.248343198528787</v>
      </c>
      <c r="M547">
        <f>IF((((0.326*F547^0.818)-(0.398*F547^0.85)/(1-H547)*H547)*(MAX('Min rate concentrations'!$P$3:$P$368)))/F547&gt;0, (((0.326*F547^0.818)-(0.398*F547^0.85)/(1-H547)*H547)*(MAX('Min rate concentrations'!$P$3:$P$368)))/F547, 0)</f>
        <v>0</v>
      </c>
      <c r="N547">
        <f>IF((((0.326*F547^0.818)-(0.398*F547^0.85)/(1-H547)*H547)*(MAX('Min rate concentrations'!$Q$3:$Q$368)))/F547&gt; 0, (((0.326*F547^0.818)-(0.398*F547^0.85)/(1-H547)*H547)*(MAX('Min rate concentrations'!$Q$3:$Q$368)))/F547, 0)</f>
        <v>0</v>
      </c>
      <c r="O547">
        <f>((MAX('Min rate concentrations'!$F$3:$F$368))*0.62*6.01*8*(12.3*F547^0.65)*0.079*0.1/F547)*inputs!$E$73/inputs!$E$74</f>
        <v>25.005308128955885</v>
      </c>
      <c r="P547">
        <f>((MAX('Min rate concentrations'!Y:Y))*0.62*6.01*8*(12.3*F547^0.65)*0.079*0.1/F547)*inputs!$E$73/inputs!$E$74</f>
        <v>8.3351027096519612</v>
      </c>
      <c r="Q547">
        <f>(inputs!$C$7*11.2*(12.3*F547^0.65)*0.5/F547)*inputs!$E$73/inputs!$E$74</f>
        <v>4.4045670874271998</v>
      </c>
      <c r="R547">
        <f>(60*379*((F547/1000)^0.8)*3*24*(MAX('Min rate concentrations'!$R$3:$R$368))/F547)*(inputs!$E$73/inputs!$E$75)</f>
        <v>5.2275561449936885E-3</v>
      </c>
      <c r="S547">
        <f>(IF(inputs!$C$6="aerial",((0.025*0.112*inputs!$C$7/3.3)*(3*60*379*((F547/1000)^0.8))*MAX(inputs!$H$14:$H$16))/F547,((0.0083*0.112*inputs!$C$7/1)*(3*60*379*((F547/1000)^0.8))*MAX(inputs!$H$14:$H$16))/F547))*(inputs!E$75/inputs!$E$73)</f>
        <v>2.8830293311851114E-2</v>
      </c>
      <c r="T547">
        <f>IF((((inputs!$P$12/(V547/MAX(K547:S547)))^(1/inputs!$O$12))-1)/inputs!$N$12&lt;0, 0, IF((((inputs!$P$12/(V547/MAX(K547:S547)))^(1/inputs!$O$12))-1)/inputs!$N$12&gt;inputs!$H$17, inputs!$H$17, (((inputs!$P$12/(V547/MAX(K547:S547)))^(1/inputs!$O$12))-1)/inputs!$N$12))</f>
        <v>35.554009276465642</v>
      </c>
      <c r="U547">
        <f>IF((((inputs!$P$12/(X547/MAX(K547:S547)))^(1/inputs!$O$12))-1)/inputs!$N$12&lt;0, 0, IF((((inputs!$P$12/(X547/MAX(K547:S547)))^(1/inputs!$O$12))-1)/inputs!$N$12&gt;inputs!$H$17, inputs!$H$17, (((inputs!$P$12/(X547/MAX(K547:S547)))^(1/inputs!$O$12))-1)/inputs!$N$12))</f>
        <v>0</v>
      </c>
      <c r="V547">
        <f>inputs!$E$70*(F547/inputs!$F$70)^(0.25)</f>
        <v>1.7156073496922144</v>
      </c>
      <c r="W547">
        <f>inputs!$E$76*(inputs!$F$76/F547)^(0.25)</f>
        <v>0.99308544205762128</v>
      </c>
      <c r="X547">
        <f>inputs!$E$72*(inputs!$F$72/F547)^(0.25)</f>
        <v>145.66270076007359</v>
      </c>
      <c r="Y547" t="s">
        <v>13</v>
      </c>
      <c r="Z547">
        <f t="shared" si="57"/>
        <v>15.382256148076202</v>
      </c>
      <c r="AA547">
        <f t="shared" si="58"/>
        <v>26.573656792117767</v>
      </c>
    </row>
    <row r="548" spans="1:27" x14ac:dyDescent="0.3">
      <c r="A548" t="s">
        <v>499</v>
      </c>
      <c r="B548" t="s">
        <v>500</v>
      </c>
      <c r="C548" t="s">
        <v>61</v>
      </c>
      <c r="D548" t="s">
        <v>467</v>
      </c>
      <c r="E548">
        <v>47</v>
      </c>
      <c r="F548">
        <v>20</v>
      </c>
      <c r="G548" t="s">
        <v>152</v>
      </c>
      <c r="H548">
        <v>0.77</v>
      </c>
      <c r="I548">
        <f>MAX('Min rate concentrations'!$G$3:$G$368)</f>
        <v>7.5</v>
      </c>
      <c r="J548">
        <f>MAX('Min rate concentrations'!Z:Z)</f>
        <v>3.5</v>
      </c>
      <c r="K548">
        <f t="shared" si="59"/>
        <v>4.4959135359140276</v>
      </c>
      <c r="L548">
        <f t="shared" si="56"/>
        <v>2.0980929834265458</v>
      </c>
      <c r="M548">
        <f>IF((((0.326*F548^0.818)-(0.398*F548^0.85)/(1-H548)*H548)*(MAX('Min rate concentrations'!$P$3:$P$368)))/F548&gt;0, (((0.326*F548^0.818)-(0.398*F548^0.85)/(1-H548)*H548)*(MAX('Min rate concentrations'!$P$3:$P$368)))/F548, 0)</f>
        <v>0</v>
      </c>
      <c r="N548">
        <f>IF((((0.326*F548^0.818)-(0.398*F548^0.85)/(1-H548)*H548)*(MAX('Min rate concentrations'!$Q$3:$Q$368)))/F548&gt; 0, (((0.326*F548^0.818)-(0.398*F548^0.85)/(1-H548)*H548)*(MAX('Min rate concentrations'!$Q$3:$Q$368)))/F548, 0)</f>
        <v>0</v>
      </c>
      <c r="O548">
        <f>((MAX('Min rate concentrations'!$F$3:$F$368))*0.62*6.01*8*(12.3*F548^0.65)*0.079*0.1/F548)*inputs!$E$73/inputs!$E$74</f>
        <v>15.81282730642906</v>
      </c>
      <c r="P548">
        <f>((MAX('Min rate concentrations'!Y:Y))*0.62*6.01*8*(12.3*F548^0.65)*0.079*0.1/F548)*inputs!$E$73/inputs!$E$74</f>
        <v>5.2709424354763534</v>
      </c>
      <c r="Q548">
        <f>(inputs!$C$7*11.2*(12.3*F548^0.65)*0.5/F548)*inputs!$E$73/inputs!$E$74</f>
        <v>2.7853549475927122</v>
      </c>
      <c r="R548">
        <f>(60*379*((F548/1000)^0.8)*3*24*(MAX('Min rate concentrations'!$R$3:$R$368))/F548)*(inputs!$E$73/inputs!$E$75)</f>
        <v>4.0231984820671869E-3</v>
      </c>
      <c r="S548">
        <f>(IF(inputs!$C$6="aerial",((0.025*0.112*inputs!$C$7/3.3)*(3*60*379*((F548/1000)^0.8))*MAX(inputs!$H$14:$H$16))/F548,((0.0083*0.112*inputs!$C$7/1)*(3*60*379*((F548/1000)^0.8))*MAX(inputs!$H$14:$H$16))/F548))*(inputs!E$75/inputs!$E$73)</f>
        <v>2.2188186807112941E-2</v>
      </c>
      <c r="T548">
        <f>IF((((inputs!$P$12/(V548/MAX(K548:S548)))^(1/inputs!$O$12))-1)/inputs!$N$12&lt;0, 0, IF((((inputs!$P$12/(V548/MAX(K548:S548)))^(1/inputs!$O$12))-1)/inputs!$N$12&gt;inputs!$H$17, inputs!$H$17, (((inputs!$P$12/(V548/MAX(K548:S548)))^(1/inputs!$O$12))-1)/inputs!$N$12))</f>
        <v>17.028480103918763</v>
      </c>
      <c r="U548">
        <f>IF((((inputs!$P$12/(X548/MAX(K548:S548)))^(1/inputs!$O$12))-1)/inputs!$N$12&lt;0, 0, IF((((inputs!$P$12/(X548/MAX(K548:S548)))^(1/inputs!$O$12))-1)/inputs!$N$12&gt;inputs!$H$17, inputs!$H$17, (((inputs!$P$12/(X548/MAX(K548:S548)))^(1/inputs!$O$12))-1)/inputs!$N$12))</f>
        <v>0</v>
      </c>
      <c r="V548">
        <f>inputs!$E$70*(F548/inputs!$F$70)^(0.25)</f>
        <v>2.38</v>
      </c>
      <c r="W548">
        <f>inputs!$E$76*(inputs!$F$76/F548)^(0.25)</f>
        <v>0.71585911061613317</v>
      </c>
      <c r="X548">
        <f>inputs!$E$72*(inputs!$F$72/F548)^(0.25)</f>
        <v>105</v>
      </c>
      <c r="Y548" t="s">
        <v>13</v>
      </c>
      <c r="Z548">
        <f t="shared" si="57"/>
        <v>6.6440450867348995</v>
      </c>
      <c r="AA548">
        <f t="shared" si="58"/>
        <v>22.089300914001232</v>
      </c>
    </row>
    <row r="549" spans="1:27" x14ac:dyDescent="0.3">
      <c r="A549" t="s">
        <v>499</v>
      </c>
      <c r="B549" t="s">
        <v>500</v>
      </c>
      <c r="C549" t="s">
        <v>61</v>
      </c>
      <c r="D549" t="s">
        <v>467</v>
      </c>
      <c r="E549">
        <v>47</v>
      </c>
      <c r="F549">
        <v>20</v>
      </c>
      <c r="G549" t="s">
        <v>153</v>
      </c>
      <c r="H549">
        <v>0.7</v>
      </c>
      <c r="I549">
        <f>MAX('Min rate concentrations'!$E$3:$E$368)</f>
        <v>55</v>
      </c>
      <c r="J549">
        <f>MAX('Min rate concentrations'!X:X)</f>
        <v>18</v>
      </c>
      <c r="K549">
        <f t="shared" si="59"/>
        <v>25.277024990805529</v>
      </c>
      <c r="M549">
        <f>IF((((0.326*F549^0.818)-(0.398*F549^0.85)/(1-H549)*H549)*(MAX('Min rate concentrations'!$P$3:$P$368)))/F549&gt;0, (((0.326*F549^0.818)-(0.398*F549^0.85)/(1-H549)*H549)*(MAX('Min rate concentrations'!$P$3:$P$368)))/F549, 0)</f>
        <v>0</v>
      </c>
      <c r="N549">
        <f>IF((((0.326*F549^0.818)-(0.398*F549^0.85)/(1-H549)*H549)*(MAX('Min rate concentrations'!$Q$3:$Q$368)))/F549&gt; 0, (((0.326*F549^0.818)-(0.398*F549^0.85)/(1-H549)*H549)*(MAX('Min rate concentrations'!$Q$3:$Q$368)))/F549, 0)</f>
        <v>0</v>
      </c>
      <c r="O549">
        <f>((MAX('Min rate concentrations'!$F$3:$F$368))*0.62*6.01*8*(12.3*F549^0.65)*0.079*0.1/F549)*inputs!$E$73/inputs!$E$74</f>
        <v>15.81282730642906</v>
      </c>
      <c r="Q549">
        <f>(inputs!$C$7*11.2*(12.3*F549^0.65)*0.5/F549)*inputs!$E$73/inputs!$E$74</f>
        <v>2.7853549475927122</v>
      </c>
      <c r="R549">
        <f>(60*379*((F549/1000)^0.8)*3*24*(MAX('Min rate concentrations'!$R$3:$R$368))/F549)*(inputs!$E$73/inputs!$E$75)</f>
        <v>4.0231984820671869E-3</v>
      </c>
      <c r="S549">
        <f>(IF(inputs!$C$6="aerial",((0.025*0.112*inputs!$C$7/3.3)*(3*60*379*((F549/1000)^0.8))*MAX(inputs!$H$14:$H$16))/F549,((0.0083*0.112*inputs!$C$7/1)*(3*60*379*((F549/1000)^0.8))*MAX(inputs!$H$14:$H$16))/F549))*(inputs!E$75/inputs!$E$73)</f>
        <v>2.2188186807112941E-2</v>
      </c>
      <c r="T549">
        <f>IF((((inputs!$P$12/(V549/MAX(K549:S549)))^(1/inputs!$O$12))-1)/inputs!$N$12&lt;0, 0, IF((((inputs!$P$12/(V549/MAX(K549:S549)))^(1/inputs!$O$12))-1)/inputs!$N$12&gt;inputs!$H$17, inputs!$H$17, (((inputs!$P$12/(V549/MAX(K549:S549)))^(1/inputs!$O$12))-1)/inputs!$N$12))</f>
        <v>26.596668941295384</v>
      </c>
      <c r="U549">
        <f>IF((((inputs!$P$12/(X549/MAX(K549:S549)))^(1/inputs!$O$12))-1)/inputs!$N$12&lt;0, 0, IF((((inputs!$P$12/(X549/MAX(K549:S549)))^(1/inputs!$O$12))-1)/inputs!$N$12&gt;inputs!$H$17, inputs!$H$17, (((inputs!$P$12/(X549/MAX(K549:S549)))^(1/inputs!$O$12))-1)/inputs!$N$12))</f>
        <v>0</v>
      </c>
      <c r="V549">
        <f>inputs!$E$70*(F549/inputs!$F$70)^(0.25)</f>
        <v>2.38</v>
      </c>
      <c r="W549">
        <f>inputs!$E$76*(inputs!$F$76/F549)^(0.25)</f>
        <v>0.71585911061613317</v>
      </c>
      <c r="X549">
        <f>inputs!$E$72*(inputs!$F$72/F549)^(0.25)</f>
        <v>105</v>
      </c>
      <c r="Y549" t="s">
        <v>13</v>
      </c>
      <c r="Z549">
        <f t="shared" si="57"/>
        <v>10.620598735632576</v>
      </c>
      <c r="AA549">
        <f t="shared" si="58"/>
        <v>35.310055590477617</v>
      </c>
    </row>
    <row r="550" spans="1:27" x14ac:dyDescent="0.3">
      <c r="A550" t="s">
        <v>554</v>
      </c>
      <c r="B550" t="s">
        <v>555</v>
      </c>
      <c r="C550" t="s">
        <v>61</v>
      </c>
      <c r="D550" t="s">
        <v>467</v>
      </c>
      <c r="E550">
        <v>8962</v>
      </c>
      <c r="F550">
        <v>350</v>
      </c>
      <c r="G550" t="s">
        <v>152</v>
      </c>
      <c r="H550">
        <v>0.77</v>
      </c>
      <c r="I550">
        <f>MAX('Min rate concentrations'!$G$3:$G$368)</f>
        <v>7.5</v>
      </c>
      <c r="J550">
        <f>MAX('Min rate concentrations'!Z:Z)</f>
        <v>3.5</v>
      </c>
      <c r="K550">
        <f t="shared" si="59"/>
        <v>2.701202716183901</v>
      </c>
      <c r="L550">
        <f>(((0.235*F550^0.822)/(1-H550)))*J550/F550</f>
        <v>1.2605612675524871</v>
      </c>
      <c r="M550">
        <f>IF((((0.326*F550^0.818)-(0.398*F550^0.85)/(1-H550)*H550)*(MAX('Min rate concentrations'!$P$3:$P$368)))/F550&gt;0, (((0.326*F550^0.818)-(0.398*F550^0.85)/(1-H550)*H550)*(MAX('Min rate concentrations'!$P$3:$P$368)))/F550, 0)</f>
        <v>0</v>
      </c>
      <c r="N550">
        <f>IF((((0.326*F550^0.818)-(0.398*F550^0.85)/(1-H550)*H550)*(MAX('Min rate concentrations'!$Q$3:$Q$368)))/F550&gt; 0, (((0.326*F550^0.818)-(0.398*F550^0.85)/(1-H550)*H550)*(MAX('Min rate concentrations'!$Q$3:$Q$368)))/F550, 0)</f>
        <v>0</v>
      </c>
      <c r="O550">
        <f>((MAX('Min rate concentrations'!$F$3:$F$368))*0.62*6.01*8*(12.3*F550^0.65)*0.079*0.1/F550)*inputs!$E$73/inputs!$E$74</f>
        <v>5.8069249204995748</v>
      </c>
      <c r="P550">
        <f>((MAX('Min rate concentrations'!Y:Y))*0.62*6.01*8*(12.3*F550^0.65)*0.079*0.1/F550)*inputs!$E$73/inputs!$E$74</f>
        <v>1.9356416401665246</v>
      </c>
      <c r="Q550">
        <f>(inputs!$C$7*11.2*(12.3*F550^0.65)*0.5/F550)*inputs!$E$73/inputs!$E$74</f>
        <v>1.0228624359311669</v>
      </c>
      <c r="R550">
        <f>(60*379*((F550/1000)^0.8)*3*24*(MAX('Min rate concentrations'!$R$3:$R$368))/F550)*(inputs!$E$73/inputs!$E$75)</f>
        <v>2.269675914583151E-3</v>
      </c>
      <c r="S550">
        <f>(IF(inputs!$C$6="aerial",((0.025*0.112*inputs!$C$7/3.3)*(3*60*379*((F550/1000)^0.8))*MAX(inputs!$H$14:$H$16))/F550,((0.0083*0.112*inputs!$C$7/1)*(3*60*379*((F550/1000)^0.8))*MAX(inputs!$H$14:$H$16))/F550))*(inputs!E$75/inputs!$E$73)</f>
        <v>1.2517402113976756E-2</v>
      </c>
      <c r="T550">
        <f>IF((((inputs!$P$12/(V550/MAX(K550:S550)))^(1/inputs!$O$12))-1)/inputs!$N$12&lt;0, 0, IF((((inputs!$P$12/(V550/MAX(K550:S550)))^(1/inputs!$O$12))-1)/inputs!$N$12&gt;inputs!$H$17, inputs!$H$17, (((inputs!$P$12/(V550/MAX(K550:S550)))^(1/inputs!$O$12))-1)/inputs!$N$12))</f>
        <v>0</v>
      </c>
      <c r="U550">
        <f>IF((((inputs!$P$12/(X550/MAX(K550:S550)))^(1/inputs!$O$12))-1)/inputs!$N$12&lt;0, 0, IF((((inputs!$P$12/(X550/MAX(K550:S550)))^(1/inputs!$O$12))-1)/inputs!$N$12&gt;inputs!$H$17, inputs!$H$17, (((inputs!$P$12/(X550/MAX(K550:S550)))^(1/inputs!$O$12))-1)/inputs!$N$12))</f>
        <v>0</v>
      </c>
      <c r="V550">
        <f>inputs!$E$70*(F550/inputs!$F$70)^(0.25)</f>
        <v>4.8678419521897061</v>
      </c>
      <c r="W550">
        <f>inputs!$E$76*(inputs!$F$76/F550)^(0.25)</f>
        <v>0.35</v>
      </c>
      <c r="X550">
        <f>inputs!$E$72*(inputs!$F$72/F550)^(0.25)</f>
        <v>51.336917355664603</v>
      </c>
      <c r="Y550" t="s">
        <v>13</v>
      </c>
      <c r="Z550">
        <f t="shared" si="57"/>
        <v>1.1929156652030251</v>
      </c>
      <c r="AA550">
        <f t="shared" si="58"/>
        <v>16.591214058570216</v>
      </c>
    </row>
    <row r="551" spans="1:27" x14ac:dyDescent="0.3">
      <c r="A551" t="s">
        <v>554</v>
      </c>
      <c r="B551" t="s">
        <v>555</v>
      </c>
      <c r="C551" t="s">
        <v>61</v>
      </c>
      <c r="D551" t="s">
        <v>467</v>
      </c>
      <c r="E551">
        <v>8962</v>
      </c>
      <c r="F551">
        <v>350</v>
      </c>
      <c r="G551" t="s">
        <v>177</v>
      </c>
      <c r="H551">
        <v>0.85</v>
      </c>
      <c r="I551">
        <f>MAX('Min rate concentrations'!$F$3:$F$368)</f>
        <v>67.5</v>
      </c>
      <c r="J551">
        <f>MAX('Min rate concentrations'!Y:Y)</f>
        <v>22.5</v>
      </c>
      <c r="K551">
        <f t="shared" si="59"/>
        <v>37.276597483337831</v>
      </c>
      <c r="L551">
        <f>(((0.235*F551^0.822)/(1-H551)))*J551/F551</f>
        <v>12.425532494445942</v>
      </c>
      <c r="M551">
        <f>IF((((0.326*F551^0.818)-(0.398*F551^0.85)/(1-H551)*H551)*(MAX('Min rate concentrations'!$P$3:$P$368)))/F551&gt;0, (((0.326*F551^0.818)-(0.398*F551^0.85)/(1-H551)*H551)*(MAX('Min rate concentrations'!$P$3:$P$368)))/F551, 0)</f>
        <v>0</v>
      </c>
      <c r="N551">
        <f>IF((((0.326*F551^0.818)-(0.398*F551^0.85)/(1-H551)*H551)*(MAX('Min rate concentrations'!$Q$3:$Q$368)))/F551&gt; 0, (((0.326*F551^0.818)-(0.398*F551^0.85)/(1-H551)*H551)*(MAX('Min rate concentrations'!$Q$3:$Q$368)))/F551, 0)</f>
        <v>0</v>
      </c>
      <c r="O551">
        <f>((MAX('Min rate concentrations'!$F$3:$F$368))*0.62*6.01*8*(12.3*F551^0.65)*0.079*0.1/F551)*inputs!$E$73/inputs!$E$74</f>
        <v>5.8069249204995748</v>
      </c>
      <c r="P551">
        <f>((MAX('Min rate concentrations'!Y:Y))*0.62*6.01*8*(12.3*F551^0.65)*0.079*0.1/F551)*inputs!$E$73/inputs!$E$74</f>
        <v>1.9356416401665246</v>
      </c>
      <c r="Q551">
        <f>(inputs!$C$7*11.2*(12.3*F551^0.65)*0.5/F551)*inputs!$E$73/inputs!$E$74</f>
        <v>1.0228624359311669</v>
      </c>
      <c r="R551">
        <f>(60*379*((F551/1000)^0.8)*3*24*(MAX('Min rate concentrations'!$R$3:$R$368))/F551)*(inputs!$E$73/inputs!$E$75)</f>
        <v>2.269675914583151E-3</v>
      </c>
      <c r="S551">
        <f>(IF(inputs!$C$6="aerial",((0.025*0.112*inputs!$C$7/3.3)*(3*60*379*((F551/1000)^0.8))*MAX(inputs!$H$14:$H$16))/F551,((0.0083*0.112*inputs!$C$7/1)*(3*60*379*((F551/1000)^0.8))*MAX(inputs!$H$14:$H$16))/F551))*(inputs!E$75/inputs!$E$73)</f>
        <v>1.2517402113976756E-2</v>
      </c>
      <c r="T551">
        <f>IF((((inputs!$P$12/(V551/MAX(K551:S551)))^(1/inputs!$O$12))-1)/inputs!$N$12&lt;0, 0, IF((((inputs!$P$12/(V551/MAX(K551:S551)))^(1/inputs!$O$12))-1)/inputs!$N$12&gt;inputs!$H$17, inputs!$H$17, (((inputs!$P$12/(V551/MAX(K551:S551)))^(1/inputs!$O$12))-1)/inputs!$N$12))</f>
        <v>19.734753802013788</v>
      </c>
      <c r="U551">
        <f>IF((((inputs!$P$12/(X551/MAX(K551:S551)))^(1/inputs!$O$12))-1)/inputs!$N$12&lt;0, 0, IF((((inputs!$P$12/(X551/MAX(K551:S551)))^(1/inputs!$O$12))-1)/inputs!$N$12&gt;inputs!$H$17, inputs!$H$17, (((inputs!$P$12/(X551/MAX(K551:S551)))^(1/inputs!$O$12))-1)/inputs!$N$12))</f>
        <v>0</v>
      </c>
      <c r="V551">
        <f>inputs!$E$70*(F551/inputs!$F$70)^(0.25)</f>
        <v>4.8678419521897061</v>
      </c>
      <c r="W551">
        <f>inputs!$E$76*(inputs!$F$76/F551)^(0.25)</f>
        <v>0.35</v>
      </c>
      <c r="X551">
        <f>inputs!$E$72*(inputs!$F$72/F551)^(0.25)</f>
        <v>51.336917355664603</v>
      </c>
      <c r="Y551" t="s">
        <v>13</v>
      </c>
      <c r="Z551">
        <f t="shared" si="57"/>
        <v>7.6577255074129233</v>
      </c>
      <c r="AA551">
        <f t="shared" si="58"/>
        <v>106.50456423810809</v>
      </c>
    </row>
    <row r="552" spans="1:27" x14ac:dyDescent="0.3">
      <c r="A552" t="s">
        <v>554</v>
      </c>
      <c r="B552" t="s">
        <v>555</v>
      </c>
      <c r="C552" t="s">
        <v>61</v>
      </c>
      <c r="D552" t="s">
        <v>467</v>
      </c>
      <c r="E552">
        <v>8962</v>
      </c>
      <c r="F552">
        <v>350</v>
      </c>
      <c r="G552" t="s">
        <v>556</v>
      </c>
      <c r="H552">
        <v>0.7</v>
      </c>
      <c r="I552">
        <f>MAX('Min rate concentrations'!$E$3:$E$368)</f>
        <v>55</v>
      </c>
      <c r="J552">
        <f>MAX('Min rate concentrations'!X:X)</f>
        <v>18</v>
      </c>
      <c r="K552">
        <f t="shared" si="59"/>
        <v>15.186761937656151</v>
      </c>
      <c r="M552">
        <f>IF((((0.326*F552^0.818)-(0.398*F552^0.85)/(1-H552)*H552)*(MAX('Min rate concentrations'!$P$3:$P$368)))/F552&gt;0, (((0.326*F552^0.818)-(0.398*F552^0.85)/(1-H552)*H552)*(MAX('Min rate concentrations'!$P$3:$P$368)))/F552, 0)</f>
        <v>0</v>
      </c>
      <c r="N552">
        <f>IF((((0.326*F552^0.818)-(0.398*F552^0.85)/(1-H552)*H552)*(MAX('Min rate concentrations'!$Q$3:$Q$368)))/F552&gt; 0, (((0.326*F552^0.818)-(0.398*F552^0.85)/(1-H552)*H552)*(MAX('Min rate concentrations'!$Q$3:$Q$368)))/F552, 0)</f>
        <v>0</v>
      </c>
      <c r="O552">
        <f>((MAX('Min rate concentrations'!$F$3:$F$368))*0.62*6.01*8*(12.3*F552^0.65)*0.079*0.1/F552)*inputs!$E$73/inputs!$E$74</f>
        <v>5.8069249204995748</v>
      </c>
      <c r="Q552">
        <f>(inputs!$C$7*11.2*(12.3*F552^0.65)*0.5/F552)*inputs!$E$73/inputs!$E$74</f>
        <v>1.0228624359311669</v>
      </c>
      <c r="R552">
        <f>(60*379*((F552/1000)^0.8)*3*24*(MAX('Min rate concentrations'!$R$3:$R$368))/F552)*(inputs!$E$73/inputs!$E$75)</f>
        <v>2.269675914583151E-3</v>
      </c>
      <c r="S552">
        <f>(IF(inputs!$C$6="aerial",((0.025*0.112*inputs!$C$7/3.3)*(3*60*379*((F552/1000)^0.8))*MAX(inputs!$H$14:$H$16))/F552,((0.0083*0.112*inputs!$C$7/1)*(3*60*379*((F552/1000)^0.8))*MAX(inputs!$H$14:$H$16))/F552))*(inputs!E$75/inputs!$E$73)</f>
        <v>1.2517402113976756E-2</v>
      </c>
      <c r="T552">
        <f>IF((((inputs!$P$12/(V552/MAX(K552:S552)))^(1/inputs!$O$12))-1)/inputs!$N$12&lt;0, 0, IF((((inputs!$P$12/(V552/MAX(K552:S552)))^(1/inputs!$O$12))-1)/inputs!$N$12&gt;inputs!$H$17, inputs!$H$17, (((inputs!$P$12/(V552/MAX(K552:S552)))^(1/inputs!$O$12))-1)/inputs!$N$12))</f>
        <v>4.9799303365728687</v>
      </c>
      <c r="U552">
        <f>IF((((inputs!$P$12/(X552/MAX(K552:S552)))^(1/inputs!$O$12))-1)/inputs!$N$12&lt;0, 0, IF((((inputs!$P$12/(X552/MAX(K552:S552)))^(1/inputs!$O$12))-1)/inputs!$N$12&gt;inputs!$H$17, inputs!$H$17, (((inputs!$P$12/(X552/MAX(K552:S552)))^(1/inputs!$O$12))-1)/inputs!$N$12))</f>
        <v>0</v>
      </c>
      <c r="V552">
        <f>inputs!$E$70*(F552/inputs!$F$70)^(0.25)</f>
        <v>4.8678419521897061</v>
      </c>
      <c r="W552">
        <f>inputs!$E$76*(inputs!$F$76/F552)^(0.25)</f>
        <v>0.35</v>
      </c>
      <c r="X552">
        <f>inputs!$E$72*(inputs!$F$72/F552)^(0.25)</f>
        <v>51.336917355664603</v>
      </c>
      <c r="Y552" t="s">
        <v>13</v>
      </c>
      <c r="Z552">
        <f t="shared" si="57"/>
        <v>3.1198140956126719</v>
      </c>
      <c r="AA552">
        <f t="shared" si="58"/>
        <v>43.390748393303291</v>
      </c>
    </row>
    <row r="553" spans="1:27" x14ac:dyDescent="0.3">
      <c r="A553" t="s">
        <v>501</v>
      </c>
      <c r="B553" t="s">
        <v>502</v>
      </c>
      <c r="C553" t="s">
        <v>61</v>
      </c>
      <c r="D553" t="s">
        <v>467</v>
      </c>
      <c r="E553">
        <v>48</v>
      </c>
      <c r="F553">
        <v>18</v>
      </c>
      <c r="G553" t="s">
        <v>142</v>
      </c>
      <c r="H553">
        <v>0.69</v>
      </c>
      <c r="I553">
        <f>MAX('Min rate concentrations'!$H$3:$H$368)</f>
        <v>47</v>
      </c>
      <c r="J553">
        <f>MAX('Min rate concentrations'!AA:AA)</f>
        <v>32.5</v>
      </c>
      <c r="K553">
        <f t="shared" si="59"/>
        <v>21.29930931086157</v>
      </c>
      <c r="L553">
        <f>(((0.235*F553^0.822)/(1-H553)))*J553/F553</f>
        <v>14.728245800063853</v>
      </c>
      <c r="M553">
        <f>IF((((0.326*F553^0.818)-(0.398*F553^0.85)/(1-H553)*H553)*(MAX('Min rate concentrations'!$P$3:$P$368)))/F553&gt;0, (((0.326*F553^0.818)-(0.398*F553^0.85)/(1-H553)*H553)*(MAX('Min rate concentrations'!$P$3:$P$368)))/F553, 0)</f>
        <v>0</v>
      </c>
      <c r="N553">
        <f>IF((((0.326*F553^0.818)-(0.398*F553^0.85)/(1-H553)*H553)*(MAX('Min rate concentrations'!$Q$3:$Q$368)))/F553&gt; 0, (((0.326*F553^0.818)-(0.398*F553^0.85)/(1-H553)*H553)*(MAX('Min rate concentrations'!$Q$3:$Q$368)))/F553, 0)</f>
        <v>0</v>
      </c>
      <c r="O553">
        <f>((MAX('Min rate concentrations'!$F$3:$F$368))*0.62*6.01*8*(12.3*F553^0.65)*0.079*0.1/F553)*inputs!$E$73/inputs!$E$74</f>
        <v>16.406828924148304</v>
      </c>
      <c r="P553">
        <f>((MAX('Min rate concentrations'!Y:Y))*0.62*6.01*8*(12.3*F553^0.65)*0.079*0.1/F553)*inputs!$E$73/inputs!$E$74</f>
        <v>5.4689429747161</v>
      </c>
      <c r="Q553">
        <f>(inputs!$C$7*11.2*(12.3*F553^0.65)*0.5/F553)*inputs!$E$73/inputs!$E$74</f>
        <v>2.8899855308989428</v>
      </c>
      <c r="R553">
        <f>(60*379*((F553/1000)^0.8)*3*24*(MAX('Min rate concentrations'!$R$3:$R$368))/F553)*(inputs!$E$73/inputs!$E$75)</f>
        <v>4.1088752600946278E-3</v>
      </c>
      <c r="S553">
        <f>(IF(inputs!$C$6="aerial",((0.025*0.112*inputs!$C$7/3.3)*(3*60*379*((F553/1000)^0.8))*MAX(inputs!$H$14:$H$16))/F553,((0.0083*0.112*inputs!$C$7/1)*(3*60*379*((F553/1000)^0.8))*MAX(inputs!$H$14:$H$16))/F553))*(inputs!E$75/inputs!$E$73)</f>
        <v>2.2660699501770649E-2</v>
      </c>
      <c r="T553">
        <f>IF((((inputs!$P$12/(V553/MAX(K553:S553)))^(1/inputs!$O$12))-1)/inputs!$N$12&lt;0, 0, IF((((inputs!$P$12/(V553/MAX(K553:S553)))^(1/inputs!$O$12))-1)/inputs!$N$12&gt;inputs!$H$17, inputs!$H$17, (((inputs!$P$12/(V553/MAX(K553:S553)))^(1/inputs!$O$12))-1)/inputs!$N$12))</f>
        <v>23.444297895713422</v>
      </c>
      <c r="U553">
        <f>IF((((inputs!$P$12/(X553/MAX(K553:S553)))^(1/inputs!$O$12))-1)/inputs!$N$12&lt;0, 0, IF((((inputs!$P$12/(X553/MAX(K553:S553)))^(1/inputs!$O$12))-1)/inputs!$N$12&gt;inputs!$H$17, inputs!$H$17, (((inputs!$P$12/(X553/MAX(K553:S553)))^(1/inputs!$O$12))-1)/inputs!$N$12))</f>
        <v>0</v>
      </c>
      <c r="V553">
        <f>inputs!$E$70*(F553/inputs!$F$70)^(0.25)</f>
        <v>2.3181289164922063</v>
      </c>
      <c r="W553">
        <f>inputs!$E$76*(inputs!$F$76/F553)^(0.25)</f>
        <v>0.73496545905846522</v>
      </c>
      <c r="X553">
        <f>inputs!$E$72*(inputs!$F$72/F553)^(0.25)</f>
        <v>107.80246008843579</v>
      </c>
      <c r="Y553" t="s">
        <v>13</v>
      </c>
      <c r="Z553">
        <f t="shared" si="57"/>
        <v>9.188147026392171</v>
      </c>
      <c r="AA553">
        <f t="shared" si="58"/>
        <v>28.980014024260761</v>
      </c>
    </row>
    <row r="554" spans="1:27" x14ac:dyDescent="0.3">
      <c r="A554" t="s">
        <v>501</v>
      </c>
      <c r="B554" t="s">
        <v>502</v>
      </c>
      <c r="C554" t="s">
        <v>61</v>
      </c>
      <c r="D554" t="s">
        <v>467</v>
      </c>
      <c r="E554">
        <v>48</v>
      </c>
      <c r="F554">
        <v>18</v>
      </c>
      <c r="G554" t="s">
        <v>152</v>
      </c>
      <c r="H554">
        <v>0.77</v>
      </c>
      <c r="I554">
        <f>MAX('Min rate concentrations'!$G$3:$G$368)</f>
        <v>7.5</v>
      </c>
      <c r="J554">
        <f>MAX('Min rate concentrations'!Z:Z)</f>
        <v>3.5</v>
      </c>
      <c r="K554">
        <f t="shared" si="59"/>
        <v>4.5810262856385897</v>
      </c>
      <c r="L554">
        <f>(((0.235*F554^0.822)/(1-H554)))*J554/F554</f>
        <v>2.1378122666313422</v>
      </c>
      <c r="M554">
        <f>IF((((0.326*F554^0.818)-(0.398*F554^0.85)/(1-H554)*H554)*(MAX('Min rate concentrations'!$P$3:$P$368)))/F554&gt;0, (((0.326*F554^0.818)-(0.398*F554^0.85)/(1-H554)*H554)*(MAX('Min rate concentrations'!$P$3:$P$368)))/F554, 0)</f>
        <v>0</v>
      </c>
      <c r="N554">
        <f>IF((((0.326*F554^0.818)-(0.398*F554^0.85)/(1-H554)*H554)*(MAX('Min rate concentrations'!$Q$3:$Q$368)))/F554&gt; 0, (((0.326*F554^0.818)-(0.398*F554^0.85)/(1-H554)*H554)*(MAX('Min rate concentrations'!$Q$3:$Q$368)))/F554, 0)</f>
        <v>0</v>
      </c>
      <c r="O554">
        <f>((MAX('Min rate concentrations'!$F$3:$F$368))*0.62*6.01*8*(12.3*F554^0.65)*0.079*0.1/F554)*inputs!$E$73/inputs!$E$74</f>
        <v>16.406828924148304</v>
      </c>
      <c r="P554">
        <f>((MAX('Min rate concentrations'!Y:Y))*0.62*6.01*8*(12.3*F554^0.65)*0.079*0.1/F554)*inputs!$E$73/inputs!$E$74</f>
        <v>5.4689429747161</v>
      </c>
      <c r="Q554">
        <f>(inputs!$C$7*11.2*(12.3*F554^0.65)*0.5/F554)*inputs!$E$73/inputs!$E$74</f>
        <v>2.8899855308989428</v>
      </c>
      <c r="R554">
        <f>(60*379*((F554/1000)^0.8)*3*24*(MAX('Min rate concentrations'!$R$3:$R$368))/F554)*(inputs!$E$73/inputs!$E$75)</f>
        <v>4.1088752600946278E-3</v>
      </c>
      <c r="S554">
        <f>(IF(inputs!$C$6="aerial",((0.025*0.112*inputs!$C$7/3.3)*(3*60*379*((F554/1000)^0.8))*MAX(inputs!$H$14:$H$16))/F554,((0.0083*0.112*inputs!$C$7/1)*(3*60*379*((F554/1000)^0.8))*MAX(inputs!$H$14:$H$16))/F554))*(inputs!E$75/inputs!$E$73)</f>
        <v>2.2660699501770649E-2</v>
      </c>
      <c r="T554">
        <f>IF((((inputs!$P$12/(V554/MAX(K554:S554)))^(1/inputs!$O$12))-1)/inputs!$N$12&lt;0, 0, IF((((inputs!$P$12/(V554/MAX(K554:S554)))^(1/inputs!$O$12))-1)/inputs!$N$12&gt;inputs!$H$17, inputs!$H$17, (((inputs!$P$12/(V554/MAX(K554:S554)))^(1/inputs!$O$12))-1)/inputs!$N$12))</f>
        <v>18.214043022702626</v>
      </c>
      <c r="U554">
        <f>IF((((inputs!$P$12/(X554/MAX(K554:S554)))^(1/inputs!$O$12))-1)/inputs!$N$12&lt;0, 0, IF((((inputs!$P$12/(X554/MAX(K554:S554)))^(1/inputs!$O$12))-1)/inputs!$N$12&gt;inputs!$H$17, inputs!$H$17, (((inputs!$P$12/(X554/MAX(K554:S554)))^(1/inputs!$O$12))-1)/inputs!$N$12))</f>
        <v>0</v>
      </c>
      <c r="V554">
        <f>inputs!$E$70*(F554/inputs!$F$70)^(0.25)</f>
        <v>2.3181289164922063</v>
      </c>
      <c r="W554">
        <f>inputs!$E$76*(inputs!$F$76/F554)^(0.25)</f>
        <v>0.73496545905846522</v>
      </c>
      <c r="X554">
        <f>inputs!$E$72*(inputs!$F$72/F554)^(0.25)</f>
        <v>107.80246008843579</v>
      </c>
      <c r="Y554" t="s">
        <v>13</v>
      </c>
      <c r="Z554">
        <f t="shared" si="57"/>
        <v>7.0776171279443441</v>
      </c>
      <c r="AA554">
        <f t="shared" si="58"/>
        <v>22.32326529353697</v>
      </c>
    </row>
    <row r="555" spans="1:27" x14ac:dyDescent="0.3">
      <c r="A555" t="s">
        <v>501</v>
      </c>
      <c r="B555" t="s">
        <v>502</v>
      </c>
      <c r="C555" t="s">
        <v>61</v>
      </c>
      <c r="D555" t="s">
        <v>467</v>
      </c>
      <c r="E555">
        <v>48</v>
      </c>
      <c r="F555">
        <v>18</v>
      </c>
      <c r="G555" t="s">
        <v>153</v>
      </c>
      <c r="H555">
        <v>0.7</v>
      </c>
      <c r="I555">
        <f>MAX('Min rate concentrations'!$E$3:$E$368)</f>
        <v>55</v>
      </c>
      <c r="J555">
        <f>MAX('Min rate concentrations'!X:X)</f>
        <v>18</v>
      </c>
      <c r="K555">
        <f t="shared" si="59"/>
        <v>25.755547783701402</v>
      </c>
      <c r="M555">
        <f>IF((((0.326*F555^0.818)-(0.398*F555^0.85)/(1-H555)*H555)*(MAX('Min rate concentrations'!$P$3:$P$368)))/F555&gt;0, (((0.326*F555^0.818)-(0.398*F555^0.85)/(1-H555)*H555)*(MAX('Min rate concentrations'!$P$3:$P$368)))/F555, 0)</f>
        <v>0</v>
      </c>
      <c r="N555">
        <f>IF((((0.326*F555^0.818)-(0.398*F555^0.85)/(1-H555)*H555)*(MAX('Min rate concentrations'!$Q$3:$Q$368)))/F555&gt; 0, (((0.326*F555^0.818)-(0.398*F555^0.85)/(1-H555)*H555)*(MAX('Min rate concentrations'!$Q$3:$Q$368)))/F555, 0)</f>
        <v>0</v>
      </c>
      <c r="O555">
        <f>((MAX('Min rate concentrations'!$F$3:$F$368))*0.62*6.01*8*(12.3*F555^0.65)*0.079*0.1/F555)*inputs!$E$73/inputs!$E$74</f>
        <v>16.406828924148304</v>
      </c>
      <c r="Q555">
        <f>(inputs!$C$7*11.2*(12.3*F555^0.65)*0.5/F555)*inputs!$E$73/inputs!$E$74</f>
        <v>2.8899855308989428</v>
      </c>
      <c r="R555">
        <f>(60*379*((F555/1000)^0.8)*3*24*(MAX('Min rate concentrations'!$R$3:$R$368))/F555)*(inputs!$E$73/inputs!$E$75)</f>
        <v>4.1088752600946278E-3</v>
      </c>
      <c r="S555">
        <f>(IF(inputs!$C$6="aerial",((0.025*0.112*inputs!$C$7/3.3)*(3*60*379*((F555/1000)^0.8))*MAX(inputs!$H$14:$H$16))/F555,((0.0083*0.112*inputs!$C$7/1)*(3*60*379*((F555/1000)^0.8))*MAX(inputs!$H$14:$H$16))/F555))*(inputs!E$75/inputs!$E$73)</f>
        <v>2.2660699501770649E-2</v>
      </c>
      <c r="T555">
        <f>IF((((inputs!$P$12/(V555/MAX(K555:S555)))^(1/inputs!$O$12))-1)/inputs!$N$12&lt;0, 0, IF((((inputs!$P$12/(V555/MAX(K555:S555)))^(1/inputs!$O$12))-1)/inputs!$N$12&gt;inputs!$H$17, inputs!$H$17, (((inputs!$P$12/(V555/MAX(K555:S555)))^(1/inputs!$O$12))-1)/inputs!$N$12))</f>
        <v>27.616361850445411</v>
      </c>
      <c r="U555">
        <f>IF((((inputs!$P$12/(X555/MAX(K555:S555)))^(1/inputs!$O$12))-1)/inputs!$N$12&lt;0, 0, IF((((inputs!$P$12/(X555/MAX(K555:S555)))^(1/inputs!$O$12))-1)/inputs!$N$12&gt;inputs!$H$17, inputs!$H$17, (((inputs!$P$12/(X555/MAX(K555:S555)))^(1/inputs!$O$12))-1)/inputs!$N$12))</f>
        <v>0</v>
      </c>
      <c r="V555">
        <f>inputs!$E$70*(F555/inputs!$F$70)^(0.25)</f>
        <v>2.3181289164922063</v>
      </c>
      <c r="W555">
        <f>inputs!$E$76*(inputs!$F$76/F555)^(0.25)</f>
        <v>0.73496545905846522</v>
      </c>
      <c r="X555">
        <f>inputs!$E$72*(inputs!$F$72/F555)^(0.25)</f>
        <v>107.80246008843579</v>
      </c>
      <c r="Y555" t="s">
        <v>13</v>
      </c>
      <c r="Z555">
        <f t="shared" si="57"/>
        <v>11.110489843970674</v>
      </c>
      <c r="AA555">
        <f t="shared" si="58"/>
        <v>35.043208447776308</v>
      </c>
    </row>
    <row r="556" spans="1:27" x14ac:dyDescent="0.3">
      <c r="A556" t="s">
        <v>517</v>
      </c>
      <c r="B556" t="s">
        <v>518</v>
      </c>
      <c r="C556" t="s">
        <v>61</v>
      </c>
      <c r="D556" t="s">
        <v>467</v>
      </c>
      <c r="E556">
        <v>10043</v>
      </c>
      <c r="F556">
        <v>5</v>
      </c>
      <c r="G556" t="s">
        <v>142</v>
      </c>
      <c r="H556">
        <v>0.69</v>
      </c>
      <c r="I556">
        <f>MAX('Min rate concentrations'!$H$3:$H$368)</f>
        <v>47</v>
      </c>
      <c r="J556">
        <f>MAX('Min rate concentrations'!AA:AA)</f>
        <v>32.5</v>
      </c>
      <c r="K556">
        <f t="shared" si="59"/>
        <v>26.753916396244637</v>
      </c>
      <c r="L556">
        <f t="shared" ref="L556:L562" si="60">(((0.235*F556^0.822)/(1-H556)))*J556/F556</f>
        <v>18.500048571871293</v>
      </c>
      <c r="M556">
        <f>IF((((0.326*F556^0.818)-(0.398*F556^0.85)/(1-H556)*H556)*(MAX('Min rate concentrations'!$P$3:$P$368)))/F556&gt;0, (((0.326*F556^0.818)-(0.398*F556^0.85)/(1-H556)*H556)*(MAX('Min rate concentrations'!$P$3:$P$368)))/F556, 0)</f>
        <v>0</v>
      </c>
      <c r="N556">
        <f>IF((((0.326*F556^0.818)-(0.398*F556^0.85)/(1-H556)*H556)*(MAX('Min rate concentrations'!$Q$3:$Q$368)))/F556&gt; 0, (((0.326*F556^0.818)-(0.398*F556^0.85)/(1-H556)*H556)*(MAX('Min rate concentrations'!$Q$3:$Q$368)))/F556, 0)</f>
        <v>0</v>
      </c>
      <c r="O556">
        <f>((MAX('Min rate concentrations'!$F$3:$F$368))*0.62*6.01*8*(12.3*F556^0.65)*0.079*0.1/F556)*inputs!$E$73/inputs!$E$74</f>
        <v>25.688013745628645</v>
      </c>
      <c r="P556">
        <f>((MAX('Min rate concentrations'!Y:Y))*0.62*6.01*8*(12.3*F556^0.65)*0.079*0.1/F556)*inputs!$E$73/inputs!$E$74</f>
        <v>8.5626712485428804</v>
      </c>
      <c r="Q556">
        <f>(inputs!$C$7*11.2*(12.3*F556^0.65)*0.5/F556)*inputs!$E$73/inputs!$E$74</f>
        <v>4.5248224617697534</v>
      </c>
      <c r="R556">
        <f>(60*379*((F556/1000)^0.8)*3*24*(MAX('Min rate concentrations'!$R$3:$R$368))/F556)*(inputs!$E$73/inputs!$E$75)</f>
        <v>5.3086422236971543E-3</v>
      </c>
      <c r="S556">
        <f>(IF(inputs!$C$6="aerial",((0.025*0.112*inputs!$C$7/3.3)*(3*60*379*((F556/1000)^0.8))*MAX(inputs!$H$14:$H$16))/F556,((0.0083*0.112*inputs!$C$7/1)*(3*60*379*((F556/1000)^0.8))*MAX(inputs!$H$14:$H$16))/F556))*(inputs!E$75/inputs!$E$73)</f>
        <v>2.9277488017692293E-2</v>
      </c>
      <c r="T556">
        <f>IF((((inputs!$P$12/(V556/MAX(K556:S556)))^(1/inputs!$O$12))-1)/inputs!$N$12&lt;0, 0, IF((((inputs!$P$12/(V556/MAX(K556:S556)))^(1/inputs!$O$12))-1)/inputs!$N$12&gt;inputs!$H$17, inputs!$H$17, (((inputs!$P$12/(V556/MAX(K556:S556)))^(1/inputs!$O$12))-1)/inputs!$N$12))</f>
        <v>36.41781888316028</v>
      </c>
      <c r="U556">
        <f>IF((((inputs!$P$12/(X556/MAX(K556:S556)))^(1/inputs!$O$12))-1)/inputs!$N$12&lt;0, 0, IF((((inputs!$P$12/(X556/MAX(K556:S556)))^(1/inputs!$O$12))-1)/inputs!$N$12&gt;inputs!$H$17, inputs!$H$17, (((inputs!$P$12/(X556/MAX(K556:S556)))^(1/inputs!$O$12))-1)/inputs!$N$12))</f>
        <v>0</v>
      </c>
      <c r="V556">
        <f>inputs!$E$70*(F556/inputs!$F$70)^(0.25)</f>
        <v>1.6829141392239833</v>
      </c>
      <c r="W556">
        <f>inputs!$E$76*(inputs!$F$76/F556)^(0.25)</f>
        <v>1.0123776629816774</v>
      </c>
      <c r="X556">
        <f>inputs!$E$72*(inputs!$F$72/F556)^(0.25)</f>
        <v>148.49242404917496</v>
      </c>
      <c r="Y556" t="s">
        <v>13</v>
      </c>
      <c r="Z556">
        <f t="shared" si="57"/>
        <v>15.897374543766841</v>
      </c>
      <c r="AA556">
        <f t="shared" si="58"/>
        <v>26.426814196441676</v>
      </c>
    </row>
    <row r="557" spans="1:27" x14ac:dyDescent="0.3">
      <c r="A557" t="s">
        <v>465</v>
      </c>
      <c r="B557" t="s">
        <v>466</v>
      </c>
      <c r="C557" t="s">
        <v>61</v>
      </c>
      <c r="D557" t="s">
        <v>467</v>
      </c>
      <c r="E557">
        <v>25</v>
      </c>
      <c r="F557">
        <v>7</v>
      </c>
      <c r="G557" t="s">
        <v>142</v>
      </c>
      <c r="H557">
        <v>0.69</v>
      </c>
      <c r="I557">
        <f>MAX('Min rate concentrations'!$H$3:$H$368)</f>
        <v>47</v>
      </c>
      <c r="J557">
        <f>MAX('Min rate concentrations'!AA:AA)</f>
        <v>32.5</v>
      </c>
      <c r="K557">
        <f t="shared" si="59"/>
        <v>25.198609434978106</v>
      </c>
      <c r="L557">
        <f t="shared" si="60"/>
        <v>17.424570353974222</v>
      </c>
      <c r="M557">
        <f>IF((((0.326*F557^0.818)-(0.398*F557^0.85)/(1-H557)*H557)*(MAX('Min rate concentrations'!$P$3:$P$368)))/F557&gt;0, (((0.326*F557^0.818)-(0.398*F557^0.85)/(1-H557)*H557)*(MAX('Min rate concentrations'!$P$3:$P$368)))/F557, 0)</f>
        <v>0</v>
      </c>
      <c r="N557">
        <f>IF((((0.326*F557^0.818)-(0.398*F557^0.85)/(1-H557)*H557)*(MAX('Min rate concentrations'!$Q$3:$Q$368)))/F557&gt; 0, (((0.326*F557^0.818)-(0.398*F557^0.85)/(1-H557)*H557)*(MAX('Min rate concentrations'!$Q$3:$Q$368)))/F557, 0)</f>
        <v>0</v>
      </c>
      <c r="O557">
        <f>((MAX('Min rate concentrations'!$F$3:$F$368))*0.62*6.01*8*(12.3*F557^0.65)*0.079*0.1/F557)*inputs!$E$73/inputs!$E$74</f>
        <v>22.834195364309181</v>
      </c>
      <c r="P557">
        <f>((MAX('Min rate concentrations'!Y:Y))*0.62*6.01*8*(12.3*F557^0.65)*0.079*0.1/F557)*inputs!$E$73/inputs!$E$74</f>
        <v>7.6113984547697271</v>
      </c>
      <c r="Q557">
        <f>(inputs!$C$7*11.2*(12.3*F557^0.65)*0.5/F557)*inputs!$E$73/inputs!$E$74</f>
        <v>4.0221358141575729</v>
      </c>
      <c r="R557">
        <f>(60*379*((F557/1000)^0.8)*3*24*(MAX('Min rate concentrations'!$R$3:$R$368))/F557)*(inputs!$E$73/inputs!$E$75)</f>
        <v>4.9631551302954831E-3</v>
      </c>
      <c r="S557">
        <f>(IF(inputs!$C$6="aerial",((0.025*0.112*inputs!$C$7/3.3)*(3*60*379*((F557/1000)^0.8))*MAX(inputs!$H$14:$H$16))/F557,((0.0083*0.112*inputs!$C$7/1)*(3*60*379*((F557/1000)^0.8))*MAX(inputs!$H$14:$H$16))/F557))*(inputs!E$75/inputs!$E$73)</f>
        <v>2.7372105471439204E-2</v>
      </c>
      <c r="T557">
        <f>IF((((inputs!$P$12/(V557/MAX(K557:S557)))^(1/inputs!$O$12))-1)/inputs!$N$12&lt;0, 0, IF((((inputs!$P$12/(V557/MAX(K557:S557)))^(1/inputs!$O$12))-1)/inputs!$N$12&gt;inputs!$H$17, inputs!$H$17, (((inputs!$P$12/(V557/MAX(K557:S557)))^(1/inputs!$O$12))-1)/inputs!$N$12))</f>
        <v>32.725108682006919</v>
      </c>
      <c r="U557">
        <f>IF((((inputs!$P$12/(X557/MAX(K557:S557)))^(1/inputs!$O$12))-1)/inputs!$N$12&lt;0, 0, IF((((inputs!$P$12/(X557/MAX(K557:S557)))^(1/inputs!$O$12))-1)/inputs!$N$12&gt;inputs!$H$17, inputs!$H$17, (((inputs!$P$12/(X557/MAX(K557:S557)))^(1/inputs!$O$12))-1)/inputs!$N$12))</f>
        <v>0</v>
      </c>
      <c r="V557">
        <f>inputs!$E$70*(F557/inputs!$F$70)^(0.25)</f>
        <v>1.8306021502060315</v>
      </c>
      <c r="W557">
        <f>inputs!$E$76*(inputs!$F$76/F557)^(0.25)</f>
        <v>0.9307017819653729</v>
      </c>
      <c r="X557">
        <f>inputs!$E$72*(inputs!$F$72/F557)^(0.25)</f>
        <v>136.51245846721753</v>
      </c>
      <c r="Y557" t="s">
        <v>13</v>
      </c>
      <c r="Z557">
        <f t="shared" si="57"/>
        <v>13.765202576727031</v>
      </c>
      <c r="AA557">
        <f t="shared" si="58"/>
        <v>27.074848166472758</v>
      </c>
    </row>
    <row r="558" spans="1:27" x14ac:dyDescent="0.3">
      <c r="A558" t="s">
        <v>484</v>
      </c>
      <c r="B558" t="s">
        <v>485</v>
      </c>
      <c r="C558" t="s">
        <v>61</v>
      </c>
      <c r="D558" t="s">
        <v>467</v>
      </c>
      <c r="E558">
        <v>8166</v>
      </c>
      <c r="F558">
        <v>5.5</v>
      </c>
      <c r="G558" t="s">
        <v>142</v>
      </c>
      <c r="H558">
        <v>0.69</v>
      </c>
      <c r="I558">
        <f>MAX('Min rate concentrations'!$H$3:$H$368)</f>
        <v>47</v>
      </c>
      <c r="J558">
        <f>MAX('Min rate concentrations'!AA:AA)</f>
        <v>32.5</v>
      </c>
      <c r="K558">
        <f t="shared" si="59"/>
        <v>26.303858986812376</v>
      </c>
      <c r="L558">
        <f t="shared" si="60"/>
        <v>18.188838661093669</v>
      </c>
      <c r="M558">
        <f>IF((((0.326*F558^0.818)-(0.398*F558^0.85)/(1-H558)*H558)*(MAX('Min rate concentrations'!$P$3:$P$368)))/F558&gt;0, (((0.326*F558^0.818)-(0.398*F558^0.85)/(1-H558)*H558)*(MAX('Min rate concentrations'!$P$3:$P$368)))/F558, 0)</f>
        <v>0</v>
      </c>
      <c r="N558">
        <f>IF((((0.326*F558^0.818)-(0.398*F558^0.85)/(1-H558)*H558)*(MAX('Min rate concentrations'!$Q$3:$Q$368)))/F558&gt; 0, (((0.326*F558^0.818)-(0.398*F558^0.85)/(1-H558)*H558)*(MAX('Min rate concentrations'!$Q$3:$Q$368)))/F558, 0)</f>
        <v>0</v>
      </c>
      <c r="O558">
        <f>((MAX('Min rate concentrations'!$F$3:$F$368))*0.62*6.01*8*(12.3*F558^0.65)*0.079*0.1/F558)*inputs!$E$73/inputs!$E$74</f>
        <v>24.845233641006182</v>
      </c>
      <c r="P558">
        <f>((MAX('Min rate concentrations'!Y:Y))*0.62*6.01*8*(12.3*F558^0.65)*0.079*0.1/F558)*inputs!$E$73/inputs!$E$74</f>
        <v>8.2817445470020576</v>
      </c>
      <c r="Q558">
        <f>(inputs!$C$7*11.2*(12.3*F558^0.65)*0.5/F558)*inputs!$E$73/inputs!$E$74</f>
        <v>4.3763707213786818</v>
      </c>
      <c r="R558">
        <f>(60*379*((F558/1000)^0.8)*3*24*(MAX('Min rate concentrations'!$R$3:$R$368))/F558)*(inputs!$E$73/inputs!$E$75)</f>
        <v>5.2084070728626811E-3</v>
      </c>
      <c r="S558">
        <f>(IF(inputs!$C$6="aerial",((0.025*0.112*inputs!$C$7/3.3)*(3*60*379*((F558/1000)^0.8))*MAX(inputs!$H$14:$H$16))/F558,((0.0083*0.112*inputs!$C$7/1)*(3*60*379*((F558/1000)^0.8))*MAX(inputs!$H$14:$H$16))/F558))*(inputs!E$75/inputs!$E$73)</f>
        <v>2.8724685002561985E-2</v>
      </c>
      <c r="T558">
        <f>IF((((inputs!$P$12/(V558/MAX(K558:S558)))^(1/inputs!$O$12))-1)/inputs!$N$12&lt;0, 0, IF((((inputs!$P$12/(V558/MAX(K558:S558)))^(1/inputs!$O$12))-1)/inputs!$N$12&gt;inputs!$H$17, inputs!$H$17, (((inputs!$P$12/(V558/MAX(K558:S558)))^(1/inputs!$O$12))-1)/inputs!$N$12))</f>
        <v>35.349761735192438</v>
      </c>
      <c r="U558">
        <f>IF((((inputs!$P$12/(X558/MAX(K558:S558)))^(1/inputs!$O$12))-1)/inputs!$N$12&lt;0, 0, IF((((inputs!$P$12/(X558/MAX(K558:S558)))^(1/inputs!$O$12))-1)/inputs!$N$12&gt;inputs!$H$17, inputs!$H$17, (((inputs!$P$12/(X558/MAX(K558:S558)))^(1/inputs!$O$12))-1)/inputs!$N$12))</f>
        <v>0</v>
      </c>
      <c r="V558">
        <f>inputs!$E$70*(F558/inputs!$F$70)^(0.25)</f>
        <v>1.7234954075330469</v>
      </c>
      <c r="W558">
        <f>inputs!$E$76*(inputs!$F$76/F558)^(0.25)</f>
        <v>0.98854030931540415</v>
      </c>
      <c r="X558">
        <f>inputs!$E$72*(inputs!$F$72/F558)^(0.25)</f>
        <v>144.99603474876582</v>
      </c>
      <c r="Y558" t="s">
        <v>13</v>
      </c>
      <c r="Z558">
        <f t="shared" si="57"/>
        <v>15.261925777024745</v>
      </c>
      <c r="AA558">
        <f t="shared" si="58"/>
        <v>26.60878746060304</v>
      </c>
    </row>
    <row r="559" spans="1:27" x14ac:dyDescent="0.3">
      <c r="A559" t="s">
        <v>486</v>
      </c>
      <c r="B559" t="s">
        <v>487</v>
      </c>
      <c r="C559" t="s">
        <v>61</v>
      </c>
      <c r="D559" t="s">
        <v>467</v>
      </c>
      <c r="E559">
        <v>4564</v>
      </c>
      <c r="F559">
        <v>5.5</v>
      </c>
      <c r="G559" t="s">
        <v>142</v>
      </c>
      <c r="H559">
        <v>0.69</v>
      </c>
      <c r="I559">
        <f>MAX('Min rate concentrations'!$H$3:$H$368)</f>
        <v>47</v>
      </c>
      <c r="J559">
        <f>MAX('Min rate concentrations'!AA:AA)</f>
        <v>32.5</v>
      </c>
      <c r="K559">
        <f t="shared" si="59"/>
        <v>26.303858986812376</v>
      </c>
      <c r="L559">
        <f t="shared" si="60"/>
        <v>18.188838661093669</v>
      </c>
      <c r="M559">
        <f>IF((((0.326*F559^0.818)-(0.398*F559^0.85)/(1-H559)*H559)*(MAX('Min rate concentrations'!$P$3:$P$368)))/F559&gt;0, (((0.326*F559^0.818)-(0.398*F559^0.85)/(1-H559)*H559)*(MAX('Min rate concentrations'!$P$3:$P$368)))/F559, 0)</f>
        <v>0</v>
      </c>
      <c r="N559">
        <f>IF((((0.326*F559^0.818)-(0.398*F559^0.85)/(1-H559)*H559)*(MAX('Min rate concentrations'!$Q$3:$Q$368)))/F559&gt; 0, (((0.326*F559^0.818)-(0.398*F559^0.85)/(1-H559)*H559)*(MAX('Min rate concentrations'!$Q$3:$Q$368)))/F559, 0)</f>
        <v>0</v>
      </c>
      <c r="O559">
        <f>((MAX('Min rate concentrations'!$F$3:$F$368))*0.62*6.01*8*(12.3*F559^0.65)*0.079*0.1/F559)*inputs!$E$73/inputs!$E$74</f>
        <v>24.845233641006182</v>
      </c>
      <c r="P559">
        <f>((MAX('Min rate concentrations'!Y:Y))*0.62*6.01*8*(12.3*F559^0.65)*0.079*0.1/F559)*inputs!$E$73/inputs!$E$74</f>
        <v>8.2817445470020576</v>
      </c>
      <c r="Q559">
        <f>(inputs!$C$7*11.2*(12.3*F559^0.65)*0.5/F559)*inputs!$E$73/inputs!$E$74</f>
        <v>4.3763707213786818</v>
      </c>
      <c r="R559">
        <f>(60*379*((F559/1000)^0.8)*3*24*(MAX('Min rate concentrations'!$R$3:$R$368))/F559)*(inputs!$E$73/inputs!$E$75)</f>
        <v>5.2084070728626811E-3</v>
      </c>
      <c r="S559">
        <f>(IF(inputs!$C$6="aerial",((0.025*0.112*inputs!$C$7/3.3)*(3*60*379*((F559/1000)^0.8))*MAX(inputs!$H$14:$H$16))/F559,((0.0083*0.112*inputs!$C$7/1)*(3*60*379*((F559/1000)^0.8))*MAX(inputs!$H$14:$H$16))/F559))*(inputs!E$75/inputs!$E$73)</f>
        <v>2.8724685002561985E-2</v>
      </c>
      <c r="T559">
        <f>IF((((inputs!$P$12/(V559/MAX(K559:S559)))^(1/inputs!$O$12))-1)/inputs!$N$12&lt;0, 0, IF((((inputs!$P$12/(V559/MAX(K559:S559)))^(1/inputs!$O$12))-1)/inputs!$N$12&gt;inputs!$H$17, inputs!$H$17, (((inputs!$P$12/(V559/MAX(K559:S559)))^(1/inputs!$O$12))-1)/inputs!$N$12))</f>
        <v>35.349761735192438</v>
      </c>
      <c r="U559">
        <f>IF((((inputs!$P$12/(X559/MAX(K559:S559)))^(1/inputs!$O$12))-1)/inputs!$N$12&lt;0, 0, IF((((inputs!$P$12/(X559/MAX(K559:S559)))^(1/inputs!$O$12))-1)/inputs!$N$12&gt;inputs!$H$17, inputs!$H$17, (((inputs!$P$12/(X559/MAX(K559:S559)))^(1/inputs!$O$12))-1)/inputs!$N$12))</f>
        <v>0</v>
      </c>
      <c r="V559">
        <f>inputs!$E$70*(F559/inputs!$F$70)^(0.25)</f>
        <v>1.7234954075330469</v>
      </c>
      <c r="W559">
        <f>inputs!$E$76*(inputs!$F$76/F559)^(0.25)</f>
        <v>0.98854030931540415</v>
      </c>
      <c r="X559">
        <f>inputs!$E$72*(inputs!$F$72/F559)^(0.25)</f>
        <v>144.99603474876582</v>
      </c>
      <c r="Y559" t="s">
        <v>13</v>
      </c>
      <c r="Z559">
        <f t="shared" si="57"/>
        <v>15.261925777024745</v>
      </c>
      <c r="AA559">
        <f t="shared" si="58"/>
        <v>26.60878746060304</v>
      </c>
    </row>
    <row r="560" spans="1:27" x14ac:dyDescent="0.3">
      <c r="A560" t="s">
        <v>468</v>
      </c>
      <c r="B560" t="s">
        <v>469</v>
      </c>
      <c r="C560" t="s">
        <v>61</v>
      </c>
      <c r="D560" t="s">
        <v>467</v>
      </c>
      <c r="E560">
        <v>27</v>
      </c>
      <c r="F560">
        <v>5</v>
      </c>
      <c r="G560" t="s">
        <v>142</v>
      </c>
      <c r="H560">
        <v>0.69</v>
      </c>
      <c r="I560">
        <f>MAX('Min rate concentrations'!$H$3:$H$368)</f>
        <v>47</v>
      </c>
      <c r="J560">
        <f>MAX('Min rate concentrations'!AA:AA)</f>
        <v>32.5</v>
      </c>
      <c r="K560">
        <f t="shared" si="59"/>
        <v>26.753916396244637</v>
      </c>
      <c r="L560">
        <f t="shared" si="60"/>
        <v>18.500048571871293</v>
      </c>
      <c r="M560">
        <f>IF((((0.326*F560^0.818)-(0.398*F560^0.85)/(1-H560)*H560)*(MAX('Min rate concentrations'!$P$3:$P$368)))/F560&gt;0, (((0.326*F560^0.818)-(0.398*F560^0.85)/(1-H560)*H560)*(MAX('Min rate concentrations'!$P$3:$P$368)))/F560, 0)</f>
        <v>0</v>
      </c>
      <c r="N560">
        <f>IF((((0.326*F560^0.818)-(0.398*F560^0.85)/(1-H560)*H560)*(MAX('Min rate concentrations'!$Q$3:$Q$368)))/F560&gt; 0, (((0.326*F560^0.818)-(0.398*F560^0.85)/(1-H560)*H560)*(MAX('Min rate concentrations'!$Q$3:$Q$368)))/F560, 0)</f>
        <v>0</v>
      </c>
      <c r="O560">
        <f>((MAX('Min rate concentrations'!$F$3:$F$368))*0.62*6.01*8*(12.3*F560^0.65)*0.079*0.1/F560)*inputs!$E$73/inputs!$E$74</f>
        <v>25.688013745628645</v>
      </c>
      <c r="P560">
        <f>((MAX('Min rate concentrations'!Y:Y))*0.62*6.01*8*(12.3*F560^0.65)*0.079*0.1/F560)*inputs!$E$73/inputs!$E$74</f>
        <v>8.5626712485428804</v>
      </c>
      <c r="Q560">
        <f>(inputs!$C$7*11.2*(12.3*F560^0.65)*0.5/F560)*inputs!$E$73/inputs!$E$74</f>
        <v>4.5248224617697534</v>
      </c>
      <c r="R560">
        <f>(60*379*((F560/1000)^0.8)*3*24*(MAX('Min rate concentrations'!$R$3:$R$368))/F560)*(inputs!$E$73/inputs!$E$75)</f>
        <v>5.3086422236971543E-3</v>
      </c>
      <c r="S560">
        <f>(IF(inputs!$C$6="aerial",((0.025*0.112*inputs!$C$7/3.3)*(3*60*379*((F560/1000)^0.8))*MAX(inputs!$H$14:$H$16))/F560,((0.0083*0.112*inputs!$C$7/1)*(3*60*379*((F560/1000)^0.8))*MAX(inputs!$H$14:$H$16))/F560))*(inputs!E$75/inputs!$E$73)</f>
        <v>2.9277488017692293E-2</v>
      </c>
      <c r="T560">
        <f>IF((((inputs!$P$12/(V560/MAX(K560:S560)))^(1/inputs!$O$12))-1)/inputs!$N$12&lt;0, 0, IF((((inputs!$P$12/(V560/MAX(K560:S560)))^(1/inputs!$O$12))-1)/inputs!$N$12&gt;inputs!$H$17, inputs!$H$17, (((inputs!$P$12/(V560/MAX(K560:S560)))^(1/inputs!$O$12))-1)/inputs!$N$12))</f>
        <v>36.41781888316028</v>
      </c>
      <c r="U560">
        <f>IF((((inputs!$P$12/(X560/MAX(K560:S560)))^(1/inputs!$O$12))-1)/inputs!$N$12&lt;0, 0, IF((((inputs!$P$12/(X560/MAX(K560:S560)))^(1/inputs!$O$12))-1)/inputs!$N$12&gt;inputs!$H$17, inputs!$H$17, (((inputs!$P$12/(X560/MAX(K560:S560)))^(1/inputs!$O$12))-1)/inputs!$N$12))</f>
        <v>0</v>
      </c>
      <c r="V560">
        <f>inputs!$E$70*(F560/inputs!$F$70)^(0.25)</f>
        <v>1.6829141392239833</v>
      </c>
      <c r="W560">
        <f>inputs!$E$76*(inputs!$F$76/F560)^(0.25)</f>
        <v>1.0123776629816774</v>
      </c>
      <c r="X560">
        <f>inputs!$E$72*(inputs!$F$72/F560)^(0.25)</f>
        <v>148.49242404917496</v>
      </c>
      <c r="Y560" t="s">
        <v>13</v>
      </c>
      <c r="Z560">
        <f t="shared" si="57"/>
        <v>15.897374543766841</v>
      </c>
      <c r="AA560">
        <f t="shared" si="58"/>
        <v>26.426814196441676</v>
      </c>
    </row>
    <row r="561" spans="1:27" x14ac:dyDescent="0.3">
      <c r="A561" t="s">
        <v>565</v>
      </c>
      <c r="B561" t="s">
        <v>566</v>
      </c>
      <c r="C561" t="s">
        <v>61</v>
      </c>
      <c r="D561" t="s">
        <v>567</v>
      </c>
      <c r="E561">
        <v>58</v>
      </c>
      <c r="F561">
        <v>4.0999999999999996</v>
      </c>
      <c r="G561" t="s">
        <v>142</v>
      </c>
      <c r="H561">
        <v>0.69</v>
      </c>
      <c r="I561">
        <f>MAX('Min rate concentrations'!$H$3:$H$368)</f>
        <v>47</v>
      </c>
      <c r="J561">
        <f>MAX('Min rate concentrations'!AA:AA)</f>
        <v>32.5</v>
      </c>
      <c r="K561">
        <f t="shared" si="59"/>
        <v>27.715868994800392</v>
      </c>
      <c r="L561">
        <f t="shared" si="60"/>
        <v>19.165228560234315</v>
      </c>
      <c r="M561">
        <f>IF((((0.326*F561^0.818)-(0.398*F561^0.85)/(1-H561)*H561)*(MAX('Min rate concentrations'!$P$3:$P$368)))/F561&gt;0, (((0.326*F561^0.818)-(0.398*F561^0.85)/(1-H561)*H561)*(MAX('Min rate concentrations'!$P$3:$P$368)))/F561, 0)</f>
        <v>0</v>
      </c>
      <c r="N561">
        <f>IF((((0.326*F561^0.818)-(0.398*F561^0.85)/(1-H561)*H561)*(MAX('Min rate concentrations'!$Q$3:$Q$368)))/F561&gt; 0, (((0.326*F561^0.818)-(0.398*F561^0.85)/(1-H561)*H561)*(MAX('Min rate concentrations'!$Q$3:$Q$368)))/F561, 0)</f>
        <v>0</v>
      </c>
      <c r="O561">
        <f>((MAX('Min rate concentrations'!$F$3:$F$368))*0.62*6.01*8*(12.3*F561^0.65)*0.079*0.1/F561)*inputs!$E$73/inputs!$E$74</f>
        <v>27.535671799558088</v>
      </c>
      <c r="P561">
        <f>((MAX('Min rate concentrations'!Y:Y))*0.62*6.01*8*(12.3*F561^0.65)*0.079*0.1/F561)*inputs!$E$73/inputs!$E$74</f>
        <v>9.1785572665193627</v>
      </c>
      <c r="Q561">
        <f>(inputs!$C$7*11.2*(12.3*F561^0.65)*0.5/F561)*inputs!$E$73/inputs!$E$74</f>
        <v>4.8502787133459364</v>
      </c>
      <c r="R561">
        <f>(60*379*((F561/1000)^0.8)*3*24*(MAX('Min rate concentrations'!$R$3:$R$368))/F561)*(inputs!$E$73/inputs!$E$75)</f>
        <v>5.5235804847156662E-3</v>
      </c>
      <c r="S561">
        <f>(IF(inputs!$C$6="aerial",((0.025*0.112*inputs!$C$7/3.3)*(3*60*379*((F561/1000)^0.8))*MAX(inputs!$H$14:$H$16))/F561,((0.0083*0.112*inputs!$C$7/1)*(3*60*379*((F561/1000)^0.8))*MAX(inputs!$H$14:$H$16))/F561))*(inputs!E$75/inputs!$E$73)</f>
        <v>3.0462885732652743E-2</v>
      </c>
      <c r="T561">
        <f>IF((((inputs!$P$12/(V561/MAX(K561:S561)))^(1/inputs!$O$12))-1)/inputs!$N$12&lt;0, 0, IF((((inputs!$P$12/(V561/MAX(K561:S561)))^(1/inputs!$O$12))-1)/inputs!$N$12&gt;inputs!$H$17, inputs!$H$17, (((inputs!$P$12/(V561/MAX(K561:S561)))^(1/inputs!$O$12))-1)/inputs!$N$12))</f>
        <v>38.699366912802063</v>
      </c>
      <c r="U561">
        <f>IF((((inputs!$P$12/(X561/MAX(K561:S561)))^(1/inputs!$O$12))-1)/inputs!$N$12&lt;0, 0, IF((((inputs!$P$12/(X561/MAX(K561:S561)))^(1/inputs!$O$12))-1)/inputs!$N$12&gt;inputs!$H$17, inputs!$H$17, (((inputs!$P$12/(X561/MAX(K561:S561)))^(1/inputs!$O$12))-1)/inputs!$N$12))</f>
        <v>0</v>
      </c>
      <c r="V561">
        <f>inputs!$E$70*(F561/inputs!$F$70)^(0.25)</f>
        <v>1.6014575170210663</v>
      </c>
      <c r="W561">
        <f>inputs!$E$76*(inputs!$F$76/F561)^(0.25)</f>
        <v>1.0638712954656449</v>
      </c>
      <c r="X561">
        <f>inputs!$E$72*(inputs!$F$72/F561)^(0.25)</f>
        <v>156.04535077823903</v>
      </c>
      <c r="Y561" t="s">
        <v>13</v>
      </c>
      <c r="Z561">
        <f t="shared" si="57"/>
        <v>17.30665265873288</v>
      </c>
      <c r="AA561">
        <f t="shared" si="58"/>
        <v>26.051900368897027</v>
      </c>
    </row>
    <row r="562" spans="1:27" x14ac:dyDescent="0.3">
      <c r="A562" t="s">
        <v>565</v>
      </c>
      <c r="B562" t="s">
        <v>566</v>
      </c>
      <c r="C562" t="s">
        <v>61</v>
      </c>
      <c r="D562" t="s">
        <v>567</v>
      </c>
      <c r="E562">
        <v>58</v>
      </c>
      <c r="F562">
        <v>4.0999999999999996</v>
      </c>
      <c r="G562" t="s">
        <v>164</v>
      </c>
      <c r="H562">
        <v>0.78</v>
      </c>
      <c r="I562">
        <f>inputs!$C$65*(inputs!$C$62/1000)</f>
        <v>0.82000000000000006</v>
      </c>
      <c r="J562">
        <f>inputs!$C$65*(inputs!$C$61/1000)</f>
        <v>0.25</v>
      </c>
      <c r="K562">
        <f t="shared" si="59"/>
        <v>0.6813707832184005</v>
      </c>
      <c r="L562">
        <f t="shared" si="60"/>
        <v>0.20773499488365868</v>
      </c>
      <c r="M562">
        <f>IF((((0.326*F562^0.818)-(0.398*F562^0.85)/(1-H562)*H562)*(MAX('Min rate concentrations'!$P$3:$P$368)))/F562&gt;0, (((0.326*F562^0.818)-(0.398*F562^0.85)/(1-H562)*H562)*(MAX('Min rate concentrations'!$P$3:$P$368)))/F562, 0)</f>
        <v>0</v>
      </c>
      <c r="N562">
        <f>IF((((0.326*F562^0.818)-(0.398*F562^0.85)/(1-H562)*H562)*(MAX('Min rate concentrations'!$Q$3:$Q$368)))/F562&gt; 0, (((0.326*F562^0.818)-(0.398*F562^0.85)/(1-H562)*H562)*(MAX('Min rate concentrations'!$Q$3:$Q$368)))/F562, 0)</f>
        <v>0</v>
      </c>
      <c r="O562">
        <f>((MAX('Min rate concentrations'!$F$3:$F$368))*0.62*6.01*8*(12.3*F562^0.65)*0.079*0.1/F562)*inputs!$E$73/inputs!$E$74</f>
        <v>27.535671799558088</v>
      </c>
      <c r="P562">
        <f>((MAX('Min rate concentrations'!Y:Y))*0.62*6.01*8*(12.3*F562^0.65)*0.079*0.1/F562)*inputs!$E$73/inputs!$E$74</f>
        <v>9.1785572665193627</v>
      </c>
      <c r="Q562">
        <f>(inputs!$C$7*11.2*(12.3*F562^0.65)*0.5/F562)*inputs!$E$73/inputs!$E$74</f>
        <v>4.8502787133459364</v>
      </c>
      <c r="R562">
        <f>(60*379*((F562/1000)^0.8)*3*24*(MAX('Min rate concentrations'!$R$3:$R$368))/F562)*(inputs!$E$73/inputs!$E$75)</f>
        <v>5.5235804847156662E-3</v>
      </c>
      <c r="S562">
        <f>(IF(inputs!$C$6="aerial",((0.025*0.112*inputs!$C$7/3.3)*(3*60*379*((F562/1000)^0.8))*MAX(inputs!$H$14:$H$16))/F562,((0.0083*0.112*inputs!$C$7/1)*(3*60*379*((F562/1000)^0.8))*MAX(inputs!$H$14:$H$16))/F562))*(inputs!E$75/inputs!$E$73)</f>
        <v>3.0462885732652743E-2</v>
      </c>
      <c r="T562">
        <f>IF((((inputs!$P$12/(V562/MAX(K562:S562)))^(1/inputs!$O$12))-1)/inputs!$N$12&lt;0, 0, IF((((inputs!$P$12/(V562/MAX(K562:S562)))^(1/inputs!$O$12))-1)/inputs!$N$12&gt;inputs!$H$17, inputs!$H$17, (((inputs!$P$12/(V562/MAX(K562:S562)))^(1/inputs!$O$12))-1)/inputs!$N$12))</f>
        <v>38.521345580457165</v>
      </c>
      <c r="U562">
        <f>IF((((inputs!$P$12/(X562/MAX(K562:S562)))^(1/inputs!$O$12))-1)/inputs!$N$12&lt;0, 0, IF((((inputs!$P$12/(X562/MAX(K562:S562)))^(1/inputs!$O$12))-1)/inputs!$N$12&gt;inputs!$H$17, inputs!$H$17, (((inputs!$P$12/(X562/MAX(K562:S562)))^(1/inputs!$O$12))-1)/inputs!$N$12))</f>
        <v>0</v>
      </c>
      <c r="V562">
        <f>inputs!$E$70*(F562/inputs!$F$70)^(0.25)</f>
        <v>1.6014575170210663</v>
      </c>
      <c r="W562">
        <f>inputs!$E$76*(inputs!$F$76/F562)^(0.25)</f>
        <v>1.0638712954656449</v>
      </c>
      <c r="X562">
        <f>inputs!$E$72*(inputs!$F$72/F562)^(0.25)</f>
        <v>156.04535077823903</v>
      </c>
      <c r="Y562" t="s">
        <v>13</v>
      </c>
      <c r="Z562">
        <f t="shared" si="57"/>
        <v>17.194131912270933</v>
      </c>
      <c r="AA562">
        <f t="shared" si="58"/>
        <v>25.882521614145087</v>
      </c>
    </row>
    <row r="563" spans="1:27" x14ac:dyDescent="0.3">
      <c r="A563" t="s">
        <v>565</v>
      </c>
      <c r="B563" t="s">
        <v>566</v>
      </c>
      <c r="C563" t="s">
        <v>61</v>
      </c>
      <c r="D563" t="s">
        <v>567</v>
      </c>
      <c r="E563">
        <v>58</v>
      </c>
      <c r="F563">
        <v>4.0999999999999996</v>
      </c>
      <c r="G563" t="s">
        <v>146</v>
      </c>
      <c r="H563">
        <v>0.84</v>
      </c>
      <c r="I563">
        <f>MAX('Min rate concentrations'!$I$3:$I$368)</f>
        <v>9.4775690500787988</v>
      </c>
      <c r="J563" t="s">
        <v>13</v>
      </c>
      <c r="K563">
        <f t="shared" si="59"/>
        <v>10.828525169702024</v>
      </c>
      <c r="L563" t="s">
        <v>13</v>
      </c>
      <c r="M563">
        <f>IF((((0.326*F563^0.818)-(0.398*F563^0.85)/(1-H563)*H563)*(MAX('Min rate concentrations'!$P$3:$P$368)))/F563&gt;0, (((0.326*F563^0.818)-(0.398*F563^0.85)/(1-H563)*H563)*(MAX('Min rate concentrations'!$P$3:$P$368)))/F563, 0)</f>
        <v>0</v>
      </c>
      <c r="N563">
        <f>IF((((0.326*F563^0.818)-(0.398*F563^0.85)/(1-H563)*H563)*(MAX('Min rate concentrations'!$Q$3:$Q$368)))/F563&gt; 0, (((0.326*F563^0.818)-(0.398*F563^0.85)/(1-H563)*H563)*(MAX('Min rate concentrations'!$Q$3:$Q$368)))/F563, 0)</f>
        <v>0</v>
      </c>
      <c r="O563">
        <f>((MAX('Min rate concentrations'!$F$3:$F$368))*0.62*6.01*8*(12.3*F563^0.65)*0.079*0.1/F563)*inputs!$E$73/inputs!$E$74</f>
        <v>27.535671799558088</v>
      </c>
      <c r="Q563">
        <f>(inputs!$C$7*11.2*(12.3*F563^0.65)*0.5/F563)*inputs!$E$73/inputs!$E$74</f>
        <v>4.8502787133459364</v>
      </c>
      <c r="R563">
        <f>(60*379*((F563/1000)^0.8)*3*24*(MAX('Min rate concentrations'!$R$3:$R$368))/F563)*(inputs!$E$73/inputs!$E$75)</f>
        <v>5.5235804847156662E-3</v>
      </c>
      <c r="S563">
        <f>(IF(inputs!$C$6="aerial",((0.025*0.112*inputs!$C$7/3.3)*(3*60*379*((F563/1000)^0.8))*MAX(inputs!$H$14:$H$16))/F563,((0.0083*0.112*inputs!$C$7/1)*(3*60*379*((F563/1000)^0.8))*MAX(inputs!$H$14:$H$16))/F563))*(inputs!E$75/inputs!$E$73)</f>
        <v>3.0462885732652743E-2</v>
      </c>
      <c r="T563">
        <f>IF((((inputs!$P$12/(V563/MAX(K563:S563)))^(1/inputs!$O$12))-1)/inputs!$N$12&lt;0, 0, IF((((inputs!$P$12/(V563/MAX(K563:S563)))^(1/inputs!$O$12))-1)/inputs!$N$12&gt;inputs!$H$17, inputs!$H$17, (((inputs!$P$12/(V563/MAX(K563:S563)))^(1/inputs!$O$12))-1)/inputs!$N$12))</f>
        <v>38.521345580457165</v>
      </c>
      <c r="U563">
        <f>IF((((inputs!$P$12/(X563/MAX(K563:S563)))^(1/inputs!$O$12))-1)/inputs!$N$12&lt;0, 0, IF((((inputs!$P$12/(X563/MAX(K563:S563)))^(1/inputs!$O$12))-1)/inputs!$N$12&gt;inputs!$H$17, inputs!$H$17, (((inputs!$P$12/(X563/MAX(K563:S563)))^(1/inputs!$O$12))-1)/inputs!$N$12))</f>
        <v>0</v>
      </c>
      <c r="V563">
        <f>inputs!$E$70*(F563/inputs!$F$70)^(0.25)</f>
        <v>1.6014575170210663</v>
      </c>
      <c r="W563">
        <f>inputs!$E$76*(inputs!$F$76/F563)^(0.25)</f>
        <v>1.0638712954656449</v>
      </c>
      <c r="X563">
        <f>inputs!$E$72*(inputs!$F$72/F563)^(0.25)</f>
        <v>156.04535077823903</v>
      </c>
      <c r="Y563" t="s">
        <v>13</v>
      </c>
      <c r="Z563">
        <f t="shared" si="57"/>
        <v>17.194131912270933</v>
      </c>
      <c r="AA563">
        <f t="shared" si="58"/>
        <v>25.882521614145087</v>
      </c>
    </row>
    <row r="564" spans="1:27" x14ac:dyDescent="0.3">
      <c r="A564" t="s">
        <v>572</v>
      </c>
      <c r="B564" t="s">
        <v>573</v>
      </c>
      <c r="C564" t="s">
        <v>61</v>
      </c>
      <c r="D564" t="s">
        <v>451</v>
      </c>
      <c r="E564">
        <v>46</v>
      </c>
      <c r="F564">
        <v>1000</v>
      </c>
      <c r="G564" t="s">
        <v>169</v>
      </c>
      <c r="H564">
        <v>0.79</v>
      </c>
      <c r="I564">
        <f>MAX('Min rate concentrations'!$D$3:$D$368)</f>
        <v>120</v>
      </c>
      <c r="J564">
        <f>MAX('Min rate concentrations'!W:W)</f>
        <v>42.5</v>
      </c>
      <c r="K564">
        <f t="shared" si="59"/>
        <v>39.267189073896212</v>
      </c>
      <c r="L564">
        <f>(((0.235*F564^0.822)/(1-H564)))*J564/F564</f>
        <v>13.907129463671573</v>
      </c>
      <c r="M564">
        <f>IF((((0.326*F564^0.818)-(0.398*F564^0.85)/(1-H564)*H564)*(MAX('Min rate concentrations'!$P$3:$P$368)))/F564&gt;0, (((0.326*F564^0.818)-(0.398*F564^0.85)/(1-H564)*H564)*(MAX('Min rate concentrations'!$P$3:$P$368)))/F564, 0)</f>
        <v>0</v>
      </c>
      <c r="N564">
        <f>IF((((0.326*F564^0.818)-(0.398*F564^0.85)/(1-H564)*H564)*(MAX('Min rate concentrations'!$Q$3:$Q$368)))/F564&gt; 0, (((0.326*F564^0.818)-(0.398*F564^0.85)/(1-H564)*H564)*(MAX('Min rate concentrations'!$Q$3:$Q$368)))/F564, 0)</f>
        <v>0</v>
      </c>
      <c r="O564">
        <f>((MAX('Min rate concentrations'!$F$3:$F$368))*0.62*6.01*8*(12.3*F564^0.65)*0.079*0.1/F564)*inputs!$E$73/inputs!$E$74</f>
        <v>4.0213328949958864</v>
      </c>
      <c r="P564">
        <f>((MAX('Min rate concentrations'!Y:Y))*0.62*6.01*8*(12.3*F564^0.65)*0.079*0.1/F564)*inputs!$E$73/inputs!$E$74</f>
        <v>1.3404442983319618</v>
      </c>
      <c r="Q564">
        <f>(inputs!$C$7*11.2*(12.3*F564^0.65)*0.5/F564)*inputs!$E$73/inputs!$E$74</f>
        <v>0.70833882252291225</v>
      </c>
      <c r="R564">
        <f>(60*379*((F564/1000)^0.8)*3*24*(MAX('Min rate concentrations'!$R$3:$R$368))/F564)*(inputs!$E$73/inputs!$E$75)</f>
        <v>1.8398289907556758E-3</v>
      </c>
      <c r="S564">
        <f>(IF(inputs!$C$6="aerial",((0.025*0.112*inputs!$C$7/3.3)*(3*60*379*((F564/1000)^0.8))*MAX(inputs!$H$14:$H$16))/F564,((0.0083*0.112*inputs!$C$7/1)*(3*60*379*((F564/1000)^0.8))*MAX(inputs!$H$14:$H$16))/F564))*(inputs!E$75/inputs!$E$73)</f>
        <v>1.014676992E-2</v>
      </c>
      <c r="T564">
        <f>IF((((inputs!$P$12/(V564/MAX(K564:S564)))^(1/inputs!$O$12))-1)/inputs!$N$12&lt;0, 0, IF((((inputs!$P$12/(V564/MAX(K564:S564)))^(1/inputs!$O$12))-1)/inputs!$N$12&gt;inputs!$H$17, inputs!$H$17, (((inputs!$P$12/(V564/MAX(K564:S564)))^(1/inputs!$O$12))-1)/inputs!$N$12))</f>
        <v>15.7788931151384</v>
      </c>
      <c r="U564">
        <f>IF((((inputs!$P$12/(X564/MAX(K564:S564)))^(1/inputs!$O$12))-1)/inputs!$N$12&lt;0, 0, IF((((inputs!$P$12/(X564/MAX(K564:S564)))^(1/inputs!$O$12))-1)/inputs!$N$12&gt;inputs!$H$17, inputs!$H$17, (((inputs!$P$12/(X564/MAX(K564:S564)))^(1/inputs!$O$12))-1)/inputs!$N$12))</f>
        <v>0</v>
      </c>
      <c r="V564">
        <f>inputs!$E$70*(F564/inputs!$F$70)^(0.25)</f>
        <v>6.3287721173645357</v>
      </c>
      <c r="W564">
        <f>inputs!$E$76*(inputs!$F$76/F564)^(0.25)</f>
        <v>0.26920619855971051</v>
      </c>
      <c r="X564">
        <f>inputs!$E$72*(inputs!$F$72/F564)^(0.25)</f>
        <v>39.486332477407132</v>
      </c>
      <c r="Y564" t="s">
        <v>13</v>
      </c>
      <c r="Z564">
        <f t="shared" si="57"/>
        <v>6.2045509532816112</v>
      </c>
      <c r="AA564">
        <f t="shared" si="58"/>
        <v>145.8628712265207</v>
      </c>
    </row>
    <row r="565" spans="1:27" x14ac:dyDescent="0.3">
      <c r="A565" t="s">
        <v>572</v>
      </c>
      <c r="B565" t="s">
        <v>573</v>
      </c>
      <c r="C565" t="s">
        <v>61</v>
      </c>
      <c r="D565" t="s">
        <v>451</v>
      </c>
      <c r="E565">
        <v>46</v>
      </c>
      <c r="F565">
        <v>1000</v>
      </c>
      <c r="G565" t="s">
        <v>177</v>
      </c>
      <c r="H565">
        <v>0.85</v>
      </c>
      <c r="I565">
        <f>MAX('Min rate concentrations'!$F$3:$F$368)</f>
        <v>67.5</v>
      </c>
      <c r="J565">
        <f>MAX('Min rate concentrations'!Y:Y)</f>
        <v>22.5</v>
      </c>
      <c r="K565">
        <f t="shared" si="59"/>
        <v>30.922911395693252</v>
      </c>
      <c r="L565">
        <f>(((0.235*F565^0.822)/(1-H565)))*J565/F565</f>
        <v>10.307637131897751</v>
      </c>
      <c r="M565">
        <f>IF((((0.326*F565^0.818)-(0.398*F565^0.85)/(1-H565)*H565)*(MAX('Min rate concentrations'!$P$3:$P$368)))/F565&gt;0, (((0.326*F565^0.818)-(0.398*F565^0.85)/(1-H565)*H565)*(MAX('Min rate concentrations'!$P$3:$P$368)))/F565, 0)</f>
        <v>0</v>
      </c>
      <c r="N565">
        <f>IF((((0.326*F565^0.818)-(0.398*F565^0.85)/(1-H565)*H565)*(MAX('Min rate concentrations'!$Q$3:$Q$368)))/F565&gt; 0, (((0.326*F565^0.818)-(0.398*F565^0.85)/(1-H565)*H565)*(MAX('Min rate concentrations'!$Q$3:$Q$368)))/F565, 0)</f>
        <v>0</v>
      </c>
      <c r="O565">
        <f>((MAX('Min rate concentrations'!$F$3:$F$368))*0.62*6.01*8*(12.3*F565^0.65)*0.079*0.1/F565)*inputs!$E$73/inputs!$E$74</f>
        <v>4.0213328949958864</v>
      </c>
      <c r="P565">
        <f>((MAX('Min rate concentrations'!Y:Y))*0.62*6.01*8*(12.3*F565^0.65)*0.079*0.1/F565)*inputs!$E$73/inputs!$E$74</f>
        <v>1.3404442983319618</v>
      </c>
      <c r="Q565">
        <f>(inputs!$C$7*11.2*(12.3*F565^0.65)*0.5/F565)*inputs!$E$73/inputs!$E$74</f>
        <v>0.70833882252291225</v>
      </c>
      <c r="R565">
        <f>(60*379*((F565/1000)^0.8)*3*24*(MAX('Min rate concentrations'!$R$3:$R$368))/F565)*(inputs!$E$73/inputs!$E$75)</f>
        <v>1.8398289907556758E-3</v>
      </c>
      <c r="S565">
        <f>(IF(inputs!$C$6="aerial",((0.025*0.112*inputs!$C$7/3.3)*(3*60*379*((F565/1000)^0.8))*MAX(inputs!$H$14:$H$16))/F565,((0.0083*0.112*inputs!$C$7/1)*(3*60*379*((F565/1000)^0.8))*MAX(inputs!$H$14:$H$16))/F565))*(inputs!E$75/inputs!$E$73)</f>
        <v>1.014676992E-2</v>
      </c>
      <c r="T565">
        <f>IF((((inputs!$P$12/(V565/MAX(K565:S565)))^(1/inputs!$O$12))-1)/inputs!$N$12&lt;0, 0, IF((((inputs!$P$12/(V565/MAX(K565:S565)))^(1/inputs!$O$12))-1)/inputs!$N$12&gt;inputs!$H$17, inputs!$H$17, (((inputs!$P$12/(V565/MAX(K565:S565)))^(1/inputs!$O$12))-1)/inputs!$N$12))</f>
        <v>11.679835299066657</v>
      </c>
      <c r="U565">
        <f>IF((((inputs!$P$12/(X565/MAX(K565:S565)))^(1/inputs!$O$12))-1)/inputs!$N$12&lt;0, 0, IF((((inputs!$P$12/(X565/MAX(K565:S565)))^(1/inputs!$O$12))-1)/inputs!$N$12&gt;inputs!$H$17, inputs!$H$17, (((inputs!$P$12/(X565/MAX(K565:S565)))^(1/inputs!$O$12))-1)/inputs!$N$12))</f>
        <v>0</v>
      </c>
      <c r="V565">
        <f>inputs!$E$70*(F565/inputs!$F$70)^(0.25)</f>
        <v>6.3287721173645357</v>
      </c>
      <c r="W565">
        <f>inputs!$E$76*(inputs!$F$76/F565)^(0.25)</f>
        <v>0.26920619855971051</v>
      </c>
      <c r="X565">
        <f>inputs!$E$72*(inputs!$F$72/F565)^(0.25)</f>
        <v>39.486332477407132</v>
      </c>
      <c r="Y565" t="s">
        <v>13</v>
      </c>
      <c r="Z565">
        <f t="shared" si="57"/>
        <v>4.8860838757092662</v>
      </c>
      <c r="AA565">
        <f t="shared" si="58"/>
        <v>114.86701109088499</v>
      </c>
    </row>
    <row r="566" spans="1:27" x14ac:dyDescent="0.3">
      <c r="A566" t="s">
        <v>574</v>
      </c>
      <c r="B566" t="s">
        <v>575</v>
      </c>
      <c r="C566" t="s">
        <v>61</v>
      </c>
      <c r="D566" t="s">
        <v>451</v>
      </c>
      <c r="E566">
        <v>3778</v>
      </c>
      <c r="F566">
        <v>756</v>
      </c>
      <c r="G566" t="s">
        <v>152</v>
      </c>
      <c r="H566">
        <v>0.77</v>
      </c>
      <c r="I566">
        <f>MAX('Min rate concentrations'!$G$3:$G$368)</f>
        <v>7.5</v>
      </c>
      <c r="J566">
        <f>MAX('Min rate concentrations'!Z:Z)</f>
        <v>3.5</v>
      </c>
      <c r="K566">
        <f t="shared" si="59"/>
        <v>2.3551816560094441</v>
      </c>
      <c r="L566">
        <f>(((0.235*F566^0.822)/(1-H566)))*J566/F566</f>
        <v>1.0990847728044073</v>
      </c>
      <c r="M566">
        <f>IF((((0.326*F566^0.818)-(0.398*F566^0.85)/(1-H566)*H566)*(MAX('Min rate concentrations'!$P$3:$P$368)))/F566&gt;0, (((0.326*F566^0.818)-(0.398*F566^0.85)/(1-H566)*H566)*(MAX('Min rate concentrations'!$P$3:$P$368)))/F566, 0)</f>
        <v>0</v>
      </c>
      <c r="N566">
        <f>IF((((0.326*F566^0.818)-(0.398*F566^0.85)/(1-H566)*H566)*(MAX('Min rate concentrations'!$Q$3:$Q$368)))/F566&gt; 0, (((0.326*F566^0.818)-(0.398*F566^0.85)/(1-H566)*H566)*(MAX('Min rate concentrations'!$Q$3:$Q$368)))/F566, 0)</f>
        <v>0</v>
      </c>
      <c r="O566">
        <f>((MAX('Min rate concentrations'!$F$3:$F$368))*0.62*6.01*8*(12.3*F566^0.65)*0.079*0.1/F566)*inputs!$E$73/inputs!$E$74</f>
        <v>4.4349364194701355</v>
      </c>
      <c r="P566">
        <f>((MAX('Min rate concentrations'!Y:Y))*0.62*6.01*8*(12.3*F566^0.65)*0.079*0.1/F566)*inputs!$E$73/inputs!$E$74</f>
        <v>1.4783121398233781</v>
      </c>
      <c r="Q566">
        <f>(inputs!$C$7*11.2*(12.3*F566^0.65)*0.5/F566)*inputs!$E$73/inputs!$E$74</f>
        <v>0.78119313256573109</v>
      </c>
      <c r="R566">
        <f>(60*379*((F566/1000)^0.8)*3*24*(MAX('Min rate concentrations'!$R$3:$R$368))/F566)*(inputs!$E$73/inputs!$E$75)</f>
        <v>1.9456875447587431E-3</v>
      </c>
      <c r="S566">
        <f>(IF(inputs!$C$6="aerial",((0.025*0.112*inputs!$C$7/3.3)*(3*60*379*((F566/1000)^0.8))*MAX(inputs!$H$14:$H$16))/F566,((0.0083*0.112*inputs!$C$7/1)*(3*60*379*((F566/1000)^0.8))*MAX(inputs!$H$14:$H$16))/F566))*(inputs!E$75/inputs!$E$73)</f>
        <v>1.0730586349097493E-2</v>
      </c>
      <c r="T566">
        <f>IF((((inputs!$P$12/(V566/MAX(K566:S566)))^(1/inputs!$O$12))-1)/inputs!$N$12&lt;0, 0, IF((((inputs!$P$12/(V566/MAX(K566:S566)))^(1/inputs!$O$12))-1)/inputs!$N$12&gt;inputs!$H$17, inputs!$H$17, (((inputs!$P$12/(V566/MAX(K566:S566)))^(1/inputs!$O$12))-1)/inputs!$N$12))</f>
        <v>0</v>
      </c>
      <c r="U566">
        <f>IF((((inputs!$P$12/(X566/MAX(K566:S566)))^(1/inputs!$O$12))-1)/inputs!$N$12&lt;0, 0, IF((((inputs!$P$12/(X566/MAX(K566:S566)))^(1/inputs!$O$12))-1)/inputs!$N$12&gt;inputs!$H$17, inputs!$H$17, (((inputs!$P$12/(X566/MAX(K566:S566)))^(1/inputs!$O$12))-1)/inputs!$N$12))</f>
        <v>0</v>
      </c>
      <c r="V566">
        <f>inputs!$E$70*(F566/inputs!$F$70)^(0.25)</f>
        <v>5.9013300832287738</v>
      </c>
      <c r="W566">
        <f>inputs!$E$76*(inputs!$F$76/F566)^(0.25)</f>
        <v>0.28870520022398632</v>
      </c>
      <c r="X566">
        <f>inputs!$E$72*(inputs!$F$72/F566)^(0.25)</f>
        <v>42.346385725855399</v>
      </c>
      <c r="Y566" t="s">
        <v>13</v>
      </c>
      <c r="Z566">
        <f t="shared" si="57"/>
        <v>0.75151471904172229</v>
      </c>
      <c r="AA566">
        <f t="shared" si="58"/>
        <v>15.36147051050475</v>
      </c>
    </row>
    <row r="567" spans="1:27" x14ac:dyDescent="0.3">
      <c r="A567" t="s">
        <v>574</v>
      </c>
      <c r="B567" t="s">
        <v>575</v>
      </c>
      <c r="C567" t="s">
        <v>61</v>
      </c>
      <c r="D567" t="s">
        <v>451</v>
      </c>
      <c r="E567">
        <v>3778</v>
      </c>
      <c r="F567">
        <v>756</v>
      </c>
      <c r="G567" t="s">
        <v>169</v>
      </c>
      <c r="H567">
        <v>0.79</v>
      </c>
      <c r="I567">
        <f>MAX('Min rate concentrations'!$D$3:$D$368)</f>
        <v>120</v>
      </c>
      <c r="J567">
        <f>MAX('Min rate concentrations'!W:W)</f>
        <v>42.5</v>
      </c>
      <c r="K567">
        <f t="shared" si="59"/>
        <v>41.271754733879781</v>
      </c>
      <c r="L567">
        <f>(((0.235*F567^0.822)/(1-H567)))*J567/F567</f>
        <v>14.617079801582422</v>
      </c>
      <c r="M567">
        <f>IF((((0.326*F567^0.818)-(0.398*F567^0.85)/(1-H567)*H567)*(MAX('Min rate concentrations'!$P$3:$P$368)))/F567&gt;0, (((0.326*F567^0.818)-(0.398*F567^0.85)/(1-H567)*H567)*(MAX('Min rate concentrations'!$P$3:$P$368)))/F567, 0)</f>
        <v>0</v>
      </c>
      <c r="N567">
        <f>IF((((0.326*F567^0.818)-(0.398*F567^0.85)/(1-H567)*H567)*(MAX('Min rate concentrations'!$Q$3:$Q$368)))/F567&gt; 0, (((0.326*F567^0.818)-(0.398*F567^0.85)/(1-H567)*H567)*(MAX('Min rate concentrations'!$Q$3:$Q$368)))/F567, 0)</f>
        <v>0</v>
      </c>
      <c r="O567">
        <f>((MAX('Min rate concentrations'!$F$3:$F$368))*0.62*6.01*8*(12.3*F567^0.65)*0.079*0.1/F567)*inputs!$E$73/inputs!$E$74</f>
        <v>4.4349364194701355</v>
      </c>
      <c r="P567">
        <f>((MAX('Min rate concentrations'!Y:Y))*0.62*6.01*8*(12.3*F567^0.65)*0.079*0.1/F567)*inputs!$E$73/inputs!$E$74</f>
        <v>1.4783121398233781</v>
      </c>
      <c r="Q567">
        <f>(inputs!$C$7*11.2*(12.3*F567^0.65)*0.5/F567)*inputs!$E$73/inputs!$E$74</f>
        <v>0.78119313256573109</v>
      </c>
      <c r="R567">
        <f>(60*379*((F567/1000)^0.8)*3*24*(MAX('Min rate concentrations'!$R$3:$R$368))/F567)*(inputs!$E$73/inputs!$E$75)</f>
        <v>1.9456875447587431E-3</v>
      </c>
      <c r="S567">
        <f>(IF(inputs!$C$6="aerial",((0.025*0.112*inputs!$C$7/3.3)*(3*60*379*((F567/1000)^0.8))*MAX(inputs!$H$14:$H$16))/F567,((0.0083*0.112*inputs!$C$7/1)*(3*60*379*((F567/1000)^0.8))*MAX(inputs!$H$14:$H$16))/F567))*(inputs!E$75/inputs!$E$73)</f>
        <v>1.0730586349097493E-2</v>
      </c>
      <c r="T567">
        <f>IF((((inputs!$P$12/(V567/MAX(K567:S567)))^(1/inputs!$O$12))-1)/inputs!$N$12&lt;0, 0, IF((((inputs!$P$12/(V567/MAX(K567:S567)))^(1/inputs!$O$12))-1)/inputs!$N$12&gt;inputs!$H$17, inputs!$H$17, (((inputs!$P$12/(V567/MAX(K567:S567)))^(1/inputs!$O$12))-1)/inputs!$N$12))</f>
        <v>17.987840775436535</v>
      </c>
      <c r="U567">
        <f>IF((((inputs!$P$12/(X567/MAX(K567:S567)))^(1/inputs!$O$12))-1)/inputs!$N$12&lt;0, 0, IF((((inputs!$P$12/(X567/MAX(K567:S567)))^(1/inputs!$O$12))-1)/inputs!$N$12&gt;inputs!$H$17, inputs!$H$17, (((inputs!$P$12/(X567/MAX(K567:S567)))^(1/inputs!$O$12))-1)/inputs!$N$12))</f>
        <v>0</v>
      </c>
      <c r="V567">
        <f>inputs!$E$70*(F567/inputs!$F$70)^(0.25)</f>
        <v>5.9013300832287738</v>
      </c>
      <c r="W567">
        <f>inputs!$E$76*(inputs!$F$76/F567)^(0.25)</f>
        <v>0.28870520022398632</v>
      </c>
      <c r="X567">
        <f>inputs!$E$72*(inputs!$F$72/F567)^(0.25)</f>
        <v>42.346385725855399</v>
      </c>
      <c r="Y567" t="s">
        <v>13</v>
      </c>
      <c r="Z567">
        <f t="shared" si="57"/>
        <v>6.9936360365897228</v>
      </c>
      <c r="AA567">
        <f t="shared" si="58"/>
        <v>142.95466344859702</v>
      </c>
    </row>
    <row r="568" spans="1:27" x14ac:dyDescent="0.3">
      <c r="A568" t="s">
        <v>574</v>
      </c>
      <c r="B568" t="s">
        <v>575</v>
      </c>
      <c r="C568" t="s">
        <v>61</v>
      </c>
      <c r="D568" t="s">
        <v>451</v>
      </c>
      <c r="E568">
        <v>3778</v>
      </c>
      <c r="F568">
        <v>756</v>
      </c>
      <c r="G568" t="s">
        <v>177</v>
      </c>
      <c r="H568">
        <v>0.85</v>
      </c>
      <c r="I568">
        <f>MAX('Min rate concentrations'!$F$3:$F$368)</f>
        <v>67.5</v>
      </c>
      <c r="J568">
        <f>MAX('Min rate concentrations'!Y:Y)</f>
        <v>22.5</v>
      </c>
      <c r="K568">
        <f t="shared" si="59"/>
        <v>32.501506852930319</v>
      </c>
      <c r="L568">
        <f>(((0.235*F568^0.822)/(1-H568)))*J568/F568</f>
        <v>10.833835617643441</v>
      </c>
      <c r="M568">
        <f>IF((((0.326*F568^0.818)-(0.398*F568^0.85)/(1-H568)*H568)*(MAX('Min rate concentrations'!$P$3:$P$368)))/F568&gt;0, (((0.326*F568^0.818)-(0.398*F568^0.85)/(1-H568)*H568)*(MAX('Min rate concentrations'!$P$3:$P$368)))/F568, 0)</f>
        <v>0</v>
      </c>
      <c r="N568">
        <f>IF((((0.326*F568^0.818)-(0.398*F568^0.85)/(1-H568)*H568)*(MAX('Min rate concentrations'!$Q$3:$Q$368)))/F568&gt; 0, (((0.326*F568^0.818)-(0.398*F568^0.85)/(1-H568)*H568)*(MAX('Min rate concentrations'!$Q$3:$Q$368)))/F568, 0)</f>
        <v>0</v>
      </c>
      <c r="O568">
        <f>((MAX('Min rate concentrations'!$F$3:$F$368))*0.62*6.01*8*(12.3*F568^0.65)*0.079*0.1/F568)*inputs!$E$73/inputs!$E$74</f>
        <v>4.4349364194701355</v>
      </c>
      <c r="P568">
        <f>((MAX('Min rate concentrations'!Y:Y))*0.62*6.01*8*(12.3*F568^0.65)*0.079*0.1/F568)*inputs!$E$73/inputs!$E$74</f>
        <v>1.4783121398233781</v>
      </c>
      <c r="Q568">
        <f>(inputs!$C$7*11.2*(12.3*F568^0.65)*0.5/F568)*inputs!$E$73/inputs!$E$74</f>
        <v>0.78119313256573109</v>
      </c>
      <c r="R568">
        <f>(60*379*((F568/1000)^0.8)*3*24*(MAX('Min rate concentrations'!$R$3:$R$368))/F568)*(inputs!$E$73/inputs!$E$75)</f>
        <v>1.9456875447587431E-3</v>
      </c>
      <c r="S568">
        <f>(IF(inputs!$C$6="aerial",((0.025*0.112*inputs!$C$7/3.3)*(3*60*379*((F568/1000)^0.8))*MAX(inputs!$H$14:$H$16))/F568,((0.0083*0.112*inputs!$C$7/1)*(3*60*379*((F568/1000)^0.8))*MAX(inputs!$H$14:$H$16))/F568))*(inputs!E$75/inputs!$E$73)</f>
        <v>1.0730586349097493E-2</v>
      </c>
      <c r="T568">
        <f>IF((((inputs!$P$12/(V568/MAX(K568:S568)))^(1/inputs!$O$12))-1)/inputs!$N$12&lt;0, 0, IF((((inputs!$P$12/(V568/MAX(K568:S568)))^(1/inputs!$O$12))-1)/inputs!$N$12&gt;inputs!$H$17, inputs!$H$17, (((inputs!$P$12/(V568/MAX(K568:S568)))^(1/inputs!$O$12))-1)/inputs!$N$12))</f>
        <v>13.684246597422291</v>
      </c>
      <c r="U568">
        <f>IF((((inputs!$P$12/(X568/MAX(K568:S568)))^(1/inputs!$O$12))-1)/inputs!$N$12&lt;0, 0, IF((((inputs!$P$12/(X568/MAX(K568:S568)))^(1/inputs!$O$12))-1)/inputs!$N$12&gt;inputs!$H$17, inputs!$H$17, (((inputs!$P$12/(X568/MAX(K568:S568)))^(1/inputs!$O$12))-1)/inputs!$N$12))</f>
        <v>0</v>
      </c>
      <c r="V568">
        <f>inputs!$E$70*(F568/inputs!$F$70)^(0.25)</f>
        <v>5.9013300832287738</v>
      </c>
      <c r="W568">
        <f>inputs!$E$76*(inputs!$F$76/F568)^(0.25)</f>
        <v>0.28870520022398632</v>
      </c>
      <c r="X568">
        <f>inputs!$E$72*(inputs!$F$72/F568)^(0.25)</f>
        <v>42.346385725855399</v>
      </c>
      <c r="Y568" t="s">
        <v>13</v>
      </c>
      <c r="Z568">
        <f t="shared" si="57"/>
        <v>5.5074883788144051</v>
      </c>
      <c r="AA568">
        <f t="shared" si="58"/>
        <v>112.57679746577013</v>
      </c>
    </row>
    <row r="569" spans="1:27" x14ac:dyDescent="0.3">
      <c r="A569" t="s">
        <v>574</v>
      </c>
      <c r="B569" t="s">
        <v>575</v>
      </c>
      <c r="C569" t="s">
        <v>61</v>
      </c>
      <c r="D569" t="s">
        <v>451</v>
      </c>
      <c r="E569">
        <v>3778</v>
      </c>
      <c r="F569">
        <v>756</v>
      </c>
      <c r="G569" t="s">
        <v>154</v>
      </c>
      <c r="H569">
        <v>9.2999999999999999E-2</v>
      </c>
      <c r="I569">
        <f>MAX('Min rate concentrations'!$G$3:$G$368)</f>
        <v>7.5</v>
      </c>
      <c r="J569">
        <f>MAX('Min rate concentrations'!Z:Z)</f>
        <v>3.5</v>
      </c>
      <c r="K569">
        <f t="shared" si="59"/>
        <v>0.59723459854704741</v>
      </c>
      <c r="M569">
        <f>IF((((0.326*F569^0.818)-(0.398*F569^0.85)/(1-H569)*H569)*(MAX('Min rate concentrations'!$P$3:$P$368)))/F569&gt;0, (((0.326*F569^0.818)-(0.398*F569^0.85)/(1-H569)*H569)*(MAX('Min rate concentrations'!$P$3:$P$368)))/F569, 0)</f>
        <v>1.1970677166603575E-2</v>
      </c>
      <c r="N569">
        <f>IF((((0.326*F569^0.818)-(0.398*F569^0.85)/(1-H569)*H569)*(MAX('Min rate concentrations'!$Q$3:$Q$368)))/F569&gt; 0, (((0.326*F569^0.818)-(0.398*F569^0.85)/(1-H569)*H569)*(MAX('Min rate concentrations'!$Q$3:$Q$368)))/F569, 0)</f>
        <v>4.5584981855082703E-2</v>
      </c>
      <c r="O569">
        <f>((MAX('Min rate concentrations'!$F$3:$F$368))*0.62*6.01*8*(12.3*F569^0.65)*0.079*0.1/F569)*inputs!$E$73/inputs!$E$74</f>
        <v>4.4349364194701355</v>
      </c>
      <c r="Q569">
        <f>(inputs!$C$7*11.2*(12.3*F569^0.65)*0.5/F569)*inputs!$E$73/inputs!$E$74</f>
        <v>0.78119313256573109</v>
      </c>
      <c r="R569">
        <f>(60*379*((F569/1000)^0.8)*3*24*(MAX('Min rate concentrations'!$R$3:$R$368))/F569)*(inputs!$E$73/inputs!$E$75)</f>
        <v>1.9456875447587431E-3</v>
      </c>
      <c r="S569">
        <f>(IF(inputs!$C$6="aerial",((0.025*0.112*inputs!$C$7/3.3)*(3*60*379*((F569/1000)^0.8))*MAX(inputs!$H$14:$H$16))/F569,((0.0083*0.112*inputs!$C$7/1)*(3*60*379*((F569/1000)^0.8))*MAX(inputs!$H$14:$H$16))/F569))*(inputs!E$75/inputs!$E$73)</f>
        <v>1.0730586349097493E-2</v>
      </c>
      <c r="T569">
        <f>IF((((inputs!$P$12/(V569/MAX(K569:S569)))^(1/inputs!$O$12))-1)/inputs!$N$12&lt;0, 0, IF((((inputs!$P$12/(V569/MAX(K569:S569)))^(1/inputs!$O$12))-1)/inputs!$N$12&gt;inputs!$H$17, inputs!$H$17, (((inputs!$P$12/(V569/MAX(K569:S569)))^(1/inputs!$O$12))-1)/inputs!$N$12))</f>
        <v>0</v>
      </c>
      <c r="U569">
        <f>IF((((inputs!$P$12/(X569/MAX(K569:S569)))^(1/inputs!$O$12))-1)/inputs!$N$12&lt;0, 0, IF((((inputs!$P$12/(X569/MAX(K569:S569)))^(1/inputs!$O$12))-1)/inputs!$N$12&gt;inputs!$H$17, inputs!$H$17, (((inputs!$P$12/(X569/MAX(K569:S569)))^(1/inputs!$O$12))-1)/inputs!$N$12))</f>
        <v>0</v>
      </c>
      <c r="V569">
        <f>inputs!$E$70*(F569/inputs!$F$70)^(0.25)</f>
        <v>5.9013300832287738</v>
      </c>
      <c r="W569">
        <f>inputs!$E$76*(inputs!$F$76/F569)^(0.25)</f>
        <v>0.28870520022398632</v>
      </c>
      <c r="X569">
        <f>inputs!$E$72*(inputs!$F$72/F569)^(0.25)</f>
        <v>42.346385725855399</v>
      </c>
      <c r="Y569" t="s">
        <v>13</v>
      </c>
      <c r="Z569">
        <f t="shared" si="57"/>
        <v>0.75151471904172229</v>
      </c>
      <c r="AA569">
        <f t="shared" si="58"/>
        <v>15.36147051050475</v>
      </c>
    </row>
    <row r="570" spans="1:27" x14ac:dyDescent="0.3">
      <c r="A570" t="s">
        <v>449</v>
      </c>
      <c r="B570" t="s">
        <v>450</v>
      </c>
      <c r="C570" t="s">
        <v>61</v>
      </c>
      <c r="D570" t="s">
        <v>451</v>
      </c>
      <c r="E570">
        <v>1240</v>
      </c>
      <c r="F570">
        <v>375</v>
      </c>
      <c r="G570" t="s">
        <v>169</v>
      </c>
      <c r="H570">
        <v>0.79</v>
      </c>
      <c r="I570">
        <f>MAX('Min rate concentrations'!$D$3:$D$368)</f>
        <v>120</v>
      </c>
      <c r="J570">
        <f>MAX('Min rate concentrations'!W:W)</f>
        <v>42.5</v>
      </c>
      <c r="K570">
        <f t="shared" si="59"/>
        <v>46.757603937875878</v>
      </c>
      <c r="L570">
        <f>(((0.235*F570^0.822)/(1-H570)))*J570/F570</f>
        <v>16.559984727997705</v>
      </c>
      <c r="M570">
        <f>IF((((0.326*F570^0.818)-(0.398*F570^0.85)/(1-H570)*H570)*(MAX('Min rate concentrations'!$P$3:$P$368)))/F570&gt;0, (((0.326*F570^0.818)-(0.398*F570^0.85)/(1-H570)*H570)*(MAX('Min rate concentrations'!$P$3:$P$368)))/F570, 0)</f>
        <v>0</v>
      </c>
      <c r="N570">
        <f>IF((((0.326*F570^0.818)-(0.398*F570^0.85)/(1-H570)*H570)*(MAX('Min rate concentrations'!$Q$3:$Q$368)))/F570&gt; 0, (((0.326*F570^0.818)-(0.398*F570^0.85)/(1-H570)*H570)*(MAX('Min rate concentrations'!$Q$3:$Q$368)))/F570, 0)</f>
        <v>0</v>
      </c>
      <c r="O570">
        <f>((MAX('Min rate concentrations'!$F$3:$F$368))*0.62*6.01*8*(12.3*F570^0.65)*0.079*0.1/F570)*inputs!$E$73/inputs!$E$74</f>
        <v>5.6683816411024308</v>
      </c>
      <c r="P570">
        <f>((MAX('Min rate concentrations'!Y:Y))*0.62*6.01*8*(12.3*F570^0.65)*0.079*0.1/F570)*inputs!$E$73/inputs!$E$74</f>
        <v>1.8894605470341432</v>
      </c>
      <c r="Q570">
        <f>(inputs!$C$7*11.2*(12.3*F570^0.65)*0.5/F570)*inputs!$E$73/inputs!$E$74</f>
        <v>0.99845869071555593</v>
      </c>
      <c r="R570">
        <f>(60*379*((F570/1000)^0.8)*3*24*(MAX('Min rate concentrations'!$R$3:$R$368))/F570)*(inputs!$E$73/inputs!$E$75)</f>
        <v>2.2385727063142353E-3</v>
      </c>
      <c r="S570">
        <f>(IF(inputs!$C$6="aerial",((0.025*0.112*inputs!$C$7/3.3)*(3*60*379*((F570/1000)^0.8))*MAX(inputs!$H$14:$H$16))/F570,((0.0083*0.112*inputs!$C$7/1)*(3*60*379*((F570/1000)^0.8))*MAX(inputs!$H$14:$H$16))/F570))*(inputs!E$75/inputs!$E$73)</f>
        <v>1.2345866009445152E-2</v>
      </c>
      <c r="T570">
        <f>IF((((inputs!$P$12/(V570/MAX(K570:S570)))^(1/inputs!$O$12))-1)/inputs!$N$12&lt;0, 0, IF((((inputs!$P$12/(V570/MAX(K570:S570)))^(1/inputs!$O$12))-1)/inputs!$N$12&gt;inputs!$H$17, inputs!$H$17, (((inputs!$P$12/(V570/MAX(K570:S570)))^(1/inputs!$O$12))-1)/inputs!$N$12))</f>
        <v>24.021272363002442</v>
      </c>
      <c r="U570">
        <f>IF((((inputs!$P$12/(X570/MAX(K570:S570)))^(1/inputs!$O$12))-1)/inputs!$N$12&lt;0, 0, IF((((inputs!$P$12/(X570/MAX(K570:S570)))^(1/inputs!$O$12))-1)/inputs!$N$12&gt;inputs!$H$17, inputs!$H$17, (((inputs!$P$12/(X570/MAX(K570:S570)))^(1/inputs!$O$12))-1)/inputs!$N$12))</f>
        <v>0</v>
      </c>
      <c r="V570">
        <f>inputs!$E$70*(F570/inputs!$F$70)^(0.25)</f>
        <v>4.9525318258425015</v>
      </c>
      <c r="W570">
        <f>inputs!$E$76*(inputs!$F$76/F570)^(0.25)</f>
        <v>0.3440148883801597</v>
      </c>
      <c r="X570">
        <f>inputs!$E$72*(inputs!$F$72/F570)^(0.25)</f>
        <v>50.459039696829841</v>
      </c>
      <c r="Y570" t="s">
        <v>13</v>
      </c>
      <c r="Z570">
        <f t="shared" si="57"/>
        <v>9.4411516335731349</v>
      </c>
      <c r="AA570">
        <f t="shared" si="58"/>
        <v>135.91738473308621</v>
      </c>
    </row>
    <row r="571" spans="1:27" x14ac:dyDescent="0.3">
      <c r="A571" t="s">
        <v>449</v>
      </c>
      <c r="B571" t="s">
        <v>450</v>
      </c>
      <c r="C571" t="s">
        <v>61</v>
      </c>
      <c r="D571" t="s">
        <v>451</v>
      </c>
      <c r="E571">
        <v>1240</v>
      </c>
      <c r="F571">
        <v>375</v>
      </c>
      <c r="G571" t="s">
        <v>177</v>
      </c>
      <c r="H571">
        <v>0.85</v>
      </c>
      <c r="I571">
        <f>MAX('Min rate concentrations'!$F$3:$F$368)</f>
        <v>67.5</v>
      </c>
      <c r="J571">
        <f>MAX('Min rate concentrations'!Y:Y)</f>
        <v>22.5</v>
      </c>
      <c r="K571">
        <f t="shared" si="59"/>
        <v>36.82161310107724</v>
      </c>
      <c r="L571">
        <f>(((0.235*F571^0.822)/(1-H571)))*J571/F571</f>
        <v>12.273871033692412</v>
      </c>
      <c r="M571">
        <f>IF((((0.326*F571^0.818)-(0.398*F571^0.85)/(1-H571)*H571)*(MAX('Min rate concentrations'!$P$3:$P$368)))/F571&gt;0, (((0.326*F571^0.818)-(0.398*F571^0.85)/(1-H571)*H571)*(MAX('Min rate concentrations'!$P$3:$P$368)))/F571, 0)</f>
        <v>0</v>
      </c>
      <c r="N571">
        <f>IF((((0.326*F571^0.818)-(0.398*F571^0.85)/(1-H571)*H571)*(MAX('Min rate concentrations'!$Q$3:$Q$368)))/F571&gt; 0, (((0.326*F571^0.818)-(0.398*F571^0.85)/(1-H571)*H571)*(MAX('Min rate concentrations'!$Q$3:$Q$368)))/F571, 0)</f>
        <v>0</v>
      </c>
      <c r="O571">
        <f>((MAX('Min rate concentrations'!$F$3:$F$368))*0.62*6.01*8*(12.3*F571^0.65)*0.079*0.1/F571)*inputs!$E$73/inputs!$E$74</f>
        <v>5.6683816411024308</v>
      </c>
      <c r="P571">
        <f>((MAX('Min rate concentrations'!Y:Y))*0.62*6.01*8*(12.3*F571^0.65)*0.079*0.1/F571)*inputs!$E$73/inputs!$E$74</f>
        <v>1.8894605470341432</v>
      </c>
      <c r="Q571">
        <f>(inputs!$C$7*11.2*(12.3*F571^0.65)*0.5/F571)*inputs!$E$73/inputs!$E$74</f>
        <v>0.99845869071555593</v>
      </c>
      <c r="R571">
        <f>(60*379*((F571/1000)^0.8)*3*24*(MAX('Min rate concentrations'!$R$3:$R$368))/F571)*(inputs!$E$73/inputs!$E$75)</f>
        <v>2.2385727063142353E-3</v>
      </c>
      <c r="S571">
        <f>(IF(inputs!$C$6="aerial",((0.025*0.112*inputs!$C$7/3.3)*(3*60*379*((F571/1000)^0.8))*MAX(inputs!$H$14:$H$16))/F571,((0.0083*0.112*inputs!$C$7/1)*(3*60*379*((F571/1000)^0.8))*MAX(inputs!$H$14:$H$16))/F571))*(inputs!E$75/inputs!$E$73)</f>
        <v>1.2345866009445152E-2</v>
      </c>
      <c r="T571">
        <f>IF((((inputs!$P$12/(V571/MAX(K571:S571)))^(1/inputs!$O$12))-1)/inputs!$N$12&lt;0, 0, IF((((inputs!$P$12/(V571/MAX(K571:S571)))^(1/inputs!$O$12))-1)/inputs!$N$12&gt;inputs!$H$17, inputs!$H$17, (((inputs!$P$12/(V571/MAX(K571:S571)))^(1/inputs!$O$12))-1)/inputs!$N$12))</f>
        <v>19.159015719086621</v>
      </c>
      <c r="U571">
        <f>IF((((inputs!$P$12/(X571/MAX(K571:S571)))^(1/inputs!$O$12))-1)/inputs!$N$12&lt;0, 0, IF((((inputs!$P$12/(X571/MAX(K571:S571)))^(1/inputs!$O$12))-1)/inputs!$N$12&gt;inputs!$H$17, inputs!$H$17, (((inputs!$P$12/(X571/MAX(K571:S571)))^(1/inputs!$O$12))-1)/inputs!$N$12))</f>
        <v>0</v>
      </c>
      <c r="V571">
        <f>inputs!$E$70*(F571/inputs!$F$70)^(0.25)</f>
        <v>4.9525318258425015</v>
      </c>
      <c r="W571">
        <f>inputs!$E$76*(inputs!$F$76/F571)^(0.25)</f>
        <v>0.3440148883801597</v>
      </c>
      <c r="X571">
        <f>inputs!$E$72*(inputs!$F$72/F571)^(0.25)</f>
        <v>50.459039696829841</v>
      </c>
      <c r="Y571" t="s">
        <v>13</v>
      </c>
      <c r="Z571">
        <f t="shared" si="57"/>
        <v>7.4349069114388415</v>
      </c>
      <c r="AA571">
        <f t="shared" si="58"/>
        <v>107.03494047730535</v>
      </c>
    </row>
    <row r="572" spans="1:27" x14ac:dyDescent="0.3">
      <c r="A572" t="s">
        <v>570</v>
      </c>
      <c r="B572" t="s">
        <v>571</v>
      </c>
      <c r="C572" t="s">
        <v>61</v>
      </c>
      <c r="D572" t="s">
        <v>451</v>
      </c>
      <c r="E572">
        <v>55</v>
      </c>
      <c r="F572">
        <v>500</v>
      </c>
      <c r="G572" t="s">
        <v>169</v>
      </c>
      <c r="H572">
        <v>0.79</v>
      </c>
      <c r="I572">
        <f>MAX('Min rate concentrations'!$D$3:$D$368)</f>
        <v>120</v>
      </c>
      <c r="J572">
        <f>MAX('Min rate concentrations'!W:W)</f>
        <v>42.5</v>
      </c>
      <c r="K572">
        <f t="shared" si="59"/>
        <v>44.42353891460327</v>
      </c>
      <c r="L572">
        <f>(((0.235*F572^0.822)/(1-H572)))*J572/F572</f>
        <v>15.73333669892199</v>
      </c>
      <c r="M572">
        <f>IF((((0.326*F572^0.818)-(0.398*F572^0.85)/(1-H572)*H572)*(MAX('Min rate concentrations'!$P$3:$P$368)))/F572&gt;0, (((0.326*F572^0.818)-(0.398*F572^0.85)/(1-H572)*H572)*(MAX('Min rate concentrations'!$P$3:$P$368)))/F572, 0)</f>
        <v>0</v>
      </c>
      <c r="N572">
        <f>IF((((0.326*F572^0.818)-(0.398*F572^0.85)/(1-H572)*H572)*(MAX('Min rate concentrations'!$Q$3:$Q$368)))/F572&gt; 0, (((0.326*F572^0.818)-(0.398*F572^0.85)/(1-H572)*H572)*(MAX('Min rate concentrations'!$Q$3:$Q$368)))/F572, 0)</f>
        <v>0</v>
      </c>
      <c r="O572">
        <f>((MAX('Min rate concentrations'!$F$3:$F$368))*0.62*6.01*8*(12.3*F572^0.65)*0.079*0.1/F572)*inputs!$E$73/inputs!$E$74</f>
        <v>5.1254325773055385</v>
      </c>
      <c r="P572">
        <f>((MAX('Min rate concentrations'!Y:Y))*0.62*6.01*8*(12.3*F572^0.65)*0.079*0.1/F572)*inputs!$E$73/inputs!$E$74</f>
        <v>1.7084775257685128</v>
      </c>
      <c r="Q572">
        <f>(inputs!$C$7*11.2*(12.3*F572^0.65)*0.5/F572)*inputs!$E$73/inputs!$E$74</f>
        <v>0.90282077398938998</v>
      </c>
      <c r="R572">
        <f>(60*379*((F572/1000)^0.8)*3*24*(MAX('Min rate concentrations'!$R$3:$R$368))/F572)*(inputs!$E$73/inputs!$E$75)</f>
        <v>2.1134085351568999E-3</v>
      </c>
      <c r="S572">
        <f>(IF(inputs!$C$6="aerial",((0.025*0.112*inputs!$C$7/3.3)*(3*60*379*((F572/1000)^0.8))*MAX(inputs!$H$14:$H$16))/F572,((0.0083*0.112*inputs!$C$7/1)*(3*60*379*((F572/1000)^0.8))*MAX(inputs!$H$14:$H$16))/F572))*(inputs!E$75/inputs!$E$73)</f>
        <v>1.1655577915637396E-2</v>
      </c>
      <c r="T572">
        <f>IF((((inputs!$P$12/(V572/MAX(K572:S572)))^(1/inputs!$O$12))-1)/inputs!$N$12&lt;0, 0, IF((((inputs!$P$12/(V572/MAX(K572:S572)))^(1/inputs!$O$12))-1)/inputs!$N$12&gt;inputs!$H$17, inputs!$H$17, (((inputs!$P$12/(V572/MAX(K572:S572)))^(1/inputs!$O$12))-1)/inputs!$N$12))</f>
        <v>21.456244966073399</v>
      </c>
      <c r="U572">
        <f>IF((((inputs!$P$12/(X572/MAX(K572:S572)))^(1/inputs!$O$12))-1)/inputs!$N$12&lt;0, 0, IF((((inputs!$P$12/(X572/MAX(K572:S572)))^(1/inputs!$O$12))-1)/inputs!$N$12&gt;inputs!$H$17, inputs!$H$17, (((inputs!$P$12/(X572/MAX(K572:S572)))^(1/inputs!$O$12))-1)/inputs!$N$12))</f>
        <v>0</v>
      </c>
      <c r="V572">
        <f>inputs!$E$70*(F572/inputs!$F$70)^(0.25)</f>
        <v>5.3218417864494993</v>
      </c>
      <c r="W572">
        <f>inputs!$E$76*(inputs!$F$76/F572)^(0.25)</f>
        <v>0.32014192673004305</v>
      </c>
      <c r="X572">
        <f>inputs!$E$72*(inputs!$F$72/F572)^(0.25)</f>
        <v>46.957427527495589</v>
      </c>
      <c r="Y572" t="s">
        <v>13</v>
      </c>
      <c r="Z572">
        <f t="shared" si="57"/>
        <v>8.3473993961479103</v>
      </c>
      <c r="AA572">
        <f t="shared" si="58"/>
        <v>138.76201523602074</v>
      </c>
    </row>
    <row r="573" spans="1:27" x14ac:dyDescent="0.3">
      <c r="A573" t="s">
        <v>570</v>
      </c>
      <c r="B573" t="s">
        <v>571</v>
      </c>
      <c r="C573" t="s">
        <v>61</v>
      </c>
      <c r="D573" t="s">
        <v>451</v>
      </c>
      <c r="E573">
        <v>55</v>
      </c>
      <c r="F573">
        <v>500</v>
      </c>
      <c r="G573" t="s">
        <v>177</v>
      </c>
      <c r="H573">
        <v>0.85</v>
      </c>
      <c r="I573">
        <f>MAX('Min rate concentrations'!$F$3:$F$368)</f>
        <v>67.5</v>
      </c>
      <c r="J573">
        <f>MAX('Min rate concentrations'!Y:Y)</f>
        <v>22.5</v>
      </c>
      <c r="K573">
        <f t="shared" si="59"/>
        <v>34.983536895250062</v>
      </c>
      <c r="L573">
        <f>(((0.235*F573^0.822)/(1-H573)))*J573/F573</f>
        <v>11.661178965083355</v>
      </c>
      <c r="M573">
        <f>IF((((0.326*F573^0.818)-(0.398*F573^0.85)/(1-H573)*H573)*(MAX('Min rate concentrations'!$P$3:$P$368)))/F573&gt;0, (((0.326*F573^0.818)-(0.398*F573^0.85)/(1-H573)*H573)*(MAX('Min rate concentrations'!$P$3:$P$368)))/F573, 0)</f>
        <v>0</v>
      </c>
      <c r="N573">
        <f>IF((((0.326*F573^0.818)-(0.398*F573^0.85)/(1-H573)*H573)*(MAX('Min rate concentrations'!$Q$3:$Q$368)))/F573&gt; 0, (((0.326*F573^0.818)-(0.398*F573^0.85)/(1-H573)*H573)*(MAX('Min rate concentrations'!$Q$3:$Q$368)))/F573, 0)</f>
        <v>0</v>
      </c>
      <c r="O573">
        <f>((MAX('Min rate concentrations'!$F$3:$F$368))*0.62*6.01*8*(12.3*F573^0.65)*0.079*0.1/F573)*inputs!$E$73/inputs!$E$74</f>
        <v>5.1254325773055385</v>
      </c>
      <c r="P573">
        <f>((MAX('Min rate concentrations'!Y:Y))*0.62*6.01*8*(12.3*F573^0.65)*0.079*0.1/F573)*inputs!$E$73/inputs!$E$74</f>
        <v>1.7084775257685128</v>
      </c>
      <c r="Q573">
        <f>(inputs!$C$7*11.2*(12.3*F573^0.65)*0.5/F573)*inputs!$E$73/inputs!$E$74</f>
        <v>0.90282077398938998</v>
      </c>
      <c r="R573">
        <f>(60*379*((F573/1000)^0.8)*3*24*(MAX('Min rate concentrations'!$R$3:$R$368))/F573)*(inputs!$E$73/inputs!$E$75)</f>
        <v>2.1134085351568999E-3</v>
      </c>
      <c r="S573">
        <f>(IF(inputs!$C$6="aerial",((0.025*0.112*inputs!$C$7/3.3)*(3*60*379*((F573/1000)^0.8))*MAX(inputs!$H$14:$H$16))/F573,((0.0083*0.112*inputs!$C$7/1)*(3*60*379*((F573/1000)^0.8))*MAX(inputs!$H$14:$H$16))/F573))*(inputs!E$75/inputs!$E$73)</f>
        <v>1.1655577915637396E-2</v>
      </c>
      <c r="T573">
        <f>IF((((inputs!$P$12/(V573/MAX(K573:S573)))^(1/inputs!$O$12))-1)/inputs!$N$12&lt;0, 0, IF((((inputs!$P$12/(V573/MAX(K573:S573)))^(1/inputs!$O$12))-1)/inputs!$N$12&gt;inputs!$H$17, inputs!$H$17, (((inputs!$P$12/(V573/MAX(K573:S573)))^(1/inputs!$O$12))-1)/inputs!$N$12))</f>
        <v>16.83149570247274</v>
      </c>
      <c r="U573">
        <f>IF((((inputs!$P$12/(X573/MAX(K573:S573)))^(1/inputs!$O$12))-1)/inputs!$N$12&lt;0, 0, IF((((inputs!$P$12/(X573/MAX(K573:S573)))^(1/inputs!$O$12))-1)/inputs!$N$12&gt;inputs!$H$17, inputs!$H$17, (((inputs!$P$12/(X573/MAX(K573:S573)))^(1/inputs!$O$12))-1)/inputs!$N$12))</f>
        <v>0</v>
      </c>
      <c r="V573">
        <f>inputs!$E$70*(F573/inputs!$F$70)^(0.25)</f>
        <v>5.3218417864494993</v>
      </c>
      <c r="W573">
        <f>inputs!$E$76*(inputs!$F$76/F573)^(0.25)</f>
        <v>0.32014192673004305</v>
      </c>
      <c r="X573">
        <f>inputs!$E$72*(inputs!$F$72/F573)^(0.25)</f>
        <v>46.957427527495589</v>
      </c>
      <c r="Y573" t="s">
        <v>13</v>
      </c>
      <c r="Z573">
        <f t="shared" si="57"/>
        <v>6.5735770244664771</v>
      </c>
      <c r="AA573">
        <f t="shared" si="58"/>
        <v>109.27508699836629</v>
      </c>
    </row>
    <row r="574" spans="1:27" x14ac:dyDescent="0.3">
      <c r="A574" t="s">
        <v>544</v>
      </c>
      <c r="B574" t="s">
        <v>545</v>
      </c>
      <c r="C574" t="s">
        <v>61</v>
      </c>
      <c r="D574" t="s">
        <v>443</v>
      </c>
      <c r="E574">
        <v>41</v>
      </c>
      <c r="F574">
        <v>15</v>
      </c>
      <c r="G574" t="s">
        <v>182</v>
      </c>
      <c r="H574">
        <v>0.85</v>
      </c>
      <c r="I574">
        <f>MAX('Min rate concentrations'!$M$3:$M$368)</f>
        <v>2.8488184789681945</v>
      </c>
      <c r="J574">
        <f>MAX('Min rate concentrations'!AE:AE)</f>
        <v>1.9699276716269429</v>
      </c>
      <c r="K574">
        <f t="shared" ref="K574:K637" si="61">(((0.621*F574^0.564)/(1-H574)))*I574/F574</f>
        <v>3.6215070077667764</v>
      </c>
      <c r="L574">
        <f t="shared" ref="L574:L580" si="62">(((0.621*F574^0.564)/(1-H574)))*J574/F574</f>
        <v>2.5042335692004305</v>
      </c>
      <c r="M574">
        <f>IF((((0.326*F574^0.818)-(0.398*F574^0.85)/(1-H574)*H574)*(MAX('Min rate concentrations'!$P$3:$P$368)))/F574&gt;0, (((0.326*F574^0.818)-(0.398*F574^0.85)/(1-H574)*H574)*(MAX('Min rate concentrations'!$P$3:$P$368)))/F574, 0)</f>
        <v>0</v>
      </c>
      <c r="N574">
        <f>IF((((0.326*F574^0.818)-(0.398*F574^0.85)/(1-H574)*H574)*(MAX('Min rate concentrations'!$Q$3:$Q$368)))/F574&gt; 0, (((0.326*F574^0.818)-(0.398*F574^0.85)/(1-H574)*H574)*(MAX('Min rate concentrations'!$Q$3:$Q$368)))/F574, 0)</f>
        <v>0</v>
      </c>
      <c r="O574">
        <f>((MAX('Min rate concentrations'!$F$3:$F$368))*0.62*6.01*8*(12.3*F574^0.65)*0.079*0.1/F574)*inputs!$E$73/inputs!$E$74</f>
        <v>17.4879170969031</v>
      </c>
      <c r="P574">
        <f>((MAX('Min rate concentrations'!Y:Y))*0.62*6.01*8*(12.3*F574^0.65)*0.079*0.1/F574)*inputs!$E$73/inputs!$E$74</f>
        <v>5.8293056989677003</v>
      </c>
      <c r="Q574">
        <f>(inputs!$C$7*11.2*(12.3*F574^0.65)*0.5/F574)*inputs!$E$73/inputs!$E$74</f>
        <v>3.0804141134929148</v>
      </c>
      <c r="R574">
        <f>(60*379*((F574/1000)^0.8)*3*24*(MAX('Min rate concentrations'!$R$3:$R$368))/F574)*(inputs!$E$73/inputs!$E$75)</f>
        <v>4.2614677494769567E-3</v>
      </c>
      <c r="S574">
        <f>(IF(inputs!$C$6="aerial",((0.025*0.112*inputs!$C$7/3.3)*(3*60*379*((F574/1000)^0.8))*MAX(inputs!$H$14:$H$16))/F574,((0.0083*0.112*inputs!$C$7/1)*(3*60*379*((F574/1000)^0.8))*MAX(inputs!$H$14:$H$16))/F574))*(inputs!E$75/inputs!$E$73)</f>
        <v>2.3502256455738741E-2</v>
      </c>
      <c r="T574">
        <f>IF((((inputs!$P$12/(V574/MAX(K574:S574)))^(1/inputs!$O$12))-1)/inputs!$N$12&lt;0, 0, IF((((inputs!$P$12/(V574/MAX(K574:S574)))^(1/inputs!$O$12))-1)/inputs!$N$12&gt;inputs!$H$17, inputs!$H$17, (((inputs!$P$12/(V574/MAX(K574:S574)))^(1/inputs!$O$12))-1)/inputs!$N$12))</f>
        <v>20.339017449542123</v>
      </c>
      <c r="U574">
        <f>IF((((inputs!$P$12/(X574/MAX(K574:S574)))^(1/inputs!$O$12))-1)/inputs!$N$12&lt;0, 0, IF((((inputs!$P$12/(X574/MAX(K574:S574)))^(1/inputs!$O$12))-1)/inputs!$N$12&gt;inputs!$H$17, inputs!$H$17, (((inputs!$P$12/(X574/MAX(K574:S574)))^(1/inputs!$O$12))-1)/inputs!$N$12))</f>
        <v>0</v>
      </c>
      <c r="V574">
        <f>inputs!$E$70*(F574/inputs!$F$70)^(0.25)</f>
        <v>2.2148395646629968</v>
      </c>
      <c r="W574">
        <f>inputs!$E$76*(inputs!$F$76/F574)^(0.25)</f>
        <v>0.76924067569003962</v>
      </c>
      <c r="X574">
        <f>inputs!$E$72*(inputs!$F$72/F574)^(0.25)</f>
        <v>112.82984284147192</v>
      </c>
      <c r="Y574" t="s">
        <v>13</v>
      </c>
      <c r="Z574">
        <f t="shared" si="57"/>
        <v>7.8957940683003862</v>
      </c>
      <c r="AA574">
        <f t="shared" si="58"/>
        <v>22.733999448502562</v>
      </c>
    </row>
    <row r="575" spans="1:27" x14ac:dyDescent="0.3">
      <c r="A575" t="s">
        <v>544</v>
      </c>
      <c r="B575" t="s">
        <v>545</v>
      </c>
      <c r="C575" t="s">
        <v>61</v>
      </c>
      <c r="D575" t="s">
        <v>443</v>
      </c>
      <c r="E575">
        <v>41</v>
      </c>
      <c r="F575">
        <v>15</v>
      </c>
      <c r="G575" t="s">
        <v>142</v>
      </c>
      <c r="H575">
        <v>0.69</v>
      </c>
      <c r="I575">
        <f>MAX('Min rate concentrations'!$H$3:$H$368)</f>
        <v>47</v>
      </c>
      <c r="J575">
        <f>MAX('Min rate concentrations'!AA:AA)</f>
        <v>32.5</v>
      </c>
      <c r="K575">
        <f t="shared" si="61"/>
        <v>28.910258527545217</v>
      </c>
      <c r="L575">
        <f t="shared" si="62"/>
        <v>19.991136215855736</v>
      </c>
      <c r="M575">
        <f>IF((((0.326*F575^0.818)-(0.398*F575^0.85)/(1-H575)*H575)*(MAX('Min rate concentrations'!$P$3:$P$368)))/F575&gt;0, (((0.326*F575^0.818)-(0.398*F575^0.85)/(1-H575)*H575)*(MAX('Min rate concentrations'!$P$3:$P$368)))/F575, 0)</f>
        <v>0</v>
      </c>
      <c r="N575">
        <f>IF((((0.326*F575^0.818)-(0.398*F575^0.85)/(1-H575)*H575)*(MAX('Min rate concentrations'!$Q$3:$Q$368)))/F575&gt; 0, (((0.326*F575^0.818)-(0.398*F575^0.85)/(1-H575)*H575)*(MAX('Min rate concentrations'!$Q$3:$Q$368)))/F575, 0)</f>
        <v>0</v>
      </c>
      <c r="O575">
        <f>((MAX('Min rate concentrations'!$F$3:$F$368))*0.62*6.01*8*(12.3*F575^0.65)*0.079*0.1/F575)*inputs!$E$73/inputs!$E$74</f>
        <v>17.4879170969031</v>
      </c>
      <c r="P575">
        <f>((MAX('Min rate concentrations'!Y:Y))*0.62*6.01*8*(12.3*F575^0.65)*0.079*0.1/F575)*inputs!$E$73/inputs!$E$74</f>
        <v>5.8293056989677003</v>
      </c>
      <c r="Q575">
        <f>(inputs!$C$7*11.2*(12.3*F575^0.65)*0.5/F575)*inputs!$E$73/inputs!$E$74</f>
        <v>3.0804141134929148</v>
      </c>
      <c r="R575">
        <f>(60*379*((F575/1000)^0.8)*3*24*(MAX('Min rate concentrations'!$R$3:$R$368))/F575)*(inputs!$E$73/inputs!$E$75)</f>
        <v>4.2614677494769567E-3</v>
      </c>
      <c r="S575">
        <f>(IF(inputs!$C$6="aerial",((0.025*0.112*inputs!$C$7/3.3)*(3*60*379*((F575/1000)^0.8))*MAX(inputs!$H$14:$H$16))/F575,((0.0083*0.112*inputs!$C$7/1)*(3*60*379*((F575/1000)^0.8))*MAX(inputs!$H$14:$H$16))/F575))*(inputs!E$75/inputs!$E$73)</f>
        <v>2.3502256455738741E-2</v>
      </c>
      <c r="T575">
        <f>IF((((inputs!$P$12/(V575/MAX(K575:S575)))^(1/inputs!$O$12))-1)/inputs!$N$12&lt;0, 0, IF((((inputs!$P$12/(V575/MAX(K575:S575)))^(1/inputs!$O$12))-1)/inputs!$N$12&gt;inputs!$H$17, inputs!$H$17, (((inputs!$P$12/(V575/MAX(K575:S575)))^(1/inputs!$O$12))-1)/inputs!$N$12))</f>
        <v>31.416514230101225</v>
      </c>
      <c r="U575">
        <f>IF((((inputs!$P$12/(X575/MAX(K575:S575)))^(1/inputs!$O$12))-1)/inputs!$N$12&lt;0, 0, IF((((inputs!$P$12/(X575/MAX(K575:S575)))^(1/inputs!$O$12))-1)/inputs!$N$12&gt;inputs!$H$17, inputs!$H$17, (((inputs!$P$12/(X575/MAX(K575:S575)))^(1/inputs!$O$12))-1)/inputs!$N$12))</f>
        <v>0</v>
      </c>
      <c r="V575">
        <f>inputs!$E$70*(F575/inputs!$F$70)^(0.25)</f>
        <v>2.2148395646629968</v>
      </c>
      <c r="W575">
        <f>inputs!$E$76*(inputs!$F$76/F575)^(0.25)</f>
        <v>0.76924067569003962</v>
      </c>
      <c r="X575">
        <f>inputs!$E$72*(inputs!$F$72/F575)^(0.25)</f>
        <v>112.82984284147192</v>
      </c>
      <c r="Y575" t="s">
        <v>13</v>
      </c>
      <c r="Z575">
        <f t="shared" si="57"/>
        <v>13.052980897035814</v>
      </c>
      <c r="AA575">
        <f t="shared" si="58"/>
        <v>37.582852078917384</v>
      </c>
    </row>
    <row r="576" spans="1:27" x14ac:dyDescent="0.3">
      <c r="A576" t="s">
        <v>544</v>
      </c>
      <c r="B576" t="s">
        <v>545</v>
      </c>
      <c r="C576" t="s">
        <v>61</v>
      </c>
      <c r="D576" t="s">
        <v>443</v>
      </c>
      <c r="E576">
        <v>41</v>
      </c>
      <c r="F576">
        <v>15</v>
      </c>
      <c r="G576" t="s">
        <v>152</v>
      </c>
      <c r="H576">
        <v>0.77</v>
      </c>
      <c r="I576">
        <f>MAX('Min rate concentrations'!$G$3:$G$368)</f>
        <v>7.5</v>
      </c>
      <c r="J576">
        <f>MAX('Min rate concentrations'!Z:Z)</f>
        <v>3.5</v>
      </c>
      <c r="K576">
        <f t="shared" si="61"/>
        <v>6.2179788229919186</v>
      </c>
      <c r="L576">
        <f t="shared" si="62"/>
        <v>2.9017234507295622</v>
      </c>
      <c r="M576">
        <f>IF((((0.326*F576^0.818)-(0.398*F576^0.85)/(1-H576)*H576)*(MAX('Min rate concentrations'!$P$3:$P$368)))/F576&gt;0, (((0.326*F576^0.818)-(0.398*F576^0.85)/(1-H576)*H576)*(MAX('Min rate concentrations'!$P$3:$P$368)))/F576, 0)</f>
        <v>0</v>
      </c>
      <c r="N576">
        <f>IF((((0.326*F576^0.818)-(0.398*F576^0.85)/(1-H576)*H576)*(MAX('Min rate concentrations'!$Q$3:$Q$368)))/F576&gt; 0, (((0.326*F576^0.818)-(0.398*F576^0.85)/(1-H576)*H576)*(MAX('Min rate concentrations'!$Q$3:$Q$368)))/F576, 0)</f>
        <v>0</v>
      </c>
      <c r="O576">
        <f>((MAX('Min rate concentrations'!$F$3:$F$368))*0.62*6.01*8*(12.3*F576^0.65)*0.079*0.1/F576)*inputs!$E$73/inputs!$E$74</f>
        <v>17.4879170969031</v>
      </c>
      <c r="P576">
        <f>((MAX('Min rate concentrations'!Y:Y))*0.62*6.01*8*(12.3*F576^0.65)*0.079*0.1/F576)*inputs!$E$73/inputs!$E$74</f>
        <v>5.8293056989677003</v>
      </c>
      <c r="Q576">
        <f>(inputs!$C$7*11.2*(12.3*F576^0.65)*0.5/F576)*inputs!$E$73/inputs!$E$74</f>
        <v>3.0804141134929148</v>
      </c>
      <c r="R576">
        <f>(60*379*((F576/1000)^0.8)*3*24*(MAX('Min rate concentrations'!$R$3:$R$368))/F576)*(inputs!$E$73/inputs!$E$75)</f>
        <v>4.2614677494769567E-3</v>
      </c>
      <c r="S576">
        <f>(IF(inputs!$C$6="aerial",((0.025*0.112*inputs!$C$7/3.3)*(3*60*379*((F576/1000)^0.8))*MAX(inputs!$H$14:$H$16))/F576,((0.0083*0.112*inputs!$C$7/1)*(3*60*379*((F576/1000)^0.8))*MAX(inputs!$H$14:$H$16))/F576))*(inputs!E$75/inputs!$E$73)</f>
        <v>2.3502256455738741E-2</v>
      </c>
      <c r="T576">
        <f>IF((((inputs!$P$12/(V576/MAX(K576:S576)))^(1/inputs!$O$12))-1)/inputs!$N$12&lt;0, 0, IF((((inputs!$P$12/(V576/MAX(K576:S576)))^(1/inputs!$O$12))-1)/inputs!$N$12&gt;inputs!$H$17, inputs!$H$17, (((inputs!$P$12/(V576/MAX(K576:S576)))^(1/inputs!$O$12))-1)/inputs!$N$12))</f>
        <v>20.339017449542123</v>
      </c>
      <c r="U576">
        <f>IF((((inputs!$P$12/(X576/MAX(K576:S576)))^(1/inputs!$O$12))-1)/inputs!$N$12&lt;0, 0, IF((((inputs!$P$12/(X576/MAX(K576:S576)))^(1/inputs!$O$12))-1)/inputs!$N$12&gt;inputs!$H$17, inputs!$H$17, (((inputs!$P$12/(X576/MAX(K576:S576)))^(1/inputs!$O$12))-1)/inputs!$N$12))</f>
        <v>0</v>
      </c>
      <c r="V576">
        <f>inputs!$E$70*(F576/inputs!$F$70)^(0.25)</f>
        <v>2.2148395646629968</v>
      </c>
      <c r="W576">
        <f>inputs!$E$76*(inputs!$F$76/F576)^(0.25)</f>
        <v>0.76924067569003962</v>
      </c>
      <c r="X576">
        <f>inputs!$E$72*(inputs!$F$72/F576)^(0.25)</f>
        <v>112.82984284147192</v>
      </c>
      <c r="Y576" t="s">
        <v>13</v>
      </c>
      <c r="Z576">
        <f t="shared" si="57"/>
        <v>7.8957940683003862</v>
      </c>
      <c r="AA576">
        <f t="shared" si="58"/>
        <v>22.733999448502562</v>
      </c>
    </row>
    <row r="577" spans="1:27" x14ac:dyDescent="0.3">
      <c r="A577" t="s">
        <v>544</v>
      </c>
      <c r="B577" t="s">
        <v>545</v>
      </c>
      <c r="C577" t="s">
        <v>61</v>
      </c>
      <c r="D577" t="s">
        <v>443</v>
      </c>
      <c r="E577">
        <v>41</v>
      </c>
      <c r="F577">
        <v>15</v>
      </c>
      <c r="G577" t="s">
        <v>169</v>
      </c>
      <c r="H577">
        <v>0.79</v>
      </c>
      <c r="I577">
        <f>MAX('Min rate concentrations'!$D$3:$D$368)</f>
        <v>120</v>
      </c>
      <c r="J577">
        <f>MAX('Min rate concentrations'!W:W)</f>
        <v>42.5</v>
      </c>
      <c r="K577">
        <f t="shared" si="61"/>
        <v>108.96267651719174</v>
      </c>
      <c r="L577">
        <f t="shared" si="62"/>
        <v>38.590947933172075</v>
      </c>
      <c r="M577">
        <f>IF((((0.326*F577^0.818)-(0.398*F577^0.85)/(1-H577)*H577)*(MAX('Min rate concentrations'!$P$3:$P$368)))/F577&gt;0, (((0.326*F577^0.818)-(0.398*F577^0.85)/(1-H577)*H577)*(MAX('Min rate concentrations'!$P$3:$P$368)))/F577, 0)</f>
        <v>0</v>
      </c>
      <c r="N577">
        <f>IF((((0.326*F577^0.818)-(0.398*F577^0.85)/(1-H577)*H577)*(MAX('Min rate concentrations'!$Q$3:$Q$368)))/F577&gt; 0, (((0.326*F577^0.818)-(0.398*F577^0.85)/(1-H577)*H577)*(MAX('Min rate concentrations'!$Q$3:$Q$368)))/F577, 0)</f>
        <v>0</v>
      </c>
      <c r="O577">
        <f>((MAX('Min rate concentrations'!$F$3:$F$368))*0.62*6.01*8*(12.3*F577^0.65)*0.079*0.1/F577)*inputs!$E$73/inputs!$E$74</f>
        <v>17.4879170969031</v>
      </c>
      <c r="P577">
        <f>((MAX('Min rate concentrations'!Y:Y))*0.62*6.01*8*(12.3*F577^0.65)*0.079*0.1/F577)*inputs!$E$73/inputs!$E$74</f>
        <v>5.8293056989677003</v>
      </c>
      <c r="Q577">
        <f>(inputs!$C$7*11.2*(12.3*F577^0.65)*0.5/F577)*inputs!$E$73/inputs!$E$74</f>
        <v>3.0804141134929148</v>
      </c>
      <c r="R577">
        <f>(60*379*((F577/1000)^0.8)*3*24*(MAX('Min rate concentrations'!$R$3:$R$368))/F577)*(inputs!$E$73/inputs!$E$75)</f>
        <v>4.2614677494769567E-3</v>
      </c>
      <c r="S577">
        <f>(IF(inputs!$C$6="aerial",((0.025*0.112*inputs!$C$7/3.3)*(3*60*379*((F577/1000)^0.8))*MAX(inputs!$H$14:$H$16))/F577,((0.0083*0.112*inputs!$C$7/1)*(3*60*379*((F577/1000)^0.8))*MAX(inputs!$H$14:$H$16))/F577))*(inputs!E$75/inputs!$E$73)</f>
        <v>2.3502256455738741E-2</v>
      </c>
      <c r="T577">
        <f>IF((((inputs!$P$12/(V577/MAX(K577:S577)))^(1/inputs!$O$12))-1)/inputs!$N$12&lt;0, 0, IF((((inputs!$P$12/(V577/MAX(K577:S577)))^(1/inputs!$O$12))-1)/inputs!$N$12&gt;inputs!$H$17, inputs!$H$17, (((inputs!$P$12/(V577/MAX(K577:S577)))^(1/inputs!$O$12))-1)/inputs!$N$12))</f>
        <v>74.275098604768701</v>
      </c>
      <c r="U577">
        <f>IF((((inputs!$P$12/(X577/MAX(K577:S577)))^(1/inputs!$O$12))-1)/inputs!$N$12&lt;0, 0, IF((((inputs!$P$12/(X577/MAX(K577:S577)))^(1/inputs!$O$12))-1)/inputs!$N$12&gt;inputs!$H$17, inputs!$H$17, (((inputs!$P$12/(X577/MAX(K577:S577)))^(1/inputs!$O$12))-1)/inputs!$N$12))</f>
        <v>0</v>
      </c>
      <c r="V577">
        <f>inputs!$E$70*(F577/inputs!$F$70)^(0.25)</f>
        <v>2.2148395646629968</v>
      </c>
      <c r="W577">
        <f>inputs!$E$76*(inputs!$F$76/F577)^(0.25)</f>
        <v>0.76924067569003962</v>
      </c>
      <c r="X577">
        <f>inputs!$E$72*(inputs!$F$72/F577)^(0.25)</f>
        <v>112.82984284147192</v>
      </c>
      <c r="Y577" t="s">
        <v>13</v>
      </c>
      <c r="Z577">
        <f t="shared" si="57"/>
        <v>49.196645326214032</v>
      </c>
      <c r="AA577">
        <f t="shared" si="58"/>
        <v>141.64965525184672</v>
      </c>
    </row>
    <row r="578" spans="1:27" x14ac:dyDescent="0.3">
      <c r="A578" t="s">
        <v>544</v>
      </c>
      <c r="B578" t="s">
        <v>545</v>
      </c>
      <c r="C578" t="s">
        <v>61</v>
      </c>
      <c r="D578" t="s">
        <v>443</v>
      </c>
      <c r="E578">
        <v>41</v>
      </c>
      <c r="F578">
        <v>15</v>
      </c>
      <c r="G578" t="s">
        <v>177</v>
      </c>
      <c r="H578">
        <v>0.85</v>
      </c>
      <c r="I578">
        <f>MAX('Min rate concentrations'!$F$3:$F$368)</f>
        <v>67.5</v>
      </c>
      <c r="J578">
        <f>MAX('Min rate concentrations'!Y:Y)</f>
        <v>22.5</v>
      </c>
      <c r="K578">
        <f t="shared" si="61"/>
        <v>85.808107757288468</v>
      </c>
      <c r="L578">
        <f t="shared" si="62"/>
        <v>28.602702585762817</v>
      </c>
      <c r="M578">
        <f>IF((((0.326*F578^0.818)-(0.398*F578^0.85)/(1-H578)*H578)*(MAX('Min rate concentrations'!$P$3:$P$368)))/F578&gt;0, (((0.326*F578^0.818)-(0.398*F578^0.85)/(1-H578)*H578)*(MAX('Min rate concentrations'!$P$3:$P$368)))/F578, 0)</f>
        <v>0</v>
      </c>
      <c r="N578">
        <f>IF((((0.326*F578^0.818)-(0.398*F578^0.85)/(1-H578)*H578)*(MAX('Min rate concentrations'!$Q$3:$Q$368)))/F578&gt; 0, (((0.326*F578^0.818)-(0.398*F578^0.85)/(1-H578)*H578)*(MAX('Min rate concentrations'!$Q$3:$Q$368)))/F578, 0)</f>
        <v>0</v>
      </c>
      <c r="O578">
        <f>((MAX('Min rate concentrations'!$F$3:$F$368))*0.62*6.01*8*(12.3*F578^0.65)*0.079*0.1/F578)*inputs!$E$73/inputs!$E$74</f>
        <v>17.4879170969031</v>
      </c>
      <c r="P578">
        <f>((MAX('Min rate concentrations'!Y:Y))*0.62*6.01*8*(12.3*F578^0.65)*0.079*0.1/F578)*inputs!$E$73/inputs!$E$74</f>
        <v>5.8293056989677003</v>
      </c>
      <c r="Q578">
        <f>(inputs!$C$7*11.2*(12.3*F578^0.65)*0.5/F578)*inputs!$E$73/inputs!$E$74</f>
        <v>3.0804141134929148</v>
      </c>
      <c r="R578">
        <f>(60*379*((F578/1000)^0.8)*3*24*(MAX('Min rate concentrations'!$R$3:$R$368))/F578)*(inputs!$E$73/inputs!$E$75)</f>
        <v>4.2614677494769567E-3</v>
      </c>
      <c r="S578">
        <f>(IF(inputs!$C$6="aerial",((0.025*0.112*inputs!$C$7/3.3)*(3*60*379*((F578/1000)^0.8))*MAX(inputs!$H$14:$H$16))/F578,((0.0083*0.112*inputs!$C$7/1)*(3*60*379*((F578/1000)^0.8))*MAX(inputs!$H$14:$H$16))/F578))*(inputs!E$75/inputs!$E$73)</f>
        <v>2.3502256455738741E-2</v>
      </c>
      <c r="T578">
        <f>IF((((inputs!$P$12/(V578/MAX(K578:S578)))^(1/inputs!$O$12))-1)/inputs!$N$12&lt;0, 0, IF((((inputs!$P$12/(V578/MAX(K578:S578)))^(1/inputs!$O$12))-1)/inputs!$N$12&gt;inputs!$H$17, inputs!$H$17, (((inputs!$P$12/(V578/MAX(K578:S578)))^(1/inputs!$O$12))-1)/inputs!$N$12))</f>
        <v>64.759615006714014</v>
      </c>
      <c r="U578">
        <f>IF((((inputs!$P$12/(X578/MAX(K578:S578)))^(1/inputs!$O$12))-1)/inputs!$N$12&lt;0, 0, IF((((inputs!$P$12/(X578/MAX(K578:S578)))^(1/inputs!$O$12))-1)/inputs!$N$12&gt;inputs!$H$17, inputs!$H$17, (((inputs!$P$12/(X578/MAX(K578:S578)))^(1/inputs!$O$12))-1)/inputs!$N$12))</f>
        <v>0</v>
      </c>
      <c r="V578">
        <f>inputs!$E$70*(F578/inputs!$F$70)^(0.25)</f>
        <v>2.2148395646629968</v>
      </c>
      <c r="W578">
        <f>inputs!$E$76*(inputs!$F$76/F578)^(0.25)</f>
        <v>0.76924067569003962</v>
      </c>
      <c r="X578">
        <f>inputs!$E$72*(inputs!$F$72/F578)^(0.25)</f>
        <v>112.82984284147192</v>
      </c>
      <c r="Y578" t="s">
        <v>13</v>
      </c>
      <c r="Z578">
        <f t="shared" si="57"/>
        <v>38.742358194393539</v>
      </c>
      <c r="AA578">
        <f t="shared" si="58"/>
        <v>111.54910351082926</v>
      </c>
    </row>
    <row r="579" spans="1:27" x14ac:dyDescent="0.3">
      <c r="A579" t="s">
        <v>544</v>
      </c>
      <c r="B579" t="s">
        <v>545</v>
      </c>
      <c r="C579" t="s">
        <v>61</v>
      </c>
      <c r="D579" t="s">
        <v>443</v>
      </c>
      <c r="E579">
        <v>41</v>
      </c>
      <c r="F579">
        <v>15</v>
      </c>
      <c r="G579" t="s">
        <v>456</v>
      </c>
      <c r="H579">
        <v>0.68</v>
      </c>
      <c r="I579">
        <f>MAX('Min rate concentrations'!$J$3:$J$368)</f>
        <v>114.4108103430513</v>
      </c>
      <c r="J579">
        <f>MAX('Min rate concentrations'!AB:AB)</f>
        <v>40.520495329830666</v>
      </c>
      <c r="K579">
        <f t="shared" si="61"/>
        <v>68.176216267466955</v>
      </c>
      <c r="L579">
        <f t="shared" si="62"/>
        <v>24.14574326139455</v>
      </c>
      <c r="M579">
        <f>IF((((0.326*F579^0.818)-(0.398*F579^0.85)/(1-H579)*H579)*(MAX('Min rate concentrations'!$P$3:$P$368)))/F579&gt;0, (((0.326*F579^0.818)-(0.398*F579^0.85)/(1-H579)*H579)*(MAX('Min rate concentrations'!$P$3:$P$368)))/F579, 0)</f>
        <v>0</v>
      </c>
      <c r="N579">
        <f>IF((((0.326*F579^0.818)-(0.398*F579^0.85)/(1-H579)*H579)*(MAX('Min rate concentrations'!$Q$3:$Q$368)))/F579&gt; 0, (((0.326*F579^0.818)-(0.398*F579^0.85)/(1-H579)*H579)*(MAX('Min rate concentrations'!$Q$3:$Q$368)))/F579, 0)</f>
        <v>0</v>
      </c>
      <c r="O579">
        <f>((MAX('Min rate concentrations'!$F$3:$F$368))*0.62*6.01*8*(12.3*F579^0.65)*0.079*0.1/F579)*inputs!$E$73/inputs!$E$74</f>
        <v>17.4879170969031</v>
      </c>
      <c r="P579">
        <f>((MAX('Min rate concentrations'!Y:Y))*0.62*6.01*8*(12.3*F579^0.65)*0.079*0.1/F579)*inputs!$E$73/inputs!$E$74</f>
        <v>5.8293056989677003</v>
      </c>
      <c r="Q579">
        <f>(inputs!$C$7*11.2*(12.3*F579^0.65)*0.5/F579)*inputs!$E$73/inputs!$E$74</f>
        <v>3.0804141134929148</v>
      </c>
      <c r="R579">
        <f>(60*379*((F579/1000)^0.8)*3*24*(MAX('Min rate concentrations'!$R$3:$R$368))/F579)*(inputs!$E$73/inputs!$E$75)</f>
        <v>4.2614677494769567E-3</v>
      </c>
      <c r="S579">
        <f>(IF(inputs!$C$6="aerial",((0.025*0.112*inputs!$C$7/3.3)*(3*60*379*((F579/1000)^0.8))*MAX(inputs!$H$14:$H$16))/F579,((0.0083*0.112*inputs!$C$7/1)*(3*60*379*((F579/1000)^0.8))*MAX(inputs!$H$14:$H$16))/F579))*(inputs!E$75/inputs!$E$73)</f>
        <v>2.3502256455738741E-2</v>
      </c>
      <c r="T579">
        <f>IF((((inputs!$P$12/(V579/MAX(K579:S579)))^(1/inputs!$O$12))-1)/inputs!$N$12&lt;0, 0, IF((((inputs!$P$12/(V579/MAX(K579:S579)))^(1/inputs!$O$12))-1)/inputs!$N$12&gt;inputs!$H$17, inputs!$H$17, (((inputs!$P$12/(V579/MAX(K579:S579)))^(1/inputs!$O$12))-1)/inputs!$N$12))</f>
        <v>56.431178504584068</v>
      </c>
      <c r="U579">
        <f>IF((((inputs!$P$12/(X579/MAX(K579:S579)))^(1/inputs!$O$12))-1)/inputs!$N$12&lt;0, 0, IF((((inputs!$P$12/(X579/MAX(K579:S579)))^(1/inputs!$O$12))-1)/inputs!$N$12&gt;inputs!$H$17, inputs!$H$17, (((inputs!$P$12/(X579/MAX(K579:S579)))^(1/inputs!$O$12))-1)/inputs!$N$12))</f>
        <v>0</v>
      </c>
      <c r="V579">
        <f>inputs!$E$70*(F579/inputs!$F$70)^(0.25)</f>
        <v>2.2148395646629968</v>
      </c>
      <c r="W579">
        <f>inputs!$E$76*(inputs!$F$76/F579)^(0.25)</f>
        <v>0.76924067569003962</v>
      </c>
      <c r="X579">
        <f>inputs!$E$72*(inputs!$F$72/F579)^(0.25)</f>
        <v>112.82984284147192</v>
      </c>
      <c r="Y579" t="s">
        <v>13</v>
      </c>
      <c r="Z579">
        <f t="shared" si="57"/>
        <v>30.781559691814717</v>
      </c>
      <c r="AA579">
        <f t="shared" si="58"/>
        <v>88.627939761908934</v>
      </c>
    </row>
    <row r="580" spans="1:27" x14ac:dyDescent="0.3">
      <c r="A580" t="s">
        <v>544</v>
      </c>
      <c r="B580" t="s">
        <v>545</v>
      </c>
      <c r="C580" t="s">
        <v>61</v>
      </c>
      <c r="D580" t="s">
        <v>443</v>
      </c>
      <c r="E580">
        <v>41</v>
      </c>
      <c r="F580">
        <v>15</v>
      </c>
      <c r="G580" t="s">
        <v>145</v>
      </c>
      <c r="H580">
        <v>0.66</v>
      </c>
      <c r="I580">
        <f>MAX('Min rate concentrations'!$M$3:$M$368)</f>
        <v>2.8488184789681945</v>
      </c>
      <c r="J580">
        <f>MAX('Min rate concentrations'!AE:AE)</f>
        <v>1.9699276716269429</v>
      </c>
      <c r="K580">
        <f t="shared" si="61"/>
        <v>1.597723679897108</v>
      </c>
      <c r="L580">
        <f t="shared" si="62"/>
        <v>1.1048089275884256</v>
      </c>
      <c r="M580">
        <f>IF((((0.326*F580^0.818)-(0.398*F580^0.85)/(1-H580)*H580)*(MAX('Min rate concentrations'!$P$3:$P$368)))/F580&gt;0, (((0.326*F580^0.818)-(0.398*F580^0.85)/(1-H580)*H580)*(MAX('Min rate concentrations'!$P$3:$P$368)))/F580, 0)</f>
        <v>0</v>
      </c>
      <c r="N580">
        <f>IF((((0.326*F580^0.818)-(0.398*F580^0.85)/(1-H580)*H580)*(MAX('Min rate concentrations'!$Q$3:$Q$368)))/F580&gt; 0, (((0.326*F580^0.818)-(0.398*F580^0.85)/(1-H580)*H580)*(MAX('Min rate concentrations'!$Q$3:$Q$368)))/F580, 0)</f>
        <v>0</v>
      </c>
      <c r="O580">
        <f>((MAX('Min rate concentrations'!$F$3:$F$368))*0.62*6.01*8*(12.3*F580^0.65)*0.079*0.1/F580)*inputs!$E$73/inputs!$E$74</f>
        <v>17.4879170969031</v>
      </c>
      <c r="P580">
        <f>((MAX('Min rate concentrations'!Y:Y))*0.62*6.01*8*(12.3*F580^0.65)*0.079*0.1/F580)*inputs!$E$73/inputs!$E$74</f>
        <v>5.8293056989677003</v>
      </c>
      <c r="Q580">
        <f>(inputs!$C$7*11.2*(12.3*F580^0.65)*0.5/F580)*inputs!$E$73/inputs!$E$74</f>
        <v>3.0804141134929148</v>
      </c>
      <c r="R580">
        <f>(60*379*((F580/1000)^0.8)*3*24*(MAX('Min rate concentrations'!$R$3:$R$368))/F580)*(inputs!$E$73/inputs!$E$75)</f>
        <v>4.2614677494769567E-3</v>
      </c>
      <c r="S580">
        <f>(IF(inputs!$C$6="aerial",((0.025*0.112*inputs!$C$7/3.3)*(3*60*379*((F580/1000)^0.8))*MAX(inputs!$H$14:$H$16))/F580,((0.0083*0.112*inputs!$C$7/1)*(3*60*379*((F580/1000)^0.8))*MAX(inputs!$H$14:$H$16))/F580))*(inputs!E$75/inputs!$E$73)</f>
        <v>2.3502256455738741E-2</v>
      </c>
      <c r="T580">
        <f>IF((((inputs!$P$12/(V580/MAX(K580:S580)))^(1/inputs!$O$12))-1)/inputs!$N$12&lt;0, 0, IF((((inputs!$P$12/(V580/MAX(K580:S580)))^(1/inputs!$O$12))-1)/inputs!$N$12&gt;inputs!$H$17, inputs!$H$17, (((inputs!$P$12/(V580/MAX(K580:S580)))^(1/inputs!$O$12))-1)/inputs!$N$12))</f>
        <v>20.339017449542123</v>
      </c>
      <c r="U580">
        <f>IF((((inputs!$P$12/(X580/MAX(K580:S580)))^(1/inputs!$O$12))-1)/inputs!$N$12&lt;0, 0, IF((((inputs!$P$12/(X580/MAX(K580:S580)))^(1/inputs!$O$12))-1)/inputs!$N$12&gt;inputs!$H$17, inputs!$H$17, (((inputs!$P$12/(X580/MAX(K580:S580)))^(1/inputs!$O$12))-1)/inputs!$N$12))</f>
        <v>0</v>
      </c>
      <c r="V580">
        <f>inputs!$E$70*(F580/inputs!$F$70)^(0.25)</f>
        <v>2.2148395646629968</v>
      </c>
      <c r="W580">
        <f>inputs!$E$76*(inputs!$F$76/F580)^(0.25)</f>
        <v>0.76924067569003962</v>
      </c>
      <c r="X580">
        <f>inputs!$E$72*(inputs!$F$72/F580)^(0.25)</f>
        <v>112.82984284147192</v>
      </c>
      <c r="Y580" t="s">
        <v>13</v>
      </c>
      <c r="Z580">
        <f t="shared" ref="Z580:Z643" si="63">MAX(K580:S580)/V580</f>
        <v>7.8957940683003862</v>
      </c>
      <c r="AA580">
        <f t="shared" ref="AA580:AA643" si="64">MAX(K580:S580)/W580</f>
        <v>22.733999448502562</v>
      </c>
    </row>
    <row r="581" spans="1:27" x14ac:dyDescent="0.3">
      <c r="A581" t="s">
        <v>544</v>
      </c>
      <c r="B581" t="s">
        <v>545</v>
      </c>
      <c r="C581" t="s">
        <v>61</v>
      </c>
      <c r="D581" t="s">
        <v>443</v>
      </c>
      <c r="E581">
        <v>41</v>
      </c>
      <c r="F581">
        <v>15</v>
      </c>
      <c r="G581" t="s">
        <v>154</v>
      </c>
      <c r="H581">
        <v>9.2999999999999999E-2</v>
      </c>
      <c r="I581">
        <f>MAX('Min rate concentrations'!$G$3:$G$368)</f>
        <v>7.5</v>
      </c>
      <c r="J581">
        <f>MAX('Min rate concentrations'!Z:Z)</f>
        <v>3.5</v>
      </c>
      <c r="K581">
        <f t="shared" si="61"/>
        <v>1.5767752252349958</v>
      </c>
      <c r="M581">
        <f>IF((((0.326*F581^0.818)-(0.398*F581^0.85)/(1-H581)*H581)*(MAX('Min rate concentrations'!$P$3:$P$368)))/F581&gt;0, (((0.326*F581^0.818)-(0.398*F581^0.85)/(1-H581)*H581)*(MAX('Min rate concentrations'!$P$3:$P$368)))/F581, 0)</f>
        <v>2.4959484999342571E-2</v>
      </c>
      <c r="N581">
        <f>IF((((0.326*F581^0.818)-(0.398*F581^0.85)/(1-H581)*H581)*(MAX('Min rate concentrations'!$Q$3:$Q$368)))/F581&gt; 0, (((0.326*F581^0.818)-(0.398*F581^0.85)/(1-H581)*H581)*(MAX('Min rate concentrations'!$Q$3:$Q$368)))/F581, 0)</f>
        <v>9.5047059992685437E-2</v>
      </c>
      <c r="O581">
        <f>((MAX('Min rate concentrations'!$F$3:$F$368))*0.62*6.01*8*(12.3*F581^0.65)*0.079*0.1/F581)*inputs!$E$73/inputs!$E$74</f>
        <v>17.4879170969031</v>
      </c>
      <c r="Q581">
        <f>(inputs!$C$7*11.2*(12.3*F581^0.65)*0.5/F581)*inputs!$E$73/inputs!$E$74</f>
        <v>3.0804141134929148</v>
      </c>
      <c r="R581">
        <f>(60*379*((F581/1000)^0.8)*3*24*(MAX('Min rate concentrations'!$R$3:$R$368))/F581)*(inputs!$E$73/inputs!$E$75)</f>
        <v>4.2614677494769567E-3</v>
      </c>
      <c r="S581">
        <f>(IF(inputs!$C$6="aerial",((0.025*0.112*inputs!$C$7/3.3)*(3*60*379*((F581/1000)^0.8))*MAX(inputs!$H$14:$H$16))/F581,((0.0083*0.112*inputs!$C$7/1)*(3*60*379*((F581/1000)^0.8))*MAX(inputs!$H$14:$H$16))/F581))*(inputs!E$75/inputs!$E$73)</f>
        <v>2.3502256455738741E-2</v>
      </c>
      <c r="T581">
        <f>IF((((inputs!$P$12/(V581/MAX(K581:S581)))^(1/inputs!$O$12))-1)/inputs!$N$12&lt;0, 0, IF((((inputs!$P$12/(V581/MAX(K581:S581)))^(1/inputs!$O$12))-1)/inputs!$N$12&gt;inputs!$H$17, inputs!$H$17, (((inputs!$P$12/(V581/MAX(K581:S581)))^(1/inputs!$O$12))-1)/inputs!$N$12))</f>
        <v>20.339017449542123</v>
      </c>
      <c r="U581">
        <f>IF((((inputs!$P$12/(X581/MAX(K581:S581)))^(1/inputs!$O$12))-1)/inputs!$N$12&lt;0, 0, IF((((inputs!$P$12/(X581/MAX(K581:S581)))^(1/inputs!$O$12))-1)/inputs!$N$12&gt;inputs!$H$17, inputs!$H$17, (((inputs!$P$12/(X581/MAX(K581:S581)))^(1/inputs!$O$12))-1)/inputs!$N$12))</f>
        <v>0</v>
      </c>
      <c r="V581">
        <f>inputs!$E$70*(F581/inputs!$F$70)^(0.25)</f>
        <v>2.2148395646629968</v>
      </c>
      <c r="W581">
        <f>inputs!$E$76*(inputs!$F$76/F581)^(0.25)</f>
        <v>0.76924067569003962</v>
      </c>
      <c r="X581">
        <f>inputs!$E$72*(inputs!$F$72/F581)^(0.25)</f>
        <v>112.82984284147192</v>
      </c>
      <c r="Y581" t="s">
        <v>13</v>
      </c>
      <c r="Z581">
        <f t="shared" si="63"/>
        <v>7.8957940683003862</v>
      </c>
      <c r="AA581">
        <f t="shared" si="64"/>
        <v>22.733999448502562</v>
      </c>
    </row>
    <row r="582" spans="1:27" x14ac:dyDescent="0.3">
      <c r="A582" t="s">
        <v>507</v>
      </c>
      <c r="B582" t="s">
        <v>508</v>
      </c>
      <c r="C582" t="s">
        <v>61</v>
      </c>
      <c r="D582" t="s">
        <v>443</v>
      </c>
      <c r="E582">
        <v>28</v>
      </c>
      <c r="F582">
        <v>60</v>
      </c>
      <c r="G582" t="s">
        <v>169</v>
      </c>
      <c r="H582">
        <v>0.79</v>
      </c>
      <c r="I582">
        <f>MAX('Min rate concentrations'!$D$3:$D$368)</f>
        <v>120</v>
      </c>
      <c r="J582">
        <f>MAX('Min rate concentrations'!W:W)</f>
        <v>42.5</v>
      </c>
      <c r="K582">
        <f t="shared" si="61"/>
        <v>59.535993645422586</v>
      </c>
      <c r="L582">
        <f>(((0.621*F582^0.564)/(1-H582)))*J582/F582</f>
        <v>21.085664416087166</v>
      </c>
      <c r="M582">
        <f>IF((((0.326*F582^0.818)-(0.398*F582^0.85)/(1-H582)*H582)*(MAX('Min rate concentrations'!$P$3:$P$368)))/F582&gt;0, (((0.326*F582^0.818)-(0.398*F582^0.85)/(1-H582)*H582)*(MAX('Min rate concentrations'!$P$3:$P$368)))/F582, 0)</f>
        <v>0</v>
      </c>
      <c r="N582">
        <f>IF((((0.326*F582^0.818)-(0.398*F582^0.85)/(1-H582)*H582)*(MAX('Min rate concentrations'!$Q$3:$Q$368)))/F582&gt; 0, (((0.326*F582^0.818)-(0.398*F582^0.85)/(1-H582)*H582)*(MAX('Min rate concentrations'!$Q$3:$Q$368)))/F582, 0)</f>
        <v>0</v>
      </c>
      <c r="O582">
        <f>((MAX('Min rate concentrations'!$F$3:$F$368))*0.62*6.01*8*(12.3*F582^0.65)*0.079*0.1/F582)*inputs!$E$73/inputs!$E$74</f>
        <v>10.765075717445647</v>
      </c>
      <c r="P582">
        <f>((MAX('Min rate concentrations'!Y:Y))*0.62*6.01*8*(12.3*F582^0.65)*0.079*0.1/F582)*inputs!$E$73/inputs!$E$74</f>
        <v>3.5883585724818818</v>
      </c>
      <c r="Q582">
        <f>(inputs!$C$7*11.2*(12.3*F582^0.65)*0.5/F582)*inputs!$E$73/inputs!$E$74</f>
        <v>1.8962173133078171</v>
      </c>
      <c r="R582">
        <f>(60*379*((F582/1000)^0.8)*3*24*(MAX('Min rate concentrations'!$R$3:$R$368))/F582)*(inputs!$E$73/inputs!$E$75)</f>
        <v>3.2295886327660026E-3</v>
      </c>
      <c r="S582">
        <f>(IF(inputs!$C$6="aerial",((0.025*0.112*inputs!$C$7/3.3)*(3*60*379*((F582/1000)^0.8))*MAX(inputs!$H$14:$H$16))/F582,((0.0083*0.112*inputs!$C$7/1)*(3*60*379*((F582/1000)^0.8))*MAX(inputs!$H$14:$H$16))/F582))*(inputs!E$75/inputs!$E$73)</f>
        <v>1.7811379730169587E-2</v>
      </c>
      <c r="T582">
        <f>IF((((inputs!$P$12/(V582/MAX(K582:S582)))^(1/inputs!$O$12))-1)/inputs!$N$12&lt;0, 0, IF((((inputs!$P$12/(V582/MAX(K582:S582)))^(1/inputs!$O$12))-1)/inputs!$N$12&gt;inputs!$H$17, inputs!$H$17, (((inputs!$P$12/(V582/MAX(K582:S582)))^(1/inputs!$O$12))-1)/inputs!$N$12))</f>
        <v>41.310487842080178</v>
      </c>
      <c r="U582">
        <f>IF((((inputs!$P$12/(X582/MAX(K582:S582)))^(1/inputs!$O$12))-1)/inputs!$N$12&lt;0, 0, IF((((inputs!$P$12/(X582/MAX(K582:S582)))^(1/inputs!$O$12))-1)/inputs!$N$12&gt;inputs!$H$17, inputs!$H$17, (((inputs!$P$12/(X582/MAX(K582:S582)))^(1/inputs!$O$12))-1)/inputs!$N$12))</f>
        <v>0</v>
      </c>
      <c r="V582">
        <f>inputs!$E$70*(F582/inputs!$F$70)^(0.25)</f>
        <v>3.1322561508269322</v>
      </c>
      <c r="W582">
        <f>inputs!$E$76*(inputs!$F$76/F582)^(0.25)</f>
        <v>0.54393529814494879</v>
      </c>
      <c r="X582">
        <f>inputs!$E$72*(inputs!$F$72/F582)^(0.25)</f>
        <v>79.78274699341722</v>
      </c>
      <c r="Y582" t="s">
        <v>13</v>
      </c>
      <c r="Z582">
        <f t="shared" si="63"/>
        <v>19.007383425427953</v>
      </c>
      <c r="AA582">
        <f t="shared" si="64"/>
        <v>109.45418296710234</v>
      </c>
    </row>
    <row r="583" spans="1:27" x14ac:dyDescent="0.3">
      <c r="A583" t="s">
        <v>507</v>
      </c>
      <c r="B583" t="s">
        <v>508</v>
      </c>
      <c r="C583" t="s">
        <v>61</v>
      </c>
      <c r="D583" t="s">
        <v>443</v>
      </c>
      <c r="E583">
        <v>28</v>
      </c>
      <c r="F583">
        <v>60</v>
      </c>
      <c r="G583" t="s">
        <v>177</v>
      </c>
      <c r="H583">
        <v>0.85</v>
      </c>
      <c r="I583">
        <f>MAX('Min rate concentrations'!$F$3:$F$368)</f>
        <v>67.5</v>
      </c>
      <c r="J583">
        <f>MAX('Min rate concentrations'!Y:Y)</f>
        <v>22.5</v>
      </c>
      <c r="K583">
        <f t="shared" si="61"/>
        <v>46.884594995770271</v>
      </c>
      <c r="L583">
        <f>(((0.621*F583^0.564)/(1-H583)))*J583/F583</f>
        <v>15.628198331923423</v>
      </c>
      <c r="M583">
        <f>IF((((0.326*F583^0.818)-(0.398*F583^0.85)/(1-H583)*H583)*(MAX('Min rate concentrations'!$P$3:$P$368)))/F583&gt;0, (((0.326*F583^0.818)-(0.398*F583^0.85)/(1-H583)*H583)*(MAX('Min rate concentrations'!$P$3:$P$368)))/F583, 0)</f>
        <v>0</v>
      </c>
      <c r="N583">
        <f>IF((((0.326*F583^0.818)-(0.398*F583^0.85)/(1-H583)*H583)*(MAX('Min rate concentrations'!$Q$3:$Q$368)))/F583&gt; 0, (((0.326*F583^0.818)-(0.398*F583^0.85)/(1-H583)*H583)*(MAX('Min rate concentrations'!$Q$3:$Q$368)))/F583, 0)</f>
        <v>0</v>
      </c>
      <c r="O583">
        <f>((MAX('Min rate concentrations'!$F$3:$F$368))*0.62*6.01*8*(12.3*F583^0.65)*0.079*0.1/F583)*inputs!$E$73/inputs!$E$74</f>
        <v>10.765075717445647</v>
      </c>
      <c r="P583">
        <f>((MAX('Min rate concentrations'!Y:Y))*0.62*6.01*8*(12.3*F583^0.65)*0.079*0.1/F583)*inputs!$E$73/inputs!$E$74</f>
        <v>3.5883585724818818</v>
      </c>
      <c r="Q583">
        <f>(inputs!$C$7*11.2*(12.3*F583^0.65)*0.5/F583)*inputs!$E$73/inputs!$E$74</f>
        <v>1.8962173133078171</v>
      </c>
      <c r="R583">
        <f>(60*379*((F583/1000)^0.8)*3*24*(MAX('Min rate concentrations'!$R$3:$R$368))/F583)*(inputs!$E$73/inputs!$E$75)</f>
        <v>3.2295886327660026E-3</v>
      </c>
      <c r="S583">
        <f>(IF(inputs!$C$6="aerial",((0.025*0.112*inputs!$C$7/3.3)*(3*60*379*((F583/1000)^0.8))*MAX(inputs!$H$14:$H$16))/F583,((0.0083*0.112*inputs!$C$7/1)*(3*60*379*((F583/1000)^0.8))*MAX(inputs!$H$14:$H$16))/F583))*(inputs!E$75/inputs!$E$73)</f>
        <v>1.7811379730169587E-2</v>
      </c>
      <c r="T583">
        <f>IF((((inputs!$P$12/(V583/MAX(K583:S583)))^(1/inputs!$O$12))-1)/inputs!$N$12&lt;0, 0, IF((((inputs!$P$12/(V583/MAX(K583:S583)))^(1/inputs!$O$12))-1)/inputs!$N$12&gt;inputs!$H$17, inputs!$H$17, (((inputs!$P$12/(V583/MAX(K583:S583)))^(1/inputs!$O$12))-1)/inputs!$N$12))</f>
        <v>34.847345265695878</v>
      </c>
      <c r="U583">
        <f>IF((((inputs!$P$12/(X583/MAX(K583:S583)))^(1/inputs!$O$12))-1)/inputs!$N$12&lt;0, 0, IF((((inputs!$P$12/(X583/MAX(K583:S583)))^(1/inputs!$O$12))-1)/inputs!$N$12&gt;inputs!$H$17, inputs!$H$17, (((inputs!$P$12/(X583/MAX(K583:S583)))^(1/inputs!$O$12))-1)/inputs!$N$12))</f>
        <v>0</v>
      </c>
      <c r="V583">
        <f>inputs!$E$70*(F583/inputs!$F$70)^(0.25)</f>
        <v>3.1322561508269322</v>
      </c>
      <c r="W583">
        <f>inputs!$E$76*(inputs!$F$76/F583)^(0.25)</f>
        <v>0.54393529814494879</v>
      </c>
      <c r="X583">
        <f>inputs!$E$72*(inputs!$F$72/F583)^(0.25)</f>
        <v>79.78274699341722</v>
      </c>
      <c r="Y583" t="s">
        <v>13</v>
      </c>
      <c r="Z583">
        <f t="shared" si="63"/>
        <v>14.968314447524508</v>
      </c>
      <c r="AA583">
        <f t="shared" si="64"/>
        <v>86.195169086593069</v>
      </c>
    </row>
    <row r="584" spans="1:27" x14ac:dyDescent="0.3">
      <c r="A584" t="s">
        <v>507</v>
      </c>
      <c r="B584" t="s">
        <v>508</v>
      </c>
      <c r="C584" t="s">
        <v>61</v>
      </c>
      <c r="D584" t="s">
        <v>443</v>
      </c>
      <c r="E584">
        <v>28</v>
      </c>
      <c r="F584">
        <v>60</v>
      </c>
      <c r="G584" t="s">
        <v>154</v>
      </c>
      <c r="H584">
        <v>9.2999999999999999E-2</v>
      </c>
      <c r="I584">
        <f>MAX('Min rate concentrations'!$G$3:$G$368)</f>
        <v>7.5</v>
      </c>
      <c r="J584">
        <f>MAX('Min rate concentrations'!Z:Z)</f>
        <v>3.5</v>
      </c>
      <c r="K584">
        <f t="shared" si="61"/>
        <v>0.86153243285134651</v>
      </c>
      <c r="M584">
        <f>IF((((0.326*F584^0.818)-(0.398*F584^0.85)/(1-H584)*H584)*(MAX('Min rate concentrations'!$P$3:$P$368)))/F584&gt;0, (((0.326*F584^0.818)-(0.398*F584^0.85)/(1-H584)*H584)*(MAX('Min rate concentrations'!$P$3:$P$368)))/F584, 0)</f>
        <v>1.9254624280432158E-2</v>
      </c>
      <c r="N584">
        <f>IF((((0.326*F584^0.818)-(0.398*F584^0.85)/(1-H584)*H584)*(MAX('Min rate concentrations'!$Q$3:$Q$368)))/F584&gt; 0, (((0.326*F584^0.818)-(0.398*F584^0.85)/(1-H584)*H584)*(MAX('Min rate concentrations'!$Q$3:$Q$368)))/F584, 0)</f>
        <v>7.3322643843294746E-2</v>
      </c>
      <c r="O584">
        <f>((MAX('Min rate concentrations'!$F$3:$F$368))*0.62*6.01*8*(12.3*F584^0.65)*0.079*0.1/F584)*inputs!$E$73/inputs!$E$74</f>
        <v>10.765075717445647</v>
      </c>
      <c r="Q584">
        <f>(inputs!$C$7*11.2*(12.3*F584^0.65)*0.5/F584)*inputs!$E$73/inputs!$E$74</f>
        <v>1.8962173133078171</v>
      </c>
      <c r="R584">
        <f>(60*379*((F584/1000)^0.8)*3*24*(MAX('Min rate concentrations'!$R$3:$R$368))/F584)*(inputs!$E$73/inputs!$E$75)</f>
        <v>3.2295886327660026E-3</v>
      </c>
      <c r="S584">
        <f>(IF(inputs!$C$6="aerial",((0.025*0.112*inputs!$C$7/3.3)*(3*60*379*((F584/1000)^0.8))*MAX(inputs!$H$14:$H$16))/F584,((0.0083*0.112*inputs!$C$7/1)*(3*60*379*((F584/1000)^0.8))*MAX(inputs!$H$14:$H$16))/F584))*(inputs!E$75/inputs!$E$73)</f>
        <v>1.7811379730169587E-2</v>
      </c>
      <c r="T584">
        <f>IF((((inputs!$P$12/(V584/MAX(K584:S584)))^(1/inputs!$O$12))-1)/inputs!$N$12&lt;0, 0, IF((((inputs!$P$12/(V584/MAX(K584:S584)))^(1/inputs!$O$12))-1)/inputs!$N$12&gt;inputs!$H$17, inputs!$H$17, (((inputs!$P$12/(V584/MAX(K584:S584)))^(1/inputs!$O$12))-1)/inputs!$N$12))</f>
        <v>6.3237146861145632</v>
      </c>
      <c r="U584">
        <f>IF((((inputs!$P$12/(X584/MAX(K584:S584)))^(1/inputs!$O$12))-1)/inputs!$N$12&lt;0, 0, IF((((inputs!$P$12/(X584/MAX(K584:S584)))^(1/inputs!$O$12))-1)/inputs!$N$12&gt;inputs!$H$17, inputs!$H$17, (((inputs!$P$12/(X584/MAX(K584:S584)))^(1/inputs!$O$12))-1)/inputs!$N$12))</f>
        <v>0</v>
      </c>
      <c r="V584">
        <f>inputs!$E$70*(F584/inputs!$F$70)^(0.25)</f>
        <v>3.1322561508269322</v>
      </c>
      <c r="W584">
        <f>inputs!$E$76*(inputs!$F$76/F584)^(0.25)</f>
        <v>0.54393529814494879</v>
      </c>
      <c r="X584">
        <f>inputs!$E$72*(inputs!$F$72/F584)^(0.25)</f>
        <v>79.78274699341722</v>
      </c>
      <c r="Y584" t="s">
        <v>13</v>
      </c>
      <c r="Z584">
        <f t="shared" si="63"/>
        <v>3.4368439869145475</v>
      </c>
      <c r="AA584">
        <f t="shared" si="64"/>
        <v>19.791096025867681</v>
      </c>
    </row>
    <row r="585" spans="1:27" x14ac:dyDescent="0.3">
      <c r="A585" t="s">
        <v>550</v>
      </c>
      <c r="B585" t="s">
        <v>551</v>
      </c>
      <c r="C585" t="s">
        <v>61</v>
      </c>
      <c r="D585" t="s">
        <v>443</v>
      </c>
      <c r="E585">
        <v>50</v>
      </c>
      <c r="F585">
        <v>12</v>
      </c>
      <c r="G585" t="s">
        <v>182</v>
      </c>
      <c r="H585">
        <v>0.85</v>
      </c>
      <c r="I585">
        <f>MAX('Min rate concentrations'!$M$3:$M$368)</f>
        <v>2.8488184789681945</v>
      </c>
      <c r="J585">
        <f>MAX('Min rate concentrations'!AE:AE)</f>
        <v>1.9699276716269429</v>
      </c>
      <c r="K585">
        <f t="shared" si="61"/>
        <v>3.9915547955524517</v>
      </c>
      <c r="L585">
        <f t="shared" ref="L585:L590" si="65">(((0.621*F585^0.564)/(1-H585)))*J585/F585</f>
        <v>2.7601176777756318</v>
      </c>
      <c r="M585">
        <f>IF((((0.326*F585^0.818)-(0.398*F585^0.85)/(1-H585)*H585)*(MAX('Min rate concentrations'!$P$3:$P$368)))/F585&gt;0, (((0.326*F585^0.818)-(0.398*F585^0.85)/(1-H585)*H585)*(MAX('Min rate concentrations'!$P$3:$P$368)))/F585, 0)</f>
        <v>0</v>
      </c>
      <c r="N585">
        <f>IF((((0.326*F585^0.818)-(0.398*F585^0.85)/(1-H585)*H585)*(MAX('Min rate concentrations'!$Q$3:$Q$368)))/F585&gt; 0, (((0.326*F585^0.818)-(0.398*F585^0.85)/(1-H585)*H585)*(MAX('Min rate concentrations'!$Q$3:$Q$368)))/F585, 0)</f>
        <v>0</v>
      </c>
      <c r="O585">
        <f>((MAX('Min rate concentrations'!$F$3:$F$368))*0.62*6.01*8*(12.3*F585^0.65)*0.079*0.1/F585)*inputs!$E$73/inputs!$E$74</f>
        <v>18.908478773287541</v>
      </c>
      <c r="P585">
        <f>((MAX('Min rate concentrations'!Y:Y))*0.62*6.01*8*(12.3*F585^0.65)*0.079*0.1/F585)*inputs!$E$73/inputs!$E$74</f>
        <v>6.3028262577625114</v>
      </c>
      <c r="Q585">
        <f>(inputs!$C$7*11.2*(12.3*F585^0.65)*0.5/F585)*inputs!$E$73/inputs!$E$74</f>
        <v>3.330639352597959</v>
      </c>
      <c r="R585">
        <f>(60*379*((F585/1000)^0.8)*3*24*(MAX('Min rate concentrations'!$R$3:$R$368))/F585)*(inputs!$E$73/inputs!$E$75)</f>
        <v>4.4559592309452237E-3</v>
      </c>
      <c r="S585">
        <f>(IF(inputs!$C$6="aerial",((0.025*0.112*inputs!$C$7/3.3)*(3*60*379*((F585/1000)^0.8))*MAX(inputs!$H$14:$H$16))/F585,((0.0083*0.112*inputs!$C$7/1)*(3*60*379*((F585/1000)^0.8))*MAX(inputs!$H$14:$H$16))/F585))*(inputs!E$75/inputs!$E$73)</f>
        <v>2.4574888925264021E-2</v>
      </c>
      <c r="T585">
        <f>IF((((inputs!$P$12/(V585/MAX(K585:S585)))^(1/inputs!$O$12))-1)/inputs!$N$12&lt;0, 0, IF((((inputs!$P$12/(V585/MAX(K585:S585)))^(1/inputs!$O$12))-1)/inputs!$N$12&gt;inputs!$H$17, inputs!$H$17, (((inputs!$P$12/(V585/MAX(K585:S585)))^(1/inputs!$O$12))-1)/inputs!$N$12))</f>
        <v>23.071797239771147</v>
      </c>
      <c r="U585">
        <f>IF((((inputs!$P$12/(X585/MAX(K585:S585)))^(1/inputs!$O$12))-1)/inputs!$N$12&lt;0, 0, IF((((inputs!$P$12/(X585/MAX(K585:S585)))^(1/inputs!$O$12))-1)/inputs!$N$12&gt;inputs!$H$17, inputs!$H$17, (((inputs!$P$12/(X585/MAX(K585:S585)))^(1/inputs!$O$12))-1)/inputs!$N$12))</f>
        <v>0</v>
      </c>
      <c r="V585">
        <f>inputs!$E$70*(F585/inputs!$F$70)^(0.25)</f>
        <v>2.094665933568276</v>
      </c>
      <c r="W585">
        <f>inputs!$E$76*(inputs!$F$76/F585)^(0.25)</f>
        <v>0.81337298514425049</v>
      </c>
      <c r="X585">
        <f>inputs!$E$72*(inputs!$F$72/F585)^(0.25)</f>
        <v>119.30303347908743</v>
      </c>
      <c r="Y585" t="s">
        <v>13</v>
      </c>
      <c r="Z585">
        <f t="shared" si="63"/>
        <v>9.0269662910289625</v>
      </c>
      <c r="AA585">
        <f t="shared" si="64"/>
        <v>23.2469962964582</v>
      </c>
    </row>
    <row r="586" spans="1:27" x14ac:dyDescent="0.3">
      <c r="A586" t="s">
        <v>550</v>
      </c>
      <c r="B586" t="s">
        <v>551</v>
      </c>
      <c r="C586" t="s">
        <v>61</v>
      </c>
      <c r="D586" t="s">
        <v>443</v>
      </c>
      <c r="E586">
        <v>50</v>
      </c>
      <c r="F586">
        <v>12</v>
      </c>
      <c r="G586" t="s">
        <v>142</v>
      </c>
      <c r="H586">
        <v>0.69</v>
      </c>
      <c r="I586">
        <f>MAX('Min rate concentrations'!$H$3:$H$368)</f>
        <v>47</v>
      </c>
      <c r="J586">
        <f>MAX('Min rate concentrations'!AA:AA)</f>
        <v>32.5</v>
      </c>
      <c r="K586">
        <f t="shared" si="61"/>
        <v>31.864326320175874</v>
      </c>
      <c r="L586">
        <f t="shared" si="65"/>
        <v>22.03384266820672</v>
      </c>
      <c r="M586">
        <f>IF((((0.326*F586^0.818)-(0.398*F586^0.85)/(1-H586)*H586)*(MAX('Min rate concentrations'!$P$3:$P$368)))/F586&gt;0, (((0.326*F586^0.818)-(0.398*F586^0.85)/(1-H586)*H586)*(MAX('Min rate concentrations'!$P$3:$P$368)))/F586, 0)</f>
        <v>0</v>
      </c>
      <c r="N586">
        <f>IF((((0.326*F586^0.818)-(0.398*F586^0.85)/(1-H586)*H586)*(MAX('Min rate concentrations'!$Q$3:$Q$368)))/F586&gt; 0, (((0.326*F586^0.818)-(0.398*F586^0.85)/(1-H586)*H586)*(MAX('Min rate concentrations'!$Q$3:$Q$368)))/F586, 0)</f>
        <v>0</v>
      </c>
      <c r="O586">
        <f>((MAX('Min rate concentrations'!$F$3:$F$368))*0.62*6.01*8*(12.3*F586^0.65)*0.079*0.1/F586)*inputs!$E$73/inputs!$E$74</f>
        <v>18.908478773287541</v>
      </c>
      <c r="P586">
        <f>((MAX('Min rate concentrations'!Y:Y))*0.62*6.01*8*(12.3*F586^0.65)*0.079*0.1/F586)*inputs!$E$73/inputs!$E$74</f>
        <v>6.3028262577625114</v>
      </c>
      <c r="Q586">
        <f>(inputs!$C$7*11.2*(12.3*F586^0.65)*0.5/F586)*inputs!$E$73/inputs!$E$74</f>
        <v>3.330639352597959</v>
      </c>
      <c r="R586">
        <f>(60*379*((F586/1000)^0.8)*3*24*(MAX('Min rate concentrations'!$R$3:$R$368))/F586)*(inputs!$E$73/inputs!$E$75)</f>
        <v>4.4559592309452237E-3</v>
      </c>
      <c r="S586">
        <f>(IF(inputs!$C$6="aerial",((0.025*0.112*inputs!$C$7/3.3)*(3*60*379*((F586/1000)^0.8))*MAX(inputs!$H$14:$H$16))/F586,((0.0083*0.112*inputs!$C$7/1)*(3*60*379*((F586/1000)^0.8))*MAX(inputs!$H$14:$H$16))/F586))*(inputs!E$75/inputs!$E$73)</f>
        <v>2.4574888925264021E-2</v>
      </c>
      <c r="T586">
        <f>IF((((inputs!$P$12/(V586/MAX(K586:S586)))^(1/inputs!$O$12))-1)/inputs!$N$12&lt;0, 0, IF((((inputs!$P$12/(V586/MAX(K586:S586)))^(1/inputs!$O$12))-1)/inputs!$N$12&gt;inputs!$H$17, inputs!$H$17, (((inputs!$P$12/(V586/MAX(K586:S586)))^(1/inputs!$O$12))-1)/inputs!$N$12))</f>
        <v>35.264956049112598</v>
      </c>
      <c r="U586">
        <f>IF((((inputs!$P$12/(X586/MAX(K586:S586)))^(1/inputs!$O$12))-1)/inputs!$N$12&lt;0, 0, IF((((inputs!$P$12/(X586/MAX(K586:S586)))^(1/inputs!$O$12))-1)/inputs!$N$12&gt;inputs!$H$17, inputs!$H$17, (((inputs!$P$12/(X586/MAX(K586:S586)))^(1/inputs!$O$12))-1)/inputs!$N$12))</f>
        <v>0</v>
      </c>
      <c r="V586">
        <f>inputs!$E$70*(F586/inputs!$F$70)^(0.25)</f>
        <v>2.094665933568276</v>
      </c>
      <c r="W586">
        <f>inputs!$E$76*(inputs!$F$76/F586)^(0.25)</f>
        <v>0.81337298514425049</v>
      </c>
      <c r="X586">
        <f>inputs!$E$72*(inputs!$F$72/F586)^(0.25)</f>
        <v>119.30303347908743</v>
      </c>
      <c r="Y586" t="s">
        <v>13</v>
      </c>
      <c r="Z586">
        <f t="shared" si="63"/>
        <v>15.212128010262143</v>
      </c>
      <c r="AA586">
        <f t="shared" si="64"/>
        <v>39.175540498833733</v>
      </c>
    </row>
    <row r="587" spans="1:27" x14ac:dyDescent="0.3">
      <c r="A587" t="s">
        <v>550</v>
      </c>
      <c r="B587" t="s">
        <v>551</v>
      </c>
      <c r="C587" t="s">
        <v>61</v>
      </c>
      <c r="D587" t="s">
        <v>443</v>
      </c>
      <c r="E587">
        <v>50</v>
      </c>
      <c r="F587">
        <v>12</v>
      </c>
      <c r="G587" t="s">
        <v>152</v>
      </c>
      <c r="H587">
        <v>0.77</v>
      </c>
      <c r="I587">
        <f>MAX('Min rate concentrations'!$G$3:$G$368)</f>
        <v>7.5</v>
      </c>
      <c r="J587">
        <f>MAX('Min rate concentrations'!Z:Z)</f>
        <v>3.5</v>
      </c>
      <c r="K587">
        <f t="shared" si="61"/>
        <v>6.8533356794087803</v>
      </c>
      <c r="L587">
        <f t="shared" si="65"/>
        <v>3.198223317057431</v>
      </c>
      <c r="M587">
        <f>IF((((0.326*F587^0.818)-(0.398*F587^0.85)/(1-H587)*H587)*(MAX('Min rate concentrations'!$P$3:$P$368)))/F587&gt;0, (((0.326*F587^0.818)-(0.398*F587^0.85)/(1-H587)*H587)*(MAX('Min rate concentrations'!$P$3:$P$368)))/F587, 0)</f>
        <v>0</v>
      </c>
      <c r="N587">
        <f>IF((((0.326*F587^0.818)-(0.398*F587^0.85)/(1-H587)*H587)*(MAX('Min rate concentrations'!$Q$3:$Q$368)))/F587&gt; 0, (((0.326*F587^0.818)-(0.398*F587^0.85)/(1-H587)*H587)*(MAX('Min rate concentrations'!$Q$3:$Q$368)))/F587, 0)</f>
        <v>0</v>
      </c>
      <c r="O587">
        <f>((MAX('Min rate concentrations'!$F$3:$F$368))*0.62*6.01*8*(12.3*F587^0.65)*0.079*0.1/F587)*inputs!$E$73/inputs!$E$74</f>
        <v>18.908478773287541</v>
      </c>
      <c r="P587">
        <f>((MAX('Min rate concentrations'!Y:Y))*0.62*6.01*8*(12.3*F587^0.65)*0.079*0.1/F587)*inputs!$E$73/inputs!$E$74</f>
        <v>6.3028262577625114</v>
      </c>
      <c r="Q587">
        <f>(inputs!$C$7*11.2*(12.3*F587^0.65)*0.5/F587)*inputs!$E$73/inputs!$E$74</f>
        <v>3.330639352597959</v>
      </c>
      <c r="R587">
        <f>(60*379*((F587/1000)^0.8)*3*24*(MAX('Min rate concentrations'!$R$3:$R$368))/F587)*(inputs!$E$73/inputs!$E$75)</f>
        <v>4.4559592309452237E-3</v>
      </c>
      <c r="S587">
        <f>(IF(inputs!$C$6="aerial",((0.025*0.112*inputs!$C$7/3.3)*(3*60*379*((F587/1000)^0.8))*MAX(inputs!$H$14:$H$16))/F587,((0.0083*0.112*inputs!$C$7/1)*(3*60*379*((F587/1000)^0.8))*MAX(inputs!$H$14:$H$16))/F587))*(inputs!E$75/inputs!$E$73)</f>
        <v>2.4574888925264021E-2</v>
      </c>
      <c r="T587">
        <f>IF((((inputs!$P$12/(V587/MAX(K587:S587)))^(1/inputs!$O$12))-1)/inputs!$N$12&lt;0, 0, IF((((inputs!$P$12/(V587/MAX(K587:S587)))^(1/inputs!$O$12))-1)/inputs!$N$12&gt;inputs!$H$17, inputs!$H$17, (((inputs!$P$12/(V587/MAX(K587:S587)))^(1/inputs!$O$12))-1)/inputs!$N$12))</f>
        <v>23.071797239771147</v>
      </c>
      <c r="U587">
        <f>IF((((inputs!$P$12/(X587/MAX(K587:S587)))^(1/inputs!$O$12))-1)/inputs!$N$12&lt;0, 0, IF((((inputs!$P$12/(X587/MAX(K587:S587)))^(1/inputs!$O$12))-1)/inputs!$N$12&gt;inputs!$H$17, inputs!$H$17, (((inputs!$P$12/(X587/MAX(K587:S587)))^(1/inputs!$O$12))-1)/inputs!$N$12))</f>
        <v>0</v>
      </c>
      <c r="V587">
        <f>inputs!$E$70*(F587/inputs!$F$70)^(0.25)</f>
        <v>2.094665933568276</v>
      </c>
      <c r="W587">
        <f>inputs!$E$76*(inputs!$F$76/F587)^(0.25)</f>
        <v>0.81337298514425049</v>
      </c>
      <c r="X587">
        <f>inputs!$E$72*(inputs!$F$72/F587)^(0.25)</f>
        <v>119.30303347908743</v>
      </c>
      <c r="Y587" t="s">
        <v>13</v>
      </c>
      <c r="Z587">
        <f t="shared" si="63"/>
        <v>9.0269662910289625</v>
      </c>
      <c r="AA587">
        <f t="shared" si="64"/>
        <v>23.2469962964582</v>
      </c>
    </row>
    <row r="588" spans="1:27" x14ac:dyDescent="0.3">
      <c r="A588" t="s">
        <v>550</v>
      </c>
      <c r="B588" t="s">
        <v>551</v>
      </c>
      <c r="C588" t="s">
        <v>61</v>
      </c>
      <c r="D588" t="s">
        <v>443</v>
      </c>
      <c r="E588">
        <v>50</v>
      </c>
      <c r="F588">
        <v>12</v>
      </c>
      <c r="G588" t="s">
        <v>169</v>
      </c>
      <c r="H588">
        <v>0.79</v>
      </c>
      <c r="I588">
        <f>MAX('Min rate concentrations'!$D$3:$D$368)</f>
        <v>120</v>
      </c>
      <c r="J588">
        <f>MAX('Min rate concentrations'!W:W)</f>
        <v>42.5</v>
      </c>
      <c r="K588">
        <f t="shared" si="61"/>
        <v>120.09654904868724</v>
      </c>
      <c r="L588">
        <f t="shared" si="65"/>
        <v>42.534194454743393</v>
      </c>
      <c r="M588">
        <f>IF((((0.326*F588^0.818)-(0.398*F588^0.85)/(1-H588)*H588)*(MAX('Min rate concentrations'!$P$3:$P$368)))/F588&gt;0, (((0.326*F588^0.818)-(0.398*F588^0.85)/(1-H588)*H588)*(MAX('Min rate concentrations'!$P$3:$P$368)))/F588, 0)</f>
        <v>0</v>
      </c>
      <c r="N588">
        <f>IF((((0.326*F588^0.818)-(0.398*F588^0.85)/(1-H588)*H588)*(MAX('Min rate concentrations'!$Q$3:$Q$368)))/F588&gt; 0, (((0.326*F588^0.818)-(0.398*F588^0.85)/(1-H588)*H588)*(MAX('Min rate concentrations'!$Q$3:$Q$368)))/F588, 0)</f>
        <v>0</v>
      </c>
      <c r="O588">
        <f>((MAX('Min rate concentrations'!$F$3:$F$368))*0.62*6.01*8*(12.3*F588^0.65)*0.079*0.1/F588)*inputs!$E$73/inputs!$E$74</f>
        <v>18.908478773287541</v>
      </c>
      <c r="P588">
        <f>((MAX('Min rate concentrations'!Y:Y))*0.62*6.01*8*(12.3*F588^0.65)*0.079*0.1/F588)*inputs!$E$73/inputs!$E$74</f>
        <v>6.3028262577625114</v>
      </c>
      <c r="Q588">
        <f>(inputs!$C$7*11.2*(12.3*F588^0.65)*0.5/F588)*inputs!$E$73/inputs!$E$74</f>
        <v>3.330639352597959</v>
      </c>
      <c r="R588">
        <f>(60*379*((F588/1000)^0.8)*3*24*(MAX('Min rate concentrations'!$R$3:$R$368))/F588)*(inputs!$E$73/inputs!$E$75)</f>
        <v>4.4559592309452237E-3</v>
      </c>
      <c r="S588">
        <f>(IF(inputs!$C$6="aerial",((0.025*0.112*inputs!$C$7/3.3)*(3*60*379*((F588/1000)^0.8))*MAX(inputs!$H$14:$H$16))/F588,((0.0083*0.112*inputs!$C$7/1)*(3*60*379*((F588/1000)^0.8))*MAX(inputs!$H$14:$H$16))/F588))*(inputs!E$75/inputs!$E$73)</f>
        <v>2.4574888925264021E-2</v>
      </c>
      <c r="T588">
        <f>IF((((inputs!$P$12/(V588/MAX(K588:S588)))^(1/inputs!$O$12))-1)/inputs!$N$12&lt;0, 0, IF((((inputs!$P$12/(V588/MAX(K588:S588)))^(1/inputs!$O$12))-1)/inputs!$N$12&gt;inputs!$H$17, inputs!$H$17, (((inputs!$P$12/(V588/MAX(K588:S588)))^(1/inputs!$O$12))-1)/inputs!$N$12))</f>
        <v>80.876808446300657</v>
      </c>
      <c r="U588">
        <f>IF((((inputs!$P$12/(X588/MAX(K588:S588)))^(1/inputs!$O$12))-1)/inputs!$N$12&lt;0, 0, IF((((inputs!$P$12/(X588/MAX(K588:S588)))^(1/inputs!$O$12))-1)/inputs!$N$12&gt;inputs!$H$17, inputs!$H$17, (((inputs!$P$12/(X588/MAX(K588:S588)))^(1/inputs!$O$12))-1)/inputs!$N$12))</f>
        <v>0</v>
      </c>
      <c r="V588">
        <f>inputs!$E$70*(F588/inputs!$F$70)^(0.25)</f>
        <v>2.094665933568276</v>
      </c>
      <c r="W588">
        <f>inputs!$E$76*(inputs!$F$76/F588)^(0.25)</f>
        <v>0.81337298514425049</v>
      </c>
      <c r="X588">
        <f>inputs!$E$72*(inputs!$F$72/F588)^(0.25)</f>
        <v>119.30303347908743</v>
      </c>
      <c r="Y588" t="s">
        <v>13</v>
      </c>
      <c r="Z588">
        <f t="shared" si="63"/>
        <v>57.334464233206887</v>
      </c>
      <c r="AA588">
        <f t="shared" si="64"/>
        <v>147.65249306551323</v>
      </c>
    </row>
    <row r="589" spans="1:27" x14ac:dyDescent="0.3">
      <c r="A589" t="s">
        <v>550</v>
      </c>
      <c r="B589" t="s">
        <v>551</v>
      </c>
      <c r="C589" t="s">
        <v>61</v>
      </c>
      <c r="D589" t="s">
        <v>443</v>
      </c>
      <c r="E589">
        <v>50</v>
      </c>
      <c r="F589">
        <v>12</v>
      </c>
      <c r="G589" t="s">
        <v>456</v>
      </c>
      <c r="H589">
        <v>0.68</v>
      </c>
      <c r="I589">
        <f>MAX('Min rate concentrations'!$J$3:$J$368)</f>
        <v>114.4108103430513</v>
      </c>
      <c r="J589">
        <f>MAX('Min rate concentrations'!AB:AB)</f>
        <v>40.520495329830666</v>
      </c>
      <c r="K589">
        <f t="shared" si="61"/>
        <v>75.142503494101703</v>
      </c>
      <c r="L589">
        <f t="shared" si="65"/>
        <v>26.612969987494353</v>
      </c>
      <c r="M589">
        <f>IF((((0.326*F589^0.818)-(0.398*F589^0.85)/(1-H589)*H589)*(MAX('Min rate concentrations'!$P$3:$P$368)))/F589&gt;0, (((0.326*F589^0.818)-(0.398*F589^0.85)/(1-H589)*H589)*(MAX('Min rate concentrations'!$P$3:$P$368)))/F589, 0)</f>
        <v>0</v>
      </c>
      <c r="N589">
        <f>IF((((0.326*F589^0.818)-(0.398*F589^0.85)/(1-H589)*H589)*(MAX('Min rate concentrations'!$Q$3:$Q$368)))/F589&gt; 0, (((0.326*F589^0.818)-(0.398*F589^0.85)/(1-H589)*H589)*(MAX('Min rate concentrations'!$Q$3:$Q$368)))/F589, 0)</f>
        <v>0</v>
      </c>
      <c r="O589">
        <f>((MAX('Min rate concentrations'!$F$3:$F$368))*0.62*6.01*8*(12.3*F589^0.65)*0.079*0.1/F589)*inputs!$E$73/inputs!$E$74</f>
        <v>18.908478773287541</v>
      </c>
      <c r="P589">
        <f>((MAX('Min rate concentrations'!Y:Y))*0.62*6.01*8*(12.3*F589^0.65)*0.079*0.1/F589)*inputs!$E$73/inputs!$E$74</f>
        <v>6.3028262577625114</v>
      </c>
      <c r="Q589">
        <f>(inputs!$C$7*11.2*(12.3*F589^0.65)*0.5/F589)*inputs!$E$73/inputs!$E$74</f>
        <v>3.330639352597959</v>
      </c>
      <c r="R589">
        <f>(60*379*((F589/1000)^0.8)*3*24*(MAX('Min rate concentrations'!$R$3:$R$368))/F589)*(inputs!$E$73/inputs!$E$75)</f>
        <v>4.4559592309452237E-3</v>
      </c>
      <c r="S589">
        <f>(IF(inputs!$C$6="aerial",((0.025*0.112*inputs!$C$7/3.3)*(3*60*379*((F589/1000)^0.8))*MAX(inputs!$H$14:$H$16))/F589,((0.0083*0.112*inputs!$C$7/1)*(3*60*379*((F589/1000)^0.8))*MAX(inputs!$H$14:$H$16))/F589))*(inputs!E$75/inputs!$E$73)</f>
        <v>2.4574888925264021E-2</v>
      </c>
      <c r="T589">
        <f>IF((((inputs!$P$12/(V589/MAX(K589:S589)))^(1/inputs!$O$12))-1)/inputs!$N$12&lt;0, 0, IF((((inputs!$P$12/(V589/MAX(K589:S589)))^(1/inputs!$O$12))-1)/inputs!$N$12&gt;inputs!$H$17, inputs!$H$17, (((inputs!$P$12/(V589/MAX(K589:S589)))^(1/inputs!$O$12))-1)/inputs!$N$12))</f>
        <v>61.886581361761017</v>
      </c>
      <c r="U589">
        <f>IF((((inputs!$P$12/(X589/MAX(K589:S589)))^(1/inputs!$O$12))-1)/inputs!$N$12&lt;0, 0, IF((((inputs!$P$12/(X589/MAX(K589:S589)))^(1/inputs!$O$12))-1)/inputs!$N$12&gt;inputs!$H$17, inputs!$H$17, (((inputs!$P$12/(X589/MAX(K589:S589)))^(1/inputs!$O$12))-1)/inputs!$N$12))</f>
        <v>0</v>
      </c>
      <c r="V589">
        <f>inputs!$E$70*(F589/inputs!$F$70)^(0.25)</f>
        <v>2.094665933568276</v>
      </c>
      <c r="W589">
        <f>inputs!$E$76*(inputs!$F$76/F589)^(0.25)</f>
        <v>0.81337298514425049</v>
      </c>
      <c r="X589">
        <f>inputs!$E$72*(inputs!$F$72/F589)^(0.25)</f>
        <v>119.30303347908743</v>
      </c>
      <c r="Y589" t="s">
        <v>13</v>
      </c>
      <c r="Z589">
        <f t="shared" si="63"/>
        <v>35.873263745735336</v>
      </c>
      <c r="AA589">
        <f t="shared" si="64"/>
        <v>92.383820051234295</v>
      </c>
    </row>
    <row r="590" spans="1:27" x14ac:dyDescent="0.3">
      <c r="A590" t="s">
        <v>550</v>
      </c>
      <c r="B590" t="s">
        <v>551</v>
      </c>
      <c r="C590" t="s">
        <v>61</v>
      </c>
      <c r="D590" t="s">
        <v>443</v>
      </c>
      <c r="E590">
        <v>50</v>
      </c>
      <c r="F590">
        <v>12</v>
      </c>
      <c r="G590" t="s">
        <v>145</v>
      </c>
      <c r="H590">
        <v>0.66</v>
      </c>
      <c r="I590">
        <f>MAX('Min rate concentrations'!$M$3:$M$368)</f>
        <v>2.8488184789681945</v>
      </c>
      <c r="J590">
        <f>MAX('Min rate concentrations'!AE:AE)</f>
        <v>1.9699276716269429</v>
      </c>
      <c r="K590">
        <f t="shared" si="61"/>
        <v>1.7609800568613763</v>
      </c>
      <c r="L590">
        <f t="shared" si="65"/>
        <v>1.2176989754892495</v>
      </c>
      <c r="M590">
        <f>IF((((0.326*F590^0.818)-(0.398*F590^0.85)/(1-H590)*H590)*(MAX('Min rate concentrations'!$P$3:$P$368)))/F590&gt;0, (((0.326*F590^0.818)-(0.398*F590^0.85)/(1-H590)*H590)*(MAX('Min rate concentrations'!$P$3:$P$368)))/F590, 0)</f>
        <v>0</v>
      </c>
      <c r="N590">
        <f>IF((((0.326*F590^0.818)-(0.398*F590^0.85)/(1-H590)*H590)*(MAX('Min rate concentrations'!$Q$3:$Q$368)))/F590&gt; 0, (((0.326*F590^0.818)-(0.398*F590^0.85)/(1-H590)*H590)*(MAX('Min rate concentrations'!$Q$3:$Q$368)))/F590, 0)</f>
        <v>0</v>
      </c>
      <c r="O590">
        <f>((MAX('Min rate concentrations'!$F$3:$F$368))*0.62*6.01*8*(12.3*F590^0.65)*0.079*0.1/F590)*inputs!$E$73/inputs!$E$74</f>
        <v>18.908478773287541</v>
      </c>
      <c r="P590">
        <f>((MAX('Min rate concentrations'!Y:Y))*0.62*6.01*8*(12.3*F590^0.65)*0.079*0.1/F590)*inputs!$E$73/inputs!$E$74</f>
        <v>6.3028262577625114</v>
      </c>
      <c r="Q590">
        <f>(inputs!$C$7*11.2*(12.3*F590^0.65)*0.5/F590)*inputs!$E$73/inputs!$E$74</f>
        <v>3.330639352597959</v>
      </c>
      <c r="R590">
        <f>(60*379*((F590/1000)^0.8)*3*24*(MAX('Min rate concentrations'!$R$3:$R$368))/F590)*(inputs!$E$73/inputs!$E$75)</f>
        <v>4.4559592309452237E-3</v>
      </c>
      <c r="S590">
        <f>(IF(inputs!$C$6="aerial",((0.025*0.112*inputs!$C$7/3.3)*(3*60*379*((F590/1000)^0.8))*MAX(inputs!$H$14:$H$16))/F590,((0.0083*0.112*inputs!$C$7/1)*(3*60*379*((F590/1000)^0.8))*MAX(inputs!$H$14:$H$16))/F590))*(inputs!E$75/inputs!$E$73)</f>
        <v>2.4574888925264021E-2</v>
      </c>
      <c r="T590">
        <f>IF((((inputs!$P$12/(V590/MAX(K590:S590)))^(1/inputs!$O$12))-1)/inputs!$N$12&lt;0, 0, IF((((inputs!$P$12/(V590/MAX(K590:S590)))^(1/inputs!$O$12))-1)/inputs!$N$12&gt;inputs!$H$17, inputs!$H$17, (((inputs!$P$12/(V590/MAX(K590:S590)))^(1/inputs!$O$12))-1)/inputs!$N$12))</f>
        <v>23.071797239771147</v>
      </c>
      <c r="U590">
        <f>IF((((inputs!$P$12/(X590/MAX(K590:S590)))^(1/inputs!$O$12))-1)/inputs!$N$12&lt;0, 0, IF((((inputs!$P$12/(X590/MAX(K590:S590)))^(1/inputs!$O$12))-1)/inputs!$N$12&gt;inputs!$H$17, inputs!$H$17, (((inputs!$P$12/(X590/MAX(K590:S590)))^(1/inputs!$O$12))-1)/inputs!$N$12))</f>
        <v>0</v>
      </c>
      <c r="V590">
        <f>inputs!$E$70*(F590/inputs!$F$70)^(0.25)</f>
        <v>2.094665933568276</v>
      </c>
      <c r="W590">
        <f>inputs!$E$76*(inputs!$F$76/F590)^(0.25)</f>
        <v>0.81337298514425049</v>
      </c>
      <c r="X590">
        <f>inputs!$E$72*(inputs!$F$72/F590)^(0.25)</f>
        <v>119.30303347908743</v>
      </c>
      <c r="Y590" t="s">
        <v>13</v>
      </c>
      <c r="Z590">
        <f t="shared" si="63"/>
        <v>9.0269662910289625</v>
      </c>
      <c r="AA590">
        <f t="shared" si="64"/>
        <v>23.2469962964582</v>
      </c>
    </row>
    <row r="591" spans="1:27" x14ac:dyDescent="0.3">
      <c r="A591" t="s">
        <v>550</v>
      </c>
      <c r="B591" t="s">
        <v>551</v>
      </c>
      <c r="C591" t="s">
        <v>61</v>
      </c>
      <c r="D591" t="s">
        <v>443</v>
      </c>
      <c r="E591">
        <v>50</v>
      </c>
      <c r="F591">
        <v>12</v>
      </c>
      <c r="G591" t="s">
        <v>154</v>
      </c>
      <c r="H591">
        <v>9.2999999999999999E-2</v>
      </c>
      <c r="I591">
        <f>MAX('Min rate concentrations'!$G$3:$G$368)</f>
        <v>7.5</v>
      </c>
      <c r="J591">
        <f>MAX('Min rate concentrations'!Z:Z)</f>
        <v>3.5</v>
      </c>
      <c r="K591">
        <f t="shared" si="61"/>
        <v>1.7378910763660633</v>
      </c>
      <c r="M591">
        <f>IF((((0.326*F591^0.818)-(0.398*F591^0.85)/(1-H591)*H591)*(MAX('Min rate concentrations'!$P$3:$P$368)))/F591&gt;0, (((0.326*F591^0.818)-(0.398*F591^0.85)/(1-H591)*H591)*(MAX('Min rate concentrations'!$P$3:$P$368)))/F591, 0)</f>
        <v>2.6023247729384608E-2</v>
      </c>
      <c r="N591">
        <f>IF((((0.326*F591^0.818)-(0.398*F591^0.85)/(1-H591)*H591)*(MAX('Min rate concentrations'!$Q$3:$Q$368)))/F591&gt; 0, (((0.326*F591^0.818)-(0.398*F591^0.85)/(1-H591)*H591)*(MAX('Min rate concentrations'!$Q$3:$Q$368)))/F591, 0)</f>
        <v>9.9097925626449576E-2</v>
      </c>
      <c r="O591">
        <f>((MAX('Min rate concentrations'!$F$3:$F$368))*0.62*6.01*8*(12.3*F591^0.65)*0.079*0.1/F591)*inputs!$E$73/inputs!$E$74</f>
        <v>18.908478773287541</v>
      </c>
      <c r="Q591">
        <f>(inputs!$C$7*11.2*(12.3*F591^0.65)*0.5/F591)*inputs!$E$73/inputs!$E$74</f>
        <v>3.330639352597959</v>
      </c>
      <c r="R591">
        <f>(60*379*((F591/1000)^0.8)*3*24*(MAX('Min rate concentrations'!$R$3:$R$368))/F591)*(inputs!$E$73/inputs!$E$75)</f>
        <v>4.4559592309452237E-3</v>
      </c>
      <c r="S591">
        <f>(IF(inputs!$C$6="aerial",((0.025*0.112*inputs!$C$7/3.3)*(3*60*379*((F591/1000)^0.8))*MAX(inputs!$H$14:$H$16))/F591,((0.0083*0.112*inputs!$C$7/1)*(3*60*379*((F591/1000)^0.8))*MAX(inputs!$H$14:$H$16))/F591))*(inputs!E$75/inputs!$E$73)</f>
        <v>2.4574888925264021E-2</v>
      </c>
      <c r="T591">
        <f>IF((((inputs!$P$12/(V591/MAX(K591:S591)))^(1/inputs!$O$12))-1)/inputs!$N$12&lt;0, 0, IF((((inputs!$P$12/(V591/MAX(K591:S591)))^(1/inputs!$O$12))-1)/inputs!$N$12&gt;inputs!$H$17, inputs!$H$17, (((inputs!$P$12/(V591/MAX(K591:S591)))^(1/inputs!$O$12))-1)/inputs!$N$12))</f>
        <v>23.071797239771147</v>
      </c>
      <c r="U591">
        <f>IF((((inputs!$P$12/(X591/MAX(K591:S591)))^(1/inputs!$O$12))-1)/inputs!$N$12&lt;0, 0, IF((((inputs!$P$12/(X591/MAX(K591:S591)))^(1/inputs!$O$12))-1)/inputs!$N$12&gt;inputs!$H$17, inputs!$H$17, (((inputs!$P$12/(X591/MAX(K591:S591)))^(1/inputs!$O$12))-1)/inputs!$N$12))</f>
        <v>0</v>
      </c>
      <c r="V591">
        <f>inputs!$E$70*(F591/inputs!$F$70)^(0.25)</f>
        <v>2.094665933568276</v>
      </c>
      <c r="W591">
        <f>inputs!$E$76*(inputs!$F$76/F591)^(0.25)</f>
        <v>0.81337298514425049</v>
      </c>
      <c r="X591">
        <f>inputs!$E$72*(inputs!$F$72/F591)^(0.25)</f>
        <v>119.30303347908743</v>
      </c>
      <c r="Y591" t="s">
        <v>13</v>
      </c>
      <c r="Z591">
        <f t="shared" si="63"/>
        <v>9.0269662910289625</v>
      </c>
      <c r="AA591">
        <f t="shared" si="64"/>
        <v>23.2469962964582</v>
      </c>
    </row>
    <row r="592" spans="1:27" x14ac:dyDescent="0.3">
      <c r="A592" t="s">
        <v>490</v>
      </c>
      <c r="B592" t="s">
        <v>491</v>
      </c>
      <c r="C592" t="s">
        <v>61</v>
      </c>
      <c r="D592" t="s">
        <v>443</v>
      </c>
      <c r="E592">
        <v>42</v>
      </c>
      <c r="F592">
        <v>90</v>
      </c>
      <c r="G592" t="s">
        <v>152</v>
      </c>
      <c r="H592">
        <v>0.77</v>
      </c>
      <c r="I592">
        <f>MAX('Min rate concentrations'!$G$3:$G$368)</f>
        <v>7.5</v>
      </c>
      <c r="J592">
        <f>MAX('Min rate concentrations'!Z:Z)</f>
        <v>3.5</v>
      </c>
      <c r="K592">
        <f t="shared" si="61"/>
        <v>2.8469201968405673</v>
      </c>
      <c r="L592">
        <f>(((0.621*F592^0.564)/(1-H592)))*J592/F592</f>
        <v>1.3285627585255981</v>
      </c>
      <c r="M592">
        <f>IF((((0.326*F592^0.818)-(0.398*F592^0.85)/(1-H592)*H592)*(MAX('Min rate concentrations'!$P$3:$P$368)))/F592&gt;0, (((0.326*F592^0.818)-(0.398*F592^0.85)/(1-H592)*H592)*(MAX('Min rate concentrations'!$P$3:$P$368)))/F592, 0)</f>
        <v>0</v>
      </c>
      <c r="N592">
        <f>IF((((0.326*F592^0.818)-(0.398*F592^0.85)/(1-H592)*H592)*(MAX('Min rate concentrations'!$Q$3:$Q$368)))/F592&gt; 0, (((0.326*F592^0.818)-(0.398*F592^0.85)/(1-H592)*H592)*(MAX('Min rate concentrations'!$Q$3:$Q$368)))/F592, 0)</f>
        <v>0</v>
      </c>
      <c r="O592">
        <f>((MAX('Min rate concentrations'!$F$3:$F$368))*0.62*6.01*8*(12.3*F592^0.65)*0.079*0.1/F592)*inputs!$E$73/inputs!$E$74</f>
        <v>9.3408231179945691</v>
      </c>
      <c r="P592">
        <f>((MAX('Min rate concentrations'!Y:Y))*0.62*6.01*8*(12.3*F592^0.65)*0.079*0.1/F592)*inputs!$E$73/inputs!$E$74</f>
        <v>3.1136077059981897</v>
      </c>
      <c r="Q592">
        <f>(inputs!$C$7*11.2*(12.3*F592^0.65)*0.5/F592)*inputs!$E$73/inputs!$E$74</f>
        <v>1.6453419355131105</v>
      </c>
      <c r="R592">
        <f>(60*379*((F592/1000)^0.8)*3*24*(MAX('Min rate concentrations'!$R$3:$R$368))/F592)*(inputs!$E$73/inputs!$E$75)</f>
        <v>2.9780292291049864E-3</v>
      </c>
      <c r="S592">
        <f>(IF(inputs!$C$6="aerial",((0.025*0.112*inputs!$C$7/3.3)*(3*60*379*((F592/1000)^0.8))*MAX(inputs!$H$14:$H$16))/F592,((0.0083*0.112*inputs!$C$7/1)*(3*60*379*((F592/1000)^0.8))*MAX(inputs!$H$14:$H$16))/F592))*(inputs!E$75/inputs!$E$73)</f>
        <v>1.6424014163594652E-2</v>
      </c>
      <c r="T592">
        <f>IF((((inputs!$P$12/(V592/MAX(K592:S592)))^(1/inputs!$O$12))-1)/inputs!$N$12&lt;0, 0, IF((((inputs!$P$12/(V592/MAX(K592:S592)))^(1/inputs!$O$12))-1)/inputs!$N$12&gt;inputs!$H$17, inputs!$H$17, (((inputs!$P$12/(V592/MAX(K592:S592)))^(1/inputs!$O$12))-1)/inputs!$N$12))</f>
        <v>3.0438345551806094</v>
      </c>
      <c r="U592">
        <f>IF((((inputs!$P$12/(X592/MAX(K592:S592)))^(1/inputs!$O$12))-1)/inputs!$N$12&lt;0, 0, IF((((inputs!$P$12/(X592/MAX(K592:S592)))^(1/inputs!$O$12))-1)/inputs!$N$12&gt;inputs!$H$17, inputs!$H$17, (((inputs!$P$12/(X592/MAX(K592:S592)))^(1/inputs!$O$12))-1)/inputs!$N$12))</f>
        <v>0</v>
      </c>
      <c r="V592">
        <f>inputs!$E$70*(F592/inputs!$F$70)^(0.25)</f>
        <v>3.4664112499902893</v>
      </c>
      <c r="W592">
        <f>inputs!$E$76*(inputs!$F$76/F592)^(0.25)</f>
        <v>0.49150102523789407</v>
      </c>
      <c r="X592">
        <f>inputs!$E$72*(inputs!$F$72/F592)^(0.25)</f>
        <v>72.091850036749122</v>
      </c>
      <c r="Y592" t="s">
        <v>13</v>
      </c>
      <c r="Z592">
        <f t="shared" si="63"/>
        <v>2.6946667444668422</v>
      </c>
      <c r="AA592">
        <f t="shared" si="64"/>
        <v>19.004686945410675</v>
      </c>
    </row>
    <row r="593" spans="1:27" x14ac:dyDescent="0.3">
      <c r="A593" t="s">
        <v>490</v>
      </c>
      <c r="B593" t="s">
        <v>491</v>
      </c>
      <c r="C593" t="s">
        <v>61</v>
      </c>
      <c r="D593" t="s">
        <v>443</v>
      </c>
      <c r="E593">
        <v>42</v>
      </c>
      <c r="F593">
        <v>90</v>
      </c>
      <c r="G593" t="s">
        <v>492</v>
      </c>
      <c r="H593">
        <v>0.85</v>
      </c>
      <c r="I593">
        <f>MAX('Min rate concentrations'!$F$3:$F$368)</f>
        <v>67.5</v>
      </c>
      <c r="J593">
        <f>MAX('Min rate concentrations'!Y:Y)</f>
        <v>22.5</v>
      </c>
      <c r="K593">
        <f t="shared" si="61"/>
        <v>39.287498716399824</v>
      </c>
      <c r="M593">
        <f>IF((((0.326*F593^0.818)-(0.398*F593^0.85)/(1-H593)*H593)*(MAX('Min rate concentrations'!$P$3:$P$368)))/F593&gt;0, (((0.326*F593^0.818)-(0.398*F593^0.85)/(1-H593)*H593)*(MAX('Min rate concentrations'!$P$3:$P$368)))/F593, 0)</f>
        <v>0</v>
      </c>
      <c r="N593">
        <f>IF((((0.326*F593^0.818)-(0.398*F593^0.85)/(1-H593)*H593)*(MAX('Min rate concentrations'!$Q$3:$Q$368)))/F593&gt; 0, (((0.326*F593^0.818)-(0.398*F593^0.85)/(1-H593)*H593)*(MAX('Min rate concentrations'!$Q$3:$Q$368)))/F593, 0)</f>
        <v>0</v>
      </c>
      <c r="O593">
        <f>((MAX('Min rate concentrations'!$F$3:$F$368))*0.62*6.01*8*(12.3*F593^0.65)*0.079*0.1/F593)*inputs!$E$73/inputs!$E$74</f>
        <v>9.3408231179945691</v>
      </c>
      <c r="Q593">
        <f>(inputs!$C$7*11.2*(12.3*F593^0.65)*0.5/F593)*inputs!$E$73/inputs!$E$74</f>
        <v>1.6453419355131105</v>
      </c>
      <c r="R593">
        <f>(60*379*((F593/1000)^0.8)*3*24*(MAX('Min rate concentrations'!$R$3:$R$368))/F593)*(inputs!$E$73/inputs!$E$75)</f>
        <v>2.9780292291049864E-3</v>
      </c>
      <c r="S593">
        <f>(IF(inputs!$C$6="aerial",((0.025*0.112*inputs!$C$7/3.3)*(3*60*379*((F593/1000)^0.8))*MAX(inputs!$H$14:$H$16))/F593,((0.0083*0.112*inputs!$C$7/1)*(3*60*379*((F593/1000)^0.8))*MAX(inputs!$H$14:$H$16))/F593))*(inputs!E$75/inputs!$E$73)</f>
        <v>1.6424014163594652E-2</v>
      </c>
      <c r="T593">
        <f>IF((((inputs!$P$12/(V593/MAX(K593:S593)))^(1/inputs!$O$12))-1)/inputs!$N$12&lt;0, 0, IF((((inputs!$P$12/(V593/MAX(K593:S593)))^(1/inputs!$O$12))-1)/inputs!$N$12&gt;inputs!$H$17, inputs!$H$17, (((inputs!$P$12/(V593/MAX(K593:S593)))^(1/inputs!$O$12))-1)/inputs!$N$12))</f>
        <v>28.072259184612076</v>
      </c>
      <c r="U593">
        <f>IF((((inputs!$P$12/(X593/MAX(K593:S593)))^(1/inputs!$O$12))-1)/inputs!$N$12&lt;0, 0, IF((((inputs!$P$12/(X593/MAX(K593:S593)))^(1/inputs!$O$12))-1)/inputs!$N$12&gt;inputs!$H$17, inputs!$H$17, (((inputs!$P$12/(X593/MAX(K593:S593)))^(1/inputs!$O$12))-1)/inputs!$N$12))</f>
        <v>0</v>
      </c>
      <c r="V593">
        <f>inputs!$E$70*(F593/inputs!$F$70)^(0.25)</f>
        <v>3.4664112499902893</v>
      </c>
      <c r="W593">
        <f>inputs!$E$76*(inputs!$F$76/F593)^(0.25)</f>
        <v>0.49150102523789407</v>
      </c>
      <c r="X593">
        <f>inputs!$E$72*(inputs!$F$72/F593)^(0.25)</f>
        <v>72.091850036749122</v>
      </c>
      <c r="Y593" t="s">
        <v>13</v>
      </c>
      <c r="Z593">
        <f t="shared" si="63"/>
        <v>11.333767370074709</v>
      </c>
      <c r="AA593">
        <f t="shared" si="64"/>
        <v>79.933706541881719</v>
      </c>
    </row>
    <row r="594" spans="1:27" x14ac:dyDescent="0.3">
      <c r="A594" t="s">
        <v>490</v>
      </c>
      <c r="B594" t="s">
        <v>491</v>
      </c>
      <c r="C594" t="s">
        <v>61</v>
      </c>
      <c r="D594" t="s">
        <v>443</v>
      </c>
      <c r="E594">
        <v>42</v>
      </c>
      <c r="F594">
        <v>90</v>
      </c>
      <c r="G594" t="s">
        <v>154</v>
      </c>
      <c r="H594">
        <v>9.2999999999999999E-2</v>
      </c>
      <c r="I594">
        <f>MAX('Min rate concentrations'!$G$3:$G$368)</f>
        <v>7.5</v>
      </c>
      <c r="J594">
        <f>MAX('Min rate concentrations'!Z:Z)</f>
        <v>3.5</v>
      </c>
      <c r="K594">
        <f t="shared" si="61"/>
        <v>0.72193125167952643</v>
      </c>
      <c r="M594">
        <f>IF((((0.326*F594^0.818)-(0.398*F594^0.85)/(1-H594)*H594)*(MAX('Min rate concentrations'!$P$3:$P$368)))/F594&gt;0, (((0.326*F594^0.818)-(0.398*F594^0.85)/(1-H594)*H594)*(MAX('Min rate concentrations'!$P$3:$P$368)))/F594, 0)</f>
        <v>1.7846017168197861E-2</v>
      </c>
      <c r="N594">
        <f>IF((((0.326*F594^0.818)-(0.398*F594^0.85)/(1-H594)*H594)*(MAX('Min rate concentrations'!$Q$3:$Q$368)))/F594&gt; 0, (((0.326*F594^0.818)-(0.398*F594^0.85)/(1-H594)*H594)*(MAX('Min rate concentrations'!$Q$3:$Q$368)))/F594, 0)</f>
        <v>6.7958592273072729E-2</v>
      </c>
      <c r="O594">
        <f>((MAX('Min rate concentrations'!$F$3:$F$368))*0.62*6.01*8*(12.3*F594^0.65)*0.079*0.1/F594)*inputs!$E$73/inputs!$E$74</f>
        <v>9.3408231179945691</v>
      </c>
      <c r="Q594">
        <f>(inputs!$C$7*11.2*(12.3*F594^0.65)*0.5/F594)*inputs!$E$73/inputs!$E$74</f>
        <v>1.6453419355131105</v>
      </c>
      <c r="R594">
        <f>(60*379*((F594/1000)^0.8)*3*24*(MAX('Min rate concentrations'!$R$3:$R$368))/F594)*(inputs!$E$73/inputs!$E$75)</f>
        <v>2.9780292291049864E-3</v>
      </c>
      <c r="S594">
        <f>(IF(inputs!$C$6="aerial",((0.025*0.112*inputs!$C$7/3.3)*(3*60*379*((F594/1000)^0.8))*MAX(inputs!$H$14:$H$16))/F594,((0.0083*0.112*inputs!$C$7/1)*(3*60*379*((F594/1000)^0.8))*MAX(inputs!$H$14:$H$16))/F594))*(inputs!E$75/inputs!$E$73)</f>
        <v>1.6424014163594652E-2</v>
      </c>
      <c r="T594">
        <f>IF((((inputs!$P$12/(V594/MAX(K594:S594)))^(1/inputs!$O$12))-1)/inputs!$N$12&lt;0, 0, IF((((inputs!$P$12/(V594/MAX(K594:S594)))^(1/inputs!$O$12))-1)/inputs!$N$12&gt;inputs!$H$17, inputs!$H$17, (((inputs!$P$12/(V594/MAX(K594:S594)))^(1/inputs!$O$12))-1)/inputs!$N$12))</f>
        <v>3.0438345551806094</v>
      </c>
      <c r="U594">
        <f>IF((((inputs!$P$12/(X594/MAX(K594:S594)))^(1/inputs!$O$12))-1)/inputs!$N$12&lt;0, 0, IF((((inputs!$P$12/(X594/MAX(K594:S594)))^(1/inputs!$O$12))-1)/inputs!$N$12&gt;inputs!$H$17, inputs!$H$17, (((inputs!$P$12/(X594/MAX(K594:S594)))^(1/inputs!$O$12))-1)/inputs!$N$12))</f>
        <v>0</v>
      </c>
      <c r="V594">
        <f>inputs!$E$70*(F594/inputs!$F$70)^(0.25)</f>
        <v>3.4664112499902893</v>
      </c>
      <c r="W594">
        <f>inputs!$E$76*(inputs!$F$76/F594)^(0.25)</f>
        <v>0.49150102523789407</v>
      </c>
      <c r="X594">
        <f>inputs!$E$72*(inputs!$F$72/F594)^(0.25)</f>
        <v>72.091850036749122</v>
      </c>
      <c r="Y594" t="s">
        <v>13</v>
      </c>
      <c r="Z594">
        <f t="shared" si="63"/>
        <v>2.6946667444668422</v>
      </c>
      <c r="AA594">
        <f t="shared" si="64"/>
        <v>19.004686945410675</v>
      </c>
    </row>
    <row r="595" spans="1:27" x14ac:dyDescent="0.3">
      <c r="A595" t="s">
        <v>542</v>
      </c>
      <c r="B595" t="s">
        <v>543</v>
      </c>
      <c r="C595" t="s">
        <v>61</v>
      </c>
      <c r="D595" t="s">
        <v>443</v>
      </c>
      <c r="E595">
        <v>34</v>
      </c>
      <c r="F595">
        <v>15</v>
      </c>
      <c r="G595" t="s">
        <v>182</v>
      </c>
      <c r="H595">
        <v>0.85</v>
      </c>
      <c r="I595">
        <f>MAX('Min rate concentrations'!$M$3:$M$368)</f>
        <v>2.8488184789681945</v>
      </c>
      <c r="J595">
        <f>MAX('Min rate concentrations'!AE:AE)</f>
        <v>1.9699276716269429</v>
      </c>
      <c r="K595">
        <f t="shared" si="61"/>
        <v>3.6215070077667764</v>
      </c>
      <c r="L595">
        <f t="shared" ref="L595:L601" si="66">(((0.621*F595^0.564)/(1-H595)))*J595/F595</f>
        <v>2.5042335692004305</v>
      </c>
      <c r="M595">
        <f>IF((((0.326*F595^0.818)-(0.398*F595^0.85)/(1-H595)*H595)*(MAX('Min rate concentrations'!$P$3:$P$368)))/F595&gt;0, (((0.326*F595^0.818)-(0.398*F595^0.85)/(1-H595)*H595)*(MAX('Min rate concentrations'!$P$3:$P$368)))/F595, 0)</f>
        <v>0</v>
      </c>
      <c r="N595">
        <f>IF((((0.326*F595^0.818)-(0.398*F595^0.85)/(1-H595)*H595)*(MAX('Min rate concentrations'!$Q$3:$Q$368)))/F595&gt; 0, (((0.326*F595^0.818)-(0.398*F595^0.85)/(1-H595)*H595)*(MAX('Min rate concentrations'!$Q$3:$Q$368)))/F595, 0)</f>
        <v>0</v>
      </c>
      <c r="O595">
        <f>((MAX('Min rate concentrations'!$F$3:$F$368))*0.62*6.01*8*(12.3*F595^0.65)*0.079*0.1/F595)*inputs!$E$73/inputs!$E$74</f>
        <v>17.4879170969031</v>
      </c>
      <c r="P595">
        <f>((MAX('Min rate concentrations'!Y:Y))*0.62*6.01*8*(12.3*F595^0.65)*0.079*0.1/F595)*inputs!$E$73/inputs!$E$74</f>
        <v>5.8293056989677003</v>
      </c>
      <c r="Q595">
        <f>(inputs!$C$7*11.2*(12.3*F595^0.65)*0.5/F595)*inputs!$E$73/inputs!$E$74</f>
        <v>3.0804141134929148</v>
      </c>
      <c r="R595">
        <f>(60*379*((F595/1000)^0.8)*3*24*(MAX('Min rate concentrations'!$R$3:$R$368))/F595)*(inputs!$E$73/inputs!$E$75)</f>
        <v>4.2614677494769567E-3</v>
      </c>
      <c r="S595">
        <f>(IF(inputs!$C$6="aerial",((0.025*0.112*inputs!$C$7/3.3)*(3*60*379*((F595/1000)^0.8))*MAX(inputs!$H$14:$H$16))/F595,((0.0083*0.112*inputs!$C$7/1)*(3*60*379*((F595/1000)^0.8))*MAX(inputs!$H$14:$H$16))/F595))*(inputs!E$75/inputs!$E$73)</f>
        <v>2.3502256455738741E-2</v>
      </c>
      <c r="T595">
        <f>IF((((inputs!$P$12/(V595/MAX(K595:S595)))^(1/inputs!$O$12))-1)/inputs!$N$12&lt;0, 0, IF((((inputs!$P$12/(V595/MAX(K595:S595)))^(1/inputs!$O$12))-1)/inputs!$N$12&gt;inputs!$H$17, inputs!$H$17, (((inputs!$P$12/(V595/MAX(K595:S595)))^(1/inputs!$O$12))-1)/inputs!$N$12))</f>
        <v>20.339017449542123</v>
      </c>
      <c r="U595">
        <f>IF((((inputs!$P$12/(X595/MAX(K595:S595)))^(1/inputs!$O$12))-1)/inputs!$N$12&lt;0, 0, IF((((inputs!$P$12/(X595/MAX(K595:S595)))^(1/inputs!$O$12))-1)/inputs!$N$12&gt;inputs!$H$17, inputs!$H$17, (((inputs!$P$12/(X595/MAX(K595:S595)))^(1/inputs!$O$12))-1)/inputs!$N$12))</f>
        <v>0</v>
      </c>
      <c r="V595">
        <f>inputs!$E$70*(F595/inputs!$F$70)^(0.25)</f>
        <v>2.2148395646629968</v>
      </c>
      <c r="W595">
        <f>inputs!$E$76*(inputs!$F$76/F595)^(0.25)</f>
        <v>0.76924067569003962</v>
      </c>
      <c r="X595">
        <f>inputs!$E$72*(inputs!$F$72/F595)^(0.25)</f>
        <v>112.82984284147192</v>
      </c>
      <c r="Y595" t="s">
        <v>13</v>
      </c>
      <c r="Z595">
        <f t="shared" si="63"/>
        <v>7.8957940683003862</v>
      </c>
      <c r="AA595">
        <f t="shared" si="64"/>
        <v>22.733999448502562</v>
      </c>
    </row>
    <row r="596" spans="1:27" x14ac:dyDescent="0.3">
      <c r="A596" t="s">
        <v>542</v>
      </c>
      <c r="B596" t="s">
        <v>543</v>
      </c>
      <c r="C596" t="s">
        <v>61</v>
      </c>
      <c r="D596" t="s">
        <v>443</v>
      </c>
      <c r="E596">
        <v>34</v>
      </c>
      <c r="F596">
        <v>15</v>
      </c>
      <c r="G596" t="s">
        <v>142</v>
      </c>
      <c r="H596">
        <v>0.69</v>
      </c>
      <c r="I596">
        <f>MAX('Min rate concentrations'!$H$3:$H$368)</f>
        <v>47</v>
      </c>
      <c r="J596">
        <f>MAX('Min rate concentrations'!AA:AA)</f>
        <v>32.5</v>
      </c>
      <c r="K596">
        <f t="shared" si="61"/>
        <v>28.910258527545217</v>
      </c>
      <c r="L596">
        <f t="shared" si="66"/>
        <v>19.991136215855736</v>
      </c>
      <c r="M596">
        <f>IF((((0.326*F596^0.818)-(0.398*F596^0.85)/(1-H596)*H596)*(MAX('Min rate concentrations'!$P$3:$P$368)))/F596&gt;0, (((0.326*F596^0.818)-(0.398*F596^0.85)/(1-H596)*H596)*(MAX('Min rate concentrations'!$P$3:$P$368)))/F596, 0)</f>
        <v>0</v>
      </c>
      <c r="N596">
        <f>IF((((0.326*F596^0.818)-(0.398*F596^0.85)/(1-H596)*H596)*(MAX('Min rate concentrations'!$Q$3:$Q$368)))/F596&gt; 0, (((0.326*F596^0.818)-(0.398*F596^0.85)/(1-H596)*H596)*(MAX('Min rate concentrations'!$Q$3:$Q$368)))/F596, 0)</f>
        <v>0</v>
      </c>
      <c r="O596">
        <f>((MAX('Min rate concentrations'!$F$3:$F$368))*0.62*6.01*8*(12.3*F596^0.65)*0.079*0.1/F596)*inputs!$E$73/inputs!$E$74</f>
        <v>17.4879170969031</v>
      </c>
      <c r="P596">
        <f>((MAX('Min rate concentrations'!Y:Y))*0.62*6.01*8*(12.3*F596^0.65)*0.079*0.1/F596)*inputs!$E$73/inputs!$E$74</f>
        <v>5.8293056989677003</v>
      </c>
      <c r="Q596">
        <f>(inputs!$C$7*11.2*(12.3*F596^0.65)*0.5/F596)*inputs!$E$73/inputs!$E$74</f>
        <v>3.0804141134929148</v>
      </c>
      <c r="R596">
        <f>(60*379*((F596/1000)^0.8)*3*24*(MAX('Min rate concentrations'!$R$3:$R$368))/F596)*(inputs!$E$73/inputs!$E$75)</f>
        <v>4.2614677494769567E-3</v>
      </c>
      <c r="S596">
        <f>(IF(inputs!$C$6="aerial",((0.025*0.112*inputs!$C$7/3.3)*(3*60*379*((F596/1000)^0.8))*MAX(inputs!$H$14:$H$16))/F596,((0.0083*0.112*inputs!$C$7/1)*(3*60*379*((F596/1000)^0.8))*MAX(inputs!$H$14:$H$16))/F596))*(inputs!E$75/inputs!$E$73)</f>
        <v>2.3502256455738741E-2</v>
      </c>
      <c r="T596">
        <f>IF((((inputs!$P$12/(V596/MAX(K596:S596)))^(1/inputs!$O$12))-1)/inputs!$N$12&lt;0, 0, IF((((inputs!$P$12/(V596/MAX(K596:S596)))^(1/inputs!$O$12))-1)/inputs!$N$12&gt;inputs!$H$17, inputs!$H$17, (((inputs!$P$12/(V596/MAX(K596:S596)))^(1/inputs!$O$12))-1)/inputs!$N$12))</f>
        <v>31.416514230101225</v>
      </c>
      <c r="U596">
        <f>IF((((inputs!$P$12/(X596/MAX(K596:S596)))^(1/inputs!$O$12))-1)/inputs!$N$12&lt;0, 0, IF((((inputs!$P$12/(X596/MAX(K596:S596)))^(1/inputs!$O$12))-1)/inputs!$N$12&gt;inputs!$H$17, inputs!$H$17, (((inputs!$P$12/(X596/MAX(K596:S596)))^(1/inputs!$O$12))-1)/inputs!$N$12))</f>
        <v>0</v>
      </c>
      <c r="V596">
        <f>inputs!$E$70*(F596/inputs!$F$70)^(0.25)</f>
        <v>2.2148395646629968</v>
      </c>
      <c r="W596">
        <f>inputs!$E$76*(inputs!$F$76/F596)^(0.25)</f>
        <v>0.76924067569003962</v>
      </c>
      <c r="X596">
        <f>inputs!$E$72*(inputs!$F$72/F596)^(0.25)</f>
        <v>112.82984284147192</v>
      </c>
      <c r="Y596" t="s">
        <v>13</v>
      </c>
      <c r="Z596">
        <f t="shared" si="63"/>
        <v>13.052980897035814</v>
      </c>
      <c r="AA596">
        <f t="shared" si="64"/>
        <v>37.582852078917384</v>
      </c>
    </row>
    <row r="597" spans="1:27" x14ac:dyDescent="0.3">
      <c r="A597" t="s">
        <v>542</v>
      </c>
      <c r="B597" t="s">
        <v>543</v>
      </c>
      <c r="C597" t="s">
        <v>61</v>
      </c>
      <c r="D597" t="s">
        <v>443</v>
      </c>
      <c r="E597">
        <v>34</v>
      </c>
      <c r="F597">
        <v>15</v>
      </c>
      <c r="G597" t="s">
        <v>152</v>
      </c>
      <c r="H597">
        <v>0.77</v>
      </c>
      <c r="I597">
        <f>MAX('Min rate concentrations'!$G$3:$G$368)</f>
        <v>7.5</v>
      </c>
      <c r="J597">
        <f>MAX('Min rate concentrations'!Z:Z)</f>
        <v>3.5</v>
      </c>
      <c r="K597">
        <f t="shared" si="61"/>
        <v>6.2179788229919186</v>
      </c>
      <c r="L597">
        <f t="shared" si="66"/>
        <v>2.9017234507295622</v>
      </c>
      <c r="M597">
        <f>IF((((0.326*F597^0.818)-(0.398*F597^0.85)/(1-H597)*H597)*(MAX('Min rate concentrations'!$P$3:$P$368)))/F597&gt;0, (((0.326*F597^0.818)-(0.398*F597^0.85)/(1-H597)*H597)*(MAX('Min rate concentrations'!$P$3:$P$368)))/F597, 0)</f>
        <v>0</v>
      </c>
      <c r="N597">
        <f>IF((((0.326*F597^0.818)-(0.398*F597^0.85)/(1-H597)*H597)*(MAX('Min rate concentrations'!$Q$3:$Q$368)))/F597&gt; 0, (((0.326*F597^0.818)-(0.398*F597^0.85)/(1-H597)*H597)*(MAX('Min rate concentrations'!$Q$3:$Q$368)))/F597, 0)</f>
        <v>0</v>
      </c>
      <c r="O597">
        <f>((MAX('Min rate concentrations'!$F$3:$F$368))*0.62*6.01*8*(12.3*F597^0.65)*0.079*0.1/F597)*inputs!$E$73/inputs!$E$74</f>
        <v>17.4879170969031</v>
      </c>
      <c r="P597">
        <f>((MAX('Min rate concentrations'!Y:Y))*0.62*6.01*8*(12.3*F597^0.65)*0.079*0.1/F597)*inputs!$E$73/inputs!$E$74</f>
        <v>5.8293056989677003</v>
      </c>
      <c r="Q597">
        <f>(inputs!$C$7*11.2*(12.3*F597^0.65)*0.5/F597)*inputs!$E$73/inputs!$E$74</f>
        <v>3.0804141134929148</v>
      </c>
      <c r="R597">
        <f>(60*379*((F597/1000)^0.8)*3*24*(MAX('Min rate concentrations'!$R$3:$R$368))/F597)*(inputs!$E$73/inputs!$E$75)</f>
        <v>4.2614677494769567E-3</v>
      </c>
      <c r="S597">
        <f>(IF(inputs!$C$6="aerial",((0.025*0.112*inputs!$C$7/3.3)*(3*60*379*((F597/1000)^0.8))*MAX(inputs!$H$14:$H$16))/F597,((0.0083*0.112*inputs!$C$7/1)*(3*60*379*((F597/1000)^0.8))*MAX(inputs!$H$14:$H$16))/F597))*(inputs!E$75/inputs!$E$73)</f>
        <v>2.3502256455738741E-2</v>
      </c>
      <c r="T597">
        <f>IF((((inputs!$P$12/(V597/MAX(K597:S597)))^(1/inputs!$O$12))-1)/inputs!$N$12&lt;0, 0, IF((((inputs!$P$12/(V597/MAX(K597:S597)))^(1/inputs!$O$12))-1)/inputs!$N$12&gt;inputs!$H$17, inputs!$H$17, (((inputs!$P$12/(V597/MAX(K597:S597)))^(1/inputs!$O$12))-1)/inputs!$N$12))</f>
        <v>20.339017449542123</v>
      </c>
      <c r="U597">
        <f>IF((((inputs!$P$12/(X597/MAX(K597:S597)))^(1/inputs!$O$12))-1)/inputs!$N$12&lt;0, 0, IF((((inputs!$P$12/(X597/MAX(K597:S597)))^(1/inputs!$O$12))-1)/inputs!$N$12&gt;inputs!$H$17, inputs!$H$17, (((inputs!$P$12/(X597/MAX(K597:S597)))^(1/inputs!$O$12))-1)/inputs!$N$12))</f>
        <v>0</v>
      </c>
      <c r="V597">
        <f>inputs!$E$70*(F597/inputs!$F$70)^(0.25)</f>
        <v>2.2148395646629968</v>
      </c>
      <c r="W597">
        <f>inputs!$E$76*(inputs!$F$76/F597)^(0.25)</f>
        <v>0.76924067569003962</v>
      </c>
      <c r="X597">
        <f>inputs!$E$72*(inputs!$F$72/F597)^(0.25)</f>
        <v>112.82984284147192</v>
      </c>
      <c r="Y597" t="s">
        <v>13</v>
      </c>
      <c r="Z597">
        <f t="shared" si="63"/>
        <v>7.8957940683003862</v>
      </c>
      <c r="AA597">
        <f t="shared" si="64"/>
        <v>22.733999448502562</v>
      </c>
    </row>
    <row r="598" spans="1:27" x14ac:dyDescent="0.3">
      <c r="A598" t="s">
        <v>542</v>
      </c>
      <c r="B598" t="s">
        <v>543</v>
      </c>
      <c r="C598" t="s">
        <v>61</v>
      </c>
      <c r="D598" t="s">
        <v>443</v>
      </c>
      <c r="E598">
        <v>34</v>
      </c>
      <c r="F598">
        <v>15</v>
      </c>
      <c r="G598" t="s">
        <v>169</v>
      </c>
      <c r="H598">
        <v>0.79</v>
      </c>
      <c r="I598">
        <f>MAX('Min rate concentrations'!$D$3:$D$368)</f>
        <v>120</v>
      </c>
      <c r="J598">
        <f>MAX('Min rate concentrations'!W:W)</f>
        <v>42.5</v>
      </c>
      <c r="K598">
        <f t="shared" si="61"/>
        <v>108.96267651719174</v>
      </c>
      <c r="L598">
        <f t="shared" si="66"/>
        <v>38.590947933172075</v>
      </c>
      <c r="M598">
        <f>IF((((0.326*F598^0.818)-(0.398*F598^0.85)/(1-H598)*H598)*(MAX('Min rate concentrations'!$P$3:$P$368)))/F598&gt;0, (((0.326*F598^0.818)-(0.398*F598^0.85)/(1-H598)*H598)*(MAX('Min rate concentrations'!$P$3:$P$368)))/F598, 0)</f>
        <v>0</v>
      </c>
      <c r="N598">
        <f>IF((((0.326*F598^0.818)-(0.398*F598^0.85)/(1-H598)*H598)*(MAX('Min rate concentrations'!$Q$3:$Q$368)))/F598&gt; 0, (((0.326*F598^0.818)-(0.398*F598^0.85)/(1-H598)*H598)*(MAX('Min rate concentrations'!$Q$3:$Q$368)))/F598, 0)</f>
        <v>0</v>
      </c>
      <c r="O598">
        <f>((MAX('Min rate concentrations'!$F$3:$F$368))*0.62*6.01*8*(12.3*F598^0.65)*0.079*0.1/F598)*inputs!$E$73/inputs!$E$74</f>
        <v>17.4879170969031</v>
      </c>
      <c r="P598">
        <f>((MAX('Min rate concentrations'!Y:Y))*0.62*6.01*8*(12.3*F598^0.65)*0.079*0.1/F598)*inputs!$E$73/inputs!$E$74</f>
        <v>5.8293056989677003</v>
      </c>
      <c r="Q598">
        <f>(inputs!$C$7*11.2*(12.3*F598^0.65)*0.5/F598)*inputs!$E$73/inputs!$E$74</f>
        <v>3.0804141134929148</v>
      </c>
      <c r="R598">
        <f>(60*379*((F598/1000)^0.8)*3*24*(MAX('Min rate concentrations'!$R$3:$R$368))/F598)*(inputs!$E$73/inputs!$E$75)</f>
        <v>4.2614677494769567E-3</v>
      </c>
      <c r="S598">
        <f>(IF(inputs!$C$6="aerial",((0.025*0.112*inputs!$C$7/3.3)*(3*60*379*((F598/1000)^0.8))*MAX(inputs!$H$14:$H$16))/F598,((0.0083*0.112*inputs!$C$7/1)*(3*60*379*((F598/1000)^0.8))*MAX(inputs!$H$14:$H$16))/F598))*(inputs!E$75/inputs!$E$73)</f>
        <v>2.3502256455738741E-2</v>
      </c>
      <c r="T598">
        <f>IF((((inputs!$P$12/(V598/MAX(K598:S598)))^(1/inputs!$O$12))-1)/inputs!$N$12&lt;0, 0, IF((((inputs!$P$12/(V598/MAX(K598:S598)))^(1/inputs!$O$12))-1)/inputs!$N$12&gt;inputs!$H$17, inputs!$H$17, (((inputs!$P$12/(V598/MAX(K598:S598)))^(1/inputs!$O$12))-1)/inputs!$N$12))</f>
        <v>74.275098604768701</v>
      </c>
      <c r="U598">
        <f>IF((((inputs!$P$12/(X598/MAX(K598:S598)))^(1/inputs!$O$12))-1)/inputs!$N$12&lt;0, 0, IF((((inputs!$P$12/(X598/MAX(K598:S598)))^(1/inputs!$O$12))-1)/inputs!$N$12&gt;inputs!$H$17, inputs!$H$17, (((inputs!$P$12/(X598/MAX(K598:S598)))^(1/inputs!$O$12))-1)/inputs!$N$12))</f>
        <v>0</v>
      </c>
      <c r="V598">
        <f>inputs!$E$70*(F598/inputs!$F$70)^(0.25)</f>
        <v>2.2148395646629968</v>
      </c>
      <c r="W598">
        <f>inputs!$E$76*(inputs!$F$76/F598)^(0.25)</f>
        <v>0.76924067569003962</v>
      </c>
      <c r="X598">
        <f>inputs!$E$72*(inputs!$F$72/F598)^(0.25)</f>
        <v>112.82984284147192</v>
      </c>
      <c r="Y598" t="s">
        <v>13</v>
      </c>
      <c r="Z598">
        <f t="shared" si="63"/>
        <v>49.196645326214032</v>
      </c>
      <c r="AA598">
        <f t="shared" si="64"/>
        <v>141.64965525184672</v>
      </c>
    </row>
    <row r="599" spans="1:27" x14ac:dyDescent="0.3">
      <c r="A599" t="s">
        <v>542</v>
      </c>
      <c r="B599" t="s">
        <v>543</v>
      </c>
      <c r="C599" t="s">
        <v>61</v>
      </c>
      <c r="D599" t="s">
        <v>443</v>
      </c>
      <c r="E599">
        <v>34</v>
      </c>
      <c r="F599">
        <v>15</v>
      </c>
      <c r="G599" t="s">
        <v>177</v>
      </c>
      <c r="H599">
        <v>0.85</v>
      </c>
      <c r="I599">
        <f>MAX('Min rate concentrations'!$F$3:$F$368)</f>
        <v>67.5</v>
      </c>
      <c r="J599">
        <f>MAX('Min rate concentrations'!Y:Y)</f>
        <v>22.5</v>
      </c>
      <c r="K599">
        <f t="shared" si="61"/>
        <v>85.808107757288468</v>
      </c>
      <c r="L599">
        <f t="shared" si="66"/>
        <v>28.602702585762817</v>
      </c>
      <c r="M599">
        <f>IF((((0.326*F599^0.818)-(0.398*F599^0.85)/(1-H599)*H599)*(MAX('Min rate concentrations'!$P$3:$P$368)))/F599&gt;0, (((0.326*F599^0.818)-(0.398*F599^0.85)/(1-H599)*H599)*(MAX('Min rate concentrations'!$P$3:$P$368)))/F599, 0)</f>
        <v>0</v>
      </c>
      <c r="N599">
        <f>IF((((0.326*F599^0.818)-(0.398*F599^0.85)/(1-H599)*H599)*(MAX('Min rate concentrations'!$Q$3:$Q$368)))/F599&gt; 0, (((0.326*F599^0.818)-(0.398*F599^0.85)/(1-H599)*H599)*(MAX('Min rate concentrations'!$Q$3:$Q$368)))/F599, 0)</f>
        <v>0</v>
      </c>
      <c r="O599">
        <f>((MAX('Min rate concentrations'!$F$3:$F$368))*0.62*6.01*8*(12.3*F599^0.65)*0.079*0.1/F599)*inputs!$E$73/inputs!$E$74</f>
        <v>17.4879170969031</v>
      </c>
      <c r="P599">
        <f>((MAX('Min rate concentrations'!Y:Y))*0.62*6.01*8*(12.3*F599^0.65)*0.079*0.1/F599)*inputs!$E$73/inputs!$E$74</f>
        <v>5.8293056989677003</v>
      </c>
      <c r="Q599">
        <f>(inputs!$C$7*11.2*(12.3*F599^0.65)*0.5/F599)*inputs!$E$73/inputs!$E$74</f>
        <v>3.0804141134929148</v>
      </c>
      <c r="R599">
        <f>(60*379*((F599/1000)^0.8)*3*24*(MAX('Min rate concentrations'!$R$3:$R$368))/F599)*(inputs!$E$73/inputs!$E$75)</f>
        <v>4.2614677494769567E-3</v>
      </c>
      <c r="S599">
        <f>(IF(inputs!$C$6="aerial",((0.025*0.112*inputs!$C$7/3.3)*(3*60*379*((F599/1000)^0.8))*MAX(inputs!$H$14:$H$16))/F599,((0.0083*0.112*inputs!$C$7/1)*(3*60*379*((F599/1000)^0.8))*MAX(inputs!$H$14:$H$16))/F599))*(inputs!E$75/inputs!$E$73)</f>
        <v>2.3502256455738741E-2</v>
      </c>
      <c r="T599">
        <f>IF((((inputs!$P$12/(V599/MAX(K599:S599)))^(1/inputs!$O$12))-1)/inputs!$N$12&lt;0, 0, IF((((inputs!$P$12/(V599/MAX(K599:S599)))^(1/inputs!$O$12))-1)/inputs!$N$12&gt;inputs!$H$17, inputs!$H$17, (((inputs!$P$12/(V599/MAX(K599:S599)))^(1/inputs!$O$12))-1)/inputs!$N$12))</f>
        <v>64.759615006714014</v>
      </c>
      <c r="U599">
        <f>IF((((inputs!$P$12/(X599/MAX(K599:S599)))^(1/inputs!$O$12))-1)/inputs!$N$12&lt;0, 0, IF((((inputs!$P$12/(X599/MAX(K599:S599)))^(1/inputs!$O$12))-1)/inputs!$N$12&gt;inputs!$H$17, inputs!$H$17, (((inputs!$P$12/(X599/MAX(K599:S599)))^(1/inputs!$O$12))-1)/inputs!$N$12))</f>
        <v>0</v>
      </c>
      <c r="V599">
        <f>inputs!$E$70*(F599/inputs!$F$70)^(0.25)</f>
        <v>2.2148395646629968</v>
      </c>
      <c r="W599">
        <f>inputs!$E$76*(inputs!$F$76/F599)^(0.25)</f>
        <v>0.76924067569003962</v>
      </c>
      <c r="X599">
        <f>inputs!$E$72*(inputs!$F$72/F599)^(0.25)</f>
        <v>112.82984284147192</v>
      </c>
      <c r="Y599" t="s">
        <v>13</v>
      </c>
      <c r="Z599">
        <f t="shared" si="63"/>
        <v>38.742358194393539</v>
      </c>
      <c r="AA599">
        <f t="shared" si="64"/>
        <v>111.54910351082926</v>
      </c>
    </row>
    <row r="600" spans="1:27" x14ac:dyDescent="0.3">
      <c r="A600" t="s">
        <v>542</v>
      </c>
      <c r="B600" t="s">
        <v>543</v>
      </c>
      <c r="C600" t="s">
        <v>61</v>
      </c>
      <c r="D600" t="s">
        <v>443</v>
      </c>
      <c r="E600">
        <v>34</v>
      </c>
      <c r="F600">
        <v>15</v>
      </c>
      <c r="G600" t="s">
        <v>456</v>
      </c>
      <c r="H600">
        <v>0.68</v>
      </c>
      <c r="I600">
        <f>MAX('Min rate concentrations'!$J$3:$J$368)</f>
        <v>114.4108103430513</v>
      </c>
      <c r="J600">
        <f>MAX('Min rate concentrations'!AB:AB)</f>
        <v>40.520495329830666</v>
      </c>
      <c r="K600">
        <f t="shared" si="61"/>
        <v>68.176216267466955</v>
      </c>
      <c r="L600">
        <f t="shared" si="66"/>
        <v>24.14574326139455</v>
      </c>
      <c r="M600">
        <f>IF((((0.326*F600^0.818)-(0.398*F600^0.85)/(1-H600)*H600)*(MAX('Min rate concentrations'!$P$3:$P$368)))/F600&gt;0, (((0.326*F600^0.818)-(0.398*F600^0.85)/(1-H600)*H600)*(MAX('Min rate concentrations'!$P$3:$P$368)))/F600, 0)</f>
        <v>0</v>
      </c>
      <c r="N600">
        <f>IF((((0.326*F600^0.818)-(0.398*F600^0.85)/(1-H600)*H600)*(MAX('Min rate concentrations'!$Q$3:$Q$368)))/F600&gt; 0, (((0.326*F600^0.818)-(0.398*F600^0.85)/(1-H600)*H600)*(MAX('Min rate concentrations'!$Q$3:$Q$368)))/F600, 0)</f>
        <v>0</v>
      </c>
      <c r="O600">
        <f>((MAX('Min rate concentrations'!$F$3:$F$368))*0.62*6.01*8*(12.3*F600^0.65)*0.079*0.1/F600)*inputs!$E$73/inputs!$E$74</f>
        <v>17.4879170969031</v>
      </c>
      <c r="P600">
        <f>((MAX('Min rate concentrations'!Y:Y))*0.62*6.01*8*(12.3*F600^0.65)*0.079*0.1/F600)*inputs!$E$73/inputs!$E$74</f>
        <v>5.8293056989677003</v>
      </c>
      <c r="Q600">
        <f>(inputs!$C$7*11.2*(12.3*F600^0.65)*0.5/F600)*inputs!$E$73/inputs!$E$74</f>
        <v>3.0804141134929148</v>
      </c>
      <c r="R600">
        <f>(60*379*((F600/1000)^0.8)*3*24*(MAX('Min rate concentrations'!$R$3:$R$368))/F600)*(inputs!$E$73/inputs!$E$75)</f>
        <v>4.2614677494769567E-3</v>
      </c>
      <c r="S600">
        <f>(IF(inputs!$C$6="aerial",((0.025*0.112*inputs!$C$7/3.3)*(3*60*379*((F600/1000)^0.8))*MAX(inputs!$H$14:$H$16))/F600,((0.0083*0.112*inputs!$C$7/1)*(3*60*379*((F600/1000)^0.8))*MAX(inputs!$H$14:$H$16))/F600))*(inputs!E$75/inputs!$E$73)</f>
        <v>2.3502256455738741E-2</v>
      </c>
      <c r="T600">
        <f>IF((((inputs!$P$12/(V600/MAX(K600:S600)))^(1/inputs!$O$12))-1)/inputs!$N$12&lt;0, 0, IF((((inputs!$P$12/(V600/MAX(K600:S600)))^(1/inputs!$O$12))-1)/inputs!$N$12&gt;inputs!$H$17, inputs!$H$17, (((inputs!$P$12/(V600/MAX(K600:S600)))^(1/inputs!$O$12))-1)/inputs!$N$12))</f>
        <v>56.431178504584068</v>
      </c>
      <c r="U600">
        <f>IF((((inputs!$P$12/(X600/MAX(K600:S600)))^(1/inputs!$O$12))-1)/inputs!$N$12&lt;0, 0, IF((((inputs!$P$12/(X600/MAX(K600:S600)))^(1/inputs!$O$12))-1)/inputs!$N$12&gt;inputs!$H$17, inputs!$H$17, (((inputs!$P$12/(X600/MAX(K600:S600)))^(1/inputs!$O$12))-1)/inputs!$N$12))</f>
        <v>0</v>
      </c>
      <c r="V600">
        <f>inputs!$E$70*(F600/inputs!$F$70)^(0.25)</f>
        <v>2.2148395646629968</v>
      </c>
      <c r="W600">
        <f>inputs!$E$76*(inputs!$F$76/F600)^(0.25)</f>
        <v>0.76924067569003962</v>
      </c>
      <c r="X600">
        <f>inputs!$E$72*(inputs!$F$72/F600)^(0.25)</f>
        <v>112.82984284147192</v>
      </c>
      <c r="Y600" t="s">
        <v>13</v>
      </c>
      <c r="Z600">
        <f t="shared" si="63"/>
        <v>30.781559691814717</v>
      </c>
      <c r="AA600">
        <f t="shared" si="64"/>
        <v>88.627939761908934</v>
      </c>
    </row>
    <row r="601" spans="1:27" x14ac:dyDescent="0.3">
      <c r="A601" t="s">
        <v>542</v>
      </c>
      <c r="B601" t="s">
        <v>543</v>
      </c>
      <c r="C601" t="s">
        <v>61</v>
      </c>
      <c r="D601" t="s">
        <v>443</v>
      </c>
      <c r="E601">
        <v>34</v>
      </c>
      <c r="F601">
        <v>15</v>
      </c>
      <c r="G601" t="s">
        <v>145</v>
      </c>
      <c r="H601">
        <v>0.66</v>
      </c>
      <c r="I601">
        <f>MAX('Min rate concentrations'!$M$3:$M$368)</f>
        <v>2.8488184789681945</v>
      </c>
      <c r="J601">
        <f>MAX('Min rate concentrations'!AE:AE)</f>
        <v>1.9699276716269429</v>
      </c>
      <c r="K601">
        <f t="shared" si="61"/>
        <v>1.597723679897108</v>
      </c>
      <c r="L601">
        <f t="shared" si="66"/>
        <v>1.1048089275884256</v>
      </c>
      <c r="M601">
        <f>IF((((0.326*F601^0.818)-(0.398*F601^0.85)/(1-H601)*H601)*(MAX('Min rate concentrations'!$P$3:$P$368)))/F601&gt;0, (((0.326*F601^0.818)-(0.398*F601^0.85)/(1-H601)*H601)*(MAX('Min rate concentrations'!$P$3:$P$368)))/F601, 0)</f>
        <v>0</v>
      </c>
      <c r="N601">
        <f>IF((((0.326*F601^0.818)-(0.398*F601^0.85)/(1-H601)*H601)*(MAX('Min rate concentrations'!$Q$3:$Q$368)))/F601&gt; 0, (((0.326*F601^0.818)-(0.398*F601^0.85)/(1-H601)*H601)*(MAX('Min rate concentrations'!$Q$3:$Q$368)))/F601, 0)</f>
        <v>0</v>
      </c>
      <c r="O601">
        <f>((MAX('Min rate concentrations'!$F$3:$F$368))*0.62*6.01*8*(12.3*F601^0.65)*0.079*0.1/F601)*inputs!$E$73/inputs!$E$74</f>
        <v>17.4879170969031</v>
      </c>
      <c r="P601">
        <f>((MAX('Min rate concentrations'!Y:Y))*0.62*6.01*8*(12.3*F601^0.65)*0.079*0.1/F601)*inputs!$E$73/inputs!$E$74</f>
        <v>5.8293056989677003</v>
      </c>
      <c r="Q601">
        <f>(inputs!$C$7*11.2*(12.3*F601^0.65)*0.5/F601)*inputs!$E$73/inputs!$E$74</f>
        <v>3.0804141134929148</v>
      </c>
      <c r="R601">
        <f>(60*379*((F601/1000)^0.8)*3*24*(MAX('Min rate concentrations'!$R$3:$R$368))/F601)*(inputs!$E$73/inputs!$E$75)</f>
        <v>4.2614677494769567E-3</v>
      </c>
      <c r="S601">
        <f>(IF(inputs!$C$6="aerial",((0.025*0.112*inputs!$C$7/3.3)*(3*60*379*((F601/1000)^0.8))*MAX(inputs!$H$14:$H$16))/F601,((0.0083*0.112*inputs!$C$7/1)*(3*60*379*((F601/1000)^0.8))*MAX(inputs!$H$14:$H$16))/F601))*(inputs!E$75/inputs!$E$73)</f>
        <v>2.3502256455738741E-2</v>
      </c>
      <c r="T601">
        <f>IF((((inputs!$P$12/(V601/MAX(K601:S601)))^(1/inputs!$O$12))-1)/inputs!$N$12&lt;0, 0, IF((((inputs!$P$12/(V601/MAX(K601:S601)))^(1/inputs!$O$12))-1)/inputs!$N$12&gt;inputs!$H$17, inputs!$H$17, (((inputs!$P$12/(V601/MAX(K601:S601)))^(1/inputs!$O$12))-1)/inputs!$N$12))</f>
        <v>20.339017449542123</v>
      </c>
      <c r="U601">
        <f>IF((((inputs!$P$12/(X601/MAX(K601:S601)))^(1/inputs!$O$12))-1)/inputs!$N$12&lt;0, 0, IF((((inputs!$P$12/(X601/MAX(K601:S601)))^(1/inputs!$O$12))-1)/inputs!$N$12&gt;inputs!$H$17, inputs!$H$17, (((inputs!$P$12/(X601/MAX(K601:S601)))^(1/inputs!$O$12))-1)/inputs!$N$12))</f>
        <v>0</v>
      </c>
      <c r="V601">
        <f>inputs!$E$70*(F601/inputs!$F$70)^(0.25)</f>
        <v>2.2148395646629968</v>
      </c>
      <c r="W601">
        <f>inputs!$E$76*(inputs!$F$76/F601)^(0.25)</f>
        <v>0.76924067569003962</v>
      </c>
      <c r="X601">
        <f>inputs!$E$72*(inputs!$F$72/F601)^(0.25)</f>
        <v>112.82984284147192</v>
      </c>
      <c r="Y601" t="s">
        <v>13</v>
      </c>
      <c r="Z601">
        <f t="shared" si="63"/>
        <v>7.8957940683003862</v>
      </c>
      <c r="AA601">
        <f t="shared" si="64"/>
        <v>22.733999448502562</v>
      </c>
    </row>
    <row r="602" spans="1:27" x14ac:dyDescent="0.3">
      <c r="A602" t="s">
        <v>542</v>
      </c>
      <c r="B602" t="s">
        <v>543</v>
      </c>
      <c r="C602" t="s">
        <v>61</v>
      </c>
      <c r="D602" t="s">
        <v>443</v>
      </c>
      <c r="E602">
        <v>34</v>
      </c>
      <c r="F602">
        <v>15</v>
      </c>
      <c r="G602" t="s">
        <v>154</v>
      </c>
      <c r="H602">
        <v>9.2999999999999999E-2</v>
      </c>
      <c r="I602">
        <f>MAX('Min rate concentrations'!$G$3:$G$368)</f>
        <v>7.5</v>
      </c>
      <c r="J602">
        <f>MAX('Min rate concentrations'!Z:Z)</f>
        <v>3.5</v>
      </c>
      <c r="K602">
        <f t="shared" si="61"/>
        <v>1.5767752252349958</v>
      </c>
      <c r="M602">
        <f>IF((((0.326*F602^0.818)-(0.398*F602^0.85)/(1-H602)*H602)*(MAX('Min rate concentrations'!$P$3:$P$368)))/F602&gt;0, (((0.326*F602^0.818)-(0.398*F602^0.85)/(1-H602)*H602)*(MAX('Min rate concentrations'!$P$3:$P$368)))/F602, 0)</f>
        <v>2.4959484999342571E-2</v>
      </c>
      <c r="N602">
        <f>IF((((0.326*F602^0.818)-(0.398*F602^0.85)/(1-H602)*H602)*(MAX('Min rate concentrations'!$Q$3:$Q$368)))/F602&gt; 0, (((0.326*F602^0.818)-(0.398*F602^0.85)/(1-H602)*H602)*(MAX('Min rate concentrations'!$Q$3:$Q$368)))/F602, 0)</f>
        <v>9.5047059992685437E-2</v>
      </c>
      <c r="O602">
        <f>((MAX('Min rate concentrations'!$F$3:$F$368))*0.62*6.01*8*(12.3*F602^0.65)*0.079*0.1/F602)*inputs!$E$73/inputs!$E$74</f>
        <v>17.4879170969031</v>
      </c>
      <c r="Q602">
        <f>(inputs!$C$7*11.2*(12.3*F602^0.65)*0.5/F602)*inputs!$E$73/inputs!$E$74</f>
        <v>3.0804141134929148</v>
      </c>
      <c r="R602">
        <f>(60*379*((F602/1000)^0.8)*3*24*(MAX('Min rate concentrations'!$R$3:$R$368))/F602)*(inputs!$E$73/inputs!$E$75)</f>
        <v>4.2614677494769567E-3</v>
      </c>
      <c r="S602">
        <f>(IF(inputs!$C$6="aerial",((0.025*0.112*inputs!$C$7/3.3)*(3*60*379*((F602/1000)^0.8))*MAX(inputs!$H$14:$H$16))/F602,((0.0083*0.112*inputs!$C$7/1)*(3*60*379*((F602/1000)^0.8))*MAX(inputs!$H$14:$H$16))/F602))*(inputs!E$75/inputs!$E$73)</f>
        <v>2.3502256455738741E-2</v>
      </c>
      <c r="T602">
        <f>IF((((inputs!$P$12/(V602/MAX(K602:S602)))^(1/inputs!$O$12))-1)/inputs!$N$12&lt;0, 0, IF((((inputs!$P$12/(V602/MAX(K602:S602)))^(1/inputs!$O$12))-1)/inputs!$N$12&gt;inputs!$H$17, inputs!$H$17, (((inputs!$P$12/(V602/MAX(K602:S602)))^(1/inputs!$O$12))-1)/inputs!$N$12))</f>
        <v>20.339017449542123</v>
      </c>
      <c r="U602">
        <f>IF((((inputs!$P$12/(X602/MAX(K602:S602)))^(1/inputs!$O$12))-1)/inputs!$N$12&lt;0, 0, IF((((inputs!$P$12/(X602/MAX(K602:S602)))^(1/inputs!$O$12))-1)/inputs!$N$12&gt;inputs!$H$17, inputs!$H$17, (((inputs!$P$12/(X602/MAX(K602:S602)))^(1/inputs!$O$12))-1)/inputs!$N$12))</f>
        <v>0</v>
      </c>
      <c r="V602">
        <f>inputs!$E$70*(F602/inputs!$F$70)^(0.25)</f>
        <v>2.2148395646629968</v>
      </c>
      <c r="W602">
        <f>inputs!$E$76*(inputs!$F$76/F602)^(0.25)</f>
        <v>0.76924067569003962</v>
      </c>
      <c r="X602">
        <f>inputs!$E$72*(inputs!$F$72/F602)^(0.25)</f>
        <v>112.82984284147192</v>
      </c>
      <c r="Y602" t="s">
        <v>13</v>
      </c>
      <c r="Z602">
        <f t="shared" si="63"/>
        <v>7.8957940683003862</v>
      </c>
      <c r="AA602">
        <f t="shared" si="64"/>
        <v>22.733999448502562</v>
      </c>
    </row>
    <row r="603" spans="1:27" x14ac:dyDescent="0.3">
      <c r="A603" t="s">
        <v>563</v>
      </c>
      <c r="B603" t="s">
        <v>564</v>
      </c>
      <c r="C603" t="s">
        <v>61</v>
      </c>
      <c r="D603" t="s">
        <v>443</v>
      </c>
      <c r="E603">
        <v>10</v>
      </c>
      <c r="F603">
        <v>800</v>
      </c>
      <c r="G603" t="s">
        <v>142</v>
      </c>
      <c r="H603">
        <v>0.69</v>
      </c>
      <c r="I603">
        <f>MAX('Min rate concentrations'!$H$3:$H$368)</f>
        <v>47</v>
      </c>
      <c r="J603">
        <f>MAX('Min rate concentrations'!AA:AA)</f>
        <v>32.5</v>
      </c>
      <c r="K603">
        <f t="shared" si="61"/>
        <v>5.10599670194292</v>
      </c>
      <c r="L603">
        <f>(((0.621*F603^0.564)/(1-H603)))*J603/F603</f>
        <v>3.5307424002796792</v>
      </c>
      <c r="M603">
        <f>IF((((0.326*F603^0.818)-(0.398*F603^0.85)/(1-H603)*H603)*(MAX('Min rate concentrations'!$P$3:$P$368)))/F603&gt;0, (((0.326*F603^0.818)-(0.398*F603^0.85)/(1-H603)*H603)*(MAX('Min rate concentrations'!$P$3:$P$368)))/F603, 0)</f>
        <v>0</v>
      </c>
      <c r="N603">
        <f>IF((((0.326*F603^0.818)-(0.398*F603^0.85)/(1-H603)*H603)*(MAX('Min rate concentrations'!$Q$3:$Q$368)))/F603&gt; 0, (((0.326*F603^0.818)-(0.398*F603^0.85)/(1-H603)*H603)*(MAX('Min rate concentrations'!$Q$3:$Q$368)))/F603, 0)</f>
        <v>0</v>
      </c>
      <c r="O603">
        <f>((MAX('Min rate concentrations'!$F$3:$F$368))*0.62*6.01*8*(12.3*F603^0.65)*0.079*0.1/F603)*inputs!$E$73/inputs!$E$74</f>
        <v>4.347989944372384</v>
      </c>
      <c r="P603">
        <f>((MAX('Min rate concentrations'!Y:Y))*0.62*6.01*8*(12.3*F603^0.65)*0.079*0.1/F603)*inputs!$E$73/inputs!$E$74</f>
        <v>1.4493299814574612</v>
      </c>
      <c r="Q603">
        <f>(inputs!$C$7*11.2*(12.3*F603^0.65)*0.5/F603)*inputs!$E$73/inputs!$E$74</f>
        <v>0.76587792106710151</v>
      </c>
      <c r="R603">
        <f>(60*379*((F603/1000)^0.8)*3*24*(MAX('Min rate concentrations'!$R$3:$R$368))/F603)*(inputs!$E$73/inputs!$E$75)</f>
        <v>1.9237979627382185E-3</v>
      </c>
      <c r="S603">
        <f>(IF(inputs!$C$6="aerial",((0.025*0.112*inputs!$C$7/3.3)*(3*60*379*((F603/1000)^0.8))*MAX(inputs!$H$14:$H$16))/F603,((0.0083*0.112*inputs!$C$7/1)*(3*60*379*((F603/1000)^0.8))*MAX(inputs!$H$14:$H$16))/F603))*(inputs!E$75/inputs!$E$73)</f>
        <v>1.0609863959395392E-2</v>
      </c>
      <c r="T603">
        <f>IF((((inputs!$P$12/(V603/MAX(K603:S603)))^(1/inputs!$O$12))-1)/inputs!$N$12&lt;0, 0, IF((((inputs!$P$12/(V603/MAX(K603:S603)))^(1/inputs!$O$12))-1)/inputs!$N$12&gt;inputs!$H$17, inputs!$H$17, (((inputs!$P$12/(V603/MAX(K603:S603)))^(1/inputs!$O$12))-1)/inputs!$N$12))</f>
        <v>0</v>
      </c>
      <c r="U603">
        <f>IF((((inputs!$P$12/(X603/MAX(K603:S603)))^(1/inputs!$O$12))-1)/inputs!$N$12&lt;0, 0, IF((((inputs!$P$12/(X603/MAX(K603:S603)))^(1/inputs!$O$12))-1)/inputs!$N$12&gt;inputs!$H$17, inputs!$H$17, (((inputs!$P$12/(X603/MAX(K603:S603)))^(1/inputs!$O$12))-1)/inputs!$N$12))</f>
        <v>0</v>
      </c>
      <c r="V603">
        <f>inputs!$E$70*(F603/inputs!$F$70)^(0.25)</f>
        <v>5.985383125290773</v>
      </c>
      <c r="W603">
        <f>inputs!$E$76*(inputs!$F$76/F603)^(0.25)</f>
        <v>0.28465089829711249</v>
      </c>
      <c r="X603">
        <f>inputs!$E$72*(inputs!$F$72/F603)^(0.25)</f>
        <v>41.751713260270158</v>
      </c>
      <c r="Y603" t="s">
        <v>13</v>
      </c>
      <c r="Z603">
        <f t="shared" si="63"/>
        <v>0.85307767189838291</v>
      </c>
      <c r="AA603">
        <f t="shared" si="64"/>
        <v>17.93775017921563</v>
      </c>
    </row>
    <row r="604" spans="1:27" x14ac:dyDescent="0.3">
      <c r="A604" t="s">
        <v>563</v>
      </c>
      <c r="B604" t="s">
        <v>564</v>
      </c>
      <c r="C604" t="s">
        <v>61</v>
      </c>
      <c r="D604" t="s">
        <v>443</v>
      </c>
      <c r="E604">
        <v>10</v>
      </c>
      <c r="F604">
        <v>800</v>
      </c>
      <c r="G604" t="s">
        <v>138</v>
      </c>
      <c r="H604">
        <v>0.68</v>
      </c>
      <c r="I604">
        <f>MAX('Min rate concentrations'!$L$3:$L$368)</f>
        <v>58.421240152220811</v>
      </c>
      <c r="J604">
        <f>MAX('Min rate concentrations'!AD:AD)</f>
        <v>40.397666062705881</v>
      </c>
      <c r="K604">
        <f t="shared" si="61"/>
        <v>6.1484431155321149</v>
      </c>
      <c r="L604">
        <f>(((0.621*F604^0.564)/(1-H604)))*J604/F604</f>
        <v>4.2515830054211436</v>
      </c>
      <c r="M604">
        <f>IF((((0.326*F604^0.818)-(0.398*F604^0.85)/(1-H604)*H604)*(MAX('Min rate concentrations'!$P$3:$P$368)))/F604&gt;0, (((0.326*F604^0.818)-(0.398*F604^0.85)/(1-H604)*H604)*(MAX('Min rate concentrations'!$P$3:$P$368)))/F604, 0)</f>
        <v>0</v>
      </c>
      <c r="N604">
        <f>IF((((0.326*F604^0.818)-(0.398*F604^0.85)/(1-H604)*H604)*(MAX('Min rate concentrations'!$Q$3:$Q$368)))/F604&gt; 0, (((0.326*F604^0.818)-(0.398*F604^0.85)/(1-H604)*H604)*(MAX('Min rate concentrations'!$Q$3:$Q$368)))/F604, 0)</f>
        <v>0</v>
      </c>
      <c r="O604">
        <f>((MAX('Min rate concentrations'!$F$3:$F$368))*0.62*6.01*8*(12.3*F604^0.65)*0.079*0.1/F604)*inputs!$E$73/inputs!$E$74</f>
        <v>4.347989944372384</v>
      </c>
      <c r="P604">
        <f>((MAX('Min rate concentrations'!Y:Y))*0.62*6.01*8*(12.3*F604^0.65)*0.079*0.1/F604)*inputs!$E$73/inputs!$E$74</f>
        <v>1.4493299814574612</v>
      </c>
      <c r="Q604">
        <f>(inputs!$C$7*11.2*(12.3*F604^0.65)*0.5/F604)*inputs!$E$73/inputs!$E$74</f>
        <v>0.76587792106710151</v>
      </c>
      <c r="R604">
        <f>(60*379*((F604/1000)^0.8)*3*24*(MAX('Min rate concentrations'!$R$3:$R$368))/F604)*(inputs!$E$73/inputs!$E$75)</f>
        <v>1.9237979627382185E-3</v>
      </c>
      <c r="S604">
        <f>(IF(inputs!$C$6="aerial",((0.025*0.112*inputs!$C$7/3.3)*(3*60*379*((F604/1000)^0.8))*MAX(inputs!$H$14:$H$16))/F604,((0.0083*0.112*inputs!$C$7/1)*(3*60*379*((F604/1000)^0.8))*MAX(inputs!$H$14:$H$16))/F604))*(inputs!E$75/inputs!$E$73)</f>
        <v>1.0609863959395392E-2</v>
      </c>
      <c r="T604">
        <f>IF((((inputs!$P$12/(V604/MAX(K604:S604)))^(1/inputs!$O$12))-1)/inputs!$N$12&lt;0, 0, IF((((inputs!$P$12/(V604/MAX(K604:S604)))^(1/inputs!$O$12))-1)/inputs!$N$12&gt;inputs!$H$17, inputs!$H$17, (((inputs!$P$12/(V604/MAX(K604:S604)))^(1/inputs!$O$12))-1)/inputs!$N$12))</f>
        <v>0</v>
      </c>
      <c r="U604">
        <f>IF((((inputs!$P$12/(X604/MAX(K604:S604)))^(1/inputs!$O$12))-1)/inputs!$N$12&lt;0, 0, IF((((inputs!$P$12/(X604/MAX(K604:S604)))^(1/inputs!$O$12))-1)/inputs!$N$12&gt;inputs!$H$17, inputs!$H$17, (((inputs!$P$12/(X604/MAX(K604:S604)))^(1/inputs!$O$12))-1)/inputs!$N$12))</f>
        <v>0</v>
      </c>
      <c r="V604">
        <f>inputs!$E$70*(F604/inputs!$F$70)^(0.25)</f>
        <v>5.985383125290773</v>
      </c>
      <c r="W604">
        <f>inputs!$E$76*(inputs!$F$76/F604)^(0.25)</f>
        <v>0.28465089829711249</v>
      </c>
      <c r="X604">
        <f>inputs!$E$72*(inputs!$F$72/F604)^(0.25)</f>
        <v>41.751713260270158</v>
      </c>
      <c r="Y604" t="s">
        <v>13</v>
      </c>
      <c r="Z604">
        <f t="shared" si="63"/>
        <v>1.0272430330403319</v>
      </c>
      <c r="AA604">
        <f t="shared" si="64"/>
        <v>21.599942780136608</v>
      </c>
    </row>
    <row r="605" spans="1:27" x14ac:dyDescent="0.3">
      <c r="A605" t="s">
        <v>563</v>
      </c>
      <c r="B605" t="s">
        <v>564</v>
      </c>
      <c r="C605" t="s">
        <v>61</v>
      </c>
      <c r="D605" t="s">
        <v>443</v>
      </c>
      <c r="E605">
        <v>10</v>
      </c>
      <c r="F605">
        <v>800</v>
      </c>
      <c r="G605" t="s">
        <v>158</v>
      </c>
      <c r="H605">
        <v>0.85</v>
      </c>
      <c r="I605">
        <f>MAX('Min rate concentrations'!$F$3:$F$368)</f>
        <v>67.5</v>
      </c>
      <c r="J605">
        <f>MAX('Min rate concentrations'!Y:Y)</f>
        <v>22.5</v>
      </c>
      <c r="K605">
        <f t="shared" si="61"/>
        <v>15.155032764277392</v>
      </c>
      <c r="L605">
        <f>(((0.621*F605^0.564)/(1-H605)))*J605/F605</f>
        <v>5.0516775880924643</v>
      </c>
      <c r="M605">
        <f>IF((((0.326*F605^0.818)-(0.398*F605^0.85)/(1-H605)*H605)*(MAX('Min rate concentrations'!$P$3:$P$368)))/F605&gt;0, (((0.326*F605^0.818)-(0.398*F605^0.85)/(1-H605)*H605)*(MAX('Min rate concentrations'!$P$3:$P$368)))/F605, 0)</f>
        <v>0</v>
      </c>
      <c r="N605">
        <f>IF((((0.326*F605^0.818)-(0.398*F605^0.85)/(1-H605)*H605)*(MAX('Min rate concentrations'!$Q$3:$Q$368)))/F605&gt; 0, (((0.326*F605^0.818)-(0.398*F605^0.85)/(1-H605)*H605)*(MAX('Min rate concentrations'!$Q$3:$Q$368)))/F605, 0)</f>
        <v>0</v>
      </c>
      <c r="O605">
        <f>((MAX('Min rate concentrations'!$F$3:$F$368))*0.62*6.01*8*(12.3*F605^0.65)*0.079*0.1/F605)*inputs!$E$73/inputs!$E$74</f>
        <v>4.347989944372384</v>
      </c>
      <c r="P605">
        <f>((MAX('Min rate concentrations'!Y:Y))*0.62*6.01*8*(12.3*F605^0.65)*0.079*0.1/F605)*inputs!$E$73/inputs!$E$74</f>
        <v>1.4493299814574612</v>
      </c>
      <c r="Q605">
        <f>(inputs!$C$7*11.2*(12.3*F605^0.65)*0.5/F605)*inputs!$E$73/inputs!$E$74</f>
        <v>0.76587792106710151</v>
      </c>
      <c r="R605">
        <f>(60*379*((F605/1000)^0.8)*3*24*(MAX('Min rate concentrations'!$R$3:$R$368))/F605)*(inputs!$E$73/inputs!$E$75)</f>
        <v>1.9237979627382185E-3</v>
      </c>
      <c r="S605">
        <f>(IF(inputs!$C$6="aerial",((0.025*0.112*inputs!$C$7/3.3)*(3*60*379*((F605/1000)^0.8))*MAX(inputs!$H$14:$H$16))/F605,((0.0083*0.112*inputs!$C$7/1)*(3*60*379*((F605/1000)^0.8))*MAX(inputs!$H$14:$H$16))/F605))*(inputs!E$75/inputs!$E$73)</f>
        <v>1.0609863959395392E-2</v>
      </c>
      <c r="T605">
        <f>IF((((inputs!$P$12/(V605/MAX(K605:S605)))^(1/inputs!$O$12))-1)/inputs!$N$12&lt;0, 0, IF((((inputs!$P$12/(V605/MAX(K605:S605)))^(1/inputs!$O$12))-1)/inputs!$N$12&gt;inputs!$H$17, inputs!$H$17, (((inputs!$P$12/(V605/MAX(K605:S605)))^(1/inputs!$O$12))-1)/inputs!$N$12))</f>
        <v>2.2552896983153246</v>
      </c>
      <c r="U605">
        <f>IF((((inputs!$P$12/(X605/MAX(K605:S605)))^(1/inputs!$O$12))-1)/inputs!$N$12&lt;0, 0, IF((((inputs!$P$12/(X605/MAX(K605:S605)))^(1/inputs!$O$12))-1)/inputs!$N$12&gt;inputs!$H$17, inputs!$H$17, (((inputs!$P$12/(X605/MAX(K605:S605)))^(1/inputs!$O$12))-1)/inputs!$N$12))</f>
        <v>0</v>
      </c>
      <c r="V605">
        <f>inputs!$E$70*(F605/inputs!$F$70)^(0.25)</f>
        <v>5.985383125290773</v>
      </c>
      <c r="W605">
        <f>inputs!$E$76*(inputs!$F$76/F605)^(0.25)</f>
        <v>0.28465089829711249</v>
      </c>
      <c r="X605">
        <f>inputs!$E$72*(inputs!$F$72/F605)^(0.25)</f>
        <v>41.751713260270158</v>
      </c>
      <c r="Y605" t="s">
        <v>13</v>
      </c>
      <c r="Z605">
        <f t="shared" si="63"/>
        <v>2.532007132549456</v>
      </c>
      <c r="AA605">
        <f t="shared" si="64"/>
        <v>53.24076914894853</v>
      </c>
    </row>
    <row r="606" spans="1:27" x14ac:dyDescent="0.3">
      <c r="A606" t="s">
        <v>563</v>
      </c>
      <c r="B606" t="s">
        <v>564</v>
      </c>
      <c r="C606" t="s">
        <v>61</v>
      </c>
      <c r="D606" t="s">
        <v>443</v>
      </c>
      <c r="E606">
        <v>10</v>
      </c>
      <c r="F606">
        <v>800</v>
      </c>
      <c r="G606" t="s">
        <v>154</v>
      </c>
      <c r="H606">
        <v>9.2999999999999999E-2</v>
      </c>
      <c r="I606">
        <f>MAX('Min rate concentrations'!$G$3:$G$368)</f>
        <v>7.5</v>
      </c>
      <c r="J606">
        <f>MAX('Min rate concentrations'!Z:Z)</f>
        <v>3.5</v>
      </c>
      <c r="K606">
        <f t="shared" si="61"/>
        <v>0.27848277773387342</v>
      </c>
      <c r="M606">
        <f>IF((((0.326*F606^0.818)-(0.398*F606^0.85)/(1-H606)*H606)*(MAX('Min rate concentrations'!$P$3:$P$368)))/F606&gt;0, (((0.326*F606^0.818)-(0.398*F606^0.85)/(1-H606)*H606)*(MAX('Min rate concentrations'!$P$3:$P$368)))/F606, 0)</f>
        <v>1.1844131176666918E-2</v>
      </c>
      <c r="N606">
        <f>IF((((0.326*F606^0.818)-(0.398*F606^0.85)/(1-H606)*H606)*(MAX('Min rate concentrations'!$Q$3:$Q$368)))/F606&gt; 0, (((0.326*F606^0.818)-(0.398*F606^0.85)/(1-H606)*H606)*(MAX('Min rate concentrations'!$Q$3:$Q$368)))/F606, 0)</f>
        <v>4.5103087925874627E-2</v>
      </c>
      <c r="O606">
        <f>((MAX('Min rate concentrations'!$F$3:$F$368))*0.62*6.01*8*(12.3*F606^0.65)*0.079*0.1/F606)*inputs!$E$73/inputs!$E$74</f>
        <v>4.347989944372384</v>
      </c>
      <c r="Q606">
        <f>(inputs!$C$7*11.2*(12.3*F606^0.65)*0.5/F606)*inputs!$E$73/inputs!$E$74</f>
        <v>0.76587792106710151</v>
      </c>
      <c r="R606">
        <f>(60*379*((F606/1000)^0.8)*3*24*(MAX('Min rate concentrations'!$R$3:$R$368))/F606)*(inputs!$E$73/inputs!$E$75)</f>
        <v>1.9237979627382185E-3</v>
      </c>
      <c r="S606">
        <f>(IF(inputs!$C$6="aerial",((0.025*0.112*inputs!$C$7/3.3)*(3*60*379*((F606/1000)^0.8))*MAX(inputs!$H$14:$H$16))/F606,((0.0083*0.112*inputs!$C$7/1)*(3*60*379*((F606/1000)^0.8))*MAX(inputs!$H$14:$H$16))/F606))*(inputs!E$75/inputs!$E$73)</f>
        <v>1.0609863959395392E-2</v>
      </c>
      <c r="T606">
        <f>IF((((inputs!$P$12/(V606/MAX(K606:S606)))^(1/inputs!$O$12))-1)/inputs!$N$12&lt;0, 0, IF((((inputs!$P$12/(V606/MAX(K606:S606)))^(1/inputs!$O$12))-1)/inputs!$N$12&gt;inputs!$H$17, inputs!$H$17, (((inputs!$P$12/(V606/MAX(K606:S606)))^(1/inputs!$O$12))-1)/inputs!$N$12))</f>
        <v>0</v>
      </c>
      <c r="U606">
        <f>IF((((inputs!$P$12/(X606/MAX(K606:S606)))^(1/inputs!$O$12))-1)/inputs!$N$12&lt;0, 0, IF((((inputs!$P$12/(X606/MAX(K606:S606)))^(1/inputs!$O$12))-1)/inputs!$N$12&gt;inputs!$H$17, inputs!$H$17, (((inputs!$P$12/(X606/MAX(K606:S606)))^(1/inputs!$O$12))-1)/inputs!$N$12))</f>
        <v>0</v>
      </c>
      <c r="V606">
        <f>inputs!$E$70*(F606/inputs!$F$70)^(0.25)</f>
        <v>5.985383125290773</v>
      </c>
      <c r="W606">
        <f>inputs!$E$76*(inputs!$F$76/F606)^(0.25)</f>
        <v>0.28465089829711249</v>
      </c>
      <c r="X606">
        <f>inputs!$E$72*(inputs!$F$72/F606)^(0.25)</f>
        <v>41.751713260270158</v>
      </c>
      <c r="Y606" t="s">
        <v>13</v>
      </c>
      <c r="Z606">
        <f t="shared" si="63"/>
        <v>0.72643469154051121</v>
      </c>
      <c r="AA606">
        <f t="shared" si="64"/>
        <v>15.274815468293536</v>
      </c>
    </row>
    <row r="607" spans="1:27" x14ac:dyDescent="0.3">
      <c r="A607" t="s">
        <v>563</v>
      </c>
      <c r="B607" t="s">
        <v>564</v>
      </c>
      <c r="C607" t="s">
        <v>61</v>
      </c>
      <c r="D607" t="s">
        <v>443</v>
      </c>
      <c r="E607">
        <v>6334</v>
      </c>
      <c r="F607">
        <v>800</v>
      </c>
      <c r="G607" t="s">
        <v>142</v>
      </c>
      <c r="H607">
        <v>0.69</v>
      </c>
      <c r="I607">
        <f>MAX('Min rate concentrations'!$H$3:$H$368)</f>
        <v>47</v>
      </c>
      <c r="J607">
        <f>MAX('Min rate concentrations'!AA:AA)</f>
        <v>32.5</v>
      </c>
      <c r="K607">
        <f t="shared" si="61"/>
        <v>5.10599670194292</v>
      </c>
      <c r="L607">
        <f>(((0.621*F607^0.564)/(1-H607)))*J607/F607</f>
        <v>3.5307424002796792</v>
      </c>
      <c r="M607">
        <f>IF((((0.326*F607^0.818)-(0.398*F607^0.85)/(1-H607)*H607)*(MAX('Min rate concentrations'!$P$3:$P$368)))/F607&gt;0, (((0.326*F607^0.818)-(0.398*F607^0.85)/(1-H607)*H607)*(MAX('Min rate concentrations'!$P$3:$P$368)))/F607, 0)</f>
        <v>0</v>
      </c>
      <c r="N607">
        <f>IF((((0.326*F607^0.818)-(0.398*F607^0.85)/(1-H607)*H607)*(MAX('Min rate concentrations'!$Q$3:$Q$368)))/F607&gt; 0, (((0.326*F607^0.818)-(0.398*F607^0.85)/(1-H607)*H607)*(MAX('Min rate concentrations'!$Q$3:$Q$368)))/F607, 0)</f>
        <v>0</v>
      </c>
      <c r="O607">
        <f>((MAX('Min rate concentrations'!$F$3:$F$368))*0.62*6.01*8*(12.3*F607^0.65)*0.079*0.1/F607)*inputs!$E$73/inputs!$E$74</f>
        <v>4.347989944372384</v>
      </c>
      <c r="P607">
        <f>((MAX('Min rate concentrations'!Y:Y))*0.62*6.01*8*(12.3*F607^0.65)*0.079*0.1/F607)*inputs!$E$73/inputs!$E$74</f>
        <v>1.4493299814574612</v>
      </c>
      <c r="Q607">
        <f>(inputs!$C$7*11.2*(12.3*F607^0.65)*0.5/F607)*inputs!$E$73/inputs!$E$74</f>
        <v>0.76587792106710151</v>
      </c>
      <c r="R607">
        <f>(60*379*((F607/1000)^0.8)*3*24*(MAX('Min rate concentrations'!$R$3:$R$368))/F607)*(inputs!$E$73/inputs!$E$75)</f>
        <v>1.9237979627382185E-3</v>
      </c>
      <c r="S607">
        <f>(IF(inputs!$C$6="aerial",((0.025*0.112*inputs!$C$7/3.3)*(3*60*379*((F607/1000)^0.8))*MAX(inputs!$H$14:$H$16))/F607,((0.0083*0.112*inputs!$C$7/1)*(3*60*379*((F607/1000)^0.8))*MAX(inputs!$H$14:$H$16))/F607))*(inputs!E$75/inputs!$E$73)</f>
        <v>1.0609863959395392E-2</v>
      </c>
      <c r="T607">
        <f>IF((((inputs!$P$12/(V607/MAX(K607:S607)))^(1/inputs!$O$12))-1)/inputs!$N$12&lt;0, 0, IF((((inputs!$P$12/(V607/MAX(K607:S607)))^(1/inputs!$O$12))-1)/inputs!$N$12&gt;inputs!$H$17, inputs!$H$17, (((inputs!$P$12/(V607/MAX(K607:S607)))^(1/inputs!$O$12))-1)/inputs!$N$12))</f>
        <v>0</v>
      </c>
      <c r="U607">
        <f>IF((((inputs!$P$12/(X607/MAX(K607:S607)))^(1/inputs!$O$12))-1)/inputs!$N$12&lt;0, 0, IF((((inputs!$P$12/(X607/MAX(K607:S607)))^(1/inputs!$O$12))-1)/inputs!$N$12&gt;inputs!$H$17, inputs!$H$17, (((inputs!$P$12/(X607/MAX(K607:S607)))^(1/inputs!$O$12))-1)/inputs!$N$12))</f>
        <v>0</v>
      </c>
      <c r="V607">
        <f>inputs!$E$70*(F607/inputs!$F$70)^(0.25)</f>
        <v>5.985383125290773</v>
      </c>
      <c r="W607">
        <f>inputs!$E$76*(inputs!$F$76/F607)^(0.25)</f>
        <v>0.28465089829711249</v>
      </c>
      <c r="X607">
        <f>inputs!$E$72*(inputs!$F$72/F607)^(0.25)</f>
        <v>41.751713260270158</v>
      </c>
      <c r="Y607" t="s">
        <v>13</v>
      </c>
      <c r="Z607">
        <f t="shared" si="63"/>
        <v>0.85307767189838291</v>
      </c>
      <c r="AA607">
        <f t="shared" si="64"/>
        <v>17.93775017921563</v>
      </c>
    </row>
    <row r="608" spans="1:27" x14ac:dyDescent="0.3">
      <c r="A608" t="s">
        <v>563</v>
      </c>
      <c r="B608" t="s">
        <v>564</v>
      </c>
      <c r="C608" t="s">
        <v>61</v>
      </c>
      <c r="D608" t="s">
        <v>443</v>
      </c>
      <c r="E608">
        <v>6334</v>
      </c>
      <c r="F608">
        <v>800</v>
      </c>
      <c r="G608" t="s">
        <v>138</v>
      </c>
      <c r="H608">
        <v>0.68</v>
      </c>
      <c r="I608">
        <f>MAX('Min rate concentrations'!$L$3:$L$368)</f>
        <v>58.421240152220811</v>
      </c>
      <c r="J608">
        <f>MAX('Min rate concentrations'!AD:AD)</f>
        <v>40.397666062705881</v>
      </c>
      <c r="K608">
        <f t="shared" si="61"/>
        <v>6.1484431155321149</v>
      </c>
      <c r="L608">
        <f>(((0.621*F608^0.564)/(1-H608)))*J608/F608</f>
        <v>4.2515830054211436</v>
      </c>
      <c r="M608">
        <f>IF((((0.326*F608^0.818)-(0.398*F608^0.85)/(1-H608)*H608)*(MAX('Min rate concentrations'!$P$3:$P$368)))/F608&gt;0, (((0.326*F608^0.818)-(0.398*F608^0.85)/(1-H608)*H608)*(MAX('Min rate concentrations'!$P$3:$P$368)))/F608, 0)</f>
        <v>0</v>
      </c>
      <c r="N608">
        <f>IF((((0.326*F608^0.818)-(0.398*F608^0.85)/(1-H608)*H608)*(MAX('Min rate concentrations'!$Q$3:$Q$368)))/F608&gt; 0, (((0.326*F608^0.818)-(0.398*F608^0.85)/(1-H608)*H608)*(MAX('Min rate concentrations'!$Q$3:$Q$368)))/F608, 0)</f>
        <v>0</v>
      </c>
      <c r="O608">
        <f>((MAX('Min rate concentrations'!$F$3:$F$368))*0.62*6.01*8*(12.3*F608^0.65)*0.079*0.1/F608)*inputs!$E$73/inputs!$E$74</f>
        <v>4.347989944372384</v>
      </c>
      <c r="P608">
        <f>((MAX('Min rate concentrations'!Y:Y))*0.62*6.01*8*(12.3*F608^0.65)*0.079*0.1/F608)*inputs!$E$73/inputs!$E$74</f>
        <v>1.4493299814574612</v>
      </c>
      <c r="Q608">
        <f>(inputs!$C$7*11.2*(12.3*F608^0.65)*0.5/F608)*inputs!$E$73/inputs!$E$74</f>
        <v>0.76587792106710151</v>
      </c>
      <c r="R608">
        <f>(60*379*((F608/1000)^0.8)*3*24*(MAX('Min rate concentrations'!$R$3:$R$368))/F608)*(inputs!$E$73/inputs!$E$75)</f>
        <v>1.9237979627382185E-3</v>
      </c>
      <c r="S608">
        <f>(IF(inputs!$C$6="aerial",((0.025*0.112*inputs!$C$7/3.3)*(3*60*379*((F608/1000)^0.8))*MAX(inputs!$H$14:$H$16))/F608,((0.0083*0.112*inputs!$C$7/1)*(3*60*379*((F608/1000)^0.8))*MAX(inputs!$H$14:$H$16))/F608))*(inputs!E$75/inputs!$E$73)</f>
        <v>1.0609863959395392E-2</v>
      </c>
      <c r="T608">
        <f>IF((((inputs!$P$12/(V608/MAX(K608:S608)))^(1/inputs!$O$12))-1)/inputs!$N$12&lt;0, 0, IF((((inputs!$P$12/(V608/MAX(K608:S608)))^(1/inputs!$O$12))-1)/inputs!$N$12&gt;inputs!$H$17, inputs!$H$17, (((inputs!$P$12/(V608/MAX(K608:S608)))^(1/inputs!$O$12))-1)/inputs!$N$12))</f>
        <v>0</v>
      </c>
      <c r="U608">
        <f>IF((((inputs!$P$12/(X608/MAX(K608:S608)))^(1/inputs!$O$12))-1)/inputs!$N$12&lt;0, 0, IF((((inputs!$P$12/(X608/MAX(K608:S608)))^(1/inputs!$O$12))-1)/inputs!$N$12&gt;inputs!$H$17, inputs!$H$17, (((inputs!$P$12/(X608/MAX(K608:S608)))^(1/inputs!$O$12))-1)/inputs!$N$12))</f>
        <v>0</v>
      </c>
      <c r="V608">
        <f>inputs!$E$70*(F608/inputs!$F$70)^(0.25)</f>
        <v>5.985383125290773</v>
      </c>
      <c r="W608">
        <f>inputs!$E$76*(inputs!$F$76/F608)^(0.25)</f>
        <v>0.28465089829711249</v>
      </c>
      <c r="X608">
        <f>inputs!$E$72*(inputs!$F$72/F608)^(0.25)</f>
        <v>41.751713260270158</v>
      </c>
      <c r="Y608" t="s">
        <v>13</v>
      </c>
      <c r="Z608">
        <f t="shared" si="63"/>
        <v>1.0272430330403319</v>
      </c>
      <c r="AA608">
        <f t="shared" si="64"/>
        <v>21.599942780136608</v>
      </c>
    </row>
    <row r="609" spans="1:27" x14ac:dyDescent="0.3">
      <c r="A609" t="s">
        <v>563</v>
      </c>
      <c r="B609" t="s">
        <v>564</v>
      </c>
      <c r="C609" t="s">
        <v>61</v>
      </c>
      <c r="D609" t="s">
        <v>443</v>
      </c>
      <c r="E609">
        <v>6334</v>
      </c>
      <c r="F609">
        <v>800</v>
      </c>
      <c r="G609" t="s">
        <v>158</v>
      </c>
      <c r="H609">
        <v>0.85</v>
      </c>
      <c r="I609">
        <f>MAX('Min rate concentrations'!$F$3:$F$368)</f>
        <v>67.5</v>
      </c>
      <c r="J609">
        <f>MAX('Min rate concentrations'!Y:Y)</f>
        <v>22.5</v>
      </c>
      <c r="K609">
        <f t="shared" si="61"/>
        <v>15.155032764277392</v>
      </c>
      <c r="L609">
        <f>(((0.621*F609^0.564)/(1-H609)))*J609/F609</f>
        <v>5.0516775880924643</v>
      </c>
      <c r="M609">
        <f>IF((((0.326*F609^0.818)-(0.398*F609^0.85)/(1-H609)*H609)*(MAX('Min rate concentrations'!$P$3:$P$368)))/F609&gt;0, (((0.326*F609^0.818)-(0.398*F609^0.85)/(1-H609)*H609)*(MAX('Min rate concentrations'!$P$3:$P$368)))/F609, 0)</f>
        <v>0</v>
      </c>
      <c r="N609">
        <f>IF((((0.326*F609^0.818)-(0.398*F609^0.85)/(1-H609)*H609)*(MAX('Min rate concentrations'!$Q$3:$Q$368)))/F609&gt; 0, (((0.326*F609^0.818)-(0.398*F609^0.85)/(1-H609)*H609)*(MAX('Min rate concentrations'!$Q$3:$Q$368)))/F609, 0)</f>
        <v>0</v>
      </c>
      <c r="O609">
        <f>((MAX('Min rate concentrations'!$F$3:$F$368))*0.62*6.01*8*(12.3*F609^0.65)*0.079*0.1/F609)*inputs!$E$73/inputs!$E$74</f>
        <v>4.347989944372384</v>
      </c>
      <c r="P609">
        <f>((MAX('Min rate concentrations'!Y:Y))*0.62*6.01*8*(12.3*F609^0.65)*0.079*0.1/F609)*inputs!$E$73/inputs!$E$74</f>
        <v>1.4493299814574612</v>
      </c>
      <c r="Q609">
        <f>(inputs!$C$7*11.2*(12.3*F609^0.65)*0.5/F609)*inputs!$E$73/inputs!$E$74</f>
        <v>0.76587792106710151</v>
      </c>
      <c r="R609">
        <f>(60*379*((F609/1000)^0.8)*3*24*(MAX('Min rate concentrations'!$R$3:$R$368))/F609)*(inputs!$E$73/inputs!$E$75)</f>
        <v>1.9237979627382185E-3</v>
      </c>
      <c r="S609">
        <f>(IF(inputs!$C$6="aerial",((0.025*0.112*inputs!$C$7/3.3)*(3*60*379*((F609/1000)^0.8))*MAX(inputs!$H$14:$H$16))/F609,((0.0083*0.112*inputs!$C$7/1)*(3*60*379*((F609/1000)^0.8))*MAX(inputs!$H$14:$H$16))/F609))*(inputs!E$75/inputs!$E$73)</f>
        <v>1.0609863959395392E-2</v>
      </c>
      <c r="T609">
        <f>IF((((inputs!$P$12/(V609/MAX(K609:S609)))^(1/inputs!$O$12))-1)/inputs!$N$12&lt;0, 0, IF((((inputs!$P$12/(V609/MAX(K609:S609)))^(1/inputs!$O$12))-1)/inputs!$N$12&gt;inputs!$H$17, inputs!$H$17, (((inputs!$P$12/(V609/MAX(K609:S609)))^(1/inputs!$O$12))-1)/inputs!$N$12))</f>
        <v>2.2552896983153246</v>
      </c>
      <c r="U609">
        <f>IF((((inputs!$P$12/(X609/MAX(K609:S609)))^(1/inputs!$O$12))-1)/inputs!$N$12&lt;0, 0, IF((((inputs!$P$12/(X609/MAX(K609:S609)))^(1/inputs!$O$12))-1)/inputs!$N$12&gt;inputs!$H$17, inputs!$H$17, (((inputs!$P$12/(X609/MAX(K609:S609)))^(1/inputs!$O$12))-1)/inputs!$N$12))</f>
        <v>0</v>
      </c>
      <c r="V609">
        <f>inputs!$E$70*(F609/inputs!$F$70)^(0.25)</f>
        <v>5.985383125290773</v>
      </c>
      <c r="W609">
        <f>inputs!$E$76*(inputs!$F$76/F609)^(0.25)</f>
        <v>0.28465089829711249</v>
      </c>
      <c r="X609">
        <f>inputs!$E$72*(inputs!$F$72/F609)^(0.25)</f>
        <v>41.751713260270158</v>
      </c>
      <c r="Y609" t="s">
        <v>13</v>
      </c>
      <c r="Z609">
        <f t="shared" si="63"/>
        <v>2.532007132549456</v>
      </c>
      <c r="AA609">
        <f t="shared" si="64"/>
        <v>53.24076914894853</v>
      </c>
    </row>
    <row r="610" spans="1:27" x14ac:dyDescent="0.3">
      <c r="A610" t="s">
        <v>563</v>
      </c>
      <c r="B610" t="s">
        <v>564</v>
      </c>
      <c r="C610" t="s">
        <v>61</v>
      </c>
      <c r="D610" t="s">
        <v>443</v>
      </c>
      <c r="E610">
        <v>6334</v>
      </c>
      <c r="F610">
        <v>800</v>
      </c>
      <c r="G610" t="s">
        <v>154</v>
      </c>
      <c r="H610">
        <v>9.2999999999999999E-2</v>
      </c>
      <c r="I610">
        <f>MAX('Min rate concentrations'!$G$3:$G$368)</f>
        <v>7.5</v>
      </c>
      <c r="J610">
        <f>MAX('Min rate concentrations'!Z:Z)</f>
        <v>3.5</v>
      </c>
      <c r="K610">
        <f t="shared" si="61"/>
        <v>0.27848277773387342</v>
      </c>
      <c r="M610">
        <f>IF((((0.326*F610^0.818)-(0.398*F610^0.85)/(1-H610)*H610)*(MAX('Min rate concentrations'!$P$3:$P$368)))/F610&gt;0, (((0.326*F610^0.818)-(0.398*F610^0.85)/(1-H610)*H610)*(MAX('Min rate concentrations'!$P$3:$P$368)))/F610, 0)</f>
        <v>1.1844131176666918E-2</v>
      </c>
      <c r="N610">
        <f>IF((((0.326*F610^0.818)-(0.398*F610^0.85)/(1-H610)*H610)*(MAX('Min rate concentrations'!$Q$3:$Q$368)))/F610&gt; 0, (((0.326*F610^0.818)-(0.398*F610^0.85)/(1-H610)*H610)*(MAX('Min rate concentrations'!$Q$3:$Q$368)))/F610, 0)</f>
        <v>4.5103087925874627E-2</v>
      </c>
      <c r="O610">
        <f>((MAX('Min rate concentrations'!$F$3:$F$368))*0.62*6.01*8*(12.3*F610^0.65)*0.079*0.1/F610)*inputs!$E$73/inputs!$E$74</f>
        <v>4.347989944372384</v>
      </c>
      <c r="Q610">
        <f>(inputs!$C$7*11.2*(12.3*F610^0.65)*0.5/F610)*inputs!$E$73/inputs!$E$74</f>
        <v>0.76587792106710151</v>
      </c>
      <c r="R610">
        <f>(60*379*((F610/1000)^0.8)*3*24*(MAX('Min rate concentrations'!$R$3:$R$368))/F610)*(inputs!$E$73/inputs!$E$75)</f>
        <v>1.9237979627382185E-3</v>
      </c>
      <c r="S610">
        <f>(IF(inputs!$C$6="aerial",((0.025*0.112*inputs!$C$7/3.3)*(3*60*379*((F610/1000)^0.8))*MAX(inputs!$H$14:$H$16))/F610,((0.0083*0.112*inputs!$C$7/1)*(3*60*379*((F610/1000)^0.8))*MAX(inputs!$H$14:$H$16))/F610))*(inputs!E$75/inputs!$E$73)</f>
        <v>1.0609863959395392E-2</v>
      </c>
      <c r="T610">
        <f>IF((((inputs!$P$12/(V610/MAX(K610:S610)))^(1/inputs!$O$12))-1)/inputs!$N$12&lt;0, 0, IF((((inputs!$P$12/(V610/MAX(K610:S610)))^(1/inputs!$O$12))-1)/inputs!$N$12&gt;inputs!$H$17, inputs!$H$17, (((inputs!$P$12/(V610/MAX(K610:S610)))^(1/inputs!$O$12))-1)/inputs!$N$12))</f>
        <v>0</v>
      </c>
      <c r="U610">
        <f>IF((((inputs!$P$12/(X610/MAX(K610:S610)))^(1/inputs!$O$12))-1)/inputs!$N$12&lt;0, 0, IF((((inputs!$P$12/(X610/MAX(K610:S610)))^(1/inputs!$O$12))-1)/inputs!$N$12&gt;inputs!$H$17, inputs!$H$17, (((inputs!$P$12/(X610/MAX(K610:S610)))^(1/inputs!$O$12))-1)/inputs!$N$12))</f>
        <v>0</v>
      </c>
      <c r="V610">
        <f>inputs!$E$70*(F610/inputs!$F$70)^(0.25)</f>
        <v>5.985383125290773</v>
      </c>
      <c r="W610">
        <f>inputs!$E$76*(inputs!$F$76/F610)^(0.25)</f>
        <v>0.28465089829711249</v>
      </c>
      <c r="X610">
        <f>inputs!$E$72*(inputs!$F$72/F610)^(0.25)</f>
        <v>41.751713260270158</v>
      </c>
      <c r="Y610" t="s">
        <v>13</v>
      </c>
      <c r="Z610">
        <f t="shared" si="63"/>
        <v>0.72643469154051121</v>
      </c>
      <c r="AA610">
        <f t="shared" si="64"/>
        <v>15.274815468293536</v>
      </c>
    </row>
    <row r="611" spans="1:27" x14ac:dyDescent="0.3">
      <c r="A611" t="s">
        <v>511</v>
      </c>
      <c r="B611" t="s">
        <v>512</v>
      </c>
      <c r="C611" t="s">
        <v>61</v>
      </c>
      <c r="D611" t="s">
        <v>443</v>
      </c>
      <c r="E611">
        <v>60</v>
      </c>
      <c r="F611">
        <v>34</v>
      </c>
      <c r="G611" t="s">
        <v>169</v>
      </c>
      <c r="H611">
        <v>0.79</v>
      </c>
      <c r="I611">
        <f>MAX('Min rate concentrations'!$D$3:$D$368)</f>
        <v>120</v>
      </c>
      <c r="J611">
        <f>MAX('Min rate concentrations'!W:W)</f>
        <v>42.5</v>
      </c>
      <c r="K611">
        <f t="shared" si="61"/>
        <v>76.265609193030642</v>
      </c>
      <c r="L611">
        <f>(((0.621*F611^0.564)/(1-H611)))*J611/F611</f>
        <v>27.010736589198356</v>
      </c>
      <c r="M611">
        <f>IF((((0.326*F611^0.818)-(0.398*F611^0.85)/(1-H611)*H611)*(MAX('Min rate concentrations'!$P$3:$P$368)))/F611&gt;0, (((0.326*F611^0.818)-(0.398*F611^0.85)/(1-H611)*H611)*(MAX('Min rate concentrations'!$P$3:$P$368)))/F611, 0)</f>
        <v>0</v>
      </c>
      <c r="N611">
        <f>IF((((0.326*F611^0.818)-(0.398*F611^0.85)/(1-H611)*H611)*(MAX('Min rate concentrations'!$Q$3:$Q$368)))/F611&gt; 0, (((0.326*F611^0.818)-(0.398*F611^0.85)/(1-H611)*H611)*(MAX('Min rate concentrations'!$Q$3:$Q$368)))/F611, 0)</f>
        <v>0</v>
      </c>
      <c r="O611">
        <f>((MAX('Min rate concentrations'!$F$3:$F$368))*0.62*6.01*8*(12.3*F611^0.65)*0.079*0.1/F611)*inputs!$E$73/inputs!$E$74</f>
        <v>13.132651074214952</v>
      </c>
      <c r="P611">
        <f>((MAX('Min rate concentrations'!Y:Y))*0.62*6.01*8*(12.3*F611^0.65)*0.079*0.1/F611)*inputs!$E$73/inputs!$E$74</f>
        <v>4.3775503580716499</v>
      </c>
      <c r="Q611">
        <f>(inputs!$C$7*11.2*(12.3*F611^0.65)*0.5/F611)*inputs!$E$73/inputs!$E$74</f>
        <v>2.3132545455486833</v>
      </c>
      <c r="R611">
        <f>(60*379*((F611/1000)^0.8)*3*24*(MAX('Min rate concentrations'!$R$3:$R$368))/F611)*(inputs!$E$73/inputs!$E$75)</f>
        <v>3.618109234116487E-3</v>
      </c>
      <c r="S611">
        <f>(IF(inputs!$C$6="aerial",((0.025*0.112*inputs!$C$7/3.3)*(3*60*379*((F611/1000)^0.8))*MAX(inputs!$H$14:$H$16))/F611,((0.0083*0.112*inputs!$C$7/1)*(3*60*379*((F611/1000)^0.8))*MAX(inputs!$H$14:$H$16))/F611))*(inputs!E$75/inputs!$E$73)</f>
        <v>1.995409471666635E-2</v>
      </c>
      <c r="T611">
        <f>IF((((inputs!$P$12/(V611/MAX(K611:S611)))^(1/inputs!$O$12))-1)/inputs!$N$12&lt;0, 0, IF((((inputs!$P$12/(V611/MAX(K611:S611)))^(1/inputs!$O$12))-1)/inputs!$N$12&gt;inputs!$H$17, inputs!$H$17, (((inputs!$P$12/(V611/MAX(K611:S611)))^(1/inputs!$O$12))-1)/inputs!$N$12))</f>
        <v>53.297162592756806</v>
      </c>
      <c r="U611">
        <f>IF((((inputs!$P$12/(X611/MAX(K611:S611)))^(1/inputs!$O$12))-1)/inputs!$N$12&lt;0, 0, IF((((inputs!$P$12/(X611/MAX(K611:S611)))^(1/inputs!$O$12))-1)/inputs!$N$12&gt;inputs!$H$17, inputs!$H$17, (((inputs!$P$12/(X611/MAX(K611:S611)))^(1/inputs!$O$12))-1)/inputs!$N$12))</f>
        <v>0</v>
      </c>
      <c r="V611">
        <f>inputs!$E$70*(F611/inputs!$F$70)^(0.25)</f>
        <v>2.7176228621363152</v>
      </c>
      <c r="W611">
        <f>inputs!$E$76*(inputs!$F$76/F611)^(0.25)</f>
        <v>0.62692462114742753</v>
      </c>
      <c r="X611">
        <f>inputs!$E$72*(inputs!$F$72/F611)^(0.25)</f>
        <v>91.955364183076668</v>
      </c>
      <c r="Y611" t="s">
        <v>13</v>
      </c>
      <c r="Z611">
        <f t="shared" si="63"/>
        <v>28.06335281308256</v>
      </c>
      <c r="AA611">
        <f t="shared" si="64"/>
        <v>121.65036532373807</v>
      </c>
    </row>
    <row r="612" spans="1:27" x14ac:dyDescent="0.3">
      <c r="A612" t="s">
        <v>511</v>
      </c>
      <c r="B612" t="s">
        <v>512</v>
      </c>
      <c r="C612" t="s">
        <v>61</v>
      </c>
      <c r="D612" t="s">
        <v>443</v>
      </c>
      <c r="E612">
        <v>60</v>
      </c>
      <c r="F612">
        <v>34</v>
      </c>
      <c r="G612" t="s">
        <v>154</v>
      </c>
      <c r="H612">
        <v>9.2999999999999999E-2</v>
      </c>
      <c r="I612">
        <f>MAX('Min rate concentrations'!$G$3:$G$368)</f>
        <v>7.5</v>
      </c>
      <c r="J612">
        <f>MAX('Min rate concentrations'!Z:Z)</f>
        <v>3.5</v>
      </c>
      <c r="K612">
        <f t="shared" si="61"/>
        <v>1.1036230657756638</v>
      </c>
      <c r="M612">
        <f>IF((((0.326*F612^0.818)-(0.398*F612^0.85)/(1-H612)*H612)*(MAX('Min rate concentrations'!$P$3:$P$368)))/F612&gt;0, (((0.326*F612^0.818)-(0.398*F612^0.85)/(1-H612)*H612)*(MAX('Min rate concentrations'!$P$3:$P$368)))/F612, 0)</f>
        <v>2.1415566024772022E-2</v>
      </c>
      <c r="N612">
        <f>IF((((0.326*F612^0.818)-(0.398*F612^0.85)/(1-H612)*H612)*(MAX('Min rate concentrations'!$Q$3:$Q$368)))/F612&gt; 0, (((0.326*F612^0.818)-(0.398*F612^0.85)/(1-H612)*H612)*(MAX('Min rate concentrations'!$Q$3:$Q$368)))/F612, 0)</f>
        <v>8.1551626116782322E-2</v>
      </c>
      <c r="O612">
        <f>((MAX('Min rate concentrations'!$F$3:$F$368))*0.62*6.01*8*(12.3*F612^0.65)*0.079*0.1/F612)*inputs!$E$73/inputs!$E$74</f>
        <v>13.132651074214952</v>
      </c>
      <c r="Q612">
        <f>(inputs!$C$7*11.2*(12.3*F612^0.65)*0.5/F612)*inputs!$E$73/inputs!$E$74</f>
        <v>2.3132545455486833</v>
      </c>
      <c r="R612">
        <f>(60*379*((F612/1000)^0.8)*3*24*(MAX('Min rate concentrations'!$R$3:$R$368))/F612)*(inputs!$E$73/inputs!$E$75)</f>
        <v>3.618109234116487E-3</v>
      </c>
      <c r="S612">
        <f>(IF(inputs!$C$6="aerial",((0.025*0.112*inputs!$C$7/3.3)*(3*60*379*((F612/1000)^0.8))*MAX(inputs!$H$14:$H$16))/F612,((0.0083*0.112*inputs!$C$7/1)*(3*60*379*((F612/1000)^0.8))*MAX(inputs!$H$14:$H$16))/F612))*(inputs!E$75/inputs!$E$73)</f>
        <v>1.995409471666635E-2</v>
      </c>
      <c r="T612">
        <f>IF((((inputs!$P$12/(V612/MAX(K612:S612)))^(1/inputs!$O$12))-1)/inputs!$N$12&lt;0, 0, IF((((inputs!$P$12/(V612/MAX(K612:S612)))^(1/inputs!$O$12))-1)/inputs!$N$12&gt;inputs!$H$17, inputs!$H$17, (((inputs!$P$12/(V612/MAX(K612:S612)))^(1/inputs!$O$12))-1)/inputs!$N$12))</f>
        <v>11.499746828892663</v>
      </c>
      <c r="U612">
        <f>IF((((inputs!$P$12/(X612/MAX(K612:S612)))^(1/inputs!$O$12))-1)/inputs!$N$12&lt;0, 0, IF((((inputs!$P$12/(X612/MAX(K612:S612)))^(1/inputs!$O$12))-1)/inputs!$N$12&gt;inputs!$H$17, inputs!$H$17, (((inputs!$P$12/(X612/MAX(K612:S612)))^(1/inputs!$O$12))-1)/inputs!$N$12))</f>
        <v>0</v>
      </c>
      <c r="V612">
        <f>inputs!$E$70*(F612/inputs!$F$70)^(0.25)</f>
        <v>2.7176228621363152</v>
      </c>
      <c r="W612">
        <f>inputs!$E$76*(inputs!$F$76/F612)^(0.25)</f>
        <v>0.62692462114742753</v>
      </c>
      <c r="X612">
        <f>inputs!$E$72*(inputs!$F$72/F612)^(0.25)</f>
        <v>91.955364183076668</v>
      </c>
      <c r="Y612" t="s">
        <v>13</v>
      </c>
      <c r="Z612">
        <f t="shared" si="63"/>
        <v>4.8324038103989944</v>
      </c>
      <c r="AA612">
        <f t="shared" si="64"/>
        <v>20.947735391503596</v>
      </c>
    </row>
    <row r="613" spans="1:27" x14ac:dyDescent="0.3">
      <c r="A613" t="s">
        <v>478</v>
      </c>
      <c r="B613" t="s">
        <v>479</v>
      </c>
      <c r="C613" t="s">
        <v>61</v>
      </c>
      <c r="D613" t="s">
        <v>443</v>
      </c>
      <c r="E613">
        <v>37</v>
      </c>
      <c r="F613">
        <v>34</v>
      </c>
      <c r="G613" t="s">
        <v>142</v>
      </c>
      <c r="H613">
        <v>0.69</v>
      </c>
      <c r="I613">
        <f>MAX('Min rate concentrations'!$H$3:$H$368)</f>
        <v>47</v>
      </c>
      <c r="J613">
        <f>MAX('Min rate concentrations'!AA:AA)</f>
        <v>32.5</v>
      </c>
      <c r="K613">
        <f t="shared" si="61"/>
        <v>20.234988245570221</v>
      </c>
      <c r="L613">
        <f>(((0.621*F613^0.564)/(1-H613)))*J613/F613</f>
        <v>13.992279105979408</v>
      </c>
      <c r="M613">
        <f>IF((((0.326*F613^0.818)-(0.398*F613^0.85)/(1-H613)*H613)*(MAX('Min rate concentrations'!$P$3:$P$368)))/F613&gt;0, (((0.326*F613^0.818)-(0.398*F613^0.85)/(1-H613)*H613)*(MAX('Min rate concentrations'!$P$3:$P$368)))/F613, 0)</f>
        <v>0</v>
      </c>
      <c r="N613">
        <f>IF((((0.326*F613^0.818)-(0.398*F613^0.85)/(1-H613)*H613)*(MAX('Min rate concentrations'!$Q$3:$Q$368)))/F613&gt; 0, (((0.326*F613^0.818)-(0.398*F613^0.85)/(1-H613)*H613)*(MAX('Min rate concentrations'!$Q$3:$Q$368)))/F613, 0)</f>
        <v>0</v>
      </c>
      <c r="O613">
        <f>((MAX('Min rate concentrations'!$F$3:$F$368))*0.62*6.01*8*(12.3*F613^0.65)*0.079*0.1/F613)*inputs!$E$73/inputs!$E$74</f>
        <v>13.132651074214952</v>
      </c>
      <c r="P613">
        <f>((MAX('Min rate concentrations'!Y:Y))*0.62*6.01*8*(12.3*F613^0.65)*0.079*0.1/F613)*inputs!$E$73/inputs!$E$74</f>
        <v>4.3775503580716499</v>
      </c>
      <c r="Q613">
        <f>(inputs!$C$7*11.2*(12.3*F613^0.65)*0.5/F613)*inputs!$E$73/inputs!$E$74</f>
        <v>2.3132545455486833</v>
      </c>
      <c r="R613">
        <f>(60*379*((F613/1000)^0.8)*3*24*(MAX('Min rate concentrations'!$R$3:$R$368))/F613)*(inputs!$E$73/inputs!$E$75)</f>
        <v>3.618109234116487E-3</v>
      </c>
      <c r="S613">
        <f>(IF(inputs!$C$6="aerial",((0.025*0.112*inputs!$C$7/3.3)*(3*60*379*((F613/1000)^0.8))*MAX(inputs!$H$14:$H$16))/F613,((0.0083*0.112*inputs!$C$7/1)*(3*60*379*((F613/1000)^0.8))*MAX(inputs!$H$14:$H$16))/F613))*(inputs!E$75/inputs!$E$73)</f>
        <v>1.995409471666635E-2</v>
      </c>
      <c r="T613">
        <f>IF((((inputs!$P$12/(V613/MAX(K613:S613)))^(1/inputs!$O$12))-1)/inputs!$N$12&lt;0, 0, IF((((inputs!$P$12/(V613/MAX(K613:S613)))^(1/inputs!$O$12))-1)/inputs!$N$12&gt;inputs!$H$17, inputs!$H$17, (((inputs!$P$12/(V613/MAX(K613:S613)))^(1/inputs!$O$12))-1)/inputs!$N$12))</f>
        <v>19.187505660643023</v>
      </c>
      <c r="U613">
        <f>IF((((inputs!$P$12/(X613/MAX(K613:S613)))^(1/inputs!$O$12))-1)/inputs!$N$12&lt;0, 0, IF((((inputs!$P$12/(X613/MAX(K613:S613)))^(1/inputs!$O$12))-1)/inputs!$N$12&gt;inputs!$H$17, inputs!$H$17, (((inputs!$P$12/(X613/MAX(K613:S613)))^(1/inputs!$O$12))-1)/inputs!$N$12))</f>
        <v>0</v>
      </c>
      <c r="V613">
        <f>inputs!$E$70*(F613/inputs!$F$70)^(0.25)</f>
        <v>2.7176228621363152</v>
      </c>
      <c r="W613">
        <f>inputs!$E$76*(inputs!$F$76/F613)^(0.25)</f>
        <v>0.62692462114742753</v>
      </c>
      <c r="X613">
        <f>inputs!$E$72*(inputs!$F$72/F613)^(0.25)</f>
        <v>91.955364183076668</v>
      </c>
      <c r="Y613" t="s">
        <v>13</v>
      </c>
      <c r="Z613">
        <f t="shared" si="63"/>
        <v>7.4458411899227102</v>
      </c>
      <c r="AA613">
        <f t="shared" si="64"/>
        <v>32.276588864120818</v>
      </c>
    </row>
    <row r="614" spans="1:27" x14ac:dyDescent="0.3">
      <c r="A614" t="s">
        <v>478</v>
      </c>
      <c r="B614" t="s">
        <v>479</v>
      </c>
      <c r="C614" t="s">
        <v>61</v>
      </c>
      <c r="D614" t="s">
        <v>443</v>
      </c>
      <c r="E614">
        <v>37</v>
      </c>
      <c r="F614">
        <v>34</v>
      </c>
      <c r="G614" t="s">
        <v>169</v>
      </c>
      <c r="H614">
        <v>0.79</v>
      </c>
      <c r="I614">
        <f>MAX('Min rate concentrations'!$D$3:$D$368)</f>
        <v>120</v>
      </c>
      <c r="J614">
        <f>MAX('Min rate concentrations'!W:W)</f>
        <v>42.5</v>
      </c>
      <c r="K614">
        <f t="shared" si="61"/>
        <v>76.265609193030642</v>
      </c>
      <c r="L614">
        <f>(((0.621*F614^0.564)/(1-H614)))*J614/F614</f>
        <v>27.010736589198356</v>
      </c>
      <c r="M614">
        <f>IF((((0.326*F614^0.818)-(0.398*F614^0.85)/(1-H614)*H614)*(MAX('Min rate concentrations'!$P$3:$P$368)))/F614&gt;0, (((0.326*F614^0.818)-(0.398*F614^0.85)/(1-H614)*H614)*(MAX('Min rate concentrations'!$P$3:$P$368)))/F614, 0)</f>
        <v>0</v>
      </c>
      <c r="N614">
        <f>IF((((0.326*F614^0.818)-(0.398*F614^0.85)/(1-H614)*H614)*(MAX('Min rate concentrations'!$Q$3:$Q$368)))/F614&gt; 0, (((0.326*F614^0.818)-(0.398*F614^0.85)/(1-H614)*H614)*(MAX('Min rate concentrations'!$Q$3:$Q$368)))/F614, 0)</f>
        <v>0</v>
      </c>
      <c r="O614">
        <f>((MAX('Min rate concentrations'!$F$3:$F$368))*0.62*6.01*8*(12.3*F614^0.65)*0.079*0.1/F614)*inputs!$E$73/inputs!$E$74</f>
        <v>13.132651074214952</v>
      </c>
      <c r="P614">
        <f>((MAX('Min rate concentrations'!Y:Y))*0.62*6.01*8*(12.3*F614^0.65)*0.079*0.1/F614)*inputs!$E$73/inputs!$E$74</f>
        <v>4.3775503580716499</v>
      </c>
      <c r="Q614">
        <f>(inputs!$C$7*11.2*(12.3*F614^0.65)*0.5/F614)*inputs!$E$73/inputs!$E$74</f>
        <v>2.3132545455486833</v>
      </c>
      <c r="R614">
        <f>(60*379*((F614/1000)^0.8)*3*24*(MAX('Min rate concentrations'!$R$3:$R$368))/F614)*(inputs!$E$73/inputs!$E$75)</f>
        <v>3.618109234116487E-3</v>
      </c>
      <c r="S614">
        <f>(IF(inputs!$C$6="aerial",((0.025*0.112*inputs!$C$7/3.3)*(3*60*379*((F614/1000)^0.8))*MAX(inputs!$H$14:$H$16))/F614,((0.0083*0.112*inputs!$C$7/1)*(3*60*379*((F614/1000)^0.8))*MAX(inputs!$H$14:$H$16))/F614))*(inputs!E$75/inputs!$E$73)</f>
        <v>1.995409471666635E-2</v>
      </c>
      <c r="T614">
        <f>IF((((inputs!$P$12/(V614/MAX(K614:S614)))^(1/inputs!$O$12))-1)/inputs!$N$12&lt;0, 0, IF((((inputs!$P$12/(V614/MAX(K614:S614)))^(1/inputs!$O$12))-1)/inputs!$N$12&gt;inputs!$H$17, inputs!$H$17, (((inputs!$P$12/(V614/MAX(K614:S614)))^(1/inputs!$O$12))-1)/inputs!$N$12))</f>
        <v>53.297162592756806</v>
      </c>
      <c r="U614">
        <f>IF((((inputs!$P$12/(X614/MAX(K614:S614)))^(1/inputs!$O$12))-1)/inputs!$N$12&lt;0, 0, IF((((inputs!$P$12/(X614/MAX(K614:S614)))^(1/inputs!$O$12))-1)/inputs!$N$12&gt;inputs!$H$17, inputs!$H$17, (((inputs!$P$12/(X614/MAX(K614:S614)))^(1/inputs!$O$12))-1)/inputs!$N$12))</f>
        <v>0</v>
      </c>
      <c r="V614">
        <f>inputs!$E$70*(F614/inputs!$F$70)^(0.25)</f>
        <v>2.7176228621363152</v>
      </c>
      <c r="W614">
        <f>inputs!$E$76*(inputs!$F$76/F614)^(0.25)</f>
        <v>0.62692462114742753</v>
      </c>
      <c r="X614">
        <f>inputs!$E$72*(inputs!$F$72/F614)^(0.25)</f>
        <v>91.955364183076668</v>
      </c>
      <c r="Y614" t="s">
        <v>13</v>
      </c>
      <c r="Z614">
        <f t="shared" si="63"/>
        <v>28.06335281308256</v>
      </c>
      <c r="AA614">
        <f t="shared" si="64"/>
        <v>121.65036532373807</v>
      </c>
    </row>
    <row r="615" spans="1:27" x14ac:dyDescent="0.3">
      <c r="A615" t="s">
        <v>478</v>
      </c>
      <c r="B615" t="s">
        <v>479</v>
      </c>
      <c r="C615" t="s">
        <v>61</v>
      </c>
      <c r="D615" t="s">
        <v>443</v>
      </c>
      <c r="E615">
        <v>37</v>
      </c>
      <c r="F615">
        <v>34</v>
      </c>
      <c r="G615" t="s">
        <v>177</v>
      </c>
      <c r="H615">
        <v>0.85</v>
      </c>
      <c r="I615">
        <f>MAX('Min rate concentrations'!$F$3:$F$368)</f>
        <v>67.5</v>
      </c>
      <c r="J615">
        <f>MAX('Min rate concentrations'!Y:Y)</f>
        <v>22.5</v>
      </c>
      <c r="K615">
        <f t="shared" si="61"/>
        <v>60.059167239511616</v>
      </c>
      <c r="L615">
        <f>(((0.621*F615^0.564)/(1-H615)))*J615/F615</f>
        <v>20.019722413170538</v>
      </c>
      <c r="M615">
        <f>IF((((0.326*F615^0.818)-(0.398*F615^0.85)/(1-H615)*H615)*(MAX('Min rate concentrations'!$P$3:$P$368)))/F615&gt;0, (((0.326*F615^0.818)-(0.398*F615^0.85)/(1-H615)*H615)*(MAX('Min rate concentrations'!$P$3:$P$368)))/F615, 0)</f>
        <v>0</v>
      </c>
      <c r="N615">
        <f>IF((((0.326*F615^0.818)-(0.398*F615^0.85)/(1-H615)*H615)*(MAX('Min rate concentrations'!$Q$3:$Q$368)))/F615&gt; 0, (((0.326*F615^0.818)-(0.398*F615^0.85)/(1-H615)*H615)*(MAX('Min rate concentrations'!$Q$3:$Q$368)))/F615, 0)</f>
        <v>0</v>
      </c>
      <c r="O615">
        <f>((MAX('Min rate concentrations'!$F$3:$F$368))*0.62*6.01*8*(12.3*F615^0.65)*0.079*0.1/F615)*inputs!$E$73/inputs!$E$74</f>
        <v>13.132651074214952</v>
      </c>
      <c r="P615">
        <f>((MAX('Min rate concentrations'!Y:Y))*0.62*6.01*8*(12.3*F615^0.65)*0.079*0.1/F615)*inputs!$E$73/inputs!$E$74</f>
        <v>4.3775503580716499</v>
      </c>
      <c r="Q615">
        <f>(inputs!$C$7*11.2*(12.3*F615^0.65)*0.5/F615)*inputs!$E$73/inputs!$E$74</f>
        <v>2.3132545455486833</v>
      </c>
      <c r="R615">
        <f>(60*379*((F615/1000)^0.8)*3*24*(MAX('Min rate concentrations'!$R$3:$R$368))/F615)*(inputs!$E$73/inputs!$E$75)</f>
        <v>3.618109234116487E-3</v>
      </c>
      <c r="S615">
        <f>(IF(inputs!$C$6="aerial",((0.025*0.112*inputs!$C$7/3.3)*(3*60*379*((F615/1000)^0.8))*MAX(inputs!$H$14:$H$16))/F615,((0.0083*0.112*inputs!$C$7/1)*(3*60*379*((F615/1000)^0.8))*MAX(inputs!$H$14:$H$16))/F615))*(inputs!E$75/inputs!$E$73)</f>
        <v>1.995409471666635E-2</v>
      </c>
      <c r="T615">
        <f>IF((((inputs!$P$12/(V615/MAX(K615:S615)))^(1/inputs!$O$12))-1)/inputs!$N$12&lt;0, 0, IF((((inputs!$P$12/(V615/MAX(K615:S615)))^(1/inputs!$O$12))-1)/inputs!$N$12&gt;inputs!$H$17, inputs!$H$17, (((inputs!$P$12/(V615/MAX(K615:S615)))^(1/inputs!$O$12))-1)/inputs!$N$12))</f>
        <v>45.724120090106041</v>
      </c>
      <c r="U615">
        <f>IF((((inputs!$P$12/(X615/MAX(K615:S615)))^(1/inputs!$O$12))-1)/inputs!$N$12&lt;0, 0, IF((((inputs!$P$12/(X615/MAX(K615:S615)))^(1/inputs!$O$12))-1)/inputs!$N$12&gt;inputs!$H$17, inputs!$H$17, (((inputs!$P$12/(X615/MAX(K615:S615)))^(1/inputs!$O$12))-1)/inputs!$N$12))</f>
        <v>0</v>
      </c>
      <c r="V615">
        <f>inputs!$E$70*(F615/inputs!$F$70)^(0.25)</f>
        <v>2.7176228621363152</v>
      </c>
      <c r="W615">
        <f>inputs!$E$76*(inputs!$F$76/F615)^(0.25)</f>
        <v>0.62692462114742753</v>
      </c>
      <c r="X615">
        <f>inputs!$E$72*(inputs!$F$72/F615)^(0.25)</f>
        <v>91.955364183076668</v>
      </c>
      <c r="Y615" t="s">
        <v>13</v>
      </c>
      <c r="Z615">
        <f t="shared" si="63"/>
        <v>22.099890340302512</v>
      </c>
      <c r="AA615">
        <f t="shared" si="64"/>
        <v>95.799662692443704</v>
      </c>
    </row>
    <row r="616" spans="1:27" x14ac:dyDescent="0.3">
      <c r="A616" t="s">
        <v>478</v>
      </c>
      <c r="B616" t="s">
        <v>479</v>
      </c>
      <c r="C616" t="s">
        <v>61</v>
      </c>
      <c r="D616" t="s">
        <v>443</v>
      </c>
      <c r="E616">
        <v>37</v>
      </c>
      <c r="F616">
        <v>34</v>
      </c>
      <c r="G616" t="s">
        <v>154</v>
      </c>
      <c r="H616">
        <v>9.2999999999999999E-2</v>
      </c>
      <c r="I616">
        <f>MAX('Min rate concentrations'!$G$3:$G$368)</f>
        <v>7.5</v>
      </c>
      <c r="J616">
        <f>MAX('Min rate concentrations'!Z:Z)</f>
        <v>3.5</v>
      </c>
      <c r="K616">
        <f t="shared" si="61"/>
        <v>1.1036230657756638</v>
      </c>
      <c r="M616">
        <f>IF((((0.326*F616^0.818)-(0.398*F616^0.85)/(1-H616)*H616)*(MAX('Min rate concentrations'!$P$3:$P$368)))/F616&gt;0, (((0.326*F616^0.818)-(0.398*F616^0.85)/(1-H616)*H616)*(MAX('Min rate concentrations'!$P$3:$P$368)))/F616, 0)</f>
        <v>2.1415566024772022E-2</v>
      </c>
      <c r="N616">
        <f>IF((((0.326*F616^0.818)-(0.398*F616^0.85)/(1-H616)*H616)*(MAX('Min rate concentrations'!$Q$3:$Q$368)))/F616&gt; 0, (((0.326*F616^0.818)-(0.398*F616^0.85)/(1-H616)*H616)*(MAX('Min rate concentrations'!$Q$3:$Q$368)))/F616, 0)</f>
        <v>8.1551626116782322E-2</v>
      </c>
      <c r="O616">
        <f>((MAX('Min rate concentrations'!$F$3:$F$368))*0.62*6.01*8*(12.3*F616^0.65)*0.079*0.1/F616)*inputs!$E$73/inputs!$E$74</f>
        <v>13.132651074214952</v>
      </c>
      <c r="Q616">
        <f>(inputs!$C$7*11.2*(12.3*F616^0.65)*0.5/F616)*inputs!$E$73/inputs!$E$74</f>
        <v>2.3132545455486833</v>
      </c>
      <c r="R616">
        <f>(60*379*((F616/1000)^0.8)*3*24*(MAX('Min rate concentrations'!$R$3:$R$368))/F616)*(inputs!$E$73/inputs!$E$75)</f>
        <v>3.618109234116487E-3</v>
      </c>
      <c r="S616">
        <f>(IF(inputs!$C$6="aerial",((0.025*0.112*inputs!$C$7/3.3)*(3*60*379*((F616/1000)^0.8))*MAX(inputs!$H$14:$H$16))/F616,((0.0083*0.112*inputs!$C$7/1)*(3*60*379*((F616/1000)^0.8))*MAX(inputs!$H$14:$H$16))/F616))*(inputs!E$75/inputs!$E$73)</f>
        <v>1.995409471666635E-2</v>
      </c>
      <c r="T616">
        <f>IF((((inputs!$P$12/(V616/MAX(K616:S616)))^(1/inputs!$O$12))-1)/inputs!$N$12&lt;0, 0, IF((((inputs!$P$12/(V616/MAX(K616:S616)))^(1/inputs!$O$12))-1)/inputs!$N$12&gt;inputs!$H$17, inputs!$H$17, (((inputs!$P$12/(V616/MAX(K616:S616)))^(1/inputs!$O$12))-1)/inputs!$N$12))</f>
        <v>11.499746828892663</v>
      </c>
      <c r="U616">
        <f>IF((((inputs!$P$12/(X616/MAX(K616:S616)))^(1/inputs!$O$12))-1)/inputs!$N$12&lt;0, 0, IF((((inputs!$P$12/(X616/MAX(K616:S616)))^(1/inputs!$O$12))-1)/inputs!$N$12&gt;inputs!$H$17, inputs!$H$17, (((inputs!$P$12/(X616/MAX(K616:S616)))^(1/inputs!$O$12))-1)/inputs!$N$12))</f>
        <v>0</v>
      </c>
      <c r="V616">
        <f>inputs!$E$70*(F616/inputs!$F$70)^(0.25)</f>
        <v>2.7176228621363152</v>
      </c>
      <c r="W616">
        <f>inputs!$E$76*(inputs!$F$76/F616)^(0.25)</f>
        <v>0.62692462114742753</v>
      </c>
      <c r="X616">
        <f>inputs!$E$72*(inputs!$F$72/F616)^(0.25)</f>
        <v>91.955364183076668</v>
      </c>
      <c r="Y616" t="s">
        <v>13</v>
      </c>
      <c r="Z616">
        <f t="shared" si="63"/>
        <v>4.8324038103989944</v>
      </c>
      <c r="AA616">
        <f t="shared" si="64"/>
        <v>20.947735391503596</v>
      </c>
    </row>
    <row r="617" spans="1:27" x14ac:dyDescent="0.3">
      <c r="A617" t="s">
        <v>474</v>
      </c>
      <c r="B617" t="s">
        <v>475</v>
      </c>
      <c r="C617" t="s">
        <v>61</v>
      </c>
      <c r="D617" t="s">
        <v>443</v>
      </c>
      <c r="E617">
        <v>38</v>
      </c>
      <c r="F617">
        <v>151.4</v>
      </c>
      <c r="G617" t="s">
        <v>142</v>
      </c>
      <c r="H617">
        <v>0.69</v>
      </c>
      <c r="I617">
        <f>MAX('Min rate concentrations'!$H$3:$H$368)</f>
        <v>47</v>
      </c>
      <c r="J617">
        <f>MAX('Min rate concentrations'!AA:AA)</f>
        <v>32.5</v>
      </c>
      <c r="K617">
        <f t="shared" si="61"/>
        <v>10.550982014009769</v>
      </c>
      <c r="L617">
        <f>(((0.621*F617^0.564)/(1-H617)))*J617/F617</f>
        <v>7.2958918181982444</v>
      </c>
      <c r="M617">
        <f>IF((((0.326*F617^0.818)-(0.398*F617^0.85)/(1-H617)*H617)*(MAX('Min rate concentrations'!$P$3:$P$368)))/F617&gt;0, (((0.326*F617^0.818)-(0.398*F617^0.85)/(1-H617)*H617)*(MAX('Min rate concentrations'!$P$3:$P$368)))/F617, 0)</f>
        <v>0</v>
      </c>
      <c r="N617">
        <f>IF((((0.326*F617^0.818)-(0.398*F617^0.85)/(1-H617)*H617)*(MAX('Min rate concentrations'!$Q$3:$Q$368)))/F617&gt; 0, (((0.326*F617^0.818)-(0.398*F617^0.85)/(1-H617)*H617)*(MAX('Min rate concentrations'!$Q$3:$Q$368)))/F617, 0)</f>
        <v>0</v>
      </c>
      <c r="O617">
        <f>((MAX('Min rate concentrations'!$F$3:$F$368))*0.62*6.01*8*(12.3*F617^0.65)*0.079*0.1/F617)*inputs!$E$73/inputs!$E$74</f>
        <v>7.7862074428161447</v>
      </c>
      <c r="P617">
        <f>((MAX('Min rate concentrations'!Y:Y))*0.62*6.01*8*(12.3*F617^0.65)*0.079*0.1/F617)*inputs!$E$73/inputs!$E$74</f>
        <v>2.5954024809387142</v>
      </c>
      <c r="Q617">
        <f>(inputs!$C$7*11.2*(12.3*F617^0.65)*0.5/F617)*inputs!$E$73/inputs!$E$74</f>
        <v>1.3715037167966579</v>
      </c>
      <c r="R617">
        <f>(60*379*((F617/1000)^0.8)*3*24*(MAX('Min rate concentrations'!$R$3:$R$368))/F617)*(inputs!$E$73/inputs!$E$75)</f>
        <v>2.6838131893153982E-3</v>
      </c>
      <c r="S617">
        <f>(IF(inputs!$C$6="aerial",((0.025*0.112*inputs!$C$7/3.3)*(3*60*379*((F617/1000)^0.8))*MAX(inputs!$H$14:$H$16))/F617,((0.0083*0.112*inputs!$C$7/1)*(3*60*379*((F617/1000)^0.8))*MAX(inputs!$H$14:$H$16))/F617))*(inputs!E$75/inputs!$E$73)</f>
        <v>1.480139462801904E-2</v>
      </c>
      <c r="T617">
        <f>IF((((inputs!$P$12/(V617/MAX(K617:S617)))^(1/inputs!$O$12))-1)/inputs!$N$12&lt;0, 0, IF((((inputs!$P$12/(V617/MAX(K617:S617)))^(1/inputs!$O$12))-1)/inputs!$N$12&gt;inputs!$H$17, inputs!$H$17, (((inputs!$P$12/(V617/MAX(K617:S617)))^(1/inputs!$O$12))-1)/inputs!$N$12))</f>
        <v>2.9387813228319821</v>
      </c>
      <c r="U617">
        <f>IF((((inputs!$P$12/(X617/MAX(K617:S617)))^(1/inputs!$O$12))-1)/inputs!$N$12&lt;0, 0, IF((((inputs!$P$12/(X617/MAX(K617:S617)))^(1/inputs!$O$12))-1)/inputs!$N$12&gt;inputs!$H$17, inputs!$H$17, (((inputs!$P$12/(X617/MAX(K617:S617)))^(1/inputs!$O$12))-1)/inputs!$N$12))</f>
        <v>0</v>
      </c>
      <c r="V617">
        <f>inputs!$E$70*(F617/inputs!$F$70)^(0.25)</f>
        <v>3.9477616781767391</v>
      </c>
      <c r="W617">
        <f>inputs!$E$76*(inputs!$F$76/F617)^(0.25)</f>
        <v>0.43157232430840808</v>
      </c>
      <c r="X617">
        <f>inputs!$E$72*(inputs!$F$72/F617)^(0.25)</f>
        <v>63.301693560036661</v>
      </c>
      <c r="Y617" t="s">
        <v>13</v>
      </c>
      <c r="Z617">
        <f t="shared" si="63"/>
        <v>2.6726491805054216</v>
      </c>
      <c r="AA617">
        <f t="shared" si="64"/>
        <v>24.447772527855328</v>
      </c>
    </row>
    <row r="618" spans="1:27" x14ac:dyDescent="0.3">
      <c r="A618" t="s">
        <v>474</v>
      </c>
      <c r="B618" t="s">
        <v>475</v>
      </c>
      <c r="C618" t="s">
        <v>61</v>
      </c>
      <c r="D618" t="s">
        <v>443</v>
      </c>
      <c r="E618">
        <v>38</v>
      </c>
      <c r="F618">
        <v>151.4</v>
      </c>
      <c r="G618" t="s">
        <v>169</v>
      </c>
      <c r="H618">
        <v>0.79</v>
      </c>
      <c r="I618">
        <f>MAX('Min rate concentrations'!$D$3:$D$368)</f>
        <v>120</v>
      </c>
      <c r="J618">
        <f>MAX('Min rate concentrations'!W:W)</f>
        <v>42.5</v>
      </c>
      <c r="K618">
        <f t="shared" si="61"/>
        <v>39.766619140948691</v>
      </c>
      <c r="L618">
        <f>(((0.621*F618^0.564)/(1-H618)))*J618/F618</f>
        <v>14.084010945752661</v>
      </c>
      <c r="M618">
        <f>IF((((0.326*F618^0.818)-(0.398*F618^0.85)/(1-H618)*H618)*(MAX('Min rate concentrations'!$P$3:$P$368)))/F618&gt;0, (((0.326*F618^0.818)-(0.398*F618^0.85)/(1-H618)*H618)*(MAX('Min rate concentrations'!$P$3:$P$368)))/F618, 0)</f>
        <v>0</v>
      </c>
      <c r="N618">
        <f>IF((((0.326*F618^0.818)-(0.398*F618^0.85)/(1-H618)*H618)*(MAX('Min rate concentrations'!$Q$3:$Q$368)))/F618&gt; 0, (((0.326*F618^0.818)-(0.398*F618^0.85)/(1-H618)*H618)*(MAX('Min rate concentrations'!$Q$3:$Q$368)))/F618, 0)</f>
        <v>0</v>
      </c>
      <c r="O618">
        <f>((MAX('Min rate concentrations'!$F$3:$F$368))*0.62*6.01*8*(12.3*F618^0.65)*0.079*0.1/F618)*inputs!$E$73/inputs!$E$74</f>
        <v>7.7862074428161447</v>
      </c>
      <c r="P618">
        <f>((MAX('Min rate concentrations'!Y:Y))*0.62*6.01*8*(12.3*F618^0.65)*0.079*0.1/F618)*inputs!$E$73/inputs!$E$74</f>
        <v>2.5954024809387142</v>
      </c>
      <c r="Q618">
        <f>(inputs!$C$7*11.2*(12.3*F618^0.65)*0.5/F618)*inputs!$E$73/inputs!$E$74</f>
        <v>1.3715037167966579</v>
      </c>
      <c r="R618">
        <f>(60*379*((F618/1000)^0.8)*3*24*(MAX('Min rate concentrations'!$R$3:$R$368))/F618)*(inputs!$E$73/inputs!$E$75)</f>
        <v>2.6838131893153982E-3</v>
      </c>
      <c r="S618">
        <f>(IF(inputs!$C$6="aerial",((0.025*0.112*inputs!$C$7/3.3)*(3*60*379*((F618/1000)^0.8))*MAX(inputs!$H$14:$H$16))/F618,((0.0083*0.112*inputs!$C$7/1)*(3*60*379*((F618/1000)^0.8))*MAX(inputs!$H$14:$H$16))/F618))*(inputs!E$75/inputs!$E$73)</f>
        <v>1.480139462801904E-2</v>
      </c>
      <c r="T618">
        <f>IF((((inputs!$P$12/(V618/MAX(K618:S618)))^(1/inputs!$O$12))-1)/inputs!$N$12&lt;0, 0, IF((((inputs!$P$12/(V618/MAX(K618:S618)))^(1/inputs!$O$12))-1)/inputs!$N$12&gt;inputs!$H$17, inputs!$H$17, (((inputs!$P$12/(V618/MAX(K618:S618)))^(1/inputs!$O$12))-1)/inputs!$N$12))</f>
        <v>25.423709278910501</v>
      </c>
      <c r="U618">
        <f>IF((((inputs!$P$12/(X618/MAX(K618:S618)))^(1/inputs!$O$12))-1)/inputs!$N$12&lt;0, 0, IF((((inputs!$P$12/(X618/MAX(K618:S618)))^(1/inputs!$O$12))-1)/inputs!$N$12&gt;inputs!$H$17, inputs!$H$17, (((inputs!$P$12/(X618/MAX(K618:S618)))^(1/inputs!$O$12))-1)/inputs!$N$12))</f>
        <v>0</v>
      </c>
      <c r="V618">
        <f>inputs!$E$70*(F618/inputs!$F$70)^(0.25)</f>
        <v>3.9477616781767391</v>
      </c>
      <c r="W618">
        <f>inputs!$E$76*(inputs!$F$76/F618)^(0.25)</f>
        <v>0.43157232430840808</v>
      </c>
      <c r="X618">
        <f>inputs!$E$72*(inputs!$F$72/F618)^(0.25)</f>
        <v>63.301693560036661</v>
      </c>
      <c r="Y618" t="s">
        <v>13</v>
      </c>
      <c r="Z618">
        <f t="shared" si="63"/>
        <v>10.073206637771198</v>
      </c>
      <c r="AA618">
        <f t="shared" si="64"/>
        <v>92.143580348147779</v>
      </c>
    </row>
    <row r="619" spans="1:27" x14ac:dyDescent="0.3">
      <c r="A619" t="s">
        <v>474</v>
      </c>
      <c r="B619" t="s">
        <v>475</v>
      </c>
      <c r="C619" t="s">
        <v>61</v>
      </c>
      <c r="D619" t="s">
        <v>443</v>
      </c>
      <c r="E619">
        <v>38</v>
      </c>
      <c r="F619">
        <v>151.4</v>
      </c>
      <c r="G619" t="s">
        <v>177</v>
      </c>
      <c r="H619">
        <v>0.85</v>
      </c>
      <c r="I619">
        <f>MAX('Min rate concentrations'!$F$3:$F$368)</f>
        <v>67.5</v>
      </c>
      <c r="J619">
        <f>MAX('Min rate concentrations'!Y:Y)</f>
        <v>22.5</v>
      </c>
      <c r="K619">
        <f t="shared" si="61"/>
        <v>31.316212573497086</v>
      </c>
      <c r="L619">
        <f>(((0.621*F619^0.564)/(1-H619)))*J619/F619</f>
        <v>10.438737524499029</v>
      </c>
      <c r="M619">
        <f>IF((((0.326*F619^0.818)-(0.398*F619^0.85)/(1-H619)*H619)*(MAX('Min rate concentrations'!$P$3:$P$368)))/F619&gt;0, (((0.326*F619^0.818)-(0.398*F619^0.85)/(1-H619)*H619)*(MAX('Min rate concentrations'!$P$3:$P$368)))/F619, 0)</f>
        <v>0</v>
      </c>
      <c r="N619">
        <f>IF((((0.326*F619^0.818)-(0.398*F619^0.85)/(1-H619)*H619)*(MAX('Min rate concentrations'!$Q$3:$Q$368)))/F619&gt; 0, (((0.326*F619^0.818)-(0.398*F619^0.85)/(1-H619)*H619)*(MAX('Min rate concentrations'!$Q$3:$Q$368)))/F619, 0)</f>
        <v>0</v>
      </c>
      <c r="O619">
        <f>((MAX('Min rate concentrations'!$F$3:$F$368))*0.62*6.01*8*(12.3*F619^0.65)*0.079*0.1/F619)*inputs!$E$73/inputs!$E$74</f>
        <v>7.7862074428161447</v>
      </c>
      <c r="P619">
        <f>((MAX('Min rate concentrations'!Y:Y))*0.62*6.01*8*(12.3*F619^0.65)*0.079*0.1/F619)*inputs!$E$73/inputs!$E$74</f>
        <v>2.5954024809387142</v>
      </c>
      <c r="Q619">
        <f>(inputs!$C$7*11.2*(12.3*F619^0.65)*0.5/F619)*inputs!$E$73/inputs!$E$74</f>
        <v>1.3715037167966579</v>
      </c>
      <c r="R619">
        <f>(60*379*((F619/1000)^0.8)*3*24*(MAX('Min rate concentrations'!$R$3:$R$368))/F619)*(inputs!$E$73/inputs!$E$75)</f>
        <v>2.6838131893153982E-3</v>
      </c>
      <c r="S619">
        <f>(IF(inputs!$C$6="aerial",((0.025*0.112*inputs!$C$7/3.3)*(3*60*379*((F619/1000)^0.8))*MAX(inputs!$H$14:$H$16))/F619,((0.0083*0.112*inputs!$C$7/1)*(3*60*379*((F619/1000)^0.8))*MAX(inputs!$H$14:$H$16))/F619))*(inputs!E$75/inputs!$E$73)</f>
        <v>1.480139462801904E-2</v>
      </c>
      <c r="T619">
        <f>IF((((inputs!$P$12/(V619/MAX(K619:S619)))^(1/inputs!$O$12))-1)/inputs!$N$12&lt;0, 0, IF((((inputs!$P$12/(V619/MAX(K619:S619)))^(1/inputs!$O$12))-1)/inputs!$N$12&gt;inputs!$H$17, inputs!$H$17, (((inputs!$P$12/(V619/MAX(K619:S619)))^(1/inputs!$O$12))-1)/inputs!$N$12))</f>
        <v>20.431594716769968</v>
      </c>
      <c r="U619">
        <f>IF((((inputs!$P$12/(X619/MAX(K619:S619)))^(1/inputs!$O$12))-1)/inputs!$N$12&lt;0, 0, IF((((inputs!$P$12/(X619/MAX(K619:S619)))^(1/inputs!$O$12))-1)/inputs!$N$12&gt;inputs!$H$17, inputs!$H$17, (((inputs!$P$12/(X619/MAX(K619:S619)))^(1/inputs!$O$12))-1)/inputs!$N$12))</f>
        <v>0</v>
      </c>
      <c r="V619">
        <f>inputs!$E$70*(F619/inputs!$F$70)^(0.25)</f>
        <v>3.9477616781767391</v>
      </c>
      <c r="W619">
        <f>inputs!$E$76*(inputs!$F$76/F619)^(0.25)</f>
        <v>0.43157232430840808</v>
      </c>
      <c r="X619">
        <f>inputs!$E$72*(inputs!$F$72/F619)^(0.25)</f>
        <v>63.301693560036661</v>
      </c>
      <c r="Y619" t="s">
        <v>13</v>
      </c>
      <c r="Z619">
        <f t="shared" si="63"/>
        <v>7.9326502272448165</v>
      </c>
      <c r="AA619">
        <f t="shared" si="64"/>
        <v>72.563069524166352</v>
      </c>
    </row>
    <row r="620" spans="1:27" x14ac:dyDescent="0.3">
      <c r="A620" t="s">
        <v>474</v>
      </c>
      <c r="B620" t="s">
        <v>475</v>
      </c>
      <c r="C620" t="s">
        <v>61</v>
      </c>
      <c r="D620" t="s">
        <v>443</v>
      </c>
      <c r="E620">
        <v>38</v>
      </c>
      <c r="F620">
        <v>151.4</v>
      </c>
      <c r="G620" t="s">
        <v>154</v>
      </c>
      <c r="H620">
        <v>9.2999999999999999E-2</v>
      </c>
      <c r="I620">
        <f>MAX('Min rate concentrations'!$G$3:$G$368)</f>
        <v>7.5</v>
      </c>
      <c r="J620">
        <f>MAX('Min rate concentrations'!Z:Z)</f>
        <v>3.5</v>
      </c>
      <c r="K620">
        <f t="shared" si="61"/>
        <v>0.57545410829652865</v>
      </c>
      <c r="M620">
        <f>IF((((0.326*F620^0.818)-(0.398*F620^0.85)/(1-H620)*H620)*(MAX('Min rate concentrations'!$P$3:$P$368)))/F620&gt;0, (((0.326*F620^0.818)-(0.398*F620^0.85)/(1-H620)*H620)*(MAX('Min rate concentrations'!$P$3:$P$368)))/F620, 0)</f>
        <v>1.6188140624341995E-2</v>
      </c>
      <c r="N620">
        <f>IF((((0.326*F620^0.818)-(0.398*F620^0.85)/(1-H620)*H620)*(MAX('Min rate concentrations'!$Q$3:$Q$368)))/F620&gt; 0, (((0.326*F620^0.818)-(0.398*F620^0.85)/(1-H620)*H620)*(MAX('Min rate concentrations'!$Q$3:$Q$368)))/F620, 0)</f>
        <v>6.1645309313569159E-2</v>
      </c>
      <c r="O620">
        <f>((MAX('Min rate concentrations'!$F$3:$F$368))*0.62*6.01*8*(12.3*F620^0.65)*0.079*0.1/F620)*inputs!$E$73/inputs!$E$74</f>
        <v>7.7862074428161447</v>
      </c>
      <c r="Q620">
        <f>(inputs!$C$7*11.2*(12.3*F620^0.65)*0.5/F620)*inputs!$E$73/inputs!$E$74</f>
        <v>1.3715037167966579</v>
      </c>
      <c r="R620">
        <f>(60*379*((F620/1000)^0.8)*3*24*(MAX('Min rate concentrations'!$R$3:$R$368))/F620)*(inputs!$E$73/inputs!$E$75)</f>
        <v>2.6838131893153982E-3</v>
      </c>
      <c r="S620">
        <f>(IF(inputs!$C$6="aerial",((0.025*0.112*inputs!$C$7/3.3)*(3*60*379*((F620/1000)^0.8))*MAX(inputs!$H$14:$H$16))/F620,((0.0083*0.112*inputs!$C$7/1)*(3*60*379*((F620/1000)^0.8))*MAX(inputs!$H$14:$H$16))/F620))*(inputs!E$75/inputs!$E$73)</f>
        <v>1.480139462801904E-2</v>
      </c>
      <c r="T620">
        <f>IF((((inputs!$P$12/(V620/MAX(K620:S620)))^(1/inputs!$O$12))-1)/inputs!$N$12&lt;0, 0, IF((((inputs!$P$12/(V620/MAX(K620:S620)))^(1/inputs!$O$12))-1)/inputs!$N$12&gt;inputs!$H$17, inputs!$H$17, (((inputs!$P$12/(V620/MAX(K620:S620)))^(1/inputs!$O$12))-1)/inputs!$N$12))</f>
        <v>0</v>
      </c>
      <c r="U620">
        <f>IF((((inputs!$P$12/(X620/MAX(K620:S620)))^(1/inputs!$O$12))-1)/inputs!$N$12&lt;0, 0, IF((((inputs!$P$12/(X620/MAX(K620:S620)))^(1/inputs!$O$12))-1)/inputs!$N$12&gt;inputs!$H$17, inputs!$H$17, (((inputs!$P$12/(X620/MAX(K620:S620)))^(1/inputs!$O$12))-1)/inputs!$N$12))</f>
        <v>0</v>
      </c>
      <c r="V620">
        <f>inputs!$E$70*(F620/inputs!$F$70)^(0.25)</f>
        <v>3.9477616781767391</v>
      </c>
      <c r="W620">
        <f>inputs!$E$76*(inputs!$F$76/F620)^(0.25)</f>
        <v>0.43157232430840808</v>
      </c>
      <c r="X620">
        <f>inputs!$E$72*(inputs!$F$72/F620)^(0.25)</f>
        <v>63.301693560036661</v>
      </c>
      <c r="Y620" t="s">
        <v>13</v>
      </c>
      <c r="Z620">
        <f t="shared" si="63"/>
        <v>1.9723093939176641</v>
      </c>
      <c r="AA620">
        <f t="shared" si="64"/>
        <v>18.041489234263324</v>
      </c>
    </row>
    <row r="621" spans="1:27" x14ac:dyDescent="0.3">
      <c r="A621" t="s">
        <v>509</v>
      </c>
      <c r="B621" t="s">
        <v>510</v>
      </c>
      <c r="C621" t="s">
        <v>61</v>
      </c>
      <c r="D621" t="s">
        <v>443</v>
      </c>
      <c r="E621">
        <v>61</v>
      </c>
      <c r="F621">
        <v>28</v>
      </c>
      <c r="G621" t="s">
        <v>169</v>
      </c>
      <c r="H621">
        <v>0.79</v>
      </c>
      <c r="I621">
        <f>MAX('Min rate concentrations'!$D$3:$D$368)</f>
        <v>120</v>
      </c>
      <c r="J621">
        <f>MAX('Min rate concentrations'!W:W)</f>
        <v>42.5</v>
      </c>
      <c r="K621">
        <f t="shared" si="61"/>
        <v>83.002782187129611</v>
      </c>
      <c r="L621">
        <f t="shared" ref="L621:L630" si="67">(((0.621*F621^0.564)/(1-H621)))*J621/F621</f>
        <v>29.396818691275069</v>
      </c>
      <c r="M621">
        <f>IF((((0.326*F621^0.818)-(0.398*F621^0.85)/(1-H621)*H621)*(MAX('Min rate concentrations'!$P$3:$P$368)))/F621&gt;0, (((0.326*F621^0.818)-(0.398*F621^0.85)/(1-H621)*H621)*(MAX('Min rate concentrations'!$P$3:$P$368)))/F621, 0)</f>
        <v>0</v>
      </c>
      <c r="N621">
        <f>IF((((0.326*F621^0.818)-(0.398*F621^0.85)/(1-H621)*H621)*(MAX('Min rate concentrations'!$Q$3:$Q$368)))/F621&gt; 0, (((0.326*F621^0.818)-(0.398*F621^0.85)/(1-H621)*H621)*(MAX('Min rate concentrations'!$Q$3:$Q$368)))/F621, 0)</f>
        <v>0</v>
      </c>
      <c r="O621">
        <f>((MAX('Min rate concentrations'!$F$3:$F$368))*0.62*6.01*8*(12.3*F621^0.65)*0.079*0.1/F621)*inputs!$E$73/inputs!$E$74</f>
        <v>14.056096027997818</v>
      </c>
      <c r="P621">
        <f>((MAX('Min rate concentrations'!Y:Y))*0.62*6.01*8*(12.3*F621^0.65)*0.079*0.1/F621)*inputs!$E$73/inputs!$E$74</f>
        <v>4.6853653426659374</v>
      </c>
      <c r="Q621">
        <f>(inputs!$C$7*11.2*(12.3*F621^0.65)*0.5/F621)*inputs!$E$73/inputs!$E$74</f>
        <v>2.4759150186573007</v>
      </c>
      <c r="R621">
        <f>(60*379*((F621/1000)^0.8)*3*24*(MAX('Min rate concentrations'!$R$3:$R$368))/F621)*(inputs!$E$73/inputs!$E$75)</f>
        <v>3.7613682265749677E-3</v>
      </c>
      <c r="S621">
        <f>(IF(inputs!$C$6="aerial",((0.025*0.112*inputs!$C$7/3.3)*(3*60*379*((F621/1000)^0.8))*MAX(inputs!$H$14:$H$16))/F621,((0.0083*0.112*inputs!$C$7/1)*(3*60*379*((F621/1000)^0.8))*MAX(inputs!$H$14:$H$16))/F621))*(inputs!E$75/inputs!$E$73)</f>
        <v>2.0744176861665149E-2</v>
      </c>
      <c r="T621">
        <f>IF((((inputs!$P$12/(V621/MAX(K621:S621)))^(1/inputs!$O$12))-1)/inputs!$N$12&lt;0, 0, IF((((inputs!$P$12/(V621/MAX(K621:S621)))^(1/inputs!$O$12))-1)/inputs!$N$12&gt;inputs!$H$17, inputs!$H$17, (((inputs!$P$12/(V621/MAX(K621:S621)))^(1/inputs!$O$12))-1)/inputs!$N$12))</f>
        <v>57.850073124340277</v>
      </c>
      <c r="U621">
        <f>IF((((inputs!$P$12/(X621/MAX(K621:S621)))^(1/inputs!$O$12))-1)/inputs!$N$12&lt;0, 0, IF((((inputs!$P$12/(X621/MAX(K621:S621)))^(1/inputs!$O$12))-1)/inputs!$N$12&gt;inputs!$H$17, inputs!$H$17, (((inputs!$P$12/(X621/MAX(K621:S621)))^(1/inputs!$O$12))-1)/inputs!$N$12))</f>
        <v>0</v>
      </c>
      <c r="V621">
        <f>inputs!$E$70*(F621/inputs!$F$70)^(0.25)</f>
        <v>2.5888623881307193</v>
      </c>
      <c r="W621">
        <f>inputs!$E$76*(inputs!$F$76/F621)^(0.25)</f>
        <v>0.65810554129011889</v>
      </c>
      <c r="X621">
        <f>inputs!$E$72*(inputs!$F$72/F621)^(0.25)</f>
        <v>96.528885098616442</v>
      </c>
      <c r="Y621" t="s">
        <v>13</v>
      </c>
      <c r="Z621">
        <f t="shared" si="63"/>
        <v>32.061488693905254</v>
      </c>
      <c r="AA621">
        <f t="shared" si="64"/>
        <v>126.12381598309429</v>
      </c>
    </row>
    <row r="622" spans="1:27" x14ac:dyDescent="0.3">
      <c r="A622" t="s">
        <v>509</v>
      </c>
      <c r="B622" t="s">
        <v>510</v>
      </c>
      <c r="C622" t="s">
        <v>61</v>
      </c>
      <c r="D622" t="s">
        <v>443</v>
      </c>
      <c r="E622">
        <v>61</v>
      </c>
      <c r="F622">
        <v>28</v>
      </c>
      <c r="G622" t="s">
        <v>177</v>
      </c>
      <c r="H622">
        <v>0.85</v>
      </c>
      <c r="I622">
        <f>MAX('Min rate concentrations'!$F$3:$F$368)</f>
        <v>67.5</v>
      </c>
      <c r="J622">
        <f>MAX('Min rate concentrations'!Y:Y)</f>
        <v>22.5</v>
      </c>
      <c r="K622">
        <f t="shared" si="61"/>
        <v>65.364690972364556</v>
      </c>
      <c r="L622">
        <f t="shared" si="67"/>
        <v>21.788230324121514</v>
      </c>
      <c r="M622">
        <f>IF((((0.326*F622^0.818)-(0.398*F622^0.85)/(1-H622)*H622)*(MAX('Min rate concentrations'!$P$3:$P$368)))/F622&gt;0, (((0.326*F622^0.818)-(0.398*F622^0.85)/(1-H622)*H622)*(MAX('Min rate concentrations'!$P$3:$P$368)))/F622, 0)</f>
        <v>0</v>
      </c>
      <c r="N622">
        <f>IF((((0.326*F622^0.818)-(0.398*F622^0.85)/(1-H622)*H622)*(MAX('Min rate concentrations'!$Q$3:$Q$368)))/F622&gt; 0, (((0.326*F622^0.818)-(0.398*F622^0.85)/(1-H622)*H622)*(MAX('Min rate concentrations'!$Q$3:$Q$368)))/F622, 0)</f>
        <v>0</v>
      </c>
      <c r="O622">
        <f>((MAX('Min rate concentrations'!$F$3:$F$368))*0.62*6.01*8*(12.3*F622^0.65)*0.079*0.1/F622)*inputs!$E$73/inputs!$E$74</f>
        <v>14.056096027997818</v>
      </c>
      <c r="P622">
        <f>((MAX('Min rate concentrations'!Y:Y))*0.62*6.01*8*(12.3*F622^0.65)*0.079*0.1/F622)*inputs!$E$73/inputs!$E$74</f>
        <v>4.6853653426659374</v>
      </c>
      <c r="Q622">
        <f>(inputs!$C$7*11.2*(12.3*F622^0.65)*0.5/F622)*inputs!$E$73/inputs!$E$74</f>
        <v>2.4759150186573007</v>
      </c>
      <c r="R622">
        <f>(60*379*((F622/1000)^0.8)*3*24*(MAX('Min rate concentrations'!$R$3:$R$368))/F622)*(inputs!$E$73/inputs!$E$75)</f>
        <v>3.7613682265749677E-3</v>
      </c>
      <c r="S622">
        <f>(IF(inputs!$C$6="aerial",((0.025*0.112*inputs!$C$7/3.3)*(3*60*379*((F622/1000)^0.8))*MAX(inputs!$H$14:$H$16))/F622,((0.0083*0.112*inputs!$C$7/1)*(3*60*379*((F622/1000)^0.8))*MAX(inputs!$H$14:$H$16))/F622))*(inputs!E$75/inputs!$E$73)</f>
        <v>2.0744176861665149E-2</v>
      </c>
      <c r="T622">
        <f>IF((((inputs!$P$12/(V622/MAX(K622:S622)))^(1/inputs!$O$12))-1)/inputs!$N$12&lt;0, 0, IF((((inputs!$P$12/(V622/MAX(K622:S622)))^(1/inputs!$O$12))-1)/inputs!$N$12&gt;inputs!$H$17, inputs!$H$17, (((inputs!$P$12/(V622/MAX(K622:S622)))^(1/inputs!$O$12))-1)/inputs!$N$12))</f>
        <v>49.855456234429433</v>
      </c>
      <c r="U622">
        <f>IF((((inputs!$P$12/(X622/MAX(K622:S622)))^(1/inputs!$O$12))-1)/inputs!$N$12&lt;0, 0, IF((((inputs!$P$12/(X622/MAX(K622:S622)))^(1/inputs!$O$12))-1)/inputs!$N$12&gt;inputs!$H$17, inputs!$H$17, (((inputs!$P$12/(X622/MAX(K622:S622)))^(1/inputs!$O$12))-1)/inputs!$N$12))</f>
        <v>0</v>
      </c>
      <c r="V622">
        <f>inputs!$E$70*(F622/inputs!$F$70)^(0.25)</f>
        <v>2.5888623881307193</v>
      </c>
      <c r="W622">
        <f>inputs!$E$76*(inputs!$F$76/F622)^(0.25)</f>
        <v>0.65810554129011889</v>
      </c>
      <c r="X622">
        <f>inputs!$E$72*(inputs!$F$72/F622)^(0.25)</f>
        <v>96.528885098616442</v>
      </c>
      <c r="Y622" t="s">
        <v>13</v>
      </c>
      <c r="Z622">
        <f t="shared" si="63"/>
        <v>25.248422346450383</v>
      </c>
      <c r="AA622">
        <f t="shared" si="64"/>
        <v>99.322505086686732</v>
      </c>
    </row>
    <row r="623" spans="1:27" x14ac:dyDescent="0.3">
      <c r="A623" t="s">
        <v>540</v>
      </c>
      <c r="B623" t="s">
        <v>541</v>
      </c>
      <c r="C623" t="s">
        <v>61</v>
      </c>
      <c r="D623" t="s">
        <v>443</v>
      </c>
      <c r="E623">
        <v>31</v>
      </c>
      <c r="F623">
        <v>17</v>
      </c>
      <c r="G623" t="s">
        <v>142</v>
      </c>
      <c r="H623">
        <v>0.69</v>
      </c>
      <c r="I623">
        <f>MAX('Min rate concentrations'!$H$3:$H$368)</f>
        <v>47</v>
      </c>
      <c r="J623">
        <f>MAX('Min rate concentrations'!AA:AA)</f>
        <v>32.5</v>
      </c>
      <c r="K623">
        <f t="shared" si="61"/>
        <v>27.374868053342773</v>
      </c>
      <c r="L623">
        <f t="shared" si="67"/>
        <v>18.929430036885961</v>
      </c>
      <c r="M623">
        <f>IF((((0.326*F623^0.818)-(0.398*F623^0.85)/(1-H623)*H623)*(MAX('Min rate concentrations'!$P$3:$P$368)))/F623&gt;0, (((0.326*F623^0.818)-(0.398*F623^0.85)/(1-H623)*H623)*(MAX('Min rate concentrations'!$P$3:$P$368)))/F623, 0)</f>
        <v>0</v>
      </c>
      <c r="N623">
        <f>IF((((0.326*F623^0.818)-(0.398*F623^0.85)/(1-H623)*H623)*(MAX('Min rate concentrations'!$Q$3:$Q$368)))/F623&gt; 0, (((0.326*F623^0.818)-(0.398*F623^0.85)/(1-H623)*H623)*(MAX('Min rate concentrations'!$Q$3:$Q$368)))/F623, 0)</f>
        <v>0</v>
      </c>
      <c r="O623">
        <f>((MAX('Min rate concentrations'!$F$3:$F$368))*0.62*6.01*8*(12.3*F623^0.65)*0.079*0.1/F623)*inputs!$E$73/inputs!$E$74</f>
        <v>16.738359991516393</v>
      </c>
      <c r="P623">
        <f>((MAX('Min rate concentrations'!Y:Y))*0.62*6.01*8*(12.3*F623^0.65)*0.079*0.1/F623)*inputs!$E$73/inputs!$E$74</f>
        <v>5.579453330505463</v>
      </c>
      <c r="Q623">
        <f>(inputs!$C$7*11.2*(12.3*F623^0.65)*0.5/F623)*inputs!$E$73/inputs!$E$74</f>
        <v>2.9483831647236642</v>
      </c>
      <c r="R623">
        <f>(60*379*((F623/1000)^0.8)*3*24*(MAX('Min rate concentrations'!$R$3:$R$368))/F623)*(inputs!$E$73/inputs!$E$75)</f>
        <v>4.1561161254291927E-3</v>
      </c>
      <c r="S623">
        <f>(IF(inputs!$C$6="aerial",((0.025*0.112*inputs!$C$7/3.3)*(3*60*379*((F623/1000)^0.8))*MAX(inputs!$H$14:$H$16))/F623,((0.0083*0.112*inputs!$C$7/1)*(3*60*379*((F623/1000)^0.8))*MAX(inputs!$H$14:$H$16))/F623))*(inputs!E$75/inputs!$E$73)</f>
        <v>2.2921235776489673E-2</v>
      </c>
      <c r="T623">
        <f>IF((((inputs!$P$12/(V623/MAX(K623:S623)))^(1/inputs!$O$12))-1)/inputs!$N$12&lt;0, 0, IF((((inputs!$P$12/(V623/MAX(K623:S623)))^(1/inputs!$O$12))-1)/inputs!$N$12&gt;inputs!$H$17, inputs!$H$17, (((inputs!$P$12/(V623/MAX(K623:S623)))^(1/inputs!$O$12))-1)/inputs!$N$12))</f>
        <v>29.360502578526972</v>
      </c>
      <c r="U623">
        <f>IF((((inputs!$P$12/(X623/MAX(K623:S623)))^(1/inputs!$O$12))-1)/inputs!$N$12&lt;0, 0, IF((((inputs!$P$12/(X623/MAX(K623:S623)))^(1/inputs!$O$12))-1)/inputs!$N$12&gt;inputs!$H$17, inputs!$H$17, (((inputs!$P$12/(X623/MAX(K623:S623)))^(1/inputs!$O$12))-1)/inputs!$N$12))</f>
        <v>0</v>
      </c>
      <c r="V623">
        <f>inputs!$E$70*(F623/inputs!$F$70)^(0.25)</f>
        <v>2.2852393227819667</v>
      </c>
      <c r="W623">
        <f>inputs!$E$76*(inputs!$F$76/F623)^(0.25)</f>
        <v>0.74554322003890616</v>
      </c>
      <c r="X623">
        <f>inputs!$E$72*(inputs!$F$72/F623)^(0.25)</f>
        <v>109.35397334918115</v>
      </c>
      <c r="Y623" t="s">
        <v>13</v>
      </c>
      <c r="Z623">
        <f t="shared" si="63"/>
        <v>11.978993963755888</v>
      </c>
      <c r="AA623">
        <f t="shared" si="64"/>
        <v>36.718016229715317</v>
      </c>
    </row>
    <row r="624" spans="1:27" x14ac:dyDescent="0.3">
      <c r="A624" t="s">
        <v>540</v>
      </c>
      <c r="B624" t="s">
        <v>541</v>
      </c>
      <c r="C624" t="s">
        <v>61</v>
      </c>
      <c r="D624" t="s">
        <v>443</v>
      </c>
      <c r="E624">
        <v>31</v>
      </c>
      <c r="F624">
        <v>17</v>
      </c>
      <c r="G624" t="s">
        <v>152</v>
      </c>
      <c r="H624">
        <v>0.77</v>
      </c>
      <c r="I624">
        <f>MAX('Min rate concentrations'!$G$3:$G$368)</f>
        <v>7.5</v>
      </c>
      <c r="J624">
        <f>MAX('Min rate concentrations'!Z:Z)</f>
        <v>3.5</v>
      </c>
      <c r="K624">
        <f t="shared" si="61"/>
        <v>5.8877491419076744</v>
      </c>
      <c r="L624">
        <f t="shared" si="67"/>
        <v>2.7476162662235817</v>
      </c>
      <c r="M624">
        <f>IF((((0.326*F624^0.818)-(0.398*F624^0.85)/(1-H624)*H624)*(MAX('Min rate concentrations'!$P$3:$P$368)))/F624&gt;0, (((0.326*F624^0.818)-(0.398*F624^0.85)/(1-H624)*H624)*(MAX('Min rate concentrations'!$P$3:$P$368)))/F624, 0)</f>
        <v>0</v>
      </c>
      <c r="N624">
        <f>IF((((0.326*F624^0.818)-(0.398*F624^0.85)/(1-H624)*H624)*(MAX('Min rate concentrations'!$Q$3:$Q$368)))/F624&gt; 0, (((0.326*F624^0.818)-(0.398*F624^0.85)/(1-H624)*H624)*(MAX('Min rate concentrations'!$Q$3:$Q$368)))/F624, 0)</f>
        <v>0</v>
      </c>
      <c r="O624">
        <f>((MAX('Min rate concentrations'!$F$3:$F$368))*0.62*6.01*8*(12.3*F624^0.65)*0.079*0.1/F624)*inputs!$E$73/inputs!$E$74</f>
        <v>16.738359991516393</v>
      </c>
      <c r="P624">
        <f>((MAX('Min rate concentrations'!Y:Y))*0.62*6.01*8*(12.3*F624^0.65)*0.079*0.1/F624)*inputs!$E$73/inputs!$E$74</f>
        <v>5.579453330505463</v>
      </c>
      <c r="Q624">
        <f>(inputs!$C$7*11.2*(12.3*F624^0.65)*0.5/F624)*inputs!$E$73/inputs!$E$74</f>
        <v>2.9483831647236642</v>
      </c>
      <c r="R624">
        <f>(60*379*((F624/1000)^0.8)*3*24*(MAX('Min rate concentrations'!$R$3:$R$368))/F624)*(inputs!$E$73/inputs!$E$75)</f>
        <v>4.1561161254291927E-3</v>
      </c>
      <c r="S624">
        <f>(IF(inputs!$C$6="aerial",((0.025*0.112*inputs!$C$7/3.3)*(3*60*379*((F624/1000)^0.8))*MAX(inputs!$H$14:$H$16))/F624,((0.0083*0.112*inputs!$C$7/1)*(3*60*379*((F624/1000)^0.8))*MAX(inputs!$H$14:$H$16))/F624))*(inputs!E$75/inputs!$E$73)</f>
        <v>2.2921235776489673E-2</v>
      </c>
      <c r="T624">
        <f>IF((((inputs!$P$12/(V624/MAX(K624:S624)))^(1/inputs!$O$12))-1)/inputs!$N$12&lt;0, 0, IF((((inputs!$P$12/(V624/MAX(K624:S624)))^(1/inputs!$O$12))-1)/inputs!$N$12&gt;inputs!$H$17, inputs!$H$17, (((inputs!$P$12/(V624/MAX(K624:S624)))^(1/inputs!$O$12))-1)/inputs!$N$12))</f>
        <v>18.87008374078756</v>
      </c>
      <c r="U624">
        <f>IF((((inputs!$P$12/(X624/MAX(K624:S624)))^(1/inputs!$O$12))-1)/inputs!$N$12&lt;0, 0, IF((((inputs!$P$12/(X624/MAX(K624:S624)))^(1/inputs!$O$12))-1)/inputs!$N$12&gt;inputs!$H$17, inputs!$H$17, (((inputs!$P$12/(X624/MAX(K624:S624)))^(1/inputs!$O$12))-1)/inputs!$N$12))</f>
        <v>0</v>
      </c>
      <c r="V624">
        <f>inputs!$E$70*(F624/inputs!$F$70)^(0.25)</f>
        <v>2.2852393227819667</v>
      </c>
      <c r="W624">
        <f>inputs!$E$76*(inputs!$F$76/F624)^(0.25)</f>
        <v>0.74554322003890616</v>
      </c>
      <c r="X624">
        <f>inputs!$E$72*(inputs!$F$72/F624)^(0.25)</f>
        <v>109.35397334918115</v>
      </c>
      <c r="Y624" t="s">
        <v>13</v>
      </c>
      <c r="Z624">
        <f t="shared" si="63"/>
        <v>7.3245545114897315</v>
      </c>
      <c r="AA624">
        <f t="shared" si="64"/>
        <v>22.451226892845867</v>
      </c>
    </row>
    <row r="625" spans="1:27" x14ac:dyDescent="0.3">
      <c r="A625" t="s">
        <v>540</v>
      </c>
      <c r="B625" t="s">
        <v>541</v>
      </c>
      <c r="C625" t="s">
        <v>61</v>
      </c>
      <c r="D625" t="s">
        <v>443</v>
      </c>
      <c r="E625">
        <v>31</v>
      </c>
      <c r="F625">
        <v>17</v>
      </c>
      <c r="G625" t="s">
        <v>169</v>
      </c>
      <c r="H625">
        <v>0.79</v>
      </c>
      <c r="I625">
        <f>MAX('Min rate concentrations'!$D$3:$D$368)</f>
        <v>120</v>
      </c>
      <c r="J625">
        <f>MAX('Min rate concentrations'!W:W)</f>
        <v>42.5</v>
      </c>
      <c r="K625">
        <f t="shared" si="61"/>
        <v>103.17579448676307</v>
      </c>
      <c r="L625">
        <f t="shared" si="67"/>
        <v>36.541427214061919</v>
      </c>
      <c r="M625">
        <f>IF((((0.326*F625^0.818)-(0.398*F625^0.85)/(1-H625)*H625)*(MAX('Min rate concentrations'!$P$3:$P$368)))/F625&gt;0, (((0.326*F625^0.818)-(0.398*F625^0.85)/(1-H625)*H625)*(MAX('Min rate concentrations'!$P$3:$P$368)))/F625, 0)</f>
        <v>0</v>
      </c>
      <c r="N625">
        <f>IF((((0.326*F625^0.818)-(0.398*F625^0.85)/(1-H625)*H625)*(MAX('Min rate concentrations'!$Q$3:$Q$368)))/F625&gt; 0, (((0.326*F625^0.818)-(0.398*F625^0.85)/(1-H625)*H625)*(MAX('Min rate concentrations'!$Q$3:$Q$368)))/F625, 0)</f>
        <v>0</v>
      </c>
      <c r="O625">
        <f>((MAX('Min rate concentrations'!$F$3:$F$368))*0.62*6.01*8*(12.3*F625^0.65)*0.079*0.1/F625)*inputs!$E$73/inputs!$E$74</f>
        <v>16.738359991516393</v>
      </c>
      <c r="P625">
        <f>((MAX('Min rate concentrations'!Y:Y))*0.62*6.01*8*(12.3*F625^0.65)*0.079*0.1/F625)*inputs!$E$73/inputs!$E$74</f>
        <v>5.579453330505463</v>
      </c>
      <c r="Q625">
        <f>(inputs!$C$7*11.2*(12.3*F625^0.65)*0.5/F625)*inputs!$E$73/inputs!$E$74</f>
        <v>2.9483831647236642</v>
      </c>
      <c r="R625">
        <f>(60*379*((F625/1000)^0.8)*3*24*(MAX('Min rate concentrations'!$R$3:$R$368))/F625)*(inputs!$E$73/inputs!$E$75)</f>
        <v>4.1561161254291927E-3</v>
      </c>
      <c r="S625">
        <f>(IF(inputs!$C$6="aerial",((0.025*0.112*inputs!$C$7/3.3)*(3*60*379*((F625/1000)^0.8))*MAX(inputs!$H$14:$H$16))/F625,((0.0083*0.112*inputs!$C$7/1)*(3*60*379*((F625/1000)^0.8))*MAX(inputs!$H$14:$H$16))/F625))*(inputs!E$75/inputs!$E$73)</f>
        <v>2.2921235776489673E-2</v>
      </c>
      <c r="T625">
        <f>IF((((inputs!$P$12/(V625/MAX(K625:S625)))^(1/inputs!$O$12))-1)/inputs!$N$12&lt;0, 0, IF((((inputs!$P$12/(V625/MAX(K625:S625)))^(1/inputs!$O$12))-1)/inputs!$N$12&gt;inputs!$H$17, inputs!$H$17, (((inputs!$P$12/(V625/MAX(K625:S625)))^(1/inputs!$O$12))-1)/inputs!$N$12))</f>
        <v>70.748166668978357</v>
      </c>
      <c r="U625">
        <f>IF((((inputs!$P$12/(X625/MAX(K625:S625)))^(1/inputs!$O$12))-1)/inputs!$N$12&lt;0, 0, IF((((inputs!$P$12/(X625/MAX(K625:S625)))^(1/inputs!$O$12))-1)/inputs!$N$12&gt;inputs!$H$17, inputs!$H$17, (((inputs!$P$12/(X625/MAX(K625:S625)))^(1/inputs!$O$12))-1)/inputs!$N$12))</f>
        <v>0</v>
      </c>
      <c r="V625">
        <f>inputs!$E$70*(F625/inputs!$F$70)^(0.25)</f>
        <v>2.2852393227819667</v>
      </c>
      <c r="W625">
        <f>inputs!$E$76*(inputs!$F$76/F625)^(0.25)</f>
        <v>0.74554322003890616</v>
      </c>
      <c r="X625">
        <f>inputs!$E$72*(inputs!$F$72/F625)^(0.25)</f>
        <v>109.35397334918115</v>
      </c>
      <c r="Y625" t="s">
        <v>13</v>
      </c>
      <c r="Z625">
        <f t="shared" si="63"/>
        <v>45.148791839079955</v>
      </c>
      <c r="AA625">
        <f t="shared" si="64"/>
        <v>138.3900915648845</v>
      </c>
    </row>
    <row r="626" spans="1:27" x14ac:dyDescent="0.3">
      <c r="A626" t="s">
        <v>540</v>
      </c>
      <c r="B626" t="s">
        <v>541</v>
      </c>
      <c r="C626" t="s">
        <v>61</v>
      </c>
      <c r="D626" t="s">
        <v>443</v>
      </c>
      <c r="E626">
        <v>31</v>
      </c>
      <c r="F626">
        <v>17</v>
      </c>
      <c r="G626" t="s">
        <v>177</v>
      </c>
      <c r="H626">
        <v>0.85</v>
      </c>
      <c r="I626">
        <f>MAX('Min rate concentrations'!$F$3:$F$368)</f>
        <v>67.5</v>
      </c>
      <c r="J626">
        <f>MAX('Min rate concentrations'!Y:Y)</f>
        <v>22.5</v>
      </c>
      <c r="K626">
        <f t="shared" si="61"/>
        <v>81.250938158325908</v>
      </c>
      <c r="L626">
        <f t="shared" si="67"/>
        <v>27.083646052775304</v>
      </c>
      <c r="M626">
        <f>IF((((0.326*F626^0.818)-(0.398*F626^0.85)/(1-H626)*H626)*(MAX('Min rate concentrations'!$P$3:$P$368)))/F626&gt;0, (((0.326*F626^0.818)-(0.398*F626^0.85)/(1-H626)*H626)*(MAX('Min rate concentrations'!$P$3:$P$368)))/F626, 0)</f>
        <v>0</v>
      </c>
      <c r="N626">
        <f>IF((((0.326*F626^0.818)-(0.398*F626^0.85)/(1-H626)*H626)*(MAX('Min rate concentrations'!$Q$3:$Q$368)))/F626&gt; 0, (((0.326*F626^0.818)-(0.398*F626^0.85)/(1-H626)*H626)*(MAX('Min rate concentrations'!$Q$3:$Q$368)))/F626, 0)</f>
        <v>0</v>
      </c>
      <c r="O626">
        <f>((MAX('Min rate concentrations'!$F$3:$F$368))*0.62*6.01*8*(12.3*F626^0.65)*0.079*0.1/F626)*inputs!$E$73/inputs!$E$74</f>
        <v>16.738359991516393</v>
      </c>
      <c r="P626">
        <f>((MAX('Min rate concentrations'!Y:Y))*0.62*6.01*8*(12.3*F626^0.65)*0.079*0.1/F626)*inputs!$E$73/inputs!$E$74</f>
        <v>5.579453330505463</v>
      </c>
      <c r="Q626">
        <f>(inputs!$C$7*11.2*(12.3*F626^0.65)*0.5/F626)*inputs!$E$73/inputs!$E$74</f>
        <v>2.9483831647236642</v>
      </c>
      <c r="R626">
        <f>(60*379*((F626/1000)^0.8)*3*24*(MAX('Min rate concentrations'!$R$3:$R$368))/F626)*(inputs!$E$73/inputs!$E$75)</f>
        <v>4.1561161254291927E-3</v>
      </c>
      <c r="S626">
        <f>(IF(inputs!$C$6="aerial",((0.025*0.112*inputs!$C$7/3.3)*(3*60*379*((F626/1000)^0.8))*MAX(inputs!$H$14:$H$16))/F626,((0.0083*0.112*inputs!$C$7/1)*(3*60*379*((F626/1000)^0.8))*MAX(inputs!$H$14:$H$16))/F626))*(inputs!E$75/inputs!$E$73)</f>
        <v>2.2921235776489673E-2</v>
      </c>
      <c r="T626">
        <f>IF((((inputs!$P$12/(V626/MAX(K626:S626)))^(1/inputs!$O$12))-1)/inputs!$N$12&lt;0, 0, IF((((inputs!$P$12/(V626/MAX(K626:S626)))^(1/inputs!$O$12))-1)/inputs!$N$12&gt;inputs!$H$17, inputs!$H$17, (((inputs!$P$12/(V626/MAX(K626:S626)))^(1/inputs!$O$12))-1)/inputs!$N$12))</f>
        <v>61.559257502690912</v>
      </c>
      <c r="U626">
        <f>IF((((inputs!$P$12/(X626/MAX(K626:S626)))^(1/inputs!$O$12))-1)/inputs!$N$12&lt;0, 0, IF((((inputs!$P$12/(X626/MAX(K626:S626)))^(1/inputs!$O$12))-1)/inputs!$N$12&gt;inputs!$H$17, inputs!$H$17, (((inputs!$P$12/(X626/MAX(K626:S626)))^(1/inputs!$O$12))-1)/inputs!$N$12))</f>
        <v>0</v>
      </c>
      <c r="V626">
        <f>inputs!$E$70*(F626/inputs!$F$70)^(0.25)</f>
        <v>2.2852393227819667</v>
      </c>
      <c r="W626">
        <f>inputs!$E$76*(inputs!$F$76/F626)^(0.25)</f>
        <v>0.74554322003890616</v>
      </c>
      <c r="X626">
        <f>inputs!$E$72*(inputs!$F$72/F626)^(0.25)</f>
        <v>109.35397334918115</v>
      </c>
      <c r="Y626" t="s">
        <v>13</v>
      </c>
      <c r="Z626">
        <f t="shared" si="63"/>
        <v>35.554673573275466</v>
      </c>
      <c r="AA626">
        <f t="shared" si="64"/>
        <v>108.98219710734655</v>
      </c>
    </row>
    <row r="627" spans="1:27" x14ac:dyDescent="0.3">
      <c r="A627" t="s">
        <v>521</v>
      </c>
      <c r="B627" t="s">
        <v>522</v>
      </c>
      <c r="C627" t="s">
        <v>61</v>
      </c>
      <c r="D627" t="s">
        <v>443</v>
      </c>
      <c r="E627">
        <v>32</v>
      </c>
      <c r="F627">
        <v>210</v>
      </c>
      <c r="G627" t="s">
        <v>142</v>
      </c>
      <c r="H627">
        <v>0.69</v>
      </c>
      <c r="I627">
        <f>MAX('Min rate concentrations'!$H$3:$H$368)</f>
        <v>47</v>
      </c>
      <c r="J627">
        <f>MAX('Min rate concentrations'!AA:AA)</f>
        <v>32.5</v>
      </c>
      <c r="K627">
        <f t="shared" si="61"/>
        <v>9.1482948137877731</v>
      </c>
      <c r="L627">
        <f t="shared" si="67"/>
        <v>6.3259485414489918</v>
      </c>
      <c r="M627">
        <f>IF((((0.326*F627^0.818)-(0.398*F627^0.85)/(1-H627)*H627)*(MAX('Min rate concentrations'!$P$3:$P$368)))/F627&gt;0, (((0.326*F627^0.818)-(0.398*F627^0.85)/(1-H627)*H627)*(MAX('Min rate concentrations'!$P$3:$P$368)))/F627, 0)</f>
        <v>0</v>
      </c>
      <c r="N627">
        <f>IF((((0.326*F627^0.818)-(0.398*F627^0.85)/(1-H627)*H627)*(MAX('Min rate concentrations'!$Q$3:$Q$368)))/F627&gt; 0, (((0.326*F627^0.818)-(0.398*F627^0.85)/(1-H627)*H627)*(MAX('Min rate concentrations'!$Q$3:$Q$368)))/F627, 0)</f>
        <v>0</v>
      </c>
      <c r="O627">
        <f>((MAX('Min rate concentrations'!$F$3:$F$368))*0.62*6.01*8*(12.3*F627^0.65)*0.079*0.1/F627)*inputs!$E$73/inputs!$E$74</f>
        <v>6.9437371615826669</v>
      </c>
      <c r="P627">
        <f>((MAX('Min rate concentrations'!Y:Y))*0.62*6.01*8*(12.3*F627^0.65)*0.079*0.1/F627)*inputs!$E$73/inputs!$E$74</f>
        <v>2.3145790538608884</v>
      </c>
      <c r="Q627">
        <f>(inputs!$C$7*11.2*(12.3*F627^0.65)*0.5/F627)*inputs!$E$73/inputs!$E$74</f>
        <v>1.2231065503342486</v>
      </c>
      <c r="R627">
        <f>(60*379*((F627/1000)^0.8)*3*24*(MAX('Min rate concentrations'!$R$3:$R$368))/F627)*(inputs!$E$73/inputs!$E$75)</f>
        <v>2.5138166530735795E-3</v>
      </c>
      <c r="S627">
        <f>(IF(inputs!$C$6="aerial",((0.025*0.112*inputs!$C$7/3.3)*(3*60*379*((F627/1000)^0.8))*MAX(inputs!$H$14:$H$16))/F627,((0.0083*0.112*inputs!$C$7/1)*(3*60*379*((F627/1000)^0.8))*MAX(inputs!$H$14:$H$16))/F627))*(inputs!E$75/inputs!$E$73)</f>
        <v>1.3863853286345647E-2</v>
      </c>
      <c r="T627">
        <f>IF((((inputs!$P$12/(V627/MAX(K627:S627)))^(1/inputs!$O$12))-1)/inputs!$N$12&lt;0, 0, IF((((inputs!$P$12/(V627/MAX(K627:S627)))^(1/inputs!$O$12))-1)/inputs!$N$12&gt;inputs!$H$17, inputs!$H$17, (((inputs!$P$12/(V627/MAX(K627:S627)))^(1/inputs!$O$12))-1)/inputs!$N$12))</f>
        <v>0.19669494396837273</v>
      </c>
      <c r="U627">
        <f>IF((((inputs!$P$12/(X627/MAX(K627:S627)))^(1/inputs!$O$12))-1)/inputs!$N$12&lt;0, 0, IF((((inputs!$P$12/(X627/MAX(K627:S627)))^(1/inputs!$O$12))-1)/inputs!$N$12&gt;inputs!$H$17, inputs!$H$17, (((inputs!$P$12/(X627/MAX(K627:S627)))^(1/inputs!$O$12))-1)/inputs!$N$12))</f>
        <v>0</v>
      </c>
      <c r="V627">
        <f>inputs!$E$70*(F627/inputs!$F$70)^(0.25)</f>
        <v>4.2842448349774243</v>
      </c>
      <c r="W627">
        <f>inputs!$E$76*(inputs!$F$76/F627)^(0.25)</f>
        <v>0.39767677826362474</v>
      </c>
      <c r="X627">
        <f>inputs!$E$72*(inputs!$F$72/F627)^(0.25)</f>
        <v>58.329999714247613</v>
      </c>
      <c r="Y627" t="s">
        <v>13</v>
      </c>
      <c r="Z627">
        <f t="shared" si="63"/>
        <v>2.1353342692040567</v>
      </c>
      <c r="AA627">
        <f t="shared" si="64"/>
        <v>23.004347535030718</v>
      </c>
    </row>
    <row r="628" spans="1:27" x14ac:dyDescent="0.3">
      <c r="A628" t="s">
        <v>521</v>
      </c>
      <c r="B628" t="s">
        <v>522</v>
      </c>
      <c r="C628" t="s">
        <v>61</v>
      </c>
      <c r="D628" t="s">
        <v>443</v>
      </c>
      <c r="E628">
        <v>32</v>
      </c>
      <c r="F628">
        <v>210</v>
      </c>
      <c r="G628" t="s">
        <v>152</v>
      </c>
      <c r="H628">
        <v>0.77</v>
      </c>
      <c r="I628">
        <f>MAX('Min rate concentrations'!$G$3:$G$368)</f>
        <v>7.5</v>
      </c>
      <c r="J628">
        <f>MAX('Min rate concentrations'!Z:Z)</f>
        <v>3.5</v>
      </c>
      <c r="K628">
        <f t="shared" si="61"/>
        <v>1.9676027235945028</v>
      </c>
      <c r="L628">
        <f t="shared" si="67"/>
        <v>0.91821460434410129</v>
      </c>
      <c r="M628">
        <f>IF((((0.326*F628^0.818)-(0.398*F628^0.85)/(1-H628)*H628)*(MAX('Min rate concentrations'!$P$3:$P$368)))/F628&gt;0, (((0.326*F628^0.818)-(0.398*F628^0.85)/(1-H628)*H628)*(MAX('Min rate concentrations'!$P$3:$P$368)))/F628, 0)</f>
        <v>0</v>
      </c>
      <c r="N628">
        <f>IF((((0.326*F628^0.818)-(0.398*F628^0.85)/(1-H628)*H628)*(MAX('Min rate concentrations'!$Q$3:$Q$368)))/F628&gt; 0, (((0.326*F628^0.818)-(0.398*F628^0.85)/(1-H628)*H628)*(MAX('Min rate concentrations'!$Q$3:$Q$368)))/F628, 0)</f>
        <v>0</v>
      </c>
      <c r="O628">
        <f>((MAX('Min rate concentrations'!$F$3:$F$368))*0.62*6.01*8*(12.3*F628^0.65)*0.079*0.1/F628)*inputs!$E$73/inputs!$E$74</f>
        <v>6.9437371615826669</v>
      </c>
      <c r="P628">
        <f>((MAX('Min rate concentrations'!Y:Y))*0.62*6.01*8*(12.3*F628^0.65)*0.079*0.1/F628)*inputs!$E$73/inputs!$E$74</f>
        <v>2.3145790538608884</v>
      </c>
      <c r="Q628">
        <f>(inputs!$C$7*11.2*(12.3*F628^0.65)*0.5/F628)*inputs!$E$73/inputs!$E$74</f>
        <v>1.2231065503342486</v>
      </c>
      <c r="R628">
        <f>(60*379*((F628/1000)^0.8)*3*24*(MAX('Min rate concentrations'!$R$3:$R$368))/F628)*(inputs!$E$73/inputs!$E$75)</f>
        <v>2.5138166530735795E-3</v>
      </c>
      <c r="S628">
        <f>(IF(inputs!$C$6="aerial",((0.025*0.112*inputs!$C$7/3.3)*(3*60*379*((F628/1000)^0.8))*MAX(inputs!$H$14:$H$16))/F628,((0.0083*0.112*inputs!$C$7/1)*(3*60*379*((F628/1000)^0.8))*MAX(inputs!$H$14:$H$16))/F628))*(inputs!E$75/inputs!$E$73)</f>
        <v>1.3863853286345647E-2</v>
      </c>
      <c r="T628">
        <f>IF((((inputs!$P$12/(V628/MAX(K628:S628)))^(1/inputs!$O$12))-1)/inputs!$N$12&lt;0, 0, IF((((inputs!$P$12/(V628/MAX(K628:S628)))^(1/inputs!$O$12))-1)/inputs!$N$12&gt;inputs!$H$17, inputs!$H$17, (((inputs!$P$12/(V628/MAX(K628:S628)))^(1/inputs!$O$12))-1)/inputs!$N$12))</f>
        <v>0</v>
      </c>
      <c r="U628">
        <f>IF((((inputs!$P$12/(X628/MAX(K628:S628)))^(1/inputs!$O$12))-1)/inputs!$N$12&lt;0, 0, IF((((inputs!$P$12/(X628/MAX(K628:S628)))^(1/inputs!$O$12))-1)/inputs!$N$12&gt;inputs!$H$17, inputs!$H$17, (((inputs!$P$12/(X628/MAX(K628:S628)))^(1/inputs!$O$12))-1)/inputs!$N$12))</f>
        <v>0</v>
      </c>
      <c r="V628">
        <f>inputs!$E$70*(F628/inputs!$F$70)^(0.25)</f>
        <v>4.2842448349774243</v>
      </c>
      <c r="W628">
        <f>inputs!$E$76*(inputs!$F$76/F628)^(0.25)</f>
        <v>0.39767677826362474</v>
      </c>
      <c r="X628">
        <f>inputs!$E$72*(inputs!$F$72/F628)^(0.25)</f>
        <v>58.329999714247613</v>
      </c>
      <c r="Y628" t="s">
        <v>13</v>
      </c>
      <c r="Z628">
        <f t="shared" si="63"/>
        <v>1.6207610510241197</v>
      </c>
      <c r="AA628">
        <f t="shared" si="64"/>
        <v>17.460755923192426</v>
      </c>
    </row>
    <row r="629" spans="1:27" x14ac:dyDescent="0.3">
      <c r="A629" t="s">
        <v>521</v>
      </c>
      <c r="B629" t="s">
        <v>522</v>
      </c>
      <c r="C629" t="s">
        <v>61</v>
      </c>
      <c r="D629" t="s">
        <v>443</v>
      </c>
      <c r="E629">
        <v>32</v>
      </c>
      <c r="F629">
        <v>210</v>
      </c>
      <c r="G629" t="s">
        <v>169</v>
      </c>
      <c r="H629">
        <v>0.79</v>
      </c>
      <c r="I629">
        <f>MAX('Min rate concentrations'!$D$3:$D$368)</f>
        <v>120</v>
      </c>
      <c r="J629">
        <f>MAX('Min rate concentrations'!W:W)</f>
        <v>42.5</v>
      </c>
      <c r="K629">
        <f t="shared" si="61"/>
        <v>34.479895346798905</v>
      </c>
      <c r="L629">
        <f t="shared" si="67"/>
        <v>12.21162960199128</v>
      </c>
      <c r="M629">
        <f>IF((((0.326*F629^0.818)-(0.398*F629^0.85)/(1-H629)*H629)*(MAX('Min rate concentrations'!$P$3:$P$368)))/F629&gt;0, (((0.326*F629^0.818)-(0.398*F629^0.85)/(1-H629)*H629)*(MAX('Min rate concentrations'!$P$3:$P$368)))/F629, 0)</f>
        <v>0</v>
      </c>
      <c r="N629">
        <f>IF((((0.326*F629^0.818)-(0.398*F629^0.85)/(1-H629)*H629)*(MAX('Min rate concentrations'!$Q$3:$Q$368)))/F629&gt; 0, (((0.326*F629^0.818)-(0.398*F629^0.85)/(1-H629)*H629)*(MAX('Min rate concentrations'!$Q$3:$Q$368)))/F629, 0)</f>
        <v>0</v>
      </c>
      <c r="O629">
        <f>((MAX('Min rate concentrations'!$F$3:$F$368))*0.62*6.01*8*(12.3*F629^0.65)*0.079*0.1/F629)*inputs!$E$73/inputs!$E$74</f>
        <v>6.9437371615826669</v>
      </c>
      <c r="P629">
        <f>((MAX('Min rate concentrations'!Y:Y))*0.62*6.01*8*(12.3*F629^0.65)*0.079*0.1/F629)*inputs!$E$73/inputs!$E$74</f>
        <v>2.3145790538608884</v>
      </c>
      <c r="Q629">
        <f>(inputs!$C$7*11.2*(12.3*F629^0.65)*0.5/F629)*inputs!$E$73/inputs!$E$74</f>
        <v>1.2231065503342486</v>
      </c>
      <c r="R629">
        <f>(60*379*((F629/1000)^0.8)*3*24*(MAX('Min rate concentrations'!$R$3:$R$368))/F629)*(inputs!$E$73/inputs!$E$75)</f>
        <v>2.5138166530735795E-3</v>
      </c>
      <c r="S629">
        <f>(IF(inputs!$C$6="aerial",((0.025*0.112*inputs!$C$7/3.3)*(3*60*379*((F629/1000)^0.8))*MAX(inputs!$H$14:$H$16))/F629,((0.0083*0.112*inputs!$C$7/1)*(3*60*379*((F629/1000)^0.8))*MAX(inputs!$H$14:$H$16))/F629))*(inputs!E$75/inputs!$E$73)</f>
        <v>1.3863853286345647E-2</v>
      </c>
      <c r="T629">
        <f>IF((((inputs!$P$12/(V629/MAX(K629:S629)))^(1/inputs!$O$12))-1)/inputs!$N$12&lt;0, 0, IF((((inputs!$P$12/(V629/MAX(K629:S629)))^(1/inputs!$O$12))-1)/inputs!$N$12&gt;inputs!$H$17, inputs!$H$17, (((inputs!$P$12/(V629/MAX(K629:S629)))^(1/inputs!$O$12))-1)/inputs!$N$12))</f>
        <v>20.719868221927857</v>
      </c>
      <c r="U629">
        <f>IF((((inputs!$P$12/(X629/MAX(K629:S629)))^(1/inputs!$O$12))-1)/inputs!$N$12&lt;0, 0, IF((((inputs!$P$12/(X629/MAX(K629:S629)))^(1/inputs!$O$12))-1)/inputs!$N$12&gt;inputs!$H$17, inputs!$H$17, (((inputs!$P$12/(X629/MAX(K629:S629)))^(1/inputs!$O$12))-1)/inputs!$N$12))</f>
        <v>0</v>
      </c>
      <c r="V629">
        <f>inputs!$E$70*(F629/inputs!$F$70)^(0.25)</f>
        <v>4.2842448349774243</v>
      </c>
      <c r="W629">
        <f>inputs!$E$76*(inputs!$F$76/F629)^(0.25)</f>
        <v>0.39767677826362474</v>
      </c>
      <c r="X629">
        <f>inputs!$E$72*(inputs!$F$72/F629)^(0.25)</f>
        <v>58.329999714247613</v>
      </c>
      <c r="Y629" t="s">
        <v>13</v>
      </c>
      <c r="Z629">
        <f t="shared" si="63"/>
        <v>8.0480683702523734</v>
      </c>
      <c r="AA629">
        <f t="shared" si="64"/>
        <v>86.703315937501799</v>
      </c>
    </row>
    <row r="630" spans="1:27" x14ac:dyDescent="0.3">
      <c r="A630" t="s">
        <v>521</v>
      </c>
      <c r="B630" t="s">
        <v>522</v>
      </c>
      <c r="C630" t="s">
        <v>61</v>
      </c>
      <c r="D630" t="s">
        <v>443</v>
      </c>
      <c r="E630">
        <v>32</v>
      </c>
      <c r="F630">
        <v>210</v>
      </c>
      <c r="G630" t="s">
        <v>177</v>
      </c>
      <c r="H630">
        <v>0.85</v>
      </c>
      <c r="I630">
        <f>MAX('Min rate concentrations'!$F$3:$F$368)</f>
        <v>67.5</v>
      </c>
      <c r="J630">
        <f>MAX('Min rate concentrations'!Y:Y)</f>
        <v>22.5</v>
      </c>
      <c r="K630">
        <f t="shared" si="61"/>
        <v>27.152917585604133</v>
      </c>
      <c r="L630">
        <f t="shared" si="67"/>
        <v>9.0509725285347109</v>
      </c>
      <c r="M630">
        <f>IF((((0.326*F630^0.818)-(0.398*F630^0.85)/(1-H630)*H630)*(MAX('Min rate concentrations'!$P$3:$P$368)))/F630&gt;0, (((0.326*F630^0.818)-(0.398*F630^0.85)/(1-H630)*H630)*(MAX('Min rate concentrations'!$P$3:$P$368)))/F630, 0)</f>
        <v>0</v>
      </c>
      <c r="N630">
        <f>IF((((0.326*F630^0.818)-(0.398*F630^0.85)/(1-H630)*H630)*(MAX('Min rate concentrations'!$Q$3:$Q$368)))/F630&gt; 0, (((0.326*F630^0.818)-(0.398*F630^0.85)/(1-H630)*H630)*(MAX('Min rate concentrations'!$Q$3:$Q$368)))/F630, 0)</f>
        <v>0</v>
      </c>
      <c r="O630">
        <f>((MAX('Min rate concentrations'!$F$3:$F$368))*0.62*6.01*8*(12.3*F630^0.65)*0.079*0.1/F630)*inputs!$E$73/inputs!$E$74</f>
        <v>6.9437371615826669</v>
      </c>
      <c r="P630">
        <f>((MAX('Min rate concentrations'!Y:Y))*0.62*6.01*8*(12.3*F630^0.65)*0.079*0.1/F630)*inputs!$E$73/inputs!$E$74</f>
        <v>2.3145790538608884</v>
      </c>
      <c r="Q630">
        <f>(inputs!$C$7*11.2*(12.3*F630^0.65)*0.5/F630)*inputs!$E$73/inputs!$E$74</f>
        <v>1.2231065503342486</v>
      </c>
      <c r="R630">
        <f>(60*379*((F630/1000)^0.8)*3*24*(MAX('Min rate concentrations'!$R$3:$R$368))/F630)*(inputs!$E$73/inputs!$E$75)</f>
        <v>2.5138166530735795E-3</v>
      </c>
      <c r="S630">
        <f>(IF(inputs!$C$6="aerial",((0.025*0.112*inputs!$C$7/3.3)*(3*60*379*((F630/1000)^0.8))*MAX(inputs!$H$14:$H$16))/F630,((0.0083*0.112*inputs!$C$7/1)*(3*60*379*((F630/1000)^0.8))*MAX(inputs!$H$14:$H$16))/F630))*(inputs!E$75/inputs!$E$73)</f>
        <v>1.3863853286345647E-2</v>
      </c>
      <c r="T630">
        <f>IF((((inputs!$P$12/(V630/MAX(K630:S630)))^(1/inputs!$O$12))-1)/inputs!$N$12&lt;0, 0, IF((((inputs!$P$12/(V630/MAX(K630:S630)))^(1/inputs!$O$12))-1)/inputs!$N$12&gt;inputs!$H$17, inputs!$H$17, (((inputs!$P$12/(V630/MAX(K630:S630)))^(1/inputs!$O$12))-1)/inputs!$N$12))</f>
        <v>16.163303380698824</v>
      </c>
      <c r="U630">
        <f>IF((((inputs!$P$12/(X630/MAX(K630:S630)))^(1/inputs!$O$12))-1)/inputs!$N$12&lt;0, 0, IF((((inputs!$P$12/(X630/MAX(K630:S630)))^(1/inputs!$O$12))-1)/inputs!$N$12&gt;inputs!$H$17, inputs!$H$17, (((inputs!$P$12/(X630/MAX(K630:S630)))^(1/inputs!$O$12))-1)/inputs!$N$12))</f>
        <v>0</v>
      </c>
      <c r="V630">
        <f>inputs!$E$70*(F630/inputs!$F$70)^(0.25)</f>
        <v>4.2842448349774243</v>
      </c>
      <c r="W630">
        <f>inputs!$E$76*(inputs!$F$76/F630)^(0.25)</f>
        <v>0.39767677826362474</v>
      </c>
      <c r="X630">
        <f>inputs!$E$72*(inputs!$F$72/F630)^(0.25)</f>
        <v>58.329999714247613</v>
      </c>
      <c r="Y630" t="s">
        <v>13</v>
      </c>
      <c r="Z630">
        <f t="shared" si="63"/>
        <v>6.3378538415737422</v>
      </c>
      <c r="AA630">
        <f t="shared" si="64"/>
        <v>68.278861300782651</v>
      </c>
    </row>
    <row r="631" spans="1:27" x14ac:dyDescent="0.3">
      <c r="A631" t="s">
        <v>521</v>
      </c>
      <c r="B631" t="s">
        <v>522</v>
      </c>
      <c r="C631" t="s">
        <v>61</v>
      </c>
      <c r="D631" t="s">
        <v>443</v>
      </c>
      <c r="E631">
        <v>32</v>
      </c>
      <c r="F631">
        <v>210</v>
      </c>
      <c r="G631" t="s">
        <v>154</v>
      </c>
      <c r="H631">
        <v>9.2999999999999999E-2</v>
      </c>
      <c r="I631">
        <f>MAX('Min rate concentrations'!$G$3:$G$368)</f>
        <v>7.5</v>
      </c>
      <c r="J631">
        <f>MAX('Min rate concentrations'!Z:Z)</f>
        <v>3.5</v>
      </c>
      <c r="K631">
        <f t="shared" si="61"/>
        <v>0.49895107654546372</v>
      </c>
      <c r="M631">
        <f>IF((((0.326*F631^0.818)-(0.398*F631^0.85)/(1-H631)*H631)*(MAX('Min rate concentrations'!$P$3:$P$368)))/F631&gt;0, (((0.326*F631^0.818)-(0.398*F631^0.85)/(1-H631)*H631)*(MAX('Min rate concentrations'!$P$3:$P$368)))/F631, 0)</f>
        <v>1.5224658653461814E-2</v>
      </c>
      <c r="N631">
        <f>IF((((0.326*F631^0.818)-(0.398*F631^0.85)/(1-H631)*H631)*(MAX('Min rate concentrations'!$Q$3:$Q$368)))/F631&gt; 0, (((0.326*F631^0.818)-(0.398*F631^0.85)/(1-H631)*H631)*(MAX('Min rate concentrations'!$Q$3:$Q$368)))/F631, 0)</f>
        <v>5.7976318198947538E-2</v>
      </c>
      <c r="O631">
        <f>((MAX('Min rate concentrations'!$F$3:$F$368))*0.62*6.01*8*(12.3*F631^0.65)*0.079*0.1/F631)*inputs!$E$73/inputs!$E$74</f>
        <v>6.9437371615826669</v>
      </c>
      <c r="Q631">
        <f>(inputs!$C$7*11.2*(12.3*F631^0.65)*0.5/F631)*inputs!$E$73/inputs!$E$74</f>
        <v>1.2231065503342486</v>
      </c>
      <c r="R631">
        <f>(60*379*((F631/1000)^0.8)*3*24*(MAX('Min rate concentrations'!$R$3:$R$368))/F631)*(inputs!$E$73/inputs!$E$75)</f>
        <v>2.5138166530735795E-3</v>
      </c>
      <c r="S631">
        <f>(IF(inputs!$C$6="aerial",((0.025*0.112*inputs!$C$7/3.3)*(3*60*379*((F631/1000)^0.8))*MAX(inputs!$H$14:$H$16))/F631,((0.0083*0.112*inputs!$C$7/1)*(3*60*379*((F631/1000)^0.8))*MAX(inputs!$H$14:$H$16))/F631))*(inputs!E$75/inputs!$E$73)</f>
        <v>1.3863853286345647E-2</v>
      </c>
      <c r="T631">
        <f>IF((((inputs!$P$12/(V631/MAX(K631:S631)))^(1/inputs!$O$12))-1)/inputs!$N$12&lt;0, 0, IF((((inputs!$P$12/(V631/MAX(K631:S631)))^(1/inputs!$O$12))-1)/inputs!$N$12&gt;inputs!$H$17, inputs!$H$17, (((inputs!$P$12/(V631/MAX(K631:S631)))^(1/inputs!$O$12))-1)/inputs!$N$12))</f>
        <v>0</v>
      </c>
      <c r="U631">
        <f>IF((((inputs!$P$12/(X631/MAX(K631:S631)))^(1/inputs!$O$12))-1)/inputs!$N$12&lt;0, 0, IF((((inputs!$P$12/(X631/MAX(K631:S631)))^(1/inputs!$O$12))-1)/inputs!$N$12&gt;inputs!$H$17, inputs!$H$17, (((inputs!$P$12/(X631/MAX(K631:S631)))^(1/inputs!$O$12))-1)/inputs!$N$12))</f>
        <v>0</v>
      </c>
      <c r="V631">
        <f>inputs!$E$70*(F631/inputs!$F$70)^(0.25)</f>
        <v>4.2842448349774243</v>
      </c>
      <c r="W631">
        <f>inputs!$E$76*(inputs!$F$76/F631)^(0.25)</f>
        <v>0.39767677826362474</v>
      </c>
      <c r="X631">
        <f>inputs!$E$72*(inputs!$F$72/F631)^(0.25)</f>
        <v>58.329999714247613</v>
      </c>
      <c r="Y631" t="s">
        <v>13</v>
      </c>
      <c r="Z631">
        <f t="shared" si="63"/>
        <v>1.6207610510241197</v>
      </c>
      <c r="AA631">
        <f t="shared" si="64"/>
        <v>17.460755923192426</v>
      </c>
    </row>
    <row r="632" spans="1:27" x14ac:dyDescent="0.3">
      <c r="A632" t="s">
        <v>472</v>
      </c>
      <c r="B632" t="s">
        <v>473</v>
      </c>
      <c r="C632" t="s">
        <v>61</v>
      </c>
      <c r="D632" t="s">
        <v>443</v>
      </c>
      <c r="E632">
        <v>16</v>
      </c>
      <c r="F632">
        <v>56</v>
      </c>
      <c r="G632" t="s">
        <v>142</v>
      </c>
      <c r="H632">
        <v>0.69</v>
      </c>
      <c r="I632">
        <f>MAX('Min rate concentrations'!$H$3:$H$368)</f>
        <v>47</v>
      </c>
      <c r="J632">
        <f>MAX('Min rate concentrations'!AA:AA)</f>
        <v>32.5</v>
      </c>
      <c r="K632">
        <f t="shared" si="61"/>
        <v>16.278627465492139</v>
      </c>
      <c r="L632">
        <f>(((0.621*F632^0.564)/(1-H632)))*J632/F632</f>
        <v>11.256497715499885</v>
      </c>
      <c r="M632">
        <f>IF((((0.326*F632^0.818)-(0.398*F632^0.85)/(1-H632)*H632)*(MAX('Min rate concentrations'!$P$3:$P$368)))/F632&gt;0, (((0.326*F632^0.818)-(0.398*F632^0.85)/(1-H632)*H632)*(MAX('Min rate concentrations'!$P$3:$P$368)))/F632, 0)</f>
        <v>0</v>
      </c>
      <c r="N632">
        <f>IF((((0.326*F632^0.818)-(0.398*F632^0.85)/(1-H632)*H632)*(MAX('Min rate concentrations'!$Q$3:$Q$368)))/F632&gt; 0, (((0.326*F632^0.818)-(0.398*F632^0.85)/(1-H632)*H632)*(MAX('Min rate concentrations'!$Q$3:$Q$368)))/F632, 0)</f>
        <v>0</v>
      </c>
      <c r="O632">
        <f>((MAX('Min rate concentrations'!$F$3:$F$368))*0.62*6.01*8*(12.3*F632^0.65)*0.079*0.1/F632)*inputs!$E$73/inputs!$E$74</f>
        <v>11.028189422076771</v>
      </c>
      <c r="P632">
        <f>((MAX('Min rate concentrations'!Y:Y))*0.62*6.01*8*(12.3*F632^0.65)*0.079*0.1/F632)*inputs!$E$73/inputs!$E$74</f>
        <v>3.676063140692257</v>
      </c>
      <c r="Q632">
        <f>(inputs!$C$7*11.2*(12.3*F632^0.65)*0.5/F632)*inputs!$E$73/inputs!$E$74</f>
        <v>1.9425635513822557</v>
      </c>
      <c r="R632">
        <f>(60*379*((F632/1000)^0.8)*3*24*(MAX('Min rate concentrations'!$R$3:$R$368))/F632)*(inputs!$E$73/inputs!$E$75)</f>
        <v>3.2744612284089816E-3</v>
      </c>
      <c r="S632">
        <f>(IF(inputs!$C$6="aerial",((0.025*0.112*inputs!$C$7/3.3)*(3*60*379*((F632/1000)^0.8))*MAX(inputs!$H$14:$H$16))/F632,((0.0083*0.112*inputs!$C$7/1)*(3*60*379*((F632/1000)^0.8))*MAX(inputs!$H$14:$H$16))/F632))*(inputs!E$75/inputs!$E$73)</f>
        <v>1.8058854852037023E-2</v>
      </c>
      <c r="T632">
        <f>IF((((inputs!$P$12/(V632/MAX(K632:S632)))^(1/inputs!$O$12))-1)/inputs!$N$12&lt;0, 0, IF((((inputs!$P$12/(V632/MAX(K632:S632)))^(1/inputs!$O$12))-1)/inputs!$N$12&gt;inputs!$H$17, inputs!$H$17, (((inputs!$P$12/(V632/MAX(K632:S632)))^(1/inputs!$O$12))-1)/inputs!$N$12))</f>
        <v>12.990805947717767</v>
      </c>
      <c r="U632">
        <f>IF((((inputs!$P$12/(X632/MAX(K632:S632)))^(1/inputs!$O$12))-1)/inputs!$N$12&lt;0, 0, IF((((inputs!$P$12/(X632/MAX(K632:S632)))^(1/inputs!$O$12))-1)/inputs!$N$12&gt;inputs!$H$17, inputs!$H$17, (((inputs!$P$12/(X632/MAX(K632:S632)))^(1/inputs!$O$12))-1)/inputs!$N$12))</f>
        <v>0</v>
      </c>
      <c r="V632">
        <f>inputs!$E$70*(F632/inputs!$F$70)^(0.25)</f>
        <v>3.0786935717279875</v>
      </c>
      <c r="W632">
        <f>inputs!$E$76*(inputs!$F$76/F632)^(0.25)</f>
        <v>0.55339859052946638</v>
      </c>
      <c r="X632">
        <f>inputs!$E$72*(inputs!$F$72/F632)^(0.25)</f>
        <v>81.17079344786427</v>
      </c>
      <c r="Y632" t="s">
        <v>13</v>
      </c>
      <c r="Z632">
        <f t="shared" si="63"/>
        <v>5.2875114350387866</v>
      </c>
      <c r="AA632">
        <f t="shared" si="64"/>
        <v>29.415737127045254</v>
      </c>
    </row>
    <row r="633" spans="1:27" x14ac:dyDescent="0.3">
      <c r="A633" t="s">
        <v>472</v>
      </c>
      <c r="B633" t="s">
        <v>473</v>
      </c>
      <c r="C633" t="s">
        <v>61</v>
      </c>
      <c r="D633" t="s">
        <v>443</v>
      </c>
      <c r="E633">
        <v>16</v>
      </c>
      <c r="F633">
        <v>56</v>
      </c>
      <c r="G633" t="s">
        <v>152</v>
      </c>
      <c r="H633">
        <v>0.77</v>
      </c>
      <c r="I633">
        <f>MAX('Min rate concentrations'!$G$3:$G$368)</f>
        <v>7.5</v>
      </c>
      <c r="J633">
        <f>MAX('Min rate concentrations'!Z:Z)</f>
        <v>3.5</v>
      </c>
      <c r="K633">
        <f t="shared" si="61"/>
        <v>3.5011849081655164</v>
      </c>
      <c r="L633">
        <f>(((0.621*F633^0.564)/(1-H633)))*J633/F633</f>
        <v>1.6338862904772411</v>
      </c>
      <c r="M633">
        <f>IF((((0.326*F633^0.818)-(0.398*F633^0.85)/(1-H633)*H633)*(MAX('Min rate concentrations'!$P$3:$P$368)))/F633&gt;0, (((0.326*F633^0.818)-(0.398*F633^0.85)/(1-H633)*H633)*(MAX('Min rate concentrations'!$P$3:$P$368)))/F633, 0)</f>
        <v>0</v>
      </c>
      <c r="N633">
        <f>IF((((0.326*F633^0.818)-(0.398*F633^0.85)/(1-H633)*H633)*(MAX('Min rate concentrations'!$Q$3:$Q$368)))/F633&gt; 0, (((0.326*F633^0.818)-(0.398*F633^0.85)/(1-H633)*H633)*(MAX('Min rate concentrations'!$Q$3:$Q$368)))/F633, 0)</f>
        <v>0</v>
      </c>
      <c r="O633">
        <f>((MAX('Min rate concentrations'!$F$3:$F$368))*0.62*6.01*8*(12.3*F633^0.65)*0.079*0.1/F633)*inputs!$E$73/inputs!$E$74</f>
        <v>11.028189422076771</v>
      </c>
      <c r="P633">
        <f>((MAX('Min rate concentrations'!Y:Y))*0.62*6.01*8*(12.3*F633^0.65)*0.079*0.1/F633)*inputs!$E$73/inputs!$E$74</f>
        <v>3.676063140692257</v>
      </c>
      <c r="Q633">
        <f>(inputs!$C$7*11.2*(12.3*F633^0.65)*0.5/F633)*inputs!$E$73/inputs!$E$74</f>
        <v>1.9425635513822557</v>
      </c>
      <c r="R633">
        <f>(60*379*((F633/1000)^0.8)*3*24*(MAX('Min rate concentrations'!$R$3:$R$368))/F633)*(inputs!$E$73/inputs!$E$75)</f>
        <v>3.2744612284089816E-3</v>
      </c>
      <c r="S633">
        <f>(IF(inputs!$C$6="aerial",((0.025*0.112*inputs!$C$7/3.3)*(3*60*379*((F633/1000)^0.8))*MAX(inputs!$H$14:$H$16))/F633,((0.0083*0.112*inputs!$C$7/1)*(3*60*379*((F633/1000)^0.8))*MAX(inputs!$H$14:$H$16))/F633))*(inputs!E$75/inputs!$E$73)</f>
        <v>1.8058854852037023E-2</v>
      </c>
      <c r="T633">
        <f>IF((((inputs!$P$12/(V633/MAX(K633:S633)))^(1/inputs!$O$12))-1)/inputs!$N$12&lt;0, 0, IF((((inputs!$P$12/(V633/MAX(K633:S633)))^(1/inputs!$O$12))-1)/inputs!$N$12&gt;inputs!$H$17, inputs!$H$17, (((inputs!$P$12/(V633/MAX(K633:S633)))^(1/inputs!$O$12))-1)/inputs!$N$12))</f>
        <v>6.914840026614737</v>
      </c>
      <c r="U633">
        <f>IF((((inputs!$P$12/(X633/MAX(K633:S633)))^(1/inputs!$O$12))-1)/inputs!$N$12&lt;0, 0, IF((((inputs!$P$12/(X633/MAX(K633:S633)))^(1/inputs!$O$12))-1)/inputs!$N$12&gt;inputs!$H$17, inputs!$H$17, (((inputs!$P$12/(X633/MAX(K633:S633)))^(1/inputs!$O$12))-1)/inputs!$N$12))</f>
        <v>0</v>
      </c>
      <c r="V633">
        <f>inputs!$E$70*(F633/inputs!$F$70)^(0.25)</f>
        <v>3.0786935717279875</v>
      </c>
      <c r="W633">
        <f>inputs!$E$76*(inputs!$F$76/F633)^(0.25)</f>
        <v>0.55339859052946638</v>
      </c>
      <c r="X633">
        <f>inputs!$E$72*(inputs!$F$72/F633)^(0.25)</f>
        <v>81.17079344786427</v>
      </c>
      <c r="Y633" t="s">
        <v>13</v>
      </c>
      <c r="Z633">
        <f t="shared" si="63"/>
        <v>3.582100382886416</v>
      </c>
      <c r="AA633">
        <f t="shared" si="64"/>
        <v>19.928112595164915</v>
      </c>
    </row>
    <row r="634" spans="1:27" x14ac:dyDescent="0.3">
      <c r="A634" t="s">
        <v>472</v>
      </c>
      <c r="B634" t="s">
        <v>473</v>
      </c>
      <c r="C634" t="s">
        <v>61</v>
      </c>
      <c r="D634" t="s">
        <v>443</v>
      </c>
      <c r="E634">
        <v>16</v>
      </c>
      <c r="F634">
        <v>56</v>
      </c>
      <c r="G634" t="s">
        <v>169</v>
      </c>
      <c r="H634">
        <v>0.79</v>
      </c>
      <c r="I634">
        <f>MAX('Min rate concentrations'!$D$3:$D$368)</f>
        <v>120</v>
      </c>
      <c r="J634">
        <f>MAX('Min rate concentrations'!W:W)</f>
        <v>42.5</v>
      </c>
      <c r="K634">
        <f t="shared" si="61"/>
        <v>61.354097438329056</v>
      </c>
      <c r="L634">
        <f>(((0.621*F634^0.564)/(1-H634)))*J634/F634</f>
        <v>21.729576176074875</v>
      </c>
      <c r="M634">
        <f>IF((((0.326*F634^0.818)-(0.398*F634^0.85)/(1-H634)*H634)*(MAX('Min rate concentrations'!$P$3:$P$368)))/F634&gt;0, (((0.326*F634^0.818)-(0.398*F634^0.85)/(1-H634)*H634)*(MAX('Min rate concentrations'!$P$3:$P$368)))/F634, 0)</f>
        <v>0</v>
      </c>
      <c r="N634">
        <f>IF((((0.326*F634^0.818)-(0.398*F634^0.85)/(1-H634)*H634)*(MAX('Min rate concentrations'!$Q$3:$Q$368)))/F634&gt; 0, (((0.326*F634^0.818)-(0.398*F634^0.85)/(1-H634)*H634)*(MAX('Min rate concentrations'!$Q$3:$Q$368)))/F634, 0)</f>
        <v>0</v>
      </c>
      <c r="O634">
        <f>((MAX('Min rate concentrations'!$F$3:$F$368))*0.62*6.01*8*(12.3*F634^0.65)*0.079*0.1/F634)*inputs!$E$73/inputs!$E$74</f>
        <v>11.028189422076771</v>
      </c>
      <c r="P634">
        <f>((MAX('Min rate concentrations'!Y:Y))*0.62*6.01*8*(12.3*F634^0.65)*0.079*0.1/F634)*inputs!$E$73/inputs!$E$74</f>
        <v>3.676063140692257</v>
      </c>
      <c r="Q634">
        <f>(inputs!$C$7*11.2*(12.3*F634^0.65)*0.5/F634)*inputs!$E$73/inputs!$E$74</f>
        <v>1.9425635513822557</v>
      </c>
      <c r="R634">
        <f>(60*379*((F634/1000)^0.8)*3*24*(MAX('Min rate concentrations'!$R$3:$R$368))/F634)*(inputs!$E$73/inputs!$E$75)</f>
        <v>3.2744612284089816E-3</v>
      </c>
      <c r="S634">
        <f>(IF(inputs!$C$6="aerial",((0.025*0.112*inputs!$C$7/3.3)*(3*60*379*((F634/1000)^0.8))*MAX(inputs!$H$14:$H$16))/F634,((0.0083*0.112*inputs!$C$7/1)*(3*60*379*((F634/1000)^0.8))*MAX(inputs!$H$14:$H$16))/F634))*(inputs!E$75/inputs!$E$73)</f>
        <v>1.8058854852037023E-2</v>
      </c>
      <c r="T634">
        <f>IF((((inputs!$P$12/(V634/MAX(K634:S634)))^(1/inputs!$O$12))-1)/inputs!$N$12&lt;0, 0, IF((((inputs!$P$12/(V634/MAX(K634:S634)))^(1/inputs!$O$12))-1)/inputs!$N$12&gt;inputs!$H$17, inputs!$H$17, (((inputs!$P$12/(V634/MAX(K634:S634)))^(1/inputs!$O$12))-1)/inputs!$N$12))</f>
        <v>42.667194568361403</v>
      </c>
      <c r="U634">
        <f>IF((((inputs!$P$12/(X634/MAX(K634:S634)))^(1/inputs!$O$12))-1)/inputs!$N$12&lt;0, 0, IF((((inputs!$P$12/(X634/MAX(K634:S634)))^(1/inputs!$O$12))-1)/inputs!$N$12&gt;inputs!$H$17, inputs!$H$17, (((inputs!$P$12/(X634/MAX(K634:S634)))^(1/inputs!$O$12))-1)/inputs!$N$12))</f>
        <v>0</v>
      </c>
      <c r="V634">
        <f>inputs!$E$70*(F634/inputs!$F$70)^(0.25)</f>
        <v>3.0786935717279875</v>
      </c>
      <c r="W634">
        <f>inputs!$E$76*(inputs!$F$76/F634)^(0.25)</f>
        <v>0.55339859052946638</v>
      </c>
      <c r="X634">
        <f>inputs!$E$72*(inputs!$F$72/F634)^(0.25)</f>
        <v>81.17079344786427</v>
      </c>
      <c r="Y634" t="s">
        <v>13</v>
      </c>
      <c r="Z634">
        <f t="shared" si="63"/>
        <v>19.928614527197865</v>
      </c>
      <c r="AA634">
        <f t="shared" si="64"/>
        <v>110.86782382229826</v>
      </c>
    </row>
    <row r="635" spans="1:27" x14ac:dyDescent="0.3">
      <c r="A635" t="s">
        <v>472</v>
      </c>
      <c r="B635" t="s">
        <v>473</v>
      </c>
      <c r="C635" t="s">
        <v>61</v>
      </c>
      <c r="D635" t="s">
        <v>443</v>
      </c>
      <c r="E635">
        <v>16</v>
      </c>
      <c r="F635">
        <v>56</v>
      </c>
      <c r="G635" t="s">
        <v>177</v>
      </c>
      <c r="H635">
        <v>0.85</v>
      </c>
      <c r="I635">
        <f>MAX('Min rate concentrations'!$F$3:$F$368)</f>
        <v>67.5</v>
      </c>
      <c r="J635">
        <f>MAX('Min rate concentrations'!Y:Y)</f>
        <v>22.5</v>
      </c>
      <c r="K635">
        <f t="shared" si="61"/>
        <v>48.316351732684119</v>
      </c>
      <c r="L635">
        <f>(((0.621*F635^0.564)/(1-H635)))*J635/F635</f>
        <v>16.105450577561374</v>
      </c>
      <c r="M635">
        <f>IF((((0.326*F635^0.818)-(0.398*F635^0.85)/(1-H635)*H635)*(MAX('Min rate concentrations'!$P$3:$P$368)))/F635&gt;0, (((0.326*F635^0.818)-(0.398*F635^0.85)/(1-H635)*H635)*(MAX('Min rate concentrations'!$P$3:$P$368)))/F635, 0)</f>
        <v>0</v>
      </c>
      <c r="N635">
        <f>IF((((0.326*F635^0.818)-(0.398*F635^0.85)/(1-H635)*H635)*(MAX('Min rate concentrations'!$Q$3:$Q$368)))/F635&gt; 0, (((0.326*F635^0.818)-(0.398*F635^0.85)/(1-H635)*H635)*(MAX('Min rate concentrations'!$Q$3:$Q$368)))/F635, 0)</f>
        <v>0</v>
      </c>
      <c r="O635">
        <f>((MAX('Min rate concentrations'!$F$3:$F$368))*0.62*6.01*8*(12.3*F635^0.65)*0.079*0.1/F635)*inputs!$E$73/inputs!$E$74</f>
        <v>11.028189422076771</v>
      </c>
      <c r="P635">
        <f>((MAX('Min rate concentrations'!Y:Y))*0.62*6.01*8*(12.3*F635^0.65)*0.079*0.1/F635)*inputs!$E$73/inputs!$E$74</f>
        <v>3.676063140692257</v>
      </c>
      <c r="Q635">
        <f>(inputs!$C$7*11.2*(12.3*F635^0.65)*0.5/F635)*inputs!$E$73/inputs!$E$74</f>
        <v>1.9425635513822557</v>
      </c>
      <c r="R635">
        <f>(60*379*((F635/1000)^0.8)*3*24*(MAX('Min rate concentrations'!$R$3:$R$368))/F635)*(inputs!$E$73/inputs!$E$75)</f>
        <v>3.2744612284089816E-3</v>
      </c>
      <c r="S635">
        <f>(IF(inputs!$C$6="aerial",((0.025*0.112*inputs!$C$7/3.3)*(3*60*379*((F635/1000)^0.8))*MAX(inputs!$H$14:$H$16))/F635,((0.0083*0.112*inputs!$C$7/1)*(3*60*379*((F635/1000)^0.8))*MAX(inputs!$H$14:$H$16))/F635))*(inputs!E$75/inputs!$E$73)</f>
        <v>1.8058854852037023E-2</v>
      </c>
      <c r="T635">
        <f>IF((((inputs!$P$12/(V635/MAX(K635:S635)))^(1/inputs!$O$12))-1)/inputs!$N$12&lt;0, 0, IF((((inputs!$P$12/(V635/MAX(K635:S635)))^(1/inputs!$O$12))-1)/inputs!$N$12&gt;inputs!$H$17, inputs!$H$17, (((inputs!$P$12/(V635/MAX(K635:S635)))^(1/inputs!$O$12))-1)/inputs!$N$12))</f>
        <v>36.078428436922373</v>
      </c>
      <c r="U635">
        <f>IF((((inputs!$P$12/(X635/MAX(K635:S635)))^(1/inputs!$O$12))-1)/inputs!$N$12&lt;0, 0, IF((((inputs!$P$12/(X635/MAX(K635:S635)))^(1/inputs!$O$12))-1)/inputs!$N$12&gt;inputs!$H$17, inputs!$H$17, (((inputs!$P$12/(X635/MAX(K635:S635)))^(1/inputs!$O$12))-1)/inputs!$N$12))</f>
        <v>0</v>
      </c>
      <c r="V635">
        <f>inputs!$E$70*(F635/inputs!$F$70)^(0.25)</f>
        <v>3.0786935717279875</v>
      </c>
      <c r="W635">
        <f>inputs!$E$76*(inputs!$F$76/F635)^(0.25)</f>
        <v>0.55339859052946638</v>
      </c>
      <c r="X635">
        <f>inputs!$E$72*(inputs!$F$72/F635)^(0.25)</f>
        <v>81.17079344786427</v>
      </c>
      <c r="Y635" t="s">
        <v>13</v>
      </c>
      <c r="Z635">
        <f t="shared" si="63"/>
        <v>15.693783940168315</v>
      </c>
      <c r="AA635">
        <f t="shared" si="64"/>
        <v>87.308411260059856</v>
      </c>
    </row>
    <row r="636" spans="1:27" x14ac:dyDescent="0.3">
      <c r="A636" t="s">
        <v>472</v>
      </c>
      <c r="B636" t="s">
        <v>473</v>
      </c>
      <c r="C636" t="s">
        <v>61</v>
      </c>
      <c r="D636" t="s">
        <v>443</v>
      </c>
      <c r="E636">
        <v>16</v>
      </c>
      <c r="F636">
        <v>56</v>
      </c>
      <c r="G636" t="s">
        <v>154</v>
      </c>
      <c r="H636">
        <v>9.2999999999999999E-2</v>
      </c>
      <c r="I636">
        <f>MAX('Min rate concentrations'!$G$3:$G$368)</f>
        <v>7.5</v>
      </c>
      <c r="J636">
        <f>MAX('Min rate concentrations'!Z:Z)</f>
        <v>3.5</v>
      </c>
      <c r="K636">
        <f t="shared" si="61"/>
        <v>0.887841817947154</v>
      </c>
      <c r="M636">
        <f>IF((((0.326*F636^0.818)-(0.398*F636^0.85)/(1-H636)*H636)*(MAX('Min rate concentrations'!$P$3:$P$368)))/F636&gt;0, (((0.326*F636^0.818)-(0.398*F636^0.85)/(1-H636)*H636)*(MAX('Min rate concentrations'!$P$3:$P$368)))/F636, 0)</f>
        <v>1.9505080921746874E-2</v>
      </c>
      <c r="N636">
        <f>IF((((0.326*F636^0.818)-(0.398*F636^0.85)/(1-H636)*H636)*(MAX('Min rate concentrations'!$Q$3:$Q$368)))/F636&gt; 0, (((0.326*F636^0.818)-(0.398*F636^0.85)/(1-H636)*H636)*(MAX('Min rate concentrations'!$Q$3:$Q$368)))/F636, 0)</f>
        <v>7.4276396190878571E-2</v>
      </c>
      <c r="O636">
        <f>((MAX('Min rate concentrations'!$F$3:$F$368))*0.62*6.01*8*(12.3*F636^0.65)*0.079*0.1/F636)*inputs!$E$73/inputs!$E$74</f>
        <v>11.028189422076771</v>
      </c>
      <c r="Q636">
        <f>(inputs!$C$7*11.2*(12.3*F636^0.65)*0.5/F636)*inputs!$E$73/inputs!$E$74</f>
        <v>1.9425635513822557</v>
      </c>
      <c r="R636">
        <f>(60*379*((F636/1000)^0.8)*3*24*(MAX('Min rate concentrations'!$R$3:$R$368))/F636)*(inputs!$E$73/inputs!$E$75)</f>
        <v>3.2744612284089816E-3</v>
      </c>
      <c r="S636">
        <f>(IF(inputs!$C$6="aerial",((0.025*0.112*inputs!$C$7/3.3)*(3*60*379*((F636/1000)^0.8))*MAX(inputs!$H$14:$H$16))/F636,((0.0083*0.112*inputs!$C$7/1)*(3*60*379*((F636/1000)^0.8))*MAX(inputs!$H$14:$H$16))/F636))*(inputs!E$75/inputs!$E$73)</f>
        <v>1.8058854852037023E-2</v>
      </c>
      <c r="T636">
        <f>IF((((inputs!$P$12/(V636/MAX(K636:S636)))^(1/inputs!$O$12))-1)/inputs!$N$12&lt;0, 0, IF((((inputs!$P$12/(V636/MAX(K636:S636)))^(1/inputs!$O$12))-1)/inputs!$N$12&gt;inputs!$H$17, inputs!$H$17, (((inputs!$P$12/(V636/MAX(K636:S636)))^(1/inputs!$O$12))-1)/inputs!$N$12))</f>
        <v>6.914840026614737</v>
      </c>
      <c r="U636">
        <f>IF((((inputs!$P$12/(X636/MAX(K636:S636)))^(1/inputs!$O$12))-1)/inputs!$N$12&lt;0, 0, IF((((inputs!$P$12/(X636/MAX(K636:S636)))^(1/inputs!$O$12))-1)/inputs!$N$12&gt;inputs!$H$17, inputs!$H$17, (((inputs!$P$12/(X636/MAX(K636:S636)))^(1/inputs!$O$12))-1)/inputs!$N$12))</f>
        <v>0</v>
      </c>
      <c r="V636">
        <f>inputs!$E$70*(F636/inputs!$F$70)^(0.25)</f>
        <v>3.0786935717279875</v>
      </c>
      <c r="W636">
        <f>inputs!$E$76*(inputs!$F$76/F636)^(0.25)</f>
        <v>0.55339859052946638</v>
      </c>
      <c r="X636">
        <f>inputs!$E$72*(inputs!$F$72/F636)^(0.25)</f>
        <v>81.17079344786427</v>
      </c>
      <c r="Y636" t="s">
        <v>13</v>
      </c>
      <c r="Z636">
        <f t="shared" si="63"/>
        <v>3.582100382886416</v>
      </c>
      <c r="AA636">
        <f t="shared" si="64"/>
        <v>19.928112595164915</v>
      </c>
    </row>
    <row r="637" spans="1:27" x14ac:dyDescent="0.3">
      <c r="A637" t="s">
        <v>578</v>
      </c>
      <c r="B637" t="s">
        <v>579</v>
      </c>
      <c r="C637" t="s">
        <v>61</v>
      </c>
      <c r="D637" t="s">
        <v>443</v>
      </c>
      <c r="E637">
        <v>43</v>
      </c>
      <c r="F637">
        <v>236.4</v>
      </c>
      <c r="G637" t="s">
        <v>152</v>
      </c>
      <c r="H637">
        <v>0.77</v>
      </c>
      <c r="I637">
        <f>MAX('Min rate concentrations'!$G$3:$G$368)</f>
        <v>7.5</v>
      </c>
      <c r="J637">
        <f>MAX('Min rate concentrations'!Z:Z)</f>
        <v>3.5</v>
      </c>
      <c r="K637">
        <f t="shared" si="61"/>
        <v>1.8685930519674578</v>
      </c>
      <c r="L637">
        <f>(((0.621*F637^0.564)/(1-H637)))*J637/F637</f>
        <v>0.87201009091814696</v>
      </c>
      <c r="M637">
        <f>IF((((0.326*F637^0.818)-(0.398*F637^0.85)/(1-H637)*H637)*(MAX('Min rate concentrations'!$P$3:$P$368)))/F637&gt;0, (((0.326*F637^0.818)-(0.398*F637^0.85)/(1-H637)*H637)*(MAX('Min rate concentrations'!$P$3:$P$368)))/F637, 0)</f>
        <v>0</v>
      </c>
      <c r="N637">
        <f>IF((((0.326*F637^0.818)-(0.398*F637^0.85)/(1-H637)*H637)*(MAX('Min rate concentrations'!$Q$3:$Q$368)))/F637&gt; 0, (((0.326*F637^0.818)-(0.398*F637^0.85)/(1-H637)*H637)*(MAX('Min rate concentrations'!$Q$3:$Q$368)))/F637, 0)</f>
        <v>0</v>
      </c>
      <c r="O637">
        <f>((MAX('Min rate concentrations'!$F$3:$F$368))*0.62*6.01*8*(12.3*F637^0.65)*0.079*0.1/F637)*inputs!$E$73/inputs!$E$74</f>
        <v>6.6618279329586656</v>
      </c>
      <c r="P637">
        <f>((MAX('Min rate concentrations'!Y:Y))*0.62*6.01*8*(12.3*F637^0.65)*0.079*0.1/F637)*inputs!$E$73/inputs!$E$74</f>
        <v>2.2206093109862213</v>
      </c>
      <c r="Q637">
        <f>(inputs!$C$7*11.2*(12.3*F637^0.65)*0.5/F637)*inputs!$E$73/inputs!$E$74</f>
        <v>1.1734495693590208</v>
      </c>
      <c r="R637">
        <f>(60*379*((F637/1000)^0.8)*3*24*(MAX('Min rate concentrations'!$R$3:$R$368))/F637)*(inputs!$E$73/inputs!$E$75)</f>
        <v>2.4549800285054474E-3</v>
      </c>
      <c r="S637">
        <f>(IF(inputs!$C$6="aerial",((0.025*0.112*inputs!$C$7/3.3)*(3*60*379*((F637/1000)^0.8))*MAX(inputs!$H$14:$H$16))/F637,((0.0083*0.112*inputs!$C$7/1)*(3*60*379*((F637/1000)^0.8))*MAX(inputs!$H$14:$H$16))/F637))*(inputs!E$75/inputs!$E$73)</f>
        <v>1.353936568702967E-2</v>
      </c>
      <c r="T637">
        <f>IF((((inputs!$P$12/(V637/MAX(K637:S637)))^(1/inputs!$O$12))-1)/inputs!$N$12&lt;0, 0, IF((((inputs!$P$12/(V637/MAX(K637:S637)))^(1/inputs!$O$12))-1)/inputs!$N$12&gt;inputs!$H$17, inputs!$H$17, (((inputs!$P$12/(V637/MAX(K637:S637)))^(1/inputs!$O$12))-1)/inputs!$N$12))</f>
        <v>0</v>
      </c>
      <c r="U637">
        <f>IF((((inputs!$P$12/(X637/MAX(K637:S637)))^(1/inputs!$O$12))-1)/inputs!$N$12&lt;0, 0, IF((((inputs!$P$12/(X637/MAX(K637:S637)))^(1/inputs!$O$12))-1)/inputs!$N$12&gt;inputs!$H$17, inputs!$H$17, (((inputs!$P$12/(X637/MAX(K637:S637)))^(1/inputs!$O$12))-1)/inputs!$N$12))</f>
        <v>0</v>
      </c>
      <c r="V637">
        <f>inputs!$E$70*(F637/inputs!$F$70)^(0.25)</f>
        <v>4.4129735679322639</v>
      </c>
      <c r="W637">
        <f>inputs!$E$76*(inputs!$F$76/F637)^(0.25)</f>
        <v>0.38607633991895873</v>
      </c>
      <c r="X637">
        <f>inputs!$E$72*(inputs!$F$72/F637)^(0.25)</f>
        <v>56.628483301134466</v>
      </c>
      <c r="Y637" t="s">
        <v>13</v>
      </c>
      <c r="Z637">
        <f t="shared" si="63"/>
        <v>1.5096006877014043</v>
      </c>
      <c r="AA637">
        <f t="shared" si="64"/>
        <v>17.255208994047781</v>
      </c>
    </row>
    <row r="638" spans="1:27" x14ac:dyDescent="0.3">
      <c r="A638" t="s">
        <v>578</v>
      </c>
      <c r="B638" t="s">
        <v>579</v>
      </c>
      <c r="C638" t="s">
        <v>61</v>
      </c>
      <c r="D638" t="s">
        <v>443</v>
      </c>
      <c r="E638">
        <v>43</v>
      </c>
      <c r="F638">
        <v>236.4</v>
      </c>
      <c r="G638" t="s">
        <v>580</v>
      </c>
      <c r="H638">
        <v>0.85</v>
      </c>
      <c r="I638">
        <f>MAX('Min rate concentrations'!$F$3:$F$368)</f>
        <v>67.5</v>
      </c>
      <c r="J638">
        <f>MAX('Min rate concentrations'!Y:Y)</f>
        <v>22.5</v>
      </c>
      <c r="K638">
        <f t="shared" ref="K638:K701" si="68">(((0.621*F638^0.564)/(1-H638)))*I638/F638</f>
        <v>25.786584117150912</v>
      </c>
      <c r="M638">
        <f>IF((((0.326*F638^0.818)-(0.398*F638^0.85)/(1-H638)*H638)*(MAX('Min rate concentrations'!$P$3:$P$368)))/F638&gt;0, (((0.326*F638^0.818)-(0.398*F638^0.85)/(1-H638)*H638)*(MAX('Min rate concentrations'!$P$3:$P$368)))/F638, 0)</f>
        <v>0</v>
      </c>
      <c r="N638">
        <f>IF((((0.326*F638^0.818)-(0.398*F638^0.85)/(1-H638)*H638)*(MAX('Min rate concentrations'!$Q$3:$Q$368)))/F638&gt; 0, (((0.326*F638^0.818)-(0.398*F638^0.85)/(1-H638)*H638)*(MAX('Min rate concentrations'!$Q$3:$Q$368)))/F638, 0)</f>
        <v>0</v>
      </c>
      <c r="O638">
        <f>((MAX('Min rate concentrations'!$F$3:$F$368))*0.62*6.01*8*(12.3*F638^0.65)*0.079*0.1/F638)*inputs!$E$73/inputs!$E$74</f>
        <v>6.6618279329586656</v>
      </c>
      <c r="Q638">
        <f>(inputs!$C$7*11.2*(12.3*F638^0.65)*0.5/F638)*inputs!$E$73/inputs!$E$74</f>
        <v>1.1734495693590208</v>
      </c>
      <c r="R638">
        <f>(60*379*((F638/1000)^0.8)*3*24*(MAX('Min rate concentrations'!$R$3:$R$368))/F638)*(inputs!$E$73/inputs!$E$75)</f>
        <v>2.4549800285054474E-3</v>
      </c>
      <c r="S638">
        <f>(IF(inputs!$C$6="aerial",((0.025*0.112*inputs!$C$7/3.3)*(3*60*379*((F638/1000)^0.8))*MAX(inputs!$H$14:$H$16))/F638,((0.0083*0.112*inputs!$C$7/1)*(3*60*379*((F638/1000)^0.8))*MAX(inputs!$H$14:$H$16))/F638))*(inputs!E$75/inputs!$E$73)</f>
        <v>1.353936568702967E-2</v>
      </c>
      <c r="T638">
        <f>IF((((inputs!$P$12/(V638/MAX(K638:S638)))^(1/inputs!$O$12))-1)/inputs!$N$12&lt;0, 0, IF((((inputs!$P$12/(V638/MAX(K638:S638)))^(1/inputs!$O$12))-1)/inputs!$N$12&gt;inputs!$H$17, inputs!$H$17, (((inputs!$P$12/(V638/MAX(K638:S638)))^(1/inputs!$O$12))-1)/inputs!$N$12))</f>
        <v>14.712020989291272</v>
      </c>
      <c r="U638">
        <f>IF((((inputs!$P$12/(X638/MAX(K638:S638)))^(1/inputs!$O$12))-1)/inputs!$N$12&lt;0, 0, IF((((inputs!$P$12/(X638/MAX(K638:S638)))^(1/inputs!$O$12))-1)/inputs!$N$12&gt;inputs!$H$17, inputs!$H$17, (((inputs!$P$12/(X638/MAX(K638:S638)))^(1/inputs!$O$12))-1)/inputs!$N$12))</f>
        <v>0</v>
      </c>
      <c r="V638">
        <f>inputs!$E$70*(F638/inputs!$F$70)^(0.25)</f>
        <v>4.4129735679322639</v>
      </c>
      <c r="W638">
        <f>inputs!$E$76*(inputs!$F$76/F638)^(0.25)</f>
        <v>0.38607633991895873</v>
      </c>
      <c r="X638">
        <f>inputs!$E$72*(inputs!$F$72/F638)^(0.25)</f>
        <v>56.628483301134466</v>
      </c>
      <c r="Y638" t="s">
        <v>13</v>
      </c>
      <c r="Z638">
        <f t="shared" si="63"/>
        <v>5.8433579354597027</v>
      </c>
      <c r="AA638">
        <f t="shared" si="64"/>
        <v>66.791412606542465</v>
      </c>
    </row>
    <row r="639" spans="1:27" x14ac:dyDescent="0.3">
      <c r="A639" t="s">
        <v>578</v>
      </c>
      <c r="B639" t="s">
        <v>579</v>
      </c>
      <c r="C639" t="s">
        <v>61</v>
      </c>
      <c r="D639" t="s">
        <v>443</v>
      </c>
      <c r="E639">
        <v>43</v>
      </c>
      <c r="F639">
        <v>236.4</v>
      </c>
      <c r="G639" t="s">
        <v>581</v>
      </c>
      <c r="H639">
        <v>6.3E-2</v>
      </c>
      <c r="I639">
        <f>MAX('Min rate concentrations'!$E$3:$E$368)</f>
        <v>55</v>
      </c>
      <c r="J639">
        <f>MAX('Min rate concentrations'!X:X)</f>
        <v>18</v>
      </c>
      <c r="K639">
        <f t="shared" si="68"/>
        <v>3.3636004421755015</v>
      </c>
      <c r="M639">
        <f>IF((((0.326*F639^0.818)-(0.398*F639^0.85)/(1-H639)*H639)*(MAX('Min rate concentrations'!$P$3:$P$368)))/F639&gt;0, (((0.326*F639^0.818)-(0.398*F639^0.85)/(1-H639)*H639)*(MAX('Min rate concentrations'!$P$3:$P$368)))/F639, 0)</f>
        <v>1.5788478217995061E-2</v>
      </c>
      <c r="N639">
        <f>IF((((0.326*F639^0.818)-(0.398*F639^0.85)/(1-H639)*H639)*(MAX('Min rate concentrations'!$Q$3:$Q$368)))/F639&gt; 0, (((0.326*F639^0.818)-(0.398*F639^0.85)/(1-H639)*H639)*(MAX('Min rate concentrations'!$Q$3:$Q$368)))/F639, 0)</f>
        <v>6.0123373395665439E-2</v>
      </c>
      <c r="O639">
        <f>((MAX('Min rate concentrations'!$F$3:$F$368))*0.62*6.01*8*(12.3*F639^0.65)*0.079*0.1/F639)*inputs!$E$73/inputs!$E$74</f>
        <v>6.6618279329586656</v>
      </c>
      <c r="Q639">
        <f>(inputs!$C$7*11.2*(12.3*F639^0.65)*0.5/F639)*inputs!$E$73/inputs!$E$74</f>
        <v>1.1734495693590208</v>
      </c>
      <c r="R639">
        <f>(60*379*((F639/1000)^0.8)*3*24*(MAX('Min rate concentrations'!$R$3:$R$368))/F639)*(inputs!$E$73/inputs!$E$75)</f>
        <v>2.4549800285054474E-3</v>
      </c>
      <c r="S639">
        <f>(IF(inputs!$C$6="aerial",((0.025*0.112*inputs!$C$7/3.3)*(3*60*379*((F639/1000)^0.8))*MAX(inputs!$H$14:$H$16))/F639,((0.0083*0.112*inputs!$C$7/1)*(3*60*379*((F639/1000)^0.8))*MAX(inputs!$H$14:$H$16))/F639))*(inputs!E$75/inputs!$E$73)</f>
        <v>1.353936568702967E-2</v>
      </c>
      <c r="T639">
        <f>IF((((inputs!$P$12/(V639/MAX(K639:S639)))^(1/inputs!$O$12))-1)/inputs!$N$12&lt;0, 0, IF((((inputs!$P$12/(V639/MAX(K639:S639)))^(1/inputs!$O$12))-1)/inputs!$N$12&gt;inputs!$H$17, inputs!$H$17, (((inputs!$P$12/(V639/MAX(K639:S639)))^(1/inputs!$O$12))-1)/inputs!$N$12))</f>
        <v>0</v>
      </c>
      <c r="U639">
        <f>IF((((inputs!$P$12/(X639/MAX(K639:S639)))^(1/inputs!$O$12))-1)/inputs!$N$12&lt;0, 0, IF((((inputs!$P$12/(X639/MAX(K639:S639)))^(1/inputs!$O$12))-1)/inputs!$N$12&gt;inputs!$H$17, inputs!$H$17, (((inputs!$P$12/(X639/MAX(K639:S639)))^(1/inputs!$O$12))-1)/inputs!$N$12))</f>
        <v>0</v>
      </c>
      <c r="V639">
        <f>inputs!$E$70*(F639/inputs!$F$70)^(0.25)</f>
        <v>4.4129735679322639</v>
      </c>
      <c r="W639">
        <f>inputs!$E$76*(inputs!$F$76/F639)^(0.25)</f>
        <v>0.38607633991895873</v>
      </c>
      <c r="X639">
        <f>inputs!$E$72*(inputs!$F$72/F639)^(0.25)</f>
        <v>56.628483301134466</v>
      </c>
      <c r="Y639" t="s">
        <v>13</v>
      </c>
      <c r="Z639">
        <f t="shared" si="63"/>
        <v>1.5096006877014043</v>
      </c>
      <c r="AA639">
        <f t="shared" si="64"/>
        <v>17.255208994047781</v>
      </c>
    </row>
    <row r="640" spans="1:27" x14ac:dyDescent="0.3">
      <c r="A640" t="s">
        <v>578</v>
      </c>
      <c r="B640" t="s">
        <v>579</v>
      </c>
      <c r="C640" t="s">
        <v>61</v>
      </c>
      <c r="D640" t="s">
        <v>443</v>
      </c>
      <c r="E640">
        <v>43</v>
      </c>
      <c r="F640">
        <v>236.4</v>
      </c>
      <c r="G640" t="s">
        <v>154</v>
      </c>
      <c r="H640">
        <v>9.2999999999999999E-2</v>
      </c>
      <c r="I640">
        <f>MAX('Min rate concentrations'!$G$3:$G$368)</f>
        <v>7.5</v>
      </c>
      <c r="J640">
        <f>MAX('Min rate concentrations'!Z:Z)</f>
        <v>3.5</v>
      </c>
      <c r="K640">
        <f t="shared" si="68"/>
        <v>0.47384388307884812</v>
      </c>
      <c r="M640">
        <f>IF((((0.326*F640^0.818)-(0.398*F640^0.85)/(1-H640)*H640)*(MAX('Min rate concentrations'!$P$3:$P$368)))/F640&gt;0, (((0.326*F640^0.818)-(0.398*F640^0.85)/(1-H640)*H640)*(MAX('Min rate concentrations'!$P$3:$P$368)))/F640, 0)</f>
        <v>1.4890178058813052E-2</v>
      </c>
      <c r="N640">
        <f>IF((((0.326*F640^0.818)-(0.398*F640^0.85)/(1-H640)*H640)*(MAX('Min rate concentrations'!$Q$3:$Q$368)))/F640&gt; 0, (((0.326*F640^0.818)-(0.398*F640^0.85)/(1-H640)*H640)*(MAX('Min rate concentrations'!$Q$3:$Q$368)))/F640, 0)</f>
        <v>5.6702598122319051E-2</v>
      </c>
      <c r="O640">
        <f>((MAX('Min rate concentrations'!$F$3:$F$368))*0.62*6.01*8*(12.3*F640^0.65)*0.079*0.1/F640)*inputs!$E$73/inputs!$E$74</f>
        <v>6.6618279329586656</v>
      </c>
      <c r="Q640">
        <f>(inputs!$C$7*11.2*(12.3*F640^0.65)*0.5/F640)*inputs!$E$73/inputs!$E$74</f>
        <v>1.1734495693590208</v>
      </c>
      <c r="R640">
        <f>(60*379*((F640/1000)^0.8)*3*24*(MAX('Min rate concentrations'!$R$3:$R$368))/F640)*(inputs!$E$73/inputs!$E$75)</f>
        <v>2.4549800285054474E-3</v>
      </c>
      <c r="S640">
        <f>(IF(inputs!$C$6="aerial",((0.025*0.112*inputs!$C$7/3.3)*(3*60*379*((F640/1000)^0.8))*MAX(inputs!$H$14:$H$16))/F640,((0.0083*0.112*inputs!$C$7/1)*(3*60*379*((F640/1000)^0.8))*MAX(inputs!$H$14:$H$16))/F640))*(inputs!E$75/inputs!$E$73)</f>
        <v>1.353936568702967E-2</v>
      </c>
      <c r="T640">
        <f>IF((((inputs!$P$12/(V640/MAX(K640:S640)))^(1/inputs!$O$12))-1)/inputs!$N$12&lt;0, 0, IF((((inputs!$P$12/(V640/MAX(K640:S640)))^(1/inputs!$O$12))-1)/inputs!$N$12&gt;inputs!$H$17, inputs!$H$17, (((inputs!$P$12/(V640/MAX(K640:S640)))^(1/inputs!$O$12))-1)/inputs!$N$12))</f>
        <v>0</v>
      </c>
      <c r="U640">
        <f>IF((((inputs!$P$12/(X640/MAX(K640:S640)))^(1/inputs!$O$12))-1)/inputs!$N$12&lt;0, 0, IF((((inputs!$P$12/(X640/MAX(K640:S640)))^(1/inputs!$O$12))-1)/inputs!$N$12&gt;inputs!$H$17, inputs!$H$17, (((inputs!$P$12/(X640/MAX(K640:S640)))^(1/inputs!$O$12))-1)/inputs!$N$12))</f>
        <v>0</v>
      </c>
      <c r="V640">
        <f>inputs!$E$70*(F640/inputs!$F$70)^(0.25)</f>
        <v>4.4129735679322639</v>
      </c>
      <c r="W640">
        <f>inputs!$E$76*(inputs!$F$76/F640)^(0.25)</f>
        <v>0.38607633991895873</v>
      </c>
      <c r="X640">
        <f>inputs!$E$72*(inputs!$F$72/F640)^(0.25)</f>
        <v>56.628483301134466</v>
      </c>
      <c r="Y640" t="s">
        <v>13</v>
      </c>
      <c r="Z640">
        <f t="shared" si="63"/>
        <v>1.5096006877014043</v>
      </c>
      <c r="AA640">
        <f t="shared" si="64"/>
        <v>17.255208994047781</v>
      </c>
    </row>
    <row r="641" spans="1:27" x14ac:dyDescent="0.3">
      <c r="A641" t="s">
        <v>611</v>
      </c>
      <c r="B641" t="s">
        <v>612</v>
      </c>
      <c r="C641" t="s">
        <v>61</v>
      </c>
      <c r="D641" t="s">
        <v>443</v>
      </c>
      <c r="E641">
        <v>5210</v>
      </c>
      <c r="F641">
        <v>12</v>
      </c>
      <c r="G641" t="s">
        <v>142</v>
      </c>
      <c r="H641">
        <v>0.69</v>
      </c>
      <c r="I641">
        <f>MAX('Min rate concentrations'!$H$3:$H$368)</f>
        <v>47</v>
      </c>
      <c r="J641">
        <f>MAX('Min rate concentrations'!AA:AA)</f>
        <v>32.5</v>
      </c>
      <c r="K641">
        <f t="shared" si="68"/>
        <v>31.864326320175874</v>
      </c>
      <c r="L641">
        <f>(((0.621*F641^0.564)/(1-H641)))*J641/F641</f>
        <v>22.03384266820672</v>
      </c>
      <c r="M641">
        <f>IF((((0.326*F641^0.818)-(0.398*F641^0.85)/(1-H641)*H641)*(MAX('Min rate concentrations'!$P$3:$P$368)))/F641&gt;0, (((0.326*F641^0.818)-(0.398*F641^0.85)/(1-H641)*H641)*(MAX('Min rate concentrations'!$P$3:$P$368)))/F641, 0)</f>
        <v>0</v>
      </c>
      <c r="N641">
        <f>IF((((0.326*F641^0.818)-(0.398*F641^0.85)/(1-H641)*H641)*(MAX('Min rate concentrations'!$Q$3:$Q$368)))/F641&gt; 0, (((0.326*F641^0.818)-(0.398*F641^0.85)/(1-H641)*H641)*(MAX('Min rate concentrations'!$Q$3:$Q$368)))/F641, 0)</f>
        <v>0</v>
      </c>
      <c r="O641">
        <f>((MAX('Min rate concentrations'!$F$3:$F$368))*0.62*6.01*8*(12.3*F641^0.65)*0.079*0.1/F641)*inputs!$E$73/inputs!$E$74</f>
        <v>18.908478773287541</v>
      </c>
      <c r="P641">
        <f>((MAX('Min rate concentrations'!Y:Y))*0.62*6.01*8*(12.3*F641^0.65)*0.079*0.1/F641)*inputs!$E$73/inputs!$E$74</f>
        <v>6.3028262577625114</v>
      </c>
      <c r="Q641">
        <f>(inputs!$C$7*11.2*(12.3*F641^0.65)*0.5/F641)*inputs!$E$73/inputs!$E$74</f>
        <v>3.330639352597959</v>
      </c>
      <c r="R641">
        <f>(60*379*((F641/1000)^0.8)*3*24*(MAX('Min rate concentrations'!$R$3:$R$368))/F641)*(inputs!$E$73/inputs!$E$75)</f>
        <v>4.4559592309452237E-3</v>
      </c>
      <c r="S641">
        <f>(IF(inputs!$C$6="aerial",((0.025*0.112*inputs!$C$7/3.3)*(3*60*379*((F641/1000)^0.8))*MAX(inputs!$H$14:$H$16))/F641,((0.0083*0.112*inputs!$C$7/1)*(3*60*379*((F641/1000)^0.8))*MAX(inputs!$H$14:$H$16))/F641))*(inputs!E$75/inputs!$E$73)</f>
        <v>2.4574888925264021E-2</v>
      </c>
      <c r="T641">
        <f>IF((((inputs!$P$12/(V641/MAX(K641:S641)))^(1/inputs!$O$12))-1)/inputs!$N$12&lt;0, 0, IF((((inputs!$P$12/(V641/MAX(K641:S641)))^(1/inputs!$O$12))-1)/inputs!$N$12&gt;inputs!$H$17, inputs!$H$17, (((inputs!$P$12/(V641/MAX(K641:S641)))^(1/inputs!$O$12))-1)/inputs!$N$12))</f>
        <v>35.264956049112598</v>
      </c>
      <c r="U641">
        <f>IF((((inputs!$P$12/(X641/MAX(K641:S641)))^(1/inputs!$O$12))-1)/inputs!$N$12&lt;0, 0, IF((((inputs!$P$12/(X641/MAX(K641:S641)))^(1/inputs!$O$12))-1)/inputs!$N$12&gt;inputs!$H$17, inputs!$H$17, (((inputs!$P$12/(X641/MAX(K641:S641)))^(1/inputs!$O$12))-1)/inputs!$N$12))</f>
        <v>0</v>
      </c>
      <c r="V641">
        <f>inputs!$E$70*(F641/inputs!$F$70)^(0.25)</f>
        <v>2.094665933568276</v>
      </c>
      <c r="W641">
        <f>inputs!$E$76*(inputs!$F$76/F641)^(0.25)</f>
        <v>0.81337298514425049</v>
      </c>
      <c r="X641">
        <f>inputs!$E$72*(inputs!$F$72/F641)^(0.25)</f>
        <v>119.30303347908743</v>
      </c>
      <c r="Y641" t="s">
        <v>13</v>
      </c>
      <c r="Z641">
        <f t="shared" si="63"/>
        <v>15.212128010262143</v>
      </c>
      <c r="AA641">
        <f t="shared" si="64"/>
        <v>39.175540498833733</v>
      </c>
    </row>
    <row r="642" spans="1:27" x14ac:dyDescent="0.3">
      <c r="A642" t="s">
        <v>611</v>
      </c>
      <c r="B642" t="s">
        <v>612</v>
      </c>
      <c r="C642" t="s">
        <v>61</v>
      </c>
      <c r="D642" t="s">
        <v>443</v>
      </c>
      <c r="E642">
        <v>5210</v>
      </c>
      <c r="F642">
        <v>12</v>
      </c>
      <c r="G642" t="s">
        <v>152</v>
      </c>
      <c r="H642">
        <v>0.77</v>
      </c>
      <c r="I642">
        <f>MAX('Min rate concentrations'!$G$3:$G$368)</f>
        <v>7.5</v>
      </c>
      <c r="J642">
        <f>MAX('Min rate concentrations'!Z:Z)</f>
        <v>3.5</v>
      </c>
      <c r="K642">
        <f t="shared" si="68"/>
        <v>6.8533356794087803</v>
      </c>
      <c r="L642">
        <f>(((0.621*F642^0.564)/(1-H642)))*J642/F642</f>
        <v>3.198223317057431</v>
      </c>
      <c r="M642">
        <f>IF((((0.326*F642^0.818)-(0.398*F642^0.85)/(1-H642)*H642)*(MAX('Min rate concentrations'!$P$3:$P$368)))/F642&gt;0, (((0.326*F642^0.818)-(0.398*F642^0.85)/(1-H642)*H642)*(MAX('Min rate concentrations'!$P$3:$P$368)))/F642, 0)</f>
        <v>0</v>
      </c>
      <c r="N642">
        <f>IF((((0.326*F642^0.818)-(0.398*F642^0.85)/(1-H642)*H642)*(MAX('Min rate concentrations'!$Q$3:$Q$368)))/F642&gt; 0, (((0.326*F642^0.818)-(0.398*F642^0.85)/(1-H642)*H642)*(MAX('Min rate concentrations'!$Q$3:$Q$368)))/F642, 0)</f>
        <v>0</v>
      </c>
      <c r="O642">
        <f>((MAX('Min rate concentrations'!$F$3:$F$368))*0.62*6.01*8*(12.3*F642^0.65)*0.079*0.1/F642)*inputs!$E$73/inputs!$E$74</f>
        <v>18.908478773287541</v>
      </c>
      <c r="P642">
        <f>((MAX('Min rate concentrations'!Y:Y))*0.62*6.01*8*(12.3*F642^0.65)*0.079*0.1/F642)*inputs!$E$73/inputs!$E$74</f>
        <v>6.3028262577625114</v>
      </c>
      <c r="Q642">
        <f>(inputs!$C$7*11.2*(12.3*F642^0.65)*0.5/F642)*inputs!$E$73/inputs!$E$74</f>
        <v>3.330639352597959</v>
      </c>
      <c r="R642">
        <f>(60*379*((F642/1000)^0.8)*3*24*(MAX('Min rate concentrations'!$R$3:$R$368))/F642)*(inputs!$E$73/inputs!$E$75)</f>
        <v>4.4559592309452237E-3</v>
      </c>
      <c r="S642">
        <f>(IF(inputs!$C$6="aerial",((0.025*0.112*inputs!$C$7/3.3)*(3*60*379*((F642/1000)^0.8))*MAX(inputs!$H$14:$H$16))/F642,((0.0083*0.112*inputs!$C$7/1)*(3*60*379*((F642/1000)^0.8))*MAX(inputs!$H$14:$H$16))/F642))*(inputs!E$75/inputs!$E$73)</f>
        <v>2.4574888925264021E-2</v>
      </c>
      <c r="T642">
        <f>IF((((inputs!$P$12/(V642/MAX(K642:S642)))^(1/inputs!$O$12))-1)/inputs!$N$12&lt;0, 0, IF((((inputs!$P$12/(V642/MAX(K642:S642)))^(1/inputs!$O$12))-1)/inputs!$N$12&gt;inputs!$H$17, inputs!$H$17, (((inputs!$P$12/(V642/MAX(K642:S642)))^(1/inputs!$O$12))-1)/inputs!$N$12))</f>
        <v>23.071797239771147</v>
      </c>
      <c r="U642">
        <f>IF((((inputs!$P$12/(X642/MAX(K642:S642)))^(1/inputs!$O$12))-1)/inputs!$N$12&lt;0, 0, IF((((inputs!$P$12/(X642/MAX(K642:S642)))^(1/inputs!$O$12))-1)/inputs!$N$12&gt;inputs!$H$17, inputs!$H$17, (((inputs!$P$12/(X642/MAX(K642:S642)))^(1/inputs!$O$12))-1)/inputs!$N$12))</f>
        <v>0</v>
      </c>
      <c r="V642">
        <f>inputs!$E$70*(F642/inputs!$F$70)^(0.25)</f>
        <v>2.094665933568276</v>
      </c>
      <c r="W642">
        <f>inputs!$E$76*(inputs!$F$76/F642)^(0.25)</f>
        <v>0.81337298514425049</v>
      </c>
      <c r="X642">
        <f>inputs!$E$72*(inputs!$F$72/F642)^(0.25)</f>
        <v>119.30303347908743</v>
      </c>
      <c r="Y642" t="s">
        <v>13</v>
      </c>
      <c r="Z642">
        <f t="shared" si="63"/>
        <v>9.0269662910289625</v>
      </c>
      <c r="AA642">
        <f t="shared" si="64"/>
        <v>23.2469962964582</v>
      </c>
    </row>
    <row r="643" spans="1:27" x14ac:dyDescent="0.3">
      <c r="A643" t="s">
        <v>611</v>
      </c>
      <c r="B643" t="s">
        <v>612</v>
      </c>
      <c r="C643" t="s">
        <v>61</v>
      </c>
      <c r="D643" t="s">
        <v>443</v>
      </c>
      <c r="E643">
        <v>5210</v>
      </c>
      <c r="F643">
        <v>12</v>
      </c>
      <c r="G643" t="s">
        <v>580</v>
      </c>
      <c r="H643">
        <v>0.85</v>
      </c>
      <c r="I643">
        <f>MAX('Min rate concentrations'!$F$3:$F$368)</f>
        <v>67.5</v>
      </c>
      <c r="J643">
        <f>MAX('Min rate concentrations'!Y:Y)</f>
        <v>22.5</v>
      </c>
      <c r="K643">
        <f t="shared" si="68"/>
        <v>94.576032375841137</v>
      </c>
      <c r="M643">
        <f>IF((((0.326*F643^0.818)-(0.398*F643^0.85)/(1-H643)*H643)*(MAX('Min rate concentrations'!$P$3:$P$368)))/F643&gt;0, (((0.326*F643^0.818)-(0.398*F643^0.85)/(1-H643)*H643)*(MAX('Min rate concentrations'!$P$3:$P$368)))/F643, 0)</f>
        <v>0</v>
      </c>
      <c r="N643">
        <f>IF((((0.326*F643^0.818)-(0.398*F643^0.85)/(1-H643)*H643)*(MAX('Min rate concentrations'!$Q$3:$Q$368)))/F643&gt; 0, (((0.326*F643^0.818)-(0.398*F643^0.85)/(1-H643)*H643)*(MAX('Min rate concentrations'!$Q$3:$Q$368)))/F643, 0)</f>
        <v>0</v>
      </c>
      <c r="O643">
        <f>((MAX('Min rate concentrations'!$F$3:$F$368))*0.62*6.01*8*(12.3*F643^0.65)*0.079*0.1/F643)*inputs!$E$73/inputs!$E$74</f>
        <v>18.908478773287541</v>
      </c>
      <c r="Q643">
        <f>(inputs!$C$7*11.2*(12.3*F643^0.65)*0.5/F643)*inputs!$E$73/inputs!$E$74</f>
        <v>3.330639352597959</v>
      </c>
      <c r="R643">
        <f>(60*379*((F643/1000)^0.8)*3*24*(MAX('Min rate concentrations'!$R$3:$R$368))/F643)*(inputs!$E$73/inputs!$E$75)</f>
        <v>4.4559592309452237E-3</v>
      </c>
      <c r="S643">
        <f>(IF(inputs!$C$6="aerial",((0.025*0.112*inputs!$C$7/3.3)*(3*60*379*((F643/1000)^0.8))*MAX(inputs!$H$14:$H$16))/F643,((0.0083*0.112*inputs!$C$7/1)*(3*60*379*((F643/1000)^0.8))*MAX(inputs!$H$14:$H$16))/F643))*(inputs!E$75/inputs!$E$73)</f>
        <v>2.4574888925264021E-2</v>
      </c>
      <c r="T643">
        <f>IF((((inputs!$P$12/(V643/MAX(K643:S643)))^(1/inputs!$O$12))-1)/inputs!$N$12&lt;0, 0, IF((((inputs!$P$12/(V643/MAX(K643:S643)))^(1/inputs!$O$12))-1)/inputs!$N$12&gt;inputs!$H$17, inputs!$H$17, (((inputs!$P$12/(V643/MAX(K643:S643)))^(1/inputs!$O$12))-1)/inputs!$N$12))</f>
        <v>70.75004295241115</v>
      </c>
      <c r="U643">
        <f>IF((((inputs!$P$12/(X643/MAX(K643:S643)))^(1/inputs!$O$12))-1)/inputs!$N$12&lt;0, 0, IF((((inputs!$P$12/(X643/MAX(K643:S643)))^(1/inputs!$O$12))-1)/inputs!$N$12&gt;inputs!$H$17, inputs!$H$17, (((inputs!$P$12/(X643/MAX(K643:S643)))^(1/inputs!$O$12))-1)/inputs!$N$12))</f>
        <v>0</v>
      </c>
      <c r="V643">
        <f>inputs!$E$70*(F643/inputs!$F$70)^(0.25)</f>
        <v>2.094665933568276</v>
      </c>
      <c r="W643">
        <f>inputs!$E$76*(inputs!$F$76/F643)^(0.25)</f>
        <v>0.81337298514425049</v>
      </c>
      <c r="X643">
        <f>inputs!$E$72*(inputs!$F$72/F643)^(0.25)</f>
        <v>119.30303347908743</v>
      </c>
      <c r="Y643" t="s">
        <v>13</v>
      </c>
      <c r="Z643">
        <f t="shared" si="63"/>
        <v>45.150890583650394</v>
      </c>
      <c r="AA643">
        <f t="shared" si="64"/>
        <v>116.27633828909158</v>
      </c>
    </row>
    <row r="644" spans="1:27" x14ac:dyDescent="0.3">
      <c r="A644" t="s">
        <v>611</v>
      </c>
      <c r="B644" t="s">
        <v>612</v>
      </c>
      <c r="C644" t="s">
        <v>61</v>
      </c>
      <c r="D644" t="s">
        <v>443</v>
      </c>
      <c r="E644">
        <v>5210</v>
      </c>
      <c r="F644">
        <v>12</v>
      </c>
      <c r="G644" t="s">
        <v>154</v>
      </c>
      <c r="H644">
        <v>9.2999999999999999E-2</v>
      </c>
      <c r="I644">
        <f>MAX('Min rate concentrations'!$G$3:$G$368)</f>
        <v>7.5</v>
      </c>
      <c r="J644">
        <f>MAX('Min rate concentrations'!Z:Z)</f>
        <v>3.5</v>
      </c>
      <c r="K644">
        <f t="shared" si="68"/>
        <v>1.7378910763660633</v>
      </c>
      <c r="M644">
        <f>IF((((0.326*F644^0.818)-(0.398*F644^0.85)/(1-H644)*H644)*(MAX('Min rate concentrations'!$P$3:$P$368)))/F644&gt;0, (((0.326*F644^0.818)-(0.398*F644^0.85)/(1-H644)*H644)*(MAX('Min rate concentrations'!$P$3:$P$368)))/F644, 0)</f>
        <v>2.6023247729384608E-2</v>
      </c>
      <c r="N644">
        <f>IF((((0.326*F644^0.818)-(0.398*F644^0.85)/(1-H644)*H644)*(MAX('Min rate concentrations'!$Q$3:$Q$368)))/F644&gt; 0, (((0.326*F644^0.818)-(0.398*F644^0.85)/(1-H644)*H644)*(MAX('Min rate concentrations'!$Q$3:$Q$368)))/F644, 0)</f>
        <v>9.9097925626449576E-2</v>
      </c>
      <c r="O644">
        <f>((MAX('Min rate concentrations'!$F$3:$F$368))*0.62*6.01*8*(12.3*F644^0.65)*0.079*0.1/F644)*inputs!$E$73/inputs!$E$74</f>
        <v>18.908478773287541</v>
      </c>
      <c r="Q644">
        <f>(inputs!$C$7*11.2*(12.3*F644^0.65)*0.5/F644)*inputs!$E$73/inputs!$E$74</f>
        <v>3.330639352597959</v>
      </c>
      <c r="R644">
        <f>(60*379*((F644/1000)^0.8)*3*24*(MAX('Min rate concentrations'!$R$3:$R$368))/F644)*(inputs!$E$73/inputs!$E$75)</f>
        <v>4.4559592309452237E-3</v>
      </c>
      <c r="S644">
        <f>(IF(inputs!$C$6="aerial",((0.025*0.112*inputs!$C$7/3.3)*(3*60*379*((F644/1000)^0.8))*MAX(inputs!$H$14:$H$16))/F644,((0.0083*0.112*inputs!$C$7/1)*(3*60*379*((F644/1000)^0.8))*MAX(inputs!$H$14:$H$16))/F644))*(inputs!E$75/inputs!$E$73)</f>
        <v>2.4574888925264021E-2</v>
      </c>
      <c r="T644">
        <f>IF((((inputs!$P$12/(V644/MAX(K644:S644)))^(1/inputs!$O$12))-1)/inputs!$N$12&lt;0, 0, IF((((inputs!$P$12/(V644/MAX(K644:S644)))^(1/inputs!$O$12))-1)/inputs!$N$12&gt;inputs!$H$17, inputs!$H$17, (((inputs!$P$12/(V644/MAX(K644:S644)))^(1/inputs!$O$12))-1)/inputs!$N$12))</f>
        <v>23.071797239771147</v>
      </c>
      <c r="U644">
        <f>IF((((inputs!$P$12/(X644/MAX(K644:S644)))^(1/inputs!$O$12))-1)/inputs!$N$12&lt;0, 0, IF((((inputs!$P$12/(X644/MAX(K644:S644)))^(1/inputs!$O$12))-1)/inputs!$N$12&gt;inputs!$H$17, inputs!$H$17, (((inputs!$P$12/(X644/MAX(K644:S644)))^(1/inputs!$O$12))-1)/inputs!$N$12))</f>
        <v>0</v>
      </c>
      <c r="V644">
        <f>inputs!$E$70*(F644/inputs!$F$70)^(0.25)</f>
        <v>2.094665933568276</v>
      </c>
      <c r="W644">
        <f>inputs!$E$76*(inputs!$F$76/F644)^(0.25)</f>
        <v>0.81337298514425049</v>
      </c>
      <c r="X644">
        <f>inputs!$E$72*(inputs!$F$72/F644)^(0.25)</f>
        <v>119.30303347908743</v>
      </c>
      <c r="Y644" t="s">
        <v>13</v>
      </c>
      <c r="Z644">
        <f t="shared" ref="Z644:Z707" si="69">MAX(K644:S644)/V644</f>
        <v>9.0269662910289625</v>
      </c>
      <c r="AA644">
        <f t="shared" ref="AA644:AA707" si="70">MAX(K644:S644)/W644</f>
        <v>23.2469962964582</v>
      </c>
    </row>
    <row r="645" spans="1:27" x14ac:dyDescent="0.3">
      <c r="A645" t="s">
        <v>568</v>
      </c>
      <c r="B645" t="s">
        <v>569</v>
      </c>
      <c r="C645" t="s">
        <v>61</v>
      </c>
      <c r="D645" t="s">
        <v>443</v>
      </c>
      <c r="E645">
        <v>59</v>
      </c>
      <c r="F645">
        <v>120</v>
      </c>
      <c r="G645" t="s">
        <v>169</v>
      </c>
      <c r="H645">
        <v>0.79</v>
      </c>
      <c r="I645">
        <f>MAX('Min rate concentrations'!$D$3:$D$368)</f>
        <v>120</v>
      </c>
      <c r="J645">
        <f>MAX('Min rate concentrations'!W:W)</f>
        <v>42.5</v>
      </c>
      <c r="K645">
        <f t="shared" si="68"/>
        <v>44.007888156975483</v>
      </c>
      <c r="L645">
        <f>(((0.621*F645^0.564)/(1-H645)))*J645/F645</f>
        <v>15.586127055595483</v>
      </c>
      <c r="M645">
        <f>IF((((0.326*F645^0.818)-(0.398*F645^0.85)/(1-H645)*H645)*(MAX('Min rate concentrations'!$P$3:$P$368)))/F645&gt;0, (((0.326*F645^0.818)-(0.398*F645^0.85)/(1-H645)*H645)*(MAX('Min rate concentrations'!$P$3:$P$368)))/F645, 0)</f>
        <v>0</v>
      </c>
      <c r="N645">
        <f>IF((((0.326*F645^0.818)-(0.398*F645^0.85)/(1-H645)*H645)*(MAX('Min rate concentrations'!$Q$3:$Q$368)))/F645&gt; 0, (((0.326*F645^0.818)-(0.398*F645^0.85)/(1-H645)*H645)*(MAX('Min rate concentrations'!$Q$3:$Q$368)))/F645, 0)</f>
        <v>0</v>
      </c>
      <c r="O645">
        <f>((MAX('Min rate concentrations'!$F$3:$F$368))*0.62*6.01*8*(12.3*F645^0.65)*0.079*0.1/F645)*inputs!$E$73/inputs!$E$74</f>
        <v>8.4461072205623111</v>
      </c>
      <c r="P645">
        <f>((MAX('Min rate concentrations'!Y:Y))*0.62*6.01*8*(12.3*F645^0.65)*0.079*0.1/F645)*inputs!$E$73/inputs!$E$74</f>
        <v>2.8153690735207699</v>
      </c>
      <c r="Q645">
        <f>(inputs!$C$7*11.2*(12.3*F645^0.65)*0.5/F645)*inputs!$E$73/inputs!$E$74</f>
        <v>1.4877419501778142</v>
      </c>
      <c r="R645">
        <f>(60*379*((F645/1000)^0.8)*3*24*(MAX('Min rate concentrations'!$R$3:$R$368))/F645)*(inputs!$E$73/inputs!$E$75)</f>
        <v>2.8115202034692029E-3</v>
      </c>
      <c r="S645">
        <f>(IF(inputs!$C$6="aerial",((0.025*0.112*inputs!$C$7/3.3)*(3*60*379*((F645/1000)^0.8))*MAX(inputs!$H$14:$H$16))/F645,((0.0083*0.112*inputs!$C$7/1)*(3*60*379*((F645/1000)^0.8))*MAX(inputs!$H$14:$H$16))/F645))*(inputs!E$75/inputs!$E$73)</f>
        <v>1.5505706657180304E-2</v>
      </c>
      <c r="T645">
        <f>IF((((inputs!$P$12/(V645/MAX(K645:S645)))^(1/inputs!$O$12))-1)/inputs!$N$12&lt;0, 0, IF((((inputs!$P$12/(V645/MAX(K645:S645)))^(1/inputs!$O$12))-1)/inputs!$N$12&gt;inputs!$H$17, inputs!$H$17, (((inputs!$P$12/(V645/MAX(K645:S645)))^(1/inputs!$O$12))-1)/inputs!$N$12))</f>
        <v>29.036089934275807</v>
      </c>
      <c r="U645">
        <f>IF((((inputs!$P$12/(X645/MAX(K645:S645)))^(1/inputs!$O$12))-1)/inputs!$N$12&lt;0, 0, IF((((inputs!$P$12/(X645/MAX(K645:S645)))^(1/inputs!$O$12))-1)/inputs!$N$12&gt;inputs!$H$17, inputs!$H$17, (((inputs!$P$12/(X645/MAX(K645:S645)))^(1/inputs!$O$12))-1)/inputs!$N$12))</f>
        <v>0</v>
      </c>
      <c r="V645">
        <f>inputs!$E$70*(F645/inputs!$F$70)^(0.25)</f>
        <v>3.7249013005744236</v>
      </c>
      <c r="W645">
        <f>inputs!$E$76*(inputs!$F$76/F645)^(0.25)</f>
        <v>0.45739324234004791</v>
      </c>
      <c r="X645">
        <f>inputs!$E$72*(inputs!$F$72/F645)^(0.25)</f>
        <v>67.089025945858609</v>
      </c>
      <c r="Y645" t="s">
        <v>13</v>
      </c>
      <c r="Z645">
        <f t="shared" si="69"/>
        <v>11.814511206025498</v>
      </c>
      <c r="AA645">
        <f t="shared" si="70"/>
        <v>96.214556935360065</v>
      </c>
    </row>
    <row r="646" spans="1:27" x14ac:dyDescent="0.3">
      <c r="A646" t="s">
        <v>568</v>
      </c>
      <c r="B646" t="s">
        <v>569</v>
      </c>
      <c r="C646" t="s">
        <v>61</v>
      </c>
      <c r="D646" t="s">
        <v>443</v>
      </c>
      <c r="E646">
        <v>59</v>
      </c>
      <c r="F646">
        <v>120</v>
      </c>
      <c r="G646" t="s">
        <v>158</v>
      </c>
      <c r="H646">
        <v>0.85</v>
      </c>
      <c r="I646">
        <f>MAX('Min rate concentrations'!$F$3:$F$368)</f>
        <v>67.5</v>
      </c>
      <c r="J646">
        <f>MAX('Min rate concentrations'!Y:Y)</f>
        <v>22.5</v>
      </c>
      <c r="K646">
        <f t="shared" si="68"/>
        <v>34.656211923618187</v>
      </c>
      <c r="L646">
        <f>(((0.621*F646^0.564)/(1-H646)))*J646/F646</f>
        <v>11.552070641206061</v>
      </c>
      <c r="M646">
        <f>IF((((0.326*F646^0.818)-(0.398*F646^0.85)/(1-H646)*H646)*(MAX('Min rate concentrations'!$P$3:$P$368)))/F646&gt;0, (((0.326*F646^0.818)-(0.398*F646^0.85)/(1-H646)*H646)*(MAX('Min rate concentrations'!$P$3:$P$368)))/F646, 0)</f>
        <v>0</v>
      </c>
      <c r="N646">
        <f>IF((((0.326*F646^0.818)-(0.398*F646^0.85)/(1-H646)*H646)*(MAX('Min rate concentrations'!$Q$3:$Q$368)))/F646&gt; 0, (((0.326*F646^0.818)-(0.398*F646^0.85)/(1-H646)*H646)*(MAX('Min rate concentrations'!$Q$3:$Q$368)))/F646, 0)</f>
        <v>0</v>
      </c>
      <c r="O646">
        <f>((MAX('Min rate concentrations'!$F$3:$F$368))*0.62*6.01*8*(12.3*F646^0.65)*0.079*0.1/F646)*inputs!$E$73/inputs!$E$74</f>
        <v>8.4461072205623111</v>
      </c>
      <c r="P646">
        <f>((MAX('Min rate concentrations'!Y:Y))*0.62*6.01*8*(12.3*F646^0.65)*0.079*0.1/F646)*inputs!$E$73/inputs!$E$74</f>
        <v>2.8153690735207699</v>
      </c>
      <c r="Q646">
        <f>(inputs!$C$7*11.2*(12.3*F646^0.65)*0.5/F646)*inputs!$E$73/inputs!$E$74</f>
        <v>1.4877419501778142</v>
      </c>
      <c r="R646">
        <f>(60*379*((F646/1000)^0.8)*3*24*(MAX('Min rate concentrations'!$R$3:$R$368))/F646)*(inputs!$E$73/inputs!$E$75)</f>
        <v>2.8115202034692029E-3</v>
      </c>
      <c r="S646">
        <f>(IF(inputs!$C$6="aerial",((0.025*0.112*inputs!$C$7/3.3)*(3*60*379*((F646/1000)^0.8))*MAX(inputs!$H$14:$H$16))/F646,((0.0083*0.112*inputs!$C$7/1)*(3*60*379*((F646/1000)^0.8))*MAX(inputs!$H$14:$H$16))/F646))*(inputs!E$75/inputs!$E$73)</f>
        <v>1.5505706657180304E-2</v>
      </c>
      <c r="T646">
        <f>IF((((inputs!$P$12/(V646/MAX(K646:S646)))^(1/inputs!$O$12))-1)/inputs!$N$12&lt;0, 0, IF((((inputs!$P$12/(V646/MAX(K646:S646)))^(1/inputs!$O$12))-1)/inputs!$N$12&gt;inputs!$H$17, inputs!$H$17, (((inputs!$P$12/(V646/MAX(K646:S646)))^(1/inputs!$O$12))-1)/inputs!$N$12))</f>
        <v>23.709488860535373</v>
      </c>
      <c r="U646">
        <f>IF((((inputs!$P$12/(X646/MAX(K646:S646)))^(1/inputs!$O$12))-1)/inputs!$N$12&lt;0, 0, IF((((inputs!$P$12/(X646/MAX(K646:S646)))^(1/inputs!$O$12))-1)/inputs!$N$12&gt;inputs!$H$17, inputs!$H$17, (((inputs!$P$12/(X646/MAX(K646:S646)))^(1/inputs!$O$12))-1)/inputs!$N$12))</f>
        <v>0</v>
      </c>
      <c r="V646">
        <f>inputs!$E$70*(F646/inputs!$F$70)^(0.25)</f>
        <v>3.7249013005744236</v>
      </c>
      <c r="W646">
        <f>inputs!$E$76*(inputs!$F$76/F646)^(0.25)</f>
        <v>0.45739324234004791</v>
      </c>
      <c r="X646">
        <f>inputs!$E$72*(inputs!$F$72/F646)^(0.25)</f>
        <v>67.089025945858609</v>
      </c>
      <c r="Y646" t="s">
        <v>13</v>
      </c>
      <c r="Z646">
        <f t="shared" si="69"/>
        <v>9.3039275747450798</v>
      </c>
      <c r="AA646">
        <f t="shared" si="70"/>
        <v>75.768963586596044</v>
      </c>
    </row>
    <row r="647" spans="1:27" x14ac:dyDescent="0.3">
      <c r="A647" t="s">
        <v>568</v>
      </c>
      <c r="B647" t="s">
        <v>569</v>
      </c>
      <c r="C647" t="s">
        <v>61</v>
      </c>
      <c r="D647" t="s">
        <v>443</v>
      </c>
      <c r="E647">
        <v>59</v>
      </c>
      <c r="F647">
        <v>120</v>
      </c>
      <c r="G647" t="s">
        <v>154</v>
      </c>
      <c r="H647">
        <v>9.2999999999999999E-2</v>
      </c>
      <c r="I647">
        <f>MAX('Min rate concentrations'!$G$3:$G$368)</f>
        <v>7.5</v>
      </c>
      <c r="J647">
        <f>MAX('Min rate concentrations'!Z:Z)</f>
        <v>3.5</v>
      </c>
      <c r="K647">
        <f t="shared" si="68"/>
        <v>0.63682859102569256</v>
      </c>
      <c r="M647">
        <f>IF((((0.326*F647^0.818)-(0.398*F647^0.85)/(1-H647)*H647)*(MAX('Min rate concentrations'!$P$3:$P$368)))/F647&gt;0, (((0.326*F647^0.818)-(0.398*F647^0.85)/(1-H647)*H647)*(MAX('Min rate concentrations'!$P$3:$P$368)))/F647, 0)</f>
        <v>1.6909202628952229E-2</v>
      </c>
      <c r="N647">
        <f>IF((((0.326*F647^0.818)-(0.398*F647^0.85)/(1-H647)*H647)*(MAX('Min rate concentrations'!$Q$3:$Q$368)))/F647&gt; 0, (((0.326*F647^0.818)-(0.398*F647^0.85)/(1-H647)*H647)*(MAX('Min rate concentrations'!$Q$3:$Q$368)))/F647, 0)</f>
        <v>6.4391152171001512E-2</v>
      </c>
      <c r="O647">
        <f>((MAX('Min rate concentrations'!$F$3:$F$368))*0.62*6.01*8*(12.3*F647^0.65)*0.079*0.1/F647)*inputs!$E$73/inputs!$E$74</f>
        <v>8.4461072205623111</v>
      </c>
      <c r="Q647">
        <f>(inputs!$C$7*11.2*(12.3*F647^0.65)*0.5/F647)*inputs!$E$73/inputs!$E$74</f>
        <v>1.4877419501778142</v>
      </c>
      <c r="R647">
        <f>(60*379*((F647/1000)^0.8)*3*24*(MAX('Min rate concentrations'!$R$3:$R$368))/F647)*(inputs!$E$73/inputs!$E$75)</f>
        <v>2.8115202034692029E-3</v>
      </c>
      <c r="S647">
        <f>(IF(inputs!$C$6="aerial",((0.025*0.112*inputs!$C$7/3.3)*(3*60*379*((F647/1000)^0.8))*MAX(inputs!$H$14:$H$16))/F647,((0.0083*0.112*inputs!$C$7/1)*(3*60*379*((F647/1000)^0.8))*MAX(inputs!$H$14:$H$16))/F647))*(inputs!E$75/inputs!$E$73)</f>
        <v>1.5505706657180304E-2</v>
      </c>
      <c r="T647">
        <f>IF((((inputs!$P$12/(V647/MAX(K647:S647)))^(1/inputs!$O$12))-1)/inputs!$N$12&lt;0, 0, IF((((inputs!$P$12/(V647/MAX(K647:S647)))^(1/inputs!$O$12))-1)/inputs!$N$12&gt;inputs!$H$17, inputs!$H$17, (((inputs!$P$12/(V647/MAX(K647:S647)))^(1/inputs!$O$12))-1)/inputs!$N$12))</f>
        <v>0.90588511844306285</v>
      </c>
      <c r="U647">
        <f>IF((((inputs!$P$12/(X647/MAX(K647:S647)))^(1/inputs!$O$12))-1)/inputs!$N$12&lt;0, 0, IF((((inputs!$P$12/(X647/MAX(K647:S647)))^(1/inputs!$O$12))-1)/inputs!$N$12&gt;inputs!$H$17, inputs!$H$17, (((inputs!$P$12/(X647/MAX(K647:S647)))^(1/inputs!$O$12))-1)/inputs!$N$12))</f>
        <v>0</v>
      </c>
      <c r="V647">
        <f>inputs!$E$70*(F647/inputs!$F$70)^(0.25)</f>
        <v>3.7249013005744236</v>
      </c>
      <c r="W647">
        <f>inputs!$E$76*(inputs!$F$76/F647)^(0.25)</f>
        <v>0.45739324234004791</v>
      </c>
      <c r="X647">
        <f>inputs!$E$72*(inputs!$F$72/F647)^(0.25)</f>
        <v>67.089025945858609</v>
      </c>
      <c r="Y647" t="s">
        <v>13</v>
      </c>
      <c r="Z647">
        <f t="shared" si="69"/>
        <v>2.2674714144129999</v>
      </c>
      <c r="AA647">
        <f t="shared" si="70"/>
        <v>18.465745530807542</v>
      </c>
    </row>
    <row r="648" spans="1:27" x14ac:dyDescent="0.3">
      <c r="A648" t="s">
        <v>584</v>
      </c>
      <c r="B648" t="s">
        <v>585</v>
      </c>
      <c r="C648" t="s">
        <v>61</v>
      </c>
      <c r="D648" t="s">
        <v>443</v>
      </c>
      <c r="E648">
        <v>8683</v>
      </c>
      <c r="F648">
        <v>75</v>
      </c>
      <c r="G648" t="s">
        <v>177</v>
      </c>
      <c r="H648">
        <v>0.85</v>
      </c>
      <c r="I648">
        <f>MAX('Min rate concentrations'!$F$3:$F$368)</f>
        <v>67.5</v>
      </c>
      <c r="J648">
        <f>MAX('Min rate concentrations'!Y:Y)</f>
        <v>22.5</v>
      </c>
      <c r="K648">
        <f t="shared" si="68"/>
        <v>42.538032929594046</v>
      </c>
      <c r="L648">
        <f>(((0.621*F648^0.564)/(1-H648)))*J648/F648</f>
        <v>14.179344309864682</v>
      </c>
      <c r="M648">
        <f>IF((((0.326*F648^0.818)-(0.398*F648^0.85)/(1-H648)*H648)*(MAX('Min rate concentrations'!$P$3:$P$368)))/F648&gt;0, (((0.326*F648^0.818)-(0.398*F648^0.85)/(1-H648)*H648)*(MAX('Min rate concentrations'!$P$3:$P$368)))/F648, 0)</f>
        <v>0</v>
      </c>
      <c r="N648">
        <f>IF((((0.326*F648^0.818)-(0.398*F648^0.85)/(1-H648)*H648)*(MAX('Min rate concentrations'!$Q$3:$Q$368)))/F648&gt; 0, (((0.326*F648^0.818)-(0.398*F648^0.85)/(1-H648)*H648)*(MAX('Min rate concentrations'!$Q$3:$Q$368)))/F648, 0)</f>
        <v>0</v>
      </c>
      <c r="O648">
        <f>((MAX('Min rate concentrations'!$F$3:$F$368))*0.62*6.01*8*(12.3*F648^0.65)*0.079*0.1/F648)*inputs!$E$73/inputs!$E$74</f>
        <v>9.9563139872749549</v>
      </c>
      <c r="P648">
        <f>((MAX('Min rate concentrations'!Y:Y))*0.62*6.01*8*(12.3*F648^0.65)*0.079*0.1/F648)*inputs!$E$73/inputs!$E$74</f>
        <v>3.3187713290916498</v>
      </c>
      <c r="Q648">
        <f>(inputs!$C$7*11.2*(12.3*F648^0.65)*0.5/F648)*inputs!$E$73/inputs!$E$74</f>
        <v>1.7537577491261036</v>
      </c>
      <c r="R648">
        <f>(60*379*((F648/1000)^0.8)*3*24*(MAX('Min rate concentrations'!$R$3:$R$368))/F648)*(inputs!$E$73/inputs!$E$75)</f>
        <v>3.0886251622392535E-3</v>
      </c>
      <c r="S648">
        <f>(IF(inputs!$C$6="aerial",((0.025*0.112*inputs!$C$7/3.3)*(3*60*379*((F648/1000)^0.8))*MAX(inputs!$H$14:$H$16))/F648,((0.0083*0.112*inputs!$C$7/1)*(3*60*379*((F648/1000)^0.8))*MAX(inputs!$H$14:$H$16))/F648))*(inputs!E$75/inputs!$E$73)</f>
        <v>1.7033957529657275E-2</v>
      </c>
      <c r="T648">
        <f>IF((((inputs!$P$12/(V648/MAX(K648:S648)))^(1/inputs!$O$12))-1)/inputs!$N$12&lt;0, 0, IF((((inputs!$P$12/(V648/MAX(K648:S648)))^(1/inputs!$O$12))-1)/inputs!$N$12&gt;inputs!$H$17, inputs!$H$17, (((inputs!$P$12/(V648/MAX(K648:S648)))^(1/inputs!$O$12))-1)/inputs!$N$12))</f>
        <v>31.024111684355479</v>
      </c>
      <c r="U648">
        <f>IF((((inputs!$P$12/(X648/MAX(K648:S648)))^(1/inputs!$O$12))-1)/inputs!$N$12&lt;0, 0, IF((((inputs!$P$12/(X648/MAX(K648:S648)))^(1/inputs!$O$12))-1)/inputs!$N$12&gt;inputs!$H$17, inputs!$H$17, (((inputs!$P$12/(X648/MAX(K648:S648)))^(1/inputs!$O$12))-1)/inputs!$N$12))</f>
        <v>0</v>
      </c>
      <c r="V648">
        <f>inputs!$E$70*(F648/inputs!$F$70)^(0.25)</f>
        <v>3.3119576436193516</v>
      </c>
      <c r="W648">
        <f>inputs!$E$76*(inputs!$F$76/F648)^(0.25)</f>
        <v>0.51442224406122605</v>
      </c>
      <c r="X648">
        <f>inputs!$E$72*(inputs!$F$72/F648)^(0.25)</f>
        <v>75.453863512247679</v>
      </c>
      <c r="Y648" t="s">
        <v>13</v>
      </c>
      <c r="Z648">
        <f t="shared" si="69"/>
        <v>12.843773232289262</v>
      </c>
      <c r="AA648">
        <f t="shared" si="70"/>
        <v>82.690889479754318</v>
      </c>
    </row>
    <row r="649" spans="1:27" x14ac:dyDescent="0.3">
      <c r="A649" t="s">
        <v>538</v>
      </c>
      <c r="B649" t="s">
        <v>539</v>
      </c>
      <c r="C649" t="s">
        <v>61</v>
      </c>
      <c r="D649" t="s">
        <v>443</v>
      </c>
      <c r="E649">
        <v>51</v>
      </c>
      <c r="F649">
        <v>5</v>
      </c>
      <c r="G649" t="s">
        <v>142</v>
      </c>
      <c r="H649">
        <v>0.69</v>
      </c>
      <c r="I649">
        <f>MAX('Min rate concentrations'!$H$3:$H$368)</f>
        <v>47</v>
      </c>
      <c r="J649">
        <f>MAX('Min rate concentrations'!AA:AA)</f>
        <v>32.5</v>
      </c>
      <c r="K649">
        <f t="shared" si="68"/>
        <v>46.674195652701918</v>
      </c>
      <c r="L649">
        <f>(((0.621*F649^0.564)/(1-H649)))*J649/F649</f>
        <v>32.27470975984707</v>
      </c>
      <c r="M649">
        <f>IF((((0.326*F649^0.818)-(0.398*F649^0.85)/(1-H649)*H649)*(MAX('Min rate concentrations'!$P$3:$P$368)))/F649&gt;0, (((0.326*F649^0.818)-(0.398*F649^0.85)/(1-H649)*H649)*(MAX('Min rate concentrations'!$P$3:$P$368)))/F649, 0)</f>
        <v>0</v>
      </c>
      <c r="N649">
        <f>IF((((0.326*F649^0.818)-(0.398*F649^0.85)/(1-H649)*H649)*(MAX('Min rate concentrations'!$Q$3:$Q$368)))/F649&gt; 0, (((0.326*F649^0.818)-(0.398*F649^0.85)/(1-H649)*H649)*(MAX('Min rate concentrations'!$Q$3:$Q$368)))/F649, 0)</f>
        <v>0</v>
      </c>
      <c r="O649">
        <f>((MAX('Min rate concentrations'!$F$3:$F$368))*0.62*6.01*8*(12.3*F649^0.65)*0.079*0.1/F649)*inputs!$E$73/inputs!$E$74</f>
        <v>25.688013745628645</v>
      </c>
      <c r="P649">
        <f>((MAX('Min rate concentrations'!Y:Y))*0.62*6.01*8*(12.3*F649^0.65)*0.079*0.1/F649)*inputs!$E$73/inputs!$E$74</f>
        <v>8.5626712485428804</v>
      </c>
      <c r="Q649">
        <f>(inputs!$C$7*11.2*(12.3*F649^0.65)*0.5/F649)*inputs!$E$73/inputs!$E$74</f>
        <v>4.5248224617697534</v>
      </c>
      <c r="R649">
        <f>(60*379*((F649/1000)^0.8)*3*24*(MAX('Min rate concentrations'!$R$3:$R$368))/F649)*(inputs!$E$73/inputs!$E$75)</f>
        <v>5.3086422236971543E-3</v>
      </c>
      <c r="S649">
        <f>(IF(inputs!$C$6="aerial",((0.025*0.112*inputs!$C$7/3.3)*(3*60*379*((F649/1000)^0.8))*MAX(inputs!$H$14:$H$16))/F649,((0.0083*0.112*inputs!$C$7/1)*(3*60*379*((F649/1000)^0.8))*MAX(inputs!$H$14:$H$16))/F649))*(inputs!E$75/inputs!$E$73)</f>
        <v>2.9277488017692293E-2</v>
      </c>
      <c r="T649">
        <f>IF((((inputs!$P$12/(V649/MAX(K649:S649)))^(1/inputs!$O$12))-1)/inputs!$N$12&lt;0, 0, IF((((inputs!$P$12/(V649/MAX(K649:S649)))^(1/inputs!$O$12))-1)/inputs!$N$12&gt;inputs!$H$17, inputs!$H$17, (((inputs!$P$12/(V649/MAX(K649:S649)))^(1/inputs!$O$12))-1)/inputs!$N$12))</f>
        <v>52.905567271095961</v>
      </c>
      <c r="U649">
        <f>IF((((inputs!$P$12/(X649/MAX(K649:S649)))^(1/inputs!$O$12))-1)/inputs!$N$12&lt;0, 0, IF((((inputs!$P$12/(X649/MAX(K649:S649)))^(1/inputs!$O$12))-1)/inputs!$N$12&gt;inputs!$H$17, inputs!$H$17, (((inputs!$P$12/(X649/MAX(K649:S649)))^(1/inputs!$O$12))-1)/inputs!$N$12))</f>
        <v>0</v>
      </c>
      <c r="V649">
        <f>inputs!$E$70*(F649/inputs!$F$70)^(0.25)</f>
        <v>1.6829141392239833</v>
      </c>
      <c r="W649">
        <f>inputs!$E$76*(inputs!$F$76/F649)^(0.25)</f>
        <v>1.0123776629816774</v>
      </c>
      <c r="X649">
        <f>inputs!$E$72*(inputs!$F$72/F649)^(0.25)</f>
        <v>148.49242404917496</v>
      </c>
      <c r="Y649" t="s">
        <v>13</v>
      </c>
      <c r="Z649">
        <f t="shared" si="69"/>
        <v>27.734151472649749</v>
      </c>
      <c r="AA649">
        <f t="shared" si="70"/>
        <v>46.103541553095937</v>
      </c>
    </row>
    <row r="650" spans="1:27" x14ac:dyDescent="0.3">
      <c r="A650" t="s">
        <v>538</v>
      </c>
      <c r="B650" t="s">
        <v>539</v>
      </c>
      <c r="C650" t="s">
        <v>61</v>
      </c>
      <c r="D650" t="s">
        <v>443</v>
      </c>
      <c r="E650">
        <v>51</v>
      </c>
      <c r="F650">
        <v>5</v>
      </c>
      <c r="G650" t="s">
        <v>169</v>
      </c>
      <c r="H650">
        <v>0.79</v>
      </c>
      <c r="I650">
        <f>MAX('Min rate concentrations'!$D$3:$D$368)</f>
        <v>120</v>
      </c>
      <c r="J650">
        <f>MAX('Min rate concentrations'!W:W)</f>
        <v>42.5</v>
      </c>
      <c r="K650">
        <f t="shared" si="68"/>
        <v>175.91490154817751</v>
      </c>
      <c r="L650">
        <f>(((0.621*F650^0.564)/(1-H650)))*J650/F650</f>
        <v>62.303194298312874</v>
      </c>
      <c r="M650">
        <f>IF((((0.326*F650^0.818)-(0.398*F650^0.85)/(1-H650)*H650)*(MAX('Min rate concentrations'!$P$3:$P$368)))/F650&gt;0, (((0.326*F650^0.818)-(0.398*F650^0.85)/(1-H650)*H650)*(MAX('Min rate concentrations'!$P$3:$P$368)))/F650, 0)</f>
        <v>0</v>
      </c>
      <c r="N650">
        <f>IF((((0.326*F650^0.818)-(0.398*F650^0.85)/(1-H650)*H650)*(MAX('Min rate concentrations'!$Q$3:$Q$368)))/F650&gt; 0, (((0.326*F650^0.818)-(0.398*F650^0.85)/(1-H650)*H650)*(MAX('Min rate concentrations'!$Q$3:$Q$368)))/F650, 0)</f>
        <v>0</v>
      </c>
      <c r="O650">
        <f>((MAX('Min rate concentrations'!$F$3:$F$368))*0.62*6.01*8*(12.3*F650^0.65)*0.079*0.1/F650)*inputs!$E$73/inputs!$E$74</f>
        <v>25.688013745628645</v>
      </c>
      <c r="P650">
        <f>((MAX('Min rate concentrations'!Y:Y))*0.62*6.01*8*(12.3*F650^0.65)*0.079*0.1/F650)*inputs!$E$73/inputs!$E$74</f>
        <v>8.5626712485428804</v>
      </c>
      <c r="Q650">
        <f>(inputs!$C$7*11.2*(12.3*F650^0.65)*0.5/F650)*inputs!$E$73/inputs!$E$74</f>
        <v>4.5248224617697534</v>
      </c>
      <c r="R650">
        <f>(60*379*((F650/1000)^0.8)*3*24*(MAX('Min rate concentrations'!$R$3:$R$368))/F650)*(inputs!$E$73/inputs!$E$75)</f>
        <v>5.3086422236971543E-3</v>
      </c>
      <c r="S650">
        <f>(IF(inputs!$C$6="aerial",((0.025*0.112*inputs!$C$7/3.3)*(3*60*379*((F650/1000)^0.8))*MAX(inputs!$H$14:$H$16))/F650,((0.0083*0.112*inputs!$C$7/1)*(3*60*379*((F650/1000)^0.8))*MAX(inputs!$H$14:$H$16))/F650))*(inputs!E$75/inputs!$E$73)</f>
        <v>2.9277488017692293E-2</v>
      </c>
      <c r="T650">
        <f>IF((((inputs!$P$12/(V650/MAX(K650:S650)))^(1/inputs!$O$12))-1)/inputs!$N$12&lt;0, 0, IF((((inputs!$P$12/(V650/MAX(K650:S650)))^(1/inputs!$O$12))-1)/inputs!$N$12&gt;inputs!$H$17, inputs!$H$17, (((inputs!$P$12/(V650/MAX(K650:S650)))^(1/inputs!$O$12))-1)/inputs!$N$12))</f>
        <v>111.13793806491705</v>
      </c>
      <c r="U650">
        <f>IF((((inputs!$P$12/(X650/MAX(K650:S650)))^(1/inputs!$O$12))-1)/inputs!$N$12&lt;0, 0, IF((((inputs!$P$12/(X650/MAX(K650:S650)))^(1/inputs!$O$12))-1)/inputs!$N$12&gt;inputs!$H$17, inputs!$H$17, (((inputs!$P$12/(X650/MAX(K650:S650)))^(1/inputs!$O$12))-1)/inputs!$N$12))</f>
        <v>0</v>
      </c>
      <c r="V650">
        <f>inputs!$E$70*(F650/inputs!$F$70)^(0.25)</f>
        <v>1.6829141392239833</v>
      </c>
      <c r="W650">
        <f>inputs!$E$76*(inputs!$F$76/F650)^(0.25)</f>
        <v>1.0123776629816774</v>
      </c>
      <c r="X650">
        <f>inputs!$E$72*(inputs!$F$72/F650)^(0.25)</f>
        <v>148.49242404917496</v>
      </c>
      <c r="Y650" t="s">
        <v>13</v>
      </c>
      <c r="Z650">
        <f t="shared" si="69"/>
        <v>104.5299326020842</v>
      </c>
      <c r="AA650">
        <f t="shared" si="70"/>
        <v>173.7641079812735</v>
      </c>
    </row>
    <row r="651" spans="1:27" x14ac:dyDescent="0.3">
      <c r="A651" t="s">
        <v>538</v>
      </c>
      <c r="B651" t="s">
        <v>539</v>
      </c>
      <c r="C651" t="s">
        <v>61</v>
      </c>
      <c r="D651" t="s">
        <v>443</v>
      </c>
      <c r="E651">
        <v>51</v>
      </c>
      <c r="F651">
        <v>5</v>
      </c>
      <c r="G651" t="s">
        <v>177</v>
      </c>
      <c r="H651">
        <v>0.85</v>
      </c>
      <c r="I651">
        <f>MAX('Min rate concentrations'!$F$3:$F$368)</f>
        <v>67.5</v>
      </c>
      <c r="J651">
        <f>MAX('Min rate concentrations'!Y:Y)</f>
        <v>22.5</v>
      </c>
      <c r="K651">
        <f t="shared" si="68"/>
        <v>138.53298496918973</v>
      </c>
      <c r="L651">
        <f>(((0.621*F651^0.564)/(1-H651)))*J651/F651</f>
        <v>46.17766165639658</v>
      </c>
      <c r="M651">
        <f>IF((((0.326*F651^0.818)-(0.398*F651^0.85)/(1-H651)*H651)*(MAX('Min rate concentrations'!$P$3:$P$368)))/F651&gt;0, (((0.326*F651^0.818)-(0.398*F651^0.85)/(1-H651)*H651)*(MAX('Min rate concentrations'!$P$3:$P$368)))/F651, 0)</f>
        <v>0</v>
      </c>
      <c r="N651">
        <f>IF((((0.326*F651^0.818)-(0.398*F651^0.85)/(1-H651)*H651)*(MAX('Min rate concentrations'!$Q$3:$Q$368)))/F651&gt; 0, (((0.326*F651^0.818)-(0.398*F651^0.85)/(1-H651)*H651)*(MAX('Min rate concentrations'!$Q$3:$Q$368)))/F651, 0)</f>
        <v>0</v>
      </c>
      <c r="O651">
        <f>((MAX('Min rate concentrations'!$F$3:$F$368))*0.62*6.01*8*(12.3*F651^0.65)*0.079*0.1/F651)*inputs!$E$73/inputs!$E$74</f>
        <v>25.688013745628645</v>
      </c>
      <c r="P651">
        <f>((MAX('Min rate concentrations'!Y:Y))*0.62*6.01*8*(12.3*F651^0.65)*0.079*0.1/F651)*inputs!$E$73/inputs!$E$74</f>
        <v>8.5626712485428804</v>
      </c>
      <c r="Q651">
        <f>(inputs!$C$7*11.2*(12.3*F651^0.65)*0.5/F651)*inputs!$E$73/inputs!$E$74</f>
        <v>4.5248224617697534</v>
      </c>
      <c r="R651">
        <f>(60*379*((F651/1000)^0.8)*3*24*(MAX('Min rate concentrations'!$R$3:$R$368))/F651)*(inputs!$E$73/inputs!$E$75)</f>
        <v>5.3086422236971543E-3</v>
      </c>
      <c r="S651">
        <f>(IF(inputs!$C$6="aerial",((0.025*0.112*inputs!$C$7/3.3)*(3*60*379*((F651/1000)^0.8))*MAX(inputs!$H$14:$H$16))/F651,((0.0083*0.112*inputs!$C$7/1)*(3*60*379*((F651/1000)^0.8))*MAX(inputs!$H$14:$H$16))/F651))*(inputs!E$75/inputs!$E$73)</f>
        <v>2.9277488017692293E-2</v>
      </c>
      <c r="T651">
        <f>IF((((inputs!$P$12/(V651/MAX(K651:S651)))^(1/inputs!$O$12))-1)/inputs!$N$12&lt;0, 0, IF((((inputs!$P$12/(V651/MAX(K651:S651)))^(1/inputs!$O$12))-1)/inputs!$N$12&gt;inputs!$H$17, inputs!$H$17, (((inputs!$P$12/(V651/MAX(K651:S651)))^(1/inputs!$O$12))-1)/inputs!$N$12))</f>
        <v>98.209158982517792</v>
      </c>
      <c r="U651">
        <f>IF((((inputs!$P$12/(X651/MAX(K651:S651)))^(1/inputs!$O$12))-1)/inputs!$N$12&lt;0, 0, IF((((inputs!$P$12/(X651/MAX(K651:S651)))^(1/inputs!$O$12))-1)/inputs!$N$12&gt;inputs!$H$17, inputs!$H$17, (((inputs!$P$12/(X651/MAX(K651:S651)))^(1/inputs!$O$12))-1)/inputs!$N$12))</f>
        <v>0</v>
      </c>
      <c r="V651">
        <f>inputs!$E$70*(F651/inputs!$F$70)^(0.25)</f>
        <v>1.6829141392239833</v>
      </c>
      <c r="W651">
        <f>inputs!$E$76*(inputs!$F$76/F651)^(0.25)</f>
        <v>1.0123776629816774</v>
      </c>
      <c r="X651">
        <f>inputs!$E$72*(inputs!$F$72/F651)^(0.25)</f>
        <v>148.49242404917496</v>
      </c>
      <c r="Y651" t="s">
        <v>13</v>
      </c>
      <c r="Z651">
        <f t="shared" si="69"/>
        <v>82.317321924141268</v>
      </c>
      <c r="AA651">
        <f t="shared" si="70"/>
        <v>136.83923503525281</v>
      </c>
    </row>
    <row r="652" spans="1:27" x14ac:dyDescent="0.3">
      <c r="A652" t="s">
        <v>538</v>
      </c>
      <c r="B652" t="s">
        <v>539</v>
      </c>
      <c r="C652" t="s">
        <v>61</v>
      </c>
      <c r="D652" t="s">
        <v>443</v>
      </c>
      <c r="E652">
        <v>51</v>
      </c>
      <c r="F652">
        <v>5</v>
      </c>
      <c r="G652" t="s">
        <v>154</v>
      </c>
      <c r="H652">
        <v>9.2999999999999999E-2</v>
      </c>
      <c r="I652">
        <f>MAX('Min rate concentrations'!$G$3:$G$368)</f>
        <v>7.5</v>
      </c>
      <c r="J652">
        <f>MAX('Min rate concentrations'!Z:Z)</f>
        <v>3.5</v>
      </c>
      <c r="K652">
        <f t="shared" si="68"/>
        <v>2.545626331664641</v>
      </c>
      <c r="M652">
        <f>IF((((0.326*F652^0.818)-(0.398*F652^0.85)/(1-H652)*H652)*(MAX('Min rate concentrations'!$P$3:$P$368)))/F652&gt;0, (((0.326*F652^0.818)-(0.398*F652^0.85)/(1-H652)*H652)*(MAX('Min rate concentrations'!$P$3:$P$368)))/F652, 0)</f>
        <v>3.0650466437208264E-2</v>
      </c>
      <c r="N652">
        <f>IF((((0.326*F652^0.818)-(0.398*F652^0.85)/(1-H652)*H652)*(MAX('Min rate concentrations'!$Q$3:$Q$368)))/F652&gt; 0, (((0.326*F652^0.818)-(0.398*F652^0.85)/(1-H652)*H652)*(MAX('Min rate concentrations'!$Q$3:$Q$368)))/F652, 0)</f>
        <v>0.11671862309410071</v>
      </c>
      <c r="O652">
        <f>((MAX('Min rate concentrations'!$F$3:$F$368))*0.62*6.01*8*(12.3*F652^0.65)*0.079*0.1/F652)*inputs!$E$73/inputs!$E$74</f>
        <v>25.688013745628645</v>
      </c>
      <c r="Q652">
        <f>(inputs!$C$7*11.2*(12.3*F652^0.65)*0.5/F652)*inputs!$E$73/inputs!$E$74</f>
        <v>4.5248224617697534</v>
      </c>
      <c r="R652">
        <f>(60*379*((F652/1000)^0.8)*3*24*(MAX('Min rate concentrations'!$R$3:$R$368))/F652)*(inputs!$E$73/inputs!$E$75)</f>
        <v>5.3086422236971543E-3</v>
      </c>
      <c r="S652">
        <f>(IF(inputs!$C$6="aerial",((0.025*0.112*inputs!$C$7/3.3)*(3*60*379*((F652/1000)^0.8))*MAX(inputs!$H$14:$H$16))/F652,((0.0083*0.112*inputs!$C$7/1)*(3*60*379*((F652/1000)^0.8))*MAX(inputs!$H$14:$H$16))/F652))*(inputs!E$75/inputs!$E$73)</f>
        <v>2.9277488017692293E-2</v>
      </c>
      <c r="T652">
        <f>IF((((inputs!$P$12/(V652/MAX(K652:S652)))^(1/inputs!$O$12))-1)/inputs!$N$12&lt;0, 0, IF((((inputs!$P$12/(V652/MAX(K652:S652)))^(1/inputs!$O$12))-1)/inputs!$N$12&gt;inputs!$H$17, inputs!$H$17, (((inputs!$P$12/(V652/MAX(K652:S652)))^(1/inputs!$O$12))-1)/inputs!$N$12))</f>
        <v>35.353303035370267</v>
      </c>
      <c r="U652">
        <f>IF((((inputs!$P$12/(X652/MAX(K652:S652)))^(1/inputs!$O$12))-1)/inputs!$N$12&lt;0, 0, IF((((inputs!$P$12/(X652/MAX(K652:S652)))^(1/inputs!$O$12))-1)/inputs!$N$12&gt;inputs!$H$17, inputs!$H$17, (((inputs!$P$12/(X652/MAX(K652:S652)))^(1/inputs!$O$12))-1)/inputs!$N$12))</f>
        <v>0</v>
      </c>
      <c r="V652">
        <f>inputs!$E$70*(F652/inputs!$F$70)^(0.25)</f>
        <v>1.6829141392239833</v>
      </c>
      <c r="W652">
        <f>inputs!$E$76*(inputs!$F$76/F652)^(0.25)</f>
        <v>1.0123776629816774</v>
      </c>
      <c r="X652">
        <f>inputs!$E$72*(inputs!$F$72/F652)^(0.25)</f>
        <v>148.49242404917496</v>
      </c>
      <c r="Y652" t="s">
        <v>13</v>
      </c>
      <c r="Z652">
        <f t="shared" si="69"/>
        <v>15.264007323317022</v>
      </c>
      <c r="AA652">
        <f t="shared" si="70"/>
        <v>25.373943622947714</v>
      </c>
    </row>
    <row r="653" spans="1:27" x14ac:dyDescent="0.3">
      <c r="A653" t="s">
        <v>576</v>
      </c>
      <c r="B653" t="s">
        <v>577</v>
      </c>
      <c r="C653" t="s">
        <v>61</v>
      </c>
      <c r="D653" t="s">
        <v>443</v>
      </c>
      <c r="E653">
        <v>4228</v>
      </c>
      <c r="F653">
        <v>32</v>
      </c>
      <c r="G653" t="s">
        <v>142</v>
      </c>
      <c r="H653">
        <v>0.69</v>
      </c>
      <c r="I653">
        <f>MAX('Min rate concentrations'!$H$3:$H$368)</f>
        <v>47</v>
      </c>
      <c r="J653">
        <f>MAX('Min rate concentrations'!AA:AA)</f>
        <v>32.5</v>
      </c>
      <c r="K653">
        <f t="shared" si="68"/>
        <v>20.776977703818819</v>
      </c>
      <c r="L653">
        <f>(((0.621*F653^0.564)/(1-H653)))*J653/F653</f>
        <v>14.367059050513014</v>
      </c>
      <c r="M653">
        <f>IF((((0.326*F653^0.818)-(0.398*F653^0.85)/(1-H653)*H653)*(MAX('Min rate concentrations'!$P$3:$P$368)))/F653&gt;0, (((0.326*F653^0.818)-(0.398*F653^0.85)/(1-H653)*H653)*(MAX('Min rate concentrations'!$P$3:$P$368)))/F653, 0)</f>
        <v>0</v>
      </c>
      <c r="N653">
        <f>IF((((0.326*F653^0.818)-(0.398*F653^0.85)/(1-H653)*H653)*(MAX('Min rate concentrations'!$Q$3:$Q$368)))/F653&gt; 0, (((0.326*F653^0.818)-(0.398*F653^0.85)/(1-H653)*H653)*(MAX('Min rate concentrations'!$Q$3:$Q$368)))/F653, 0)</f>
        <v>0</v>
      </c>
      <c r="O653">
        <f>((MAX('Min rate concentrations'!$F$3:$F$368))*0.62*6.01*8*(12.3*F653^0.65)*0.079*0.1/F653)*inputs!$E$73/inputs!$E$74</f>
        <v>13.414285152219268</v>
      </c>
      <c r="P653">
        <f>((MAX('Min rate concentrations'!Y:Y))*0.62*6.01*8*(12.3*F653^0.65)*0.079*0.1/F653)*inputs!$E$73/inputs!$E$74</f>
        <v>4.4714283840730893</v>
      </c>
      <c r="Q653">
        <f>(inputs!$C$7*11.2*(12.3*F653^0.65)*0.5/F653)*inputs!$E$73/inputs!$E$74</f>
        <v>2.3628630600400227</v>
      </c>
      <c r="R653">
        <f>(60*379*((F653/1000)^0.8)*3*24*(MAX('Min rate concentrations'!$R$3:$R$368))/F653)*(inputs!$E$73/inputs!$E$75)</f>
        <v>3.6622455690601937E-3</v>
      </c>
      <c r="S653">
        <f>(IF(inputs!$C$6="aerial",((0.025*0.112*inputs!$C$7/3.3)*(3*60*379*((F653/1000)^0.8))*MAX(inputs!$H$14:$H$16))/F653,((0.0083*0.112*inputs!$C$7/1)*(3*60*379*((F653/1000)^0.8))*MAX(inputs!$H$14:$H$16))/F653))*(inputs!E$75/inputs!$E$73)</f>
        <v>2.0197509315542685E-2</v>
      </c>
      <c r="T653">
        <f>IF((((inputs!$P$12/(V653/MAX(K653:S653)))^(1/inputs!$O$12))-1)/inputs!$N$12&lt;0, 0, IF((((inputs!$P$12/(V653/MAX(K653:S653)))^(1/inputs!$O$12))-1)/inputs!$N$12&gt;inputs!$H$17, inputs!$H$17, (((inputs!$P$12/(V653/MAX(K653:S653)))^(1/inputs!$O$12))-1)/inputs!$N$12))</f>
        <v>20.000855532188467</v>
      </c>
      <c r="U653">
        <f>IF((((inputs!$P$12/(X653/MAX(K653:S653)))^(1/inputs!$O$12))-1)/inputs!$N$12&lt;0, 0, IF((((inputs!$P$12/(X653/MAX(K653:S653)))^(1/inputs!$O$12))-1)/inputs!$N$12&gt;inputs!$H$17, inputs!$H$17, (((inputs!$P$12/(X653/MAX(K653:S653)))^(1/inputs!$O$12))-1)/inputs!$N$12))</f>
        <v>0</v>
      </c>
      <c r="V653">
        <f>inputs!$E$70*(F653/inputs!$F$70)^(0.25)</f>
        <v>2.6767447079060616</v>
      </c>
      <c r="W653">
        <f>inputs!$E$76*(inputs!$F$76/F653)^(0.25)</f>
        <v>0.63649875844872272</v>
      </c>
      <c r="X653">
        <f>inputs!$E$72*(inputs!$F$72/F653)^(0.25)</f>
        <v>93.359669027043438</v>
      </c>
      <c r="Y653" t="s">
        <v>13</v>
      </c>
      <c r="Z653">
        <f t="shared" si="69"/>
        <v>7.7620318599871396</v>
      </c>
      <c r="AA653">
        <f t="shared" si="70"/>
        <v>32.642605233758118</v>
      </c>
    </row>
    <row r="654" spans="1:27" x14ac:dyDescent="0.3">
      <c r="A654" t="s">
        <v>576</v>
      </c>
      <c r="B654" t="s">
        <v>577</v>
      </c>
      <c r="C654" t="s">
        <v>61</v>
      </c>
      <c r="D654" t="s">
        <v>443</v>
      </c>
      <c r="E654">
        <v>4228</v>
      </c>
      <c r="F654">
        <v>32</v>
      </c>
      <c r="G654" t="s">
        <v>152</v>
      </c>
      <c r="H654">
        <v>0.77</v>
      </c>
      <c r="I654">
        <f>MAX('Min rate concentrations'!$G$3:$G$368)</f>
        <v>7.5</v>
      </c>
      <c r="J654">
        <f>MAX('Min rate concentrations'!Z:Z)</f>
        <v>3.5</v>
      </c>
      <c r="K654">
        <f t="shared" si="68"/>
        <v>4.4686839187214398</v>
      </c>
      <c r="L654">
        <f>(((0.621*F654^0.564)/(1-H654)))*J654/F654</f>
        <v>2.0853858287366718</v>
      </c>
      <c r="M654">
        <f>IF((((0.326*F654^0.818)-(0.398*F654^0.85)/(1-H654)*H654)*(MAX('Min rate concentrations'!$P$3:$P$368)))/F654&gt;0, (((0.326*F654^0.818)-(0.398*F654^0.85)/(1-H654)*H654)*(MAX('Min rate concentrations'!$P$3:$P$368)))/F654, 0)</f>
        <v>0</v>
      </c>
      <c r="N654">
        <f>IF((((0.326*F654^0.818)-(0.398*F654^0.85)/(1-H654)*H654)*(MAX('Min rate concentrations'!$Q$3:$Q$368)))/F654&gt; 0, (((0.326*F654^0.818)-(0.398*F654^0.85)/(1-H654)*H654)*(MAX('Min rate concentrations'!$Q$3:$Q$368)))/F654, 0)</f>
        <v>0</v>
      </c>
      <c r="O654">
        <f>((MAX('Min rate concentrations'!$F$3:$F$368))*0.62*6.01*8*(12.3*F654^0.65)*0.079*0.1/F654)*inputs!$E$73/inputs!$E$74</f>
        <v>13.414285152219268</v>
      </c>
      <c r="P654">
        <f>((MAX('Min rate concentrations'!Y:Y))*0.62*6.01*8*(12.3*F654^0.65)*0.079*0.1/F654)*inputs!$E$73/inputs!$E$74</f>
        <v>4.4714283840730893</v>
      </c>
      <c r="Q654">
        <f>(inputs!$C$7*11.2*(12.3*F654^0.65)*0.5/F654)*inputs!$E$73/inputs!$E$74</f>
        <v>2.3628630600400227</v>
      </c>
      <c r="R654">
        <f>(60*379*((F654/1000)^0.8)*3*24*(MAX('Min rate concentrations'!$R$3:$R$368))/F654)*(inputs!$E$73/inputs!$E$75)</f>
        <v>3.6622455690601937E-3</v>
      </c>
      <c r="S654">
        <f>(IF(inputs!$C$6="aerial",((0.025*0.112*inputs!$C$7/3.3)*(3*60*379*((F654/1000)^0.8))*MAX(inputs!$H$14:$H$16))/F654,((0.0083*0.112*inputs!$C$7/1)*(3*60*379*((F654/1000)^0.8))*MAX(inputs!$H$14:$H$16))/F654))*(inputs!E$75/inputs!$E$73)</f>
        <v>2.0197509315542685E-2</v>
      </c>
      <c r="T654">
        <f>IF((((inputs!$P$12/(V654/MAX(K654:S654)))^(1/inputs!$O$12))-1)/inputs!$N$12&lt;0, 0, IF((((inputs!$P$12/(V654/MAX(K654:S654)))^(1/inputs!$O$12))-1)/inputs!$N$12&gt;inputs!$H$17, inputs!$H$17, (((inputs!$P$12/(V654/MAX(K654:S654)))^(1/inputs!$O$12))-1)/inputs!$N$12))</f>
        <v>12.095790409625925</v>
      </c>
      <c r="U654">
        <f>IF((((inputs!$P$12/(X654/MAX(K654:S654)))^(1/inputs!$O$12))-1)/inputs!$N$12&lt;0, 0, IF((((inputs!$P$12/(X654/MAX(K654:S654)))^(1/inputs!$O$12))-1)/inputs!$N$12&gt;inputs!$H$17, inputs!$H$17, (((inputs!$P$12/(X654/MAX(K654:S654)))^(1/inputs!$O$12))-1)/inputs!$N$12))</f>
        <v>0</v>
      </c>
      <c r="V654">
        <f>inputs!$E$70*(F654/inputs!$F$70)^(0.25)</f>
        <v>2.6767447079060616</v>
      </c>
      <c r="W654">
        <f>inputs!$E$76*(inputs!$F$76/F654)^(0.25)</f>
        <v>0.63649875844872272</v>
      </c>
      <c r="X654">
        <f>inputs!$E$72*(inputs!$F$72/F654)^(0.25)</f>
        <v>93.359669027043438</v>
      </c>
      <c r="Y654" t="s">
        <v>13</v>
      </c>
      <c r="Z654">
        <f t="shared" si="69"/>
        <v>5.011417455164362</v>
      </c>
      <c r="AA654">
        <f t="shared" si="70"/>
        <v>21.075115974951178</v>
      </c>
    </row>
    <row r="655" spans="1:27" x14ac:dyDescent="0.3">
      <c r="A655" t="s">
        <v>576</v>
      </c>
      <c r="B655" t="s">
        <v>577</v>
      </c>
      <c r="C655" t="s">
        <v>61</v>
      </c>
      <c r="D655" t="s">
        <v>443</v>
      </c>
      <c r="E655">
        <v>4228</v>
      </c>
      <c r="F655">
        <v>32</v>
      </c>
      <c r="G655" t="s">
        <v>177</v>
      </c>
      <c r="H655">
        <v>0.85</v>
      </c>
      <c r="I655">
        <f>MAX('Min rate concentrations'!$F$3:$F$368)</f>
        <v>67.5</v>
      </c>
      <c r="J655">
        <f>MAX('Min rate concentrations'!Y:Y)</f>
        <v>22.5</v>
      </c>
      <c r="K655">
        <f t="shared" si="68"/>
        <v>61.667838078355857</v>
      </c>
      <c r="L655">
        <f>(((0.621*F655^0.564)/(1-H655)))*J655/F655</f>
        <v>20.555946026118619</v>
      </c>
      <c r="M655">
        <f>IF((((0.326*F655^0.818)-(0.398*F655^0.85)/(1-H655)*H655)*(MAX('Min rate concentrations'!$P$3:$P$368)))/F655&gt;0, (((0.326*F655^0.818)-(0.398*F655^0.85)/(1-H655)*H655)*(MAX('Min rate concentrations'!$P$3:$P$368)))/F655, 0)</f>
        <v>0</v>
      </c>
      <c r="N655">
        <f>IF((((0.326*F655^0.818)-(0.398*F655^0.85)/(1-H655)*H655)*(MAX('Min rate concentrations'!$Q$3:$Q$368)))/F655&gt; 0, (((0.326*F655^0.818)-(0.398*F655^0.85)/(1-H655)*H655)*(MAX('Min rate concentrations'!$Q$3:$Q$368)))/F655, 0)</f>
        <v>0</v>
      </c>
      <c r="O655">
        <f>((MAX('Min rate concentrations'!$F$3:$F$368))*0.62*6.01*8*(12.3*F655^0.65)*0.079*0.1/F655)*inputs!$E$73/inputs!$E$74</f>
        <v>13.414285152219268</v>
      </c>
      <c r="P655">
        <f>((MAX('Min rate concentrations'!Y:Y))*0.62*6.01*8*(12.3*F655^0.65)*0.079*0.1/F655)*inputs!$E$73/inputs!$E$74</f>
        <v>4.4714283840730893</v>
      </c>
      <c r="Q655">
        <f>(inputs!$C$7*11.2*(12.3*F655^0.65)*0.5/F655)*inputs!$E$73/inputs!$E$74</f>
        <v>2.3628630600400227</v>
      </c>
      <c r="R655">
        <f>(60*379*((F655/1000)^0.8)*3*24*(MAX('Min rate concentrations'!$R$3:$R$368))/F655)*(inputs!$E$73/inputs!$E$75)</f>
        <v>3.6622455690601937E-3</v>
      </c>
      <c r="S655">
        <f>(IF(inputs!$C$6="aerial",((0.025*0.112*inputs!$C$7/3.3)*(3*60*379*((F655/1000)^0.8))*MAX(inputs!$H$14:$H$16))/F655,((0.0083*0.112*inputs!$C$7/1)*(3*60*379*((F655/1000)^0.8))*MAX(inputs!$H$14:$H$16))/F655))*(inputs!E$75/inputs!$E$73)</f>
        <v>2.0197509315542685E-2</v>
      </c>
      <c r="T655">
        <f>IF((((inputs!$P$12/(V655/MAX(K655:S655)))^(1/inputs!$O$12))-1)/inputs!$N$12&lt;0, 0, IF((((inputs!$P$12/(V655/MAX(K655:S655)))^(1/inputs!$O$12))-1)/inputs!$N$12&gt;inputs!$H$17, inputs!$H$17, (((inputs!$P$12/(V655/MAX(K655:S655)))^(1/inputs!$O$12))-1)/inputs!$N$12))</f>
        <v>46.990168540173727</v>
      </c>
      <c r="U655">
        <f>IF((((inputs!$P$12/(X655/MAX(K655:S655)))^(1/inputs!$O$12))-1)/inputs!$N$12&lt;0, 0, IF((((inputs!$P$12/(X655/MAX(K655:S655)))^(1/inputs!$O$12))-1)/inputs!$N$12&gt;inputs!$H$17, inputs!$H$17, (((inputs!$P$12/(X655/MAX(K655:S655)))^(1/inputs!$O$12))-1)/inputs!$N$12))</f>
        <v>0</v>
      </c>
      <c r="V655">
        <f>inputs!$E$70*(F655/inputs!$F$70)^(0.25)</f>
        <v>2.6767447079060616</v>
      </c>
      <c r="W655">
        <f>inputs!$E$76*(inputs!$F$76/F655)^(0.25)</f>
        <v>0.63649875844872272</v>
      </c>
      <c r="X655">
        <f>inputs!$E$72*(inputs!$F$72/F655)^(0.25)</f>
        <v>93.359669027043438</v>
      </c>
      <c r="Y655" t="s">
        <v>13</v>
      </c>
      <c r="Z655">
        <f t="shared" si="69"/>
        <v>23.038371158897998</v>
      </c>
      <c r="AA655">
        <f t="shared" si="70"/>
        <v>96.886030427856539</v>
      </c>
    </row>
    <row r="656" spans="1:27" x14ac:dyDescent="0.3">
      <c r="A656" t="s">
        <v>576</v>
      </c>
      <c r="B656" t="s">
        <v>577</v>
      </c>
      <c r="C656" t="s">
        <v>61</v>
      </c>
      <c r="D656" t="s">
        <v>443</v>
      </c>
      <c r="E656">
        <v>4228</v>
      </c>
      <c r="F656">
        <v>32</v>
      </c>
      <c r="G656" t="s">
        <v>154</v>
      </c>
      <c r="H656">
        <v>9.2999999999999999E-2</v>
      </c>
      <c r="I656">
        <f>MAX('Min rate concentrations'!$G$3:$G$368)</f>
        <v>7.5</v>
      </c>
      <c r="J656">
        <f>MAX('Min rate concentrations'!Z:Z)</f>
        <v>3.5</v>
      </c>
      <c r="K656">
        <f t="shared" si="68"/>
        <v>1.1331833531487665</v>
      </c>
      <c r="M656">
        <f>IF((((0.326*F656^0.818)-(0.398*F656^0.85)/(1-H656)*H656)*(MAX('Min rate concentrations'!$P$3:$P$368)))/F656&gt;0, (((0.326*F656^0.818)-(0.398*F656^0.85)/(1-H656)*H656)*(MAX('Min rate concentrations'!$P$3:$P$368)))/F656, 0)</f>
        <v>2.1660006344096323E-2</v>
      </c>
      <c r="N656">
        <f>IF((((0.326*F656^0.818)-(0.398*F656^0.85)/(1-H656)*H656)*(MAX('Min rate concentrations'!$Q$3:$Q$368)))/F656&gt; 0, (((0.326*F656^0.818)-(0.398*F656^0.85)/(1-H656)*H656)*(MAX('Min rate concentrations'!$Q$3:$Q$368)))/F656, 0)</f>
        <v>8.2482467986959546E-2</v>
      </c>
      <c r="O656">
        <f>((MAX('Min rate concentrations'!$F$3:$F$368))*0.62*6.01*8*(12.3*F656^0.65)*0.079*0.1/F656)*inputs!$E$73/inputs!$E$74</f>
        <v>13.414285152219268</v>
      </c>
      <c r="Q656">
        <f>(inputs!$C$7*11.2*(12.3*F656^0.65)*0.5/F656)*inputs!$E$73/inputs!$E$74</f>
        <v>2.3628630600400227</v>
      </c>
      <c r="R656">
        <f>(60*379*((F656/1000)^0.8)*3*24*(MAX('Min rate concentrations'!$R$3:$R$368))/F656)*(inputs!$E$73/inputs!$E$75)</f>
        <v>3.6622455690601937E-3</v>
      </c>
      <c r="S656">
        <f>(IF(inputs!$C$6="aerial",((0.025*0.112*inputs!$C$7/3.3)*(3*60*379*((F656/1000)^0.8))*MAX(inputs!$H$14:$H$16))/F656,((0.0083*0.112*inputs!$C$7/1)*(3*60*379*((F656/1000)^0.8))*MAX(inputs!$H$14:$H$16))/F656))*(inputs!E$75/inputs!$E$73)</f>
        <v>2.0197509315542685E-2</v>
      </c>
      <c r="T656">
        <f>IF((((inputs!$P$12/(V656/MAX(K656:S656)))^(1/inputs!$O$12))-1)/inputs!$N$12&lt;0, 0, IF((((inputs!$P$12/(V656/MAX(K656:S656)))^(1/inputs!$O$12))-1)/inputs!$N$12&gt;inputs!$H$17, inputs!$H$17, (((inputs!$P$12/(V656/MAX(K656:S656)))^(1/inputs!$O$12))-1)/inputs!$N$12))</f>
        <v>12.095790409625925</v>
      </c>
      <c r="U656">
        <f>IF((((inputs!$P$12/(X656/MAX(K656:S656)))^(1/inputs!$O$12))-1)/inputs!$N$12&lt;0, 0, IF((((inputs!$P$12/(X656/MAX(K656:S656)))^(1/inputs!$O$12))-1)/inputs!$N$12&gt;inputs!$H$17, inputs!$H$17, (((inputs!$P$12/(X656/MAX(K656:S656)))^(1/inputs!$O$12))-1)/inputs!$N$12))</f>
        <v>0</v>
      </c>
      <c r="V656">
        <f>inputs!$E$70*(F656/inputs!$F$70)^(0.25)</f>
        <v>2.6767447079060616</v>
      </c>
      <c r="W656">
        <f>inputs!$E$76*(inputs!$F$76/F656)^(0.25)</f>
        <v>0.63649875844872272</v>
      </c>
      <c r="X656">
        <f>inputs!$E$72*(inputs!$F$72/F656)^(0.25)</f>
        <v>93.359669027043438</v>
      </c>
      <c r="Y656" t="s">
        <v>13</v>
      </c>
      <c r="Z656">
        <f t="shared" si="69"/>
        <v>5.011417455164362</v>
      </c>
      <c r="AA656">
        <f t="shared" si="70"/>
        <v>21.075115974951178</v>
      </c>
    </row>
    <row r="657" spans="1:27" x14ac:dyDescent="0.3">
      <c r="A657" t="s">
        <v>552</v>
      </c>
      <c r="B657" t="s">
        <v>553</v>
      </c>
      <c r="C657" t="s">
        <v>61</v>
      </c>
      <c r="D657" t="s">
        <v>443</v>
      </c>
      <c r="E657">
        <v>35</v>
      </c>
      <c r="F657">
        <v>15</v>
      </c>
      <c r="G657" t="s">
        <v>182</v>
      </c>
      <c r="H657">
        <v>0.85</v>
      </c>
      <c r="I657">
        <f>MAX('Min rate concentrations'!$M$3:$M$368)</f>
        <v>2.8488184789681945</v>
      </c>
      <c r="J657">
        <f>MAX('Min rate concentrations'!AE:AE)</f>
        <v>1.9699276716269429</v>
      </c>
      <c r="K657">
        <f t="shared" si="68"/>
        <v>3.6215070077667764</v>
      </c>
      <c r="L657">
        <f t="shared" ref="L657:L663" si="71">(((0.621*F657^0.564)/(1-H657)))*J657/F657</f>
        <v>2.5042335692004305</v>
      </c>
      <c r="M657">
        <f>IF((((0.326*F657^0.818)-(0.398*F657^0.85)/(1-H657)*H657)*(MAX('Min rate concentrations'!$P$3:$P$368)))/F657&gt;0, (((0.326*F657^0.818)-(0.398*F657^0.85)/(1-H657)*H657)*(MAX('Min rate concentrations'!$P$3:$P$368)))/F657, 0)</f>
        <v>0</v>
      </c>
      <c r="N657">
        <f>IF((((0.326*F657^0.818)-(0.398*F657^0.85)/(1-H657)*H657)*(MAX('Min rate concentrations'!$Q$3:$Q$368)))/F657&gt; 0, (((0.326*F657^0.818)-(0.398*F657^0.85)/(1-H657)*H657)*(MAX('Min rate concentrations'!$Q$3:$Q$368)))/F657, 0)</f>
        <v>0</v>
      </c>
      <c r="O657">
        <f>((MAX('Min rate concentrations'!$F$3:$F$368))*0.62*6.01*8*(12.3*F657^0.65)*0.079*0.1/F657)*inputs!$E$73/inputs!$E$74</f>
        <v>17.4879170969031</v>
      </c>
      <c r="P657">
        <f>((MAX('Min rate concentrations'!Y:Y))*0.62*6.01*8*(12.3*F657^0.65)*0.079*0.1/F657)*inputs!$E$73/inputs!$E$74</f>
        <v>5.8293056989677003</v>
      </c>
      <c r="Q657">
        <f>(inputs!$C$7*11.2*(12.3*F657^0.65)*0.5/F657)*inputs!$E$73/inputs!$E$74</f>
        <v>3.0804141134929148</v>
      </c>
      <c r="R657">
        <f>(60*379*((F657/1000)^0.8)*3*24*(MAX('Min rate concentrations'!$R$3:$R$368))/F657)*(inputs!$E$73/inputs!$E$75)</f>
        <v>4.2614677494769567E-3</v>
      </c>
      <c r="S657">
        <f>(IF(inputs!$C$6="aerial",((0.025*0.112*inputs!$C$7/3.3)*(3*60*379*((F657/1000)^0.8))*MAX(inputs!$H$14:$H$16))/F657,((0.0083*0.112*inputs!$C$7/1)*(3*60*379*((F657/1000)^0.8))*MAX(inputs!$H$14:$H$16))/F657))*(inputs!E$75/inputs!$E$73)</f>
        <v>2.3502256455738741E-2</v>
      </c>
      <c r="T657">
        <f>IF((((inputs!$P$12/(V657/MAX(K657:S657)))^(1/inputs!$O$12))-1)/inputs!$N$12&lt;0, 0, IF((((inputs!$P$12/(V657/MAX(K657:S657)))^(1/inputs!$O$12))-1)/inputs!$N$12&gt;inputs!$H$17, inputs!$H$17, (((inputs!$P$12/(V657/MAX(K657:S657)))^(1/inputs!$O$12))-1)/inputs!$N$12))</f>
        <v>20.339017449542123</v>
      </c>
      <c r="U657">
        <f>IF((((inputs!$P$12/(X657/MAX(K657:S657)))^(1/inputs!$O$12))-1)/inputs!$N$12&lt;0, 0, IF((((inputs!$P$12/(X657/MAX(K657:S657)))^(1/inputs!$O$12))-1)/inputs!$N$12&gt;inputs!$H$17, inputs!$H$17, (((inputs!$P$12/(X657/MAX(K657:S657)))^(1/inputs!$O$12))-1)/inputs!$N$12))</f>
        <v>0</v>
      </c>
      <c r="V657">
        <f>inputs!$E$70*(F657/inputs!$F$70)^(0.25)</f>
        <v>2.2148395646629968</v>
      </c>
      <c r="W657">
        <f>inputs!$E$76*(inputs!$F$76/F657)^(0.25)</f>
        <v>0.76924067569003962</v>
      </c>
      <c r="X657">
        <f>inputs!$E$72*(inputs!$F$72/F657)^(0.25)</f>
        <v>112.82984284147192</v>
      </c>
      <c r="Y657" t="s">
        <v>13</v>
      </c>
      <c r="Z657">
        <f t="shared" si="69"/>
        <v>7.8957940683003862</v>
      </c>
      <c r="AA657">
        <f t="shared" si="70"/>
        <v>22.733999448502562</v>
      </c>
    </row>
    <row r="658" spans="1:27" x14ac:dyDescent="0.3">
      <c r="A658" t="s">
        <v>552</v>
      </c>
      <c r="B658" t="s">
        <v>553</v>
      </c>
      <c r="C658" t="s">
        <v>61</v>
      </c>
      <c r="D658" t="s">
        <v>443</v>
      </c>
      <c r="E658">
        <v>35</v>
      </c>
      <c r="F658">
        <v>15</v>
      </c>
      <c r="G658" t="s">
        <v>142</v>
      </c>
      <c r="H658">
        <v>0.69</v>
      </c>
      <c r="I658">
        <f>MAX('Min rate concentrations'!$H$3:$H$368)</f>
        <v>47</v>
      </c>
      <c r="J658">
        <f>MAX('Min rate concentrations'!AA:AA)</f>
        <v>32.5</v>
      </c>
      <c r="K658">
        <f t="shared" si="68"/>
        <v>28.910258527545217</v>
      </c>
      <c r="L658">
        <f t="shared" si="71"/>
        <v>19.991136215855736</v>
      </c>
      <c r="M658">
        <f>IF((((0.326*F658^0.818)-(0.398*F658^0.85)/(1-H658)*H658)*(MAX('Min rate concentrations'!$P$3:$P$368)))/F658&gt;0, (((0.326*F658^0.818)-(0.398*F658^0.85)/(1-H658)*H658)*(MAX('Min rate concentrations'!$P$3:$P$368)))/F658, 0)</f>
        <v>0</v>
      </c>
      <c r="N658">
        <f>IF((((0.326*F658^0.818)-(0.398*F658^0.85)/(1-H658)*H658)*(MAX('Min rate concentrations'!$Q$3:$Q$368)))/F658&gt; 0, (((0.326*F658^0.818)-(0.398*F658^0.85)/(1-H658)*H658)*(MAX('Min rate concentrations'!$Q$3:$Q$368)))/F658, 0)</f>
        <v>0</v>
      </c>
      <c r="O658">
        <f>((MAX('Min rate concentrations'!$F$3:$F$368))*0.62*6.01*8*(12.3*F658^0.65)*0.079*0.1/F658)*inputs!$E$73/inputs!$E$74</f>
        <v>17.4879170969031</v>
      </c>
      <c r="P658">
        <f>((MAX('Min rate concentrations'!Y:Y))*0.62*6.01*8*(12.3*F658^0.65)*0.079*0.1/F658)*inputs!$E$73/inputs!$E$74</f>
        <v>5.8293056989677003</v>
      </c>
      <c r="Q658">
        <f>(inputs!$C$7*11.2*(12.3*F658^0.65)*0.5/F658)*inputs!$E$73/inputs!$E$74</f>
        <v>3.0804141134929148</v>
      </c>
      <c r="R658">
        <f>(60*379*((F658/1000)^0.8)*3*24*(MAX('Min rate concentrations'!$R$3:$R$368))/F658)*(inputs!$E$73/inputs!$E$75)</f>
        <v>4.2614677494769567E-3</v>
      </c>
      <c r="S658">
        <f>(IF(inputs!$C$6="aerial",((0.025*0.112*inputs!$C$7/3.3)*(3*60*379*((F658/1000)^0.8))*MAX(inputs!$H$14:$H$16))/F658,((0.0083*0.112*inputs!$C$7/1)*(3*60*379*((F658/1000)^0.8))*MAX(inputs!$H$14:$H$16))/F658))*(inputs!E$75/inputs!$E$73)</f>
        <v>2.3502256455738741E-2</v>
      </c>
      <c r="T658">
        <f>IF((((inputs!$P$12/(V658/MAX(K658:S658)))^(1/inputs!$O$12))-1)/inputs!$N$12&lt;0, 0, IF((((inputs!$P$12/(V658/MAX(K658:S658)))^(1/inputs!$O$12))-1)/inputs!$N$12&gt;inputs!$H$17, inputs!$H$17, (((inputs!$P$12/(V658/MAX(K658:S658)))^(1/inputs!$O$12))-1)/inputs!$N$12))</f>
        <v>31.416514230101225</v>
      </c>
      <c r="U658">
        <f>IF((((inputs!$P$12/(X658/MAX(K658:S658)))^(1/inputs!$O$12))-1)/inputs!$N$12&lt;0, 0, IF((((inputs!$P$12/(X658/MAX(K658:S658)))^(1/inputs!$O$12))-1)/inputs!$N$12&gt;inputs!$H$17, inputs!$H$17, (((inputs!$P$12/(X658/MAX(K658:S658)))^(1/inputs!$O$12))-1)/inputs!$N$12))</f>
        <v>0</v>
      </c>
      <c r="V658">
        <f>inputs!$E$70*(F658/inputs!$F$70)^(0.25)</f>
        <v>2.2148395646629968</v>
      </c>
      <c r="W658">
        <f>inputs!$E$76*(inputs!$F$76/F658)^(0.25)</f>
        <v>0.76924067569003962</v>
      </c>
      <c r="X658">
        <f>inputs!$E$72*(inputs!$F$72/F658)^(0.25)</f>
        <v>112.82984284147192</v>
      </c>
      <c r="Y658" t="s">
        <v>13</v>
      </c>
      <c r="Z658">
        <f t="shared" si="69"/>
        <v>13.052980897035814</v>
      </c>
      <c r="AA658">
        <f t="shared" si="70"/>
        <v>37.582852078917384</v>
      </c>
    </row>
    <row r="659" spans="1:27" x14ac:dyDescent="0.3">
      <c r="A659" t="s">
        <v>552</v>
      </c>
      <c r="B659" t="s">
        <v>553</v>
      </c>
      <c r="C659" t="s">
        <v>61</v>
      </c>
      <c r="D659" t="s">
        <v>443</v>
      </c>
      <c r="E659">
        <v>35</v>
      </c>
      <c r="F659">
        <v>15</v>
      </c>
      <c r="G659" t="s">
        <v>152</v>
      </c>
      <c r="H659">
        <v>0.77</v>
      </c>
      <c r="I659">
        <f>MAX('Min rate concentrations'!$G$3:$G$368)</f>
        <v>7.5</v>
      </c>
      <c r="J659">
        <f>MAX('Min rate concentrations'!Z:Z)</f>
        <v>3.5</v>
      </c>
      <c r="K659">
        <f t="shared" si="68"/>
        <v>6.2179788229919186</v>
      </c>
      <c r="L659">
        <f t="shared" si="71"/>
        <v>2.9017234507295622</v>
      </c>
      <c r="M659">
        <f>IF((((0.326*F659^0.818)-(0.398*F659^0.85)/(1-H659)*H659)*(MAX('Min rate concentrations'!$P$3:$P$368)))/F659&gt;0, (((0.326*F659^0.818)-(0.398*F659^0.85)/(1-H659)*H659)*(MAX('Min rate concentrations'!$P$3:$P$368)))/F659, 0)</f>
        <v>0</v>
      </c>
      <c r="N659">
        <f>IF((((0.326*F659^0.818)-(0.398*F659^0.85)/(1-H659)*H659)*(MAX('Min rate concentrations'!$Q$3:$Q$368)))/F659&gt; 0, (((0.326*F659^0.818)-(0.398*F659^0.85)/(1-H659)*H659)*(MAX('Min rate concentrations'!$Q$3:$Q$368)))/F659, 0)</f>
        <v>0</v>
      </c>
      <c r="O659">
        <f>((MAX('Min rate concentrations'!$F$3:$F$368))*0.62*6.01*8*(12.3*F659^0.65)*0.079*0.1/F659)*inputs!$E$73/inputs!$E$74</f>
        <v>17.4879170969031</v>
      </c>
      <c r="P659">
        <f>((MAX('Min rate concentrations'!Y:Y))*0.62*6.01*8*(12.3*F659^0.65)*0.079*0.1/F659)*inputs!$E$73/inputs!$E$74</f>
        <v>5.8293056989677003</v>
      </c>
      <c r="Q659">
        <f>(inputs!$C$7*11.2*(12.3*F659^0.65)*0.5/F659)*inputs!$E$73/inputs!$E$74</f>
        <v>3.0804141134929148</v>
      </c>
      <c r="R659">
        <f>(60*379*((F659/1000)^0.8)*3*24*(MAX('Min rate concentrations'!$R$3:$R$368))/F659)*(inputs!$E$73/inputs!$E$75)</f>
        <v>4.2614677494769567E-3</v>
      </c>
      <c r="S659">
        <f>(IF(inputs!$C$6="aerial",((0.025*0.112*inputs!$C$7/3.3)*(3*60*379*((F659/1000)^0.8))*MAX(inputs!$H$14:$H$16))/F659,((0.0083*0.112*inputs!$C$7/1)*(3*60*379*((F659/1000)^0.8))*MAX(inputs!$H$14:$H$16))/F659))*(inputs!E$75/inputs!$E$73)</f>
        <v>2.3502256455738741E-2</v>
      </c>
      <c r="T659">
        <f>IF((((inputs!$P$12/(V659/MAX(K659:S659)))^(1/inputs!$O$12))-1)/inputs!$N$12&lt;0, 0, IF((((inputs!$P$12/(V659/MAX(K659:S659)))^(1/inputs!$O$12))-1)/inputs!$N$12&gt;inputs!$H$17, inputs!$H$17, (((inputs!$P$12/(V659/MAX(K659:S659)))^(1/inputs!$O$12))-1)/inputs!$N$12))</f>
        <v>20.339017449542123</v>
      </c>
      <c r="U659">
        <f>IF((((inputs!$P$12/(X659/MAX(K659:S659)))^(1/inputs!$O$12))-1)/inputs!$N$12&lt;0, 0, IF((((inputs!$P$12/(X659/MAX(K659:S659)))^(1/inputs!$O$12))-1)/inputs!$N$12&gt;inputs!$H$17, inputs!$H$17, (((inputs!$P$12/(X659/MAX(K659:S659)))^(1/inputs!$O$12))-1)/inputs!$N$12))</f>
        <v>0</v>
      </c>
      <c r="V659">
        <f>inputs!$E$70*(F659/inputs!$F$70)^(0.25)</f>
        <v>2.2148395646629968</v>
      </c>
      <c r="W659">
        <f>inputs!$E$76*(inputs!$F$76/F659)^(0.25)</f>
        <v>0.76924067569003962</v>
      </c>
      <c r="X659">
        <f>inputs!$E$72*(inputs!$F$72/F659)^(0.25)</f>
        <v>112.82984284147192</v>
      </c>
      <c r="Y659" t="s">
        <v>13</v>
      </c>
      <c r="Z659">
        <f t="shared" si="69"/>
        <v>7.8957940683003862</v>
      </c>
      <c r="AA659">
        <f t="shared" si="70"/>
        <v>22.733999448502562</v>
      </c>
    </row>
    <row r="660" spans="1:27" x14ac:dyDescent="0.3">
      <c r="A660" t="s">
        <v>552</v>
      </c>
      <c r="B660" t="s">
        <v>553</v>
      </c>
      <c r="C660" t="s">
        <v>61</v>
      </c>
      <c r="D660" t="s">
        <v>443</v>
      </c>
      <c r="E660">
        <v>35</v>
      </c>
      <c r="F660">
        <v>15</v>
      </c>
      <c r="G660" t="s">
        <v>169</v>
      </c>
      <c r="H660">
        <v>0.79</v>
      </c>
      <c r="I660">
        <f>MAX('Min rate concentrations'!$D$3:$D$368)</f>
        <v>120</v>
      </c>
      <c r="J660">
        <f>MAX('Min rate concentrations'!W:W)</f>
        <v>42.5</v>
      </c>
      <c r="K660">
        <f t="shared" si="68"/>
        <v>108.96267651719174</v>
      </c>
      <c r="L660">
        <f t="shared" si="71"/>
        <v>38.590947933172075</v>
      </c>
      <c r="M660">
        <f>IF((((0.326*F660^0.818)-(0.398*F660^0.85)/(1-H660)*H660)*(MAX('Min rate concentrations'!$P$3:$P$368)))/F660&gt;0, (((0.326*F660^0.818)-(0.398*F660^0.85)/(1-H660)*H660)*(MAX('Min rate concentrations'!$P$3:$P$368)))/F660, 0)</f>
        <v>0</v>
      </c>
      <c r="N660">
        <f>IF((((0.326*F660^0.818)-(0.398*F660^0.85)/(1-H660)*H660)*(MAX('Min rate concentrations'!$Q$3:$Q$368)))/F660&gt; 0, (((0.326*F660^0.818)-(0.398*F660^0.85)/(1-H660)*H660)*(MAX('Min rate concentrations'!$Q$3:$Q$368)))/F660, 0)</f>
        <v>0</v>
      </c>
      <c r="O660">
        <f>((MAX('Min rate concentrations'!$F$3:$F$368))*0.62*6.01*8*(12.3*F660^0.65)*0.079*0.1/F660)*inputs!$E$73/inputs!$E$74</f>
        <v>17.4879170969031</v>
      </c>
      <c r="P660">
        <f>((MAX('Min rate concentrations'!Y:Y))*0.62*6.01*8*(12.3*F660^0.65)*0.079*0.1/F660)*inputs!$E$73/inputs!$E$74</f>
        <v>5.8293056989677003</v>
      </c>
      <c r="Q660">
        <f>(inputs!$C$7*11.2*(12.3*F660^0.65)*0.5/F660)*inputs!$E$73/inputs!$E$74</f>
        <v>3.0804141134929148</v>
      </c>
      <c r="R660">
        <f>(60*379*((F660/1000)^0.8)*3*24*(MAX('Min rate concentrations'!$R$3:$R$368))/F660)*(inputs!$E$73/inputs!$E$75)</f>
        <v>4.2614677494769567E-3</v>
      </c>
      <c r="S660">
        <f>(IF(inputs!$C$6="aerial",((0.025*0.112*inputs!$C$7/3.3)*(3*60*379*((F660/1000)^0.8))*MAX(inputs!$H$14:$H$16))/F660,((0.0083*0.112*inputs!$C$7/1)*(3*60*379*((F660/1000)^0.8))*MAX(inputs!$H$14:$H$16))/F660))*(inputs!E$75/inputs!$E$73)</f>
        <v>2.3502256455738741E-2</v>
      </c>
      <c r="T660">
        <f>IF((((inputs!$P$12/(V660/MAX(K660:S660)))^(1/inputs!$O$12))-1)/inputs!$N$12&lt;0, 0, IF((((inputs!$P$12/(V660/MAX(K660:S660)))^(1/inputs!$O$12))-1)/inputs!$N$12&gt;inputs!$H$17, inputs!$H$17, (((inputs!$P$12/(V660/MAX(K660:S660)))^(1/inputs!$O$12))-1)/inputs!$N$12))</f>
        <v>74.275098604768701</v>
      </c>
      <c r="U660">
        <f>IF((((inputs!$P$12/(X660/MAX(K660:S660)))^(1/inputs!$O$12))-1)/inputs!$N$12&lt;0, 0, IF((((inputs!$P$12/(X660/MAX(K660:S660)))^(1/inputs!$O$12))-1)/inputs!$N$12&gt;inputs!$H$17, inputs!$H$17, (((inputs!$P$12/(X660/MAX(K660:S660)))^(1/inputs!$O$12))-1)/inputs!$N$12))</f>
        <v>0</v>
      </c>
      <c r="V660">
        <f>inputs!$E$70*(F660/inputs!$F$70)^(0.25)</f>
        <v>2.2148395646629968</v>
      </c>
      <c r="W660">
        <f>inputs!$E$76*(inputs!$F$76/F660)^(0.25)</f>
        <v>0.76924067569003962</v>
      </c>
      <c r="X660">
        <f>inputs!$E$72*(inputs!$F$72/F660)^(0.25)</f>
        <v>112.82984284147192</v>
      </c>
      <c r="Y660" t="s">
        <v>13</v>
      </c>
      <c r="Z660">
        <f t="shared" si="69"/>
        <v>49.196645326214032</v>
      </c>
      <c r="AA660">
        <f t="shared" si="70"/>
        <v>141.64965525184672</v>
      </c>
    </row>
    <row r="661" spans="1:27" x14ac:dyDescent="0.3">
      <c r="A661" t="s">
        <v>552</v>
      </c>
      <c r="B661" t="s">
        <v>553</v>
      </c>
      <c r="C661" t="s">
        <v>61</v>
      </c>
      <c r="D661" t="s">
        <v>443</v>
      </c>
      <c r="E661">
        <v>35</v>
      </c>
      <c r="F661">
        <v>15</v>
      </c>
      <c r="G661" t="s">
        <v>177</v>
      </c>
      <c r="H661">
        <v>0.85</v>
      </c>
      <c r="I661">
        <f>MAX('Min rate concentrations'!$F$3:$F$368)</f>
        <v>67.5</v>
      </c>
      <c r="J661">
        <f>MAX('Min rate concentrations'!Y:Y)</f>
        <v>22.5</v>
      </c>
      <c r="K661">
        <f t="shared" si="68"/>
        <v>85.808107757288468</v>
      </c>
      <c r="L661">
        <f t="shared" si="71"/>
        <v>28.602702585762817</v>
      </c>
      <c r="M661">
        <f>IF((((0.326*F661^0.818)-(0.398*F661^0.85)/(1-H661)*H661)*(MAX('Min rate concentrations'!$P$3:$P$368)))/F661&gt;0, (((0.326*F661^0.818)-(0.398*F661^0.85)/(1-H661)*H661)*(MAX('Min rate concentrations'!$P$3:$P$368)))/F661, 0)</f>
        <v>0</v>
      </c>
      <c r="N661">
        <f>IF((((0.326*F661^0.818)-(0.398*F661^0.85)/(1-H661)*H661)*(MAX('Min rate concentrations'!$Q$3:$Q$368)))/F661&gt; 0, (((0.326*F661^0.818)-(0.398*F661^0.85)/(1-H661)*H661)*(MAX('Min rate concentrations'!$Q$3:$Q$368)))/F661, 0)</f>
        <v>0</v>
      </c>
      <c r="O661">
        <f>((MAX('Min rate concentrations'!$F$3:$F$368))*0.62*6.01*8*(12.3*F661^0.65)*0.079*0.1/F661)*inputs!$E$73/inputs!$E$74</f>
        <v>17.4879170969031</v>
      </c>
      <c r="P661">
        <f>((MAX('Min rate concentrations'!Y:Y))*0.62*6.01*8*(12.3*F661^0.65)*0.079*0.1/F661)*inputs!$E$73/inputs!$E$74</f>
        <v>5.8293056989677003</v>
      </c>
      <c r="Q661">
        <f>(inputs!$C$7*11.2*(12.3*F661^0.65)*0.5/F661)*inputs!$E$73/inputs!$E$74</f>
        <v>3.0804141134929148</v>
      </c>
      <c r="R661">
        <f>(60*379*((F661/1000)^0.8)*3*24*(MAX('Min rate concentrations'!$R$3:$R$368))/F661)*(inputs!$E$73/inputs!$E$75)</f>
        <v>4.2614677494769567E-3</v>
      </c>
      <c r="S661">
        <f>(IF(inputs!$C$6="aerial",((0.025*0.112*inputs!$C$7/3.3)*(3*60*379*((F661/1000)^0.8))*MAX(inputs!$H$14:$H$16))/F661,((0.0083*0.112*inputs!$C$7/1)*(3*60*379*((F661/1000)^0.8))*MAX(inputs!$H$14:$H$16))/F661))*(inputs!E$75/inputs!$E$73)</f>
        <v>2.3502256455738741E-2</v>
      </c>
      <c r="T661">
        <f>IF((((inputs!$P$12/(V661/MAX(K661:S661)))^(1/inputs!$O$12))-1)/inputs!$N$12&lt;0, 0, IF((((inputs!$P$12/(V661/MAX(K661:S661)))^(1/inputs!$O$12))-1)/inputs!$N$12&gt;inputs!$H$17, inputs!$H$17, (((inputs!$P$12/(V661/MAX(K661:S661)))^(1/inputs!$O$12))-1)/inputs!$N$12))</f>
        <v>64.759615006714014</v>
      </c>
      <c r="U661">
        <f>IF((((inputs!$P$12/(X661/MAX(K661:S661)))^(1/inputs!$O$12))-1)/inputs!$N$12&lt;0, 0, IF((((inputs!$P$12/(X661/MAX(K661:S661)))^(1/inputs!$O$12))-1)/inputs!$N$12&gt;inputs!$H$17, inputs!$H$17, (((inputs!$P$12/(X661/MAX(K661:S661)))^(1/inputs!$O$12))-1)/inputs!$N$12))</f>
        <v>0</v>
      </c>
      <c r="V661">
        <f>inputs!$E$70*(F661/inputs!$F$70)^(0.25)</f>
        <v>2.2148395646629968</v>
      </c>
      <c r="W661">
        <f>inputs!$E$76*(inputs!$F$76/F661)^(0.25)</f>
        <v>0.76924067569003962</v>
      </c>
      <c r="X661">
        <f>inputs!$E$72*(inputs!$F$72/F661)^(0.25)</f>
        <v>112.82984284147192</v>
      </c>
      <c r="Y661" t="s">
        <v>13</v>
      </c>
      <c r="Z661">
        <f t="shared" si="69"/>
        <v>38.742358194393539</v>
      </c>
      <c r="AA661">
        <f t="shared" si="70"/>
        <v>111.54910351082926</v>
      </c>
    </row>
    <row r="662" spans="1:27" x14ac:dyDescent="0.3">
      <c r="A662" t="s">
        <v>552</v>
      </c>
      <c r="B662" t="s">
        <v>553</v>
      </c>
      <c r="C662" t="s">
        <v>61</v>
      </c>
      <c r="D662" t="s">
        <v>443</v>
      </c>
      <c r="E662">
        <v>35</v>
      </c>
      <c r="F662">
        <v>15</v>
      </c>
      <c r="G662" t="s">
        <v>456</v>
      </c>
      <c r="H662">
        <v>0.68</v>
      </c>
      <c r="I662">
        <f>MAX('Min rate concentrations'!$J$3:$J$368)</f>
        <v>114.4108103430513</v>
      </c>
      <c r="J662">
        <f>MAX('Min rate concentrations'!AB:AB)</f>
        <v>40.520495329830666</v>
      </c>
      <c r="K662">
        <f t="shared" si="68"/>
        <v>68.176216267466955</v>
      </c>
      <c r="L662">
        <f t="shared" si="71"/>
        <v>24.14574326139455</v>
      </c>
      <c r="M662">
        <f>IF((((0.326*F662^0.818)-(0.398*F662^0.85)/(1-H662)*H662)*(MAX('Min rate concentrations'!$P$3:$P$368)))/F662&gt;0, (((0.326*F662^0.818)-(0.398*F662^0.85)/(1-H662)*H662)*(MAX('Min rate concentrations'!$P$3:$P$368)))/F662, 0)</f>
        <v>0</v>
      </c>
      <c r="N662">
        <f>IF((((0.326*F662^0.818)-(0.398*F662^0.85)/(1-H662)*H662)*(MAX('Min rate concentrations'!$Q$3:$Q$368)))/F662&gt; 0, (((0.326*F662^0.818)-(0.398*F662^0.85)/(1-H662)*H662)*(MAX('Min rate concentrations'!$Q$3:$Q$368)))/F662, 0)</f>
        <v>0</v>
      </c>
      <c r="O662">
        <f>((MAX('Min rate concentrations'!$F$3:$F$368))*0.62*6.01*8*(12.3*F662^0.65)*0.079*0.1/F662)*inputs!$E$73/inputs!$E$74</f>
        <v>17.4879170969031</v>
      </c>
      <c r="P662">
        <f>((MAX('Min rate concentrations'!Y:Y))*0.62*6.01*8*(12.3*F662^0.65)*0.079*0.1/F662)*inputs!$E$73/inputs!$E$74</f>
        <v>5.8293056989677003</v>
      </c>
      <c r="Q662">
        <f>(inputs!$C$7*11.2*(12.3*F662^0.65)*0.5/F662)*inputs!$E$73/inputs!$E$74</f>
        <v>3.0804141134929148</v>
      </c>
      <c r="R662">
        <f>(60*379*((F662/1000)^0.8)*3*24*(MAX('Min rate concentrations'!$R$3:$R$368))/F662)*(inputs!$E$73/inputs!$E$75)</f>
        <v>4.2614677494769567E-3</v>
      </c>
      <c r="S662">
        <f>(IF(inputs!$C$6="aerial",((0.025*0.112*inputs!$C$7/3.3)*(3*60*379*((F662/1000)^0.8))*MAX(inputs!$H$14:$H$16))/F662,((0.0083*0.112*inputs!$C$7/1)*(3*60*379*((F662/1000)^0.8))*MAX(inputs!$H$14:$H$16))/F662))*(inputs!E$75/inputs!$E$73)</f>
        <v>2.3502256455738741E-2</v>
      </c>
      <c r="T662">
        <f>IF((((inputs!$P$12/(V662/MAX(K662:S662)))^(1/inputs!$O$12))-1)/inputs!$N$12&lt;0, 0, IF((((inputs!$P$12/(V662/MAX(K662:S662)))^(1/inputs!$O$12))-1)/inputs!$N$12&gt;inputs!$H$17, inputs!$H$17, (((inputs!$P$12/(V662/MAX(K662:S662)))^(1/inputs!$O$12))-1)/inputs!$N$12))</f>
        <v>56.431178504584068</v>
      </c>
      <c r="U662">
        <f>IF((((inputs!$P$12/(X662/MAX(K662:S662)))^(1/inputs!$O$12))-1)/inputs!$N$12&lt;0, 0, IF((((inputs!$P$12/(X662/MAX(K662:S662)))^(1/inputs!$O$12))-1)/inputs!$N$12&gt;inputs!$H$17, inputs!$H$17, (((inputs!$P$12/(X662/MAX(K662:S662)))^(1/inputs!$O$12))-1)/inputs!$N$12))</f>
        <v>0</v>
      </c>
      <c r="V662">
        <f>inputs!$E$70*(F662/inputs!$F$70)^(0.25)</f>
        <v>2.2148395646629968</v>
      </c>
      <c r="W662">
        <f>inputs!$E$76*(inputs!$F$76/F662)^(0.25)</f>
        <v>0.76924067569003962</v>
      </c>
      <c r="X662">
        <f>inputs!$E$72*(inputs!$F$72/F662)^(0.25)</f>
        <v>112.82984284147192</v>
      </c>
      <c r="Y662" t="s">
        <v>13</v>
      </c>
      <c r="Z662">
        <f t="shared" si="69"/>
        <v>30.781559691814717</v>
      </c>
      <c r="AA662">
        <f t="shared" si="70"/>
        <v>88.627939761908934</v>
      </c>
    </row>
    <row r="663" spans="1:27" x14ac:dyDescent="0.3">
      <c r="A663" t="s">
        <v>552</v>
      </c>
      <c r="B663" t="s">
        <v>553</v>
      </c>
      <c r="C663" t="s">
        <v>61</v>
      </c>
      <c r="D663" t="s">
        <v>443</v>
      </c>
      <c r="E663">
        <v>35</v>
      </c>
      <c r="F663">
        <v>15</v>
      </c>
      <c r="G663" t="s">
        <v>145</v>
      </c>
      <c r="H663">
        <v>0.66</v>
      </c>
      <c r="I663">
        <f>MAX('Min rate concentrations'!$M$3:$M$368)</f>
        <v>2.8488184789681945</v>
      </c>
      <c r="J663">
        <f>MAX('Min rate concentrations'!AE:AE)</f>
        <v>1.9699276716269429</v>
      </c>
      <c r="K663">
        <f t="shared" si="68"/>
        <v>1.597723679897108</v>
      </c>
      <c r="L663">
        <f t="shared" si="71"/>
        <v>1.1048089275884256</v>
      </c>
      <c r="M663">
        <f>IF((((0.326*F663^0.818)-(0.398*F663^0.85)/(1-H663)*H663)*(MAX('Min rate concentrations'!$P$3:$P$368)))/F663&gt;0, (((0.326*F663^0.818)-(0.398*F663^0.85)/(1-H663)*H663)*(MAX('Min rate concentrations'!$P$3:$P$368)))/F663, 0)</f>
        <v>0</v>
      </c>
      <c r="N663">
        <f>IF((((0.326*F663^0.818)-(0.398*F663^0.85)/(1-H663)*H663)*(MAX('Min rate concentrations'!$Q$3:$Q$368)))/F663&gt; 0, (((0.326*F663^0.818)-(0.398*F663^0.85)/(1-H663)*H663)*(MAX('Min rate concentrations'!$Q$3:$Q$368)))/F663, 0)</f>
        <v>0</v>
      </c>
      <c r="O663">
        <f>((MAX('Min rate concentrations'!$F$3:$F$368))*0.62*6.01*8*(12.3*F663^0.65)*0.079*0.1/F663)*inputs!$E$73/inputs!$E$74</f>
        <v>17.4879170969031</v>
      </c>
      <c r="P663">
        <f>((MAX('Min rate concentrations'!Y:Y))*0.62*6.01*8*(12.3*F663^0.65)*0.079*0.1/F663)*inputs!$E$73/inputs!$E$74</f>
        <v>5.8293056989677003</v>
      </c>
      <c r="Q663">
        <f>(inputs!$C$7*11.2*(12.3*F663^0.65)*0.5/F663)*inputs!$E$73/inputs!$E$74</f>
        <v>3.0804141134929148</v>
      </c>
      <c r="R663">
        <f>(60*379*((F663/1000)^0.8)*3*24*(MAX('Min rate concentrations'!$R$3:$R$368))/F663)*(inputs!$E$73/inputs!$E$75)</f>
        <v>4.2614677494769567E-3</v>
      </c>
      <c r="S663">
        <f>(IF(inputs!$C$6="aerial",((0.025*0.112*inputs!$C$7/3.3)*(3*60*379*((F663/1000)^0.8))*MAX(inputs!$H$14:$H$16))/F663,((0.0083*0.112*inputs!$C$7/1)*(3*60*379*((F663/1000)^0.8))*MAX(inputs!$H$14:$H$16))/F663))*(inputs!E$75/inputs!$E$73)</f>
        <v>2.3502256455738741E-2</v>
      </c>
      <c r="T663">
        <f>IF((((inputs!$P$12/(V663/MAX(K663:S663)))^(1/inputs!$O$12))-1)/inputs!$N$12&lt;0, 0, IF((((inputs!$P$12/(V663/MAX(K663:S663)))^(1/inputs!$O$12))-1)/inputs!$N$12&gt;inputs!$H$17, inputs!$H$17, (((inputs!$P$12/(V663/MAX(K663:S663)))^(1/inputs!$O$12))-1)/inputs!$N$12))</f>
        <v>20.339017449542123</v>
      </c>
      <c r="U663">
        <f>IF((((inputs!$P$12/(X663/MAX(K663:S663)))^(1/inputs!$O$12))-1)/inputs!$N$12&lt;0, 0, IF((((inputs!$P$12/(X663/MAX(K663:S663)))^(1/inputs!$O$12))-1)/inputs!$N$12&gt;inputs!$H$17, inputs!$H$17, (((inputs!$P$12/(X663/MAX(K663:S663)))^(1/inputs!$O$12))-1)/inputs!$N$12))</f>
        <v>0</v>
      </c>
      <c r="V663">
        <f>inputs!$E$70*(F663/inputs!$F$70)^(0.25)</f>
        <v>2.2148395646629968</v>
      </c>
      <c r="W663">
        <f>inputs!$E$76*(inputs!$F$76/F663)^(0.25)</f>
        <v>0.76924067569003962</v>
      </c>
      <c r="X663">
        <f>inputs!$E$72*(inputs!$F$72/F663)^(0.25)</f>
        <v>112.82984284147192</v>
      </c>
      <c r="Y663" t="s">
        <v>13</v>
      </c>
      <c r="Z663">
        <f t="shared" si="69"/>
        <v>7.8957940683003862</v>
      </c>
      <c r="AA663">
        <f t="shared" si="70"/>
        <v>22.733999448502562</v>
      </c>
    </row>
    <row r="664" spans="1:27" x14ac:dyDescent="0.3">
      <c r="A664" t="s">
        <v>552</v>
      </c>
      <c r="B664" t="s">
        <v>553</v>
      </c>
      <c r="C664" t="s">
        <v>61</v>
      </c>
      <c r="D664" t="s">
        <v>443</v>
      </c>
      <c r="E664">
        <v>35</v>
      </c>
      <c r="F664">
        <v>15</v>
      </c>
      <c r="G664" t="s">
        <v>154</v>
      </c>
      <c r="H664">
        <v>9.2999999999999999E-2</v>
      </c>
      <c r="I664">
        <f>MAX('Min rate concentrations'!$G$3:$G$368)</f>
        <v>7.5</v>
      </c>
      <c r="J664">
        <f>MAX('Min rate concentrations'!Z:Z)</f>
        <v>3.5</v>
      </c>
      <c r="K664">
        <f t="shared" si="68"/>
        <v>1.5767752252349958</v>
      </c>
      <c r="M664">
        <f>IF((((0.326*F664^0.818)-(0.398*F664^0.85)/(1-H664)*H664)*(MAX('Min rate concentrations'!$P$3:$P$368)))/F664&gt;0, (((0.326*F664^0.818)-(0.398*F664^0.85)/(1-H664)*H664)*(MAX('Min rate concentrations'!$P$3:$P$368)))/F664, 0)</f>
        <v>2.4959484999342571E-2</v>
      </c>
      <c r="N664">
        <f>IF((((0.326*F664^0.818)-(0.398*F664^0.85)/(1-H664)*H664)*(MAX('Min rate concentrations'!$Q$3:$Q$368)))/F664&gt; 0, (((0.326*F664^0.818)-(0.398*F664^0.85)/(1-H664)*H664)*(MAX('Min rate concentrations'!$Q$3:$Q$368)))/F664, 0)</f>
        <v>9.5047059992685437E-2</v>
      </c>
      <c r="O664">
        <f>((MAX('Min rate concentrations'!$F$3:$F$368))*0.62*6.01*8*(12.3*F664^0.65)*0.079*0.1/F664)*inputs!$E$73/inputs!$E$74</f>
        <v>17.4879170969031</v>
      </c>
      <c r="Q664">
        <f>(inputs!$C$7*11.2*(12.3*F664^0.65)*0.5/F664)*inputs!$E$73/inputs!$E$74</f>
        <v>3.0804141134929148</v>
      </c>
      <c r="R664">
        <f>(60*379*((F664/1000)^0.8)*3*24*(MAX('Min rate concentrations'!$R$3:$R$368))/F664)*(inputs!$E$73/inputs!$E$75)</f>
        <v>4.2614677494769567E-3</v>
      </c>
      <c r="S664">
        <f>(IF(inputs!$C$6="aerial",((0.025*0.112*inputs!$C$7/3.3)*(3*60*379*((F664/1000)^0.8))*MAX(inputs!$H$14:$H$16))/F664,((0.0083*0.112*inputs!$C$7/1)*(3*60*379*((F664/1000)^0.8))*MAX(inputs!$H$14:$H$16))/F664))*(inputs!E$75/inputs!$E$73)</f>
        <v>2.3502256455738741E-2</v>
      </c>
      <c r="T664">
        <f>IF((((inputs!$P$12/(V664/MAX(K664:S664)))^(1/inputs!$O$12))-1)/inputs!$N$12&lt;0, 0, IF((((inputs!$P$12/(V664/MAX(K664:S664)))^(1/inputs!$O$12))-1)/inputs!$N$12&gt;inputs!$H$17, inputs!$H$17, (((inputs!$P$12/(V664/MAX(K664:S664)))^(1/inputs!$O$12))-1)/inputs!$N$12))</f>
        <v>20.339017449542123</v>
      </c>
      <c r="U664">
        <f>IF((((inputs!$P$12/(X664/MAX(K664:S664)))^(1/inputs!$O$12))-1)/inputs!$N$12&lt;0, 0, IF((((inputs!$P$12/(X664/MAX(K664:S664)))^(1/inputs!$O$12))-1)/inputs!$N$12&gt;inputs!$H$17, inputs!$H$17, (((inputs!$P$12/(X664/MAX(K664:S664)))^(1/inputs!$O$12))-1)/inputs!$N$12))</f>
        <v>0</v>
      </c>
      <c r="V664">
        <f>inputs!$E$70*(F664/inputs!$F$70)^(0.25)</f>
        <v>2.2148395646629968</v>
      </c>
      <c r="W664">
        <f>inputs!$E$76*(inputs!$F$76/F664)^(0.25)</f>
        <v>0.76924067569003962</v>
      </c>
      <c r="X664">
        <f>inputs!$E$72*(inputs!$F$72/F664)^(0.25)</f>
        <v>112.82984284147192</v>
      </c>
      <c r="Y664" t="s">
        <v>13</v>
      </c>
      <c r="Z664">
        <f t="shared" si="69"/>
        <v>7.8957940683003862</v>
      </c>
      <c r="AA664">
        <f t="shared" si="70"/>
        <v>22.733999448502562</v>
      </c>
    </row>
    <row r="665" spans="1:27" x14ac:dyDescent="0.3">
      <c r="A665" t="s">
        <v>441</v>
      </c>
      <c r="B665" t="s">
        <v>442</v>
      </c>
      <c r="C665" t="s">
        <v>61</v>
      </c>
      <c r="D665" t="s">
        <v>443</v>
      </c>
      <c r="E665">
        <v>49</v>
      </c>
      <c r="F665">
        <v>453</v>
      </c>
      <c r="G665" t="s">
        <v>177</v>
      </c>
      <c r="H665">
        <v>0.85</v>
      </c>
      <c r="I665">
        <f>MAX('Min rate concentrations'!$F$3:$F$368)</f>
        <v>67.5</v>
      </c>
      <c r="J665">
        <f>MAX('Min rate concentrations'!Y:Y)</f>
        <v>22.5</v>
      </c>
      <c r="K665">
        <f t="shared" si="68"/>
        <v>19.419824369070383</v>
      </c>
      <c r="L665">
        <f>(((0.621*F665^0.564)/(1-H665)))*J665/F665</f>
        <v>6.4732747896901266</v>
      </c>
      <c r="M665">
        <f>IF((((0.326*F665^0.818)-(0.398*F665^0.85)/(1-H665)*H665)*(MAX('Min rate concentrations'!$P$3:$P$368)))/F665&gt;0, (((0.326*F665^0.818)-(0.398*F665^0.85)/(1-H665)*H665)*(MAX('Min rate concentrations'!$P$3:$P$368)))/F665, 0)</f>
        <v>0</v>
      </c>
      <c r="N665">
        <f>IF((((0.326*F665^0.818)-(0.398*F665^0.85)/(1-H665)*H665)*(MAX('Min rate concentrations'!$Q$3:$Q$368)))/F665&gt; 0, (((0.326*F665^0.818)-(0.398*F665^0.85)/(1-H665)*H665)*(MAX('Min rate concentrations'!$Q$3:$Q$368)))/F665, 0)</f>
        <v>0</v>
      </c>
      <c r="O665">
        <f>((MAX('Min rate concentrations'!$F$3:$F$368))*0.62*6.01*8*(12.3*F665^0.65)*0.079*0.1/F665)*inputs!$E$73/inputs!$E$74</f>
        <v>5.3056140641051064</v>
      </c>
      <c r="P665">
        <f>((MAX('Min rate concentrations'!Y:Y))*0.62*6.01*8*(12.3*F665^0.65)*0.079*0.1/F665)*inputs!$E$73/inputs!$E$74</f>
        <v>1.7685380213683686</v>
      </c>
      <c r="Q665">
        <f>(inputs!$C$7*11.2*(12.3*F665^0.65)*0.5/F665)*inputs!$E$73/inputs!$E$74</f>
        <v>0.93455889304908157</v>
      </c>
      <c r="R665">
        <f>(60*379*((F665/1000)^0.8)*3*24*(MAX('Min rate concentrations'!$R$3:$R$368))/F665)*(inputs!$E$73/inputs!$E$75)</f>
        <v>2.1555485919622008E-3</v>
      </c>
      <c r="S665">
        <f>(IF(inputs!$C$6="aerial",((0.025*0.112*inputs!$C$7/3.3)*(3*60*379*((F665/1000)^0.8))*MAX(inputs!$H$14:$H$16))/F665,((0.0083*0.112*inputs!$C$7/1)*(3*60*379*((F665/1000)^0.8))*MAX(inputs!$H$14:$H$16))/F665))*(inputs!E$75/inputs!$E$73)</f>
        <v>1.1887982917932477E-2</v>
      </c>
      <c r="T665">
        <f>IF((((inputs!$P$12/(V665/MAX(K665:S665)))^(1/inputs!$O$12))-1)/inputs!$N$12&lt;0, 0, IF((((inputs!$P$12/(V665/MAX(K665:S665)))^(1/inputs!$O$12))-1)/inputs!$N$12&gt;inputs!$H$17, inputs!$H$17, (((inputs!$P$12/(V665/MAX(K665:S665)))^(1/inputs!$O$12))-1)/inputs!$N$12))</f>
        <v>7.5425037004267264</v>
      </c>
      <c r="U665">
        <f>IF((((inputs!$P$12/(X665/MAX(K665:S665)))^(1/inputs!$O$12))-1)/inputs!$N$12&lt;0, 0, IF((((inputs!$P$12/(X665/MAX(K665:S665)))^(1/inputs!$O$12))-1)/inputs!$N$12&gt;inputs!$H$17, inputs!$H$17, (((inputs!$P$12/(X665/MAX(K665:S665)))^(1/inputs!$O$12))-1)/inputs!$N$12))</f>
        <v>0</v>
      </c>
      <c r="V665">
        <f>inputs!$E$70*(F665/inputs!$F$70)^(0.25)</f>
        <v>5.19211147999874</v>
      </c>
      <c r="W665">
        <f>inputs!$E$76*(inputs!$F$76/F665)^(0.25)</f>
        <v>0.32814100579882199</v>
      </c>
      <c r="X665">
        <f>inputs!$E$72*(inputs!$F$72/F665)^(0.25)</f>
        <v>48.130707701996535</v>
      </c>
      <c r="Y665" t="s">
        <v>13</v>
      </c>
      <c r="Z665">
        <f t="shared" si="69"/>
        <v>3.7402556635927811</v>
      </c>
      <c r="AA665">
        <f t="shared" si="70"/>
        <v>59.181339807851892</v>
      </c>
    </row>
    <row r="666" spans="1:27" x14ac:dyDescent="0.3">
      <c r="A666" t="s">
        <v>613</v>
      </c>
      <c r="B666" t="s">
        <v>614</v>
      </c>
      <c r="C666" t="s">
        <v>61</v>
      </c>
      <c r="D666" t="s">
        <v>443</v>
      </c>
      <c r="E666">
        <v>52</v>
      </c>
      <c r="F666">
        <v>3</v>
      </c>
      <c r="G666" t="s">
        <v>142</v>
      </c>
      <c r="H666">
        <v>0.69</v>
      </c>
      <c r="I666">
        <f>MAX('Min rate concentrations'!$H$3:$H$368)</f>
        <v>47</v>
      </c>
      <c r="J666">
        <f>MAX('Min rate concentrations'!AA:AA)</f>
        <v>32.5</v>
      </c>
      <c r="K666">
        <f t="shared" si="68"/>
        <v>58.318037017099591</v>
      </c>
      <c r="L666">
        <f>(((0.621*F666^0.564)/(1-H666)))*J666/F666</f>
        <v>40.32630219267525</v>
      </c>
      <c r="M666">
        <f>IF((((0.326*F666^0.818)-(0.398*F666^0.85)/(1-H666)*H666)*(MAX('Min rate concentrations'!$P$3:$P$368)))/F666&gt;0, (((0.326*F666^0.818)-(0.398*F666^0.85)/(1-H666)*H666)*(MAX('Min rate concentrations'!$P$3:$P$368)))/F666, 0)</f>
        <v>0</v>
      </c>
      <c r="N666">
        <f>IF((((0.326*F666^0.818)-(0.398*F666^0.85)/(1-H666)*H666)*(MAX('Min rate concentrations'!$Q$3:$Q$368)))/F666&gt; 0, (((0.326*F666^0.818)-(0.398*F666^0.85)/(1-H666)*H666)*(MAX('Min rate concentrations'!$Q$3:$Q$368)))/F666, 0)</f>
        <v>0</v>
      </c>
      <c r="O666">
        <f>((MAX('Min rate concentrations'!$F$3:$F$368))*0.62*6.01*8*(12.3*F666^0.65)*0.079*0.1/F666)*inputs!$E$73/inputs!$E$74</f>
        <v>30.716914390107629</v>
      </c>
      <c r="P666">
        <f>((MAX('Min rate concentrations'!Y:Y))*0.62*6.01*8*(12.3*F666^0.65)*0.079*0.1/F666)*inputs!$E$73/inputs!$E$74</f>
        <v>10.238971463369209</v>
      </c>
      <c r="Q666">
        <f>(inputs!$C$7*11.2*(12.3*F666^0.65)*0.5/F666)*inputs!$E$73/inputs!$E$74</f>
        <v>5.4106395910921448</v>
      </c>
      <c r="R666">
        <f>(60*379*((F666/1000)^0.8)*3*24*(MAX('Min rate concentrations'!$R$3:$R$368))/F666)*(inputs!$E$73/inputs!$E$75)</f>
        <v>5.8796734553137235E-3</v>
      </c>
      <c r="S666">
        <f>(IF(inputs!$C$6="aerial",((0.025*0.112*inputs!$C$7/3.3)*(3*60*379*((F666/1000)^0.8))*MAX(inputs!$H$14:$H$16))/F666,((0.0083*0.112*inputs!$C$7/1)*(3*60*379*((F666/1000)^0.8))*MAX(inputs!$H$14:$H$16))/F666))*(inputs!E$75/inputs!$E$73)</f>
        <v>3.2426760343251065E-2</v>
      </c>
      <c r="T666">
        <f>IF((((inputs!$P$12/(V666/MAX(K666:S666)))^(1/inputs!$O$12))-1)/inputs!$N$12&lt;0, 0, IF((((inputs!$P$12/(V666/MAX(K666:S666)))^(1/inputs!$O$12))-1)/inputs!$N$12&gt;inputs!$H$17, inputs!$H$17, (((inputs!$P$12/(V666/MAX(K666:S666)))^(1/inputs!$O$12))-1)/inputs!$N$12))</f>
        <v>65.374450361652961</v>
      </c>
      <c r="U666">
        <f>IF((((inputs!$P$12/(X666/MAX(K666:S666)))^(1/inputs!$O$12))-1)/inputs!$N$12&lt;0, 0, IF((((inputs!$P$12/(X666/MAX(K666:S666)))^(1/inputs!$O$12))-1)/inputs!$N$12&gt;inputs!$H$17, inputs!$H$17, (((inputs!$P$12/(X666/MAX(K666:S666)))^(1/inputs!$O$12))-1)/inputs!$N$12))</f>
        <v>0</v>
      </c>
      <c r="V666">
        <f>inputs!$E$70*(F666/inputs!$F$70)^(0.25)</f>
        <v>1.4811524859465783</v>
      </c>
      <c r="W666">
        <f>inputs!$E$76*(inputs!$F$76/F666)^(0.25)</f>
        <v>1.1502831068588888</v>
      </c>
      <c r="X666">
        <f>inputs!$E$72*(inputs!$F$72/F666)^(0.25)</f>
        <v>168.71996797837687</v>
      </c>
      <c r="Y666" t="s">
        <v>13</v>
      </c>
      <c r="Z666">
        <f t="shared" si="69"/>
        <v>39.373418719835293</v>
      </c>
      <c r="AA666">
        <f t="shared" si="70"/>
        <v>50.698855498582724</v>
      </c>
    </row>
    <row r="667" spans="1:27" x14ac:dyDescent="0.3">
      <c r="A667" t="s">
        <v>613</v>
      </c>
      <c r="B667" t="s">
        <v>614</v>
      </c>
      <c r="C667" t="s">
        <v>61</v>
      </c>
      <c r="D667" t="s">
        <v>443</v>
      </c>
      <c r="E667">
        <v>52</v>
      </c>
      <c r="F667">
        <v>3</v>
      </c>
      <c r="G667" t="s">
        <v>152</v>
      </c>
      <c r="H667">
        <v>0.77</v>
      </c>
      <c r="I667">
        <f>MAX('Min rate concentrations'!$G$3:$G$368)</f>
        <v>7.5</v>
      </c>
      <c r="J667">
        <f>MAX('Min rate concentrations'!Z:Z)</f>
        <v>3.5</v>
      </c>
      <c r="K667">
        <f t="shared" si="68"/>
        <v>12.542963558256853</v>
      </c>
      <c r="L667">
        <f>(((0.621*F667^0.564)/(1-H667)))*J667/F667</f>
        <v>5.8533829938531987</v>
      </c>
      <c r="M667">
        <f>IF((((0.326*F667^0.818)-(0.398*F667^0.85)/(1-H667)*H667)*(MAX('Min rate concentrations'!$P$3:$P$368)))/F667&gt;0, (((0.326*F667^0.818)-(0.398*F667^0.85)/(1-H667)*H667)*(MAX('Min rate concentrations'!$P$3:$P$368)))/F667, 0)</f>
        <v>0</v>
      </c>
      <c r="N667">
        <f>IF((((0.326*F667^0.818)-(0.398*F667^0.85)/(1-H667)*H667)*(MAX('Min rate concentrations'!$Q$3:$Q$368)))/F667&gt; 0, (((0.326*F667^0.818)-(0.398*F667^0.85)/(1-H667)*H667)*(MAX('Min rate concentrations'!$Q$3:$Q$368)))/F667, 0)</f>
        <v>0</v>
      </c>
      <c r="O667">
        <f>((MAX('Min rate concentrations'!$F$3:$F$368))*0.62*6.01*8*(12.3*F667^0.65)*0.079*0.1/F667)*inputs!$E$73/inputs!$E$74</f>
        <v>30.716914390107629</v>
      </c>
      <c r="P667">
        <f>((MAX('Min rate concentrations'!Y:Y))*0.62*6.01*8*(12.3*F667^0.65)*0.079*0.1/F667)*inputs!$E$73/inputs!$E$74</f>
        <v>10.238971463369209</v>
      </c>
      <c r="Q667">
        <f>(inputs!$C$7*11.2*(12.3*F667^0.65)*0.5/F667)*inputs!$E$73/inputs!$E$74</f>
        <v>5.4106395910921448</v>
      </c>
      <c r="R667">
        <f>(60*379*((F667/1000)^0.8)*3*24*(MAX('Min rate concentrations'!$R$3:$R$368))/F667)*(inputs!$E$73/inputs!$E$75)</f>
        <v>5.8796734553137235E-3</v>
      </c>
      <c r="S667">
        <f>(IF(inputs!$C$6="aerial",((0.025*0.112*inputs!$C$7/3.3)*(3*60*379*((F667/1000)^0.8))*MAX(inputs!$H$14:$H$16))/F667,((0.0083*0.112*inputs!$C$7/1)*(3*60*379*((F667/1000)^0.8))*MAX(inputs!$H$14:$H$16))/F667))*(inputs!E$75/inputs!$E$73)</f>
        <v>3.2426760343251065E-2</v>
      </c>
      <c r="T667">
        <f>IF((((inputs!$P$12/(V667/MAX(K667:S667)))^(1/inputs!$O$12))-1)/inputs!$N$12&lt;0, 0, IF((((inputs!$P$12/(V667/MAX(K667:S667)))^(1/inputs!$O$12))-1)/inputs!$N$12&gt;inputs!$H$17, inputs!$H$17, (((inputs!$P$12/(V667/MAX(K667:S667)))^(1/inputs!$O$12))-1)/inputs!$N$12))</f>
        <v>43.829536359689939</v>
      </c>
      <c r="U667">
        <f>IF((((inputs!$P$12/(X667/MAX(K667:S667)))^(1/inputs!$O$12))-1)/inputs!$N$12&lt;0, 0, IF((((inputs!$P$12/(X667/MAX(K667:S667)))^(1/inputs!$O$12))-1)/inputs!$N$12&gt;inputs!$H$17, inputs!$H$17, (((inputs!$P$12/(X667/MAX(K667:S667)))^(1/inputs!$O$12))-1)/inputs!$N$12))</f>
        <v>0</v>
      </c>
      <c r="V667">
        <f>inputs!$E$70*(F667/inputs!$F$70)^(0.25)</f>
        <v>1.4811524859465783</v>
      </c>
      <c r="W667">
        <f>inputs!$E$76*(inputs!$F$76/F667)^(0.25)</f>
        <v>1.1502831068588888</v>
      </c>
      <c r="X667">
        <f>inputs!$E$72*(inputs!$F$72/F667)^(0.25)</f>
        <v>168.71996797837687</v>
      </c>
      <c r="Y667" t="s">
        <v>13</v>
      </c>
      <c r="Z667">
        <f t="shared" si="69"/>
        <v>20.738522658237308</v>
      </c>
      <c r="AA667">
        <f t="shared" si="70"/>
        <v>26.703786404363697</v>
      </c>
    </row>
    <row r="668" spans="1:27" x14ac:dyDescent="0.3">
      <c r="A668" t="s">
        <v>613</v>
      </c>
      <c r="B668" t="s">
        <v>614</v>
      </c>
      <c r="C668" t="s">
        <v>61</v>
      </c>
      <c r="D668" t="s">
        <v>443</v>
      </c>
      <c r="E668">
        <v>52</v>
      </c>
      <c r="F668">
        <v>3</v>
      </c>
      <c r="G668" t="s">
        <v>580</v>
      </c>
      <c r="H668">
        <v>0.85</v>
      </c>
      <c r="I668">
        <f>MAX('Min rate concentrations'!$F$3:$F$368)</f>
        <v>67.5</v>
      </c>
      <c r="J668">
        <f>MAX('Min rate concentrations'!Y:Y)</f>
        <v>22.5</v>
      </c>
      <c r="K668">
        <f t="shared" si="68"/>
        <v>173.09289710394455</v>
      </c>
      <c r="M668">
        <f>IF((((0.326*F668^0.818)-(0.398*F668^0.85)/(1-H668)*H668)*(MAX('Min rate concentrations'!$P$3:$P$368)))/F668&gt;0, (((0.326*F668^0.818)-(0.398*F668^0.85)/(1-H668)*H668)*(MAX('Min rate concentrations'!$P$3:$P$368)))/F668, 0)</f>
        <v>0</v>
      </c>
      <c r="N668">
        <f>IF((((0.326*F668^0.818)-(0.398*F668^0.85)/(1-H668)*H668)*(MAX('Min rate concentrations'!$Q$3:$Q$368)))/F668&gt; 0, (((0.326*F668^0.818)-(0.398*F668^0.85)/(1-H668)*H668)*(MAX('Min rate concentrations'!$Q$3:$Q$368)))/F668, 0)</f>
        <v>0</v>
      </c>
      <c r="O668">
        <f>((MAX('Min rate concentrations'!$F$3:$F$368))*0.62*6.01*8*(12.3*F668^0.65)*0.079*0.1/F668)*inputs!$E$73/inputs!$E$74</f>
        <v>30.716914390107629</v>
      </c>
      <c r="Q668">
        <f>(inputs!$C$7*11.2*(12.3*F668^0.65)*0.5/F668)*inputs!$E$73/inputs!$E$74</f>
        <v>5.4106395910921448</v>
      </c>
      <c r="R668">
        <f>(60*379*((F668/1000)^0.8)*3*24*(MAX('Min rate concentrations'!$R$3:$R$368))/F668)*(inputs!$E$73/inputs!$E$75)</f>
        <v>5.8796734553137235E-3</v>
      </c>
      <c r="S668">
        <f>(IF(inputs!$C$6="aerial",((0.025*0.112*inputs!$C$7/3.3)*(3*60*379*((F668/1000)^0.8))*MAX(inputs!$H$14:$H$16))/F668,((0.0083*0.112*inputs!$C$7/1)*(3*60*379*((F668/1000)^0.8))*MAX(inputs!$H$14:$H$16))/F668))*(inputs!E$75/inputs!$E$73)</f>
        <v>3.2426760343251065E-2</v>
      </c>
      <c r="T668">
        <f>IF((((inputs!$P$12/(V668/MAX(K668:S668)))^(1/inputs!$O$12))-1)/inputs!$N$12&lt;0, 0, IF((((inputs!$P$12/(V668/MAX(K668:S668)))^(1/inputs!$O$12))-1)/inputs!$N$12&gt;inputs!$H$17, inputs!$H$17, (((inputs!$P$12/(V668/MAX(K668:S668)))^(1/inputs!$O$12))-1)/inputs!$N$12))</f>
        <v>117.61803905141065</v>
      </c>
      <c r="U668">
        <f>IF((((inputs!$P$12/(X668/MAX(K668:S668)))^(1/inputs!$O$12))-1)/inputs!$N$12&lt;0, 0, IF((((inputs!$P$12/(X668/MAX(K668:S668)))^(1/inputs!$O$12))-1)/inputs!$N$12&gt;inputs!$H$17, inputs!$H$17, (((inputs!$P$12/(X668/MAX(K668:S668)))^(1/inputs!$O$12))-1)/inputs!$N$12))</f>
        <v>0</v>
      </c>
      <c r="V668">
        <f>inputs!$E$70*(F668/inputs!$F$70)^(0.25)</f>
        <v>1.4811524859465783</v>
      </c>
      <c r="W668">
        <f>inputs!$E$76*(inputs!$F$76/F668)^(0.25)</f>
        <v>1.1502831068588888</v>
      </c>
      <c r="X668">
        <f>inputs!$E$72*(inputs!$F$72/F668)^(0.25)</f>
        <v>168.71996797837687</v>
      </c>
      <c r="Y668" t="s">
        <v>13</v>
      </c>
      <c r="Z668">
        <f t="shared" si="69"/>
        <v>116.86365768972392</v>
      </c>
      <c r="AA668">
        <f t="shared" si="70"/>
        <v>150.47851791600618</v>
      </c>
    </row>
    <row r="669" spans="1:27" x14ac:dyDescent="0.3">
      <c r="A669" t="s">
        <v>613</v>
      </c>
      <c r="B669" t="s">
        <v>614</v>
      </c>
      <c r="C669" t="s">
        <v>61</v>
      </c>
      <c r="D669" t="s">
        <v>443</v>
      </c>
      <c r="E669">
        <v>52</v>
      </c>
      <c r="F669">
        <v>3</v>
      </c>
      <c r="G669" t="s">
        <v>154</v>
      </c>
      <c r="H669">
        <v>9.2999999999999999E-2</v>
      </c>
      <c r="I669">
        <f>MAX('Min rate concentrations'!$G$3:$G$368)</f>
        <v>7.5</v>
      </c>
      <c r="J669">
        <f>MAX('Min rate concentrations'!Z:Z)</f>
        <v>3.5</v>
      </c>
      <c r="K669">
        <f t="shared" si="68"/>
        <v>3.1806853565590694</v>
      </c>
      <c r="M669">
        <f>IF((((0.326*F669^0.818)-(0.398*F669^0.85)/(1-H669)*H669)*(MAX('Min rate concentrations'!$P$3:$P$368)))/F669&gt;0, (((0.326*F669^0.818)-(0.398*F669^0.85)/(1-H669)*H669)*(MAX('Min rate concentrations'!$P$3:$P$368)))/F669, 0)</f>
        <v>3.3719503998347743E-2</v>
      </c>
      <c r="N669">
        <f>IF((((0.326*F669^0.818)-(0.398*F669^0.85)/(1-H669)*H669)*(MAX('Min rate concentrations'!$Q$3:$Q$368)))/F669&gt; 0, (((0.326*F669^0.818)-(0.398*F669^0.85)/(1-H669)*H669)*(MAX('Min rate concentrations'!$Q$3:$Q$368)))/F669, 0)</f>
        <v>0.12840568303147973</v>
      </c>
      <c r="O669">
        <f>((MAX('Min rate concentrations'!$F$3:$F$368))*0.62*6.01*8*(12.3*F669^0.65)*0.079*0.1/F669)*inputs!$E$73/inputs!$E$74</f>
        <v>30.716914390107629</v>
      </c>
      <c r="Q669">
        <f>(inputs!$C$7*11.2*(12.3*F669^0.65)*0.5/F669)*inputs!$E$73/inputs!$E$74</f>
        <v>5.4106395910921448</v>
      </c>
      <c r="R669">
        <f>(60*379*((F669/1000)^0.8)*3*24*(MAX('Min rate concentrations'!$R$3:$R$368))/F669)*(inputs!$E$73/inputs!$E$75)</f>
        <v>5.8796734553137235E-3</v>
      </c>
      <c r="S669">
        <f>(IF(inputs!$C$6="aerial",((0.025*0.112*inputs!$C$7/3.3)*(3*60*379*((F669/1000)^0.8))*MAX(inputs!$H$14:$H$16))/F669,((0.0083*0.112*inputs!$C$7/1)*(3*60*379*((F669/1000)^0.8))*MAX(inputs!$H$14:$H$16))/F669))*(inputs!E$75/inputs!$E$73)</f>
        <v>3.2426760343251065E-2</v>
      </c>
      <c r="T669">
        <f>IF((((inputs!$P$12/(V669/MAX(K669:S669)))^(1/inputs!$O$12))-1)/inputs!$N$12&lt;0, 0, IF((((inputs!$P$12/(V669/MAX(K669:S669)))^(1/inputs!$O$12))-1)/inputs!$N$12&gt;inputs!$H$17, inputs!$H$17, (((inputs!$P$12/(V669/MAX(K669:S669)))^(1/inputs!$O$12))-1)/inputs!$N$12))</f>
        <v>43.829536359689939</v>
      </c>
      <c r="U669">
        <f>IF((((inputs!$P$12/(X669/MAX(K669:S669)))^(1/inputs!$O$12))-1)/inputs!$N$12&lt;0, 0, IF((((inputs!$P$12/(X669/MAX(K669:S669)))^(1/inputs!$O$12))-1)/inputs!$N$12&gt;inputs!$H$17, inputs!$H$17, (((inputs!$P$12/(X669/MAX(K669:S669)))^(1/inputs!$O$12))-1)/inputs!$N$12))</f>
        <v>0</v>
      </c>
      <c r="V669">
        <f>inputs!$E$70*(F669/inputs!$F$70)^(0.25)</f>
        <v>1.4811524859465783</v>
      </c>
      <c r="W669">
        <f>inputs!$E$76*(inputs!$F$76/F669)^(0.25)</f>
        <v>1.1502831068588888</v>
      </c>
      <c r="X669">
        <f>inputs!$E$72*(inputs!$F$72/F669)^(0.25)</f>
        <v>168.71996797837687</v>
      </c>
      <c r="Y669" t="s">
        <v>13</v>
      </c>
      <c r="Z669">
        <f t="shared" si="69"/>
        <v>20.738522658237308</v>
      </c>
      <c r="AA669">
        <f t="shared" si="70"/>
        <v>26.703786404363697</v>
      </c>
    </row>
    <row r="670" spans="1:27" x14ac:dyDescent="0.3">
      <c r="A670" t="s">
        <v>444</v>
      </c>
      <c r="B670" t="s">
        <v>445</v>
      </c>
      <c r="C670" t="s">
        <v>61</v>
      </c>
      <c r="D670" t="s">
        <v>443</v>
      </c>
      <c r="E670">
        <v>10178</v>
      </c>
      <c r="F670">
        <v>25</v>
      </c>
      <c r="G670" t="s">
        <v>446</v>
      </c>
      <c r="H670">
        <v>9.2999999999999999E-2</v>
      </c>
      <c r="I670">
        <f>MAX('Min rate concentrations'!$D$3:$D$368)</f>
        <v>120</v>
      </c>
      <c r="J670">
        <f>MAX('Min rate concentrations'!W:W)</f>
        <v>42.5</v>
      </c>
      <c r="K670">
        <f t="shared" si="68"/>
        <v>20.191273678535484</v>
      </c>
      <c r="M670">
        <f>IF((((0.326*F670^0.818)-(0.398*F670^0.85)/(1-H670)*H670)*(MAX('Min rate concentrations'!$P$3:$P$368)))/F670&gt;0, (((0.326*F670^0.818)-(0.398*F670^0.85)/(1-H670)*H670)*(MAX('Min rate concentrations'!$P$3:$P$368)))/F670, 0)</f>
        <v>2.2684337469445207E-2</v>
      </c>
      <c r="N670">
        <f>IF((((0.326*F670^0.818)-(0.398*F670^0.85)/(1-H670)*H670)*(MAX('Min rate concentrations'!$Q$3:$Q$368)))/F670&gt; 0, (((0.326*F670^0.818)-(0.398*F670^0.85)/(1-H670)*H670)*(MAX('Min rate concentrations'!$Q$3:$Q$368)))/F670, 0)</f>
        <v>8.6383175951325594E-2</v>
      </c>
      <c r="O670">
        <f>((MAX('Min rate concentrations'!$F$3:$F$368))*0.62*6.01*8*(12.3*F670^0.65)*0.079*0.1/F670)*inputs!$E$73/inputs!$E$74</f>
        <v>14.624836631127746</v>
      </c>
      <c r="Q670">
        <f>(inputs!$C$7*11.2*(12.3*F670^0.65)*0.5/F670)*inputs!$E$73/inputs!$E$74</f>
        <v>2.5760959933891727</v>
      </c>
      <c r="R670">
        <f>(60*379*((F670/1000)^0.8)*3*24*(MAX('Min rate concentrations'!$R$3:$R$368))/F670)*(inputs!$E$73/inputs!$E$75)</f>
        <v>3.8475959254764369E-3</v>
      </c>
      <c r="S670">
        <f>(IF(inputs!$C$6="aerial",((0.025*0.112*inputs!$C$7/3.3)*(3*60*379*((F670/1000)^0.8))*MAX(inputs!$H$14:$H$16))/F670,((0.0083*0.112*inputs!$C$7/1)*(3*60*379*((F670/1000)^0.8))*MAX(inputs!$H$14:$H$16))/F670))*(inputs!E$75/inputs!$E$73)</f>
        <v>2.1219727918790777E-2</v>
      </c>
      <c r="T670">
        <f>IF((((inputs!$P$12/(V670/MAX(K670:S670)))^(1/inputs!$O$12))-1)/inputs!$N$12&lt;0, 0, IF((((inputs!$P$12/(V670/MAX(K670:S670)))^(1/inputs!$O$12))-1)/inputs!$N$12&gt;inputs!$H$17, inputs!$H$17, (((inputs!$P$12/(V670/MAX(K670:S670)))^(1/inputs!$O$12))-1)/inputs!$N$12))</f>
        <v>20.658499846026427</v>
      </c>
      <c r="U670">
        <f>IF((((inputs!$P$12/(X670/MAX(K670:S670)))^(1/inputs!$O$12))-1)/inputs!$N$12&lt;0, 0, IF((((inputs!$P$12/(X670/MAX(K670:S670)))^(1/inputs!$O$12))-1)/inputs!$N$12&gt;inputs!$H$17, inputs!$H$17, (((inputs!$P$12/(X670/MAX(K670:S670)))^(1/inputs!$O$12))-1)/inputs!$N$12))</f>
        <v>0</v>
      </c>
      <c r="V670">
        <f>inputs!$E$70*(F670/inputs!$F$70)^(0.25)</f>
        <v>2.5165436069885425</v>
      </c>
      <c r="W670">
        <f>inputs!$E$76*(inputs!$F$76/F670)^(0.25)</f>
        <v>0.67701774709368412</v>
      </c>
      <c r="X670">
        <f>inputs!$E$72*(inputs!$F$72/F670)^(0.25)</f>
        <v>99.302868945333458</v>
      </c>
      <c r="Y670" t="s">
        <v>13</v>
      </c>
      <c r="Z670">
        <f t="shared" si="69"/>
        <v>8.02341498174858</v>
      </c>
      <c r="AA670">
        <f t="shared" si="70"/>
        <v>29.823846960013981</v>
      </c>
    </row>
    <row r="671" spans="1:27" x14ac:dyDescent="0.3">
      <c r="A671" t="s">
        <v>530</v>
      </c>
      <c r="B671" t="s">
        <v>531</v>
      </c>
      <c r="C671" t="s">
        <v>61</v>
      </c>
      <c r="D671" t="s">
        <v>443</v>
      </c>
      <c r="E671">
        <v>29</v>
      </c>
      <c r="F671">
        <v>14</v>
      </c>
      <c r="G671" t="s">
        <v>142</v>
      </c>
      <c r="H671">
        <v>0.69</v>
      </c>
      <c r="I671">
        <f>MAX('Min rate concentrations'!$H$3:$H$368)</f>
        <v>47</v>
      </c>
      <c r="J671">
        <f>MAX('Min rate concentrations'!AA:AA)</f>
        <v>32.5</v>
      </c>
      <c r="K671">
        <f t="shared" si="68"/>
        <v>29.793116903872598</v>
      </c>
      <c r="L671">
        <f t="shared" ref="L671:L678" si="72">(((0.621*F671^0.564)/(1-H671)))*J671/F671</f>
        <v>20.601623390975732</v>
      </c>
      <c r="M671">
        <f>IF((((0.326*F671^0.818)-(0.398*F671^0.85)/(1-H671)*H671)*(MAX('Min rate concentrations'!$P$3:$P$368)))/F671&gt;0, (((0.326*F671^0.818)-(0.398*F671^0.85)/(1-H671)*H671)*(MAX('Min rate concentrations'!$P$3:$P$368)))/F671, 0)</f>
        <v>0</v>
      </c>
      <c r="N671">
        <f>IF((((0.326*F671^0.818)-(0.398*F671^0.85)/(1-H671)*H671)*(MAX('Min rate concentrations'!$Q$3:$Q$368)))/F671&gt; 0, (((0.326*F671^0.818)-(0.398*F671^0.85)/(1-H671)*H671)*(MAX('Min rate concentrations'!$Q$3:$Q$368)))/F671, 0)</f>
        <v>0</v>
      </c>
      <c r="O671">
        <f>((MAX('Min rate concentrations'!$F$3:$F$368))*0.62*6.01*8*(12.3*F671^0.65)*0.079*0.1/F671)*inputs!$E$73/inputs!$E$74</f>
        <v>17.915346571104685</v>
      </c>
      <c r="P671">
        <f>((MAX('Min rate concentrations'!Y:Y))*0.62*6.01*8*(12.3*F671^0.65)*0.079*0.1/F671)*inputs!$E$73/inputs!$E$74</f>
        <v>5.9717821903682262</v>
      </c>
      <c r="Q671">
        <f>(inputs!$C$7*11.2*(12.3*F671^0.65)*0.5/F671)*inputs!$E$73/inputs!$E$74</f>
        <v>3.1557037993690318</v>
      </c>
      <c r="R671">
        <f>(60*379*((F671/1000)^0.8)*3*24*(MAX('Min rate concentrations'!$R$3:$R$368))/F671)*(inputs!$E$73/inputs!$E$75)</f>
        <v>4.3206774944047777E-3</v>
      </c>
      <c r="S671">
        <f>(IF(inputs!$C$6="aerial",((0.025*0.112*inputs!$C$7/3.3)*(3*60*379*((F671/1000)^0.8))*MAX(inputs!$H$14:$H$16))/F671,((0.0083*0.112*inputs!$C$7/1)*(3*60*379*((F671/1000)^0.8))*MAX(inputs!$H$14:$H$16))/F671))*(inputs!E$75/inputs!$E$73)</f>
        <v>2.3828801836762302E-2</v>
      </c>
      <c r="T671">
        <f>IF((((inputs!$P$12/(V671/MAX(K671:S671)))^(1/inputs!$O$12))-1)/inputs!$N$12&lt;0, 0, IF((((inputs!$P$12/(V671/MAX(K671:S671)))^(1/inputs!$O$12))-1)/inputs!$N$12&gt;inputs!$H$17, inputs!$H$17, (((inputs!$P$12/(V671/MAX(K671:S671)))^(1/inputs!$O$12))-1)/inputs!$N$12))</f>
        <v>32.580912628960427</v>
      </c>
      <c r="U671">
        <f>IF((((inputs!$P$12/(X671/MAX(K671:S671)))^(1/inputs!$O$12))-1)/inputs!$N$12&lt;0, 0, IF((((inputs!$P$12/(X671/MAX(K671:S671)))^(1/inputs!$O$12))-1)/inputs!$N$12&gt;inputs!$H$17, inputs!$H$17, (((inputs!$P$12/(X671/MAX(K671:S671)))^(1/inputs!$O$12))-1)/inputs!$N$12))</f>
        <v>0</v>
      </c>
      <c r="V671">
        <f>inputs!$E$70*(F671/inputs!$F$70)^(0.25)</f>
        <v>2.1769651017642926</v>
      </c>
      <c r="W671">
        <f>inputs!$E$76*(inputs!$F$76/F671)^(0.25)</f>
        <v>0.78262379212492639</v>
      </c>
      <c r="X671">
        <f>inputs!$E$72*(inputs!$F$72/F671)^(0.25)</f>
        <v>114.79283696255482</v>
      </c>
      <c r="Y671" t="s">
        <v>13</v>
      </c>
      <c r="Z671">
        <f t="shared" si="69"/>
        <v>13.685619893367679</v>
      </c>
      <c r="AA671">
        <f t="shared" si="70"/>
        <v>38.068248376375543</v>
      </c>
    </row>
    <row r="672" spans="1:27" x14ac:dyDescent="0.3">
      <c r="A672" t="s">
        <v>530</v>
      </c>
      <c r="B672" t="s">
        <v>531</v>
      </c>
      <c r="C672" t="s">
        <v>61</v>
      </c>
      <c r="D672" t="s">
        <v>443</v>
      </c>
      <c r="E672">
        <v>29</v>
      </c>
      <c r="F672">
        <v>14</v>
      </c>
      <c r="G672" t="s">
        <v>164</v>
      </c>
      <c r="H672">
        <v>0.78</v>
      </c>
      <c r="I672">
        <f>inputs!$C$65*(inputs!$C$62/1000)</f>
        <v>0.82000000000000006</v>
      </c>
      <c r="J672">
        <f>inputs!$C$65*(inputs!$C$61/1000)</f>
        <v>0.25</v>
      </c>
      <c r="K672">
        <f t="shared" si="68"/>
        <v>0.73243813510294165</v>
      </c>
      <c r="L672">
        <f t="shared" si="72"/>
        <v>0.22330430948260416</v>
      </c>
      <c r="M672">
        <f>IF((((0.326*F672^0.818)-(0.398*F672^0.85)/(1-H672)*H672)*(MAX('Min rate concentrations'!$P$3:$P$368)))/F672&gt;0, (((0.326*F672^0.818)-(0.398*F672^0.85)/(1-H672)*H672)*(MAX('Min rate concentrations'!$P$3:$P$368)))/F672, 0)</f>
        <v>0</v>
      </c>
      <c r="N672">
        <f>IF((((0.326*F672^0.818)-(0.398*F672^0.85)/(1-H672)*H672)*(MAX('Min rate concentrations'!$Q$3:$Q$368)))/F672&gt; 0, (((0.326*F672^0.818)-(0.398*F672^0.85)/(1-H672)*H672)*(MAX('Min rate concentrations'!$Q$3:$Q$368)))/F672, 0)</f>
        <v>0</v>
      </c>
      <c r="O672">
        <f>((MAX('Min rate concentrations'!$F$3:$F$368))*0.62*6.01*8*(12.3*F672^0.65)*0.079*0.1/F672)*inputs!$E$73/inputs!$E$74</f>
        <v>17.915346571104685</v>
      </c>
      <c r="P672">
        <f>((MAX('Min rate concentrations'!Y:Y))*0.62*6.01*8*(12.3*F672^0.65)*0.079*0.1/F672)*inputs!$E$73/inputs!$E$74</f>
        <v>5.9717821903682262</v>
      </c>
      <c r="Q672">
        <f>(inputs!$C$7*11.2*(12.3*F672^0.65)*0.5/F672)*inputs!$E$73/inputs!$E$74</f>
        <v>3.1557037993690318</v>
      </c>
      <c r="R672">
        <f>(60*379*((F672/1000)^0.8)*3*24*(MAX('Min rate concentrations'!$R$3:$R$368))/F672)*(inputs!$E$73/inputs!$E$75)</f>
        <v>4.3206774944047777E-3</v>
      </c>
      <c r="S672">
        <f>(IF(inputs!$C$6="aerial",((0.025*0.112*inputs!$C$7/3.3)*(3*60*379*((F672/1000)^0.8))*MAX(inputs!$H$14:$H$16))/F672,((0.0083*0.112*inputs!$C$7/1)*(3*60*379*((F672/1000)^0.8))*MAX(inputs!$H$14:$H$16))/F672))*(inputs!E$75/inputs!$E$73)</f>
        <v>2.3828801836762302E-2</v>
      </c>
      <c r="T672">
        <f>IF((((inputs!$P$12/(V672/MAX(K672:S672)))^(1/inputs!$O$12))-1)/inputs!$N$12&lt;0, 0, IF((((inputs!$P$12/(V672/MAX(K672:S672)))^(1/inputs!$O$12))-1)/inputs!$N$12&gt;inputs!$H$17, inputs!$H$17, (((inputs!$P$12/(V672/MAX(K672:S672)))^(1/inputs!$O$12))-1)/inputs!$N$12))</f>
        <v>21.168117792509733</v>
      </c>
      <c r="U672">
        <f>IF((((inputs!$P$12/(X672/MAX(K672:S672)))^(1/inputs!$O$12))-1)/inputs!$N$12&lt;0, 0, IF((((inputs!$P$12/(X672/MAX(K672:S672)))^(1/inputs!$O$12))-1)/inputs!$N$12&gt;inputs!$H$17, inputs!$H$17, (((inputs!$P$12/(X672/MAX(K672:S672)))^(1/inputs!$O$12))-1)/inputs!$N$12))</f>
        <v>0</v>
      </c>
      <c r="V672">
        <f>inputs!$E$70*(F672/inputs!$F$70)^(0.25)</f>
        <v>2.1769651017642926</v>
      </c>
      <c r="W672">
        <f>inputs!$E$76*(inputs!$F$76/F672)^(0.25)</f>
        <v>0.78262379212492639</v>
      </c>
      <c r="X672">
        <f>inputs!$E$72*(inputs!$F$72/F672)^(0.25)</f>
        <v>114.79283696255482</v>
      </c>
      <c r="Y672" t="s">
        <v>13</v>
      </c>
      <c r="Z672">
        <f t="shared" si="69"/>
        <v>8.2295056345117477</v>
      </c>
      <c r="AA672">
        <f t="shared" si="70"/>
        <v>22.891390156261625</v>
      </c>
    </row>
    <row r="673" spans="1:27" x14ac:dyDescent="0.3">
      <c r="A673" t="s">
        <v>530</v>
      </c>
      <c r="B673" t="s">
        <v>531</v>
      </c>
      <c r="C673" t="s">
        <v>61</v>
      </c>
      <c r="D673" t="s">
        <v>443</v>
      </c>
      <c r="E673">
        <v>29</v>
      </c>
      <c r="F673">
        <v>14</v>
      </c>
      <c r="G673" t="s">
        <v>138</v>
      </c>
      <c r="H673">
        <v>0.68</v>
      </c>
      <c r="I673">
        <f>MAX('Min rate concentrations'!$L$3:$L$368)</f>
        <v>58.421240152220811</v>
      </c>
      <c r="J673">
        <f>MAX('Min rate concentrations'!AD:AD)</f>
        <v>40.397666062705881</v>
      </c>
      <c r="K673">
        <f t="shared" si="68"/>
        <v>35.875715401099903</v>
      </c>
      <c r="L673">
        <f t="shared" si="72"/>
        <v>24.80767554331376</v>
      </c>
      <c r="M673">
        <f>IF((((0.326*F673^0.818)-(0.398*F673^0.85)/(1-H673)*H673)*(MAX('Min rate concentrations'!$P$3:$P$368)))/F673&gt;0, (((0.326*F673^0.818)-(0.398*F673^0.85)/(1-H673)*H673)*(MAX('Min rate concentrations'!$P$3:$P$368)))/F673, 0)</f>
        <v>0</v>
      </c>
      <c r="N673">
        <f>IF((((0.326*F673^0.818)-(0.398*F673^0.85)/(1-H673)*H673)*(MAX('Min rate concentrations'!$Q$3:$Q$368)))/F673&gt; 0, (((0.326*F673^0.818)-(0.398*F673^0.85)/(1-H673)*H673)*(MAX('Min rate concentrations'!$Q$3:$Q$368)))/F673, 0)</f>
        <v>0</v>
      </c>
      <c r="O673">
        <f>((MAX('Min rate concentrations'!$F$3:$F$368))*0.62*6.01*8*(12.3*F673^0.65)*0.079*0.1/F673)*inputs!$E$73/inputs!$E$74</f>
        <v>17.915346571104685</v>
      </c>
      <c r="P673">
        <f>((MAX('Min rate concentrations'!Y:Y))*0.62*6.01*8*(12.3*F673^0.65)*0.079*0.1/F673)*inputs!$E$73/inputs!$E$74</f>
        <v>5.9717821903682262</v>
      </c>
      <c r="Q673">
        <f>(inputs!$C$7*11.2*(12.3*F673^0.65)*0.5/F673)*inputs!$E$73/inputs!$E$74</f>
        <v>3.1557037993690318</v>
      </c>
      <c r="R673">
        <f>(60*379*((F673/1000)^0.8)*3*24*(MAX('Min rate concentrations'!$R$3:$R$368))/F673)*(inputs!$E$73/inputs!$E$75)</f>
        <v>4.3206774944047777E-3</v>
      </c>
      <c r="S673">
        <f>(IF(inputs!$C$6="aerial",((0.025*0.112*inputs!$C$7/3.3)*(3*60*379*((F673/1000)^0.8))*MAX(inputs!$H$14:$H$16))/F673,((0.0083*0.112*inputs!$C$7/1)*(3*60*379*((F673/1000)^0.8))*MAX(inputs!$H$14:$H$16))/F673))*(inputs!E$75/inputs!$E$73)</f>
        <v>2.3828801836762302E-2</v>
      </c>
      <c r="T673">
        <f>IF((((inputs!$P$12/(V673/MAX(K673:S673)))^(1/inputs!$O$12))-1)/inputs!$N$12&lt;0, 0, IF((((inputs!$P$12/(V673/MAX(K673:S673)))^(1/inputs!$O$12))-1)/inputs!$N$12&gt;inputs!$H$17, inputs!$H$17, (((inputs!$P$12/(V673/MAX(K673:S673)))^(1/inputs!$O$12))-1)/inputs!$N$12))</f>
        <v>37.374550327361391</v>
      </c>
      <c r="U673">
        <f>IF((((inputs!$P$12/(X673/MAX(K673:S673)))^(1/inputs!$O$12))-1)/inputs!$N$12&lt;0, 0, IF((((inputs!$P$12/(X673/MAX(K673:S673)))^(1/inputs!$O$12))-1)/inputs!$N$12&gt;inputs!$H$17, inputs!$H$17, (((inputs!$P$12/(X673/MAX(K673:S673)))^(1/inputs!$O$12))-1)/inputs!$N$12))</f>
        <v>0</v>
      </c>
      <c r="V673">
        <f>inputs!$E$70*(F673/inputs!$F$70)^(0.25)</f>
        <v>2.1769651017642926</v>
      </c>
      <c r="W673">
        <f>inputs!$E$76*(inputs!$F$76/F673)^(0.25)</f>
        <v>0.78262379212492639</v>
      </c>
      <c r="X673">
        <f>inputs!$E$72*(inputs!$F$72/F673)^(0.25)</f>
        <v>114.79283696255482</v>
      </c>
      <c r="Y673" t="s">
        <v>13</v>
      </c>
      <c r="Z673">
        <f t="shared" si="69"/>
        <v>16.479692472803034</v>
      </c>
      <c r="AA673">
        <f t="shared" si="70"/>
        <v>45.840307644740292</v>
      </c>
    </row>
    <row r="674" spans="1:27" x14ac:dyDescent="0.3">
      <c r="A674" t="s">
        <v>530</v>
      </c>
      <c r="B674" t="s">
        <v>531</v>
      </c>
      <c r="C674" t="s">
        <v>61</v>
      </c>
      <c r="D674" t="s">
        <v>443</v>
      </c>
      <c r="E674">
        <v>29</v>
      </c>
      <c r="F674">
        <v>14</v>
      </c>
      <c r="G674" t="s">
        <v>218</v>
      </c>
      <c r="H674">
        <v>0.68</v>
      </c>
      <c r="I674">
        <f>MAX('Min rate concentrations'!$K$3:$K$368)</f>
        <v>18.333393099490852</v>
      </c>
      <c r="J674">
        <f>MAX('Min rate concentrations'!AC:AC)</f>
        <v>6.4930767227363431</v>
      </c>
      <c r="K674">
        <f t="shared" si="68"/>
        <v>11.258295638026096</v>
      </c>
      <c r="L674">
        <f t="shared" si="72"/>
        <v>3.9873130384675757</v>
      </c>
      <c r="M674">
        <f>IF((((0.326*F674^0.818)-(0.398*F674^0.85)/(1-H674)*H674)*(MAX('Min rate concentrations'!$P$3:$P$368)))/F674&gt;0, (((0.326*F674^0.818)-(0.398*F674^0.85)/(1-H674)*H674)*(MAX('Min rate concentrations'!$P$3:$P$368)))/F674, 0)</f>
        <v>0</v>
      </c>
      <c r="N674">
        <f>IF((((0.326*F674^0.818)-(0.398*F674^0.85)/(1-H674)*H674)*(MAX('Min rate concentrations'!$Q$3:$Q$368)))/F674&gt; 0, (((0.326*F674^0.818)-(0.398*F674^0.85)/(1-H674)*H674)*(MAX('Min rate concentrations'!$Q$3:$Q$368)))/F674, 0)</f>
        <v>0</v>
      </c>
      <c r="O674">
        <f>((MAX('Min rate concentrations'!$F$3:$F$368))*0.62*6.01*8*(12.3*F674^0.65)*0.079*0.1/F674)*inputs!$E$73/inputs!$E$74</f>
        <v>17.915346571104685</v>
      </c>
      <c r="P674">
        <f>((MAX('Min rate concentrations'!Y:Y))*0.62*6.01*8*(12.3*F674^0.65)*0.079*0.1/F674)*inputs!$E$73/inputs!$E$74</f>
        <v>5.9717821903682262</v>
      </c>
      <c r="Q674">
        <f>(inputs!$C$7*11.2*(12.3*F674^0.65)*0.5/F674)*inputs!$E$73/inputs!$E$74</f>
        <v>3.1557037993690318</v>
      </c>
      <c r="R674">
        <f>(60*379*((F674/1000)^0.8)*3*24*(MAX('Min rate concentrations'!$R$3:$R$368))/F674)*(inputs!$E$73/inputs!$E$75)</f>
        <v>4.3206774944047777E-3</v>
      </c>
      <c r="S674">
        <f>(IF(inputs!$C$6="aerial",((0.025*0.112*inputs!$C$7/3.3)*(3*60*379*((F674/1000)^0.8))*MAX(inputs!$H$14:$H$16))/F674,((0.0083*0.112*inputs!$C$7/1)*(3*60*379*((F674/1000)^0.8))*MAX(inputs!$H$14:$H$16))/F674))*(inputs!E$75/inputs!$E$73)</f>
        <v>2.3828801836762302E-2</v>
      </c>
      <c r="T674">
        <f>IF((((inputs!$P$12/(V674/MAX(K674:S674)))^(1/inputs!$O$12))-1)/inputs!$N$12&lt;0, 0, IF((((inputs!$P$12/(V674/MAX(K674:S674)))^(1/inputs!$O$12))-1)/inputs!$N$12&gt;inputs!$H$17, inputs!$H$17, (((inputs!$P$12/(V674/MAX(K674:S674)))^(1/inputs!$O$12))-1)/inputs!$N$12))</f>
        <v>21.168117792509733</v>
      </c>
      <c r="U674">
        <f>IF((((inputs!$P$12/(X674/MAX(K674:S674)))^(1/inputs!$O$12))-1)/inputs!$N$12&lt;0, 0, IF((((inputs!$P$12/(X674/MAX(K674:S674)))^(1/inputs!$O$12))-1)/inputs!$N$12&gt;inputs!$H$17, inputs!$H$17, (((inputs!$P$12/(X674/MAX(K674:S674)))^(1/inputs!$O$12))-1)/inputs!$N$12))</f>
        <v>0</v>
      </c>
      <c r="V674">
        <f>inputs!$E$70*(F674/inputs!$F$70)^(0.25)</f>
        <v>2.1769651017642926</v>
      </c>
      <c r="W674">
        <f>inputs!$E$76*(inputs!$F$76/F674)^(0.25)</f>
        <v>0.78262379212492639</v>
      </c>
      <c r="X674">
        <f>inputs!$E$72*(inputs!$F$72/F674)^(0.25)</f>
        <v>114.79283696255482</v>
      </c>
      <c r="Y674" t="s">
        <v>13</v>
      </c>
      <c r="Z674">
        <f t="shared" si="69"/>
        <v>8.2295056345117477</v>
      </c>
      <c r="AA674">
        <f t="shared" si="70"/>
        <v>22.891390156261625</v>
      </c>
    </row>
    <row r="675" spans="1:27" x14ac:dyDescent="0.3">
      <c r="A675" t="s">
        <v>530</v>
      </c>
      <c r="B675" t="s">
        <v>531</v>
      </c>
      <c r="C675" t="s">
        <v>61</v>
      </c>
      <c r="D675" t="s">
        <v>443</v>
      </c>
      <c r="E675">
        <v>29</v>
      </c>
      <c r="F675">
        <v>14</v>
      </c>
      <c r="G675" t="s">
        <v>186</v>
      </c>
      <c r="H675">
        <v>0.75</v>
      </c>
      <c r="I675">
        <f>inputs!$C$65*inputs!$C$64/1000</f>
        <v>2.13</v>
      </c>
      <c r="J675">
        <f>inputs!$C$65*inputs!$C$63/1000</f>
        <v>0.88</v>
      </c>
      <c r="K675">
        <f t="shared" si="68"/>
        <v>1.6742463907767726</v>
      </c>
      <c r="L675">
        <f t="shared" si="72"/>
        <v>0.6917074290533145</v>
      </c>
      <c r="M675">
        <f>IF((((0.326*F675^0.818)-(0.398*F675^0.85)/(1-H675)*H675)*(MAX('Min rate concentrations'!$P$3:$P$368)))/F675&gt;0, (((0.326*F675^0.818)-(0.398*F675^0.85)/(1-H675)*H675)*(MAX('Min rate concentrations'!$P$3:$P$368)))/F675, 0)</f>
        <v>0</v>
      </c>
      <c r="N675">
        <f>IF((((0.326*F675^0.818)-(0.398*F675^0.85)/(1-H675)*H675)*(MAX('Min rate concentrations'!$Q$3:$Q$368)))/F675&gt; 0, (((0.326*F675^0.818)-(0.398*F675^0.85)/(1-H675)*H675)*(MAX('Min rate concentrations'!$Q$3:$Q$368)))/F675, 0)</f>
        <v>0</v>
      </c>
      <c r="O675">
        <f>((MAX('Min rate concentrations'!$F$3:$F$368))*0.62*6.01*8*(12.3*F675^0.65)*0.079*0.1/F675)*inputs!$E$73/inputs!$E$74</f>
        <v>17.915346571104685</v>
      </c>
      <c r="P675">
        <f>((MAX('Min rate concentrations'!Y:Y))*0.62*6.01*8*(12.3*F675^0.65)*0.079*0.1/F675)*inputs!$E$73/inputs!$E$74</f>
        <v>5.9717821903682262</v>
      </c>
      <c r="Q675">
        <f>(inputs!$C$7*11.2*(12.3*F675^0.65)*0.5/F675)*inputs!$E$73/inputs!$E$74</f>
        <v>3.1557037993690318</v>
      </c>
      <c r="R675">
        <f>(60*379*((F675/1000)^0.8)*3*24*(MAX('Min rate concentrations'!$R$3:$R$368))/F675)*(inputs!$E$73/inputs!$E$75)</f>
        <v>4.3206774944047777E-3</v>
      </c>
      <c r="S675">
        <f>(IF(inputs!$C$6="aerial",((0.025*0.112*inputs!$C$7/3.3)*(3*60*379*((F675/1000)^0.8))*MAX(inputs!$H$14:$H$16))/F675,((0.0083*0.112*inputs!$C$7/1)*(3*60*379*((F675/1000)^0.8))*MAX(inputs!$H$14:$H$16))/F675))*(inputs!E$75/inputs!$E$73)</f>
        <v>2.3828801836762302E-2</v>
      </c>
      <c r="T675">
        <f>IF((((inputs!$P$12/(V675/MAX(K675:S675)))^(1/inputs!$O$12))-1)/inputs!$N$12&lt;0, 0, IF((((inputs!$P$12/(V675/MAX(K675:S675)))^(1/inputs!$O$12))-1)/inputs!$N$12&gt;inputs!$H$17, inputs!$H$17, (((inputs!$P$12/(V675/MAX(K675:S675)))^(1/inputs!$O$12))-1)/inputs!$N$12))</f>
        <v>21.168117792509733</v>
      </c>
      <c r="U675">
        <f>IF((((inputs!$P$12/(X675/MAX(K675:S675)))^(1/inputs!$O$12))-1)/inputs!$N$12&lt;0, 0, IF((((inputs!$P$12/(X675/MAX(K675:S675)))^(1/inputs!$O$12))-1)/inputs!$N$12&gt;inputs!$H$17, inputs!$H$17, (((inputs!$P$12/(X675/MAX(K675:S675)))^(1/inputs!$O$12))-1)/inputs!$N$12))</f>
        <v>0</v>
      </c>
      <c r="V675">
        <f>inputs!$E$70*(F675/inputs!$F$70)^(0.25)</f>
        <v>2.1769651017642926</v>
      </c>
      <c r="W675">
        <f>inputs!$E$76*(inputs!$F$76/F675)^(0.25)</f>
        <v>0.78262379212492639</v>
      </c>
      <c r="X675">
        <f>inputs!$E$72*(inputs!$F$72/F675)^(0.25)</f>
        <v>114.79283696255482</v>
      </c>
      <c r="Y675" t="s">
        <v>13</v>
      </c>
      <c r="Z675">
        <f t="shared" si="69"/>
        <v>8.2295056345117477</v>
      </c>
      <c r="AA675">
        <f t="shared" si="70"/>
        <v>22.891390156261625</v>
      </c>
    </row>
    <row r="676" spans="1:27" x14ac:dyDescent="0.3">
      <c r="A676" t="s">
        <v>530</v>
      </c>
      <c r="B676" t="s">
        <v>531</v>
      </c>
      <c r="C676" t="s">
        <v>61</v>
      </c>
      <c r="D676" t="s">
        <v>443</v>
      </c>
      <c r="E676">
        <v>29</v>
      </c>
      <c r="F676">
        <v>14</v>
      </c>
      <c r="G676" t="s">
        <v>456</v>
      </c>
      <c r="H676">
        <v>0.68</v>
      </c>
      <c r="I676">
        <f>MAX('Min rate concentrations'!$J$3:$J$368)</f>
        <v>114.4108103430513</v>
      </c>
      <c r="J676">
        <f>MAX('Min rate concentrations'!AB:AB)</f>
        <v>40.520495329830666</v>
      </c>
      <c r="K676">
        <f t="shared" si="68"/>
        <v>70.258174252750692</v>
      </c>
      <c r="L676">
        <f t="shared" si="72"/>
        <v>24.883103381182536</v>
      </c>
      <c r="M676">
        <f>IF((((0.326*F676^0.818)-(0.398*F676^0.85)/(1-H676)*H676)*(MAX('Min rate concentrations'!$P$3:$P$368)))/F676&gt;0, (((0.326*F676^0.818)-(0.398*F676^0.85)/(1-H676)*H676)*(MAX('Min rate concentrations'!$P$3:$P$368)))/F676, 0)</f>
        <v>0</v>
      </c>
      <c r="N676">
        <f>IF((((0.326*F676^0.818)-(0.398*F676^0.85)/(1-H676)*H676)*(MAX('Min rate concentrations'!$Q$3:$Q$368)))/F676&gt; 0, (((0.326*F676^0.818)-(0.398*F676^0.85)/(1-H676)*H676)*(MAX('Min rate concentrations'!$Q$3:$Q$368)))/F676, 0)</f>
        <v>0</v>
      </c>
      <c r="O676">
        <f>((MAX('Min rate concentrations'!$F$3:$F$368))*0.62*6.01*8*(12.3*F676^0.65)*0.079*0.1/F676)*inputs!$E$73/inputs!$E$74</f>
        <v>17.915346571104685</v>
      </c>
      <c r="P676">
        <f>((MAX('Min rate concentrations'!Y:Y))*0.62*6.01*8*(12.3*F676^0.65)*0.079*0.1/F676)*inputs!$E$73/inputs!$E$74</f>
        <v>5.9717821903682262</v>
      </c>
      <c r="Q676">
        <f>(inputs!$C$7*11.2*(12.3*F676^0.65)*0.5/F676)*inputs!$E$73/inputs!$E$74</f>
        <v>3.1557037993690318</v>
      </c>
      <c r="R676">
        <f>(60*379*((F676/1000)^0.8)*3*24*(MAX('Min rate concentrations'!$R$3:$R$368))/F676)*(inputs!$E$73/inputs!$E$75)</f>
        <v>4.3206774944047777E-3</v>
      </c>
      <c r="S676">
        <f>(IF(inputs!$C$6="aerial",((0.025*0.112*inputs!$C$7/3.3)*(3*60*379*((F676/1000)^0.8))*MAX(inputs!$H$14:$H$16))/F676,((0.0083*0.112*inputs!$C$7/1)*(3*60*379*((F676/1000)^0.8))*MAX(inputs!$H$14:$H$16))/F676))*(inputs!E$75/inputs!$E$73)</f>
        <v>2.3828801836762302E-2</v>
      </c>
      <c r="T676">
        <f>IF((((inputs!$P$12/(V676/MAX(K676:S676)))^(1/inputs!$O$12))-1)/inputs!$N$12&lt;0, 0, IF((((inputs!$P$12/(V676/MAX(K676:S676)))^(1/inputs!$O$12))-1)/inputs!$N$12&gt;inputs!$H$17, inputs!$H$17, (((inputs!$P$12/(V676/MAX(K676:S676)))^(1/inputs!$O$12))-1)/inputs!$N$12))</f>
        <v>58.081784815077931</v>
      </c>
      <c r="U676">
        <f>IF((((inputs!$P$12/(X676/MAX(K676:S676)))^(1/inputs!$O$12))-1)/inputs!$N$12&lt;0, 0, IF((((inputs!$P$12/(X676/MAX(K676:S676)))^(1/inputs!$O$12))-1)/inputs!$N$12&gt;inputs!$H$17, inputs!$H$17, (((inputs!$P$12/(X676/MAX(K676:S676)))^(1/inputs!$O$12))-1)/inputs!$N$12))</f>
        <v>0</v>
      </c>
      <c r="V676">
        <f>inputs!$E$70*(F676/inputs!$F$70)^(0.25)</f>
        <v>2.1769651017642926</v>
      </c>
      <c r="W676">
        <f>inputs!$E$76*(inputs!$F$76/F676)^(0.25)</f>
        <v>0.78262379212492639</v>
      </c>
      <c r="X676">
        <f>inputs!$E$72*(inputs!$F$72/F676)^(0.25)</f>
        <v>114.79283696255482</v>
      </c>
      <c r="Y676" t="s">
        <v>13</v>
      </c>
      <c r="Z676">
        <f t="shared" si="69"/>
        <v>32.273449949110756</v>
      </c>
      <c r="AA676">
        <f t="shared" si="70"/>
        <v>89.772602059529163</v>
      </c>
    </row>
    <row r="677" spans="1:27" x14ac:dyDescent="0.3">
      <c r="A677" t="s">
        <v>530</v>
      </c>
      <c r="B677" t="s">
        <v>531</v>
      </c>
      <c r="C677" t="s">
        <v>61</v>
      </c>
      <c r="D677" t="s">
        <v>443</v>
      </c>
      <c r="E677">
        <v>29</v>
      </c>
      <c r="F677">
        <v>14</v>
      </c>
      <c r="G677" t="s">
        <v>145</v>
      </c>
      <c r="H677">
        <v>0.66</v>
      </c>
      <c r="I677">
        <f>MAX('Min rate concentrations'!$M$3:$M$368)</f>
        <v>2.8488184789681945</v>
      </c>
      <c r="J677">
        <f>MAX('Min rate concentrations'!AE:AE)</f>
        <v>1.9699276716269429</v>
      </c>
      <c r="K677">
        <f t="shared" si="68"/>
        <v>1.6465147943905951</v>
      </c>
      <c r="L677">
        <f t="shared" si="72"/>
        <v>1.1385474642062625</v>
      </c>
      <c r="M677">
        <f>IF((((0.326*F677^0.818)-(0.398*F677^0.85)/(1-H677)*H677)*(MAX('Min rate concentrations'!$P$3:$P$368)))/F677&gt;0, (((0.326*F677^0.818)-(0.398*F677^0.85)/(1-H677)*H677)*(MAX('Min rate concentrations'!$P$3:$P$368)))/F677, 0)</f>
        <v>0</v>
      </c>
      <c r="N677">
        <f>IF((((0.326*F677^0.818)-(0.398*F677^0.85)/(1-H677)*H677)*(MAX('Min rate concentrations'!$Q$3:$Q$368)))/F677&gt; 0, (((0.326*F677^0.818)-(0.398*F677^0.85)/(1-H677)*H677)*(MAX('Min rate concentrations'!$Q$3:$Q$368)))/F677, 0)</f>
        <v>0</v>
      </c>
      <c r="O677">
        <f>((MAX('Min rate concentrations'!$F$3:$F$368))*0.62*6.01*8*(12.3*F677^0.65)*0.079*0.1/F677)*inputs!$E$73/inputs!$E$74</f>
        <v>17.915346571104685</v>
      </c>
      <c r="P677">
        <f>((MAX('Min rate concentrations'!Y:Y))*0.62*6.01*8*(12.3*F677^0.65)*0.079*0.1/F677)*inputs!$E$73/inputs!$E$74</f>
        <v>5.9717821903682262</v>
      </c>
      <c r="Q677">
        <f>(inputs!$C$7*11.2*(12.3*F677^0.65)*0.5/F677)*inputs!$E$73/inputs!$E$74</f>
        <v>3.1557037993690318</v>
      </c>
      <c r="R677">
        <f>(60*379*((F677/1000)^0.8)*3*24*(MAX('Min rate concentrations'!$R$3:$R$368))/F677)*(inputs!$E$73/inputs!$E$75)</f>
        <v>4.3206774944047777E-3</v>
      </c>
      <c r="S677">
        <f>(IF(inputs!$C$6="aerial",((0.025*0.112*inputs!$C$7/3.3)*(3*60*379*((F677/1000)^0.8))*MAX(inputs!$H$14:$H$16))/F677,((0.0083*0.112*inputs!$C$7/1)*(3*60*379*((F677/1000)^0.8))*MAX(inputs!$H$14:$H$16))/F677))*(inputs!E$75/inputs!$E$73)</f>
        <v>2.3828801836762302E-2</v>
      </c>
      <c r="T677">
        <f>IF((((inputs!$P$12/(V677/MAX(K677:S677)))^(1/inputs!$O$12))-1)/inputs!$N$12&lt;0, 0, IF((((inputs!$P$12/(V677/MAX(K677:S677)))^(1/inputs!$O$12))-1)/inputs!$N$12&gt;inputs!$H$17, inputs!$H$17, (((inputs!$P$12/(V677/MAX(K677:S677)))^(1/inputs!$O$12))-1)/inputs!$N$12))</f>
        <v>21.168117792509733</v>
      </c>
      <c r="U677">
        <f>IF((((inputs!$P$12/(X677/MAX(K677:S677)))^(1/inputs!$O$12))-1)/inputs!$N$12&lt;0, 0, IF((((inputs!$P$12/(X677/MAX(K677:S677)))^(1/inputs!$O$12))-1)/inputs!$N$12&gt;inputs!$H$17, inputs!$H$17, (((inputs!$P$12/(X677/MAX(K677:S677)))^(1/inputs!$O$12))-1)/inputs!$N$12))</f>
        <v>0</v>
      </c>
      <c r="V677">
        <f>inputs!$E$70*(F677/inputs!$F$70)^(0.25)</f>
        <v>2.1769651017642926</v>
      </c>
      <c r="W677">
        <f>inputs!$E$76*(inputs!$F$76/F677)^(0.25)</f>
        <v>0.78262379212492639</v>
      </c>
      <c r="X677">
        <f>inputs!$E$72*(inputs!$F$72/F677)^(0.25)</f>
        <v>114.79283696255482</v>
      </c>
      <c r="Y677" t="s">
        <v>13</v>
      </c>
      <c r="Z677">
        <f t="shared" si="69"/>
        <v>8.2295056345117477</v>
      </c>
      <c r="AA677">
        <f t="shared" si="70"/>
        <v>22.891390156261625</v>
      </c>
    </row>
    <row r="678" spans="1:27" x14ac:dyDescent="0.3">
      <c r="A678" t="s">
        <v>523</v>
      </c>
      <c r="B678" t="s">
        <v>524</v>
      </c>
      <c r="C678" t="s">
        <v>61</v>
      </c>
      <c r="D678" t="s">
        <v>443</v>
      </c>
      <c r="E678">
        <v>62</v>
      </c>
      <c r="F678">
        <v>400</v>
      </c>
      <c r="G678" t="s">
        <v>152</v>
      </c>
      <c r="H678">
        <v>0.77</v>
      </c>
      <c r="I678">
        <f>MAX('Min rate concentrations'!$G$3:$G$368)</f>
        <v>7.5</v>
      </c>
      <c r="J678">
        <f>MAX('Min rate concentrations'!Z:Z)</f>
        <v>3.5</v>
      </c>
      <c r="K678">
        <f t="shared" si="68"/>
        <v>1.4856854541059159</v>
      </c>
      <c r="L678">
        <f t="shared" si="72"/>
        <v>0.69331987858276067</v>
      </c>
      <c r="M678">
        <f>IF((((0.326*F678^0.818)-(0.398*F678^0.85)/(1-H678)*H678)*(MAX('Min rate concentrations'!$P$3:$P$368)))/F678&gt;0, (((0.326*F678^0.818)-(0.398*F678^0.85)/(1-H678)*H678)*(MAX('Min rate concentrations'!$P$3:$P$368)))/F678, 0)</f>
        <v>0</v>
      </c>
      <c r="N678">
        <f>IF((((0.326*F678^0.818)-(0.398*F678^0.85)/(1-H678)*H678)*(MAX('Min rate concentrations'!$Q$3:$Q$368)))/F678&gt; 0, (((0.326*F678^0.818)-(0.398*F678^0.85)/(1-H678)*H678)*(MAX('Min rate concentrations'!$Q$3:$Q$368)))/F678, 0)</f>
        <v>0</v>
      </c>
      <c r="O678">
        <f>((MAX('Min rate concentrations'!$F$3:$F$368))*0.62*6.01*8*(12.3*F678^0.65)*0.079*0.1/F678)*inputs!$E$73/inputs!$E$74</f>
        <v>5.5417767910771119</v>
      </c>
      <c r="P678">
        <f>((MAX('Min rate concentrations'!Y:Y))*0.62*6.01*8*(12.3*F678^0.65)*0.079*0.1/F678)*inputs!$E$73/inputs!$E$74</f>
        <v>1.8472589303590372</v>
      </c>
      <c r="Q678">
        <f>(inputs!$C$7*11.2*(12.3*F678^0.65)*0.5/F678)*inputs!$E$73/inputs!$E$74</f>
        <v>0.97615784352525747</v>
      </c>
      <c r="R678">
        <f>(60*379*((F678/1000)^0.8)*3*24*(MAX('Min rate concentrations'!$R$3:$R$368))/F678)*(inputs!$E$73/inputs!$E$75)</f>
        <v>2.2098635551440382E-3</v>
      </c>
      <c r="S678">
        <f>(IF(inputs!$C$6="aerial",((0.025*0.112*inputs!$C$7/3.3)*(3*60*379*((F678/1000)^0.8))*MAX(inputs!$H$14:$H$16))/F678,((0.0083*0.112*inputs!$C$7/1)*(3*60*379*((F678/1000)^0.8))*MAX(inputs!$H$14:$H$16))/F678))*(inputs!E$75/inputs!$E$73)</f>
        <v>1.2187533276899816E-2</v>
      </c>
      <c r="T678">
        <f>IF((((inputs!$P$12/(V678/MAX(K678:S678)))^(1/inputs!$O$12))-1)/inputs!$N$12&lt;0, 0, IF((((inputs!$P$12/(V678/MAX(K678:S678)))^(1/inputs!$O$12))-1)/inputs!$N$12&gt;inputs!$H$17, inputs!$H$17, (((inputs!$P$12/(V678/MAX(K678:S678)))^(1/inputs!$O$12))-1)/inputs!$N$12))</f>
        <v>0</v>
      </c>
      <c r="U678">
        <f>IF((((inputs!$P$12/(X678/MAX(K678:S678)))^(1/inputs!$O$12))-1)/inputs!$N$12&lt;0, 0, IF((((inputs!$P$12/(X678/MAX(K678:S678)))^(1/inputs!$O$12))-1)/inputs!$N$12&gt;inputs!$H$17, inputs!$H$17, (((inputs!$P$12/(X678/MAX(K678:S678)))^(1/inputs!$O$12))-1)/inputs!$N$12))</f>
        <v>0</v>
      </c>
      <c r="V678">
        <f>inputs!$E$70*(F678/inputs!$F$70)^(0.25)</f>
        <v>5.033087213977085</v>
      </c>
      <c r="W678">
        <f>inputs!$E$76*(inputs!$F$76/F678)^(0.25)</f>
        <v>0.33850887354684212</v>
      </c>
      <c r="X678">
        <f>inputs!$E$72*(inputs!$F$72/F678)^(0.25)</f>
        <v>49.651434472666729</v>
      </c>
      <c r="Y678" t="s">
        <v>13</v>
      </c>
      <c r="Z678">
        <f t="shared" si="69"/>
        <v>1.1010690964558245</v>
      </c>
      <c r="AA678">
        <f t="shared" si="70"/>
        <v>16.3711418640559</v>
      </c>
    </row>
    <row r="679" spans="1:27" x14ac:dyDescent="0.3">
      <c r="A679" t="s">
        <v>523</v>
      </c>
      <c r="B679" t="s">
        <v>524</v>
      </c>
      <c r="C679" t="s">
        <v>61</v>
      </c>
      <c r="D679" t="s">
        <v>443</v>
      </c>
      <c r="E679">
        <v>62</v>
      </c>
      <c r="F679">
        <v>400</v>
      </c>
      <c r="G679" t="s">
        <v>525</v>
      </c>
      <c r="H679">
        <v>0.85</v>
      </c>
      <c r="I679">
        <f>MAX('Min rate concentrations'!$F$3:$F$368)</f>
        <v>67.5</v>
      </c>
      <c r="J679">
        <f>MAX('Min rate concentrations'!Y:Y)</f>
        <v>22.5</v>
      </c>
      <c r="K679">
        <f t="shared" si="68"/>
        <v>20.502459266661631</v>
      </c>
      <c r="M679">
        <f>IF((((0.326*F679^0.818)-(0.398*F679^0.85)/(1-H679)*H679)*(MAX('Min rate concentrations'!$P$3:$P$368)))/F679&gt;0, (((0.326*F679^0.818)-(0.398*F679^0.85)/(1-H679)*H679)*(MAX('Min rate concentrations'!$P$3:$P$368)))/F679, 0)</f>
        <v>0</v>
      </c>
      <c r="N679">
        <f>IF((((0.326*F679^0.818)-(0.398*F679^0.85)/(1-H679)*H679)*(MAX('Min rate concentrations'!$Q$3:$Q$368)))/F679&gt; 0, (((0.326*F679^0.818)-(0.398*F679^0.85)/(1-H679)*H679)*(MAX('Min rate concentrations'!$Q$3:$Q$368)))/F679, 0)</f>
        <v>0</v>
      </c>
      <c r="O679">
        <f>((MAX('Min rate concentrations'!$F$3:$F$368))*0.62*6.01*8*(12.3*F679^0.65)*0.079*0.1/F679)*inputs!$E$73/inputs!$E$74</f>
        <v>5.5417767910771119</v>
      </c>
      <c r="Q679">
        <f>(inputs!$C$7*11.2*(12.3*F679^0.65)*0.5/F679)*inputs!$E$73/inputs!$E$74</f>
        <v>0.97615784352525747</v>
      </c>
      <c r="R679">
        <f>(60*379*((F679/1000)^0.8)*3*24*(MAX('Min rate concentrations'!$R$3:$R$368))/F679)*(inputs!$E$73/inputs!$E$75)</f>
        <v>2.2098635551440382E-3</v>
      </c>
      <c r="S679">
        <f>(IF(inputs!$C$6="aerial",((0.025*0.112*inputs!$C$7/3.3)*(3*60*379*((F679/1000)^0.8))*MAX(inputs!$H$14:$H$16))/F679,((0.0083*0.112*inputs!$C$7/1)*(3*60*379*((F679/1000)^0.8))*MAX(inputs!$H$14:$H$16))/F679))*(inputs!E$75/inputs!$E$73)</f>
        <v>1.2187533276899816E-2</v>
      </c>
      <c r="T679">
        <f>IF((((inputs!$P$12/(V679/MAX(K679:S679)))^(1/inputs!$O$12))-1)/inputs!$N$12&lt;0, 0, IF((((inputs!$P$12/(V679/MAX(K679:S679)))^(1/inputs!$O$12))-1)/inputs!$N$12&gt;inputs!$H$17, inputs!$H$17, (((inputs!$P$12/(V679/MAX(K679:S679)))^(1/inputs!$O$12))-1)/inputs!$N$12))</f>
        <v>8.8154449735641478</v>
      </c>
      <c r="U679">
        <f>IF((((inputs!$P$12/(X679/MAX(K679:S679)))^(1/inputs!$O$12))-1)/inputs!$N$12&lt;0, 0, IF((((inputs!$P$12/(X679/MAX(K679:S679)))^(1/inputs!$O$12))-1)/inputs!$N$12&gt;inputs!$H$17, inputs!$H$17, (((inputs!$P$12/(X679/MAX(K679:S679)))^(1/inputs!$O$12))-1)/inputs!$N$12))</f>
        <v>0</v>
      </c>
      <c r="V679">
        <f>inputs!$E$70*(F679/inputs!$F$70)^(0.25)</f>
        <v>5.033087213977085</v>
      </c>
      <c r="W679">
        <f>inputs!$E$76*(inputs!$F$76/F679)^(0.25)</f>
        <v>0.33850887354684212</v>
      </c>
      <c r="X679">
        <f>inputs!$E$72*(inputs!$F$72/F679)^(0.25)</f>
        <v>49.651434472666729</v>
      </c>
      <c r="Y679" t="s">
        <v>13</v>
      </c>
      <c r="Z679">
        <f t="shared" si="69"/>
        <v>4.0735354654148415</v>
      </c>
      <c r="AA679">
        <f t="shared" si="70"/>
        <v>60.56697731979704</v>
      </c>
    </row>
    <row r="680" spans="1:27" x14ac:dyDescent="0.3">
      <c r="A680" t="s">
        <v>582</v>
      </c>
      <c r="B680" t="s">
        <v>583</v>
      </c>
      <c r="C680" t="s">
        <v>61</v>
      </c>
      <c r="D680" t="s">
        <v>443</v>
      </c>
      <c r="E680">
        <v>3194</v>
      </c>
      <c r="F680">
        <v>75</v>
      </c>
      <c r="G680" t="s">
        <v>177</v>
      </c>
      <c r="H680">
        <v>0.85</v>
      </c>
      <c r="I680">
        <f>MAX('Min rate concentrations'!$F$3:$F$368)</f>
        <v>67.5</v>
      </c>
      <c r="J680">
        <f>MAX('Min rate concentrations'!Y:Y)</f>
        <v>22.5</v>
      </c>
      <c r="K680">
        <f t="shared" si="68"/>
        <v>42.538032929594046</v>
      </c>
      <c r="L680">
        <f>(((0.621*F680^0.564)/(1-H680)))*J680/F680</f>
        <v>14.179344309864682</v>
      </c>
      <c r="M680">
        <f>IF((((0.326*F680^0.818)-(0.398*F680^0.85)/(1-H680)*H680)*(MAX('Min rate concentrations'!$P$3:$P$368)))/F680&gt;0, (((0.326*F680^0.818)-(0.398*F680^0.85)/(1-H680)*H680)*(MAX('Min rate concentrations'!$P$3:$P$368)))/F680, 0)</f>
        <v>0</v>
      </c>
      <c r="N680">
        <f>IF((((0.326*F680^0.818)-(0.398*F680^0.85)/(1-H680)*H680)*(MAX('Min rate concentrations'!$Q$3:$Q$368)))/F680&gt; 0, (((0.326*F680^0.818)-(0.398*F680^0.85)/(1-H680)*H680)*(MAX('Min rate concentrations'!$Q$3:$Q$368)))/F680, 0)</f>
        <v>0</v>
      </c>
      <c r="O680">
        <f>((MAX('Min rate concentrations'!$F$3:$F$368))*0.62*6.01*8*(12.3*F680^0.65)*0.079*0.1/F680)*inputs!$E$73/inputs!$E$74</f>
        <v>9.9563139872749549</v>
      </c>
      <c r="P680">
        <f>((MAX('Min rate concentrations'!Y:Y))*0.62*6.01*8*(12.3*F680^0.65)*0.079*0.1/F680)*inputs!$E$73/inputs!$E$74</f>
        <v>3.3187713290916498</v>
      </c>
      <c r="Q680">
        <f>(inputs!$C$7*11.2*(12.3*F680^0.65)*0.5/F680)*inputs!$E$73/inputs!$E$74</f>
        <v>1.7537577491261036</v>
      </c>
      <c r="R680">
        <f>(60*379*((F680/1000)^0.8)*3*24*(MAX('Min rate concentrations'!$R$3:$R$368))/F680)*(inputs!$E$73/inputs!$E$75)</f>
        <v>3.0886251622392535E-3</v>
      </c>
      <c r="S680">
        <f>(IF(inputs!$C$6="aerial",((0.025*0.112*inputs!$C$7/3.3)*(3*60*379*((F680/1000)^0.8))*MAX(inputs!$H$14:$H$16))/F680,((0.0083*0.112*inputs!$C$7/1)*(3*60*379*((F680/1000)^0.8))*MAX(inputs!$H$14:$H$16))/F680))*(inputs!E$75/inputs!$E$73)</f>
        <v>1.7033957529657275E-2</v>
      </c>
      <c r="T680">
        <f>IF((((inputs!$P$12/(V680/MAX(K680:S680)))^(1/inputs!$O$12))-1)/inputs!$N$12&lt;0, 0, IF((((inputs!$P$12/(V680/MAX(K680:S680)))^(1/inputs!$O$12))-1)/inputs!$N$12&gt;inputs!$H$17, inputs!$H$17, (((inputs!$P$12/(V680/MAX(K680:S680)))^(1/inputs!$O$12))-1)/inputs!$N$12))</f>
        <v>31.024111684355479</v>
      </c>
      <c r="U680">
        <f>IF((((inputs!$P$12/(X680/MAX(K680:S680)))^(1/inputs!$O$12))-1)/inputs!$N$12&lt;0, 0, IF((((inputs!$P$12/(X680/MAX(K680:S680)))^(1/inputs!$O$12))-1)/inputs!$N$12&gt;inputs!$H$17, inputs!$H$17, (((inputs!$P$12/(X680/MAX(K680:S680)))^(1/inputs!$O$12))-1)/inputs!$N$12))</f>
        <v>0</v>
      </c>
      <c r="V680">
        <f>inputs!$E$70*(F680/inputs!$F$70)^(0.25)</f>
        <v>3.3119576436193516</v>
      </c>
      <c r="W680">
        <f>inputs!$E$76*(inputs!$F$76/F680)^(0.25)</f>
        <v>0.51442224406122605</v>
      </c>
      <c r="X680">
        <f>inputs!$E$72*(inputs!$F$72/F680)^(0.25)</f>
        <v>75.453863512247679</v>
      </c>
      <c r="Y680" t="s">
        <v>13</v>
      </c>
      <c r="Z680">
        <f t="shared" si="69"/>
        <v>12.843773232289262</v>
      </c>
      <c r="AA680">
        <f t="shared" si="70"/>
        <v>82.690889479754318</v>
      </c>
    </row>
    <row r="681" spans="1:27" x14ac:dyDescent="0.3">
      <c r="A681" t="s">
        <v>561</v>
      </c>
      <c r="B681" t="s">
        <v>562</v>
      </c>
      <c r="C681" t="s">
        <v>61</v>
      </c>
      <c r="D681" t="s">
        <v>443</v>
      </c>
      <c r="E681">
        <v>17</v>
      </c>
      <c r="F681">
        <v>7.6</v>
      </c>
      <c r="G681" t="s">
        <v>142</v>
      </c>
      <c r="H681">
        <v>0.69</v>
      </c>
      <c r="I681">
        <f>MAX('Min rate concentrations'!$H$3:$H$368)</f>
        <v>47</v>
      </c>
      <c r="J681">
        <f>MAX('Min rate concentrations'!AA:AA)</f>
        <v>32.5</v>
      </c>
      <c r="K681">
        <f t="shared" si="68"/>
        <v>38.885979066554825</v>
      </c>
      <c r="L681">
        <f>(((0.621*F681^0.564)/(1-H681)))*J681/F681</f>
        <v>26.889240843894292</v>
      </c>
      <c r="M681">
        <f>IF((((0.326*F681^0.818)-(0.398*F681^0.85)/(1-H681)*H681)*(MAX('Min rate concentrations'!$P$3:$P$368)))/F681&gt;0, (((0.326*F681^0.818)-(0.398*F681^0.85)/(1-H681)*H681)*(MAX('Min rate concentrations'!$P$3:$P$368)))/F681, 0)</f>
        <v>0</v>
      </c>
      <c r="N681">
        <f>IF((((0.326*F681^0.818)-(0.398*F681^0.85)/(1-H681)*H681)*(MAX('Min rate concentrations'!$Q$3:$Q$368)))/F681&gt; 0, (((0.326*F681^0.818)-(0.398*F681^0.85)/(1-H681)*H681)*(MAX('Min rate concentrations'!$Q$3:$Q$368)))/F681, 0)</f>
        <v>0</v>
      </c>
      <c r="O681">
        <f>((MAX('Min rate concentrations'!$F$3:$F$368))*0.62*6.01*8*(12.3*F681^0.65)*0.079*0.1/F681)*inputs!$E$73/inputs!$E$74</f>
        <v>22.186319821691836</v>
      </c>
      <c r="P681">
        <f>((MAX('Min rate concentrations'!Y:Y))*0.62*6.01*8*(12.3*F681^0.65)*0.079*0.1/F681)*inputs!$E$73/inputs!$E$74</f>
        <v>7.3954399405639446</v>
      </c>
      <c r="Q681">
        <f>(inputs!$C$7*11.2*(12.3*F681^0.65)*0.5/F681)*inputs!$E$73/inputs!$E$74</f>
        <v>3.9080155930811151</v>
      </c>
      <c r="R681">
        <f>(60*379*((F681/1000)^0.8)*3*24*(MAX('Min rate concentrations'!$R$3:$R$368))/F681)*(inputs!$E$73/inputs!$E$75)</f>
        <v>4.8821907037359859E-3</v>
      </c>
      <c r="S681">
        <f>(IF(inputs!$C$6="aerial",((0.025*0.112*inputs!$C$7/3.3)*(3*60*379*((F681/1000)^0.8))*MAX(inputs!$H$14:$H$16))/F681,((0.0083*0.112*inputs!$C$7/1)*(3*60*379*((F681/1000)^0.8))*MAX(inputs!$H$14:$H$16))/F681))*(inputs!E$75/inputs!$E$73)</f>
        <v>2.6925581684646104E-2</v>
      </c>
      <c r="T681">
        <f>IF((((inputs!$P$12/(V681/MAX(K681:S681)))^(1/inputs!$O$12))-1)/inputs!$N$12&lt;0, 0, IF((((inputs!$P$12/(V681/MAX(K681:S681)))^(1/inputs!$O$12))-1)/inputs!$N$12&gt;inputs!$H$17, inputs!$H$17, (((inputs!$P$12/(V681/MAX(K681:S681)))^(1/inputs!$O$12))-1)/inputs!$N$12))</f>
        <v>43.930685592923055</v>
      </c>
      <c r="U681">
        <f>IF((((inputs!$P$12/(X681/MAX(K681:S681)))^(1/inputs!$O$12))-1)/inputs!$N$12&lt;0, 0, IF((((inputs!$P$12/(X681/MAX(K681:S681)))^(1/inputs!$O$12))-1)/inputs!$N$12&gt;inputs!$H$17, inputs!$H$17, (((inputs!$P$12/(X681/MAX(K681:S681)))^(1/inputs!$O$12))-1)/inputs!$N$12))</f>
        <v>0</v>
      </c>
      <c r="V681">
        <f>inputs!$E$70*(F681/inputs!$F$70)^(0.25)</f>
        <v>1.8686280175149219</v>
      </c>
      <c r="W681">
        <f>inputs!$E$76*(inputs!$F$76/F681)^(0.25)</f>
        <v>0.91176235574814801</v>
      </c>
      <c r="X681">
        <f>inputs!$E$72*(inputs!$F$72/F681)^(0.25)</f>
        <v>133.73448201442503</v>
      </c>
      <c r="Y681" t="s">
        <v>13</v>
      </c>
      <c r="Z681">
        <f t="shared" si="69"/>
        <v>20.809909035972325</v>
      </c>
      <c r="AA681">
        <f t="shared" si="70"/>
        <v>42.649248262335718</v>
      </c>
    </row>
    <row r="682" spans="1:27" x14ac:dyDescent="0.3">
      <c r="A682" t="s">
        <v>561</v>
      </c>
      <c r="B682" t="s">
        <v>562</v>
      </c>
      <c r="C682" t="s">
        <v>61</v>
      </c>
      <c r="D682" t="s">
        <v>443</v>
      </c>
      <c r="E682">
        <v>17</v>
      </c>
      <c r="F682">
        <v>7.6</v>
      </c>
      <c r="G682" t="s">
        <v>169</v>
      </c>
      <c r="H682">
        <v>0.79</v>
      </c>
      <c r="I682">
        <f>MAX('Min rate concentrations'!$D$3:$D$368)</f>
        <v>120</v>
      </c>
      <c r="J682">
        <f>MAX('Min rate concentrations'!W:W)</f>
        <v>42.5</v>
      </c>
      <c r="K682">
        <f t="shared" si="68"/>
        <v>146.56113690737993</v>
      </c>
      <c r="L682">
        <f>(((0.621*F682^0.564)/(1-H682)))*J682/F682</f>
        <v>51.907069321363728</v>
      </c>
      <c r="M682">
        <f>IF((((0.326*F682^0.818)-(0.398*F682^0.85)/(1-H682)*H682)*(MAX('Min rate concentrations'!$P$3:$P$368)))/F682&gt;0, (((0.326*F682^0.818)-(0.398*F682^0.85)/(1-H682)*H682)*(MAX('Min rate concentrations'!$P$3:$P$368)))/F682, 0)</f>
        <v>0</v>
      </c>
      <c r="N682">
        <f>IF((((0.326*F682^0.818)-(0.398*F682^0.85)/(1-H682)*H682)*(MAX('Min rate concentrations'!$Q$3:$Q$368)))/F682&gt; 0, (((0.326*F682^0.818)-(0.398*F682^0.85)/(1-H682)*H682)*(MAX('Min rate concentrations'!$Q$3:$Q$368)))/F682, 0)</f>
        <v>0</v>
      </c>
      <c r="O682">
        <f>((MAX('Min rate concentrations'!$F$3:$F$368))*0.62*6.01*8*(12.3*F682^0.65)*0.079*0.1/F682)*inputs!$E$73/inputs!$E$74</f>
        <v>22.186319821691836</v>
      </c>
      <c r="P682">
        <f>((MAX('Min rate concentrations'!Y:Y))*0.62*6.01*8*(12.3*F682^0.65)*0.079*0.1/F682)*inputs!$E$73/inputs!$E$74</f>
        <v>7.3954399405639446</v>
      </c>
      <c r="Q682">
        <f>(inputs!$C$7*11.2*(12.3*F682^0.65)*0.5/F682)*inputs!$E$73/inputs!$E$74</f>
        <v>3.9080155930811151</v>
      </c>
      <c r="R682">
        <f>(60*379*((F682/1000)^0.8)*3*24*(MAX('Min rate concentrations'!$R$3:$R$368))/F682)*(inputs!$E$73/inputs!$E$75)</f>
        <v>4.8821907037359859E-3</v>
      </c>
      <c r="S682">
        <f>(IF(inputs!$C$6="aerial",((0.025*0.112*inputs!$C$7/3.3)*(3*60*379*((F682/1000)^0.8))*MAX(inputs!$H$14:$H$16))/F682,((0.0083*0.112*inputs!$C$7/1)*(3*60*379*((F682/1000)^0.8))*MAX(inputs!$H$14:$H$16))/F682))*(inputs!E$75/inputs!$E$73)</f>
        <v>2.6925581684646104E-2</v>
      </c>
      <c r="T682">
        <f>IF((((inputs!$P$12/(V682/MAX(K682:S682)))^(1/inputs!$O$12))-1)/inputs!$N$12&lt;0, 0, IF((((inputs!$P$12/(V682/MAX(K682:S682)))^(1/inputs!$O$12))-1)/inputs!$N$12&gt;inputs!$H$17, inputs!$H$17, (((inputs!$P$12/(V682/MAX(K682:S682)))^(1/inputs!$O$12))-1)/inputs!$N$12))</f>
        <v>95.742209744773263</v>
      </c>
      <c r="U682">
        <f>IF((((inputs!$P$12/(X682/MAX(K682:S682)))^(1/inputs!$O$12))-1)/inputs!$N$12&lt;0, 0, IF((((inputs!$P$12/(X682/MAX(K682:S682)))^(1/inputs!$O$12))-1)/inputs!$N$12&gt;inputs!$H$17, inputs!$H$17, (((inputs!$P$12/(X682/MAX(K682:S682)))^(1/inputs!$O$12))-1)/inputs!$N$12))</f>
        <v>0</v>
      </c>
      <c r="V682">
        <f>inputs!$E$70*(F682/inputs!$F$70)^(0.25)</f>
        <v>1.8686280175149219</v>
      </c>
      <c r="W682">
        <f>inputs!$E$76*(inputs!$F$76/F682)^(0.25)</f>
        <v>0.91176235574814801</v>
      </c>
      <c r="X682">
        <f>inputs!$E$72*(inputs!$F$72/F682)^(0.25)</f>
        <v>133.73448201442503</v>
      </c>
      <c r="Y682" t="s">
        <v>13</v>
      </c>
      <c r="Z682">
        <f t="shared" si="69"/>
        <v>78.432483904576571</v>
      </c>
      <c r="AA682">
        <f t="shared" si="70"/>
        <v>160.74488706776995</v>
      </c>
    </row>
    <row r="683" spans="1:27" x14ac:dyDescent="0.3">
      <c r="A683" t="s">
        <v>561</v>
      </c>
      <c r="B683" t="s">
        <v>562</v>
      </c>
      <c r="C683" t="s">
        <v>61</v>
      </c>
      <c r="D683" t="s">
        <v>443</v>
      </c>
      <c r="E683">
        <v>17</v>
      </c>
      <c r="F683">
        <v>7.6</v>
      </c>
      <c r="G683" t="s">
        <v>177</v>
      </c>
      <c r="H683">
        <v>0.85</v>
      </c>
      <c r="I683">
        <f>MAX('Min rate concentrations'!$F$3:$F$368)</f>
        <v>67.5</v>
      </c>
      <c r="J683">
        <f>MAX('Min rate concentrations'!Y:Y)</f>
        <v>22.5</v>
      </c>
      <c r="K683">
        <f t="shared" si="68"/>
        <v>115.41689531456166</v>
      </c>
      <c r="L683">
        <f>(((0.621*F683^0.564)/(1-H683)))*J683/F683</f>
        <v>38.472298438187217</v>
      </c>
      <c r="M683">
        <f>IF((((0.326*F683^0.818)-(0.398*F683^0.85)/(1-H683)*H683)*(MAX('Min rate concentrations'!$P$3:$P$368)))/F683&gt;0, (((0.326*F683^0.818)-(0.398*F683^0.85)/(1-H683)*H683)*(MAX('Min rate concentrations'!$P$3:$P$368)))/F683, 0)</f>
        <v>0</v>
      </c>
      <c r="N683">
        <f>IF((((0.326*F683^0.818)-(0.398*F683^0.85)/(1-H683)*H683)*(MAX('Min rate concentrations'!$Q$3:$Q$368)))/F683&gt; 0, (((0.326*F683^0.818)-(0.398*F683^0.85)/(1-H683)*H683)*(MAX('Min rate concentrations'!$Q$3:$Q$368)))/F683, 0)</f>
        <v>0</v>
      </c>
      <c r="O683">
        <f>((MAX('Min rate concentrations'!$F$3:$F$368))*0.62*6.01*8*(12.3*F683^0.65)*0.079*0.1/F683)*inputs!$E$73/inputs!$E$74</f>
        <v>22.186319821691836</v>
      </c>
      <c r="P683">
        <f>((MAX('Min rate concentrations'!Y:Y))*0.62*6.01*8*(12.3*F683^0.65)*0.079*0.1/F683)*inputs!$E$73/inputs!$E$74</f>
        <v>7.3954399405639446</v>
      </c>
      <c r="Q683">
        <f>(inputs!$C$7*11.2*(12.3*F683^0.65)*0.5/F683)*inputs!$E$73/inputs!$E$74</f>
        <v>3.9080155930811151</v>
      </c>
      <c r="R683">
        <f>(60*379*((F683/1000)^0.8)*3*24*(MAX('Min rate concentrations'!$R$3:$R$368))/F683)*(inputs!$E$73/inputs!$E$75)</f>
        <v>4.8821907037359859E-3</v>
      </c>
      <c r="S683">
        <f>(IF(inputs!$C$6="aerial",((0.025*0.112*inputs!$C$7/3.3)*(3*60*379*((F683/1000)^0.8))*MAX(inputs!$H$14:$H$16))/F683,((0.0083*0.112*inputs!$C$7/1)*(3*60*379*((F683/1000)^0.8))*MAX(inputs!$H$14:$H$16))/F683))*(inputs!E$75/inputs!$E$73)</f>
        <v>2.6925581684646104E-2</v>
      </c>
      <c r="T683">
        <f>IF((((inputs!$P$12/(V683/MAX(K683:S683)))^(1/inputs!$O$12))-1)/inputs!$N$12&lt;0, 0, IF((((inputs!$P$12/(V683/MAX(K683:S683)))^(1/inputs!$O$12))-1)/inputs!$N$12&gt;inputs!$H$17, inputs!$H$17, (((inputs!$P$12/(V683/MAX(K683:S683)))^(1/inputs!$O$12))-1)/inputs!$N$12))</f>
        <v>84.238990134268576</v>
      </c>
      <c r="U683">
        <f>IF((((inputs!$P$12/(X683/MAX(K683:S683)))^(1/inputs!$O$12))-1)/inputs!$N$12&lt;0, 0, IF((((inputs!$P$12/(X683/MAX(K683:S683)))^(1/inputs!$O$12))-1)/inputs!$N$12&gt;inputs!$H$17, inputs!$H$17, (((inputs!$P$12/(X683/MAX(K683:S683)))^(1/inputs!$O$12))-1)/inputs!$N$12))</f>
        <v>0</v>
      </c>
      <c r="V683">
        <f>inputs!$E$70*(F683/inputs!$F$70)^(0.25)</f>
        <v>1.8686280175149219</v>
      </c>
      <c r="W683">
        <f>inputs!$E$76*(inputs!$F$76/F683)^(0.25)</f>
        <v>0.91176235574814801</v>
      </c>
      <c r="X683">
        <f>inputs!$E$72*(inputs!$F$72/F683)^(0.25)</f>
        <v>133.73448201442503</v>
      </c>
      <c r="Y683" t="s">
        <v>13</v>
      </c>
      <c r="Z683">
        <f t="shared" si="69"/>
        <v>61.765581074854026</v>
      </c>
      <c r="AA683">
        <f t="shared" si="70"/>
        <v>126.58659856586878</v>
      </c>
    </row>
    <row r="684" spans="1:27" x14ac:dyDescent="0.3">
      <c r="A684" t="s">
        <v>561</v>
      </c>
      <c r="B684" t="s">
        <v>562</v>
      </c>
      <c r="C684" t="s">
        <v>61</v>
      </c>
      <c r="D684" t="s">
        <v>443</v>
      </c>
      <c r="E684">
        <v>17</v>
      </c>
      <c r="F684">
        <v>7.6</v>
      </c>
      <c r="G684" t="s">
        <v>154</v>
      </c>
      <c r="H684">
        <v>9.2999999999999999E-2</v>
      </c>
      <c r="I684">
        <f>MAX('Min rate concentrations'!$G$3:$G$368)</f>
        <v>7.5</v>
      </c>
      <c r="J684">
        <f>MAX('Min rate concentrations'!Z:Z)</f>
        <v>3.5</v>
      </c>
      <c r="K684">
        <f t="shared" si="68"/>
        <v>2.1208543791723939</v>
      </c>
      <c r="M684">
        <f>IF((((0.326*F684^0.818)-(0.398*F684^0.85)/(1-H684)*H684)*(MAX('Min rate concentrations'!$P$3:$P$368)))/F684&gt;0, (((0.326*F684^0.818)-(0.398*F684^0.85)/(1-H684)*H684)*(MAX('Min rate concentrations'!$P$3:$P$368)))/F684, 0)</f>
        <v>2.8343360707416256E-2</v>
      </c>
      <c r="N684">
        <f>IF((((0.326*F684^0.818)-(0.398*F684^0.85)/(1-H684)*H684)*(MAX('Min rate concentrations'!$Q$3:$Q$368)))/F684&gt; 0, (((0.326*F684^0.818)-(0.398*F684^0.85)/(1-H684)*H684)*(MAX('Min rate concentrations'!$Q$3:$Q$368)))/F684, 0)</f>
        <v>0.1079330405103741</v>
      </c>
      <c r="O684">
        <f>((MAX('Min rate concentrations'!$F$3:$F$368))*0.62*6.01*8*(12.3*F684^0.65)*0.079*0.1/F684)*inputs!$E$73/inputs!$E$74</f>
        <v>22.186319821691836</v>
      </c>
      <c r="Q684">
        <f>(inputs!$C$7*11.2*(12.3*F684^0.65)*0.5/F684)*inputs!$E$73/inputs!$E$74</f>
        <v>3.9080155930811151</v>
      </c>
      <c r="R684">
        <f>(60*379*((F684/1000)^0.8)*3*24*(MAX('Min rate concentrations'!$R$3:$R$368))/F684)*(inputs!$E$73/inputs!$E$75)</f>
        <v>4.8821907037359859E-3</v>
      </c>
      <c r="S684">
        <f>(IF(inputs!$C$6="aerial",((0.025*0.112*inputs!$C$7/3.3)*(3*60*379*((F684/1000)^0.8))*MAX(inputs!$H$14:$H$16))/F684,((0.0083*0.112*inputs!$C$7/1)*(3*60*379*((F684/1000)^0.8))*MAX(inputs!$H$14:$H$16))/F684))*(inputs!E$75/inputs!$E$73)</f>
        <v>2.6925581684646104E-2</v>
      </c>
      <c r="T684">
        <f>IF((((inputs!$P$12/(V684/MAX(K684:S684)))^(1/inputs!$O$12))-1)/inputs!$N$12&lt;0, 0, IF((((inputs!$P$12/(V684/MAX(K684:S684)))^(1/inputs!$O$12))-1)/inputs!$N$12&gt;inputs!$H$17, inputs!$H$17, (((inputs!$P$12/(V684/MAX(K684:S684)))^(1/inputs!$O$12))-1)/inputs!$N$12))</f>
        <v>29.15185876478937</v>
      </c>
      <c r="U684">
        <f>IF((((inputs!$P$12/(X684/MAX(K684:S684)))^(1/inputs!$O$12))-1)/inputs!$N$12&lt;0, 0, IF((((inputs!$P$12/(X684/MAX(K684:S684)))^(1/inputs!$O$12))-1)/inputs!$N$12&gt;inputs!$H$17, inputs!$H$17, (((inputs!$P$12/(X684/MAX(K684:S684)))^(1/inputs!$O$12))-1)/inputs!$N$12))</f>
        <v>0</v>
      </c>
      <c r="V684">
        <f>inputs!$E$70*(F684/inputs!$F$70)^(0.25)</f>
        <v>1.8686280175149219</v>
      </c>
      <c r="W684">
        <f>inputs!$E$76*(inputs!$F$76/F684)^(0.25)</f>
        <v>0.91176235574814801</v>
      </c>
      <c r="X684">
        <f>inputs!$E$72*(inputs!$F$72/F684)^(0.25)</f>
        <v>133.73448201442503</v>
      </c>
      <c r="Y684" t="s">
        <v>13</v>
      </c>
      <c r="Z684">
        <f t="shared" si="69"/>
        <v>11.873053177912476</v>
      </c>
      <c r="AA684">
        <f t="shared" si="70"/>
        <v>24.333445751318408</v>
      </c>
    </row>
    <row r="685" spans="1:27" x14ac:dyDescent="0.3">
      <c r="A685" t="s">
        <v>476</v>
      </c>
      <c r="B685" t="s">
        <v>477</v>
      </c>
      <c r="C685" t="s">
        <v>61</v>
      </c>
      <c r="D685" t="s">
        <v>443</v>
      </c>
      <c r="E685">
        <v>63</v>
      </c>
      <c r="F685">
        <v>23.2</v>
      </c>
      <c r="G685" t="s">
        <v>142</v>
      </c>
      <c r="H685">
        <v>0.69</v>
      </c>
      <c r="I685">
        <f>MAX('Min rate concentrations'!$H$3:$H$368)</f>
        <v>47</v>
      </c>
      <c r="J685">
        <f>MAX('Min rate concentrations'!AA:AA)</f>
        <v>32.5</v>
      </c>
      <c r="K685">
        <f t="shared" si="68"/>
        <v>23.904243432711041</v>
      </c>
      <c r="L685">
        <f>(((0.621*F685^0.564)/(1-H685)))*J685/F685</f>
        <v>16.529530033257636</v>
      </c>
      <c r="M685">
        <f>IF((((0.326*F685^0.818)-(0.398*F685^0.85)/(1-H685)*H685)*(MAX('Min rate concentrations'!$P$3:$P$368)))/F685&gt;0, (((0.326*F685^0.818)-(0.398*F685^0.85)/(1-H685)*H685)*(MAX('Min rate concentrations'!$P$3:$P$368)))/F685, 0)</f>
        <v>0</v>
      </c>
      <c r="N685">
        <f>IF((((0.326*F685^0.818)-(0.398*F685^0.85)/(1-H685)*H685)*(MAX('Min rate concentrations'!$Q$3:$Q$368)))/F685&gt; 0, (((0.326*F685^0.818)-(0.398*F685^0.85)/(1-H685)*H685)*(MAX('Min rate concentrations'!$Q$3:$Q$368)))/F685, 0)</f>
        <v>0</v>
      </c>
      <c r="O685">
        <f>((MAX('Min rate concentrations'!$F$3:$F$368))*0.62*6.01*8*(12.3*F685^0.65)*0.079*0.1/F685)*inputs!$E$73/inputs!$E$74</f>
        <v>15.012369035977351</v>
      </c>
      <c r="P685">
        <f>((MAX('Min rate concentrations'!Y:Y))*0.62*6.01*8*(12.3*F685^0.65)*0.079*0.1/F685)*inputs!$E$73/inputs!$E$74</f>
        <v>5.0041230119924478</v>
      </c>
      <c r="Q685">
        <f>(inputs!$C$7*11.2*(12.3*F685^0.65)*0.5/F685)*inputs!$E$73/inputs!$E$74</f>
        <v>2.6443579986765804</v>
      </c>
      <c r="R685">
        <f>(60*379*((F685/1000)^0.8)*3*24*(MAX('Min rate concentrations'!$R$3:$R$368))/F685)*(inputs!$E$73/inputs!$E$75)</f>
        <v>3.9055289456767115E-3</v>
      </c>
      <c r="S685">
        <f>(IF(inputs!$C$6="aerial",((0.025*0.112*inputs!$C$7/3.3)*(3*60*379*((F685/1000)^0.8))*MAX(inputs!$H$14:$H$16))/F685,((0.0083*0.112*inputs!$C$7/1)*(3*60*379*((F685/1000)^0.8))*MAX(inputs!$H$14:$H$16))/F685))*(inputs!E$75/inputs!$E$73)</f>
        <v>2.1539232084502102E-2</v>
      </c>
      <c r="T685">
        <f>IF((((inputs!$P$12/(V685/MAX(K685:S685)))^(1/inputs!$O$12))-1)/inputs!$N$12&lt;0, 0, IF((((inputs!$P$12/(V685/MAX(K685:S685)))^(1/inputs!$O$12))-1)/inputs!$N$12&gt;inputs!$H$17, inputs!$H$17, (((inputs!$P$12/(V685/MAX(K685:S685)))^(1/inputs!$O$12))-1)/inputs!$N$12))</f>
        <v>24.553043977044563</v>
      </c>
      <c r="U685">
        <f>IF((((inputs!$P$12/(X685/MAX(K685:S685)))^(1/inputs!$O$12))-1)/inputs!$N$12&lt;0, 0, IF((((inputs!$P$12/(X685/MAX(K685:S685)))^(1/inputs!$O$12))-1)/inputs!$N$12&gt;inputs!$H$17, inputs!$H$17, (((inputs!$P$12/(X685/MAX(K685:S685)))^(1/inputs!$O$12))-1)/inputs!$N$12))</f>
        <v>0</v>
      </c>
      <c r="V685">
        <f>inputs!$E$70*(F685/inputs!$F$70)^(0.25)</f>
        <v>2.4699687258559644</v>
      </c>
      <c r="W685">
        <f>inputs!$E$76*(inputs!$F$76/F685)^(0.25)</f>
        <v>0.68978390917721688</v>
      </c>
      <c r="X685">
        <f>inputs!$E$72*(inputs!$F$72/F685)^(0.25)</f>
        <v>101.17537011056586</v>
      </c>
      <c r="Y685" t="s">
        <v>13</v>
      </c>
      <c r="Z685">
        <f t="shared" si="69"/>
        <v>9.6779538876254634</v>
      </c>
      <c r="AA685">
        <f t="shared" si="70"/>
        <v>34.654684046231708</v>
      </c>
    </row>
    <row r="686" spans="1:27" x14ac:dyDescent="0.3">
      <c r="A686" t="s">
        <v>476</v>
      </c>
      <c r="B686" t="s">
        <v>477</v>
      </c>
      <c r="C686" t="s">
        <v>61</v>
      </c>
      <c r="D686" t="s">
        <v>443</v>
      </c>
      <c r="E686">
        <v>63</v>
      </c>
      <c r="F686">
        <v>23.2</v>
      </c>
      <c r="G686" t="s">
        <v>169</v>
      </c>
      <c r="H686">
        <v>0.79</v>
      </c>
      <c r="I686">
        <f>MAX('Min rate concentrations'!$D$3:$D$368)</f>
        <v>120</v>
      </c>
      <c r="J686">
        <f>MAX('Min rate concentrations'!W:W)</f>
        <v>42.5</v>
      </c>
      <c r="K686">
        <f t="shared" si="68"/>
        <v>90.09502084061306</v>
      </c>
      <c r="L686">
        <f>(((0.621*F686^0.564)/(1-H686)))*J686/F686</f>
        <v>31.908653214383797</v>
      </c>
      <c r="M686">
        <f>IF((((0.326*F686^0.818)-(0.398*F686^0.85)/(1-H686)*H686)*(MAX('Min rate concentrations'!$P$3:$P$368)))/F686&gt;0, (((0.326*F686^0.818)-(0.398*F686^0.85)/(1-H686)*H686)*(MAX('Min rate concentrations'!$P$3:$P$368)))/F686, 0)</f>
        <v>0</v>
      </c>
      <c r="N686">
        <f>IF((((0.326*F686^0.818)-(0.398*F686^0.85)/(1-H686)*H686)*(MAX('Min rate concentrations'!$Q$3:$Q$368)))/F686&gt; 0, (((0.326*F686^0.818)-(0.398*F686^0.85)/(1-H686)*H686)*(MAX('Min rate concentrations'!$Q$3:$Q$368)))/F686, 0)</f>
        <v>0</v>
      </c>
      <c r="O686">
        <f>((MAX('Min rate concentrations'!$F$3:$F$368))*0.62*6.01*8*(12.3*F686^0.65)*0.079*0.1/F686)*inputs!$E$73/inputs!$E$74</f>
        <v>15.012369035977351</v>
      </c>
      <c r="P686">
        <f>((MAX('Min rate concentrations'!Y:Y))*0.62*6.01*8*(12.3*F686^0.65)*0.079*0.1/F686)*inputs!$E$73/inputs!$E$74</f>
        <v>5.0041230119924478</v>
      </c>
      <c r="Q686">
        <f>(inputs!$C$7*11.2*(12.3*F686^0.65)*0.5/F686)*inputs!$E$73/inputs!$E$74</f>
        <v>2.6443579986765804</v>
      </c>
      <c r="R686">
        <f>(60*379*((F686/1000)^0.8)*3*24*(MAX('Min rate concentrations'!$R$3:$R$368))/F686)*(inputs!$E$73/inputs!$E$75)</f>
        <v>3.9055289456767115E-3</v>
      </c>
      <c r="S686">
        <f>(IF(inputs!$C$6="aerial",((0.025*0.112*inputs!$C$7/3.3)*(3*60*379*((F686/1000)^0.8))*MAX(inputs!$H$14:$H$16))/F686,((0.0083*0.112*inputs!$C$7/1)*(3*60*379*((F686/1000)^0.8))*MAX(inputs!$H$14:$H$16))/F686))*(inputs!E$75/inputs!$E$73)</f>
        <v>2.1539232084502102E-2</v>
      </c>
      <c r="T686">
        <f>IF((((inputs!$P$12/(V686/MAX(K686:S686)))^(1/inputs!$O$12))-1)/inputs!$N$12&lt;0, 0, IF((((inputs!$P$12/(V686/MAX(K686:S686)))^(1/inputs!$O$12))-1)/inputs!$N$12&gt;inputs!$H$17, inputs!$H$17, (((inputs!$P$12/(V686/MAX(K686:S686)))^(1/inputs!$O$12))-1)/inputs!$N$12))</f>
        <v>62.501336327051312</v>
      </c>
      <c r="U686">
        <f>IF((((inputs!$P$12/(X686/MAX(K686:S686)))^(1/inputs!$O$12))-1)/inputs!$N$12&lt;0, 0, IF((((inputs!$P$12/(X686/MAX(K686:S686)))^(1/inputs!$O$12))-1)/inputs!$N$12&gt;inputs!$H$17, inputs!$H$17, (((inputs!$P$12/(X686/MAX(K686:S686)))^(1/inputs!$O$12))-1)/inputs!$N$12))</f>
        <v>0</v>
      </c>
      <c r="V686">
        <f>inputs!$E$70*(F686/inputs!$F$70)^(0.25)</f>
        <v>2.4699687258559644</v>
      </c>
      <c r="W686">
        <f>inputs!$E$76*(inputs!$F$76/F686)^(0.25)</f>
        <v>0.68978390917721688</v>
      </c>
      <c r="X686">
        <f>inputs!$E$72*(inputs!$F$72/F686)^(0.25)</f>
        <v>101.17537011056586</v>
      </c>
      <c r="Y686" t="s">
        <v>13</v>
      </c>
      <c r="Z686">
        <f t="shared" si="69"/>
        <v>36.476178786187162</v>
      </c>
      <c r="AA686">
        <f t="shared" si="70"/>
        <v>130.61339883686119</v>
      </c>
    </row>
    <row r="687" spans="1:27" x14ac:dyDescent="0.3">
      <c r="A687" t="s">
        <v>476</v>
      </c>
      <c r="B687" t="s">
        <v>477</v>
      </c>
      <c r="C687" t="s">
        <v>61</v>
      </c>
      <c r="D687" t="s">
        <v>443</v>
      </c>
      <c r="E687">
        <v>63</v>
      </c>
      <c r="F687">
        <v>23.2</v>
      </c>
      <c r="G687" t="s">
        <v>177</v>
      </c>
      <c r="H687">
        <v>0.85</v>
      </c>
      <c r="I687">
        <f>MAX('Min rate concentrations'!$F$3:$F$368)</f>
        <v>67.5</v>
      </c>
      <c r="J687">
        <f>MAX('Min rate concentrations'!Y:Y)</f>
        <v>22.5</v>
      </c>
      <c r="K687">
        <f t="shared" si="68"/>
        <v>70.949828911982763</v>
      </c>
      <c r="L687">
        <f>(((0.621*F687^0.564)/(1-H687)))*J687/F687</f>
        <v>23.649942970660923</v>
      </c>
      <c r="M687">
        <f>IF((((0.326*F687^0.818)-(0.398*F687^0.85)/(1-H687)*H687)*(MAX('Min rate concentrations'!$P$3:$P$368)))/F687&gt;0, (((0.326*F687^0.818)-(0.398*F687^0.85)/(1-H687)*H687)*(MAX('Min rate concentrations'!$P$3:$P$368)))/F687, 0)</f>
        <v>0</v>
      </c>
      <c r="N687">
        <f>IF((((0.326*F687^0.818)-(0.398*F687^0.85)/(1-H687)*H687)*(MAX('Min rate concentrations'!$Q$3:$Q$368)))/F687&gt; 0, (((0.326*F687^0.818)-(0.398*F687^0.85)/(1-H687)*H687)*(MAX('Min rate concentrations'!$Q$3:$Q$368)))/F687, 0)</f>
        <v>0</v>
      </c>
      <c r="O687">
        <f>((MAX('Min rate concentrations'!$F$3:$F$368))*0.62*6.01*8*(12.3*F687^0.65)*0.079*0.1/F687)*inputs!$E$73/inputs!$E$74</f>
        <v>15.012369035977351</v>
      </c>
      <c r="P687">
        <f>((MAX('Min rate concentrations'!Y:Y))*0.62*6.01*8*(12.3*F687^0.65)*0.079*0.1/F687)*inputs!$E$73/inputs!$E$74</f>
        <v>5.0041230119924478</v>
      </c>
      <c r="Q687">
        <f>(inputs!$C$7*11.2*(12.3*F687^0.65)*0.5/F687)*inputs!$E$73/inputs!$E$74</f>
        <v>2.6443579986765804</v>
      </c>
      <c r="R687">
        <f>(60*379*((F687/1000)^0.8)*3*24*(MAX('Min rate concentrations'!$R$3:$R$368))/F687)*(inputs!$E$73/inputs!$E$75)</f>
        <v>3.9055289456767115E-3</v>
      </c>
      <c r="S687">
        <f>(IF(inputs!$C$6="aerial",((0.025*0.112*inputs!$C$7/3.3)*(3*60*379*((F687/1000)^0.8))*MAX(inputs!$H$14:$H$16))/F687,((0.0083*0.112*inputs!$C$7/1)*(3*60*379*((F687/1000)^0.8))*MAX(inputs!$H$14:$H$16))/F687))*(inputs!E$75/inputs!$E$73)</f>
        <v>2.1539232084502102E-2</v>
      </c>
      <c r="T687">
        <f>IF((((inputs!$P$12/(V687/MAX(K687:S687)))^(1/inputs!$O$12))-1)/inputs!$N$12&lt;0, 0, IF((((inputs!$P$12/(V687/MAX(K687:S687)))^(1/inputs!$O$12))-1)/inputs!$N$12&gt;inputs!$H$17, inputs!$H$17, (((inputs!$P$12/(V687/MAX(K687:S687)))^(1/inputs!$O$12))-1)/inputs!$N$12))</f>
        <v>54.076038135352114</v>
      </c>
      <c r="U687">
        <f>IF((((inputs!$P$12/(X687/MAX(K687:S687)))^(1/inputs!$O$12))-1)/inputs!$N$12&lt;0, 0, IF((((inputs!$P$12/(X687/MAX(K687:S687)))^(1/inputs!$O$12))-1)/inputs!$N$12&gt;inputs!$H$17, inputs!$H$17, (((inputs!$P$12/(X687/MAX(K687:S687)))^(1/inputs!$O$12))-1)/inputs!$N$12))</f>
        <v>0</v>
      </c>
      <c r="V687">
        <f>inputs!$E$70*(F687/inputs!$F$70)^(0.25)</f>
        <v>2.4699687258559644</v>
      </c>
      <c r="W687">
        <f>inputs!$E$76*(inputs!$F$76/F687)^(0.25)</f>
        <v>0.68978390917721688</v>
      </c>
      <c r="X687">
        <f>inputs!$E$72*(inputs!$F$72/F687)^(0.25)</f>
        <v>101.17537011056586</v>
      </c>
      <c r="Y687" t="s">
        <v>13</v>
      </c>
      <c r="Z687">
        <f t="shared" si="69"/>
        <v>28.72499079412238</v>
      </c>
      <c r="AA687">
        <f t="shared" si="70"/>
        <v>102.85805158402815</v>
      </c>
    </row>
    <row r="688" spans="1:27" x14ac:dyDescent="0.3">
      <c r="A688" t="s">
        <v>476</v>
      </c>
      <c r="B688" t="s">
        <v>477</v>
      </c>
      <c r="C688" t="s">
        <v>61</v>
      </c>
      <c r="D688" t="s">
        <v>443</v>
      </c>
      <c r="E688">
        <v>63</v>
      </c>
      <c r="F688">
        <v>23.2</v>
      </c>
      <c r="G688" t="s">
        <v>154</v>
      </c>
      <c r="H688">
        <v>9.2999999999999999E-2</v>
      </c>
      <c r="I688">
        <f>MAX('Min rate concentrations'!$G$3:$G$368)</f>
        <v>7.5</v>
      </c>
      <c r="J688">
        <f>MAX('Min rate concentrations'!Z:Z)</f>
        <v>3.5</v>
      </c>
      <c r="K688">
        <f t="shared" si="68"/>
        <v>1.303745477985718</v>
      </c>
      <c r="M688">
        <f>IF((((0.326*F688^0.818)-(0.398*F688^0.85)/(1-H688)*H688)*(MAX('Min rate concentrations'!$P$3:$P$368)))/F688&gt;0, (((0.326*F688^0.818)-(0.398*F688^0.85)/(1-H688)*H688)*(MAX('Min rate concentrations'!$P$3:$P$368)))/F688, 0)</f>
        <v>2.3003793192972338E-2</v>
      </c>
      <c r="N688">
        <f>IF((((0.326*F688^0.818)-(0.398*F688^0.85)/(1-H688)*H688)*(MAX('Min rate concentrations'!$Q$3:$Q$368)))/F688&gt; 0, (((0.326*F688^0.818)-(0.398*F688^0.85)/(1-H688)*H688)*(MAX('Min rate concentrations'!$Q$3:$Q$368)))/F688, 0)</f>
        <v>8.759968051141126E-2</v>
      </c>
      <c r="O688">
        <f>((MAX('Min rate concentrations'!$F$3:$F$368))*0.62*6.01*8*(12.3*F688^0.65)*0.079*0.1/F688)*inputs!$E$73/inputs!$E$74</f>
        <v>15.012369035977351</v>
      </c>
      <c r="Q688">
        <f>(inputs!$C$7*11.2*(12.3*F688^0.65)*0.5/F688)*inputs!$E$73/inputs!$E$74</f>
        <v>2.6443579986765804</v>
      </c>
      <c r="R688">
        <f>(60*379*((F688/1000)^0.8)*3*24*(MAX('Min rate concentrations'!$R$3:$R$368))/F688)*(inputs!$E$73/inputs!$E$75)</f>
        <v>3.9055289456767115E-3</v>
      </c>
      <c r="S688">
        <f>(IF(inputs!$C$6="aerial",((0.025*0.112*inputs!$C$7/3.3)*(3*60*379*((F688/1000)^0.8))*MAX(inputs!$H$14:$H$16))/F688,((0.0083*0.112*inputs!$C$7/1)*(3*60*379*((F688/1000)^0.8))*MAX(inputs!$H$14:$H$16))/F688))*(inputs!E$75/inputs!$E$73)</f>
        <v>2.1539232084502102E-2</v>
      </c>
      <c r="T688">
        <f>IF((((inputs!$P$12/(V688/MAX(K688:S688)))^(1/inputs!$O$12))-1)/inputs!$N$12&lt;0, 0, IF((((inputs!$P$12/(V688/MAX(K688:S688)))^(1/inputs!$O$12))-1)/inputs!$N$12&gt;inputs!$H$17, inputs!$H$17, (((inputs!$P$12/(V688/MAX(K688:S688)))^(1/inputs!$O$12))-1)/inputs!$N$12))</f>
        <v>15.40927310342876</v>
      </c>
      <c r="U688">
        <f>IF((((inputs!$P$12/(X688/MAX(K688:S688)))^(1/inputs!$O$12))-1)/inputs!$N$12&lt;0, 0, IF((((inputs!$P$12/(X688/MAX(K688:S688)))^(1/inputs!$O$12))-1)/inputs!$N$12&gt;inputs!$H$17, inputs!$H$17, (((inputs!$P$12/(X688/MAX(K688:S688)))^(1/inputs!$O$12))-1)/inputs!$N$12))</f>
        <v>0</v>
      </c>
      <c r="V688">
        <f>inputs!$E$70*(F688/inputs!$F$70)^(0.25)</f>
        <v>2.4699687258559644</v>
      </c>
      <c r="W688">
        <f>inputs!$E$76*(inputs!$F$76/F688)^(0.25)</f>
        <v>0.68978390917721688</v>
      </c>
      <c r="X688">
        <f>inputs!$E$72*(inputs!$F$72/F688)^(0.25)</f>
        <v>101.17537011056586</v>
      </c>
      <c r="Y688" t="s">
        <v>13</v>
      </c>
      <c r="Z688">
        <f t="shared" si="69"/>
        <v>6.0779591574686167</v>
      </c>
      <c r="AA688">
        <f t="shared" si="70"/>
        <v>21.763872476938896</v>
      </c>
    </row>
    <row r="689" spans="1:27" x14ac:dyDescent="0.3">
      <c r="A689" t="s">
        <v>546</v>
      </c>
      <c r="B689" t="s">
        <v>547</v>
      </c>
      <c r="C689" t="s">
        <v>61</v>
      </c>
      <c r="D689" t="s">
        <v>443</v>
      </c>
      <c r="E689">
        <v>53</v>
      </c>
      <c r="F689">
        <v>12</v>
      </c>
      <c r="G689" t="s">
        <v>182</v>
      </c>
      <c r="H689">
        <v>0.85</v>
      </c>
      <c r="I689">
        <f>MAX('Min rate concentrations'!$M$3:$M$368)</f>
        <v>2.8488184789681945</v>
      </c>
      <c r="J689">
        <f>MAX('Min rate concentrations'!AE:AE)</f>
        <v>1.9699276716269429</v>
      </c>
      <c r="K689">
        <f t="shared" si="68"/>
        <v>3.9915547955524517</v>
      </c>
      <c r="L689">
        <f>(((0.621*F689^0.564)/(1-H689)))*J689/F689</f>
        <v>2.7601176777756318</v>
      </c>
      <c r="M689">
        <f>IF((((0.326*F689^0.818)-(0.398*F689^0.85)/(1-H689)*H689)*(MAX('Min rate concentrations'!$P$3:$P$368)))/F689&gt;0, (((0.326*F689^0.818)-(0.398*F689^0.85)/(1-H689)*H689)*(MAX('Min rate concentrations'!$P$3:$P$368)))/F689, 0)</f>
        <v>0</v>
      </c>
      <c r="N689">
        <f>IF((((0.326*F689^0.818)-(0.398*F689^0.85)/(1-H689)*H689)*(MAX('Min rate concentrations'!$Q$3:$Q$368)))/F689&gt; 0, (((0.326*F689^0.818)-(0.398*F689^0.85)/(1-H689)*H689)*(MAX('Min rate concentrations'!$Q$3:$Q$368)))/F689, 0)</f>
        <v>0</v>
      </c>
      <c r="O689">
        <f>((MAX('Min rate concentrations'!$F$3:$F$368))*0.62*6.01*8*(12.3*F689^0.65)*0.079*0.1/F689)*inputs!$E$73/inputs!$E$74</f>
        <v>18.908478773287541</v>
      </c>
      <c r="P689">
        <f>((MAX('Min rate concentrations'!Y:Y))*0.62*6.01*8*(12.3*F689^0.65)*0.079*0.1/F689)*inputs!$E$73/inputs!$E$74</f>
        <v>6.3028262577625114</v>
      </c>
      <c r="Q689">
        <f>(inputs!$C$7*11.2*(12.3*F689^0.65)*0.5/F689)*inputs!$E$73/inputs!$E$74</f>
        <v>3.330639352597959</v>
      </c>
      <c r="R689">
        <f>(60*379*((F689/1000)^0.8)*3*24*(MAX('Min rate concentrations'!$R$3:$R$368))/F689)*(inputs!$E$73/inputs!$E$75)</f>
        <v>4.4559592309452237E-3</v>
      </c>
      <c r="S689">
        <f>(IF(inputs!$C$6="aerial",((0.025*0.112*inputs!$C$7/3.3)*(3*60*379*((F689/1000)^0.8))*MAX(inputs!$H$14:$H$16))/F689,((0.0083*0.112*inputs!$C$7/1)*(3*60*379*((F689/1000)^0.8))*MAX(inputs!$H$14:$H$16))/F689))*(inputs!E$75/inputs!$E$73)</f>
        <v>2.4574888925264021E-2</v>
      </c>
      <c r="T689">
        <f>IF((((inputs!$P$12/(V689/MAX(K689:S689)))^(1/inputs!$O$12))-1)/inputs!$N$12&lt;0, 0, IF((((inputs!$P$12/(V689/MAX(K689:S689)))^(1/inputs!$O$12))-1)/inputs!$N$12&gt;inputs!$H$17, inputs!$H$17, (((inputs!$P$12/(V689/MAX(K689:S689)))^(1/inputs!$O$12))-1)/inputs!$N$12))</f>
        <v>23.071797239771147</v>
      </c>
      <c r="U689">
        <f>IF((((inputs!$P$12/(X689/MAX(K689:S689)))^(1/inputs!$O$12))-1)/inputs!$N$12&lt;0, 0, IF((((inputs!$P$12/(X689/MAX(K689:S689)))^(1/inputs!$O$12))-1)/inputs!$N$12&gt;inputs!$H$17, inputs!$H$17, (((inputs!$P$12/(X689/MAX(K689:S689)))^(1/inputs!$O$12))-1)/inputs!$N$12))</f>
        <v>0</v>
      </c>
      <c r="V689">
        <f>inputs!$E$70*(F689/inputs!$F$70)^(0.25)</f>
        <v>2.094665933568276</v>
      </c>
      <c r="W689">
        <f>inputs!$E$76*(inputs!$F$76/F689)^(0.25)</f>
        <v>0.81337298514425049</v>
      </c>
      <c r="X689">
        <f>inputs!$E$72*(inputs!$F$72/F689)^(0.25)</f>
        <v>119.30303347908743</v>
      </c>
      <c r="Y689" t="s">
        <v>13</v>
      </c>
      <c r="Z689">
        <f t="shared" si="69"/>
        <v>9.0269662910289625</v>
      </c>
      <c r="AA689">
        <f t="shared" si="70"/>
        <v>23.2469962964582</v>
      </c>
    </row>
    <row r="690" spans="1:27" x14ac:dyDescent="0.3">
      <c r="A690" t="s">
        <v>546</v>
      </c>
      <c r="B690" t="s">
        <v>547</v>
      </c>
      <c r="C690" t="s">
        <v>61</v>
      </c>
      <c r="D690" t="s">
        <v>443</v>
      </c>
      <c r="E690">
        <v>53</v>
      </c>
      <c r="F690">
        <v>12</v>
      </c>
      <c r="G690" t="s">
        <v>142</v>
      </c>
      <c r="H690">
        <v>0.69</v>
      </c>
      <c r="I690">
        <f>MAX('Min rate concentrations'!$H$3:$H$368)</f>
        <v>47</v>
      </c>
      <c r="J690">
        <f>MAX('Min rate concentrations'!AA:AA)</f>
        <v>32.5</v>
      </c>
      <c r="K690">
        <f t="shared" si="68"/>
        <v>31.864326320175874</v>
      </c>
      <c r="L690">
        <f>(((0.621*F690^0.564)/(1-H690)))*J690/F690</f>
        <v>22.03384266820672</v>
      </c>
      <c r="M690">
        <f>IF((((0.326*F690^0.818)-(0.398*F690^0.85)/(1-H690)*H690)*(MAX('Min rate concentrations'!$P$3:$P$368)))/F690&gt;0, (((0.326*F690^0.818)-(0.398*F690^0.85)/(1-H690)*H690)*(MAX('Min rate concentrations'!$P$3:$P$368)))/F690, 0)</f>
        <v>0</v>
      </c>
      <c r="N690">
        <f>IF((((0.326*F690^0.818)-(0.398*F690^0.85)/(1-H690)*H690)*(MAX('Min rate concentrations'!$Q$3:$Q$368)))/F690&gt; 0, (((0.326*F690^0.818)-(0.398*F690^0.85)/(1-H690)*H690)*(MAX('Min rate concentrations'!$Q$3:$Q$368)))/F690, 0)</f>
        <v>0</v>
      </c>
      <c r="O690">
        <f>((MAX('Min rate concentrations'!$F$3:$F$368))*0.62*6.01*8*(12.3*F690^0.65)*0.079*0.1/F690)*inputs!$E$73/inputs!$E$74</f>
        <v>18.908478773287541</v>
      </c>
      <c r="P690">
        <f>((MAX('Min rate concentrations'!Y:Y))*0.62*6.01*8*(12.3*F690^0.65)*0.079*0.1/F690)*inputs!$E$73/inputs!$E$74</f>
        <v>6.3028262577625114</v>
      </c>
      <c r="Q690">
        <f>(inputs!$C$7*11.2*(12.3*F690^0.65)*0.5/F690)*inputs!$E$73/inputs!$E$74</f>
        <v>3.330639352597959</v>
      </c>
      <c r="R690">
        <f>(60*379*((F690/1000)^0.8)*3*24*(MAX('Min rate concentrations'!$R$3:$R$368))/F690)*(inputs!$E$73/inputs!$E$75)</f>
        <v>4.4559592309452237E-3</v>
      </c>
      <c r="S690">
        <f>(IF(inputs!$C$6="aerial",((0.025*0.112*inputs!$C$7/3.3)*(3*60*379*((F690/1000)^0.8))*MAX(inputs!$H$14:$H$16))/F690,((0.0083*0.112*inputs!$C$7/1)*(3*60*379*((F690/1000)^0.8))*MAX(inputs!$H$14:$H$16))/F690))*(inputs!E$75/inputs!$E$73)</f>
        <v>2.4574888925264021E-2</v>
      </c>
      <c r="T690">
        <f>IF((((inputs!$P$12/(V690/MAX(K690:S690)))^(1/inputs!$O$12))-1)/inputs!$N$12&lt;0, 0, IF((((inputs!$P$12/(V690/MAX(K690:S690)))^(1/inputs!$O$12))-1)/inputs!$N$12&gt;inputs!$H$17, inputs!$H$17, (((inputs!$P$12/(V690/MAX(K690:S690)))^(1/inputs!$O$12))-1)/inputs!$N$12))</f>
        <v>35.264956049112598</v>
      </c>
      <c r="U690">
        <f>IF((((inputs!$P$12/(X690/MAX(K690:S690)))^(1/inputs!$O$12))-1)/inputs!$N$12&lt;0, 0, IF((((inputs!$P$12/(X690/MAX(K690:S690)))^(1/inputs!$O$12))-1)/inputs!$N$12&gt;inputs!$H$17, inputs!$H$17, (((inputs!$P$12/(X690/MAX(K690:S690)))^(1/inputs!$O$12))-1)/inputs!$N$12))</f>
        <v>0</v>
      </c>
      <c r="V690">
        <f>inputs!$E$70*(F690/inputs!$F$70)^(0.25)</f>
        <v>2.094665933568276</v>
      </c>
      <c r="W690">
        <f>inputs!$E$76*(inputs!$F$76/F690)^(0.25)</f>
        <v>0.81337298514425049</v>
      </c>
      <c r="X690">
        <f>inputs!$E$72*(inputs!$F$72/F690)^(0.25)</f>
        <v>119.30303347908743</v>
      </c>
      <c r="Y690" t="s">
        <v>13</v>
      </c>
      <c r="Z690">
        <f t="shared" si="69"/>
        <v>15.212128010262143</v>
      </c>
      <c r="AA690">
        <f t="shared" si="70"/>
        <v>39.175540498833733</v>
      </c>
    </row>
    <row r="691" spans="1:27" x14ac:dyDescent="0.3">
      <c r="A691" t="s">
        <v>546</v>
      </c>
      <c r="B691" t="s">
        <v>547</v>
      </c>
      <c r="C691" t="s">
        <v>61</v>
      </c>
      <c r="D691" t="s">
        <v>443</v>
      </c>
      <c r="E691">
        <v>53</v>
      </c>
      <c r="F691">
        <v>12</v>
      </c>
      <c r="G691" t="s">
        <v>169</v>
      </c>
      <c r="H691">
        <v>0.79</v>
      </c>
      <c r="I691">
        <f>MAX('Min rate concentrations'!$D$3:$D$368)</f>
        <v>120</v>
      </c>
      <c r="J691">
        <f>MAX('Min rate concentrations'!W:W)</f>
        <v>42.5</v>
      </c>
      <c r="K691">
        <f t="shared" si="68"/>
        <v>120.09654904868724</v>
      </c>
      <c r="L691">
        <f>(((0.621*F691^0.564)/(1-H691)))*J691/F691</f>
        <v>42.534194454743393</v>
      </c>
      <c r="M691">
        <f>IF((((0.326*F691^0.818)-(0.398*F691^0.85)/(1-H691)*H691)*(MAX('Min rate concentrations'!$P$3:$P$368)))/F691&gt;0, (((0.326*F691^0.818)-(0.398*F691^0.85)/(1-H691)*H691)*(MAX('Min rate concentrations'!$P$3:$P$368)))/F691, 0)</f>
        <v>0</v>
      </c>
      <c r="N691">
        <f>IF((((0.326*F691^0.818)-(0.398*F691^0.85)/(1-H691)*H691)*(MAX('Min rate concentrations'!$Q$3:$Q$368)))/F691&gt; 0, (((0.326*F691^0.818)-(0.398*F691^0.85)/(1-H691)*H691)*(MAX('Min rate concentrations'!$Q$3:$Q$368)))/F691, 0)</f>
        <v>0</v>
      </c>
      <c r="O691">
        <f>((MAX('Min rate concentrations'!$F$3:$F$368))*0.62*6.01*8*(12.3*F691^0.65)*0.079*0.1/F691)*inputs!$E$73/inputs!$E$74</f>
        <v>18.908478773287541</v>
      </c>
      <c r="P691">
        <f>((MAX('Min rate concentrations'!Y:Y))*0.62*6.01*8*(12.3*F691^0.65)*0.079*0.1/F691)*inputs!$E$73/inputs!$E$74</f>
        <v>6.3028262577625114</v>
      </c>
      <c r="Q691">
        <f>(inputs!$C$7*11.2*(12.3*F691^0.65)*0.5/F691)*inputs!$E$73/inputs!$E$74</f>
        <v>3.330639352597959</v>
      </c>
      <c r="R691">
        <f>(60*379*((F691/1000)^0.8)*3*24*(MAX('Min rate concentrations'!$R$3:$R$368))/F691)*(inputs!$E$73/inputs!$E$75)</f>
        <v>4.4559592309452237E-3</v>
      </c>
      <c r="S691">
        <f>(IF(inputs!$C$6="aerial",((0.025*0.112*inputs!$C$7/3.3)*(3*60*379*((F691/1000)^0.8))*MAX(inputs!$H$14:$H$16))/F691,((0.0083*0.112*inputs!$C$7/1)*(3*60*379*((F691/1000)^0.8))*MAX(inputs!$H$14:$H$16))/F691))*(inputs!E$75/inputs!$E$73)</f>
        <v>2.4574888925264021E-2</v>
      </c>
      <c r="T691">
        <f>IF((((inputs!$P$12/(V691/MAX(K691:S691)))^(1/inputs!$O$12))-1)/inputs!$N$12&lt;0, 0, IF((((inputs!$P$12/(V691/MAX(K691:S691)))^(1/inputs!$O$12))-1)/inputs!$N$12&gt;inputs!$H$17, inputs!$H$17, (((inputs!$P$12/(V691/MAX(K691:S691)))^(1/inputs!$O$12))-1)/inputs!$N$12))</f>
        <v>80.876808446300657</v>
      </c>
      <c r="U691">
        <f>IF((((inputs!$P$12/(X691/MAX(K691:S691)))^(1/inputs!$O$12))-1)/inputs!$N$12&lt;0, 0, IF((((inputs!$P$12/(X691/MAX(K691:S691)))^(1/inputs!$O$12))-1)/inputs!$N$12&gt;inputs!$H$17, inputs!$H$17, (((inputs!$P$12/(X691/MAX(K691:S691)))^(1/inputs!$O$12))-1)/inputs!$N$12))</f>
        <v>0</v>
      </c>
      <c r="V691">
        <f>inputs!$E$70*(F691/inputs!$F$70)^(0.25)</f>
        <v>2.094665933568276</v>
      </c>
      <c r="W691">
        <f>inputs!$E$76*(inputs!$F$76/F691)^(0.25)</f>
        <v>0.81337298514425049</v>
      </c>
      <c r="X691">
        <f>inputs!$E$72*(inputs!$F$72/F691)^(0.25)</f>
        <v>119.30303347908743</v>
      </c>
      <c r="Y691" t="s">
        <v>13</v>
      </c>
      <c r="Z691">
        <f t="shared" si="69"/>
        <v>57.334464233206887</v>
      </c>
      <c r="AA691">
        <f t="shared" si="70"/>
        <v>147.65249306551323</v>
      </c>
    </row>
    <row r="692" spans="1:27" x14ac:dyDescent="0.3">
      <c r="A692" t="s">
        <v>546</v>
      </c>
      <c r="B692" t="s">
        <v>547</v>
      </c>
      <c r="C692" t="s">
        <v>61</v>
      </c>
      <c r="D692" t="s">
        <v>443</v>
      </c>
      <c r="E692">
        <v>53</v>
      </c>
      <c r="F692">
        <v>12</v>
      </c>
      <c r="G692" t="s">
        <v>456</v>
      </c>
      <c r="H692">
        <v>0.68</v>
      </c>
      <c r="I692">
        <f>MAX('Min rate concentrations'!$J$3:$J$368)</f>
        <v>114.4108103430513</v>
      </c>
      <c r="J692">
        <f>MAX('Min rate concentrations'!AB:AB)</f>
        <v>40.520495329830666</v>
      </c>
      <c r="K692">
        <f t="shared" si="68"/>
        <v>75.142503494101703</v>
      </c>
      <c r="L692">
        <f>(((0.621*F692^0.564)/(1-H692)))*J692/F692</f>
        <v>26.612969987494353</v>
      </c>
      <c r="M692">
        <f>IF((((0.326*F692^0.818)-(0.398*F692^0.85)/(1-H692)*H692)*(MAX('Min rate concentrations'!$P$3:$P$368)))/F692&gt;0, (((0.326*F692^0.818)-(0.398*F692^0.85)/(1-H692)*H692)*(MAX('Min rate concentrations'!$P$3:$P$368)))/F692, 0)</f>
        <v>0</v>
      </c>
      <c r="N692">
        <f>IF((((0.326*F692^0.818)-(0.398*F692^0.85)/(1-H692)*H692)*(MAX('Min rate concentrations'!$Q$3:$Q$368)))/F692&gt; 0, (((0.326*F692^0.818)-(0.398*F692^0.85)/(1-H692)*H692)*(MAX('Min rate concentrations'!$Q$3:$Q$368)))/F692, 0)</f>
        <v>0</v>
      </c>
      <c r="O692">
        <f>((MAX('Min rate concentrations'!$F$3:$F$368))*0.62*6.01*8*(12.3*F692^0.65)*0.079*0.1/F692)*inputs!$E$73/inputs!$E$74</f>
        <v>18.908478773287541</v>
      </c>
      <c r="P692">
        <f>((MAX('Min rate concentrations'!Y:Y))*0.62*6.01*8*(12.3*F692^0.65)*0.079*0.1/F692)*inputs!$E$73/inputs!$E$74</f>
        <v>6.3028262577625114</v>
      </c>
      <c r="Q692">
        <f>(inputs!$C$7*11.2*(12.3*F692^0.65)*0.5/F692)*inputs!$E$73/inputs!$E$74</f>
        <v>3.330639352597959</v>
      </c>
      <c r="R692">
        <f>(60*379*((F692/1000)^0.8)*3*24*(MAX('Min rate concentrations'!$R$3:$R$368))/F692)*(inputs!$E$73/inputs!$E$75)</f>
        <v>4.4559592309452237E-3</v>
      </c>
      <c r="S692">
        <f>(IF(inputs!$C$6="aerial",((0.025*0.112*inputs!$C$7/3.3)*(3*60*379*((F692/1000)^0.8))*MAX(inputs!$H$14:$H$16))/F692,((0.0083*0.112*inputs!$C$7/1)*(3*60*379*((F692/1000)^0.8))*MAX(inputs!$H$14:$H$16))/F692))*(inputs!E$75/inputs!$E$73)</f>
        <v>2.4574888925264021E-2</v>
      </c>
      <c r="T692">
        <f>IF((((inputs!$P$12/(V692/MAX(K692:S692)))^(1/inputs!$O$12))-1)/inputs!$N$12&lt;0, 0, IF((((inputs!$P$12/(V692/MAX(K692:S692)))^(1/inputs!$O$12))-1)/inputs!$N$12&gt;inputs!$H$17, inputs!$H$17, (((inputs!$P$12/(V692/MAX(K692:S692)))^(1/inputs!$O$12))-1)/inputs!$N$12))</f>
        <v>61.886581361761017</v>
      </c>
      <c r="U692">
        <f>IF((((inputs!$P$12/(X692/MAX(K692:S692)))^(1/inputs!$O$12))-1)/inputs!$N$12&lt;0, 0, IF((((inputs!$P$12/(X692/MAX(K692:S692)))^(1/inputs!$O$12))-1)/inputs!$N$12&gt;inputs!$H$17, inputs!$H$17, (((inputs!$P$12/(X692/MAX(K692:S692)))^(1/inputs!$O$12))-1)/inputs!$N$12))</f>
        <v>0</v>
      </c>
      <c r="V692">
        <f>inputs!$E$70*(F692/inputs!$F$70)^(0.25)</f>
        <v>2.094665933568276</v>
      </c>
      <c r="W692">
        <f>inputs!$E$76*(inputs!$F$76/F692)^(0.25)</f>
        <v>0.81337298514425049</v>
      </c>
      <c r="X692">
        <f>inputs!$E$72*(inputs!$F$72/F692)^(0.25)</f>
        <v>119.30303347908743</v>
      </c>
      <c r="Y692" t="s">
        <v>13</v>
      </c>
      <c r="Z692">
        <f t="shared" si="69"/>
        <v>35.873263745735336</v>
      </c>
      <c r="AA692">
        <f t="shared" si="70"/>
        <v>92.383820051234295</v>
      </c>
    </row>
    <row r="693" spans="1:27" x14ac:dyDescent="0.3">
      <c r="A693" t="s">
        <v>546</v>
      </c>
      <c r="B693" t="s">
        <v>547</v>
      </c>
      <c r="C693" t="s">
        <v>61</v>
      </c>
      <c r="D693" t="s">
        <v>443</v>
      </c>
      <c r="E693">
        <v>53</v>
      </c>
      <c r="F693">
        <v>12</v>
      </c>
      <c r="G693" t="s">
        <v>145</v>
      </c>
      <c r="H693">
        <v>0.66</v>
      </c>
      <c r="I693">
        <f>MAX('Min rate concentrations'!$M$3:$M$368)</f>
        <v>2.8488184789681945</v>
      </c>
      <c r="J693">
        <f>MAX('Min rate concentrations'!AE:AE)</f>
        <v>1.9699276716269429</v>
      </c>
      <c r="K693">
        <f t="shared" si="68"/>
        <v>1.7609800568613763</v>
      </c>
      <c r="L693">
        <f>(((0.621*F693^0.564)/(1-H693)))*J693/F693</f>
        <v>1.2176989754892495</v>
      </c>
      <c r="M693">
        <f>IF((((0.326*F693^0.818)-(0.398*F693^0.85)/(1-H693)*H693)*(MAX('Min rate concentrations'!$P$3:$P$368)))/F693&gt;0, (((0.326*F693^0.818)-(0.398*F693^0.85)/(1-H693)*H693)*(MAX('Min rate concentrations'!$P$3:$P$368)))/F693, 0)</f>
        <v>0</v>
      </c>
      <c r="N693">
        <f>IF((((0.326*F693^0.818)-(0.398*F693^0.85)/(1-H693)*H693)*(MAX('Min rate concentrations'!$Q$3:$Q$368)))/F693&gt; 0, (((0.326*F693^0.818)-(0.398*F693^0.85)/(1-H693)*H693)*(MAX('Min rate concentrations'!$Q$3:$Q$368)))/F693, 0)</f>
        <v>0</v>
      </c>
      <c r="O693">
        <f>((MAX('Min rate concentrations'!$F$3:$F$368))*0.62*6.01*8*(12.3*F693^0.65)*0.079*0.1/F693)*inputs!$E$73/inputs!$E$74</f>
        <v>18.908478773287541</v>
      </c>
      <c r="P693">
        <f>((MAX('Min rate concentrations'!Y:Y))*0.62*6.01*8*(12.3*F693^0.65)*0.079*0.1/F693)*inputs!$E$73/inputs!$E$74</f>
        <v>6.3028262577625114</v>
      </c>
      <c r="Q693">
        <f>(inputs!$C$7*11.2*(12.3*F693^0.65)*0.5/F693)*inputs!$E$73/inputs!$E$74</f>
        <v>3.330639352597959</v>
      </c>
      <c r="R693">
        <f>(60*379*((F693/1000)^0.8)*3*24*(MAX('Min rate concentrations'!$R$3:$R$368))/F693)*(inputs!$E$73/inputs!$E$75)</f>
        <v>4.4559592309452237E-3</v>
      </c>
      <c r="S693">
        <f>(IF(inputs!$C$6="aerial",((0.025*0.112*inputs!$C$7/3.3)*(3*60*379*((F693/1000)^0.8))*MAX(inputs!$H$14:$H$16))/F693,((0.0083*0.112*inputs!$C$7/1)*(3*60*379*((F693/1000)^0.8))*MAX(inputs!$H$14:$H$16))/F693))*(inputs!E$75/inputs!$E$73)</f>
        <v>2.4574888925264021E-2</v>
      </c>
      <c r="T693">
        <f>IF((((inputs!$P$12/(V693/MAX(K693:S693)))^(1/inputs!$O$12))-1)/inputs!$N$12&lt;0, 0, IF((((inputs!$P$12/(V693/MAX(K693:S693)))^(1/inputs!$O$12))-1)/inputs!$N$12&gt;inputs!$H$17, inputs!$H$17, (((inputs!$P$12/(V693/MAX(K693:S693)))^(1/inputs!$O$12))-1)/inputs!$N$12))</f>
        <v>23.071797239771147</v>
      </c>
      <c r="U693">
        <f>IF((((inputs!$P$12/(X693/MAX(K693:S693)))^(1/inputs!$O$12))-1)/inputs!$N$12&lt;0, 0, IF((((inputs!$P$12/(X693/MAX(K693:S693)))^(1/inputs!$O$12))-1)/inputs!$N$12&gt;inputs!$H$17, inputs!$H$17, (((inputs!$P$12/(X693/MAX(K693:S693)))^(1/inputs!$O$12))-1)/inputs!$N$12))</f>
        <v>0</v>
      </c>
      <c r="V693">
        <f>inputs!$E$70*(F693/inputs!$F$70)^(0.25)</f>
        <v>2.094665933568276</v>
      </c>
      <c r="W693">
        <f>inputs!$E$76*(inputs!$F$76/F693)^(0.25)</f>
        <v>0.81337298514425049</v>
      </c>
      <c r="X693">
        <f>inputs!$E$72*(inputs!$F$72/F693)^(0.25)</f>
        <v>119.30303347908743</v>
      </c>
      <c r="Y693" t="s">
        <v>13</v>
      </c>
      <c r="Z693">
        <f t="shared" si="69"/>
        <v>9.0269662910289625</v>
      </c>
      <c r="AA693">
        <f t="shared" si="70"/>
        <v>23.2469962964582</v>
      </c>
    </row>
    <row r="694" spans="1:27" x14ac:dyDescent="0.3">
      <c r="A694" t="s">
        <v>546</v>
      </c>
      <c r="B694" t="s">
        <v>547</v>
      </c>
      <c r="C694" t="s">
        <v>61</v>
      </c>
      <c r="D694" t="s">
        <v>443</v>
      </c>
      <c r="E694">
        <v>53</v>
      </c>
      <c r="F694">
        <v>12</v>
      </c>
      <c r="G694" t="s">
        <v>154</v>
      </c>
      <c r="H694">
        <v>9.2999999999999999E-2</v>
      </c>
      <c r="I694">
        <f>MAX('Min rate concentrations'!$G$3:$G$368)</f>
        <v>7.5</v>
      </c>
      <c r="J694">
        <f>MAX('Min rate concentrations'!Z:Z)</f>
        <v>3.5</v>
      </c>
      <c r="K694">
        <f t="shared" si="68"/>
        <v>1.7378910763660633</v>
      </c>
      <c r="M694">
        <f>IF((((0.326*F694^0.818)-(0.398*F694^0.85)/(1-H694)*H694)*(MAX('Min rate concentrations'!$P$3:$P$368)))/F694&gt;0, (((0.326*F694^0.818)-(0.398*F694^0.85)/(1-H694)*H694)*(MAX('Min rate concentrations'!$P$3:$P$368)))/F694, 0)</f>
        <v>2.6023247729384608E-2</v>
      </c>
      <c r="N694">
        <f>IF((((0.326*F694^0.818)-(0.398*F694^0.85)/(1-H694)*H694)*(MAX('Min rate concentrations'!$Q$3:$Q$368)))/F694&gt; 0, (((0.326*F694^0.818)-(0.398*F694^0.85)/(1-H694)*H694)*(MAX('Min rate concentrations'!$Q$3:$Q$368)))/F694, 0)</f>
        <v>9.9097925626449576E-2</v>
      </c>
      <c r="O694">
        <f>((MAX('Min rate concentrations'!$F$3:$F$368))*0.62*6.01*8*(12.3*F694^0.65)*0.079*0.1/F694)*inputs!$E$73/inputs!$E$74</f>
        <v>18.908478773287541</v>
      </c>
      <c r="Q694">
        <f>(inputs!$C$7*11.2*(12.3*F694^0.65)*0.5/F694)*inputs!$E$73/inputs!$E$74</f>
        <v>3.330639352597959</v>
      </c>
      <c r="R694">
        <f>(60*379*((F694/1000)^0.8)*3*24*(MAX('Min rate concentrations'!$R$3:$R$368))/F694)*(inputs!$E$73/inputs!$E$75)</f>
        <v>4.4559592309452237E-3</v>
      </c>
      <c r="S694">
        <f>(IF(inputs!$C$6="aerial",((0.025*0.112*inputs!$C$7/3.3)*(3*60*379*((F694/1000)^0.8))*MAX(inputs!$H$14:$H$16))/F694,((0.0083*0.112*inputs!$C$7/1)*(3*60*379*((F694/1000)^0.8))*MAX(inputs!$H$14:$H$16))/F694))*(inputs!E$75/inputs!$E$73)</f>
        <v>2.4574888925264021E-2</v>
      </c>
      <c r="T694">
        <f>IF((((inputs!$P$12/(V694/MAX(K694:S694)))^(1/inputs!$O$12))-1)/inputs!$N$12&lt;0, 0, IF((((inputs!$P$12/(V694/MAX(K694:S694)))^(1/inputs!$O$12))-1)/inputs!$N$12&gt;inputs!$H$17, inputs!$H$17, (((inputs!$P$12/(V694/MAX(K694:S694)))^(1/inputs!$O$12))-1)/inputs!$N$12))</f>
        <v>23.071797239771147</v>
      </c>
      <c r="U694">
        <f>IF((((inputs!$P$12/(X694/MAX(K694:S694)))^(1/inputs!$O$12))-1)/inputs!$N$12&lt;0, 0, IF((((inputs!$P$12/(X694/MAX(K694:S694)))^(1/inputs!$O$12))-1)/inputs!$N$12&gt;inputs!$H$17, inputs!$H$17, (((inputs!$P$12/(X694/MAX(K694:S694)))^(1/inputs!$O$12))-1)/inputs!$N$12))</f>
        <v>0</v>
      </c>
      <c r="V694">
        <f>inputs!$E$70*(F694/inputs!$F$70)^(0.25)</f>
        <v>2.094665933568276</v>
      </c>
      <c r="W694">
        <f>inputs!$E$76*(inputs!$F$76/F694)^(0.25)</f>
        <v>0.81337298514425049</v>
      </c>
      <c r="X694">
        <f>inputs!$E$72*(inputs!$F$72/F694)^(0.25)</f>
        <v>119.30303347908743</v>
      </c>
      <c r="Y694" t="s">
        <v>13</v>
      </c>
      <c r="Z694">
        <f t="shared" si="69"/>
        <v>9.0269662910289625</v>
      </c>
      <c r="AA694">
        <f t="shared" si="70"/>
        <v>23.2469962964582</v>
      </c>
    </row>
    <row r="695" spans="1:27" x14ac:dyDescent="0.3">
      <c r="A695" t="s">
        <v>590</v>
      </c>
      <c r="B695" t="s">
        <v>591</v>
      </c>
      <c r="C695" t="s">
        <v>61</v>
      </c>
      <c r="D695" t="s">
        <v>443</v>
      </c>
      <c r="E695">
        <v>2299</v>
      </c>
      <c r="F695">
        <v>120</v>
      </c>
      <c r="G695" t="s">
        <v>169</v>
      </c>
      <c r="H695">
        <v>0.79</v>
      </c>
      <c r="I695">
        <f>MAX('Min rate concentrations'!$D$3:$D$368)</f>
        <v>120</v>
      </c>
      <c r="J695">
        <f>MAX('Min rate concentrations'!W:W)</f>
        <v>42.5</v>
      </c>
      <c r="K695">
        <f t="shared" si="68"/>
        <v>44.007888156975483</v>
      </c>
      <c r="L695">
        <f>(((0.621*F695^0.564)/(1-H695)))*J695/F695</f>
        <v>15.586127055595483</v>
      </c>
      <c r="M695">
        <f>IF((((0.326*F695^0.818)-(0.398*F695^0.85)/(1-H695)*H695)*(MAX('Min rate concentrations'!$P$3:$P$368)))/F695&gt;0, (((0.326*F695^0.818)-(0.398*F695^0.85)/(1-H695)*H695)*(MAX('Min rate concentrations'!$P$3:$P$368)))/F695, 0)</f>
        <v>0</v>
      </c>
      <c r="N695">
        <f>IF((((0.326*F695^0.818)-(0.398*F695^0.85)/(1-H695)*H695)*(MAX('Min rate concentrations'!$Q$3:$Q$368)))/F695&gt; 0, (((0.326*F695^0.818)-(0.398*F695^0.85)/(1-H695)*H695)*(MAX('Min rate concentrations'!$Q$3:$Q$368)))/F695, 0)</f>
        <v>0</v>
      </c>
      <c r="O695">
        <f>((MAX('Min rate concentrations'!$F$3:$F$368))*0.62*6.01*8*(12.3*F695^0.65)*0.079*0.1/F695)*inputs!$E$73/inputs!$E$74</f>
        <v>8.4461072205623111</v>
      </c>
      <c r="P695">
        <f>((MAX('Min rate concentrations'!Y:Y))*0.62*6.01*8*(12.3*F695^0.65)*0.079*0.1/F695)*inputs!$E$73/inputs!$E$74</f>
        <v>2.8153690735207699</v>
      </c>
      <c r="Q695">
        <f>(inputs!$C$7*11.2*(12.3*F695^0.65)*0.5/F695)*inputs!$E$73/inputs!$E$74</f>
        <v>1.4877419501778142</v>
      </c>
      <c r="R695">
        <f>(60*379*((F695/1000)^0.8)*3*24*(MAX('Min rate concentrations'!$R$3:$R$368))/F695)*(inputs!$E$73/inputs!$E$75)</f>
        <v>2.8115202034692029E-3</v>
      </c>
      <c r="S695">
        <f>(IF(inputs!$C$6="aerial",((0.025*0.112*inputs!$C$7/3.3)*(3*60*379*((F695/1000)^0.8))*MAX(inputs!$H$14:$H$16))/F695,((0.0083*0.112*inputs!$C$7/1)*(3*60*379*((F695/1000)^0.8))*MAX(inputs!$H$14:$H$16))/F695))*(inputs!E$75/inputs!$E$73)</f>
        <v>1.5505706657180304E-2</v>
      </c>
      <c r="T695">
        <f>IF((((inputs!$P$12/(V695/MAX(K695:S695)))^(1/inputs!$O$12))-1)/inputs!$N$12&lt;0, 0, IF((((inputs!$P$12/(V695/MAX(K695:S695)))^(1/inputs!$O$12))-1)/inputs!$N$12&gt;inputs!$H$17, inputs!$H$17, (((inputs!$P$12/(V695/MAX(K695:S695)))^(1/inputs!$O$12))-1)/inputs!$N$12))</f>
        <v>29.036089934275807</v>
      </c>
      <c r="U695">
        <f>IF((((inputs!$P$12/(X695/MAX(K695:S695)))^(1/inputs!$O$12))-1)/inputs!$N$12&lt;0, 0, IF((((inputs!$P$12/(X695/MAX(K695:S695)))^(1/inputs!$O$12))-1)/inputs!$N$12&gt;inputs!$H$17, inputs!$H$17, (((inputs!$P$12/(X695/MAX(K695:S695)))^(1/inputs!$O$12))-1)/inputs!$N$12))</f>
        <v>0</v>
      </c>
      <c r="V695">
        <f>inputs!$E$70*(F695/inputs!$F$70)^(0.25)</f>
        <v>3.7249013005744236</v>
      </c>
      <c r="W695">
        <f>inputs!$E$76*(inputs!$F$76/F695)^(0.25)</f>
        <v>0.45739324234004791</v>
      </c>
      <c r="X695">
        <f>inputs!$E$72*(inputs!$F$72/F695)^(0.25)</f>
        <v>67.089025945858609</v>
      </c>
      <c r="Y695" t="s">
        <v>13</v>
      </c>
      <c r="Z695">
        <f t="shared" si="69"/>
        <v>11.814511206025498</v>
      </c>
      <c r="AA695">
        <f t="shared" si="70"/>
        <v>96.214556935360065</v>
      </c>
    </row>
    <row r="696" spans="1:27" x14ac:dyDescent="0.3">
      <c r="A696" t="s">
        <v>590</v>
      </c>
      <c r="B696" t="s">
        <v>591</v>
      </c>
      <c r="C696" t="s">
        <v>61</v>
      </c>
      <c r="D696" t="s">
        <v>443</v>
      </c>
      <c r="E696">
        <v>2299</v>
      </c>
      <c r="F696">
        <v>120</v>
      </c>
      <c r="G696" t="s">
        <v>177</v>
      </c>
      <c r="H696">
        <v>0.85</v>
      </c>
      <c r="I696">
        <f>MAX('Min rate concentrations'!$F$3:$F$368)</f>
        <v>67.5</v>
      </c>
      <c r="J696">
        <f>MAX('Min rate concentrations'!Y:Y)</f>
        <v>22.5</v>
      </c>
      <c r="K696">
        <f t="shared" si="68"/>
        <v>34.656211923618187</v>
      </c>
      <c r="L696">
        <f>(((0.621*F696^0.564)/(1-H696)))*J696/F696</f>
        <v>11.552070641206061</v>
      </c>
      <c r="M696">
        <f>IF((((0.326*F696^0.818)-(0.398*F696^0.85)/(1-H696)*H696)*(MAX('Min rate concentrations'!$P$3:$P$368)))/F696&gt;0, (((0.326*F696^0.818)-(0.398*F696^0.85)/(1-H696)*H696)*(MAX('Min rate concentrations'!$P$3:$P$368)))/F696, 0)</f>
        <v>0</v>
      </c>
      <c r="N696">
        <f>IF((((0.326*F696^0.818)-(0.398*F696^0.85)/(1-H696)*H696)*(MAX('Min rate concentrations'!$Q$3:$Q$368)))/F696&gt; 0, (((0.326*F696^0.818)-(0.398*F696^0.85)/(1-H696)*H696)*(MAX('Min rate concentrations'!$Q$3:$Q$368)))/F696, 0)</f>
        <v>0</v>
      </c>
      <c r="O696">
        <f>((MAX('Min rate concentrations'!$F$3:$F$368))*0.62*6.01*8*(12.3*F696^0.65)*0.079*0.1/F696)*inputs!$E$73/inputs!$E$74</f>
        <v>8.4461072205623111</v>
      </c>
      <c r="P696">
        <f>((MAX('Min rate concentrations'!Y:Y))*0.62*6.01*8*(12.3*F696^0.65)*0.079*0.1/F696)*inputs!$E$73/inputs!$E$74</f>
        <v>2.8153690735207699</v>
      </c>
      <c r="Q696">
        <f>(inputs!$C$7*11.2*(12.3*F696^0.65)*0.5/F696)*inputs!$E$73/inputs!$E$74</f>
        <v>1.4877419501778142</v>
      </c>
      <c r="R696">
        <f>(60*379*((F696/1000)^0.8)*3*24*(MAX('Min rate concentrations'!$R$3:$R$368))/F696)*(inputs!$E$73/inputs!$E$75)</f>
        <v>2.8115202034692029E-3</v>
      </c>
      <c r="S696">
        <f>(IF(inputs!$C$6="aerial",((0.025*0.112*inputs!$C$7/3.3)*(3*60*379*((F696/1000)^0.8))*MAX(inputs!$H$14:$H$16))/F696,((0.0083*0.112*inputs!$C$7/1)*(3*60*379*((F696/1000)^0.8))*MAX(inputs!$H$14:$H$16))/F696))*(inputs!E$75/inputs!$E$73)</f>
        <v>1.5505706657180304E-2</v>
      </c>
      <c r="T696">
        <f>IF((((inputs!$P$12/(V696/MAX(K696:S696)))^(1/inputs!$O$12))-1)/inputs!$N$12&lt;0, 0, IF((((inputs!$P$12/(V696/MAX(K696:S696)))^(1/inputs!$O$12))-1)/inputs!$N$12&gt;inputs!$H$17, inputs!$H$17, (((inputs!$P$12/(V696/MAX(K696:S696)))^(1/inputs!$O$12))-1)/inputs!$N$12))</f>
        <v>23.709488860535373</v>
      </c>
      <c r="U696">
        <f>IF((((inputs!$P$12/(X696/MAX(K696:S696)))^(1/inputs!$O$12))-1)/inputs!$N$12&lt;0, 0, IF((((inputs!$P$12/(X696/MAX(K696:S696)))^(1/inputs!$O$12))-1)/inputs!$N$12&gt;inputs!$H$17, inputs!$H$17, (((inputs!$P$12/(X696/MAX(K696:S696)))^(1/inputs!$O$12))-1)/inputs!$N$12))</f>
        <v>0</v>
      </c>
      <c r="V696">
        <f>inputs!$E$70*(F696/inputs!$F$70)^(0.25)</f>
        <v>3.7249013005744236</v>
      </c>
      <c r="W696">
        <f>inputs!$E$76*(inputs!$F$76/F696)^(0.25)</f>
        <v>0.45739324234004791</v>
      </c>
      <c r="X696">
        <f>inputs!$E$72*(inputs!$F$72/F696)^(0.25)</f>
        <v>67.089025945858609</v>
      </c>
      <c r="Y696" t="s">
        <v>13</v>
      </c>
      <c r="Z696">
        <f t="shared" si="69"/>
        <v>9.3039275747450798</v>
      </c>
      <c r="AA696">
        <f t="shared" si="70"/>
        <v>75.768963586596044</v>
      </c>
    </row>
    <row r="697" spans="1:27" x14ac:dyDescent="0.3">
      <c r="A697" t="s">
        <v>590</v>
      </c>
      <c r="B697" t="s">
        <v>591</v>
      </c>
      <c r="C697" t="s">
        <v>61</v>
      </c>
      <c r="D697" t="s">
        <v>443</v>
      </c>
      <c r="E697">
        <v>2299</v>
      </c>
      <c r="F697">
        <v>120</v>
      </c>
      <c r="G697" t="s">
        <v>154</v>
      </c>
      <c r="H697">
        <v>9.2999999999999999E-2</v>
      </c>
      <c r="I697">
        <f>MAX('Min rate concentrations'!$G$3:$G$368)</f>
        <v>7.5</v>
      </c>
      <c r="J697">
        <f>MAX('Min rate concentrations'!Z:Z)</f>
        <v>3.5</v>
      </c>
      <c r="K697">
        <f t="shared" si="68"/>
        <v>0.63682859102569256</v>
      </c>
      <c r="M697">
        <f>IF((((0.326*F697^0.818)-(0.398*F697^0.85)/(1-H697)*H697)*(MAX('Min rate concentrations'!$P$3:$P$368)))/F697&gt;0, (((0.326*F697^0.818)-(0.398*F697^0.85)/(1-H697)*H697)*(MAX('Min rate concentrations'!$P$3:$P$368)))/F697, 0)</f>
        <v>1.6909202628952229E-2</v>
      </c>
      <c r="N697">
        <f>IF((((0.326*F697^0.818)-(0.398*F697^0.85)/(1-H697)*H697)*(MAX('Min rate concentrations'!$Q$3:$Q$368)))/F697&gt; 0, (((0.326*F697^0.818)-(0.398*F697^0.85)/(1-H697)*H697)*(MAX('Min rate concentrations'!$Q$3:$Q$368)))/F697, 0)</f>
        <v>6.4391152171001512E-2</v>
      </c>
      <c r="O697">
        <f>((MAX('Min rate concentrations'!$F$3:$F$368))*0.62*6.01*8*(12.3*F697^0.65)*0.079*0.1/F697)*inputs!$E$73/inputs!$E$74</f>
        <v>8.4461072205623111</v>
      </c>
      <c r="Q697">
        <f>(inputs!$C$7*11.2*(12.3*F697^0.65)*0.5/F697)*inputs!$E$73/inputs!$E$74</f>
        <v>1.4877419501778142</v>
      </c>
      <c r="R697">
        <f>(60*379*((F697/1000)^0.8)*3*24*(MAX('Min rate concentrations'!$R$3:$R$368))/F697)*(inputs!$E$73/inputs!$E$75)</f>
        <v>2.8115202034692029E-3</v>
      </c>
      <c r="S697">
        <f>(IF(inputs!$C$6="aerial",((0.025*0.112*inputs!$C$7/3.3)*(3*60*379*((F697/1000)^0.8))*MAX(inputs!$H$14:$H$16))/F697,((0.0083*0.112*inputs!$C$7/1)*(3*60*379*((F697/1000)^0.8))*MAX(inputs!$H$14:$H$16))/F697))*(inputs!E$75/inputs!$E$73)</f>
        <v>1.5505706657180304E-2</v>
      </c>
      <c r="T697">
        <f>IF((((inputs!$P$12/(V697/MAX(K697:S697)))^(1/inputs!$O$12))-1)/inputs!$N$12&lt;0, 0, IF((((inputs!$P$12/(V697/MAX(K697:S697)))^(1/inputs!$O$12))-1)/inputs!$N$12&gt;inputs!$H$17, inputs!$H$17, (((inputs!$P$12/(V697/MAX(K697:S697)))^(1/inputs!$O$12))-1)/inputs!$N$12))</f>
        <v>0.90588511844306285</v>
      </c>
      <c r="U697">
        <f>IF((((inputs!$P$12/(X697/MAX(K697:S697)))^(1/inputs!$O$12))-1)/inputs!$N$12&lt;0, 0, IF((((inputs!$P$12/(X697/MAX(K697:S697)))^(1/inputs!$O$12))-1)/inputs!$N$12&gt;inputs!$H$17, inputs!$H$17, (((inputs!$P$12/(X697/MAX(K697:S697)))^(1/inputs!$O$12))-1)/inputs!$N$12))</f>
        <v>0</v>
      </c>
      <c r="V697">
        <f>inputs!$E$70*(F697/inputs!$F$70)^(0.25)</f>
        <v>3.7249013005744236</v>
      </c>
      <c r="W697">
        <f>inputs!$E$76*(inputs!$F$76/F697)^(0.25)</f>
        <v>0.45739324234004791</v>
      </c>
      <c r="X697">
        <f>inputs!$E$72*(inputs!$F$72/F697)^(0.25)</f>
        <v>67.089025945858609</v>
      </c>
      <c r="Y697" t="s">
        <v>13</v>
      </c>
      <c r="Z697">
        <f t="shared" si="69"/>
        <v>2.2674714144129999</v>
      </c>
      <c r="AA697">
        <f t="shared" si="70"/>
        <v>18.465745530807542</v>
      </c>
    </row>
    <row r="698" spans="1:27" x14ac:dyDescent="0.3">
      <c r="A698" t="s">
        <v>548</v>
      </c>
      <c r="B698" t="s">
        <v>549</v>
      </c>
      <c r="C698" t="s">
        <v>61</v>
      </c>
      <c r="D698" t="s">
        <v>443</v>
      </c>
      <c r="E698">
        <v>54</v>
      </c>
      <c r="F698">
        <v>15</v>
      </c>
      <c r="G698" t="s">
        <v>182</v>
      </c>
      <c r="H698">
        <v>0.85</v>
      </c>
      <c r="I698">
        <f>MAX('Min rate concentrations'!$M$3:$M$368)</f>
        <v>2.8488184789681945</v>
      </c>
      <c r="J698">
        <f>MAX('Min rate concentrations'!AE:AE)</f>
        <v>1.9699276716269429</v>
      </c>
      <c r="K698">
        <f t="shared" si="68"/>
        <v>3.6215070077667764</v>
      </c>
      <c r="L698">
        <f t="shared" ref="L698:L706" si="73">(((0.621*F698^0.564)/(1-H698)))*J698/F698</f>
        <v>2.5042335692004305</v>
      </c>
      <c r="M698">
        <f>IF((((0.326*F698^0.818)-(0.398*F698^0.85)/(1-H698)*H698)*(MAX('Min rate concentrations'!$P$3:$P$368)))/F698&gt;0, (((0.326*F698^0.818)-(0.398*F698^0.85)/(1-H698)*H698)*(MAX('Min rate concentrations'!$P$3:$P$368)))/F698, 0)</f>
        <v>0</v>
      </c>
      <c r="N698">
        <f>IF((((0.326*F698^0.818)-(0.398*F698^0.85)/(1-H698)*H698)*(MAX('Min rate concentrations'!$Q$3:$Q$368)))/F698&gt; 0, (((0.326*F698^0.818)-(0.398*F698^0.85)/(1-H698)*H698)*(MAX('Min rate concentrations'!$Q$3:$Q$368)))/F698, 0)</f>
        <v>0</v>
      </c>
      <c r="O698">
        <f>((MAX('Min rate concentrations'!$F$3:$F$368))*0.62*6.01*8*(12.3*F698^0.65)*0.079*0.1/F698)*inputs!$E$73/inputs!$E$74</f>
        <v>17.4879170969031</v>
      </c>
      <c r="P698">
        <f>((MAX('Min rate concentrations'!Y:Y))*0.62*6.01*8*(12.3*F698^0.65)*0.079*0.1/F698)*inputs!$E$73/inputs!$E$74</f>
        <v>5.8293056989677003</v>
      </c>
      <c r="Q698">
        <f>(inputs!$C$7*11.2*(12.3*F698^0.65)*0.5/F698)*inputs!$E$73/inputs!$E$74</f>
        <v>3.0804141134929148</v>
      </c>
      <c r="R698">
        <f>(60*379*((F698/1000)^0.8)*3*24*(MAX('Min rate concentrations'!$R$3:$R$368))/F698)*(inputs!$E$73/inputs!$E$75)</f>
        <v>4.2614677494769567E-3</v>
      </c>
      <c r="S698">
        <f>(IF(inputs!$C$6="aerial",((0.025*0.112*inputs!$C$7/3.3)*(3*60*379*((F698/1000)^0.8))*MAX(inputs!$H$14:$H$16))/F698,((0.0083*0.112*inputs!$C$7/1)*(3*60*379*((F698/1000)^0.8))*MAX(inputs!$H$14:$H$16))/F698))*(inputs!E$75/inputs!$E$73)</f>
        <v>2.3502256455738741E-2</v>
      </c>
      <c r="T698">
        <f>IF((((inputs!$P$12/(V698/MAX(K698:S698)))^(1/inputs!$O$12))-1)/inputs!$N$12&lt;0, 0, IF((((inputs!$P$12/(V698/MAX(K698:S698)))^(1/inputs!$O$12))-1)/inputs!$N$12&gt;inputs!$H$17, inputs!$H$17, (((inputs!$P$12/(V698/MAX(K698:S698)))^(1/inputs!$O$12))-1)/inputs!$N$12))</f>
        <v>20.339017449542123</v>
      </c>
      <c r="U698">
        <f>IF((((inputs!$P$12/(X698/MAX(K698:S698)))^(1/inputs!$O$12))-1)/inputs!$N$12&lt;0, 0, IF((((inputs!$P$12/(X698/MAX(K698:S698)))^(1/inputs!$O$12))-1)/inputs!$N$12&gt;inputs!$H$17, inputs!$H$17, (((inputs!$P$12/(X698/MAX(K698:S698)))^(1/inputs!$O$12))-1)/inputs!$N$12))</f>
        <v>0</v>
      </c>
      <c r="V698">
        <f>inputs!$E$70*(F698/inputs!$F$70)^(0.25)</f>
        <v>2.2148395646629968</v>
      </c>
      <c r="W698">
        <f>inputs!$E$76*(inputs!$F$76/F698)^(0.25)</f>
        <v>0.76924067569003962</v>
      </c>
      <c r="X698">
        <f>inputs!$E$72*(inputs!$F$72/F698)^(0.25)</f>
        <v>112.82984284147192</v>
      </c>
      <c r="Y698" t="s">
        <v>13</v>
      </c>
      <c r="Z698">
        <f t="shared" si="69"/>
        <v>7.8957940683003862</v>
      </c>
      <c r="AA698">
        <f t="shared" si="70"/>
        <v>22.733999448502562</v>
      </c>
    </row>
    <row r="699" spans="1:27" x14ac:dyDescent="0.3">
      <c r="A699" t="s">
        <v>548</v>
      </c>
      <c r="B699" t="s">
        <v>549</v>
      </c>
      <c r="C699" t="s">
        <v>61</v>
      </c>
      <c r="D699" t="s">
        <v>443</v>
      </c>
      <c r="E699">
        <v>54</v>
      </c>
      <c r="F699">
        <v>15</v>
      </c>
      <c r="G699" t="s">
        <v>142</v>
      </c>
      <c r="H699">
        <v>0.69</v>
      </c>
      <c r="I699">
        <f>MAX('Min rate concentrations'!$H$3:$H$368)</f>
        <v>47</v>
      </c>
      <c r="J699">
        <f>MAX('Min rate concentrations'!AA:AA)</f>
        <v>32.5</v>
      </c>
      <c r="K699">
        <f t="shared" si="68"/>
        <v>28.910258527545217</v>
      </c>
      <c r="L699">
        <f t="shared" si="73"/>
        <v>19.991136215855736</v>
      </c>
      <c r="M699">
        <f>IF((((0.326*F699^0.818)-(0.398*F699^0.85)/(1-H699)*H699)*(MAX('Min rate concentrations'!$P$3:$P$368)))/F699&gt;0, (((0.326*F699^0.818)-(0.398*F699^0.85)/(1-H699)*H699)*(MAX('Min rate concentrations'!$P$3:$P$368)))/F699, 0)</f>
        <v>0</v>
      </c>
      <c r="N699">
        <f>IF((((0.326*F699^0.818)-(0.398*F699^0.85)/(1-H699)*H699)*(MAX('Min rate concentrations'!$Q$3:$Q$368)))/F699&gt; 0, (((0.326*F699^0.818)-(0.398*F699^0.85)/(1-H699)*H699)*(MAX('Min rate concentrations'!$Q$3:$Q$368)))/F699, 0)</f>
        <v>0</v>
      </c>
      <c r="O699">
        <f>((MAX('Min rate concentrations'!$F$3:$F$368))*0.62*6.01*8*(12.3*F699^0.65)*0.079*0.1/F699)*inputs!$E$73/inputs!$E$74</f>
        <v>17.4879170969031</v>
      </c>
      <c r="P699">
        <f>((MAX('Min rate concentrations'!Y:Y))*0.62*6.01*8*(12.3*F699^0.65)*0.079*0.1/F699)*inputs!$E$73/inputs!$E$74</f>
        <v>5.8293056989677003</v>
      </c>
      <c r="Q699">
        <f>(inputs!$C$7*11.2*(12.3*F699^0.65)*0.5/F699)*inputs!$E$73/inputs!$E$74</f>
        <v>3.0804141134929148</v>
      </c>
      <c r="R699">
        <f>(60*379*((F699/1000)^0.8)*3*24*(MAX('Min rate concentrations'!$R$3:$R$368))/F699)*(inputs!$E$73/inputs!$E$75)</f>
        <v>4.2614677494769567E-3</v>
      </c>
      <c r="S699">
        <f>(IF(inputs!$C$6="aerial",((0.025*0.112*inputs!$C$7/3.3)*(3*60*379*((F699/1000)^0.8))*MAX(inputs!$H$14:$H$16))/F699,((0.0083*0.112*inputs!$C$7/1)*(3*60*379*((F699/1000)^0.8))*MAX(inputs!$H$14:$H$16))/F699))*(inputs!E$75/inputs!$E$73)</f>
        <v>2.3502256455738741E-2</v>
      </c>
      <c r="T699">
        <f>IF((((inputs!$P$12/(V699/MAX(K699:S699)))^(1/inputs!$O$12))-1)/inputs!$N$12&lt;0, 0, IF((((inputs!$P$12/(V699/MAX(K699:S699)))^(1/inputs!$O$12))-1)/inputs!$N$12&gt;inputs!$H$17, inputs!$H$17, (((inputs!$P$12/(V699/MAX(K699:S699)))^(1/inputs!$O$12))-1)/inputs!$N$12))</f>
        <v>31.416514230101225</v>
      </c>
      <c r="U699">
        <f>IF((((inputs!$P$12/(X699/MAX(K699:S699)))^(1/inputs!$O$12))-1)/inputs!$N$12&lt;0, 0, IF((((inputs!$P$12/(X699/MAX(K699:S699)))^(1/inputs!$O$12))-1)/inputs!$N$12&gt;inputs!$H$17, inputs!$H$17, (((inputs!$P$12/(X699/MAX(K699:S699)))^(1/inputs!$O$12))-1)/inputs!$N$12))</f>
        <v>0</v>
      </c>
      <c r="V699">
        <f>inputs!$E$70*(F699/inputs!$F$70)^(0.25)</f>
        <v>2.2148395646629968</v>
      </c>
      <c r="W699">
        <f>inputs!$E$76*(inputs!$F$76/F699)^(0.25)</f>
        <v>0.76924067569003962</v>
      </c>
      <c r="X699">
        <f>inputs!$E$72*(inputs!$F$72/F699)^(0.25)</f>
        <v>112.82984284147192</v>
      </c>
      <c r="Y699" t="s">
        <v>13</v>
      </c>
      <c r="Z699">
        <f t="shared" si="69"/>
        <v>13.052980897035814</v>
      </c>
      <c r="AA699">
        <f t="shared" si="70"/>
        <v>37.582852078917384</v>
      </c>
    </row>
    <row r="700" spans="1:27" x14ac:dyDescent="0.3">
      <c r="A700" t="s">
        <v>548</v>
      </c>
      <c r="B700" t="s">
        <v>549</v>
      </c>
      <c r="C700" t="s">
        <v>61</v>
      </c>
      <c r="D700" t="s">
        <v>443</v>
      </c>
      <c r="E700">
        <v>54</v>
      </c>
      <c r="F700">
        <v>15</v>
      </c>
      <c r="G700" t="s">
        <v>152</v>
      </c>
      <c r="H700">
        <v>0.77</v>
      </c>
      <c r="I700">
        <f>MAX('Min rate concentrations'!$G$3:$G$368)</f>
        <v>7.5</v>
      </c>
      <c r="J700">
        <f>MAX('Min rate concentrations'!Z:Z)</f>
        <v>3.5</v>
      </c>
      <c r="K700">
        <f t="shared" si="68"/>
        <v>6.2179788229919186</v>
      </c>
      <c r="L700">
        <f t="shared" si="73"/>
        <v>2.9017234507295622</v>
      </c>
      <c r="M700">
        <f>IF((((0.326*F700^0.818)-(0.398*F700^0.85)/(1-H700)*H700)*(MAX('Min rate concentrations'!$P$3:$P$368)))/F700&gt;0, (((0.326*F700^0.818)-(0.398*F700^0.85)/(1-H700)*H700)*(MAX('Min rate concentrations'!$P$3:$P$368)))/F700, 0)</f>
        <v>0</v>
      </c>
      <c r="N700">
        <f>IF((((0.326*F700^0.818)-(0.398*F700^0.85)/(1-H700)*H700)*(MAX('Min rate concentrations'!$Q$3:$Q$368)))/F700&gt; 0, (((0.326*F700^0.818)-(0.398*F700^0.85)/(1-H700)*H700)*(MAX('Min rate concentrations'!$Q$3:$Q$368)))/F700, 0)</f>
        <v>0</v>
      </c>
      <c r="O700">
        <f>((MAX('Min rate concentrations'!$F$3:$F$368))*0.62*6.01*8*(12.3*F700^0.65)*0.079*0.1/F700)*inputs!$E$73/inputs!$E$74</f>
        <v>17.4879170969031</v>
      </c>
      <c r="P700">
        <f>((MAX('Min rate concentrations'!Y:Y))*0.62*6.01*8*(12.3*F700^0.65)*0.079*0.1/F700)*inputs!$E$73/inputs!$E$74</f>
        <v>5.8293056989677003</v>
      </c>
      <c r="Q700">
        <f>(inputs!$C$7*11.2*(12.3*F700^0.65)*0.5/F700)*inputs!$E$73/inputs!$E$74</f>
        <v>3.0804141134929148</v>
      </c>
      <c r="R700">
        <f>(60*379*((F700/1000)^0.8)*3*24*(MAX('Min rate concentrations'!$R$3:$R$368))/F700)*(inputs!$E$73/inputs!$E$75)</f>
        <v>4.2614677494769567E-3</v>
      </c>
      <c r="S700">
        <f>(IF(inputs!$C$6="aerial",((0.025*0.112*inputs!$C$7/3.3)*(3*60*379*((F700/1000)^0.8))*MAX(inputs!$H$14:$H$16))/F700,((0.0083*0.112*inputs!$C$7/1)*(3*60*379*((F700/1000)^0.8))*MAX(inputs!$H$14:$H$16))/F700))*(inputs!E$75/inputs!$E$73)</f>
        <v>2.3502256455738741E-2</v>
      </c>
      <c r="T700">
        <f>IF((((inputs!$P$12/(V700/MAX(K700:S700)))^(1/inputs!$O$12))-1)/inputs!$N$12&lt;0, 0, IF((((inputs!$P$12/(V700/MAX(K700:S700)))^(1/inputs!$O$12))-1)/inputs!$N$12&gt;inputs!$H$17, inputs!$H$17, (((inputs!$P$12/(V700/MAX(K700:S700)))^(1/inputs!$O$12))-1)/inputs!$N$12))</f>
        <v>20.339017449542123</v>
      </c>
      <c r="U700">
        <f>IF((((inputs!$P$12/(X700/MAX(K700:S700)))^(1/inputs!$O$12))-1)/inputs!$N$12&lt;0, 0, IF((((inputs!$P$12/(X700/MAX(K700:S700)))^(1/inputs!$O$12))-1)/inputs!$N$12&gt;inputs!$H$17, inputs!$H$17, (((inputs!$P$12/(X700/MAX(K700:S700)))^(1/inputs!$O$12))-1)/inputs!$N$12))</f>
        <v>0</v>
      </c>
      <c r="V700">
        <f>inputs!$E$70*(F700/inputs!$F$70)^(0.25)</f>
        <v>2.2148395646629968</v>
      </c>
      <c r="W700">
        <f>inputs!$E$76*(inputs!$F$76/F700)^(0.25)</f>
        <v>0.76924067569003962</v>
      </c>
      <c r="X700">
        <f>inputs!$E$72*(inputs!$F$72/F700)^(0.25)</f>
        <v>112.82984284147192</v>
      </c>
      <c r="Y700" t="s">
        <v>13</v>
      </c>
      <c r="Z700">
        <f t="shared" si="69"/>
        <v>7.8957940683003862</v>
      </c>
      <c r="AA700">
        <f t="shared" si="70"/>
        <v>22.733999448502562</v>
      </c>
    </row>
    <row r="701" spans="1:27" x14ac:dyDescent="0.3">
      <c r="A701" t="s">
        <v>548</v>
      </c>
      <c r="B701" t="s">
        <v>549</v>
      </c>
      <c r="C701" t="s">
        <v>61</v>
      </c>
      <c r="D701" t="s">
        <v>443</v>
      </c>
      <c r="E701">
        <v>54</v>
      </c>
      <c r="F701">
        <v>15</v>
      </c>
      <c r="G701" t="s">
        <v>169</v>
      </c>
      <c r="H701">
        <v>0.79</v>
      </c>
      <c r="I701">
        <f>MAX('Min rate concentrations'!$D$3:$D$368)</f>
        <v>120</v>
      </c>
      <c r="J701">
        <f>MAX('Min rate concentrations'!W:W)</f>
        <v>42.5</v>
      </c>
      <c r="K701">
        <f t="shared" si="68"/>
        <v>108.96267651719174</v>
      </c>
      <c r="L701">
        <f t="shared" si="73"/>
        <v>38.590947933172075</v>
      </c>
      <c r="M701">
        <f>IF((((0.326*F701^0.818)-(0.398*F701^0.85)/(1-H701)*H701)*(MAX('Min rate concentrations'!$P$3:$P$368)))/F701&gt;0, (((0.326*F701^0.818)-(0.398*F701^0.85)/(1-H701)*H701)*(MAX('Min rate concentrations'!$P$3:$P$368)))/F701, 0)</f>
        <v>0</v>
      </c>
      <c r="N701">
        <f>IF((((0.326*F701^0.818)-(0.398*F701^0.85)/(1-H701)*H701)*(MAX('Min rate concentrations'!$Q$3:$Q$368)))/F701&gt; 0, (((0.326*F701^0.818)-(0.398*F701^0.85)/(1-H701)*H701)*(MAX('Min rate concentrations'!$Q$3:$Q$368)))/F701, 0)</f>
        <v>0</v>
      </c>
      <c r="O701">
        <f>((MAX('Min rate concentrations'!$F$3:$F$368))*0.62*6.01*8*(12.3*F701^0.65)*0.079*0.1/F701)*inputs!$E$73/inputs!$E$74</f>
        <v>17.4879170969031</v>
      </c>
      <c r="P701">
        <f>((MAX('Min rate concentrations'!Y:Y))*0.62*6.01*8*(12.3*F701^0.65)*0.079*0.1/F701)*inputs!$E$73/inputs!$E$74</f>
        <v>5.8293056989677003</v>
      </c>
      <c r="Q701">
        <f>(inputs!$C$7*11.2*(12.3*F701^0.65)*0.5/F701)*inputs!$E$73/inputs!$E$74</f>
        <v>3.0804141134929148</v>
      </c>
      <c r="R701">
        <f>(60*379*((F701/1000)^0.8)*3*24*(MAX('Min rate concentrations'!$R$3:$R$368))/F701)*(inputs!$E$73/inputs!$E$75)</f>
        <v>4.2614677494769567E-3</v>
      </c>
      <c r="S701">
        <f>(IF(inputs!$C$6="aerial",((0.025*0.112*inputs!$C$7/3.3)*(3*60*379*((F701/1000)^0.8))*MAX(inputs!$H$14:$H$16))/F701,((0.0083*0.112*inputs!$C$7/1)*(3*60*379*((F701/1000)^0.8))*MAX(inputs!$H$14:$H$16))/F701))*(inputs!E$75/inputs!$E$73)</f>
        <v>2.3502256455738741E-2</v>
      </c>
      <c r="T701">
        <f>IF((((inputs!$P$12/(V701/MAX(K701:S701)))^(1/inputs!$O$12))-1)/inputs!$N$12&lt;0, 0, IF((((inputs!$P$12/(V701/MAX(K701:S701)))^(1/inputs!$O$12))-1)/inputs!$N$12&gt;inputs!$H$17, inputs!$H$17, (((inputs!$P$12/(V701/MAX(K701:S701)))^(1/inputs!$O$12))-1)/inputs!$N$12))</f>
        <v>74.275098604768701</v>
      </c>
      <c r="U701">
        <f>IF((((inputs!$P$12/(X701/MAX(K701:S701)))^(1/inputs!$O$12))-1)/inputs!$N$12&lt;0, 0, IF((((inputs!$P$12/(X701/MAX(K701:S701)))^(1/inputs!$O$12))-1)/inputs!$N$12&gt;inputs!$H$17, inputs!$H$17, (((inputs!$P$12/(X701/MAX(K701:S701)))^(1/inputs!$O$12))-1)/inputs!$N$12))</f>
        <v>0</v>
      </c>
      <c r="V701">
        <f>inputs!$E$70*(F701/inputs!$F$70)^(0.25)</f>
        <v>2.2148395646629968</v>
      </c>
      <c r="W701">
        <f>inputs!$E$76*(inputs!$F$76/F701)^(0.25)</f>
        <v>0.76924067569003962</v>
      </c>
      <c r="X701">
        <f>inputs!$E$72*(inputs!$F$72/F701)^(0.25)</f>
        <v>112.82984284147192</v>
      </c>
      <c r="Y701" t="s">
        <v>13</v>
      </c>
      <c r="Z701">
        <f t="shared" si="69"/>
        <v>49.196645326214032</v>
      </c>
      <c r="AA701">
        <f t="shared" si="70"/>
        <v>141.64965525184672</v>
      </c>
    </row>
    <row r="702" spans="1:27" x14ac:dyDescent="0.3">
      <c r="A702" t="s">
        <v>548</v>
      </c>
      <c r="B702" t="s">
        <v>549</v>
      </c>
      <c r="C702" t="s">
        <v>61</v>
      </c>
      <c r="D702" t="s">
        <v>443</v>
      </c>
      <c r="E702">
        <v>54</v>
      </c>
      <c r="F702">
        <v>15</v>
      </c>
      <c r="G702" t="s">
        <v>456</v>
      </c>
      <c r="H702">
        <v>0.68</v>
      </c>
      <c r="I702">
        <f>MAX('Min rate concentrations'!$J$3:$J$368)</f>
        <v>114.4108103430513</v>
      </c>
      <c r="J702">
        <f>MAX('Min rate concentrations'!AB:AB)</f>
        <v>40.520495329830666</v>
      </c>
      <c r="K702">
        <f t="shared" ref="K702:K720" si="74">(((0.621*F702^0.564)/(1-H702)))*I702/F702</f>
        <v>68.176216267466955</v>
      </c>
      <c r="L702">
        <f t="shared" si="73"/>
        <v>24.14574326139455</v>
      </c>
      <c r="M702">
        <f>IF((((0.326*F702^0.818)-(0.398*F702^0.85)/(1-H702)*H702)*(MAX('Min rate concentrations'!$P$3:$P$368)))/F702&gt;0, (((0.326*F702^0.818)-(0.398*F702^0.85)/(1-H702)*H702)*(MAX('Min rate concentrations'!$P$3:$P$368)))/F702, 0)</f>
        <v>0</v>
      </c>
      <c r="N702">
        <f>IF((((0.326*F702^0.818)-(0.398*F702^0.85)/(1-H702)*H702)*(MAX('Min rate concentrations'!$Q$3:$Q$368)))/F702&gt; 0, (((0.326*F702^0.818)-(0.398*F702^0.85)/(1-H702)*H702)*(MAX('Min rate concentrations'!$Q$3:$Q$368)))/F702, 0)</f>
        <v>0</v>
      </c>
      <c r="O702">
        <f>((MAX('Min rate concentrations'!$F$3:$F$368))*0.62*6.01*8*(12.3*F702^0.65)*0.079*0.1/F702)*inputs!$E$73/inputs!$E$74</f>
        <v>17.4879170969031</v>
      </c>
      <c r="P702">
        <f>((MAX('Min rate concentrations'!Y:Y))*0.62*6.01*8*(12.3*F702^0.65)*0.079*0.1/F702)*inputs!$E$73/inputs!$E$74</f>
        <v>5.8293056989677003</v>
      </c>
      <c r="Q702">
        <f>(inputs!$C$7*11.2*(12.3*F702^0.65)*0.5/F702)*inputs!$E$73/inputs!$E$74</f>
        <v>3.0804141134929148</v>
      </c>
      <c r="R702">
        <f>(60*379*((F702/1000)^0.8)*3*24*(MAX('Min rate concentrations'!$R$3:$R$368))/F702)*(inputs!$E$73/inputs!$E$75)</f>
        <v>4.2614677494769567E-3</v>
      </c>
      <c r="S702">
        <f>(IF(inputs!$C$6="aerial",((0.025*0.112*inputs!$C$7/3.3)*(3*60*379*((F702/1000)^0.8))*MAX(inputs!$H$14:$H$16))/F702,((0.0083*0.112*inputs!$C$7/1)*(3*60*379*((F702/1000)^0.8))*MAX(inputs!$H$14:$H$16))/F702))*(inputs!E$75/inputs!$E$73)</f>
        <v>2.3502256455738741E-2</v>
      </c>
      <c r="T702">
        <f>IF((((inputs!$P$12/(V702/MAX(K702:S702)))^(1/inputs!$O$12))-1)/inputs!$N$12&lt;0, 0, IF((((inputs!$P$12/(V702/MAX(K702:S702)))^(1/inputs!$O$12))-1)/inputs!$N$12&gt;inputs!$H$17, inputs!$H$17, (((inputs!$P$12/(V702/MAX(K702:S702)))^(1/inputs!$O$12))-1)/inputs!$N$12))</f>
        <v>56.431178504584068</v>
      </c>
      <c r="U702">
        <f>IF((((inputs!$P$12/(X702/MAX(K702:S702)))^(1/inputs!$O$12))-1)/inputs!$N$12&lt;0, 0, IF((((inputs!$P$12/(X702/MAX(K702:S702)))^(1/inputs!$O$12))-1)/inputs!$N$12&gt;inputs!$H$17, inputs!$H$17, (((inputs!$P$12/(X702/MAX(K702:S702)))^(1/inputs!$O$12))-1)/inputs!$N$12))</f>
        <v>0</v>
      </c>
      <c r="V702">
        <f>inputs!$E$70*(F702/inputs!$F$70)^(0.25)</f>
        <v>2.2148395646629968</v>
      </c>
      <c r="W702">
        <f>inputs!$E$76*(inputs!$F$76/F702)^(0.25)</f>
        <v>0.76924067569003962</v>
      </c>
      <c r="X702">
        <f>inputs!$E$72*(inputs!$F$72/F702)^(0.25)</f>
        <v>112.82984284147192</v>
      </c>
      <c r="Y702" t="s">
        <v>13</v>
      </c>
      <c r="Z702">
        <f t="shared" si="69"/>
        <v>30.781559691814717</v>
      </c>
      <c r="AA702">
        <f t="shared" si="70"/>
        <v>88.627939761908934</v>
      </c>
    </row>
    <row r="703" spans="1:27" x14ac:dyDescent="0.3">
      <c r="A703" t="s">
        <v>548</v>
      </c>
      <c r="B703" t="s">
        <v>549</v>
      </c>
      <c r="C703" t="s">
        <v>61</v>
      </c>
      <c r="D703" t="s">
        <v>443</v>
      </c>
      <c r="E703">
        <v>54</v>
      </c>
      <c r="F703">
        <v>15</v>
      </c>
      <c r="G703" t="s">
        <v>145</v>
      </c>
      <c r="H703">
        <v>0.66</v>
      </c>
      <c r="I703">
        <f>MAX('Min rate concentrations'!$M$3:$M$368)</f>
        <v>2.8488184789681945</v>
      </c>
      <c r="J703">
        <f>MAX('Min rate concentrations'!AE:AE)</f>
        <v>1.9699276716269429</v>
      </c>
      <c r="K703">
        <f t="shared" si="74"/>
        <v>1.597723679897108</v>
      </c>
      <c r="L703">
        <f t="shared" si="73"/>
        <v>1.1048089275884256</v>
      </c>
      <c r="M703">
        <f>IF((((0.326*F703^0.818)-(0.398*F703^0.85)/(1-H703)*H703)*(MAX('Min rate concentrations'!$P$3:$P$368)))/F703&gt;0, (((0.326*F703^0.818)-(0.398*F703^0.85)/(1-H703)*H703)*(MAX('Min rate concentrations'!$P$3:$P$368)))/F703, 0)</f>
        <v>0</v>
      </c>
      <c r="N703">
        <f>IF((((0.326*F703^0.818)-(0.398*F703^0.85)/(1-H703)*H703)*(MAX('Min rate concentrations'!$Q$3:$Q$368)))/F703&gt; 0, (((0.326*F703^0.818)-(0.398*F703^0.85)/(1-H703)*H703)*(MAX('Min rate concentrations'!$Q$3:$Q$368)))/F703, 0)</f>
        <v>0</v>
      </c>
      <c r="O703">
        <f>((MAX('Min rate concentrations'!$F$3:$F$368))*0.62*6.01*8*(12.3*F703^0.65)*0.079*0.1/F703)*inputs!$E$73/inputs!$E$74</f>
        <v>17.4879170969031</v>
      </c>
      <c r="P703">
        <f>((MAX('Min rate concentrations'!Y:Y))*0.62*6.01*8*(12.3*F703^0.65)*0.079*0.1/F703)*inputs!$E$73/inputs!$E$74</f>
        <v>5.8293056989677003</v>
      </c>
      <c r="Q703">
        <f>(inputs!$C$7*11.2*(12.3*F703^0.65)*0.5/F703)*inputs!$E$73/inputs!$E$74</f>
        <v>3.0804141134929148</v>
      </c>
      <c r="R703">
        <f>(60*379*((F703/1000)^0.8)*3*24*(MAX('Min rate concentrations'!$R$3:$R$368))/F703)*(inputs!$E$73/inputs!$E$75)</f>
        <v>4.2614677494769567E-3</v>
      </c>
      <c r="S703">
        <f>(IF(inputs!$C$6="aerial",((0.025*0.112*inputs!$C$7/3.3)*(3*60*379*((F703/1000)^0.8))*MAX(inputs!$H$14:$H$16))/F703,((0.0083*0.112*inputs!$C$7/1)*(3*60*379*((F703/1000)^0.8))*MAX(inputs!$H$14:$H$16))/F703))*(inputs!E$75/inputs!$E$73)</f>
        <v>2.3502256455738741E-2</v>
      </c>
      <c r="T703">
        <f>IF((((inputs!$P$12/(V703/MAX(K703:S703)))^(1/inputs!$O$12))-1)/inputs!$N$12&lt;0, 0, IF((((inputs!$P$12/(V703/MAX(K703:S703)))^(1/inputs!$O$12))-1)/inputs!$N$12&gt;inputs!$H$17, inputs!$H$17, (((inputs!$P$12/(V703/MAX(K703:S703)))^(1/inputs!$O$12))-1)/inputs!$N$12))</f>
        <v>20.339017449542123</v>
      </c>
      <c r="U703">
        <f>IF((((inputs!$P$12/(X703/MAX(K703:S703)))^(1/inputs!$O$12))-1)/inputs!$N$12&lt;0, 0, IF((((inputs!$P$12/(X703/MAX(K703:S703)))^(1/inputs!$O$12))-1)/inputs!$N$12&gt;inputs!$H$17, inputs!$H$17, (((inputs!$P$12/(X703/MAX(K703:S703)))^(1/inputs!$O$12))-1)/inputs!$N$12))</f>
        <v>0</v>
      </c>
      <c r="V703">
        <f>inputs!$E$70*(F703/inputs!$F$70)^(0.25)</f>
        <v>2.2148395646629968</v>
      </c>
      <c r="W703">
        <f>inputs!$E$76*(inputs!$F$76/F703)^(0.25)</f>
        <v>0.76924067569003962</v>
      </c>
      <c r="X703">
        <f>inputs!$E$72*(inputs!$F$72/F703)^(0.25)</f>
        <v>112.82984284147192</v>
      </c>
      <c r="Y703" t="s">
        <v>13</v>
      </c>
      <c r="Z703">
        <f t="shared" si="69"/>
        <v>7.8957940683003862</v>
      </c>
      <c r="AA703">
        <f t="shared" si="70"/>
        <v>22.733999448502562</v>
      </c>
    </row>
    <row r="704" spans="1:27" x14ac:dyDescent="0.3">
      <c r="A704" t="s">
        <v>482</v>
      </c>
      <c r="B704" t="s">
        <v>483</v>
      </c>
      <c r="C704" t="s">
        <v>61</v>
      </c>
      <c r="D704" t="s">
        <v>443</v>
      </c>
      <c r="E704">
        <v>39</v>
      </c>
      <c r="F704">
        <v>70</v>
      </c>
      <c r="G704" t="s">
        <v>142</v>
      </c>
      <c r="H704">
        <v>0.69</v>
      </c>
      <c r="I704">
        <f>MAX('Min rate concentrations'!$H$3:$H$368)</f>
        <v>47</v>
      </c>
      <c r="J704">
        <f>MAX('Min rate concentrations'!AA:AA)</f>
        <v>32.5</v>
      </c>
      <c r="K704">
        <f t="shared" si="74"/>
        <v>14.769473666951148</v>
      </c>
      <c r="L704">
        <f t="shared" si="73"/>
        <v>10.212933918636432</v>
      </c>
      <c r="M704">
        <f>IF((((0.326*F704^0.818)-(0.398*F704^0.85)/(1-H704)*H704)*(MAX('Min rate concentrations'!$P$3:$P$368)))/F704&gt;0, (((0.326*F704^0.818)-(0.398*F704^0.85)/(1-H704)*H704)*(MAX('Min rate concentrations'!$P$3:$P$368)))/F704, 0)</f>
        <v>0</v>
      </c>
      <c r="N704">
        <f>IF((((0.326*F704^0.818)-(0.398*F704^0.85)/(1-H704)*H704)*(MAX('Min rate concentrations'!$Q$3:$Q$368)))/F704&gt; 0, (((0.326*F704^0.818)-(0.398*F704^0.85)/(1-H704)*H704)*(MAX('Min rate concentrations'!$Q$3:$Q$368)))/F704, 0)</f>
        <v>0</v>
      </c>
      <c r="O704">
        <f>((MAX('Min rate concentrations'!$F$3:$F$368))*0.62*6.01*8*(12.3*F704^0.65)*0.079*0.1/F704)*inputs!$E$73/inputs!$E$74</f>
        <v>10.199660409206501</v>
      </c>
      <c r="P704">
        <f>((MAX('Min rate concentrations'!Y:Y))*0.62*6.01*8*(12.3*F704^0.65)*0.079*0.1/F704)*inputs!$E$73/inputs!$E$74</f>
        <v>3.3998868030688318</v>
      </c>
      <c r="Q704">
        <f>(inputs!$C$7*11.2*(12.3*F704^0.65)*0.5/F704)*inputs!$E$73/inputs!$E$74</f>
        <v>1.7966220735869438</v>
      </c>
      <c r="R704">
        <f>(60*379*((F704/1000)^0.8)*3*24*(MAX('Min rate concentrations'!$R$3:$R$368))/F704)*(inputs!$E$73/inputs!$E$75)</f>
        <v>3.131539181254485E-3</v>
      </c>
      <c r="S704">
        <f>(IF(inputs!$C$6="aerial",((0.025*0.112*inputs!$C$7/3.3)*(3*60*379*((F704/1000)^0.8))*MAX(inputs!$H$14:$H$16))/F704,((0.0083*0.112*inputs!$C$7/1)*(3*60*379*((F704/1000)^0.8))*MAX(inputs!$H$14:$H$16))/F704))*(inputs!E$75/inputs!$E$73)</f>
        <v>1.7270630981091047E-2</v>
      </c>
      <c r="T704">
        <f>IF((((inputs!$P$12/(V704/MAX(K704:S704)))^(1/inputs!$O$12))-1)/inputs!$N$12&lt;0, 0, IF((((inputs!$P$12/(V704/MAX(K704:S704)))^(1/inputs!$O$12))-1)/inputs!$N$12&gt;inputs!$H$17, inputs!$H$17, (((inputs!$P$12/(V704/MAX(K704:S704)))^(1/inputs!$O$12))-1)/inputs!$N$12))</f>
        <v>10.486898542019881</v>
      </c>
      <c r="U704">
        <f>IF((((inputs!$P$12/(X704/MAX(K704:S704)))^(1/inputs!$O$12))-1)/inputs!$N$12&lt;0, 0, IF((((inputs!$P$12/(X704/MAX(K704:S704)))^(1/inputs!$O$12))-1)/inputs!$N$12&gt;inputs!$H$17, inputs!$H$17, (((inputs!$P$12/(X704/MAX(K704:S704)))^(1/inputs!$O$12))-1)/inputs!$N$12))</f>
        <v>0</v>
      </c>
      <c r="V704">
        <f>inputs!$E$70*(F704/inputs!$F$70)^(0.25)</f>
        <v>3.2553221116843658</v>
      </c>
      <c r="W704">
        <f>inputs!$E$76*(inputs!$F$76/F704)^(0.25)</f>
        <v>0.5233720734274272</v>
      </c>
      <c r="X704">
        <f>inputs!$E$72*(inputs!$F$72/F704)^(0.25)</f>
        <v>76.766596799447598</v>
      </c>
      <c r="Y704" t="s">
        <v>13</v>
      </c>
      <c r="Z704">
        <f t="shared" si="69"/>
        <v>4.5370237292152762</v>
      </c>
      <c r="AA704">
        <f t="shared" si="70"/>
        <v>28.219835212508986</v>
      </c>
    </row>
    <row r="705" spans="1:27" x14ac:dyDescent="0.3">
      <c r="A705" t="s">
        <v>482</v>
      </c>
      <c r="B705" t="s">
        <v>483</v>
      </c>
      <c r="C705" t="s">
        <v>61</v>
      </c>
      <c r="D705" t="s">
        <v>443</v>
      </c>
      <c r="E705">
        <v>39</v>
      </c>
      <c r="F705">
        <v>70</v>
      </c>
      <c r="G705" t="s">
        <v>169</v>
      </c>
      <c r="H705">
        <v>0.79</v>
      </c>
      <c r="I705">
        <f>MAX('Min rate concentrations'!$D$3:$D$368)</f>
        <v>120</v>
      </c>
      <c r="J705">
        <f>MAX('Min rate concentrations'!W:W)</f>
        <v>42.5</v>
      </c>
      <c r="K705">
        <f t="shared" si="74"/>
        <v>55.666101358721669</v>
      </c>
      <c r="L705">
        <f t="shared" si="73"/>
        <v>19.715077564547258</v>
      </c>
      <c r="M705">
        <f>IF((((0.326*F705^0.818)-(0.398*F705^0.85)/(1-H705)*H705)*(MAX('Min rate concentrations'!$P$3:$P$368)))/F705&gt;0, (((0.326*F705^0.818)-(0.398*F705^0.85)/(1-H705)*H705)*(MAX('Min rate concentrations'!$P$3:$P$368)))/F705, 0)</f>
        <v>0</v>
      </c>
      <c r="N705">
        <f>IF((((0.326*F705^0.818)-(0.398*F705^0.85)/(1-H705)*H705)*(MAX('Min rate concentrations'!$Q$3:$Q$368)))/F705&gt; 0, (((0.326*F705^0.818)-(0.398*F705^0.85)/(1-H705)*H705)*(MAX('Min rate concentrations'!$Q$3:$Q$368)))/F705, 0)</f>
        <v>0</v>
      </c>
      <c r="O705">
        <f>((MAX('Min rate concentrations'!$F$3:$F$368))*0.62*6.01*8*(12.3*F705^0.65)*0.079*0.1/F705)*inputs!$E$73/inputs!$E$74</f>
        <v>10.199660409206501</v>
      </c>
      <c r="P705">
        <f>((MAX('Min rate concentrations'!Y:Y))*0.62*6.01*8*(12.3*F705^0.65)*0.079*0.1/F705)*inputs!$E$73/inputs!$E$74</f>
        <v>3.3998868030688318</v>
      </c>
      <c r="Q705">
        <f>(inputs!$C$7*11.2*(12.3*F705^0.65)*0.5/F705)*inputs!$E$73/inputs!$E$74</f>
        <v>1.7966220735869438</v>
      </c>
      <c r="R705">
        <f>(60*379*((F705/1000)^0.8)*3*24*(MAX('Min rate concentrations'!$R$3:$R$368))/F705)*(inputs!$E$73/inputs!$E$75)</f>
        <v>3.131539181254485E-3</v>
      </c>
      <c r="S705">
        <f>(IF(inputs!$C$6="aerial",((0.025*0.112*inputs!$C$7/3.3)*(3*60*379*((F705/1000)^0.8))*MAX(inputs!$H$14:$H$16))/F705,((0.0083*0.112*inputs!$C$7/1)*(3*60*379*((F705/1000)^0.8))*MAX(inputs!$H$14:$H$16))/F705))*(inputs!E$75/inputs!$E$73)</f>
        <v>1.7270630981091047E-2</v>
      </c>
      <c r="T705">
        <f>IF((((inputs!$P$12/(V705/MAX(K705:S705)))^(1/inputs!$O$12))-1)/inputs!$N$12&lt;0, 0, IF((((inputs!$P$12/(V705/MAX(K705:S705)))^(1/inputs!$O$12))-1)/inputs!$N$12&gt;inputs!$H$17, inputs!$H$17, (((inputs!$P$12/(V705/MAX(K705:S705)))^(1/inputs!$O$12))-1)/inputs!$N$12))</f>
        <v>38.371931461921378</v>
      </c>
      <c r="U705">
        <f>IF((((inputs!$P$12/(X705/MAX(K705:S705)))^(1/inputs!$O$12))-1)/inputs!$N$12&lt;0, 0, IF((((inputs!$P$12/(X705/MAX(K705:S705)))^(1/inputs!$O$12))-1)/inputs!$N$12&gt;inputs!$H$17, inputs!$H$17, (((inputs!$P$12/(X705/MAX(K705:S705)))^(1/inputs!$O$12))-1)/inputs!$N$12))</f>
        <v>0</v>
      </c>
      <c r="V705">
        <f>inputs!$E$70*(F705/inputs!$F$70)^(0.25)</f>
        <v>3.2553221116843658</v>
      </c>
      <c r="W705">
        <f>inputs!$E$76*(inputs!$F$76/F705)^(0.25)</f>
        <v>0.5233720734274272</v>
      </c>
      <c r="X705">
        <f>inputs!$E$72*(inputs!$F$72/F705)^(0.25)</f>
        <v>76.766596799447598</v>
      </c>
      <c r="Y705" t="s">
        <v>13</v>
      </c>
      <c r="Z705">
        <f t="shared" si="69"/>
        <v>17.100028645066697</v>
      </c>
      <c r="AA705">
        <f t="shared" si="70"/>
        <v>106.36047314137129</v>
      </c>
    </row>
    <row r="706" spans="1:27" x14ac:dyDescent="0.3">
      <c r="A706" t="s">
        <v>482</v>
      </c>
      <c r="B706" t="s">
        <v>483</v>
      </c>
      <c r="C706" t="s">
        <v>61</v>
      </c>
      <c r="D706" t="s">
        <v>443</v>
      </c>
      <c r="E706">
        <v>39</v>
      </c>
      <c r="F706">
        <v>70</v>
      </c>
      <c r="G706" t="s">
        <v>177</v>
      </c>
      <c r="H706">
        <v>0.85</v>
      </c>
      <c r="I706">
        <f>MAX('Min rate concentrations'!$F$3:$F$368)</f>
        <v>67.5</v>
      </c>
      <c r="J706">
        <f>MAX('Min rate concentrations'!Y:Y)</f>
        <v>22.5</v>
      </c>
      <c r="K706">
        <f t="shared" si="74"/>
        <v>43.837054819993305</v>
      </c>
      <c r="L706">
        <f t="shared" si="73"/>
        <v>14.612351606664435</v>
      </c>
      <c r="M706">
        <f>IF((((0.326*F706^0.818)-(0.398*F706^0.85)/(1-H706)*H706)*(MAX('Min rate concentrations'!$P$3:$P$368)))/F706&gt;0, (((0.326*F706^0.818)-(0.398*F706^0.85)/(1-H706)*H706)*(MAX('Min rate concentrations'!$P$3:$P$368)))/F706, 0)</f>
        <v>0</v>
      </c>
      <c r="N706">
        <f>IF((((0.326*F706^0.818)-(0.398*F706^0.85)/(1-H706)*H706)*(MAX('Min rate concentrations'!$Q$3:$Q$368)))/F706&gt; 0, (((0.326*F706^0.818)-(0.398*F706^0.85)/(1-H706)*H706)*(MAX('Min rate concentrations'!$Q$3:$Q$368)))/F706, 0)</f>
        <v>0</v>
      </c>
      <c r="O706">
        <f>((MAX('Min rate concentrations'!$F$3:$F$368))*0.62*6.01*8*(12.3*F706^0.65)*0.079*0.1/F706)*inputs!$E$73/inputs!$E$74</f>
        <v>10.199660409206501</v>
      </c>
      <c r="P706">
        <f>((MAX('Min rate concentrations'!Y:Y))*0.62*6.01*8*(12.3*F706^0.65)*0.079*0.1/F706)*inputs!$E$73/inputs!$E$74</f>
        <v>3.3998868030688318</v>
      </c>
      <c r="Q706">
        <f>(inputs!$C$7*11.2*(12.3*F706^0.65)*0.5/F706)*inputs!$E$73/inputs!$E$74</f>
        <v>1.7966220735869438</v>
      </c>
      <c r="R706">
        <f>(60*379*((F706/1000)^0.8)*3*24*(MAX('Min rate concentrations'!$R$3:$R$368))/F706)*(inputs!$E$73/inputs!$E$75)</f>
        <v>3.131539181254485E-3</v>
      </c>
      <c r="S706">
        <f>(IF(inputs!$C$6="aerial",((0.025*0.112*inputs!$C$7/3.3)*(3*60*379*((F706/1000)^0.8))*MAX(inputs!$H$14:$H$16))/F706,((0.0083*0.112*inputs!$C$7/1)*(3*60*379*((F706/1000)^0.8))*MAX(inputs!$H$14:$H$16))/F706))*(inputs!E$75/inputs!$E$73)</f>
        <v>1.7270630981091047E-2</v>
      </c>
      <c r="T706">
        <f>IF((((inputs!$P$12/(V706/MAX(K706:S706)))^(1/inputs!$O$12))-1)/inputs!$N$12&lt;0, 0, IF((((inputs!$P$12/(V706/MAX(K706:S706)))^(1/inputs!$O$12))-1)/inputs!$N$12&gt;inputs!$H$17, inputs!$H$17, (((inputs!$P$12/(V706/MAX(K706:S706)))^(1/inputs!$O$12))-1)/inputs!$N$12))</f>
        <v>32.180882988155822</v>
      </c>
      <c r="U706">
        <f>IF((((inputs!$P$12/(X706/MAX(K706:S706)))^(1/inputs!$O$12))-1)/inputs!$N$12&lt;0, 0, IF((((inputs!$P$12/(X706/MAX(K706:S706)))^(1/inputs!$O$12))-1)/inputs!$N$12&gt;inputs!$H$17, inputs!$H$17, (((inputs!$P$12/(X706/MAX(K706:S706)))^(1/inputs!$O$12))-1)/inputs!$N$12))</f>
        <v>0</v>
      </c>
      <c r="V706">
        <f>inputs!$E$70*(F706/inputs!$F$70)^(0.25)</f>
        <v>3.2553221116843658</v>
      </c>
      <c r="W706">
        <f>inputs!$E$76*(inputs!$F$76/F706)^(0.25)</f>
        <v>0.5233720734274272</v>
      </c>
      <c r="X706">
        <f>inputs!$E$72*(inputs!$F$72/F706)^(0.25)</f>
        <v>76.766596799447598</v>
      </c>
      <c r="Y706" t="s">
        <v>13</v>
      </c>
      <c r="Z706">
        <f t="shared" si="69"/>
        <v>13.466272557990022</v>
      </c>
      <c r="AA706">
        <f t="shared" si="70"/>
        <v>83.758872598829868</v>
      </c>
    </row>
    <row r="707" spans="1:27" x14ac:dyDescent="0.3">
      <c r="A707" t="s">
        <v>482</v>
      </c>
      <c r="B707" t="s">
        <v>483</v>
      </c>
      <c r="C707" t="s">
        <v>61</v>
      </c>
      <c r="D707" t="s">
        <v>443</v>
      </c>
      <c r="E707">
        <v>39</v>
      </c>
      <c r="F707">
        <v>70</v>
      </c>
      <c r="G707" t="s">
        <v>154</v>
      </c>
      <c r="H707">
        <v>9.2999999999999999E-2</v>
      </c>
      <c r="I707">
        <f>MAX('Min rate concentrations'!$G$3:$G$368)</f>
        <v>7.5</v>
      </c>
      <c r="J707">
        <f>MAX('Min rate concentrations'!Z:Z)</f>
        <v>3.5</v>
      </c>
      <c r="K707">
        <f t="shared" si="74"/>
        <v>0.80553206210939565</v>
      </c>
      <c r="M707">
        <f>IF((((0.326*F707^0.818)-(0.398*F707^0.85)/(1-H707)*H707)*(MAX('Min rate concentrations'!$P$3:$P$368)))/F707&gt;0, (((0.326*F707^0.818)-(0.398*F707^0.85)/(1-H707)*H707)*(MAX('Min rate concentrations'!$P$3:$P$368)))/F707, 0)</f>
        <v>1.8706524022219603E-2</v>
      </c>
      <c r="N707">
        <f>IF((((0.326*F707^0.818)-(0.398*F707^0.85)/(1-H707)*H707)*(MAX('Min rate concentrations'!$Q$3:$Q$368)))/F707&gt; 0, (((0.326*F707^0.818)-(0.398*F707^0.85)/(1-H707)*H707)*(MAX('Min rate concentrations'!$Q$3:$Q$368)))/F707, 0)</f>
        <v>7.1235448609670848E-2</v>
      </c>
      <c r="O707">
        <f>((MAX('Min rate concentrations'!$F$3:$F$368))*0.62*6.01*8*(12.3*F707^0.65)*0.079*0.1/F707)*inputs!$E$73/inputs!$E$74</f>
        <v>10.199660409206501</v>
      </c>
      <c r="Q707">
        <f>(inputs!$C$7*11.2*(12.3*F707^0.65)*0.5/F707)*inputs!$E$73/inputs!$E$74</f>
        <v>1.7966220735869438</v>
      </c>
      <c r="R707">
        <f>(60*379*((F707/1000)^0.8)*3*24*(MAX('Min rate concentrations'!$R$3:$R$368))/F707)*(inputs!$E$73/inputs!$E$75)</f>
        <v>3.131539181254485E-3</v>
      </c>
      <c r="S707">
        <f>(IF(inputs!$C$6="aerial",((0.025*0.112*inputs!$C$7/3.3)*(3*60*379*((F707/1000)^0.8))*MAX(inputs!$H$14:$H$16))/F707,((0.0083*0.112*inputs!$C$7/1)*(3*60*379*((F707/1000)^0.8))*MAX(inputs!$H$14:$H$16))/F707))*(inputs!E$75/inputs!$E$73)</f>
        <v>1.7270630981091047E-2</v>
      </c>
      <c r="T707">
        <f>IF((((inputs!$P$12/(V707/MAX(K707:S707)))^(1/inputs!$O$12))-1)/inputs!$N$12&lt;0, 0, IF((((inputs!$P$12/(V707/MAX(K707:S707)))^(1/inputs!$O$12))-1)/inputs!$N$12&gt;inputs!$H$17, inputs!$H$17, (((inputs!$P$12/(V707/MAX(K707:S707)))^(1/inputs!$O$12))-1)/inputs!$N$12))</f>
        <v>5.038379917055809</v>
      </c>
      <c r="U707">
        <f>IF((((inputs!$P$12/(X707/MAX(K707:S707)))^(1/inputs!$O$12))-1)/inputs!$N$12&lt;0, 0, IF((((inputs!$P$12/(X707/MAX(K707:S707)))^(1/inputs!$O$12))-1)/inputs!$N$12&gt;inputs!$H$17, inputs!$H$17, (((inputs!$P$12/(X707/MAX(K707:S707)))^(1/inputs!$O$12))-1)/inputs!$N$12))</f>
        <v>0</v>
      </c>
      <c r="V707">
        <f>inputs!$E$70*(F707/inputs!$F$70)^(0.25)</f>
        <v>3.2553221116843658</v>
      </c>
      <c r="W707">
        <f>inputs!$E$76*(inputs!$F$76/F707)^(0.25)</f>
        <v>0.5233720734274272</v>
      </c>
      <c r="X707">
        <f>inputs!$E$72*(inputs!$F$72/F707)^(0.25)</f>
        <v>76.766596799447598</v>
      </c>
      <c r="Y707" t="s">
        <v>13</v>
      </c>
      <c r="Z707">
        <f t="shared" si="69"/>
        <v>3.1332261629645624</v>
      </c>
      <c r="AA707">
        <f t="shared" si="70"/>
        <v>19.488354322024836</v>
      </c>
    </row>
    <row r="708" spans="1:27" x14ac:dyDescent="0.3">
      <c r="A708" t="s">
        <v>586</v>
      </c>
      <c r="B708" t="s">
        <v>587</v>
      </c>
      <c r="C708" t="s">
        <v>61</v>
      </c>
      <c r="D708" t="s">
        <v>443</v>
      </c>
      <c r="E708">
        <v>8684</v>
      </c>
      <c r="F708">
        <v>75</v>
      </c>
      <c r="G708" t="s">
        <v>177</v>
      </c>
      <c r="H708">
        <v>0.85</v>
      </c>
      <c r="I708">
        <f>MAX('Min rate concentrations'!$F$3:$F$368)</f>
        <v>67.5</v>
      </c>
      <c r="J708">
        <f>MAX('Min rate concentrations'!Y:Y)</f>
        <v>22.5</v>
      </c>
      <c r="K708">
        <f t="shared" si="74"/>
        <v>42.538032929594046</v>
      </c>
      <c r="L708">
        <f>(((0.621*F708^0.564)/(1-H708)))*J708/F708</f>
        <v>14.179344309864682</v>
      </c>
      <c r="M708">
        <f>IF((((0.326*F708^0.818)-(0.398*F708^0.85)/(1-H708)*H708)*(MAX('Min rate concentrations'!$P$3:$P$368)))/F708&gt;0, (((0.326*F708^0.818)-(0.398*F708^0.85)/(1-H708)*H708)*(MAX('Min rate concentrations'!$P$3:$P$368)))/F708, 0)</f>
        <v>0</v>
      </c>
      <c r="N708">
        <f>IF((((0.326*F708^0.818)-(0.398*F708^0.85)/(1-H708)*H708)*(MAX('Min rate concentrations'!$Q$3:$Q$368)))/F708&gt; 0, (((0.326*F708^0.818)-(0.398*F708^0.85)/(1-H708)*H708)*(MAX('Min rate concentrations'!$Q$3:$Q$368)))/F708, 0)</f>
        <v>0</v>
      </c>
      <c r="O708">
        <f>((MAX('Min rate concentrations'!$F$3:$F$368))*0.62*6.01*8*(12.3*F708^0.65)*0.079*0.1/F708)*inputs!$E$73/inputs!$E$74</f>
        <v>9.9563139872749549</v>
      </c>
      <c r="P708">
        <f>((MAX('Min rate concentrations'!Y:Y))*0.62*6.01*8*(12.3*F708^0.65)*0.079*0.1/F708)*inputs!$E$73/inputs!$E$74</f>
        <v>3.3187713290916498</v>
      </c>
      <c r="Q708">
        <f>(inputs!$C$7*11.2*(12.3*F708^0.65)*0.5/F708)*inputs!$E$73/inputs!$E$74</f>
        <v>1.7537577491261036</v>
      </c>
      <c r="R708">
        <f>(60*379*((F708/1000)^0.8)*3*24*(MAX('Min rate concentrations'!$R$3:$R$368))/F708)*(inputs!$E$73/inputs!$E$75)</f>
        <v>3.0886251622392535E-3</v>
      </c>
      <c r="S708">
        <f>(IF(inputs!$C$6="aerial",((0.025*0.112*inputs!$C$7/3.3)*(3*60*379*((F708/1000)^0.8))*MAX(inputs!$H$14:$H$16))/F708,((0.0083*0.112*inputs!$C$7/1)*(3*60*379*((F708/1000)^0.8))*MAX(inputs!$H$14:$H$16))/F708))*(inputs!E$75/inputs!$E$73)</f>
        <v>1.7033957529657275E-2</v>
      </c>
      <c r="T708">
        <f>IF((((inputs!$P$12/(V708/MAX(K708:S708)))^(1/inputs!$O$12))-1)/inputs!$N$12&lt;0, 0, IF((((inputs!$P$12/(V708/MAX(K708:S708)))^(1/inputs!$O$12))-1)/inputs!$N$12&gt;inputs!$H$17, inputs!$H$17, (((inputs!$P$12/(V708/MAX(K708:S708)))^(1/inputs!$O$12))-1)/inputs!$N$12))</f>
        <v>31.024111684355479</v>
      </c>
      <c r="U708">
        <f>IF((((inputs!$P$12/(X708/MAX(K708:S708)))^(1/inputs!$O$12))-1)/inputs!$N$12&lt;0, 0, IF((((inputs!$P$12/(X708/MAX(K708:S708)))^(1/inputs!$O$12))-1)/inputs!$N$12&gt;inputs!$H$17, inputs!$H$17, (((inputs!$P$12/(X708/MAX(K708:S708)))^(1/inputs!$O$12))-1)/inputs!$N$12))</f>
        <v>0</v>
      </c>
      <c r="V708">
        <f>inputs!$E$70*(F708/inputs!$F$70)^(0.25)</f>
        <v>3.3119576436193516</v>
      </c>
      <c r="W708">
        <f>inputs!$E$76*(inputs!$F$76/F708)^(0.25)</f>
        <v>0.51442224406122605</v>
      </c>
      <c r="X708">
        <f>inputs!$E$72*(inputs!$F$72/F708)^(0.25)</f>
        <v>75.453863512247679</v>
      </c>
      <c r="Y708" t="s">
        <v>13</v>
      </c>
      <c r="Z708">
        <f t="shared" ref="Z708:Z771" si="75">MAX(K708:S708)/V708</f>
        <v>12.843773232289262</v>
      </c>
      <c r="AA708">
        <f t="shared" ref="AA708:AA771" si="76">MAX(K708:S708)/W708</f>
        <v>82.690889479754318</v>
      </c>
    </row>
    <row r="709" spans="1:27" x14ac:dyDescent="0.3">
      <c r="A709" t="s">
        <v>480</v>
      </c>
      <c r="B709" t="s">
        <v>481</v>
      </c>
      <c r="C709" t="s">
        <v>61</v>
      </c>
      <c r="D709" t="s">
        <v>443</v>
      </c>
      <c r="E709">
        <v>40</v>
      </c>
      <c r="F709">
        <v>35</v>
      </c>
      <c r="G709" t="s">
        <v>142</v>
      </c>
      <c r="H709">
        <v>0.69</v>
      </c>
      <c r="I709">
        <f>MAX('Min rate concentrations'!$H$3:$H$368)</f>
        <v>47</v>
      </c>
      <c r="J709">
        <f>MAX('Min rate concentrations'!AA:AA)</f>
        <v>32.5</v>
      </c>
      <c r="K709">
        <f t="shared" si="74"/>
        <v>19.980856323878459</v>
      </c>
      <c r="L709">
        <f>(((0.621*F709^0.564)/(1-H709)))*J709/F709</f>
        <v>13.816549585660638</v>
      </c>
      <c r="M709">
        <f>IF((((0.326*F709^0.818)-(0.398*F709^0.85)/(1-H709)*H709)*(MAX('Min rate concentrations'!$P$3:$P$368)))/F709&gt;0, (((0.326*F709^0.818)-(0.398*F709^0.85)/(1-H709)*H709)*(MAX('Min rate concentrations'!$P$3:$P$368)))/F709, 0)</f>
        <v>0</v>
      </c>
      <c r="N709">
        <f>IF((((0.326*F709^0.818)-(0.398*F709^0.85)/(1-H709)*H709)*(MAX('Min rate concentrations'!$Q$3:$Q$368)))/F709&gt; 0, (((0.326*F709^0.818)-(0.398*F709^0.85)/(1-H709)*H709)*(MAX('Min rate concentrations'!$Q$3:$Q$368)))/F709, 0)</f>
        <v>0</v>
      </c>
      <c r="O709">
        <f>((MAX('Min rate concentrations'!$F$3:$F$368))*0.62*6.01*8*(12.3*F709^0.65)*0.079*0.1/F709)*inputs!$E$73/inputs!$E$74</f>
        <v>13.000085569601669</v>
      </c>
      <c r="P709">
        <f>((MAX('Min rate concentrations'!Y:Y))*0.62*6.01*8*(12.3*F709^0.65)*0.079*0.1/F709)*inputs!$E$73/inputs!$E$74</f>
        <v>4.3333618565338892</v>
      </c>
      <c r="Q709">
        <f>(inputs!$C$7*11.2*(12.3*F709^0.65)*0.5/F709)*inputs!$E$73/inputs!$E$74</f>
        <v>2.2899037571666074</v>
      </c>
      <c r="R709">
        <f>(60*379*((F709/1000)^0.8)*3*24*(MAX('Min rate concentrations'!$R$3:$R$368))/F709)*(inputs!$E$73/inputs!$E$75)</f>
        <v>3.597193906115789E-3</v>
      </c>
      <c r="S709">
        <f>(IF(inputs!$C$6="aerial",((0.025*0.112*inputs!$C$7/3.3)*(3*60*379*((F709/1000)^0.8))*MAX(inputs!$H$14:$H$16))/F709,((0.0083*0.112*inputs!$C$7/1)*(3*60*379*((F709/1000)^0.8))*MAX(inputs!$H$14:$H$16))/F709))*(inputs!E$75/inputs!$E$73)</f>
        <v>1.983874539774011E-2</v>
      </c>
      <c r="T709">
        <f>IF((((inputs!$P$12/(V709/MAX(K709:S709)))^(1/inputs!$O$12))-1)/inputs!$N$12&lt;0, 0, IF((((inputs!$P$12/(V709/MAX(K709:S709)))^(1/inputs!$O$12))-1)/inputs!$N$12&gt;inputs!$H$17, inputs!$H$17, (((inputs!$P$12/(V709/MAX(K709:S709)))^(1/inputs!$O$12))-1)/inputs!$N$12))</f>
        <v>18.803439353726915</v>
      </c>
      <c r="U709">
        <f>IF((((inputs!$P$12/(X709/MAX(K709:S709)))^(1/inputs!$O$12))-1)/inputs!$N$12&lt;0, 0, IF((((inputs!$P$12/(X709/MAX(K709:S709)))^(1/inputs!$O$12))-1)/inputs!$N$12&gt;inputs!$H$17, inputs!$H$17, (((inputs!$P$12/(X709/MAX(K709:S709)))^(1/inputs!$O$12))-1)/inputs!$N$12))</f>
        <v>0</v>
      </c>
      <c r="V709">
        <f>inputs!$E$70*(F709/inputs!$F$70)^(0.25)</f>
        <v>2.7373886942115346</v>
      </c>
      <c r="W709">
        <f>inputs!$E$76*(inputs!$F$76/F709)^(0.25)</f>
        <v>0.62239779351362301</v>
      </c>
      <c r="X709">
        <f>inputs!$E$72*(inputs!$F$72/F709)^(0.25)</f>
        <v>91.291383108448187</v>
      </c>
      <c r="Y709" t="s">
        <v>13</v>
      </c>
      <c r="Z709">
        <f t="shared" si="75"/>
        <v>7.2992397338857486</v>
      </c>
      <c r="AA709">
        <f t="shared" si="76"/>
        <v>32.103032067450798</v>
      </c>
    </row>
    <row r="710" spans="1:27" x14ac:dyDescent="0.3">
      <c r="A710" t="s">
        <v>480</v>
      </c>
      <c r="B710" t="s">
        <v>481</v>
      </c>
      <c r="C710" t="s">
        <v>61</v>
      </c>
      <c r="D710" t="s">
        <v>443</v>
      </c>
      <c r="E710">
        <v>40</v>
      </c>
      <c r="F710">
        <v>35</v>
      </c>
      <c r="G710" t="s">
        <v>169</v>
      </c>
      <c r="H710">
        <v>0.79</v>
      </c>
      <c r="I710">
        <f>MAX('Min rate concentrations'!$D$3:$D$368)</f>
        <v>120</v>
      </c>
      <c r="J710">
        <f>MAX('Min rate concentrations'!W:W)</f>
        <v>42.5</v>
      </c>
      <c r="K710">
        <f t="shared" si="74"/>
        <v>75.307786752611847</v>
      </c>
      <c r="L710">
        <f>(((0.621*F710^0.564)/(1-H710)))*J710/F710</f>
        <v>26.671507808216699</v>
      </c>
      <c r="M710">
        <f>IF((((0.326*F710^0.818)-(0.398*F710^0.85)/(1-H710)*H710)*(MAX('Min rate concentrations'!$P$3:$P$368)))/F710&gt;0, (((0.326*F710^0.818)-(0.398*F710^0.85)/(1-H710)*H710)*(MAX('Min rate concentrations'!$P$3:$P$368)))/F710, 0)</f>
        <v>0</v>
      </c>
      <c r="N710">
        <f>IF((((0.326*F710^0.818)-(0.398*F710^0.85)/(1-H710)*H710)*(MAX('Min rate concentrations'!$Q$3:$Q$368)))/F710&gt; 0, (((0.326*F710^0.818)-(0.398*F710^0.85)/(1-H710)*H710)*(MAX('Min rate concentrations'!$Q$3:$Q$368)))/F710, 0)</f>
        <v>0</v>
      </c>
      <c r="O710">
        <f>((MAX('Min rate concentrations'!$F$3:$F$368))*0.62*6.01*8*(12.3*F710^0.65)*0.079*0.1/F710)*inputs!$E$73/inputs!$E$74</f>
        <v>13.000085569601669</v>
      </c>
      <c r="P710">
        <f>((MAX('Min rate concentrations'!Y:Y))*0.62*6.01*8*(12.3*F710^0.65)*0.079*0.1/F710)*inputs!$E$73/inputs!$E$74</f>
        <v>4.3333618565338892</v>
      </c>
      <c r="Q710">
        <f>(inputs!$C$7*11.2*(12.3*F710^0.65)*0.5/F710)*inputs!$E$73/inputs!$E$74</f>
        <v>2.2899037571666074</v>
      </c>
      <c r="R710">
        <f>(60*379*((F710/1000)^0.8)*3*24*(MAX('Min rate concentrations'!$R$3:$R$368))/F710)*(inputs!$E$73/inputs!$E$75)</f>
        <v>3.597193906115789E-3</v>
      </c>
      <c r="S710">
        <f>(IF(inputs!$C$6="aerial",((0.025*0.112*inputs!$C$7/3.3)*(3*60*379*((F710/1000)^0.8))*MAX(inputs!$H$14:$H$16))/F710,((0.0083*0.112*inputs!$C$7/1)*(3*60*379*((F710/1000)^0.8))*MAX(inputs!$H$14:$H$16))/F710))*(inputs!E$75/inputs!$E$73)</f>
        <v>1.983874539774011E-2</v>
      </c>
      <c r="T710">
        <f>IF((((inputs!$P$12/(V710/MAX(K710:S710)))^(1/inputs!$O$12))-1)/inputs!$N$12&lt;0, 0, IF((((inputs!$P$12/(V710/MAX(K710:S710)))^(1/inputs!$O$12))-1)/inputs!$N$12&gt;inputs!$H$17, inputs!$H$17, (((inputs!$P$12/(V710/MAX(K710:S710)))^(1/inputs!$O$12))-1)/inputs!$N$12))</f>
        <v>52.63832599409929</v>
      </c>
      <c r="U710">
        <f>IF((((inputs!$P$12/(X710/MAX(K710:S710)))^(1/inputs!$O$12))-1)/inputs!$N$12&lt;0, 0, IF((((inputs!$P$12/(X710/MAX(K710:S710)))^(1/inputs!$O$12))-1)/inputs!$N$12&gt;inputs!$H$17, inputs!$H$17, (((inputs!$P$12/(X710/MAX(K710:S710)))^(1/inputs!$O$12))-1)/inputs!$N$12))</f>
        <v>0</v>
      </c>
      <c r="V710">
        <f>inputs!$E$70*(F710/inputs!$F$70)^(0.25)</f>
        <v>2.7373886942115346</v>
      </c>
      <c r="W710">
        <f>inputs!$E$76*(inputs!$F$76/F710)^(0.25)</f>
        <v>0.62239779351362301</v>
      </c>
      <c r="X710">
        <f>inputs!$E$72*(inputs!$F$72/F710)^(0.25)</f>
        <v>91.291383108448187</v>
      </c>
      <c r="Y710" t="s">
        <v>13</v>
      </c>
      <c r="Z710">
        <f t="shared" si="75"/>
        <v>27.510812370876387</v>
      </c>
      <c r="AA710">
        <f t="shared" si="76"/>
        <v>120.99623028461703</v>
      </c>
    </row>
    <row r="711" spans="1:27" x14ac:dyDescent="0.3">
      <c r="A711" t="s">
        <v>480</v>
      </c>
      <c r="B711" t="s">
        <v>481</v>
      </c>
      <c r="C711" t="s">
        <v>61</v>
      </c>
      <c r="D711" t="s">
        <v>443</v>
      </c>
      <c r="E711">
        <v>40</v>
      </c>
      <c r="F711">
        <v>35</v>
      </c>
      <c r="G711" t="s">
        <v>177</v>
      </c>
      <c r="H711">
        <v>0.85</v>
      </c>
      <c r="I711">
        <f>MAX('Min rate concentrations'!$F$3:$F$368)</f>
        <v>67.5</v>
      </c>
      <c r="J711">
        <f>MAX('Min rate concentrations'!Y:Y)</f>
        <v>22.5</v>
      </c>
      <c r="K711">
        <f t="shared" si="74"/>
        <v>59.30488206768181</v>
      </c>
      <c r="L711">
        <f>(((0.621*F711^0.564)/(1-H711)))*J711/F711</f>
        <v>19.768294022560603</v>
      </c>
      <c r="M711">
        <f>IF((((0.326*F711^0.818)-(0.398*F711^0.85)/(1-H711)*H711)*(MAX('Min rate concentrations'!$P$3:$P$368)))/F711&gt;0, (((0.326*F711^0.818)-(0.398*F711^0.85)/(1-H711)*H711)*(MAX('Min rate concentrations'!$P$3:$P$368)))/F711, 0)</f>
        <v>0</v>
      </c>
      <c r="N711">
        <f>IF((((0.326*F711^0.818)-(0.398*F711^0.85)/(1-H711)*H711)*(MAX('Min rate concentrations'!$Q$3:$Q$368)))/F711&gt; 0, (((0.326*F711^0.818)-(0.398*F711^0.85)/(1-H711)*H711)*(MAX('Min rate concentrations'!$Q$3:$Q$368)))/F711, 0)</f>
        <v>0</v>
      </c>
      <c r="O711">
        <f>((MAX('Min rate concentrations'!$F$3:$F$368))*0.62*6.01*8*(12.3*F711^0.65)*0.079*0.1/F711)*inputs!$E$73/inputs!$E$74</f>
        <v>13.000085569601669</v>
      </c>
      <c r="P711">
        <f>((MAX('Min rate concentrations'!Y:Y))*0.62*6.01*8*(12.3*F711^0.65)*0.079*0.1/F711)*inputs!$E$73/inputs!$E$74</f>
        <v>4.3333618565338892</v>
      </c>
      <c r="Q711">
        <f>(inputs!$C$7*11.2*(12.3*F711^0.65)*0.5/F711)*inputs!$E$73/inputs!$E$74</f>
        <v>2.2899037571666074</v>
      </c>
      <c r="R711">
        <f>(60*379*((F711/1000)^0.8)*3*24*(MAX('Min rate concentrations'!$R$3:$R$368))/F711)*(inputs!$E$73/inputs!$E$75)</f>
        <v>3.597193906115789E-3</v>
      </c>
      <c r="S711">
        <f>(IF(inputs!$C$6="aerial",((0.025*0.112*inputs!$C$7/3.3)*(3*60*379*((F711/1000)^0.8))*MAX(inputs!$H$14:$H$16))/F711,((0.0083*0.112*inputs!$C$7/1)*(3*60*379*((F711/1000)^0.8))*MAX(inputs!$H$14:$H$16))/F711))*(inputs!E$75/inputs!$E$73)</f>
        <v>1.983874539774011E-2</v>
      </c>
      <c r="T711">
        <f>IF((((inputs!$P$12/(V711/MAX(K711:S711)))^(1/inputs!$O$12))-1)/inputs!$N$12&lt;0, 0, IF((((inputs!$P$12/(V711/MAX(K711:S711)))^(1/inputs!$O$12))-1)/inputs!$N$12&gt;inputs!$H$17, inputs!$H$17, (((inputs!$P$12/(V711/MAX(K711:S711)))^(1/inputs!$O$12))-1)/inputs!$N$12))</f>
        <v>45.126288124299698</v>
      </c>
      <c r="U711">
        <f>IF((((inputs!$P$12/(X711/MAX(K711:S711)))^(1/inputs!$O$12))-1)/inputs!$N$12&lt;0, 0, IF((((inputs!$P$12/(X711/MAX(K711:S711)))^(1/inputs!$O$12))-1)/inputs!$N$12&gt;inputs!$H$17, inputs!$H$17, (((inputs!$P$12/(X711/MAX(K711:S711)))^(1/inputs!$O$12))-1)/inputs!$N$12))</f>
        <v>0</v>
      </c>
      <c r="V711">
        <f>inputs!$E$70*(F711/inputs!$F$70)^(0.25)</f>
        <v>2.7373886942115346</v>
      </c>
      <c r="W711">
        <f>inputs!$E$76*(inputs!$F$76/F711)^(0.25)</f>
        <v>0.62239779351362301</v>
      </c>
      <c r="X711">
        <f>inputs!$E$72*(inputs!$F$72/F711)^(0.25)</f>
        <v>91.291383108448187</v>
      </c>
      <c r="Y711" t="s">
        <v>13</v>
      </c>
      <c r="Z711">
        <f t="shared" si="75"/>
        <v>21.664764742065149</v>
      </c>
      <c r="AA711">
        <f t="shared" si="76"/>
        <v>95.284531349135875</v>
      </c>
    </row>
    <row r="712" spans="1:27" x14ac:dyDescent="0.3">
      <c r="A712" t="s">
        <v>480</v>
      </c>
      <c r="B712" t="s">
        <v>481</v>
      </c>
      <c r="C712" t="s">
        <v>61</v>
      </c>
      <c r="D712" t="s">
        <v>443</v>
      </c>
      <c r="E712">
        <v>40</v>
      </c>
      <c r="F712">
        <v>35</v>
      </c>
      <c r="G712" t="s">
        <v>154</v>
      </c>
      <c r="H712">
        <v>9.2999999999999999E-2</v>
      </c>
      <c r="I712">
        <f>MAX('Min rate concentrations'!$G$3:$G$368)</f>
        <v>7.5</v>
      </c>
      <c r="J712">
        <f>MAX('Min rate concentrations'!Z:Z)</f>
        <v>3.5</v>
      </c>
      <c r="K712">
        <f t="shared" si="74"/>
        <v>1.0897626252789749</v>
      </c>
      <c r="M712">
        <f>IF((((0.326*F712^0.818)-(0.398*F712^0.85)/(1-H712)*H712)*(MAX('Min rate concentrations'!$P$3:$P$368)))/F712&gt;0, (((0.326*F712^0.818)-(0.398*F712^0.85)/(1-H712)*H712)*(MAX('Min rate concentrations'!$P$3:$P$368)))/F712, 0)</f>
        <v>2.1299658798337538E-2</v>
      </c>
      <c r="N712">
        <f>IF((((0.326*F712^0.818)-(0.398*F712^0.85)/(1-H712)*H712)*(MAX('Min rate concentrations'!$Q$3:$Q$368)))/F712&gt; 0, (((0.326*F712^0.818)-(0.398*F712^0.85)/(1-H712)*H712)*(MAX('Min rate concentrations'!$Q$3:$Q$368)))/F712, 0)</f>
        <v>8.111024517062923E-2</v>
      </c>
      <c r="O712">
        <f>((MAX('Min rate concentrations'!$F$3:$F$368))*0.62*6.01*8*(12.3*F712^0.65)*0.079*0.1/F712)*inputs!$E$73/inputs!$E$74</f>
        <v>13.000085569601669</v>
      </c>
      <c r="Q712">
        <f>(inputs!$C$7*11.2*(12.3*F712^0.65)*0.5/F712)*inputs!$E$73/inputs!$E$74</f>
        <v>2.2899037571666074</v>
      </c>
      <c r="R712">
        <f>(60*379*((F712/1000)^0.8)*3*24*(MAX('Min rate concentrations'!$R$3:$R$368))/F712)*(inputs!$E$73/inputs!$E$75)</f>
        <v>3.597193906115789E-3</v>
      </c>
      <c r="S712">
        <f>(IF(inputs!$C$6="aerial",((0.025*0.112*inputs!$C$7/3.3)*(3*60*379*((F712/1000)^0.8))*MAX(inputs!$H$14:$H$16))/F712,((0.0083*0.112*inputs!$C$7/1)*(3*60*379*((F712/1000)^0.8))*MAX(inputs!$H$14:$H$16))/F712))*(inputs!E$75/inputs!$E$73)</f>
        <v>1.983874539774011E-2</v>
      </c>
      <c r="T712">
        <f>IF((((inputs!$P$12/(V712/MAX(K712:S712)))^(1/inputs!$O$12))-1)/inputs!$N$12&lt;0, 0, IF((((inputs!$P$12/(V712/MAX(K712:S712)))^(1/inputs!$O$12))-1)/inputs!$N$12&gt;inputs!$H$17, inputs!$H$17, (((inputs!$P$12/(V712/MAX(K712:S712)))^(1/inputs!$O$12))-1)/inputs!$N$12))</f>
        <v>11.217851147115395</v>
      </c>
      <c r="U712">
        <f>IF((((inputs!$P$12/(X712/MAX(K712:S712)))^(1/inputs!$O$12))-1)/inputs!$N$12&lt;0, 0, IF((((inputs!$P$12/(X712/MAX(K712:S712)))^(1/inputs!$O$12))-1)/inputs!$N$12&gt;inputs!$H$17, inputs!$H$17, (((inputs!$P$12/(X712/MAX(K712:S712)))^(1/inputs!$O$12))-1)/inputs!$N$12))</f>
        <v>0</v>
      </c>
      <c r="V712">
        <f>inputs!$E$70*(F712/inputs!$F$70)^(0.25)</f>
        <v>2.7373886942115346</v>
      </c>
      <c r="W712">
        <f>inputs!$E$76*(inputs!$F$76/F712)^(0.25)</f>
        <v>0.62239779351362301</v>
      </c>
      <c r="X712">
        <f>inputs!$E$72*(inputs!$F$72/F712)^(0.25)</f>
        <v>91.291383108448187</v>
      </c>
      <c r="Y712" t="s">
        <v>13</v>
      </c>
      <c r="Z712">
        <f t="shared" si="75"/>
        <v>4.749082801829192</v>
      </c>
      <c r="AA712">
        <f t="shared" si="76"/>
        <v>20.887100990850676</v>
      </c>
    </row>
    <row r="713" spans="1:27" x14ac:dyDescent="0.3">
      <c r="A713" t="s">
        <v>470</v>
      </c>
      <c r="B713" t="s">
        <v>471</v>
      </c>
      <c r="C713" t="s">
        <v>61</v>
      </c>
      <c r="D713" t="s">
        <v>443</v>
      </c>
      <c r="E713">
        <v>20</v>
      </c>
      <c r="F713">
        <v>640</v>
      </c>
      <c r="G713" t="s">
        <v>142</v>
      </c>
      <c r="H713">
        <v>0.69</v>
      </c>
      <c r="I713">
        <f>MAX('Min rate concentrations'!$H$3:$H$368)</f>
        <v>47</v>
      </c>
      <c r="J713">
        <f>MAX('Min rate concentrations'!AA:AA)</f>
        <v>32.5</v>
      </c>
      <c r="K713">
        <f t="shared" si="74"/>
        <v>5.6277305491901419</v>
      </c>
      <c r="L713">
        <f>(((0.621*F713^0.564)/(1-H713)))*J713/F713</f>
        <v>3.8915158052910557</v>
      </c>
      <c r="M713">
        <f>IF((((0.326*F713^0.818)-(0.398*F713^0.85)/(1-H713)*H713)*(MAX('Min rate concentrations'!$P$3:$P$368)))/F713&gt;0, (((0.326*F713^0.818)-(0.398*F713^0.85)/(1-H713)*H713)*(MAX('Min rate concentrations'!$P$3:$P$368)))/F713, 0)</f>
        <v>0</v>
      </c>
      <c r="N713">
        <f>IF((((0.326*F713^0.818)-(0.398*F713^0.85)/(1-H713)*H713)*(MAX('Min rate concentrations'!$Q$3:$Q$368)))/F713&gt; 0, (((0.326*F713^0.818)-(0.398*F713^0.85)/(1-H713)*H713)*(MAX('Min rate concentrations'!$Q$3:$Q$368)))/F713, 0)</f>
        <v>0</v>
      </c>
      <c r="O713">
        <f>((MAX('Min rate concentrations'!$F$3:$F$368))*0.62*6.01*8*(12.3*F713^0.65)*0.079*0.1/F713)*inputs!$E$73/inputs!$E$74</f>
        <v>4.701181685278689</v>
      </c>
      <c r="P713">
        <f>((MAX('Min rate concentrations'!Y:Y))*0.62*6.01*8*(12.3*F713^0.65)*0.079*0.1/F713)*inputs!$E$73/inputs!$E$74</f>
        <v>1.5670605617595628</v>
      </c>
      <c r="Q713">
        <f>(inputs!$C$7*11.2*(12.3*F713^0.65)*0.5/F713)*inputs!$E$73/inputs!$E$74</f>
        <v>0.82809098037132123</v>
      </c>
      <c r="R713">
        <f>(60*379*((F713/1000)^0.8)*3*24*(MAX('Min rate concentrations'!$R$3:$R$368))/F713)*(inputs!$E$73/inputs!$E$75)</f>
        <v>2.0115992410335935E-3</v>
      </c>
      <c r="S713">
        <f>(IF(inputs!$C$6="aerial",((0.025*0.112*inputs!$C$7/3.3)*(3*60*379*((F713/1000)^0.8))*MAX(inputs!$H$14:$H$16))/F713,((0.0083*0.112*inputs!$C$7/1)*(3*60*379*((F713/1000)^0.8))*MAX(inputs!$H$14:$H$16))/F713))*(inputs!E$75/inputs!$E$73)</f>
        <v>1.1094093403556472E-2</v>
      </c>
      <c r="T713">
        <f>IF((((inputs!$P$12/(V713/MAX(K713:S713)))^(1/inputs!$O$12))-1)/inputs!$N$12&lt;0, 0, IF((((inputs!$P$12/(V713/MAX(K713:S713)))^(1/inputs!$O$12))-1)/inputs!$N$12&gt;inputs!$H$17, inputs!$H$17, (((inputs!$P$12/(V713/MAX(K713:S713)))^(1/inputs!$O$12))-1)/inputs!$N$12))</f>
        <v>0</v>
      </c>
      <c r="U713">
        <f>IF((((inputs!$P$12/(X713/MAX(K713:S713)))^(1/inputs!$O$12))-1)/inputs!$N$12&lt;0, 0, IF((((inputs!$P$12/(X713/MAX(K713:S713)))^(1/inputs!$O$12))-1)/inputs!$N$12&gt;inputs!$H$17, inputs!$H$17, (((inputs!$P$12/(X713/MAX(K713:S713)))^(1/inputs!$O$12))-1)/inputs!$N$12))</f>
        <v>0</v>
      </c>
      <c r="V713">
        <f>inputs!$E$70*(F713/inputs!$F$70)^(0.25)</f>
        <v>5.6606258674129517</v>
      </c>
      <c r="W713">
        <f>inputs!$E$76*(inputs!$F$76/F713)^(0.25)</f>
        <v>0.30098167997190939</v>
      </c>
      <c r="X713">
        <f>inputs!$E$72*(inputs!$F$72/F713)^(0.25)</f>
        <v>44.147061800820012</v>
      </c>
      <c r="Y713" t="s">
        <v>13</v>
      </c>
      <c r="Z713">
        <f t="shared" si="75"/>
        <v>0.99418874891340525</v>
      </c>
      <c r="AA713">
        <f t="shared" si="76"/>
        <v>18.697917260995347</v>
      </c>
    </row>
    <row r="714" spans="1:27" x14ac:dyDescent="0.3">
      <c r="A714" t="s">
        <v>470</v>
      </c>
      <c r="B714" t="s">
        <v>471</v>
      </c>
      <c r="C714" t="s">
        <v>61</v>
      </c>
      <c r="D714" t="s">
        <v>443</v>
      </c>
      <c r="E714">
        <v>20</v>
      </c>
      <c r="F714">
        <v>640</v>
      </c>
      <c r="G714" t="s">
        <v>169</v>
      </c>
      <c r="H714">
        <v>0.79</v>
      </c>
      <c r="I714">
        <f>MAX('Min rate concentrations'!$D$3:$D$368)</f>
        <v>120</v>
      </c>
      <c r="J714">
        <f>MAX('Min rate concentrations'!W:W)</f>
        <v>42.5</v>
      </c>
      <c r="K714">
        <f t="shared" si="74"/>
        <v>21.210899334333678</v>
      </c>
      <c r="L714">
        <f>(((0.621*F714^0.564)/(1-H714)))*J714/F714</f>
        <v>7.5121935142431768</v>
      </c>
      <c r="M714">
        <f>IF((((0.326*F714^0.818)-(0.398*F714^0.85)/(1-H714)*H714)*(MAX('Min rate concentrations'!$P$3:$P$368)))/F714&gt;0, (((0.326*F714^0.818)-(0.398*F714^0.85)/(1-H714)*H714)*(MAX('Min rate concentrations'!$P$3:$P$368)))/F714, 0)</f>
        <v>0</v>
      </c>
      <c r="N714">
        <f>IF((((0.326*F714^0.818)-(0.398*F714^0.85)/(1-H714)*H714)*(MAX('Min rate concentrations'!$Q$3:$Q$368)))/F714&gt; 0, (((0.326*F714^0.818)-(0.398*F714^0.85)/(1-H714)*H714)*(MAX('Min rate concentrations'!$Q$3:$Q$368)))/F714, 0)</f>
        <v>0</v>
      </c>
      <c r="O714">
        <f>((MAX('Min rate concentrations'!$F$3:$F$368))*0.62*6.01*8*(12.3*F714^0.65)*0.079*0.1/F714)*inputs!$E$73/inputs!$E$74</f>
        <v>4.701181685278689</v>
      </c>
      <c r="P714">
        <f>((MAX('Min rate concentrations'!Y:Y))*0.62*6.01*8*(12.3*F714^0.65)*0.079*0.1/F714)*inputs!$E$73/inputs!$E$74</f>
        <v>1.5670605617595628</v>
      </c>
      <c r="Q714">
        <f>(inputs!$C$7*11.2*(12.3*F714^0.65)*0.5/F714)*inputs!$E$73/inputs!$E$74</f>
        <v>0.82809098037132123</v>
      </c>
      <c r="R714">
        <f>(60*379*((F714/1000)^0.8)*3*24*(MAX('Min rate concentrations'!$R$3:$R$368))/F714)*(inputs!$E$73/inputs!$E$75)</f>
        <v>2.0115992410335935E-3</v>
      </c>
      <c r="S714">
        <f>(IF(inputs!$C$6="aerial",((0.025*0.112*inputs!$C$7/3.3)*(3*60*379*((F714/1000)^0.8))*MAX(inputs!$H$14:$H$16))/F714,((0.0083*0.112*inputs!$C$7/1)*(3*60*379*((F714/1000)^0.8))*MAX(inputs!$H$14:$H$16))/F714))*(inputs!E$75/inputs!$E$73)</f>
        <v>1.1094093403556472E-2</v>
      </c>
      <c r="T714">
        <f>IF((((inputs!$P$12/(V714/MAX(K714:S714)))^(1/inputs!$O$12))-1)/inputs!$N$12&lt;0, 0, IF((((inputs!$P$12/(V714/MAX(K714:S714)))^(1/inputs!$O$12))-1)/inputs!$N$12&gt;inputs!$H$17, inputs!$H$17, (((inputs!$P$12/(V714/MAX(K714:S714)))^(1/inputs!$O$12))-1)/inputs!$N$12))</f>
        <v>7.5692857847506625</v>
      </c>
      <c r="U714">
        <f>IF((((inputs!$P$12/(X714/MAX(K714:S714)))^(1/inputs!$O$12))-1)/inputs!$N$12&lt;0, 0, IF((((inputs!$P$12/(X714/MAX(K714:S714)))^(1/inputs!$O$12))-1)/inputs!$N$12&gt;inputs!$H$17, inputs!$H$17, (((inputs!$P$12/(X714/MAX(K714:S714)))^(1/inputs!$O$12))-1)/inputs!$N$12))</f>
        <v>0</v>
      </c>
      <c r="V714">
        <f>inputs!$E$70*(F714/inputs!$F$70)^(0.25)</f>
        <v>5.6606258674129517</v>
      </c>
      <c r="W714">
        <f>inputs!$E$76*(inputs!$F$76/F714)^(0.25)</f>
        <v>0.30098167997190939</v>
      </c>
      <c r="X714">
        <f>inputs!$E$72*(inputs!$F$72/F714)^(0.25)</f>
        <v>44.147061800820012</v>
      </c>
      <c r="Y714" t="s">
        <v>13</v>
      </c>
      <c r="Z714">
        <f t="shared" si="75"/>
        <v>3.7470943728043262</v>
      </c>
      <c r="AA714">
        <f t="shared" si="76"/>
        <v>70.47239332411624</v>
      </c>
    </row>
    <row r="715" spans="1:27" x14ac:dyDescent="0.3">
      <c r="A715" t="s">
        <v>470</v>
      </c>
      <c r="B715" t="s">
        <v>471</v>
      </c>
      <c r="C715" t="s">
        <v>61</v>
      </c>
      <c r="D715" t="s">
        <v>443</v>
      </c>
      <c r="E715">
        <v>20</v>
      </c>
      <c r="F715">
        <v>640</v>
      </c>
      <c r="G715" t="s">
        <v>177</v>
      </c>
      <c r="H715">
        <v>0.85</v>
      </c>
      <c r="I715">
        <f>MAX('Min rate concentrations'!$F$3:$F$368)</f>
        <v>67.5</v>
      </c>
      <c r="J715">
        <f>MAX('Min rate concentrations'!Y:Y)</f>
        <v>22.5</v>
      </c>
      <c r="K715">
        <f t="shared" si="74"/>
        <v>16.703583225787764</v>
      </c>
      <c r="L715">
        <f>(((0.621*F715^0.564)/(1-H715)))*J715/F715</f>
        <v>5.5678610752625888</v>
      </c>
      <c r="M715">
        <f>IF((((0.326*F715^0.818)-(0.398*F715^0.85)/(1-H715)*H715)*(MAX('Min rate concentrations'!$P$3:$P$368)))/F715&gt;0, (((0.326*F715^0.818)-(0.398*F715^0.85)/(1-H715)*H715)*(MAX('Min rate concentrations'!$P$3:$P$368)))/F715, 0)</f>
        <v>0</v>
      </c>
      <c r="N715">
        <f>IF((((0.326*F715^0.818)-(0.398*F715^0.85)/(1-H715)*H715)*(MAX('Min rate concentrations'!$Q$3:$Q$368)))/F715&gt; 0, (((0.326*F715^0.818)-(0.398*F715^0.85)/(1-H715)*H715)*(MAX('Min rate concentrations'!$Q$3:$Q$368)))/F715, 0)</f>
        <v>0</v>
      </c>
      <c r="O715">
        <f>((MAX('Min rate concentrations'!$F$3:$F$368))*0.62*6.01*8*(12.3*F715^0.65)*0.079*0.1/F715)*inputs!$E$73/inputs!$E$74</f>
        <v>4.701181685278689</v>
      </c>
      <c r="P715">
        <f>((MAX('Min rate concentrations'!Y:Y))*0.62*6.01*8*(12.3*F715^0.65)*0.079*0.1/F715)*inputs!$E$73/inputs!$E$74</f>
        <v>1.5670605617595628</v>
      </c>
      <c r="Q715">
        <f>(inputs!$C$7*11.2*(12.3*F715^0.65)*0.5/F715)*inputs!$E$73/inputs!$E$74</f>
        <v>0.82809098037132123</v>
      </c>
      <c r="R715">
        <f>(60*379*((F715/1000)^0.8)*3*24*(MAX('Min rate concentrations'!$R$3:$R$368))/F715)*(inputs!$E$73/inputs!$E$75)</f>
        <v>2.0115992410335935E-3</v>
      </c>
      <c r="S715">
        <f>(IF(inputs!$C$6="aerial",((0.025*0.112*inputs!$C$7/3.3)*(3*60*379*((F715/1000)^0.8))*MAX(inputs!$H$14:$H$16))/F715,((0.0083*0.112*inputs!$C$7/1)*(3*60*379*((F715/1000)^0.8))*MAX(inputs!$H$14:$H$16))/F715))*(inputs!E$75/inputs!$E$73)</f>
        <v>1.1094093403556472E-2</v>
      </c>
      <c r="T715">
        <f>IF((((inputs!$P$12/(V715/MAX(K715:S715)))^(1/inputs!$O$12))-1)/inputs!$N$12&lt;0, 0, IF((((inputs!$P$12/(V715/MAX(K715:S715)))^(1/inputs!$O$12))-1)/inputs!$N$12&gt;inputs!$H$17, inputs!$H$17, (((inputs!$P$12/(V715/MAX(K715:S715)))^(1/inputs!$O$12))-1)/inputs!$N$12))</f>
        <v>4.2303922978361488</v>
      </c>
      <c r="U715">
        <f>IF((((inputs!$P$12/(X715/MAX(K715:S715)))^(1/inputs!$O$12))-1)/inputs!$N$12&lt;0, 0, IF((((inputs!$P$12/(X715/MAX(K715:S715)))^(1/inputs!$O$12))-1)/inputs!$N$12&gt;inputs!$H$17, inputs!$H$17, (((inputs!$P$12/(X715/MAX(K715:S715)))^(1/inputs!$O$12))-1)/inputs!$N$12))</f>
        <v>0</v>
      </c>
      <c r="V715">
        <f>inputs!$E$70*(F715/inputs!$F$70)^(0.25)</f>
        <v>5.6606258674129517</v>
      </c>
      <c r="W715">
        <f>inputs!$E$76*(inputs!$F$76/F715)^(0.25)</f>
        <v>0.30098167997190939</v>
      </c>
      <c r="X715">
        <f>inputs!$E$72*(inputs!$F$72/F715)^(0.25)</f>
        <v>44.147061800820012</v>
      </c>
      <c r="Y715" t="s">
        <v>13</v>
      </c>
      <c r="Z715">
        <f t="shared" si="75"/>
        <v>2.9508368185834053</v>
      </c>
      <c r="AA715">
        <f t="shared" si="76"/>
        <v>55.497009742741511</v>
      </c>
    </row>
    <row r="716" spans="1:27" x14ac:dyDescent="0.3">
      <c r="A716" t="s">
        <v>470</v>
      </c>
      <c r="B716" t="s">
        <v>471</v>
      </c>
      <c r="C716" t="s">
        <v>61</v>
      </c>
      <c r="D716" t="s">
        <v>443</v>
      </c>
      <c r="E716">
        <v>20</v>
      </c>
      <c r="F716">
        <v>640</v>
      </c>
      <c r="G716" t="s">
        <v>154</v>
      </c>
      <c r="H716">
        <v>9.2999999999999999E-2</v>
      </c>
      <c r="I716">
        <f>MAX('Min rate concentrations'!$G$3:$G$368)</f>
        <v>7.5</v>
      </c>
      <c r="J716">
        <f>MAX('Min rate concentrations'!Z:Z)</f>
        <v>3.5</v>
      </c>
      <c r="K716">
        <f t="shared" si="74"/>
        <v>0.30693831726916143</v>
      </c>
      <c r="M716">
        <f>IF((((0.326*F716^0.818)-(0.398*F716^0.85)/(1-H716)*H716)*(MAX('Min rate concentrations'!$P$3:$P$368)))/F716&gt;0, (((0.326*F716^0.818)-(0.398*F716^0.85)/(1-H716)*H716)*(MAX('Min rate concentrations'!$P$3:$P$368)))/F716, 0)</f>
        <v>1.2351151448536752E-2</v>
      </c>
      <c r="N716">
        <f>IF((((0.326*F716^0.818)-(0.398*F716^0.85)/(1-H716)*H716)*(MAX('Min rate concentrations'!$Q$3:$Q$368)))/F716&gt; 0, (((0.326*F716^0.818)-(0.398*F716^0.85)/(1-H716)*H716)*(MAX('Min rate concentrations'!$Q$3:$Q$368)))/F716, 0)</f>
        <v>4.7033848364208555E-2</v>
      </c>
      <c r="O716">
        <f>((MAX('Min rate concentrations'!$F$3:$F$368))*0.62*6.01*8*(12.3*F716^0.65)*0.079*0.1/F716)*inputs!$E$73/inputs!$E$74</f>
        <v>4.701181685278689</v>
      </c>
      <c r="Q716">
        <f>(inputs!$C$7*11.2*(12.3*F716^0.65)*0.5/F716)*inputs!$E$73/inputs!$E$74</f>
        <v>0.82809098037132123</v>
      </c>
      <c r="R716">
        <f>(60*379*((F716/1000)^0.8)*3*24*(MAX('Min rate concentrations'!$R$3:$R$368))/F716)*(inputs!$E$73/inputs!$E$75)</f>
        <v>2.0115992410335935E-3</v>
      </c>
      <c r="S716">
        <f>(IF(inputs!$C$6="aerial",((0.025*0.112*inputs!$C$7/3.3)*(3*60*379*((F716/1000)^0.8))*MAX(inputs!$H$14:$H$16))/F716,((0.0083*0.112*inputs!$C$7/1)*(3*60*379*((F716/1000)^0.8))*MAX(inputs!$H$14:$H$16))/F716))*(inputs!E$75/inputs!$E$73)</f>
        <v>1.1094093403556472E-2</v>
      </c>
      <c r="T716">
        <f>IF((((inputs!$P$12/(V716/MAX(K716:S716)))^(1/inputs!$O$12))-1)/inputs!$N$12&lt;0, 0, IF((((inputs!$P$12/(V716/MAX(K716:S716)))^(1/inputs!$O$12))-1)/inputs!$N$12&gt;inputs!$H$17, inputs!$H$17, (((inputs!$P$12/(V716/MAX(K716:S716)))^(1/inputs!$O$12))-1)/inputs!$N$12))</f>
        <v>0</v>
      </c>
      <c r="U716">
        <f>IF((((inputs!$P$12/(X716/MAX(K716:S716)))^(1/inputs!$O$12))-1)/inputs!$N$12&lt;0, 0, IF((((inputs!$P$12/(X716/MAX(K716:S716)))^(1/inputs!$O$12))-1)/inputs!$N$12&gt;inputs!$H$17, inputs!$H$17, (((inputs!$P$12/(X716/MAX(K716:S716)))^(1/inputs!$O$12))-1)/inputs!$N$12))</f>
        <v>0</v>
      </c>
      <c r="V716">
        <f>inputs!$E$70*(F716/inputs!$F$70)^(0.25)</f>
        <v>5.6606258674129517</v>
      </c>
      <c r="W716">
        <f>inputs!$E$76*(inputs!$F$76/F716)^(0.25)</f>
        <v>0.30098167997190939</v>
      </c>
      <c r="X716">
        <f>inputs!$E$72*(inputs!$F$72/F716)^(0.25)</f>
        <v>44.147061800820012</v>
      </c>
      <c r="Y716" t="s">
        <v>13</v>
      </c>
      <c r="Z716">
        <f t="shared" si="75"/>
        <v>0.83050563584186265</v>
      </c>
      <c r="AA716">
        <f t="shared" si="76"/>
        <v>15.619494467960475</v>
      </c>
    </row>
    <row r="717" spans="1:27" x14ac:dyDescent="0.3">
      <c r="A717" t="s">
        <v>592</v>
      </c>
      <c r="B717" t="s">
        <v>593</v>
      </c>
      <c r="C717" t="s">
        <v>61</v>
      </c>
      <c r="D717" t="s">
        <v>443</v>
      </c>
      <c r="E717">
        <v>2389</v>
      </c>
      <c r="F717">
        <v>120</v>
      </c>
      <c r="G717" t="s">
        <v>142</v>
      </c>
      <c r="H717">
        <v>0.69</v>
      </c>
      <c r="I717">
        <f>MAX('Min rate concentrations'!$H$3:$H$368)</f>
        <v>47</v>
      </c>
      <c r="J717">
        <f>MAX('Min rate concentrations'!AA:AA)</f>
        <v>32.5</v>
      </c>
      <c r="K717">
        <f t="shared" si="74"/>
        <v>11.676286454552361</v>
      </c>
      <c r="L717">
        <f>(((0.621*F717^0.564)/(1-H717)))*J717/F717</f>
        <v>8.0740278675096118</v>
      </c>
      <c r="M717">
        <f>IF((((0.326*F717^0.818)-(0.398*F717^0.85)/(1-H717)*H717)*(MAX('Min rate concentrations'!$P$3:$P$368)))/F717&gt;0, (((0.326*F717^0.818)-(0.398*F717^0.85)/(1-H717)*H717)*(MAX('Min rate concentrations'!$P$3:$P$368)))/F717, 0)</f>
        <v>0</v>
      </c>
      <c r="N717">
        <f>IF((((0.326*F717^0.818)-(0.398*F717^0.85)/(1-H717)*H717)*(MAX('Min rate concentrations'!$Q$3:$Q$368)))/F717&gt; 0, (((0.326*F717^0.818)-(0.398*F717^0.85)/(1-H717)*H717)*(MAX('Min rate concentrations'!$Q$3:$Q$368)))/F717, 0)</f>
        <v>0</v>
      </c>
      <c r="O717">
        <f>((MAX('Min rate concentrations'!$F$3:$F$368))*0.62*6.01*8*(12.3*F717^0.65)*0.079*0.1/F717)*inputs!$E$73/inputs!$E$74</f>
        <v>8.4461072205623111</v>
      </c>
      <c r="P717">
        <f>((MAX('Min rate concentrations'!Y:Y))*0.62*6.01*8*(12.3*F717^0.65)*0.079*0.1/F717)*inputs!$E$73/inputs!$E$74</f>
        <v>2.8153690735207699</v>
      </c>
      <c r="Q717">
        <f>(inputs!$C$7*11.2*(12.3*F717^0.65)*0.5/F717)*inputs!$E$73/inputs!$E$74</f>
        <v>1.4877419501778142</v>
      </c>
      <c r="R717">
        <f>(60*379*((F717/1000)^0.8)*3*24*(MAX('Min rate concentrations'!$R$3:$R$368))/F717)*(inputs!$E$73/inputs!$E$75)</f>
        <v>2.8115202034692029E-3</v>
      </c>
      <c r="S717">
        <f>(IF(inputs!$C$6="aerial",((0.025*0.112*inputs!$C$7/3.3)*(3*60*379*((F717/1000)^0.8))*MAX(inputs!$H$14:$H$16))/F717,((0.0083*0.112*inputs!$C$7/1)*(3*60*379*((F717/1000)^0.8))*MAX(inputs!$H$14:$H$16))/F717))*(inputs!E$75/inputs!$E$73)</f>
        <v>1.5505706657180304E-2</v>
      </c>
      <c r="T717">
        <f>IF((((inputs!$P$12/(V717/MAX(K717:S717)))^(1/inputs!$O$12))-1)/inputs!$N$12&lt;0, 0, IF((((inputs!$P$12/(V717/MAX(K717:S717)))^(1/inputs!$O$12))-1)/inputs!$N$12&gt;inputs!$H$17, inputs!$H$17, (((inputs!$P$12/(V717/MAX(K717:S717)))^(1/inputs!$O$12))-1)/inputs!$N$12))</f>
        <v>5.044604982762702</v>
      </c>
      <c r="U717">
        <f>IF((((inputs!$P$12/(X717/MAX(K717:S717)))^(1/inputs!$O$12))-1)/inputs!$N$12&lt;0, 0, IF((((inputs!$P$12/(X717/MAX(K717:S717)))^(1/inputs!$O$12))-1)/inputs!$N$12&gt;inputs!$H$17, inputs!$H$17, (((inputs!$P$12/(X717/MAX(K717:S717)))^(1/inputs!$O$12))-1)/inputs!$N$12))</f>
        <v>0</v>
      </c>
      <c r="V717">
        <f>inputs!$E$70*(F717/inputs!$F$70)^(0.25)</f>
        <v>3.7249013005744236</v>
      </c>
      <c r="W717">
        <f>inputs!$E$76*(inputs!$F$76/F717)^(0.25)</f>
        <v>0.45739324234004791</v>
      </c>
      <c r="X717">
        <f>inputs!$E$72*(inputs!$F$72/F717)^(0.25)</f>
        <v>67.089025945858609</v>
      </c>
      <c r="Y717" t="s">
        <v>13</v>
      </c>
      <c r="Z717">
        <f t="shared" si="75"/>
        <v>3.1346566022438611</v>
      </c>
      <c r="AA717">
        <f t="shared" si="76"/>
        <v>25.527894541720521</v>
      </c>
    </row>
    <row r="718" spans="1:27" x14ac:dyDescent="0.3">
      <c r="A718" t="s">
        <v>592</v>
      </c>
      <c r="B718" t="s">
        <v>593</v>
      </c>
      <c r="C718" t="s">
        <v>61</v>
      </c>
      <c r="D718" t="s">
        <v>443</v>
      </c>
      <c r="E718">
        <v>2389</v>
      </c>
      <c r="F718">
        <v>120</v>
      </c>
      <c r="G718" t="s">
        <v>177</v>
      </c>
      <c r="H718">
        <v>0.85</v>
      </c>
      <c r="I718">
        <f>MAX('Min rate concentrations'!$F$3:$F$368)</f>
        <v>67.5</v>
      </c>
      <c r="J718">
        <f>MAX('Min rate concentrations'!Y:Y)</f>
        <v>22.5</v>
      </c>
      <c r="K718">
        <f t="shared" si="74"/>
        <v>34.656211923618187</v>
      </c>
      <c r="L718">
        <f>(((0.621*F718^0.564)/(1-H718)))*J718/F718</f>
        <v>11.552070641206061</v>
      </c>
      <c r="M718">
        <f>IF((((0.326*F718^0.818)-(0.398*F718^0.85)/(1-H718)*H718)*(MAX('Min rate concentrations'!$P$3:$P$368)))/F718&gt;0, (((0.326*F718^0.818)-(0.398*F718^0.85)/(1-H718)*H718)*(MAX('Min rate concentrations'!$P$3:$P$368)))/F718, 0)</f>
        <v>0</v>
      </c>
      <c r="N718">
        <f>IF((((0.326*F718^0.818)-(0.398*F718^0.85)/(1-H718)*H718)*(MAX('Min rate concentrations'!$Q$3:$Q$368)))/F718&gt; 0, (((0.326*F718^0.818)-(0.398*F718^0.85)/(1-H718)*H718)*(MAX('Min rate concentrations'!$Q$3:$Q$368)))/F718, 0)</f>
        <v>0</v>
      </c>
      <c r="O718">
        <f>((MAX('Min rate concentrations'!$F$3:$F$368))*0.62*6.01*8*(12.3*F718^0.65)*0.079*0.1/F718)*inputs!$E$73/inputs!$E$74</f>
        <v>8.4461072205623111</v>
      </c>
      <c r="P718">
        <f>((MAX('Min rate concentrations'!Y:Y))*0.62*6.01*8*(12.3*F718^0.65)*0.079*0.1/F718)*inputs!$E$73/inputs!$E$74</f>
        <v>2.8153690735207699</v>
      </c>
      <c r="Q718">
        <f>(inputs!$C$7*11.2*(12.3*F718^0.65)*0.5/F718)*inputs!$E$73/inputs!$E$74</f>
        <v>1.4877419501778142</v>
      </c>
      <c r="R718">
        <f>(60*379*((F718/1000)^0.8)*3*24*(MAX('Min rate concentrations'!$R$3:$R$368))/F718)*(inputs!$E$73/inputs!$E$75)</f>
        <v>2.8115202034692029E-3</v>
      </c>
      <c r="S718">
        <f>(IF(inputs!$C$6="aerial",((0.025*0.112*inputs!$C$7/3.3)*(3*60*379*((F718/1000)^0.8))*MAX(inputs!$H$14:$H$16))/F718,((0.0083*0.112*inputs!$C$7/1)*(3*60*379*((F718/1000)^0.8))*MAX(inputs!$H$14:$H$16))/F718))*(inputs!E$75/inputs!$E$73)</f>
        <v>1.5505706657180304E-2</v>
      </c>
      <c r="T718">
        <f>IF((((inputs!$P$12/(V718/MAX(K718:S718)))^(1/inputs!$O$12))-1)/inputs!$N$12&lt;0, 0, IF((((inputs!$P$12/(V718/MAX(K718:S718)))^(1/inputs!$O$12))-1)/inputs!$N$12&gt;inputs!$H$17, inputs!$H$17, (((inputs!$P$12/(V718/MAX(K718:S718)))^(1/inputs!$O$12))-1)/inputs!$N$12))</f>
        <v>23.709488860535373</v>
      </c>
      <c r="U718">
        <f>IF((((inputs!$P$12/(X718/MAX(K718:S718)))^(1/inputs!$O$12))-1)/inputs!$N$12&lt;0, 0, IF((((inputs!$P$12/(X718/MAX(K718:S718)))^(1/inputs!$O$12))-1)/inputs!$N$12&gt;inputs!$H$17, inputs!$H$17, (((inputs!$P$12/(X718/MAX(K718:S718)))^(1/inputs!$O$12))-1)/inputs!$N$12))</f>
        <v>0</v>
      </c>
      <c r="V718">
        <f>inputs!$E$70*(F718/inputs!$F$70)^(0.25)</f>
        <v>3.7249013005744236</v>
      </c>
      <c r="W718">
        <f>inputs!$E$76*(inputs!$F$76/F718)^(0.25)</f>
        <v>0.45739324234004791</v>
      </c>
      <c r="X718">
        <f>inputs!$E$72*(inputs!$F$72/F718)^(0.25)</f>
        <v>67.089025945858609</v>
      </c>
      <c r="Y718" t="s">
        <v>13</v>
      </c>
      <c r="Z718">
        <f t="shared" si="75"/>
        <v>9.3039275747450798</v>
      </c>
      <c r="AA718">
        <f t="shared" si="76"/>
        <v>75.768963586596044</v>
      </c>
    </row>
    <row r="719" spans="1:27" x14ac:dyDescent="0.3">
      <c r="A719" t="s">
        <v>592</v>
      </c>
      <c r="B719" t="s">
        <v>593</v>
      </c>
      <c r="C719" t="s">
        <v>61</v>
      </c>
      <c r="D719" t="s">
        <v>443</v>
      </c>
      <c r="E719">
        <v>2389</v>
      </c>
      <c r="F719">
        <v>120</v>
      </c>
      <c r="G719" t="s">
        <v>154</v>
      </c>
      <c r="H719">
        <v>9.2999999999999999E-2</v>
      </c>
      <c r="I719">
        <f>MAX('Min rate concentrations'!$G$3:$G$368)</f>
        <v>7.5</v>
      </c>
      <c r="J719">
        <f>MAX('Min rate concentrations'!Z:Z)</f>
        <v>3.5</v>
      </c>
      <c r="K719">
        <f t="shared" si="74"/>
        <v>0.63682859102569256</v>
      </c>
      <c r="M719">
        <f>IF((((0.326*F719^0.818)-(0.398*F719^0.85)/(1-H719)*H719)*(MAX('Min rate concentrations'!$P$3:$P$368)))/F719&gt;0, (((0.326*F719^0.818)-(0.398*F719^0.85)/(1-H719)*H719)*(MAX('Min rate concentrations'!$P$3:$P$368)))/F719, 0)</f>
        <v>1.6909202628952229E-2</v>
      </c>
      <c r="N719">
        <f>IF((((0.326*F719^0.818)-(0.398*F719^0.85)/(1-H719)*H719)*(MAX('Min rate concentrations'!$Q$3:$Q$368)))/F719&gt; 0, (((0.326*F719^0.818)-(0.398*F719^0.85)/(1-H719)*H719)*(MAX('Min rate concentrations'!$Q$3:$Q$368)))/F719, 0)</f>
        <v>6.4391152171001512E-2</v>
      </c>
      <c r="O719">
        <f>((MAX('Min rate concentrations'!$F$3:$F$368))*0.62*6.01*8*(12.3*F719^0.65)*0.079*0.1/F719)*inputs!$E$73/inputs!$E$74</f>
        <v>8.4461072205623111</v>
      </c>
      <c r="Q719">
        <f>(inputs!$C$7*11.2*(12.3*F719^0.65)*0.5/F719)*inputs!$E$73/inputs!$E$74</f>
        <v>1.4877419501778142</v>
      </c>
      <c r="R719">
        <f>(60*379*((F719/1000)^0.8)*3*24*(MAX('Min rate concentrations'!$R$3:$R$368))/F719)*(inputs!$E$73/inputs!$E$75)</f>
        <v>2.8115202034692029E-3</v>
      </c>
      <c r="S719">
        <f>(IF(inputs!$C$6="aerial",((0.025*0.112*inputs!$C$7/3.3)*(3*60*379*((F719/1000)^0.8))*MAX(inputs!$H$14:$H$16))/F719,((0.0083*0.112*inputs!$C$7/1)*(3*60*379*((F719/1000)^0.8))*MAX(inputs!$H$14:$H$16))/F719))*(inputs!E$75/inputs!$E$73)</f>
        <v>1.5505706657180304E-2</v>
      </c>
      <c r="T719">
        <f>IF((((inputs!$P$12/(V719/MAX(K719:S719)))^(1/inputs!$O$12))-1)/inputs!$N$12&lt;0, 0, IF((((inputs!$P$12/(V719/MAX(K719:S719)))^(1/inputs!$O$12))-1)/inputs!$N$12&gt;inputs!$H$17, inputs!$H$17, (((inputs!$P$12/(V719/MAX(K719:S719)))^(1/inputs!$O$12))-1)/inputs!$N$12))</f>
        <v>0.90588511844306285</v>
      </c>
      <c r="U719">
        <f>IF((((inputs!$P$12/(X719/MAX(K719:S719)))^(1/inputs!$O$12))-1)/inputs!$N$12&lt;0, 0, IF((((inputs!$P$12/(X719/MAX(K719:S719)))^(1/inputs!$O$12))-1)/inputs!$N$12&gt;inputs!$H$17, inputs!$H$17, (((inputs!$P$12/(X719/MAX(K719:S719)))^(1/inputs!$O$12))-1)/inputs!$N$12))</f>
        <v>0</v>
      </c>
      <c r="V719">
        <f>inputs!$E$70*(F719/inputs!$F$70)^(0.25)</f>
        <v>3.7249013005744236</v>
      </c>
      <c r="W719">
        <f>inputs!$E$76*(inputs!$F$76/F719)^(0.25)</f>
        <v>0.45739324234004791</v>
      </c>
      <c r="X719">
        <f>inputs!$E$72*(inputs!$F$72/F719)^(0.25)</f>
        <v>67.089025945858609</v>
      </c>
      <c r="Y719" t="s">
        <v>13</v>
      </c>
      <c r="Z719">
        <f t="shared" si="75"/>
        <v>2.2674714144129999</v>
      </c>
      <c r="AA719">
        <f t="shared" si="76"/>
        <v>18.465745530807542</v>
      </c>
    </row>
    <row r="720" spans="1:27" x14ac:dyDescent="0.3">
      <c r="A720" t="s">
        <v>588</v>
      </c>
      <c r="B720" t="s">
        <v>589</v>
      </c>
      <c r="C720" t="s">
        <v>61</v>
      </c>
      <c r="D720" t="s">
        <v>443</v>
      </c>
      <c r="E720">
        <v>8685</v>
      </c>
      <c r="F720">
        <v>75</v>
      </c>
      <c r="G720" t="s">
        <v>177</v>
      </c>
      <c r="H720">
        <v>0.85</v>
      </c>
      <c r="I720">
        <f>MAX('Min rate concentrations'!$F$3:$F$368)</f>
        <v>67.5</v>
      </c>
      <c r="J720">
        <f>MAX('Min rate concentrations'!Y:Y)</f>
        <v>22.5</v>
      </c>
      <c r="K720">
        <f t="shared" si="74"/>
        <v>42.538032929594046</v>
      </c>
      <c r="L720">
        <f>(((0.621*F720^0.564)/(1-H720)))*J720/F720</f>
        <v>14.179344309864682</v>
      </c>
      <c r="M720">
        <f>IF((((0.326*F720^0.818)-(0.398*F720^0.85)/(1-H720)*H720)*(MAX('Min rate concentrations'!$P$3:$P$368)))/F720&gt;0, (((0.326*F720^0.818)-(0.398*F720^0.85)/(1-H720)*H720)*(MAX('Min rate concentrations'!$P$3:$P$368)))/F720, 0)</f>
        <v>0</v>
      </c>
      <c r="N720">
        <f>IF((((0.326*F720^0.818)-(0.398*F720^0.85)/(1-H720)*H720)*(MAX('Min rate concentrations'!$Q$3:$Q$368)))/F720&gt; 0, (((0.326*F720^0.818)-(0.398*F720^0.85)/(1-H720)*H720)*(MAX('Min rate concentrations'!$Q$3:$Q$368)))/F720, 0)</f>
        <v>0</v>
      </c>
      <c r="O720">
        <f>((MAX('Min rate concentrations'!$F$3:$F$368))*0.62*6.01*8*(12.3*F720^0.65)*0.079*0.1/F720)*inputs!$E$73/inputs!$E$74</f>
        <v>9.9563139872749549</v>
      </c>
      <c r="P720">
        <f>((MAX('Min rate concentrations'!Y:Y))*0.62*6.01*8*(12.3*F720^0.65)*0.079*0.1/F720)*inputs!$E$73/inputs!$E$74</f>
        <v>3.3187713290916498</v>
      </c>
      <c r="Q720">
        <f>(inputs!$C$7*11.2*(12.3*F720^0.65)*0.5/F720)*inputs!$E$73/inputs!$E$74</f>
        <v>1.7537577491261036</v>
      </c>
      <c r="R720">
        <f>(60*379*((F720/1000)^0.8)*3*24*(MAX('Min rate concentrations'!$R$3:$R$368))/F720)*(inputs!$E$73/inputs!$E$75)</f>
        <v>3.0886251622392535E-3</v>
      </c>
      <c r="S720">
        <f>(IF(inputs!$C$6="aerial",((0.025*0.112*inputs!$C$7/3.3)*(3*60*379*((F720/1000)^0.8))*MAX(inputs!$H$14:$H$16))/F720,((0.0083*0.112*inputs!$C$7/1)*(3*60*379*((F720/1000)^0.8))*MAX(inputs!$H$14:$H$16))/F720))*(inputs!E$75/inputs!$E$73)</f>
        <v>1.7033957529657275E-2</v>
      </c>
      <c r="T720">
        <f>IF((((inputs!$P$12/(V720/MAX(K720:S720)))^(1/inputs!$O$12))-1)/inputs!$N$12&lt;0, 0, IF((((inputs!$P$12/(V720/MAX(K720:S720)))^(1/inputs!$O$12))-1)/inputs!$N$12&gt;inputs!$H$17, inputs!$H$17, (((inputs!$P$12/(V720/MAX(K720:S720)))^(1/inputs!$O$12))-1)/inputs!$N$12))</f>
        <v>31.024111684355479</v>
      </c>
      <c r="U720">
        <f>IF((((inputs!$P$12/(X720/MAX(K720:S720)))^(1/inputs!$O$12))-1)/inputs!$N$12&lt;0, 0, IF((((inputs!$P$12/(X720/MAX(K720:S720)))^(1/inputs!$O$12))-1)/inputs!$N$12&gt;inputs!$H$17, inputs!$H$17, (((inputs!$P$12/(X720/MAX(K720:S720)))^(1/inputs!$O$12))-1)/inputs!$N$12))</f>
        <v>0</v>
      </c>
      <c r="V720">
        <f>inputs!$E$70*(F720/inputs!$F$70)^(0.25)</f>
        <v>3.3119576436193516</v>
      </c>
      <c r="W720">
        <f>inputs!$E$76*(inputs!$F$76/F720)^(0.25)</f>
        <v>0.51442224406122605</v>
      </c>
      <c r="X720">
        <f>inputs!$E$72*(inputs!$F$72/F720)^(0.25)</f>
        <v>75.453863512247679</v>
      </c>
      <c r="Y720" t="s">
        <v>13</v>
      </c>
      <c r="Z720">
        <f t="shared" si="75"/>
        <v>12.843773232289262</v>
      </c>
      <c r="AA720">
        <f t="shared" si="76"/>
        <v>82.690889479754318</v>
      </c>
    </row>
    <row r="721" spans="1:27" x14ac:dyDescent="0.3">
      <c r="A721" t="s">
        <v>384</v>
      </c>
      <c r="B721" t="s">
        <v>385</v>
      </c>
      <c r="C721" t="s">
        <v>79</v>
      </c>
      <c r="D721" t="s">
        <v>386</v>
      </c>
      <c r="E721">
        <v>176</v>
      </c>
      <c r="F721">
        <v>45000</v>
      </c>
      <c r="G721" t="s">
        <v>164</v>
      </c>
      <c r="H721">
        <v>0.78</v>
      </c>
      <c r="I721">
        <f>inputs!$C$65*(inputs!$C$62/1000)</f>
        <v>0.82000000000000006</v>
      </c>
      <c r="J721">
        <f>inputs!$C$65*(inputs!$C$61/1000)</f>
        <v>0.25</v>
      </c>
      <c r="K721">
        <f t="shared" ref="K721:K784" si="77">(((0.013*F721^0.773)/(1-H721)))*I721/F721</f>
        <v>4.2565259286282808E-3</v>
      </c>
      <c r="L721">
        <f t="shared" ref="L721:L773" si="78">(((0.013*F721^0.773)/(1-H721)))*J721/F721</f>
        <v>1.2977213197037439E-3</v>
      </c>
      <c r="M721">
        <f>IF((((0.065*F721^0.726)/3.7-(0.301*F721^0.751)/(1-H721)*H721)*(MAX('Min rate concentrations'!$P$3:$P$368)))/F721&gt;0, (((0.065*F721^0.726)/3.7-(0.301*F721^0.751)/(1-H721)*H721)*(MAX('Min rate concentrations'!$P$3:$P$368)))/F721, 0)</f>
        <v>0</v>
      </c>
      <c r="N721">
        <f>IF((((0.065*F721^0.726)/3.7-(0.301*F721^0.751)/(1-H721)*H721)*(MAX('Min rate concentrations'!$Q$3:$Q$368)))/F721&gt;0, (((0.065*F721^0.726)/3.7-(0.301*F721^0.751)/(1-H721)*H721)*(MAX('Min rate concentrations'!$Q$3:$Q$368)))/F721, 0)</f>
        <v>0</v>
      </c>
      <c r="O721" t="s">
        <v>13</v>
      </c>
      <c r="P721" t="s">
        <v>13</v>
      </c>
      <c r="Q721">
        <f>(inputs!$C$7*11.2)*(25.05*F721^0.63)*0.5*1/F721</f>
        <v>1.331303676813232</v>
      </c>
      <c r="R721">
        <f>(60*76.9*((F721/1000)^0.76)*3*24*(MAX('Min rate concentrations'!$R$3:$R$368))/F721)</f>
        <v>1.7111399519856844E-4</v>
      </c>
      <c r="S721">
        <f>(IF(inputs!$C$6="aerial",((0.025*0.112*inputs!$C$7/3.3)*(3*60*76.9*((F721/1000)^0.76))*MAX(inputs!$H$14:$H$16))/F721,((0.0083*0.112*inputs!$C$7/1)*(3*60*76.9*((F721/1000)^0.76))*MAX(inputs!$H$14:$H$16))/F721))</f>
        <v>7.225235254259073E-4</v>
      </c>
      <c r="T721">
        <f>IF((((inputs!$P$12/(V721/MAX(K721:S721)))^(1/inputs!$O$12))-1)/inputs!$N$12&lt;0, 0, IF((((inputs!$P$12/(V721/MAX(K721:S721)))^(1/inputs!$O$12))-1)/inputs!$N$12&gt;inputs!$H$17, inputs!$H$17, (((inputs!$P$12/(V721/MAX(K721:S721)))^(1/inputs!$O$12))-1)/inputs!$N$12))</f>
        <v>0</v>
      </c>
      <c r="U721">
        <f>IF((((inputs!$P$12/(X721/MAX(K721:S721)))^(1/inputs!$O$12))-1)/inputs!$N$12&lt;0, 0, IF((((inputs!$P$12/(X721/MAX(K721:S721)))^(1/inputs!$O$12))-1)/inputs!$N$12&gt;inputs!$H$17, inputs!$H$17, (((inputs!$P$12/(X721/MAX(K721:S721)))^(1/inputs!$O$12))-1)/inputs!$N$12))</f>
        <v>0</v>
      </c>
      <c r="V721">
        <f>inputs!$E$87*(F721/inputs!$F$87)^(1)</f>
        <v>8.5499999999999989</v>
      </c>
      <c r="W721">
        <f>inputs!$E$90*(F721/inputs!$F$90)^(1)</f>
        <v>9</v>
      </c>
      <c r="X721">
        <f>inputs!$E$89*(F721/inputs!$F$89)^(1)</f>
        <v>33.607594936708857</v>
      </c>
      <c r="Y721" t="s">
        <v>13</v>
      </c>
      <c r="Z721">
        <f t="shared" si="75"/>
        <v>0.15570803237581662</v>
      </c>
      <c r="AA721">
        <f t="shared" si="76"/>
        <v>0.14792263075702577</v>
      </c>
    </row>
    <row r="722" spans="1:27" x14ac:dyDescent="0.3">
      <c r="A722" t="s">
        <v>384</v>
      </c>
      <c r="B722" t="s">
        <v>385</v>
      </c>
      <c r="C722" t="s">
        <v>79</v>
      </c>
      <c r="D722" t="s">
        <v>386</v>
      </c>
      <c r="E722">
        <v>176</v>
      </c>
      <c r="F722">
        <v>45000</v>
      </c>
      <c r="G722" t="s">
        <v>138</v>
      </c>
      <c r="H722">
        <v>0.68</v>
      </c>
      <c r="I722">
        <f>MAX('Min rate concentrations'!$L$3:$L$368)</f>
        <v>58.421240152220811</v>
      </c>
      <c r="J722">
        <f>MAX('Min rate concentrations'!AD:AD)</f>
        <v>40.397666062705881</v>
      </c>
      <c r="K722">
        <f t="shared" si="77"/>
        <v>0.20848984438994073</v>
      </c>
      <c r="L722">
        <f t="shared" si="78"/>
        <v>0.14416850941857604</v>
      </c>
      <c r="M722">
        <f>IF((((0.065*F722^0.726)/3.7-(0.301*F722^0.751)/(1-H722)*H722)*(MAX('Min rate concentrations'!$P$3:$P$368)))/F722&gt;0, (((0.065*F722^0.726)/3.7-(0.301*F722^0.751)/(1-H722)*H722)*(MAX('Min rate concentrations'!$P$3:$P$368)))/F722, 0)</f>
        <v>0</v>
      </c>
      <c r="N722">
        <f>IF((((0.065*F722^0.726)/3.7-(0.301*F722^0.751)/(1-H722)*H722)*(MAX('Min rate concentrations'!$Q$3:$Q$368)))/F722&gt;0, (((0.065*F722^0.726)/3.7-(0.301*F722^0.751)/(1-H722)*H722)*(MAX('Min rate concentrations'!$Q$3:$Q$368)))/F722, 0)</f>
        <v>0</v>
      </c>
      <c r="O722" t="s">
        <v>13</v>
      </c>
      <c r="P722" t="s">
        <v>13</v>
      </c>
      <c r="Q722">
        <f>(inputs!$C$7*11.2)*(25.05*F722^0.63)*0.5*1/F722</f>
        <v>1.331303676813232</v>
      </c>
      <c r="R722">
        <f>(60*76.9*((F722/1000)^0.76)*3*24*(MAX('Min rate concentrations'!$R$3:$R$368))/F722)</f>
        <v>1.7111399519856844E-4</v>
      </c>
      <c r="S722">
        <f>(IF(inputs!$C$6="aerial",((0.025*0.112*inputs!$C$7/3.3)*(3*60*76.9*((F722/1000)^0.76))*MAX(inputs!$H$14:$H$16))/F722,((0.0083*0.112*inputs!$C$7/1)*(3*60*76.9*((F722/1000)^0.76))*MAX(inputs!$H$14:$H$16))/F722))</f>
        <v>7.225235254259073E-4</v>
      </c>
      <c r="T722">
        <f>IF((((inputs!$P$12/(V722/MAX(K722:S722)))^(1/inputs!$O$12))-1)/inputs!$N$12&lt;0, 0, IF((((inputs!$P$12/(V722/MAX(K722:S722)))^(1/inputs!$O$12))-1)/inputs!$N$12&gt;inputs!$H$17, inputs!$H$17, (((inputs!$P$12/(V722/MAX(K722:S722)))^(1/inputs!$O$12))-1)/inputs!$N$12))</f>
        <v>0</v>
      </c>
      <c r="U722">
        <f>IF((((inputs!$P$12/(X722/MAX(K722:S722)))^(1/inputs!$O$12))-1)/inputs!$N$12&lt;0, 0, IF((((inputs!$P$12/(X722/MAX(K722:S722)))^(1/inputs!$O$12))-1)/inputs!$N$12&gt;inputs!$H$17, inputs!$H$17, (((inputs!$P$12/(X722/MAX(K722:S722)))^(1/inputs!$O$12))-1)/inputs!$N$12))</f>
        <v>0</v>
      </c>
      <c r="V722">
        <f>inputs!$E$87*(F722/inputs!$F$87)^(1)</f>
        <v>8.5499999999999989</v>
      </c>
      <c r="W722">
        <f>inputs!$E$90*(F722/inputs!$F$90)^(1)</f>
        <v>9</v>
      </c>
      <c r="X722">
        <f>inputs!$E$89*(F722/inputs!$F$89)^(1)</f>
        <v>33.607594936708857</v>
      </c>
      <c r="Y722" t="s">
        <v>13</v>
      </c>
      <c r="Z722">
        <f t="shared" si="75"/>
        <v>0.15570803237581662</v>
      </c>
      <c r="AA722">
        <f t="shared" si="76"/>
        <v>0.14792263075702577</v>
      </c>
    </row>
    <row r="723" spans="1:27" x14ac:dyDescent="0.3">
      <c r="A723" t="s">
        <v>384</v>
      </c>
      <c r="B723" t="s">
        <v>385</v>
      </c>
      <c r="C723" t="s">
        <v>79</v>
      </c>
      <c r="D723" t="s">
        <v>386</v>
      </c>
      <c r="E723">
        <v>176</v>
      </c>
      <c r="F723">
        <v>45000</v>
      </c>
      <c r="G723" t="s">
        <v>186</v>
      </c>
      <c r="H723">
        <v>0.75</v>
      </c>
      <c r="I723">
        <f>inputs!$C$65*inputs!$C$64/1000</f>
        <v>2.13</v>
      </c>
      <c r="J723">
        <f>inputs!$C$65*inputs!$C$63/1000</f>
        <v>0.88</v>
      </c>
      <c r="K723">
        <f t="shared" si="77"/>
        <v>9.7297953666107898E-3</v>
      </c>
      <c r="L723">
        <f t="shared" si="78"/>
        <v>4.019821559914317E-3</v>
      </c>
      <c r="M723">
        <f>IF((((0.065*F723^0.726)/3.7-(0.301*F723^0.751)/(1-H723)*H723)*(MAX('Min rate concentrations'!$P$3:$P$368)))/F723&gt;0, (((0.065*F723^0.726)/3.7-(0.301*F723^0.751)/(1-H723)*H723)*(MAX('Min rate concentrations'!$P$3:$P$368)))/F723, 0)</f>
        <v>0</v>
      </c>
      <c r="N723">
        <f>IF((((0.065*F723^0.726)/3.7-(0.301*F723^0.751)/(1-H723)*H723)*(MAX('Min rate concentrations'!$Q$3:$Q$368)))/F723&gt;0, (((0.065*F723^0.726)/3.7-(0.301*F723^0.751)/(1-H723)*H723)*(MAX('Min rate concentrations'!$Q$3:$Q$368)))/F723, 0)</f>
        <v>0</v>
      </c>
      <c r="O723" t="s">
        <v>13</v>
      </c>
      <c r="P723" t="s">
        <v>13</v>
      </c>
      <c r="Q723">
        <f>(inputs!$C$7*11.2)*(25.05*F723^0.63)*0.5*1/F723</f>
        <v>1.331303676813232</v>
      </c>
      <c r="R723">
        <f>(60*76.9*((F723/1000)^0.76)*3*24*(MAX('Min rate concentrations'!$R$3:$R$368))/F723)</f>
        <v>1.7111399519856844E-4</v>
      </c>
      <c r="S723">
        <f>(IF(inputs!$C$6="aerial",((0.025*0.112*inputs!$C$7/3.3)*(3*60*76.9*((F723/1000)^0.76))*MAX(inputs!$H$14:$H$16))/F723,((0.0083*0.112*inputs!$C$7/1)*(3*60*76.9*((F723/1000)^0.76))*MAX(inputs!$H$14:$H$16))/F723))</f>
        <v>7.225235254259073E-4</v>
      </c>
      <c r="T723">
        <f>IF((((inputs!$P$12/(V723/MAX(K723:S723)))^(1/inputs!$O$12))-1)/inputs!$N$12&lt;0, 0, IF((((inputs!$P$12/(V723/MAX(K723:S723)))^(1/inputs!$O$12))-1)/inputs!$N$12&gt;inputs!$H$17, inputs!$H$17, (((inputs!$P$12/(V723/MAX(K723:S723)))^(1/inputs!$O$12))-1)/inputs!$N$12))</f>
        <v>0</v>
      </c>
      <c r="U723">
        <f>IF((((inputs!$P$12/(X723/MAX(K723:S723)))^(1/inputs!$O$12))-1)/inputs!$N$12&lt;0, 0, IF((((inputs!$P$12/(X723/MAX(K723:S723)))^(1/inputs!$O$12))-1)/inputs!$N$12&gt;inputs!$H$17, inputs!$H$17, (((inputs!$P$12/(X723/MAX(K723:S723)))^(1/inputs!$O$12))-1)/inputs!$N$12))</f>
        <v>0</v>
      </c>
      <c r="V723">
        <f>inputs!$E$87*(F723/inputs!$F$87)^(1)</f>
        <v>8.5499999999999989</v>
      </c>
      <c r="W723">
        <f>inputs!$E$90*(F723/inputs!$F$90)^(1)</f>
        <v>9</v>
      </c>
      <c r="X723">
        <f>inputs!$E$89*(F723/inputs!$F$89)^(1)</f>
        <v>33.607594936708857</v>
      </c>
      <c r="Y723" t="s">
        <v>13</v>
      </c>
      <c r="Z723">
        <f t="shared" si="75"/>
        <v>0.15570803237581662</v>
      </c>
      <c r="AA723">
        <f t="shared" si="76"/>
        <v>0.14792263075702577</v>
      </c>
    </row>
    <row r="724" spans="1:27" x14ac:dyDescent="0.3">
      <c r="A724" t="s">
        <v>384</v>
      </c>
      <c r="B724" t="s">
        <v>385</v>
      </c>
      <c r="C724" t="s">
        <v>79</v>
      </c>
      <c r="D724" t="s">
        <v>386</v>
      </c>
      <c r="E724">
        <v>176</v>
      </c>
      <c r="F724">
        <v>45000</v>
      </c>
      <c r="G724" t="s">
        <v>456</v>
      </c>
      <c r="H724">
        <v>0.68</v>
      </c>
      <c r="I724">
        <f>MAX('Min rate concentrations'!$J$3:$J$368)</f>
        <v>114.4108103430513</v>
      </c>
      <c r="J724">
        <f>MAX('Min rate concentrations'!AB:AB)</f>
        <v>40.520495329830666</v>
      </c>
      <c r="K724">
        <f t="shared" si="77"/>
        <v>0.40830170641358804</v>
      </c>
      <c r="L724">
        <f t="shared" si="78"/>
        <v>0.14460685435481244</v>
      </c>
      <c r="M724">
        <f>IF((((0.065*F724^0.726)/3.7-(0.301*F724^0.751)/(1-H724)*H724)*(MAX('Min rate concentrations'!$P$3:$P$368)))/F724&gt;0, (((0.065*F724^0.726)/3.7-(0.301*F724^0.751)/(1-H724)*H724)*(MAX('Min rate concentrations'!$P$3:$P$368)))/F724, 0)</f>
        <v>0</v>
      </c>
      <c r="N724">
        <f>IF((((0.065*F724^0.726)/3.7-(0.301*F724^0.751)/(1-H724)*H724)*(MAX('Min rate concentrations'!$Q$3:$Q$368)))/F724&gt;0, (((0.065*F724^0.726)/3.7-(0.301*F724^0.751)/(1-H724)*H724)*(MAX('Min rate concentrations'!$Q$3:$Q$368)))/F724, 0)</f>
        <v>0</v>
      </c>
      <c r="O724" t="s">
        <v>13</v>
      </c>
      <c r="P724" t="s">
        <v>13</v>
      </c>
      <c r="Q724">
        <f>(inputs!$C$7*11.2)*(25.05*F724^0.63)*0.5*1/F724</f>
        <v>1.331303676813232</v>
      </c>
      <c r="R724">
        <f>(60*76.9*((F724/1000)^0.76)*3*24*(MAX('Min rate concentrations'!$R$3:$R$368))/F724)</f>
        <v>1.7111399519856844E-4</v>
      </c>
      <c r="S724">
        <f>(IF(inputs!$C$6="aerial",((0.025*0.112*inputs!$C$7/3.3)*(3*60*76.9*((F724/1000)^0.76))*MAX(inputs!$H$14:$H$16))/F724,((0.0083*0.112*inputs!$C$7/1)*(3*60*76.9*((F724/1000)^0.76))*MAX(inputs!$H$14:$H$16))/F724))</f>
        <v>7.225235254259073E-4</v>
      </c>
      <c r="T724">
        <f>IF((((inputs!$P$12/(V724/MAX(K724:S724)))^(1/inputs!$O$12))-1)/inputs!$N$12&lt;0, 0, IF((((inputs!$P$12/(V724/MAX(K724:S724)))^(1/inputs!$O$12))-1)/inputs!$N$12&gt;inputs!$H$17, inputs!$H$17, (((inputs!$P$12/(V724/MAX(K724:S724)))^(1/inputs!$O$12))-1)/inputs!$N$12))</f>
        <v>0</v>
      </c>
      <c r="U724">
        <f>IF((((inputs!$P$12/(X724/MAX(K724:S724)))^(1/inputs!$O$12))-1)/inputs!$N$12&lt;0, 0, IF((((inputs!$P$12/(X724/MAX(K724:S724)))^(1/inputs!$O$12))-1)/inputs!$N$12&gt;inputs!$H$17, inputs!$H$17, (((inputs!$P$12/(X724/MAX(K724:S724)))^(1/inputs!$O$12))-1)/inputs!$N$12))</f>
        <v>0</v>
      </c>
      <c r="V724">
        <f>inputs!$E$87*(F724/inputs!$F$87)^(1)</f>
        <v>8.5499999999999989</v>
      </c>
      <c r="W724">
        <f>inputs!$E$90*(F724/inputs!$F$90)^(1)</f>
        <v>9</v>
      </c>
      <c r="X724">
        <f>inputs!$E$89*(F724/inputs!$F$89)^(1)</f>
        <v>33.607594936708857</v>
      </c>
      <c r="Y724" t="s">
        <v>13</v>
      </c>
      <c r="Z724">
        <f t="shared" si="75"/>
        <v>0.15570803237581662</v>
      </c>
      <c r="AA724">
        <f t="shared" si="76"/>
        <v>0.14792263075702577</v>
      </c>
    </row>
    <row r="725" spans="1:27" x14ac:dyDescent="0.3">
      <c r="A725" t="s">
        <v>384</v>
      </c>
      <c r="B725" t="s">
        <v>385</v>
      </c>
      <c r="C725" t="s">
        <v>79</v>
      </c>
      <c r="D725" t="s">
        <v>386</v>
      </c>
      <c r="E725">
        <v>176</v>
      </c>
      <c r="F725">
        <v>45000</v>
      </c>
      <c r="G725" t="s">
        <v>145</v>
      </c>
      <c r="H725">
        <v>0.66</v>
      </c>
      <c r="I725">
        <f>MAX('Min rate concentrations'!$M$3:$M$368)</f>
        <v>2.8488184789681945</v>
      </c>
      <c r="J725">
        <f>MAX('Min rate concentrations'!AE:AE)</f>
        <v>1.9699276716269429</v>
      </c>
      <c r="K725">
        <f t="shared" si="77"/>
        <v>9.5686346440831058E-3</v>
      </c>
      <c r="L725">
        <f t="shared" si="78"/>
        <v>6.6166090623978914E-3</v>
      </c>
      <c r="M725">
        <f>IF((((0.065*F725^0.726)/3.7-(0.301*F725^0.751)/(1-H725)*H725)*(MAX('Min rate concentrations'!$P$3:$P$368)))/F725&gt;0, (((0.065*F725^0.726)/3.7-(0.301*F725^0.751)/(1-H725)*H725)*(MAX('Min rate concentrations'!$P$3:$P$368)))/F725, 0)</f>
        <v>0</v>
      </c>
      <c r="N725">
        <f>IF((((0.065*F725^0.726)/3.7-(0.301*F725^0.751)/(1-H725)*H725)*(MAX('Min rate concentrations'!$Q$3:$Q$368)))/F725&gt;0, (((0.065*F725^0.726)/3.7-(0.301*F725^0.751)/(1-H725)*H725)*(MAX('Min rate concentrations'!$Q$3:$Q$368)))/F725, 0)</f>
        <v>0</v>
      </c>
      <c r="O725" t="s">
        <v>13</v>
      </c>
      <c r="P725" t="s">
        <v>13</v>
      </c>
      <c r="Q725">
        <f>(inputs!$C$7*11.2)*(25.05*F725^0.63)*0.5*1/F725</f>
        <v>1.331303676813232</v>
      </c>
      <c r="R725">
        <f>(60*76.9*((F725/1000)^0.76)*3*24*(MAX('Min rate concentrations'!$R$3:$R$368))/F725)</f>
        <v>1.7111399519856844E-4</v>
      </c>
      <c r="S725">
        <f>(IF(inputs!$C$6="aerial",((0.025*0.112*inputs!$C$7/3.3)*(3*60*76.9*((F725/1000)^0.76))*MAX(inputs!$H$14:$H$16))/F725,((0.0083*0.112*inputs!$C$7/1)*(3*60*76.9*((F725/1000)^0.76))*MAX(inputs!$H$14:$H$16))/F725))</f>
        <v>7.225235254259073E-4</v>
      </c>
      <c r="T725">
        <f>IF((((inputs!$P$12/(V725/MAX(K725:S725)))^(1/inputs!$O$12))-1)/inputs!$N$12&lt;0, 0, IF((((inputs!$P$12/(V725/MAX(K725:S725)))^(1/inputs!$O$12))-1)/inputs!$N$12&gt;inputs!$H$17, inputs!$H$17, (((inputs!$P$12/(V725/MAX(K725:S725)))^(1/inputs!$O$12))-1)/inputs!$N$12))</f>
        <v>0</v>
      </c>
      <c r="U725">
        <f>IF((((inputs!$P$12/(X725/MAX(K725:S725)))^(1/inputs!$O$12))-1)/inputs!$N$12&lt;0, 0, IF((((inputs!$P$12/(X725/MAX(K725:S725)))^(1/inputs!$O$12))-1)/inputs!$N$12&gt;inputs!$H$17, inputs!$H$17, (((inputs!$P$12/(X725/MAX(K725:S725)))^(1/inputs!$O$12))-1)/inputs!$N$12))</f>
        <v>0</v>
      </c>
      <c r="V725">
        <f>inputs!$E$87*(F725/inputs!$F$87)^(1)</f>
        <v>8.5499999999999989</v>
      </c>
      <c r="W725">
        <f>inputs!$E$90*(F725/inputs!$F$90)^(1)</f>
        <v>9</v>
      </c>
      <c r="X725">
        <f>inputs!$E$89*(F725/inputs!$F$89)^(1)</f>
        <v>33.607594936708857</v>
      </c>
      <c r="Y725" t="s">
        <v>13</v>
      </c>
      <c r="Z725">
        <f t="shared" si="75"/>
        <v>0.15570803237581662</v>
      </c>
      <c r="AA725">
        <f t="shared" si="76"/>
        <v>0.14792263075702577</v>
      </c>
    </row>
    <row r="726" spans="1:27" x14ac:dyDescent="0.3">
      <c r="A726" t="s">
        <v>414</v>
      </c>
      <c r="B726" t="s">
        <v>415</v>
      </c>
      <c r="C726" t="s">
        <v>79</v>
      </c>
      <c r="D726" t="s">
        <v>378</v>
      </c>
      <c r="E726">
        <v>183</v>
      </c>
      <c r="F726">
        <v>60</v>
      </c>
      <c r="G726" t="s">
        <v>182</v>
      </c>
      <c r="H726">
        <v>0.85</v>
      </c>
      <c r="I726">
        <f>MAX('Min rate concentrations'!$M$3:$M$368)</f>
        <v>2.8488184789681945</v>
      </c>
      <c r="J726">
        <f>MAX('Min rate concentrations'!AE:AE)</f>
        <v>1.9699276716269429</v>
      </c>
      <c r="K726">
        <f t="shared" si="77"/>
        <v>9.747125034479294E-2</v>
      </c>
      <c r="L726">
        <f t="shared" si="78"/>
        <v>6.7400332685229145E-2</v>
      </c>
      <c r="M726">
        <f>IF((((0.065*F726^0.726)/3.7-(0.301*F726^0.751)/(1-H726)*H726)*(MAX('Min rate concentrations'!$P$3:$P$368)))/F726&gt;0, (((0.065*F726^0.726)/3.7-(0.301*F726^0.751)/(1-H726)*H726)*(MAX('Min rate concentrations'!$P$3:$P$368)))/F726, 0)</f>
        <v>0</v>
      </c>
      <c r="N726">
        <f>IF((((0.065*F726^0.726)/3.7-(0.301*F726^0.751)/(1-H726)*H726)*(MAX('Min rate concentrations'!$Q$3:$Q$368)))/F726&gt;0, (((0.065*F726^0.726)/3.7-(0.301*F726^0.751)/(1-H726)*H726)*(MAX('Min rate concentrations'!$Q$3:$Q$368)))/F726, 0)</f>
        <v>0</v>
      </c>
      <c r="O726" t="s">
        <v>13</v>
      </c>
      <c r="P726" t="s">
        <v>13</v>
      </c>
      <c r="Q726">
        <f>(inputs!$C$7*11.2)*(25.05*F726^0.63)*0.5*1/F726</f>
        <v>15.418772440377573</v>
      </c>
      <c r="R726">
        <f>(60*76.9*((F726/1000)^0.76)*3*24*(MAX('Min rate concentrations'!$R$3:$R$368))/F726)</f>
        <v>8.3810847947640298E-4</v>
      </c>
      <c r="S726">
        <f>(IF(inputs!$C$6="aerial",((0.025*0.112*inputs!$C$7/3.3)*(3*60*76.9*((F726/1000)^0.76))*MAX(inputs!$H$14:$H$16))/F726,((0.0083*0.112*inputs!$C$7/1)*(3*60*76.9*((F726/1000)^0.76))*MAX(inputs!$H$14:$H$16))/F726))</f>
        <v>3.5388870009020953E-3</v>
      </c>
      <c r="T726">
        <f>IF((((inputs!$P$12/(V726/MAX(K726:S726)))^(1/inputs!$O$12))-1)/inputs!$N$12&lt;0, 0, IF((((inputs!$P$12/(V726/MAX(K726:S726)))^(1/inputs!$O$12))-1)/inputs!$N$12&gt;inputs!$H$17, inputs!$H$17, (((inputs!$P$12/(V726/MAX(K726:S726)))^(1/inputs!$O$12))-1)/inputs!$N$12))</f>
        <v>367.0800199798781</v>
      </c>
      <c r="U726">
        <f>IF((((inputs!$P$12/(X726/MAX(K726:S726)))^(1/inputs!$O$12))-1)/inputs!$N$12&lt;0, 0, IF((((inputs!$P$12/(X726/MAX(K726:S726)))^(1/inputs!$O$12))-1)/inputs!$N$12&gt;inputs!$H$17, inputs!$H$17, (((inputs!$P$12/(X726/MAX(K726:S726)))^(1/inputs!$O$12))-1)/inputs!$N$12))</f>
        <v>198.19914920478286</v>
      </c>
      <c r="V726">
        <f>inputs!$E$87*(F726/inputs!$F$87)^(1)</f>
        <v>1.1399999999999999E-2</v>
      </c>
      <c r="W726">
        <f>inputs!$E$90*(F726/inputs!$F$90)^(1)</f>
        <v>1.2E-2</v>
      </c>
      <c r="X726">
        <f>inputs!$E$89*(F726/inputs!$F$89)^(1)</f>
        <v>4.4810126582278481E-2</v>
      </c>
      <c r="Y726" t="s">
        <v>13</v>
      </c>
      <c r="Z726">
        <f t="shared" si="75"/>
        <v>1352.5238982787346</v>
      </c>
      <c r="AA726">
        <f t="shared" si="76"/>
        <v>1284.8977033647977</v>
      </c>
    </row>
    <row r="727" spans="1:27" x14ac:dyDescent="0.3">
      <c r="A727" t="s">
        <v>414</v>
      </c>
      <c r="B727" t="s">
        <v>415</v>
      </c>
      <c r="C727" t="s">
        <v>79</v>
      </c>
      <c r="D727" t="s">
        <v>378</v>
      </c>
      <c r="E727">
        <v>183</v>
      </c>
      <c r="F727">
        <v>60</v>
      </c>
      <c r="G727" t="s">
        <v>142</v>
      </c>
      <c r="H727">
        <v>0.69</v>
      </c>
      <c r="I727">
        <f>MAX('Min rate concentrations'!$H$3:$H$368)</f>
        <v>47</v>
      </c>
      <c r="J727">
        <f>MAX('Min rate concentrations'!AA:AA)</f>
        <v>32.5</v>
      </c>
      <c r="K727">
        <f t="shared" si="77"/>
        <v>0.77810674960110893</v>
      </c>
      <c r="L727">
        <f t="shared" si="78"/>
        <v>0.53805253961778798</v>
      </c>
      <c r="M727">
        <f>IF((((0.065*F727^0.726)/3.7-(0.301*F727^0.751)/(1-H727)*H727)*(MAX('Min rate concentrations'!$P$3:$P$368)))/F727&gt;0, (((0.065*F727^0.726)/3.7-(0.301*F727^0.751)/(1-H727)*H727)*(MAX('Min rate concentrations'!$P$3:$P$368)))/F727, 0)</f>
        <v>0</v>
      </c>
      <c r="N727">
        <f>IF((((0.065*F727^0.726)/3.7-(0.301*F727^0.751)/(1-H727)*H727)*(MAX('Min rate concentrations'!$Q$3:$Q$368)))/F727&gt;0, (((0.065*F727^0.726)/3.7-(0.301*F727^0.751)/(1-H727)*H727)*(MAX('Min rate concentrations'!$Q$3:$Q$368)))/F727, 0)</f>
        <v>0</v>
      </c>
      <c r="O727" t="s">
        <v>13</v>
      </c>
      <c r="P727" t="s">
        <v>13</v>
      </c>
      <c r="Q727">
        <f>(inputs!$C$7*11.2)*(25.05*F727^0.63)*0.5*1/F727</f>
        <v>15.418772440377573</v>
      </c>
      <c r="R727">
        <f>(60*76.9*((F727/1000)^0.76)*3*24*(MAX('Min rate concentrations'!$R$3:$R$368))/F727)</f>
        <v>8.3810847947640298E-4</v>
      </c>
      <c r="S727">
        <f>(IF(inputs!$C$6="aerial",((0.025*0.112*inputs!$C$7/3.3)*(3*60*76.9*((F727/1000)^0.76))*MAX(inputs!$H$14:$H$16))/F727,((0.0083*0.112*inputs!$C$7/1)*(3*60*76.9*((F727/1000)^0.76))*MAX(inputs!$H$14:$H$16))/F727))</f>
        <v>3.5388870009020953E-3</v>
      </c>
      <c r="T727">
        <f>IF((((inputs!$P$12/(V727/MAX(K727:S727)))^(1/inputs!$O$12))-1)/inputs!$N$12&lt;0, 0, IF((((inputs!$P$12/(V727/MAX(K727:S727)))^(1/inputs!$O$12))-1)/inputs!$N$12&gt;inputs!$H$17, inputs!$H$17, (((inputs!$P$12/(V727/MAX(K727:S727)))^(1/inputs!$O$12))-1)/inputs!$N$12))</f>
        <v>367.0800199798781</v>
      </c>
      <c r="U727">
        <f>IF((((inputs!$P$12/(X727/MAX(K727:S727)))^(1/inputs!$O$12))-1)/inputs!$N$12&lt;0, 0, IF((((inputs!$P$12/(X727/MAX(K727:S727)))^(1/inputs!$O$12))-1)/inputs!$N$12&gt;inputs!$H$17, inputs!$H$17, (((inputs!$P$12/(X727/MAX(K727:S727)))^(1/inputs!$O$12))-1)/inputs!$N$12))</f>
        <v>198.19914920478286</v>
      </c>
      <c r="V727">
        <f>inputs!$E$87*(F727/inputs!$F$87)^(1)</f>
        <v>1.1399999999999999E-2</v>
      </c>
      <c r="W727">
        <f>inputs!$E$90*(F727/inputs!$F$90)^(1)</f>
        <v>1.2E-2</v>
      </c>
      <c r="X727">
        <f>inputs!$E$89*(F727/inputs!$F$89)^(1)</f>
        <v>4.4810126582278481E-2</v>
      </c>
      <c r="Y727" t="s">
        <v>13</v>
      </c>
      <c r="Z727">
        <f t="shared" si="75"/>
        <v>1352.5238982787346</v>
      </c>
      <c r="AA727">
        <f t="shared" si="76"/>
        <v>1284.8977033647977</v>
      </c>
    </row>
    <row r="728" spans="1:27" x14ac:dyDescent="0.3">
      <c r="A728" t="s">
        <v>414</v>
      </c>
      <c r="B728" t="s">
        <v>415</v>
      </c>
      <c r="C728" t="s">
        <v>79</v>
      </c>
      <c r="D728" t="s">
        <v>378</v>
      </c>
      <c r="E728">
        <v>183</v>
      </c>
      <c r="F728">
        <v>60</v>
      </c>
      <c r="G728" t="s">
        <v>138</v>
      </c>
      <c r="H728">
        <v>0.68</v>
      </c>
      <c r="I728">
        <f>MAX('Min rate concentrations'!$L$3:$L$368)</f>
        <v>58.421240152220811</v>
      </c>
      <c r="J728">
        <f>MAX('Min rate concentrations'!AD:AD)</f>
        <v>40.397666062705881</v>
      </c>
      <c r="K728">
        <f t="shared" si="77"/>
        <v>0.93696595728578502</v>
      </c>
      <c r="L728">
        <f t="shared" si="78"/>
        <v>0.64790199174017049</v>
      </c>
      <c r="M728">
        <f>IF((((0.065*F728^0.726)/3.7-(0.301*F728^0.751)/(1-H728)*H728)*(MAX('Min rate concentrations'!$P$3:$P$368)))/F728&gt;0, (((0.065*F728^0.726)/3.7-(0.301*F728^0.751)/(1-H728)*H728)*(MAX('Min rate concentrations'!$P$3:$P$368)))/F728, 0)</f>
        <v>0</v>
      </c>
      <c r="N728">
        <f>IF((((0.065*F728^0.726)/3.7-(0.301*F728^0.751)/(1-H728)*H728)*(MAX('Min rate concentrations'!$Q$3:$Q$368)))/F728&gt;0, (((0.065*F728^0.726)/3.7-(0.301*F728^0.751)/(1-H728)*H728)*(MAX('Min rate concentrations'!$Q$3:$Q$368)))/F728, 0)</f>
        <v>0</v>
      </c>
      <c r="O728" t="s">
        <v>13</v>
      </c>
      <c r="P728" t="s">
        <v>13</v>
      </c>
      <c r="Q728">
        <f>(inputs!$C$7*11.2)*(25.05*F728^0.63)*0.5*1/F728</f>
        <v>15.418772440377573</v>
      </c>
      <c r="R728">
        <f>(60*76.9*((F728/1000)^0.76)*3*24*(MAX('Min rate concentrations'!$R$3:$R$368))/F728)</f>
        <v>8.3810847947640298E-4</v>
      </c>
      <c r="S728">
        <f>(IF(inputs!$C$6="aerial",((0.025*0.112*inputs!$C$7/3.3)*(3*60*76.9*((F728/1000)^0.76))*MAX(inputs!$H$14:$H$16))/F728,((0.0083*0.112*inputs!$C$7/1)*(3*60*76.9*((F728/1000)^0.76))*MAX(inputs!$H$14:$H$16))/F728))</f>
        <v>3.5388870009020953E-3</v>
      </c>
      <c r="T728">
        <f>IF((((inputs!$P$12/(V728/MAX(K728:S728)))^(1/inputs!$O$12))-1)/inputs!$N$12&lt;0, 0, IF((((inputs!$P$12/(V728/MAX(K728:S728)))^(1/inputs!$O$12))-1)/inputs!$N$12&gt;inputs!$H$17, inputs!$H$17, (((inputs!$P$12/(V728/MAX(K728:S728)))^(1/inputs!$O$12))-1)/inputs!$N$12))</f>
        <v>367.0800199798781</v>
      </c>
      <c r="U728">
        <f>IF((((inputs!$P$12/(X728/MAX(K728:S728)))^(1/inputs!$O$12))-1)/inputs!$N$12&lt;0, 0, IF((((inputs!$P$12/(X728/MAX(K728:S728)))^(1/inputs!$O$12))-1)/inputs!$N$12&gt;inputs!$H$17, inputs!$H$17, (((inputs!$P$12/(X728/MAX(K728:S728)))^(1/inputs!$O$12))-1)/inputs!$N$12))</f>
        <v>198.19914920478286</v>
      </c>
      <c r="V728">
        <f>inputs!$E$87*(F728/inputs!$F$87)^(1)</f>
        <v>1.1399999999999999E-2</v>
      </c>
      <c r="W728">
        <f>inputs!$E$90*(F728/inputs!$F$90)^(1)</f>
        <v>1.2E-2</v>
      </c>
      <c r="X728">
        <f>inputs!$E$89*(F728/inputs!$F$89)^(1)</f>
        <v>4.4810126582278481E-2</v>
      </c>
      <c r="Y728" t="s">
        <v>13</v>
      </c>
      <c r="Z728">
        <f t="shared" si="75"/>
        <v>1352.5238982787346</v>
      </c>
      <c r="AA728">
        <f t="shared" si="76"/>
        <v>1284.8977033647977</v>
      </c>
    </row>
    <row r="729" spans="1:27" x14ac:dyDescent="0.3">
      <c r="A729" t="s">
        <v>414</v>
      </c>
      <c r="B729" t="s">
        <v>415</v>
      </c>
      <c r="C729" t="s">
        <v>79</v>
      </c>
      <c r="D729" t="s">
        <v>378</v>
      </c>
      <c r="E729">
        <v>183</v>
      </c>
      <c r="F729">
        <v>60</v>
      </c>
      <c r="G729" t="s">
        <v>456</v>
      </c>
      <c r="H729">
        <v>0.68</v>
      </c>
      <c r="I729">
        <f>MAX('Min rate concentrations'!$J$3:$J$368)</f>
        <v>114.4108103430513</v>
      </c>
      <c r="J729">
        <f>MAX('Min rate concentrations'!AB:AB)</f>
        <v>40.520495329830666</v>
      </c>
      <c r="K729">
        <f t="shared" si="77"/>
        <v>1.8349325375086958</v>
      </c>
      <c r="L729">
        <f t="shared" si="78"/>
        <v>0.64987194036766316</v>
      </c>
      <c r="M729">
        <f>IF((((0.065*F729^0.726)/3.7-(0.301*F729^0.751)/(1-H729)*H729)*(MAX('Min rate concentrations'!$P$3:$P$368)))/F729&gt;0, (((0.065*F729^0.726)/3.7-(0.301*F729^0.751)/(1-H729)*H729)*(MAX('Min rate concentrations'!$P$3:$P$368)))/F729, 0)</f>
        <v>0</v>
      </c>
      <c r="N729">
        <f>IF((((0.065*F729^0.726)/3.7-(0.301*F729^0.751)/(1-H729)*H729)*(MAX('Min rate concentrations'!$Q$3:$Q$368)))/F729&gt;0, (((0.065*F729^0.726)/3.7-(0.301*F729^0.751)/(1-H729)*H729)*(MAX('Min rate concentrations'!$Q$3:$Q$368)))/F729, 0)</f>
        <v>0</v>
      </c>
      <c r="O729" t="s">
        <v>13</v>
      </c>
      <c r="P729" t="s">
        <v>13</v>
      </c>
      <c r="Q729">
        <f>(inputs!$C$7*11.2)*(25.05*F729^0.63)*0.5*1/F729</f>
        <v>15.418772440377573</v>
      </c>
      <c r="R729">
        <f>(60*76.9*((F729/1000)^0.76)*3*24*(MAX('Min rate concentrations'!$R$3:$R$368))/F729)</f>
        <v>8.3810847947640298E-4</v>
      </c>
      <c r="S729">
        <f>(IF(inputs!$C$6="aerial",((0.025*0.112*inputs!$C$7/3.3)*(3*60*76.9*((F729/1000)^0.76))*MAX(inputs!$H$14:$H$16))/F729,((0.0083*0.112*inputs!$C$7/1)*(3*60*76.9*((F729/1000)^0.76))*MAX(inputs!$H$14:$H$16))/F729))</f>
        <v>3.5388870009020953E-3</v>
      </c>
      <c r="T729">
        <f>IF((((inputs!$P$12/(V729/MAX(K729:S729)))^(1/inputs!$O$12))-1)/inputs!$N$12&lt;0, 0, IF((((inputs!$P$12/(V729/MAX(K729:S729)))^(1/inputs!$O$12))-1)/inputs!$N$12&gt;inputs!$H$17, inputs!$H$17, (((inputs!$P$12/(V729/MAX(K729:S729)))^(1/inputs!$O$12))-1)/inputs!$N$12))</f>
        <v>367.0800199798781</v>
      </c>
      <c r="U729">
        <f>IF((((inputs!$P$12/(X729/MAX(K729:S729)))^(1/inputs!$O$12))-1)/inputs!$N$12&lt;0, 0, IF((((inputs!$P$12/(X729/MAX(K729:S729)))^(1/inputs!$O$12))-1)/inputs!$N$12&gt;inputs!$H$17, inputs!$H$17, (((inputs!$P$12/(X729/MAX(K729:S729)))^(1/inputs!$O$12))-1)/inputs!$N$12))</f>
        <v>198.19914920478286</v>
      </c>
      <c r="V729">
        <f>inputs!$E$87*(F729/inputs!$F$87)^(1)</f>
        <v>1.1399999999999999E-2</v>
      </c>
      <c r="W729">
        <f>inputs!$E$90*(F729/inputs!$F$90)^(1)</f>
        <v>1.2E-2</v>
      </c>
      <c r="X729">
        <f>inputs!$E$89*(F729/inputs!$F$89)^(1)</f>
        <v>4.4810126582278481E-2</v>
      </c>
      <c r="Y729" t="s">
        <v>13</v>
      </c>
      <c r="Z729">
        <f t="shared" si="75"/>
        <v>1352.5238982787346</v>
      </c>
      <c r="AA729">
        <f t="shared" si="76"/>
        <v>1284.8977033647977</v>
      </c>
    </row>
    <row r="730" spans="1:27" x14ac:dyDescent="0.3">
      <c r="A730" t="s">
        <v>414</v>
      </c>
      <c r="B730" t="s">
        <v>415</v>
      </c>
      <c r="C730" t="s">
        <v>79</v>
      </c>
      <c r="D730" t="s">
        <v>378</v>
      </c>
      <c r="E730">
        <v>183</v>
      </c>
      <c r="F730">
        <v>60</v>
      </c>
      <c r="G730" t="s">
        <v>145</v>
      </c>
      <c r="H730">
        <v>0.66</v>
      </c>
      <c r="I730">
        <f>MAX('Min rate concentrations'!$M$3:$M$368)</f>
        <v>2.8488184789681945</v>
      </c>
      <c r="J730">
        <f>MAX('Min rate concentrations'!AE:AE)</f>
        <v>1.9699276716269429</v>
      </c>
      <c r="K730">
        <f t="shared" si="77"/>
        <v>4.3002022210938073E-2</v>
      </c>
      <c r="L730">
        <f t="shared" si="78"/>
        <v>2.9735440890542284E-2</v>
      </c>
      <c r="M730">
        <f>IF((((0.065*F730^0.726)/3.7-(0.301*F730^0.751)/(1-H730)*H730)*(MAX('Min rate concentrations'!$P$3:$P$368)))/F730&gt;0, (((0.065*F730^0.726)/3.7-(0.301*F730^0.751)/(1-H730)*H730)*(MAX('Min rate concentrations'!$P$3:$P$368)))/F730, 0)</f>
        <v>0</v>
      </c>
      <c r="N730">
        <f>IF((((0.065*F730^0.726)/3.7-(0.301*F730^0.751)/(1-H730)*H730)*(MAX('Min rate concentrations'!$Q$3:$Q$368)))/F730&gt;0, (((0.065*F730^0.726)/3.7-(0.301*F730^0.751)/(1-H730)*H730)*(MAX('Min rate concentrations'!$Q$3:$Q$368)))/F730, 0)</f>
        <v>0</v>
      </c>
      <c r="O730" t="s">
        <v>13</v>
      </c>
      <c r="P730" t="s">
        <v>13</v>
      </c>
      <c r="Q730">
        <f>(inputs!$C$7*11.2)*(25.05*F730^0.63)*0.5*1/F730</f>
        <v>15.418772440377573</v>
      </c>
      <c r="R730">
        <f>(60*76.9*((F730/1000)^0.76)*3*24*(MAX('Min rate concentrations'!$R$3:$R$368))/F730)</f>
        <v>8.3810847947640298E-4</v>
      </c>
      <c r="S730">
        <f>(IF(inputs!$C$6="aerial",((0.025*0.112*inputs!$C$7/3.3)*(3*60*76.9*((F730/1000)^0.76))*MAX(inputs!$H$14:$H$16))/F730,((0.0083*0.112*inputs!$C$7/1)*(3*60*76.9*((F730/1000)^0.76))*MAX(inputs!$H$14:$H$16))/F730))</f>
        <v>3.5388870009020953E-3</v>
      </c>
      <c r="T730">
        <f>IF((((inputs!$P$12/(V730/MAX(K730:S730)))^(1/inputs!$O$12))-1)/inputs!$N$12&lt;0, 0, IF((((inputs!$P$12/(V730/MAX(K730:S730)))^(1/inputs!$O$12))-1)/inputs!$N$12&gt;inputs!$H$17, inputs!$H$17, (((inputs!$P$12/(V730/MAX(K730:S730)))^(1/inputs!$O$12))-1)/inputs!$N$12))</f>
        <v>367.0800199798781</v>
      </c>
      <c r="U730">
        <f>IF((((inputs!$P$12/(X730/MAX(K730:S730)))^(1/inputs!$O$12))-1)/inputs!$N$12&lt;0, 0, IF((((inputs!$P$12/(X730/MAX(K730:S730)))^(1/inputs!$O$12))-1)/inputs!$N$12&gt;inputs!$H$17, inputs!$H$17, (((inputs!$P$12/(X730/MAX(K730:S730)))^(1/inputs!$O$12))-1)/inputs!$N$12))</f>
        <v>198.19914920478286</v>
      </c>
      <c r="V730">
        <f>inputs!$E$87*(F730/inputs!$F$87)^(1)</f>
        <v>1.1399999999999999E-2</v>
      </c>
      <c r="W730">
        <f>inputs!$E$90*(F730/inputs!$F$90)^(1)</f>
        <v>1.2E-2</v>
      </c>
      <c r="X730">
        <f>inputs!$E$89*(F730/inputs!$F$89)^(1)</f>
        <v>4.4810126582278481E-2</v>
      </c>
      <c r="Y730" t="s">
        <v>13</v>
      </c>
      <c r="Z730">
        <f t="shared" si="75"/>
        <v>1352.5238982787346</v>
      </c>
      <c r="AA730">
        <f t="shared" si="76"/>
        <v>1284.8977033647977</v>
      </c>
    </row>
    <row r="731" spans="1:27" x14ac:dyDescent="0.3">
      <c r="A731" t="s">
        <v>418</v>
      </c>
      <c r="B731" t="s">
        <v>419</v>
      </c>
      <c r="C731" t="s">
        <v>79</v>
      </c>
      <c r="D731" t="s">
        <v>378</v>
      </c>
      <c r="E731">
        <v>167</v>
      </c>
      <c r="F731">
        <v>70</v>
      </c>
      <c r="G731" t="s">
        <v>634</v>
      </c>
      <c r="H731">
        <v>0.75</v>
      </c>
      <c r="I731">
        <f>inputs!$C$65*inputs!$C$64/1000</f>
        <v>2.13</v>
      </c>
      <c r="J731">
        <f>inputs!$C$65*inputs!$C$63/1000</f>
        <v>0.88</v>
      </c>
      <c r="K731">
        <f t="shared" si="77"/>
        <v>4.2222669905692387E-2</v>
      </c>
      <c r="L731">
        <f t="shared" si="78"/>
        <v>1.744410775446446E-2</v>
      </c>
      <c r="M731">
        <f>IF((((0.065*F731^0.726)/3.7-(0.301*F731^0.751)/(1-H731)*H731)*(MAX('Min rate concentrations'!$P$3:$P$368)))/F731&gt;0, (((0.065*F731^0.726)/3.7-(0.301*F731^0.751)/(1-H731)*H731)*(MAX('Min rate concentrations'!$P$3:$P$368)))/F731, 0)</f>
        <v>0</v>
      </c>
      <c r="N731">
        <f>IF((((0.065*F731^0.726)/3.7-(0.301*F731^0.751)/(1-H731)*H731)*(MAX('Min rate concentrations'!$Q$3:$Q$368)))/F731&gt;0, (((0.065*F731^0.726)/3.7-(0.301*F731^0.751)/(1-H731)*H731)*(MAX('Min rate concentrations'!$Q$3:$Q$368)))/F731, 0)</f>
        <v>0</v>
      </c>
      <c r="O731" t="s">
        <v>13</v>
      </c>
      <c r="P731" t="s">
        <v>13</v>
      </c>
      <c r="Q731">
        <f>(inputs!$C$7*11.2)*(25.05*F731^0.63)*0.5*1/F731</f>
        <v>14.56396031083232</v>
      </c>
      <c r="R731">
        <f>(60*76.9*((F731/1000)^0.76)*3*24*(MAX('Min rate concentrations'!$R$3:$R$368))/F731)</f>
        <v>8.0766823939413201E-4</v>
      </c>
      <c r="S731">
        <f>(IF(inputs!$C$6="aerial",((0.025*0.112*inputs!$C$7/3.3)*(3*60*76.9*((F731/1000)^0.76))*MAX(inputs!$H$14:$H$16))/F731,((0.0083*0.112*inputs!$C$7/1)*(3*60*76.9*((F731/1000)^0.76))*MAX(inputs!$H$14:$H$16))/F731))</f>
        <v>3.4103540334289731E-3</v>
      </c>
      <c r="T731">
        <f>IF((((inputs!$P$12/(V731/MAX(K731:S731)))^(1/inputs!$O$12))-1)/inputs!$N$12&lt;0, 0, IF((((inputs!$P$12/(V731/MAX(K731:S731)))^(1/inputs!$O$12))-1)/inputs!$N$12&gt;inputs!$H$17, inputs!$H$17, (((inputs!$P$12/(V731/MAX(K731:S731)))^(1/inputs!$O$12))-1)/inputs!$N$12))</f>
        <v>334.52014423611416</v>
      </c>
      <c r="U731">
        <f>IF((((inputs!$P$12/(X731/MAX(K731:S731)))^(1/inputs!$O$12))-1)/inputs!$N$12&lt;0, 0, IF((((inputs!$P$12/(X731/MAX(K731:S731)))^(1/inputs!$O$12))-1)/inputs!$N$12&gt;inputs!$H$17, inputs!$H$17, (((inputs!$P$12/(X731/MAX(K731:S731)))^(1/inputs!$O$12))-1)/inputs!$N$12))</f>
        <v>179.54007355750068</v>
      </c>
      <c r="V731">
        <f>inputs!$E$87*(F731/inputs!$F$87)^(1)</f>
        <v>1.3299999999999999E-2</v>
      </c>
      <c r="W731">
        <f>inputs!$E$90*(F731/inputs!$F$90)^(1)</f>
        <v>1.4E-2</v>
      </c>
      <c r="X731">
        <f>inputs!$E$89*(F731/inputs!$F$89)^(1)</f>
        <v>5.2278481012658223E-2</v>
      </c>
      <c r="Y731" t="s">
        <v>13</v>
      </c>
      <c r="Z731">
        <f t="shared" si="75"/>
        <v>1095.0346098370167</v>
      </c>
      <c r="AA731">
        <f t="shared" si="76"/>
        <v>1040.2828793451656</v>
      </c>
    </row>
    <row r="732" spans="1:27" x14ac:dyDescent="0.3">
      <c r="A732" t="s">
        <v>422</v>
      </c>
      <c r="B732" t="s">
        <v>423</v>
      </c>
      <c r="C732" t="s">
        <v>79</v>
      </c>
      <c r="D732" t="s">
        <v>378</v>
      </c>
      <c r="E732">
        <v>6097</v>
      </c>
      <c r="F732">
        <v>1000</v>
      </c>
      <c r="G732" t="s">
        <v>138</v>
      </c>
      <c r="H732">
        <v>0.68</v>
      </c>
      <c r="I732">
        <f>MAX('Min rate concentrations'!$L$3:$L$368)</f>
        <v>58.421240152220811</v>
      </c>
      <c r="J732">
        <f>MAX('Min rate concentrations'!AD:AD)</f>
        <v>40.397666062705881</v>
      </c>
      <c r="K732">
        <f t="shared" si="77"/>
        <v>0.49472532881095027</v>
      </c>
      <c r="L732">
        <f t="shared" si="78"/>
        <v>0.3420973018373592</v>
      </c>
      <c r="M732">
        <f>IF((((0.065*F732^0.726)/3.7-(0.301*F732^0.751)/(1-H732)*H732)*(MAX('Min rate concentrations'!$P$3:$P$368)))/F732&gt;0, (((0.065*F732^0.726)/3.7-(0.301*F732^0.751)/(1-H732)*H732)*(MAX('Min rate concentrations'!$P$3:$P$368)))/F732, 0)</f>
        <v>0</v>
      </c>
      <c r="N732">
        <f>IF((((0.065*F732^0.726)/3.7-(0.301*F732^0.751)/(1-H732)*H732)*(MAX('Min rate concentrations'!$Q$3:$Q$368)))/F732&gt;0, (((0.065*F732^0.726)/3.7-(0.301*F732^0.751)/(1-H732)*H732)*(MAX('Min rate concentrations'!$Q$3:$Q$368)))/F732, 0)</f>
        <v>0</v>
      </c>
      <c r="O732" t="s">
        <v>13</v>
      </c>
      <c r="P732" t="s">
        <v>13</v>
      </c>
      <c r="Q732">
        <f>(inputs!$C$7*11.2)*(25.05*F732^0.63)*0.5*1/F732</f>
        <v>5.4445972760336421</v>
      </c>
      <c r="R732">
        <f>(60*76.9*((F732/1000)^0.76)*3*24*(MAX('Min rate concentrations'!$R$3:$R$368))/F732)</f>
        <v>4.2663505281300101E-4</v>
      </c>
      <c r="S732">
        <f>(IF(inputs!$C$6="aerial",((0.025*0.112*inputs!$C$7/3.3)*(3*60*76.9*((F732/1000)^0.76))*MAX(inputs!$H$14:$H$16))/F732,((0.0083*0.112*inputs!$C$7/1)*(3*60*76.9*((F732/1000)^0.76))*MAX(inputs!$H$14:$H$16))/F732))</f>
        <v>1.8014532480000005E-3</v>
      </c>
      <c r="T732">
        <f>IF((((inputs!$P$12/(V732/MAX(K732:S732)))^(1/inputs!$O$12))-1)/inputs!$N$12&lt;0, 0, IF((((inputs!$P$12/(V732/MAX(K732:S732)))^(1/inputs!$O$12))-1)/inputs!$N$12&gt;inputs!$H$17, inputs!$H$17, (((inputs!$P$12/(V732/MAX(K732:S732)))^(1/inputs!$O$12))-1)/inputs!$N$12))</f>
        <v>53.995059795067306</v>
      </c>
      <c r="U732">
        <f>IF((((inputs!$P$12/(X732/MAX(K732:S732)))^(1/inputs!$O$12))-1)/inputs!$N$12&lt;0, 0, IF((((inputs!$P$12/(X732/MAX(K732:S732)))^(1/inputs!$O$12))-1)/inputs!$N$12&gt;inputs!$H$17, inputs!$H$17, (((inputs!$P$12/(X732/MAX(K732:S732)))^(1/inputs!$O$12))-1)/inputs!$N$12))</f>
        <v>18.779669778986928</v>
      </c>
      <c r="V732">
        <f>inputs!$E$87*(F732/inputs!$F$87)^(1)</f>
        <v>0.19</v>
      </c>
      <c r="W732">
        <f>inputs!$E$90*(F732/inputs!$F$90)^(1)</f>
        <v>0.2</v>
      </c>
      <c r="X732">
        <f>inputs!$E$89*(F732/inputs!$F$89)^(1)</f>
        <v>0.74683544303797467</v>
      </c>
      <c r="Y732" t="s">
        <v>13</v>
      </c>
      <c r="Z732">
        <f t="shared" si="75"/>
        <v>28.65577513701917</v>
      </c>
      <c r="AA732">
        <f t="shared" si="76"/>
        <v>27.222986380168209</v>
      </c>
    </row>
    <row r="733" spans="1:27" x14ac:dyDescent="0.3">
      <c r="A733" t="s">
        <v>422</v>
      </c>
      <c r="B733" t="s">
        <v>423</v>
      </c>
      <c r="C733" t="s">
        <v>79</v>
      </c>
      <c r="D733" t="s">
        <v>378</v>
      </c>
      <c r="E733">
        <v>6097</v>
      </c>
      <c r="F733">
        <v>1000</v>
      </c>
      <c r="G733" t="s">
        <v>456</v>
      </c>
      <c r="H733">
        <v>0.68</v>
      </c>
      <c r="I733">
        <f>MAX('Min rate concentrations'!$J$3:$J$368)</f>
        <v>114.4108103430513</v>
      </c>
      <c r="J733">
        <f>MAX('Min rate concentrations'!AB:AB)</f>
        <v>40.520495329830666</v>
      </c>
      <c r="K733">
        <f t="shared" si="77"/>
        <v>0.96885868254444552</v>
      </c>
      <c r="L733">
        <f t="shared" si="78"/>
        <v>0.34313745006782442</v>
      </c>
      <c r="M733">
        <f>IF((((0.065*F733^0.726)/3.7-(0.301*F733^0.751)/(1-H733)*H733)*(MAX('Min rate concentrations'!$P$3:$P$368)))/F733&gt;0, (((0.065*F733^0.726)/3.7-(0.301*F733^0.751)/(1-H733)*H733)*(MAX('Min rate concentrations'!$P$3:$P$368)))/F733, 0)</f>
        <v>0</v>
      </c>
      <c r="N733">
        <f>IF((((0.065*F733^0.726)/3.7-(0.301*F733^0.751)/(1-H733)*H733)*(MAX('Min rate concentrations'!$Q$3:$Q$368)))/F733&gt;0, (((0.065*F733^0.726)/3.7-(0.301*F733^0.751)/(1-H733)*H733)*(MAX('Min rate concentrations'!$Q$3:$Q$368)))/F733, 0)</f>
        <v>0</v>
      </c>
      <c r="O733" t="s">
        <v>13</v>
      </c>
      <c r="P733" t="s">
        <v>13</v>
      </c>
      <c r="Q733">
        <f>(inputs!$C$7*11.2)*(25.05*F733^0.63)*0.5*1/F733</f>
        <v>5.4445972760336421</v>
      </c>
      <c r="R733">
        <f>(60*76.9*((F733/1000)^0.76)*3*24*(MAX('Min rate concentrations'!$R$3:$R$368))/F733)</f>
        <v>4.2663505281300101E-4</v>
      </c>
      <c r="S733">
        <f>(IF(inputs!$C$6="aerial",((0.025*0.112*inputs!$C$7/3.3)*(3*60*76.9*((F733/1000)^0.76))*MAX(inputs!$H$14:$H$16))/F733,((0.0083*0.112*inputs!$C$7/1)*(3*60*76.9*((F733/1000)^0.76))*MAX(inputs!$H$14:$H$16))/F733))</f>
        <v>1.8014532480000005E-3</v>
      </c>
      <c r="T733">
        <f>IF((((inputs!$P$12/(V733/MAX(K733:S733)))^(1/inputs!$O$12))-1)/inputs!$N$12&lt;0, 0, IF((((inputs!$P$12/(V733/MAX(K733:S733)))^(1/inputs!$O$12))-1)/inputs!$N$12&gt;inputs!$H$17, inputs!$H$17, (((inputs!$P$12/(V733/MAX(K733:S733)))^(1/inputs!$O$12))-1)/inputs!$N$12))</f>
        <v>53.995059795067306</v>
      </c>
      <c r="U733">
        <f>IF((((inputs!$P$12/(X733/MAX(K733:S733)))^(1/inputs!$O$12))-1)/inputs!$N$12&lt;0, 0, IF((((inputs!$P$12/(X733/MAX(K733:S733)))^(1/inputs!$O$12))-1)/inputs!$N$12&gt;inputs!$H$17, inputs!$H$17, (((inputs!$P$12/(X733/MAX(K733:S733)))^(1/inputs!$O$12))-1)/inputs!$N$12))</f>
        <v>18.779669778986928</v>
      </c>
      <c r="V733">
        <f>inputs!$E$87*(F733/inputs!$F$87)^(1)</f>
        <v>0.19</v>
      </c>
      <c r="W733">
        <f>inputs!$E$90*(F733/inputs!$F$90)^(1)</f>
        <v>0.2</v>
      </c>
      <c r="X733">
        <f>inputs!$E$89*(F733/inputs!$F$89)^(1)</f>
        <v>0.74683544303797467</v>
      </c>
      <c r="Y733" t="s">
        <v>13</v>
      </c>
      <c r="Z733">
        <f t="shared" si="75"/>
        <v>28.65577513701917</v>
      </c>
      <c r="AA733">
        <f t="shared" si="76"/>
        <v>27.222986380168209</v>
      </c>
    </row>
    <row r="734" spans="1:27" x14ac:dyDescent="0.3">
      <c r="A734" t="s">
        <v>399</v>
      </c>
      <c r="B734" t="s">
        <v>400</v>
      </c>
      <c r="C734" t="s">
        <v>79</v>
      </c>
      <c r="D734" t="s">
        <v>378</v>
      </c>
      <c r="E734">
        <v>178</v>
      </c>
      <c r="F734">
        <v>3.7</v>
      </c>
      <c r="G734" t="s">
        <v>142</v>
      </c>
      <c r="H734">
        <v>0.69</v>
      </c>
      <c r="I734">
        <f>MAX('Min rate concentrations'!$H$3:$H$368)</f>
        <v>47</v>
      </c>
      <c r="J734">
        <f>MAX('Min rate concentrations'!AA:AA)</f>
        <v>32.5</v>
      </c>
      <c r="K734">
        <f t="shared" si="77"/>
        <v>1.464528154325577</v>
      </c>
      <c r="L734">
        <f t="shared" si="78"/>
        <v>1.0127056386293882</v>
      </c>
      <c r="M734">
        <f>IF((((0.065*F734^0.726)/3.7-(0.301*F734^0.751)/(1-H734)*H734)*(MAX('Min rate concentrations'!$P$3:$P$368)))/F734&gt;0, (((0.065*F734^0.726)/3.7-(0.301*F734^0.751)/(1-H734)*H734)*(MAX('Min rate concentrations'!$P$3:$P$368)))/F734, 0)</f>
        <v>0</v>
      </c>
      <c r="N734">
        <f>IF((((0.065*F734^0.726)/3.7-(0.301*F734^0.751)/(1-H734)*H734)*(MAX('Min rate concentrations'!$Q$3:$Q$368)))/F734&gt;0, (((0.065*F734^0.726)/3.7-(0.301*F734^0.751)/(1-H734)*H734)*(MAX('Min rate concentrations'!$Q$3:$Q$368)))/F734, 0)</f>
        <v>0</v>
      </c>
      <c r="O734" t="s">
        <v>13</v>
      </c>
      <c r="P734" t="s">
        <v>13</v>
      </c>
      <c r="Q734">
        <f>(inputs!$C$7*11.2)*(25.05*F734^0.63)*0.5*1/F734</f>
        <v>43.224613996945557</v>
      </c>
      <c r="R734">
        <f>(60*76.9*((F734/1000)^0.76)*3*24*(MAX('Min rate concentrations'!$R$3:$R$368))/F734)</f>
        <v>1.6356414994276973E-3</v>
      </c>
      <c r="S734">
        <f>(IF(inputs!$C$6="aerial",((0.025*0.112*inputs!$C$7/3.3)*(3*60*76.9*((F734/1000)^0.76))*MAX(inputs!$H$14:$H$16))/F734,((0.0083*0.112*inputs!$C$7/1)*(3*60*76.9*((F734/1000)^0.76))*MAX(inputs!$H$14:$H$16))/F734))</f>
        <v>6.9064453853001015E-3</v>
      </c>
      <c r="T734">
        <f>IF((((inputs!$P$12/(V734/MAX(K734:S734)))^(1/inputs!$O$12))-1)/inputs!$N$12&lt;0, 0, IF((((inputs!$P$12/(V734/MAX(K734:S734)))^(1/inputs!$O$12))-1)/inputs!$N$12&gt;inputs!$H$17, inputs!$H$17, (((inputs!$P$12/(V734/MAX(K734:S734)))^(1/inputs!$O$12))-1)/inputs!$N$12))</f>
        <v>1000</v>
      </c>
      <c r="U734">
        <f>IF((((inputs!$P$12/(X734/MAX(K734:S734)))^(1/inputs!$O$12))-1)/inputs!$N$12&lt;0, 0, IF((((inputs!$P$12/(X734/MAX(K734:S734)))^(1/inputs!$O$12))-1)/inputs!$N$12&gt;inputs!$H$17, inputs!$H$17, (((inputs!$P$12/(X734/MAX(K734:S734)))^(1/inputs!$O$12))-1)/inputs!$N$12))</f>
        <v>1000</v>
      </c>
      <c r="V734">
        <f>inputs!$E$87*(F734/inputs!$F$87)^(1)</f>
        <v>7.0300000000000007E-4</v>
      </c>
      <c r="W734">
        <f>inputs!$E$90*(F734/inputs!$F$90)^(1)</f>
        <v>7.3999999999999999E-4</v>
      </c>
      <c r="X734">
        <f>inputs!$E$89*(F734/inputs!$F$89)^(1)</f>
        <v>2.7632911392405065E-3</v>
      </c>
      <c r="Y734" t="s">
        <v>13</v>
      </c>
      <c r="Z734">
        <f t="shared" si="75"/>
        <v>61485.937406750432</v>
      </c>
      <c r="AA734">
        <f t="shared" si="76"/>
        <v>58411.640536412917</v>
      </c>
    </row>
    <row r="735" spans="1:27" x14ac:dyDescent="0.3">
      <c r="A735" t="s">
        <v>401</v>
      </c>
      <c r="B735" t="s">
        <v>402</v>
      </c>
      <c r="C735" t="s">
        <v>79</v>
      </c>
      <c r="D735" t="s">
        <v>378</v>
      </c>
      <c r="E735">
        <v>151</v>
      </c>
      <c r="F735">
        <v>20.6</v>
      </c>
      <c r="G735" t="s">
        <v>142</v>
      </c>
      <c r="H735">
        <v>0.69</v>
      </c>
      <c r="I735">
        <f>MAX('Min rate concentrations'!$H$3:$H$368)</f>
        <v>47</v>
      </c>
      <c r="J735">
        <f>MAX('Min rate concentrations'!AA:AA)</f>
        <v>32.5</v>
      </c>
      <c r="K735">
        <f t="shared" si="77"/>
        <v>0.9918172499461344</v>
      </c>
      <c r="L735">
        <f t="shared" si="78"/>
        <v>0.68583107709041213</v>
      </c>
      <c r="M735">
        <f>IF((((0.065*F735^0.726)/3.7-(0.301*F735^0.751)/(1-H735)*H735)*(MAX('Min rate concentrations'!$P$3:$P$368)))/F735&gt;0, (((0.065*F735^0.726)/3.7-(0.301*F735^0.751)/(1-H735)*H735)*(MAX('Min rate concentrations'!$P$3:$P$368)))/F735, 0)</f>
        <v>0</v>
      </c>
      <c r="N735">
        <f>IF((((0.065*F735^0.726)/3.7-(0.301*F735^0.751)/(1-H735)*H735)*(MAX('Min rate concentrations'!$Q$3:$Q$368)))/F735&gt;0, (((0.065*F735^0.726)/3.7-(0.301*F735^0.751)/(1-H735)*H735)*(MAX('Min rate concentrations'!$Q$3:$Q$368)))/F735, 0)</f>
        <v>0</v>
      </c>
      <c r="O735" t="s">
        <v>13</v>
      </c>
      <c r="P735" t="s">
        <v>13</v>
      </c>
      <c r="Q735">
        <f>(inputs!$C$7*11.2)*(25.05*F735^0.63)*0.5*1/F735</f>
        <v>22.899968766882814</v>
      </c>
      <c r="R735">
        <f>(60*76.9*((F735/1000)^0.76)*3*24*(MAX('Min rate concentrations'!$R$3:$R$368))/F735)</f>
        <v>1.083249261955619E-3</v>
      </c>
      <c r="S735">
        <f>(IF(inputs!$C$6="aerial",((0.025*0.112*inputs!$C$7/3.3)*(3*60*76.9*((F735/1000)^0.76))*MAX(inputs!$H$14:$H$16))/F735,((0.0083*0.112*inputs!$C$7/1)*(3*60*76.9*((F735/1000)^0.76))*MAX(inputs!$H$14:$H$16))/F735))</f>
        <v>4.5739863344020264E-3</v>
      </c>
      <c r="T735">
        <f>IF((((inputs!$P$12/(V735/MAX(K735:S735)))^(1/inputs!$O$12))-1)/inputs!$N$12&lt;0, 0, IF((((inputs!$P$12/(V735/MAX(K735:S735)))^(1/inputs!$O$12))-1)/inputs!$N$12&gt;inputs!$H$17, inputs!$H$17, (((inputs!$P$12/(V735/MAX(K735:S735)))^(1/inputs!$O$12))-1)/inputs!$N$12))</f>
        <v>689.19736602021101</v>
      </c>
      <c r="U735">
        <f>IF((((inputs!$P$12/(X735/MAX(K735:S735)))^(1/inputs!$O$12))-1)/inputs!$N$12&lt;0, 0, IF((((inputs!$P$12/(X735/MAX(K735:S735)))^(1/inputs!$O$12))-1)/inputs!$N$12&gt;inputs!$H$17, inputs!$H$17, (((inputs!$P$12/(X735/MAX(K735:S735)))^(1/inputs!$O$12))-1)/inputs!$N$12))</f>
        <v>382.79481456814079</v>
      </c>
      <c r="V735">
        <f>inputs!$E$87*(F735/inputs!$F$87)^(1)</f>
        <v>3.9139999999999999E-3</v>
      </c>
      <c r="W735">
        <f>inputs!$E$90*(F735/inputs!$F$90)^(1)</f>
        <v>4.1200000000000004E-3</v>
      </c>
      <c r="X735">
        <f>inputs!$E$89*(F735/inputs!$F$89)^(1)</f>
        <v>1.538481012658228E-2</v>
      </c>
      <c r="Y735" t="s">
        <v>13</v>
      </c>
      <c r="Z735">
        <f t="shared" si="75"/>
        <v>5850.784048769242</v>
      </c>
      <c r="AA735">
        <f t="shared" si="76"/>
        <v>5558.2448463307801</v>
      </c>
    </row>
    <row r="736" spans="1:27" x14ac:dyDescent="0.3">
      <c r="A736" t="s">
        <v>401</v>
      </c>
      <c r="B736" t="s">
        <v>402</v>
      </c>
      <c r="C736" t="s">
        <v>79</v>
      </c>
      <c r="D736" t="s">
        <v>378</v>
      </c>
      <c r="E736">
        <v>151</v>
      </c>
      <c r="F736">
        <v>20.6</v>
      </c>
      <c r="G736" t="s">
        <v>177</v>
      </c>
      <c r="H736">
        <v>0.85</v>
      </c>
      <c r="I736">
        <f>MAX('Min rate concentrations'!$F$3:$F$368)</f>
        <v>67.5</v>
      </c>
      <c r="J736">
        <f>MAX('Min rate concentrations'!Y:Y)</f>
        <v>22.5</v>
      </c>
      <c r="K736">
        <f t="shared" si="77"/>
        <v>2.9437980078188462</v>
      </c>
      <c r="L736">
        <f t="shared" si="78"/>
        <v>0.98126600260628194</v>
      </c>
      <c r="M736">
        <f>IF((((0.065*F736^0.726)/3.7-(0.301*F736^0.751)/(1-H736)*H736)*(MAX('Min rate concentrations'!$P$3:$P$368)))/F736&gt;0, (((0.065*F736^0.726)/3.7-(0.301*F736^0.751)/(1-H736)*H736)*(MAX('Min rate concentrations'!$P$3:$P$368)))/F736, 0)</f>
        <v>0</v>
      </c>
      <c r="N736">
        <f>IF((((0.065*F736^0.726)/3.7-(0.301*F736^0.751)/(1-H736)*H736)*(MAX('Min rate concentrations'!$Q$3:$Q$368)))/F736&gt;0, (((0.065*F736^0.726)/3.7-(0.301*F736^0.751)/(1-H736)*H736)*(MAX('Min rate concentrations'!$Q$3:$Q$368)))/F736, 0)</f>
        <v>0</v>
      </c>
      <c r="O736" t="s">
        <v>13</v>
      </c>
      <c r="P736" t="s">
        <v>13</v>
      </c>
      <c r="Q736">
        <f>(inputs!$C$7*11.2)*(25.05*F736^0.63)*0.5*1/F736</f>
        <v>22.899968766882814</v>
      </c>
      <c r="R736">
        <f>(60*76.9*((F736/1000)^0.76)*3*24*(MAX('Min rate concentrations'!$R$3:$R$368))/F736)</f>
        <v>1.083249261955619E-3</v>
      </c>
      <c r="S736">
        <f>(IF(inputs!$C$6="aerial",((0.025*0.112*inputs!$C$7/3.3)*(3*60*76.9*((F736/1000)^0.76))*MAX(inputs!$H$14:$H$16))/F736,((0.0083*0.112*inputs!$C$7/1)*(3*60*76.9*((F736/1000)^0.76))*MAX(inputs!$H$14:$H$16))/F736))</f>
        <v>4.5739863344020264E-3</v>
      </c>
      <c r="T736">
        <f>IF((((inputs!$P$12/(V736/MAX(K736:S736)))^(1/inputs!$O$12))-1)/inputs!$N$12&lt;0, 0, IF((((inputs!$P$12/(V736/MAX(K736:S736)))^(1/inputs!$O$12))-1)/inputs!$N$12&gt;inputs!$H$17, inputs!$H$17, (((inputs!$P$12/(V736/MAX(K736:S736)))^(1/inputs!$O$12))-1)/inputs!$N$12))</f>
        <v>689.19736602021101</v>
      </c>
      <c r="U736">
        <f>IF((((inputs!$P$12/(X736/MAX(K736:S736)))^(1/inputs!$O$12))-1)/inputs!$N$12&lt;0, 0, IF((((inputs!$P$12/(X736/MAX(K736:S736)))^(1/inputs!$O$12))-1)/inputs!$N$12&gt;inputs!$H$17, inputs!$H$17, (((inputs!$P$12/(X736/MAX(K736:S736)))^(1/inputs!$O$12))-1)/inputs!$N$12))</f>
        <v>382.79481456814079</v>
      </c>
      <c r="V736">
        <f>inputs!$E$87*(F736/inputs!$F$87)^(1)</f>
        <v>3.9139999999999999E-3</v>
      </c>
      <c r="W736">
        <f>inputs!$E$90*(F736/inputs!$F$90)^(1)</f>
        <v>4.1200000000000004E-3</v>
      </c>
      <c r="X736">
        <f>inputs!$E$89*(F736/inputs!$F$89)^(1)</f>
        <v>1.538481012658228E-2</v>
      </c>
      <c r="Y736" t="s">
        <v>13</v>
      </c>
      <c r="Z736">
        <f t="shared" si="75"/>
        <v>5850.784048769242</v>
      </c>
      <c r="AA736">
        <f t="shared" si="76"/>
        <v>5558.2448463307801</v>
      </c>
    </row>
    <row r="737" spans="1:27" x14ac:dyDescent="0.3">
      <c r="A737" t="s">
        <v>401</v>
      </c>
      <c r="B737" t="s">
        <v>402</v>
      </c>
      <c r="C737" t="s">
        <v>79</v>
      </c>
      <c r="D737" t="s">
        <v>378</v>
      </c>
      <c r="E737">
        <v>151</v>
      </c>
      <c r="F737">
        <v>20.6</v>
      </c>
      <c r="G737" t="s">
        <v>145</v>
      </c>
      <c r="H737">
        <v>0.66</v>
      </c>
      <c r="I737">
        <f>MAX('Min rate concentrations'!$M$3:$M$368)</f>
        <v>2.8488184789681945</v>
      </c>
      <c r="J737">
        <f>MAX('Min rate concentrations'!AE:AE)</f>
        <v>1.9699276716269429</v>
      </c>
      <c r="K737">
        <f t="shared" si="77"/>
        <v>5.4812720019765282E-2</v>
      </c>
      <c r="L737">
        <f t="shared" si="78"/>
        <v>3.7902412779624924E-2</v>
      </c>
      <c r="M737">
        <f>IF((((0.065*F737^0.726)/3.7-(0.301*F737^0.751)/(1-H737)*H737)*(MAX('Min rate concentrations'!$P$3:$P$368)))/F737&gt;0, (((0.065*F737^0.726)/3.7-(0.301*F737^0.751)/(1-H737)*H737)*(MAX('Min rate concentrations'!$P$3:$P$368)))/F737, 0)</f>
        <v>0</v>
      </c>
      <c r="N737">
        <f>IF((((0.065*F737^0.726)/3.7-(0.301*F737^0.751)/(1-H737)*H737)*(MAX('Min rate concentrations'!$Q$3:$Q$368)))/F737&gt;0, (((0.065*F737^0.726)/3.7-(0.301*F737^0.751)/(1-H737)*H737)*(MAX('Min rate concentrations'!$Q$3:$Q$368)))/F737, 0)</f>
        <v>0</v>
      </c>
      <c r="O737" t="s">
        <v>13</v>
      </c>
      <c r="P737" t="s">
        <v>13</v>
      </c>
      <c r="Q737">
        <f>(inputs!$C$7*11.2)*(25.05*F737^0.63)*0.5*1/F737</f>
        <v>22.899968766882814</v>
      </c>
      <c r="R737">
        <f>(60*76.9*((F737/1000)^0.76)*3*24*(MAX('Min rate concentrations'!$R$3:$R$368))/F737)</f>
        <v>1.083249261955619E-3</v>
      </c>
      <c r="S737">
        <f>(IF(inputs!$C$6="aerial",((0.025*0.112*inputs!$C$7/3.3)*(3*60*76.9*((F737/1000)^0.76))*MAX(inputs!$H$14:$H$16))/F737,((0.0083*0.112*inputs!$C$7/1)*(3*60*76.9*((F737/1000)^0.76))*MAX(inputs!$H$14:$H$16))/F737))</f>
        <v>4.5739863344020264E-3</v>
      </c>
      <c r="T737">
        <f>IF((((inputs!$P$12/(V737/MAX(K737:S737)))^(1/inputs!$O$12))-1)/inputs!$N$12&lt;0, 0, IF((((inputs!$P$12/(V737/MAX(K737:S737)))^(1/inputs!$O$12))-1)/inputs!$N$12&gt;inputs!$H$17, inputs!$H$17, (((inputs!$P$12/(V737/MAX(K737:S737)))^(1/inputs!$O$12))-1)/inputs!$N$12))</f>
        <v>689.19736602021101</v>
      </c>
      <c r="U737">
        <f>IF((((inputs!$P$12/(X737/MAX(K737:S737)))^(1/inputs!$O$12))-1)/inputs!$N$12&lt;0, 0, IF((((inputs!$P$12/(X737/MAX(K737:S737)))^(1/inputs!$O$12))-1)/inputs!$N$12&gt;inputs!$H$17, inputs!$H$17, (((inputs!$P$12/(X737/MAX(K737:S737)))^(1/inputs!$O$12))-1)/inputs!$N$12))</f>
        <v>382.79481456814079</v>
      </c>
      <c r="V737">
        <f>inputs!$E$87*(F737/inputs!$F$87)^(1)</f>
        <v>3.9139999999999999E-3</v>
      </c>
      <c r="W737">
        <f>inputs!$E$90*(F737/inputs!$F$90)^(1)</f>
        <v>4.1200000000000004E-3</v>
      </c>
      <c r="X737">
        <f>inputs!$E$89*(F737/inputs!$F$89)^(1)</f>
        <v>1.538481012658228E-2</v>
      </c>
      <c r="Y737" t="s">
        <v>13</v>
      </c>
      <c r="Z737">
        <f t="shared" si="75"/>
        <v>5850.784048769242</v>
      </c>
      <c r="AA737">
        <f t="shared" si="76"/>
        <v>5558.2448463307801</v>
      </c>
    </row>
    <row r="738" spans="1:27" x14ac:dyDescent="0.3">
      <c r="A738" t="s">
        <v>436</v>
      </c>
      <c r="B738" t="s">
        <v>437</v>
      </c>
      <c r="C738" t="s">
        <v>79</v>
      </c>
      <c r="D738" t="s">
        <v>378</v>
      </c>
      <c r="E738">
        <v>175</v>
      </c>
      <c r="F738">
        <v>9.8000000000000007</v>
      </c>
      <c r="G738" t="s">
        <v>142</v>
      </c>
      <c r="H738">
        <v>0.69</v>
      </c>
      <c r="I738">
        <f>MAX('Min rate concentrations'!$H$3:$H$368)</f>
        <v>47</v>
      </c>
      <c r="J738">
        <f>MAX('Min rate concentrations'!AA:AA)</f>
        <v>32.5</v>
      </c>
      <c r="K738">
        <f t="shared" si="77"/>
        <v>1.1740083809082407</v>
      </c>
      <c r="L738">
        <f t="shared" si="78"/>
        <v>0.81181430594718784</v>
      </c>
      <c r="M738">
        <f>IF((((0.065*F738^0.726)/3.7-(0.301*F738^0.751)/(1-H738)*H738)*(MAX('Min rate concentrations'!$P$3:$P$368)))/F738&gt;0, (((0.065*F738^0.726)/3.7-(0.301*F738^0.751)/(1-H738)*H738)*(MAX('Min rate concentrations'!$P$3:$P$368)))/F738, 0)</f>
        <v>0</v>
      </c>
      <c r="N738">
        <f>IF((((0.065*F738^0.726)/3.7-(0.301*F738^0.751)/(1-H738)*H738)*(MAX('Min rate concentrations'!$Q$3:$Q$368)))/F738&gt;0, (((0.065*F738^0.726)/3.7-(0.301*F738^0.751)/(1-H738)*H738)*(MAX('Min rate concentrations'!$Q$3:$Q$368)))/F738, 0)</f>
        <v>0</v>
      </c>
      <c r="O738" t="s">
        <v>13</v>
      </c>
      <c r="P738" t="s">
        <v>13</v>
      </c>
      <c r="Q738">
        <f>(inputs!$C$7*11.2)*(25.05*F738^0.63)*0.5*1/F738</f>
        <v>30.144779642976047</v>
      </c>
      <c r="R738">
        <f>(60*76.9*((F738/1000)^0.76)*3*24*(MAX('Min rate concentrations'!$R$3:$R$368))/F738)</f>
        <v>1.2946795152368831E-3</v>
      </c>
      <c r="S738">
        <f>(IF(inputs!$C$6="aerial",((0.025*0.112*inputs!$C$7/3.3)*(3*60*76.9*((F738/1000)^0.76))*MAX(inputs!$H$14:$H$16))/F738,((0.0083*0.112*inputs!$C$7/1)*(3*60*76.9*((F738/1000)^0.76))*MAX(inputs!$H$14:$H$16))/F738))</f>
        <v>5.4667440062990446E-3</v>
      </c>
      <c r="T738">
        <f>IF((((inputs!$P$12/(V738/MAX(K738:S738)))^(1/inputs!$O$12))-1)/inputs!$N$12&lt;0, 0, IF((((inputs!$P$12/(V738/MAX(K738:S738)))^(1/inputs!$O$12))-1)/inputs!$N$12&gt;inputs!$H$17, inputs!$H$17, (((inputs!$P$12/(V738/MAX(K738:S738)))^(1/inputs!$O$12))-1)/inputs!$N$12))</f>
        <v>1000</v>
      </c>
      <c r="U738">
        <f>IF((((inputs!$P$12/(X738/MAX(K738:S738)))^(1/inputs!$O$12))-1)/inputs!$N$12&lt;0, 0, IF((((inputs!$P$12/(X738/MAX(K738:S738)))^(1/inputs!$O$12))-1)/inputs!$N$12&gt;inputs!$H$17, inputs!$H$17, (((inputs!$P$12/(X738/MAX(K738:S738)))^(1/inputs!$O$12))-1)/inputs!$N$12))</f>
        <v>593.70607186957625</v>
      </c>
      <c r="V738">
        <f>inputs!$E$87*(F738/inputs!$F$87)^(1)</f>
        <v>1.8619999999999999E-3</v>
      </c>
      <c r="W738">
        <f>inputs!$E$90*(F738/inputs!$F$90)^(1)</f>
        <v>1.9600000000000004E-3</v>
      </c>
      <c r="X738">
        <f>inputs!$E$89*(F738/inputs!$F$89)^(1)</f>
        <v>7.3189873417721521E-3</v>
      </c>
      <c r="Y738" t="s">
        <v>13</v>
      </c>
      <c r="Z738">
        <f t="shared" si="75"/>
        <v>16189.462751329778</v>
      </c>
      <c r="AA738">
        <f t="shared" si="76"/>
        <v>15379.989613763286</v>
      </c>
    </row>
    <row r="739" spans="1:27" x14ac:dyDescent="0.3">
      <c r="A739" t="s">
        <v>436</v>
      </c>
      <c r="B739" t="s">
        <v>437</v>
      </c>
      <c r="C739" t="s">
        <v>79</v>
      </c>
      <c r="D739" t="s">
        <v>378</v>
      </c>
      <c r="E739">
        <v>175</v>
      </c>
      <c r="F739">
        <v>9.8000000000000007</v>
      </c>
      <c r="G739" t="s">
        <v>158</v>
      </c>
      <c r="H739">
        <v>0.85</v>
      </c>
      <c r="I739">
        <f>MAX('Min rate concentrations'!$F$3:$F$368)</f>
        <v>67.5</v>
      </c>
      <c r="J739">
        <f>MAX('Min rate concentrations'!Y:Y)</f>
        <v>22.5</v>
      </c>
      <c r="K739">
        <f t="shared" si="77"/>
        <v>3.4845567901425447</v>
      </c>
      <c r="L739">
        <f t="shared" si="78"/>
        <v>1.1615189300475148</v>
      </c>
      <c r="M739">
        <f>IF((((0.065*F739^0.726)/3.7-(0.301*F739^0.751)/(1-H739)*H739)*(MAX('Min rate concentrations'!$P$3:$P$368)))/F739&gt;0, (((0.065*F739^0.726)/3.7-(0.301*F739^0.751)/(1-H739)*H739)*(MAX('Min rate concentrations'!$P$3:$P$368)))/F739, 0)</f>
        <v>0</v>
      </c>
      <c r="N739">
        <f>IF((((0.065*F739^0.726)/3.7-(0.301*F739^0.751)/(1-H739)*H739)*(MAX('Min rate concentrations'!$Q$3:$Q$368)))/F739&gt;0, (((0.065*F739^0.726)/3.7-(0.301*F739^0.751)/(1-H739)*H739)*(MAX('Min rate concentrations'!$Q$3:$Q$368)))/F739, 0)</f>
        <v>0</v>
      </c>
      <c r="O739" t="s">
        <v>13</v>
      </c>
      <c r="P739" t="s">
        <v>13</v>
      </c>
      <c r="Q739">
        <f>(inputs!$C$7*11.2)*(25.05*F739^0.63)*0.5*1/F739</f>
        <v>30.144779642976047</v>
      </c>
      <c r="R739">
        <f>(60*76.9*((F739/1000)^0.76)*3*24*(MAX('Min rate concentrations'!$R$3:$R$368))/F739)</f>
        <v>1.2946795152368831E-3</v>
      </c>
      <c r="S739">
        <f>(IF(inputs!$C$6="aerial",((0.025*0.112*inputs!$C$7/3.3)*(3*60*76.9*((F739/1000)^0.76))*MAX(inputs!$H$14:$H$16))/F739,((0.0083*0.112*inputs!$C$7/1)*(3*60*76.9*((F739/1000)^0.76))*MAX(inputs!$H$14:$H$16))/F739))</f>
        <v>5.4667440062990446E-3</v>
      </c>
      <c r="T739">
        <f>IF((((inputs!$P$12/(V739/MAX(K739:S739)))^(1/inputs!$O$12))-1)/inputs!$N$12&lt;0, 0, IF((((inputs!$P$12/(V739/MAX(K739:S739)))^(1/inputs!$O$12))-1)/inputs!$N$12&gt;inputs!$H$17, inputs!$H$17, (((inputs!$P$12/(V739/MAX(K739:S739)))^(1/inputs!$O$12))-1)/inputs!$N$12))</f>
        <v>1000</v>
      </c>
      <c r="U739">
        <f>IF((((inputs!$P$12/(X739/MAX(K739:S739)))^(1/inputs!$O$12))-1)/inputs!$N$12&lt;0, 0, IF((((inputs!$P$12/(X739/MAX(K739:S739)))^(1/inputs!$O$12))-1)/inputs!$N$12&gt;inputs!$H$17, inputs!$H$17, (((inputs!$P$12/(X739/MAX(K739:S739)))^(1/inputs!$O$12))-1)/inputs!$N$12))</f>
        <v>593.70607186957625</v>
      </c>
      <c r="V739">
        <f>inputs!$E$87*(F739/inputs!$F$87)^(1)</f>
        <v>1.8619999999999999E-3</v>
      </c>
      <c r="W739">
        <f>inputs!$E$90*(F739/inputs!$F$90)^(1)</f>
        <v>1.9600000000000004E-3</v>
      </c>
      <c r="X739">
        <f>inputs!$E$89*(F739/inputs!$F$89)^(1)</f>
        <v>7.3189873417721521E-3</v>
      </c>
      <c r="Y739" t="s">
        <v>13</v>
      </c>
      <c r="Z739">
        <f t="shared" si="75"/>
        <v>16189.462751329778</v>
      </c>
      <c r="AA739">
        <f t="shared" si="76"/>
        <v>15379.989613763286</v>
      </c>
    </row>
    <row r="740" spans="1:27" x14ac:dyDescent="0.3">
      <c r="A740" t="s">
        <v>436</v>
      </c>
      <c r="B740" t="s">
        <v>437</v>
      </c>
      <c r="C740" t="s">
        <v>79</v>
      </c>
      <c r="D740" t="s">
        <v>378</v>
      </c>
      <c r="E740">
        <v>175</v>
      </c>
      <c r="F740">
        <v>9.8000000000000007</v>
      </c>
      <c r="G740" t="s">
        <v>145</v>
      </c>
      <c r="H740">
        <v>0.66</v>
      </c>
      <c r="I740">
        <f>MAX('Min rate concentrations'!$M$3:$M$368)</f>
        <v>2.8488184789681945</v>
      </c>
      <c r="J740">
        <f>MAX('Min rate concentrations'!AE:AE)</f>
        <v>1.9699276716269429</v>
      </c>
      <c r="K740">
        <f t="shared" si="77"/>
        <v>6.4881501795896593E-2</v>
      </c>
      <c r="L740">
        <f t="shared" si="78"/>
        <v>4.4864868263119993E-2</v>
      </c>
      <c r="M740">
        <f>IF((((0.065*F740^0.726)/3.7-(0.301*F740^0.751)/(1-H740)*H740)*(MAX('Min rate concentrations'!$P$3:$P$368)))/F740&gt;0, (((0.065*F740^0.726)/3.7-(0.301*F740^0.751)/(1-H740)*H740)*(MAX('Min rate concentrations'!$P$3:$P$368)))/F740, 0)</f>
        <v>0</v>
      </c>
      <c r="N740">
        <f>IF((((0.065*F740^0.726)/3.7-(0.301*F740^0.751)/(1-H740)*H740)*(MAX('Min rate concentrations'!$Q$3:$Q$368)))/F740&gt;0, (((0.065*F740^0.726)/3.7-(0.301*F740^0.751)/(1-H740)*H740)*(MAX('Min rate concentrations'!$Q$3:$Q$368)))/F740, 0)</f>
        <v>0</v>
      </c>
      <c r="O740" t="s">
        <v>13</v>
      </c>
      <c r="P740" t="s">
        <v>13</v>
      </c>
      <c r="Q740">
        <f>(inputs!$C$7*11.2)*(25.05*F740^0.63)*0.5*1/F740</f>
        <v>30.144779642976047</v>
      </c>
      <c r="R740">
        <f>(60*76.9*((F740/1000)^0.76)*3*24*(MAX('Min rate concentrations'!$R$3:$R$368))/F740)</f>
        <v>1.2946795152368831E-3</v>
      </c>
      <c r="S740">
        <f>(IF(inputs!$C$6="aerial",((0.025*0.112*inputs!$C$7/3.3)*(3*60*76.9*((F740/1000)^0.76))*MAX(inputs!$H$14:$H$16))/F740,((0.0083*0.112*inputs!$C$7/1)*(3*60*76.9*((F740/1000)^0.76))*MAX(inputs!$H$14:$H$16))/F740))</f>
        <v>5.4667440062990446E-3</v>
      </c>
      <c r="T740">
        <f>IF((((inputs!$P$12/(V740/MAX(K740:S740)))^(1/inputs!$O$12))-1)/inputs!$N$12&lt;0, 0, IF((((inputs!$P$12/(V740/MAX(K740:S740)))^(1/inputs!$O$12))-1)/inputs!$N$12&gt;inputs!$H$17, inputs!$H$17, (((inputs!$P$12/(V740/MAX(K740:S740)))^(1/inputs!$O$12))-1)/inputs!$N$12))</f>
        <v>1000</v>
      </c>
      <c r="U740">
        <f>IF((((inputs!$P$12/(X740/MAX(K740:S740)))^(1/inputs!$O$12))-1)/inputs!$N$12&lt;0, 0, IF((((inputs!$P$12/(X740/MAX(K740:S740)))^(1/inputs!$O$12))-1)/inputs!$N$12&gt;inputs!$H$17, inputs!$H$17, (((inputs!$P$12/(X740/MAX(K740:S740)))^(1/inputs!$O$12))-1)/inputs!$N$12))</f>
        <v>593.70607186957625</v>
      </c>
      <c r="V740">
        <f>inputs!$E$87*(F740/inputs!$F$87)^(1)</f>
        <v>1.8619999999999999E-3</v>
      </c>
      <c r="W740">
        <f>inputs!$E$90*(F740/inputs!$F$90)^(1)</f>
        <v>1.9600000000000004E-3</v>
      </c>
      <c r="X740">
        <f>inputs!$E$89*(F740/inputs!$F$89)^(1)</f>
        <v>7.3189873417721521E-3</v>
      </c>
      <c r="Y740" t="s">
        <v>13</v>
      </c>
      <c r="Z740">
        <f t="shared" si="75"/>
        <v>16189.462751329778</v>
      </c>
      <c r="AA740">
        <f t="shared" si="76"/>
        <v>15379.989613763286</v>
      </c>
    </row>
    <row r="741" spans="1:27" x14ac:dyDescent="0.3">
      <c r="A741" t="s">
        <v>420</v>
      </c>
      <c r="B741" t="s">
        <v>421</v>
      </c>
      <c r="C741" t="s">
        <v>79</v>
      </c>
      <c r="D741" t="s">
        <v>378</v>
      </c>
      <c r="E741">
        <v>180</v>
      </c>
      <c r="F741">
        <v>50</v>
      </c>
      <c r="G741" t="s">
        <v>164</v>
      </c>
      <c r="H741">
        <v>0.78</v>
      </c>
      <c r="I741">
        <f>inputs!$C$65*(inputs!$C$62/1000)</f>
        <v>0.82000000000000006</v>
      </c>
      <c r="J741">
        <f>inputs!$C$65*(inputs!$C$61/1000)</f>
        <v>0.25</v>
      </c>
      <c r="K741">
        <f t="shared" si="77"/>
        <v>1.9937391312813794E-2</v>
      </c>
      <c r="L741">
        <f t="shared" si="78"/>
        <v>6.0784729612237175E-3</v>
      </c>
      <c r="M741">
        <f>IF((((0.065*F741^0.726)/3.7-(0.301*F741^0.751)/(1-H741)*H741)*(MAX('Min rate concentrations'!$P$3:$P$368)))/F741&gt;0, (((0.065*F741^0.726)/3.7-(0.301*F741^0.751)/(1-H741)*H741)*(MAX('Min rate concentrations'!$P$3:$P$368)))/F741, 0)</f>
        <v>0</v>
      </c>
      <c r="N741">
        <f>IF((((0.065*F741^0.726)/3.7-(0.301*F741^0.751)/(1-H741)*H741)*(MAX('Min rate concentrations'!$Q$3:$Q$368)))/F741&gt;0, (((0.065*F741^0.726)/3.7-(0.301*F741^0.751)/(1-H741)*H741)*(MAX('Min rate concentrations'!$Q$3:$Q$368)))/F741, 0)</f>
        <v>0</v>
      </c>
      <c r="O741" t="s">
        <v>13</v>
      </c>
      <c r="P741" t="s">
        <v>13</v>
      </c>
      <c r="Q741">
        <f>(inputs!$C$7*11.2)*(25.05*F741^0.63)*0.5*1/F741</f>
        <v>16.494792626544143</v>
      </c>
      <c r="R741">
        <f>(60*76.9*((F741/1000)^0.76)*3*24*(MAX('Min rate concentrations'!$R$3:$R$368))/F741)</f>
        <v>8.755959289380033E-4</v>
      </c>
      <c r="S741">
        <f>(IF(inputs!$C$6="aerial",((0.025*0.112*inputs!$C$7/3.3)*(3*60*76.9*((F741/1000)^0.76))*MAX(inputs!$H$14:$H$16))/F741,((0.0083*0.112*inputs!$C$7/1)*(3*60*76.9*((F741/1000)^0.76))*MAX(inputs!$H$14:$H$16))/F741))</f>
        <v>3.6971765909078092E-3</v>
      </c>
      <c r="T741">
        <f>IF((((inputs!$P$12/(V741/MAX(K741:S741)))^(1/inputs!$O$12))-1)/inputs!$N$12&lt;0, 0, IF((((inputs!$P$12/(V741/MAX(K741:S741)))^(1/inputs!$O$12))-1)/inputs!$N$12&gt;inputs!$H$17, inputs!$H$17, (((inputs!$P$12/(V741/MAX(K741:S741)))^(1/inputs!$O$12))-1)/inputs!$N$12))</f>
        <v>409.38016530738128</v>
      </c>
      <c r="U741">
        <f>IF((((inputs!$P$12/(X741/MAX(K741:S741)))^(1/inputs!$O$12))-1)/inputs!$N$12&lt;0, 0, IF((((inputs!$P$12/(X741/MAX(K741:S741)))^(1/inputs!$O$12))-1)/inputs!$N$12&gt;inputs!$H$17, inputs!$H$17, (((inputs!$P$12/(X741/MAX(K741:S741)))^(1/inputs!$O$12))-1)/inputs!$N$12))</f>
        <v>222.44007744935962</v>
      </c>
      <c r="V741">
        <f>inputs!$E$87*(F741/inputs!$F$87)^(1)</f>
        <v>9.4999999999999998E-3</v>
      </c>
      <c r="W741">
        <f>inputs!$E$90*(F741/inputs!$F$90)^(1)</f>
        <v>0.01</v>
      </c>
      <c r="X741">
        <f>inputs!$E$89*(F741/inputs!$F$89)^(1)</f>
        <v>3.7341772151898732E-2</v>
      </c>
      <c r="Y741" t="s">
        <v>13</v>
      </c>
      <c r="Z741">
        <f t="shared" si="75"/>
        <v>1736.2939606888572</v>
      </c>
      <c r="AA741">
        <f t="shared" si="76"/>
        <v>1649.4792626544142</v>
      </c>
    </row>
    <row r="742" spans="1:27" x14ac:dyDescent="0.3">
      <c r="A742" t="s">
        <v>420</v>
      </c>
      <c r="B742" t="s">
        <v>421</v>
      </c>
      <c r="C742" t="s">
        <v>79</v>
      </c>
      <c r="D742" t="s">
        <v>378</v>
      </c>
      <c r="E742">
        <v>180</v>
      </c>
      <c r="F742">
        <v>50</v>
      </c>
      <c r="G742" t="s">
        <v>634</v>
      </c>
      <c r="H742">
        <v>0.75</v>
      </c>
      <c r="I742">
        <f>inputs!$C$65*inputs!$C$64/1000</f>
        <v>2.13</v>
      </c>
      <c r="J742">
        <f>inputs!$C$65*inputs!$C$63/1000</f>
        <v>0.88</v>
      </c>
      <c r="K742">
        <f t="shared" si="77"/>
        <v>4.5573958874070938E-2</v>
      </c>
      <c r="L742">
        <f t="shared" si="78"/>
        <v>1.8828677844686587E-2</v>
      </c>
      <c r="M742">
        <f>IF((((0.065*F742^0.726)/3.7-(0.301*F742^0.751)/(1-H742)*H742)*(MAX('Min rate concentrations'!$P$3:$P$368)))/F742&gt;0, (((0.065*F742^0.726)/3.7-(0.301*F742^0.751)/(1-H742)*H742)*(MAX('Min rate concentrations'!$P$3:$P$368)))/F742, 0)</f>
        <v>0</v>
      </c>
      <c r="N742">
        <f>IF((((0.065*F742^0.726)/3.7-(0.301*F742^0.751)/(1-H742)*H742)*(MAX('Min rate concentrations'!$Q$3:$Q$368)))/F742&gt;0, (((0.065*F742^0.726)/3.7-(0.301*F742^0.751)/(1-H742)*H742)*(MAX('Min rate concentrations'!$Q$3:$Q$368)))/F742, 0)</f>
        <v>0</v>
      </c>
      <c r="O742" t="s">
        <v>13</v>
      </c>
      <c r="P742" t="s">
        <v>13</v>
      </c>
      <c r="Q742">
        <f>(inputs!$C$7*11.2)*(25.05*F742^0.63)*0.5*1/F742</f>
        <v>16.494792626544143</v>
      </c>
      <c r="R742">
        <f>(60*76.9*((F742/1000)^0.76)*3*24*(MAX('Min rate concentrations'!$R$3:$R$368))/F742)</f>
        <v>8.755959289380033E-4</v>
      </c>
      <c r="S742">
        <f>(IF(inputs!$C$6="aerial",((0.025*0.112*inputs!$C$7/3.3)*(3*60*76.9*((F742/1000)^0.76))*MAX(inputs!$H$14:$H$16))/F742,((0.0083*0.112*inputs!$C$7/1)*(3*60*76.9*((F742/1000)^0.76))*MAX(inputs!$H$14:$H$16))/F742))</f>
        <v>3.6971765909078092E-3</v>
      </c>
      <c r="T742">
        <f>IF((((inputs!$P$12/(V742/MAX(K742:S742)))^(1/inputs!$O$12))-1)/inputs!$N$12&lt;0, 0, IF((((inputs!$P$12/(V742/MAX(K742:S742)))^(1/inputs!$O$12))-1)/inputs!$N$12&gt;inputs!$H$17, inputs!$H$17, (((inputs!$P$12/(V742/MAX(K742:S742)))^(1/inputs!$O$12))-1)/inputs!$N$12))</f>
        <v>409.38016530738128</v>
      </c>
      <c r="U742">
        <f>IF((((inputs!$P$12/(X742/MAX(K742:S742)))^(1/inputs!$O$12))-1)/inputs!$N$12&lt;0, 0, IF((((inputs!$P$12/(X742/MAX(K742:S742)))^(1/inputs!$O$12))-1)/inputs!$N$12&gt;inputs!$H$17, inputs!$H$17, (((inputs!$P$12/(X742/MAX(K742:S742)))^(1/inputs!$O$12))-1)/inputs!$N$12))</f>
        <v>222.44007744935962</v>
      </c>
      <c r="V742">
        <f>inputs!$E$87*(F742/inputs!$F$87)^(1)</f>
        <v>9.4999999999999998E-3</v>
      </c>
      <c r="W742">
        <f>inputs!$E$90*(F742/inputs!$F$90)^(1)</f>
        <v>0.01</v>
      </c>
      <c r="X742">
        <f>inputs!$E$89*(F742/inputs!$F$89)^(1)</f>
        <v>3.7341772151898732E-2</v>
      </c>
      <c r="Y742" t="s">
        <v>13</v>
      </c>
      <c r="Z742">
        <f t="shared" si="75"/>
        <v>1736.2939606888572</v>
      </c>
      <c r="AA742">
        <f t="shared" si="76"/>
        <v>1649.4792626544142</v>
      </c>
    </row>
    <row r="743" spans="1:27" x14ac:dyDescent="0.3">
      <c r="A743" t="s">
        <v>379</v>
      </c>
      <c r="B743" t="s">
        <v>380</v>
      </c>
      <c r="C743" t="s">
        <v>79</v>
      </c>
      <c r="D743" t="s">
        <v>378</v>
      </c>
      <c r="E743">
        <v>162</v>
      </c>
      <c r="F743">
        <v>78</v>
      </c>
      <c r="G743" t="s">
        <v>142</v>
      </c>
      <c r="H743">
        <v>0.69</v>
      </c>
      <c r="I743">
        <f>MAX('Min rate concentrations'!$H$3:$H$368)</f>
        <v>47</v>
      </c>
      <c r="J743">
        <f>MAX('Min rate concentrations'!AA:AA)</f>
        <v>32.5</v>
      </c>
      <c r="K743">
        <f t="shared" si="77"/>
        <v>0.73311826818996484</v>
      </c>
      <c r="L743">
        <f t="shared" si="78"/>
        <v>0.506943483322848</v>
      </c>
      <c r="M743">
        <f>IF((((0.065*F743^0.726)/3.7-(0.301*F743^0.751)/(1-H743)*H743)*(MAX('Min rate concentrations'!$P$3:$P$368)))/F743&gt;0, (((0.065*F743^0.726)/3.7-(0.301*F743^0.751)/(1-H743)*H743)*(MAX('Min rate concentrations'!$P$3:$P$368)))/F743, 0)</f>
        <v>0</v>
      </c>
      <c r="N743">
        <f>IF((((0.065*F743^0.726)/3.7-(0.301*F743^0.751)/(1-H743)*H743)*(MAX('Min rate concentrations'!$Q$3:$Q$368)))/F743&gt;0, (((0.065*F743^0.726)/3.7-(0.301*F743^0.751)/(1-H743)*H743)*(MAX('Min rate concentrations'!$Q$3:$Q$368)))/F743, 0)</f>
        <v>0</v>
      </c>
      <c r="O743" t="s">
        <v>13</v>
      </c>
      <c r="P743" t="s">
        <v>13</v>
      </c>
      <c r="Q743">
        <f>(inputs!$C$7*11.2)*(25.05*F743^0.63)*0.5*1/F743</f>
        <v>13.992353178216476</v>
      </c>
      <c r="R743">
        <f>(60*76.9*((F743/1000)^0.76)*3*24*(MAX('Min rate concentrations'!$R$3:$R$368))/F743)</f>
        <v>7.8696212312380541E-4</v>
      </c>
      <c r="S743">
        <f>(IF(inputs!$C$6="aerial",((0.025*0.112*inputs!$C$7/3.3)*(3*60*76.9*((F743/1000)^0.76))*MAX(inputs!$H$14:$H$16))/F743,((0.0083*0.112*inputs!$C$7/1)*(3*60*76.9*((F743/1000)^0.76))*MAX(inputs!$H$14:$H$16))/F743))</f>
        <v>3.3229231011539483E-3</v>
      </c>
      <c r="T743">
        <f>IF((((inputs!$P$12/(V743/MAX(K743:S743)))^(1/inputs!$O$12))-1)/inputs!$N$12&lt;0, 0, IF((((inputs!$P$12/(V743/MAX(K743:S743)))^(1/inputs!$O$12))-1)/inputs!$N$12&gt;inputs!$H$17, inputs!$H$17, (((inputs!$P$12/(V743/MAX(K743:S743)))^(1/inputs!$O$12))-1)/inputs!$N$12))</f>
        <v>313.27766657028144</v>
      </c>
      <c r="U743">
        <f>IF((((inputs!$P$12/(X743/MAX(K743:S743)))^(1/inputs!$O$12))-1)/inputs!$N$12&lt;0, 0, IF((((inputs!$P$12/(X743/MAX(K743:S743)))^(1/inputs!$O$12))-1)/inputs!$N$12&gt;inputs!$H$17, inputs!$H$17, (((inputs!$P$12/(X743/MAX(K743:S743)))^(1/inputs!$O$12))-1)/inputs!$N$12))</f>
        <v>167.36665493570544</v>
      </c>
      <c r="V743">
        <f>inputs!$E$87*(F743/inputs!$F$87)^(1)</f>
        <v>1.482E-2</v>
      </c>
      <c r="W743">
        <f>inputs!$E$90*(F743/inputs!$F$90)^(1)</f>
        <v>1.5599999999999999E-2</v>
      </c>
      <c r="X743">
        <f>inputs!$E$89*(F743/inputs!$F$89)^(1)</f>
        <v>5.8253164556962021E-2</v>
      </c>
      <c r="Y743" t="s">
        <v>13</v>
      </c>
      <c r="Z743">
        <f t="shared" si="75"/>
        <v>944.15338584456651</v>
      </c>
      <c r="AA743">
        <f t="shared" si="76"/>
        <v>896.94571655233824</v>
      </c>
    </row>
    <row r="744" spans="1:27" x14ac:dyDescent="0.3">
      <c r="A744" t="s">
        <v>379</v>
      </c>
      <c r="B744" t="s">
        <v>380</v>
      </c>
      <c r="C744" t="s">
        <v>79</v>
      </c>
      <c r="D744" t="s">
        <v>378</v>
      </c>
      <c r="E744">
        <v>162</v>
      </c>
      <c r="F744">
        <v>78</v>
      </c>
      <c r="G744" t="s">
        <v>152</v>
      </c>
      <c r="H744">
        <v>0.77</v>
      </c>
      <c r="I744">
        <f>MAX('Min rate concentrations'!$G$3:$G$368)</f>
        <v>7.5</v>
      </c>
      <c r="J744">
        <f>MAX('Min rate concentrations'!Z:Z)</f>
        <v>3.5</v>
      </c>
      <c r="K744">
        <f t="shared" si="77"/>
        <v>0.15767807340810996</v>
      </c>
      <c r="L744">
        <f t="shared" si="78"/>
        <v>7.3583100923784645E-2</v>
      </c>
      <c r="M744">
        <f>IF((((0.065*F744^0.726)/3.7-(0.301*F744^0.751)/(1-H744)*H744)*(MAX('Min rate concentrations'!$P$3:$P$368)))/F744&gt;0, (((0.065*F744^0.726)/3.7-(0.301*F744^0.751)/(1-H744)*H744)*(MAX('Min rate concentrations'!$P$3:$P$368)))/F744, 0)</f>
        <v>0</v>
      </c>
      <c r="N744">
        <f>IF((((0.065*F744^0.726)/3.7-(0.301*F744^0.751)/(1-H744)*H744)*(MAX('Min rate concentrations'!$Q$3:$Q$368)))/F744&gt;0, (((0.065*F744^0.726)/3.7-(0.301*F744^0.751)/(1-H744)*H744)*(MAX('Min rate concentrations'!$Q$3:$Q$368)))/F744, 0)</f>
        <v>0</v>
      </c>
      <c r="O744" t="s">
        <v>13</v>
      </c>
      <c r="P744" t="s">
        <v>13</v>
      </c>
      <c r="Q744">
        <f>(inputs!$C$7*11.2)*(25.05*F744^0.63)*0.5*1/F744</f>
        <v>13.992353178216476</v>
      </c>
      <c r="R744">
        <f>(60*76.9*((F744/1000)^0.76)*3*24*(MAX('Min rate concentrations'!$R$3:$R$368))/F744)</f>
        <v>7.8696212312380541E-4</v>
      </c>
      <c r="S744">
        <f>(IF(inputs!$C$6="aerial",((0.025*0.112*inputs!$C$7/3.3)*(3*60*76.9*((F744/1000)^0.76))*MAX(inputs!$H$14:$H$16))/F744,((0.0083*0.112*inputs!$C$7/1)*(3*60*76.9*((F744/1000)^0.76))*MAX(inputs!$H$14:$H$16))/F744))</f>
        <v>3.3229231011539483E-3</v>
      </c>
      <c r="T744">
        <f>IF((((inputs!$P$12/(V744/MAX(K744:S744)))^(1/inputs!$O$12))-1)/inputs!$N$12&lt;0, 0, IF((((inputs!$P$12/(V744/MAX(K744:S744)))^(1/inputs!$O$12))-1)/inputs!$N$12&gt;inputs!$H$17, inputs!$H$17, (((inputs!$P$12/(V744/MAX(K744:S744)))^(1/inputs!$O$12))-1)/inputs!$N$12))</f>
        <v>313.27766657028144</v>
      </c>
      <c r="U744">
        <f>IF((((inputs!$P$12/(X744/MAX(K744:S744)))^(1/inputs!$O$12))-1)/inputs!$N$12&lt;0, 0, IF((((inputs!$P$12/(X744/MAX(K744:S744)))^(1/inputs!$O$12))-1)/inputs!$N$12&gt;inputs!$H$17, inputs!$H$17, (((inputs!$P$12/(X744/MAX(K744:S744)))^(1/inputs!$O$12))-1)/inputs!$N$12))</f>
        <v>167.36665493570544</v>
      </c>
      <c r="V744">
        <f>inputs!$E$87*(F744/inputs!$F$87)^(1)</f>
        <v>1.482E-2</v>
      </c>
      <c r="W744">
        <f>inputs!$E$90*(F744/inputs!$F$90)^(1)</f>
        <v>1.5599999999999999E-2</v>
      </c>
      <c r="X744">
        <f>inputs!$E$89*(F744/inputs!$F$89)^(1)</f>
        <v>5.8253164556962021E-2</v>
      </c>
      <c r="Y744" t="s">
        <v>13</v>
      </c>
      <c r="Z744">
        <f t="shared" si="75"/>
        <v>944.15338584456651</v>
      </c>
      <c r="AA744">
        <f t="shared" si="76"/>
        <v>896.94571655233824</v>
      </c>
    </row>
    <row r="745" spans="1:27" x14ac:dyDescent="0.3">
      <c r="A745" t="s">
        <v>379</v>
      </c>
      <c r="B745" t="s">
        <v>380</v>
      </c>
      <c r="C745" t="s">
        <v>79</v>
      </c>
      <c r="D745" t="s">
        <v>378</v>
      </c>
      <c r="E745">
        <v>162</v>
      </c>
      <c r="F745">
        <v>78</v>
      </c>
      <c r="G745" t="s">
        <v>145</v>
      </c>
      <c r="H745">
        <v>0.66</v>
      </c>
      <c r="I745">
        <f>MAX('Min rate concentrations'!$M$3:$M$368)</f>
        <v>2.8488184789681945</v>
      </c>
      <c r="J745">
        <f>MAX('Min rate concentrations'!AE:AE)</f>
        <v>1.9699276716269429</v>
      </c>
      <c r="K745">
        <f t="shared" si="77"/>
        <v>4.0515736520870295E-2</v>
      </c>
      <c r="L745">
        <f t="shared" si="78"/>
        <v>2.8016200785708181E-2</v>
      </c>
      <c r="M745">
        <f>IF((((0.065*F745^0.726)/3.7-(0.301*F745^0.751)/(1-H745)*H745)*(MAX('Min rate concentrations'!$P$3:$P$368)))/F745&gt;0, (((0.065*F745^0.726)/3.7-(0.301*F745^0.751)/(1-H745)*H745)*(MAX('Min rate concentrations'!$P$3:$P$368)))/F745, 0)</f>
        <v>0</v>
      </c>
      <c r="N745">
        <f>IF((((0.065*F745^0.726)/3.7-(0.301*F745^0.751)/(1-H745)*H745)*(MAX('Min rate concentrations'!$Q$3:$Q$368)))/F745&gt;0, (((0.065*F745^0.726)/3.7-(0.301*F745^0.751)/(1-H745)*H745)*(MAX('Min rate concentrations'!$Q$3:$Q$368)))/F745, 0)</f>
        <v>0</v>
      </c>
      <c r="O745" t="s">
        <v>13</v>
      </c>
      <c r="P745" t="s">
        <v>13</v>
      </c>
      <c r="Q745">
        <f>(inputs!$C$7*11.2)*(25.05*F745^0.63)*0.5*1/F745</f>
        <v>13.992353178216476</v>
      </c>
      <c r="R745">
        <f>(60*76.9*((F745/1000)^0.76)*3*24*(MAX('Min rate concentrations'!$R$3:$R$368))/F745)</f>
        <v>7.8696212312380541E-4</v>
      </c>
      <c r="S745">
        <f>(IF(inputs!$C$6="aerial",((0.025*0.112*inputs!$C$7/3.3)*(3*60*76.9*((F745/1000)^0.76))*MAX(inputs!$H$14:$H$16))/F745,((0.0083*0.112*inputs!$C$7/1)*(3*60*76.9*((F745/1000)^0.76))*MAX(inputs!$H$14:$H$16))/F745))</f>
        <v>3.3229231011539483E-3</v>
      </c>
      <c r="T745">
        <f>IF((((inputs!$P$12/(V745/MAX(K745:S745)))^(1/inputs!$O$12))-1)/inputs!$N$12&lt;0, 0, IF((((inputs!$P$12/(V745/MAX(K745:S745)))^(1/inputs!$O$12))-1)/inputs!$N$12&gt;inputs!$H$17, inputs!$H$17, (((inputs!$P$12/(V745/MAX(K745:S745)))^(1/inputs!$O$12))-1)/inputs!$N$12))</f>
        <v>313.27766657028144</v>
      </c>
      <c r="U745">
        <f>IF((((inputs!$P$12/(X745/MAX(K745:S745)))^(1/inputs!$O$12))-1)/inputs!$N$12&lt;0, 0, IF((((inputs!$P$12/(X745/MAX(K745:S745)))^(1/inputs!$O$12))-1)/inputs!$N$12&gt;inputs!$H$17, inputs!$H$17, (((inputs!$P$12/(X745/MAX(K745:S745)))^(1/inputs!$O$12))-1)/inputs!$N$12))</f>
        <v>167.36665493570544</v>
      </c>
      <c r="V745">
        <f>inputs!$E$87*(F745/inputs!$F$87)^(1)</f>
        <v>1.482E-2</v>
      </c>
      <c r="W745">
        <f>inputs!$E$90*(F745/inputs!$F$90)^(1)</f>
        <v>1.5599999999999999E-2</v>
      </c>
      <c r="X745">
        <f>inputs!$E$89*(F745/inputs!$F$89)^(1)</f>
        <v>5.8253164556962021E-2</v>
      </c>
      <c r="Y745" t="s">
        <v>13</v>
      </c>
      <c r="Z745">
        <f t="shared" si="75"/>
        <v>944.15338584456651</v>
      </c>
      <c r="AA745">
        <f t="shared" si="76"/>
        <v>896.94571655233824</v>
      </c>
    </row>
    <row r="746" spans="1:27" x14ac:dyDescent="0.3">
      <c r="A746" t="s">
        <v>391</v>
      </c>
      <c r="B746" t="s">
        <v>392</v>
      </c>
      <c r="C746" t="s">
        <v>79</v>
      </c>
      <c r="D746" t="s">
        <v>378</v>
      </c>
      <c r="E746">
        <v>173</v>
      </c>
      <c r="F746">
        <v>550</v>
      </c>
      <c r="G746" t="s">
        <v>182</v>
      </c>
      <c r="H746">
        <v>0.85</v>
      </c>
      <c r="I746">
        <f>MAX('Min rate concentrations'!$M$3:$M$368)</f>
        <v>2.8488184789681945</v>
      </c>
      <c r="J746">
        <f>MAX('Min rate concentrations'!AE:AE)</f>
        <v>1.9699276716269429</v>
      </c>
      <c r="K746">
        <f t="shared" si="77"/>
        <v>5.8946027242639497E-2</v>
      </c>
      <c r="L746">
        <f t="shared" si="78"/>
        <v>4.0760550752889015E-2</v>
      </c>
      <c r="M746">
        <f>IF((((0.065*F746^0.726)/3.7-(0.301*F746^0.751)/(1-H746)*H746)*(MAX('Min rate concentrations'!$P$3:$P$368)))/F746&gt;0, (((0.065*F746^0.726)/3.7-(0.301*F746^0.751)/(1-H746)*H746)*(MAX('Min rate concentrations'!$P$3:$P$368)))/F746, 0)</f>
        <v>0</v>
      </c>
      <c r="N746">
        <f>IF((((0.065*F746^0.726)/3.7-(0.301*F746^0.751)/(1-H746)*H746)*(MAX('Min rate concentrations'!$Q$3:$Q$368)))/F746&gt;0, (((0.065*F746^0.726)/3.7-(0.301*F746^0.751)/(1-H746)*H746)*(MAX('Min rate concentrations'!$Q$3:$Q$368)))/F746, 0)</f>
        <v>0</v>
      </c>
      <c r="O746" t="s">
        <v>13</v>
      </c>
      <c r="P746" t="s">
        <v>13</v>
      </c>
      <c r="Q746">
        <f>(inputs!$C$7*11.2)*(25.05*F746^0.63)*0.5*1/F746</f>
        <v>6.7925300191794715</v>
      </c>
      <c r="R746">
        <f>(60*76.9*((F746/1000)^0.76)*3*24*(MAX('Min rate concentrations'!$R$3:$R$368))/F746)</f>
        <v>4.9245833138709374E-4</v>
      </c>
      <c r="S746">
        <f>(IF(inputs!$C$6="aerial",((0.025*0.112*inputs!$C$7/3.3)*(3*60*76.9*((F746/1000)^0.76))*MAX(inputs!$H$14:$H$16))/F746,((0.0083*0.112*inputs!$C$7/1)*(3*60*76.9*((F746/1000)^0.76))*MAX(inputs!$H$14:$H$16))/F746))</f>
        <v>2.0793899955772847E-3</v>
      </c>
      <c r="T746">
        <f>IF((((inputs!$P$12/(V746/MAX(K746:S746)))^(1/inputs!$O$12))-1)/inputs!$N$12&lt;0, 0, IF((((inputs!$P$12/(V746/MAX(K746:S746)))^(1/inputs!$O$12))-1)/inputs!$N$12&gt;inputs!$H$17, inputs!$H$17, (((inputs!$P$12/(V746/MAX(K746:S746)))^(1/inputs!$O$12))-1)/inputs!$N$12))</f>
        <v>86.603934037532397</v>
      </c>
      <c r="U746">
        <f>IF((((inputs!$P$12/(X746/MAX(K746:S746)))^(1/inputs!$O$12))-1)/inputs!$N$12&lt;0, 0, IF((((inputs!$P$12/(X746/MAX(K746:S746)))^(1/inputs!$O$12))-1)/inputs!$N$12&gt;inputs!$H$17, inputs!$H$17, (((inputs!$P$12/(X746/MAX(K746:S746)))^(1/inputs!$O$12))-1)/inputs!$N$12))</f>
        <v>37.466824977341858</v>
      </c>
      <c r="V746">
        <f>inputs!$E$87*(F746/inputs!$F$87)^(1)</f>
        <v>0.1045</v>
      </c>
      <c r="W746">
        <f>inputs!$E$90*(F746/inputs!$F$90)^(1)</f>
        <v>0.11000000000000001</v>
      </c>
      <c r="X746">
        <f>inputs!$E$89*(F746/inputs!$F$89)^(1)</f>
        <v>0.4107594936708861</v>
      </c>
      <c r="Y746" t="s">
        <v>13</v>
      </c>
      <c r="Z746">
        <f t="shared" si="75"/>
        <v>65.000287264875325</v>
      </c>
      <c r="AA746">
        <f t="shared" si="76"/>
        <v>61.750272901631554</v>
      </c>
    </row>
    <row r="747" spans="1:27" x14ac:dyDescent="0.3">
      <c r="A747" t="s">
        <v>391</v>
      </c>
      <c r="B747" t="s">
        <v>392</v>
      </c>
      <c r="C747" t="s">
        <v>79</v>
      </c>
      <c r="D747" t="s">
        <v>378</v>
      </c>
      <c r="E747">
        <v>173</v>
      </c>
      <c r="F747">
        <v>550</v>
      </c>
      <c r="G747" t="s">
        <v>142</v>
      </c>
      <c r="H747">
        <v>0.69</v>
      </c>
      <c r="I747">
        <f>MAX('Min rate concentrations'!$H$3:$H$368)</f>
        <v>47</v>
      </c>
      <c r="J747">
        <f>MAX('Min rate concentrations'!AA:AA)</f>
        <v>32.5</v>
      </c>
      <c r="K747">
        <f t="shared" si="77"/>
        <v>0.47056236066965446</v>
      </c>
      <c r="L747">
        <f t="shared" si="78"/>
        <v>0.3253888664205058</v>
      </c>
      <c r="M747">
        <f>IF((((0.065*F747^0.726)/3.7-(0.301*F747^0.751)/(1-H747)*H747)*(MAX('Min rate concentrations'!$P$3:$P$368)))/F747&gt;0, (((0.065*F747^0.726)/3.7-(0.301*F747^0.751)/(1-H747)*H747)*(MAX('Min rate concentrations'!$P$3:$P$368)))/F747, 0)</f>
        <v>0</v>
      </c>
      <c r="N747">
        <f>IF((((0.065*F747^0.726)/3.7-(0.301*F747^0.751)/(1-H747)*H747)*(MAX('Min rate concentrations'!$Q$3:$Q$368)))/F747&gt;0, (((0.065*F747^0.726)/3.7-(0.301*F747^0.751)/(1-H747)*H747)*(MAX('Min rate concentrations'!$Q$3:$Q$368)))/F747, 0)</f>
        <v>0</v>
      </c>
      <c r="O747" t="s">
        <v>13</v>
      </c>
      <c r="P747" t="s">
        <v>13</v>
      </c>
      <c r="Q747">
        <f>(inputs!$C$7*11.2)*(25.05*F747^0.63)*0.5*1/F747</f>
        <v>6.7925300191794715</v>
      </c>
      <c r="R747">
        <f>(60*76.9*((F747/1000)^0.76)*3*24*(MAX('Min rate concentrations'!$R$3:$R$368))/F747)</f>
        <v>4.9245833138709374E-4</v>
      </c>
      <c r="S747">
        <f>(IF(inputs!$C$6="aerial",((0.025*0.112*inputs!$C$7/3.3)*(3*60*76.9*((F747/1000)^0.76))*MAX(inputs!$H$14:$H$16))/F747,((0.0083*0.112*inputs!$C$7/1)*(3*60*76.9*((F747/1000)^0.76))*MAX(inputs!$H$14:$H$16))/F747))</f>
        <v>2.0793899955772847E-3</v>
      </c>
      <c r="T747">
        <f>IF((((inputs!$P$12/(V747/MAX(K747:S747)))^(1/inputs!$O$12))-1)/inputs!$N$12&lt;0, 0, IF((((inputs!$P$12/(V747/MAX(K747:S747)))^(1/inputs!$O$12))-1)/inputs!$N$12&gt;inputs!$H$17, inputs!$H$17, (((inputs!$P$12/(V747/MAX(K747:S747)))^(1/inputs!$O$12))-1)/inputs!$N$12))</f>
        <v>86.603934037532397</v>
      </c>
      <c r="U747">
        <f>IF((((inputs!$P$12/(X747/MAX(K747:S747)))^(1/inputs!$O$12))-1)/inputs!$N$12&lt;0, 0, IF((((inputs!$P$12/(X747/MAX(K747:S747)))^(1/inputs!$O$12))-1)/inputs!$N$12&gt;inputs!$H$17, inputs!$H$17, (((inputs!$P$12/(X747/MAX(K747:S747)))^(1/inputs!$O$12))-1)/inputs!$N$12))</f>
        <v>37.466824977341858</v>
      </c>
      <c r="V747">
        <f>inputs!$E$87*(F747/inputs!$F$87)^(1)</f>
        <v>0.1045</v>
      </c>
      <c r="W747">
        <f>inputs!$E$90*(F747/inputs!$F$90)^(1)</f>
        <v>0.11000000000000001</v>
      </c>
      <c r="X747">
        <f>inputs!$E$89*(F747/inputs!$F$89)^(1)</f>
        <v>0.4107594936708861</v>
      </c>
      <c r="Y747" t="s">
        <v>13</v>
      </c>
      <c r="Z747">
        <f t="shared" si="75"/>
        <v>65.000287264875325</v>
      </c>
      <c r="AA747">
        <f t="shared" si="76"/>
        <v>61.750272901631554</v>
      </c>
    </row>
    <row r="748" spans="1:27" x14ac:dyDescent="0.3">
      <c r="A748" t="s">
        <v>391</v>
      </c>
      <c r="B748" t="s">
        <v>392</v>
      </c>
      <c r="C748" t="s">
        <v>79</v>
      </c>
      <c r="D748" t="s">
        <v>378</v>
      </c>
      <c r="E748">
        <v>173</v>
      </c>
      <c r="F748">
        <v>550</v>
      </c>
      <c r="G748" t="s">
        <v>138</v>
      </c>
      <c r="H748">
        <v>0.68</v>
      </c>
      <c r="I748">
        <f>MAX('Min rate concentrations'!$L$3:$L$368)</f>
        <v>58.421240152220811</v>
      </c>
      <c r="J748">
        <f>MAX('Min rate concentrations'!AD:AD)</f>
        <v>40.397666062705881</v>
      </c>
      <c r="K748">
        <f t="shared" si="77"/>
        <v>0.56663293687341298</v>
      </c>
      <c r="L748">
        <f t="shared" si="78"/>
        <v>0.3918206478379983</v>
      </c>
      <c r="M748">
        <f>IF((((0.065*F748^0.726)/3.7-(0.301*F748^0.751)/(1-H748)*H748)*(MAX('Min rate concentrations'!$P$3:$P$368)))/F748&gt;0, (((0.065*F748^0.726)/3.7-(0.301*F748^0.751)/(1-H748)*H748)*(MAX('Min rate concentrations'!$P$3:$P$368)))/F748, 0)</f>
        <v>0</v>
      </c>
      <c r="N748">
        <f>IF((((0.065*F748^0.726)/3.7-(0.301*F748^0.751)/(1-H748)*H748)*(MAX('Min rate concentrations'!$Q$3:$Q$368)))/F748&gt;0, (((0.065*F748^0.726)/3.7-(0.301*F748^0.751)/(1-H748)*H748)*(MAX('Min rate concentrations'!$Q$3:$Q$368)))/F748, 0)</f>
        <v>0</v>
      </c>
      <c r="O748" t="s">
        <v>13</v>
      </c>
      <c r="P748" t="s">
        <v>13</v>
      </c>
      <c r="Q748">
        <f>(inputs!$C$7*11.2)*(25.05*F748^0.63)*0.5*1/F748</f>
        <v>6.7925300191794715</v>
      </c>
      <c r="R748">
        <f>(60*76.9*((F748/1000)^0.76)*3*24*(MAX('Min rate concentrations'!$R$3:$R$368))/F748)</f>
        <v>4.9245833138709374E-4</v>
      </c>
      <c r="S748">
        <f>(IF(inputs!$C$6="aerial",((0.025*0.112*inputs!$C$7/3.3)*(3*60*76.9*((F748/1000)^0.76))*MAX(inputs!$H$14:$H$16))/F748,((0.0083*0.112*inputs!$C$7/1)*(3*60*76.9*((F748/1000)^0.76))*MAX(inputs!$H$14:$H$16))/F748))</f>
        <v>2.0793899955772847E-3</v>
      </c>
      <c r="T748">
        <f>IF((((inputs!$P$12/(V748/MAX(K748:S748)))^(1/inputs!$O$12))-1)/inputs!$N$12&lt;0, 0, IF((((inputs!$P$12/(V748/MAX(K748:S748)))^(1/inputs!$O$12))-1)/inputs!$N$12&gt;inputs!$H$17, inputs!$H$17, (((inputs!$P$12/(V748/MAX(K748:S748)))^(1/inputs!$O$12))-1)/inputs!$N$12))</f>
        <v>86.603934037532397</v>
      </c>
      <c r="U748">
        <f>IF((((inputs!$P$12/(X748/MAX(K748:S748)))^(1/inputs!$O$12))-1)/inputs!$N$12&lt;0, 0, IF((((inputs!$P$12/(X748/MAX(K748:S748)))^(1/inputs!$O$12))-1)/inputs!$N$12&gt;inputs!$H$17, inputs!$H$17, (((inputs!$P$12/(X748/MAX(K748:S748)))^(1/inputs!$O$12))-1)/inputs!$N$12))</f>
        <v>37.466824977341858</v>
      </c>
      <c r="V748">
        <f>inputs!$E$87*(F748/inputs!$F$87)^(1)</f>
        <v>0.1045</v>
      </c>
      <c r="W748">
        <f>inputs!$E$90*(F748/inputs!$F$90)^(1)</f>
        <v>0.11000000000000001</v>
      </c>
      <c r="X748">
        <f>inputs!$E$89*(F748/inputs!$F$89)^(1)</f>
        <v>0.4107594936708861</v>
      </c>
      <c r="Y748" t="s">
        <v>13</v>
      </c>
      <c r="Z748">
        <f t="shared" si="75"/>
        <v>65.000287264875325</v>
      </c>
      <c r="AA748">
        <f t="shared" si="76"/>
        <v>61.750272901631554</v>
      </c>
    </row>
    <row r="749" spans="1:27" x14ac:dyDescent="0.3">
      <c r="A749" t="s">
        <v>391</v>
      </c>
      <c r="B749" t="s">
        <v>392</v>
      </c>
      <c r="C749" t="s">
        <v>79</v>
      </c>
      <c r="D749" t="s">
        <v>378</v>
      </c>
      <c r="E749">
        <v>173</v>
      </c>
      <c r="F749">
        <v>550</v>
      </c>
      <c r="G749" t="s">
        <v>186</v>
      </c>
      <c r="H749">
        <v>0.75</v>
      </c>
      <c r="I749">
        <f>inputs!$C$65*inputs!$C$64/1000</f>
        <v>2.13</v>
      </c>
      <c r="J749">
        <f>inputs!$C$65*inputs!$C$63/1000</f>
        <v>0.88</v>
      </c>
      <c r="K749">
        <f t="shared" si="77"/>
        <v>2.644360227661046E-2</v>
      </c>
      <c r="L749">
        <f t="shared" si="78"/>
        <v>1.0925056339632491E-2</v>
      </c>
      <c r="M749">
        <f>IF((((0.065*F749^0.726)/3.7-(0.301*F749^0.751)/(1-H749)*H749)*(MAX('Min rate concentrations'!$P$3:$P$368)))/F749&gt;0, (((0.065*F749^0.726)/3.7-(0.301*F749^0.751)/(1-H749)*H749)*(MAX('Min rate concentrations'!$P$3:$P$368)))/F749, 0)</f>
        <v>0</v>
      </c>
      <c r="N749">
        <f>IF((((0.065*F749^0.726)/3.7-(0.301*F749^0.751)/(1-H749)*H749)*(MAX('Min rate concentrations'!$Q$3:$Q$368)))/F749&gt;0, (((0.065*F749^0.726)/3.7-(0.301*F749^0.751)/(1-H749)*H749)*(MAX('Min rate concentrations'!$Q$3:$Q$368)))/F749, 0)</f>
        <v>0</v>
      </c>
      <c r="O749" t="s">
        <v>13</v>
      </c>
      <c r="P749" t="s">
        <v>13</v>
      </c>
      <c r="Q749">
        <f>(inputs!$C$7*11.2)*(25.05*F749^0.63)*0.5*1/F749</f>
        <v>6.7925300191794715</v>
      </c>
      <c r="R749">
        <f>(60*76.9*((F749/1000)^0.76)*3*24*(MAX('Min rate concentrations'!$R$3:$R$368))/F749)</f>
        <v>4.9245833138709374E-4</v>
      </c>
      <c r="S749">
        <f>(IF(inputs!$C$6="aerial",((0.025*0.112*inputs!$C$7/3.3)*(3*60*76.9*((F749/1000)^0.76))*MAX(inputs!$H$14:$H$16))/F749,((0.0083*0.112*inputs!$C$7/1)*(3*60*76.9*((F749/1000)^0.76))*MAX(inputs!$H$14:$H$16))/F749))</f>
        <v>2.0793899955772847E-3</v>
      </c>
      <c r="T749">
        <f>IF((((inputs!$P$12/(V749/MAX(K749:S749)))^(1/inputs!$O$12))-1)/inputs!$N$12&lt;0, 0, IF((((inputs!$P$12/(V749/MAX(K749:S749)))^(1/inputs!$O$12))-1)/inputs!$N$12&gt;inputs!$H$17, inputs!$H$17, (((inputs!$P$12/(V749/MAX(K749:S749)))^(1/inputs!$O$12))-1)/inputs!$N$12))</f>
        <v>86.603934037532397</v>
      </c>
      <c r="U749">
        <f>IF((((inputs!$P$12/(X749/MAX(K749:S749)))^(1/inputs!$O$12))-1)/inputs!$N$12&lt;0, 0, IF((((inputs!$P$12/(X749/MAX(K749:S749)))^(1/inputs!$O$12))-1)/inputs!$N$12&gt;inputs!$H$17, inputs!$H$17, (((inputs!$P$12/(X749/MAX(K749:S749)))^(1/inputs!$O$12))-1)/inputs!$N$12))</f>
        <v>37.466824977341858</v>
      </c>
      <c r="V749">
        <f>inputs!$E$87*(F749/inputs!$F$87)^(1)</f>
        <v>0.1045</v>
      </c>
      <c r="W749">
        <f>inputs!$E$90*(F749/inputs!$F$90)^(1)</f>
        <v>0.11000000000000001</v>
      </c>
      <c r="X749">
        <f>inputs!$E$89*(F749/inputs!$F$89)^(1)</f>
        <v>0.4107594936708861</v>
      </c>
      <c r="Y749" t="s">
        <v>13</v>
      </c>
      <c r="Z749">
        <f t="shared" si="75"/>
        <v>65.000287264875325</v>
      </c>
      <c r="AA749">
        <f t="shared" si="76"/>
        <v>61.750272901631554</v>
      </c>
    </row>
    <row r="750" spans="1:27" x14ac:dyDescent="0.3">
      <c r="A750" t="s">
        <v>391</v>
      </c>
      <c r="B750" t="s">
        <v>392</v>
      </c>
      <c r="C750" t="s">
        <v>79</v>
      </c>
      <c r="D750" t="s">
        <v>378</v>
      </c>
      <c r="E750">
        <v>173</v>
      </c>
      <c r="F750">
        <v>550</v>
      </c>
      <c r="G750" t="s">
        <v>456</v>
      </c>
      <c r="H750">
        <v>0.68</v>
      </c>
      <c r="I750">
        <f>MAX('Min rate concentrations'!$J$3:$J$368)</f>
        <v>114.4108103430513</v>
      </c>
      <c r="J750">
        <f>MAX('Min rate concentrations'!AB:AB)</f>
        <v>40.520495329830666</v>
      </c>
      <c r="K750">
        <f t="shared" si="77"/>
        <v>1.1096808849971975</v>
      </c>
      <c r="L750">
        <f t="shared" si="78"/>
        <v>0.39301198010317412</v>
      </c>
      <c r="M750">
        <f>IF((((0.065*F750^0.726)/3.7-(0.301*F750^0.751)/(1-H750)*H750)*(MAX('Min rate concentrations'!$P$3:$P$368)))/F750&gt;0, (((0.065*F750^0.726)/3.7-(0.301*F750^0.751)/(1-H750)*H750)*(MAX('Min rate concentrations'!$P$3:$P$368)))/F750, 0)</f>
        <v>0</v>
      </c>
      <c r="N750">
        <f>IF((((0.065*F750^0.726)/3.7-(0.301*F750^0.751)/(1-H750)*H750)*(MAX('Min rate concentrations'!$Q$3:$Q$368)))/F750&gt;0, (((0.065*F750^0.726)/3.7-(0.301*F750^0.751)/(1-H750)*H750)*(MAX('Min rate concentrations'!$Q$3:$Q$368)))/F750, 0)</f>
        <v>0</v>
      </c>
      <c r="O750" t="s">
        <v>13</v>
      </c>
      <c r="P750" t="s">
        <v>13</v>
      </c>
      <c r="Q750">
        <f>(inputs!$C$7*11.2)*(25.05*F750^0.63)*0.5*1/F750</f>
        <v>6.7925300191794715</v>
      </c>
      <c r="R750">
        <f>(60*76.9*((F750/1000)^0.76)*3*24*(MAX('Min rate concentrations'!$R$3:$R$368))/F750)</f>
        <v>4.9245833138709374E-4</v>
      </c>
      <c r="S750">
        <f>(IF(inputs!$C$6="aerial",((0.025*0.112*inputs!$C$7/3.3)*(3*60*76.9*((F750/1000)^0.76))*MAX(inputs!$H$14:$H$16))/F750,((0.0083*0.112*inputs!$C$7/1)*(3*60*76.9*((F750/1000)^0.76))*MAX(inputs!$H$14:$H$16))/F750))</f>
        <v>2.0793899955772847E-3</v>
      </c>
      <c r="T750">
        <f>IF((((inputs!$P$12/(V750/MAX(K750:S750)))^(1/inputs!$O$12))-1)/inputs!$N$12&lt;0, 0, IF((((inputs!$P$12/(V750/MAX(K750:S750)))^(1/inputs!$O$12))-1)/inputs!$N$12&gt;inputs!$H$17, inputs!$H$17, (((inputs!$P$12/(V750/MAX(K750:S750)))^(1/inputs!$O$12))-1)/inputs!$N$12))</f>
        <v>86.603934037532397</v>
      </c>
      <c r="U750">
        <f>IF((((inputs!$P$12/(X750/MAX(K750:S750)))^(1/inputs!$O$12))-1)/inputs!$N$12&lt;0, 0, IF((((inputs!$P$12/(X750/MAX(K750:S750)))^(1/inputs!$O$12))-1)/inputs!$N$12&gt;inputs!$H$17, inputs!$H$17, (((inputs!$P$12/(X750/MAX(K750:S750)))^(1/inputs!$O$12))-1)/inputs!$N$12))</f>
        <v>37.466824977341858</v>
      </c>
      <c r="V750">
        <f>inputs!$E$87*(F750/inputs!$F$87)^(1)</f>
        <v>0.1045</v>
      </c>
      <c r="W750">
        <f>inputs!$E$90*(F750/inputs!$F$90)^(1)</f>
        <v>0.11000000000000001</v>
      </c>
      <c r="X750">
        <f>inputs!$E$89*(F750/inputs!$F$89)^(1)</f>
        <v>0.4107594936708861</v>
      </c>
      <c r="Y750" t="s">
        <v>13</v>
      </c>
      <c r="Z750">
        <f t="shared" si="75"/>
        <v>65.000287264875325</v>
      </c>
      <c r="AA750">
        <f t="shared" si="76"/>
        <v>61.750272901631554</v>
      </c>
    </row>
    <row r="751" spans="1:27" x14ac:dyDescent="0.3">
      <c r="A751" t="s">
        <v>391</v>
      </c>
      <c r="B751" t="s">
        <v>392</v>
      </c>
      <c r="C751" t="s">
        <v>79</v>
      </c>
      <c r="D751" t="s">
        <v>378</v>
      </c>
      <c r="E751">
        <v>173</v>
      </c>
      <c r="F751">
        <v>550</v>
      </c>
      <c r="G751" t="s">
        <v>145</v>
      </c>
      <c r="H751">
        <v>0.66</v>
      </c>
      <c r="I751">
        <f>MAX('Min rate concentrations'!$M$3:$M$368)</f>
        <v>2.8488184789681945</v>
      </c>
      <c r="J751">
        <f>MAX('Min rate concentrations'!AE:AE)</f>
        <v>1.9699276716269429</v>
      </c>
      <c r="K751">
        <f t="shared" si="77"/>
        <v>2.6005600254105667E-2</v>
      </c>
      <c r="L751">
        <f t="shared" si="78"/>
        <v>1.7982595920392218E-2</v>
      </c>
      <c r="M751">
        <f>IF((((0.065*F751^0.726)/3.7-(0.301*F751^0.751)/(1-H751)*H751)*(MAX('Min rate concentrations'!$P$3:$P$368)))/F751&gt;0, (((0.065*F751^0.726)/3.7-(0.301*F751^0.751)/(1-H751)*H751)*(MAX('Min rate concentrations'!$P$3:$P$368)))/F751, 0)</f>
        <v>0</v>
      </c>
      <c r="N751">
        <f>IF((((0.065*F751^0.726)/3.7-(0.301*F751^0.751)/(1-H751)*H751)*(MAX('Min rate concentrations'!$Q$3:$Q$368)))/F751&gt;0, (((0.065*F751^0.726)/3.7-(0.301*F751^0.751)/(1-H751)*H751)*(MAX('Min rate concentrations'!$Q$3:$Q$368)))/F751, 0)</f>
        <v>0</v>
      </c>
      <c r="O751" t="s">
        <v>13</v>
      </c>
      <c r="P751" t="s">
        <v>13</v>
      </c>
      <c r="Q751">
        <f>(inputs!$C$7*11.2)*(25.05*F751^0.63)*0.5*1/F751</f>
        <v>6.7925300191794715</v>
      </c>
      <c r="R751">
        <f>(60*76.9*((F751/1000)^0.76)*3*24*(MAX('Min rate concentrations'!$R$3:$R$368))/F751)</f>
        <v>4.9245833138709374E-4</v>
      </c>
      <c r="S751">
        <f>(IF(inputs!$C$6="aerial",((0.025*0.112*inputs!$C$7/3.3)*(3*60*76.9*((F751/1000)^0.76))*MAX(inputs!$H$14:$H$16))/F751,((0.0083*0.112*inputs!$C$7/1)*(3*60*76.9*((F751/1000)^0.76))*MAX(inputs!$H$14:$H$16))/F751))</f>
        <v>2.0793899955772847E-3</v>
      </c>
      <c r="T751">
        <f>IF((((inputs!$P$12/(V751/MAX(K751:S751)))^(1/inputs!$O$12))-1)/inputs!$N$12&lt;0, 0, IF((((inputs!$P$12/(V751/MAX(K751:S751)))^(1/inputs!$O$12))-1)/inputs!$N$12&gt;inputs!$H$17, inputs!$H$17, (((inputs!$P$12/(V751/MAX(K751:S751)))^(1/inputs!$O$12))-1)/inputs!$N$12))</f>
        <v>86.603934037532397</v>
      </c>
      <c r="U751">
        <f>IF((((inputs!$P$12/(X751/MAX(K751:S751)))^(1/inputs!$O$12))-1)/inputs!$N$12&lt;0, 0, IF((((inputs!$P$12/(X751/MAX(K751:S751)))^(1/inputs!$O$12))-1)/inputs!$N$12&gt;inputs!$H$17, inputs!$H$17, (((inputs!$P$12/(X751/MAX(K751:S751)))^(1/inputs!$O$12))-1)/inputs!$N$12))</f>
        <v>37.466824977341858</v>
      </c>
      <c r="V751">
        <f>inputs!$E$87*(F751/inputs!$F$87)^(1)</f>
        <v>0.1045</v>
      </c>
      <c r="W751">
        <f>inputs!$E$90*(F751/inputs!$F$90)^(1)</f>
        <v>0.11000000000000001</v>
      </c>
      <c r="X751">
        <f>inputs!$E$89*(F751/inputs!$F$89)^(1)</f>
        <v>0.4107594936708861</v>
      </c>
      <c r="Y751" t="s">
        <v>13</v>
      </c>
      <c r="Z751">
        <f t="shared" si="75"/>
        <v>65.000287264875325</v>
      </c>
      <c r="AA751">
        <f t="shared" si="76"/>
        <v>61.750272901631554</v>
      </c>
    </row>
    <row r="752" spans="1:27" x14ac:dyDescent="0.3">
      <c r="A752" t="s">
        <v>426</v>
      </c>
      <c r="B752" t="s">
        <v>427</v>
      </c>
      <c r="C752" t="s">
        <v>79</v>
      </c>
      <c r="D752" t="s">
        <v>378</v>
      </c>
      <c r="E752">
        <v>7800</v>
      </c>
      <c r="F752">
        <v>130</v>
      </c>
      <c r="G752" t="s">
        <v>182</v>
      </c>
      <c r="H752">
        <v>0.85</v>
      </c>
      <c r="I752">
        <f>MAX('Min rate concentrations'!$M$3:$M$368)</f>
        <v>2.8488184789681945</v>
      </c>
      <c r="J752">
        <f>MAX('Min rate concentrations'!AE:AE)</f>
        <v>1.9699276716269429</v>
      </c>
      <c r="K752">
        <f t="shared" si="77"/>
        <v>8.1780870691562937E-2</v>
      </c>
      <c r="L752">
        <f t="shared" si="78"/>
        <v>5.6550602073953085E-2</v>
      </c>
      <c r="M752">
        <f>IF((((0.065*F752^0.726)/3.7-(0.301*F752^0.751)/(1-H752)*H752)*(MAX('Min rate concentrations'!$P$3:$P$368)))/F752&gt;0, (((0.065*F752^0.726)/3.7-(0.301*F752^0.751)/(1-H752)*H752)*(MAX('Min rate concentrations'!$P$3:$P$368)))/F752, 0)</f>
        <v>0</v>
      </c>
      <c r="N752">
        <f>IF((((0.065*F752^0.726)/3.7-(0.301*F752^0.751)/(1-H752)*H752)*(MAX('Min rate concentrations'!$Q$3:$Q$368)))/F752&gt;0, (((0.065*F752^0.726)/3.7-(0.301*F752^0.751)/(1-H752)*H752)*(MAX('Min rate concentrations'!$Q$3:$Q$368)))/F752, 0)</f>
        <v>0</v>
      </c>
      <c r="O752" t="s">
        <v>13</v>
      </c>
      <c r="P752" t="s">
        <v>13</v>
      </c>
      <c r="Q752">
        <f>(inputs!$C$7*11.2)*(25.05*F752^0.63)*0.5*1/F752</f>
        <v>11.5826176757261</v>
      </c>
      <c r="R752">
        <f>(60*76.9*((F752/1000)^0.76)*3*24*(MAX('Min rate concentrations'!$R$3:$R$368))/F752)</f>
        <v>6.9616170587593717E-4</v>
      </c>
      <c r="S752">
        <f>(IF(inputs!$C$6="aerial",((0.025*0.112*inputs!$C$7/3.3)*(3*60*76.9*((F752/1000)^0.76))*MAX(inputs!$H$14:$H$16))/F752,((0.0083*0.112*inputs!$C$7/1)*(3*60*76.9*((F752/1000)^0.76))*MAX(inputs!$H$14:$H$16))/F752))</f>
        <v>2.9395211619733354E-3</v>
      </c>
      <c r="T752">
        <f>IF((((inputs!$P$12/(V752/MAX(K752:S752)))^(1/inputs!$O$12))-1)/inputs!$N$12&lt;0, 0, IF((((inputs!$P$12/(V752/MAX(K752:S752)))^(1/inputs!$O$12))-1)/inputs!$N$12&gt;inputs!$H$17, inputs!$H$17, (((inputs!$P$12/(V752/MAX(K752:S752)))^(1/inputs!$O$12))-1)/inputs!$N$12))</f>
        <v>228.61510203684281</v>
      </c>
      <c r="U752">
        <f>IF((((inputs!$P$12/(X752/MAX(K752:S752)))^(1/inputs!$O$12))-1)/inputs!$N$12&lt;0, 0, IF((((inputs!$P$12/(X752/MAX(K752:S752)))^(1/inputs!$O$12))-1)/inputs!$N$12&gt;inputs!$H$17, inputs!$H$17, (((inputs!$P$12/(X752/MAX(K752:S752)))^(1/inputs!$O$12))-1)/inputs!$N$12))</f>
        <v>118.84911117865035</v>
      </c>
      <c r="V752">
        <f>inputs!$E$87*(F752/inputs!$F$87)^(1)</f>
        <v>2.47E-2</v>
      </c>
      <c r="W752">
        <f>inputs!$E$90*(F752/inputs!$F$90)^(1)</f>
        <v>2.5999999999999999E-2</v>
      </c>
      <c r="X752">
        <f>inputs!$E$89*(F752/inputs!$F$89)^(1)</f>
        <v>9.7088607594936691E-2</v>
      </c>
      <c r="Y752" t="s">
        <v>13</v>
      </c>
      <c r="Z752">
        <f t="shared" si="75"/>
        <v>468.93188970551012</v>
      </c>
      <c r="AA752">
        <f t="shared" si="76"/>
        <v>445.4852952202346</v>
      </c>
    </row>
    <row r="753" spans="1:27" x14ac:dyDescent="0.3">
      <c r="A753" t="s">
        <v>426</v>
      </c>
      <c r="B753" t="s">
        <v>427</v>
      </c>
      <c r="C753" t="s">
        <v>79</v>
      </c>
      <c r="D753" t="s">
        <v>378</v>
      </c>
      <c r="E753">
        <v>7800</v>
      </c>
      <c r="F753">
        <v>130</v>
      </c>
      <c r="G753" t="s">
        <v>456</v>
      </c>
      <c r="H753">
        <v>0.68</v>
      </c>
      <c r="I753">
        <f>MAX('Min rate concentrations'!$J$3:$J$368)</f>
        <v>114.4108103430513</v>
      </c>
      <c r="J753">
        <f>MAX('Min rate concentrations'!AB:AB)</f>
        <v>40.520495329830666</v>
      </c>
      <c r="K753">
        <f t="shared" si="77"/>
        <v>1.539555305250649</v>
      </c>
      <c r="L753">
        <f t="shared" si="78"/>
        <v>0.54525917060960483</v>
      </c>
      <c r="M753">
        <f>IF((((0.065*F753^0.726)/3.7-(0.301*F753^0.751)/(1-H753)*H753)*(MAX('Min rate concentrations'!$P$3:$P$368)))/F753&gt;0, (((0.065*F753^0.726)/3.7-(0.301*F753^0.751)/(1-H753)*H753)*(MAX('Min rate concentrations'!$P$3:$P$368)))/F753, 0)</f>
        <v>0</v>
      </c>
      <c r="N753">
        <f>IF((((0.065*F753^0.726)/3.7-(0.301*F753^0.751)/(1-H753)*H753)*(MAX('Min rate concentrations'!$Q$3:$Q$368)))/F753&gt;0, (((0.065*F753^0.726)/3.7-(0.301*F753^0.751)/(1-H753)*H753)*(MAX('Min rate concentrations'!$Q$3:$Q$368)))/F753, 0)</f>
        <v>0</v>
      </c>
      <c r="O753" t="s">
        <v>13</v>
      </c>
      <c r="P753" t="s">
        <v>13</v>
      </c>
      <c r="Q753">
        <f>(inputs!$C$7*11.2)*(25.05*F753^0.63)*0.5*1/F753</f>
        <v>11.5826176757261</v>
      </c>
      <c r="R753">
        <f>(60*76.9*((F753/1000)^0.76)*3*24*(MAX('Min rate concentrations'!$R$3:$R$368))/F753)</f>
        <v>6.9616170587593717E-4</v>
      </c>
      <c r="S753">
        <f>(IF(inputs!$C$6="aerial",((0.025*0.112*inputs!$C$7/3.3)*(3*60*76.9*((F753/1000)^0.76))*MAX(inputs!$H$14:$H$16))/F753,((0.0083*0.112*inputs!$C$7/1)*(3*60*76.9*((F753/1000)^0.76))*MAX(inputs!$H$14:$H$16))/F753))</f>
        <v>2.9395211619733354E-3</v>
      </c>
      <c r="T753">
        <f>IF((((inputs!$P$12/(V753/MAX(K753:S753)))^(1/inputs!$O$12))-1)/inputs!$N$12&lt;0, 0, IF((((inputs!$P$12/(V753/MAX(K753:S753)))^(1/inputs!$O$12))-1)/inputs!$N$12&gt;inputs!$H$17, inputs!$H$17, (((inputs!$P$12/(V753/MAX(K753:S753)))^(1/inputs!$O$12))-1)/inputs!$N$12))</f>
        <v>228.61510203684281</v>
      </c>
      <c r="U753">
        <f>IF((((inputs!$P$12/(X753/MAX(K753:S753)))^(1/inputs!$O$12))-1)/inputs!$N$12&lt;0, 0, IF((((inputs!$P$12/(X753/MAX(K753:S753)))^(1/inputs!$O$12))-1)/inputs!$N$12&gt;inputs!$H$17, inputs!$H$17, (((inputs!$P$12/(X753/MAX(K753:S753)))^(1/inputs!$O$12))-1)/inputs!$N$12))</f>
        <v>118.84911117865035</v>
      </c>
      <c r="V753">
        <f>inputs!$E$87*(F753/inputs!$F$87)^(1)</f>
        <v>2.47E-2</v>
      </c>
      <c r="W753">
        <f>inputs!$E$90*(F753/inputs!$F$90)^(1)</f>
        <v>2.5999999999999999E-2</v>
      </c>
      <c r="X753">
        <f>inputs!$E$89*(F753/inputs!$F$89)^(1)</f>
        <v>9.7088607594936691E-2</v>
      </c>
      <c r="Y753" t="s">
        <v>13</v>
      </c>
      <c r="Z753">
        <f t="shared" si="75"/>
        <v>468.93188970551012</v>
      </c>
      <c r="AA753">
        <f t="shared" si="76"/>
        <v>445.4852952202346</v>
      </c>
    </row>
    <row r="754" spans="1:27" x14ac:dyDescent="0.3">
      <c r="A754" t="s">
        <v>426</v>
      </c>
      <c r="B754" t="s">
        <v>427</v>
      </c>
      <c r="C754" t="s">
        <v>79</v>
      </c>
      <c r="D754" t="s">
        <v>378</v>
      </c>
      <c r="E754">
        <v>7800</v>
      </c>
      <c r="F754">
        <v>130</v>
      </c>
      <c r="G754" t="s">
        <v>145</v>
      </c>
      <c r="H754">
        <v>0.66</v>
      </c>
      <c r="I754">
        <f>MAX('Min rate concentrations'!$M$3:$M$368)</f>
        <v>2.8488184789681945</v>
      </c>
      <c r="J754">
        <f>MAX('Min rate concentrations'!AE:AE)</f>
        <v>1.9699276716269429</v>
      </c>
      <c r="K754">
        <f t="shared" si="77"/>
        <v>3.6079795893336597E-2</v>
      </c>
      <c r="L754">
        <f t="shared" si="78"/>
        <v>2.494879503262637E-2</v>
      </c>
      <c r="M754">
        <f>IF((((0.065*F754^0.726)/3.7-(0.301*F754^0.751)/(1-H754)*H754)*(MAX('Min rate concentrations'!$P$3:$P$368)))/F754&gt;0, (((0.065*F754^0.726)/3.7-(0.301*F754^0.751)/(1-H754)*H754)*(MAX('Min rate concentrations'!$P$3:$P$368)))/F754, 0)</f>
        <v>0</v>
      </c>
      <c r="N754">
        <f>IF((((0.065*F754^0.726)/3.7-(0.301*F754^0.751)/(1-H754)*H754)*(MAX('Min rate concentrations'!$Q$3:$Q$368)))/F754&gt;0, (((0.065*F754^0.726)/3.7-(0.301*F754^0.751)/(1-H754)*H754)*(MAX('Min rate concentrations'!$Q$3:$Q$368)))/F754, 0)</f>
        <v>0</v>
      </c>
      <c r="O754" t="s">
        <v>13</v>
      </c>
      <c r="P754" t="s">
        <v>13</v>
      </c>
      <c r="Q754">
        <f>(inputs!$C$7*11.2)*(25.05*F754^0.63)*0.5*1/F754</f>
        <v>11.5826176757261</v>
      </c>
      <c r="R754">
        <f>(60*76.9*((F754/1000)^0.76)*3*24*(MAX('Min rate concentrations'!$R$3:$R$368))/F754)</f>
        <v>6.9616170587593717E-4</v>
      </c>
      <c r="S754">
        <f>(IF(inputs!$C$6="aerial",((0.025*0.112*inputs!$C$7/3.3)*(3*60*76.9*((F754/1000)^0.76))*MAX(inputs!$H$14:$H$16))/F754,((0.0083*0.112*inputs!$C$7/1)*(3*60*76.9*((F754/1000)^0.76))*MAX(inputs!$H$14:$H$16))/F754))</f>
        <v>2.9395211619733354E-3</v>
      </c>
      <c r="T754">
        <f>IF((((inputs!$P$12/(V754/MAX(K754:S754)))^(1/inputs!$O$12))-1)/inputs!$N$12&lt;0, 0, IF((((inputs!$P$12/(V754/MAX(K754:S754)))^(1/inputs!$O$12))-1)/inputs!$N$12&gt;inputs!$H$17, inputs!$H$17, (((inputs!$P$12/(V754/MAX(K754:S754)))^(1/inputs!$O$12))-1)/inputs!$N$12))</f>
        <v>228.61510203684281</v>
      </c>
      <c r="U754">
        <f>IF((((inputs!$P$12/(X754/MAX(K754:S754)))^(1/inputs!$O$12))-1)/inputs!$N$12&lt;0, 0, IF((((inputs!$P$12/(X754/MAX(K754:S754)))^(1/inputs!$O$12))-1)/inputs!$N$12&gt;inputs!$H$17, inputs!$H$17, (((inputs!$P$12/(X754/MAX(K754:S754)))^(1/inputs!$O$12))-1)/inputs!$N$12))</f>
        <v>118.84911117865035</v>
      </c>
      <c r="V754">
        <f>inputs!$E$87*(F754/inputs!$F$87)^(1)</f>
        <v>2.47E-2</v>
      </c>
      <c r="W754">
        <f>inputs!$E$90*(F754/inputs!$F$90)^(1)</f>
        <v>2.5999999999999999E-2</v>
      </c>
      <c r="X754">
        <f>inputs!$E$89*(F754/inputs!$F$89)^(1)</f>
        <v>9.7088607594936691E-2</v>
      </c>
      <c r="Y754" t="s">
        <v>13</v>
      </c>
      <c r="Z754">
        <f t="shared" si="75"/>
        <v>468.93188970551012</v>
      </c>
      <c r="AA754">
        <f t="shared" si="76"/>
        <v>445.4852952202346</v>
      </c>
    </row>
    <row r="755" spans="1:27" x14ac:dyDescent="0.3">
      <c r="A755" t="s">
        <v>432</v>
      </c>
      <c r="B755" t="s">
        <v>433</v>
      </c>
      <c r="C755" t="s">
        <v>79</v>
      </c>
      <c r="D755" t="s">
        <v>378</v>
      </c>
      <c r="E755">
        <v>187</v>
      </c>
      <c r="F755">
        <v>140</v>
      </c>
      <c r="G755" t="s">
        <v>634</v>
      </c>
      <c r="H755">
        <v>0.75</v>
      </c>
      <c r="I755">
        <f>inputs!$C$65*inputs!$C$64/1000</f>
        <v>2.13</v>
      </c>
      <c r="J755">
        <f>inputs!$C$65*inputs!$C$63/1000</f>
        <v>0.88</v>
      </c>
      <c r="K755">
        <f t="shared" si="77"/>
        <v>3.6075460453795331E-2</v>
      </c>
      <c r="L755">
        <f t="shared" si="78"/>
        <v>1.4904415586544551E-2</v>
      </c>
      <c r="M755">
        <f>IF((((0.065*F755^0.726)/3.7-(0.301*F755^0.751)/(1-H755)*H755)*(MAX('Min rate concentrations'!$P$3:$P$368)))/F755&gt;0, (((0.065*F755^0.726)/3.7-(0.301*F755^0.751)/(1-H755)*H755)*(MAX('Min rate concentrations'!$P$3:$P$368)))/F755, 0)</f>
        <v>0</v>
      </c>
      <c r="N755">
        <f>IF((((0.065*F755^0.726)/3.7-(0.301*F755^0.751)/(1-H755)*H755)*(MAX('Min rate concentrations'!$Q$3:$Q$368)))/F755&gt;0, (((0.065*F755^0.726)/3.7-(0.301*F755^0.751)/(1-H755)*H755)*(MAX('Min rate concentrations'!$Q$3:$Q$368)))/F755, 0)</f>
        <v>0</v>
      </c>
      <c r="O755" t="s">
        <v>13</v>
      </c>
      <c r="P755" t="s">
        <v>13</v>
      </c>
      <c r="Q755">
        <f>(inputs!$C$7*11.2)*(25.05*F755^0.63)*0.5*1/F755</f>
        <v>11.269337572192416</v>
      </c>
      <c r="R755">
        <f>(60*76.9*((F755/1000)^0.76)*3*24*(MAX('Min rate concentrations'!$R$3:$R$368))/F755)</f>
        <v>6.8388929565107656E-4</v>
      </c>
      <c r="S755">
        <f>(IF(inputs!$C$6="aerial",((0.025*0.112*inputs!$C$7/3.3)*(3*60*76.9*((F755/1000)^0.76))*MAX(inputs!$H$14:$H$16))/F755,((0.0083*0.112*inputs!$C$7/1)*(3*60*76.9*((F755/1000)^0.76))*MAX(inputs!$H$14:$H$16))/F755))</f>
        <v>2.8877012913026199E-3</v>
      </c>
      <c r="T755">
        <f>IF((((inputs!$P$12/(V755/MAX(K755:S755)))^(1/inputs!$O$12))-1)/inputs!$N$12&lt;0, 0, IF((((inputs!$P$12/(V755/MAX(K755:S755)))^(1/inputs!$O$12))-1)/inputs!$N$12&gt;inputs!$H$17, inputs!$H$17, (((inputs!$P$12/(V755/MAX(K755:S755)))^(1/inputs!$O$12))-1)/inputs!$N$12))</f>
        <v>218.21417327534243</v>
      </c>
      <c r="U755">
        <f>IF((((inputs!$P$12/(X755/MAX(K755:S755)))^(1/inputs!$O$12))-1)/inputs!$N$12&lt;0, 0, IF((((inputs!$P$12/(X755/MAX(K755:S755)))^(1/inputs!$O$12))-1)/inputs!$N$12&gt;inputs!$H$17, inputs!$H$17, (((inputs!$P$12/(X755/MAX(K755:S755)))^(1/inputs!$O$12))-1)/inputs!$N$12))</f>
        <v>112.88865487684765</v>
      </c>
      <c r="V755">
        <f>inputs!$E$87*(F755/inputs!$F$87)^(1)</f>
        <v>2.6599999999999999E-2</v>
      </c>
      <c r="W755">
        <f>inputs!$E$90*(F755/inputs!$F$90)^(1)</f>
        <v>2.8000000000000001E-2</v>
      </c>
      <c r="X755">
        <f>inputs!$E$89*(F755/inputs!$F$89)^(1)</f>
        <v>0.10455696202531645</v>
      </c>
      <c r="Y755" t="s">
        <v>13</v>
      </c>
      <c r="Z755">
        <f t="shared" si="75"/>
        <v>423.65930722527884</v>
      </c>
      <c r="AA755">
        <f t="shared" si="76"/>
        <v>402.47634186401484</v>
      </c>
    </row>
    <row r="756" spans="1:27" x14ac:dyDescent="0.3">
      <c r="A756" t="s">
        <v>424</v>
      </c>
      <c r="B756" t="s">
        <v>425</v>
      </c>
      <c r="C756" t="s">
        <v>79</v>
      </c>
      <c r="D756" t="s">
        <v>378</v>
      </c>
      <c r="E756">
        <v>3722</v>
      </c>
      <c r="F756">
        <v>1000</v>
      </c>
      <c r="G756" t="s">
        <v>456</v>
      </c>
      <c r="H756">
        <v>0.68</v>
      </c>
      <c r="I756">
        <f>MAX('Min rate concentrations'!$J$3:$J$368)</f>
        <v>114.4108103430513</v>
      </c>
      <c r="J756">
        <f>MAX('Min rate concentrations'!AB:AB)</f>
        <v>40.520495329830666</v>
      </c>
      <c r="K756">
        <f t="shared" si="77"/>
        <v>0.96885868254444552</v>
      </c>
      <c r="L756">
        <f t="shared" si="78"/>
        <v>0.34313745006782442</v>
      </c>
      <c r="M756">
        <f>IF((((0.065*F756^0.726)/3.7-(0.301*F756^0.751)/(1-H756)*H756)*(MAX('Min rate concentrations'!$P$3:$P$368)))/F756&gt;0, (((0.065*F756^0.726)/3.7-(0.301*F756^0.751)/(1-H756)*H756)*(MAX('Min rate concentrations'!$P$3:$P$368)))/F756, 0)</f>
        <v>0</v>
      </c>
      <c r="N756">
        <f>IF((((0.065*F756^0.726)/3.7-(0.301*F756^0.751)/(1-H756)*H756)*(MAX('Min rate concentrations'!$Q$3:$Q$368)))/F756&gt;0, (((0.065*F756^0.726)/3.7-(0.301*F756^0.751)/(1-H756)*H756)*(MAX('Min rate concentrations'!$Q$3:$Q$368)))/F756, 0)</f>
        <v>0</v>
      </c>
      <c r="O756" t="s">
        <v>13</v>
      </c>
      <c r="P756" t="s">
        <v>13</v>
      </c>
      <c r="Q756">
        <f>(inputs!$C$7*11.2)*(25.05*F756^0.63)*0.5*1/F756</f>
        <v>5.4445972760336421</v>
      </c>
      <c r="R756">
        <f>(60*76.9*((F756/1000)^0.76)*3*24*(MAX('Min rate concentrations'!$R$3:$R$368))/F756)</f>
        <v>4.2663505281300101E-4</v>
      </c>
      <c r="S756">
        <f>(IF(inputs!$C$6="aerial",((0.025*0.112*inputs!$C$7/3.3)*(3*60*76.9*((F756/1000)^0.76))*MAX(inputs!$H$14:$H$16))/F756,((0.0083*0.112*inputs!$C$7/1)*(3*60*76.9*((F756/1000)^0.76))*MAX(inputs!$H$14:$H$16))/F756))</f>
        <v>1.8014532480000005E-3</v>
      </c>
      <c r="T756">
        <f>IF((((inputs!$P$12/(V756/MAX(K756:S756)))^(1/inputs!$O$12))-1)/inputs!$N$12&lt;0, 0, IF((((inputs!$P$12/(V756/MAX(K756:S756)))^(1/inputs!$O$12))-1)/inputs!$N$12&gt;inputs!$H$17, inputs!$H$17, (((inputs!$P$12/(V756/MAX(K756:S756)))^(1/inputs!$O$12))-1)/inputs!$N$12))</f>
        <v>53.995059795067306</v>
      </c>
      <c r="U756">
        <f>IF((((inputs!$P$12/(X756/MAX(K756:S756)))^(1/inputs!$O$12))-1)/inputs!$N$12&lt;0, 0, IF((((inputs!$P$12/(X756/MAX(K756:S756)))^(1/inputs!$O$12))-1)/inputs!$N$12&gt;inputs!$H$17, inputs!$H$17, (((inputs!$P$12/(X756/MAX(K756:S756)))^(1/inputs!$O$12))-1)/inputs!$N$12))</f>
        <v>18.779669778986928</v>
      </c>
      <c r="V756">
        <f>inputs!$E$87*(F756/inputs!$F$87)^(1)</f>
        <v>0.19</v>
      </c>
      <c r="W756">
        <f>inputs!$E$90*(F756/inputs!$F$90)^(1)</f>
        <v>0.2</v>
      </c>
      <c r="X756">
        <f>inputs!$E$89*(F756/inputs!$F$89)^(1)</f>
        <v>0.74683544303797467</v>
      </c>
      <c r="Y756" t="s">
        <v>13</v>
      </c>
      <c r="Z756">
        <f t="shared" si="75"/>
        <v>28.65577513701917</v>
      </c>
      <c r="AA756">
        <f t="shared" si="76"/>
        <v>27.222986380168209</v>
      </c>
    </row>
    <row r="757" spans="1:27" x14ac:dyDescent="0.3">
      <c r="A757" t="s">
        <v>397</v>
      </c>
      <c r="B757" t="s">
        <v>398</v>
      </c>
      <c r="C757" t="s">
        <v>79</v>
      </c>
      <c r="D757" t="s">
        <v>378</v>
      </c>
      <c r="E757">
        <v>164</v>
      </c>
      <c r="F757">
        <v>70</v>
      </c>
      <c r="G757" t="s">
        <v>456</v>
      </c>
      <c r="H757">
        <v>0.68</v>
      </c>
      <c r="I757">
        <f>MAX('Min rate concentrations'!$J$3:$J$368)</f>
        <v>114.4108103430513</v>
      </c>
      <c r="J757">
        <f>MAX('Min rate concentrations'!AB:AB)</f>
        <v>40.520495329830666</v>
      </c>
      <c r="K757">
        <f t="shared" si="77"/>
        <v>1.77183460928603</v>
      </c>
      <c r="L757">
        <f t="shared" si="78"/>
        <v>0.62752475745546887</v>
      </c>
      <c r="M757">
        <f>IF((((0.065*F757^0.726)/3.7-(0.301*F757^0.751)/(1-H757)*H757)*(MAX('Min rate concentrations'!$P$3:$P$368)))/F757&gt;0, (((0.065*F757^0.726)/3.7-(0.301*F757^0.751)/(1-H757)*H757)*(MAX('Min rate concentrations'!$P$3:$P$368)))/F757, 0)</f>
        <v>0</v>
      </c>
      <c r="N757">
        <f>IF((((0.065*F757^0.726)/3.7-(0.301*F757^0.751)/(1-H757)*H757)*(MAX('Min rate concentrations'!$Q$3:$Q$368)))/F757&gt;0, (((0.065*F757^0.726)/3.7-(0.301*F757^0.751)/(1-H757)*H757)*(MAX('Min rate concentrations'!$Q$3:$Q$368)))/F757, 0)</f>
        <v>0</v>
      </c>
      <c r="O757" t="s">
        <v>13</v>
      </c>
      <c r="P757" t="s">
        <v>13</v>
      </c>
      <c r="Q757">
        <f>(inputs!$C$7*11.2)*(25.05*F757^0.63)*0.5*1/F757</f>
        <v>14.56396031083232</v>
      </c>
      <c r="R757">
        <f>(60*76.9*((F757/1000)^0.76)*3*24*(MAX('Min rate concentrations'!$R$3:$R$368))/F757)</f>
        <v>8.0766823939413201E-4</v>
      </c>
      <c r="S757">
        <f>(IF(inputs!$C$6="aerial",((0.025*0.112*inputs!$C$7/3.3)*(3*60*76.9*((F757/1000)^0.76))*MAX(inputs!$H$14:$H$16))/F757,((0.0083*0.112*inputs!$C$7/1)*(3*60*76.9*((F757/1000)^0.76))*MAX(inputs!$H$14:$H$16))/F757))</f>
        <v>3.4103540334289731E-3</v>
      </c>
      <c r="T757">
        <f>IF((((inputs!$P$12/(V757/MAX(K757:S757)))^(1/inputs!$O$12))-1)/inputs!$N$12&lt;0, 0, IF((((inputs!$P$12/(V757/MAX(K757:S757)))^(1/inputs!$O$12))-1)/inputs!$N$12&gt;inputs!$H$17, inputs!$H$17, (((inputs!$P$12/(V757/MAX(K757:S757)))^(1/inputs!$O$12))-1)/inputs!$N$12))</f>
        <v>334.52014423611416</v>
      </c>
      <c r="U757">
        <f>IF((((inputs!$P$12/(X757/MAX(K757:S757)))^(1/inputs!$O$12))-1)/inputs!$N$12&lt;0, 0, IF((((inputs!$P$12/(X757/MAX(K757:S757)))^(1/inputs!$O$12))-1)/inputs!$N$12&gt;inputs!$H$17, inputs!$H$17, (((inputs!$P$12/(X757/MAX(K757:S757)))^(1/inputs!$O$12))-1)/inputs!$N$12))</f>
        <v>179.54007355750068</v>
      </c>
      <c r="V757">
        <f>inputs!$E$87*(F757/inputs!$F$87)^(1)</f>
        <v>1.3299999999999999E-2</v>
      </c>
      <c r="W757">
        <f>inputs!$E$90*(F757/inputs!$F$90)^(1)</f>
        <v>1.4E-2</v>
      </c>
      <c r="X757">
        <f>inputs!$E$89*(F757/inputs!$F$89)^(1)</f>
        <v>5.2278481012658223E-2</v>
      </c>
      <c r="Y757" t="s">
        <v>13</v>
      </c>
      <c r="Z757">
        <f t="shared" si="75"/>
        <v>1095.0346098370167</v>
      </c>
      <c r="AA757">
        <f t="shared" si="76"/>
        <v>1040.2828793451656</v>
      </c>
    </row>
    <row r="758" spans="1:27" x14ac:dyDescent="0.3">
      <c r="A758" t="s">
        <v>397</v>
      </c>
      <c r="B758" t="s">
        <v>398</v>
      </c>
      <c r="C758" t="s">
        <v>79</v>
      </c>
      <c r="D758" t="s">
        <v>378</v>
      </c>
      <c r="E758">
        <v>164</v>
      </c>
      <c r="F758">
        <v>70</v>
      </c>
      <c r="G758" t="s">
        <v>145</v>
      </c>
      <c r="H758">
        <v>0.66</v>
      </c>
      <c r="I758">
        <f>MAX('Min rate concentrations'!$M$3:$M$368)</f>
        <v>2.8488184789681945</v>
      </c>
      <c r="J758">
        <f>MAX('Min rate concentrations'!AE:AE)</f>
        <v>1.9699276716269429</v>
      </c>
      <c r="K758">
        <f t="shared" si="77"/>
        <v>4.1523309258047071E-2</v>
      </c>
      <c r="L758">
        <f t="shared" si="78"/>
        <v>2.8712926614607021E-2</v>
      </c>
      <c r="M758">
        <f>IF((((0.065*F758^0.726)/3.7-(0.301*F758^0.751)/(1-H758)*H758)*(MAX('Min rate concentrations'!$P$3:$P$368)))/F758&gt;0, (((0.065*F758^0.726)/3.7-(0.301*F758^0.751)/(1-H758)*H758)*(MAX('Min rate concentrations'!$P$3:$P$368)))/F758, 0)</f>
        <v>0</v>
      </c>
      <c r="N758">
        <f>IF((((0.065*F758^0.726)/3.7-(0.301*F758^0.751)/(1-H758)*H758)*(MAX('Min rate concentrations'!$Q$3:$Q$368)))/F758&gt;0, (((0.065*F758^0.726)/3.7-(0.301*F758^0.751)/(1-H758)*H758)*(MAX('Min rate concentrations'!$Q$3:$Q$368)))/F758, 0)</f>
        <v>0</v>
      </c>
      <c r="O758" t="s">
        <v>13</v>
      </c>
      <c r="P758" t="s">
        <v>13</v>
      </c>
      <c r="Q758">
        <f>(inputs!$C$7*11.2)*(25.05*F758^0.63)*0.5*1/F758</f>
        <v>14.56396031083232</v>
      </c>
      <c r="R758">
        <f>(60*76.9*((F758/1000)^0.76)*3*24*(MAX('Min rate concentrations'!$R$3:$R$368))/F758)</f>
        <v>8.0766823939413201E-4</v>
      </c>
      <c r="S758">
        <f>(IF(inputs!$C$6="aerial",((0.025*0.112*inputs!$C$7/3.3)*(3*60*76.9*((F758/1000)^0.76))*MAX(inputs!$H$14:$H$16))/F758,((0.0083*0.112*inputs!$C$7/1)*(3*60*76.9*((F758/1000)^0.76))*MAX(inputs!$H$14:$H$16))/F758))</f>
        <v>3.4103540334289731E-3</v>
      </c>
      <c r="T758">
        <f>IF((((inputs!$P$12/(V758/MAX(K758:S758)))^(1/inputs!$O$12))-1)/inputs!$N$12&lt;0, 0, IF((((inputs!$P$12/(V758/MAX(K758:S758)))^(1/inputs!$O$12))-1)/inputs!$N$12&gt;inputs!$H$17, inputs!$H$17, (((inputs!$P$12/(V758/MAX(K758:S758)))^(1/inputs!$O$12))-1)/inputs!$N$12))</f>
        <v>334.52014423611416</v>
      </c>
      <c r="U758">
        <f>IF((((inputs!$P$12/(X758/MAX(K758:S758)))^(1/inputs!$O$12))-1)/inputs!$N$12&lt;0, 0, IF((((inputs!$P$12/(X758/MAX(K758:S758)))^(1/inputs!$O$12))-1)/inputs!$N$12&gt;inputs!$H$17, inputs!$H$17, (((inputs!$P$12/(X758/MAX(K758:S758)))^(1/inputs!$O$12))-1)/inputs!$N$12))</f>
        <v>179.54007355750068</v>
      </c>
      <c r="V758">
        <f>inputs!$E$87*(F758/inputs!$F$87)^(1)</f>
        <v>1.3299999999999999E-2</v>
      </c>
      <c r="W758">
        <f>inputs!$E$90*(F758/inputs!$F$90)^(1)</f>
        <v>1.4E-2</v>
      </c>
      <c r="X758">
        <f>inputs!$E$89*(F758/inputs!$F$89)^(1)</f>
        <v>5.2278481012658223E-2</v>
      </c>
      <c r="Y758" t="s">
        <v>13</v>
      </c>
      <c r="Z758">
        <f t="shared" si="75"/>
        <v>1095.0346098370167</v>
      </c>
      <c r="AA758">
        <f t="shared" si="76"/>
        <v>1040.2828793451656</v>
      </c>
    </row>
    <row r="759" spans="1:27" x14ac:dyDescent="0.3">
      <c r="A759" t="s">
        <v>389</v>
      </c>
      <c r="B759" t="s">
        <v>390</v>
      </c>
      <c r="C759" t="s">
        <v>79</v>
      </c>
      <c r="D759" t="s">
        <v>378</v>
      </c>
      <c r="E759">
        <v>165</v>
      </c>
      <c r="F759">
        <v>4135</v>
      </c>
      <c r="G759" t="s">
        <v>142</v>
      </c>
      <c r="H759">
        <v>0.69</v>
      </c>
      <c r="I759">
        <f>MAX('Min rate concentrations'!$H$3:$H$368)</f>
        <v>47</v>
      </c>
      <c r="J759">
        <f>MAX('Min rate concentrations'!AA:AA)</f>
        <v>32.5</v>
      </c>
      <c r="K759">
        <f t="shared" si="77"/>
        <v>0.29767308936258868</v>
      </c>
      <c r="L759">
        <f t="shared" si="78"/>
        <v>0.20583777455923688</v>
      </c>
      <c r="M759">
        <f>IF((((0.065*F759^0.726)/3.7-(0.301*F759^0.751)/(1-H759)*H759)*(MAX('Min rate concentrations'!$P$3:$P$368)))/F759&gt;0, (((0.065*F759^0.726)/3.7-(0.301*F759^0.751)/(1-H759)*H759)*(MAX('Min rate concentrations'!$P$3:$P$368)))/F759, 0)</f>
        <v>0</v>
      </c>
      <c r="N759">
        <f>IF((((0.065*F759^0.726)/3.7-(0.301*F759^0.751)/(1-H759)*H759)*(MAX('Min rate concentrations'!$Q$3:$Q$368)))/F759&gt;0, (((0.065*F759^0.726)/3.7-(0.301*F759^0.751)/(1-H759)*H759)*(MAX('Min rate concentrations'!$Q$3:$Q$368)))/F759, 0)</f>
        <v>0</v>
      </c>
      <c r="O759" t="s">
        <v>13</v>
      </c>
      <c r="P759" t="s">
        <v>13</v>
      </c>
      <c r="Q759">
        <f>(inputs!$C$7*11.2)*(25.05*F759^0.63)*0.5*1/F759</f>
        <v>3.2201034293372794</v>
      </c>
      <c r="R759">
        <f>(60*76.9*((F759/1000)^0.76)*3*24*(MAX('Min rate concentrations'!$R$3:$R$368))/F759)</f>
        <v>3.0346066931199393E-4</v>
      </c>
      <c r="S759">
        <f>(IF(inputs!$C$6="aerial",((0.025*0.112*inputs!$C$7/3.3)*(3*60*76.9*((F759/1000)^0.76))*MAX(inputs!$H$14:$H$16))/F759,((0.0083*0.112*inputs!$C$7/1)*(3*60*76.9*((F759/1000)^0.76))*MAX(inputs!$H$14:$H$16))/F759))</f>
        <v>1.2813532427021588E-3</v>
      </c>
      <c r="T759">
        <f>IF((((inputs!$P$12/(V759/MAX(K759:S759)))^(1/inputs!$O$12))-1)/inputs!$N$12&lt;0, 0, IF((((inputs!$P$12/(V759/MAX(K759:S759)))^(1/inputs!$O$12))-1)/inputs!$N$12&gt;inputs!$H$17, inputs!$H$17, (((inputs!$P$12/(V759/MAX(K759:S759)))^(1/inputs!$O$12))-1)/inputs!$N$12))</f>
        <v>8.9088188112791418</v>
      </c>
      <c r="U759">
        <f>IF((((inputs!$P$12/(X759/MAX(K759:S759)))^(1/inputs!$O$12))-1)/inputs!$N$12&lt;0, 0, IF((((inputs!$P$12/(X759/MAX(K759:S759)))^(1/inputs!$O$12))-1)/inputs!$N$12&gt;inputs!$H$17, inputs!$H$17, (((inputs!$P$12/(X759/MAX(K759:S759)))^(1/inputs!$O$12))-1)/inputs!$N$12))</f>
        <v>0</v>
      </c>
      <c r="V759">
        <f>inputs!$E$87*(F759/inputs!$F$87)^(1)</f>
        <v>0.78564999999999996</v>
      </c>
      <c r="W759">
        <f>inputs!$E$90*(F759/inputs!$F$90)^(1)</f>
        <v>0.82700000000000007</v>
      </c>
      <c r="X759">
        <f>inputs!$E$89*(F759/inputs!$F$89)^(1)</f>
        <v>3.0881645569620253</v>
      </c>
      <c r="Y759" t="s">
        <v>13</v>
      </c>
      <c r="Z759">
        <f t="shared" si="75"/>
        <v>4.0986487995128611</v>
      </c>
      <c r="AA759">
        <f t="shared" si="76"/>
        <v>3.8937163595372177</v>
      </c>
    </row>
    <row r="760" spans="1:27" x14ac:dyDescent="0.3">
      <c r="A760" t="s">
        <v>389</v>
      </c>
      <c r="B760" t="s">
        <v>390</v>
      </c>
      <c r="C760" t="s">
        <v>79</v>
      </c>
      <c r="D760" t="s">
        <v>378</v>
      </c>
      <c r="E760">
        <v>165</v>
      </c>
      <c r="F760">
        <v>4135</v>
      </c>
      <c r="G760" t="s">
        <v>152</v>
      </c>
      <c r="H760">
        <v>0.77</v>
      </c>
      <c r="I760">
        <f>MAX('Min rate concentrations'!$G$3:$G$368)</f>
        <v>7.5</v>
      </c>
      <c r="J760">
        <f>MAX('Min rate concentrations'!Z:Z)</f>
        <v>3.5</v>
      </c>
      <c r="K760">
        <f t="shared" si="77"/>
        <v>6.4023120515080384E-2</v>
      </c>
      <c r="L760">
        <f t="shared" si="78"/>
        <v>2.9877456240370848E-2</v>
      </c>
      <c r="M760">
        <f>IF((((0.065*F760^0.726)/3.7-(0.301*F760^0.751)/(1-H760)*H760)*(MAX('Min rate concentrations'!$P$3:$P$368)))/F760&gt;0, (((0.065*F760^0.726)/3.7-(0.301*F760^0.751)/(1-H760)*H760)*(MAX('Min rate concentrations'!$P$3:$P$368)))/F760, 0)</f>
        <v>0</v>
      </c>
      <c r="N760">
        <f>IF((((0.065*F760^0.726)/3.7-(0.301*F760^0.751)/(1-H760)*H760)*(MAX('Min rate concentrations'!$Q$3:$Q$368)))/F760&gt;0, (((0.065*F760^0.726)/3.7-(0.301*F760^0.751)/(1-H760)*H760)*(MAX('Min rate concentrations'!$Q$3:$Q$368)))/F760, 0)</f>
        <v>0</v>
      </c>
      <c r="O760" t="s">
        <v>13</v>
      </c>
      <c r="P760" t="s">
        <v>13</v>
      </c>
      <c r="Q760">
        <f>(inputs!$C$7*11.2)*(25.05*F760^0.63)*0.5*1/F760</f>
        <v>3.2201034293372794</v>
      </c>
      <c r="R760">
        <f>(60*76.9*((F760/1000)^0.76)*3*24*(MAX('Min rate concentrations'!$R$3:$R$368))/F760)</f>
        <v>3.0346066931199393E-4</v>
      </c>
      <c r="S760">
        <f>(IF(inputs!$C$6="aerial",((0.025*0.112*inputs!$C$7/3.3)*(3*60*76.9*((F760/1000)^0.76))*MAX(inputs!$H$14:$H$16))/F760,((0.0083*0.112*inputs!$C$7/1)*(3*60*76.9*((F760/1000)^0.76))*MAX(inputs!$H$14:$H$16))/F760))</f>
        <v>1.2813532427021588E-3</v>
      </c>
      <c r="T760">
        <f>IF((((inputs!$P$12/(V760/MAX(K760:S760)))^(1/inputs!$O$12))-1)/inputs!$N$12&lt;0, 0, IF((((inputs!$P$12/(V760/MAX(K760:S760)))^(1/inputs!$O$12))-1)/inputs!$N$12&gt;inputs!$H$17, inputs!$H$17, (((inputs!$P$12/(V760/MAX(K760:S760)))^(1/inputs!$O$12))-1)/inputs!$N$12))</f>
        <v>8.9088188112791418</v>
      </c>
      <c r="U760">
        <f>IF((((inputs!$P$12/(X760/MAX(K760:S760)))^(1/inputs!$O$12))-1)/inputs!$N$12&lt;0, 0, IF((((inputs!$P$12/(X760/MAX(K760:S760)))^(1/inputs!$O$12))-1)/inputs!$N$12&gt;inputs!$H$17, inputs!$H$17, (((inputs!$P$12/(X760/MAX(K760:S760)))^(1/inputs!$O$12))-1)/inputs!$N$12))</f>
        <v>0</v>
      </c>
      <c r="V760">
        <f>inputs!$E$87*(F760/inputs!$F$87)^(1)</f>
        <v>0.78564999999999996</v>
      </c>
      <c r="W760">
        <f>inputs!$E$90*(F760/inputs!$F$90)^(1)</f>
        <v>0.82700000000000007</v>
      </c>
      <c r="X760">
        <f>inputs!$E$89*(F760/inputs!$F$89)^(1)</f>
        <v>3.0881645569620253</v>
      </c>
      <c r="Y760" t="s">
        <v>13</v>
      </c>
      <c r="Z760">
        <f t="shared" si="75"/>
        <v>4.0986487995128611</v>
      </c>
      <c r="AA760">
        <f t="shared" si="76"/>
        <v>3.8937163595372177</v>
      </c>
    </row>
    <row r="761" spans="1:27" x14ac:dyDescent="0.3">
      <c r="A761" t="s">
        <v>389</v>
      </c>
      <c r="B761" t="s">
        <v>390</v>
      </c>
      <c r="C761" t="s">
        <v>79</v>
      </c>
      <c r="D761" t="s">
        <v>378</v>
      </c>
      <c r="E761">
        <v>165</v>
      </c>
      <c r="F761">
        <v>4135</v>
      </c>
      <c r="G761" t="s">
        <v>177</v>
      </c>
      <c r="H761">
        <v>0.85</v>
      </c>
      <c r="I761">
        <f>MAX('Min rate concentrations'!$F$3:$F$368)</f>
        <v>67.5</v>
      </c>
      <c r="J761">
        <f>MAX('Min rate concentrations'!Y:Y)</f>
        <v>22.5</v>
      </c>
      <c r="K761">
        <f t="shared" si="77"/>
        <v>0.88351906310810902</v>
      </c>
      <c r="L761">
        <f t="shared" si="78"/>
        <v>0.29450635436936973</v>
      </c>
      <c r="M761">
        <f>IF((((0.065*F761^0.726)/3.7-(0.301*F761^0.751)/(1-H761)*H761)*(MAX('Min rate concentrations'!$P$3:$P$368)))/F761&gt;0, (((0.065*F761^0.726)/3.7-(0.301*F761^0.751)/(1-H761)*H761)*(MAX('Min rate concentrations'!$P$3:$P$368)))/F761, 0)</f>
        <v>0</v>
      </c>
      <c r="N761">
        <f>IF((((0.065*F761^0.726)/3.7-(0.301*F761^0.751)/(1-H761)*H761)*(MAX('Min rate concentrations'!$Q$3:$Q$368)))/F761&gt;0, (((0.065*F761^0.726)/3.7-(0.301*F761^0.751)/(1-H761)*H761)*(MAX('Min rate concentrations'!$Q$3:$Q$368)))/F761, 0)</f>
        <v>0</v>
      </c>
      <c r="O761" t="s">
        <v>13</v>
      </c>
      <c r="P761" t="s">
        <v>13</v>
      </c>
      <c r="Q761">
        <f>(inputs!$C$7*11.2)*(25.05*F761^0.63)*0.5*1/F761</f>
        <v>3.2201034293372794</v>
      </c>
      <c r="R761">
        <f>(60*76.9*((F761/1000)^0.76)*3*24*(MAX('Min rate concentrations'!$R$3:$R$368))/F761)</f>
        <v>3.0346066931199393E-4</v>
      </c>
      <c r="S761">
        <f>(IF(inputs!$C$6="aerial",((0.025*0.112*inputs!$C$7/3.3)*(3*60*76.9*((F761/1000)^0.76))*MAX(inputs!$H$14:$H$16))/F761,((0.0083*0.112*inputs!$C$7/1)*(3*60*76.9*((F761/1000)^0.76))*MAX(inputs!$H$14:$H$16))/F761))</f>
        <v>1.2813532427021588E-3</v>
      </c>
      <c r="T761">
        <f>IF((((inputs!$P$12/(V761/MAX(K761:S761)))^(1/inputs!$O$12))-1)/inputs!$N$12&lt;0, 0, IF((((inputs!$P$12/(V761/MAX(K761:S761)))^(1/inputs!$O$12))-1)/inputs!$N$12&gt;inputs!$H$17, inputs!$H$17, (((inputs!$P$12/(V761/MAX(K761:S761)))^(1/inputs!$O$12))-1)/inputs!$N$12))</f>
        <v>8.9088188112791418</v>
      </c>
      <c r="U761">
        <f>IF((((inputs!$P$12/(X761/MAX(K761:S761)))^(1/inputs!$O$12))-1)/inputs!$N$12&lt;0, 0, IF((((inputs!$P$12/(X761/MAX(K761:S761)))^(1/inputs!$O$12))-1)/inputs!$N$12&gt;inputs!$H$17, inputs!$H$17, (((inputs!$P$12/(X761/MAX(K761:S761)))^(1/inputs!$O$12))-1)/inputs!$N$12))</f>
        <v>0</v>
      </c>
      <c r="V761">
        <f>inputs!$E$87*(F761/inputs!$F$87)^(1)</f>
        <v>0.78564999999999996</v>
      </c>
      <c r="W761">
        <f>inputs!$E$90*(F761/inputs!$F$90)^(1)</f>
        <v>0.82700000000000007</v>
      </c>
      <c r="X761">
        <f>inputs!$E$89*(F761/inputs!$F$89)^(1)</f>
        <v>3.0881645569620253</v>
      </c>
      <c r="Y761" t="s">
        <v>13</v>
      </c>
      <c r="Z761">
        <f t="shared" si="75"/>
        <v>4.0986487995128611</v>
      </c>
      <c r="AA761">
        <f t="shared" si="76"/>
        <v>3.8937163595372177</v>
      </c>
    </row>
    <row r="762" spans="1:27" x14ac:dyDescent="0.3">
      <c r="A762" t="s">
        <v>428</v>
      </c>
      <c r="B762" t="s">
        <v>429</v>
      </c>
      <c r="C762" t="s">
        <v>79</v>
      </c>
      <c r="D762" t="s">
        <v>378</v>
      </c>
      <c r="E762">
        <v>177</v>
      </c>
      <c r="F762">
        <v>0.15</v>
      </c>
      <c r="G762" t="s">
        <v>142</v>
      </c>
      <c r="H762">
        <v>0.69</v>
      </c>
      <c r="I762">
        <f>MAX('Min rate concentrations'!$H$3:$H$368)</f>
        <v>47</v>
      </c>
      <c r="J762">
        <f>MAX('Min rate concentrations'!AA:AA)</f>
        <v>32.5</v>
      </c>
      <c r="K762">
        <f t="shared" si="77"/>
        <v>3.0318436452511275</v>
      </c>
      <c r="L762">
        <f t="shared" si="78"/>
        <v>2.0964876270353541</v>
      </c>
      <c r="M762">
        <f>IF((((0.065*F762^0.726)/3.7-(0.301*F762^0.751)/(1-H762)*H762)*(MAX('Min rate concentrations'!$P$3:$P$368)))/F762&gt;0, (((0.065*F762^0.726)/3.7-(0.301*F762^0.751)/(1-H762)*H762)*(MAX('Min rate concentrations'!$P$3:$P$368)))/F762, 0)</f>
        <v>0</v>
      </c>
      <c r="N762">
        <f>IF((((0.065*F762^0.726)/3.7-(0.301*F762^0.751)/(1-H762)*H762)*(MAX('Min rate concentrations'!$Q$3:$Q$368)))/F762&gt;0, (((0.065*F762^0.726)/3.7-(0.301*F762^0.751)/(1-H762)*H762)*(MAX('Min rate concentrations'!$Q$3:$Q$368)))/F762, 0)</f>
        <v>0</v>
      </c>
      <c r="O762" t="s">
        <v>13</v>
      </c>
      <c r="P762" t="s">
        <v>13</v>
      </c>
      <c r="Q762">
        <f>(inputs!$C$7*11.2)*(25.05*F762^0.63)*0.5*1/F762</f>
        <v>141.51810212597272</v>
      </c>
      <c r="R762">
        <f>(60*76.9*((F762/1000)^0.76)*3*24*(MAX('Min rate concentrations'!$R$3:$R$368))/F762)</f>
        <v>3.5301619739953622E-3</v>
      </c>
      <c r="S762">
        <f>(IF(inputs!$C$6="aerial",((0.025*0.112*inputs!$C$7/3.3)*(3*60*76.9*((F762/1000)^0.76))*MAX(inputs!$H$14:$H$16))/F762,((0.0083*0.112*inputs!$C$7/1)*(3*60*76.9*((F762/1000)^0.76))*MAX(inputs!$H$14:$H$16))/F762))</f>
        <v>1.490599919554066E-2</v>
      </c>
      <c r="T762">
        <f>IF((((inputs!$P$12/(V762/MAX(K762:S762)))^(1/inputs!$O$12))-1)/inputs!$N$12&lt;0, 0, IF((((inputs!$P$12/(V762/MAX(K762:S762)))^(1/inputs!$O$12))-1)/inputs!$N$12&gt;inputs!$H$17, inputs!$H$17, (((inputs!$P$12/(V762/MAX(K762:S762)))^(1/inputs!$O$12))-1)/inputs!$N$12))</f>
        <v>1000</v>
      </c>
      <c r="U762">
        <f>IF((((inputs!$P$12/(X762/MAX(K762:S762)))^(1/inputs!$O$12))-1)/inputs!$N$12&lt;0, 0, IF((((inputs!$P$12/(X762/MAX(K762:S762)))^(1/inputs!$O$12))-1)/inputs!$N$12&gt;inputs!$H$17, inputs!$H$17, (((inputs!$P$12/(X762/MAX(K762:S762)))^(1/inputs!$O$12))-1)/inputs!$N$12))</f>
        <v>1000</v>
      </c>
      <c r="V762">
        <f>inputs!$E$87*(F762/inputs!$F$87)^(1)</f>
        <v>2.8500000000000002E-5</v>
      </c>
      <c r="W762">
        <f>inputs!$E$90*(F762/inputs!$F$90)^(1)</f>
        <v>3.0000000000000001E-5</v>
      </c>
      <c r="X762">
        <f>inputs!$E$89*(F762/inputs!$F$89)^(1)</f>
        <v>1.120253164556962E-4</v>
      </c>
      <c r="Y762" t="s">
        <v>13</v>
      </c>
      <c r="Z762">
        <f t="shared" si="75"/>
        <v>4965547.4430165859</v>
      </c>
      <c r="AA762">
        <f t="shared" si="76"/>
        <v>4717270.0708657568</v>
      </c>
    </row>
    <row r="763" spans="1:27" x14ac:dyDescent="0.3">
      <c r="A763" t="s">
        <v>985</v>
      </c>
      <c r="B763" t="s">
        <v>641</v>
      </c>
      <c r="C763" t="s">
        <v>79</v>
      </c>
      <c r="D763" t="s">
        <v>378</v>
      </c>
      <c r="E763">
        <v>3271</v>
      </c>
      <c r="F763">
        <v>150</v>
      </c>
      <c r="G763" t="s">
        <v>182</v>
      </c>
      <c r="H763">
        <v>0.85</v>
      </c>
      <c r="I763">
        <f>MAX('Min rate concentrations'!$M$3:$M$368)</f>
        <v>2.8488184789681945</v>
      </c>
      <c r="J763">
        <f>MAX('Min rate concentrations'!AE:AE)</f>
        <v>1.9699276716269429</v>
      </c>
      <c r="K763">
        <f t="shared" si="77"/>
        <v>7.9166994046927133E-2</v>
      </c>
      <c r="L763">
        <f t="shared" si="78"/>
        <v>5.4743134181385787E-2</v>
      </c>
      <c r="M763">
        <f>IF((((0.065*F763^0.726)/3.7-(0.301*F763^0.751)/(1-H763)*H763)*(MAX('Min rate concentrations'!$P$3:$P$368)))/F763&gt;0, (((0.065*F763^0.726)/3.7-(0.301*F763^0.751)/(1-H763)*H763)*(MAX('Min rate concentrations'!$P$3:$P$368)))/F763, 0)</f>
        <v>0</v>
      </c>
      <c r="N763">
        <f>IF((((0.065*F763^0.726)/3.7-(0.301*F763^0.751)/(1-H763)*H763)*(MAX('Min rate concentrations'!$Q$3:$Q$368)))/F763&gt;0, (((0.065*F763^0.726)/3.7-(0.301*F763^0.751)/(1-H763)*H763)*(MAX('Min rate concentrations'!$Q$3:$Q$368)))/F763, 0)</f>
        <v>0</v>
      </c>
      <c r="O763" t="s">
        <v>13</v>
      </c>
      <c r="P763" t="s">
        <v>13</v>
      </c>
      <c r="Q763">
        <f>(inputs!$C$7*11.2)*(25.05*F763^0.63)*0.5*1/F763</f>
        <v>10.985301872605104</v>
      </c>
      <c r="R763">
        <f>(60*76.9*((F763/1000)^0.76)*3*24*(MAX('Min rate concentrations'!$R$3:$R$368))/F763)</f>
        <v>6.7265849694957559E-4</v>
      </c>
      <c r="S763">
        <f>(IF(inputs!$C$6="aerial",((0.025*0.112*inputs!$C$7/3.3)*(3*60*76.9*((F763/1000)^0.76))*MAX(inputs!$H$14:$H$16))/F763,((0.0083*0.112*inputs!$C$7/1)*(3*60*76.9*((F763/1000)^0.76))*MAX(inputs!$H$14:$H$16))/F763))</f>
        <v>2.8402795929094492E-3</v>
      </c>
      <c r="T763">
        <f>IF((((inputs!$P$12/(V763/MAX(K763:S763)))^(1/inputs!$O$12))-1)/inputs!$N$12&lt;0, 0, IF((((inputs!$P$12/(V763/MAX(K763:S763)))^(1/inputs!$O$12))-1)/inputs!$N$12&gt;inputs!$H$17, inputs!$H$17, (((inputs!$P$12/(V763/MAX(K763:S763)))^(1/inputs!$O$12))-1)/inputs!$N$12))</f>
        <v>208.90969485688782</v>
      </c>
      <c r="U763">
        <f>IF((((inputs!$P$12/(X763/MAX(K763:S763)))^(1/inputs!$O$12))-1)/inputs!$N$12&lt;0, 0, IF((((inputs!$P$12/(X763/MAX(K763:S763)))^(1/inputs!$O$12))-1)/inputs!$N$12&gt;inputs!$H$17, inputs!$H$17, (((inputs!$P$12/(X763/MAX(K763:S763)))^(1/inputs!$O$12))-1)/inputs!$N$12))</f>
        <v>107.55654095741104</v>
      </c>
      <c r="V763">
        <f>inputs!$E$87*(F763/inputs!$F$87)^(1)</f>
        <v>2.8499999999999998E-2</v>
      </c>
      <c r="W763">
        <f>inputs!$E$90*(F763/inputs!$F$90)^(1)</f>
        <v>3.0000000000000002E-2</v>
      </c>
      <c r="X763">
        <f>inputs!$E$89*(F763/inputs!$F$89)^(1)</f>
        <v>0.1120253164556962</v>
      </c>
      <c r="Y763" t="s">
        <v>13</v>
      </c>
      <c r="Z763">
        <f t="shared" si="75"/>
        <v>385.44918851245984</v>
      </c>
      <c r="AA763">
        <f t="shared" si="76"/>
        <v>366.17672908683676</v>
      </c>
    </row>
    <row r="764" spans="1:27" x14ac:dyDescent="0.3">
      <c r="A764" t="s">
        <v>985</v>
      </c>
      <c r="B764" t="s">
        <v>641</v>
      </c>
      <c r="C764" t="s">
        <v>79</v>
      </c>
      <c r="D764" t="s">
        <v>378</v>
      </c>
      <c r="E764">
        <v>3271</v>
      </c>
      <c r="F764">
        <v>150</v>
      </c>
      <c r="G764" t="s">
        <v>634</v>
      </c>
      <c r="H764">
        <v>0.75</v>
      </c>
      <c r="I764">
        <f>inputs!$C$65*inputs!$C$64/1000</f>
        <v>2.13</v>
      </c>
      <c r="J764">
        <f>inputs!$C$65*inputs!$C$63/1000</f>
        <v>0.88</v>
      </c>
      <c r="K764">
        <f t="shared" si="77"/>
        <v>3.5514870160705127E-2</v>
      </c>
      <c r="L764">
        <f t="shared" si="78"/>
        <v>1.4672810207239676E-2</v>
      </c>
      <c r="M764">
        <f>IF((((0.065*F764^0.726)/3.7-(0.301*F764^0.751)/(1-H764)*H764)*(MAX('Min rate concentrations'!$P$3:$P$368)))/F764&gt;0, (((0.065*F764^0.726)/3.7-(0.301*F764^0.751)/(1-H764)*H764)*(MAX('Min rate concentrations'!$P$3:$P$368)))/F764, 0)</f>
        <v>0</v>
      </c>
      <c r="N764">
        <f>IF((((0.065*F764^0.726)/3.7-(0.301*F764^0.751)/(1-H764)*H764)*(MAX('Min rate concentrations'!$Q$3:$Q$368)))/F764&gt;0, (((0.065*F764^0.726)/3.7-(0.301*F764^0.751)/(1-H764)*H764)*(MAX('Min rate concentrations'!$Q$3:$Q$368)))/F764, 0)</f>
        <v>0</v>
      </c>
      <c r="O764" t="s">
        <v>13</v>
      </c>
      <c r="P764" t="s">
        <v>13</v>
      </c>
      <c r="Q764">
        <f>(inputs!$C$7*11.2)*(25.05*F764^0.63)*0.5*1/F764</f>
        <v>10.985301872605104</v>
      </c>
      <c r="R764">
        <f>(60*76.9*((F764/1000)^0.76)*3*24*(MAX('Min rate concentrations'!$R$3:$R$368))/F764)</f>
        <v>6.7265849694957559E-4</v>
      </c>
      <c r="S764">
        <f>(IF(inputs!$C$6="aerial",((0.025*0.112*inputs!$C$7/3.3)*(3*60*76.9*((F764/1000)^0.76))*MAX(inputs!$H$14:$H$16))/F764,((0.0083*0.112*inputs!$C$7/1)*(3*60*76.9*((F764/1000)^0.76))*MAX(inputs!$H$14:$H$16))/F764))</f>
        <v>2.8402795929094492E-3</v>
      </c>
      <c r="T764">
        <f>IF((((inputs!$P$12/(V764/MAX(K764:S764)))^(1/inputs!$O$12))-1)/inputs!$N$12&lt;0, 0, IF((((inputs!$P$12/(V764/MAX(K764:S764)))^(1/inputs!$O$12))-1)/inputs!$N$12&gt;inputs!$H$17, inputs!$H$17, (((inputs!$P$12/(V764/MAX(K764:S764)))^(1/inputs!$O$12))-1)/inputs!$N$12))</f>
        <v>208.90969485688782</v>
      </c>
      <c r="U764">
        <f>IF((((inputs!$P$12/(X764/MAX(K764:S764)))^(1/inputs!$O$12))-1)/inputs!$N$12&lt;0, 0, IF((((inputs!$P$12/(X764/MAX(K764:S764)))^(1/inputs!$O$12))-1)/inputs!$N$12&gt;inputs!$H$17, inputs!$H$17, (((inputs!$P$12/(X764/MAX(K764:S764)))^(1/inputs!$O$12))-1)/inputs!$N$12))</f>
        <v>107.55654095741104</v>
      </c>
      <c r="V764">
        <f>inputs!$E$87*(F764/inputs!$F$87)^(1)</f>
        <v>2.8499999999999998E-2</v>
      </c>
      <c r="W764">
        <f>inputs!$E$90*(F764/inputs!$F$90)^(1)</f>
        <v>3.0000000000000002E-2</v>
      </c>
      <c r="X764">
        <f>inputs!$E$89*(F764/inputs!$F$89)^(1)</f>
        <v>0.1120253164556962</v>
      </c>
      <c r="Y764" t="s">
        <v>13</v>
      </c>
      <c r="Z764">
        <f t="shared" si="75"/>
        <v>385.44918851245984</v>
      </c>
      <c r="AA764">
        <f t="shared" si="76"/>
        <v>366.17672908683676</v>
      </c>
    </row>
    <row r="765" spans="1:27" x14ac:dyDescent="0.3">
      <c r="A765" t="s">
        <v>387</v>
      </c>
      <c r="B765" t="s">
        <v>388</v>
      </c>
      <c r="C765" t="s">
        <v>79</v>
      </c>
      <c r="D765" t="s">
        <v>378</v>
      </c>
      <c r="E765">
        <v>166</v>
      </c>
      <c r="F765">
        <v>85</v>
      </c>
      <c r="G765" t="s">
        <v>142</v>
      </c>
      <c r="H765">
        <v>0.69</v>
      </c>
      <c r="I765">
        <f>MAX('Min rate concentrations'!$H$3:$H$368)</f>
        <v>47</v>
      </c>
      <c r="J765">
        <f>MAX('Min rate concentrations'!AA:AA)</f>
        <v>32.5</v>
      </c>
      <c r="K765">
        <f t="shared" si="77"/>
        <v>0.71895452305628305</v>
      </c>
      <c r="L765">
        <f t="shared" si="78"/>
        <v>0.49714940424104681</v>
      </c>
      <c r="M765">
        <f>IF((((0.065*F765^0.726)/3.7-(0.301*F765^0.751)/(1-H765)*H765)*(MAX('Min rate concentrations'!$P$3:$P$368)))/F765&gt;0, (((0.065*F765^0.726)/3.7-(0.301*F765^0.751)/(1-H765)*H765)*(MAX('Min rate concentrations'!$P$3:$P$368)))/F765, 0)</f>
        <v>0</v>
      </c>
      <c r="N765">
        <f>IF((((0.065*F765^0.726)/3.7-(0.301*F765^0.751)/(1-H765)*H765)*(MAX('Min rate concentrations'!$Q$3:$Q$368)))/F765&gt;0, (((0.065*F765^0.726)/3.7-(0.301*F765^0.751)/(1-H765)*H765)*(MAX('Min rate concentrations'!$Q$3:$Q$368)))/F765, 0)</f>
        <v>0</v>
      </c>
      <c r="O765" t="s">
        <v>13</v>
      </c>
      <c r="P765" t="s">
        <v>13</v>
      </c>
      <c r="Q765">
        <f>(inputs!$C$7*11.2)*(25.05*F765^0.63)*0.5*1/F765</f>
        <v>13.554414394087216</v>
      </c>
      <c r="R765">
        <f>(60*76.9*((F765/1000)^0.76)*3*24*(MAX('Min rate concentrations'!$R$3:$R$368))/F765)</f>
        <v>7.7089635555086314E-4</v>
      </c>
      <c r="S765">
        <f>(IF(inputs!$C$6="aerial",((0.025*0.112*inputs!$C$7/3.3)*(3*60*76.9*((F765/1000)^0.76))*MAX(inputs!$H$14:$H$16))/F765,((0.0083*0.112*inputs!$C$7/1)*(3*60*76.9*((F765/1000)^0.76))*MAX(inputs!$H$14:$H$16))/F765))</f>
        <v>3.2550858970023808E-3</v>
      </c>
      <c r="T765">
        <f>IF((((inputs!$P$12/(V765/MAX(K765:S765)))^(1/inputs!$O$12))-1)/inputs!$N$12&lt;0, 0, IF((((inputs!$P$12/(V765/MAX(K765:S765)))^(1/inputs!$O$12))-1)/inputs!$N$12&gt;inputs!$H$17, inputs!$H$17, (((inputs!$P$12/(V765/MAX(K765:S765)))^(1/inputs!$O$12))-1)/inputs!$N$12))</f>
        <v>297.29630585780421</v>
      </c>
      <c r="U765">
        <f>IF((((inputs!$P$12/(X765/MAX(K765:S765)))^(1/inputs!$O$12))-1)/inputs!$N$12&lt;0, 0, IF((((inputs!$P$12/(X765/MAX(K765:S765)))^(1/inputs!$O$12))-1)/inputs!$N$12&gt;inputs!$H$17, inputs!$H$17, (((inputs!$P$12/(X765/MAX(K765:S765)))^(1/inputs!$O$12))-1)/inputs!$N$12))</f>
        <v>158.20822261159776</v>
      </c>
      <c r="V765">
        <f>inputs!$E$87*(F765/inputs!$F$87)^(1)</f>
        <v>1.6149999999999998E-2</v>
      </c>
      <c r="W765">
        <f>inputs!$E$90*(F765/inputs!$F$90)^(1)</f>
        <v>1.7000000000000001E-2</v>
      </c>
      <c r="X765">
        <f>inputs!$E$89*(F765/inputs!$F$89)^(1)</f>
        <v>6.3481012658227851E-2</v>
      </c>
      <c r="Y765" t="s">
        <v>13</v>
      </c>
      <c r="Z765">
        <f t="shared" si="75"/>
        <v>839.28262502088035</v>
      </c>
      <c r="AA765">
        <f t="shared" si="76"/>
        <v>797.31849376983621</v>
      </c>
    </row>
    <row r="766" spans="1:27" x14ac:dyDescent="0.3">
      <c r="A766" t="s">
        <v>387</v>
      </c>
      <c r="B766" t="s">
        <v>388</v>
      </c>
      <c r="C766" t="s">
        <v>79</v>
      </c>
      <c r="D766" t="s">
        <v>378</v>
      </c>
      <c r="E766">
        <v>166</v>
      </c>
      <c r="F766">
        <v>85</v>
      </c>
      <c r="G766" t="s">
        <v>138</v>
      </c>
      <c r="H766">
        <v>0.68</v>
      </c>
      <c r="I766">
        <f>MAX('Min rate concentrations'!$L$3:$L$368)</f>
        <v>58.421240152220811</v>
      </c>
      <c r="J766">
        <f>MAX('Min rate concentrations'!AD:AD)</f>
        <v>40.397666062705881</v>
      </c>
      <c r="K766">
        <f t="shared" si="77"/>
        <v>0.86573714119008749</v>
      </c>
      <c r="L766">
        <f t="shared" si="78"/>
        <v>0.59864802316335841</v>
      </c>
      <c r="M766">
        <f>IF((((0.065*F766^0.726)/3.7-(0.301*F766^0.751)/(1-H766)*H766)*(MAX('Min rate concentrations'!$P$3:$P$368)))/F766&gt;0, (((0.065*F766^0.726)/3.7-(0.301*F766^0.751)/(1-H766)*H766)*(MAX('Min rate concentrations'!$P$3:$P$368)))/F766, 0)</f>
        <v>0</v>
      </c>
      <c r="N766">
        <f>IF((((0.065*F766^0.726)/3.7-(0.301*F766^0.751)/(1-H766)*H766)*(MAX('Min rate concentrations'!$Q$3:$Q$368)))/F766&gt;0, (((0.065*F766^0.726)/3.7-(0.301*F766^0.751)/(1-H766)*H766)*(MAX('Min rate concentrations'!$Q$3:$Q$368)))/F766, 0)</f>
        <v>0</v>
      </c>
      <c r="O766" t="s">
        <v>13</v>
      </c>
      <c r="P766" t="s">
        <v>13</v>
      </c>
      <c r="Q766">
        <f>(inputs!$C$7*11.2)*(25.05*F766^0.63)*0.5*1/F766</f>
        <v>13.554414394087216</v>
      </c>
      <c r="R766">
        <f>(60*76.9*((F766/1000)^0.76)*3*24*(MAX('Min rate concentrations'!$R$3:$R$368))/F766)</f>
        <v>7.7089635555086314E-4</v>
      </c>
      <c r="S766">
        <f>(IF(inputs!$C$6="aerial",((0.025*0.112*inputs!$C$7/3.3)*(3*60*76.9*((F766/1000)^0.76))*MAX(inputs!$H$14:$H$16))/F766,((0.0083*0.112*inputs!$C$7/1)*(3*60*76.9*((F766/1000)^0.76))*MAX(inputs!$H$14:$H$16))/F766))</f>
        <v>3.2550858970023808E-3</v>
      </c>
      <c r="T766">
        <f>IF((((inputs!$P$12/(V766/MAX(K766:S766)))^(1/inputs!$O$12))-1)/inputs!$N$12&lt;0, 0, IF((((inputs!$P$12/(V766/MAX(K766:S766)))^(1/inputs!$O$12))-1)/inputs!$N$12&gt;inputs!$H$17, inputs!$H$17, (((inputs!$P$12/(V766/MAX(K766:S766)))^(1/inputs!$O$12))-1)/inputs!$N$12))</f>
        <v>297.29630585780421</v>
      </c>
      <c r="U766">
        <f>IF((((inputs!$P$12/(X766/MAX(K766:S766)))^(1/inputs!$O$12))-1)/inputs!$N$12&lt;0, 0, IF((((inputs!$P$12/(X766/MAX(K766:S766)))^(1/inputs!$O$12))-1)/inputs!$N$12&gt;inputs!$H$17, inputs!$H$17, (((inputs!$P$12/(X766/MAX(K766:S766)))^(1/inputs!$O$12))-1)/inputs!$N$12))</f>
        <v>158.20822261159776</v>
      </c>
      <c r="V766">
        <f>inputs!$E$87*(F766/inputs!$F$87)^(1)</f>
        <v>1.6149999999999998E-2</v>
      </c>
      <c r="W766">
        <f>inputs!$E$90*(F766/inputs!$F$90)^(1)</f>
        <v>1.7000000000000001E-2</v>
      </c>
      <c r="X766">
        <f>inputs!$E$89*(F766/inputs!$F$89)^(1)</f>
        <v>6.3481012658227851E-2</v>
      </c>
      <c r="Y766" t="s">
        <v>13</v>
      </c>
      <c r="Z766">
        <f t="shared" si="75"/>
        <v>839.28262502088035</v>
      </c>
      <c r="AA766">
        <f t="shared" si="76"/>
        <v>797.31849376983621</v>
      </c>
    </row>
    <row r="767" spans="1:27" x14ac:dyDescent="0.3">
      <c r="A767" t="s">
        <v>387</v>
      </c>
      <c r="B767" t="s">
        <v>388</v>
      </c>
      <c r="C767" t="s">
        <v>79</v>
      </c>
      <c r="D767" t="s">
        <v>378</v>
      </c>
      <c r="E767">
        <v>166</v>
      </c>
      <c r="F767">
        <v>85</v>
      </c>
      <c r="G767" t="s">
        <v>456</v>
      </c>
      <c r="H767">
        <v>0.68</v>
      </c>
      <c r="I767">
        <f>MAX('Min rate concentrations'!$J$3:$J$368)</f>
        <v>114.4108103430513</v>
      </c>
      <c r="J767">
        <f>MAX('Min rate concentrations'!AB:AB)</f>
        <v>40.520495329830666</v>
      </c>
      <c r="K767">
        <f t="shared" si="77"/>
        <v>1.6954396656002733</v>
      </c>
      <c r="L767">
        <f t="shared" si="78"/>
        <v>0.60046821490009683</v>
      </c>
      <c r="M767">
        <f>IF((((0.065*F767^0.726)/3.7-(0.301*F767^0.751)/(1-H767)*H767)*(MAX('Min rate concentrations'!$P$3:$P$368)))/F767&gt;0, (((0.065*F767^0.726)/3.7-(0.301*F767^0.751)/(1-H767)*H767)*(MAX('Min rate concentrations'!$P$3:$P$368)))/F767, 0)</f>
        <v>0</v>
      </c>
      <c r="N767">
        <f>IF((((0.065*F767^0.726)/3.7-(0.301*F767^0.751)/(1-H767)*H767)*(MAX('Min rate concentrations'!$Q$3:$Q$368)))/F767&gt;0, (((0.065*F767^0.726)/3.7-(0.301*F767^0.751)/(1-H767)*H767)*(MAX('Min rate concentrations'!$Q$3:$Q$368)))/F767, 0)</f>
        <v>0</v>
      </c>
      <c r="O767" t="s">
        <v>13</v>
      </c>
      <c r="P767" t="s">
        <v>13</v>
      </c>
      <c r="Q767">
        <f>(inputs!$C$7*11.2)*(25.05*F767^0.63)*0.5*1/F767</f>
        <v>13.554414394087216</v>
      </c>
      <c r="R767">
        <f>(60*76.9*((F767/1000)^0.76)*3*24*(MAX('Min rate concentrations'!$R$3:$R$368))/F767)</f>
        <v>7.7089635555086314E-4</v>
      </c>
      <c r="S767">
        <f>(IF(inputs!$C$6="aerial",((0.025*0.112*inputs!$C$7/3.3)*(3*60*76.9*((F767/1000)^0.76))*MAX(inputs!$H$14:$H$16))/F767,((0.0083*0.112*inputs!$C$7/1)*(3*60*76.9*((F767/1000)^0.76))*MAX(inputs!$H$14:$H$16))/F767))</f>
        <v>3.2550858970023808E-3</v>
      </c>
      <c r="T767">
        <f>IF((((inputs!$P$12/(V767/MAX(K767:S767)))^(1/inputs!$O$12))-1)/inputs!$N$12&lt;0, 0, IF((((inputs!$P$12/(V767/MAX(K767:S767)))^(1/inputs!$O$12))-1)/inputs!$N$12&gt;inputs!$H$17, inputs!$H$17, (((inputs!$P$12/(V767/MAX(K767:S767)))^(1/inputs!$O$12))-1)/inputs!$N$12))</f>
        <v>297.29630585780421</v>
      </c>
      <c r="U767">
        <f>IF((((inputs!$P$12/(X767/MAX(K767:S767)))^(1/inputs!$O$12))-1)/inputs!$N$12&lt;0, 0, IF((((inputs!$P$12/(X767/MAX(K767:S767)))^(1/inputs!$O$12))-1)/inputs!$N$12&gt;inputs!$H$17, inputs!$H$17, (((inputs!$P$12/(X767/MAX(K767:S767)))^(1/inputs!$O$12))-1)/inputs!$N$12))</f>
        <v>158.20822261159776</v>
      </c>
      <c r="V767">
        <f>inputs!$E$87*(F767/inputs!$F$87)^(1)</f>
        <v>1.6149999999999998E-2</v>
      </c>
      <c r="W767">
        <f>inputs!$E$90*(F767/inputs!$F$90)^(1)</f>
        <v>1.7000000000000001E-2</v>
      </c>
      <c r="X767">
        <f>inputs!$E$89*(F767/inputs!$F$89)^(1)</f>
        <v>6.3481012658227851E-2</v>
      </c>
      <c r="Y767" t="s">
        <v>13</v>
      </c>
      <c r="Z767">
        <f t="shared" si="75"/>
        <v>839.28262502088035</v>
      </c>
      <c r="AA767">
        <f t="shared" si="76"/>
        <v>797.31849376983621</v>
      </c>
    </row>
    <row r="768" spans="1:27" x14ac:dyDescent="0.3">
      <c r="A768" t="s">
        <v>387</v>
      </c>
      <c r="B768" t="s">
        <v>388</v>
      </c>
      <c r="C768" t="s">
        <v>79</v>
      </c>
      <c r="D768" t="s">
        <v>378</v>
      </c>
      <c r="E768">
        <v>166</v>
      </c>
      <c r="F768">
        <v>85</v>
      </c>
      <c r="G768" t="s">
        <v>145</v>
      </c>
      <c r="H768">
        <v>0.66</v>
      </c>
      <c r="I768">
        <f>MAX('Min rate concentrations'!$M$3:$M$368)</f>
        <v>2.8488184789681945</v>
      </c>
      <c r="J768">
        <f>MAX('Min rate concentrations'!AE:AE)</f>
        <v>1.9699276716269429</v>
      </c>
      <c r="K768">
        <f t="shared" si="77"/>
        <v>3.9732978007156229E-2</v>
      </c>
      <c r="L768">
        <f t="shared" si="78"/>
        <v>2.7474931600693132E-2</v>
      </c>
      <c r="M768">
        <f>IF((((0.065*F768^0.726)/3.7-(0.301*F768^0.751)/(1-H768)*H768)*(MAX('Min rate concentrations'!$P$3:$P$368)))/F768&gt;0, (((0.065*F768^0.726)/3.7-(0.301*F768^0.751)/(1-H768)*H768)*(MAX('Min rate concentrations'!$P$3:$P$368)))/F768, 0)</f>
        <v>0</v>
      </c>
      <c r="N768">
        <f>IF((((0.065*F768^0.726)/3.7-(0.301*F768^0.751)/(1-H768)*H768)*(MAX('Min rate concentrations'!$Q$3:$Q$368)))/F768&gt;0, (((0.065*F768^0.726)/3.7-(0.301*F768^0.751)/(1-H768)*H768)*(MAX('Min rate concentrations'!$Q$3:$Q$368)))/F768, 0)</f>
        <v>0</v>
      </c>
      <c r="O768" t="s">
        <v>13</v>
      </c>
      <c r="P768" t="s">
        <v>13</v>
      </c>
      <c r="Q768">
        <f>(inputs!$C$7*11.2)*(25.05*F768^0.63)*0.5*1/F768</f>
        <v>13.554414394087216</v>
      </c>
      <c r="R768">
        <f>(60*76.9*((F768/1000)^0.76)*3*24*(MAX('Min rate concentrations'!$R$3:$R$368))/F768)</f>
        <v>7.7089635555086314E-4</v>
      </c>
      <c r="S768">
        <f>(IF(inputs!$C$6="aerial",((0.025*0.112*inputs!$C$7/3.3)*(3*60*76.9*((F768/1000)^0.76))*MAX(inputs!$H$14:$H$16))/F768,((0.0083*0.112*inputs!$C$7/1)*(3*60*76.9*((F768/1000)^0.76))*MAX(inputs!$H$14:$H$16))/F768))</f>
        <v>3.2550858970023808E-3</v>
      </c>
      <c r="T768">
        <f>IF((((inputs!$P$12/(V768/MAX(K768:S768)))^(1/inputs!$O$12))-1)/inputs!$N$12&lt;0, 0, IF((((inputs!$P$12/(V768/MAX(K768:S768)))^(1/inputs!$O$12))-1)/inputs!$N$12&gt;inputs!$H$17, inputs!$H$17, (((inputs!$P$12/(V768/MAX(K768:S768)))^(1/inputs!$O$12))-1)/inputs!$N$12))</f>
        <v>297.29630585780421</v>
      </c>
      <c r="U768">
        <f>IF((((inputs!$P$12/(X768/MAX(K768:S768)))^(1/inputs!$O$12))-1)/inputs!$N$12&lt;0, 0, IF((((inputs!$P$12/(X768/MAX(K768:S768)))^(1/inputs!$O$12))-1)/inputs!$N$12&gt;inputs!$H$17, inputs!$H$17, (((inputs!$P$12/(X768/MAX(K768:S768)))^(1/inputs!$O$12))-1)/inputs!$N$12))</f>
        <v>158.20822261159776</v>
      </c>
      <c r="V768">
        <f>inputs!$E$87*(F768/inputs!$F$87)^(1)</f>
        <v>1.6149999999999998E-2</v>
      </c>
      <c r="W768">
        <f>inputs!$E$90*(F768/inputs!$F$90)^(1)</f>
        <v>1.7000000000000001E-2</v>
      </c>
      <c r="X768">
        <f>inputs!$E$89*(F768/inputs!$F$89)^(1)</f>
        <v>6.3481012658227851E-2</v>
      </c>
      <c r="Y768" t="s">
        <v>13</v>
      </c>
      <c r="Z768">
        <f t="shared" si="75"/>
        <v>839.28262502088035</v>
      </c>
      <c r="AA768">
        <f t="shared" si="76"/>
        <v>797.31849376983621</v>
      </c>
    </row>
    <row r="769" spans="1:27" x14ac:dyDescent="0.3">
      <c r="A769" t="s">
        <v>430</v>
      </c>
      <c r="B769" t="s">
        <v>431</v>
      </c>
      <c r="C769" t="s">
        <v>79</v>
      </c>
      <c r="D769" t="s">
        <v>378</v>
      </c>
      <c r="E769">
        <v>1783</v>
      </c>
      <c r="F769">
        <v>104</v>
      </c>
      <c r="G769" t="s">
        <v>182</v>
      </c>
      <c r="H769">
        <v>0.85</v>
      </c>
      <c r="I769">
        <f>MAX('Min rate concentrations'!$M$3:$M$368)</f>
        <v>2.8488184789681945</v>
      </c>
      <c r="J769">
        <f>MAX('Min rate concentrations'!AE:AE)</f>
        <v>1.9699276716269429</v>
      </c>
      <c r="K769">
        <f t="shared" si="77"/>
        <v>8.6030075289113744E-2</v>
      </c>
      <c r="L769">
        <f t="shared" si="78"/>
        <v>5.948888184885525E-2</v>
      </c>
      <c r="M769">
        <f>IF((((0.065*F769^0.726)/3.7-(0.301*F769^0.751)/(1-H769)*H769)*(MAX('Min rate concentrations'!$P$3:$P$368)))/F769&gt;0, (((0.065*F769^0.726)/3.7-(0.301*F769^0.751)/(1-H769)*H769)*(MAX('Min rate concentrations'!$P$3:$P$368)))/F769, 0)</f>
        <v>0</v>
      </c>
      <c r="N769">
        <f>IF((((0.065*F769^0.726)/3.7-(0.301*F769^0.751)/(1-H769)*H769)*(MAX('Min rate concentrations'!$Q$3:$Q$368)))/F769&gt;0, (((0.065*F769^0.726)/3.7-(0.301*F769^0.751)/(1-H769)*H769)*(MAX('Min rate concentrations'!$Q$3:$Q$368)))/F769, 0)</f>
        <v>0</v>
      </c>
      <c r="O769" t="s">
        <v>13</v>
      </c>
      <c r="P769" t="s">
        <v>13</v>
      </c>
      <c r="Q769">
        <f>(inputs!$C$7*11.2)*(25.05*F769^0.63)*0.5*1/F769</f>
        <v>12.57950134821162</v>
      </c>
      <c r="R769">
        <f>(60*76.9*((F769/1000)^0.76)*3*24*(MAX('Min rate concentrations'!$R$3:$R$368))/F769)</f>
        <v>7.3446065100886025E-4</v>
      </c>
      <c r="S769">
        <f>(IF(inputs!$C$6="aerial",((0.025*0.112*inputs!$C$7/3.3)*(3*60*76.9*((F769/1000)^0.76))*MAX(inputs!$H$14:$H$16))/F769,((0.0083*0.112*inputs!$C$7/1)*(3*60*76.9*((F769/1000)^0.76))*MAX(inputs!$H$14:$H$16))/F769))</f>
        <v>3.1012372672248158E-3</v>
      </c>
      <c r="T769">
        <f>IF((((inputs!$P$12/(V769/MAX(K769:S769)))^(1/inputs!$O$12))-1)/inputs!$N$12&lt;0, 0, IF((((inputs!$P$12/(V769/MAX(K769:S769)))^(1/inputs!$O$12))-1)/inputs!$N$12&gt;inputs!$H$17, inputs!$H$17, (((inputs!$P$12/(V769/MAX(K769:S769)))^(1/inputs!$O$12))-1)/inputs!$N$12))</f>
        <v>262.6565467110151</v>
      </c>
      <c r="U769">
        <f>IF((((inputs!$P$12/(X769/MAX(K769:S769)))^(1/inputs!$O$12))-1)/inputs!$N$12&lt;0, 0, IF((((inputs!$P$12/(X769/MAX(K769:S769)))^(1/inputs!$O$12))-1)/inputs!$N$12&gt;inputs!$H$17, inputs!$H$17, (((inputs!$P$12/(X769/MAX(K769:S769)))^(1/inputs!$O$12))-1)/inputs!$N$12))</f>
        <v>138.35722897113928</v>
      </c>
      <c r="V769">
        <f>inputs!$E$87*(F769/inputs!$F$87)^(1)</f>
        <v>1.976E-2</v>
      </c>
      <c r="W769">
        <f>inputs!$E$90*(F769/inputs!$F$90)^(1)</f>
        <v>2.0800000000000003E-2</v>
      </c>
      <c r="X769">
        <f>inputs!$E$89*(F769/inputs!$F$89)^(1)</f>
        <v>7.7670886075949366E-2</v>
      </c>
      <c r="Y769" t="s">
        <v>13</v>
      </c>
      <c r="Z769">
        <f t="shared" si="75"/>
        <v>636.61444069896868</v>
      </c>
      <c r="AA769">
        <f t="shared" si="76"/>
        <v>604.78371866402017</v>
      </c>
    </row>
    <row r="770" spans="1:27" x14ac:dyDescent="0.3">
      <c r="A770" t="s">
        <v>430</v>
      </c>
      <c r="B770" t="s">
        <v>431</v>
      </c>
      <c r="C770" t="s">
        <v>79</v>
      </c>
      <c r="D770" t="s">
        <v>378</v>
      </c>
      <c r="E770">
        <v>1783</v>
      </c>
      <c r="F770">
        <v>104</v>
      </c>
      <c r="G770" t="s">
        <v>164</v>
      </c>
      <c r="H770">
        <v>0.78</v>
      </c>
      <c r="I770">
        <f>inputs!$C$65*(inputs!$C$62/1000)</f>
        <v>0.82000000000000006</v>
      </c>
      <c r="J770">
        <f>inputs!$C$65*(inputs!$C$61/1000)</f>
        <v>0.25</v>
      </c>
      <c r="K770">
        <f t="shared" si="77"/>
        <v>1.6883712794495312E-2</v>
      </c>
      <c r="L770">
        <f t="shared" si="78"/>
        <v>5.147473412955887E-3</v>
      </c>
      <c r="M770">
        <f>IF((((0.065*F770^0.726)/3.7-(0.301*F770^0.751)/(1-H770)*H770)*(MAX('Min rate concentrations'!$P$3:$P$368)))/F770&gt;0, (((0.065*F770^0.726)/3.7-(0.301*F770^0.751)/(1-H770)*H770)*(MAX('Min rate concentrations'!$P$3:$P$368)))/F770, 0)</f>
        <v>0</v>
      </c>
      <c r="N770">
        <f>IF((((0.065*F770^0.726)/3.7-(0.301*F770^0.751)/(1-H770)*H770)*(MAX('Min rate concentrations'!$Q$3:$Q$368)))/F770&gt;0, (((0.065*F770^0.726)/3.7-(0.301*F770^0.751)/(1-H770)*H770)*(MAX('Min rate concentrations'!$Q$3:$Q$368)))/F770, 0)</f>
        <v>0</v>
      </c>
      <c r="O770" t="s">
        <v>13</v>
      </c>
      <c r="P770" t="s">
        <v>13</v>
      </c>
      <c r="Q770">
        <f>(inputs!$C$7*11.2)*(25.05*F770^0.63)*0.5*1/F770</f>
        <v>12.57950134821162</v>
      </c>
      <c r="R770">
        <f>(60*76.9*((F770/1000)^0.76)*3*24*(MAX('Min rate concentrations'!$R$3:$R$368))/F770)</f>
        <v>7.3446065100886025E-4</v>
      </c>
      <c r="S770">
        <f>(IF(inputs!$C$6="aerial",((0.025*0.112*inputs!$C$7/3.3)*(3*60*76.9*((F770/1000)^0.76))*MAX(inputs!$H$14:$H$16))/F770,((0.0083*0.112*inputs!$C$7/1)*(3*60*76.9*((F770/1000)^0.76))*MAX(inputs!$H$14:$H$16))/F770))</f>
        <v>3.1012372672248158E-3</v>
      </c>
      <c r="T770">
        <f>IF((((inputs!$P$12/(V770/MAX(K770:S770)))^(1/inputs!$O$12))-1)/inputs!$N$12&lt;0, 0, IF((((inputs!$P$12/(V770/MAX(K770:S770)))^(1/inputs!$O$12))-1)/inputs!$N$12&gt;inputs!$H$17, inputs!$H$17, (((inputs!$P$12/(V770/MAX(K770:S770)))^(1/inputs!$O$12))-1)/inputs!$N$12))</f>
        <v>262.6565467110151</v>
      </c>
      <c r="U770">
        <f>IF((((inputs!$P$12/(X770/MAX(K770:S770)))^(1/inputs!$O$12))-1)/inputs!$N$12&lt;0, 0, IF((((inputs!$P$12/(X770/MAX(K770:S770)))^(1/inputs!$O$12))-1)/inputs!$N$12&gt;inputs!$H$17, inputs!$H$17, (((inputs!$P$12/(X770/MAX(K770:S770)))^(1/inputs!$O$12))-1)/inputs!$N$12))</f>
        <v>138.35722897113928</v>
      </c>
      <c r="V770">
        <f>inputs!$E$87*(F770/inputs!$F$87)^(1)</f>
        <v>1.976E-2</v>
      </c>
      <c r="W770">
        <f>inputs!$E$90*(F770/inputs!$F$90)^(1)</f>
        <v>2.0800000000000003E-2</v>
      </c>
      <c r="X770">
        <f>inputs!$E$89*(F770/inputs!$F$89)^(1)</f>
        <v>7.7670886075949366E-2</v>
      </c>
      <c r="Y770" t="s">
        <v>13</v>
      </c>
      <c r="Z770">
        <f t="shared" si="75"/>
        <v>636.61444069896868</v>
      </c>
      <c r="AA770">
        <f t="shared" si="76"/>
        <v>604.78371866402017</v>
      </c>
    </row>
    <row r="771" spans="1:27" x14ac:dyDescent="0.3">
      <c r="A771" t="s">
        <v>430</v>
      </c>
      <c r="B771" t="s">
        <v>431</v>
      </c>
      <c r="C771" t="s">
        <v>79</v>
      </c>
      <c r="D771" t="s">
        <v>378</v>
      </c>
      <c r="E771">
        <v>1783</v>
      </c>
      <c r="F771">
        <v>104</v>
      </c>
      <c r="G771" t="s">
        <v>634</v>
      </c>
      <c r="H771">
        <v>0.75</v>
      </c>
      <c r="I771">
        <f>inputs!$C$65*inputs!$C$64/1000</f>
        <v>2.13</v>
      </c>
      <c r="J771">
        <f>inputs!$C$65*inputs!$C$63/1000</f>
        <v>0.88</v>
      </c>
      <c r="K771">
        <f t="shared" si="77"/>
        <v>3.8593696660978047E-2</v>
      </c>
      <c r="L771">
        <f t="shared" si="78"/>
        <v>1.5944813643972152E-2</v>
      </c>
      <c r="M771">
        <f>IF((((0.065*F771^0.726)/3.7-(0.301*F771^0.751)/(1-H771)*H771)*(MAX('Min rate concentrations'!$P$3:$P$368)))/F771&gt;0, (((0.065*F771^0.726)/3.7-(0.301*F771^0.751)/(1-H771)*H771)*(MAX('Min rate concentrations'!$P$3:$P$368)))/F771, 0)</f>
        <v>0</v>
      </c>
      <c r="N771">
        <f>IF((((0.065*F771^0.726)/3.7-(0.301*F771^0.751)/(1-H771)*H771)*(MAX('Min rate concentrations'!$Q$3:$Q$368)))/F771&gt;0, (((0.065*F771^0.726)/3.7-(0.301*F771^0.751)/(1-H771)*H771)*(MAX('Min rate concentrations'!$Q$3:$Q$368)))/F771, 0)</f>
        <v>0</v>
      </c>
      <c r="O771" t="s">
        <v>13</v>
      </c>
      <c r="P771" t="s">
        <v>13</v>
      </c>
      <c r="Q771">
        <f>(inputs!$C$7*11.2)*(25.05*F771^0.63)*0.5*1/F771</f>
        <v>12.57950134821162</v>
      </c>
      <c r="R771">
        <f>(60*76.9*((F771/1000)^0.76)*3*24*(MAX('Min rate concentrations'!$R$3:$R$368))/F771)</f>
        <v>7.3446065100886025E-4</v>
      </c>
      <c r="S771">
        <f>(IF(inputs!$C$6="aerial",((0.025*0.112*inputs!$C$7/3.3)*(3*60*76.9*((F771/1000)^0.76))*MAX(inputs!$H$14:$H$16))/F771,((0.0083*0.112*inputs!$C$7/1)*(3*60*76.9*((F771/1000)^0.76))*MAX(inputs!$H$14:$H$16))/F771))</f>
        <v>3.1012372672248158E-3</v>
      </c>
      <c r="T771">
        <f>IF((((inputs!$P$12/(V771/MAX(K771:S771)))^(1/inputs!$O$12))-1)/inputs!$N$12&lt;0, 0, IF((((inputs!$P$12/(V771/MAX(K771:S771)))^(1/inputs!$O$12))-1)/inputs!$N$12&gt;inputs!$H$17, inputs!$H$17, (((inputs!$P$12/(V771/MAX(K771:S771)))^(1/inputs!$O$12))-1)/inputs!$N$12))</f>
        <v>262.6565467110151</v>
      </c>
      <c r="U771">
        <f>IF((((inputs!$P$12/(X771/MAX(K771:S771)))^(1/inputs!$O$12))-1)/inputs!$N$12&lt;0, 0, IF((((inputs!$P$12/(X771/MAX(K771:S771)))^(1/inputs!$O$12))-1)/inputs!$N$12&gt;inputs!$H$17, inputs!$H$17, (((inputs!$P$12/(X771/MAX(K771:S771)))^(1/inputs!$O$12))-1)/inputs!$N$12))</f>
        <v>138.35722897113928</v>
      </c>
      <c r="V771">
        <f>inputs!$E$87*(F771/inputs!$F$87)^(1)</f>
        <v>1.976E-2</v>
      </c>
      <c r="W771">
        <f>inputs!$E$90*(F771/inputs!$F$90)^(1)</f>
        <v>2.0800000000000003E-2</v>
      </c>
      <c r="X771">
        <f>inputs!$E$89*(F771/inputs!$F$89)^(1)</f>
        <v>7.7670886075949366E-2</v>
      </c>
      <c r="Y771" t="s">
        <v>13</v>
      </c>
      <c r="Z771">
        <f t="shared" si="75"/>
        <v>636.61444069896868</v>
      </c>
      <c r="AA771">
        <f t="shared" si="76"/>
        <v>604.78371866402017</v>
      </c>
    </row>
    <row r="772" spans="1:27" x14ac:dyDescent="0.3">
      <c r="A772" t="s">
        <v>430</v>
      </c>
      <c r="B772" t="s">
        <v>431</v>
      </c>
      <c r="C772" t="s">
        <v>79</v>
      </c>
      <c r="D772" t="s">
        <v>378</v>
      </c>
      <c r="E772">
        <v>1783</v>
      </c>
      <c r="F772">
        <v>104</v>
      </c>
      <c r="G772" t="s">
        <v>456</v>
      </c>
      <c r="H772">
        <v>0.68</v>
      </c>
      <c r="I772">
        <f>MAX('Min rate concentrations'!$J$3:$J$368)</f>
        <v>114.4108103430513</v>
      </c>
      <c r="J772">
        <f>MAX('Min rate concentrations'!AB:AB)</f>
        <v>40.520495329830666</v>
      </c>
      <c r="K772">
        <f t="shared" si="77"/>
        <v>1.619548162087886</v>
      </c>
      <c r="L772">
        <f t="shared" si="78"/>
        <v>0.573589974072793</v>
      </c>
      <c r="M772">
        <f>IF((((0.065*F772^0.726)/3.7-(0.301*F772^0.751)/(1-H772)*H772)*(MAX('Min rate concentrations'!$P$3:$P$368)))/F772&gt;0, (((0.065*F772^0.726)/3.7-(0.301*F772^0.751)/(1-H772)*H772)*(MAX('Min rate concentrations'!$P$3:$P$368)))/F772, 0)</f>
        <v>0</v>
      </c>
      <c r="N772">
        <f>IF((((0.065*F772^0.726)/3.7-(0.301*F772^0.751)/(1-H772)*H772)*(MAX('Min rate concentrations'!$Q$3:$Q$368)))/F772&gt;0, (((0.065*F772^0.726)/3.7-(0.301*F772^0.751)/(1-H772)*H772)*(MAX('Min rate concentrations'!$Q$3:$Q$368)))/F772, 0)</f>
        <v>0</v>
      </c>
      <c r="O772" t="s">
        <v>13</v>
      </c>
      <c r="P772" t="s">
        <v>13</v>
      </c>
      <c r="Q772">
        <f>(inputs!$C$7*11.2)*(25.05*F772^0.63)*0.5*1/F772</f>
        <v>12.57950134821162</v>
      </c>
      <c r="R772">
        <f>(60*76.9*((F772/1000)^0.76)*3*24*(MAX('Min rate concentrations'!$R$3:$R$368))/F772)</f>
        <v>7.3446065100886025E-4</v>
      </c>
      <c r="S772">
        <f>(IF(inputs!$C$6="aerial",((0.025*0.112*inputs!$C$7/3.3)*(3*60*76.9*((F772/1000)^0.76))*MAX(inputs!$H$14:$H$16))/F772,((0.0083*0.112*inputs!$C$7/1)*(3*60*76.9*((F772/1000)^0.76))*MAX(inputs!$H$14:$H$16))/F772))</f>
        <v>3.1012372672248158E-3</v>
      </c>
      <c r="T772">
        <f>IF((((inputs!$P$12/(V772/MAX(K772:S772)))^(1/inputs!$O$12))-1)/inputs!$N$12&lt;0, 0, IF((((inputs!$P$12/(V772/MAX(K772:S772)))^(1/inputs!$O$12))-1)/inputs!$N$12&gt;inputs!$H$17, inputs!$H$17, (((inputs!$P$12/(V772/MAX(K772:S772)))^(1/inputs!$O$12))-1)/inputs!$N$12))</f>
        <v>262.6565467110151</v>
      </c>
      <c r="U772">
        <f>IF((((inputs!$P$12/(X772/MAX(K772:S772)))^(1/inputs!$O$12))-1)/inputs!$N$12&lt;0, 0, IF((((inputs!$P$12/(X772/MAX(K772:S772)))^(1/inputs!$O$12))-1)/inputs!$N$12&gt;inputs!$H$17, inputs!$H$17, (((inputs!$P$12/(X772/MAX(K772:S772)))^(1/inputs!$O$12))-1)/inputs!$N$12))</f>
        <v>138.35722897113928</v>
      </c>
      <c r="V772">
        <f>inputs!$E$87*(F772/inputs!$F$87)^(1)</f>
        <v>1.976E-2</v>
      </c>
      <c r="W772">
        <f>inputs!$E$90*(F772/inputs!$F$90)^(1)</f>
        <v>2.0800000000000003E-2</v>
      </c>
      <c r="X772">
        <f>inputs!$E$89*(F772/inputs!$F$89)^(1)</f>
        <v>7.7670886075949366E-2</v>
      </c>
      <c r="Y772" t="s">
        <v>13</v>
      </c>
      <c r="Z772">
        <f t="shared" ref="Z772:Z820" si="79">MAX(K772:S772)/V772</f>
        <v>636.61444069896868</v>
      </c>
      <c r="AA772">
        <f t="shared" ref="AA772:AA820" si="80">MAX(K772:S772)/W772</f>
        <v>604.78371866402017</v>
      </c>
    </row>
    <row r="773" spans="1:27" x14ac:dyDescent="0.3">
      <c r="A773" t="s">
        <v>430</v>
      </c>
      <c r="B773" t="s">
        <v>431</v>
      </c>
      <c r="C773" t="s">
        <v>79</v>
      </c>
      <c r="D773" t="s">
        <v>378</v>
      </c>
      <c r="E773">
        <v>1783</v>
      </c>
      <c r="F773">
        <v>104</v>
      </c>
      <c r="G773" t="s">
        <v>145</v>
      </c>
      <c r="H773">
        <v>0.66</v>
      </c>
      <c r="I773">
        <f>MAX('Min rate concentrations'!$M$3:$M$368)</f>
        <v>2.8488184789681945</v>
      </c>
      <c r="J773">
        <f>MAX('Min rate concentrations'!AE:AE)</f>
        <v>1.9699276716269429</v>
      </c>
      <c r="K773">
        <f t="shared" si="77"/>
        <v>3.7954444980491366E-2</v>
      </c>
      <c r="L773">
        <f t="shared" si="78"/>
        <v>2.6245094933318499E-2</v>
      </c>
      <c r="M773">
        <f>IF((((0.065*F773^0.726)/3.7-(0.301*F773^0.751)/(1-H773)*H773)*(MAX('Min rate concentrations'!$P$3:$P$368)))/F773&gt;0, (((0.065*F773^0.726)/3.7-(0.301*F773^0.751)/(1-H773)*H773)*(MAX('Min rate concentrations'!$P$3:$P$368)))/F773, 0)</f>
        <v>0</v>
      </c>
      <c r="N773">
        <f>IF((((0.065*F773^0.726)/3.7-(0.301*F773^0.751)/(1-H773)*H773)*(MAX('Min rate concentrations'!$Q$3:$Q$368)))/F773&gt;0, (((0.065*F773^0.726)/3.7-(0.301*F773^0.751)/(1-H773)*H773)*(MAX('Min rate concentrations'!$Q$3:$Q$368)))/F773, 0)</f>
        <v>0</v>
      </c>
      <c r="O773" t="s">
        <v>13</v>
      </c>
      <c r="P773" t="s">
        <v>13</v>
      </c>
      <c r="Q773">
        <f>(inputs!$C$7*11.2)*(25.05*F773^0.63)*0.5*1/F773</f>
        <v>12.57950134821162</v>
      </c>
      <c r="R773">
        <f>(60*76.9*((F773/1000)^0.76)*3*24*(MAX('Min rate concentrations'!$R$3:$R$368))/F773)</f>
        <v>7.3446065100886025E-4</v>
      </c>
      <c r="S773">
        <f>(IF(inputs!$C$6="aerial",((0.025*0.112*inputs!$C$7/3.3)*(3*60*76.9*((F773/1000)^0.76))*MAX(inputs!$H$14:$H$16))/F773,((0.0083*0.112*inputs!$C$7/1)*(3*60*76.9*((F773/1000)^0.76))*MAX(inputs!$H$14:$H$16))/F773))</f>
        <v>3.1012372672248158E-3</v>
      </c>
      <c r="T773">
        <f>IF((((inputs!$P$12/(V773/MAX(K773:S773)))^(1/inputs!$O$12))-1)/inputs!$N$12&lt;0, 0, IF((((inputs!$P$12/(V773/MAX(K773:S773)))^(1/inputs!$O$12))-1)/inputs!$N$12&gt;inputs!$H$17, inputs!$H$17, (((inputs!$P$12/(V773/MAX(K773:S773)))^(1/inputs!$O$12))-1)/inputs!$N$12))</f>
        <v>262.6565467110151</v>
      </c>
      <c r="U773">
        <f>IF((((inputs!$P$12/(X773/MAX(K773:S773)))^(1/inputs!$O$12))-1)/inputs!$N$12&lt;0, 0, IF((((inputs!$P$12/(X773/MAX(K773:S773)))^(1/inputs!$O$12))-1)/inputs!$N$12&gt;inputs!$H$17, inputs!$H$17, (((inputs!$P$12/(X773/MAX(K773:S773)))^(1/inputs!$O$12))-1)/inputs!$N$12))</f>
        <v>138.35722897113928</v>
      </c>
      <c r="V773">
        <f>inputs!$E$87*(F773/inputs!$F$87)^(1)</f>
        <v>1.976E-2</v>
      </c>
      <c r="W773">
        <f>inputs!$E$90*(F773/inputs!$F$90)^(1)</f>
        <v>2.0800000000000003E-2</v>
      </c>
      <c r="X773">
        <f>inputs!$E$89*(F773/inputs!$F$89)^(1)</f>
        <v>7.7670886075949366E-2</v>
      </c>
      <c r="Y773" t="s">
        <v>13</v>
      </c>
      <c r="Z773">
        <f t="shared" si="79"/>
        <v>636.61444069896868</v>
      </c>
      <c r="AA773">
        <f t="shared" si="80"/>
        <v>604.78371866402017</v>
      </c>
    </row>
    <row r="774" spans="1:27" x14ac:dyDescent="0.3">
      <c r="A774" t="s">
        <v>430</v>
      </c>
      <c r="B774" t="s">
        <v>431</v>
      </c>
      <c r="C774" t="s">
        <v>79</v>
      </c>
      <c r="D774" t="s">
        <v>378</v>
      </c>
      <c r="E774">
        <v>1783</v>
      </c>
      <c r="F774">
        <v>104</v>
      </c>
      <c r="G774" t="s">
        <v>146</v>
      </c>
      <c r="H774">
        <v>0.84</v>
      </c>
      <c r="I774">
        <f>MAX('Min rate concentrations'!$I$3:$I$368)</f>
        <v>9.4775690500787988</v>
      </c>
      <c r="J774" t="s">
        <v>13</v>
      </c>
      <c r="K774">
        <f t="shared" si="77"/>
        <v>0.26832044087603801</v>
      </c>
      <c r="L774" t="s">
        <v>13</v>
      </c>
      <c r="M774">
        <f>IF((((0.065*F774^0.726)/3.7-(0.301*F774^0.751)/(1-H774)*H774)*(MAX('Min rate concentrations'!$P$3:$P$368)))/F774&gt;0, (((0.065*F774^0.726)/3.7-(0.301*F774^0.751)/(1-H774)*H774)*(MAX('Min rate concentrations'!$P$3:$P$368)))/F774, 0)</f>
        <v>0</v>
      </c>
      <c r="N774">
        <f>IF((((0.065*F774^0.726)/3.7-(0.301*F774^0.751)/(1-H774)*H774)*(MAX('Min rate concentrations'!$Q$3:$Q$368)))/F774&gt;0, (((0.065*F774^0.726)/3.7-(0.301*F774^0.751)/(1-H774)*H774)*(MAX('Min rate concentrations'!$Q$3:$Q$368)))/F774, 0)</f>
        <v>0</v>
      </c>
      <c r="O774" t="s">
        <v>13</v>
      </c>
      <c r="P774" t="s">
        <v>13</v>
      </c>
      <c r="Q774">
        <f>(inputs!$C$7*11.2)*(25.05*F774^0.63)*0.5*1/F774</f>
        <v>12.57950134821162</v>
      </c>
      <c r="R774">
        <f>(60*76.9*((F774/1000)^0.76)*3*24*(MAX('Min rate concentrations'!$R$3:$R$368))/F774)</f>
        <v>7.3446065100886025E-4</v>
      </c>
      <c r="S774">
        <f>(IF(inputs!$C$6="aerial",((0.025*0.112*inputs!$C$7/3.3)*(3*60*76.9*((F774/1000)^0.76))*MAX(inputs!$H$14:$H$16))/F774,((0.0083*0.112*inputs!$C$7/1)*(3*60*76.9*((F774/1000)^0.76))*MAX(inputs!$H$14:$H$16))/F774))</f>
        <v>3.1012372672248158E-3</v>
      </c>
      <c r="T774">
        <f>IF((((inputs!$P$12/(V774/MAX(K774:S774)))^(1/inputs!$O$12))-1)/inputs!$N$12&lt;0, 0, IF((((inputs!$P$12/(V774/MAX(K774:S774)))^(1/inputs!$O$12))-1)/inputs!$N$12&gt;inputs!$H$17, inputs!$H$17, (((inputs!$P$12/(V774/MAX(K774:S774)))^(1/inputs!$O$12))-1)/inputs!$N$12))</f>
        <v>262.6565467110151</v>
      </c>
      <c r="U774">
        <f>IF((((inputs!$P$12/(X774/MAX(K774:S774)))^(1/inputs!$O$12))-1)/inputs!$N$12&lt;0, 0, IF((((inputs!$P$12/(X774/MAX(K774:S774)))^(1/inputs!$O$12))-1)/inputs!$N$12&gt;inputs!$H$17, inputs!$H$17, (((inputs!$P$12/(X774/MAX(K774:S774)))^(1/inputs!$O$12))-1)/inputs!$N$12))</f>
        <v>138.35722897113928</v>
      </c>
      <c r="V774">
        <f>inputs!$E$87*(F774/inputs!$F$87)^(1)</f>
        <v>1.976E-2</v>
      </c>
      <c r="W774">
        <f>inputs!$E$90*(F774/inputs!$F$90)^(1)</f>
        <v>2.0800000000000003E-2</v>
      </c>
      <c r="X774">
        <f>inputs!$E$89*(F774/inputs!$F$89)^(1)</f>
        <v>7.7670886075949366E-2</v>
      </c>
      <c r="Y774" t="s">
        <v>13</v>
      </c>
      <c r="Z774">
        <f t="shared" si="79"/>
        <v>636.61444069896868</v>
      </c>
      <c r="AA774">
        <f t="shared" si="80"/>
        <v>604.78371866402017</v>
      </c>
    </row>
    <row r="775" spans="1:27" x14ac:dyDescent="0.3">
      <c r="A775" t="s">
        <v>393</v>
      </c>
      <c r="B775" t="s">
        <v>394</v>
      </c>
      <c r="C775" t="s">
        <v>79</v>
      </c>
      <c r="D775" t="s">
        <v>378</v>
      </c>
      <c r="E775">
        <v>156</v>
      </c>
      <c r="F775">
        <v>140</v>
      </c>
      <c r="G775" t="s">
        <v>142</v>
      </c>
      <c r="H775">
        <v>0.69</v>
      </c>
      <c r="I775">
        <f>MAX('Min rate concentrations'!$H$3:$H$368)</f>
        <v>47</v>
      </c>
      <c r="J775">
        <f>MAX('Min rate concentrations'!AA:AA)</f>
        <v>32.5</v>
      </c>
      <c r="K775">
        <f t="shared" si="77"/>
        <v>0.64196071532953969</v>
      </c>
      <c r="L775">
        <f t="shared" ref="L775:L785" si="81">(((0.013*F775^0.773)/(1-H775)))*J775/F775</f>
        <v>0.44390900528106475</v>
      </c>
      <c r="M775">
        <f>IF((((0.065*F775^0.726)/3.7-(0.301*F775^0.751)/(1-H775)*H775)*(MAX('Min rate concentrations'!$P$3:$P$368)))/F775&gt;0, (((0.065*F775^0.726)/3.7-(0.301*F775^0.751)/(1-H775)*H775)*(MAX('Min rate concentrations'!$P$3:$P$368)))/F775, 0)</f>
        <v>0</v>
      </c>
      <c r="N775">
        <f>IF((((0.065*F775^0.726)/3.7-(0.301*F775^0.751)/(1-H775)*H775)*(MAX('Min rate concentrations'!$Q$3:$Q$368)))/F775&gt;0, (((0.065*F775^0.726)/3.7-(0.301*F775^0.751)/(1-H775)*H775)*(MAX('Min rate concentrations'!$Q$3:$Q$368)))/F775, 0)</f>
        <v>0</v>
      </c>
      <c r="O775" t="s">
        <v>13</v>
      </c>
      <c r="P775" t="s">
        <v>13</v>
      </c>
      <c r="Q775">
        <f>(inputs!$C$7*11.2)*(25.05*F775^0.63)*0.5*1/F775</f>
        <v>11.269337572192416</v>
      </c>
      <c r="R775">
        <f>(60*76.9*((F775/1000)^0.76)*3*24*(MAX('Min rate concentrations'!$R$3:$R$368))/F775)</f>
        <v>6.8388929565107656E-4</v>
      </c>
      <c r="S775">
        <f>(IF(inputs!$C$6="aerial",((0.025*0.112*inputs!$C$7/3.3)*(3*60*76.9*((F775/1000)^0.76))*MAX(inputs!$H$14:$H$16))/F775,((0.0083*0.112*inputs!$C$7/1)*(3*60*76.9*((F775/1000)^0.76))*MAX(inputs!$H$14:$H$16))/F775))</f>
        <v>2.8877012913026199E-3</v>
      </c>
      <c r="T775">
        <f>IF((((inputs!$P$12/(V775/MAX(K775:S775)))^(1/inputs!$O$12))-1)/inputs!$N$12&lt;0, 0, IF((((inputs!$P$12/(V775/MAX(K775:S775)))^(1/inputs!$O$12))-1)/inputs!$N$12&gt;inputs!$H$17, inputs!$H$17, (((inputs!$P$12/(V775/MAX(K775:S775)))^(1/inputs!$O$12))-1)/inputs!$N$12))</f>
        <v>218.21417327534243</v>
      </c>
      <c r="U775">
        <f>IF((((inputs!$P$12/(X775/MAX(K775:S775)))^(1/inputs!$O$12))-1)/inputs!$N$12&lt;0, 0, IF((((inputs!$P$12/(X775/MAX(K775:S775)))^(1/inputs!$O$12))-1)/inputs!$N$12&gt;inputs!$H$17, inputs!$H$17, (((inputs!$P$12/(X775/MAX(K775:S775)))^(1/inputs!$O$12))-1)/inputs!$N$12))</f>
        <v>112.88865487684765</v>
      </c>
      <c r="V775">
        <f>inputs!$E$87*(F775/inputs!$F$87)^(1)</f>
        <v>2.6599999999999999E-2</v>
      </c>
      <c r="W775">
        <f>inputs!$E$90*(F775/inputs!$F$90)^(1)</f>
        <v>2.8000000000000001E-2</v>
      </c>
      <c r="X775">
        <f>inputs!$E$89*(F775/inputs!$F$89)^(1)</f>
        <v>0.10455696202531645</v>
      </c>
      <c r="Y775" t="s">
        <v>13</v>
      </c>
      <c r="Z775">
        <f t="shared" si="79"/>
        <v>423.65930722527884</v>
      </c>
      <c r="AA775">
        <f t="shared" si="80"/>
        <v>402.47634186401484</v>
      </c>
    </row>
    <row r="776" spans="1:27" x14ac:dyDescent="0.3">
      <c r="A776" t="s">
        <v>393</v>
      </c>
      <c r="B776" t="s">
        <v>394</v>
      </c>
      <c r="C776" t="s">
        <v>79</v>
      </c>
      <c r="D776" t="s">
        <v>378</v>
      </c>
      <c r="E776">
        <v>156</v>
      </c>
      <c r="F776">
        <v>140</v>
      </c>
      <c r="G776" t="s">
        <v>138</v>
      </c>
      <c r="H776">
        <v>0.68</v>
      </c>
      <c r="I776">
        <f>MAX('Min rate concentrations'!$L$3:$L$368)</f>
        <v>58.421240152220811</v>
      </c>
      <c r="J776">
        <f>MAX('Min rate concentrations'!AD:AD)</f>
        <v>40.397666062705881</v>
      </c>
      <c r="K776">
        <f t="shared" si="77"/>
        <v>0.7730241852894375</v>
      </c>
      <c r="L776">
        <f t="shared" si="81"/>
        <v>0.53453800046610034</v>
      </c>
      <c r="M776">
        <f>IF((((0.065*F776^0.726)/3.7-(0.301*F776^0.751)/(1-H776)*H776)*(MAX('Min rate concentrations'!$P$3:$P$368)))/F776&gt;0, (((0.065*F776^0.726)/3.7-(0.301*F776^0.751)/(1-H776)*H776)*(MAX('Min rate concentrations'!$P$3:$P$368)))/F776, 0)</f>
        <v>0</v>
      </c>
      <c r="N776">
        <f>IF((((0.065*F776^0.726)/3.7-(0.301*F776^0.751)/(1-H776)*H776)*(MAX('Min rate concentrations'!$Q$3:$Q$368)))/F776&gt;0, (((0.065*F776^0.726)/3.7-(0.301*F776^0.751)/(1-H776)*H776)*(MAX('Min rate concentrations'!$Q$3:$Q$368)))/F776, 0)</f>
        <v>0</v>
      </c>
      <c r="O776" t="s">
        <v>13</v>
      </c>
      <c r="P776" t="s">
        <v>13</v>
      </c>
      <c r="Q776">
        <f>(inputs!$C$7*11.2)*(25.05*F776^0.63)*0.5*1/F776</f>
        <v>11.269337572192416</v>
      </c>
      <c r="R776">
        <f>(60*76.9*((F776/1000)^0.76)*3*24*(MAX('Min rate concentrations'!$R$3:$R$368))/F776)</f>
        <v>6.8388929565107656E-4</v>
      </c>
      <c r="S776">
        <f>(IF(inputs!$C$6="aerial",((0.025*0.112*inputs!$C$7/3.3)*(3*60*76.9*((F776/1000)^0.76))*MAX(inputs!$H$14:$H$16))/F776,((0.0083*0.112*inputs!$C$7/1)*(3*60*76.9*((F776/1000)^0.76))*MAX(inputs!$H$14:$H$16))/F776))</f>
        <v>2.8877012913026199E-3</v>
      </c>
      <c r="T776">
        <f>IF((((inputs!$P$12/(V776/MAX(K776:S776)))^(1/inputs!$O$12))-1)/inputs!$N$12&lt;0, 0, IF((((inputs!$P$12/(V776/MAX(K776:S776)))^(1/inputs!$O$12))-1)/inputs!$N$12&gt;inputs!$H$17, inputs!$H$17, (((inputs!$P$12/(V776/MAX(K776:S776)))^(1/inputs!$O$12))-1)/inputs!$N$12))</f>
        <v>218.21417327534243</v>
      </c>
      <c r="U776">
        <f>IF((((inputs!$P$12/(X776/MAX(K776:S776)))^(1/inputs!$O$12))-1)/inputs!$N$12&lt;0, 0, IF((((inputs!$P$12/(X776/MAX(K776:S776)))^(1/inputs!$O$12))-1)/inputs!$N$12&gt;inputs!$H$17, inputs!$H$17, (((inputs!$P$12/(X776/MAX(K776:S776)))^(1/inputs!$O$12))-1)/inputs!$N$12))</f>
        <v>112.88865487684765</v>
      </c>
      <c r="V776">
        <f>inputs!$E$87*(F776/inputs!$F$87)^(1)</f>
        <v>2.6599999999999999E-2</v>
      </c>
      <c r="W776">
        <f>inputs!$E$90*(F776/inputs!$F$90)^(1)</f>
        <v>2.8000000000000001E-2</v>
      </c>
      <c r="X776">
        <f>inputs!$E$89*(F776/inputs!$F$89)^(1)</f>
        <v>0.10455696202531645</v>
      </c>
      <c r="Y776" t="s">
        <v>13</v>
      </c>
      <c r="Z776">
        <f t="shared" si="79"/>
        <v>423.65930722527884</v>
      </c>
      <c r="AA776">
        <f t="shared" si="80"/>
        <v>402.47634186401484</v>
      </c>
    </row>
    <row r="777" spans="1:27" x14ac:dyDescent="0.3">
      <c r="A777" t="s">
        <v>393</v>
      </c>
      <c r="B777" t="s">
        <v>394</v>
      </c>
      <c r="C777" t="s">
        <v>79</v>
      </c>
      <c r="D777" t="s">
        <v>378</v>
      </c>
      <c r="E777">
        <v>156</v>
      </c>
      <c r="F777">
        <v>140</v>
      </c>
      <c r="G777" t="s">
        <v>218</v>
      </c>
      <c r="H777">
        <v>0.68</v>
      </c>
      <c r="I777">
        <f>MAX('Min rate concentrations'!$K$3:$K$368)</f>
        <v>18.333393099490852</v>
      </c>
      <c r="J777">
        <f>MAX('Min rate concentrations'!AC:AC)</f>
        <v>6.4930767227363431</v>
      </c>
      <c r="K777">
        <f t="shared" si="77"/>
        <v>0.24258567992391675</v>
      </c>
      <c r="L777">
        <f t="shared" si="81"/>
        <v>8.591576163972052E-2</v>
      </c>
      <c r="M777">
        <f>IF((((0.065*F777^0.726)/3.7-(0.301*F777^0.751)/(1-H777)*H777)*(MAX('Min rate concentrations'!$P$3:$P$368)))/F777&gt;0, (((0.065*F777^0.726)/3.7-(0.301*F777^0.751)/(1-H777)*H777)*(MAX('Min rate concentrations'!$P$3:$P$368)))/F777, 0)</f>
        <v>0</v>
      </c>
      <c r="N777">
        <f>IF((((0.065*F777^0.726)/3.7-(0.301*F777^0.751)/(1-H777)*H777)*(MAX('Min rate concentrations'!$Q$3:$Q$368)))/F777&gt;0, (((0.065*F777^0.726)/3.7-(0.301*F777^0.751)/(1-H777)*H777)*(MAX('Min rate concentrations'!$Q$3:$Q$368)))/F777, 0)</f>
        <v>0</v>
      </c>
      <c r="O777" t="s">
        <v>13</v>
      </c>
      <c r="P777" t="s">
        <v>13</v>
      </c>
      <c r="Q777">
        <f>(inputs!$C$7*11.2)*(25.05*F777^0.63)*0.5*1/F777</f>
        <v>11.269337572192416</v>
      </c>
      <c r="R777">
        <f>(60*76.9*((F777/1000)^0.76)*3*24*(MAX('Min rate concentrations'!$R$3:$R$368))/F777)</f>
        <v>6.8388929565107656E-4</v>
      </c>
      <c r="S777">
        <f>(IF(inputs!$C$6="aerial",((0.025*0.112*inputs!$C$7/3.3)*(3*60*76.9*((F777/1000)^0.76))*MAX(inputs!$H$14:$H$16))/F777,((0.0083*0.112*inputs!$C$7/1)*(3*60*76.9*((F777/1000)^0.76))*MAX(inputs!$H$14:$H$16))/F777))</f>
        <v>2.8877012913026199E-3</v>
      </c>
      <c r="T777">
        <f>IF((((inputs!$P$12/(V777/MAX(K777:S777)))^(1/inputs!$O$12))-1)/inputs!$N$12&lt;0, 0, IF((((inputs!$P$12/(V777/MAX(K777:S777)))^(1/inputs!$O$12))-1)/inputs!$N$12&gt;inputs!$H$17, inputs!$H$17, (((inputs!$P$12/(V777/MAX(K777:S777)))^(1/inputs!$O$12))-1)/inputs!$N$12))</f>
        <v>218.21417327534243</v>
      </c>
      <c r="U777">
        <f>IF((((inputs!$P$12/(X777/MAX(K777:S777)))^(1/inputs!$O$12))-1)/inputs!$N$12&lt;0, 0, IF((((inputs!$P$12/(X777/MAX(K777:S777)))^(1/inputs!$O$12))-1)/inputs!$N$12&gt;inputs!$H$17, inputs!$H$17, (((inputs!$P$12/(X777/MAX(K777:S777)))^(1/inputs!$O$12))-1)/inputs!$N$12))</f>
        <v>112.88865487684765</v>
      </c>
      <c r="V777">
        <f>inputs!$E$87*(F777/inputs!$F$87)^(1)</f>
        <v>2.6599999999999999E-2</v>
      </c>
      <c r="W777">
        <f>inputs!$E$90*(F777/inputs!$F$90)^(1)</f>
        <v>2.8000000000000001E-2</v>
      </c>
      <c r="X777">
        <f>inputs!$E$89*(F777/inputs!$F$89)^(1)</f>
        <v>0.10455696202531645</v>
      </c>
      <c r="Y777" t="s">
        <v>13</v>
      </c>
      <c r="Z777">
        <f t="shared" si="79"/>
        <v>423.65930722527884</v>
      </c>
      <c r="AA777">
        <f t="shared" si="80"/>
        <v>402.47634186401484</v>
      </c>
    </row>
    <row r="778" spans="1:27" x14ac:dyDescent="0.3">
      <c r="A778" t="s">
        <v>393</v>
      </c>
      <c r="B778" t="s">
        <v>394</v>
      </c>
      <c r="C778" t="s">
        <v>79</v>
      </c>
      <c r="D778" t="s">
        <v>378</v>
      </c>
      <c r="E778">
        <v>156</v>
      </c>
      <c r="F778">
        <v>140</v>
      </c>
      <c r="G778" t="s">
        <v>456</v>
      </c>
      <c r="H778">
        <v>0.68</v>
      </c>
      <c r="I778">
        <f>MAX('Min rate concentrations'!$J$3:$J$368)</f>
        <v>114.4108103430513</v>
      </c>
      <c r="J778">
        <f>MAX('Min rate concentrations'!AB:AB)</f>
        <v>40.520495329830666</v>
      </c>
      <c r="K778">
        <f t="shared" si="77"/>
        <v>1.5138727494195372</v>
      </c>
      <c r="L778">
        <f t="shared" si="81"/>
        <v>0.53616326541941939</v>
      </c>
      <c r="M778">
        <f>IF((((0.065*F778^0.726)/3.7-(0.301*F778^0.751)/(1-H778)*H778)*(MAX('Min rate concentrations'!$P$3:$P$368)))/F778&gt;0, (((0.065*F778^0.726)/3.7-(0.301*F778^0.751)/(1-H778)*H778)*(MAX('Min rate concentrations'!$P$3:$P$368)))/F778, 0)</f>
        <v>0</v>
      </c>
      <c r="N778">
        <f>IF((((0.065*F778^0.726)/3.7-(0.301*F778^0.751)/(1-H778)*H778)*(MAX('Min rate concentrations'!$Q$3:$Q$368)))/F778&gt;0, (((0.065*F778^0.726)/3.7-(0.301*F778^0.751)/(1-H778)*H778)*(MAX('Min rate concentrations'!$Q$3:$Q$368)))/F778, 0)</f>
        <v>0</v>
      </c>
      <c r="O778" t="s">
        <v>13</v>
      </c>
      <c r="P778" t="s">
        <v>13</v>
      </c>
      <c r="Q778">
        <f>(inputs!$C$7*11.2)*(25.05*F778^0.63)*0.5*1/F778</f>
        <v>11.269337572192416</v>
      </c>
      <c r="R778">
        <f>(60*76.9*((F778/1000)^0.76)*3*24*(MAX('Min rate concentrations'!$R$3:$R$368))/F778)</f>
        <v>6.8388929565107656E-4</v>
      </c>
      <c r="S778">
        <f>(IF(inputs!$C$6="aerial",((0.025*0.112*inputs!$C$7/3.3)*(3*60*76.9*((F778/1000)^0.76))*MAX(inputs!$H$14:$H$16))/F778,((0.0083*0.112*inputs!$C$7/1)*(3*60*76.9*((F778/1000)^0.76))*MAX(inputs!$H$14:$H$16))/F778))</f>
        <v>2.8877012913026199E-3</v>
      </c>
      <c r="T778">
        <f>IF((((inputs!$P$12/(V778/MAX(K778:S778)))^(1/inputs!$O$12))-1)/inputs!$N$12&lt;0, 0, IF((((inputs!$P$12/(V778/MAX(K778:S778)))^(1/inputs!$O$12))-1)/inputs!$N$12&gt;inputs!$H$17, inputs!$H$17, (((inputs!$P$12/(V778/MAX(K778:S778)))^(1/inputs!$O$12))-1)/inputs!$N$12))</f>
        <v>218.21417327534243</v>
      </c>
      <c r="U778">
        <f>IF((((inputs!$P$12/(X778/MAX(K778:S778)))^(1/inputs!$O$12))-1)/inputs!$N$12&lt;0, 0, IF((((inputs!$P$12/(X778/MAX(K778:S778)))^(1/inputs!$O$12))-1)/inputs!$N$12&gt;inputs!$H$17, inputs!$H$17, (((inputs!$P$12/(X778/MAX(K778:S778)))^(1/inputs!$O$12))-1)/inputs!$N$12))</f>
        <v>112.88865487684765</v>
      </c>
      <c r="V778">
        <f>inputs!$E$87*(F778/inputs!$F$87)^(1)</f>
        <v>2.6599999999999999E-2</v>
      </c>
      <c r="W778">
        <f>inputs!$E$90*(F778/inputs!$F$90)^(1)</f>
        <v>2.8000000000000001E-2</v>
      </c>
      <c r="X778">
        <f>inputs!$E$89*(F778/inputs!$F$89)^(1)</f>
        <v>0.10455696202531645</v>
      </c>
      <c r="Y778" t="s">
        <v>13</v>
      </c>
      <c r="Z778">
        <f t="shared" si="79"/>
        <v>423.65930722527884</v>
      </c>
      <c r="AA778">
        <f t="shared" si="80"/>
        <v>402.47634186401484</v>
      </c>
    </row>
    <row r="779" spans="1:27" x14ac:dyDescent="0.3">
      <c r="A779" t="s">
        <v>393</v>
      </c>
      <c r="B779" t="s">
        <v>394</v>
      </c>
      <c r="C779" t="s">
        <v>79</v>
      </c>
      <c r="D779" t="s">
        <v>378</v>
      </c>
      <c r="E779">
        <v>156</v>
      </c>
      <c r="F779">
        <v>140</v>
      </c>
      <c r="G779" t="s">
        <v>145</v>
      </c>
      <c r="H779">
        <v>0.66</v>
      </c>
      <c r="I779">
        <f>MAX('Min rate concentrations'!$M$3:$M$368)</f>
        <v>2.8488184789681945</v>
      </c>
      <c r="J779">
        <f>MAX('Min rate concentrations'!AE:AE)</f>
        <v>1.9699276716269429</v>
      </c>
      <c r="K779">
        <f t="shared" si="77"/>
        <v>3.5477919904052226E-2</v>
      </c>
      <c r="L779">
        <f t="shared" si="81"/>
        <v>2.4532604188972282E-2</v>
      </c>
      <c r="M779">
        <f>IF((((0.065*F779^0.726)/3.7-(0.301*F779^0.751)/(1-H779)*H779)*(MAX('Min rate concentrations'!$P$3:$P$368)))/F779&gt;0, (((0.065*F779^0.726)/3.7-(0.301*F779^0.751)/(1-H779)*H779)*(MAX('Min rate concentrations'!$P$3:$P$368)))/F779, 0)</f>
        <v>0</v>
      </c>
      <c r="N779">
        <f>IF((((0.065*F779^0.726)/3.7-(0.301*F779^0.751)/(1-H779)*H779)*(MAX('Min rate concentrations'!$Q$3:$Q$368)))/F779&gt;0, (((0.065*F779^0.726)/3.7-(0.301*F779^0.751)/(1-H779)*H779)*(MAX('Min rate concentrations'!$Q$3:$Q$368)))/F779, 0)</f>
        <v>0</v>
      </c>
      <c r="O779" t="s">
        <v>13</v>
      </c>
      <c r="P779" t="s">
        <v>13</v>
      </c>
      <c r="Q779">
        <f>(inputs!$C$7*11.2)*(25.05*F779^0.63)*0.5*1/F779</f>
        <v>11.269337572192416</v>
      </c>
      <c r="R779">
        <f>(60*76.9*((F779/1000)^0.76)*3*24*(MAX('Min rate concentrations'!$R$3:$R$368))/F779)</f>
        <v>6.8388929565107656E-4</v>
      </c>
      <c r="S779">
        <f>(IF(inputs!$C$6="aerial",((0.025*0.112*inputs!$C$7/3.3)*(3*60*76.9*((F779/1000)^0.76))*MAX(inputs!$H$14:$H$16))/F779,((0.0083*0.112*inputs!$C$7/1)*(3*60*76.9*((F779/1000)^0.76))*MAX(inputs!$H$14:$H$16))/F779))</f>
        <v>2.8877012913026199E-3</v>
      </c>
      <c r="T779">
        <f>IF((((inputs!$P$12/(V779/MAX(K779:S779)))^(1/inputs!$O$12))-1)/inputs!$N$12&lt;0, 0, IF((((inputs!$P$12/(V779/MAX(K779:S779)))^(1/inputs!$O$12))-1)/inputs!$N$12&gt;inputs!$H$17, inputs!$H$17, (((inputs!$P$12/(V779/MAX(K779:S779)))^(1/inputs!$O$12))-1)/inputs!$N$12))</f>
        <v>218.21417327534243</v>
      </c>
      <c r="U779">
        <f>IF((((inputs!$P$12/(X779/MAX(K779:S779)))^(1/inputs!$O$12))-1)/inputs!$N$12&lt;0, 0, IF((((inputs!$P$12/(X779/MAX(K779:S779)))^(1/inputs!$O$12))-1)/inputs!$N$12&gt;inputs!$H$17, inputs!$H$17, (((inputs!$P$12/(X779/MAX(K779:S779)))^(1/inputs!$O$12))-1)/inputs!$N$12))</f>
        <v>112.88865487684765</v>
      </c>
      <c r="V779">
        <f>inputs!$E$87*(F779/inputs!$F$87)^(1)</f>
        <v>2.6599999999999999E-2</v>
      </c>
      <c r="W779">
        <f>inputs!$E$90*(F779/inputs!$F$90)^(1)</f>
        <v>2.8000000000000001E-2</v>
      </c>
      <c r="X779">
        <f>inputs!$E$89*(F779/inputs!$F$89)^(1)</f>
        <v>0.10455696202531645</v>
      </c>
      <c r="Y779" t="s">
        <v>13</v>
      </c>
      <c r="Z779">
        <f t="shared" si="79"/>
        <v>423.65930722527884</v>
      </c>
      <c r="AA779">
        <f t="shared" si="80"/>
        <v>402.47634186401484</v>
      </c>
    </row>
    <row r="780" spans="1:27" x14ac:dyDescent="0.3">
      <c r="A780" t="s">
        <v>434</v>
      </c>
      <c r="B780" t="s">
        <v>435</v>
      </c>
      <c r="C780" t="s">
        <v>79</v>
      </c>
      <c r="D780" t="s">
        <v>378</v>
      </c>
      <c r="E780">
        <v>152</v>
      </c>
      <c r="F780">
        <v>113</v>
      </c>
      <c r="G780" t="s">
        <v>182</v>
      </c>
      <c r="H780">
        <v>0.85</v>
      </c>
      <c r="I780">
        <f>MAX('Min rate concentrations'!$M$3:$M$368)</f>
        <v>2.8488184789681945</v>
      </c>
      <c r="J780">
        <f>MAX('Min rate concentrations'!AE:AE)</f>
        <v>1.9699276716269429</v>
      </c>
      <c r="K780">
        <f t="shared" si="77"/>
        <v>8.4424415845872777E-2</v>
      </c>
      <c r="L780">
        <f t="shared" si="81"/>
        <v>5.8378585425337561E-2</v>
      </c>
      <c r="M780">
        <f>IF((((0.065*F780^0.726)/3.7-(0.301*F780^0.751)/(1-H780)*H780)*(MAX('Min rate concentrations'!$P$3:$P$368)))/F780&gt;0, (((0.065*F780^0.726)/3.7-(0.301*F780^0.751)/(1-H780)*H780)*(MAX('Min rate concentrations'!$P$3:$P$368)))/F780, 0)</f>
        <v>0</v>
      </c>
      <c r="N780">
        <f>IF((((0.065*F780^0.726)/3.7-(0.301*F780^0.751)/(1-H780)*H780)*(MAX('Min rate concentrations'!$Q$3:$Q$368)))/F780&gt;0, (((0.065*F780^0.726)/3.7-(0.301*F780^0.751)/(1-H780)*H780)*(MAX('Min rate concentrations'!$Q$3:$Q$368)))/F780, 0)</f>
        <v>0</v>
      </c>
      <c r="O780" t="s">
        <v>13</v>
      </c>
      <c r="P780" t="s">
        <v>13</v>
      </c>
      <c r="Q780">
        <f>(inputs!$C$7*11.2)*(25.05*F780^0.63)*0.5*1/F780</f>
        <v>12.199070396019255</v>
      </c>
      <c r="R780">
        <f>(60*76.9*((F780/1000)^0.76)*3*24*(MAX('Min rate concentrations'!$R$3:$R$368))/F780)</f>
        <v>7.1997548368696958E-4</v>
      </c>
      <c r="S780">
        <f>(IF(inputs!$C$6="aerial",((0.025*0.112*inputs!$C$7/3.3)*(3*60*76.9*((F780/1000)^0.76))*MAX(inputs!$H$14:$H$16))/F780,((0.0083*0.112*inputs!$C$7/1)*(3*60*76.9*((F780/1000)^0.76))*MAX(inputs!$H$14:$H$16))/F780))</f>
        <v>3.0400740984983096E-3</v>
      </c>
      <c r="T780">
        <f>IF((((inputs!$P$12/(V780/MAX(K780:S780)))^(1/inputs!$O$12))-1)/inputs!$N$12&lt;0, 0, IF((((inputs!$P$12/(V780/MAX(K780:S780)))^(1/inputs!$O$12))-1)/inputs!$N$12&gt;inputs!$H$17, inputs!$H$17, (((inputs!$P$12/(V780/MAX(K780:S780)))^(1/inputs!$O$12))-1)/inputs!$N$12))</f>
        <v>249.49816779782773</v>
      </c>
      <c r="U780">
        <f>IF((((inputs!$P$12/(X780/MAX(K780:S780)))^(1/inputs!$O$12))-1)/inputs!$N$12&lt;0, 0, IF((((inputs!$P$12/(X780/MAX(K780:S780)))^(1/inputs!$O$12))-1)/inputs!$N$12&gt;inputs!$H$17, inputs!$H$17, (((inputs!$P$12/(X780/MAX(K780:S780)))^(1/inputs!$O$12))-1)/inputs!$N$12))</f>
        <v>130.8165617564068</v>
      </c>
      <c r="V780">
        <f>inputs!$E$87*(F780/inputs!$F$87)^(1)</f>
        <v>2.1469999999999996E-2</v>
      </c>
      <c r="W780">
        <f>inputs!$E$90*(F780/inputs!$F$90)^(1)</f>
        <v>2.2600000000000002E-2</v>
      </c>
      <c r="X780">
        <f>inputs!$E$89*(F780/inputs!$F$89)^(1)</f>
        <v>8.439240506329114E-2</v>
      </c>
      <c r="Y780" t="s">
        <v>13</v>
      </c>
      <c r="Z780">
        <f t="shared" si="79"/>
        <v>568.19144834742701</v>
      </c>
      <c r="AA780">
        <f t="shared" si="80"/>
        <v>539.78187593005555</v>
      </c>
    </row>
    <row r="781" spans="1:27" x14ac:dyDescent="0.3">
      <c r="A781" t="s">
        <v>434</v>
      </c>
      <c r="B781" t="s">
        <v>435</v>
      </c>
      <c r="C781" t="s">
        <v>79</v>
      </c>
      <c r="D781" t="s">
        <v>378</v>
      </c>
      <c r="E781">
        <v>152</v>
      </c>
      <c r="F781">
        <v>113</v>
      </c>
      <c r="G781" t="s">
        <v>634</v>
      </c>
      <c r="H781">
        <v>0.75</v>
      </c>
      <c r="I781">
        <f>inputs!$C$65*inputs!$C$64/1000</f>
        <v>2.13</v>
      </c>
      <c r="J781">
        <f>inputs!$C$65*inputs!$C$63/1000</f>
        <v>0.88</v>
      </c>
      <c r="K781">
        <f t="shared" si="77"/>
        <v>3.7873386545183955E-2</v>
      </c>
      <c r="L781">
        <f t="shared" si="81"/>
        <v>1.5647220732282575E-2</v>
      </c>
      <c r="M781">
        <f>IF((((0.065*F781^0.726)/3.7-(0.301*F781^0.751)/(1-H781)*H781)*(MAX('Min rate concentrations'!$P$3:$P$368)))/F781&gt;0, (((0.065*F781^0.726)/3.7-(0.301*F781^0.751)/(1-H781)*H781)*(MAX('Min rate concentrations'!$P$3:$P$368)))/F781, 0)</f>
        <v>0</v>
      </c>
      <c r="N781">
        <f>IF((((0.065*F781^0.726)/3.7-(0.301*F781^0.751)/(1-H781)*H781)*(MAX('Min rate concentrations'!$Q$3:$Q$368)))/F781&gt;0, (((0.065*F781^0.726)/3.7-(0.301*F781^0.751)/(1-H781)*H781)*(MAX('Min rate concentrations'!$Q$3:$Q$368)))/F781, 0)</f>
        <v>0</v>
      </c>
      <c r="O781" t="s">
        <v>13</v>
      </c>
      <c r="P781" t="s">
        <v>13</v>
      </c>
      <c r="Q781">
        <f>(inputs!$C$7*11.2)*(25.05*F781^0.63)*0.5*1/F781</f>
        <v>12.199070396019255</v>
      </c>
      <c r="R781">
        <f>(60*76.9*((F781/1000)^0.76)*3*24*(MAX('Min rate concentrations'!$R$3:$R$368))/F781)</f>
        <v>7.1997548368696958E-4</v>
      </c>
      <c r="S781">
        <f>(IF(inputs!$C$6="aerial",((0.025*0.112*inputs!$C$7/3.3)*(3*60*76.9*((F781/1000)^0.76))*MAX(inputs!$H$14:$H$16))/F781,((0.0083*0.112*inputs!$C$7/1)*(3*60*76.9*((F781/1000)^0.76))*MAX(inputs!$H$14:$H$16))/F781))</f>
        <v>3.0400740984983096E-3</v>
      </c>
      <c r="T781">
        <f>IF((((inputs!$P$12/(V781/MAX(K781:S781)))^(1/inputs!$O$12))-1)/inputs!$N$12&lt;0, 0, IF((((inputs!$P$12/(V781/MAX(K781:S781)))^(1/inputs!$O$12))-1)/inputs!$N$12&gt;inputs!$H$17, inputs!$H$17, (((inputs!$P$12/(V781/MAX(K781:S781)))^(1/inputs!$O$12))-1)/inputs!$N$12))</f>
        <v>249.49816779782773</v>
      </c>
      <c r="U781">
        <f>IF((((inputs!$P$12/(X781/MAX(K781:S781)))^(1/inputs!$O$12))-1)/inputs!$N$12&lt;0, 0, IF((((inputs!$P$12/(X781/MAX(K781:S781)))^(1/inputs!$O$12))-1)/inputs!$N$12&gt;inputs!$H$17, inputs!$H$17, (((inputs!$P$12/(X781/MAX(K781:S781)))^(1/inputs!$O$12))-1)/inputs!$N$12))</f>
        <v>130.8165617564068</v>
      </c>
      <c r="V781">
        <f>inputs!$E$87*(F781/inputs!$F$87)^(1)</f>
        <v>2.1469999999999996E-2</v>
      </c>
      <c r="W781">
        <f>inputs!$E$90*(F781/inputs!$F$90)^(1)</f>
        <v>2.2600000000000002E-2</v>
      </c>
      <c r="X781">
        <f>inputs!$E$89*(F781/inputs!$F$89)^(1)</f>
        <v>8.439240506329114E-2</v>
      </c>
      <c r="Y781" t="s">
        <v>13</v>
      </c>
      <c r="Z781">
        <f t="shared" si="79"/>
        <v>568.19144834742701</v>
      </c>
      <c r="AA781">
        <f t="shared" si="80"/>
        <v>539.78187593005555</v>
      </c>
    </row>
    <row r="782" spans="1:27" x14ac:dyDescent="0.3">
      <c r="A782" t="s">
        <v>434</v>
      </c>
      <c r="B782" t="s">
        <v>435</v>
      </c>
      <c r="C782" t="s">
        <v>79</v>
      </c>
      <c r="D782" t="s">
        <v>378</v>
      </c>
      <c r="E782">
        <v>152</v>
      </c>
      <c r="F782">
        <v>113</v>
      </c>
      <c r="G782" t="s">
        <v>456</v>
      </c>
      <c r="H782">
        <v>0.68</v>
      </c>
      <c r="I782">
        <f>MAX('Min rate concentrations'!$J$3:$J$368)</f>
        <v>114.4108103430513</v>
      </c>
      <c r="J782">
        <f>MAX('Min rate concentrations'!AB:AB)</f>
        <v>40.520495329830666</v>
      </c>
      <c r="K782">
        <f t="shared" si="77"/>
        <v>1.5893210259206696</v>
      </c>
      <c r="L782">
        <f t="shared" si="81"/>
        <v>0.56288453001357042</v>
      </c>
      <c r="M782">
        <f>IF((((0.065*F782^0.726)/3.7-(0.301*F782^0.751)/(1-H782)*H782)*(MAX('Min rate concentrations'!$P$3:$P$368)))/F782&gt;0, (((0.065*F782^0.726)/3.7-(0.301*F782^0.751)/(1-H782)*H782)*(MAX('Min rate concentrations'!$P$3:$P$368)))/F782, 0)</f>
        <v>0</v>
      </c>
      <c r="N782">
        <f>IF((((0.065*F782^0.726)/3.7-(0.301*F782^0.751)/(1-H782)*H782)*(MAX('Min rate concentrations'!$Q$3:$Q$368)))/F782&gt;0, (((0.065*F782^0.726)/3.7-(0.301*F782^0.751)/(1-H782)*H782)*(MAX('Min rate concentrations'!$Q$3:$Q$368)))/F782, 0)</f>
        <v>0</v>
      </c>
      <c r="O782" t="s">
        <v>13</v>
      </c>
      <c r="P782" t="s">
        <v>13</v>
      </c>
      <c r="Q782">
        <f>(inputs!$C$7*11.2)*(25.05*F782^0.63)*0.5*1/F782</f>
        <v>12.199070396019255</v>
      </c>
      <c r="R782">
        <f>(60*76.9*((F782/1000)^0.76)*3*24*(MAX('Min rate concentrations'!$R$3:$R$368))/F782)</f>
        <v>7.1997548368696958E-4</v>
      </c>
      <c r="S782">
        <f>(IF(inputs!$C$6="aerial",((0.025*0.112*inputs!$C$7/3.3)*(3*60*76.9*((F782/1000)^0.76))*MAX(inputs!$H$14:$H$16))/F782,((0.0083*0.112*inputs!$C$7/1)*(3*60*76.9*((F782/1000)^0.76))*MAX(inputs!$H$14:$H$16))/F782))</f>
        <v>3.0400740984983096E-3</v>
      </c>
      <c r="T782">
        <f>IF((((inputs!$P$12/(V782/MAX(K782:S782)))^(1/inputs!$O$12))-1)/inputs!$N$12&lt;0, 0, IF((((inputs!$P$12/(V782/MAX(K782:S782)))^(1/inputs!$O$12))-1)/inputs!$N$12&gt;inputs!$H$17, inputs!$H$17, (((inputs!$P$12/(V782/MAX(K782:S782)))^(1/inputs!$O$12))-1)/inputs!$N$12))</f>
        <v>249.49816779782773</v>
      </c>
      <c r="U782">
        <f>IF((((inputs!$P$12/(X782/MAX(K782:S782)))^(1/inputs!$O$12))-1)/inputs!$N$12&lt;0, 0, IF((((inputs!$P$12/(X782/MAX(K782:S782)))^(1/inputs!$O$12))-1)/inputs!$N$12&gt;inputs!$H$17, inputs!$H$17, (((inputs!$P$12/(X782/MAX(K782:S782)))^(1/inputs!$O$12))-1)/inputs!$N$12))</f>
        <v>130.8165617564068</v>
      </c>
      <c r="V782">
        <f>inputs!$E$87*(F782/inputs!$F$87)^(1)</f>
        <v>2.1469999999999996E-2</v>
      </c>
      <c r="W782">
        <f>inputs!$E$90*(F782/inputs!$F$90)^(1)</f>
        <v>2.2600000000000002E-2</v>
      </c>
      <c r="X782">
        <f>inputs!$E$89*(F782/inputs!$F$89)^(1)</f>
        <v>8.439240506329114E-2</v>
      </c>
      <c r="Y782" t="s">
        <v>13</v>
      </c>
      <c r="Z782">
        <f t="shared" si="79"/>
        <v>568.19144834742701</v>
      </c>
      <c r="AA782">
        <f t="shared" si="80"/>
        <v>539.78187593005555</v>
      </c>
    </row>
    <row r="783" spans="1:27" x14ac:dyDescent="0.3">
      <c r="A783" t="s">
        <v>416</v>
      </c>
      <c r="B783" t="s">
        <v>417</v>
      </c>
      <c r="C783" t="s">
        <v>79</v>
      </c>
      <c r="D783" t="s">
        <v>378</v>
      </c>
      <c r="E783">
        <v>179</v>
      </c>
      <c r="F783">
        <v>1.5</v>
      </c>
      <c r="G783" t="s">
        <v>142</v>
      </c>
      <c r="H783">
        <v>0.69</v>
      </c>
      <c r="I783">
        <f>MAX('Min rate concentrations'!$H$3:$H$368)</f>
        <v>47</v>
      </c>
      <c r="J783">
        <f>MAX('Min rate concentrations'!AA:AA)</f>
        <v>32.5</v>
      </c>
      <c r="K783">
        <f t="shared" si="77"/>
        <v>1.7976568774363344</v>
      </c>
      <c r="L783">
        <f t="shared" si="81"/>
        <v>1.2430606067378909</v>
      </c>
      <c r="M783">
        <f>IF((((0.065*F783^0.726)/3.7-(0.301*F783^0.751)/(1-H783)*H783)*(MAX('Min rate concentrations'!$P$3:$P$368)))/F783&gt;0, (((0.065*F783^0.726)/3.7-(0.301*F783^0.751)/(1-H783)*H783)*(MAX('Min rate concentrations'!$P$3:$P$368)))/F783, 0)</f>
        <v>0</v>
      </c>
      <c r="N783">
        <f>IF((((0.065*F783^0.726)/3.7-(0.301*F783^0.751)/(1-H783)*H783)*(MAX('Min rate concentrations'!$Q$3:$Q$368)))/F783&gt;0, (((0.065*F783^0.726)/3.7-(0.301*F783^0.751)/(1-H783)*H783)*(MAX('Min rate concentrations'!$Q$3:$Q$368)))/F783, 0)</f>
        <v>0</v>
      </c>
      <c r="O783" t="s">
        <v>13</v>
      </c>
      <c r="P783" t="s">
        <v>13</v>
      </c>
      <c r="Q783">
        <f>(inputs!$C$7*11.2)*(25.05*F783^0.63)*0.5*1/F783</f>
        <v>60.368723906612097</v>
      </c>
      <c r="R783">
        <f>(60*76.9*((F783/1000)^0.76)*3*24*(MAX('Min rate concentrations'!$R$3:$R$368))/F783)</f>
        <v>2.0313961851059076E-3</v>
      </c>
      <c r="S783">
        <f>(IF(inputs!$C$6="aerial",((0.025*0.112*inputs!$C$7/3.3)*(3*60*76.9*((F783/1000)^0.76))*MAX(inputs!$H$14:$H$16))/F783,((0.0083*0.112*inputs!$C$7/1)*(3*60*76.9*((F783/1000)^0.76))*MAX(inputs!$H$14:$H$16))/F783))</f>
        <v>8.5775072430296345E-3</v>
      </c>
      <c r="T783">
        <f>IF((((inputs!$P$12/(V783/MAX(K783:S783)))^(1/inputs!$O$12))-1)/inputs!$N$12&lt;0, 0, IF((((inputs!$P$12/(V783/MAX(K783:S783)))^(1/inputs!$O$12))-1)/inputs!$N$12&gt;inputs!$H$17, inputs!$H$17, (((inputs!$P$12/(V783/MAX(K783:S783)))^(1/inputs!$O$12))-1)/inputs!$N$12))</f>
        <v>1000</v>
      </c>
      <c r="U783">
        <f>IF((((inputs!$P$12/(X783/MAX(K783:S783)))^(1/inputs!$O$12))-1)/inputs!$N$12&lt;0, 0, IF((((inputs!$P$12/(X783/MAX(K783:S783)))^(1/inputs!$O$12))-1)/inputs!$N$12&gt;inputs!$H$17, inputs!$H$17, (((inputs!$P$12/(X783/MAX(K783:S783)))^(1/inputs!$O$12))-1)/inputs!$N$12))</f>
        <v>1000</v>
      </c>
      <c r="V783">
        <f>inputs!$E$87*(F783/inputs!$F$87)^(1)</f>
        <v>2.8499999999999999E-4</v>
      </c>
      <c r="W783">
        <f>inputs!$E$90*(F783/inputs!$F$90)^(1)</f>
        <v>2.9999999999999997E-4</v>
      </c>
      <c r="X783">
        <f>inputs!$E$89*(F783/inputs!$F$89)^(1)</f>
        <v>1.1202531645569619E-3</v>
      </c>
      <c r="Y783" t="s">
        <v>13</v>
      </c>
      <c r="Z783">
        <f t="shared" si="79"/>
        <v>211820.08388284946</v>
      </c>
      <c r="AA783">
        <f t="shared" si="80"/>
        <v>201229.07968870702</v>
      </c>
    </row>
    <row r="784" spans="1:27" x14ac:dyDescent="0.3">
      <c r="A784" t="s">
        <v>871</v>
      </c>
      <c r="B784" t="s">
        <v>873</v>
      </c>
      <c r="C784" t="s">
        <v>79</v>
      </c>
      <c r="D784" t="s">
        <v>378</v>
      </c>
      <c r="E784">
        <v>10732</v>
      </c>
      <c r="F784">
        <v>8.9</v>
      </c>
      <c r="G784" t="s">
        <v>142</v>
      </c>
      <c r="H784">
        <v>0.69</v>
      </c>
      <c r="I784">
        <f>MAX('Min rate concentrations'!$H$3:$H$368)</f>
        <v>47</v>
      </c>
      <c r="J784">
        <f>MAX('Min rate concentrations'!AA:AA)</f>
        <v>32.5</v>
      </c>
      <c r="K784">
        <f t="shared" si="77"/>
        <v>1.1999633586541045</v>
      </c>
      <c r="L784">
        <f t="shared" si="81"/>
        <v>0.82976189694166813</v>
      </c>
      <c r="M784">
        <f>IF((((0.065*F784^0.726)/3.7-(0.301*F784^0.751)/(1-H784)*H784)*(MAX('Min rate concentrations'!$P$3:$P$368)))/F784&gt;0, (((0.065*F784^0.726)/3.7-(0.301*F784^0.751)/(1-H784)*H784)*(MAX('Min rate concentrations'!$P$3:$P$368)))/F784, 0)</f>
        <v>0</v>
      </c>
      <c r="N784">
        <f>IF((((0.065*F784^0.726)/3.7-(0.301*F784^0.751)/(1-H784)*H784)*(MAX('Min rate concentrations'!$Q$3:$Q$368)))/F784&gt;0, (((0.065*F784^0.726)/3.7-(0.301*F784^0.751)/(1-H784)*H784)*(MAX('Min rate concentrations'!$Q$3:$Q$368)))/F784, 0)</f>
        <v>0</v>
      </c>
      <c r="O784" t="s">
        <v>13</v>
      </c>
      <c r="P784" t="s">
        <v>13</v>
      </c>
      <c r="Q784">
        <f>(inputs!$C$7*11.2)*(25.05*F784^0.63)*0.5*1/F784</f>
        <v>31.238592586838482</v>
      </c>
      <c r="R784">
        <f>(60*76.9*((F784/1000)^0.76)*3*24*(MAX('Min rate concentrations'!$R$3:$R$368))/F784)</f>
        <v>1.3249605058486733E-3</v>
      </c>
      <c r="S784">
        <f>(IF(inputs!$C$6="aerial",((0.025*0.112*inputs!$C$7/3.3)*(3*60*76.9*((F784/1000)^0.76))*MAX(inputs!$H$14:$H$16))/F784,((0.0083*0.112*inputs!$C$7/1)*(3*60*76.9*((F784/1000)^0.76))*MAX(inputs!$H$14:$H$16))/F784))</f>
        <v>5.5946045478335368E-3</v>
      </c>
      <c r="T784">
        <f>IF((((inputs!$P$12/(V784/MAX(K784:S784)))^(1/inputs!$O$12))-1)/inputs!$N$12&lt;0, 0, IF((((inputs!$P$12/(V784/MAX(K784:S784)))^(1/inputs!$O$12))-1)/inputs!$N$12&gt;inputs!$H$17, inputs!$H$17, (((inputs!$P$12/(V784/MAX(K784:S784)))^(1/inputs!$O$12))-1)/inputs!$N$12))</f>
        <v>1000</v>
      </c>
      <c r="U784">
        <f>IF((((inputs!$P$12/(X784/MAX(K784:S784)))^(1/inputs!$O$12))-1)/inputs!$N$12&lt;0, 0, IF((((inputs!$P$12/(X784/MAX(K784:S784)))^(1/inputs!$O$12))-1)/inputs!$N$12&gt;inputs!$H$17, inputs!$H$17, (((inputs!$P$12/(X784/MAX(K784:S784)))^(1/inputs!$O$12))-1)/inputs!$N$12))</f>
        <v>628.01718291349493</v>
      </c>
      <c r="V784">
        <f>inputs!$E$87*(F784/inputs!$F$87)^(1)</f>
        <v>1.6910000000000002E-3</v>
      </c>
      <c r="W784">
        <f>inputs!$E$90*(F784/inputs!$F$90)^(1)</f>
        <v>1.7800000000000001E-3</v>
      </c>
      <c r="X784">
        <f>inputs!$E$89*(F784/inputs!$F$89)^(1)</f>
        <v>6.6468354430379746E-3</v>
      </c>
      <c r="Y784" t="s">
        <v>13</v>
      </c>
      <c r="Z784">
        <f t="shared" si="79"/>
        <v>18473.443280211992</v>
      </c>
      <c r="AA784">
        <f t="shared" si="80"/>
        <v>17549.771116201395</v>
      </c>
    </row>
    <row r="785" spans="1:27" x14ac:dyDescent="0.3">
      <c r="A785" t="s">
        <v>376</v>
      </c>
      <c r="B785" t="s">
        <v>377</v>
      </c>
      <c r="C785" t="s">
        <v>79</v>
      </c>
      <c r="D785" t="s">
        <v>378</v>
      </c>
      <c r="E785">
        <v>163</v>
      </c>
      <c r="F785">
        <v>0.72</v>
      </c>
      <c r="G785" t="s">
        <v>142</v>
      </c>
      <c r="H785">
        <v>0.69</v>
      </c>
      <c r="I785">
        <f>MAX('Min rate concentrations'!$H$3:$H$368)</f>
        <v>47</v>
      </c>
      <c r="J785">
        <f>MAX('Min rate concentrations'!AA:AA)</f>
        <v>32.5</v>
      </c>
      <c r="K785">
        <f t="shared" ref="K785:K820" si="82">(((0.013*F785^0.773)/(1-H785)))*I785/F785</f>
        <v>2.1235624618106561</v>
      </c>
      <c r="L785">
        <f t="shared" si="81"/>
        <v>1.4684208512520494</v>
      </c>
      <c r="M785">
        <f>IF((((0.065*F785^0.726)/3.7-(0.301*F785^0.751)/(1-H785)*H785)*(MAX('Min rate concentrations'!$P$3:$P$368)))/F785&gt;0, (((0.065*F785^0.726)/3.7-(0.301*F785^0.751)/(1-H785)*H785)*(MAX('Min rate concentrations'!$P$3:$P$368)))/F785, 0)</f>
        <v>0</v>
      </c>
      <c r="N785">
        <f>IF((((0.065*F785^0.726)/3.7-(0.301*F785^0.751)/(1-H785)*H785)*(MAX('Min rate concentrations'!$Q$3:$Q$368)))/F785&gt;0, (((0.065*F785^0.726)/3.7-(0.301*F785^0.751)/(1-H785)*H785)*(MAX('Min rate concentrations'!$Q$3:$Q$368)))/F785, 0)</f>
        <v>0</v>
      </c>
      <c r="O785" t="s">
        <v>13</v>
      </c>
      <c r="P785" t="s">
        <v>13</v>
      </c>
      <c r="Q785">
        <f>(inputs!$C$7*11.2)*(25.05*F785^0.63)*0.5*1/F785</f>
        <v>79.205025452599855</v>
      </c>
      <c r="R785">
        <f>(60*76.9*((F785/1000)^0.76)*3*24*(MAX('Min rate concentrations'!$R$3:$R$368))/F785)</f>
        <v>2.4226838015506381E-3</v>
      </c>
      <c r="S785">
        <f>(IF(inputs!$C$6="aerial",((0.025*0.112*inputs!$C$7/3.3)*(3*60*76.9*((F785/1000)^0.76))*MAX(inputs!$H$14:$H$16))/F785,((0.0083*0.112*inputs!$C$7/1)*(3*60*76.9*((F785/1000)^0.76))*MAX(inputs!$H$14:$H$16))/F785))</f>
        <v>1.0229707039785433E-2</v>
      </c>
      <c r="T785">
        <f>IF((((inputs!$P$12/(V785/MAX(K785:S785)))^(1/inputs!$O$12))-1)/inputs!$N$12&lt;0, 0, IF((((inputs!$P$12/(V785/MAX(K785:S785)))^(1/inputs!$O$12))-1)/inputs!$N$12&gt;inputs!$H$17, inputs!$H$17, (((inputs!$P$12/(V785/MAX(K785:S785)))^(1/inputs!$O$12))-1)/inputs!$N$12))</f>
        <v>1000</v>
      </c>
      <c r="U785">
        <f>IF((((inputs!$P$12/(X785/MAX(K785:S785)))^(1/inputs!$O$12))-1)/inputs!$N$12&lt;0, 0, IF((((inputs!$P$12/(X785/MAX(K785:S785)))^(1/inputs!$O$12))-1)/inputs!$N$12&gt;inputs!$H$17, inputs!$H$17, (((inputs!$P$12/(X785/MAX(K785:S785)))^(1/inputs!$O$12))-1)/inputs!$N$12))</f>
        <v>1000</v>
      </c>
      <c r="V785">
        <f>inputs!$E$87*(F785/inputs!$F$87)^(1)</f>
        <v>1.3679999999999999E-4</v>
      </c>
      <c r="W785">
        <f>inputs!$E$90*(F785/inputs!$F$90)^(1)</f>
        <v>1.44E-4</v>
      </c>
      <c r="X785">
        <f>inputs!$E$89*(F785/inputs!$F$89)^(1)</f>
        <v>5.3772151898734172E-4</v>
      </c>
      <c r="Y785" t="s">
        <v>13</v>
      </c>
      <c r="Z785">
        <f t="shared" si="79"/>
        <v>578984.10418567155</v>
      </c>
      <c r="AA785">
        <f t="shared" si="80"/>
        <v>550034.89897638792</v>
      </c>
    </row>
    <row r="786" spans="1:27" x14ac:dyDescent="0.3">
      <c r="A786" t="s">
        <v>376</v>
      </c>
      <c r="B786" t="s">
        <v>377</v>
      </c>
      <c r="C786" t="s">
        <v>79</v>
      </c>
      <c r="D786" t="s">
        <v>378</v>
      </c>
      <c r="E786">
        <v>163</v>
      </c>
      <c r="F786">
        <v>0.72</v>
      </c>
      <c r="G786" t="s">
        <v>146</v>
      </c>
      <c r="H786">
        <v>0.84</v>
      </c>
      <c r="I786">
        <f>MAX('Min rate concentrations'!$I$3:$I$368)</f>
        <v>9.4775690500787988</v>
      </c>
      <c r="J786" t="s">
        <v>13</v>
      </c>
      <c r="K786">
        <f t="shared" si="82"/>
        <v>0.82967088534965439</v>
      </c>
      <c r="L786" t="s">
        <v>13</v>
      </c>
      <c r="M786">
        <f>IF((((0.065*F786^0.726)/3.7-(0.301*F786^0.751)/(1-H786)*H786)*(MAX('Min rate concentrations'!$P$3:$P$368)))/F786&gt;0, (((0.065*F786^0.726)/3.7-(0.301*F786^0.751)/(1-H786)*H786)*(MAX('Min rate concentrations'!$P$3:$P$368)))/F786, 0)</f>
        <v>0</v>
      </c>
      <c r="N786">
        <f>IF((((0.065*F786^0.726)/3.7-(0.301*F786^0.751)/(1-H786)*H786)*(MAX('Min rate concentrations'!$Q$3:$Q$368)))/F786&gt;0, (((0.065*F786^0.726)/3.7-(0.301*F786^0.751)/(1-H786)*H786)*(MAX('Min rate concentrations'!$Q$3:$Q$368)))/F786, 0)</f>
        <v>0</v>
      </c>
      <c r="O786" t="s">
        <v>13</v>
      </c>
      <c r="P786" t="s">
        <v>13</v>
      </c>
      <c r="Q786">
        <f>(inputs!$C$7*11.2)*(25.05*F786^0.63)*0.5*1/F786</f>
        <v>79.205025452599855</v>
      </c>
      <c r="R786">
        <f>(60*76.9*((F786/1000)^0.76)*3*24*(MAX('Min rate concentrations'!$R$3:$R$368))/F786)</f>
        <v>2.4226838015506381E-3</v>
      </c>
      <c r="S786">
        <f>(IF(inputs!$C$6="aerial",((0.025*0.112*inputs!$C$7/3.3)*(3*60*76.9*((F786/1000)^0.76))*MAX(inputs!$H$14:$H$16))/F786,((0.0083*0.112*inputs!$C$7/1)*(3*60*76.9*((F786/1000)^0.76))*MAX(inputs!$H$14:$H$16))/F786))</f>
        <v>1.0229707039785433E-2</v>
      </c>
      <c r="T786">
        <f>IF((((inputs!$P$12/(V786/MAX(K786:S786)))^(1/inputs!$O$12))-1)/inputs!$N$12&lt;0, 0, IF((((inputs!$P$12/(V786/MAX(K786:S786)))^(1/inputs!$O$12))-1)/inputs!$N$12&gt;inputs!$H$17, inputs!$H$17, (((inputs!$P$12/(V786/MAX(K786:S786)))^(1/inputs!$O$12))-1)/inputs!$N$12))</f>
        <v>1000</v>
      </c>
      <c r="U786">
        <f>IF((((inputs!$P$12/(X786/MAX(K786:S786)))^(1/inputs!$O$12))-1)/inputs!$N$12&lt;0, 0, IF((((inputs!$P$12/(X786/MAX(K786:S786)))^(1/inputs!$O$12))-1)/inputs!$N$12&gt;inputs!$H$17, inputs!$H$17, (((inputs!$P$12/(X786/MAX(K786:S786)))^(1/inputs!$O$12))-1)/inputs!$N$12))</f>
        <v>1000</v>
      </c>
      <c r="V786">
        <f>inputs!$E$87*(F786/inputs!$F$87)^(1)</f>
        <v>1.3679999999999999E-4</v>
      </c>
      <c r="W786">
        <f>inputs!$E$90*(F786/inputs!$F$90)^(1)</f>
        <v>1.44E-4</v>
      </c>
      <c r="X786">
        <f>inputs!$E$89*(F786/inputs!$F$89)^(1)</f>
        <v>5.3772151898734172E-4</v>
      </c>
      <c r="Y786" t="s">
        <v>13</v>
      </c>
      <c r="Z786">
        <f t="shared" si="79"/>
        <v>578984.10418567155</v>
      </c>
      <c r="AA786">
        <f t="shared" si="80"/>
        <v>550034.89897638792</v>
      </c>
    </row>
    <row r="787" spans="1:27" x14ac:dyDescent="0.3">
      <c r="A787" t="s">
        <v>395</v>
      </c>
      <c r="B787" t="s">
        <v>396</v>
      </c>
      <c r="C787" t="s">
        <v>79</v>
      </c>
      <c r="D787" t="s">
        <v>378</v>
      </c>
      <c r="E787">
        <v>174</v>
      </c>
      <c r="F787">
        <v>128</v>
      </c>
      <c r="G787" t="s">
        <v>138</v>
      </c>
      <c r="H787">
        <v>0.68</v>
      </c>
      <c r="I787">
        <f>MAX('Min rate concentrations'!$L$3:$L$368)</f>
        <v>58.421240152220811</v>
      </c>
      <c r="J787">
        <f>MAX('Min rate concentrations'!AD:AD)</f>
        <v>40.397666062705881</v>
      </c>
      <c r="K787">
        <f t="shared" si="82"/>
        <v>0.78891003927921022</v>
      </c>
      <c r="L787">
        <f t="shared" ref="L787:L796" si="83">(((0.013*F787^0.773)/(1-H787)))*J787/F787</f>
        <v>0.54552289950158162</v>
      </c>
      <c r="M787">
        <f>IF((((0.065*F787^0.726)/3.7-(0.301*F787^0.751)/(1-H787)*H787)*(MAX('Min rate concentrations'!$P$3:$P$368)))/F787&gt;0, (((0.065*F787^0.726)/3.7-(0.301*F787^0.751)/(1-H787)*H787)*(MAX('Min rate concentrations'!$P$3:$P$368)))/F787, 0)</f>
        <v>0</v>
      </c>
      <c r="N787">
        <f>IF((((0.065*F787^0.726)/3.7-(0.301*F787^0.751)/(1-H787)*H787)*(MAX('Min rate concentrations'!$Q$3:$Q$368)))/F787&gt;0, (((0.065*F787^0.726)/3.7-(0.301*F787^0.751)/(1-H787)*H787)*(MAX('Min rate concentrations'!$Q$3:$Q$368)))/F787, 0)</f>
        <v>0</v>
      </c>
      <c r="O787" t="s">
        <v>13</v>
      </c>
      <c r="P787" t="s">
        <v>13</v>
      </c>
      <c r="Q787">
        <f>(inputs!$C$7*11.2)*(25.05*F787^0.63)*0.5*1/F787</f>
        <v>11.649252875091161</v>
      </c>
      <c r="R787">
        <f>(60*76.9*((F787/1000)^0.76)*3*24*(MAX('Min rate concentrations'!$R$3:$R$368))/F787)</f>
        <v>6.9875695237107765E-4</v>
      </c>
      <c r="S787">
        <f>(IF(inputs!$C$6="aerial",((0.025*0.112*inputs!$C$7/3.3)*(3*60*76.9*((F787/1000)^0.76))*MAX(inputs!$H$14:$H$16))/F787,((0.0083*0.112*inputs!$C$7/1)*(3*60*76.9*((F787/1000)^0.76))*MAX(inputs!$H$14:$H$16))/F787))</f>
        <v>2.9504795096224694E-3</v>
      </c>
      <c r="T787">
        <f>IF((((inputs!$P$12/(V787/MAX(K787:S787)))^(1/inputs!$O$12))-1)/inputs!$N$12&lt;0, 0, IF((((inputs!$P$12/(V787/MAX(K787:S787)))^(1/inputs!$O$12))-1)/inputs!$N$12&gt;inputs!$H$17, inputs!$H$17, (((inputs!$P$12/(V787/MAX(K787:S787)))^(1/inputs!$O$12))-1)/inputs!$N$12))</f>
        <v>230.84594901807043</v>
      </c>
      <c r="U787">
        <f>IF((((inputs!$P$12/(X787/MAX(K787:S787)))^(1/inputs!$O$12))-1)/inputs!$N$12&lt;0, 0, IF((((inputs!$P$12/(X787/MAX(K787:S787)))^(1/inputs!$O$12))-1)/inputs!$N$12&gt;inputs!$H$17, inputs!$H$17, (((inputs!$P$12/(X787/MAX(K787:S787)))^(1/inputs!$O$12))-1)/inputs!$N$12))</f>
        <v>120.12754181234861</v>
      </c>
      <c r="V787">
        <f>inputs!$E$87*(F787/inputs!$F$87)^(1)</f>
        <v>2.4320000000000001E-2</v>
      </c>
      <c r="W787">
        <f>inputs!$E$90*(F787/inputs!$F$90)^(1)</f>
        <v>2.5600000000000001E-2</v>
      </c>
      <c r="X787">
        <f>inputs!$E$89*(F787/inputs!$F$89)^(1)</f>
        <v>9.5594936708860753E-2</v>
      </c>
      <c r="Y787" t="s">
        <v>13</v>
      </c>
      <c r="Z787">
        <f t="shared" si="79"/>
        <v>478.99888466657734</v>
      </c>
      <c r="AA787">
        <f t="shared" si="80"/>
        <v>455.04894043324845</v>
      </c>
    </row>
    <row r="788" spans="1:27" x14ac:dyDescent="0.3">
      <c r="A788" t="s">
        <v>395</v>
      </c>
      <c r="B788" t="s">
        <v>396</v>
      </c>
      <c r="C788" t="s">
        <v>79</v>
      </c>
      <c r="D788" t="s">
        <v>378</v>
      </c>
      <c r="E788">
        <v>174</v>
      </c>
      <c r="F788">
        <v>128</v>
      </c>
      <c r="G788" t="s">
        <v>456</v>
      </c>
      <c r="H788">
        <v>0.68</v>
      </c>
      <c r="I788">
        <f>MAX('Min rate concentrations'!$J$3:$J$368)</f>
        <v>114.4108103430513</v>
      </c>
      <c r="J788">
        <f>MAX('Min rate concentrations'!AB:AB)</f>
        <v>40.520495329830666</v>
      </c>
      <c r="K788">
        <f t="shared" si="82"/>
        <v>1.544983239769034</v>
      </c>
      <c r="L788">
        <f t="shared" si="83"/>
        <v>0.54718156408486618</v>
      </c>
      <c r="M788">
        <f>IF((((0.065*F788^0.726)/3.7-(0.301*F788^0.751)/(1-H788)*H788)*(MAX('Min rate concentrations'!$P$3:$P$368)))/F788&gt;0, (((0.065*F788^0.726)/3.7-(0.301*F788^0.751)/(1-H788)*H788)*(MAX('Min rate concentrations'!$P$3:$P$368)))/F788, 0)</f>
        <v>0</v>
      </c>
      <c r="N788">
        <f>IF((((0.065*F788^0.726)/3.7-(0.301*F788^0.751)/(1-H788)*H788)*(MAX('Min rate concentrations'!$Q$3:$Q$368)))/F788&gt;0, (((0.065*F788^0.726)/3.7-(0.301*F788^0.751)/(1-H788)*H788)*(MAX('Min rate concentrations'!$Q$3:$Q$368)))/F788, 0)</f>
        <v>0</v>
      </c>
      <c r="O788" t="s">
        <v>13</v>
      </c>
      <c r="P788" t="s">
        <v>13</v>
      </c>
      <c r="Q788">
        <f>(inputs!$C$7*11.2)*(25.05*F788^0.63)*0.5*1/F788</f>
        <v>11.649252875091161</v>
      </c>
      <c r="R788">
        <f>(60*76.9*((F788/1000)^0.76)*3*24*(MAX('Min rate concentrations'!$R$3:$R$368))/F788)</f>
        <v>6.9875695237107765E-4</v>
      </c>
      <c r="S788">
        <f>(IF(inputs!$C$6="aerial",((0.025*0.112*inputs!$C$7/3.3)*(3*60*76.9*((F788/1000)^0.76))*MAX(inputs!$H$14:$H$16))/F788,((0.0083*0.112*inputs!$C$7/1)*(3*60*76.9*((F788/1000)^0.76))*MAX(inputs!$H$14:$H$16))/F788))</f>
        <v>2.9504795096224694E-3</v>
      </c>
      <c r="T788">
        <f>IF((((inputs!$P$12/(V788/MAX(K788:S788)))^(1/inputs!$O$12))-1)/inputs!$N$12&lt;0, 0, IF((((inputs!$P$12/(V788/MAX(K788:S788)))^(1/inputs!$O$12))-1)/inputs!$N$12&gt;inputs!$H$17, inputs!$H$17, (((inputs!$P$12/(V788/MAX(K788:S788)))^(1/inputs!$O$12))-1)/inputs!$N$12))</f>
        <v>230.84594901807043</v>
      </c>
      <c r="U788">
        <f>IF((((inputs!$P$12/(X788/MAX(K788:S788)))^(1/inputs!$O$12))-1)/inputs!$N$12&lt;0, 0, IF((((inputs!$P$12/(X788/MAX(K788:S788)))^(1/inputs!$O$12))-1)/inputs!$N$12&gt;inputs!$H$17, inputs!$H$17, (((inputs!$P$12/(X788/MAX(K788:S788)))^(1/inputs!$O$12))-1)/inputs!$N$12))</f>
        <v>120.12754181234861</v>
      </c>
      <c r="V788">
        <f>inputs!$E$87*(F788/inputs!$F$87)^(1)</f>
        <v>2.4320000000000001E-2</v>
      </c>
      <c r="W788">
        <f>inputs!$E$90*(F788/inputs!$F$90)^(1)</f>
        <v>2.5600000000000001E-2</v>
      </c>
      <c r="X788">
        <f>inputs!$E$89*(F788/inputs!$F$89)^(1)</f>
        <v>9.5594936708860753E-2</v>
      </c>
      <c r="Y788" t="s">
        <v>13</v>
      </c>
      <c r="Z788">
        <f t="shared" si="79"/>
        <v>478.99888466657734</v>
      </c>
      <c r="AA788">
        <f t="shared" si="80"/>
        <v>455.04894043324845</v>
      </c>
    </row>
    <row r="789" spans="1:27" x14ac:dyDescent="0.3">
      <c r="A789" t="s">
        <v>395</v>
      </c>
      <c r="B789" t="s">
        <v>396</v>
      </c>
      <c r="C789" t="s">
        <v>79</v>
      </c>
      <c r="D789" t="s">
        <v>378</v>
      </c>
      <c r="E789">
        <v>174</v>
      </c>
      <c r="F789">
        <v>128</v>
      </c>
      <c r="G789" t="s">
        <v>145</v>
      </c>
      <c r="H789">
        <v>0.66</v>
      </c>
      <c r="I789">
        <f>MAX('Min rate concentrations'!$M$3:$M$368)</f>
        <v>2.8488184789681945</v>
      </c>
      <c r="J789">
        <f>MAX('Min rate concentrations'!AE:AE)</f>
        <v>1.9699276716269429</v>
      </c>
      <c r="K789">
        <f t="shared" si="82"/>
        <v>3.6207000657516114E-2</v>
      </c>
      <c r="L789">
        <f t="shared" si="83"/>
        <v>2.5036755773814333E-2</v>
      </c>
      <c r="M789">
        <f>IF((((0.065*F789^0.726)/3.7-(0.301*F789^0.751)/(1-H789)*H789)*(MAX('Min rate concentrations'!$P$3:$P$368)))/F789&gt;0, (((0.065*F789^0.726)/3.7-(0.301*F789^0.751)/(1-H789)*H789)*(MAX('Min rate concentrations'!$P$3:$P$368)))/F789, 0)</f>
        <v>0</v>
      </c>
      <c r="N789">
        <f>IF((((0.065*F789^0.726)/3.7-(0.301*F789^0.751)/(1-H789)*H789)*(MAX('Min rate concentrations'!$Q$3:$Q$368)))/F789&gt;0, (((0.065*F789^0.726)/3.7-(0.301*F789^0.751)/(1-H789)*H789)*(MAX('Min rate concentrations'!$Q$3:$Q$368)))/F789, 0)</f>
        <v>0</v>
      </c>
      <c r="O789" t="s">
        <v>13</v>
      </c>
      <c r="P789" t="s">
        <v>13</v>
      </c>
      <c r="Q789">
        <f>(inputs!$C$7*11.2)*(25.05*F789^0.63)*0.5*1/F789</f>
        <v>11.649252875091161</v>
      </c>
      <c r="R789">
        <f>(60*76.9*((F789/1000)^0.76)*3*24*(MAX('Min rate concentrations'!$R$3:$R$368))/F789)</f>
        <v>6.9875695237107765E-4</v>
      </c>
      <c r="S789">
        <f>(IF(inputs!$C$6="aerial",((0.025*0.112*inputs!$C$7/3.3)*(3*60*76.9*((F789/1000)^0.76))*MAX(inputs!$H$14:$H$16))/F789,((0.0083*0.112*inputs!$C$7/1)*(3*60*76.9*((F789/1000)^0.76))*MAX(inputs!$H$14:$H$16))/F789))</f>
        <v>2.9504795096224694E-3</v>
      </c>
      <c r="T789">
        <f>IF((((inputs!$P$12/(V789/MAX(K789:S789)))^(1/inputs!$O$12))-1)/inputs!$N$12&lt;0, 0, IF((((inputs!$P$12/(V789/MAX(K789:S789)))^(1/inputs!$O$12))-1)/inputs!$N$12&gt;inputs!$H$17, inputs!$H$17, (((inputs!$P$12/(V789/MAX(K789:S789)))^(1/inputs!$O$12))-1)/inputs!$N$12))</f>
        <v>230.84594901807043</v>
      </c>
      <c r="U789">
        <f>IF((((inputs!$P$12/(X789/MAX(K789:S789)))^(1/inputs!$O$12))-1)/inputs!$N$12&lt;0, 0, IF((((inputs!$P$12/(X789/MAX(K789:S789)))^(1/inputs!$O$12))-1)/inputs!$N$12&gt;inputs!$H$17, inputs!$H$17, (((inputs!$P$12/(X789/MAX(K789:S789)))^(1/inputs!$O$12))-1)/inputs!$N$12))</f>
        <v>120.12754181234861</v>
      </c>
      <c r="V789">
        <f>inputs!$E$87*(F789/inputs!$F$87)^(1)</f>
        <v>2.4320000000000001E-2</v>
      </c>
      <c r="W789">
        <f>inputs!$E$90*(F789/inputs!$F$90)^(1)</f>
        <v>2.5600000000000001E-2</v>
      </c>
      <c r="X789">
        <f>inputs!$E$89*(F789/inputs!$F$89)^(1)</f>
        <v>9.5594936708860753E-2</v>
      </c>
      <c r="Y789" t="s">
        <v>13</v>
      </c>
      <c r="Z789">
        <f t="shared" si="79"/>
        <v>478.99888466657734</v>
      </c>
      <c r="AA789">
        <f t="shared" si="80"/>
        <v>455.04894043324845</v>
      </c>
    </row>
    <row r="790" spans="1:27" x14ac:dyDescent="0.3">
      <c r="A790" t="s">
        <v>986</v>
      </c>
      <c r="B790" t="s">
        <v>635</v>
      </c>
      <c r="C790" t="s">
        <v>79</v>
      </c>
      <c r="D790" t="s">
        <v>383</v>
      </c>
      <c r="E790">
        <v>168</v>
      </c>
      <c r="F790">
        <v>2380</v>
      </c>
      <c r="G790" t="s">
        <v>241</v>
      </c>
      <c r="H790">
        <v>0.8</v>
      </c>
      <c r="I790">
        <f>inputs!$C$65*inputs!$C$60/1000</f>
        <v>2.8</v>
      </c>
      <c r="J790">
        <f>inputs!$C$65*inputs!$C$59/1000</f>
        <v>2.8</v>
      </c>
      <c r="K790">
        <f t="shared" si="82"/>
        <v>3.1159352098138929E-2</v>
      </c>
      <c r="L790">
        <f t="shared" si="83"/>
        <v>3.1159352098138929E-2</v>
      </c>
      <c r="M790">
        <f>IF((((0.065*F790^0.726)/3.7-(0.301*F790^0.751)/(1-H790)*H790)*(MAX('Min rate concentrations'!$P$3:$P$368)))/F790&gt;0, (((0.065*F790^0.726)/3.7-(0.301*F790^0.751)/(1-H790)*H790)*(MAX('Min rate concentrations'!$P$3:$P$368)))/F790, 0)</f>
        <v>0</v>
      </c>
      <c r="N790">
        <f>IF((((0.065*F790^0.726)/3.7-(0.301*F790^0.751)/(1-H790)*H790)*(MAX('Min rate concentrations'!$Q$3:$Q$368)))/F790&gt;0, (((0.065*F790^0.726)/3.7-(0.301*F790^0.751)/(1-H790)*H790)*(MAX('Min rate concentrations'!$Q$3:$Q$368)))/F790, 0)</f>
        <v>0</v>
      </c>
      <c r="O790" t="s">
        <v>13</v>
      </c>
      <c r="P790" t="s">
        <v>13</v>
      </c>
      <c r="Q790">
        <f>(inputs!$C$7*11.2)*(16.61*F790^0.61)*0.5*1/F790</f>
        <v>2.2421396073120672</v>
      </c>
      <c r="R790">
        <f>(60*76.9*((F790/1000)^0.76)*3*24*(MAX('Min rate concentrations'!$R$3:$R$368))/F790)</f>
        <v>3.4647991566001256E-4</v>
      </c>
      <c r="S790">
        <f>(IF(inputs!$C$6="aerial",((0.025*0.112*inputs!$C$7/3.3)*(3*60*76.9*((F790/1000)^0.76))*MAX(inputs!$H$14:$H$16))/F790,((0.0083*0.112*inputs!$C$7/1)*(3*60*76.9*((F790/1000)^0.76))*MAX(inputs!$H$14:$H$16))/F790))</f>
        <v>1.4630006730977064E-3</v>
      </c>
      <c r="T790">
        <f>IF((((inputs!$P$12/(V790/MAX(K790:S790)))^(1/inputs!$O$12))-1)/inputs!$N$12&lt;0, 0, IF((((inputs!$P$12/(V790/MAX(K790:S790)))^(1/inputs!$O$12))-1)/inputs!$N$12&gt;inputs!$H$17, inputs!$H$17, (((inputs!$P$12/(V790/MAX(K790:S790)))^(1/inputs!$O$12))-1)/inputs!$N$12))</f>
        <v>11.92024058639965</v>
      </c>
      <c r="U790">
        <f>IF((((inputs!$P$12/(X790/MAX(K790:S790)))^(1/inputs!$O$12))-1)/inputs!$N$12&lt;0, 0, IF((((inputs!$P$12/(X790/MAX(K790:S790)))^(1/inputs!$O$12))-1)/inputs!$N$12&gt;inputs!$H$17, inputs!$H$17, (((inputs!$P$12/(X790/MAX(K790:S790)))^(1/inputs!$O$12))-1)/inputs!$N$12))</f>
        <v>0</v>
      </c>
      <c r="V790">
        <f>inputs!$E$87*(F790/inputs!$F$87)^(1)</f>
        <v>0.45219999999999999</v>
      </c>
      <c r="W790">
        <f>inputs!$E$90*(F790/inputs!$F$90)^(1)</f>
        <v>0.47600000000000003</v>
      </c>
      <c r="X790">
        <f>inputs!$E$89*(F790/inputs!$F$89)^(1)</f>
        <v>1.7774683544303798</v>
      </c>
      <c r="Y790" t="s">
        <v>13</v>
      </c>
      <c r="Z790">
        <f t="shared" si="79"/>
        <v>4.9582919224061639</v>
      </c>
      <c r="AA790">
        <f t="shared" si="80"/>
        <v>4.7103773262858555</v>
      </c>
    </row>
    <row r="791" spans="1:27" x14ac:dyDescent="0.3">
      <c r="A791" t="s">
        <v>381</v>
      </c>
      <c r="B791" t="s">
        <v>382</v>
      </c>
      <c r="C791" t="s">
        <v>79</v>
      </c>
      <c r="D791" t="s">
        <v>383</v>
      </c>
      <c r="E791">
        <v>182</v>
      </c>
      <c r="F791">
        <v>110</v>
      </c>
      <c r="G791" t="s">
        <v>182</v>
      </c>
      <c r="H791">
        <v>0.85</v>
      </c>
      <c r="I791">
        <f>MAX('Min rate concentrations'!$M$3:$M$368)</f>
        <v>2.8488184789681945</v>
      </c>
      <c r="J791">
        <f>MAX('Min rate concentrations'!AE:AE)</f>
        <v>1.9699276716269429</v>
      </c>
      <c r="K791">
        <f t="shared" si="82"/>
        <v>8.4941657532570936E-2</v>
      </c>
      <c r="L791">
        <f t="shared" si="83"/>
        <v>5.8736252549118205E-2</v>
      </c>
      <c r="M791">
        <f>IF((((0.065*F791^0.726)/3.7-(0.301*F791^0.751)/(1-H791)*H791)*(MAX('Min rate concentrations'!$P$3:$P$368)))/F791&gt;0, (((0.065*F791^0.726)/3.7-(0.301*F791^0.751)/(1-H791)*H791)*(MAX('Min rate concentrations'!$P$3:$P$368)))/F791, 0)</f>
        <v>0</v>
      </c>
      <c r="N791">
        <f>IF((((0.065*F791^0.726)/3.7-(0.301*F791^0.751)/(1-H791)*H791)*(MAX('Min rate concentrations'!$Q$3:$Q$368)))/F791&gt;0, (((0.065*F791^0.726)/3.7-(0.301*F791^0.751)/(1-H791)*H791)*(MAX('Min rate concentrations'!$Q$3:$Q$368)))/F791, 0)</f>
        <v>0</v>
      </c>
      <c r="O791" t="s">
        <v>13</v>
      </c>
      <c r="P791" t="s">
        <v>13</v>
      </c>
      <c r="Q791">
        <f>(inputs!$C$7*11.2)*(16.61*F791^0.61)*0.5*1/F791</f>
        <v>7.4367728509103141</v>
      </c>
      <c r="R791">
        <f>(60*76.9*((F791/1000)^0.76)*3*24*(MAX('Min rate concentrations'!$R$3:$R$368))/F791)</f>
        <v>7.2463997817999275E-4</v>
      </c>
      <c r="S791">
        <f>(IF(inputs!$C$6="aerial",((0.025*0.112*inputs!$C$7/3.3)*(3*60*76.9*((F791/1000)^0.76))*MAX(inputs!$H$14:$H$16))/F791,((0.0083*0.112*inputs!$C$7/1)*(3*60*76.9*((F791/1000)^0.76))*MAX(inputs!$H$14:$H$16))/F791))</f>
        <v>3.0597697814932498E-3</v>
      </c>
      <c r="T791">
        <f>IF((((inputs!$P$12/(V791/MAX(K791:S791)))^(1/inputs!$O$12))-1)/inputs!$N$12&lt;0, 0, IF((((inputs!$P$12/(V791/MAX(K791:S791)))^(1/inputs!$O$12))-1)/inputs!$N$12&gt;inputs!$H$17, inputs!$H$17, (((inputs!$P$12/(V791/MAX(K791:S791)))^(1/inputs!$O$12))-1)/inputs!$N$12))</f>
        <v>201.31246063733929</v>
      </c>
      <c r="U791">
        <f>IF((((inputs!$P$12/(X791/MAX(K791:S791)))^(1/inputs!$O$12))-1)/inputs!$N$12&lt;0, 0, IF((((inputs!$P$12/(X791/MAX(K791:S791)))^(1/inputs!$O$12))-1)/inputs!$N$12&gt;inputs!$H$17, inputs!$H$17, (((inputs!$P$12/(X791/MAX(K791:S791)))^(1/inputs!$O$12))-1)/inputs!$N$12))</f>
        <v>103.20279682373365</v>
      </c>
      <c r="V791">
        <f>inputs!$E$87*(F791/inputs!$F$87)^(1)</f>
        <v>2.0900000000000002E-2</v>
      </c>
      <c r="W791">
        <f>inputs!$E$90*(F791/inputs!$F$90)^(1)</f>
        <v>2.1999999999999999E-2</v>
      </c>
      <c r="X791">
        <f>inputs!$E$89*(F791/inputs!$F$89)^(1)</f>
        <v>8.2151898734177206E-2</v>
      </c>
      <c r="Y791" t="s">
        <v>13</v>
      </c>
      <c r="Z791">
        <f t="shared" si="79"/>
        <v>355.82645219666574</v>
      </c>
      <c r="AA791">
        <f t="shared" si="80"/>
        <v>338.03512958683245</v>
      </c>
    </row>
    <row r="792" spans="1:27" x14ac:dyDescent="0.3">
      <c r="A792" t="s">
        <v>381</v>
      </c>
      <c r="B792" t="s">
        <v>382</v>
      </c>
      <c r="C792" t="s">
        <v>79</v>
      </c>
      <c r="D792" t="s">
        <v>383</v>
      </c>
      <c r="E792">
        <v>182</v>
      </c>
      <c r="F792">
        <v>110</v>
      </c>
      <c r="G792" t="s">
        <v>142</v>
      </c>
      <c r="H792">
        <v>0.69</v>
      </c>
      <c r="I792">
        <f>MAX('Min rate concentrations'!$H$3:$H$368)</f>
        <v>47</v>
      </c>
      <c r="J792">
        <f>MAX('Min rate concentrations'!AA:AA)</f>
        <v>32.5</v>
      </c>
      <c r="K792">
        <f t="shared" si="82"/>
        <v>0.67808381255601857</v>
      </c>
      <c r="L792">
        <f t="shared" si="83"/>
        <v>0.46888774272490641</v>
      </c>
      <c r="M792">
        <f>IF((((0.065*F792^0.726)/3.7-(0.301*F792^0.751)/(1-H792)*H792)*(MAX('Min rate concentrations'!$P$3:$P$368)))/F792&gt;0, (((0.065*F792^0.726)/3.7-(0.301*F792^0.751)/(1-H792)*H792)*(MAX('Min rate concentrations'!$P$3:$P$368)))/F792, 0)</f>
        <v>0</v>
      </c>
      <c r="N792">
        <f>IF((((0.065*F792^0.726)/3.7-(0.301*F792^0.751)/(1-H792)*H792)*(MAX('Min rate concentrations'!$Q$3:$Q$368)))/F792&gt;0, (((0.065*F792^0.726)/3.7-(0.301*F792^0.751)/(1-H792)*H792)*(MAX('Min rate concentrations'!$Q$3:$Q$368)))/F792, 0)</f>
        <v>0</v>
      </c>
      <c r="O792" t="s">
        <v>13</v>
      </c>
      <c r="P792" t="s">
        <v>13</v>
      </c>
      <c r="Q792">
        <f>(inputs!$C$7*11.2)*(16.61*F792^0.61)*0.5*1/F792</f>
        <v>7.4367728509103141</v>
      </c>
      <c r="R792">
        <f>(60*76.9*((F792/1000)^0.76)*3*24*(MAX('Min rate concentrations'!$R$3:$R$368))/F792)</f>
        <v>7.2463997817999275E-4</v>
      </c>
      <c r="S792">
        <f>(IF(inputs!$C$6="aerial",((0.025*0.112*inputs!$C$7/3.3)*(3*60*76.9*((F792/1000)^0.76))*MAX(inputs!$H$14:$H$16))/F792,((0.0083*0.112*inputs!$C$7/1)*(3*60*76.9*((F792/1000)^0.76))*MAX(inputs!$H$14:$H$16))/F792))</f>
        <v>3.0597697814932498E-3</v>
      </c>
      <c r="T792">
        <f>IF((((inputs!$P$12/(V792/MAX(K792:S792)))^(1/inputs!$O$12))-1)/inputs!$N$12&lt;0, 0, IF((((inputs!$P$12/(V792/MAX(K792:S792)))^(1/inputs!$O$12))-1)/inputs!$N$12&gt;inputs!$H$17, inputs!$H$17, (((inputs!$P$12/(V792/MAX(K792:S792)))^(1/inputs!$O$12))-1)/inputs!$N$12))</f>
        <v>201.31246063733929</v>
      </c>
      <c r="U792">
        <f>IF((((inputs!$P$12/(X792/MAX(K792:S792)))^(1/inputs!$O$12))-1)/inputs!$N$12&lt;0, 0, IF((((inputs!$P$12/(X792/MAX(K792:S792)))^(1/inputs!$O$12))-1)/inputs!$N$12&gt;inputs!$H$17, inputs!$H$17, (((inputs!$P$12/(X792/MAX(K792:S792)))^(1/inputs!$O$12))-1)/inputs!$N$12))</f>
        <v>103.20279682373365</v>
      </c>
      <c r="V792">
        <f>inputs!$E$87*(F792/inputs!$F$87)^(1)</f>
        <v>2.0900000000000002E-2</v>
      </c>
      <c r="W792">
        <f>inputs!$E$90*(F792/inputs!$F$90)^(1)</f>
        <v>2.1999999999999999E-2</v>
      </c>
      <c r="X792">
        <f>inputs!$E$89*(F792/inputs!$F$89)^(1)</f>
        <v>8.2151898734177206E-2</v>
      </c>
      <c r="Y792" t="s">
        <v>13</v>
      </c>
      <c r="Z792">
        <f t="shared" si="79"/>
        <v>355.82645219666574</v>
      </c>
      <c r="AA792">
        <f t="shared" si="80"/>
        <v>338.03512958683245</v>
      </c>
    </row>
    <row r="793" spans="1:27" x14ac:dyDescent="0.3">
      <c r="A793" t="s">
        <v>381</v>
      </c>
      <c r="B793" t="s">
        <v>382</v>
      </c>
      <c r="C793" t="s">
        <v>79</v>
      </c>
      <c r="D793" t="s">
        <v>383</v>
      </c>
      <c r="E793">
        <v>182</v>
      </c>
      <c r="F793">
        <v>110</v>
      </c>
      <c r="G793" t="s">
        <v>164</v>
      </c>
      <c r="H793">
        <v>0.78</v>
      </c>
      <c r="I793">
        <f>inputs!$C$65*(inputs!$C$62/1000)</f>
        <v>0.82000000000000006</v>
      </c>
      <c r="J793">
        <f>inputs!$C$65*(inputs!$C$61/1000)</f>
        <v>0.25</v>
      </c>
      <c r="K793">
        <f t="shared" si="82"/>
        <v>1.6670106881212763E-2</v>
      </c>
      <c r="L793">
        <f t="shared" si="83"/>
        <v>5.0823496589063296E-3</v>
      </c>
      <c r="M793">
        <f>IF((((0.065*F793^0.726)/3.7-(0.301*F793^0.751)/(1-H793)*H793)*(MAX('Min rate concentrations'!$P$3:$P$368)))/F793&gt;0, (((0.065*F793^0.726)/3.7-(0.301*F793^0.751)/(1-H793)*H793)*(MAX('Min rate concentrations'!$P$3:$P$368)))/F793, 0)</f>
        <v>0</v>
      </c>
      <c r="N793">
        <f>IF((((0.065*F793^0.726)/3.7-(0.301*F793^0.751)/(1-H793)*H793)*(MAX('Min rate concentrations'!$Q$3:$Q$368)))/F793&gt;0, (((0.065*F793^0.726)/3.7-(0.301*F793^0.751)/(1-H793)*H793)*(MAX('Min rate concentrations'!$Q$3:$Q$368)))/F793, 0)</f>
        <v>0</v>
      </c>
      <c r="O793" t="s">
        <v>13</v>
      </c>
      <c r="P793" t="s">
        <v>13</v>
      </c>
      <c r="Q793">
        <f>(inputs!$C$7*11.2)*(16.61*F793^0.61)*0.5*1/F793</f>
        <v>7.4367728509103141</v>
      </c>
      <c r="R793">
        <f>(60*76.9*((F793/1000)^0.76)*3*24*(MAX('Min rate concentrations'!$R$3:$R$368))/F793)</f>
        <v>7.2463997817999275E-4</v>
      </c>
      <c r="S793">
        <f>(IF(inputs!$C$6="aerial",((0.025*0.112*inputs!$C$7/3.3)*(3*60*76.9*((F793/1000)^0.76))*MAX(inputs!$H$14:$H$16))/F793,((0.0083*0.112*inputs!$C$7/1)*(3*60*76.9*((F793/1000)^0.76))*MAX(inputs!$H$14:$H$16))/F793))</f>
        <v>3.0597697814932498E-3</v>
      </c>
      <c r="T793">
        <f>IF((((inputs!$P$12/(V793/MAX(K793:S793)))^(1/inputs!$O$12))-1)/inputs!$N$12&lt;0, 0, IF((((inputs!$P$12/(V793/MAX(K793:S793)))^(1/inputs!$O$12))-1)/inputs!$N$12&gt;inputs!$H$17, inputs!$H$17, (((inputs!$P$12/(V793/MAX(K793:S793)))^(1/inputs!$O$12))-1)/inputs!$N$12))</f>
        <v>201.31246063733929</v>
      </c>
      <c r="U793">
        <f>IF((((inputs!$P$12/(X793/MAX(K793:S793)))^(1/inputs!$O$12))-1)/inputs!$N$12&lt;0, 0, IF((((inputs!$P$12/(X793/MAX(K793:S793)))^(1/inputs!$O$12))-1)/inputs!$N$12&gt;inputs!$H$17, inputs!$H$17, (((inputs!$P$12/(X793/MAX(K793:S793)))^(1/inputs!$O$12))-1)/inputs!$N$12))</f>
        <v>103.20279682373365</v>
      </c>
      <c r="V793">
        <f>inputs!$E$87*(F793/inputs!$F$87)^(1)</f>
        <v>2.0900000000000002E-2</v>
      </c>
      <c r="W793">
        <f>inputs!$E$90*(F793/inputs!$F$90)^(1)</f>
        <v>2.1999999999999999E-2</v>
      </c>
      <c r="X793">
        <f>inputs!$E$89*(F793/inputs!$F$89)^(1)</f>
        <v>8.2151898734177206E-2</v>
      </c>
      <c r="Y793" t="s">
        <v>13</v>
      </c>
      <c r="Z793">
        <f t="shared" si="79"/>
        <v>355.82645219666574</v>
      </c>
      <c r="AA793">
        <f t="shared" si="80"/>
        <v>338.03512958683245</v>
      </c>
    </row>
    <row r="794" spans="1:27" x14ac:dyDescent="0.3">
      <c r="A794" t="s">
        <v>381</v>
      </c>
      <c r="B794" t="s">
        <v>382</v>
      </c>
      <c r="C794" t="s">
        <v>79</v>
      </c>
      <c r="D794" t="s">
        <v>383</v>
      </c>
      <c r="E794">
        <v>182</v>
      </c>
      <c r="F794">
        <v>110</v>
      </c>
      <c r="G794" t="s">
        <v>218</v>
      </c>
      <c r="H794">
        <v>0.68</v>
      </c>
      <c r="I794">
        <f>MAX('Min rate concentrations'!$K$3:$K$368)</f>
        <v>18.333393099490852</v>
      </c>
      <c r="J794">
        <f>MAX('Min rate concentrations'!AC:AC)</f>
        <v>6.4930767227363431</v>
      </c>
      <c r="K794">
        <f t="shared" si="82"/>
        <v>0.25623596395593073</v>
      </c>
      <c r="L794">
        <f t="shared" si="83"/>
        <v>9.0750237234392128E-2</v>
      </c>
      <c r="M794">
        <f>IF((((0.065*F794^0.726)/3.7-(0.301*F794^0.751)/(1-H794)*H794)*(MAX('Min rate concentrations'!$P$3:$P$368)))/F794&gt;0, (((0.065*F794^0.726)/3.7-(0.301*F794^0.751)/(1-H794)*H794)*(MAX('Min rate concentrations'!$P$3:$P$368)))/F794, 0)</f>
        <v>0</v>
      </c>
      <c r="N794">
        <f>IF((((0.065*F794^0.726)/3.7-(0.301*F794^0.751)/(1-H794)*H794)*(MAX('Min rate concentrations'!$Q$3:$Q$368)))/F794&gt;0, (((0.065*F794^0.726)/3.7-(0.301*F794^0.751)/(1-H794)*H794)*(MAX('Min rate concentrations'!$Q$3:$Q$368)))/F794, 0)</f>
        <v>0</v>
      </c>
      <c r="O794" t="s">
        <v>13</v>
      </c>
      <c r="P794" t="s">
        <v>13</v>
      </c>
      <c r="Q794">
        <f>(inputs!$C$7*11.2)*(16.61*F794^0.61)*0.5*1/F794</f>
        <v>7.4367728509103141</v>
      </c>
      <c r="R794">
        <f>(60*76.9*((F794/1000)^0.76)*3*24*(MAX('Min rate concentrations'!$R$3:$R$368))/F794)</f>
        <v>7.2463997817999275E-4</v>
      </c>
      <c r="S794">
        <f>(IF(inputs!$C$6="aerial",((0.025*0.112*inputs!$C$7/3.3)*(3*60*76.9*((F794/1000)^0.76))*MAX(inputs!$H$14:$H$16))/F794,((0.0083*0.112*inputs!$C$7/1)*(3*60*76.9*((F794/1000)^0.76))*MAX(inputs!$H$14:$H$16))/F794))</f>
        <v>3.0597697814932498E-3</v>
      </c>
      <c r="T794">
        <f>IF((((inputs!$P$12/(V794/MAX(K794:S794)))^(1/inputs!$O$12))-1)/inputs!$N$12&lt;0, 0, IF((((inputs!$P$12/(V794/MAX(K794:S794)))^(1/inputs!$O$12))-1)/inputs!$N$12&gt;inputs!$H$17, inputs!$H$17, (((inputs!$P$12/(V794/MAX(K794:S794)))^(1/inputs!$O$12))-1)/inputs!$N$12))</f>
        <v>201.31246063733929</v>
      </c>
      <c r="U794">
        <f>IF((((inputs!$P$12/(X794/MAX(K794:S794)))^(1/inputs!$O$12))-1)/inputs!$N$12&lt;0, 0, IF((((inputs!$P$12/(X794/MAX(K794:S794)))^(1/inputs!$O$12))-1)/inputs!$N$12&gt;inputs!$H$17, inputs!$H$17, (((inputs!$P$12/(X794/MAX(K794:S794)))^(1/inputs!$O$12))-1)/inputs!$N$12))</f>
        <v>103.20279682373365</v>
      </c>
      <c r="V794">
        <f>inputs!$E$87*(F794/inputs!$F$87)^(1)</f>
        <v>2.0900000000000002E-2</v>
      </c>
      <c r="W794">
        <f>inputs!$E$90*(F794/inputs!$F$90)^(1)</f>
        <v>2.1999999999999999E-2</v>
      </c>
      <c r="X794">
        <f>inputs!$E$89*(F794/inputs!$F$89)^(1)</f>
        <v>8.2151898734177206E-2</v>
      </c>
      <c r="Y794" t="s">
        <v>13</v>
      </c>
      <c r="Z794">
        <f t="shared" si="79"/>
        <v>355.82645219666574</v>
      </c>
      <c r="AA794">
        <f t="shared" si="80"/>
        <v>338.03512958683245</v>
      </c>
    </row>
    <row r="795" spans="1:27" x14ac:dyDescent="0.3">
      <c r="A795" t="s">
        <v>381</v>
      </c>
      <c r="B795" t="s">
        <v>382</v>
      </c>
      <c r="C795" t="s">
        <v>79</v>
      </c>
      <c r="D795" t="s">
        <v>383</v>
      </c>
      <c r="E795">
        <v>182</v>
      </c>
      <c r="F795">
        <v>110</v>
      </c>
      <c r="G795" t="s">
        <v>177</v>
      </c>
      <c r="H795">
        <v>0.85</v>
      </c>
      <c r="I795">
        <f>MAX('Min rate concentrations'!$F$3:$F$368)</f>
        <v>67.5</v>
      </c>
      <c r="J795">
        <f>MAX('Min rate concentrations'!Y:Y)</f>
        <v>22.5</v>
      </c>
      <c r="K795">
        <f t="shared" si="82"/>
        <v>2.0126104649269059</v>
      </c>
      <c r="L795">
        <f t="shared" si="83"/>
        <v>0.67087015497563529</v>
      </c>
      <c r="M795">
        <f>IF((((0.065*F795^0.726)/3.7-(0.301*F795^0.751)/(1-H795)*H795)*(MAX('Min rate concentrations'!$P$3:$P$368)))/F795&gt;0, (((0.065*F795^0.726)/3.7-(0.301*F795^0.751)/(1-H795)*H795)*(MAX('Min rate concentrations'!$P$3:$P$368)))/F795, 0)</f>
        <v>0</v>
      </c>
      <c r="N795">
        <f>IF((((0.065*F795^0.726)/3.7-(0.301*F795^0.751)/(1-H795)*H795)*(MAX('Min rate concentrations'!$Q$3:$Q$368)))/F795&gt;0, (((0.065*F795^0.726)/3.7-(0.301*F795^0.751)/(1-H795)*H795)*(MAX('Min rate concentrations'!$Q$3:$Q$368)))/F795, 0)</f>
        <v>0</v>
      </c>
      <c r="O795" t="s">
        <v>13</v>
      </c>
      <c r="P795" t="s">
        <v>13</v>
      </c>
      <c r="Q795">
        <f>(inputs!$C$7*11.2)*(16.61*F795^0.61)*0.5*1/F795</f>
        <v>7.4367728509103141</v>
      </c>
      <c r="R795">
        <f>(60*76.9*((F795/1000)^0.76)*3*24*(MAX('Min rate concentrations'!$R$3:$R$368))/F795)</f>
        <v>7.2463997817999275E-4</v>
      </c>
      <c r="S795">
        <f>(IF(inputs!$C$6="aerial",((0.025*0.112*inputs!$C$7/3.3)*(3*60*76.9*((F795/1000)^0.76))*MAX(inputs!$H$14:$H$16))/F795,((0.0083*0.112*inputs!$C$7/1)*(3*60*76.9*((F795/1000)^0.76))*MAX(inputs!$H$14:$H$16))/F795))</f>
        <v>3.0597697814932498E-3</v>
      </c>
      <c r="T795">
        <f>IF((((inputs!$P$12/(V795/MAX(K795:S795)))^(1/inputs!$O$12))-1)/inputs!$N$12&lt;0, 0, IF((((inputs!$P$12/(V795/MAX(K795:S795)))^(1/inputs!$O$12))-1)/inputs!$N$12&gt;inputs!$H$17, inputs!$H$17, (((inputs!$P$12/(V795/MAX(K795:S795)))^(1/inputs!$O$12))-1)/inputs!$N$12))</f>
        <v>201.31246063733929</v>
      </c>
      <c r="U795">
        <f>IF((((inputs!$P$12/(X795/MAX(K795:S795)))^(1/inputs!$O$12))-1)/inputs!$N$12&lt;0, 0, IF((((inputs!$P$12/(X795/MAX(K795:S795)))^(1/inputs!$O$12))-1)/inputs!$N$12&gt;inputs!$H$17, inputs!$H$17, (((inputs!$P$12/(X795/MAX(K795:S795)))^(1/inputs!$O$12))-1)/inputs!$N$12))</f>
        <v>103.20279682373365</v>
      </c>
      <c r="V795">
        <f>inputs!$E$87*(F795/inputs!$F$87)^(1)</f>
        <v>2.0900000000000002E-2</v>
      </c>
      <c r="W795">
        <f>inputs!$E$90*(F795/inputs!$F$90)^(1)</f>
        <v>2.1999999999999999E-2</v>
      </c>
      <c r="X795">
        <f>inputs!$E$89*(F795/inputs!$F$89)^(1)</f>
        <v>8.2151898734177206E-2</v>
      </c>
      <c r="Y795" t="s">
        <v>13</v>
      </c>
      <c r="Z795">
        <f t="shared" si="79"/>
        <v>355.82645219666574</v>
      </c>
      <c r="AA795">
        <f t="shared" si="80"/>
        <v>338.03512958683245</v>
      </c>
    </row>
    <row r="796" spans="1:27" x14ac:dyDescent="0.3">
      <c r="A796" t="s">
        <v>381</v>
      </c>
      <c r="B796" t="s">
        <v>382</v>
      </c>
      <c r="C796" t="s">
        <v>79</v>
      </c>
      <c r="D796" t="s">
        <v>383</v>
      </c>
      <c r="E796">
        <v>182</v>
      </c>
      <c r="F796">
        <v>110</v>
      </c>
      <c r="G796" t="s">
        <v>145</v>
      </c>
      <c r="H796">
        <v>0.66</v>
      </c>
      <c r="I796">
        <f>MAX('Min rate concentrations'!$M$3:$M$368)</f>
        <v>2.8488184789681945</v>
      </c>
      <c r="J796">
        <f>MAX('Min rate concentrations'!AE:AE)</f>
        <v>1.9699276716269429</v>
      </c>
      <c r="K796">
        <f t="shared" si="82"/>
        <v>3.7474260676134248E-2</v>
      </c>
      <c r="L796">
        <f t="shared" si="83"/>
        <v>2.5913052595199212E-2</v>
      </c>
      <c r="M796">
        <f>IF((((0.065*F796^0.726)/3.7-(0.301*F796^0.751)/(1-H796)*H796)*(MAX('Min rate concentrations'!$P$3:$P$368)))/F796&gt;0, (((0.065*F796^0.726)/3.7-(0.301*F796^0.751)/(1-H796)*H796)*(MAX('Min rate concentrations'!$P$3:$P$368)))/F796, 0)</f>
        <v>0</v>
      </c>
      <c r="N796">
        <f>IF((((0.065*F796^0.726)/3.7-(0.301*F796^0.751)/(1-H796)*H796)*(MAX('Min rate concentrations'!$Q$3:$Q$368)))/F796&gt;0, (((0.065*F796^0.726)/3.7-(0.301*F796^0.751)/(1-H796)*H796)*(MAX('Min rate concentrations'!$Q$3:$Q$368)))/F796, 0)</f>
        <v>0</v>
      </c>
      <c r="O796" t="s">
        <v>13</v>
      </c>
      <c r="P796" t="s">
        <v>13</v>
      </c>
      <c r="Q796">
        <f>(inputs!$C$7*11.2)*(16.61*F796^0.61)*0.5*1/F796</f>
        <v>7.4367728509103141</v>
      </c>
      <c r="R796">
        <f>(60*76.9*((F796/1000)^0.76)*3*24*(MAX('Min rate concentrations'!$R$3:$R$368))/F796)</f>
        <v>7.2463997817999275E-4</v>
      </c>
      <c r="S796">
        <f>(IF(inputs!$C$6="aerial",((0.025*0.112*inputs!$C$7/3.3)*(3*60*76.9*((F796/1000)^0.76))*MAX(inputs!$H$14:$H$16))/F796,((0.0083*0.112*inputs!$C$7/1)*(3*60*76.9*((F796/1000)^0.76))*MAX(inputs!$H$14:$H$16))/F796))</f>
        <v>3.0597697814932498E-3</v>
      </c>
      <c r="T796">
        <f>IF((((inputs!$P$12/(V796/MAX(K796:S796)))^(1/inputs!$O$12))-1)/inputs!$N$12&lt;0, 0, IF((((inputs!$P$12/(V796/MAX(K796:S796)))^(1/inputs!$O$12))-1)/inputs!$N$12&gt;inputs!$H$17, inputs!$H$17, (((inputs!$P$12/(V796/MAX(K796:S796)))^(1/inputs!$O$12))-1)/inputs!$N$12))</f>
        <v>201.31246063733929</v>
      </c>
      <c r="U796">
        <f>IF((((inputs!$P$12/(X796/MAX(K796:S796)))^(1/inputs!$O$12))-1)/inputs!$N$12&lt;0, 0, IF((((inputs!$P$12/(X796/MAX(K796:S796)))^(1/inputs!$O$12))-1)/inputs!$N$12&gt;inputs!$H$17, inputs!$H$17, (((inputs!$P$12/(X796/MAX(K796:S796)))^(1/inputs!$O$12))-1)/inputs!$N$12))</f>
        <v>103.20279682373365</v>
      </c>
      <c r="V796">
        <f>inputs!$E$87*(F796/inputs!$F$87)^(1)</f>
        <v>2.0900000000000002E-2</v>
      </c>
      <c r="W796">
        <f>inputs!$E$90*(F796/inputs!$F$90)^(1)</f>
        <v>2.1999999999999999E-2</v>
      </c>
      <c r="X796">
        <f>inputs!$E$89*(F796/inputs!$F$89)^(1)</f>
        <v>8.2151898734177206E-2</v>
      </c>
      <c r="Y796" t="s">
        <v>13</v>
      </c>
      <c r="Z796">
        <f t="shared" si="79"/>
        <v>355.82645219666574</v>
      </c>
      <c r="AA796">
        <f t="shared" si="80"/>
        <v>338.03512958683245</v>
      </c>
    </row>
    <row r="797" spans="1:27" x14ac:dyDescent="0.3">
      <c r="A797" t="s">
        <v>381</v>
      </c>
      <c r="B797" t="s">
        <v>382</v>
      </c>
      <c r="C797" t="s">
        <v>79</v>
      </c>
      <c r="D797" t="s">
        <v>383</v>
      </c>
      <c r="E797">
        <v>182</v>
      </c>
      <c r="F797">
        <v>110</v>
      </c>
      <c r="G797" t="s">
        <v>146</v>
      </c>
      <c r="H797">
        <v>0.84</v>
      </c>
      <c r="I797">
        <f>MAX('Min rate concentrations'!$I$3:$I$368)</f>
        <v>9.4775690500787988</v>
      </c>
      <c r="J797" t="s">
        <v>13</v>
      </c>
      <c r="K797">
        <f t="shared" si="82"/>
        <v>0.26492575905911037</v>
      </c>
      <c r="L797" t="s">
        <v>13</v>
      </c>
      <c r="M797">
        <f>IF((((0.065*F797^0.726)/3.7-(0.301*F797^0.751)/(1-H797)*H797)*(MAX('Min rate concentrations'!$P$3:$P$368)))/F797&gt;0, (((0.065*F797^0.726)/3.7-(0.301*F797^0.751)/(1-H797)*H797)*(MAX('Min rate concentrations'!$P$3:$P$368)))/F797, 0)</f>
        <v>0</v>
      </c>
      <c r="N797">
        <f>IF((((0.065*F797^0.726)/3.7-(0.301*F797^0.751)/(1-H797)*H797)*(MAX('Min rate concentrations'!$Q$3:$Q$368)))/F797&gt;0, (((0.065*F797^0.726)/3.7-(0.301*F797^0.751)/(1-H797)*H797)*(MAX('Min rate concentrations'!$Q$3:$Q$368)))/F797, 0)</f>
        <v>0</v>
      </c>
      <c r="O797" t="s">
        <v>13</v>
      </c>
      <c r="P797" t="s">
        <v>13</v>
      </c>
      <c r="Q797">
        <f>(inputs!$C$7*11.2)*(16.61*F797^0.61)*0.5*1/F797</f>
        <v>7.4367728509103141</v>
      </c>
      <c r="R797">
        <f>(60*76.9*((F797/1000)^0.76)*3*24*(MAX('Min rate concentrations'!$R$3:$R$368))/F797)</f>
        <v>7.2463997817999275E-4</v>
      </c>
      <c r="S797">
        <f>(IF(inputs!$C$6="aerial",((0.025*0.112*inputs!$C$7/3.3)*(3*60*76.9*((F797/1000)^0.76))*MAX(inputs!$H$14:$H$16))/F797,((0.0083*0.112*inputs!$C$7/1)*(3*60*76.9*((F797/1000)^0.76))*MAX(inputs!$H$14:$H$16))/F797))</f>
        <v>3.0597697814932498E-3</v>
      </c>
      <c r="T797">
        <f>IF((((inputs!$P$12/(V797/MAX(K797:S797)))^(1/inputs!$O$12))-1)/inputs!$N$12&lt;0, 0, IF((((inputs!$P$12/(V797/MAX(K797:S797)))^(1/inputs!$O$12))-1)/inputs!$N$12&gt;inputs!$H$17, inputs!$H$17, (((inputs!$P$12/(V797/MAX(K797:S797)))^(1/inputs!$O$12))-1)/inputs!$N$12))</f>
        <v>201.31246063733929</v>
      </c>
      <c r="U797">
        <f>IF((((inputs!$P$12/(X797/MAX(K797:S797)))^(1/inputs!$O$12))-1)/inputs!$N$12&lt;0, 0, IF((((inputs!$P$12/(X797/MAX(K797:S797)))^(1/inputs!$O$12))-1)/inputs!$N$12&gt;inputs!$H$17, inputs!$H$17, (((inputs!$P$12/(X797/MAX(K797:S797)))^(1/inputs!$O$12))-1)/inputs!$N$12))</f>
        <v>103.20279682373365</v>
      </c>
      <c r="V797">
        <f>inputs!$E$87*(F797/inputs!$F$87)^(1)</f>
        <v>2.0900000000000002E-2</v>
      </c>
      <c r="W797">
        <f>inputs!$E$90*(F797/inputs!$F$90)^(1)</f>
        <v>2.1999999999999999E-2</v>
      </c>
      <c r="X797">
        <f>inputs!$E$89*(F797/inputs!$F$89)^(1)</f>
        <v>8.2151898734177206E-2</v>
      </c>
      <c r="Y797" t="s">
        <v>13</v>
      </c>
      <c r="Z797">
        <f t="shared" si="79"/>
        <v>355.82645219666574</v>
      </c>
      <c r="AA797">
        <f t="shared" si="80"/>
        <v>338.03512958683245</v>
      </c>
    </row>
    <row r="798" spans="1:27" x14ac:dyDescent="0.3">
      <c r="A798" t="s">
        <v>403</v>
      </c>
      <c r="B798" t="s">
        <v>404</v>
      </c>
      <c r="C798" t="s">
        <v>79</v>
      </c>
      <c r="D798" t="s">
        <v>383</v>
      </c>
      <c r="E798">
        <v>185</v>
      </c>
      <c r="F798">
        <v>3600</v>
      </c>
      <c r="G798" t="s">
        <v>169</v>
      </c>
      <c r="H798">
        <v>0.79</v>
      </c>
      <c r="I798">
        <f>MAX('Min rate concentrations'!$D$3:$D$368)</f>
        <v>120</v>
      </c>
      <c r="J798">
        <f>MAX('Min rate concentrations'!W:W)</f>
        <v>42.5</v>
      </c>
      <c r="K798">
        <f t="shared" si="82"/>
        <v>1.1577762486881056</v>
      </c>
      <c r="L798">
        <f t="shared" ref="L798:L812" si="84">(((0.013*F798^0.773)/(1-H798)))*J798/F798</f>
        <v>0.41004575474370408</v>
      </c>
      <c r="M798">
        <f>IF((((0.065*F798^0.726)/3.7-(0.301*F798^0.751)/(1-H798)*H798)*(MAX('Min rate concentrations'!$P$3:$P$368)))/F798&gt;0, (((0.065*F798^0.726)/3.7-(0.301*F798^0.751)/(1-H798)*H798)*(MAX('Min rate concentrations'!$P$3:$P$368)))/F798, 0)</f>
        <v>0</v>
      </c>
      <c r="N798">
        <f>IF((((0.065*F798^0.726)/3.7-(0.301*F798^0.751)/(1-H798)*H798)*(MAX('Min rate concentrations'!$Q$3:$Q$368)))/F798&gt;0, (((0.065*F798^0.726)/3.7-(0.301*F798^0.751)/(1-H798)*H798)*(MAX('Min rate concentrations'!$Q$3:$Q$368)))/F798, 0)</f>
        <v>0</v>
      </c>
      <c r="O798" t="s">
        <v>13</v>
      </c>
      <c r="P798" t="s">
        <v>13</v>
      </c>
      <c r="Q798">
        <f>(inputs!$C$7*11.2)*(16.61*F798^0.61)*0.5*1/F798</f>
        <v>1.9079618580245745</v>
      </c>
      <c r="R798">
        <f>(60*76.9*((F798/1000)^0.76)*3*24*(MAX('Min rate concentrations'!$R$3:$R$368))/F798)</f>
        <v>3.1372124838079216E-4</v>
      </c>
      <c r="S798">
        <f>(IF(inputs!$C$6="aerial",((0.025*0.112*inputs!$C$7/3.3)*(3*60*76.9*((F798/1000)^0.76))*MAX(inputs!$H$14:$H$16))/F798,((0.0083*0.112*inputs!$C$7/1)*(3*60*76.9*((F798/1000)^0.76))*MAX(inputs!$H$14:$H$16))/F798))</f>
        <v>1.3246782188567768E-3</v>
      </c>
      <c r="T798">
        <f>IF((((inputs!$P$12/(V798/MAX(K798:S798)))^(1/inputs!$O$12))-1)/inputs!$N$12&lt;0, 0, IF((((inputs!$P$12/(V798/MAX(K798:S798)))^(1/inputs!$O$12))-1)/inputs!$N$12&gt;inputs!$H$17, inputs!$H$17, (((inputs!$P$12/(V798/MAX(K798:S798)))^(1/inputs!$O$12))-1)/inputs!$N$12))</f>
        <v>3.4902084635405961</v>
      </c>
      <c r="U798">
        <f>IF((((inputs!$P$12/(X798/MAX(K798:S798)))^(1/inputs!$O$12))-1)/inputs!$N$12&lt;0, 0, IF((((inputs!$P$12/(X798/MAX(K798:S798)))^(1/inputs!$O$12))-1)/inputs!$N$12&gt;inputs!$H$17, inputs!$H$17, (((inputs!$P$12/(X798/MAX(K798:S798)))^(1/inputs!$O$12))-1)/inputs!$N$12))</f>
        <v>0</v>
      </c>
      <c r="V798">
        <f>inputs!$E$87*(F798/inputs!$F$87)^(1)</f>
        <v>0.68399999999999994</v>
      </c>
      <c r="W798">
        <f>inputs!$E$90*(F798/inputs!$F$90)^(1)</f>
        <v>0.72000000000000008</v>
      </c>
      <c r="X798">
        <f>inputs!$E$89*(F798/inputs!$F$89)^(1)</f>
        <v>2.688607594936709</v>
      </c>
      <c r="Y798" t="s">
        <v>13</v>
      </c>
      <c r="Z798">
        <f t="shared" si="79"/>
        <v>2.7894179210885595</v>
      </c>
      <c r="AA798">
        <f t="shared" si="80"/>
        <v>2.6499470250341308</v>
      </c>
    </row>
    <row r="799" spans="1:27" x14ac:dyDescent="0.3">
      <c r="A799" t="s">
        <v>403</v>
      </c>
      <c r="B799" t="s">
        <v>404</v>
      </c>
      <c r="C799" t="s">
        <v>79</v>
      </c>
      <c r="D799" t="s">
        <v>383</v>
      </c>
      <c r="E799">
        <v>185</v>
      </c>
      <c r="F799">
        <v>3600</v>
      </c>
      <c r="G799" t="s">
        <v>158</v>
      </c>
      <c r="H799">
        <v>0.85</v>
      </c>
      <c r="I799">
        <f>MAX('Min rate concentrations'!$F$3:$F$368)</f>
        <v>67.5</v>
      </c>
      <c r="J799">
        <f>MAX('Min rate concentrations'!Y:Y)</f>
        <v>22.5</v>
      </c>
      <c r="K799">
        <f t="shared" si="82"/>
        <v>0.91174879584188284</v>
      </c>
      <c r="L799">
        <f t="shared" si="84"/>
        <v>0.3039162652806276</v>
      </c>
      <c r="M799">
        <f>IF((((0.065*F799^0.726)/3.7-(0.301*F799^0.751)/(1-H799)*H799)*(MAX('Min rate concentrations'!$P$3:$P$368)))/F799&gt;0, (((0.065*F799^0.726)/3.7-(0.301*F799^0.751)/(1-H799)*H799)*(MAX('Min rate concentrations'!$P$3:$P$368)))/F799, 0)</f>
        <v>0</v>
      </c>
      <c r="N799">
        <f>IF((((0.065*F799^0.726)/3.7-(0.301*F799^0.751)/(1-H799)*H799)*(MAX('Min rate concentrations'!$Q$3:$Q$368)))/F799&gt;0, (((0.065*F799^0.726)/3.7-(0.301*F799^0.751)/(1-H799)*H799)*(MAX('Min rate concentrations'!$Q$3:$Q$368)))/F799, 0)</f>
        <v>0</v>
      </c>
      <c r="O799" t="s">
        <v>13</v>
      </c>
      <c r="P799" t="s">
        <v>13</v>
      </c>
      <c r="Q799">
        <f>(inputs!$C$7*11.2)*(16.61*F799^0.61)*0.5*1/F799</f>
        <v>1.9079618580245745</v>
      </c>
      <c r="R799">
        <f>(60*76.9*((F799/1000)^0.76)*3*24*(MAX('Min rate concentrations'!$R$3:$R$368))/F799)</f>
        <v>3.1372124838079216E-4</v>
      </c>
      <c r="S799">
        <f>(IF(inputs!$C$6="aerial",((0.025*0.112*inputs!$C$7/3.3)*(3*60*76.9*((F799/1000)^0.76))*MAX(inputs!$H$14:$H$16))/F799,((0.0083*0.112*inputs!$C$7/1)*(3*60*76.9*((F799/1000)^0.76))*MAX(inputs!$H$14:$H$16))/F799))</f>
        <v>1.3246782188567768E-3</v>
      </c>
      <c r="T799">
        <f>IF((((inputs!$P$12/(V799/MAX(K799:S799)))^(1/inputs!$O$12))-1)/inputs!$N$12&lt;0, 0, IF((((inputs!$P$12/(V799/MAX(K799:S799)))^(1/inputs!$O$12))-1)/inputs!$N$12&gt;inputs!$H$17, inputs!$H$17, (((inputs!$P$12/(V799/MAX(K799:S799)))^(1/inputs!$O$12))-1)/inputs!$N$12))</f>
        <v>3.4902084635405961</v>
      </c>
      <c r="U799">
        <f>IF((((inputs!$P$12/(X799/MAX(K799:S799)))^(1/inputs!$O$12))-1)/inputs!$N$12&lt;0, 0, IF((((inputs!$P$12/(X799/MAX(K799:S799)))^(1/inputs!$O$12))-1)/inputs!$N$12&gt;inputs!$H$17, inputs!$H$17, (((inputs!$P$12/(X799/MAX(K799:S799)))^(1/inputs!$O$12))-1)/inputs!$N$12))</f>
        <v>0</v>
      </c>
      <c r="V799">
        <f>inputs!$E$87*(F799/inputs!$F$87)^(1)</f>
        <v>0.68399999999999994</v>
      </c>
      <c r="W799">
        <f>inputs!$E$90*(F799/inputs!$F$90)^(1)</f>
        <v>0.72000000000000008</v>
      </c>
      <c r="X799">
        <f>inputs!$E$89*(F799/inputs!$F$89)^(1)</f>
        <v>2.688607594936709</v>
      </c>
      <c r="Y799" t="s">
        <v>13</v>
      </c>
      <c r="Z799">
        <f t="shared" si="79"/>
        <v>2.7894179210885595</v>
      </c>
      <c r="AA799">
        <f t="shared" si="80"/>
        <v>2.6499470250341308</v>
      </c>
    </row>
    <row r="800" spans="1:27" x14ac:dyDescent="0.3">
      <c r="A800" t="s">
        <v>640</v>
      </c>
      <c r="B800" t="s">
        <v>639</v>
      </c>
      <c r="C800" t="s">
        <v>79</v>
      </c>
      <c r="D800" t="s">
        <v>383</v>
      </c>
      <c r="E800">
        <v>169</v>
      </c>
      <c r="F800">
        <v>26</v>
      </c>
      <c r="G800" t="s">
        <v>164</v>
      </c>
      <c r="H800">
        <v>0.78</v>
      </c>
      <c r="I800">
        <f>inputs!$C$65*(inputs!$C$62/1000)</f>
        <v>0.82000000000000006</v>
      </c>
      <c r="J800">
        <f>inputs!$C$65*(inputs!$C$61/1000)</f>
        <v>0.25</v>
      </c>
      <c r="K800">
        <f t="shared" si="82"/>
        <v>2.3127866610166262E-2</v>
      </c>
      <c r="L800">
        <f t="shared" si="84"/>
        <v>7.051178844562884E-3</v>
      </c>
      <c r="M800">
        <f>IF((((0.065*F800^0.726)/3.7-(0.301*F800^0.751)/(1-H800)*H800)*(MAX('Min rate concentrations'!$P$3:$P$368)))/F800&gt;0, (((0.065*F800^0.726)/3.7-(0.301*F800^0.751)/(1-H800)*H800)*(MAX('Min rate concentrations'!$P$3:$P$368)))/F800, 0)</f>
        <v>0</v>
      </c>
      <c r="N800">
        <f>IF((((0.065*F800^0.726)/3.7-(0.301*F800^0.751)/(1-H800)*H800)*(MAX('Min rate concentrations'!$Q$3:$Q$368)))/F800&gt;0, (((0.065*F800^0.726)/3.7-(0.301*F800^0.751)/(1-H800)*H800)*(MAX('Min rate concentrations'!$Q$3:$Q$368)))/F800, 0)</f>
        <v>0</v>
      </c>
      <c r="O800" t="s">
        <v>13</v>
      </c>
      <c r="P800" t="s">
        <v>13</v>
      </c>
      <c r="Q800">
        <f>(inputs!$C$7*11.2)*(16.61*F800^0.61)*0.5*1/F800</f>
        <v>13.052330379627971</v>
      </c>
      <c r="R800">
        <f>(60*76.9*((F800/1000)^0.76)*3*24*(MAX('Min rate concentrations'!$R$3:$R$368))/F800)</f>
        <v>1.0243843411782032E-3</v>
      </c>
      <c r="S800">
        <f>(IF(inputs!$C$6="aerial",((0.025*0.112*inputs!$C$7/3.3)*(3*60*76.9*((F800/1000)^0.76))*MAX(inputs!$H$14:$H$16))/F800,((0.0083*0.112*inputs!$C$7/1)*(3*60*76.9*((F800/1000)^0.76))*MAX(inputs!$H$14:$H$16))/F800))</f>
        <v>4.3254310363116518E-3</v>
      </c>
      <c r="T800">
        <f>IF((((inputs!$P$12/(V800/MAX(K800:S800)))^(1/inputs!$O$12))-1)/inputs!$N$12&lt;0, 0, IF((((inputs!$P$12/(V800/MAX(K800:S800)))^(1/inputs!$O$12))-1)/inputs!$N$12&gt;inputs!$H$17, inputs!$H$17, (((inputs!$P$12/(V800/MAX(K800:S800)))^(1/inputs!$O$12))-1)/inputs!$N$12))</f>
        <v>490.91801313083351</v>
      </c>
      <c r="U800">
        <f>IF((((inputs!$P$12/(X800/MAX(K800:S800)))^(1/inputs!$O$12))-1)/inputs!$N$12&lt;0, 0, IF((((inputs!$P$12/(X800/MAX(K800:S800)))^(1/inputs!$O$12))-1)/inputs!$N$12&gt;inputs!$H$17, inputs!$H$17, (((inputs!$P$12/(X800/MAX(K800:S800)))^(1/inputs!$O$12))-1)/inputs!$N$12))</f>
        <v>269.16694098617052</v>
      </c>
      <c r="V800">
        <f>inputs!$E$87*(F800/inputs!$F$87)^(1)</f>
        <v>4.9399999999999999E-3</v>
      </c>
      <c r="W800">
        <f>inputs!$E$90*(F800/inputs!$F$90)^(1)</f>
        <v>5.2000000000000006E-3</v>
      </c>
      <c r="X800">
        <f>inputs!$E$89*(F800/inputs!$F$89)^(1)</f>
        <v>1.9417721518987342E-2</v>
      </c>
      <c r="Y800" t="s">
        <v>13</v>
      </c>
      <c r="Z800">
        <f t="shared" si="79"/>
        <v>2642.1721416250953</v>
      </c>
      <c r="AA800">
        <f t="shared" si="80"/>
        <v>2510.0635345438404</v>
      </c>
    </row>
    <row r="801" spans="1:27" x14ac:dyDescent="0.3">
      <c r="A801" t="s">
        <v>640</v>
      </c>
      <c r="B801" t="s">
        <v>639</v>
      </c>
      <c r="C801" t="s">
        <v>79</v>
      </c>
      <c r="D801" t="s">
        <v>383</v>
      </c>
      <c r="E801">
        <v>169</v>
      </c>
      <c r="F801">
        <v>26</v>
      </c>
      <c r="G801" t="s">
        <v>195</v>
      </c>
      <c r="H801">
        <v>0.82</v>
      </c>
      <c r="I801">
        <f>inputs!$C$65*(inputs!$C$62/1000)</f>
        <v>0.82000000000000006</v>
      </c>
      <c r="J801">
        <f>inputs!$C$65*(inputs!$C$61/1000)</f>
        <v>0.25</v>
      </c>
      <c r="K801">
        <f t="shared" si="82"/>
        <v>2.8267392523536532E-2</v>
      </c>
      <c r="L801">
        <f t="shared" si="84"/>
        <v>8.6181074766879667E-3</v>
      </c>
      <c r="M801">
        <f>IF((((0.065*F801^0.726)/3.7-(0.301*F801^0.751)/(1-H801)*H801)*(MAX('Min rate concentrations'!$P$3:$P$368)))/F801&gt;0, (((0.065*F801^0.726)/3.7-(0.301*F801^0.751)/(1-H801)*H801)*(MAX('Min rate concentrations'!$P$3:$P$368)))/F801, 0)</f>
        <v>0</v>
      </c>
      <c r="N801">
        <f>IF((((0.065*F801^0.726)/3.7-(0.301*F801^0.751)/(1-H801)*H801)*(MAX('Min rate concentrations'!$Q$3:$Q$368)))/F801&gt;0, (((0.065*F801^0.726)/3.7-(0.301*F801^0.751)/(1-H801)*H801)*(MAX('Min rate concentrations'!$Q$3:$Q$368)))/F801, 0)</f>
        <v>0</v>
      </c>
      <c r="O801" t="s">
        <v>13</v>
      </c>
      <c r="P801" t="s">
        <v>13</v>
      </c>
      <c r="Q801">
        <f>(inputs!$C$7*11.2)*(16.61*F801^0.61)*0.5*1/F801</f>
        <v>13.052330379627971</v>
      </c>
      <c r="R801">
        <f>(60*76.9*((F801/1000)^0.76)*3*24*(MAX('Min rate concentrations'!$R$3:$R$368))/F801)</f>
        <v>1.0243843411782032E-3</v>
      </c>
      <c r="S801">
        <f>(IF(inputs!$C$6="aerial",((0.025*0.112*inputs!$C$7/3.3)*(3*60*76.9*((F801/1000)^0.76))*MAX(inputs!$H$14:$H$16))/F801,((0.0083*0.112*inputs!$C$7/1)*(3*60*76.9*((F801/1000)^0.76))*MAX(inputs!$H$14:$H$16))/F801))</f>
        <v>4.3254310363116518E-3</v>
      </c>
      <c r="T801">
        <f>IF((((inputs!$P$12/(V801/MAX(K801:S801)))^(1/inputs!$O$12))-1)/inputs!$N$12&lt;0, 0, IF((((inputs!$P$12/(V801/MAX(K801:S801)))^(1/inputs!$O$12))-1)/inputs!$N$12&gt;inputs!$H$17, inputs!$H$17, (((inputs!$P$12/(V801/MAX(K801:S801)))^(1/inputs!$O$12))-1)/inputs!$N$12))</f>
        <v>490.91801313083351</v>
      </c>
      <c r="U801">
        <f>IF((((inputs!$P$12/(X801/MAX(K801:S801)))^(1/inputs!$O$12))-1)/inputs!$N$12&lt;0, 0, IF((((inputs!$P$12/(X801/MAX(K801:S801)))^(1/inputs!$O$12))-1)/inputs!$N$12&gt;inputs!$H$17, inputs!$H$17, (((inputs!$P$12/(X801/MAX(K801:S801)))^(1/inputs!$O$12))-1)/inputs!$N$12))</f>
        <v>269.16694098617052</v>
      </c>
      <c r="V801">
        <f>inputs!$E$87*(F801/inputs!$F$87)^(1)</f>
        <v>4.9399999999999999E-3</v>
      </c>
      <c r="W801">
        <f>inputs!$E$90*(F801/inputs!$F$90)^(1)</f>
        <v>5.2000000000000006E-3</v>
      </c>
      <c r="X801">
        <f>inputs!$E$89*(F801/inputs!$F$89)^(1)</f>
        <v>1.9417721518987342E-2</v>
      </c>
      <c r="Y801" t="s">
        <v>13</v>
      </c>
      <c r="Z801">
        <f t="shared" si="79"/>
        <v>2642.1721416250953</v>
      </c>
      <c r="AA801">
        <f t="shared" si="80"/>
        <v>2510.0635345438404</v>
      </c>
    </row>
    <row r="802" spans="1:27" x14ac:dyDescent="0.3">
      <c r="A802" t="s">
        <v>407</v>
      </c>
      <c r="B802" t="s">
        <v>409</v>
      </c>
      <c r="C802" t="s">
        <v>79</v>
      </c>
      <c r="D802" t="s">
        <v>383</v>
      </c>
      <c r="E802">
        <v>3532</v>
      </c>
      <c r="F802">
        <v>4500</v>
      </c>
      <c r="G802" t="s">
        <v>152</v>
      </c>
      <c r="H802">
        <v>0.77</v>
      </c>
      <c r="I802">
        <f>MAX('Min rate concentrations'!$G$3:$G$368)</f>
        <v>7.5</v>
      </c>
      <c r="J802">
        <f>MAX('Min rate concentrations'!Z:Z)</f>
        <v>3.5</v>
      </c>
      <c r="K802">
        <f t="shared" si="82"/>
        <v>6.2805479990702698E-2</v>
      </c>
      <c r="L802">
        <f t="shared" si="84"/>
        <v>2.9309223995661254E-2</v>
      </c>
      <c r="M802">
        <f>IF((((0.065*F802^0.726)/3.7-(0.301*F802^0.751)/(1-H802)*H802)*(MAX('Min rate concentrations'!$P$3:$P$368)))/F802&gt;0, (((0.065*F802^0.726)/3.7-(0.301*F802^0.751)/(1-H802)*H802)*(MAX('Min rate concentrations'!$P$3:$P$368)))/F802, 0)</f>
        <v>0</v>
      </c>
      <c r="N802">
        <f>IF((((0.065*F802^0.726)/3.7-(0.301*F802^0.751)/(1-H802)*H802)*(MAX('Min rate concentrations'!$Q$3:$Q$368)))/F802&gt;0, (((0.065*F802^0.726)/3.7-(0.301*F802^0.751)/(1-H802)*H802)*(MAX('Min rate concentrations'!$Q$3:$Q$368)))/F802, 0)</f>
        <v>0</v>
      </c>
      <c r="O802" t="s">
        <v>13</v>
      </c>
      <c r="P802" t="s">
        <v>13</v>
      </c>
      <c r="Q802">
        <f>(inputs!$C$7*11.2)*(16.61*F802^0.61)*0.5*1/F802</f>
        <v>1.7489394877878099</v>
      </c>
      <c r="R802">
        <f>(60*76.9*((F802/1000)^0.76)*3*24*(MAX('Min rate concentrations'!$R$3:$R$368))/F802)</f>
        <v>2.9736204266668905E-4</v>
      </c>
      <c r="S802">
        <f>(IF(inputs!$C$6="aerial",((0.025*0.112*inputs!$C$7/3.3)*(3*60*76.9*((F802/1000)^0.76))*MAX(inputs!$H$14:$H$16))/F802,((0.0083*0.112*inputs!$C$7/1)*(3*60*76.9*((F802/1000)^0.76))*MAX(inputs!$H$14:$H$16))/F802))</f>
        <v>1.2556019812760626E-3</v>
      </c>
      <c r="T802">
        <f>IF((((inputs!$P$12/(V802/MAX(K802:S802)))^(1/inputs!$O$12))-1)/inputs!$N$12&lt;0, 0, IF((((inputs!$P$12/(V802/MAX(K802:S802)))^(1/inputs!$O$12))-1)/inputs!$N$12&gt;inputs!$H$17, inputs!$H$17, (((inputs!$P$12/(V802/MAX(K802:S802)))^(1/inputs!$O$12))-1)/inputs!$N$12))</f>
        <v>0</v>
      </c>
      <c r="U802">
        <f>IF((((inputs!$P$12/(X802/MAX(K802:S802)))^(1/inputs!$O$12))-1)/inputs!$N$12&lt;0, 0, IF((((inputs!$P$12/(X802/MAX(K802:S802)))^(1/inputs!$O$12))-1)/inputs!$N$12&gt;inputs!$H$17, inputs!$H$17, (((inputs!$P$12/(X802/MAX(K802:S802)))^(1/inputs!$O$12))-1)/inputs!$N$12))</f>
        <v>0</v>
      </c>
      <c r="V802">
        <f>inputs!$E$87*(F802/inputs!$F$87)^(1)</f>
        <v>0.85499999999999998</v>
      </c>
      <c r="W802">
        <f>inputs!$E$90*(F802/inputs!$F$90)^(1)</f>
        <v>0.9</v>
      </c>
      <c r="X802">
        <f>inputs!$E$89*(F802/inputs!$F$89)^(1)</f>
        <v>3.3607594936708858</v>
      </c>
      <c r="Y802" t="s">
        <v>13</v>
      </c>
      <c r="Z802">
        <f t="shared" si="79"/>
        <v>2.0455432605705379</v>
      </c>
      <c r="AA802">
        <f t="shared" si="80"/>
        <v>1.9432660975420111</v>
      </c>
    </row>
    <row r="803" spans="1:27" x14ac:dyDescent="0.3">
      <c r="A803" t="s">
        <v>407</v>
      </c>
      <c r="B803" t="s">
        <v>409</v>
      </c>
      <c r="C803" t="s">
        <v>79</v>
      </c>
      <c r="D803" t="s">
        <v>383</v>
      </c>
      <c r="E803">
        <v>3532</v>
      </c>
      <c r="F803">
        <v>4500</v>
      </c>
      <c r="G803" t="s">
        <v>169</v>
      </c>
      <c r="H803">
        <v>0.79</v>
      </c>
      <c r="I803">
        <f>MAX('Min rate concentrations'!$D$3:$D$368)</f>
        <v>120</v>
      </c>
      <c r="J803">
        <f>MAX('Min rate concentrations'!W:W)</f>
        <v>42.5</v>
      </c>
      <c r="K803">
        <f t="shared" si="82"/>
        <v>1.1005912684085044</v>
      </c>
      <c r="L803">
        <f t="shared" si="84"/>
        <v>0.38979274089467858</v>
      </c>
      <c r="M803">
        <f>IF((((0.065*F803^0.726)/3.7-(0.301*F803^0.751)/(1-H803)*H803)*(MAX('Min rate concentrations'!$P$3:$P$368)))/F803&gt;0, (((0.065*F803^0.726)/3.7-(0.301*F803^0.751)/(1-H803)*H803)*(MAX('Min rate concentrations'!$P$3:$P$368)))/F803, 0)</f>
        <v>0</v>
      </c>
      <c r="N803">
        <f>IF((((0.065*F803^0.726)/3.7-(0.301*F803^0.751)/(1-H803)*H803)*(MAX('Min rate concentrations'!$Q$3:$Q$368)))/F803&gt;0, (((0.065*F803^0.726)/3.7-(0.301*F803^0.751)/(1-H803)*H803)*(MAX('Min rate concentrations'!$Q$3:$Q$368)))/F803, 0)</f>
        <v>0</v>
      </c>
      <c r="O803" t="s">
        <v>13</v>
      </c>
      <c r="P803" t="s">
        <v>13</v>
      </c>
      <c r="Q803">
        <f>(inputs!$C$7*11.2)*(16.61*F803^0.61)*0.5*1/F803</f>
        <v>1.7489394877878099</v>
      </c>
      <c r="R803">
        <f>(60*76.9*((F803/1000)^0.76)*3*24*(MAX('Min rate concentrations'!$R$3:$R$368))/F803)</f>
        <v>2.9736204266668905E-4</v>
      </c>
      <c r="S803">
        <f>(IF(inputs!$C$6="aerial",((0.025*0.112*inputs!$C$7/3.3)*(3*60*76.9*((F803/1000)^0.76))*MAX(inputs!$H$14:$H$16))/F803,((0.0083*0.112*inputs!$C$7/1)*(3*60*76.9*((F803/1000)^0.76))*MAX(inputs!$H$14:$H$16))/F803))</f>
        <v>1.2556019812760626E-3</v>
      </c>
      <c r="T803">
        <f>IF((((inputs!$P$12/(V803/MAX(K803:S803)))^(1/inputs!$O$12))-1)/inputs!$N$12&lt;0, 0, IF((((inputs!$P$12/(V803/MAX(K803:S803)))^(1/inputs!$O$12))-1)/inputs!$N$12&gt;inputs!$H$17, inputs!$H$17, (((inputs!$P$12/(V803/MAX(K803:S803)))^(1/inputs!$O$12))-1)/inputs!$N$12))</f>
        <v>0</v>
      </c>
      <c r="U803">
        <f>IF((((inputs!$P$12/(X803/MAX(K803:S803)))^(1/inputs!$O$12))-1)/inputs!$N$12&lt;0, 0, IF((((inputs!$P$12/(X803/MAX(K803:S803)))^(1/inputs!$O$12))-1)/inputs!$N$12&gt;inputs!$H$17, inputs!$H$17, (((inputs!$P$12/(X803/MAX(K803:S803)))^(1/inputs!$O$12))-1)/inputs!$N$12))</f>
        <v>0</v>
      </c>
      <c r="V803">
        <f>inputs!$E$87*(F803/inputs!$F$87)^(1)</f>
        <v>0.85499999999999998</v>
      </c>
      <c r="W803">
        <f>inputs!$E$90*(F803/inputs!$F$90)^(1)</f>
        <v>0.9</v>
      </c>
      <c r="X803">
        <f>inputs!$E$89*(F803/inputs!$F$89)^(1)</f>
        <v>3.3607594936708858</v>
      </c>
      <c r="Y803" t="s">
        <v>13</v>
      </c>
      <c r="Z803">
        <f t="shared" si="79"/>
        <v>2.0455432605705379</v>
      </c>
      <c r="AA803">
        <f t="shared" si="80"/>
        <v>1.9432660975420111</v>
      </c>
    </row>
    <row r="804" spans="1:27" x14ac:dyDescent="0.3">
      <c r="A804" t="s">
        <v>407</v>
      </c>
      <c r="B804" t="s">
        <v>409</v>
      </c>
      <c r="C804" t="s">
        <v>79</v>
      </c>
      <c r="D804" t="s">
        <v>383</v>
      </c>
      <c r="E804">
        <v>3532</v>
      </c>
      <c r="F804">
        <v>4500</v>
      </c>
      <c r="G804" t="s">
        <v>177</v>
      </c>
      <c r="H804">
        <v>0.85</v>
      </c>
      <c r="I804">
        <f>MAX('Min rate concentrations'!$F$3:$F$368)</f>
        <v>67.5</v>
      </c>
      <c r="J804">
        <f>MAX('Min rate concentrations'!Y:Y)</f>
        <v>22.5</v>
      </c>
      <c r="K804">
        <f t="shared" si="82"/>
        <v>0.86671562387169687</v>
      </c>
      <c r="L804">
        <f t="shared" si="84"/>
        <v>0.28890520795723229</v>
      </c>
      <c r="M804">
        <f>IF((((0.065*F804^0.726)/3.7-(0.301*F804^0.751)/(1-H804)*H804)*(MAX('Min rate concentrations'!$P$3:$P$368)))/F804&gt;0, (((0.065*F804^0.726)/3.7-(0.301*F804^0.751)/(1-H804)*H804)*(MAX('Min rate concentrations'!$P$3:$P$368)))/F804, 0)</f>
        <v>0</v>
      </c>
      <c r="N804">
        <f>IF((((0.065*F804^0.726)/3.7-(0.301*F804^0.751)/(1-H804)*H804)*(MAX('Min rate concentrations'!$Q$3:$Q$368)))/F804&gt;0, (((0.065*F804^0.726)/3.7-(0.301*F804^0.751)/(1-H804)*H804)*(MAX('Min rate concentrations'!$Q$3:$Q$368)))/F804, 0)</f>
        <v>0</v>
      </c>
      <c r="O804" t="s">
        <v>13</v>
      </c>
      <c r="P804" t="s">
        <v>13</v>
      </c>
      <c r="Q804">
        <f>(inputs!$C$7*11.2)*(16.61*F804^0.61)*0.5*1/F804</f>
        <v>1.7489394877878099</v>
      </c>
      <c r="R804">
        <f>(60*76.9*((F804/1000)^0.76)*3*24*(MAX('Min rate concentrations'!$R$3:$R$368))/F804)</f>
        <v>2.9736204266668905E-4</v>
      </c>
      <c r="S804">
        <f>(IF(inputs!$C$6="aerial",((0.025*0.112*inputs!$C$7/3.3)*(3*60*76.9*((F804/1000)^0.76))*MAX(inputs!$H$14:$H$16))/F804,((0.0083*0.112*inputs!$C$7/1)*(3*60*76.9*((F804/1000)^0.76))*MAX(inputs!$H$14:$H$16))/F804))</f>
        <v>1.2556019812760626E-3</v>
      </c>
      <c r="T804">
        <f>IF((((inputs!$P$12/(V804/MAX(K804:S804)))^(1/inputs!$O$12))-1)/inputs!$N$12&lt;0, 0, IF((((inputs!$P$12/(V804/MAX(K804:S804)))^(1/inputs!$O$12))-1)/inputs!$N$12&gt;inputs!$H$17, inputs!$H$17, (((inputs!$P$12/(V804/MAX(K804:S804)))^(1/inputs!$O$12))-1)/inputs!$N$12))</f>
        <v>0</v>
      </c>
      <c r="U804">
        <f>IF((((inputs!$P$12/(X804/MAX(K804:S804)))^(1/inputs!$O$12))-1)/inputs!$N$12&lt;0, 0, IF((((inputs!$P$12/(X804/MAX(K804:S804)))^(1/inputs!$O$12))-1)/inputs!$N$12&gt;inputs!$H$17, inputs!$H$17, (((inputs!$P$12/(X804/MAX(K804:S804)))^(1/inputs!$O$12))-1)/inputs!$N$12))</f>
        <v>0</v>
      </c>
      <c r="V804">
        <f>inputs!$E$87*(F804/inputs!$F$87)^(1)</f>
        <v>0.85499999999999998</v>
      </c>
      <c r="W804">
        <f>inputs!$E$90*(F804/inputs!$F$90)^(1)</f>
        <v>0.9</v>
      </c>
      <c r="X804">
        <f>inputs!$E$89*(F804/inputs!$F$89)^(1)</f>
        <v>3.3607594936708858</v>
      </c>
      <c r="Y804" t="s">
        <v>13</v>
      </c>
      <c r="Z804">
        <f t="shared" si="79"/>
        <v>2.0455432605705379</v>
      </c>
      <c r="AA804">
        <f t="shared" si="80"/>
        <v>1.9432660975420111</v>
      </c>
    </row>
    <row r="805" spans="1:27" x14ac:dyDescent="0.3">
      <c r="A805" t="s">
        <v>407</v>
      </c>
      <c r="B805" t="s">
        <v>408</v>
      </c>
      <c r="C805" t="s">
        <v>79</v>
      </c>
      <c r="D805" t="s">
        <v>383</v>
      </c>
      <c r="E805">
        <v>181</v>
      </c>
      <c r="F805">
        <v>4500</v>
      </c>
      <c r="G805" t="s">
        <v>152</v>
      </c>
      <c r="H805">
        <v>0.77</v>
      </c>
      <c r="I805">
        <f>MAX('Min rate concentrations'!$G$3:$G$368)</f>
        <v>7.5</v>
      </c>
      <c r="J805">
        <f>MAX('Min rate concentrations'!Z:Z)</f>
        <v>3.5</v>
      </c>
      <c r="K805">
        <f t="shared" si="82"/>
        <v>6.2805479990702698E-2</v>
      </c>
      <c r="L805">
        <f t="shared" si="84"/>
        <v>2.9309223995661254E-2</v>
      </c>
      <c r="M805">
        <f>IF((((0.065*F805^0.726)/3.7-(0.301*F805^0.751)/(1-H805)*H805)*(MAX('Min rate concentrations'!$P$3:$P$368)))/F805&gt;0, (((0.065*F805^0.726)/3.7-(0.301*F805^0.751)/(1-H805)*H805)*(MAX('Min rate concentrations'!$P$3:$P$368)))/F805, 0)</f>
        <v>0</v>
      </c>
      <c r="N805">
        <f>IF((((0.065*F805^0.726)/3.7-(0.301*F805^0.751)/(1-H805)*H805)*(MAX('Min rate concentrations'!$Q$3:$Q$368)))/F805&gt;0, (((0.065*F805^0.726)/3.7-(0.301*F805^0.751)/(1-H805)*H805)*(MAX('Min rate concentrations'!$Q$3:$Q$368)))/F805, 0)</f>
        <v>0</v>
      </c>
      <c r="O805" t="s">
        <v>13</v>
      </c>
      <c r="P805" t="s">
        <v>13</v>
      </c>
      <c r="Q805">
        <f>(inputs!$C$7*11.2)*(16.61*F805^0.61)*0.5*1/F805</f>
        <v>1.7489394877878099</v>
      </c>
      <c r="R805">
        <f>(60*76.9*((F805/1000)^0.76)*3*24*(MAX('Min rate concentrations'!$R$3:$R$368))/F805)</f>
        <v>2.9736204266668905E-4</v>
      </c>
      <c r="S805">
        <f>(IF(inputs!$C$6="aerial",((0.025*0.112*inputs!$C$7/3.3)*(3*60*76.9*((F805/1000)^0.76))*MAX(inputs!$H$14:$H$16))/F805,((0.0083*0.112*inputs!$C$7/1)*(3*60*76.9*((F805/1000)^0.76))*MAX(inputs!$H$14:$H$16))/F805))</f>
        <v>1.2556019812760626E-3</v>
      </c>
      <c r="T805">
        <f>IF((((inputs!$P$12/(V805/MAX(K805:S805)))^(1/inputs!$O$12))-1)/inputs!$N$12&lt;0, 0, IF((((inputs!$P$12/(V805/MAX(K805:S805)))^(1/inputs!$O$12))-1)/inputs!$N$12&gt;inputs!$H$17, inputs!$H$17, (((inputs!$P$12/(V805/MAX(K805:S805)))^(1/inputs!$O$12))-1)/inputs!$N$12))</f>
        <v>0</v>
      </c>
      <c r="U805">
        <f>IF((((inputs!$P$12/(X805/MAX(K805:S805)))^(1/inputs!$O$12))-1)/inputs!$N$12&lt;0, 0, IF((((inputs!$P$12/(X805/MAX(K805:S805)))^(1/inputs!$O$12))-1)/inputs!$N$12&gt;inputs!$H$17, inputs!$H$17, (((inputs!$P$12/(X805/MAX(K805:S805)))^(1/inputs!$O$12))-1)/inputs!$N$12))</f>
        <v>0</v>
      </c>
      <c r="V805">
        <f>inputs!$E$87*(F805/inputs!$F$87)^(1)</f>
        <v>0.85499999999999998</v>
      </c>
      <c r="W805">
        <f>inputs!$E$90*(F805/inputs!$F$90)^(1)</f>
        <v>0.9</v>
      </c>
      <c r="X805">
        <f>inputs!$E$89*(F805/inputs!$F$89)^(1)</f>
        <v>3.3607594936708858</v>
      </c>
      <c r="Y805" t="s">
        <v>13</v>
      </c>
      <c r="Z805">
        <f t="shared" si="79"/>
        <v>2.0455432605705379</v>
      </c>
      <c r="AA805">
        <f t="shared" si="80"/>
        <v>1.9432660975420111</v>
      </c>
    </row>
    <row r="806" spans="1:27" x14ac:dyDescent="0.3">
      <c r="A806" t="s">
        <v>407</v>
      </c>
      <c r="B806" t="s">
        <v>408</v>
      </c>
      <c r="C806" t="s">
        <v>79</v>
      </c>
      <c r="D806" t="s">
        <v>383</v>
      </c>
      <c r="E806">
        <v>181</v>
      </c>
      <c r="F806">
        <v>4500</v>
      </c>
      <c r="G806" t="s">
        <v>169</v>
      </c>
      <c r="H806">
        <v>0.79</v>
      </c>
      <c r="I806">
        <f>MAX('Min rate concentrations'!$D$3:$D$368)</f>
        <v>120</v>
      </c>
      <c r="J806">
        <f>MAX('Min rate concentrations'!W:W)</f>
        <v>42.5</v>
      </c>
      <c r="K806">
        <f t="shared" si="82"/>
        <v>1.1005912684085044</v>
      </c>
      <c r="L806">
        <f t="shared" si="84"/>
        <v>0.38979274089467858</v>
      </c>
      <c r="M806">
        <f>IF((((0.065*F806^0.726)/3.7-(0.301*F806^0.751)/(1-H806)*H806)*(MAX('Min rate concentrations'!$P$3:$P$368)))/F806&gt;0, (((0.065*F806^0.726)/3.7-(0.301*F806^0.751)/(1-H806)*H806)*(MAX('Min rate concentrations'!$P$3:$P$368)))/F806, 0)</f>
        <v>0</v>
      </c>
      <c r="N806">
        <f>IF((((0.065*F806^0.726)/3.7-(0.301*F806^0.751)/(1-H806)*H806)*(MAX('Min rate concentrations'!$Q$3:$Q$368)))/F806&gt;0, (((0.065*F806^0.726)/3.7-(0.301*F806^0.751)/(1-H806)*H806)*(MAX('Min rate concentrations'!$Q$3:$Q$368)))/F806, 0)</f>
        <v>0</v>
      </c>
      <c r="O806" t="s">
        <v>13</v>
      </c>
      <c r="P806" t="s">
        <v>13</v>
      </c>
      <c r="Q806">
        <f>(inputs!$C$7*11.2)*(16.61*F806^0.61)*0.5*1/F806</f>
        <v>1.7489394877878099</v>
      </c>
      <c r="R806">
        <f>(60*76.9*((F806/1000)^0.76)*3*24*(MAX('Min rate concentrations'!$R$3:$R$368))/F806)</f>
        <v>2.9736204266668905E-4</v>
      </c>
      <c r="S806">
        <f>(IF(inputs!$C$6="aerial",((0.025*0.112*inputs!$C$7/3.3)*(3*60*76.9*((F806/1000)^0.76))*MAX(inputs!$H$14:$H$16))/F806,((0.0083*0.112*inputs!$C$7/1)*(3*60*76.9*((F806/1000)^0.76))*MAX(inputs!$H$14:$H$16))/F806))</f>
        <v>1.2556019812760626E-3</v>
      </c>
      <c r="T806">
        <f>IF((((inputs!$P$12/(V806/MAX(K806:S806)))^(1/inputs!$O$12))-1)/inputs!$N$12&lt;0, 0, IF((((inputs!$P$12/(V806/MAX(K806:S806)))^(1/inputs!$O$12))-1)/inputs!$N$12&gt;inputs!$H$17, inputs!$H$17, (((inputs!$P$12/(V806/MAX(K806:S806)))^(1/inputs!$O$12))-1)/inputs!$N$12))</f>
        <v>0</v>
      </c>
      <c r="U806">
        <f>IF((((inputs!$P$12/(X806/MAX(K806:S806)))^(1/inputs!$O$12))-1)/inputs!$N$12&lt;0, 0, IF((((inputs!$P$12/(X806/MAX(K806:S806)))^(1/inputs!$O$12))-1)/inputs!$N$12&gt;inputs!$H$17, inputs!$H$17, (((inputs!$P$12/(X806/MAX(K806:S806)))^(1/inputs!$O$12))-1)/inputs!$N$12))</f>
        <v>0</v>
      </c>
      <c r="V806">
        <f>inputs!$E$87*(F806/inputs!$F$87)^(1)</f>
        <v>0.85499999999999998</v>
      </c>
      <c r="W806">
        <f>inputs!$E$90*(F806/inputs!$F$90)^(1)</f>
        <v>0.9</v>
      </c>
      <c r="X806">
        <f>inputs!$E$89*(F806/inputs!$F$89)^(1)</f>
        <v>3.3607594936708858</v>
      </c>
      <c r="Y806" t="s">
        <v>13</v>
      </c>
      <c r="Z806">
        <f t="shared" si="79"/>
        <v>2.0455432605705379</v>
      </c>
      <c r="AA806">
        <f t="shared" si="80"/>
        <v>1.9432660975420111</v>
      </c>
    </row>
    <row r="807" spans="1:27" x14ac:dyDescent="0.3">
      <c r="A807" t="s">
        <v>407</v>
      </c>
      <c r="B807" t="s">
        <v>408</v>
      </c>
      <c r="C807" t="s">
        <v>79</v>
      </c>
      <c r="D807" t="s">
        <v>383</v>
      </c>
      <c r="E807">
        <v>181</v>
      </c>
      <c r="F807">
        <v>4500</v>
      </c>
      <c r="G807" t="s">
        <v>177</v>
      </c>
      <c r="H807">
        <v>0.85</v>
      </c>
      <c r="I807">
        <f>MAX('Min rate concentrations'!$F$3:$F$368)</f>
        <v>67.5</v>
      </c>
      <c r="J807">
        <f>MAX('Min rate concentrations'!Y:Y)</f>
        <v>22.5</v>
      </c>
      <c r="K807">
        <f t="shared" si="82"/>
        <v>0.86671562387169687</v>
      </c>
      <c r="L807">
        <f t="shared" si="84"/>
        <v>0.28890520795723229</v>
      </c>
      <c r="M807">
        <f>IF((((0.065*F807^0.726)/3.7-(0.301*F807^0.751)/(1-H807)*H807)*(MAX('Min rate concentrations'!$P$3:$P$368)))/F807&gt;0, (((0.065*F807^0.726)/3.7-(0.301*F807^0.751)/(1-H807)*H807)*(MAX('Min rate concentrations'!$P$3:$P$368)))/F807, 0)</f>
        <v>0</v>
      </c>
      <c r="N807">
        <f>IF((((0.065*F807^0.726)/3.7-(0.301*F807^0.751)/(1-H807)*H807)*(MAX('Min rate concentrations'!$Q$3:$Q$368)))/F807&gt;0, (((0.065*F807^0.726)/3.7-(0.301*F807^0.751)/(1-H807)*H807)*(MAX('Min rate concentrations'!$Q$3:$Q$368)))/F807, 0)</f>
        <v>0</v>
      </c>
      <c r="O807" t="s">
        <v>13</v>
      </c>
      <c r="P807" t="s">
        <v>13</v>
      </c>
      <c r="Q807">
        <f>(inputs!$C$7*11.2)*(16.61*F807^0.61)*0.5*1/F807</f>
        <v>1.7489394877878099</v>
      </c>
      <c r="R807">
        <f>(60*76.9*((F807/1000)^0.76)*3*24*(MAX('Min rate concentrations'!$R$3:$R$368))/F807)</f>
        <v>2.9736204266668905E-4</v>
      </c>
      <c r="S807">
        <f>(IF(inputs!$C$6="aerial",((0.025*0.112*inputs!$C$7/3.3)*(3*60*76.9*((F807/1000)^0.76))*MAX(inputs!$H$14:$H$16))/F807,((0.0083*0.112*inputs!$C$7/1)*(3*60*76.9*((F807/1000)^0.76))*MAX(inputs!$H$14:$H$16))/F807))</f>
        <v>1.2556019812760626E-3</v>
      </c>
      <c r="T807">
        <f>IF((((inputs!$P$12/(V807/MAX(K807:S807)))^(1/inputs!$O$12))-1)/inputs!$N$12&lt;0, 0, IF((((inputs!$P$12/(V807/MAX(K807:S807)))^(1/inputs!$O$12))-1)/inputs!$N$12&gt;inputs!$H$17, inputs!$H$17, (((inputs!$P$12/(V807/MAX(K807:S807)))^(1/inputs!$O$12))-1)/inputs!$N$12))</f>
        <v>0</v>
      </c>
      <c r="U807">
        <f>IF((((inputs!$P$12/(X807/MAX(K807:S807)))^(1/inputs!$O$12))-1)/inputs!$N$12&lt;0, 0, IF((((inputs!$P$12/(X807/MAX(K807:S807)))^(1/inputs!$O$12))-1)/inputs!$N$12&gt;inputs!$H$17, inputs!$H$17, (((inputs!$P$12/(X807/MAX(K807:S807)))^(1/inputs!$O$12))-1)/inputs!$N$12))</f>
        <v>0</v>
      </c>
      <c r="V807">
        <f>inputs!$E$87*(F807/inputs!$F$87)^(1)</f>
        <v>0.85499999999999998</v>
      </c>
      <c r="W807">
        <f>inputs!$E$90*(F807/inputs!$F$90)^(1)</f>
        <v>0.9</v>
      </c>
      <c r="X807">
        <f>inputs!$E$89*(F807/inputs!$F$89)^(1)</f>
        <v>3.3607594936708858</v>
      </c>
      <c r="Y807" t="s">
        <v>13</v>
      </c>
      <c r="Z807">
        <f t="shared" si="79"/>
        <v>2.0455432605705379</v>
      </c>
      <c r="AA807">
        <f t="shared" si="80"/>
        <v>1.9432660975420111</v>
      </c>
    </row>
    <row r="808" spans="1:27" x14ac:dyDescent="0.3">
      <c r="A808" t="s">
        <v>987</v>
      </c>
      <c r="B808" t="s">
        <v>637</v>
      </c>
      <c r="C808" t="s">
        <v>79</v>
      </c>
      <c r="D808" t="s">
        <v>383</v>
      </c>
      <c r="E808">
        <v>170</v>
      </c>
      <c r="F808">
        <v>2450</v>
      </c>
      <c r="G808" t="s">
        <v>241</v>
      </c>
      <c r="H808">
        <v>0.8</v>
      </c>
      <c r="I808">
        <f>inputs!$C$65*inputs!$C$60/1000</f>
        <v>2.8</v>
      </c>
      <c r="J808">
        <f>inputs!$C$65*inputs!$C$59/1000</f>
        <v>2.8</v>
      </c>
      <c r="K808">
        <f t="shared" si="82"/>
        <v>3.0954991338863352E-2</v>
      </c>
      <c r="L808">
        <f t="shared" si="84"/>
        <v>3.0954991338863352E-2</v>
      </c>
      <c r="M808">
        <f>IF((((0.065*F808^0.726)/3.7-(0.301*F808^0.751)/(1-H808)*H808)*(MAX('Min rate concentrations'!$P$3:$P$368)))/F808&gt;0, (((0.065*F808^0.726)/3.7-(0.301*F808^0.751)/(1-H808)*H808)*(MAX('Min rate concentrations'!$P$3:$P$368)))/F808, 0)</f>
        <v>0</v>
      </c>
      <c r="N808">
        <f>IF((((0.065*F808^0.726)/3.7-(0.301*F808^0.751)/(1-H808)*H808)*(MAX('Min rate concentrations'!$Q$3:$Q$368)))/F808&gt;0, (((0.065*F808^0.726)/3.7-(0.301*F808^0.751)/(1-H808)*H808)*(MAX('Min rate concentrations'!$Q$3:$Q$368)))/F808, 0)</f>
        <v>0</v>
      </c>
      <c r="O808" t="s">
        <v>13</v>
      </c>
      <c r="P808" t="s">
        <v>13</v>
      </c>
      <c r="Q808">
        <f>(inputs!$C$7*11.2)*(16.61*F808^0.61)*0.5*1/F808</f>
        <v>2.2169346477762479</v>
      </c>
      <c r="R808">
        <f>(60*76.9*((F808/1000)^0.76)*3*24*(MAX('Min rate concentrations'!$R$3:$R$368))/F808)</f>
        <v>3.440778172190699E-4</v>
      </c>
      <c r="S808">
        <f>(IF(inputs!$C$6="aerial",((0.025*0.112*inputs!$C$7/3.3)*(3*60*76.9*((F808/1000)^0.76))*MAX(inputs!$H$14:$H$16))/F808,((0.0083*0.112*inputs!$C$7/1)*(3*60*76.9*((F808/1000)^0.76))*MAX(inputs!$H$14:$H$16))/F808))</f>
        <v>1.4528578871031653E-3</v>
      </c>
      <c r="T808">
        <f>IF((((inputs!$P$12/(V808/MAX(K808:S808)))^(1/inputs!$O$12))-1)/inputs!$N$12&lt;0, 0, IF((((inputs!$P$12/(V808/MAX(K808:S808)))^(1/inputs!$O$12))-1)/inputs!$N$12&gt;inputs!$H$17, inputs!$H$17, (((inputs!$P$12/(V808/MAX(K808:S808)))^(1/inputs!$O$12))-1)/inputs!$N$12))</f>
        <v>11.263375574265144</v>
      </c>
      <c r="U808">
        <f>IF((((inputs!$P$12/(X808/MAX(K808:S808)))^(1/inputs!$O$12))-1)/inputs!$N$12&lt;0, 0, IF((((inputs!$P$12/(X808/MAX(K808:S808)))^(1/inputs!$O$12))-1)/inputs!$N$12&gt;inputs!$H$17, inputs!$H$17, (((inputs!$P$12/(X808/MAX(K808:S808)))^(1/inputs!$O$12))-1)/inputs!$N$12))</f>
        <v>0</v>
      </c>
      <c r="V808">
        <f>inputs!$E$87*(F808/inputs!$F$87)^(1)</f>
        <v>0.46549999999999997</v>
      </c>
      <c r="W808">
        <f>inputs!$E$90*(F808/inputs!$F$90)^(1)</f>
        <v>0.49000000000000005</v>
      </c>
      <c r="X808">
        <f>inputs!$E$89*(F808/inputs!$F$89)^(1)</f>
        <v>1.829746835443038</v>
      </c>
      <c r="Y808" t="s">
        <v>13</v>
      </c>
      <c r="Z808">
        <f t="shared" si="79"/>
        <v>4.7624804463506942</v>
      </c>
      <c r="AA808">
        <f t="shared" si="80"/>
        <v>4.5243564240331589</v>
      </c>
    </row>
    <row r="809" spans="1:27" x14ac:dyDescent="0.3">
      <c r="A809" t="s">
        <v>987</v>
      </c>
      <c r="B809" t="s">
        <v>637</v>
      </c>
      <c r="C809" t="s">
        <v>79</v>
      </c>
      <c r="D809" t="s">
        <v>383</v>
      </c>
      <c r="E809">
        <v>170</v>
      </c>
      <c r="F809">
        <v>2450</v>
      </c>
      <c r="G809" t="s">
        <v>164</v>
      </c>
      <c r="H809">
        <v>0.78</v>
      </c>
      <c r="I809">
        <f>inputs!$C$65*(inputs!$C$62/1000)</f>
        <v>0.82000000000000006</v>
      </c>
      <c r="J809">
        <f>inputs!$C$65*(inputs!$C$61/1000)</f>
        <v>0.25</v>
      </c>
      <c r="K809">
        <f t="shared" si="82"/>
        <v>8.2412639278792044E-3</v>
      </c>
      <c r="L809">
        <f t="shared" si="84"/>
        <v>2.5125804658168304E-3</v>
      </c>
      <c r="M809">
        <f>IF((((0.065*F809^0.726)/3.7-(0.301*F809^0.751)/(1-H809)*H809)*(MAX('Min rate concentrations'!$P$3:$P$368)))/F809&gt;0, (((0.065*F809^0.726)/3.7-(0.301*F809^0.751)/(1-H809)*H809)*(MAX('Min rate concentrations'!$P$3:$P$368)))/F809, 0)</f>
        <v>0</v>
      </c>
      <c r="N809">
        <f>IF((((0.065*F809^0.726)/3.7-(0.301*F809^0.751)/(1-H809)*H809)*(MAX('Min rate concentrations'!$Q$3:$Q$368)))/F809&gt;0, (((0.065*F809^0.726)/3.7-(0.301*F809^0.751)/(1-H809)*H809)*(MAX('Min rate concentrations'!$Q$3:$Q$368)))/F809, 0)</f>
        <v>0</v>
      </c>
      <c r="O809" t="s">
        <v>13</v>
      </c>
      <c r="P809" t="s">
        <v>13</v>
      </c>
      <c r="Q809">
        <f>(inputs!$C$7*11.2)*(16.61*F809^0.61)*0.5*1/F809</f>
        <v>2.2169346477762479</v>
      </c>
      <c r="R809">
        <f>(60*76.9*((F809/1000)^0.76)*3*24*(MAX('Min rate concentrations'!$R$3:$R$368))/F809)</f>
        <v>3.440778172190699E-4</v>
      </c>
      <c r="S809">
        <f>(IF(inputs!$C$6="aerial",((0.025*0.112*inputs!$C$7/3.3)*(3*60*76.9*((F809/1000)^0.76))*MAX(inputs!$H$14:$H$16))/F809,((0.0083*0.112*inputs!$C$7/1)*(3*60*76.9*((F809/1000)^0.76))*MAX(inputs!$H$14:$H$16))/F809))</f>
        <v>1.4528578871031653E-3</v>
      </c>
      <c r="T809">
        <f>IF((((inputs!$P$12/(V809/MAX(K809:S809)))^(1/inputs!$O$12))-1)/inputs!$N$12&lt;0, 0, IF((((inputs!$P$12/(V809/MAX(K809:S809)))^(1/inputs!$O$12))-1)/inputs!$N$12&gt;inputs!$H$17, inputs!$H$17, (((inputs!$P$12/(V809/MAX(K809:S809)))^(1/inputs!$O$12))-1)/inputs!$N$12))</f>
        <v>11.263375574265144</v>
      </c>
      <c r="U809">
        <f>IF((((inputs!$P$12/(X809/MAX(K809:S809)))^(1/inputs!$O$12))-1)/inputs!$N$12&lt;0, 0, IF((((inputs!$P$12/(X809/MAX(K809:S809)))^(1/inputs!$O$12))-1)/inputs!$N$12&gt;inputs!$H$17, inputs!$H$17, (((inputs!$P$12/(X809/MAX(K809:S809)))^(1/inputs!$O$12))-1)/inputs!$N$12))</f>
        <v>0</v>
      </c>
      <c r="V809">
        <f>inputs!$E$87*(F809/inputs!$F$87)^(1)</f>
        <v>0.46549999999999997</v>
      </c>
      <c r="W809">
        <f>inputs!$E$90*(F809/inputs!$F$90)^(1)</f>
        <v>0.49000000000000005</v>
      </c>
      <c r="X809">
        <f>inputs!$E$89*(F809/inputs!$F$89)^(1)</f>
        <v>1.829746835443038</v>
      </c>
      <c r="Y809" t="s">
        <v>13</v>
      </c>
      <c r="Z809">
        <f t="shared" si="79"/>
        <v>4.7624804463506942</v>
      </c>
      <c r="AA809">
        <f t="shared" si="80"/>
        <v>4.5243564240331589</v>
      </c>
    </row>
    <row r="810" spans="1:27" x14ac:dyDescent="0.3">
      <c r="A810" t="s">
        <v>410</v>
      </c>
      <c r="B810" t="s">
        <v>411</v>
      </c>
      <c r="C810" t="s">
        <v>79</v>
      </c>
      <c r="D810" t="s">
        <v>383</v>
      </c>
      <c r="E810">
        <v>171</v>
      </c>
      <c r="F810">
        <v>220</v>
      </c>
      <c r="G810" t="s">
        <v>632</v>
      </c>
      <c r="H810">
        <v>0.8</v>
      </c>
      <c r="I810">
        <f>inputs!$C$65*inputs!$C$60/1000</f>
        <v>2.8</v>
      </c>
      <c r="J810">
        <f>inputs!$C$65*inputs!$C$59/1000</f>
        <v>2.8</v>
      </c>
      <c r="K810">
        <f t="shared" si="82"/>
        <v>5.3498479559782867E-2</v>
      </c>
      <c r="L810">
        <f t="shared" si="84"/>
        <v>5.3498479559782867E-2</v>
      </c>
      <c r="M810">
        <f>IF((((0.065*F810^0.726)/3.7-(0.301*F810^0.751)/(1-H810)*H810)*(MAX('Min rate concentrations'!$P$3:$P$368)))/F810&gt;0, (((0.065*F810^0.726)/3.7-(0.301*F810^0.751)/(1-H810)*H810)*(MAX('Min rate concentrations'!$P$3:$P$368)))/F810, 0)</f>
        <v>0</v>
      </c>
      <c r="N810">
        <f>IF((((0.065*F810^0.726)/3.7-(0.301*F810^0.751)/(1-H810)*H810)*(MAX('Min rate concentrations'!$Q$3:$Q$368)))/F810&gt;0, (((0.065*F810^0.726)/3.7-(0.301*F810^0.751)/(1-H810)*H810)*(MAX('Min rate concentrations'!$Q$3:$Q$368)))/F810, 0)</f>
        <v>0</v>
      </c>
      <c r="O810" t="s">
        <v>13</v>
      </c>
      <c r="P810" t="s">
        <v>13</v>
      </c>
      <c r="Q810">
        <f>(inputs!$C$7*11.2)*(16.61*F810^0.61)*0.5*1/F810</f>
        <v>5.6752215243248711</v>
      </c>
      <c r="R810">
        <f>(60*76.9*((F810/1000)^0.76)*3*24*(MAX('Min rate concentrations'!$R$3:$R$368))/F810)</f>
        <v>6.135855046743926E-4</v>
      </c>
      <c r="S810">
        <f>(IF(inputs!$C$6="aerial",((0.025*0.112*inputs!$C$7/3.3)*(3*60*76.9*((F810/1000)^0.76))*MAX(inputs!$H$14:$H$16))/F810,((0.0083*0.112*inputs!$C$7/1)*(3*60*76.9*((F810/1000)^0.76))*MAX(inputs!$H$14:$H$16))/F810))</f>
        <v>2.590845719387923E-3</v>
      </c>
      <c r="T810">
        <f>IF((((inputs!$P$12/(V810/MAX(K810:S810)))^(1/inputs!$O$12))-1)/inputs!$N$12&lt;0, 0, IF((((inputs!$P$12/(V810/MAX(K810:S810)))^(1/inputs!$O$12))-1)/inputs!$N$12&gt;inputs!$H$17, inputs!$H$17, (((inputs!$P$12/(V810/MAX(K810:S810)))^(1/inputs!$O$12))-1)/inputs!$N$12))</f>
        <v>126.80719359228443</v>
      </c>
      <c r="U810">
        <f>IF((((inputs!$P$12/(X810/MAX(K810:S810)))^(1/inputs!$O$12))-1)/inputs!$N$12&lt;0, 0, IF((((inputs!$P$12/(X810/MAX(K810:S810)))^(1/inputs!$O$12))-1)/inputs!$N$12&gt;inputs!$H$17, inputs!$H$17, (((inputs!$P$12/(X810/MAX(K810:S810)))^(1/inputs!$O$12))-1)/inputs!$N$12))</f>
        <v>60.506091687169977</v>
      </c>
      <c r="V810">
        <f>inputs!$E$87*(F810/inputs!$F$87)^(1)</f>
        <v>4.1800000000000004E-2</v>
      </c>
      <c r="W810">
        <f>inputs!$E$90*(F810/inputs!$F$90)^(1)</f>
        <v>4.3999999999999997E-2</v>
      </c>
      <c r="X810">
        <f>inputs!$E$89*(F810/inputs!$F$89)^(1)</f>
        <v>0.16430379746835441</v>
      </c>
      <c r="Y810" t="s">
        <v>13</v>
      </c>
      <c r="Z810">
        <f t="shared" si="79"/>
        <v>135.77084986423137</v>
      </c>
      <c r="AA810">
        <f t="shared" si="80"/>
        <v>128.9823073710198</v>
      </c>
    </row>
    <row r="811" spans="1:27" x14ac:dyDescent="0.3">
      <c r="A811" t="s">
        <v>410</v>
      </c>
      <c r="B811" t="s">
        <v>411</v>
      </c>
      <c r="C811" t="s">
        <v>79</v>
      </c>
      <c r="D811" t="s">
        <v>383</v>
      </c>
      <c r="E811">
        <v>171</v>
      </c>
      <c r="F811">
        <v>220</v>
      </c>
      <c r="G811" t="s">
        <v>142</v>
      </c>
      <c r="H811">
        <v>0.69</v>
      </c>
      <c r="I811">
        <f>MAX('Min rate concentrations'!$H$3:$H$368)</f>
        <v>47</v>
      </c>
      <c r="J811">
        <f>MAX('Min rate concentrations'!AA:AA)</f>
        <v>32.5</v>
      </c>
      <c r="K811">
        <f t="shared" si="82"/>
        <v>0.57936141458751023</v>
      </c>
      <c r="L811">
        <f t="shared" si="84"/>
        <v>0.40062225476795915</v>
      </c>
      <c r="M811">
        <f>IF((((0.065*F811^0.726)/3.7-(0.301*F811^0.751)/(1-H811)*H811)*(MAX('Min rate concentrations'!$P$3:$P$368)))/F811&gt;0, (((0.065*F811^0.726)/3.7-(0.301*F811^0.751)/(1-H811)*H811)*(MAX('Min rate concentrations'!$P$3:$P$368)))/F811, 0)</f>
        <v>0</v>
      </c>
      <c r="N811">
        <f>IF((((0.065*F811^0.726)/3.7-(0.301*F811^0.751)/(1-H811)*H811)*(MAX('Min rate concentrations'!$Q$3:$Q$368)))/F811&gt;0, (((0.065*F811^0.726)/3.7-(0.301*F811^0.751)/(1-H811)*H811)*(MAX('Min rate concentrations'!$Q$3:$Q$368)))/F811, 0)</f>
        <v>0</v>
      </c>
      <c r="O811" t="s">
        <v>13</v>
      </c>
      <c r="P811" t="s">
        <v>13</v>
      </c>
      <c r="Q811">
        <f>(inputs!$C$7*11.2)*(16.61*F811^0.61)*0.5*1/F811</f>
        <v>5.6752215243248711</v>
      </c>
      <c r="R811">
        <f>(60*76.9*((F811/1000)^0.76)*3*24*(MAX('Min rate concentrations'!$R$3:$R$368))/F811)</f>
        <v>6.135855046743926E-4</v>
      </c>
      <c r="S811">
        <f>(IF(inputs!$C$6="aerial",((0.025*0.112*inputs!$C$7/3.3)*(3*60*76.9*((F811/1000)^0.76))*MAX(inputs!$H$14:$H$16))/F811,((0.0083*0.112*inputs!$C$7/1)*(3*60*76.9*((F811/1000)^0.76))*MAX(inputs!$H$14:$H$16))/F811))</f>
        <v>2.590845719387923E-3</v>
      </c>
      <c r="T811">
        <f>IF((((inputs!$P$12/(V811/MAX(K811:S811)))^(1/inputs!$O$12))-1)/inputs!$N$12&lt;0, 0, IF((((inputs!$P$12/(V811/MAX(K811:S811)))^(1/inputs!$O$12))-1)/inputs!$N$12&gt;inputs!$H$17, inputs!$H$17, (((inputs!$P$12/(V811/MAX(K811:S811)))^(1/inputs!$O$12))-1)/inputs!$N$12))</f>
        <v>126.80719359228443</v>
      </c>
      <c r="U811">
        <f>IF((((inputs!$P$12/(X811/MAX(K811:S811)))^(1/inputs!$O$12))-1)/inputs!$N$12&lt;0, 0, IF((((inputs!$P$12/(X811/MAX(K811:S811)))^(1/inputs!$O$12))-1)/inputs!$N$12&gt;inputs!$H$17, inputs!$H$17, (((inputs!$P$12/(X811/MAX(K811:S811)))^(1/inputs!$O$12))-1)/inputs!$N$12))</f>
        <v>60.506091687169977</v>
      </c>
      <c r="V811">
        <f>inputs!$E$87*(F811/inputs!$F$87)^(1)</f>
        <v>4.1800000000000004E-2</v>
      </c>
      <c r="W811">
        <f>inputs!$E$90*(F811/inputs!$F$90)^(1)</f>
        <v>4.3999999999999997E-2</v>
      </c>
      <c r="X811">
        <f>inputs!$E$89*(F811/inputs!$F$89)^(1)</f>
        <v>0.16430379746835441</v>
      </c>
      <c r="Y811" t="s">
        <v>13</v>
      </c>
      <c r="Z811">
        <f t="shared" si="79"/>
        <v>135.77084986423137</v>
      </c>
      <c r="AA811">
        <f t="shared" si="80"/>
        <v>128.9823073710198</v>
      </c>
    </row>
    <row r="812" spans="1:27" x14ac:dyDescent="0.3">
      <c r="A812" t="s">
        <v>410</v>
      </c>
      <c r="B812" t="s">
        <v>411</v>
      </c>
      <c r="C812" t="s">
        <v>79</v>
      </c>
      <c r="D812" t="s">
        <v>383</v>
      </c>
      <c r="E812">
        <v>171</v>
      </c>
      <c r="F812">
        <v>220</v>
      </c>
      <c r="G812" t="s">
        <v>164</v>
      </c>
      <c r="H812">
        <v>0.78</v>
      </c>
      <c r="I812">
        <f>inputs!$C$65*(inputs!$C$62/1000)</f>
        <v>0.82000000000000006</v>
      </c>
      <c r="J812">
        <f>inputs!$C$65*(inputs!$C$61/1000)</f>
        <v>0.25</v>
      </c>
      <c r="K812">
        <f t="shared" si="82"/>
        <v>1.4243101700981153E-2</v>
      </c>
      <c r="L812">
        <f t="shared" si="84"/>
        <v>4.3424090551771807E-3</v>
      </c>
      <c r="M812">
        <f>IF((((0.065*F812^0.726)/3.7-(0.301*F812^0.751)/(1-H812)*H812)*(MAX('Min rate concentrations'!$P$3:$P$368)))/F812&gt;0, (((0.065*F812^0.726)/3.7-(0.301*F812^0.751)/(1-H812)*H812)*(MAX('Min rate concentrations'!$P$3:$P$368)))/F812, 0)</f>
        <v>0</v>
      </c>
      <c r="N812">
        <f>IF((((0.065*F812^0.726)/3.7-(0.301*F812^0.751)/(1-H812)*H812)*(MAX('Min rate concentrations'!$Q$3:$Q$368)))/F812&gt;0, (((0.065*F812^0.726)/3.7-(0.301*F812^0.751)/(1-H812)*H812)*(MAX('Min rate concentrations'!$Q$3:$Q$368)))/F812, 0)</f>
        <v>0</v>
      </c>
      <c r="O812" t="s">
        <v>13</v>
      </c>
      <c r="P812" t="s">
        <v>13</v>
      </c>
      <c r="Q812">
        <f>(inputs!$C$7*11.2)*(16.61*F812^0.61)*0.5*1/F812</f>
        <v>5.6752215243248711</v>
      </c>
      <c r="R812">
        <f>(60*76.9*((F812/1000)^0.76)*3*24*(MAX('Min rate concentrations'!$R$3:$R$368))/F812)</f>
        <v>6.135855046743926E-4</v>
      </c>
      <c r="S812">
        <f>(IF(inputs!$C$6="aerial",((0.025*0.112*inputs!$C$7/3.3)*(3*60*76.9*((F812/1000)^0.76))*MAX(inputs!$H$14:$H$16))/F812,((0.0083*0.112*inputs!$C$7/1)*(3*60*76.9*((F812/1000)^0.76))*MAX(inputs!$H$14:$H$16))/F812))</f>
        <v>2.590845719387923E-3</v>
      </c>
      <c r="T812">
        <f>IF((((inputs!$P$12/(V812/MAX(K812:S812)))^(1/inputs!$O$12))-1)/inputs!$N$12&lt;0, 0, IF((((inputs!$P$12/(V812/MAX(K812:S812)))^(1/inputs!$O$12))-1)/inputs!$N$12&gt;inputs!$H$17, inputs!$H$17, (((inputs!$P$12/(V812/MAX(K812:S812)))^(1/inputs!$O$12))-1)/inputs!$N$12))</f>
        <v>126.80719359228443</v>
      </c>
      <c r="U812">
        <f>IF((((inputs!$P$12/(X812/MAX(K812:S812)))^(1/inputs!$O$12))-1)/inputs!$N$12&lt;0, 0, IF((((inputs!$P$12/(X812/MAX(K812:S812)))^(1/inputs!$O$12))-1)/inputs!$N$12&gt;inputs!$H$17, inputs!$H$17, (((inputs!$P$12/(X812/MAX(K812:S812)))^(1/inputs!$O$12))-1)/inputs!$N$12))</f>
        <v>60.506091687169977</v>
      </c>
      <c r="V812">
        <f>inputs!$E$87*(F812/inputs!$F$87)^(1)</f>
        <v>4.1800000000000004E-2</v>
      </c>
      <c r="W812">
        <f>inputs!$E$90*(F812/inputs!$F$90)^(1)</f>
        <v>4.3999999999999997E-2</v>
      </c>
      <c r="X812">
        <f>inputs!$E$89*(F812/inputs!$F$89)^(1)</f>
        <v>0.16430379746835441</v>
      </c>
      <c r="Y812" t="s">
        <v>13</v>
      </c>
      <c r="Z812">
        <f t="shared" si="79"/>
        <v>135.77084986423137</v>
      </c>
      <c r="AA812">
        <f t="shared" si="80"/>
        <v>128.9823073710198</v>
      </c>
    </row>
    <row r="813" spans="1:27" x14ac:dyDescent="0.3">
      <c r="A813" t="s">
        <v>410</v>
      </c>
      <c r="B813" t="s">
        <v>411</v>
      </c>
      <c r="C813" t="s">
        <v>79</v>
      </c>
      <c r="D813" t="s">
        <v>383</v>
      </c>
      <c r="E813">
        <v>171</v>
      </c>
      <c r="F813">
        <v>220</v>
      </c>
      <c r="G813" t="s">
        <v>146</v>
      </c>
      <c r="H813">
        <v>0.84</v>
      </c>
      <c r="I813">
        <f>MAX('Min rate concentrations'!$I$3:$I$368)</f>
        <v>9.4775690500787988</v>
      </c>
      <c r="J813" t="s">
        <v>13</v>
      </c>
      <c r="K813">
        <f t="shared" si="82"/>
        <v>0.22635514915271035</v>
      </c>
      <c r="L813" t="s">
        <v>13</v>
      </c>
      <c r="M813">
        <f>IF((((0.065*F813^0.726)/3.7-(0.301*F813^0.751)/(1-H813)*H813)*(MAX('Min rate concentrations'!$P$3:$P$368)))/F813&gt;0, (((0.065*F813^0.726)/3.7-(0.301*F813^0.751)/(1-H813)*H813)*(MAX('Min rate concentrations'!$P$3:$P$368)))/F813, 0)</f>
        <v>0</v>
      </c>
      <c r="N813">
        <f>IF((((0.065*F813^0.726)/3.7-(0.301*F813^0.751)/(1-H813)*H813)*(MAX('Min rate concentrations'!$Q$3:$Q$368)))/F813&gt;0, (((0.065*F813^0.726)/3.7-(0.301*F813^0.751)/(1-H813)*H813)*(MAX('Min rate concentrations'!$Q$3:$Q$368)))/F813, 0)</f>
        <v>0</v>
      </c>
      <c r="O813" t="s">
        <v>13</v>
      </c>
      <c r="P813" t="s">
        <v>13</v>
      </c>
      <c r="Q813">
        <f>(inputs!$C$7*11.2)*(16.61*F813^0.61)*0.5*1/F813</f>
        <v>5.6752215243248711</v>
      </c>
      <c r="R813">
        <f>(60*76.9*((F813/1000)^0.76)*3*24*(MAX('Min rate concentrations'!$R$3:$R$368))/F813)</f>
        <v>6.135855046743926E-4</v>
      </c>
      <c r="S813">
        <f>(IF(inputs!$C$6="aerial",((0.025*0.112*inputs!$C$7/3.3)*(3*60*76.9*((F813/1000)^0.76))*MAX(inputs!$H$14:$H$16))/F813,((0.0083*0.112*inputs!$C$7/1)*(3*60*76.9*((F813/1000)^0.76))*MAX(inputs!$H$14:$H$16))/F813))</f>
        <v>2.590845719387923E-3</v>
      </c>
      <c r="T813">
        <f>IF((((inputs!$P$12/(V813/MAX(K813:S813)))^(1/inputs!$O$12))-1)/inputs!$N$12&lt;0, 0, IF((((inputs!$P$12/(V813/MAX(K813:S813)))^(1/inputs!$O$12))-1)/inputs!$N$12&gt;inputs!$H$17, inputs!$H$17, (((inputs!$P$12/(V813/MAX(K813:S813)))^(1/inputs!$O$12))-1)/inputs!$N$12))</f>
        <v>126.80719359228443</v>
      </c>
      <c r="U813">
        <f>IF((((inputs!$P$12/(X813/MAX(K813:S813)))^(1/inputs!$O$12))-1)/inputs!$N$12&lt;0, 0, IF((((inputs!$P$12/(X813/MAX(K813:S813)))^(1/inputs!$O$12))-1)/inputs!$N$12&gt;inputs!$H$17, inputs!$H$17, (((inputs!$P$12/(X813/MAX(K813:S813)))^(1/inputs!$O$12))-1)/inputs!$N$12))</f>
        <v>60.506091687169977</v>
      </c>
      <c r="V813">
        <f>inputs!$E$87*(F813/inputs!$F$87)^(1)</f>
        <v>4.1800000000000004E-2</v>
      </c>
      <c r="W813">
        <f>inputs!$E$90*(F813/inputs!$F$90)^(1)</f>
        <v>4.3999999999999997E-2</v>
      </c>
      <c r="X813">
        <f>inputs!$E$89*(F813/inputs!$F$89)^(1)</f>
        <v>0.16430379746835441</v>
      </c>
      <c r="Y813" t="s">
        <v>13</v>
      </c>
      <c r="Z813">
        <f t="shared" si="79"/>
        <v>135.77084986423137</v>
      </c>
      <c r="AA813">
        <f t="shared" si="80"/>
        <v>128.9823073710198</v>
      </c>
    </row>
    <row r="814" spans="1:27" x14ac:dyDescent="0.3">
      <c r="A814" t="s">
        <v>405</v>
      </c>
      <c r="B814" t="s">
        <v>406</v>
      </c>
      <c r="C814" t="s">
        <v>79</v>
      </c>
      <c r="D814" t="s">
        <v>383</v>
      </c>
      <c r="E814">
        <v>10291</v>
      </c>
      <c r="F814">
        <v>11000</v>
      </c>
      <c r="G814" t="s">
        <v>169</v>
      </c>
      <c r="H814">
        <v>0.79</v>
      </c>
      <c r="I814">
        <f>MAX('Min rate concentrations'!$D$3:$D$368)</f>
        <v>120</v>
      </c>
      <c r="J814">
        <f>MAX('Min rate concentrations'!W:W)</f>
        <v>42.5</v>
      </c>
      <c r="K814">
        <f t="shared" si="82"/>
        <v>0.89848155131627394</v>
      </c>
      <c r="L814">
        <f t="shared" ref="L814:L820" si="85">(((0.013*F814^0.773)/(1-H814)))*J814/F814</f>
        <v>0.31821221609118033</v>
      </c>
      <c r="M814">
        <f>IF((((0.065*F814^0.726)/3.7-(0.301*F814^0.751)/(1-H814)*H814)*(MAX('Min rate concentrations'!$P$3:$P$368)))/F814&gt;0, (((0.065*F814^0.726)/3.7-(0.301*F814^0.751)/(1-H814)*H814)*(MAX('Min rate concentrations'!$P$3:$P$368)))/F814, 0)</f>
        <v>0</v>
      </c>
      <c r="N814">
        <f>IF((((0.065*F814^0.726)/3.7-(0.301*F814^0.751)/(1-H814)*H814)*(MAX('Min rate concentrations'!$Q$3:$Q$368)))/F814&gt;0, (((0.065*F814^0.726)/3.7-(0.301*F814^0.751)/(1-H814)*H814)*(MAX('Min rate concentrations'!$Q$3:$Q$368)))/F814, 0)</f>
        <v>0</v>
      </c>
      <c r="O814" t="s">
        <v>13</v>
      </c>
      <c r="P814" t="s">
        <v>13</v>
      </c>
      <c r="Q814">
        <f>(inputs!$C$7*11.2)*(16.61*F814^0.61)*0.5*1/F814</f>
        <v>1.2341970856957851</v>
      </c>
      <c r="R814">
        <f>(60*76.9*((F814/1000)^0.76)*3*24*(MAX('Min rate concentrations'!$R$3:$R$368))/F814)</f>
        <v>2.3995084864586127E-4</v>
      </c>
      <c r="S814">
        <f>(IF(inputs!$C$6="aerial",((0.025*0.112*inputs!$C$7/3.3)*(3*60*76.9*((F814/1000)^0.76))*MAX(inputs!$H$14:$H$16))/F814,((0.0083*0.112*inputs!$C$7/1)*(3*60*76.9*((F814/1000)^0.76))*MAX(inputs!$H$14:$H$16))/F814))</f>
        <v>1.0131849992244023E-3</v>
      </c>
      <c r="T814">
        <f>IF((((inputs!$P$12/(V814/MAX(K814:S814)))^(1/inputs!$O$12))-1)/inputs!$N$12&lt;0, 0, IF((((inputs!$P$12/(V814/MAX(K814:S814)))^(1/inputs!$O$12))-1)/inputs!$N$12&gt;inputs!$H$17, inputs!$H$17, (((inputs!$P$12/(V814/MAX(K814:S814)))^(1/inputs!$O$12))-1)/inputs!$N$12))</f>
        <v>0</v>
      </c>
      <c r="U814">
        <f>IF((((inputs!$P$12/(X814/MAX(K814:S814)))^(1/inputs!$O$12))-1)/inputs!$N$12&lt;0, 0, IF((((inputs!$P$12/(X814/MAX(K814:S814)))^(1/inputs!$O$12))-1)/inputs!$N$12&gt;inputs!$H$17, inputs!$H$17, (((inputs!$P$12/(X814/MAX(K814:S814)))^(1/inputs!$O$12))-1)/inputs!$N$12))</f>
        <v>0</v>
      </c>
      <c r="V814">
        <f>inputs!$E$87*(F814/inputs!$F$87)^(1)</f>
        <v>2.09</v>
      </c>
      <c r="W814">
        <f>inputs!$E$90*(F814/inputs!$F$90)^(1)</f>
        <v>2.2000000000000002</v>
      </c>
      <c r="X814">
        <f>inputs!$E$89*(F814/inputs!$F$89)^(1)</f>
        <v>8.2151898734177209</v>
      </c>
      <c r="Y814" t="s">
        <v>13</v>
      </c>
      <c r="Z814">
        <f t="shared" si="79"/>
        <v>0.59052492138554313</v>
      </c>
      <c r="AA814">
        <f t="shared" si="80"/>
        <v>0.5609986753162659</v>
      </c>
    </row>
    <row r="815" spans="1:27" x14ac:dyDescent="0.3">
      <c r="A815" t="s">
        <v>405</v>
      </c>
      <c r="B815" t="s">
        <v>406</v>
      </c>
      <c r="C815" t="s">
        <v>79</v>
      </c>
      <c r="D815" t="s">
        <v>383</v>
      </c>
      <c r="E815">
        <v>10291</v>
      </c>
      <c r="F815">
        <v>11000</v>
      </c>
      <c r="G815" t="s">
        <v>177</v>
      </c>
      <c r="H815">
        <v>0.85</v>
      </c>
      <c r="I815">
        <f>MAX('Min rate concentrations'!$F$3:$F$368)</f>
        <v>67.5</v>
      </c>
      <c r="J815">
        <f>MAX('Min rate concentrations'!Y:Y)</f>
        <v>22.5</v>
      </c>
      <c r="K815">
        <f t="shared" si="82"/>
        <v>0.70755422166156556</v>
      </c>
      <c r="L815">
        <f t="shared" si="85"/>
        <v>0.23585140722052181</v>
      </c>
      <c r="M815">
        <f>IF((((0.065*F815^0.726)/3.7-(0.301*F815^0.751)/(1-H815)*H815)*(MAX('Min rate concentrations'!$P$3:$P$368)))/F815&gt;0, (((0.065*F815^0.726)/3.7-(0.301*F815^0.751)/(1-H815)*H815)*(MAX('Min rate concentrations'!$P$3:$P$368)))/F815, 0)</f>
        <v>0</v>
      </c>
      <c r="N815">
        <f>IF((((0.065*F815^0.726)/3.7-(0.301*F815^0.751)/(1-H815)*H815)*(MAX('Min rate concentrations'!$Q$3:$Q$368)))/F815&gt;0, (((0.065*F815^0.726)/3.7-(0.301*F815^0.751)/(1-H815)*H815)*(MAX('Min rate concentrations'!$Q$3:$Q$368)))/F815, 0)</f>
        <v>0</v>
      </c>
      <c r="O815" t="s">
        <v>13</v>
      </c>
      <c r="P815" t="s">
        <v>13</v>
      </c>
      <c r="Q815">
        <f>(inputs!$C$7*11.2)*(16.61*F815^0.61)*0.5*1/F815</f>
        <v>1.2341970856957851</v>
      </c>
      <c r="R815">
        <f>(60*76.9*((F815/1000)^0.76)*3*24*(MAX('Min rate concentrations'!$R$3:$R$368))/F815)</f>
        <v>2.3995084864586127E-4</v>
      </c>
      <c r="S815">
        <f>(IF(inputs!$C$6="aerial",((0.025*0.112*inputs!$C$7/3.3)*(3*60*76.9*((F815/1000)^0.76))*MAX(inputs!$H$14:$H$16))/F815,((0.0083*0.112*inputs!$C$7/1)*(3*60*76.9*((F815/1000)^0.76))*MAX(inputs!$H$14:$H$16))/F815))</f>
        <v>1.0131849992244023E-3</v>
      </c>
      <c r="T815">
        <f>IF((((inputs!$P$12/(V815/MAX(K815:S815)))^(1/inputs!$O$12))-1)/inputs!$N$12&lt;0, 0, IF((((inputs!$P$12/(V815/MAX(K815:S815)))^(1/inputs!$O$12))-1)/inputs!$N$12&gt;inputs!$H$17, inputs!$H$17, (((inputs!$P$12/(V815/MAX(K815:S815)))^(1/inputs!$O$12))-1)/inputs!$N$12))</f>
        <v>0</v>
      </c>
      <c r="U815">
        <f>IF((((inputs!$P$12/(X815/MAX(K815:S815)))^(1/inputs!$O$12))-1)/inputs!$N$12&lt;0, 0, IF((((inputs!$P$12/(X815/MAX(K815:S815)))^(1/inputs!$O$12))-1)/inputs!$N$12&gt;inputs!$H$17, inputs!$H$17, (((inputs!$P$12/(X815/MAX(K815:S815)))^(1/inputs!$O$12))-1)/inputs!$N$12))</f>
        <v>0</v>
      </c>
      <c r="V815">
        <f>inputs!$E$87*(F815/inputs!$F$87)^(1)</f>
        <v>2.09</v>
      </c>
      <c r="W815">
        <f>inputs!$E$90*(F815/inputs!$F$90)^(1)</f>
        <v>2.2000000000000002</v>
      </c>
      <c r="X815">
        <f>inputs!$E$89*(F815/inputs!$F$89)^(1)</f>
        <v>8.2151898734177209</v>
      </c>
      <c r="Y815" t="s">
        <v>13</v>
      </c>
      <c r="Z815">
        <f t="shared" si="79"/>
        <v>0.59052492138554313</v>
      </c>
      <c r="AA815">
        <f t="shared" si="80"/>
        <v>0.5609986753162659</v>
      </c>
    </row>
    <row r="816" spans="1:27" x14ac:dyDescent="0.3">
      <c r="A816" t="s">
        <v>412</v>
      </c>
      <c r="B816" t="s">
        <v>413</v>
      </c>
      <c r="C816" t="s">
        <v>79</v>
      </c>
      <c r="D816" t="s">
        <v>383</v>
      </c>
      <c r="E816">
        <v>6620</v>
      </c>
      <c r="F816">
        <v>88</v>
      </c>
      <c r="G816" t="s">
        <v>241</v>
      </c>
      <c r="H816">
        <v>0.8</v>
      </c>
      <c r="I816">
        <f>inputs!$C$65*inputs!$C$60/1000</f>
        <v>2.8</v>
      </c>
      <c r="J816">
        <f>inputs!$C$65*inputs!$C$59/1000</f>
        <v>2.8</v>
      </c>
      <c r="K816">
        <f t="shared" si="82"/>
        <v>6.586790059436122E-2</v>
      </c>
      <c r="L816">
        <f t="shared" si="85"/>
        <v>6.586790059436122E-2</v>
      </c>
      <c r="M816">
        <f>IF((((0.065*F816^0.726)/3.7-(0.301*F816^0.751)/(1-H816)*H816)*(MAX('Min rate concentrations'!$P$3:$P$368)))/F816&gt;0, (((0.065*F816^0.726)/3.7-(0.301*F816^0.751)/(1-H816)*H816)*(MAX('Min rate concentrations'!$P$3:$P$368)))/F816, 0)</f>
        <v>0</v>
      </c>
      <c r="N816">
        <f>IF((((0.065*F816^0.726)/3.7-(0.301*F816^0.751)/(1-H816)*H816)*(MAX('Min rate concentrations'!$Q$3:$Q$368)))/F816&gt;0, (((0.065*F816^0.726)/3.7-(0.301*F816^0.751)/(1-H816)*H816)*(MAX('Min rate concentrations'!$Q$3:$Q$368)))/F816, 0)</f>
        <v>0</v>
      </c>
      <c r="O816" t="s">
        <v>13</v>
      </c>
      <c r="P816" t="s">
        <v>13</v>
      </c>
      <c r="Q816">
        <f>(inputs!$C$7*11.2)*(16.61*F816^0.61)*0.5*1/F816</f>
        <v>8.1129616235476352</v>
      </c>
      <c r="R816">
        <f>(60*76.9*((F816/1000)^0.76)*3*24*(MAX('Min rate concentrations'!$R$3:$R$368))/F816)</f>
        <v>7.6450563946413091E-4</v>
      </c>
      <c r="S816">
        <f>(IF(inputs!$C$6="aerial",((0.025*0.112*inputs!$C$7/3.3)*(3*60*76.9*((F816/1000)^0.76))*MAX(inputs!$H$14:$H$16))/F816,((0.0083*0.112*inputs!$C$7/1)*(3*60*76.9*((F816/1000)^0.76))*MAX(inputs!$H$14:$H$16))/F816))</f>
        <v>3.2281012969898365E-3</v>
      </c>
      <c r="T816">
        <f>IF((((inputs!$P$12/(V816/MAX(K816:S816)))^(1/inputs!$O$12))-1)/inputs!$N$12&lt;0, 0, IF((((inputs!$P$12/(V816/MAX(K816:S816)))^(1/inputs!$O$12))-1)/inputs!$N$12&gt;inputs!$H$17, inputs!$H$17, (((inputs!$P$12/(V816/MAX(K816:S816)))^(1/inputs!$O$12))-1)/inputs!$N$12))</f>
        <v>232.2117573498802</v>
      </c>
      <c r="U816">
        <f>IF((((inputs!$P$12/(X816/MAX(K816:S816)))^(1/inputs!$O$12))-1)/inputs!$N$12&lt;0, 0, IF((((inputs!$P$12/(X816/MAX(K816:S816)))^(1/inputs!$O$12))-1)/inputs!$N$12&gt;inputs!$H$17, inputs!$H$17, (((inputs!$P$12/(X816/MAX(K816:S816)))^(1/inputs!$O$12))-1)/inputs!$N$12))</f>
        <v>120.91024507520756</v>
      </c>
      <c r="V816">
        <f>inputs!$E$87*(F816/inputs!$F$87)^(1)</f>
        <v>1.6719999999999999E-2</v>
      </c>
      <c r="W816">
        <f>inputs!$E$90*(F816/inputs!$F$90)^(1)</f>
        <v>1.7600000000000001E-2</v>
      </c>
      <c r="X816">
        <f>inputs!$E$89*(F816/inputs!$F$89)^(1)</f>
        <v>6.572151898734177E-2</v>
      </c>
      <c r="Y816" t="s">
        <v>13</v>
      </c>
      <c r="Z816">
        <f t="shared" si="79"/>
        <v>485.22497748490645</v>
      </c>
      <c r="AA816">
        <f t="shared" si="80"/>
        <v>460.96372861066106</v>
      </c>
    </row>
    <row r="817" spans="1:27" x14ac:dyDescent="0.3">
      <c r="A817" t="s">
        <v>412</v>
      </c>
      <c r="B817" t="s">
        <v>413</v>
      </c>
      <c r="C817" t="s">
        <v>79</v>
      </c>
      <c r="D817" t="s">
        <v>383</v>
      </c>
      <c r="E817">
        <v>6620</v>
      </c>
      <c r="F817">
        <v>88</v>
      </c>
      <c r="G817" t="s">
        <v>164</v>
      </c>
      <c r="H817">
        <v>0.78</v>
      </c>
      <c r="I817">
        <f>inputs!$C$65*(inputs!$C$62/1000)</f>
        <v>0.82000000000000006</v>
      </c>
      <c r="J817">
        <f>inputs!$C$65*(inputs!$C$61/1000)</f>
        <v>0.25</v>
      </c>
      <c r="K817">
        <f t="shared" si="82"/>
        <v>1.7536259249148121E-2</v>
      </c>
      <c r="L817">
        <f t="shared" si="85"/>
        <v>5.3464205027890606E-3</v>
      </c>
      <c r="M817">
        <f>IF((((0.065*F817^0.726)/3.7-(0.301*F817^0.751)/(1-H817)*H817)*(MAX('Min rate concentrations'!$P$3:$P$368)))/F817&gt;0, (((0.065*F817^0.726)/3.7-(0.301*F817^0.751)/(1-H817)*H817)*(MAX('Min rate concentrations'!$P$3:$P$368)))/F817, 0)</f>
        <v>0</v>
      </c>
      <c r="N817">
        <f>IF((((0.065*F817^0.726)/3.7-(0.301*F817^0.751)/(1-H817)*H817)*(MAX('Min rate concentrations'!$Q$3:$Q$368)))/F817&gt;0, (((0.065*F817^0.726)/3.7-(0.301*F817^0.751)/(1-H817)*H817)*(MAX('Min rate concentrations'!$Q$3:$Q$368)))/F817, 0)</f>
        <v>0</v>
      </c>
      <c r="O817" t="s">
        <v>13</v>
      </c>
      <c r="P817" t="s">
        <v>13</v>
      </c>
      <c r="Q817">
        <f>(inputs!$C$7*11.2)*(16.61*F817^0.61)*0.5*1/F817</f>
        <v>8.1129616235476352</v>
      </c>
      <c r="R817">
        <f>(60*76.9*((F817/1000)^0.76)*3*24*(MAX('Min rate concentrations'!$R$3:$R$368))/F817)</f>
        <v>7.6450563946413091E-4</v>
      </c>
      <c r="S817">
        <f>(IF(inputs!$C$6="aerial",((0.025*0.112*inputs!$C$7/3.3)*(3*60*76.9*((F817/1000)^0.76))*MAX(inputs!$H$14:$H$16))/F817,((0.0083*0.112*inputs!$C$7/1)*(3*60*76.9*((F817/1000)^0.76))*MAX(inputs!$H$14:$H$16))/F817))</f>
        <v>3.2281012969898365E-3</v>
      </c>
      <c r="T817">
        <f>IF((((inputs!$P$12/(V817/MAX(K817:S817)))^(1/inputs!$O$12))-1)/inputs!$N$12&lt;0, 0, IF((((inputs!$P$12/(V817/MAX(K817:S817)))^(1/inputs!$O$12))-1)/inputs!$N$12&gt;inputs!$H$17, inputs!$H$17, (((inputs!$P$12/(V817/MAX(K817:S817)))^(1/inputs!$O$12))-1)/inputs!$N$12))</f>
        <v>232.2117573498802</v>
      </c>
      <c r="U817">
        <f>IF((((inputs!$P$12/(X817/MAX(K817:S817)))^(1/inputs!$O$12))-1)/inputs!$N$12&lt;0, 0, IF((((inputs!$P$12/(X817/MAX(K817:S817)))^(1/inputs!$O$12))-1)/inputs!$N$12&gt;inputs!$H$17, inputs!$H$17, (((inputs!$P$12/(X817/MAX(K817:S817)))^(1/inputs!$O$12))-1)/inputs!$N$12))</f>
        <v>120.91024507520756</v>
      </c>
      <c r="V817">
        <f>inputs!$E$87*(F817/inputs!$F$87)^(1)</f>
        <v>1.6719999999999999E-2</v>
      </c>
      <c r="W817">
        <f>inputs!$E$90*(F817/inputs!$F$90)^(1)</f>
        <v>1.7600000000000001E-2</v>
      </c>
      <c r="X817">
        <f>inputs!$E$89*(F817/inputs!$F$89)^(1)</f>
        <v>6.572151898734177E-2</v>
      </c>
      <c r="Y817" t="s">
        <v>13</v>
      </c>
      <c r="Z817">
        <f t="shared" si="79"/>
        <v>485.22497748490645</v>
      </c>
      <c r="AA817">
        <f t="shared" si="80"/>
        <v>460.96372861066106</v>
      </c>
    </row>
    <row r="818" spans="1:27" x14ac:dyDescent="0.3">
      <c r="A818" t="s">
        <v>412</v>
      </c>
      <c r="B818" t="s">
        <v>413</v>
      </c>
      <c r="C818" t="s">
        <v>79</v>
      </c>
      <c r="D818" t="s">
        <v>383</v>
      </c>
      <c r="E818">
        <v>6620</v>
      </c>
      <c r="F818">
        <v>88</v>
      </c>
      <c r="G818" t="s">
        <v>633</v>
      </c>
      <c r="H818">
        <v>0.75</v>
      </c>
      <c r="I818">
        <f>inputs!$C$65*inputs!$C$64/1000</f>
        <v>2.13</v>
      </c>
      <c r="J818">
        <f>inputs!$C$65*inputs!$C$63/1000</f>
        <v>0.88</v>
      </c>
      <c r="K818">
        <f t="shared" si="82"/>
        <v>4.0085322361711251E-2</v>
      </c>
      <c r="L818">
        <f t="shared" si="85"/>
        <v>1.6561072149439391E-2</v>
      </c>
      <c r="M818">
        <f>IF((((0.065*F818^0.726)/3.7-(0.301*F818^0.751)/(1-H818)*H818)*(MAX('Min rate concentrations'!$P$3:$P$368)))/F818&gt;0, (((0.065*F818^0.726)/3.7-(0.301*F818^0.751)/(1-H818)*H818)*(MAX('Min rate concentrations'!$P$3:$P$368)))/F818, 0)</f>
        <v>0</v>
      </c>
      <c r="N818">
        <f>IF((((0.065*F818^0.726)/3.7-(0.301*F818^0.751)/(1-H818)*H818)*(MAX('Min rate concentrations'!$Q$3:$Q$368)))/F818&gt;0, (((0.065*F818^0.726)/3.7-(0.301*F818^0.751)/(1-H818)*H818)*(MAX('Min rate concentrations'!$Q$3:$Q$368)))/F818, 0)</f>
        <v>0</v>
      </c>
      <c r="O818" t="s">
        <v>13</v>
      </c>
      <c r="P818" t="s">
        <v>13</v>
      </c>
      <c r="Q818">
        <f>(inputs!$C$7*11.2)*(16.61*F818^0.61)*0.5*1/F818</f>
        <v>8.1129616235476352</v>
      </c>
      <c r="R818">
        <f>(60*76.9*((F818/1000)^0.76)*3*24*(MAX('Min rate concentrations'!$R$3:$R$368))/F818)</f>
        <v>7.6450563946413091E-4</v>
      </c>
      <c r="S818">
        <f>(IF(inputs!$C$6="aerial",((0.025*0.112*inputs!$C$7/3.3)*(3*60*76.9*((F818/1000)^0.76))*MAX(inputs!$H$14:$H$16))/F818,((0.0083*0.112*inputs!$C$7/1)*(3*60*76.9*((F818/1000)^0.76))*MAX(inputs!$H$14:$H$16))/F818))</f>
        <v>3.2281012969898365E-3</v>
      </c>
      <c r="T818">
        <f>IF((((inputs!$P$12/(V818/MAX(K818:S818)))^(1/inputs!$O$12))-1)/inputs!$N$12&lt;0, 0, IF((((inputs!$P$12/(V818/MAX(K818:S818)))^(1/inputs!$O$12))-1)/inputs!$N$12&gt;inputs!$H$17, inputs!$H$17, (((inputs!$P$12/(V818/MAX(K818:S818)))^(1/inputs!$O$12))-1)/inputs!$N$12))</f>
        <v>232.2117573498802</v>
      </c>
      <c r="U818">
        <f>IF((((inputs!$P$12/(X818/MAX(K818:S818)))^(1/inputs!$O$12))-1)/inputs!$N$12&lt;0, 0, IF((((inputs!$P$12/(X818/MAX(K818:S818)))^(1/inputs!$O$12))-1)/inputs!$N$12&gt;inputs!$H$17, inputs!$H$17, (((inputs!$P$12/(X818/MAX(K818:S818)))^(1/inputs!$O$12))-1)/inputs!$N$12))</f>
        <v>120.91024507520756</v>
      </c>
      <c r="V818">
        <f>inputs!$E$87*(F818/inputs!$F$87)^(1)</f>
        <v>1.6719999999999999E-2</v>
      </c>
      <c r="W818">
        <f>inputs!$E$90*(F818/inputs!$F$90)^(1)</f>
        <v>1.7600000000000001E-2</v>
      </c>
      <c r="X818">
        <f>inputs!$E$89*(F818/inputs!$F$89)^(1)</f>
        <v>6.572151898734177E-2</v>
      </c>
      <c r="Y818" t="s">
        <v>13</v>
      </c>
      <c r="Z818">
        <f t="shared" si="79"/>
        <v>485.22497748490645</v>
      </c>
      <c r="AA818">
        <f t="shared" si="80"/>
        <v>460.96372861066106</v>
      </c>
    </row>
    <row r="819" spans="1:27" x14ac:dyDescent="0.3">
      <c r="A819" t="s">
        <v>988</v>
      </c>
      <c r="B819" t="s">
        <v>630</v>
      </c>
      <c r="C819" t="s">
        <v>79</v>
      </c>
      <c r="D819" t="s">
        <v>383</v>
      </c>
      <c r="E819">
        <v>172</v>
      </c>
      <c r="F819">
        <v>200</v>
      </c>
      <c r="G819" t="s">
        <v>632</v>
      </c>
      <c r="H819">
        <v>0.8</v>
      </c>
      <c r="I819">
        <f>inputs!$C$65*inputs!$C$60/1000</f>
        <v>2.8</v>
      </c>
      <c r="J819">
        <f>inputs!$C$65*inputs!$C$59/1000</f>
        <v>2.8</v>
      </c>
      <c r="K819">
        <f t="shared" si="82"/>
        <v>5.4668553011593152E-2</v>
      </c>
      <c r="L819">
        <f t="shared" si="85"/>
        <v>5.4668553011593152E-2</v>
      </c>
      <c r="M819">
        <f>IF((((0.065*F819^0.726)/3.7-(0.301*F819^0.751)/(1-H819)*H819)*(MAX('Min rate concentrations'!$P$3:$P$368)))/F819&gt;0, (((0.065*F819^0.726)/3.7-(0.301*F819^0.751)/(1-H819)*H819)*(MAX('Min rate concentrations'!$P$3:$P$368)))/F819, 0)</f>
        <v>0</v>
      </c>
      <c r="N819">
        <f>IF((((0.065*F819^0.726)/3.7-(0.301*F819^0.751)/(1-H819)*H819)*(MAX('Min rate concentrations'!$Q$3:$Q$368)))/F819&gt;0, (((0.065*F819^0.726)/3.7-(0.301*F819^0.751)/(1-H819)*H819)*(MAX('Min rate concentrations'!$Q$3:$Q$368)))/F819, 0)</f>
        <v>0</v>
      </c>
      <c r="O819" t="s">
        <v>13</v>
      </c>
      <c r="P819" t="s">
        <v>13</v>
      </c>
      <c r="Q819">
        <f>(inputs!$C$7*11.2)*(16.61*F819^0.61)*0.5*1/F819</f>
        <v>5.8901447201918806</v>
      </c>
      <c r="R819">
        <f>(60*76.9*((F819/1000)^0.76)*3*24*(MAX('Min rate concentrations'!$R$3:$R$368))/F819)</f>
        <v>6.2778268872097165E-4</v>
      </c>
      <c r="S819">
        <f>(IF(inputs!$C$6="aerial",((0.025*0.112*inputs!$C$7/3.3)*(3*60*76.9*((F819/1000)^0.76))*MAX(inputs!$H$14:$H$16))/F819,((0.0083*0.112*inputs!$C$7/1)*(3*60*76.9*((F819/1000)^0.76))*MAX(inputs!$H$14:$H$16))/F819))</f>
        <v>2.6507928876867586E-3</v>
      </c>
      <c r="T819">
        <f>IF((((inputs!$P$12/(V819/MAX(K819:S819)))^(1/inputs!$O$12))-1)/inputs!$N$12&lt;0, 0, IF((((inputs!$P$12/(V819/MAX(K819:S819)))^(1/inputs!$O$12))-1)/inputs!$N$12&gt;inputs!$H$17, inputs!$H$17, (((inputs!$P$12/(V819/MAX(K819:S819)))^(1/inputs!$O$12))-1)/inputs!$N$12))</f>
        <v>135.40491510005026</v>
      </c>
      <c r="U819">
        <f>IF((((inputs!$P$12/(X819/MAX(K819:S819)))^(1/inputs!$O$12))-1)/inputs!$N$12&lt;0, 0, IF((((inputs!$P$12/(X819/MAX(K819:S819)))^(1/inputs!$O$12))-1)/inputs!$N$12&gt;inputs!$H$17, inputs!$H$17, (((inputs!$P$12/(X819/MAX(K819:S819)))^(1/inputs!$O$12))-1)/inputs!$N$12))</f>
        <v>65.433184691767593</v>
      </c>
      <c r="V819">
        <f>inputs!$E$87*(F819/inputs!$F$87)^(1)</f>
        <v>3.7999999999999999E-2</v>
      </c>
      <c r="W819">
        <f>inputs!$E$90*(F819/inputs!$F$90)^(1)</f>
        <v>0.04</v>
      </c>
      <c r="X819">
        <f>inputs!$E$89*(F819/inputs!$F$89)^(1)</f>
        <v>0.14936708860759493</v>
      </c>
      <c r="Y819" t="s">
        <v>13</v>
      </c>
      <c r="Z819">
        <f t="shared" si="79"/>
        <v>155.00380842610213</v>
      </c>
      <c r="AA819">
        <f t="shared" si="80"/>
        <v>147.253618004797</v>
      </c>
    </row>
    <row r="820" spans="1:27" x14ac:dyDescent="0.3">
      <c r="A820" t="s">
        <v>988</v>
      </c>
      <c r="B820" t="s">
        <v>630</v>
      </c>
      <c r="C820" t="s">
        <v>79</v>
      </c>
      <c r="D820" t="s">
        <v>383</v>
      </c>
      <c r="E820">
        <v>172</v>
      </c>
      <c r="F820">
        <v>200</v>
      </c>
      <c r="G820" t="s">
        <v>164</v>
      </c>
      <c r="H820">
        <v>0.78</v>
      </c>
      <c r="I820">
        <f>inputs!$C$65*(inputs!$C$62/1000)</f>
        <v>0.82000000000000006</v>
      </c>
      <c r="J820">
        <f>inputs!$C$65*(inputs!$C$61/1000)</f>
        <v>0.25</v>
      </c>
      <c r="K820">
        <f t="shared" si="82"/>
        <v>1.4554614762826747E-2</v>
      </c>
      <c r="L820">
        <f t="shared" si="85"/>
        <v>4.4373825496423006E-3</v>
      </c>
      <c r="M820">
        <f>IF((((0.065*F820^0.726)/3.7-(0.301*F820^0.751)/(1-H820)*H820)*(MAX('Min rate concentrations'!$P$3:$P$368)))/F820&gt;0, (((0.065*F820^0.726)/3.7-(0.301*F820^0.751)/(1-H820)*H820)*(MAX('Min rate concentrations'!$P$3:$P$368)))/F820, 0)</f>
        <v>0</v>
      </c>
      <c r="N820">
        <f>IF((((0.065*F820^0.726)/3.7-(0.301*F820^0.751)/(1-H820)*H820)*(MAX('Min rate concentrations'!$Q$3:$Q$368)))/F820&gt;0, (((0.065*F820^0.726)/3.7-(0.301*F820^0.751)/(1-H820)*H820)*(MAX('Min rate concentrations'!$Q$3:$Q$368)))/F820, 0)</f>
        <v>0</v>
      </c>
      <c r="O820" t="s">
        <v>13</v>
      </c>
      <c r="P820" t="s">
        <v>13</v>
      </c>
      <c r="Q820">
        <f>(inputs!$C$7*11.2)*(16.61*F820^0.61)*0.5*1/F820</f>
        <v>5.8901447201918806</v>
      </c>
      <c r="R820">
        <f>(60*76.9*((F820/1000)^0.76)*3*24*(MAX('Min rate concentrations'!$R$3:$R$368))/F820)</f>
        <v>6.2778268872097165E-4</v>
      </c>
      <c r="S820">
        <f>(IF(inputs!$C$6="aerial",((0.025*0.112*inputs!$C$7/3.3)*(3*60*76.9*((F820/1000)^0.76))*MAX(inputs!$H$14:$H$16))/F820,((0.0083*0.112*inputs!$C$7/1)*(3*60*76.9*((F820/1000)^0.76))*MAX(inputs!$H$14:$H$16))/F820))</f>
        <v>2.6507928876867586E-3</v>
      </c>
      <c r="T820">
        <f>IF((((inputs!$P$12/(V820/MAX(K820:S820)))^(1/inputs!$O$12))-1)/inputs!$N$12&lt;0, 0, IF((((inputs!$P$12/(V820/MAX(K820:S820)))^(1/inputs!$O$12))-1)/inputs!$N$12&gt;inputs!$H$17, inputs!$H$17, (((inputs!$P$12/(V820/MAX(K820:S820)))^(1/inputs!$O$12))-1)/inputs!$N$12))</f>
        <v>135.40491510005026</v>
      </c>
      <c r="U820">
        <f>IF((((inputs!$P$12/(X820/MAX(K820:S820)))^(1/inputs!$O$12))-1)/inputs!$N$12&lt;0, 0, IF((((inputs!$P$12/(X820/MAX(K820:S820)))^(1/inputs!$O$12))-1)/inputs!$N$12&gt;inputs!$H$17, inputs!$H$17, (((inputs!$P$12/(X820/MAX(K820:S820)))^(1/inputs!$O$12))-1)/inputs!$N$12))</f>
        <v>65.433184691767593</v>
      </c>
      <c r="V820">
        <f>inputs!$E$87*(F820/inputs!$F$87)^(1)</f>
        <v>3.7999999999999999E-2</v>
      </c>
      <c r="W820">
        <f>inputs!$E$90*(F820/inputs!$F$90)^(1)</f>
        <v>0.04</v>
      </c>
      <c r="X820">
        <f>inputs!$E$89*(F820/inputs!$F$89)^(1)</f>
        <v>0.14936708860759493</v>
      </c>
      <c r="Y820" t="s">
        <v>13</v>
      </c>
      <c r="Z820">
        <f t="shared" si="79"/>
        <v>155.00380842610213</v>
      </c>
      <c r="AA820">
        <f t="shared" si="80"/>
        <v>147.253618004797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00B050"/>
  </sheetPr>
  <dimension ref="A1:RH820"/>
  <sheetViews>
    <sheetView zoomScale="90" zoomScaleNormal="90" workbookViewId="0">
      <pane xSplit="2" ySplit="1" topLeftCell="F384" activePane="bottomRight" state="frozen"/>
      <selection pane="topRight" activeCell="C1" sqref="C1"/>
      <selection pane="bottomLeft" activeCell="A2" sqref="A2"/>
      <selection pane="bottomRight" activeCell="I394" sqref="I394"/>
    </sheetView>
  </sheetViews>
  <sheetFormatPr defaultColWidth="9.109375" defaultRowHeight="13.2" x14ac:dyDescent="0.25"/>
  <cols>
    <col min="1" max="1" width="30.88671875" style="121" customWidth="1"/>
    <col min="2" max="2" width="37.44140625" style="121" customWidth="1"/>
    <col min="3" max="3" width="13.44140625" style="42" customWidth="1"/>
    <col min="4" max="4" width="19.33203125" style="122" customWidth="1"/>
    <col min="5" max="5" width="11" style="42" customWidth="1"/>
    <col min="6" max="6" width="10.109375" style="42" customWidth="1"/>
    <col min="7" max="7" width="15" style="42" customWidth="1"/>
    <col min="8" max="8" width="8.109375" style="42" customWidth="1"/>
    <col min="9" max="9" width="12.44140625" style="72" customWidth="1"/>
    <col min="10" max="10" width="10" style="72" customWidth="1"/>
    <col min="11" max="11" width="13.88671875" style="73" customWidth="1"/>
    <col min="12" max="12" width="9.88671875" style="73" customWidth="1"/>
    <col min="13" max="13" width="10.88671875" style="73" customWidth="1"/>
    <col min="14" max="14" width="8.6640625" style="73" customWidth="1"/>
    <col min="15" max="16" width="8.109375" style="73" customWidth="1"/>
    <col min="17" max="17" width="8.33203125" style="73" customWidth="1"/>
    <col min="18" max="18" width="9.88671875" style="42" customWidth="1"/>
    <col min="19" max="19" width="9.6640625" style="42" customWidth="1"/>
    <col min="20" max="21" width="15.44140625" style="42" customWidth="1"/>
    <col min="22" max="23" width="11" style="42" customWidth="1"/>
    <col min="24" max="24" width="11.33203125" style="42" customWidth="1"/>
    <col min="25" max="25" width="11.5546875" style="42" bestFit="1" customWidth="1"/>
    <col min="26" max="26" width="14.5546875" style="42" customWidth="1"/>
    <col min="27" max="27" width="17.109375" style="42" customWidth="1"/>
    <col min="28" max="16384" width="9.109375" style="42"/>
  </cols>
  <sheetData>
    <row r="1" spans="1:476" ht="63" customHeight="1" x14ac:dyDescent="0.25">
      <c r="A1" s="108" t="s">
        <v>117</v>
      </c>
      <c r="B1" s="109" t="s">
        <v>118</v>
      </c>
      <c r="C1" s="110" t="s">
        <v>57</v>
      </c>
      <c r="D1" s="111" t="s">
        <v>119</v>
      </c>
      <c r="E1" s="14" t="s">
        <v>120</v>
      </c>
      <c r="F1" s="14" t="s">
        <v>123</v>
      </c>
      <c r="G1" s="110" t="s">
        <v>121</v>
      </c>
      <c r="H1" s="110" t="s">
        <v>122</v>
      </c>
      <c r="I1" s="66" t="s">
        <v>742</v>
      </c>
      <c r="J1" s="66" t="s">
        <v>745</v>
      </c>
      <c r="K1" s="66" t="s">
        <v>743</v>
      </c>
      <c r="L1" s="66" t="s">
        <v>744</v>
      </c>
      <c r="M1" s="66" t="s">
        <v>124</v>
      </c>
      <c r="N1" s="66" t="s">
        <v>125</v>
      </c>
      <c r="O1" s="67" t="s">
        <v>746</v>
      </c>
      <c r="P1" s="67" t="s">
        <v>747</v>
      </c>
      <c r="Q1" s="67" t="s">
        <v>126</v>
      </c>
      <c r="R1" s="51" t="s">
        <v>127</v>
      </c>
      <c r="S1" s="51" t="s">
        <v>128</v>
      </c>
      <c r="T1" s="57" t="s">
        <v>129</v>
      </c>
      <c r="U1" s="57" t="s">
        <v>130</v>
      </c>
      <c r="V1" s="50" t="s">
        <v>131</v>
      </c>
      <c r="W1" s="51" t="s">
        <v>71</v>
      </c>
      <c r="X1" s="52" t="s">
        <v>132</v>
      </c>
      <c r="Y1" s="53" t="s">
        <v>75</v>
      </c>
      <c r="Z1" s="57" t="s">
        <v>133</v>
      </c>
      <c r="AA1" s="57" t="s">
        <v>134</v>
      </c>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07"/>
      <c r="CA1" s="107"/>
      <c r="CB1" s="107"/>
      <c r="CC1" s="107"/>
      <c r="CD1" s="107"/>
      <c r="CE1" s="107"/>
      <c r="CF1" s="107"/>
      <c r="CG1" s="107"/>
      <c r="CH1" s="107"/>
      <c r="CI1" s="107"/>
      <c r="CJ1" s="107"/>
      <c r="CK1" s="107"/>
      <c r="CL1" s="107"/>
      <c r="CM1" s="107"/>
      <c r="CN1" s="107"/>
      <c r="CO1" s="107"/>
      <c r="CP1" s="107"/>
      <c r="CQ1" s="107"/>
      <c r="CR1" s="107"/>
      <c r="CS1" s="107"/>
      <c r="CT1" s="107"/>
      <c r="CU1" s="107"/>
      <c r="CV1" s="107"/>
      <c r="CW1" s="107"/>
      <c r="CX1" s="107"/>
      <c r="CY1" s="107"/>
      <c r="CZ1" s="107"/>
      <c r="DA1" s="107"/>
      <c r="DB1" s="107"/>
      <c r="DC1" s="107"/>
      <c r="DD1" s="107"/>
      <c r="DE1" s="107"/>
      <c r="DF1" s="107"/>
      <c r="DG1" s="107"/>
      <c r="DH1" s="107"/>
      <c r="DI1" s="107"/>
      <c r="DJ1" s="107"/>
      <c r="DK1" s="107"/>
      <c r="DL1" s="107"/>
      <c r="DM1" s="107"/>
      <c r="DN1" s="107"/>
      <c r="DO1" s="107"/>
      <c r="DP1" s="107"/>
      <c r="DQ1" s="107"/>
      <c r="DR1" s="107"/>
      <c r="DS1" s="107"/>
      <c r="DT1" s="107"/>
      <c r="DU1" s="107"/>
      <c r="DV1" s="107"/>
      <c r="DW1" s="107"/>
      <c r="DX1" s="107"/>
      <c r="DY1" s="107"/>
      <c r="DZ1" s="107"/>
      <c r="EA1" s="107"/>
      <c r="EB1" s="107"/>
      <c r="EC1" s="107"/>
      <c r="ED1" s="107"/>
      <c r="EE1" s="107"/>
      <c r="EF1" s="107"/>
      <c r="EG1" s="107"/>
      <c r="EH1" s="107"/>
      <c r="EI1" s="107"/>
      <c r="EJ1" s="107"/>
      <c r="EK1" s="107"/>
      <c r="EL1" s="107"/>
      <c r="EM1" s="107"/>
      <c r="EN1" s="107"/>
      <c r="EO1" s="107"/>
      <c r="EP1" s="107"/>
      <c r="EQ1" s="107"/>
      <c r="ER1" s="107"/>
      <c r="ES1" s="107"/>
      <c r="ET1" s="107"/>
      <c r="EU1" s="107"/>
      <c r="EV1" s="107"/>
      <c r="EW1" s="107"/>
      <c r="EX1" s="107"/>
      <c r="EY1" s="107"/>
      <c r="EZ1" s="107"/>
      <c r="FA1" s="107"/>
      <c r="FB1" s="107"/>
      <c r="FC1" s="107"/>
      <c r="FD1" s="107"/>
      <c r="FE1" s="107"/>
      <c r="FF1" s="107"/>
      <c r="FG1" s="107"/>
      <c r="FH1" s="107"/>
      <c r="FI1" s="107"/>
      <c r="FJ1" s="107"/>
      <c r="FK1" s="107"/>
      <c r="FL1" s="107"/>
      <c r="FM1" s="107"/>
      <c r="FN1" s="107"/>
      <c r="FO1" s="107"/>
      <c r="FP1" s="107"/>
      <c r="FQ1" s="107"/>
      <c r="FR1" s="107"/>
      <c r="FS1" s="107"/>
      <c r="FT1" s="107"/>
      <c r="FU1" s="107"/>
      <c r="FV1" s="107"/>
      <c r="FW1" s="107"/>
      <c r="FX1" s="107"/>
      <c r="FY1" s="107"/>
      <c r="FZ1" s="107"/>
      <c r="GA1" s="107"/>
      <c r="GB1" s="107"/>
      <c r="GC1" s="107"/>
      <c r="GD1" s="107"/>
      <c r="GE1" s="107"/>
      <c r="GF1" s="107"/>
      <c r="GG1" s="107"/>
      <c r="GH1" s="107"/>
      <c r="GI1" s="107"/>
      <c r="GJ1" s="107"/>
      <c r="GK1" s="107"/>
      <c r="GL1" s="107"/>
      <c r="GM1" s="107"/>
      <c r="GN1" s="107"/>
      <c r="GO1" s="107"/>
      <c r="GP1" s="107"/>
      <c r="GQ1" s="107"/>
      <c r="GR1" s="107"/>
      <c r="GS1" s="107"/>
      <c r="GT1" s="107"/>
      <c r="GU1" s="107"/>
      <c r="GV1" s="107"/>
      <c r="GW1" s="107"/>
      <c r="GX1" s="107"/>
      <c r="GY1" s="107"/>
      <c r="GZ1" s="107"/>
      <c r="HA1" s="107"/>
      <c r="HB1" s="107"/>
      <c r="HC1" s="107"/>
      <c r="HD1" s="107"/>
      <c r="HE1" s="107"/>
      <c r="HF1" s="107"/>
      <c r="HG1" s="107"/>
      <c r="HH1" s="107"/>
      <c r="HI1" s="107"/>
      <c r="HJ1" s="107"/>
      <c r="HK1" s="107"/>
      <c r="HL1" s="107"/>
      <c r="HM1" s="107"/>
      <c r="HN1" s="107"/>
      <c r="HO1" s="107"/>
      <c r="HP1" s="107"/>
      <c r="HQ1" s="107"/>
      <c r="HR1" s="107"/>
      <c r="HS1" s="107"/>
      <c r="HT1" s="107"/>
      <c r="HU1" s="107"/>
      <c r="HV1" s="107"/>
      <c r="HW1" s="107"/>
      <c r="HX1" s="107"/>
      <c r="HY1" s="107"/>
      <c r="HZ1" s="107"/>
      <c r="IA1" s="107"/>
      <c r="IB1" s="107"/>
      <c r="IC1" s="107"/>
      <c r="ID1" s="107"/>
      <c r="IE1" s="107"/>
      <c r="IF1" s="107"/>
      <c r="IG1" s="107"/>
      <c r="IH1" s="107"/>
      <c r="II1" s="107"/>
      <c r="IJ1" s="107"/>
      <c r="IK1" s="107"/>
      <c r="IL1" s="107"/>
      <c r="IM1" s="107"/>
      <c r="IN1" s="107"/>
      <c r="IO1" s="107"/>
      <c r="IP1" s="107"/>
      <c r="IQ1" s="107"/>
      <c r="IR1" s="107"/>
      <c r="IS1" s="107"/>
      <c r="IT1" s="107"/>
      <c r="IU1" s="107"/>
      <c r="IV1" s="107"/>
      <c r="IW1" s="107"/>
      <c r="IX1" s="107"/>
      <c r="IY1" s="107"/>
      <c r="IZ1" s="107"/>
      <c r="JA1" s="107"/>
      <c r="JB1" s="107"/>
      <c r="JC1" s="107"/>
      <c r="JD1" s="107"/>
      <c r="JE1" s="107"/>
      <c r="JF1" s="107"/>
      <c r="JG1" s="107"/>
      <c r="JH1" s="107"/>
      <c r="JI1" s="107"/>
      <c r="JJ1" s="107"/>
      <c r="JK1" s="107"/>
      <c r="JL1" s="107"/>
      <c r="JM1" s="107"/>
      <c r="JN1" s="107"/>
      <c r="JO1" s="107"/>
      <c r="JP1" s="107"/>
      <c r="JQ1" s="107"/>
      <c r="JR1" s="107"/>
      <c r="JS1" s="107"/>
      <c r="JT1" s="107"/>
      <c r="JU1" s="107"/>
      <c r="JV1" s="107"/>
      <c r="JW1" s="107"/>
      <c r="JX1" s="107"/>
      <c r="JY1" s="107"/>
      <c r="JZ1" s="107"/>
      <c r="KA1" s="107"/>
      <c r="KB1" s="107"/>
      <c r="KC1" s="107"/>
      <c r="KD1" s="107"/>
      <c r="KE1" s="107"/>
      <c r="KF1" s="107"/>
      <c r="KG1" s="107"/>
      <c r="KH1" s="107"/>
      <c r="KI1" s="107"/>
      <c r="KJ1" s="107"/>
      <c r="KK1" s="107"/>
      <c r="KL1" s="107"/>
      <c r="KM1" s="107"/>
      <c r="KN1" s="107"/>
      <c r="KO1" s="107"/>
      <c r="KP1" s="107"/>
      <c r="KQ1" s="107"/>
      <c r="KR1" s="107"/>
      <c r="KS1" s="107"/>
      <c r="KT1" s="107"/>
      <c r="KU1" s="107"/>
      <c r="KV1" s="107"/>
      <c r="KW1" s="107"/>
      <c r="KX1" s="107"/>
      <c r="KY1" s="107"/>
      <c r="KZ1" s="107"/>
      <c r="LA1" s="107"/>
      <c r="LB1" s="107"/>
      <c r="LC1" s="107"/>
      <c r="LD1" s="107"/>
      <c r="LE1" s="107"/>
      <c r="LF1" s="107"/>
      <c r="LG1" s="107"/>
      <c r="LH1" s="107"/>
      <c r="LI1" s="107"/>
      <c r="LJ1" s="107"/>
      <c r="LK1" s="107"/>
      <c r="LL1" s="107"/>
      <c r="LM1" s="107"/>
      <c r="LN1" s="107"/>
      <c r="LO1" s="107"/>
      <c r="LP1" s="107"/>
      <c r="LQ1" s="107"/>
      <c r="LR1" s="107"/>
      <c r="LS1" s="107"/>
      <c r="LT1" s="107"/>
      <c r="LU1" s="107"/>
      <c r="LV1" s="107"/>
      <c r="LW1" s="107"/>
      <c r="LX1" s="107"/>
      <c r="LY1" s="107"/>
      <c r="LZ1" s="107"/>
      <c r="MA1" s="107"/>
      <c r="MB1" s="107"/>
      <c r="MC1" s="107"/>
      <c r="MD1" s="107"/>
      <c r="ME1" s="107"/>
      <c r="MF1" s="107"/>
      <c r="MG1" s="107"/>
      <c r="MH1" s="107"/>
      <c r="MI1" s="107"/>
      <c r="MJ1" s="107"/>
      <c r="MK1" s="107"/>
      <c r="ML1" s="107"/>
      <c r="MM1" s="107"/>
      <c r="MN1" s="107"/>
      <c r="MO1" s="107"/>
      <c r="MP1" s="107"/>
      <c r="MQ1" s="107"/>
      <c r="MR1" s="107"/>
      <c r="MS1" s="107"/>
      <c r="MT1" s="107"/>
      <c r="MU1" s="107"/>
      <c r="MV1" s="107"/>
      <c r="MW1" s="107"/>
      <c r="MX1" s="107"/>
      <c r="MY1" s="107"/>
      <c r="MZ1" s="107"/>
      <c r="NA1" s="107"/>
      <c r="NB1" s="107"/>
      <c r="NC1" s="107"/>
      <c r="ND1" s="107"/>
      <c r="NE1" s="107"/>
      <c r="NF1" s="107"/>
      <c r="NG1" s="107"/>
      <c r="NH1" s="107"/>
      <c r="NI1" s="107"/>
      <c r="NJ1" s="107"/>
      <c r="NK1" s="107"/>
      <c r="NL1" s="107"/>
      <c r="NM1" s="107"/>
      <c r="NN1" s="107"/>
      <c r="NO1" s="107"/>
      <c r="NP1" s="107"/>
      <c r="NQ1" s="107"/>
      <c r="NR1" s="107"/>
      <c r="NS1" s="107"/>
      <c r="NT1" s="107"/>
      <c r="NU1" s="107"/>
      <c r="NV1" s="107"/>
      <c r="NW1" s="107"/>
      <c r="NX1" s="107"/>
      <c r="NY1" s="107"/>
      <c r="NZ1" s="107"/>
      <c r="OA1" s="107"/>
      <c r="OB1" s="107"/>
      <c r="OC1" s="107"/>
      <c r="OD1" s="107"/>
      <c r="OE1" s="107"/>
      <c r="OF1" s="107"/>
      <c r="OG1" s="107"/>
      <c r="OH1" s="107"/>
      <c r="OI1" s="107"/>
      <c r="OJ1" s="107"/>
      <c r="OK1" s="107"/>
      <c r="OL1" s="107"/>
      <c r="OM1" s="107"/>
      <c r="ON1" s="107"/>
      <c r="OO1" s="107"/>
      <c r="OP1" s="107"/>
      <c r="OQ1" s="107"/>
      <c r="OR1" s="107"/>
      <c r="OS1" s="107"/>
      <c r="OT1" s="107"/>
      <c r="OU1" s="107"/>
      <c r="OV1" s="107"/>
      <c r="OW1" s="107"/>
      <c r="OX1" s="107"/>
      <c r="OY1" s="107"/>
      <c r="OZ1" s="107"/>
      <c r="PA1" s="107"/>
      <c r="PB1" s="107"/>
      <c r="PC1" s="107"/>
      <c r="PD1" s="107"/>
      <c r="PE1" s="107"/>
      <c r="PF1" s="107"/>
      <c r="PG1" s="107"/>
      <c r="PH1" s="107"/>
      <c r="PI1" s="107"/>
      <c r="PJ1" s="107"/>
      <c r="PK1" s="107"/>
      <c r="PL1" s="107"/>
      <c r="PM1" s="107"/>
      <c r="PN1" s="107"/>
      <c r="PO1" s="107"/>
      <c r="PP1" s="107"/>
      <c r="PQ1" s="107"/>
      <c r="PR1" s="107"/>
      <c r="PS1" s="107"/>
      <c r="PT1" s="107"/>
      <c r="PU1" s="107"/>
      <c r="PV1" s="107"/>
      <c r="PW1" s="107"/>
      <c r="PX1" s="107"/>
      <c r="PY1" s="107"/>
      <c r="PZ1" s="107"/>
      <c r="QA1" s="107"/>
      <c r="QB1" s="107"/>
      <c r="QC1" s="107"/>
      <c r="QD1" s="107"/>
      <c r="QE1" s="107"/>
      <c r="QF1" s="107"/>
      <c r="QG1" s="107"/>
      <c r="QH1" s="107"/>
      <c r="QI1" s="107"/>
      <c r="QJ1" s="107"/>
      <c r="QK1" s="107"/>
      <c r="QL1" s="107"/>
      <c r="QM1" s="107"/>
      <c r="QN1" s="107"/>
      <c r="QO1" s="107"/>
      <c r="QP1" s="107"/>
      <c r="QQ1" s="107"/>
      <c r="QR1" s="107"/>
      <c r="QS1" s="107"/>
      <c r="QT1" s="107"/>
      <c r="QU1" s="107"/>
      <c r="QV1" s="107"/>
      <c r="QW1" s="107"/>
      <c r="QX1" s="107"/>
      <c r="QY1" s="107"/>
      <c r="QZ1" s="107"/>
      <c r="RA1" s="107"/>
      <c r="RB1" s="107"/>
      <c r="RC1" s="107"/>
      <c r="RD1" s="107"/>
      <c r="RE1" s="107"/>
      <c r="RF1" s="107"/>
      <c r="RG1" s="107"/>
      <c r="RH1" s="107"/>
    </row>
    <row r="2" spans="1:476" x14ac:dyDescent="0.25">
      <c r="A2" s="103" t="s">
        <v>671</v>
      </c>
      <c r="B2" s="20" t="s">
        <v>672</v>
      </c>
      <c r="C2" s="21" t="s">
        <v>702</v>
      </c>
      <c r="D2" s="15" t="s">
        <v>704</v>
      </c>
      <c r="E2" s="15">
        <v>9694</v>
      </c>
      <c r="F2" s="21">
        <v>1.9</v>
      </c>
      <c r="G2" s="21" t="s">
        <v>142</v>
      </c>
      <c r="H2" s="21">
        <v>0.69</v>
      </c>
      <c r="I2" s="68">
        <f>MAX('Max rate concentrations'!$H$3:$H$368)</f>
        <v>282</v>
      </c>
      <c r="J2" s="68">
        <f>MAX('Max rate concentrations'!AA:AA)</f>
        <v>195</v>
      </c>
      <c r="K2" s="69">
        <f t="shared" ref="K2:K33" si="0">(((0.013*F2^0.773)/(1-H2)))*I2/F2</f>
        <v>10.222419503267922</v>
      </c>
      <c r="L2" s="69">
        <f>(((0.013*F2^0.773)/(1-H2)))*J2/F2</f>
        <v>7.0686943373661162</v>
      </c>
      <c r="M2" s="69">
        <f>IF((((0.065*F2^0.726)/3.7-(0.301*F2^0.751)/(1-H2)*H2)*(MAX('Max rate concentrations'!$P$3:$P$368)))/F2&gt;0, (((0.065*F2^0.726)/3.7-(0.301*F2^0.751)/(1-H2)*H2)*(MAX('Max rate concentrations'!$P$3:$P$368)))/F2, 0)</f>
        <v>0</v>
      </c>
      <c r="N2" s="69">
        <f>IF((((0.065*F2^0.726)/3.7-(0.301*F2^0.751)/(1-H2)*H2)*(MAX('Max rate concentrations'!$Q$3:$Q$368)))/F2&gt;0, (((0.065*F2^0.726)/3.7-(0.301*F2^0.751)/(1-H2)*H2)*(MAX('Max rate concentrations'!$Q$3:$Q$368)))/F2, 0)</f>
        <v>0</v>
      </c>
      <c r="O2" s="69" t="s">
        <v>13</v>
      </c>
      <c r="P2" s="69" t="s">
        <v>13</v>
      </c>
      <c r="Q2" s="69">
        <f>(inputs!$C$18*11.2)*(1.131*F2^0.579)*0.5*1/F2</f>
        <v>14.501623337415323</v>
      </c>
      <c r="R2" s="59">
        <f>(60*76.9*((F2/1000)^0.76)*3*24*(MAX('Max rate concentrations'!$R$3:$R$368))/F2)</f>
        <v>1.1516139601266571E-2</v>
      </c>
      <c r="S2" s="59">
        <f>(IF(inputs!$C$17="aerial",((0.025*0.112*inputs!$C$18/3.3)*(3*60*76.9*((F2/1000)^0.76))*MAX(inputs!$I$14:$I$16))/F2,((0.0083*0.112*inputs!$C$18/1)*(3*60*76.9*((F2/1000)^0.76))*MAX(inputs!$I$14:$I$16))/F2))</f>
        <v>4.8626541472240929E-2</v>
      </c>
      <c r="T2" s="63">
        <f>IF((((inputs!$P$13/(V2/MAX(K2:S2)))^(1/inputs!$O$13))-1)/inputs!$N$13&lt;0, 0, IF((((inputs!$P$13/(V2/MAX(K2:S2)))^(1/inputs!$O$13))-1)/inputs!$N$13&lt;inputs!$I$17, (((inputs!$P$13/(V2/MAX(K2:S2)))^(1/inputs!$O$13))-1)/inputs!$N$13, inputs!$I$17))</f>
        <v>1000</v>
      </c>
      <c r="U2" s="63">
        <f>IF((((inputs!$P$13/(X2/MAX(K2:S2)))^(1/inputs!$O$13))-1)/inputs!$N$13&lt;0, 0, IF((((inputs!$P$13/(X2/MAX(K2:S2)))^(1/inputs!$O$13))-1)/inputs!$N$13&lt;inputs!$I$17, (((inputs!$P$13/(X2/MAX(K2:S2)))^(1/inputs!$O$13))-1)/inputs!$N$13, inputs!$I$17))</f>
        <v>1000</v>
      </c>
      <c r="V2" s="21">
        <f>inputs!$E$87*(F2/inputs!$F$87)^(1)</f>
        <v>3.6099999999999999E-4</v>
      </c>
      <c r="W2" s="21">
        <f>inputs!$E$90*(F2/inputs!$F$90)^(1)</f>
        <v>3.8000000000000002E-4</v>
      </c>
      <c r="X2" s="21">
        <f>inputs!$E$89*(F2/inputs!$F$89)^(1)</f>
        <v>1.4189873417721518E-3</v>
      </c>
      <c r="Y2" s="21" t="s">
        <v>13</v>
      </c>
      <c r="Z2" s="63">
        <f t="shared" ref="Z2:Z65" si="1">MAX(K2:S2)/V2</f>
        <v>40170.701765693419</v>
      </c>
      <c r="AA2" s="63">
        <f t="shared" ref="AA2:AA65" si="2">MAX(K2:S2)/W2</f>
        <v>38162.166677408743</v>
      </c>
    </row>
    <row r="3" spans="1:476" x14ac:dyDescent="0.25">
      <c r="A3" s="103" t="s">
        <v>671</v>
      </c>
      <c r="B3" s="20" t="s">
        <v>672</v>
      </c>
      <c r="C3" s="21" t="s">
        <v>702</v>
      </c>
      <c r="D3" s="15" t="s">
        <v>704</v>
      </c>
      <c r="E3" s="15">
        <v>9694</v>
      </c>
      <c r="F3" s="21">
        <v>1.9</v>
      </c>
      <c r="G3" s="21" t="s">
        <v>146</v>
      </c>
      <c r="H3" s="20">
        <v>0.84</v>
      </c>
      <c r="I3" s="68">
        <f>MAX('Max rate concentrations'!$I$3:$I$368)</f>
        <v>56.865414300472793</v>
      </c>
      <c r="J3" s="68" t="s">
        <v>13</v>
      </c>
      <c r="K3" s="69">
        <f t="shared" si="0"/>
        <v>3.9938753826248825</v>
      </c>
      <c r="L3" s="69" t="s">
        <v>13</v>
      </c>
      <c r="M3" s="69">
        <f>IF((((0.065*F3^0.726)/3.7-(0.301*F3^0.751)/(1-H3)*H3)*(MAX('Max rate concentrations'!$P$3:$P$368)))/F3&gt;0, (((0.065*F3^0.726)/3.7-(0.301*F3^0.751)/(1-H3)*H3)*(MAX('Max rate concentrations'!$P$3:$P$368)))/F3, 0)</f>
        <v>0</v>
      </c>
      <c r="N3" s="69">
        <f>IF((((0.065*F3^0.726)/3.7-(0.301*F3^0.751)/(1-H3)*H3)*(MAX('Max rate concentrations'!$Q$3:$Q$368)))/F3&gt;0, (((0.065*F3^0.726)/3.7-(0.301*F3^0.751)/(1-H3)*H3)*(MAX('Max rate concentrations'!$Q$3:$Q$368)))/F3, 0)</f>
        <v>0</v>
      </c>
      <c r="O3" s="69" t="s">
        <v>13</v>
      </c>
      <c r="P3" s="69" t="s">
        <v>13</v>
      </c>
      <c r="Q3" s="69">
        <f>(inputs!$C$18*11.2)*(1.131*F3^0.579)*0.5*1/F3</f>
        <v>14.501623337415323</v>
      </c>
      <c r="R3" s="59">
        <f>(60*76.9*((F3/1000)^0.76)*3*24*(MAX('Max rate concentrations'!$R$3:$R$368))/F3)</f>
        <v>1.1516139601266571E-2</v>
      </c>
      <c r="S3" s="59">
        <f>(IF(inputs!$C$17="aerial",((0.025*0.112*inputs!$C$18/3.3)*(3*60*76.9*((F3/1000)^0.76))*MAX(inputs!$I$14:$I$16))/F3,((0.0083*0.112*inputs!$C$18/1)*(3*60*76.9*((F3/1000)^0.76))*MAX(inputs!$I$14:$I$16))/F3))</f>
        <v>4.8626541472240929E-2</v>
      </c>
      <c r="T3" s="63">
        <f>IF((((inputs!$P$13/(V3/MAX(K3:S3)))^(1/inputs!$O$13))-1)/inputs!$N$13&lt;0, 0, IF((((inputs!$P$13/(V3/MAX(K3:S3)))^(1/inputs!$O$13))-1)/inputs!$N$13&lt;inputs!$I$17, (((inputs!$P$13/(V3/MAX(K3:S3)))^(1/inputs!$O$13))-1)/inputs!$N$13, inputs!$I$17))</f>
        <v>1000</v>
      </c>
      <c r="U3" s="63">
        <f>IF((((inputs!$P$13/(X3/MAX(K3:S3)))^(1/inputs!$O$13))-1)/inputs!$N$13&lt;0, 0, IF((((inputs!$P$13/(X3/MAX(K3:S3)))^(1/inputs!$O$13))-1)/inputs!$N$13&lt;inputs!$I$17, (((inputs!$P$13/(X3/MAX(K3:S3)))^(1/inputs!$O$13))-1)/inputs!$N$13, inputs!$I$17))</f>
        <v>1000</v>
      </c>
      <c r="V3" s="21">
        <f>inputs!$E$87*(F3/inputs!$F$87)^(1)</f>
        <v>3.6099999999999999E-4</v>
      </c>
      <c r="W3" s="21">
        <f>inputs!$E$90*(F3/inputs!$F$90)^(1)</f>
        <v>3.8000000000000002E-4</v>
      </c>
      <c r="X3" s="21">
        <f>inputs!$E$89*(F3/inputs!$F$89)^(1)</f>
        <v>1.4189873417721518E-3</v>
      </c>
      <c r="Y3" s="21" t="s">
        <v>13</v>
      </c>
      <c r="Z3" s="63">
        <f t="shared" si="1"/>
        <v>40170.701765693419</v>
      </c>
      <c r="AA3" s="63">
        <f t="shared" si="2"/>
        <v>38162.166677408743</v>
      </c>
    </row>
    <row r="4" spans="1:476" x14ac:dyDescent="0.25">
      <c r="A4" s="103" t="s">
        <v>657</v>
      </c>
      <c r="B4" s="20" t="s">
        <v>658</v>
      </c>
      <c r="C4" s="21" t="s">
        <v>702</v>
      </c>
      <c r="D4" s="15" t="s">
        <v>704</v>
      </c>
      <c r="E4" s="15">
        <v>204</v>
      </c>
      <c r="F4" s="21">
        <v>14</v>
      </c>
      <c r="G4" s="21" t="s">
        <v>142</v>
      </c>
      <c r="H4" s="21">
        <v>0.69</v>
      </c>
      <c r="I4" s="68">
        <f>MAX('Max rate concentrations'!$H$3:$H$368)</f>
        <v>282</v>
      </c>
      <c r="J4" s="68">
        <f>MAX('Max rate concentrations'!AA:AA)</f>
        <v>195</v>
      </c>
      <c r="K4" s="69">
        <f t="shared" si="0"/>
        <v>6.496204719718536</v>
      </c>
      <c r="L4" s="69">
        <f t="shared" ref="L4:L16" si="3">(((0.013*F4^0.773)/(1-H4)))*J4/F4</f>
        <v>4.4920564551245201</v>
      </c>
      <c r="M4" s="69">
        <f>IF((((0.065*F4^0.726)/3.7-(0.301*F4^0.751)/(1-H4)*H4)*(MAX('Max rate concentrations'!$P$3:$P$368)))/F4&gt;0, (((0.065*F4^0.726)/3.7-(0.301*F4^0.751)/(1-H4)*H4)*(MAX('Max rate concentrations'!$P$3:$P$368)))/F4, 0)</f>
        <v>0</v>
      </c>
      <c r="N4" s="69">
        <f>IF((((0.065*F4^0.726)/3.7-(0.301*F4^0.751)/(1-H4)*H4)*(MAX('Max rate concentrations'!$Q$3:$Q$368)))/F4&gt;0, (((0.065*F4^0.726)/3.7-(0.301*F4^0.751)/(1-H4)*H4)*(MAX('Max rate concentrations'!$Q$3:$Q$368)))/F4, 0)</f>
        <v>0</v>
      </c>
      <c r="O4" s="69" t="s">
        <v>13</v>
      </c>
      <c r="P4" s="69" t="s">
        <v>13</v>
      </c>
      <c r="Q4" s="69">
        <f>(inputs!$C$18*11.2)*(1.131*F4^0.579)*0.5*1/F4</f>
        <v>6.2553553182127706</v>
      </c>
      <c r="R4" s="59">
        <f>(60*76.9*((F4/1000)^0.76)*3*24*(MAX('Max rate concentrations'!$R$3:$R$368))/F4)</f>
        <v>7.1307803085316054E-3</v>
      </c>
      <c r="S4" s="59">
        <f>(IF(inputs!$C$17="aerial",((0.025*0.112*inputs!$C$18/3.3)*(3*60*76.9*((F4/1000)^0.76))*MAX(inputs!$I$14:$I$16))/F4,((0.0083*0.112*inputs!$C$18/1)*(3*60*76.9*((F4/1000)^0.76))*MAX(inputs!$I$14:$I$16))/F4))</f>
        <v>3.0109498183238E-2</v>
      </c>
      <c r="T4" s="63">
        <f>IF((((inputs!$P$13/(V4/MAX(K4:S4)))^(1/inputs!$O$13))-1)/inputs!$N$13&lt;0, 0, IF((((inputs!$P$13/(V4/MAX(K4:S4)))^(1/inputs!$O$13))-1)/inputs!$N$13&lt;inputs!$I$17, (((inputs!$P$13/(V4/MAX(K4:S4)))^(1/inputs!$O$13))-1)/inputs!$N$13, inputs!$I$17))</f>
        <v>1000</v>
      </c>
      <c r="U4" s="63">
        <f>IF((((inputs!$P$13/(X4/MAX(K4:S4)))^(1/inputs!$O$13))-1)/inputs!$N$13&lt;0, 0, IF((((inputs!$P$13/(X4/MAX(K4:S4)))^(1/inputs!$O$13))-1)/inputs!$N$13&lt;inputs!$I$17, (((inputs!$P$13/(X4/MAX(K4:S4)))^(1/inputs!$O$13))-1)/inputs!$N$13, inputs!$I$17))</f>
        <v>985.63997213982827</v>
      </c>
      <c r="V4" s="21">
        <f>inputs!$E$87*(F4/inputs!$F$87)^(1)</f>
        <v>2.66E-3</v>
      </c>
      <c r="W4" s="21">
        <f>inputs!$E$90*(F4/inputs!$F$90)^(1)</f>
        <v>2.8E-3</v>
      </c>
      <c r="X4" s="21">
        <f>inputs!$E$89*(F4/inputs!$F$89)^(1)</f>
        <v>1.0455696202531645E-2</v>
      </c>
      <c r="Y4" s="21" t="s">
        <v>13</v>
      </c>
      <c r="Z4" s="63">
        <f t="shared" si="1"/>
        <v>2442.1822254580961</v>
      </c>
      <c r="AA4" s="63">
        <f t="shared" si="2"/>
        <v>2320.0731141851916</v>
      </c>
    </row>
    <row r="5" spans="1:476" x14ac:dyDescent="0.25">
      <c r="A5" s="103" t="s">
        <v>689</v>
      </c>
      <c r="B5" s="20" t="s">
        <v>690</v>
      </c>
      <c r="C5" s="21" t="s">
        <v>702</v>
      </c>
      <c r="D5" s="15" t="s">
        <v>704</v>
      </c>
      <c r="E5" s="15">
        <v>205</v>
      </c>
      <c r="F5" s="21">
        <v>8.6999999999999993</v>
      </c>
      <c r="G5" s="21" t="s">
        <v>182</v>
      </c>
      <c r="H5" s="21">
        <v>0.85</v>
      </c>
      <c r="I5" s="68">
        <f>MAX('Max rate concentrations'!$M$3:$M$368)</f>
        <v>17.092910873809167</v>
      </c>
      <c r="J5" s="68">
        <f>MAX('Max rate concentrations'!AE:AE)</f>
        <v>11.81956602976166</v>
      </c>
      <c r="K5" s="69">
        <f t="shared" si="0"/>
        <v>0.90656145743095284</v>
      </c>
      <c r="L5" s="69">
        <f t="shared" si="3"/>
        <v>0.6268776035426803</v>
      </c>
      <c r="M5" s="69">
        <f>IF((((0.065*F5^0.726)/3.7-(0.301*F5^0.751)/(1-H5)*H5)*(MAX('Max rate concentrations'!$P$3:$P$368)))/F5&gt;0, (((0.065*F5^0.726)/3.7-(0.301*F5^0.751)/(1-H5)*H5)*(MAX('Max rate concentrations'!$P$3:$P$368)))/F5, 0)</f>
        <v>0</v>
      </c>
      <c r="N5" s="69">
        <f>IF((((0.065*F5^0.726)/3.7-(0.301*F5^0.751)/(1-H5)*H5)*(MAX('Max rate concentrations'!$Q$3:$Q$368)))/F5&gt;0, (((0.065*F5^0.726)/3.7-(0.301*F5^0.751)/(1-H5)*H5)*(MAX('Max rate concentrations'!$Q$3:$Q$368)))/F5, 0)</f>
        <v>0</v>
      </c>
      <c r="O5" s="69" t="s">
        <v>13</v>
      </c>
      <c r="P5" s="69" t="s">
        <v>13</v>
      </c>
      <c r="Q5" s="69">
        <f>(inputs!$C$18*11.2)*(1.131*F5^0.579)*0.5*1/F5</f>
        <v>7.6424794795883884</v>
      </c>
      <c r="R5" s="59">
        <f>(60*76.9*((F5/1000)^0.76)*3*24*(MAX('Max rate concentrations'!$R$3:$R$368))/F5)</f>
        <v>7.9932457320173421E-3</v>
      </c>
      <c r="S5" s="59">
        <f>(IF(inputs!$C$17="aerial",((0.025*0.112*inputs!$C$18/3.3)*(3*60*76.9*((F5/1000)^0.76))*MAX(inputs!$I$14:$I$16))/F5,((0.0083*0.112*inputs!$C$18/1)*(3*60*76.9*((F5/1000)^0.76))*MAX(inputs!$I$14:$I$16))/F5))</f>
        <v>3.3751231623052373E-2</v>
      </c>
      <c r="T5" s="63">
        <f>IF((((inputs!$P$13/(V5/MAX(K5:S5)))^(1/inputs!$O$13))-1)/inputs!$N$13&lt;0, 0, IF((((inputs!$P$13/(V5/MAX(K5:S5)))^(1/inputs!$O$13))-1)/inputs!$N$13&lt;inputs!$I$17, (((inputs!$P$13/(V5/MAX(K5:S5)))^(1/inputs!$O$13))-1)/inputs!$N$13, inputs!$I$17))</f>
        <v>1000</v>
      </c>
      <c r="U5" s="63">
        <f>IF((((inputs!$P$13/(X5/MAX(K5:S5)))^(1/inputs!$O$13))-1)/inputs!$N$13&lt;0, 0, IF((((inputs!$P$13/(X5/MAX(K5:S5)))^(1/inputs!$O$13))-1)/inputs!$N$13&lt;inputs!$I$17, (((inputs!$P$13/(X5/MAX(K5:S5)))^(1/inputs!$O$13))-1)/inputs!$N$13, inputs!$I$17))</f>
        <v>1000</v>
      </c>
      <c r="V5" s="21">
        <f>inputs!$E$87*(F5/inputs!$F$87)^(1)</f>
        <v>1.6529999999999997E-3</v>
      </c>
      <c r="W5" s="21">
        <f>inputs!$E$90*(F5/inputs!$F$90)^(1)</f>
        <v>1.7399999999999998E-3</v>
      </c>
      <c r="X5" s="21">
        <f>inputs!$E$89*(F5/inputs!$F$89)^(1)</f>
        <v>6.4974683544303784E-3</v>
      </c>
      <c r="Y5" s="21" t="s">
        <v>13</v>
      </c>
      <c r="Z5" s="63">
        <f t="shared" si="1"/>
        <v>4623.3995641793044</v>
      </c>
      <c r="AA5" s="63">
        <f t="shared" si="2"/>
        <v>4392.229585970339</v>
      </c>
    </row>
    <row r="6" spans="1:476" x14ac:dyDescent="0.25">
      <c r="A6" s="103" t="s">
        <v>689</v>
      </c>
      <c r="B6" s="20" t="s">
        <v>690</v>
      </c>
      <c r="C6" s="21" t="s">
        <v>702</v>
      </c>
      <c r="D6" s="15" t="s">
        <v>704</v>
      </c>
      <c r="E6" s="15">
        <v>205</v>
      </c>
      <c r="F6" s="21">
        <v>8.6999999999999993</v>
      </c>
      <c r="G6" s="21" t="s">
        <v>142</v>
      </c>
      <c r="H6" s="21">
        <v>0.69</v>
      </c>
      <c r="I6" s="68">
        <f>MAX('Max rate concentrations'!$H$3:$H$368)</f>
        <v>282</v>
      </c>
      <c r="J6" s="68">
        <f>MAX('Max rate concentrations'!AA:AA)</f>
        <v>195</v>
      </c>
      <c r="K6" s="69">
        <f t="shared" si="0"/>
        <v>7.2370220599404309</v>
      </c>
      <c r="L6" s="69">
        <f t="shared" si="3"/>
        <v>5.0043237648524252</v>
      </c>
      <c r="M6" s="69">
        <f>IF((((0.065*F6^0.726)/3.7-(0.301*F6^0.751)/(1-H6)*H6)*(MAX('Max rate concentrations'!$P$3:$P$368)))/F6&gt;0, (((0.065*F6^0.726)/3.7-(0.301*F6^0.751)/(1-H6)*H6)*(MAX('Max rate concentrations'!$P$3:$P$368)))/F6, 0)</f>
        <v>0</v>
      </c>
      <c r="N6" s="69">
        <f>IF((((0.065*F6^0.726)/3.7-(0.301*F6^0.751)/(1-H6)*H6)*(MAX('Max rate concentrations'!$Q$3:$Q$368)))/F6&gt;0, (((0.065*F6^0.726)/3.7-(0.301*F6^0.751)/(1-H6)*H6)*(MAX('Max rate concentrations'!$Q$3:$Q$368)))/F6, 0)</f>
        <v>0</v>
      </c>
      <c r="O6" s="69" t="s">
        <v>13</v>
      </c>
      <c r="P6" s="69" t="s">
        <v>13</v>
      </c>
      <c r="Q6" s="69">
        <f>(inputs!$C$18*11.2)*(1.131*F6^0.579)*0.5*1/F6</f>
        <v>7.6424794795883884</v>
      </c>
      <c r="R6" s="59">
        <f>(60*76.9*((F6/1000)^0.76)*3*24*(MAX('Max rate concentrations'!$R$3:$R$368))/F6)</f>
        <v>7.9932457320173421E-3</v>
      </c>
      <c r="S6" s="59">
        <f>(IF(inputs!$C$17="aerial",((0.025*0.112*inputs!$C$18/3.3)*(3*60*76.9*((F6/1000)^0.76))*MAX(inputs!$I$14:$I$16))/F6,((0.0083*0.112*inputs!$C$18/1)*(3*60*76.9*((F6/1000)^0.76))*MAX(inputs!$I$14:$I$16))/F6))</f>
        <v>3.3751231623052373E-2</v>
      </c>
      <c r="T6" s="63">
        <f>IF((((inputs!$P$13/(V6/MAX(K6:S6)))^(1/inputs!$O$13))-1)/inputs!$N$13&lt;0, 0, IF((((inputs!$P$13/(V6/MAX(K6:S6)))^(1/inputs!$O$13))-1)/inputs!$N$13&lt;inputs!$I$17, (((inputs!$P$13/(V6/MAX(K6:S6)))^(1/inputs!$O$13))-1)/inputs!$N$13, inputs!$I$17))</f>
        <v>1000</v>
      </c>
      <c r="U6" s="63">
        <f>IF((((inputs!$P$13/(X6/MAX(K6:S6)))^(1/inputs!$O$13))-1)/inputs!$N$13&lt;0, 0, IF((((inputs!$P$13/(X6/MAX(K6:S6)))^(1/inputs!$O$13))-1)/inputs!$N$13&lt;inputs!$I$17, (((inputs!$P$13/(X6/MAX(K6:S6)))^(1/inputs!$O$13))-1)/inputs!$N$13, inputs!$I$17))</f>
        <v>1000</v>
      </c>
      <c r="V6" s="21">
        <f>inputs!$E$87*(F6/inputs!$F$87)^(1)</f>
        <v>1.6529999999999997E-3</v>
      </c>
      <c r="W6" s="21">
        <f>inputs!$E$90*(F6/inputs!$F$90)^(1)</f>
        <v>1.7399999999999998E-3</v>
      </c>
      <c r="X6" s="21">
        <f>inputs!$E$89*(F6/inputs!$F$89)^(1)</f>
        <v>6.4974683544303784E-3</v>
      </c>
      <c r="Y6" s="21" t="s">
        <v>13</v>
      </c>
      <c r="Z6" s="63">
        <f t="shared" si="1"/>
        <v>4623.3995641793044</v>
      </c>
      <c r="AA6" s="63">
        <f t="shared" si="2"/>
        <v>4392.229585970339</v>
      </c>
    </row>
    <row r="7" spans="1:476" x14ac:dyDescent="0.25">
      <c r="A7" s="103" t="s">
        <v>689</v>
      </c>
      <c r="B7" s="20" t="s">
        <v>690</v>
      </c>
      <c r="C7" s="21" t="s">
        <v>702</v>
      </c>
      <c r="D7" s="15" t="s">
        <v>704</v>
      </c>
      <c r="E7" s="15">
        <v>205</v>
      </c>
      <c r="F7" s="21">
        <v>8.6999999999999993</v>
      </c>
      <c r="G7" s="21" t="s">
        <v>456</v>
      </c>
      <c r="H7" s="20">
        <v>0.68</v>
      </c>
      <c r="I7" s="68">
        <f>MAX('Max rate concentrations'!$J$3:$J$368)</f>
        <v>686.46486205830786</v>
      </c>
      <c r="J7" s="68">
        <f>MAX('Max rate concentrations'!AB:AB)</f>
        <v>243.122971978984</v>
      </c>
      <c r="K7" s="69">
        <f t="shared" si="0"/>
        <v>17.066356588296561</v>
      </c>
      <c r="L7" s="69">
        <f t="shared" si="3"/>
        <v>6.0443346250216967</v>
      </c>
      <c r="M7" s="69">
        <f>IF((((0.065*F7^0.726)/3.7-(0.301*F7^0.751)/(1-H7)*H7)*(MAX('Max rate concentrations'!$P$3:$P$368)))/F7&gt;0, (((0.065*F7^0.726)/3.7-(0.301*F7^0.751)/(1-H7)*H7)*(MAX('Max rate concentrations'!$P$3:$P$368)))/F7, 0)</f>
        <v>0</v>
      </c>
      <c r="N7" s="69">
        <f>IF((((0.065*F7^0.726)/3.7-(0.301*F7^0.751)/(1-H7)*H7)*(MAX('Max rate concentrations'!$Q$3:$Q$368)))/F7&gt;0, (((0.065*F7^0.726)/3.7-(0.301*F7^0.751)/(1-H7)*H7)*(MAX('Max rate concentrations'!$Q$3:$Q$368)))/F7, 0)</f>
        <v>0</v>
      </c>
      <c r="O7" s="69" t="s">
        <v>13</v>
      </c>
      <c r="P7" s="69" t="s">
        <v>13</v>
      </c>
      <c r="Q7" s="69">
        <f>(inputs!$C$18*11.2)*(1.131*F7^0.579)*0.5*1/F7</f>
        <v>7.6424794795883884</v>
      </c>
      <c r="R7" s="59">
        <f>(60*76.9*((F7/1000)^0.76)*3*24*(MAX('Max rate concentrations'!$R$3:$R$368))/F7)</f>
        <v>7.9932457320173421E-3</v>
      </c>
      <c r="S7" s="59">
        <f>(IF(inputs!$C$17="aerial",((0.025*0.112*inputs!$C$18/3.3)*(3*60*76.9*((F7/1000)^0.76))*MAX(inputs!$I$14:$I$16))/F7,((0.0083*0.112*inputs!$C$18/1)*(3*60*76.9*((F7/1000)^0.76))*MAX(inputs!$I$14:$I$16))/F7))</f>
        <v>3.3751231623052373E-2</v>
      </c>
      <c r="T7" s="63">
        <f>IF((((inputs!$P$13/(V7/MAX(K7:S7)))^(1/inputs!$O$13))-1)/inputs!$N$13&lt;0, 0, IF((((inputs!$P$13/(V7/MAX(K7:S7)))^(1/inputs!$O$13))-1)/inputs!$N$13&lt;inputs!$I$17, (((inputs!$P$13/(V7/MAX(K7:S7)))^(1/inputs!$O$13))-1)/inputs!$N$13, inputs!$I$17))</f>
        <v>1000</v>
      </c>
      <c r="U7" s="63">
        <f>IF((((inputs!$P$13/(X7/MAX(K7:S7)))^(1/inputs!$O$13))-1)/inputs!$N$13&lt;0, 0, IF((((inputs!$P$13/(X7/MAX(K7:S7)))^(1/inputs!$O$13))-1)/inputs!$N$13&lt;inputs!$I$17, (((inputs!$P$13/(X7/MAX(K7:S7)))^(1/inputs!$O$13))-1)/inputs!$N$13, inputs!$I$17))</f>
        <v>1000</v>
      </c>
      <c r="V7" s="21">
        <f>inputs!$E$87*(F7/inputs!$F$87)^(1)</f>
        <v>1.6529999999999997E-3</v>
      </c>
      <c r="W7" s="21">
        <f>inputs!$E$90*(F7/inputs!$F$90)^(1)</f>
        <v>1.7399999999999998E-3</v>
      </c>
      <c r="X7" s="21">
        <f>inputs!$E$89*(F7/inputs!$F$89)^(1)</f>
        <v>6.4974683544303784E-3</v>
      </c>
      <c r="Y7" s="21" t="s">
        <v>13</v>
      </c>
      <c r="Z7" s="63">
        <f t="shared" si="1"/>
        <v>10324.474645067492</v>
      </c>
      <c r="AA7" s="63">
        <f t="shared" si="2"/>
        <v>9808.2509128141173</v>
      </c>
    </row>
    <row r="8" spans="1:476" x14ac:dyDescent="0.25">
      <c r="A8" s="103" t="s">
        <v>687</v>
      </c>
      <c r="B8" s="20" t="s">
        <v>688</v>
      </c>
      <c r="C8" s="21" t="s">
        <v>702</v>
      </c>
      <c r="D8" s="15" t="s">
        <v>704</v>
      </c>
      <c r="E8" s="15">
        <v>206</v>
      </c>
      <c r="F8" s="21">
        <v>13</v>
      </c>
      <c r="G8" s="21" t="s">
        <v>142</v>
      </c>
      <c r="H8" s="21">
        <v>0.69</v>
      </c>
      <c r="I8" s="68">
        <f>MAX('Max rate concentrations'!$H$3:$H$368)</f>
        <v>282</v>
      </c>
      <c r="J8" s="68">
        <f>MAX('Max rate concentrations'!AA:AA)</f>
        <v>195</v>
      </c>
      <c r="K8" s="69">
        <f t="shared" si="0"/>
        <v>6.6064115653523405</v>
      </c>
      <c r="L8" s="69">
        <f t="shared" si="3"/>
        <v>4.5682633164670445</v>
      </c>
      <c r="M8" s="69">
        <f>IF((((0.065*F8^0.726)/3.7-(0.301*F8^0.751)/(1-H8)*H8)*(MAX('Max rate concentrations'!$P$3:$P$368)))/F8&gt;0, (((0.065*F8^0.726)/3.7-(0.301*F8^0.751)/(1-H8)*H8)*(MAX('Max rate concentrations'!$P$3:$P$368)))/F8, 0)</f>
        <v>0</v>
      </c>
      <c r="N8" s="69">
        <f>IF((((0.065*F8^0.726)/3.7-(0.301*F8^0.751)/(1-H8)*H8)*(MAX('Max rate concentrations'!$Q$3:$Q$368)))/F8&gt;0, (((0.065*F8^0.726)/3.7-(0.301*F8^0.751)/(1-H8)*H8)*(MAX('Max rate concentrations'!$Q$3:$Q$368)))/F8, 0)</f>
        <v>0</v>
      </c>
      <c r="O8" s="69" t="s">
        <v>13</v>
      </c>
      <c r="P8" s="69" t="s">
        <v>13</v>
      </c>
      <c r="Q8" s="69">
        <f>(inputs!$C$18*11.2)*(1.131*F8^0.579)*0.5*1/F8</f>
        <v>6.4535954141461485</v>
      </c>
      <c r="R8" s="59">
        <f>(60*76.9*((F8/1000)^0.76)*3*24*(MAX('Max rate concentrations'!$R$3:$R$368))/F8)</f>
        <v>7.2587423364886931E-3</v>
      </c>
      <c r="S8" s="59">
        <f>(IF(inputs!$C$17="aerial",((0.025*0.112*inputs!$C$18/3.3)*(3*60*76.9*((F8/1000)^0.76))*MAX(inputs!$I$14:$I$16))/F8,((0.0083*0.112*inputs!$C$18/1)*(3*60*76.9*((F8/1000)^0.76))*MAX(inputs!$I$14:$I$16))/F8))</f>
        <v>3.0649813868421524E-2</v>
      </c>
      <c r="T8" s="63">
        <f>IF((((inputs!$P$13/(V8/MAX(K8:S8)))^(1/inputs!$O$13))-1)/inputs!$N$13&lt;0, 0, IF((((inputs!$P$13/(V8/MAX(K8:S8)))^(1/inputs!$O$13))-1)/inputs!$N$13&lt;inputs!$I$17, (((inputs!$P$13/(V8/MAX(K8:S8)))^(1/inputs!$O$13))-1)/inputs!$N$13, inputs!$I$17))</f>
        <v>1000</v>
      </c>
      <c r="U8" s="63">
        <f>IF((((inputs!$P$13/(X8/MAX(K8:S8)))^(1/inputs!$O$13))-1)/inputs!$N$13&lt;0, 0, IF((((inputs!$P$13/(X8/MAX(K8:S8)))^(1/inputs!$O$13))-1)/inputs!$N$13&lt;inputs!$I$17, (((inputs!$P$13/(X8/MAX(K8:S8)))^(1/inputs!$O$13))-1)/inputs!$N$13, inputs!$I$17))</f>
        <v>1000</v>
      </c>
      <c r="V8" s="21">
        <f>inputs!$E$87*(F8/inputs!$F$87)^(1)</f>
        <v>2.47E-3</v>
      </c>
      <c r="W8" s="21">
        <f>inputs!$E$90*(F8/inputs!$F$90)^(1)</f>
        <v>2.6000000000000003E-3</v>
      </c>
      <c r="X8" s="21">
        <f>inputs!$E$89*(F8/inputs!$F$89)^(1)</f>
        <v>9.7088607594936708E-3</v>
      </c>
      <c r="Y8" s="21" t="s">
        <v>13</v>
      </c>
      <c r="Z8" s="63">
        <f t="shared" si="1"/>
        <v>2674.6605527742267</v>
      </c>
      <c r="AA8" s="63">
        <f t="shared" si="2"/>
        <v>2540.9275251355152</v>
      </c>
    </row>
    <row r="9" spans="1:476" x14ac:dyDescent="0.25">
      <c r="A9" s="103" t="s">
        <v>687</v>
      </c>
      <c r="B9" s="20" t="s">
        <v>688</v>
      </c>
      <c r="C9" s="21" t="s">
        <v>702</v>
      </c>
      <c r="D9" s="15" t="s">
        <v>704</v>
      </c>
      <c r="E9" s="15">
        <v>206</v>
      </c>
      <c r="F9" s="21">
        <v>13</v>
      </c>
      <c r="G9" s="21" t="s">
        <v>164</v>
      </c>
      <c r="H9" s="21">
        <v>0.78</v>
      </c>
      <c r="I9" s="68">
        <f>inputs!$C$66*(inputs!$C$62/1000)</f>
        <v>8.2000000000000011</v>
      </c>
      <c r="J9" s="68">
        <f>inputs!$C$66*(inputs!$C$61/1000)</f>
        <v>2.5</v>
      </c>
      <c r="K9" s="69">
        <f t="shared" si="0"/>
        <v>0.27068823660744123</v>
      </c>
      <c r="L9" s="69">
        <f t="shared" si="3"/>
        <v>8.2526901404707698E-2</v>
      </c>
      <c r="M9" s="69">
        <f>IF((((0.065*F9^0.726)/3.7-(0.301*F9^0.751)/(1-H9)*H9)*(MAX('Max rate concentrations'!$P$3:$P$368)))/F9&gt;0, (((0.065*F9^0.726)/3.7-(0.301*F9^0.751)/(1-H9)*H9)*(MAX('Max rate concentrations'!$P$3:$P$368)))/F9, 0)</f>
        <v>0</v>
      </c>
      <c r="N9" s="69">
        <f>IF((((0.065*F9^0.726)/3.7-(0.301*F9^0.751)/(1-H9)*H9)*(MAX('Max rate concentrations'!$Q$3:$Q$368)))/F9&gt;0, (((0.065*F9^0.726)/3.7-(0.301*F9^0.751)/(1-H9)*H9)*(MAX('Max rate concentrations'!$Q$3:$Q$368)))/F9, 0)</f>
        <v>0</v>
      </c>
      <c r="O9" s="69" t="s">
        <v>13</v>
      </c>
      <c r="P9" s="69" t="s">
        <v>13</v>
      </c>
      <c r="Q9" s="69">
        <f>(inputs!$C$18*11.2)*(1.131*F9^0.579)*0.5*1/F9</f>
        <v>6.4535954141461485</v>
      </c>
      <c r="R9" s="59">
        <f>(60*76.9*((F9/1000)^0.76)*3*24*(MAX('Max rate concentrations'!$R$3:$R$368))/F9)</f>
        <v>7.2587423364886931E-3</v>
      </c>
      <c r="S9" s="59">
        <f>(IF(inputs!$C$17="aerial",((0.025*0.112*inputs!$C$18/3.3)*(3*60*76.9*((F9/1000)^0.76))*MAX(inputs!$I$14:$I$16))/F9,((0.0083*0.112*inputs!$C$18/1)*(3*60*76.9*((F9/1000)^0.76))*MAX(inputs!$I$14:$I$16))/F9))</f>
        <v>3.0649813868421524E-2</v>
      </c>
      <c r="T9" s="63">
        <f>IF((((inputs!$P$13/(V9/MAX(K9:S9)))^(1/inputs!$O$13))-1)/inputs!$N$13&lt;0, 0, IF((((inputs!$P$13/(V9/MAX(K9:S9)))^(1/inputs!$O$13))-1)/inputs!$N$13&lt;inputs!$I$17, (((inputs!$P$13/(V9/MAX(K9:S9)))^(1/inputs!$O$13))-1)/inputs!$N$13, inputs!$I$17))</f>
        <v>1000</v>
      </c>
      <c r="U9" s="63">
        <f>IF((((inputs!$P$13/(X9/MAX(K9:S9)))^(1/inputs!$O$13))-1)/inputs!$N$13&lt;0, 0, IF((((inputs!$P$13/(X9/MAX(K9:S9)))^(1/inputs!$O$13))-1)/inputs!$N$13&lt;inputs!$I$17, (((inputs!$P$13/(X9/MAX(K9:S9)))^(1/inputs!$O$13))-1)/inputs!$N$13, inputs!$I$17))</f>
        <v>1000</v>
      </c>
      <c r="V9" s="21">
        <f>inputs!$E$87*(F9/inputs!$F$87)^(1)</f>
        <v>2.47E-3</v>
      </c>
      <c r="W9" s="21">
        <f>inputs!$E$90*(F9/inputs!$F$90)^(1)</f>
        <v>2.6000000000000003E-3</v>
      </c>
      <c r="X9" s="21">
        <f>inputs!$E$89*(F9/inputs!$F$89)^(1)</f>
        <v>9.7088607594936708E-3</v>
      </c>
      <c r="Y9" s="21" t="s">
        <v>13</v>
      </c>
      <c r="Z9" s="63">
        <f t="shared" si="1"/>
        <v>2612.7916656462139</v>
      </c>
      <c r="AA9" s="63">
        <f t="shared" si="2"/>
        <v>2482.152082363903</v>
      </c>
    </row>
    <row r="10" spans="1:476" x14ac:dyDescent="0.25">
      <c r="A10" s="103" t="s">
        <v>687</v>
      </c>
      <c r="B10" s="20" t="s">
        <v>688</v>
      </c>
      <c r="C10" s="21" t="s">
        <v>702</v>
      </c>
      <c r="D10" s="15" t="s">
        <v>704</v>
      </c>
      <c r="E10" s="15">
        <v>206</v>
      </c>
      <c r="F10" s="21">
        <v>13</v>
      </c>
      <c r="G10" s="21" t="s">
        <v>138</v>
      </c>
      <c r="H10" s="20">
        <v>0.68</v>
      </c>
      <c r="I10" s="68">
        <f>MAX('Max rate concentrations'!$L$3:$L$368)</f>
        <v>350.52744091332482</v>
      </c>
      <c r="J10" s="68">
        <f>MAX('Max rate concentrations'!AD:AD)</f>
        <v>242.38599637623525</v>
      </c>
      <c r="K10" s="69">
        <f t="shared" si="0"/>
        <v>7.9551844778720762</v>
      </c>
      <c r="L10" s="69">
        <f t="shared" si="3"/>
        <v>5.500925436826436</v>
      </c>
      <c r="M10" s="69">
        <f>IF((((0.065*F10^0.726)/3.7-(0.301*F10^0.751)/(1-H10)*H10)*(MAX('Max rate concentrations'!$P$3:$P$368)))/F10&gt;0, (((0.065*F10^0.726)/3.7-(0.301*F10^0.751)/(1-H10)*H10)*(MAX('Max rate concentrations'!$P$3:$P$368)))/F10, 0)</f>
        <v>0</v>
      </c>
      <c r="N10" s="69">
        <f>IF((((0.065*F10^0.726)/3.7-(0.301*F10^0.751)/(1-H10)*H10)*(MAX('Max rate concentrations'!$Q$3:$Q$368)))/F10&gt;0, (((0.065*F10^0.726)/3.7-(0.301*F10^0.751)/(1-H10)*H10)*(MAX('Max rate concentrations'!$Q$3:$Q$368)))/F10, 0)</f>
        <v>0</v>
      </c>
      <c r="O10" s="69" t="s">
        <v>13</v>
      </c>
      <c r="P10" s="69" t="s">
        <v>13</v>
      </c>
      <c r="Q10" s="69">
        <f>(inputs!$C$18*11.2)*(1.131*F10^0.579)*0.5*1/F10</f>
        <v>6.4535954141461485</v>
      </c>
      <c r="R10" s="59">
        <f>(60*76.9*((F10/1000)^0.76)*3*24*(MAX('Max rate concentrations'!$R$3:$R$368))/F10)</f>
        <v>7.2587423364886931E-3</v>
      </c>
      <c r="S10" s="59">
        <f>(IF(inputs!$C$17="aerial",((0.025*0.112*inputs!$C$18/3.3)*(3*60*76.9*((F10/1000)^0.76))*MAX(inputs!$I$14:$I$16))/F10,((0.0083*0.112*inputs!$C$18/1)*(3*60*76.9*((F10/1000)^0.76))*MAX(inputs!$I$14:$I$16))/F10))</f>
        <v>3.0649813868421524E-2</v>
      </c>
      <c r="T10" s="63">
        <f>IF((((inputs!$P$13/(V10/MAX(K10:S10)))^(1/inputs!$O$13))-1)/inputs!$N$13&lt;0, 0, IF((((inputs!$P$13/(V10/MAX(K10:S10)))^(1/inputs!$O$13))-1)/inputs!$N$13&lt;inputs!$I$17, (((inputs!$P$13/(V10/MAX(K10:S10)))^(1/inputs!$O$13))-1)/inputs!$N$13, inputs!$I$17))</f>
        <v>1000</v>
      </c>
      <c r="U10" s="63">
        <f>IF((((inputs!$P$13/(X10/MAX(K10:S10)))^(1/inputs!$O$13))-1)/inputs!$N$13&lt;0, 0, IF((((inputs!$P$13/(X10/MAX(K10:S10)))^(1/inputs!$O$13))-1)/inputs!$N$13&lt;inputs!$I$17, (((inputs!$P$13/(X10/MAX(K10:S10)))^(1/inputs!$O$13))-1)/inputs!$N$13, inputs!$I$17))</f>
        <v>1000</v>
      </c>
      <c r="V10" s="21">
        <f>inputs!$E$87*(F10/inputs!$F$87)^(1)</f>
        <v>2.47E-3</v>
      </c>
      <c r="W10" s="21">
        <f>inputs!$E$90*(F10/inputs!$F$90)^(1)</f>
        <v>2.6000000000000003E-3</v>
      </c>
      <c r="X10" s="21">
        <f>inputs!$E$89*(F10/inputs!$F$89)^(1)</f>
        <v>9.7088607594936708E-3</v>
      </c>
      <c r="Y10" s="21" t="s">
        <v>13</v>
      </c>
      <c r="Z10" s="63">
        <f t="shared" si="1"/>
        <v>3220.7224606769541</v>
      </c>
      <c r="AA10" s="63">
        <f t="shared" si="2"/>
        <v>3059.6863376431061</v>
      </c>
    </row>
    <row r="11" spans="1:476" ht="26.4" x14ac:dyDescent="0.25">
      <c r="A11" s="103" t="s">
        <v>687</v>
      </c>
      <c r="B11" s="20" t="s">
        <v>688</v>
      </c>
      <c r="C11" s="21" t="s">
        <v>702</v>
      </c>
      <c r="D11" s="15" t="s">
        <v>704</v>
      </c>
      <c r="E11" s="15">
        <v>206</v>
      </c>
      <c r="F11" s="21">
        <v>13</v>
      </c>
      <c r="G11" s="21" t="s">
        <v>634</v>
      </c>
      <c r="H11" s="21">
        <v>0.75</v>
      </c>
      <c r="I11" s="68">
        <f>inputs!$C$66*inputs!$C$64/1000</f>
        <v>21.3</v>
      </c>
      <c r="J11" s="68">
        <f>inputs!$C$66*inputs!$C$63/1000</f>
        <v>8.8000000000000007</v>
      </c>
      <c r="K11" s="69">
        <f t="shared" si="0"/>
        <v>0.61875369597193619</v>
      </c>
      <c r="L11" s="69">
        <f t="shared" si="3"/>
        <v>0.25563532979122255</v>
      </c>
      <c r="M11" s="69">
        <f>IF((((0.065*F11^0.726)/3.7-(0.301*F11^0.751)/(1-H11)*H11)*(MAX('Max rate concentrations'!$P$3:$P$368)))/F11&gt;0, (((0.065*F11^0.726)/3.7-(0.301*F11^0.751)/(1-H11)*H11)*(MAX('Max rate concentrations'!$P$3:$P$368)))/F11, 0)</f>
        <v>0</v>
      </c>
      <c r="N11" s="69">
        <f>IF((((0.065*F11^0.726)/3.7-(0.301*F11^0.751)/(1-H11)*H11)*(MAX('Max rate concentrations'!$Q$3:$Q$368)))/F11&gt;0, (((0.065*F11^0.726)/3.7-(0.301*F11^0.751)/(1-H11)*H11)*(MAX('Max rate concentrations'!$Q$3:$Q$368)))/F11, 0)</f>
        <v>0</v>
      </c>
      <c r="O11" s="69" t="s">
        <v>13</v>
      </c>
      <c r="P11" s="69" t="s">
        <v>13</v>
      </c>
      <c r="Q11" s="69">
        <f>(inputs!$C$18*11.2)*(1.131*F11^0.579)*0.5*1/F11</f>
        <v>6.4535954141461485</v>
      </c>
      <c r="R11" s="59">
        <f>(60*76.9*((F11/1000)^0.76)*3*24*(MAX('Max rate concentrations'!$R$3:$R$368))/F11)</f>
        <v>7.2587423364886931E-3</v>
      </c>
      <c r="S11" s="59">
        <f>(IF(inputs!$C$17="aerial",((0.025*0.112*inputs!$C$18/3.3)*(3*60*76.9*((F11/1000)^0.76))*MAX(inputs!$I$14:$I$16))/F11,((0.0083*0.112*inputs!$C$18/1)*(3*60*76.9*((F11/1000)^0.76))*MAX(inputs!$I$14:$I$16))/F11))</f>
        <v>3.0649813868421524E-2</v>
      </c>
      <c r="T11" s="63">
        <f>IF((((inputs!$P$13/(V11/MAX(K11:S11)))^(1/inputs!$O$13))-1)/inputs!$N$13&lt;0, 0, IF((((inputs!$P$13/(V11/MAX(K11:S11)))^(1/inputs!$O$13))-1)/inputs!$N$13&lt;inputs!$I$17, (((inputs!$P$13/(V11/MAX(K11:S11)))^(1/inputs!$O$13))-1)/inputs!$N$13, inputs!$I$17))</f>
        <v>1000</v>
      </c>
      <c r="U11" s="63">
        <f>IF((((inputs!$P$13/(X11/MAX(K11:S11)))^(1/inputs!$O$13))-1)/inputs!$N$13&lt;0, 0, IF((((inputs!$P$13/(X11/MAX(K11:S11)))^(1/inputs!$O$13))-1)/inputs!$N$13&lt;inputs!$I$17, (((inputs!$P$13/(X11/MAX(K11:S11)))^(1/inputs!$O$13))-1)/inputs!$N$13, inputs!$I$17))</f>
        <v>1000</v>
      </c>
      <c r="V11" s="21">
        <f>inputs!$E$87*(F11/inputs!$F$87)^(1)</f>
        <v>2.47E-3</v>
      </c>
      <c r="W11" s="21">
        <f>inputs!$E$90*(F11/inputs!$F$90)^(1)</f>
        <v>2.6000000000000003E-3</v>
      </c>
      <c r="X11" s="21">
        <f>inputs!$E$89*(F11/inputs!$F$89)^(1)</f>
        <v>9.7088607594936708E-3</v>
      </c>
      <c r="Y11" s="21" t="s">
        <v>13</v>
      </c>
      <c r="Z11" s="63">
        <f t="shared" si="1"/>
        <v>2612.7916656462139</v>
      </c>
      <c r="AA11" s="63">
        <f t="shared" si="2"/>
        <v>2482.152082363903</v>
      </c>
    </row>
    <row r="12" spans="1:476" x14ac:dyDescent="0.25">
      <c r="A12" s="103" t="s">
        <v>691</v>
      </c>
      <c r="B12" s="20" t="s">
        <v>692</v>
      </c>
      <c r="C12" s="21" t="s">
        <v>702</v>
      </c>
      <c r="D12" s="15" t="s">
        <v>704</v>
      </c>
      <c r="E12" s="15">
        <v>5819</v>
      </c>
      <c r="F12" s="21">
        <v>11</v>
      </c>
      <c r="G12" s="21" t="s">
        <v>182</v>
      </c>
      <c r="H12" s="21">
        <v>0.85</v>
      </c>
      <c r="I12" s="68">
        <f>MAX('Max rate concentrations'!$M$3:$M$368)</f>
        <v>17.092910873809167</v>
      </c>
      <c r="J12" s="68">
        <f>MAX('Max rate concentrations'!AE:AE)</f>
        <v>11.81956602976166</v>
      </c>
      <c r="K12" s="69">
        <f t="shared" si="0"/>
        <v>0.85955165695855096</v>
      </c>
      <c r="L12" s="69">
        <f t="shared" si="3"/>
        <v>0.59437082662027474</v>
      </c>
      <c r="M12" s="69">
        <f>IF((((0.065*F12^0.726)/3.7-(0.301*F12^0.751)/(1-H12)*H12)*(MAX('Max rate concentrations'!$P$3:$P$368)))/F12&gt;0, (((0.065*F12^0.726)/3.7-(0.301*F12^0.751)/(1-H12)*H12)*(MAX('Max rate concentrations'!$P$3:$P$368)))/F12, 0)</f>
        <v>0</v>
      </c>
      <c r="N12" s="69">
        <f>IF((((0.065*F12^0.726)/3.7-(0.301*F12^0.751)/(1-H12)*H12)*(MAX('Max rate concentrations'!$Q$3:$Q$368)))/F12&gt;0, (((0.065*F12^0.726)/3.7-(0.301*F12^0.751)/(1-H12)*H12)*(MAX('Max rate concentrations'!$Q$3:$Q$368)))/F12, 0)</f>
        <v>0</v>
      </c>
      <c r="O12" s="69" t="s">
        <v>13</v>
      </c>
      <c r="P12" s="69" t="s">
        <v>13</v>
      </c>
      <c r="Q12" s="69">
        <f>(inputs!$C$18*11.2)*(1.131*F12^0.579)*0.5*1/F12</f>
        <v>6.9238167683273693</v>
      </c>
      <c r="R12" s="59">
        <f>(60*76.9*((F12/1000)^0.76)*3*24*(MAX('Max rate concentrations'!$R$3:$R$368))/F12)</f>
        <v>7.5556797277567265E-3</v>
      </c>
      <c r="S12" s="59">
        <f>(IF(inputs!$C$17="aerial",((0.025*0.112*inputs!$C$18/3.3)*(3*60*76.9*((F12/1000)^0.76))*MAX(inputs!$I$14:$I$16))/F12,((0.0083*0.112*inputs!$C$18/1)*(3*60*76.9*((F12/1000)^0.76))*MAX(inputs!$I$14:$I$16))/F12))</f>
        <v>3.1903622772367593E-2</v>
      </c>
      <c r="T12" s="63">
        <f>IF((((inputs!$P$13/(V12/MAX(K12:S12)))^(1/inputs!$O$13))-1)/inputs!$N$13&lt;0, 0, IF((((inputs!$P$13/(V12/MAX(K12:S12)))^(1/inputs!$O$13))-1)/inputs!$N$13&lt;inputs!$I$17, (((inputs!$P$13/(V12/MAX(K12:S12)))^(1/inputs!$O$13))-1)/inputs!$N$13, inputs!$I$17))</f>
        <v>1000</v>
      </c>
      <c r="U12" s="63">
        <f>IF((((inputs!$P$13/(X12/MAX(K12:S12)))^(1/inputs!$O$13))-1)/inputs!$N$13&lt;0, 0, IF((((inputs!$P$13/(X12/MAX(K12:S12)))^(1/inputs!$O$13))-1)/inputs!$N$13&lt;inputs!$I$17, (((inputs!$P$13/(X12/MAX(K12:S12)))^(1/inputs!$O$13))-1)/inputs!$N$13, inputs!$I$17))</f>
        <v>1000</v>
      </c>
      <c r="V12" s="21">
        <f>inputs!$E$87*(F12/inputs!$F$87)^(1)</f>
        <v>2.0899999999999998E-3</v>
      </c>
      <c r="W12" s="21">
        <f>inputs!$E$90*(F12/inputs!$F$90)^(1)</f>
        <v>2.2000000000000001E-3</v>
      </c>
      <c r="X12" s="21">
        <f>inputs!$E$89*(F12/inputs!$F$89)^(1)</f>
        <v>8.2151898734177213E-3</v>
      </c>
      <c r="Y12" s="21" t="s">
        <v>13</v>
      </c>
      <c r="Z12" s="63">
        <f t="shared" si="1"/>
        <v>3312.8309896303203</v>
      </c>
      <c r="AA12" s="63">
        <f t="shared" si="2"/>
        <v>3147.1894401488039</v>
      </c>
    </row>
    <row r="13" spans="1:476" x14ac:dyDescent="0.25">
      <c r="A13" s="103" t="s">
        <v>691</v>
      </c>
      <c r="B13" s="20" t="s">
        <v>692</v>
      </c>
      <c r="C13" s="21" t="s">
        <v>702</v>
      </c>
      <c r="D13" s="15" t="s">
        <v>704</v>
      </c>
      <c r="E13" s="15">
        <v>5819</v>
      </c>
      <c r="F13" s="21">
        <v>11</v>
      </c>
      <c r="G13" s="21" t="s">
        <v>142</v>
      </c>
      <c r="H13" s="21">
        <v>0.69</v>
      </c>
      <c r="I13" s="68">
        <f>MAX('Max rate concentrations'!$H$3:$H$368)</f>
        <v>282</v>
      </c>
      <c r="J13" s="68">
        <f>MAX('Max rate concentrations'!AA:AA)</f>
        <v>195</v>
      </c>
      <c r="K13" s="69">
        <f t="shared" si="0"/>
        <v>6.8617458332009083</v>
      </c>
      <c r="L13" s="69">
        <f t="shared" si="3"/>
        <v>4.7448242463623309</v>
      </c>
      <c r="M13" s="69">
        <f>IF((((0.065*F13^0.726)/3.7-(0.301*F13^0.751)/(1-H13)*H13)*(MAX('Max rate concentrations'!$P$3:$P$368)))/F13&gt;0, (((0.065*F13^0.726)/3.7-(0.301*F13^0.751)/(1-H13)*H13)*(MAX('Max rate concentrations'!$P$3:$P$368)))/F13, 0)</f>
        <v>0</v>
      </c>
      <c r="N13" s="69">
        <f>IF((((0.065*F13^0.726)/3.7-(0.301*F13^0.751)/(1-H13)*H13)*(MAX('Max rate concentrations'!$Q$3:$Q$368)))/F13&gt;0, (((0.065*F13^0.726)/3.7-(0.301*F13^0.751)/(1-H13)*H13)*(MAX('Max rate concentrations'!$Q$3:$Q$368)))/F13, 0)</f>
        <v>0</v>
      </c>
      <c r="O13" s="69" t="s">
        <v>13</v>
      </c>
      <c r="P13" s="69" t="s">
        <v>13</v>
      </c>
      <c r="Q13" s="69">
        <f>(inputs!$C$18*11.2)*(1.131*F13^0.579)*0.5*1/F13</f>
        <v>6.9238167683273693</v>
      </c>
      <c r="R13" s="59">
        <f>(60*76.9*((F13/1000)^0.76)*3*24*(MAX('Max rate concentrations'!$R$3:$R$368))/F13)</f>
        <v>7.5556797277567265E-3</v>
      </c>
      <c r="S13" s="59">
        <f>(IF(inputs!$C$17="aerial",((0.025*0.112*inputs!$C$18/3.3)*(3*60*76.9*((F13/1000)^0.76))*MAX(inputs!$I$14:$I$16))/F13,((0.0083*0.112*inputs!$C$18/1)*(3*60*76.9*((F13/1000)^0.76))*MAX(inputs!$I$14:$I$16))/F13))</f>
        <v>3.1903622772367593E-2</v>
      </c>
      <c r="T13" s="63">
        <f>IF((((inputs!$P$13/(V13/MAX(K13:S13)))^(1/inputs!$O$13))-1)/inputs!$N$13&lt;0, 0, IF((((inputs!$P$13/(V13/MAX(K13:S13)))^(1/inputs!$O$13))-1)/inputs!$N$13&lt;inputs!$I$17, (((inputs!$P$13/(V13/MAX(K13:S13)))^(1/inputs!$O$13))-1)/inputs!$N$13, inputs!$I$17))</f>
        <v>1000</v>
      </c>
      <c r="U13" s="63">
        <f>IF((((inputs!$P$13/(X13/MAX(K13:S13)))^(1/inputs!$O$13))-1)/inputs!$N$13&lt;0, 0, IF((((inputs!$P$13/(X13/MAX(K13:S13)))^(1/inputs!$O$13))-1)/inputs!$N$13&lt;inputs!$I$17, (((inputs!$P$13/(X13/MAX(K13:S13)))^(1/inputs!$O$13))-1)/inputs!$N$13, inputs!$I$17))</f>
        <v>1000</v>
      </c>
      <c r="V13" s="21">
        <f>inputs!$E$87*(F13/inputs!$F$87)^(1)</f>
        <v>2.0899999999999998E-3</v>
      </c>
      <c r="W13" s="21">
        <f>inputs!$E$90*(F13/inputs!$F$90)^(1)</f>
        <v>2.2000000000000001E-3</v>
      </c>
      <c r="X13" s="21">
        <f>inputs!$E$89*(F13/inputs!$F$89)^(1)</f>
        <v>8.2151898734177213E-3</v>
      </c>
      <c r="Y13" s="21" t="s">
        <v>13</v>
      </c>
      <c r="Z13" s="63">
        <f t="shared" si="1"/>
        <v>3312.8309896303203</v>
      </c>
      <c r="AA13" s="63">
        <f t="shared" si="2"/>
        <v>3147.1894401488039</v>
      </c>
    </row>
    <row r="14" spans="1:476" x14ac:dyDescent="0.25">
      <c r="A14" s="103" t="s">
        <v>691</v>
      </c>
      <c r="B14" s="20" t="s">
        <v>692</v>
      </c>
      <c r="C14" s="21" t="s">
        <v>702</v>
      </c>
      <c r="D14" s="15" t="s">
        <v>704</v>
      </c>
      <c r="E14" s="15">
        <v>5819</v>
      </c>
      <c r="F14" s="21">
        <v>11</v>
      </c>
      <c r="G14" s="21" t="s">
        <v>195</v>
      </c>
      <c r="H14" s="20">
        <v>0.82</v>
      </c>
      <c r="I14" s="68">
        <f>inputs!$C$66*(inputs!$C$62/1000)</f>
        <v>8.2000000000000011</v>
      </c>
      <c r="J14" s="68">
        <f>inputs!$C$66*(inputs!$C$61/1000)</f>
        <v>2.5</v>
      </c>
      <c r="K14" s="69">
        <f t="shared" si="0"/>
        <v>0.34362801237188156</v>
      </c>
      <c r="L14" s="69">
        <f t="shared" si="3"/>
        <v>0.10476463791825656</v>
      </c>
      <c r="M14" s="69">
        <f>IF((((0.065*F14^0.726)/3.7-(0.301*F14^0.751)/(1-H14)*H14)*(MAX('Max rate concentrations'!$P$3:$P$368)))/F14&gt;0, (((0.065*F14^0.726)/3.7-(0.301*F14^0.751)/(1-H14)*H14)*(MAX('Max rate concentrations'!$P$3:$P$368)))/F14, 0)</f>
        <v>0</v>
      </c>
      <c r="N14" s="69">
        <f>IF((((0.065*F14^0.726)/3.7-(0.301*F14^0.751)/(1-H14)*H14)*(MAX('Max rate concentrations'!$Q$3:$Q$368)))/F14&gt;0, (((0.065*F14^0.726)/3.7-(0.301*F14^0.751)/(1-H14)*H14)*(MAX('Max rate concentrations'!$Q$3:$Q$368)))/F14, 0)</f>
        <v>0</v>
      </c>
      <c r="O14" s="69" t="s">
        <v>13</v>
      </c>
      <c r="P14" s="69" t="s">
        <v>13</v>
      </c>
      <c r="Q14" s="69">
        <f>(inputs!$C$18*11.2)*(1.131*F14^0.579)*0.5*1/F14</f>
        <v>6.9238167683273693</v>
      </c>
      <c r="R14" s="59">
        <f>(60*76.9*((F14/1000)^0.76)*3*24*(MAX('Max rate concentrations'!$R$3:$R$368))/F14)</f>
        <v>7.5556797277567265E-3</v>
      </c>
      <c r="S14" s="59">
        <f>(IF(inputs!$C$17="aerial",((0.025*0.112*inputs!$C$18/3.3)*(3*60*76.9*((F14/1000)^0.76))*MAX(inputs!$I$14:$I$16))/F14,((0.0083*0.112*inputs!$C$18/1)*(3*60*76.9*((F14/1000)^0.76))*MAX(inputs!$I$14:$I$16))/F14))</f>
        <v>3.1903622772367593E-2</v>
      </c>
      <c r="T14" s="63">
        <f>IF((((inputs!$P$13/(V14/MAX(K14:S14)))^(1/inputs!$O$13))-1)/inputs!$N$13&lt;0, 0, IF((((inputs!$P$13/(V14/MAX(K14:S14)))^(1/inputs!$O$13))-1)/inputs!$N$13&lt;inputs!$I$17, (((inputs!$P$13/(V14/MAX(K14:S14)))^(1/inputs!$O$13))-1)/inputs!$N$13, inputs!$I$17))</f>
        <v>1000</v>
      </c>
      <c r="U14" s="63">
        <f>IF((((inputs!$P$13/(X14/MAX(K14:S14)))^(1/inputs!$O$13))-1)/inputs!$N$13&lt;0, 0, IF((((inputs!$P$13/(X14/MAX(K14:S14)))^(1/inputs!$O$13))-1)/inputs!$N$13&lt;inputs!$I$17, (((inputs!$P$13/(X14/MAX(K14:S14)))^(1/inputs!$O$13))-1)/inputs!$N$13, inputs!$I$17))</f>
        <v>1000</v>
      </c>
      <c r="V14" s="21">
        <f>inputs!$E$87*(F14/inputs!$F$87)^(1)</f>
        <v>2.0899999999999998E-3</v>
      </c>
      <c r="W14" s="21">
        <f>inputs!$E$90*(F14/inputs!$F$90)^(1)</f>
        <v>2.2000000000000001E-3</v>
      </c>
      <c r="X14" s="21">
        <f>inputs!$E$89*(F14/inputs!$F$89)^(1)</f>
        <v>8.2151898734177213E-3</v>
      </c>
      <c r="Y14" s="21" t="s">
        <v>13</v>
      </c>
      <c r="Z14" s="63">
        <f t="shared" si="1"/>
        <v>3312.8309896303203</v>
      </c>
      <c r="AA14" s="63">
        <f t="shared" si="2"/>
        <v>3147.1894401488039</v>
      </c>
    </row>
    <row r="15" spans="1:476" x14ac:dyDescent="0.25">
      <c r="A15" s="103" t="s">
        <v>698</v>
      </c>
      <c r="B15" s="20" t="s">
        <v>699</v>
      </c>
      <c r="C15" s="21" t="s">
        <v>702</v>
      </c>
      <c r="D15" s="15" t="s">
        <v>704</v>
      </c>
      <c r="E15" s="15">
        <v>208</v>
      </c>
      <c r="F15" s="21">
        <v>21</v>
      </c>
      <c r="G15" s="21" t="s">
        <v>182</v>
      </c>
      <c r="H15" s="21">
        <v>0.85</v>
      </c>
      <c r="I15" s="68">
        <f>MAX('Max rate concentrations'!$M$3:$M$368)</f>
        <v>17.092910873809167</v>
      </c>
      <c r="J15" s="68">
        <f>MAX('Max rate concentrations'!AE:AE)</f>
        <v>11.81956602976166</v>
      </c>
      <c r="K15" s="69">
        <f t="shared" si="0"/>
        <v>0.74220579595582381</v>
      </c>
      <c r="L15" s="69">
        <f t="shared" si="3"/>
        <v>0.51322741209711231</v>
      </c>
      <c r="M15" s="69">
        <f>IF((((0.065*F15^0.726)/3.7-(0.301*F15^0.751)/(1-H15)*H15)*(MAX('Max rate concentrations'!$P$3:$P$368)))/F15&gt;0, (((0.065*F15^0.726)/3.7-(0.301*F15^0.751)/(1-H15)*H15)*(MAX('Max rate concentrations'!$P$3:$P$368)))/F15, 0)</f>
        <v>0</v>
      </c>
      <c r="N15" s="69">
        <f>IF((((0.065*F15^0.726)/3.7-(0.301*F15^0.751)/(1-H15)*H15)*(MAX('Max rate concentrations'!$Q$3:$Q$368)))/F15&gt;0, (((0.065*F15^0.726)/3.7-(0.301*F15^0.751)/(1-H15)*H15)*(MAX('Max rate concentrations'!$Q$3:$Q$368)))/F15, 0)</f>
        <v>0</v>
      </c>
      <c r="O15" s="69" t="s">
        <v>13</v>
      </c>
      <c r="P15" s="69" t="s">
        <v>13</v>
      </c>
      <c r="Q15" s="69">
        <f>(inputs!$C$18*11.2)*(1.131*F15^0.579)*0.5*1/F15</f>
        <v>5.2737260192860722</v>
      </c>
      <c r="R15" s="59">
        <f>(60*76.9*((F15/1000)^0.76)*3*24*(MAX('Max rate concentrations'!$R$3:$R$368))/F15)</f>
        <v>6.4695660986045312E-3</v>
      </c>
      <c r="S15" s="59">
        <f>(IF(inputs!$C$17="aerial",((0.025*0.112*inputs!$C$18/3.3)*(3*60*76.9*((F15/1000)^0.76))*MAX(inputs!$I$14:$I$16))/F15,((0.0083*0.112*inputs!$C$18/1)*(3*60*76.9*((F15/1000)^0.76))*MAX(inputs!$I$14:$I$16))/F15))</f>
        <v>2.7317541736520595E-2</v>
      </c>
      <c r="T15" s="63">
        <f>IF((((inputs!$P$13/(V15/MAX(K15:S15)))^(1/inputs!$O$13))-1)/inputs!$N$13&lt;0, 0, IF((((inputs!$P$13/(V15/MAX(K15:S15)))^(1/inputs!$O$13))-1)/inputs!$N$13&lt;inputs!$I$17, (((inputs!$P$13/(V15/MAX(K15:S15)))^(1/inputs!$O$13))-1)/inputs!$N$13, inputs!$I$17))</f>
        <v>1000</v>
      </c>
      <c r="U15" s="63">
        <f>IF((((inputs!$P$13/(X15/MAX(K15:S15)))^(1/inputs!$O$13))-1)/inputs!$N$13&lt;0, 0, IF((((inputs!$P$13/(X15/MAX(K15:S15)))^(1/inputs!$O$13))-1)/inputs!$N$13&lt;inputs!$I$17, (((inputs!$P$13/(X15/MAX(K15:S15)))^(1/inputs!$O$13))-1)/inputs!$N$13, inputs!$I$17))</f>
        <v>597.88378849386572</v>
      </c>
      <c r="V15" s="21">
        <f>inputs!$E$87*(F15/inputs!$F$87)^(1)</f>
        <v>3.9899999999999996E-3</v>
      </c>
      <c r="W15" s="21">
        <f>inputs!$E$90*(F15/inputs!$F$90)^(1)</f>
        <v>4.1999999999999997E-3</v>
      </c>
      <c r="X15" s="21">
        <f>inputs!$E$89*(F15/inputs!$F$89)^(1)</f>
        <v>1.5683544303797467E-2</v>
      </c>
      <c r="Y15" s="21" t="s">
        <v>13</v>
      </c>
      <c r="Z15" s="63">
        <f t="shared" si="1"/>
        <v>1321.7358444325996</v>
      </c>
      <c r="AA15" s="63">
        <f t="shared" si="2"/>
        <v>1255.6490522109696</v>
      </c>
    </row>
    <row r="16" spans="1:476" x14ac:dyDescent="0.25">
      <c r="A16" s="103" t="s">
        <v>698</v>
      </c>
      <c r="B16" s="20" t="s">
        <v>699</v>
      </c>
      <c r="C16" s="21" t="s">
        <v>702</v>
      </c>
      <c r="D16" s="15" t="s">
        <v>704</v>
      </c>
      <c r="E16" s="15">
        <v>208</v>
      </c>
      <c r="F16" s="21">
        <v>21</v>
      </c>
      <c r="G16" s="21" t="s">
        <v>142</v>
      </c>
      <c r="H16" s="21">
        <v>0.69</v>
      </c>
      <c r="I16" s="68">
        <f>MAX('Max rate concentrations'!$H$3:$H$368)</f>
        <v>282</v>
      </c>
      <c r="J16" s="68">
        <f>MAX('Max rate concentrations'!AA:AA)</f>
        <v>195</v>
      </c>
      <c r="K16" s="69">
        <f t="shared" si="0"/>
        <v>5.9249813394554618</v>
      </c>
      <c r="L16" s="69">
        <f t="shared" si="3"/>
        <v>4.0970615645170749</v>
      </c>
      <c r="M16" s="69">
        <f>IF((((0.065*F16^0.726)/3.7-(0.301*F16^0.751)/(1-H16)*H16)*(MAX('Max rate concentrations'!$P$3:$P$368)))/F16&gt;0, (((0.065*F16^0.726)/3.7-(0.301*F16^0.751)/(1-H16)*H16)*(MAX('Max rate concentrations'!$P$3:$P$368)))/F16, 0)</f>
        <v>0</v>
      </c>
      <c r="N16" s="69">
        <f>IF((((0.065*F16^0.726)/3.7-(0.301*F16^0.751)/(1-H16)*H16)*(MAX('Max rate concentrations'!$Q$3:$Q$368)))/F16&gt;0, (((0.065*F16^0.726)/3.7-(0.301*F16^0.751)/(1-H16)*H16)*(MAX('Max rate concentrations'!$Q$3:$Q$368)))/F16, 0)</f>
        <v>0</v>
      </c>
      <c r="O16" s="69" t="s">
        <v>13</v>
      </c>
      <c r="P16" s="69" t="s">
        <v>13</v>
      </c>
      <c r="Q16" s="69">
        <f>(inputs!$C$18*11.2)*(1.131*F16^0.579)*0.5*1/F16</f>
        <v>5.2737260192860722</v>
      </c>
      <c r="R16" s="59">
        <f>(60*76.9*((F16/1000)^0.76)*3*24*(MAX('Max rate concentrations'!$R$3:$R$368))/F16)</f>
        <v>6.4695660986045312E-3</v>
      </c>
      <c r="S16" s="59">
        <f>(IF(inputs!$C$17="aerial",((0.025*0.112*inputs!$C$18/3.3)*(3*60*76.9*((F16/1000)^0.76))*MAX(inputs!$I$14:$I$16))/F16,((0.0083*0.112*inputs!$C$18/1)*(3*60*76.9*((F16/1000)^0.76))*MAX(inputs!$I$14:$I$16))/F16))</f>
        <v>2.7317541736520595E-2</v>
      </c>
      <c r="T16" s="63">
        <f>IF((((inputs!$P$13/(V16/MAX(K16:S16)))^(1/inputs!$O$13))-1)/inputs!$N$13&lt;0, 0, IF((((inputs!$P$13/(V16/MAX(K16:S16)))^(1/inputs!$O$13))-1)/inputs!$N$13&lt;inputs!$I$17, (((inputs!$P$13/(V16/MAX(K16:S16)))^(1/inputs!$O$13))-1)/inputs!$N$13, inputs!$I$17))</f>
        <v>1000</v>
      </c>
      <c r="U16" s="63">
        <f>IF((((inputs!$P$13/(X16/MAX(K16:S16)))^(1/inputs!$O$13))-1)/inputs!$N$13&lt;0, 0, IF((((inputs!$P$13/(X16/MAX(K16:S16)))^(1/inputs!$O$13))-1)/inputs!$N$13&lt;inputs!$I$17, (((inputs!$P$13/(X16/MAX(K16:S16)))^(1/inputs!$O$13))-1)/inputs!$N$13, inputs!$I$17))</f>
        <v>657.43343929408093</v>
      </c>
      <c r="V16" s="21">
        <f>inputs!$E$87*(F16/inputs!$F$87)^(1)</f>
        <v>3.9899999999999996E-3</v>
      </c>
      <c r="W16" s="21">
        <f>inputs!$E$90*(F16/inputs!$F$90)^(1)</f>
        <v>4.1999999999999997E-3</v>
      </c>
      <c r="X16" s="21">
        <f>inputs!$E$89*(F16/inputs!$F$89)^(1)</f>
        <v>1.5683544303797467E-2</v>
      </c>
      <c r="Y16" s="21" t="s">
        <v>13</v>
      </c>
      <c r="Z16" s="63">
        <f t="shared" si="1"/>
        <v>1484.9577291868327</v>
      </c>
      <c r="AA16" s="63">
        <f t="shared" si="2"/>
        <v>1410.7098427274909</v>
      </c>
    </row>
    <row r="17" spans="1:476" x14ac:dyDescent="0.25">
      <c r="A17" s="103" t="s">
        <v>698</v>
      </c>
      <c r="B17" s="20" t="s">
        <v>699</v>
      </c>
      <c r="C17" s="21" t="s">
        <v>702</v>
      </c>
      <c r="D17" s="15" t="s">
        <v>704</v>
      </c>
      <c r="E17" s="15">
        <v>208</v>
      </c>
      <c r="F17" s="21">
        <v>21</v>
      </c>
      <c r="G17" s="21" t="s">
        <v>146</v>
      </c>
      <c r="H17" s="20">
        <v>0.84</v>
      </c>
      <c r="I17" s="68">
        <f>MAX('Max rate concentrations'!$I$3:$I$368)</f>
        <v>56.865414300472793</v>
      </c>
      <c r="J17" s="68" t="s">
        <v>13</v>
      </c>
      <c r="K17" s="69">
        <f t="shared" si="0"/>
        <v>2.3148763467003226</v>
      </c>
      <c r="L17" s="69" t="s">
        <v>13</v>
      </c>
      <c r="M17" s="69">
        <f>IF((((0.065*F17^0.726)/3.7-(0.301*F17^0.751)/(1-H17)*H17)*(MAX('Max rate concentrations'!$P$3:$P$368)))/F17&gt;0, (((0.065*F17^0.726)/3.7-(0.301*F17^0.751)/(1-H17)*H17)*(MAX('Max rate concentrations'!$P$3:$P$368)))/F17, 0)</f>
        <v>0</v>
      </c>
      <c r="N17" s="69">
        <f>IF((((0.065*F17^0.726)/3.7-(0.301*F17^0.751)/(1-H17)*H17)*(MAX('Max rate concentrations'!$Q$3:$Q$368)))/F17&gt;0, (((0.065*F17^0.726)/3.7-(0.301*F17^0.751)/(1-H17)*H17)*(MAX('Max rate concentrations'!$Q$3:$Q$368)))/F17, 0)</f>
        <v>0</v>
      </c>
      <c r="O17" s="69" t="s">
        <v>13</v>
      </c>
      <c r="P17" s="69" t="s">
        <v>13</v>
      </c>
      <c r="Q17" s="69">
        <f>(inputs!$C$18*11.2)*(1.131*F17^0.579)*0.5*1/F17</f>
        <v>5.2737260192860722</v>
      </c>
      <c r="R17" s="59">
        <f>(60*76.9*((F17/1000)^0.76)*3*24*(MAX('Max rate concentrations'!$R$3:$R$368))/F17)</f>
        <v>6.4695660986045312E-3</v>
      </c>
      <c r="S17" s="59">
        <f>(IF(inputs!$C$17="aerial",((0.025*0.112*inputs!$C$18/3.3)*(3*60*76.9*((F17/1000)^0.76))*MAX(inputs!$I$14:$I$16))/F17,((0.0083*0.112*inputs!$C$18/1)*(3*60*76.9*((F17/1000)^0.76))*MAX(inputs!$I$14:$I$16))/F17))</f>
        <v>2.7317541736520595E-2</v>
      </c>
      <c r="T17" s="63">
        <f>IF((((inputs!$P$13/(V17/MAX(K17:S17)))^(1/inputs!$O$13))-1)/inputs!$N$13&lt;0, 0, IF((((inputs!$P$13/(V17/MAX(K17:S17)))^(1/inputs!$O$13))-1)/inputs!$N$13&lt;inputs!$I$17, (((inputs!$P$13/(V17/MAX(K17:S17)))^(1/inputs!$O$13))-1)/inputs!$N$13, inputs!$I$17))</f>
        <v>1000</v>
      </c>
      <c r="U17" s="63">
        <f>IF((((inputs!$P$13/(X17/MAX(K17:S17)))^(1/inputs!$O$13))-1)/inputs!$N$13&lt;0, 0, IF((((inputs!$P$13/(X17/MAX(K17:S17)))^(1/inputs!$O$13))-1)/inputs!$N$13&lt;inputs!$I$17, (((inputs!$P$13/(X17/MAX(K17:S17)))^(1/inputs!$O$13))-1)/inputs!$N$13, inputs!$I$17))</f>
        <v>597.88378849386572</v>
      </c>
      <c r="V17" s="21">
        <f>inputs!$E$87*(F17/inputs!$F$87)^(1)</f>
        <v>3.9899999999999996E-3</v>
      </c>
      <c r="W17" s="21">
        <f>inputs!$E$90*(F17/inputs!$F$90)^(1)</f>
        <v>4.1999999999999997E-3</v>
      </c>
      <c r="X17" s="21">
        <f>inputs!$E$89*(F17/inputs!$F$89)^(1)</f>
        <v>1.5683544303797467E-2</v>
      </c>
      <c r="Y17" s="21" t="s">
        <v>13</v>
      </c>
      <c r="Z17" s="63">
        <f t="shared" si="1"/>
        <v>1321.7358444325996</v>
      </c>
      <c r="AA17" s="63">
        <f t="shared" si="2"/>
        <v>1255.6490522109696</v>
      </c>
    </row>
    <row r="18" spans="1:476" x14ac:dyDescent="0.25">
      <c r="A18" s="103" t="s">
        <v>667</v>
      </c>
      <c r="B18" s="20" t="s">
        <v>668</v>
      </c>
      <c r="C18" s="21" t="s">
        <v>702</v>
      </c>
      <c r="D18" s="15" t="s">
        <v>704</v>
      </c>
      <c r="E18" s="15">
        <v>193</v>
      </c>
      <c r="F18" s="21">
        <v>3.9</v>
      </c>
      <c r="G18" s="21" t="s">
        <v>142</v>
      </c>
      <c r="H18" s="21">
        <v>0.69</v>
      </c>
      <c r="I18" s="68">
        <f>MAX('Max rate concentrations'!$H$3:$H$368)</f>
        <v>282</v>
      </c>
      <c r="J18" s="68">
        <f>MAX('Max rate concentrations'!AA:AA)</f>
        <v>195</v>
      </c>
      <c r="K18" s="69">
        <f t="shared" si="0"/>
        <v>8.6827860733140483</v>
      </c>
      <c r="L18" s="69">
        <f t="shared" ref="L18:L30" si="4">(((0.013*F18^0.773)/(1-H18)))*J18/F18</f>
        <v>6.004054199632054</v>
      </c>
      <c r="M18" s="69">
        <f>IF((((0.065*F18^0.726)/3.7-(0.301*F18^0.751)/(1-H18)*H18)*(MAX('Max rate concentrations'!$P$3:$P$368)))/F18&gt;0, (((0.065*F18^0.726)/3.7-(0.301*F18^0.751)/(1-H18)*H18)*(MAX('Max rate concentrations'!$P$3:$P$368)))/F18, 0)</f>
        <v>0</v>
      </c>
      <c r="N18" s="69">
        <f>IF((((0.065*F18^0.726)/3.7-(0.301*F18^0.751)/(1-H18)*H18)*(MAX('Max rate concentrations'!$Q$3:$Q$368)))/F18&gt;0, (((0.065*F18^0.726)/3.7-(0.301*F18^0.751)/(1-H18)*H18)*(MAX('Max rate concentrations'!$Q$3:$Q$368)))/F18, 0)</f>
        <v>0</v>
      </c>
      <c r="O18" s="69" t="s">
        <v>13</v>
      </c>
      <c r="P18" s="69" t="s">
        <v>13</v>
      </c>
      <c r="Q18" s="69">
        <f>(inputs!$C$18*11.2)*(1.131*F18^0.579)*0.5*1/F18</f>
        <v>10.713557062550633</v>
      </c>
      <c r="R18" s="59">
        <f>(60*76.9*((F18/1000)^0.76)*3*24*(MAX('Max rate concentrations'!$R$3:$R$368))/F18)</f>
        <v>9.6906359666274495E-3</v>
      </c>
      <c r="S18" s="59">
        <f>(IF(inputs!$C$17="aerial",((0.025*0.112*inputs!$C$18/3.3)*(3*60*76.9*((F18/1000)^0.76))*MAX(inputs!$I$14:$I$16))/F18,((0.0083*0.112*inputs!$C$18/1)*(3*60*76.9*((F18/1000)^0.76))*MAX(inputs!$I$14:$I$16))/F18))</f>
        <v>4.0918409123120843E-2</v>
      </c>
      <c r="T18" s="63">
        <f>IF((((inputs!$P$13/(V18/MAX(K18:S18)))^(1/inputs!$O$13))-1)/inputs!$N$13&lt;0, 0, IF((((inputs!$P$13/(V18/MAX(K18:S18)))^(1/inputs!$O$13))-1)/inputs!$N$13&lt;inputs!$I$17, (((inputs!$P$13/(V18/MAX(K18:S18)))^(1/inputs!$O$13))-1)/inputs!$N$13, inputs!$I$17))</f>
        <v>1000</v>
      </c>
      <c r="U18" s="63">
        <f>IF((((inputs!$P$13/(X18/MAX(K18:S18)))^(1/inputs!$O$13))-1)/inputs!$N$13&lt;0, 0, IF((((inputs!$P$13/(X18/MAX(K18:S18)))^(1/inputs!$O$13))-1)/inputs!$N$13&lt;inputs!$I$17, (((inputs!$P$13/(X18/MAX(K18:S18)))^(1/inputs!$O$13))-1)/inputs!$N$13, inputs!$I$17))</f>
        <v>1000</v>
      </c>
      <c r="V18" s="21">
        <f>inputs!$E$87*(F18/inputs!$F$87)^(1)</f>
        <v>7.4100000000000001E-4</v>
      </c>
      <c r="W18" s="21">
        <f>inputs!$E$90*(F18/inputs!$F$90)^(1)</f>
        <v>7.7999999999999999E-4</v>
      </c>
      <c r="X18" s="21">
        <f>inputs!$E$89*(F18/inputs!$F$89)^(1)</f>
        <v>2.9126582278481013E-3</v>
      </c>
      <c r="Y18" s="21" t="s">
        <v>13</v>
      </c>
      <c r="Z18" s="63">
        <f t="shared" si="1"/>
        <v>14458.2416498659</v>
      </c>
      <c r="AA18" s="63">
        <f t="shared" si="2"/>
        <v>13735.329567372606</v>
      </c>
    </row>
    <row r="19" spans="1:476" x14ac:dyDescent="0.25">
      <c r="A19" s="103" t="s">
        <v>665</v>
      </c>
      <c r="B19" s="20" t="s">
        <v>666</v>
      </c>
      <c r="C19" s="21" t="s">
        <v>702</v>
      </c>
      <c r="D19" s="15" t="s">
        <v>704</v>
      </c>
      <c r="E19" s="15">
        <v>196</v>
      </c>
      <c r="F19" s="21">
        <v>8.9</v>
      </c>
      <c r="G19" s="21" t="s">
        <v>142</v>
      </c>
      <c r="H19" s="21">
        <v>0.69</v>
      </c>
      <c r="I19" s="68">
        <f>MAX('Max rate concentrations'!$H$3:$H$368)</f>
        <v>282</v>
      </c>
      <c r="J19" s="68">
        <f>MAX('Max rate concentrations'!AA:AA)</f>
        <v>195</v>
      </c>
      <c r="K19" s="69">
        <f t="shared" si="0"/>
        <v>7.1997801519246289</v>
      </c>
      <c r="L19" s="69">
        <f t="shared" si="4"/>
        <v>4.978571381650009</v>
      </c>
      <c r="M19" s="69">
        <f>IF((((0.065*F19^0.726)/3.7-(0.301*F19^0.751)/(1-H19)*H19)*(MAX('Max rate concentrations'!$P$3:$P$368)))/F19&gt;0, (((0.065*F19^0.726)/3.7-(0.301*F19^0.751)/(1-H19)*H19)*(MAX('Max rate concentrations'!$P$3:$P$368)))/F19, 0)</f>
        <v>0</v>
      </c>
      <c r="N19" s="69">
        <f>IF((((0.065*F19^0.726)/3.7-(0.301*F19^0.751)/(1-H19)*H19)*(MAX('Max rate concentrations'!$Q$3:$Q$368)))/F19&gt;0, (((0.065*F19^0.726)/3.7-(0.301*F19^0.751)/(1-H19)*H19)*(MAX('Max rate concentrations'!$Q$3:$Q$368)))/F19, 0)</f>
        <v>0</v>
      </c>
      <c r="O19" s="69" t="s">
        <v>13</v>
      </c>
      <c r="P19" s="69" t="s">
        <v>13</v>
      </c>
      <c r="Q19" s="69">
        <f>(inputs!$C$18*11.2)*(1.131*F19^0.579)*0.5*1/F19</f>
        <v>7.5697004503311973</v>
      </c>
      <c r="R19" s="59">
        <f>(60*76.9*((F19/1000)^0.76)*3*24*(MAX('Max rate concentrations'!$R$3:$R$368))/F19)</f>
        <v>7.9497630350920407E-3</v>
      </c>
      <c r="S19" s="59">
        <f>(IF(inputs!$C$17="aerial",((0.025*0.112*inputs!$C$18/3.3)*(3*60*76.9*((F19/1000)^0.76))*MAX(inputs!$I$14:$I$16))/F19,((0.0083*0.112*inputs!$C$18/1)*(3*60*76.9*((F19/1000)^0.76))*MAX(inputs!$I$14:$I$16))/F19))</f>
        <v>3.3567627287001217E-2</v>
      </c>
      <c r="T19" s="63">
        <f>IF((((inputs!$P$13/(V19/MAX(K19:S19)))^(1/inputs!$O$13))-1)/inputs!$N$13&lt;0, 0, IF((((inputs!$P$13/(V19/MAX(K19:S19)))^(1/inputs!$O$13))-1)/inputs!$N$13&lt;inputs!$I$17, (((inputs!$P$13/(V19/MAX(K19:S19)))^(1/inputs!$O$13))-1)/inputs!$N$13, inputs!$I$17))</f>
        <v>1000</v>
      </c>
      <c r="U19" s="63">
        <f>IF((((inputs!$P$13/(X19/MAX(K19:S19)))^(1/inputs!$O$13))-1)/inputs!$N$13&lt;0, 0, IF((((inputs!$P$13/(X19/MAX(K19:S19)))^(1/inputs!$O$13))-1)/inputs!$N$13&lt;inputs!$I$17, (((inputs!$P$13/(X19/MAX(K19:S19)))^(1/inputs!$O$13))-1)/inputs!$N$13, inputs!$I$17))</f>
        <v>1000</v>
      </c>
      <c r="V19" s="21">
        <f>inputs!$E$87*(F19/inputs!$F$87)^(1)</f>
        <v>1.6910000000000002E-3</v>
      </c>
      <c r="W19" s="21">
        <f>inputs!$E$90*(F19/inputs!$F$90)^(1)</f>
        <v>1.7800000000000001E-3</v>
      </c>
      <c r="X19" s="21">
        <f>inputs!$E$89*(F19/inputs!$F$89)^(1)</f>
        <v>6.6468354430379746E-3</v>
      </c>
      <c r="Y19" s="21" t="s">
        <v>13</v>
      </c>
      <c r="Z19" s="63">
        <f t="shared" si="1"/>
        <v>4476.4638972981647</v>
      </c>
      <c r="AA19" s="63">
        <f t="shared" si="2"/>
        <v>4252.6407024332566</v>
      </c>
    </row>
    <row r="20" spans="1:476" x14ac:dyDescent="0.25">
      <c r="A20" s="103" t="s">
        <v>663</v>
      </c>
      <c r="B20" s="20" t="s">
        <v>664</v>
      </c>
      <c r="C20" s="21" t="s">
        <v>702</v>
      </c>
      <c r="D20" s="15" t="s">
        <v>704</v>
      </c>
      <c r="E20" s="15">
        <v>190</v>
      </c>
      <c r="F20" s="21">
        <v>8</v>
      </c>
      <c r="G20" s="21" t="s">
        <v>182</v>
      </c>
      <c r="H20" s="21">
        <v>0.85</v>
      </c>
      <c r="I20" s="68">
        <f>MAX('Max rate concentrations'!$M$3:$M$368)</f>
        <v>17.092910873809167</v>
      </c>
      <c r="J20" s="68">
        <f>MAX('Max rate concentrations'!AE:AE)</f>
        <v>11.81956602976166</v>
      </c>
      <c r="K20" s="69">
        <f t="shared" si="0"/>
        <v>0.9239887730177937</v>
      </c>
      <c r="L20" s="69">
        <f t="shared" si="4"/>
        <v>0.63892840687400632</v>
      </c>
      <c r="M20" s="69">
        <f>IF((((0.065*F20^0.726)/3.7-(0.301*F20^0.751)/(1-H20)*H20)*(MAX('Max rate concentrations'!$P$3:$P$368)))/F20&gt;0, (((0.065*F20^0.726)/3.7-(0.301*F20^0.751)/(1-H20)*H20)*(MAX('Max rate concentrations'!$P$3:$P$368)))/F20, 0)</f>
        <v>0</v>
      </c>
      <c r="N20" s="69">
        <f>IF((((0.065*F20^0.726)/3.7-(0.301*F20^0.751)/(1-H20)*H20)*(MAX('Max rate concentrations'!$Q$3:$Q$368)))/F20&gt;0, (((0.065*F20^0.726)/3.7-(0.301*F20^0.751)/(1-H20)*H20)*(MAX('Max rate concentrations'!$Q$3:$Q$368)))/F20, 0)</f>
        <v>0</v>
      </c>
      <c r="O20" s="69" t="s">
        <v>13</v>
      </c>
      <c r="P20" s="69" t="s">
        <v>13</v>
      </c>
      <c r="Q20" s="69">
        <f>(inputs!$C$18*11.2)*(1.131*F20^0.579)*0.5*1/F20</f>
        <v>7.9171888092954363</v>
      </c>
      <c r="R20" s="59">
        <f>(60*76.9*((F20/1000)^0.76)*3*24*(MAX('Max rate concentrations'!$R$3:$R$368))/F20)</f>
        <v>8.1557928811495147E-3</v>
      </c>
      <c r="S20" s="59">
        <f>(IF(inputs!$C$17="aerial",((0.025*0.112*inputs!$C$18/3.3)*(3*60*76.9*((F20/1000)^0.76))*MAX(inputs!$I$14:$I$16))/F20,((0.0083*0.112*inputs!$C$18/1)*(3*60*76.9*((F20/1000)^0.76))*MAX(inputs!$I$14:$I$16))/F20))</f>
        <v>3.4437581907274417E-2</v>
      </c>
      <c r="T20" s="63">
        <f>IF((((inputs!$P$13/(V20/MAX(K20:S20)))^(1/inputs!$O$13))-1)/inputs!$N$13&lt;0, 0, IF((((inputs!$P$13/(V20/MAX(K20:S20)))^(1/inputs!$O$13))-1)/inputs!$N$13&lt;inputs!$I$17, (((inputs!$P$13/(V20/MAX(K20:S20)))^(1/inputs!$O$13))-1)/inputs!$N$13, inputs!$I$17))</f>
        <v>1000</v>
      </c>
      <c r="U20" s="63">
        <f>IF((((inputs!$P$13/(X20/MAX(K20:S20)))^(1/inputs!$O$13))-1)/inputs!$N$13&lt;0, 0, IF((((inputs!$P$13/(X20/MAX(K20:S20)))^(1/inputs!$O$13))-1)/inputs!$N$13&lt;inputs!$I$17, (((inputs!$P$13/(X20/MAX(K20:S20)))^(1/inputs!$O$13))-1)/inputs!$N$13, inputs!$I$17))</f>
        <v>1000</v>
      </c>
      <c r="V20" s="21">
        <f>inputs!$E$87*(F20/inputs!$F$87)^(1)</f>
        <v>1.5200000000000001E-3</v>
      </c>
      <c r="W20" s="21">
        <f>inputs!$E$90*(F20/inputs!$F$90)^(1)</f>
        <v>1.6000000000000001E-3</v>
      </c>
      <c r="X20" s="21">
        <f>inputs!$E$89*(F20/inputs!$F$89)^(1)</f>
        <v>5.9746835443037971E-3</v>
      </c>
      <c r="Y20" s="21" t="s">
        <v>13</v>
      </c>
      <c r="Z20" s="63">
        <f t="shared" si="1"/>
        <v>5208.6768482206817</v>
      </c>
      <c r="AA20" s="63">
        <f t="shared" si="2"/>
        <v>4948.2430058096479</v>
      </c>
    </row>
    <row r="21" spans="1:476" x14ac:dyDescent="0.25">
      <c r="A21" s="103" t="s">
        <v>663</v>
      </c>
      <c r="B21" s="20" t="s">
        <v>664</v>
      </c>
      <c r="C21" s="21" t="s">
        <v>702</v>
      </c>
      <c r="D21" s="15" t="s">
        <v>704</v>
      </c>
      <c r="E21" s="15">
        <v>190</v>
      </c>
      <c r="F21" s="21">
        <v>8</v>
      </c>
      <c r="G21" s="21" t="s">
        <v>142</v>
      </c>
      <c r="H21" s="21">
        <v>0.69</v>
      </c>
      <c r="I21" s="68">
        <f>MAX('Max rate concentrations'!$H$3:$H$368)</f>
        <v>282</v>
      </c>
      <c r="J21" s="68">
        <f>MAX('Max rate concentrations'!AA:AA)</f>
        <v>195</v>
      </c>
      <c r="K21" s="69">
        <f t="shared" si="0"/>
        <v>7.3761432042530499</v>
      </c>
      <c r="L21" s="69">
        <f t="shared" si="4"/>
        <v>5.1005245561324282</v>
      </c>
      <c r="M21" s="69">
        <f>IF((((0.065*F21^0.726)/3.7-(0.301*F21^0.751)/(1-H21)*H21)*(MAX('Max rate concentrations'!$P$3:$P$368)))/F21&gt;0, (((0.065*F21^0.726)/3.7-(0.301*F21^0.751)/(1-H21)*H21)*(MAX('Max rate concentrations'!$P$3:$P$368)))/F21, 0)</f>
        <v>0</v>
      </c>
      <c r="N21" s="69">
        <f>IF((((0.065*F21^0.726)/3.7-(0.301*F21^0.751)/(1-H21)*H21)*(MAX('Max rate concentrations'!$Q$3:$Q$368)))/F21&gt;0, (((0.065*F21^0.726)/3.7-(0.301*F21^0.751)/(1-H21)*H21)*(MAX('Max rate concentrations'!$Q$3:$Q$368)))/F21, 0)</f>
        <v>0</v>
      </c>
      <c r="O21" s="69" t="s">
        <v>13</v>
      </c>
      <c r="P21" s="69" t="s">
        <v>13</v>
      </c>
      <c r="Q21" s="69">
        <f>(inputs!$C$18*11.2)*(1.131*F21^0.579)*0.5*1/F21</f>
        <v>7.9171888092954363</v>
      </c>
      <c r="R21" s="59">
        <f>(60*76.9*((F21/1000)^0.76)*3*24*(MAX('Max rate concentrations'!$R$3:$R$368))/F21)</f>
        <v>8.1557928811495147E-3</v>
      </c>
      <c r="S21" s="59">
        <f>(IF(inputs!$C$17="aerial",((0.025*0.112*inputs!$C$18/3.3)*(3*60*76.9*((F21/1000)^0.76))*MAX(inputs!$I$14:$I$16))/F21,((0.0083*0.112*inputs!$C$18/1)*(3*60*76.9*((F21/1000)^0.76))*MAX(inputs!$I$14:$I$16))/F21))</f>
        <v>3.4437581907274417E-2</v>
      </c>
      <c r="T21" s="63">
        <f>IF((((inputs!$P$13/(V21/MAX(K21:S21)))^(1/inputs!$O$13))-1)/inputs!$N$13&lt;0, 0, IF((((inputs!$P$13/(V21/MAX(K21:S21)))^(1/inputs!$O$13))-1)/inputs!$N$13&lt;inputs!$I$17, (((inputs!$P$13/(V21/MAX(K21:S21)))^(1/inputs!$O$13))-1)/inputs!$N$13, inputs!$I$17))</f>
        <v>1000</v>
      </c>
      <c r="U21" s="63">
        <f>IF((((inputs!$P$13/(X21/MAX(K21:S21)))^(1/inputs!$O$13))-1)/inputs!$N$13&lt;0, 0, IF((((inputs!$P$13/(X21/MAX(K21:S21)))^(1/inputs!$O$13))-1)/inputs!$N$13&lt;inputs!$I$17, (((inputs!$P$13/(X21/MAX(K21:S21)))^(1/inputs!$O$13))-1)/inputs!$N$13, inputs!$I$17))</f>
        <v>1000</v>
      </c>
      <c r="V21" s="21">
        <f>inputs!$E$87*(F21/inputs!$F$87)^(1)</f>
        <v>1.5200000000000001E-3</v>
      </c>
      <c r="W21" s="21">
        <f>inputs!$E$90*(F21/inputs!$F$90)^(1)</f>
        <v>1.6000000000000001E-3</v>
      </c>
      <c r="X21" s="21">
        <f>inputs!$E$89*(F21/inputs!$F$89)^(1)</f>
        <v>5.9746835443037971E-3</v>
      </c>
      <c r="Y21" s="21" t="s">
        <v>13</v>
      </c>
      <c r="Z21" s="63">
        <f t="shared" si="1"/>
        <v>5208.6768482206817</v>
      </c>
      <c r="AA21" s="63">
        <f t="shared" si="2"/>
        <v>4948.2430058096479</v>
      </c>
    </row>
    <row r="22" spans="1:476" x14ac:dyDescent="0.25">
      <c r="A22" s="103" t="s">
        <v>669</v>
      </c>
      <c r="B22" s="20" t="s">
        <v>670</v>
      </c>
      <c r="C22" s="21" t="s">
        <v>702</v>
      </c>
      <c r="D22" s="15" t="s">
        <v>704</v>
      </c>
      <c r="E22" s="15">
        <v>9378</v>
      </c>
      <c r="F22" s="21">
        <v>3</v>
      </c>
      <c r="G22" s="21" t="s">
        <v>142</v>
      </c>
      <c r="H22" s="21">
        <v>0.69</v>
      </c>
      <c r="I22" s="68">
        <f>MAX('Max rate concentrations'!$H$3:$H$368)</f>
        <v>282</v>
      </c>
      <c r="J22" s="68">
        <f>MAX('Max rate concentrations'!AA:AA)</f>
        <v>195</v>
      </c>
      <c r="K22" s="69">
        <f t="shared" si="0"/>
        <v>9.2156132811541518</v>
      </c>
      <c r="L22" s="69">
        <f t="shared" si="4"/>
        <v>6.3724985454789342</v>
      </c>
      <c r="M22" s="69">
        <f>IF((((0.065*F22^0.726)/3.7-(0.301*F22^0.751)/(1-H22)*H22)*(MAX('Max rate concentrations'!$P$3:$P$368)))/F22&gt;0, (((0.065*F22^0.726)/3.7-(0.301*F22^0.751)/(1-H22)*H22)*(MAX('Max rate concentrations'!$P$3:$P$368)))/F22, 0)</f>
        <v>0</v>
      </c>
      <c r="N22" s="69">
        <f>IF((((0.065*F22^0.726)/3.7-(0.301*F22^0.751)/(1-H22)*H22)*(MAX('Max rate concentrations'!$Q$3:$Q$368)))/F22&gt;0, (((0.065*F22^0.726)/3.7-(0.301*F22^0.751)/(1-H22)*H22)*(MAX('Max rate concentrations'!$Q$3:$Q$368)))/F22, 0)</f>
        <v>0</v>
      </c>
      <c r="O22" s="69" t="s">
        <v>13</v>
      </c>
      <c r="P22" s="69" t="s">
        <v>13</v>
      </c>
      <c r="Q22" s="69">
        <f>(inputs!$C$18*11.2)*(1.131*F22^0.579)*0.5*1/F22</f>
        <v>11.964755780732583</v>
      </c>
      <c r="R22" s="59">
        <f>(60*76.9*((F22/1000)^0.76)*3*24*(MAX('Max rate concentrations'!$R$3:$R$368))/F22)</f>
        <v>1.0320451183737278E-2</v>
      </c>
      <c r="S22" s="59">
        <f>(IF(inputs!$C$17="aerial",((0.025*0.112*inputs!$C$18/3.3)*(3*60*76.9*((F22/1000)^0.76))*MAX(inputs!$I$14:$I$16))/F22,((0.0083*0.112*inputs!$C$18/1)*(3*60*76.9*((F22/1000)^0.76))*MAX(inputs!$I$14:$I$16))/F22))</f>
        <v>4.3577784298745759E-2</v>
      </c>
      <c r="T22" s="63">
        <f>IF((((inputs!$P$13/(V22/MAX(K22:S22)))^(1/inputs!$O$13))-1)/inputs!$N$13&lt;0, 0, IF((((inputs!$P$13/(V22/MAX(K22:S22)))^(1/inputs!$O$13))-1)/inputs!$N$13&lt;inputs!$I$17, (((inputs!$P$13/(V22/MAX(K22:S22)))^(1/inputs!$O$13))-1)/inputs!$N$13, inputs!$I$17))</f>
        <v>1000</v>
      </c>
      <c r="U22" s="63">
        <f>IF((((inputs!$P$13/(X22/MAX(K22:S22)))^(1/inputs!$O$13))-1)/inputs!$N$13&lt;0, 0, IF((((inputs!$P$13/(X22/MAX(K22:S22)))^(1/inputs!$O$13))-1)/inputs!$N$13&lt;inputs!$I$17, (((inputs!$P$13/(X22/MAX(K22:S22)))^(1/inputs!$O$13))-1)/inputs!$N$13, inputs!$I$17))</f>
        <v>1000</v>
      </c>
      <c r="V22" s="21">
        <f>inputs!$E$87*(F22/inputs!$F$87)^(1)</f>
        <v>5.6999999999999998E-4</v>
      </c>
      <c r="W22" s="21">
        <f>inputs!$E$90*(F22/inputs!$F$90)^(1)</f>
        <v>5.9999999999999995E-4</v>
      </c>
      <c r="X22" s="21">
        <f>inputs!$E$89*(F22/inputs!$F$89)^(1)</f>
        <v>2.2405063291139238E-3</v>
      </c>
      <c r="Y22" s="21" t="s">
        <v>13</v>
      </c>
      <c r="Z22" s="63">
        <f t="shared" si="1"/>
        <v>20990.79961532032</v>
      </c>
      <c r="AA22" s="63">
        <f t="shared" si="2"/>
        <v>19941.259634554306</v>
      </c>
    </row>
    <row r="23" spans="1:476" x14ac:dyDescent="0.25">
      <c r="A23" s="103" t="s">
        <v>669</v>
      </c>
      <c r="B23" s="20" t="s">
        <v>670</v>
      </c>
      <c r="C23" s="21" t="s">
        <v>702</v>
      </c>
      <c r="D23" s="15" t="s">
        <v>704</v>
      </c>
      <c r="E23" s="15">
        <v>9378</v>
      </c>
      <c r="F23" s="21">
        <v>3</v>
      </c>
      <c r="G23" s="21" t="s">
        <v>164</v>
      </c>
      <c r="H23" s="21">
        <v>0.78</v>
      </c>
      <c r="I23" s="68">
        <f>inputs!$C$66*(inputs!$C$62/1000)</f>
        <v>8.2000000000000011</v>
      </c>
      <c r="J23" s="68">
        <f>inputs!$C$66*(inputs!$C$61/1000)</f>
        <v>2.5</v>
      </c>
      <c r="K23" s="69">
        <f t="shared" si="0"/>
        <v>0.37759653386031372</v>
      </c>
      <c r="L23" s="69">
        <f t="shared" si="4"/>
        <v>0.11512089446960783</v>
      </c>
      <c r="M23" s="69">
        <f>IF((((0.065*F23^0.726)/3.7-(0.301*F23^0.751)/(1-H23)*H23)*(MAX('Max rate concentrations'!$P$3:$P$368)))/F23&gt;0, (((0.065*F23^0.726)/3.7-(0.301*F23^0.751)/(1-H23)*H23)*(MAX('Max rate concentrations'!$P$3:$P$368)))/F23, 0)</f>
        <v>0</v>
      </c>
      <c r="N23" s="69">
        <f>IF((((0.065*F23^0.726)/3.7-(0.301*F23^0.751)/(1-H23)*H23)*(MAX('Max rate concentrations'!$Q$3:$Q$368)))/F23&gt;0, (((0.065*F23^0.726)/3.7-(0.301*F23^0.751)/(1-H23)*H23)*(MAX('Max rate concentrations'!$Q$3:$Q$368)))/F23, 0)</f>
        <v>0</v>
      </c>
      <c r="O23" s="69" t="s">
        <v>13</v>
      </c>
      <c r="P23" s="69" t="s">
        <v>13</v>
      </c>
      <c r="Q23" s="69">
        <f>(inputs!$C$18*11.2)*(1.131*F23^0.579)*0.5*1/F23</f>
        <v>11.964755780732583</v>
      </c>
      <c r="R23" s="59">
        <f>(60*76.9*((F23/1000)^0.76)*3*24*(MAX('Max rate concentrations'!$R$3:$R$368))/F23)</f>
        <v>1.0320451183737278E-2</v>
      </c>
      <c r="S23" s="59">
        <f>(IF(inputs!$C$17="aerial",((0.025*0.112*inputs!$C$18/3.3)*(3*60*76.9*((F23/1000)^0.76))*MAX(inputs!$I$14:$I$16))/F23,((0.0083*0.112*inputs!$C$18/1)*(3*60*76.9*((F23/1000)^0.76))*MAX(inputs!$I$14:$I$16))/F23))</f>
        <v>4.3577784298745759E-2</v>
      </c>
      <c r="T23" s="63">
        <f>IF((((inputs!$P$13/(V23/MAX(K23:S23)))^(1/inputs!$O$13))-1)/inputs!$N$13&lt;0, 0, IF((((inputs!$P$13/(V23/MAX(K23:S23)))^(1/inputs!$O$13))-1)/inputs!$N$13&lt;inputs!$I$17, (((inputs!$P$13/(V23/MAX(K23:S23)))^(1/inputs!$O$13))-1)/inputs!$N$13, inputs!$I$17))</f>
        <v>1000</v>
      </c>
      <c r="U23" s="63">
        <f>IF((((inputs!$P$13/(X23/MAX(K23:S23)))^(1/inputs!$O$13))-1)/inputs!$N$13&lt;0, 0, IF((((inputs!$P$13/(X23/MAX(K23:S23)))^(1/inputs!$O$13))-1)/inputs!$N$13&lt;inputs!$I$17, (((inputs!$P$13/(X23/MAX(K23:S23)))^(1/inputs!$O$13))-1)/inputs!$N$13, inputs!$I$17))</f>
        <v>1000</v>
      </c>
      <c r="V23" s="21">
        <f>inputs!$E$87*(F23/inputs!$F$87)^(1)</f>
        <v>5.6999999999999998E-4</v>
      </c>
      <c r="W23" s="21">
        <f>inputs!$E$90*(F23/inputs!$F$90)^(1)</f>
        <v>5.9999999999999995E-4</v>
      </c>
      <c r="X23" s="21">
        <f>inputs!$E$89*(F23/inputs!$F$89)^(1)</f>
        <v>2.2405063291139238E-3</v>
      </c>
      <c r="Y23" s="21" t="s">
        <v>13</v>
      </c>
      <c r="Z23" s="63">
        <f t="shared" si="1"/>
        <v>20990.79961532032</v>
      </c>
      <c r="AA23" s="63">
        <f t="shared" si="2"/>
        <v>19941.259634554306</v>
      </c>
    </row>
    <row r="24" spans="1:476" ht="26.4" x14ac:dyDescent="0.25">
      <c r="A24" s="103" t="s">
        <v>693</v>
      </c>
      <c r="B24" s="20" t="s">
        <v>694</v>
      </c>
      <c r="C24" s="21" t="s">
        <v>702</v>
      </c>
      <c r="D24" s="15" t="s">
        <v>704</v>
      </c>
      <c r="E24" s="15">
        <v>1740</v>
      </c>
      <c r="F24" s="21">
        <v>13.84</v>
      </c>
      <c r="G24" s="21" t="s">
        <v>142</v>
      </c>
      <c r="H24" s="21">
        <v>0.69</v>
      </c>
      <c r="I24" s="68">
        <f>MAX('Max rate concentrations'!$H$3:$H$368)</f>
        <v>282</v>
      </c>
      <c r="J24" s="68">
        <f>MAX('Max rate concentrations'!AA:AA)</f>
        <v>195</v>
      </c>
      <c r="K24" s="69">
        <f t="shared" si="0"/>
        <v>6.5131769063147642</v>
      </c>
      <c r="L24" s="69">
        <f t="shared" si="4"/>
        <v>4.5037925416006344</v>
      </c>
      <c r="M24" s="69">
        <f>IF((((0.065*F24^0.726)/3.7-(0.301*F24^0.751)/(1-H24)*H24)*(MAX('Max rate concentrations'!$P$3:$P$368)))/F24&gt;0, (((0.065*F24^0.726)/3.7-(0.301*F24^0.751)/(1-H24)*H24)*(MAX('Max rate concentrations'!$P$3:$P$368)))/F24, 0)</f>
        <v>0</v>
      </c>
      <c r="N24" s="69">
        <f>IF((((0.065*F24^0.726)/3.7-(0.301*F24^0.751)/(1-H24)*H24)*(MAX('Max rate concentrations'!$Q$3:$Q$368)))/F24&gt;0, (((0.065*F24^0.726)/3.7-(0.301*F24^0.751)/(1-H24)*H24)*(MAX('Max rate concentrations'!$Q$3:$Q$368)))/F24, 0)</f>
        <v>0</v>
      </c>
      <c r="O24" s="69" t="s">
        <v>13</v>
      </c>
      <c r="P24" s="69" t="s">
        <v>13</v>
      </c>
      <c r="Q24" s="69">
        <f>(inputs!$C$18*11.2)*(1.131*F24^0.579)*0.5*1/F24</f>
        <v>6.2856991789638972</v>
      </c>
      <c r="R24" s="59">
        <f>(60*76.9*((F24/1000)^0.76)*3*24*(MAX('Max rate concentrations'!$R$3:$R$368))/F24)</f>
        <v>7.1504788013455672E-3</v>
      </c>
      <c r="S24" s="59">
        <f>(IF(inputs!$C$17="aerial",((0.025*0.112*inputs!$C$18/3.3)*(3*60*76.9*((F24/1000)^0.76))*MAX(inputs!$I$14:$I$16))/F24,((0.0083*0.112*inputs!$C$18/1)*(3*60*76.9*((F24/1000)^0.76))*MAX(inputs!$I$14:$I$16))/F24))</f>
        <v>3.0192674456791812E-2</v>
      </c>
      <c r="T24" s="63">
        <f>IF((((inputs!$P$13/(V24/MAX(K24:S24)))^(1/inputs!$O$13))-1)/inputs!$N$13&lt;0, 0, IF((((inputs!$P$13/(V24/MAX(K24:S24)))^(1/inputs!$O$13))-1)/inputs!$N$13&lt;inputs!$I$17, (((inputs!$P$13/(V24/MAX(K24:S24)))^(1/inputs!$O$13))-1)/inputs!$N$13, inputs!$I$17))</f>
        <v>1000</v>
      </c>
      <c r="U24" s="63">
        <f>IF((((inputs!$P$13/(X24/MAX(K24:S24)))^(1/inputs!$O$13))-1)/inputs!$N$13&lt;0, 0, IF((((inputs!$P$13/(X24/MAX(K24:S24)))^(1/inputs!$O$13))-1)/inputs!$N$13&lt;inputs!$I$17, (((inputs!$P$13/(X24/MAX(K24:S24)))^(1/inputs!$O$13))-1)/inputs!$N$13, inputs!$I$17))</f>
        <v>997.00564950231092</v>
      </c>
      <c r="V24" s="21">
        <f>inputs!$E$87*(F24/inputs!$F$87)^(1)</f>
        <v>2.6295999999999997E-3</v>
      </c>
      <c r="W24" s="21">
        <f>inputs!$E$90*(F24/inputs!$F$90)^(1)</f>
        <v>2.7680000000000001E-3</v>
      </c>
      <c r="X24" s="21">
        <f>inputs!$E$89*(F24/inputs!$F$89)^(1)</f>
        <v>1.0336202531645569E-2</v>
      </c>
      <c r="Y24" s="21" t="s">
        <v>13</v>
      </c>
      <c r="Z24" s="63">
        <f t="shared" si="1"/>
        <v>2476.8698305121557</v>
      </c>
      <c r="AA24" s="63">
        <f t="shared" si="2"/>
        <v>2353.0263389865477</v>
      </c>
    </row>
    <row r="25" spans="1:476" ht="26.4" x14ac:dyDescent="0.25">
      <c r="A25" s="103" t="s">
        <v>693</v>
      </c>
      <c r="B25" s="20" t="s">
        <v>694</v>
      </c>
      <c r="C25" s="21" t="s">
        <v>702</v>
      </c>
      <c r="D25" s="15" t="s">
        <v>704</v>
      </c>
      <c r="E25" s="15">
        <v>1740</v>
      </c>
      <c r="F25" s="21">
        <v>13.84</v>
      </c>
      <c r="G25" s="21" t="s">
        <v>164</v>
      </c>
      <c r="H25" s="21">
        <v>0.78</v>
      </c>
      <c r="I25" s="68">
        <f>inputs!$C$66*(inputs!$C$62/1000)</f>
        <v>8.2000000000000011</v>
      </c>
      <c r="J25" s="68">
        <f>inputs!$C$66*(inputs!$C$61/1000)</f>
        <v>2.5</v>
      </c>
      <c r="K25" s="69">
        <f t="shared" si="0"/>
        <v>0.2668680802039351</v>
      </c>
      <c r="L25" s="69">
        <f t="shared" si="4"/>
        <v>8.1362219574370453E-2</v>
      </c>
      <c r="M25" s="69">
        <f>IF((((0.065*F25^0.726)/3.7-(0.301*F25^0.751)/(1-H25)*H25)*(MAX('Max rate concentrations'!$P$3:$P$368)))/F25&gt;0, (((0.065*F25^0.726)/3.7-(0.301*F25^0.751)/(1-H25)*H25)*(MAX('Max rate concentrations'!$P$3:$P$368)))/F25, 0)</f>
        <v>0</v>
      </c>
      <c r="N25" s="69">
        <f>IF((((0.065*F25^0.726)/3.7-(0.301*F25^0.751)/(1-H25)*H25)*(MAX('Max rate concentrations'!$Q$3:$Q$368)))/F25&gt;0, (((0.065*F25^0.726)/3.7-(0.301*F25^0.751)/(1-H25)*H25)*(MAX('Max rate concentrations'!$Q$3:$Q$368)))/F25, 0)</f>
        <v>0</v>
      </c>
      <c r="O25" s="69" t="s">
        <v>13</v>
      </c>
      <c r="P25" s="69" t="s">
        <v>13</v>
      </c>
      <c r="Q25" s="69">
        <f>(inputs!$C$18*11.2)*(1.131*F25^0.579)*0.5*1/F25</f>
        <v>6.2856991789638972</v>
      </c>
      <c r="R25" s="59">
        <f>(60*76.9*((F25/1000)^0.76)*3*24*(MAX('Max rate concentrations'!$R$3:$R$368))/F25)</f>
        <v>7.1504788013455672E-3</v>
      </c>
      <c r="S25" s="59">
        <f>(IF(inputs!$C$17="aerial",((0.025*0.112*inputs!$C$18/3.3)*(3*60*76.9*((F25/1000)^0.76))*MAX(inputs!$I$14:$I$16))/F25,((0.0083*0.112*inputs!$C$18/1)*(3*60*76.9*((F25/1000)^0.76))*MAX(inputs!$I$14:$I$16))/F25))</f>
        <v>3.0192674456791812E-2</v>
      </c>
      <c r="T25" s="63">
        <f>IF((((inputs!$P$13/(V25/MAX(K25:S25)))^(1/inputs!$O$13))-1)/inputs!$N$13&lt;0, 0, IF((((inputs!$P$13/(V25/MAX(K25:S25)))^(1/inputs!$O$13))-1)/inputs!$N$13&lt;inputs!$I$17, (((inputs!$P$13/(V25/MAX(K25:S25)))^(1/inputs!$O$13))-1)/inputs!$N$13, inputs!$I$17))</f>
        <v>1000</v>
      </c>
      <c r="U25" s="63">
        <f>IF((((inputs!$P$13/(X25/MAX(K25:S25)))^(1/inputs!$O$13))-1)/inputs!$N$13&lt;0, 0, IF((((inputs!$P$13/(X25/MAX(K25:S25)))^(1/inputs!$O$13))-1)/inputs!$N$13&lt;inputs!$I$17, (((inputs!$P$13/(X25/MAX(K25:S25)))^(1/inputs!$O$13))-1)/inputs!$N$13, inputs!$I$17))</f>
        <v>968.60327996967794</v>
      </c>
      <c r="V25" s="21">
        <f>inputs!$E$87*(F25/inputs!$F$87)^(1)</f>
        <v>2.6295999999999997E-3</v>
      </c>
      <c r="W25" s="21">
        <f>inputs!$E$90*(F25/inputs!$F$90)^(1)</f>
        <v>2.7680000000000001E-3</v>
      </c>
      <c r="X25" s="21">
        <f>inputs!$E$89*(F25/inputs!$F$89)^(1)</f>
        <v>1.0336202531645569E-2</v>
      </c>
      <c r="Y25" s="21" t="s">
        <v>13</v>
      </c>
      <c r="Z25" s="63">
        <f t="shared" si="1"/>
        <v>2390.3632411636363</v>
      </c>
      <c r="AA25" s="63">
        <f t="shared" si="2"/>
        <v>2270.8450791054543</v>
      </c>
    </row>
    <row r="26" spans="1:476" ht="26.4" x14ac:dyDescent="0.25">
      <c r="A26" s="103" t="s">
        <v>693</v>
      </c>
      <c r="B26" s="20" t="s">
        <v>695</v>
      </c>
      <c r="C26" s="21" t="s">
        <v>702</v>
      </c>
      <c r="D26" s="15" t="s">
        <v>704</v>
      </c>
      <c r="E26" s="15">
        <v>207</v>
      </c>
      <c r="F26" s="21">
        <v>13.84</v>
      </c>
      <c r="G26" s="21" t="s">
        <v>142</v>
      </c>
      <c r="H26" s="21">
        <v>0.69</v>
      </c>
      <c r="I26" s="68">
        <f>MAX('Max rate concentrations'!$H$3:$H$368)</f>
        <v>282</v>
      </c>
      <c r="J26" s="68">
        <f>MAX('Max rate concentrations'!AA:AA)</f>
        <v>195</v>
      </c>
      <c r="K26" s="69">
        <f t="shared" si="0"/>
        <v>6.5131769063147642</v>
      </c>
      <c r="L26" s="69">
        <f t="shared" si="4"/>
        <v>4.5037925416006344</v>
      </c>
      <c r="M26" s="69">
        <f>IF((((0.065*F26^0.726)/3.7-(0.301*F26^0.751)/(1-H26)*H26)*(MAX('Max rate concentrations'!$P$3:$P$368)))/F26&gt;0, (((0.065*F26^0.726)/3.7-(0.301*F26^0.751)/(1-H26)*H26)*(MAX('Max rate concentrations'!$P$3:$P$368)))/F26, 0)</f>
        <v>0</v>
      </c>
      <c r="N26" s="69">
        <f>IF((((0.065*F26^0.726)/3.7-(0.301*F26^0.751)/(1-H26)*H26)*(MAX('Max rate concentrations'!$Q$3:$Q$368)))/F26&gt;0, (((0.065*F26^0.726)/3.7-(0.301*F26^0.751)/(1-H26)*H26)*(MAX('Max rate concentrations'!$Q$3:$Q$368)))/F26, 0)</f>
        <v>0</v>
      </c>
      <c r="O26" s="69" t="s">
        <v>13</v>
      </c>
      <c r="P26" s="69" t="s">
        <v>13</v>
      </c>
      <c r="Q26" s="69">
        <f>(inputs!$C$18*11.2)*(1.131*F26^0.579)*0.5*1/F26</f>
        <v>6.2856991789638972</v>
      </c>
      <c r="R26" s="59">
        <f>(60*76.9*((F26/1000)^0.76)*3*24*(MAX('Max rate concentrations'!$R$3:$R$368))/F26)</f>
        <v>7.1504788013455672E-3</v>
      </c>
      <c r="S26" s="59">
        <f>(IF(inputs!$C$17="aerial",((0.025*0.112*inputs!$C$18/3.3)*(3*60*76.9*((F26/1000)^0.76))*MAX(inputs!$I$14:$I$16))/F26,((0.0083*0.112*inputs!$C$18/1)*(3*60*76.9*((F26/1000)^0.76))*MAX(inputs!$I$14:$I$16))/F26))</f>
        <v>3.0192674456791812E-2</v>
      </c>
      <c r="T26" s="63">
        <f>IF((((inputs!$P$13/(V26/MAX(K26:S26)))^(1/inputs!$O$13))-1)/inputs!$N$13&lt;0, 0, IF((((inputs!$P$13/(V26/MAX(K26:S26)))^(1/inputs!$O$13))-1)/inputs!$N$13&lt;inputs!$I$17, (((inputs!$P$13/(V26/MAX(K26:S26)))^(1/inputs!$O$13))-1)/inputs!$N$13, inputs!$I$17))</f>
        <v>1000</v>
      </c>
      <c r="U26" s="63">
        <f>IF((((inputs!$P$13/(X26/MAX(K26:S26)))^(1/inputs!$O$13))-1)/inputs!$N$13&lt;0, 0, IF((((inputs!$P$13/(X26/MAX(K26:S26)))^(1/inputs!$O$13))-1)/inputs!$N$13&lt;inputs!$I$17, (((inputs!$P$13/(X26/MAX(K26:S26)))^(1/inputs!$O$13))-1)/inputs!$N$13, inputs!$I$17))</f>
        <v>997.00564950231092</v>
      </c>
      <c r="V26" s="21">
        <f>inputs!$E$87*(F26/inputs!$F$87)^(1)</f>
        <v>2.6295999999999997E-3</v>
      </c>
      <c r="W26" s="21">
        <f>inputs!$E$90*(F26/inputs!$F$90)^(1)</f>
        <v>2.7680000000000001E-3</v>
      </c>
      <c r="X26" s="21">
        <f>inputs!$E$89*(F26/inputs!$F$89)^(1)</f>
        <v>1.0336202531645569E-2</v>
      </c>
      <c r="Y26" s="21" t="s">
        <v>13</v>
      </c>
      <c r="Z26" s="63">
        <f t="shared" si="1"/>
        <v>2476.8698305121557</v>
      </c>
      <c r="AA26" s="63">
        <f t="shared" si="2"/>
        <v>2353.0263389865477</v>
      </c>
    </row>
    <row r="27" spans="1:476" ht="26.4" x14ac:dyDescent="0.25">
      <c r="A27" s="103" t="s">
        <v>693</v>
      </c>
      <c r="B27" s="20" t="s">
        <v>695</v>
      </c>
      <c r="C27" s="21" t="s">
        <v>702</v>
      </c>
      <c r="D27" s="15" t="s">
        <v>704</v>
      </c>
      <c r="E27" s="15">
        <v>207</v>
      </c>
      <c r="F27" s="21">
        <v>13.84</v>
      </c>
      <c r="G27" s="21" t="s">
        <v>164</v>
      </c>
      <c r="H27" s="21">
        <v>0.78</v>
      </c>
      <c r="I27" s="68">
        <f>inputs!$C$66*(inputs!$C$62/1000)</f>
        <v>8.2000000000000011</v>
      </c>
      <c r="J27" s="68">
        <f>inputs!$C$66*(inputs!$C$61/1000)</f>
        <v>2.5</v>
      </c>
      <c r="K27" s="69">
        <f t="shared" si="0"/>
        <v>0.2668680802039351</v>
      </c>
      <c r="L27" s="69">
        <f t="shared" si="4"/>
        <v>8.1362219574370453E-2</v>
      </c>
      <c r="M27" s="69">
        <f>IF((((0.065*F27^0.726)/3.7-(0.301*F27^0.751)/(1-H27)*H27)*(MAX('Max rate concentrations'!$P$3:$P$368)))/F27&gt;0, (((0.065*F27^0.726)/3.7-(0.301*F27^0.751)/(1-H27)*H27)*(MAX('Max rate concentrations'!$P$3:$P$368)))/F27, 0)</f>
        <v>0</v>
      </c>
      <c r="N27" s="69">
        <f>IF((((0.065*F27^0.726)/3.7-(0.301*F27^0.751)/(1-H27)*H27)*(MAX('Max rate concentrations'!$Q$3:$Q$368)))/F27&gt;0, (((0.065*F27^0.726)/3.7-(0.301*F27^0.751)/(1-H27)*H27)*(MAX('Max rate concentrations'!$Q$3:$Q$368)))/F27, 0)</f>
        <v>0</v>
      </c>
      <c r="O27" s="69" t="s">
        <v>13</v>
      </c>
      <c r="P27" s="69" t="s">
        <v>13</v>
      </c>
      <c r="Q27" s="69">
        <f>(inputs!$C$18*11.2)*(1.131*F27^0.579)*0.5*1/F27</f>
        <v>6.2856991789638972</v>
      </c>
      <c r="R27" s="59">
        <f>(60*76.9*((F27/1000)^0.76)*3*24*(MAX('Max rate concentrations'!$R$3:$R$368))/F27)</f>
        <v>7.1504788013455672E-3</v>
      </c>
      <c r="S27" s="59">
        <f>(IF(inputs!$C$17="aerial",((0.025*0.112*inputs!$C$18/3.3)*(3*60*76.9*((F27/1000)^0.76))*MAX(inputs!$I$14:$I$16))/F27,((0.0083*0.112*inputs!$C$18/1)*(3*60*76.9*((F27/1000)^0.76))*MAX(inputs!$I$14:$I$16))/F27))</f>
        <v>3.0192674456791812E-2</v>
      </c>
      <c r="T27" s="63">
        <f>IF((((inputs!$P$13/(V27/MAX(K27:S27)))^(1/inputs!$O$13))-1)/inputs!$N$13&lt;0, 0, IF((((inputs!$P$13/(V27/MAX(K27:S27)))^(1/inputs!$O$13))-1)/inputs!$N$13&lt;inputs!$I$17, (((inputs!$P$13/(V27/MAX(K27:S27)))^(1/inputs!$O$13))-1)/inputs!$N$13, inputs!$I$17))</f>
        <v>1000</v>
      </c>
      <c r="U27" s="63">
        <f>IF((((inputs!$P$13/(X27/MAX(K27:S27)))^(1/inputs!$O$13))-1)/inputs!$N$13&lt;0, 0, IF((((inputs!$P$13/(X27/MAX(K27:S27)))^(1/inputs!$O$13))-1)/inputs!$N$13&lt;inputs!$I$17, (((inputs!$P$13/(X27/MAX(K27:S27)))^(1/inputs!$O$13))-1)/inputs!$N$13, inputs!$I$17))</f>
        <v>968.60327996967794</v>
      </c>
      <c r="V27" s="21">
        <f>inputs!$E$87*(F27/inputs!$F$87)^(1)</f>
        <v>2.6295999999999997E-3</v>
      </c>
      <c r="W27" s="21">
        <f>inputs!$E$90*(F27/inputs!$F$90)^(1)</f>
        <v>2.7680000000000001E-3</v>
      </c>
      <c r="X27" s="21">
        <f>inputs!$E$89*(F27/inputs!$F$89)^(1)</f>
        <v>1.0336202531645569E-2</v>
      </c>
      <c r="Y27" s="21" t="s">
        <v>13</v>
      </c>
      <c r="Z27" s="63">
        <f t="shared" si="1"/>
        <v>2390.3632411636363</v>
      </c>
      <c r="AA27" s="63">
        <f t="shared" si="2"/>
        <v>2270.8450791054543</v>
      </c>
    </row>
    <row r="28" spans="1:476" x14ac:dyDescent="0.25">
      <c r="A28" s="103" t="s">
        <v>696</v>
      </c>
      <c r="B28" s="20" t="s">
        <v>697</v>
      </c>
      <c r="C28" s="21" t="s">
        <v>702</v>
      </c>
      <c r="D28" s="15" t="s">
        <v>704</v>
      </c>
      <c r="E28" s="15">
        <v>4090</v>
      </c>
      <c r="F28" s="21">
        <v>8</v>
      </c>
      <c r="G28" s="21" t="s">
        <v>182</v>
      </c>
      <c r="H28" s="21">
        <v>0.85</v>
      </c>
      <c r="I28" s="68">
        <f>MAX('Max rate concentrations'!$M$3:$M$368)</f>
        <v>17.092910873809167</v>
      </c>
      <c r="J28" s="68">
        <f>MAX('Max rate concentrations'!AE:AE)</f>
        <v>11.81956602976166</v>
      </c>
      <c r="K28" s="69">
        <f t="shared" si="0"/>
        <v>0.9239887730177937</v>
      </c>
      <c r="L28" s="69">
        <f t="shared" si="4"/>
        <v>0.63892840687400632</v>
      </c>
      <c r="M28" s="69">
        <f>IF((((0.065*F28^0.726)/3.7-(0.301*F28^0.751)/(1-H28)*H28)*(MAX('Max rate concentrations'!$P$3:$P$368)))/F28&gt;0, (((0.065*F28^0.726)/3.7-(0.301*F28^0.751)/(1-H28)*H28)*(MAX('Max rate concentrations'!$P$3:$P$368)))/F28, 0)</f>
        <v>0</v>
      </c>
      <c r="N28" s="69">
        <f>IF((((0.065*F28^0.726)/3.7-(0.301*F28^0.751)/(1-H28)*H28)*(MAX('Max rate concentrations'!$Q$3:$Q$368)))/F28&gt;0, (((0.065*F28^0.726)/3.7-(0.301*F28^0.751)/(1-H28)*H28)*(MAX('Max rate concentrations'!$Q$3:$Q$368)))/F28, 0)</f>
        <v>0</v>
      </c>
      <c r="O28" s="69" t="s">
        <v>13</v>
      </c>
      <c r="P28" s="69" t="s">
        <v>13</v>
      </c>
      <c r="Q28" s="69">
        <f>(inputs!$C$18*11.2)*(1.131*F28^0.579)*0.5*1/F28</f>
        <v>7.9171888092954363</v>
      </c>
      <c r="R28" s="59">
        <f>(60*76.9*((F28/1000)^0.76)*3*24*(MAX('Max rate concentrations'!$R$3:$R$368))/F28)</f>
        <v>8.1557928811495147E-3</v>
      </c>
      <c r="S28" s="59">
        <f>(IF(inputs!$C$17="aerial",((0.025*0.112*inputs!$C$18/3.3)*(3*60*76.9*((F28/1000)^0.76))*MAX(inputs!$I$14:$I$16))/F28,((0.0083*0.112*inputs!$C$18/1)*(3*60*76.9*((F28/1000)^0.76))*MAX(inputs!$I$14:$I$16))/F28))</f>
        <v>3.4437581907274417E-2</v>
      </c>
      <c r="T28" s="63">
        <f>IF((((inputs!$P$13/(V28/MAX(K28:S28)))^(1/inputs!$O$13))-1)/inputs!$N$13&lt;0, 0, IF((((inputs!$P$13/(V28/MAX(K28:S28)))^(1/inputs!$O$13))-1)/inputs!$N$13&lt;inputs!$I$17, (((inputs!$P$13/(V28/MAX(K28:S28)))^(1/inputs!$O$13))-1)/inputs!$N$13, inputs!$I$17))</f>
        <v>1000</v>
      </c>
      <c r="U28" s="63">
        <f>IF((((inputs!$P$13/(X28/MAX(K28:S28)))^(1/inputs!$O$13))-1)/inputs!$N$13&lt;0, 0, IF((((inputs!$P$13/(X28/MAX(K28:S28)))^(1/inputs!$O$13))-1)/inputs!$N$13&lt;inputs!$I$17, (((inputs!$P$13/(X28/MAX(K28:S28)))^(1/inputs!$O$13))-1)/inputs!$N$13, inputs!$I$17))</f>
        <v>1000</v>
      </c>
      <c r="V28" s="21">
        <f>inputs!$E$87*(F28/inputs!$F$87)^(1)</f>
        <v>1.5200000000000001E-3</v>
      </c>
      <c r="W28" s="21">
        <f>inputs!$E$90*(F28/inputs!$F$90)^(1)</f>
        <v>1.6000000000000001E-3</v>
      </c>
      <c r="X28" s="21">
        <f>inputs!$E$89*(F28/inputs!$F$89)^(1)</f>
        <v>5.9746835443037971E-3</v>
      </c>
      <c r="Y28" s="21" t="s">
        <v>13</v>
      </c>
      <c r="Z28" s="63">
        <f t="shared" si="1"/>
        <v>5208.6768482206817</v>
      </c>
      <c r="AA28" s="63">
        <f t="shared" si="2"/>
        <v>4948.2430058096479</v>
      </c>
    </row>
    <row r="29" spans="1:476" x14ac:dyDescent="0.25">
      <c r="A29" s="103" t="s">
        <v>696</v>
      </c>
      <c r="B29" s="20" t="s">
        <v>697</v>
      </c>
      <c r="C29" s="21" t="s">
        <v>702</v>
      </c>
      <c r="D29" s="15" t="s">
        <v>704</v>
      </c>
      <c r="E29" s="15">
        <v>4090</v>
      </c>
      <c r="F29" s="21">
        <v>8</v>
      </c>
      <c r="G29" s="21" t="s">
        <v>142</v>
      </c>
      <c r="H29" s="21">
        <v>0.69</v>
      </c>
      <c r="I29" s="68">
        <f>MAX('Max rate concentrations'!$H$3:$H$368)</f>
        <v>282</v>
      </c>
      <c r="J29" s="68">
        <f>MAX('Max rate concentrations'!AA:AA)</f>
        <v>195</v>
      </c>
      <c r="K29" s="69">
        <f t="shared" si="0"/>
        <v>7.3761432042530499</v>
      </c>
      <c r="L29" s="69">
        <f t="shared" si="4"/>
        <v>5.1005245561324282</v>
      </c>
      <c r="M29" s="69">
        <f>IF((((0.065*F29^0.726)/3.7-(0.301*F29^0.751)/(1-H29)*H29)*(MAX('Max rate concentrations'!$P$3:$P$368)))/F29&gt;0, (((0.065*F29^0.726)/3.7-(0.301*F29^0.751)/(1-H29)*H29)*(MAX('Max rate concentrations'!$P$3:$P$368)))/F29, 0)</f>
        <v>0</v>
      </c>
      <c r="N29" s="69">
        <f>IF((((0.065*F29^0.726)/3.7-(0.301*F29^0.751)/(1-H29)*H29)*(MAX('Max rate concentrations'!$Q$3:$Q$368)))/F29&gt;0, (((0.065*F29^0.726)/3.7-(0.301*F29^0.751)/(1-H29)*H29)*(MAX('Max rate concentrations'!$Q$3:$Q$368)))/F29, 0)</f>
        <v>0</v>
      </c>
      <c r="O29" s="69" t="s">
        <v>13</v>
      </c>
      <c r="P29" s="69" t="s">
        <v>13</v>
      </c>
      <c r="Q29" s="69">
        <f>(inputs!$C$18*11.2)*(1.131*F29^0.579)*0.5*1/F29</f>
        <v>7.9171888092954363</v>
      </c>
      <c r="R29" s="59">
        <f>(60*76.9*((F29/1000)^0.76)*3*24*(MAX('Max rate concentrations'!$R$3:$R$368))/F29)</f>
        <v>8.1557928811495147E-3</v>
      </c>
      <c r="S29" s="59">
        <f>(IF(inputs!$C$17="aerial",((0.025*0.112*inputs!$C$18/3.3)*(3*60*76.9*((F29/1000)^0.76))*MAX(inputs!$I$14:$I$16))/F29,((0.0083*0.112*inputs!$C$18/1)*(3*60*76.9*((F29/1000)^0.76))*MAX(inputs!$I$14:$I$16))/F29))</f>
        <v>3.4437581907274417E-2</v>
      </c>
      <c r="T29" s="63">
        <f>IF((((inputs!$P$13/(V29/MAX(K29:S29)))^(1/inputs!$O$13))-1)/inputs!$N$13&lt;0, 0, IF((((inputs!$P$13/(V29/MAX(K29:S29)))^(1/inputs!$O$13))-1)/inputs!$N$13&lt;inputs!$I$17, (((inputs!$P$13/(V29/MAX(K29:S29)))^(1/inputs!$O$13))-1)/inputs!$N$13, inputs!$I$17))</f>
        <v>1000</v>
      </c>
      <c r="U29" s="63">
        <f>IF((((inputs!$P$13/(X29/MAX(K29:S29)))^(1/inputs!$O$13))-1)/inputs!$N$13&lt;0, 0, IF((((inputs!$P$13/(X29/MAX(K29:S29)))^(1/inputs!$O$13))-1)/inputs!$N$13&lt;inputs!$I$17, (((inputs!$P$13/(X29/MAX(K29:S29)))^(1/inputs!$O$13))-1)/inputs!$N$13, inputs!$I$17))</f>
        <v>1000</v>
      </c>
      <c r="V29" s="21">
        <f>inputs!$E$87*(F29/inputs!$F$87)^(1)</f>
        <v>1.5200000000000001E-3</v>
      </c>
      <c r="W29" s="21">
        <f>inputs!$E$90*(F29/inputs!$F$90)^(1)</f>
        <v>1.6000000000000001E-3</v>
      </c>
      <c r="X29" s="21">
        <f>inputs!$E$89*(F29/inputs!$F$89)^(1)</f>
        <v>5.9746835443037971E-3</v>
      </c>
      <c r="Y29" s="21" t="s">
        <v>13</v>
      </c>
      <c r="Z29" s="63">
        <f t="shared" si="1"/>
        <v>5208.6768482206817</v>
      </c>
      <c r="AA29" s="63">
        <f t="shared" si="2"/>
        <v>4948.2430058096479</v>
      </c>
    </row>
    <row r="30" spans="1:476" x14ac:dyDescent="0.25">
      <c r="A30" s="103" t="s">
        <v>677</v>
      </c>
      <c r="B30" s="20" t="s">
        <v>678</v>
      </c>
      <c r="C30" s="21" t="s">
        <v>702</v>
      </c>
      <c r="D30" s="15" t="s">
        <v>704</v>
      </c>
      <c r="E30" s="15">
        <v>195</v>
      </c>
      <c r="F30" s="21">
        <v>57</v>
      </c>
      <c r="G30" s="21" t="s">
        <v>142</v>
      </c>
      <c r="H30" s="21">
        <v>0.69</v>
      </c>
      <c r="I30" s="68">
        <f>MAX('Max rate concentrations'!$H$3:$H$368)</f>
        <v>282</v>
      </c>
      <c r="J30" s="68">
        <f>MAX('Max rate concentrations'!AA:AA)</f>
        <v>195</v>
      </c>
      <c r="K30" s="69">
        <f t="shared" si="0"/>
        <v>4.7233178790254113</v>
      </c>
      <c r="L30" s="69">
        <f t="shared" si="4"/>
        <v>3.2661240652835293</v>
      </c>
      <c r="M30" s="69">
        <f>IF((((0.065*F30^0.726)/3.7-(0.301*F30^0.751)/(1-H30)*H30)*(MAX('Max rate concentrations'!$P$3:$P$368)))/F30&gt;0, (((0.065*F30^0.726)/3.7-(0.301*F30^0.751)/(1-H30)*H30)*(MAX('Max rate concentrations'!$P$3:$P$368)))/F30, 0)</f>
        <v>0</v>
      </c>
      <c r="N30" s="69">
        <f>IF((((0.065*F30^0.726)/3.7-(0.301*F30^0.751)/(1-H30)*H30)*(MAX('Max rate concentrations'!$Q$3:$Q$368)))/F30&gt;0, (((0.065*F30^0.726)/3.7-(0.301*F30^0.751)/(1-H30)*H30)*(MAX('Max rate concentrations'!$Q$3:$Q$368)))/F30, 0)</f>
        <v>0</v>
      </c>
      <c r="O30" s="69" t="s">
        <v>13</v>
      </c>
      <c r="P30" s="69" t="s">
        <v>13</v>
      </c>
      <c r="Q30" s="69">
        <f>(inputs!$C$18*11.2)*(1.131*F30^0.579)*0.5*1/F30</f>
        <v>3.4637662193583938</v>
      </c>
      <c r="R30" s="59">
        <f>(60*76.9*((F30/1000)^0.76)*3*24*(MAX('Max rate concentrations'!$R$3:$R$368))/F30)</f>
        <v>5.0909381372522561E-3</v>
      </c>
      <c r="S30" s="59">
        <f>(IF(inputs!$C$17="aerial",((0.025*0.112*inputs!$C$18/3.3)*(3*60*76.9*((F30/1000)^0.76))*MAX(inputs!$I$14:$I$16))/F30,((0.0083*0.112*inputs!$C$18/1)*(3*60*76.9*((F30/1000)^0.76))*MAX(inputs!$I$14:$I$16))/F30))</f>
        <v>2.1496328026145432E-2</v>
      </c>
      <c r="T30" s="63">
        <f>IF((((inputs!$P$13/(V30/MAX(K30:S30)))^(1/inputs!$O$13))-1)/inputs!$N$13&lt;0, 0, IF((((inputs!$P$13/(V30/MAX(K30:S30)))^(1/inputs!$O$13))-1)/inputs!$N$13&lt;inputs!$I$17, (((inputs!$P$13/(V30/MAX(K30:S30)))^(1/inputs!$O$13))-1)/inputs!$N$13, inputs!$I$17))</f>
        <v>739.04650984381237</v>
      </c>
      <c r="U30" s="63">
        <f>IF((((inputs!$P$13/(X30/MAX(K30:S30)))^(1/inputs!$O$13))-1)/inputs!$N$13&lt;0, 0, IF((((inputs!$P$13/(X30/MAX(K30:S30)))^(1/inputs!$O$13))-1)/inputs!$N$13&lt;inputs!$I$17, (((inputs!$P$13/(X30/MAX(K30:S30)))^(1/inputs!$O$13))-1)/inputs!$N$13, inputs!$I$17))</f>
        <v>240.81067415286284</v>
      </c>
      <c r="V30" s="21">
        <f>inputs!$E$87*(F30/inputs!$F$87)^(1)</f>
        <v>1.0829999999999999E-2</v>
      </c>
      <c r="W30" s="21">
        <f>inputs!$E$90*(F30/inputs!$F$90)^(1)</f>
        <v>1.1399999999999999E-2</v>
      </c>
      <c r="X30" s="21">
        <f>inputs!$E$89*(F30/inputs!$F$89)^(1)</f>
        <v>4.2569620253164554E-2</v>
      </c>
      <c r="Y30" s="21" t="s">
        <v>13</v>
      </c>
      <c r="Z30" s="63">
        <f t="shared" si="1"/>
        <v>436.13276814639073</v>
      </c>
      <c r="AA30" s="63">
        <f t="shared" si="2"/>
        <v>414.32612973907123</v>
      </c>
      <c r="AB30" s="107"/>
      <c r="AC30" s="107"/>
      <c r="AD30" s="107"/>
      <c r="AE30" s="107"/>
      <c r="AF30" s="107"/>
      <c r="AG30" s="107"/>
      <c r="AH30" s="107"/>
      <c r="AI30" s="107"/>
      <c r="AJ30" s="107"/>
      <c r="AK30" s="107"/>
      <c r="AL30" s="107"/>
      <c r="AM30" s="107"/>
      <c r="AN30" s="107"/>
      <c r="AO30" s="107"/>
      <c r="AP30" s="107"/>
      <c r="AQ30" s="107"/>
      <c r="AR30" s="107"/>
      <c r="AS30" s="107"/>
      <c r="AT30" s="107"/>
      <c r="AU30" s="107"/>
      <c r="AV30" s="107"/>
      <c r="AW30" s="107"/>
      <c r="AX30" s="107"/>
      <c r="AY30" s="107"/>
      <c r="AZ30" s="107"/>
      <c r="BA30" s="107"/>
      <c r="BB30" s="107"/>
      <c r="BC30" s="107"/>
      <c r="BD30" s="107"/>
      <c r="BE30" s="107"/>
      <c r="BF30" s="107"/>
      <c r="BG30" s="107"/>
      <c r="BH30" s="107"/>
      <c r="BI30" s="107"/>
      <c r="BJ30" s="107"/>
      <c r="BK30" s="107"/>
      <c r="BL30" s="107"/>
      <c r="BM30" s="107"/>
      <c r="BN30" s="107"/>
      <c r="BO30" s="107"/>
      <c r="BP30" s="107"/>
      <c r="BQ30" s="107"/>
      <c r="BR30" s="107"/>
      <c r="BS30" s="107"/>
      <c r="BT30" s="107"/>
      <c r="BU30" s="107"/>
      <c r="BV30" s="107"/>
      <c r="BW30" s="107"/>
      <c r="BX30" s="107"/>
      <c r="BY30" s="107"/>
      <c r="BZ30" s="107"/>
      <c r="CA30" s="107"/>
      <c r="CB30" s="107"/>
      <c r="CC30" s="107"/>
      <c r="CD30" s="107"/>
      <c r="CE30" s="107"/>
      <c r="CF30" s="107"/>
      <c r="CG30" s="107"/>
      <c r="CH30" s="107"/>
      <c r="CI30" s="107"/>
      <c r="CJ30" s="107"/>
      <c r="CK30" s="107"/>
      <c r="CL30" s="107"/>
      <c r="CM30" s="107"/>
      <c r="CN30" s="107"/>
      <c r="CO30" s="107"/>
      <c r="CP30" s="107"/>
      <c r="CQ30" s="107"/>
      <c r="CR30" s="107"/>
      <c r="CS30" s="107"/>
      <c r="CT30" s="107"/>
      <c r="CU30" s="107"/>
      <c r="CV30" s="107"/>
      <c r="CW30" s="107"/>
      <c r="CX30" s="107"/>
      <c r="CY30" s="107"/>
      <c r="CZ30" s="107"/>
      <c r="DA30" s="107"/>
      <c r="DB30" s="107"/>
      <c r="DC30" s="107"/>
      <c r="DD30" s="107"/>
      <c r="DE30" s="107"/>
      <c r="DF30" s="107"/>
      <c r="DG30" s="107"/>
      <c r="DH30" s="107"/>
      <c r="DI30" s="107"/>
      <c r="DJ30" s="107"/>
      <c r="DK30" s="107"/>
      <c r="DL30" s="107"/>
      <c r="DM30" s="107"/>
      <c r="DN30" s="107"/>
      <c r="DO30" s="107"/>
      <c r="DP30" s="107"/>
      <c r="DQ30" s="107"/>
      <c r="DR30" s="107"/>
      <c r="DS30" s="107"/>
      <c r="DT30" s="107"/>
      <c r="DU30" s="107"/>
      <c r="DV30" s="107"/>
      <c r="DW30" s="107"/>
      <c r="DX30" s="107"/>
      <c r="DY30" s="107"/>
      <c r="DZ30" s="107"/>
      <c r="EA30" s="107"/>
      <c r="EB30" s="107"/>
      <c r="EC30" s="107"/>
      <c r="ED30" s="107"/>
      <c r="EE30" s="107"/>
      <c r="EF30" s="107"/>
      <c r="EG30" s="107"/>
      <c r="EH30" s="107"/>
      <c r="EI30" s="107"/>
      <c r="EJ30" s="107"/>
      <c r="EK30" s="107"/>
      <c r="EL30" s="107"/>
      <c r="EM30" s="107"/>
      <c r="EN30" s="107"/>
      <c r="EO30" s="107"/>
      <c r="EP30" s="107"/>
      <c r="EQ30" s="107"/>
      <c r="ER30" s="107"/>
      <c r="ES30" s="107"/>
      <c r="ET30" s="107"/>
      <c r="EU30" s="107"/>
      <c r="EV30" s="107"/>
      <c r="EW30" s="107"/>
      <c r="EX30" s="107"/>
      <c r="EY30" s="107"/>
      <c r="EZ30" s="107"/>
      <c r="FA30" s="107"/>
      <c r="FB30" s="107"/>
      <c r="FC30" s="107"/>
      <c r="FD30" s="107"/>
      <c r="FE30" s="107"/>
      <c r="FF30" s="107"/>
      <c r="FG30" s="107"/>
      <c r="FH30" s="107"/>
      <c r="FI30" s="107"/>
      <c r="FJ30" s="107"/>
      <c r="FK30" s="107"/>
      <c r="FL30" s="107"/>
      <c r="FM30" s="107"/>
      <c r="FN30" s="107"/>
      <c r="FO30" s="107"/>
      <c r="FP30" s="107"/>
      <c r="FQ30" s="107"/>
      <c r="FR30" s="107"/>
      <c r="FS30" s="107"/>
      <c r="FT30" s="107"/>
      <c r="FU30" s="107"/>
      <c r="FV30" s="107"/>
      <c r="FW30" s="107"/>
      <c r="FX30" s="107"/>
      <c r="FY30" s="107"/>
      <c r="FZ30" s="107"/>
      <c r="GA30" s="107"/>
      <c r="GB30" s="107"/>
      <c r="GC30" s="107"/>
      <c r="GD30" s="107"/>
      <c r="GE30" s="107"/>
      <c r="GF30" s="107"/>
      <c r="GG30" s="107"/>
      <c r="GH30" s="107"/>
      <c r="GI30" s="107"/>
      <c r="GJ30" s="107"/>
      <c r="GK30" s="107"/>
      <c r="GL30" s="107"/>
      <c r="GM30" s="107"/>
      <c r="GN30" s="107"/>
      <c r="GO30" s="107"/>
      <c r="GP30" s="107"/>
      <c r="GQ30" s="107"/>
      <c r="GR30" s="107"/>
      <c r="GS30" s="107"/>
      <c r="GT30" s="107"/>
      <c r="GU30" s="107"/>
      <c r="GV30" s="107"/>
      <c r="GW30" s="107"/>
      <c r="GX30" s="107"/>
      <c r="GY30" s="107"/>
      <c r="GZ30" s="107"/>
      <c r="HA30" s="107"/>
      <c r="HB30" s="107"/>
      <c r="HC30" s="107"/>
      <c r="HD30" s="107"/>
      <c r="HE30" s="107"/>
      <c r="HF30" s="107"/>
      <c r="HG30" s="107"/>
      <c r="HH30" s="107"/>
      <c r="HI30" s="107"/>
      <c r="HJ30" s="107"/>
      <c r="HK30" s="107"/>
      <c r="HL30" s="107"/>
      <c r="HM30" s="107"/>
      <c r="HN30" s="107"/>
      <c r="HO30" s="107"/>
      <c r="HP30" s="107"/>
      <c r="HQ30" s="107"/>
      <c r="HR30" s="107"/>
      <c r="HS30" s="107"/>
      <c r="HT30" s="107"/>
      <c r="HU30" s="107"/>
      <c r="HV30" s="107"/>
      <c r="HW30" s="107"/>
      <c r="HX30" s="107"/>
      <c r="HY30" s="107"/>
      <c r="HZ30" s="107"/>
      <c r="IA30" s="107"/>
      <c r="IB30" s="107"/>
      <c r="IC30" s="107"/>
      <c r="ID30" s="107"/>
      <c r="IE30" s="107"/>
      <c r="IF30" s="107"/>
      <c r="IG30" s="107"/>
      <c r="IH30" s="107"/>
      <c r="II30" s="107"/>
      <c r="IJ30" s="107"/>
      <c r="IK30" s="107"/>
      <c r="IL30" s="107"/>
      <c r="IM30" s="107"/>
      <c r="IN30" s="107"/>
      <c r="IO30" s="107"/>
      <c r="IP30" s="107"/>
      <c r="IQ30" s="107"/>
      <c r="IR30" s="107"/>
      <c r="IS30" s="107"/>
      <c r="IT30" s="107"/>
      <c r="IU30" s="107"/>
      <c r="IV30" s="107"/>
      <c r="IW30" s="107"/>
      <c r="IX30" s="107"/>
      <c r="IY30" s="107"/>
      <c r="IZ30" s="107"/>
      <c r="JA30" s="107"/>
      <c r="JB30" s="107"/>
      <c r="JC30" s="107"/>
      <c r="JD30" s="107"/>
      <c r="JE30" s="107"/>
      <c r="JF30" s="107"/>
      <c r="JG30" s="107"/>
      <c r="JH30" s="107"/>
      <c r="JI30" s="107"/>
      <c r="JJ30" s="107"/>
      <c r="JK30" s="107"/>
      <c r="JL30" s="107"/>
      <c r="JM30" s="107"/>
      <c r="JN30" s="107"/>
      <c r="JO30" s="107"/>
      <c r="JP30" s="107"/>
      <c r="JQ30" s="107"/>
      <c r="JR30" s="107"/>
      <c r="JS30" s="107"/>
      <c r="JT30" s="107"/>
      <c r="JU30" s="107"/>
      <c r="JV30" s="107"/>
      <c r="JW30" s="107"/>
      <c r="JX30" s="107"/>
      <c r="JY30" s="107"/>
      <c r="JZ30" s="107"/>
      <c r="KA30" s="107"/>
      <c r="KB30" s="107"/>
      <c r="KC30" s="107"/>
      <c r="KD30" s="107"/>
      <c r="KE30" s="107"/>
      <c r="KF30" s="107"/>
      <c r="KG30" s="107"/>
      <c r="KH30" s="107"/>
      <c r="KI30" s="107"/>
      <c r="KJ30" s="107"/>
      <c r="KK30" s="107"/>
      <c r="KL30" s="107"/>
      <c r="KM30" s="107"/>
      <c r="KN30" s="107"/>
      <c r="KO30" s="107"/>
      <c r="KP30" s="107"/>
      <c r="KQ30" s="107"/>
      <c r="KR30" s="107"/>
      <c r="KS30" s="107"/>
      <c r="KT30" s="107"/>
      <c r="KU30" s="107"/>
      <c r="KV30" s="107"/>
      <c r="KW30" s="107"/>
      <c r="KX30" s="107"/>
      <c r="KY30" s="107"/>
      <c r="KZ30" s="107"/>
      <c r="LA30" s="107"/>
      <c r="LB30" s="107"/>
      <c r="LC30" s="107"/>
      <c r="LD30" s="107"/>
      <c r="LE30" s="107"/>
      <c r="LF30" s="107"/>
      <c r="LG30" s="107"/>
      <c r="LH30" s="107"/>
      <c r="LI30" s="107"/>
      <c r="LJ30" s="107"/>
      <c r="LK30" s="107"/>
      <c r="LL30" s="107"/>
      <c r="LM30" s="107"/>
      <c r="LN30" s="107"/>
      <c r="LO30" s="107"/>
      <c r="LP30" s="107"/>
      <c r="LQ30" s="107"/>
      <c r="LR30" s="107"/>
      <c r="LS30" s="107"/>
      <c r="LT30" s="107"/>
      <c r="LU30" s="107"/>
      <c r="LV30" s="107"/>
      <c r="LW30" s="107"/>
      <c r="LX30" s="107"/>
      <c r="LY30" s="107"/>
      <c r="LZ30" s="107"/>
      <c r="MA30" s="107"/>
      <c r="MB30" s="107"/>
      <c r="MC30" s="107"/>
      <c r="MD30" s="107"/>
      <c r="ME30" s="107"/>
      <c r="MF30" s="107"/>
      <c r="MG30" s="107"/>
      <c r="MH30" s="107"/>
      <c r="MI30" s="107"/>
      <c r="MJ30" s="107"/>
      <c r="MK30" s="107"/>
      <c r="ML30" s="107"/>
      <c r="MM30" s="107"/>
      <c r="MN30" s="107"/>
      <c r="MO30" s="107"/>
      <c r="MP30" s="107"/>
      <c r="MQ30" s="107"/>
      <c r="MR30" s="107"/>
      <c r="MS30" s="107"/>
      <c r="MT30" s="107"/>
      <c r="MU30" s="107"/>
      <c r="MV30" s="107"/>
      <c r="MW30" s="107"/>
      <c r="MX30" s="107"/>
      <c r="MY30" s="107"/>
      <c r="MZ30" s="107"/>
      <c r="NA30" s="107"/>
      <c r="NB30" s="107"/>
      <c r="NC30" s="107"/>
      <c r="ND30" s="107"/>
      <c r="NE30" s="107"/>
      <c r="NF30" s="107"/>
      <c r="NG30" s="107"/>
      <c r="NH30" s="107"/>
      <c r="NI30" s="107"/>
      <c r="NJ30" s="107"/>
      <c r="NK30" s="107"/>
      <c r="NL30" s="107"/>
      <c r="NM30" s="107"/>
      <c r="NN30" s="107"/>
      <c r="NO30" s="107"/>
      <c r="NP30" s="107"/>
      <c r="NQ30" s="107"/>
      <c r="NR30" s="107"/>
      <c r="NS30" s="107"/>
      <c r="NT30" s="107"/>
      <c r="NU30" s="107"/>
      <c r="NV30" s="107"/>
      <c r="NW30" s="107"/>
      <c r="NX30" s="107"/>
      <c r="NY30" s="107"/>
      <c r="NZ30" s="107"/>
      <c r="OA30" s="107"/>
      <c r="OB30" s="107"/>
      <c r="OC30" s="107"/>
      <c r="OD30" s="107"/>
      <c r="OE30" s="107"/>
      <c r="OF30" s="107"/>
      <c r="OG30" s="107"/>
      <c r="OH30" s="107"/>
      <c r="OI30" s="107"/>
      <c r="OJ30" s="107"/>
      <c r="OK30" s="107"/>
      <c r="OL30" s="107"/>
      <c r="OM30" s="107"/>
      <c r="ON30" s="107"/>
      <c r="OO30" s="107"/>
      <c r="OP30" s="107"/>
      <c r="OQ30" s="107"/>
      <c r="OR30" s="107"/>
      <c r="OS30" s="107"/>
      <c r="OT30" s="107"/>
      <c r="OU30" s="107"/>
      <c r="OV30" s="107"/>
      <c r="OW30" s="107"/>
      <c r="OX30" s="107"/>
      <c r="OY30" s="107"/>
      <c r="OZ30" s="107"/>
      <c r="PA30" s="107"/>
      <c r="PB30" s="107"/>
      <c r="PC30" s="107"/>
      <c r="PD30" s="107"/>
      <c r="PE30" s="107"/>
      <c r="PF30" s="107"/>
      <c r="PG30" s="107"/>
      <c r="PH30" s="107"/>
      <c r="PI30" s="107"/>
      <c r="PJ30" s="107"/>
      <c r="PK30" s="107"/>
      <c r="PL30" s="107"/>
      <c r="PM30" s="107"/>
      <c r="PN30" s="107"/>
      <c r="PO30" s="107"/>
      <c r="PP30" s="107"/>
      <c r="PQ30" s="107"/>
      <c r="PR30" s="107"/>
      <c r="PS30" s="107"/>
      <c r="PT30" s="107"/>
      <c r="PU30" s="107"/>
      <c r="PV30" s="107"/>
      <c r="PW30" s="107"/>
      <c r="PX30" s="107"/>
      <c r="PY30" s="107"/>
      <c r="PZ30" s="107"/>
      <c r="QA30" s="107"/>
      <c r="QB30" s="107"/>
      <c r="QC30" s="107"/>
      <c r="QD30" s="107"/>
      <c r="QE30" s="107"/>
      <c r="QF30" s="107"/>
      <c r="QG30" s="107"/>
      <c r="QH30" s="107"/>
      <c r="QI30" s="107"/>
      <c r="QJ30" s="107"/>
      <c r="QK30" s="107"/>
      <c r="QL30" s="107"/>
      <c r="QM30" s="107"/>
      <c r="QN30" s="107"/>
      <c r="QO30" s="107"/>
      <c r="QP30" s="107"/>
      <c r="QQ30" s="107"/>
      <c r="QR30" s="107"/>
      <c r="QS30" s="107"/>
      <c r="QT30" s="107"/>
      <c r="QU30" s="107"/>
      <c r="QV30" s="107"/>
      <c r="QW30" s="107"/>
      <c r="QX30" s="107"/>
      <c r="QY30" s="107"/>
      <c r="QZ30" s="107"/>
      <c r="RA30" s="107"/>
      <c r="RB30" s="107"/>
      <c r="RC30" s="107"/>
      <c r="RD30" s="107"/>
      <c r="RE30" s="107"/>
      <c r="RF30" s="107"/>
      <c r="RG30" s="107"/>
      <c r="RH30" s="107"/>
    </row>
    <row r="31" spans="1:476" x14ac:dyDescent="0.25">
      <c r="A31" s="103" t="s">
        <v>677</v>
      </c>
      <c r="B31" s="20" t="s">
        <v>678</v>
      </c>
      <c r="C31" s="21" t="s">
        <v>702</v>
      </c>
      <c r="D31" s="15" t="s">
        <v>704</v>
      </c>
      <c r="E31" s="15">
        <v>195</v>
      </c>
      <c r="F31" s="21">
        <v>57</v>
      </c>
      <c r="G31" s="21" t="s">
        <v>146</v>
      </c>
      <c r="H31" s="20">
        <v>0.84</v>
      </c>
      <c r="I31" s="68">
        <f>MAX('Max rate concentrations'!$I$3:$I$368)</f>
        <v>56.865414300472793</v>
      </c>
      <c r="J31" s="68" t="s">
        <v>13</v>
      </c>
      <c r="K31" s="69">
        <f t="shared" si="0"/>
        <v>1.845389244231366</v>
      </c>
      <c r="L31" s="69" t="s">
        <v>13</v>
      </c>
      <c r="M31" s="69">
        <f>IF((((0.065*F31^0.726)/3.7-(0.301*F31^0.751)/(1-H31)*H31)*(MAX('Max rate concentrations'!$P$3:$P$368)))/F31&gt;0, (((0.065*F31^0.726)/3.7-(0.301*F31^0.751)/(1-H31)*H31)*(MAX('Max rate concentrations'!$P$3:$P$368)))/F31, 0)</f>
        <v>0</v>
      </c>
      <c r="N31" s="69">
        <f>IF((((0.065*F31^0.726)/3.7-(0.301*F31^0.751)/(1-H31)*H31)*(MAX('Max rate concentrations'!$Q$3:$Q$368)))/F31&gt;0, (((0.065*F31^0.726)/3.7-(0.301*F31^0.751)/(1-H31)*H31)*(MAX('Max rate concentrations'!$Q$3:$Q$368)))/F31, 0)</f>
        <v>0</v>
      </c>
      <c r="O31" s="69" t="s">
        <v>13</v>
      </c>
      <c r="P31" s="69" t="s">
        <v>13</v>
      </c>
      <c r="Q31" s="69">
        <f>(inputs!$C$18*11.2)*(1.131*F31^0.579)*0.5*1/F31</f>
        <v>3.4637662193583938</v>
      </c>
      <c r="R31" s="59">
        <f>(60*76.9*((F31/1000)^0.76)*3*24*(MAX('Max rate concentrations'!$R$3:$R$368))/F31)</f>
        <v>5.0909381372522561E-3</v>
      </c>
      <c r="S31" s="59">
        <f>(IF(inputs!$C$17="aerial",((0.025*0.112*inputs!$C$18/3.3)*(3*60*76.9*((F31/1000)^0.76))*MAX(inputs!$I$14:$I$16))/F31,((0.0083*0.112*inputs!$C$18/1)*(3*60*76.9*((F31/1000)^0.76))*MAX(inputs!$I$14:$I$16))/F31))</f>
        <v>2.1496328026145432E-2</v>
      </c>
      <c r="T31" s="63">
        <f>IF((((inputs!$P$13/(V31/MAX(K31:S31)))^(1/inputs!$O$13))-1)/inputs!$N$13&lt;0, 0, IF((((inputs!$P$13/(V31/MAX(K31:S31)))^(1/inputs!$O$13))-1)/inputs!$N$13&lt;inputs!$I$17, (((inputs!$P$13/(V31/MAX(K31:S31)))^(1/inputs!$O$13))-1)/inputs!$N$13, inputs!$I$17))</f>
        <v>573.94281873960301</v>
      </c>
      <c r="U31" s="63">
        <f>IF((((inputs!$P$13/(X31/MAX(K31:S31)))^(1/inputs!$O$13))-1)/inputs!$N$13&lt;0, 0, IF((((inputs!$P$13/(X31/MAX(K31:S31)))^(1/inputs!$O$13))-1)/inputs!$N$13&lt;inputs!$I$17, (((inputs!$P$13/(X31/MAX(K31:S31)))^(1/inputs!$O$13))-1)/inputs!$N$13, inputs!$I$17))</f>
        <v>186.23158341546255</v>
      </c>
      <c r="V31" s="21">
        <f>inputs!$E$87*(F31/inputs!$F$87)^(1)</f>
        <v>1.0829999999999999E-2</v>
      </c>
      <c r="W31" s="21">
        <f>inputs!$E$90*(F31/inputs!$F$90)^(1)</f>
        <v>1.1399999999999999E-2</v>
      </c>
      <c r="X31" s="21">
        <f>inputs!$E$89*(F31/inputs!$F$89)^(1)</f>
        <v>4.2569620253164554E-2</v>
      </c>
      <c r="Y31" s="21" t="s">
        <v>13</v>
      </c>
      <c r="Z31" s="63">
        <f t="shared" si="1"/>
        <v>319.83067584103361</v>
      </c>
      <c r="AA31" s="63">
        <f t="shared" si="2"/>
        <v>303.83914204898196</v>
      </c>
    </row>
    <row r="32" spans="1:476" x14ac:dyDescent="0.25">
      <c r="A32" s="103" t="s">
        <v>673</v>
      </c>
      <c r="B32" s="20" t="s">
        <v>674</v>
      </c>
      <c r="C32" s="21" t="s">
        <v>702</v>
      </c>
      <c r="D32" s="15" t="s">
        <v>704</v>
      </c>
      <c r="E32" s="15">
        <v>3628</v>
      </c>
      <c r="F32" s="21">
        <v>1.4E-2</v>
      </c>
      <c r="G32" s="21" t="s">
        <v>142</v>
      </c>
      <c r="H32" s="21">
        <v>0.69</v>
      </c>
      <c r="I32" s="68">
        <f>MAX('Max rate concentrations'!$H$3:$H$368)</f>
        <v>282</v>
      </c>
      <c r="J32" s="68">
        <f>MAX('Max rate concentrations'!AA:AA)</f>
        <v>195</v>
      </c>
      <c r="K32" s="69">
        <f t="shared" si="0"/>
        <v>31.164466932405091</v>
      </c>
      <c r="L32" s="69">
        <f t="shared" ref="L32:L38" si="5">(((0.013*F32^0.773)/(1-H32)))*J32/F32</f>
        <v>21.549897346875863</v>
      </c>
      <c r="M32" s="69">
        <f>IF((((0.065*F32^0.726)/3.7-(0.301*F32^0.751)/(1-H32)*H32)*(MAX('Max rate concentrations'!$P$3:$P$368)))/F32&gt;0, (((0.065*F32^0.726)/3.7-(0.301*F32^0.751)/(1-H32)*H32)*(MAX('Max rate concentrations'!$P$3:$P$368)))/F32, 0)</f>
        <v>0</v>
      </c>
      <c r="N32" s="69">
        <f>IF((((0.065*F32^0.726)/3.7-(0.301*F32^0.751)/(1-H32)*H32)*(MAX('Max rate concentrations'!$Q$3:$Q$368)))/F32&gt;0, (((0.065*F32^0.726)/3.7-(0.301*F32^0.751)/(1-H32)*H32)*(MAX('Max rate concentrations'!$Q$3:$Q$368)))/F32, 0)</f>
        <v>0</v>
      </c>
      <c r="O32" s="69" t="s">
        <v>13</v>
      </c>
      <c r="P32" s="69" t="s">
        <v>13</v>
      </c>
      <c r="Q32" s="69">
        <f>(inputs!$C$18*11.2)*(1.131*F32^0.579)*0.5*1/F32</f>
        <v>114.61777766617718</v>
      </c>
      <c r="R32" s="59">
        <f>(60*76.9*((F32/1000)^0.76)*3*24*(MAX('Max rate concentrations'!$R$3:$R$368))/F32)</f>
        <v>3.7422867033195639E-2</v>
      </c>
      <c r="S32" s="59">
        <f>(IF(inputs!$C$17="aerial",((0.025*0.112*inputs!$C$18/3.3)*(3*60*76.9*((F32/1000)^0.76))*MAX(inputs!$I$14:$I$16))/F32,((0.0083*0.112*inputs!$C$18/1)*(3*60*76.9*((F32/1000)^0.76))*MAX(inputs!$I$14:$I$16))/F32))</f>
        <v>0.15801689270940289</v>
      </c>
      <c r="T32" s="63">
        <f>IF((((inputs!$P$13/(V32/MAX(K32:S32)))^(1/inputs!$O$13))-1)/inputs!$N$13&lt;0, 0, IF((((inputs!$P$13/(V32/MAX(K32:S32)))^(1/inputs!$O$13))-1)/inputs!$N$13&lt;inputs!$I$17, (((inputs!$P$13/(V32/MAX(K32:S32)))^(1/inputs!$O$13))-1)/inputs!$N$13, inputs!$I$17))</f>
        <v>1000</v>
      </c>
      <c r="U32" s="63">
        <f>IF((((inputs!$P$13/(X32/MAX(K32:S32)))^(1/inputs!$O$13))-1)/inputs!$N$13&lt;0, 0, IF((((inputs!$P$13/(X32/MAX(K32:S32)))^(1/inputs!$O$13))-1)/inputs!$N$13&lt;inputs!$I$17, (((inputs!$P$13/(X32/MAX(K32:S32)))^(1/inputs!$O$13))-1)/inputs!$N$13, inputs!$I$17))</f>
        <v>1000</v>
      </c>
      <c r="V32" s="21">
        <f>inputs!$E$87*(F32/inputs!$F$87)^(1)</f>
        <v>2.6600000000000004E-6</v>
      </c>
      <c r="W32" s="21">
        <f>inputs!$E$90*(F32/inputs!$F$90)^(1)</f>
        <v>2.7999999999999999E-6</v>
      </c>
      <c r="X32" s="21">
        <f>inputs!$E$89*(F32/inputs!$F$89)^(1)</f>
        <v>1.0455696202531645E-5</v>
      </c>
      <c r="Y32" s="21" t="s">
        <v>13</v>
      </c>
      <c r="Z32" s="63">
        <f t="shared" si="1"/>
        <v>43089390.100066602</v>
      </c>
      <c r="AA32" s="63">
        <f t="shared" si="2"/>
        <v>40934920.595063277</v>
      </c>
    </row>
    <row r="33" spans="1:476" x14ac:dyDescent="0.25">
      <c r="A33" s="103" t="s">
        <v>700</v>
      </c>
      <c r="B33" s="20" t="s">
        <v>701</v>
      </c>
      <c r="C33" s="21" t="s">
        <v>702</v>
      </c>
      <c r="D33" s="15" t="s">
        <v>704</v>
      </c>
      <c r="E33" s="15">
        <v>10517</v>
      </c>
      <c r="F33" s="21">
        <v>6</v>
      </c>
      <c r="G33" s="21" t="s">
        <v>142</v>
      </c>
      <c r="H33" s="21">
        <v>0.69</v>
      </c>
      <c r="I33" s="68">
        <f>MAX('Max rate concentrations'!$H$3:$H$368)</f>
        <v>282</v>
      </c>
      <c r="J33" s="68">
        <f>MAX('Max rate concentrations'!AA:AA)</f>
        <v>195</v>
      </c>
      <c r="K33" s="69">
        <f t="shared" si="0"/>
        <v>7.8739097556908995</v>
      </c>
      <c r="L33" s="69">
        <f t="shared" si="5"/>
        <v>5.4447248310628567</v>
      </c>
      <c r="M33" s="69">
        <f>IF((((0.065*F33^0.726)/3.7-(0.301*F33^0.751)/(1-H33)*H33)*(MAX('Max rate concentrations'!$P$3:$P$368)))/F33&gt;0, (((0.065*F33^0.726)/3.7-(0.301*F33^0.751)/(1-H33)*H33)*(MAX('Max rate concentrations'!$P$3:$P$368)))/F33, 0)</f>
        <v>0</v>
      </c>
      <c r="N33" s="69">
        <f>IF((((0.065*F33^0.726)/3.7-(0.301*F33^0.751)/(1-H33)*H33)*(MAX('Max rate concentrations'!$Q$3:$Q$368)))/F33&gt;0, (((0.065*F33^0.726)/3.7-(0.301*F33^0.751)/(1-H33)*H33)*(MAX('Max rate concentrations'!$Q$3:$Q$368)))/F33, 0)</f>
        <v>0</v>
      </c>
      <c r="O33" s="69" t="s">
        <v>13</v>
      </c>
      <c r="P33" s="69" t="s">
        <v>13</v>
      </c>
      <c r="Q33" s="69">
        <f>(inputs!$C$18*11.2)*(1.131*F33^0.579)*0.5*1/F33</f>
        <v>8.9365565981605126</v>
      </c>
      <c r="R33" s="59">
        <f>(60*76.9*((F33/1000)^0.76)*3*24*(MAX('Max rate concentrations'!$R$3:$R$368))/F33)</f>
        <v>8.7387936612958322E-3</v>
      </c>
      <c r="S33" s="59">
        <f>(IF(inputs!$C$17="aerial",((0.025*0.112*inputs!$C$18/3.3)*(3*60*76.9*((F33/1000)^0.76))*MAX(inputs!$I$14:$I$16))/F33,((0.0083*0.112*inputs!$C$18/1)*(3*60*76.9*((F33/1000)^0.76))*MAX(inputs!$I$14:$I$16))/F33))</f>
        <v>3.6899284578108309E-2</v>
      </c>
      <c r="T33" s="63">
        <f>IF((((inputs!$P$13/(V33/MAX(K33:S33)))^(1/inputs!$O$13))-1)/inputs!$N$13&lt;0, 0, IF((((inputs!$P$13/(V33/MAX(K33:S33)))^(1/inputs!$O$13))-1)/inputs!$N$13&lt;inputs!$I$17, (((inputs!$P$13/(V33/MAX(K33:S33)))^(1/inputs!$O$13))-1)/inputs!$N$13, inputs!$I$17))</f>
        <v>1000</v>
      </c>
      <c r="U33" s="63">
        <f>IF((((inputs!$P$13/(X33/MAX(K33:S33)))^(1/inputs!$O$13))-1)/inputs!$N$13&lt;0, 0, IF((((inputs!$P$13/(X33/MAX(K33:S33)))^(1/inputs!$O$13))-1)/inputs!$N$13&lt;inputs!$I$17, (((inputs!$P$13/(X33/MAX(K33:S33)))^(1/inputs!$O$13))-1)/inputs!$N$13, inputs!$I$17))</f>
        <v>1000</v>
      </c>
      <c r="V33" s="21">
        <f>inputs!$E$87*(F33/inputs!$F$87)^(1)</f>
        <v>1.14E-3</v>
      </c>
      <c r="W33" s="21">
        <f>inputs!$E$90*(F33/inputs!$F$90)^(1)</f>
        <v>1.1999999999999999E-3</v>
      </c>
      <c r="X33" s="21">
        <f>inputs!$E$89*(F33/inputs!$F$89)^(1)</f>
        <v>4.4810126582278476E-3</v>
      </c>
      <c r="Y33" s="21" t="s">
        <v>13</v>
      </c>
      <c r="Z33" s="63">
        <f t="shared" si="1"/>
        <v>7839.08473522852</v>
      </c>
      <c r="AA33" s="63">
        <f t="shared" si="2"/>
        <v>7447.1304984670942</v>
      </c>
    </row>
    <row r="34" spans="1:476" x14ac:dyDescent="0.25">
      <c r="A34" s="103" t="s">
        <v>700</v>
      </c>
      <c r="B34" s="20" t="s">
        <v>701</v>
      </c>
      <c r="C34" s="21" t="s">
        <v>702</v>
      </c>
      <c r="D34" s="15" t="s">
        <v>704</v>
      </c>
      <c r="E34" s="15">
        <v>10517</v>
      </c>
      <c r="F34" s="21">
        <v>6</v>
      </c>
      <c r="G34" s="21" t="s">
        <v>164</v>
      </c>
      <c r="H34" s="21">
        <v>0.78</v>
      </c>
      <c r="I34" s="68">
        <f>inputs!$C$66*(inputs!$C$62/1000)</f>
        <v>8.2000000000000011</v>
      </c>
      <c r="J34" s="68">
        <f>inputs!$C$66*(inputs!$C$61/1000)</f>
        <v>2.5</v>
      </c>
      <c r="K34" s="69">
        <f t="shared" ref="K34:K61" si="6">(((0.013*F34^0.773)/(1-H34)))*I34/F34</f>
        <v>0.32262215665645189</v>
      </c>
      <c r="L34" s="69">
        <f t="shared" si="5"/>
        <v>9.8360413614771894E-2</v>
      </c>
      <c r="M34" s="69">
        <f>IF((((0.065*F34^0.726)/3.7-(0.301*F34^0.751)/(1-H34)*H34)*(MAX('Max rate concentrations'!$P$3:$P$368)))/F34&gt;0, (((0.065*F34^0.726)/3.7-(0.301*F34^0.751)/(1-H34)*H34)*(MAX('Max rate concentrations'!$P$3:$P$368)))/F34, 0)</f>
        <v>0</v>
      </c>
      <c r="N34" s="69">
        <f>IF((((0.065*F34^0.726)/3.7-(0.301*F34^0.751)/(1-H34)*H34)*(MAX('Max rate concentrations'!$Q$3:$Q$368)))/F34&gt;0, (((0.065*F34^0.726)/3.7-(0.301*F34^0.751)/(1-H34)*H34)*(MAX('Max rate concentrations'!$Q$3:$Q$368)))/F34, 0)</f>
        <v>0</v>
      </c>
      <c r="O34" s="69" t="s">
        <v>13</v>
      </c>
      <c r="P34" s="69" t="s">
        <v>13</v>
      </c>
      <c r="Q34" s="69">
        <f>(inputs!$C$18*11.2)*(1.131*F34^0.579)*0.5*1/F34</f>
        <v>8.9365565981605126</v>
      </c>
      <c r="R34" s="59">
        <f>(60*76.9*((F34/1000)^0.76)*3*24*(MAX('Max rate concentrations'!$R$3:$R$368))/F34)</f>
        <v>8.7387936612958322E-3</v>
      </c>
      <c r="S34" s="59">
        <f>(IF(inputs!$C$17="aerial",((0.025*0.112*inputs!$C$18/3.3)*(3*60*76.9*((F34/1000)^0.76))*MAX(inputs!$I$14:$I$16))/F34,((0.0083*0.112*inputs!$C$18/1)*(3*60*76.9*((F34/1000)^0.76))*MAX(inputs!$I$14:$I$16))/F34))</f>
        <v>3.6899284578108309E-2</v>
      </c>
      <c r="T34" s="63">
        <f>IF((((inputs!$P$13/(V34/MAX(K34:S34)))^(1/inputs!$O$13))-1)/inputs!$N$13&lt;0, 0, IF((((inputs!$P$13/(V34/MAX(K34:S34)))^(1/inputs!$O$13))-1)/inputs!$N$13&lt;inputs!$I$17, (((inputs!$P$13/(V34/MAX(K34:S34)))^(1/inputs!$O$13))-1)/inputs!$N$13, inputs!$I$17))</f>
        <v>1000</v>
      </c>
      <c r="U34" s="63">
        <f>IF((((inputs!$P$13/(X34/MAX(K34:S34)))^(1/inputs!$O$13))-1)/inputs!$N$13&lt;0, 0, IF((((inputs!$P$13/(X34/MAX(K34:S34)))^(1/inputs!$O$13))-1)/inputs!$N$13&lt;inputs!$I$17, (((inputs!$P$13/(X34/MAX(K34:S34)))^(1/inputs!$O$13))-1)/inputs!$N$13, inputs!$I$17))</f>
        <v>1000</v>
      </c>
      <c r="V34" s="21">
        <f>inputs!$E$87*(F34/inputs!$F$87)^(1)</f>
        <v>1.14E-3</v>
      </c>
      <c r="W34" s="21">
        <f>inputs!$E$90*(F34/inputs!$F$90)^(1)</f>
        <v>1.1999999999999999E-3</v>
      </c>
      <c r="X34" s="21">
        <f>inputs!$E$89*(F34/inputs!$F$89)^(1)</f>
        <v>4.4810126582278476E-3</v>
      </c>
      <c r="Y34" s="21" t="s">
        <v>13</v>
      </c>
      <c r="Z34" s="63">
        <f t="shared" si="1"/>
        <v>7839.08473522852</v>
      </c>
      <c r="AA34" s="63">
        <f t="shared" si="2"/>
        <v>7447.1304984670942</v>
      </c>
    </row>
    <row r="35" spans="1:476" x14ac:dyDescent="0.25">
      <c r="A35" s="103" t="s">
        <v>655</v>
      </c>
      <c r="B35" s="20" t="s">
        <v>656</v>
      </c>
      <c r="C35" s="21" t="s">
        <v>702</v>
      </c>
      <c r="D35" s="15" t="s">
        <v>704</v>
      </c>
      <c r="E35" s="15">
        <v>202</v>
      </c>
      <c r="F35" s="21">
        <v>15</v>
      </c>
      <c r="G35" s="21" t="s">
        <v>142</v>
      </c>
      <c r="H35" s="21">
        <v>0.69</v>
      </c>
      <c r="I35" s="68">
        <f>MAX('Max rate concentrations'!$H$3:$H$368)</f>
        <v>282</v>
      </c>
      <c r="J35" s="68">
        <f>MAX('Max rate concentrations'!AA:AA)</f>
        <v>195</v>
      </c>
      <c r="K35" s="69">
        <f t="shared" si="6"/>
        <v>6.3952577252244449</v>
      </c>
      <c r="L35" s="69">
        <f t="shared" si="5"/>
        <v>4.4222526823360528</v>
      </c>
      <c r="M35" s="69">
        <f>IF((((0.065*F35^0.726)/3.7-(0.301*F35^0.751)/(1-H35)*H35)*(MAX('Max rate concentrations'!$P$3:$P$368)))/F35&gt;0, (((0.065*F35^0.726)/3.7-(0.301*F35^0.751)/(1-H35)*H35)*(MAX('Max rate concentrations'!$P$3:$P$368)))/F35, 0)</f>
        <v>0</v>
      </c>
      <c r="N35" s="69">
        <f>IF((((0.065*F35^0.726)/3.7-(0.301*F35^0.751)/(1-H35)*H35)*(MAX('Max rate concentrations'!$Q$3:$Q$368)))/F35&gt;0, (((0.065*F35^0.726)/3.7-(0.301*F35^0.751)/(1-H35)*H35)*(MAX('Max rate concentrations'!$Q$3:$Q$368)))/F35, 0)</f>
        <v>0</v>
      </c>
      <c r="O35" s="69" t="s">
        <v>13</v>
      </c>
      <c r="P35" s="69" t="s">
        <v>13</v>
      </c>
      <c r="Q35" s="69">
        <f>(inputs!$C$18*11.2)*(1.131*F35^0.579)*0.5*1/F35</f>
        <v>6.0762756388009187</v>
      </c>
      <c r="R35" s="59">
        <f>(60*76.9*((F35/1000)^0.76)*3*24*(MAX('Max rate concentrations'!$R$3:$R$368))/F35)</f>
        <v>7.0136789607856921E-3</v>
      </c>
      <c r="S35" s="59">
        <f>(IF(inputs!$C$17="aerial",((0.025*0.112*inputs!$C$18/3.3)*(3*60*76.9*((F35/1000)^0.76))*MAX(inputs!$I$14:$I$16))/F35,((0.0083*0.112*inputs!$C$18/1)*(3*60*76.9*((F35/1000)^0.76))*MAX(inputs!$I$14:$I$16))/F35))</f>
        <v>2.9615041382627869E-2</v>
      </c>
      <c r="T35" s="63">
        <f>IF((((inputs!$P$13/(V35/MAX(K35:S35)))^(1/inputs!$O$13))-1)/inputs!$N$13&lt;0, 0, IF((((inputs!$P$13/(V35/MAX(K35:S35)))^(1/inputs!$O$13))-1)/inputs!$N$13&lt;inputs!$I$17, (((inputs!$P$13/(V35/MAX(K35:S35)))^(1/inputs!$O$13))-1)/inputs!$N$13, inputs!$I$17))</f>
        <v>1000</v>
      </c>
      <c r="U35" s="63">
        <f>IF((((inputs!$P$13/(X35/MAX(K35:S35)))^(1/inputs!$O$13))-1)/inputs!$N$13&lt;0, 0, IF((((inputs!$P$13/(X35/MAX(K35:S35)))^(1/inputs!$O$13))-1)/inputs!$N$13&lt;inputs!$I$17, (((inputs!$P$13/(X35/MAX(K35:S35)))^(1/inputs!$O$13))-1)/inputs!$N$13, inputs!$I$17))</f>
        <v>920.07761499668061</v>
      </c>
      <c r="V35" s="21">
        <f>inputs!$E$87*(F35/inputs!$F$87)^(1)</f>
        <v>2.8499999999999997E-3</v>
      </c>
      <c r="W35" s="21">
        <f>inputs!$E$90*(F35/inputs!$F$90)^(1)</f>
        <v>3.0000000000000001E-3</v>
      </c>
      <c r="X35" s="21">
        <f>inputs!$E$89*(F35/inputs!$F$89)^(1)</f>
        <v>1.120253164556962E-2</v>
      </c>
      <c r="Y35" s="21" t="s">
        <v>13</v>
      </c>
      <c r="Z35" s="63">
        <f t="shared" si="1"/>
        <v>2243.9500790261213</v>
      </c>
      <c r="AA35" s="63">
        <f t="shared" si="2"/>
        <v>2131.752575074815</v>
      </c>
    </row>
    <row r="36" spans="1:476" x14ac:dyDescent="0.25">
      <c r="A36" s="103" t="s">
        <v>659</v>
      </c>
      <c r="B36" s="20" t="s">
        <v>660</v>
      </c>
      <c r="C36" s="21" t="s">
        <v>702</v>
      </c>
      <c r="D36" s="15" t="s">
        <v>704</v>
      </c>
      <c r="E36" s="15">
        <v>1707</v>
      </c>
      <c r="F36" s="21">
        <v>2.2999999999999998</v>
      </c>
      <c r="G36" s="21" t="s">
        <v>142</v>
      </c>
      <c r="H36" s="21">
        <v>0.69</v>
      </c>
      <c r="I36" s="68">
        <f>MAX('Max rate concentrations'!$H$3:$H$368)</f>
        <v>282</v>
      </c>
      <c r="J36" s="68">
        <f>MAX('Max rate concentrations'!AA:AA)</f>
        <v>195</v>
      </c>
      <c r="K36" s="69">
        <f t="shared" si="6"/>
        <v>9.7885541577642012</v>
      </c>
      <c r="L36" s="69">
        <f t="shared" si="5"/>
        <v>6.7686810665390755</v>
      </c>
      <c r="M36" s="69">
        <f>IF((((0.065*F36^0.726)/3.7-(0.301*F36^0.751)/(1-H36)*H36)*(MAX('Max rate concentrations'!$P$3:$P$368)))/F36&gt;0, (((0.065*F36^0.726)/3.7-(0.301*F36^0.751)/(1-H36)*H36)*(MAX('Max rate concentrations'!$P$3:$P$368)))/F36, 0)</f>
        <v>0</v>
      </c>
      <c r="N36" s="69">
        <f>IF((((0.065*F36^0.726)/3.7-(0.301*F36^0.751)/(1-H36)*H36)*(MAX('Max rate concentrations'!$Q$3:$Q$368)))/F36&gt;0, (((0.065*F36^0.726)/3.7-(0.301*F36^0.751)/(1-H36)*H36)*(MAX('Max rate concentrations'!$Q$3:$Q$368)))/F36, 0)</f>
        <v>0</v>
      </c>
      <c r="O36" s="69" t="s">
        <v>13</v>
      </c>
      <c r="P36" s="69" t="s">
        <v>13</v>
      </c>
      <c r="Q36" s="69">
        <f>(inputs!$C$18*11.2)*(1.131*F36^0.579)*0.5*1/F36</f>
        <v>13.38087358312686</v>
      </c>
      <c r="R36" s="59">
        <f>(60*76.9*((F36/1000)^0.76)*3*24*(MAX('Max rate concentrations'!$R$3:$R$368))/F36)</f>
        <v>1.1000010619731734E-2</v>
      </c>
      <c r="S36" s="59">
        <f>(IF(inputs!$C$17="aerial",((0.025*0.112*inputs!$C$18/3.3)*(3*60*76.9*((F36/1000)^0.76))*MAX(inputs!$I$14:$I$16))/F36,((0.0083*0.112*inputs!$C$18/1)*(3*60*76.9*((F36/1000)^0.76))*MAX(inputs!$I$14:$I$16))/F36))</f>
        <v>4.6447202892247595E-2</v>
      </c>
      <c r="T36" s="63">
        <f>IF((((inputs!$P$13/(V36/MAX(K36:S36)))^(1/inputs!$O$13))-1)/inputs!$N$13&lt;0, 0, IF((((inputs!$P$13/(V36/MAX(K36:S36)))^(1/inputs!$O$13))-1)/inputs!$N$13&lt;inputs!$I$17, (((inputs!$P$13/(V36/MAX(K36:S36)))^(1/inputs!$O$13))-1)/inputs!$N$13, inputs!$I$17))</f>
        <v>1000</v>
      </c>
      <c r="U36" s="63">
        <f>IF((((inputs!$P$13/(X36/MAX(K36:S36)))^(1/inputs!$O$13))-1)/inputs!$N$13&lt;0, 0, IF((((inputs!$P$13/(X36/MAX(K36:S36)))^(1/inputs!$O$13))-1)/inputs!$N$13&lt;inputs!$I$17, (((inputs!$P$13/(X36/MAX(K36:S36)))^(1/inputs!$O$13))-1)/inputs!$N$13, inputs!$I$17))</f>
        <v>1000</v>
      </c>
      <c r="V36" s="21">
        <f>inputs!$E$87*(F36/inputs!$F$87)^(1)</f>
        <v>4.37E-4</v>
      </c>
      <c r="W36" s="21">
        <f>inputs!$E$90*(F36/inputs!$F$90)^(1)</f>
        <v>4.6000000000000001E-4</v>
      </c>
      <c r="X36" s="21">
        <f>inputs!$E$89*(F36/inputs!$F$89)^(1)</f>
        <v>1.7177215189873418E-3</v>
      </c>
      <c r="Y36" s="21" t="s">
        <v>13</v>
      </c>
      <c r="Z36" s="63">
        <f t="shared" si="1"/>
        <v>30619.848016308602</v>
      </c>
      <c r="AA36" s="63">
        <f t="shared" si="2"/>
        <v>29088.855615493172</v>
      </c>
    </row>
    <row r="37" spans="1:476" ht="26.4" x14ac:dyDescent="0.25">
      <c r="A37" s="103" t="s">
        <v>645</v>
      </c>
      <c r="B37" s="20" t="s">
        <v>648</v>
      </c>
      <c r="C37" s="21" t="s">
        <v>702</v>
      </c>
      <c r="D37" s="15" t="s">
        <v>703</v>
      </c>
      <c r="E37" s="15">
        <v>4773</v>
      </c>
      <c r="F37" s="21">
        <v>31</v>
      </c>
      <c r="G37" s="21" t="s">
        <v>182</v>
      </c>
      <c r="H37" s="21">
        <v>0.85</v>
      </c>
      <c r="I37" s="68">
        <f>MAX('Max rate concentrations'!$M$3:$M$368)</f>
        <v>17.092910873809167</v>
      </c>
      <c r="J37" s="68">
        <f>MAX('Max rate concentrations'!AE:AE)</f>
        <v>11.81956602976166</v>
      </c>
      <c r="K37" s="69">
        <f t="shared" si="6"/>
        <v>0.67940543520199403</v>
      </c>
      <c r="L37" s="69">
        <f t="shared" si="5"/>
        <v>0.4698016307247832</v>
      </c>
      <c r="M37" s="69">
        <f>IF((((0.065*F37^0.726)/3.7-(0.301*F37^0.751)/(1-H37)*H37)*(MAX('Max rate concentrations'!$P$3:$P$368)))/F37&gt;0, (((0.065*F37^0.726)/3.7-(0.301*F37^0.751)/(1-H37)*H37)*(MAX('Max rate concentrations'!$P$3:$P$368)))/F37, 0)</f>
        <v>0</v>
      </c>
      <c r="N37" s="69">
        <f>IF((((0.065*F37^0.726)/3.7-(0.301*F37^0.751)/(1-H37)*H37)*(MAX('Max rate concentrations'!$Q$3:$Q$368)))/F37&gt;0, (((0.065*F37^0.726)/3.7-(0.301*F37^0.751)/(1-H37)*H37)*(MAX('Max rate concentrations'!$Q$3:$Q$368)))/F37, 0)</f>
        <v>0</v>
      </c>
      <c r="O37" s="69" t="s">
        <v>13</v>
      </c>
      <c r="P37" s="69" t="s">
        <v>13</v>
      </c>
      <c r="Q37" s="69">
        <f>(inputs!$C$18*11.2)*(8.42*F37^0.694)*0.5*1/F37</f>
        <v>49.461205255852171</v>
      </c>
      <c r="R37" s="59">
        <f>(60*76.9*((F37/1000)^0.76)*3*24*(MAX('Max rate concentrations'!$R$3:$R$368))/F37)</f>
        <v>5.8922474695248285E-3</v>
      </c>
      <c r="S37" s="59">
        <f>(IF(inputs!$C$17="aerial",((0.025*0.112*inputs!$C$18/3.3)*(3*60*76.9*((F37/1000)^0.76))*MAX(inputs!$I$14:$I$16))/F37,((0.0083*0.112*inputs!$C$18/1)*(3*60*76.9*((F37/1000)^0.76))*MAX(inputs!$I$14:$I$16))/F37))</f>
        <v>2.4879831771928471E-2</v>
      </c>
      <c r="T37" s="63">
        <f>IF((((inputs!$P$13/(V37/MAX(K37:S37)))^(1/inputs!$O$13))-1)/inputs!$N$13&lt;0, 0, IF((((inputs!$P$13/(V37/MAX(K37:S37)))^(1/inputs!$O$13))-1)/inputs!$N$13&lt;inputs!$I$17, (((inputs!$P$13/(V37/MAX(K37:S37)))^(1/inputs!$O$13))-1)/inputs!$N$13, inputs!$I$17))</f>
        <v>1000</v>
      </c>
      <c r="U37" s="63">
        <f>IF((((inputs!$P$13/(X37/MAX(K37:S37)))^(1/inputs!$O$13))-1)/inputs!$N$13&lt;0, 0, IF((((inputs!$P$13/(X37/MAX(K37:S37)))^(1/inputs!$O$13))-1)/inputs!$N$13&lt;inputs!$I$17, (((inputs!$P$13/(X37/MAX(K37:S37)))^(1/inputs!$O$13))-1)/inputs!$N$13, inputs!$I$17))</f>
        <v>1000</v>
      </c>
      <c r="V37" s="21">
        <f>inputs!$E$87*(F37/inputs!$F$87)^(1)</f>
        <v>5.8899999999999994E-3</v>
      </c>
      <c r="W37" s="21">
        <f>inputs!$E$90*(F37/inputs!$F$90)^(1)</f>
        <v>6.1999999999999998E-3</v>
      </c>
      <c r="X37" s="21">
        <f>inputs!$E$89*(F37/inputs!$F$89)^(1)</f>
        <v>2.3151898734177216E-2</v>
      </c>
      <c r="Y37" s="21" t="s">
        <v>13</v>
      </c>
      <c r="Z37" s="63">
        <f t="shared" si="1"/>
        <v>8397.4881588883145</v>
      </c>
      <c r="AA37" s="63">
        <f t="shared" si="2"/>
        <v>7977.6137509438986</v>
      </c>
    </row>
    <row r="38" spans="1:476" ht="26.4" x14ac:dyDescent="0.25">
      <c r="A38" s="103" t="s">
        <v>645</v>
      </c>
      <c r="B38" s="20" t="s">
        <v>648</v>
      </c>
      <c r="C38" s="21" t="s">
        <v>702</v>
      </c>
      <c r="D38" s="15" t="s">
        <v>703</v>
      </c>
      <c r="E38" s="15">
        <v>4773</v>
      </c>
      <c r="F38" s="21">
        <v>31</v>
      </c>
      <c r="G38" s="21" t="s">
        <v>142</v>
      </c>
      <c r="H38" s="21">
        <v>0.69</v>
      </c>
      <c r="I38" s="68">
        <f>MAX('Max rate concentrations'!$H$3:$H$368)</f>
        <v>282</v>
      </c>
      <c r="J38" s="68">
        <f>MAX('Max rate concentrations'!AA:AA)</f>
        <v>195</v>
      </c>
      <c r="K38" s="69">
        <f t="shared" si="6"/>
        <v>5.4236500811912656</v>
      </c>
      <c r="L38" s="69">
        <f t="shared" si="5"/>
        <v>3.7503963327386414</v>
      </c>
      <c r="M38" s="69">
        <f>IF((((0.065*F38^0.726)/3.7-(0.301*F38^0.751)/(1-H38)*H38)*(MAX('Max rate concentrations'!$P$3:$P$368)))/F38&gt;0, (((0.065*F38^0.726)/3.7-(0.301*F38^0.751)/(1-H38)*H38)*(MAX('Max rate concentrations'!$P$3:$P$368)))/F38, 0)</f>
        <v>0</v>
      </c>
      <c r="N38" s="69">
        <f>IF((((0.065*F38^0.726)/3.7-(0.301*F38^0.751)/(1-H38)*H38)*(MAX('Max rate concentrations'!$Q$3:$Q$368)))/F38&gt;0, (((0.065*F38^0.726)/3.7-(0.301*F38^0.751)/(1-H38)*H38)*(MAX('Max rate concentrations'!$Q$3:$Q$368)))/F38, 0)</f>
        <v>0</v>
      </c>
      <c r="O38" s="69" t="s">
        <v>13</v>
      </c>
      <c r="P38" s="69" t="s">
        <v>13</v>
      </c>
      <c r="Q38" s="69">
        <f>(inputs!$C$18*11.2)*(8.42*F38^0.694)*0.5*1/F38</f>
        <v>49.461205255852171</v>
      </c>
      <c r="R38" s="59">
        <f>(60*76.9*((F38/1000)^0.76)*3*24*(MAX('Max rate concentrations'!$R$3:$R$368))/F38)</f>
        <v>5.8922474695248285E-3</v>
      </c>
      <c r="S38" s="59">
        <f>(IF(inputs!$C$17="aerial",((0.025*0.112*inputs!$C$18/3.3)*(3*60*76.9*((F38/1000)^0.76))*MAX(inputs!$I$14:$I$16))/F38,((0.0083*0.112*inputs!$C$18/1)*(3*60*76.9*((F38/1000)^0.76))*MAX(inputs!$I$14:$I$16))/F38))</f>
        <v>2.4879831771928471E-2</v>
      </c>
      <c r="T38" s="63">
        <f>IF((((inputs!$P$13/(V38/MAX(K38:S38)))^(1/inputs!$O$13))-1)/inputs!$N$13&lt;0, 0, IF((((inputs!$P$13/(V38/MAX(K38:S38)))^(1/inputs!$O$13))-1)/inputs!$N$13&lt;inputs!$I$17, (((inputs!$P$13/(V38/MAX(K38:S38)))^(1/inputs!$O$13))-1)/inputs!$N$13, inputs!$I$17))</f>
        <v>1000</v>
      </c>
      <c r="U38" s="63">
        <f>IF((((inputs!$P$13/(X38/MAX(K38:S38)))^(1/inputs!$O$13))-1)/inputs!$N$13&lt;0, 0, IF((((inputs!$P$13/(X38/MAX(K38:S38)))^(1/inputs!$O$13))-1)/inputs!$N$13&lt;inputs!$I$17, (((inputs!$P$13/(X38/MAX(K38:S38)))^(1/inputs!$O$13))-1)/inputs!$N$13, inputs!$I$17))</f>
        <v>1000</v>
      </c>
      <c r="V38" s="21">
        <f>inputs!$E$87*(F38/inputs!$F$87)^(1)</f>
        <v>5.8899999999999994E-3</v>
      </c>
      <c r="W38" s="21">
        <f>inputs!$E$90*(F38/inputs!$F$90)^(1)</f>
        <v>6.1999999999999998E-3</v>
      </c>
      <c r="X38" s="21">
        <f>inputs!$E$89*(F38/inputs!$F$89)^(1)</f>
        <v>2.3151898734177216E-2</v>
      </c>
      <c r="Y38" s="21" t="s">
        <v>13</v>
      </c>
      <c r="Z38" s="63">
        <f t="shared" si="1"/>
        <v>8397.4881588883145</v>
      </c>
      <c r="AA38" s="63">
        <f t="shared" si="2"/>
        <v>7977.6137509438986</v>
      </c>
    </row>
    <row r="39" spans="1:476" ht="26.4" x14ac:dyDescent="0.25">
      <c r="A39" s="103" t="s">
        <v>645</v>
      </c>
      <c r="B39" s="20" t="s">
        <v>648</v>
      </c>
      <c r="C39" s="21" t="s">
        <v>702</v>
      </c>
      <c r="D39" s="15" t="s">
        <v>703</v>
      </c>
      <c r="E39" s="15">
        <v>4773</v>
      </c>
      <c r="F39" s="21">
        <v>31</v>
      </c>
      <c r="G39" s="21" t="s">
        <v>146</v>
      </c>
      <c r="H39" s="20">
        <v>0.84</v>
      </c>
      <c r="I39" s="68">
        <f>MAX('Max rate concentrations'!$I$3:$I$368)</f>
        <v>56.865414300472793</v>
      </c>
      <c r="J39" s="68" t="s">
        <v>13</v>
      </c>
      <c r="K39" s="69">
        <f t="shared" si="6"/>
        <v>2.1190073970566847</v>
      </c>
      <c r="L39" s="69" t="s">
        <v>13</v>
      </c>
      <c r="M39" s="69">
        <f>IF((((0.065*F39^0.726)/3.7-(0.301*F39^0.751)/(1-H39)*H39)*(MAX('Max rate concentrations'!$P$3:$P$368)))/F39&gt;0, (((0.065*F39^0.726)/3.7-(0.301*F39^0.751)/(1-H39)*H39)*(MAX('Max rate concentrations'!$P$3:$P$368)))/F39, 0)</f>
        <v>0</v>
      </c>
      <c r="N39" s="69">
        <f>IF((((0.065*F39^0.726)/3.7-(0.301*F39^0.751)/(1-H39)*H39)*(MAX('Max rate concentrations'!$Q$3:$Q$368)))/F39&gt;0, (((0.065*F39^0.726)/3.7-(0.301*F39^0.751)/(1-H39)*H39)*(MAX('Max rate concentrations'!$Q$3:$Q$368)))/F39, 0)</f>
        <v>0</v>
      </c>
      <c r="O39" s="69" t="s">
        <v>13</v>
      </c>
      <c r="P39" s="69" t="s">
        <v>13</v>
      </c>
      <c r="Q39" s="69">
        <f>(inputs!$C$18*11.2)*(8.42*F39^0.694)*0.5*1/F39</f>
        <v>49.461205255852171</v>
      </c>
      <c r="R39" s="59">
        <f>(60*76.9*((F39/1000)^0.76)*3*24*(MAX('Max rate concentrations'!$R$3:$R$368))/F39)</f>
        <v>5.8922474695248285E-3</v>
      </c>
      <c r="S39" s="59">
        <f>(IF(inputs!$C$17="aerial",((0.025*0.112*inputs!$C$18/3.3)*(3*60*76.9*((F39/1000)^0.76))*MAX(inputs!$I$14:$I$16))/F39,((0.0083*0.112*inputs!$C$18/1)*(3*60*76.9*((F39/1000)^0.76))*MAX(inputs!$I$14:$I$16))/F39))</f>
        <v>2.4879831771928471E-2</v>
      </c>
      <c r="T39" s="63">
        <f>IF((((inputs!$P$13/(V39/MAX(K39:S39)))^(1/inputs!$O$13))-1)/inputs!$N$13&lt;0, 0, IF((((inputs!$P$13/(V39/MAX(K39:S39)))^(1/inputs!$O$13))-1)/inputs!$N$13&lt;inputs!$I$17, (((inputs!$P$13/(V39/MAX(K39:S39)))^(1/inputs!$O$13))-1)/inputs!$N$13, inputs!$I$17))</f>
        <v>1000</v>
      </c>
      <c r="U39" s="63">
        <f>IF((((inputs!$P$13/(X39/MAX(K39:S39)))^(1/inputs!$O$13))-1)/inputs!$N$13&lt;0, 0, IF((((inputs!$P$13/(X39/MAX(K39:S39)))^(1/inputs!$O$13))-1)/inputs!$N$13&lt;inputs!$I$17, (((inputs!$P$13/(X39/MAX(K39:S39)))^(1/inputs!$O$13))-1)/inputs!$N$13, inputs!$I$17))</f>
        <v>1000</v>
      </c>
      <c r="V39" s="21">
        <f>inputs!$E$87*(F39/inputs!$F$87)^(1)</f>
        <v>5.8899999999999994E-3</v>
      </c>
      <c r="W39" s="21">
        <f>inputs!$E$90*(F39/inputs!$F$90)^(1)</f>
        <v>6.1999999999999998E-3</v>
      </c>
      <c r="X39" s="21">
        <f>inputs!$E$89*(F39/inputs!$F$89)^(1)</f>
        <v>2.3151898734177216E-2</v>
      </c>
      <c r="Y39" s="21" t="s">
        <v>13</v>
      </c>
      <c r="Z39" s="63">
        <f t="shared" si="1"/>
        <v>8397.4881588883145</v>
      </c>
      <c r="AA39" s="63">
        <f t="shared" si="2"/>
        <v>7977.6137509438986</v>
      </c>
      <c r="AB39" s="107"/>
      <c r="AC39" s="107"/>
      <c r="AD39" s="107"/>
      <c r="AE39" s="107"/>
      <c r="AF39" s="107"/>
      <c r="AG39" s="107"/>
      <c r="AH39" s="107"/>
      <c r="AI39" s="107"/>
      <c r="AJ39" s="107"/>
      <c r="AK39" s="107"/>
      <c r="AL39" s="107"/>
      <c r="AM39" s="107"/>
      <c r="AN39" s="107"/>
      <c r="AO39" s="107"/>
      <c r="AP39" s="107"/>
      <c r="AQ39" s="107"/>
      <c r="AR39" s="107"/>
      <c r="AS39" s="107"/>
      <c r="AT39" s="107"/>
      <c r="AU39" s="107"/>
      <c r="AV39" s="107"/>
      <c r="AW39" s="107"/>
      <c r="AX39" s="107"/>
      <c r="AY39" s="107"/>
      <c r="AZ39" s="107"/>
      <c r="BA39" s="107"/>
      <c r="BB39" s="107"/>
      <c r="BC39" s="107"/>
      <c r="BD39" s="107"/>
      <c r="BE39" s="107"/>
      <c r="BF39" s="107"/>
      <c r="BG39" s="107"/>
      <c r="BH39" s="107"/>
      <c r="BI39" s="107"/>
      <c r="BJ39" s="107"/>
      <c r="BK39" s="107"/>
      <c r="BL39" s="107"/>
      <c r="BM39" s="107"/>
      <c r="BN39" s="107"/>
      <c r="BO39" s="107"/>
      <c r="BP39" s="107"/>
      <c r="BQ39" s="107"/>
      <c r="BR39" s="107"/>
      <c r="BS39" s="107"/>
      <c r="BT39" s="107"/>
      <c r="BU39" s="107"/>
      <c r="BV39" s="107"/>
      <c r="BW39" s="107"/>
      <c r="BX39" s="107"/>
      <c r="BY39" s="107"/>
      <c r="BZ39" s="107"/>
      <c r="CA39" s="107"/>
      <c r="CB39" s="107"/>
      <c r="CC39" s="107"/>
      <c r="CD39" s="107"/>
      <c r="CE39" s="107"/>
      <c r="CF39" s="107"/>
      <c r="CG39" s="107"/>
      <c r="CH39" s="107"/>
      <c r="CI39" s="107"/>
      <c r="CJ39" s="107"/>
      <c r="CK39" s="107"/>
      <c r="CL39" s="107"/>
      <c r="CM39" s="107"/>
      <c r="CN39" s="107"/>
      <c r="CO39" s="107"/>
      <c r="CP39" s="107"/>
      <c r="CQ39" s="107"/>
      <c r="CR39" s="107"/>
      <c r="CS39" s="107"/>
      <c r="CT39" s="107"/>
      <c r="CU39" s="107"/>
      <c r="CV39" s="107"/>
      <c r="CW39" s="107"/>
      <c r="CX39" s="107"/>
      <c r="CY39" s="107"/>
      <c r="CZ39" s="107"/>
      <c r="DA39" s="107"/>
      <c r="DB39" s="107"/>
      <c r="DC39" s="107"/>
      <c r="DD39" s="107"/>
      <c r="DE39" s="107"/>
      <c r="DF39" s="107"/>
      <c r="DG39" s="107"/>
      <c r="DH39" s="107"/>
      <c r="DI39" s="107"/>
      <c r="DJ39" s="107"/>
      <c r="DK39" s="107"/>
      <c r="DL39" s="107"/>
      <c r="DM39" s="107"/>
      <c r="DN39" s="107"/>
      <c r="DO39" s="107"/>
      <c r="DP39" s="107"/>
      <c r="DQ39" s="107"/>
      <c r="DR39" s="107"/>
      <c r="DS39" s="107"/>
      <c r="DT39" s="107"/>
      <c r="DU39" s="107"/>
      <c r="DV39" s="107"/>
      <c r="DW39" s="107"/>
      <c r="DX39" s="107"/>
      <c r="DY39" s="107"/>
      <c r="DZ39" s="107"/>
      <c r="EA39" s="107"/>
      <c r="EB39" s="107"/>
      <c r="EC39" s="107"/>
      <c r="ED39" s="107"/>
      <c r="EE39" s="107"/>
      <c r="EF39" s="107"/>
      <c r="EG39" s="107"/>
      <c r="EH39" s="107"/>
      <c r="EI39" s="107"/>
      <c r="EJ39" s="107"/>
      <c r="EK39" s="107"/>
      <c r="EL39" s="107"/>
      <c r="EM39" s="107"/>
      <c r="EN39" s="107"/>
      <c r="EO39" s="107"/>
      <c r="EP39" s="107"/>
      <c r="EQ39" s="107"/>
      <c r="ER39" s="107"/>
      <c r="ES39" s="107"/>
      <c r="ET39" s="107"/>
      <c r="EU39" s="107"/>
      <c r="EV39" s="107"/>
      <c r="EW39" s="107"/>
      <c r="EX39" s="107"/>
      <c r="EY39" s="107"/>
      <c r="EZ39" s="107"/>
      <c r="FA39" s="107"/>
      <c r="FB39" s="107"/>
      <c r="FC39" s="107"/>
      <c r="FD39" s="107"/>
      <c r="FE39" s="107"/>
      <c r="FF39" s="107"/>
      <c r="FG39" s="107"/>
      <c r="FH39" s="107"/>
      <c r="FI39" s="107"/>
      <c r="FJ39" s="107"/>
      <c r="FK39" s="107"/>
      <c r="FL39" s="107"/>
      <c r="FM39" s="107"/>
      <c r="FN39" s="107"/>
      <c r="FO39" s="107"/>
      <c r="FP39" s="107"/>
      <c r="FQ39" s="107"/>
      <c r="FR39" s="107"/>
      <c r="FS39" s="107"/>
      <c r="FT39" s="107"/>
      <c r="FU39" s="107"/>
      <c r="FV39" s="107"/>
      <c r="FW39" s="107"/>
      <c r="FX39" s="107"/>
      <c r="FY39" s="107"/>
      <c r="FZ39" s="107"/>
      <c r="GA39" s="107"/>
      <c r="GB39" s="107"/>
      <c r="GC39" s="107"/>
      <c r="GD39" s="107"/>
      <c r="GE39" s="107"/>
      <c r="GF39" s="107"/>
      <c r="GG39" s="107"/>
      <c r="GH39" s="107"/>
      <c r="GI39" s="107"/>
      <c r="GJ39" s="107"/>
      <c r="GK39" s="107"/>
      <c r="GL39" s="107"/>
      <c r="GM39" s="107"/>
      <c r="GN39" s="107"/>
      <c r="GO39" s="107"/>
      <c r="GP39" s="107"/>
      <c r="GQ39" s="107"/>
      <c r="GR39" s="107"/>
      <c r="GS39" s="107"/>
      <c r="GT39" s="107"/>
      <c r="GU39" s="107"/>
      <c r="GV39" s="107"/>
      <c r="GW39" s="107"/>
      <c r="GX39" s="107"/>
      <c r="GY39" s="107"/>
      <c r="GZ39" s="107"/>
      <c r="HA39" s="107"/>
      <c r="HB39" s="107"/>
      <c r="HC39" s="107"/>
      <c r="HD39" s="107"/>
      <c r="HE39" s="107"/>
      <c r="HF39" s="107"/>
      <c r="HG39" s="107"/>
      <c r="HH39" s="107"/>
      <c r="HI39" s="107"/>
      <c r="HJ39" s="107"/>
      <c r="HK39" s="107"/>
      <c r="HL39" s="107"/>
      <c r="HM39" s="107"/>
      <c r="HN39" s="107"/>
      <c r="HO39" s="107"/>
      <c r="HP39" s="107"/>
      <c r="HQ39" s="107"/>
      <c r="HR39" s="107"/>
      <c r="HS39" s="107"/>
      <c r="HT39" s="107"/>
      <c r="HU39" s="107"/>
      <c r="HV39" s="107"/>
      <c r="HW39" s="107"/>
      <c r="HX39" s="107"/>
      <c r="HY39" s="107"/>
      <c r="HZ39" s="107"/>
      <c r="IA39" s="107"/>
      <c r="IB39" s="107"/>
      <c r="IC39" s="107"/>
      <c r="ID39" s="107"/>
      <c r="IE39" s="107"/>
      <c r="IF39" s="107"/>
      <c r="IG39" s="107"/>
      <c r="IH39" s="107"/>
      <c r="II39" s="107"/>
      <c r="IJ39" s="107"/>
      <c r="IK39" s="107"/>
      <c r="IL39" s="107"/>
      <c r="IM39" s="107"/>
      <c r="IN39" s="107"/>
      <c r="IO39" s="107"/>
      <c r="IP39" s="107"/>
      <c r="IQ39" s="107"/>
      <c r="IR39" s="107"/>
      <c r="IS39" s="107"/>
      <c r="IT39" s="107"/>
      <c r="IU39" s="107"/>
      <c r="IV39" s="107"/>
      <c r="IW39" s="107"/>
      <c r="IX39" s="107"/>
      <c r="IY39" s="107"/>
      <c r="IZ39" s="107"/>
      <c r="JA39" s="107"/>
      <c r="JB39" s="107"/>
      <c r="JC39" s="107"/>
      <c r="JD39" s="107"/>
      <c r="JE39" s="107"/>
      <c r="JF39" s="107"/>
      <c r="JG39" s="107"/>
      <c r="JH39" s="107"/>
      <c r="JI39" s="107"/>
      <c r="JJ39" s="107"/>
      <c r="JK39" s="107"/>
      <c r="JL39" s="107"/>
      <c r="JM39" s="107"/>
      <c r="JN39" s="107"/>
      <c r="JO39" s="107"/>
      <c r="JP39" s="107"/>
      <c r="JQ39" s="107"/>
      <c r="JR39" s="107"/>
      <c r="JS39" s="107"/>
      <c r="JT39" s="107"/>
      <c r="JU39" s="107"/>
      <c r="JV39" s="107"/>
      <c r="JW39" s="107"/>
      <c r="JX39" s="107"/>
      <c r="JY39" s="107"/>
      <c r="JZ39" s="107"/>
      <c r="KA39" s="107"/>
      <c r="KB39" s="107"/>
      <c r="KC39" s="107"/>
      <c r="KD39" s="107"/>
      <c r="KE39" s="107"/>
      <c r="KF39" s="107"/>
      <c r="KG39" s="107"/>
      <c r="KH39" s="107"/>
      <c r="KI39" s="107"/>
      <c r="KJ39" s="107"/>
      <c r="KK39" s="107"/>
      <c r="KL39" s="107"/>
      <c r="KM39" s="107"/>
      <c r="KN39" s="107"/>
      <c r="KO39" s="107"/>
      <c r="KP39" s="107"/>
      <c r="KQ39" s="107"/>
      <c r="KR39" s="107"/>
      <c r="KS39" s="107"/>
      <c r="KT39" s="107"/>
      <c r="KU39" s="107"/>
      <c r="KV39" s="107"/>
      <c r="KW39" s="107"/>
      <c r="KX39" s="107"/>
      <c r="KY39" s="107"/>
      <c r="KZ39" s="107"/>
      <c r="LA39" s="107"/>
      <c r="LB39" s="107"/>
      <c r="LC39" s="107"/>
      <c r="LD39" s="107"/>
      <c r="LE39" s="107"/>
      <c r="LF39" s="107"/>
      <c r="LG39" s="107"/>
      <c r="LH39" s="107"/>
      <c r="LI39" s="107"/>
      <c r="LJ39" s="107"/>
      <c r="LK39" s="107"/>
      <c r="LL39" s="107"/>
      <c r="LM39" s="107"/>
      <c r="LN39" s="107"/>
      <c r="LO39" s="107"/>
      <c r="LP39" s="107"/>
      <c r="LQ39" s="107"/>
      <c r="LR39" s="107"/>
      <c r="LS39" s="107"/>
      <c r="LT39" s="107"/>
      <c r="LU39" s="107"/>
      <c r="LV39" s="107"/>
      <c r="LW39" s="107"/>
      <c r="LX39" s="107"/>
      <c r="LY39" s="107"/>
      <c r="LZ39" s="107"/>
      <c r="MA39" s="107"/>
      <c r="MB39" s="107"/>
      <c r="MC39" s="107"/>
      <c r="MD39" s="107"/>
      <c r="ME39" s="107"/>
      <c r="MF39" s="107"/>
      <c r="MG39" s="107"/>
      <c r="MH39" s="107"/>
      <c r="MI39" s="107"/>
      <c r="MJ39" s="107"/>
      <c r="MK39" s="107"/>
      <c r="ML39" s="107"/>
      <c r="MM39" s="107"/>
      <c r="MN39" s="107"/>
      <c r="MO39" s="107"/>
      <c r="MP39" s="107"/>
      <c r="MQ39" s="107"/>
      <c r="MR39" s="107"/>
      <c r="MS39" s="107"/>
      <c r="MT39" s="107"/>
      <c r="MU39" s="107"/>
      <c r="MV39" s="107"/>
      <c r="MW39" s="107"/>
      <c r="MX39" s="107"/>
      <c r="MY39" s="107"/>
      <c r="MZ39" s="107"/>
      <c r="NA39" s="107"/>
      <c r="NB39" s="107"/>
      <c r="NC39" s="107"/>
      <c r="ND39" s="107"/>
      <c r="NE39" s="107"/>
      <c r="NF39" s="107"/>
      <c r="NG39" s="107"/>
      <c r="NH39" s="107"/>
      <c r="NI39" s="107"/>
      <c r="NJ39" s="107"/>
      <c r="NK39" s="107"/>
      <c r="NL39" s="107"/>
      <c r="NM39" s="107"/>
      <c r="NN39" s="107"/>
      <c r="NO39" s="107"/>
      <c r="NP39" s="107"/>
      <c r="NQ39" s="107"/>
      <c r="NR39" s="107"/>
      <c r="NS39" s="107"/>
      <c r="NT39" s="107"/>
      <c r="NU39" s="107"/>
      <c r="NV39" s="107"/>
      <c r="NW39" s="107"/>
      <c r="NX39" s="107"/>
      <c r="NY39" s="107"/>
      <c r="NZ39" s="107"/>
      <c r="OA39" s="107"/>
      <c r="OB39" s="107"/>
      <c r="OC39" s="107"/>
      <c r="OD39" s="107"/>
      <c r="OE39" s="107"/>
      <c r="OF39" s="107"/>
      <c r="OG39" s="107"/>
      <c r="OH39" s="107"/>
      <c r="OI39" s="107"/>
      <c r="OJ39" s="107"/>
      <c r="OK39" s="107"/>
      <c r="OL39" s="107"/>
      <c r="OM39" s="107"/>
      <c r="ON39" s="107"/>
      <c r="OO39" s="107"/>
      <c r="OP39" s="107"/>
      <c r="OQ39" s="107"/>
      <c r="OR39" s="107"/>
      <c r="OS39" s="107"/>
      <c r="OT39" s="107"/>
      <c r="OU39" s="107"/>
      <c r="OV39" s="107"/>
      <c r="OW39" s="107"/>
      <c r="OX39" s="107"/>
      <c r="OY39" s="107"/>
      <c r="OZ39" s="107"/>
      <c r="PA39" s="107"/>
      <c r="PB39" s="107"/>
      <c r="PC39" s="107"/>
      <c r="PD39" s="107"/>
      <c r="PE39" s="107"/>
      <c r="PF39" s="107"/>
      <c r="PG39" s="107"/>
      <c r="PH39" s="107"/>
      <c r="PI39" s="107"/>
      <c r="PJ39" s="107"/>
      <c r="PK39" s="107"/>
      <c r="PL39" s="107"/>
      <c r="PM39" s="107"/>
      <c r="PN39" s="107"/>
      <c r="PO39" s="107"/>
      <c r="PP39" s="107"/>
      <c r="PQ39" s="107"/>
      <c r="PR39" s="107"/>
      <c r="PS39" s="107"/>
      <c r="PT39" s="107"/>
      <c r="PU39" s="107"/>
      <c r="PV39" s="107"/>
      <c r="PW39" s="107"/>
      <c r="PX39" s="107"/>
      <c r="PY39" s="107"/>
      <c r="PZ39" s="107"/>
      <c r="QA39" s="107"/>
      <c r="QB39" s="107"/>
      <c r="QC39" s="107"/>
      <c r="QD39" s="107"/>
      <c r="QE39" s="107"/>
      <c r="QF39" s="107"/>
      <c r="QG39" s="107"/>
      <c r="QH39" s="107"/>
      <c r="QI39" s="107"/>
      <c r="QJ39" s="107"/>
      <c r="QK39" s="107"/>
      <c r="QL39" s="107"/>
      <c r="QM39" s="107"/>
      <c r="QN39" s="107"/>
      <c r="QO39" s="107"/>
      <c r="QP39" s="107"/>
      <c r="QQ39" s="107"/>
      <c r="QR39" s="107"/>
      <c r="QS39" s="107"/>
      <c r="QT39" s="107"/>
      <c r="QU39" s="107"/>
      <c r="QV39" s="107"/>
      <c r="QW39" s="107"/>
      <c r="QX39" s="107"/>
      <c r="QY39" s="107"/>
      <c r="QZ39" s="107"/>
      <c r="RA39" s="107"/>
      <c r="RB39" s="107"/>
      <c r="RC39" s="107"/>
      <c r="RD39" s="107"/>
      <c r="RE39" s="107"/>
      <c r="RF39" s="107"/>
      <c r="RG39" s="107"/>
      <c r="RH39" s="107"/>
    </row>
    <row r="40" spans="1:476" ht="26.4" x14ac:dyDescent="0.25">
      <c r="A40" s="103" t="s">
        <v>645</v>
      </c>
      <c r="B40" s="20" t="s">
        <v>646</v>
      </c>
      <c r="C40" s="21" t="s">
        <v>702</v>
      </c>
      <c r="D40" s="15" t="s">
        <v>703</v>
      </c>
      <c r="E40" s="15">
        <v>8395</v>
      </c>
      <c r="F40" s="21">
        <v>31</v>
      </c>
      <c r="G40" s="21" t="s">
        <v>182</v>
      </c>
      <c r="H40" s="21">
        <v>0.85</v>
      </c>
      <c r="I40" s="68">
        <f>MAX('Max rate concentrations'!$M$3:$M$368)</f>
        <v>17.092910873809167</v>
      </c>
      <c r="J40" s="68">
        <f>MAX('Max rate concentrations'!AE:AE)</f>
        <v>11.81956602976166</v>
      </c>
      <c r="K40" s="69">
        <f t="shared" si="6"/>
        <v>0.67940543520199403</v>
      </c>
      <c r="L40" s="69">
        <f>(((0.013*F40^0.773)/(1-H40)))*J40/F40</f>
        <v>0.4698016307247832</v>
      </c>
      <c r="M40" s="69">
        <f>IF((((0.065*F40^0.726)/3.7-(0.301*F40^0.751)/(1-H40)*H40)*(MAX('Max rate concentrations'!$P$3:$P$368)))/F40&gt;0, (((0.065*F40^0.726)/3.7-(0.301*F40^0.751)/(1-H40)*H40)*(MAX('Max rate concentrations'!$P$3:$P$368)))/F40, 0)</f>
        <v>0</v>
      </c>
      <c r="N40" s="69">
        <f>IF((((0.065*F40^0.726)/3.7-(0.301*F40^0.751)/(1-H40)*H40)*(MAX('Max rate concentrations'!$Q$3:$Q$368)))/F40&gt;0, (((0.065*F40^0.726)/3.7-(0.301*F40^0.751)/(1-H40)*H40)*(MAX('Max rate concentrations'!$Q$3:$Q$368)))/F40, 0)</f>
        <v>0</v>
      </c>
      <c r="O40" s="69" t="s">
        <v>13</v>
      </c>
      <c r="P40" s="69" t="s">
        <v>13</v>
      </c>
      <c r="Q40" s="69">
        <f>(inputs!$C$18*11.2)*(8.42*F40^0.694)*0.5*1/F40</f>
        <v>49.461205255852171</v>
      </c>
      <c r="R40" s="59">
        <f>(60*76.9*((F40/1000)^0.76)*3*24*(MAX('Max rate concentrations'!$R$3:$R$368))/F40)</f>
        <v>5.8922474695248285E-3</v>
      </c>
      <c r="S40" s="59">
        <f>(IF(inputs!$C$17="aerial",((0.025*0.112*inputs!$C$18/3.3)*(3*60*76.9*((F40/1000)^0.76))*MAX(inputs!$I$14:$I$16))/F40,((0.0083*0.112*inputs!$C$18/1)*(3*60*76.9*((F40/1000)^0.76))*MAX(inputs!$I$14:$I$16))/F40))</f>
        <v>2.4879831771928471E-2</v>
      </c>
      <c r="T40" s="63">
        <f>IF((((inputs!$P$13/(V40/MAX(K40:S40)))^(1/inputs!$O$13))-1)/inputs!$N$13&lt;0, 0, IF((((inputs!$P$13/(V40/MAX(K40:S40)))^(1/inputs!$O$13))-1)/inputs!$N$13&lt;inputs!$I$17, (((inputs!$P$13/(V40/MAX(K40:S40)))^(1/inputs!$O$13))-1)/inputs!$N$13, inputs!$I$17))</f>
        <v>1000</v>
      </c>
      <c r="U40" s="63">
        <f>IF((((inputs!$P$13/(X40/MAX(K40:S40)))^(1/inputs!$O$13))-1)/inputs!$N$13&lt;0, 0, IF((((inputs!$P$13/(X40/MAX(K40:S40)))^(1/inputs!$O$13))-1)/inputs!$N$13&lt;inputs!$I$17, (((inputs!$P$13/(X40/MAX(K40:S40)))^(1/inputs!$O$13))-1)/inputs!$N$13, inputs!$I$17))</f>
        <v>1000</v>
      </c>
      <c r="V40" s="21">
        <f>inputs!$E$87*(F40/inputs!$F$87)^(1)</f>
        <v>5.8899999999999994E-3</v>
      </c>
      <c r="W40" s="21">
        <f>inputs!$E$90*(F40/inputs!$F$90)^(1)</f>
        <v>6.1999999999999998E-3</v>
      </c>
      <c r="X40" s="21">
        <f>inputs!$E$89*(F40/inputs!$F$89)^(1)</f>
        <v>2.3151898734177216E-2</v>
      </c>
      <c r="Y40" s="21" t="s">
        <v>13</v>
      </c>
      <c r="Z40" s="63">
        <f t="shared" si="1"/>
        <v>8397.4881588883145</v>
      </c>
      <c r="AA40" s="63">
        <f t="shared" si="2"/>
        <v>7977.6137509438986</v>
      </c>
    </row>
    <row r="41" spans="1:476" ht="26.4" x14ac:dyDescent="0.25">
      <c r="A41" s="103" t="s">
        <v>645</v>
      </c>
      <c r="B41" s="20" t="s">
        <v>646</v>
      </c>
      <c r="C41" s="21" t="s">
        <v>702</v>
      </c>
      <c r="D41" s="15" t="s">
        <v>703</v>
      </c>
      <c r="E41" s="15">
        <v>8395</v>
      </c>
      <c r="F41" s="21">
        <v>31</v>
      </c>
      <c r="G41" s="21" t="s">
        <v>142</v>
      </c>
      <c r="H41" s="21">
        <v>0.69</v>
      </c>
      <c r="I41" s="68">
        <f>MAX('Max rate concentrations'!$H$3:$H$368)</f>
        <v>282</v>
      </c>
      <c r="J41" s="68">
        <f>MAX('Max rate concentrations'!AA:AA)</f>
        <v>195</v>
      </c>
      <c r="K41" s="69">
        <f t="shared" si="6"/>
        <v>5.4236500811912656</v>
      </c>
      <c r="L41" s="69">
        <f>(((0.013*F41^0.773)/(1-H41)))*J41/F41</f>
        <v>3.7503963327386414</v>
      </c>
      <c r="M41" s="69">
        <f>IF((((0.065*F41^0.726)/3.7-(0.301*F41^0.751)/(1-H41)*H41)*(MAX('Max rate concentrations'!$P$3:$P$368)))/F41&gt;0, (((0.065*F41^0.726)/3.7-(0.301*F41^0.751)/(1-H41)*H41)*(MAX('Max rate concentrations'!$P$3:$P$368)))/F41, 0)</f>
        <v>0</v>
      </c>
      <c r="N41" s="69">
        <f>IF((((0.065*F41^0.726)/3.7-(0.301*F41^0.751)/(1-H41)*H41)*(MAX('Max rate concentrations'!$Q$3:$Q$368)))/F41&gt;0, (((0.065*F41^0.726)/3.7-(0.301*F41^0.751)/(1-H41)*H41)*(MAX('Max rate concentrations'!$Q$3:$Q$368)))/F41, 0)</f>
        <v>0</v>
      </c>
      <c r="O41" s="69" t="s">
        <v>13</v>
      </c>
      <c r="P41" s="69" t="s">
        <v>13</v>
      </c>
      <c r="Q41" s="69">
        <f>(inputs!$C$18*11.2)*(8.42*F41^0.694)*0.5*1/F41</f>
        <v>49.461205255852171</v>
      </c>
      <c r="R41" s="59">
        <f>(60*76.9*((F41/1000)^0.76)*3*24*(MAX('Max rate concentrations'!$R$3:$R$368))/F41)</f>
        <v>5.8922474695248285E-3</v>
      </c>
      <c r="S41" s="59">
        <f>(IF(inputs!$C$17="aerial",((0.025*0.112*inputs!$C$18/3.3)*(3*60*76.9*((F41/1000)^0.76))*MAX(inputs!$I$14:$I$16))/F41,((0.0083*0.112*inputs!$C$18/1)*(3*60*76.9*((F41/1000)^0.76))*MAX(inputs!$I$14:$I$16))/F41))</f>
        <v>2.4879831771928471E-2</v>
      </c>
      <c r="T41" s="63">
        <f>IF((((inputs!$P$13/(V41/MAX(K41:S41)))^(1/inputs!$O$13))-1)/inputs!$N$13&lt;0, 0, IF((((inputs!$P$13/(V41/MAX(K41:S41)))^(1/inputs!$O$13))-1)/inputs!$N$13&lt;inputs!$I$17, (((inputs!$P$13/(V41/MAX(K41:S41)))^(1/inputs!$O$13))-1)/inputs!$N$13, inputs!$I$17))</f>
        <v>1000</v>
      </c>
      <c r="U41" s="63">
        <f>IF((((inputs!$P$13/(X41/MAX(K41:S41)))^(1/inputs!$O$13))-1)/inputs!$N$13&lt;0, 0, IF((((inputs!$P$13/(X41/MAX(K41:S41)))^(1/inputs!$O$13))-1)/inputs!$N$13&lt;inputs!$I$17, (((inputs!$P$13/(X41/MAX(K41:S41)))^(1/inputs!$O$13))-1)/inputs!$N$13, inputs!$I$17))</f>
        <v>1000</v>
      </c>
      <c r="V41" s="21">
        <f>inputs!$E$87*(F41/inputs!$F$87)^(1)</f>
        <v>5.8899999999999994E-3</v>
      </c>
      <c r="W41" s="21">
        <f>inputs!$E$90*(F41/inputs!$F$90)^(1)</f>
        <v>6.1999999999999998E-3</v>
      </c>
      <c r="X41" s="21">
        <f>inputs!$E$89*(F41/inputs!$F$89)^(1)</f>
        <v>2.3151898734177216E-2</v>
      </c>
      <c r="Y41" s="21" t="s">
        <v>13</v>
      </c>
      <c r="Z41" s="63">
        <f t="shared" si="1"/>
        <v>8397.4881588883145</v>
      </c>
      <c r="AA41" s="63">
        <f t="shared" si="2"/>
        <v>7977.6137509438986</v>
      </c>
    </row>
    <row r="42" spans="1:476" ht="26.4" x14ac:dyDescent="0.25">
      <c r="A42" s="103" t="s">
        <v>645</v>
      </c>
      <c r="B42" s="20" t="s">
        <v>646</v>
      </c>
      <c r="C42" s="21" t="s">
        <v>702</v>
      </c>
      <c r="D42" s="15" t="s">
        <v>703</v>
      </c>
      <c r="E42" s="15">
        <v>8395</v>
      </c>
      <c r="F42" s="21">
        <v>31</v>
      </c>
      <c r="G42" s="21" t="s">
        <v>146</v>
      </c>
      <c r="H42" s="20">
        <v>0.84</v>
      </c>
      <c r="I42" s="68">
        <f>MAX('Max rate concentrations'!$I$3:$I$368)</f>
        <v>56.865414300472793</v>
      </c>
      <c r="J42" s="68" t="s">
        <v>13</v>
      </c>
      <c r="K42" s="69">
        <f t="shared" si="6"/>
        <v>2.1190073970566847</v>
      </c>
      <c r="L42" s="69" t="s">
        <v>13</v>
      </c>
      <c r="M42" s="69">
        <f>IF((((0.065*F42^0.726)/3.7-(0.301*F42^0.751)/(1-H42)*H42)*(MAX('Max rate concentrations'!$P$3:$P$368)))/F42&gt;0, (((0.065*F42^0.726)/3.7-(0.301*F42^0.751)/(1-H42)*H42)*(MAX('Max rate concentrations'!$P$3:$P$368)))/F42, 0)</f>
        <v>0</v>
      </c>
      <c r="N42" s="69">
        <f>IF((((0.065*F42^0.726)/3.7-(0.301*F42^0.751)/(1-H42)*H42)*(MAX('Max rate concentrations'!$Q$3:$Q$368)))/F42&gt;0, (((0.065*F42^0.726)/3.7-(0.301*F42^0.751)/(1-H42)*H42)*(MAX('Max rate concentrations'!$Q$3:$Q$368)))/F42, 0)</f>
        <v>0</v>
      </c>
      <c r="O42" s="69" t="s">
        <v>13</v>
      </c>
      <c r="P42" s="69" t="s">
        <v>13</v>
      </c>
      <c r="Q42" s="69">
        <f>(inputs!$C$18*11.2)*(8.42*F42^0.694)*0.5*1/F42</f>
        <v>49.461205255852171</v>
      </c>
      <c r="R42" s="59">
        <f>(60*76.9*((F42/1000)^0.76)*3*24*(MAX('Max rate concentrations'!$R$3:$R$368))/F42)</f>
        <v>5.8922474695248285E-3</v>
      </c>
      <c r="S42" s="59">
        <f>(IF(inputs!$C$17="aerial",((0.025*0.112*inputs!$C$18/3.3)*(3*60*76.9*((F42/1000)^0.76))*MAX(inputs!$I$14:$I$16))/F42,((0.0083*0.112*inputs!$C$18/1)*(3*60*76.9*((F42/1000)^0.76))*MAX(inputs!$I$14:$I$16))/F42))</f>
        <v>2.4879831771928471E-2</v>
      </c>
      <c r="T42" s="63">
        <f>IF((((inputs!$P$13/(V42/MAX(K42:S42)))^(1/inputs!$O$13))-1)/inputs!$N$13&lt;0, 0, IF((((inputs!$P$13/(V42/MAX(K42:S42)))^(1/inputs!$O$13))-1)/inputs!$N$13&lt;inputs!$I$17, (((inputs!$P$13/(V42/MAX(K42:S42)))^(1/inputs!$O$13))-1)/inputs!$N$13, inputs!$I$17))</f>
        <v>1000</v>
      </c>
      <c r="U42" s="63">
        <f>IF((((inputs!$P$13/(X42/MAX(K42:S42)))^(1/inputs!$O$13))-1)/inputs!$N$13&lt;0, 0, IF((((inputs!$P$13/(X42/MAX(K42:S42)))^(1/inputs!$O$13))-1)/inputs!$N$13&lt;inputs!$I$17, (((inputs!$P$13/(X42/MAX(K42:S42)))^(1/inputs!$O$13))-1)/inputs!$N$13, inputs!$I$17))</f>
        <v>1000</v>
      </c>
      <c r="V42" s="21">
        <f>inputs!$E$87*(F42/inputs!$F$87)^(1)</f>
        <v>5.8899999999999994E-3</v>
      </c>
      <c r="W42" s="21">
        <f>inputs!$E$90*(F42/inputs!$F$90)^(1)</f>
        <v>6.1999999999999998E-3</v>
      </c>
      <c r="X42" s="21">
        <f>inputs!$E$89*(F42/inputs!$F$89)^(1)</f>
        <v>2.3151898734177216E-2</v>
      </c>
      <c r="Y42" s="21" t="s">
        <v>13</v>
      </c>
      <c r="Z42" s="63">
        <f t="shared" si="1"/>
        <v>8397.4881588883145</v>
      </c>
      <c r="AA42" s="63">
        <f t="shared" si="2"/>
        <v>7977.6137509438986</v>
      </c>
    </row>
    <row r="43" spans="1:476" ht="26.4" x14ac:dyDescent="0.25">
      <c r="A43" s="103" t="s">
        <v>645</v>
      </c>
      <c r="B43" s="20" t="s">
        <v>647</v>
      </c>
      <c r="C43" s="21" t="s">
        <v>702</v>
      </c>
      <c r="D43" s="15" t="s">
        <v>703</v>
      </c>
      <c r="E43" s="15">
        <v>203</v>
      </c>
      <c r="F43" s="21">
        <v>31</v>
      </c>
      <c r="G43" s="21" t="s">
        <v>182</v>
      </c>
      <c r="H43" s="21">
        <v>0.85</v>
      </c>
      <c r="I43" s="68">
        <f>MAX('Max rate concentrations'!$M$3:$M$368)</f>
        <v>17.092910873809167</v>
      </c>
      <c r="J43" s="68">
        <f>MAX('Max rate concentrations'!AE:AE)</f>
        <v>11.81956602976166</v>
      </c>
      <c r="K43" s="69">
        <f t="shared" si="6"/>
        <v>0.67940543520199403</v>
      </c>
      <c r="L43" s="69">
        <f>(((0.013*F43^0.773)/(1-H43)))*J43/F43</f>
        <v>0.4698016307247832</v>
      </c>
      <c r="M43" s="69">
        <f>IF((((0.065*F43^0.726)/3.7-(0.301*F43^0.751)/(1-H43)*H43)*(MAX('Max rate concentrations'!$P$3:$P$368)))/F43&gt;0, (((0.065*F43^0.726)/3.7-(0.301*F43^0.751)/(1-H43)*H43)*(MAX('Max rate concentrations'!$P$3:$P$368)))/F43, 0)</f>
        <v>0</v>
      </c>
      <c r="N43" s="69">
        <f>IF((((0.065*F43^0.726)/3.7-(0.301*F43^0.751)/(1-H43)*H43)*(MAX('Max rate concentrations'!$Q$3:$Q$368)))/F43&gt;0, (((0.065*F43^0.726)/3.7-(0.301*F43^0.751)/(1-H43)*H43)*(MAX('Max rate concentrations'!$Q$3:$Q$368)))/F43, 0)</f>
        <v>0</v>
      </c>
      <c r="O43" s="69" t="s">
        <v>13</v>
      </c>
      <c r="P43" s="69" t="s">
        <v>13</v>
      </c>
      <c r="Q43" s="69">
        <f>(inputs!$C$18*11.2)*(8.42*F43^0.694)*0.5*1/F43</f>
        <v>49.461205255852171</v>
      </c>
      <c r="R43" s="59">
        <f>(60*76.9*((F43/1000)^0.76)*3*24*(MAX('Max rate concentrations'!$R$3:$R$368))/F43)</f>
        <v>5.8922474695248285E-3</v>
      </c>
      <c r="S43" s="59">
        <f>(IF(inputs!$C$17="aerial",((0.025*0.112*inputs!$C$18/3.3)*(3*60*76.9*((F43/1000)^0.76))*MAX(inputs!$I$14:$I$16))/F43,((0.0083*0.112*inputs!$C$18/1)*(3*60*76.9*((F43/1000)^0.76))*MAX(inputs!$I$14:$I$16))/F43))</f>
        <v>2.4879831771928471E-2</v>
      </c>
      <c r="T43" s="63">
        <f>IF((((inputs!$P$13/(V43/MAX(K43:S43)))^(1/inputs!$O$13))-1)/inputs!$N$13&lt;0, 0, IF((((inputs!$P$13/(V43/MAX(K43:S43)))^(1/inputs!$O$13))-1)/inputs!$N$13&lt;inputs!$I$17, (((inputs!$P$13/(V43/MAX(K43:S43)))^(1/inputs!$O$13))-1)/inputs!$N$13, inputs!$I$17))</f>
        <v>1000</v>
      </c>
      <c r="U43" s="63">
        <f>IF((((inputs!$P$13/(X43/MAX(K43:S43)))^(1/inputs!$O$13))-1)/inputs!$N$13&lt;0, 0, IF((((inputs!$P$13/(X43/MAX(K43:S43)))^(1/inputs!$O$13))-1)/inputs!$N$13&lt;inputs!$I$17, (((inputs!$P$13/(X43/MAX(K43:S43)))^(1/inputs!$O$13))-1)/inputs!$N$13, inputs!$I$17))</f>
        <v>1000</v>
      </c>
      <c r="V43" s="21">
        <f>inputs!$E$87*(F43/inputs!$F$87)^(1)</f>
        <v>5.8899999999999994E-3</v>
      </c>
      <c r="W43" s="21">
        <f>inputs!$E$90*(F43/inputs!$F$90)^(1)</f>
        <v>6.1999999999999998E-3</v>
      </c>
      <c r="X43" s="21">
        <f>inputs!$E$89*(F43/inputs!$F$89)^(1)</f>
        <v>2.3151898734177216E-2</v>
      </c>
      <c r="Y43" s="21" t="s">
        <v>13</v>
      </c>
      <c r="Z43" s="63">
        <f t="shared" si="1"/>
        <v>8397.4881588883145</v>
      </c>
      <c r="AA43" s="63">
        <f t="shared" si="2"/>
        <v>7977.6137509438986</v>
      </c>
    </row>
    <row r="44" spans="1:476" ht="26.4" x14ac:dyDescent="0.25">
      <c r="A44" s="103" t="s">
        <v>645</v>
      </c>
      <c r="B44" s="20" t="s">
        <v>647</v>
      </c>
      <c r="C44" s="21" t="s">
        <v>702</v>
      </c>
      <c r="D44" s="15" t="s">
        <v>703</v>
      </c>
      <c r="E44" s="15">
        <v>203</v>
      </c>
      <c r="F44" s="21">
        <v>31</v>
      </c>
      <c r="G44" s="21" t="s">
        <v>142</v>
      </c>
      <c r="H44" s="21">
        <v>0.69</v>
      </c>
      <c r="I44" s="68">
        <f>MAX('Max rate concentrations'!$H$3:$H$368)</f>
        <v>282</v>
      </c>
      <c r="J44" s="68">
        <f>MAX('Max rate concentrations'!AA:AA)</f>
        <v>195</v>
      </c>
      <c r="K44" s="69">
        <f t="shared" si="6"/>
        <v>5.4236500811912656</v>
      </c>
      <c r="L44" s="69">
        <f>(((0.013*F44^0.773)/(1-H44)))*J44/F44</f>
        <v>3.7503963327386414</v>
      </c>
      <c r="M44" s="69">
        <f>IF((((0.065*F44^0.726)/3.7-(0.301*F44^0.751)/(1-H44)*H44)*(MAX('Max rate concentrations'!$P$3:$P$368)))/F44&gt;0, (((0.065*F44^0.726)/3.7-(0.301*F44^0.751)/(1-H44)*H44)*(MAX('Max rate concentrations'!$P$3:$P$368)))/F44, 0)</f>
        <v>0</v>
      </c>
      <c r="N44" s="69">
        <f>IF((((0.065*F44^0.726)/3.7-(0.301*F44^0.751)/(1-H44)*H44)*(MAX('Max rate concentrations'!$Q$3:$Q$368)))/F44&gt;0, (((0.065*F44^0.726)/3.7-(0.301*F44^0.751)/(1-H44)*H44)*(MAX('Max rate concentrations'!$Q$3:$Q$368)))/F44, 0)</f>
        <v>0</v>
      </c>
      <c r="O44" s="69" t="s">
        <v>13</v>
      </c>
      <c r="P44" s="69" t="s">
        <v>13</v>
      </c>
      <c r="Q44" s="69">
        <f>(inputs!$C$18*11.2)*(8.42*F44^0.694)*0.5*1/F44</f>
        <v>49.461205255852171</v>
      </c>
      <c r="R44" s="59">
        <f>(60*76.9*((F44/1000)^0.76)*3*24*(MAX('Max rate concentrations'!$R$3:$R$368))/F44)</f>
        <v>5.8922474695248285E-3</v>
      </c>
      <c r="S44" s="59">
        <f>(IF(inputs!$C$17="aerial",((0.025*0.112*inputs!$C$18/3.3)*(3*60*76.9*((F44/1000)^0.76))*MAX(inputs!$I$14:$I$16))/F44,((0.0083*0.112*inputs!$C$18/1)*(3*60*76.9*((F44/1000)^0.76))*MAX(inputs!$I$14:$I$16))/F44))</f>
        <v>2.4879831771928471E-2</v>
      </c>
      <c r="T44" s="63">
        <f>IF((((inputs!$P$13/(V44/MAX(K44:S44)))^(1/inputs!$O$13))-1)/inputs!$N$13&lt;0, 0, IF((((inputs!$P$13/(V44/MAX(K44:S44)))^(1/inputs!$O$13))-1)/inputs!$N$13&lt;inputs!$I$17, (((inputs!$P$13/(V44/MAX(K44:S44)))^(1/inputs!$O$13))-1)/inputs!$N$13, inputs!$I$17))</f>
        <v>1000</v>
      </c>
      <c r="U44" s="63">
        <f>IF((((inputs!$P$13/(X44/MAX(K44:S44)))^(1/inputs!$O$13))-1)/inputs!$N$13&lt;0, 0, IF((((inputs!$P$13/(X44/MAX(K44:S44)))^(1/inputs!$O$13))-1)/inputs!$N$13&lt;inputs!$I$17, (((inputs!$P$13/(X44/MAX(K44:S44)))^(1/inputs!$O$13))-1)/inputs!$N$13, inputs!$I$17))</f>
        <v>1000</v>
      </c>
      <c r="V44" s="21">
        <f>inputs!$E$87*(F44/inputs!$F$87)^(1)</f>
        <v>5.8899999999999994E-3</v>
      </c>
      <c r="W44" s="21">
        <f>inputs!$E$90*(F44/inputs!$F$90)^(1)</f>
        <v>6.1999999999999998E-3</v>
      </c>
      <c r="X44" s="21">
        <f>inputs!$E$89*(F44/inputs!$F$89)^(1)</f>
        <v>2.3151898734177216E-2</v>
      </c>
      <c r="Y44" s="21" t="s">
        <v>13</v>
      </c>
      <c r="Z44" s="63">
        <f t="shared" si="1"/>
        <v>8397.4881588883145</v>
      </c>
      <c r="AA44" s="63">
        <f t="shared" si="2"/>
        <v>7977.6137509438986</v>
      </c>
    </row>
    <row r="45" spans="1:476" ht="26.4" x14ac:dyDescent="0.25">
      <c r="A45" s="103" t="s">
        <v>645</v>
      </c>
      <c r="B45" s="20" t="s">
        <v>647</v>
      </c>
      <c r="C45" s="21" t="s">
        <v>702</v>
      </c>
      <c r="D45" s="15" t="s">
        <v>703</v>
      </c>
      <c r="E45" s="15">
        <v>203</v>
      </c>
      <c r="F45" s="21">
        <v>31</v>
      </c>
      <c r="G45" s="21" t="s">
        <v>146</v>
      </c>
      <c r="H45" s="20">
        <v>0.84</v>
      </c>
      <c r="I45" s="68">
        <f>MAX('Max rate concentrations'!$I$3:$I$368)</f>
        <v>56.865414300472793</v>
      </c>
      <c r="J45" s="68" t="s">
        <v>13</v>
      </c>
      <c r="K45" s="69">
        <f t="shared" si="6"/>
        <v>2.1190073970566847</v>
      </c>
      <c r="L45" s="69" t="s">
        <v>13</v>
      </c>
      <c r="M45" s="69">
        <f>IF((((0.065*F45^0.726)/3.7-(0.301*F45^0.751)/(1-H45)*H45)*(MAX('Max rate concentrations'!$P$3:$P$368)))/F45&gt;0, (((0.065*F45^0.726)/3.7-(0.301*F45^0.751)/(1-H45)*H45)*(MAX('Max rate concentrations'!$P$3:$P$368)))/F45, 0)</f>
        <v>0</v>
      </c>
      <c r="N45" s="69">
        <f>IF((((0.065*F45^0.726)/3.7-(0.301*F45^0.751)/(1-H45)*H45)*(MAX('Max rate concentrations'!$Q$3:$Q$368)))/F45&gt;0, (((0.065*F45^0.726)/3.7-(0.301*F45^0.751)/(1-H45)*H45)*(MAX('Max rate concentrations'!$Q$3:$Q$368)))/F45, 0)</f>
        <v>0</v>
      </c>
      <c r="O45" s="69" t="s">
        <v>13</v>
      </c>
      <c r="P45" s="69" t="s">
        <v>13</v>
      </c>
      <c r="Q45" s="69">
        <f>(inputs!$C$18*11.2)*(8.42*F45^0.694)*0.5*1/F45</f>
        <v>49.461205255852171</v>
      </c>
      <c r="R45" s="59">
        <f>(60*76.9*((F45/1000)^0.76)*3*24*(MAX('Max rate concentrations'!$R$3:$R$368))/F45)</f>
        <v>5.8922474695248285E-3</v>
      </c>
      <c r="S45" s="59">
        <f>(IF(inputs!$C$17="aerial",((0.025*0.112*inputs!$C$18/3.3)*(3*60*76.9*((F45/1000)^0.76))*MAX(inputs!$I$14:$I$16))/F45,((0.0083*0.112*inputs!$C$18/1)*(3*60*76.9*((F45/1000)^0.76))*MAX(inputs!$I$14:$I$16))/F45))</f>
        <v>2.4879831771928471E-2</v>
      </c>
      <c r="T45" s="63">
        <f>IF((((inputs!$P$13/(V45/MAX(K45:S45)))^(1/inputs!$O$13))-1)/inputs!$N$13&lt;0, 0, IF((((inputs!$P$13/(V45/MAX(K45:S45)))^(1/inputs!$O$13))-1)/inputs!$N$13&lt;inputs!$I$17, (((inputs!$P$13/(V45/MAX(K45:S45)))^(1/inputs!$O$13))-1)/inputs!$N$13, inputs!$I$17))</f>
        <v>1000</v>
      </c>
      <c r="U45" s="63">
        <f>IF((((inputs!$P$13/(X45/MAX(K45:S45)))^(1/inputs!$O$13))-1)/inputs!$N$13&lt;0, 0, IF((((inputs!$P$13/(X45/MAX(K45:S45)))^(1/inputs!$O$13))-1)/inputs!$N$13&lt;inputs!$I$17, (((inputs!$P$13/(X45/MAX(K45:S45)))^(1/inputs!$O$13))-1)/inputs!$N$13, inputs!$I$17))</f>
        <v>1000</v>
      </c>
      <c r="V45" s="21">
        <f>inputs!$E$87*(F45/inputs!$F$87)^(1)</f>
        <v>5.8899999999999994E-3</v>
      </c>
      <c r="W45" s="21">
        <f>inputs!$E$90*(F45/inputs!$F$90)^(1)</f>
        <v>6.1999999999999998E-3</v>
      </c>
      <c r="X45" s="21">
        <f>inputs!$E$89*(F45/inputs!$F$89)^(1)</f>
        <v>2.3151898734177216E-2</v>
      </c>
      <c r="Y45" s="21" t="s">
        <v>13</v>
      </c>
      <c r="Z45" s="63">
        <f t="shared" si="1"/>
        <v>8397.4881588883145</v>
      </c>
      <c r="AA45" s="63">
        <f t="shared" si="2"/>
        <v>7977.6137509438986</v>
      </c>
    </row>
    <row r="46" spans="1:476" x14ac:dyDescent="0.25">
      <c r="A46" s="103" t="s">
        <v>683</v>
      </c>
      <c r="B46" s="20" t="s">
        <v>684</v>
      </c>
      <c r="C46" s="21" t="s">
        <v>702</v>
      </c>
      <c r="D46" s="15" t="s">
        <v>703</v>
      </c>
      <c r="E46" s="15">
        <v>198</v>
      </c>
      <c r="F46" s="21">
        <v>1.2</v>
      </c>
      <c r="G46" s="21" t="s">
        <v>142</v>
      </c>
      <c r="H46" s="21">
        <v>0.69</v>
      </c>
      <c r="I46" s="68">
        <f>MAX('Max rate concentrations'!$H$3:$H$368)</f>
        <v>282</v>
      </c>
      <c r="J46" s="68">
        <f>MAX('Max rate concentrations'!AA:AA)</f>
        <v>195</v>
      </c>
      <c r="K46" s="69">
        <f t="shared" si="6"/>
        <v>11.346361700631489</v>
      </c>
      <c r="L46" s="69">
        <f>(((0.013*F46^0.773)/(1-H46)))*J46/F46</f>
        <v>7.8458884100111366</v>
      </c>
      <c r="M46" s="69">
        <f>IF((((0.065*F46^0.726)/3.7-(0.301*F46^0.751)/(1-H46)*H46)*(MAX('Max rate concentrations'!$P$3:$P$368)))/F46&gt;0, (((0.065*F46^0.726)/3.7-(0.301*F46^0.751)/(1-H46)*H46)*(MAX('Max rate concentrations'!$P$3:$P$368)))/F46, 0)</f>
        <v>0</v>
      </c>
      <c r="N46" s="69">
        <f>IF((((0.065*F46^0.726)/3.7-(0.301*F46^0.751)/(1-H46)*H46)*(MAX('Max rate concentrations'!$Q$3:$Q$368)))/F46&gt;0, (((0.065*F46^0.726)/3.7-(0.301*F46^0.751)/(1-H46)*H46)*(MAX('Max rate concentrations'!$Q$3:$Q$368)))/F46, 0)</f>
        <v>0</v>
      </c>
      <c r="O46" s="69" t="s">
        <v>13</v>
      </c>
      <c r="P46" s="69" t="s">
        <v>13</v>
      </c>
      <c r="Q46" s="69">
        <f>(inputs!$C$18*11.2)*(8.42*F46^0.694)*0.5*1/F46</f>
        <v>133.78022188692094</v>
      </c>
      <c r="R46" s="59">
        <f>(60*76.9*((F46/1000)^0.76)*3*24*(MAX('Max rate concentrations'!$R$3:$R$368))/F46)</f>
        <v>1.2858913829733268E-2</v>
      </c>
      <c r="S46" s="59">
        <f>(IF(inputs!$C$17="aerial",((0.025*0.112*inputs!$C$18/3.3)*(3*60*76.9*((F46/1000)^0.76))*MAX(inputs!$I$14:$I$16))/F46,((0.0083*0.112*inputs!$C$18/1)*(3*60*76.9*((F46/1000)^0.76))*MAX(inputs!$I$14:$I$16))/F46))</f>
        <v>5.4296363910066446E-2</v>
      </c>
      <c r="T46" s="63">
        <f>IF((((inputs!$P$13/(V46/MAX(K46:S46)))^(1/inputs!$O$13))-1)/inputs!$N$13&lt;0, 0, IF((((inputs!$P$13/(V46/MAX(K46:S46)))^(1/inputs!$O$13))-1)/inputs!$N$13&lt;inputs!$I$17, (((inputs!$P$13/(V46/MAX(K46:S46)))^(1/inputs!$O$13))-1)/inputs!$N$13, inputs!$I$17))</f>
        <v>1000</v>
      </c>
      <c r="U46" s="63">
        <f>IF((((inputs!$P$13/(X46/MAX(K46:S46)))^(1/inputs!$O$13))-1)/inputs!$N$13&lt;0, 0, IF((((inputs!$P$13/(X46/MAX(K46:S46)))^(1/inputs!$O$13))-1)/inputs!$N$13&lt;inputs!$I$17, (((inputs!$P$13/(X46/MAX(K46:S46)))^(1/inputs!$O$13))-1)/inputs!$N$13, inputs!$I$17))</f>
        <v>1000</v>
      </c>
      <c r="V46" s="21">
        <f>inputs!$E$87*(F46/inputs!$F$87)^(1)</f>
        <v>2.2800000000000001E-4</v>
      </c>
      <c r="W46" s="21">
        <f>inputs!$E$90*(F46/inputs!$F$90)^(1)</f>
        <v>2.4000000000000001E-4</v>
      </c>
      <c r="X46" s="21">
        <f>inputs!$E$89*(F46/inputs!$F$89)^(1)</f>
        <v>8.962025316455696E-4</v>
      </c>
      <c r="Y46" s="21" t="s">
        <v>13</v>
      </c>
      <c r="Z46" s="63">
        <f t="shared" si="1"/>
        <v>586755.35915316199</v>
      </c>
      <c r="AA46" s="63">
        <f t="shared" si="2"/>
        <v>557417.59119550395</v>
      </c>
    </row>
    <row r="47" spans="1:476" x14ac:dyDescent="0.25">
      <c r="A47" s="103" t="s">
        <v>661</v>
      </c>
      <c r="B47" s="20" t="s">
        <v>662</v>
      </c>
      <c r="C47" s="21" t="s">
        <v>702</v>
      </c>
      <c r="D47" s="15" t="s">
        <v>703</v>
      </c>
      <c r="E47" s="15">
        <v>191</v>
      </c>
      <c r="F47" s="21">
        <v>2.2999999999999998</v>
      </c>
      <c r="G47" s="21" t="s">
        <v>142</v>
      </c>
      <c r="H47" s="21">
        <v>0.69</v>
      </c>
      <c r="I47" s="68">
        <f>MAX('Max rate concentrations'!$H$3:$H$368)</f>
        <v>282</v>
      </c>
      <c r="J47" s="68">
        <f>MAX('Max rate concentrations'!AA:AA)</f>
        <v>195</v>
      </c>
      <c r="K47" s="69">
        <f t="shared" si="6"/>
        <v>9.7885541577642012</v>
      </c>
      <c r="L47" s="69">
        <f>(((0.013*F47^0.773)/(1-H47)))*J47/F47</f>
        <v>6.7686810665390755</v>
      </c>
      <c r="M47" s="69">
        <f>IF((((0.065*F47^0.726)/3.7-(0.301*F47^0.751)/(1-H47)*H47)*(MAX('Max rate concentrations'!$P$3:$P$368)))/F47&gt;0, (((0.065*F47^0.726)/3.7-(0.301*F47^0.751)/(1-H47)*H47)*(MAX('Max rate concentrations'!$P$3:$P$368)))/F47, 0)</f>
        <v>0</v>
      </c>
      <c r="N47" s="69">
        <f>IF((((0.065*F47^0.726)/3.7-(0.301*F47^0.751)/(1-H47)*H47)*(MAX('Max rate concentrations'!$Q$3:$Q$368)))/F47&gt;0, (((0.065*F47^0.726)/3.7-(0.301*F47^0.751)/(1-H47)*H47)*(MAX('Max rate concentrations'!$Q$3:$Q$368)))/F47, 0)</f>
        <v>0</v>
      </c>
      <c r="O47" s="69" t="s">
        <v>13</v>
      </c>
      <c r="P47" s="69" t="s">
        <v>13</v>
      </c>
      <c r="Q47" s="69">
        <f>(inputs!$C$18*11.2)*(8.42*F47^0.694)*0.5*1/F47</f>
        <v>109.6308182110849</v>
      </c>
      <c r="R47" s="59">
        <f>(60*76.9*((F47/1000)^0.76)*3*24*(MAX('Max rate concentrations'!$R$3:$R$368))/F47)</f>
        <v>1.1000010619731734E-2</v>
      </c>
      <c r="S47" s="59">
        <f>(IF(inputs!$C$17="aerial",((0.025*0.112*inputs!$C$18/3.3)*(3*60*76.9*((F47/1000)^0.76))*MAX(inputs!$I$14:$I$16))/F47,((0.0083*0.112*inputs!$C$18/1)*(3*60*76.9*((F47/1000)^0.76))*MAX(inputs!$I$14:$I$16))/F47))</f>
        <v>4.6447202892247595E-2</v>
      </c>
      <c r="T47" s="63">
        <f>IF((((inputs!$P$13/(V47/MAX(K47:S47)))^(1/inputs!$O$13))-1)/inputs!$N$13&lt;0, 0, IF((((inputs!$P$13/(V47/MAX(K47:S47)))^(1/inputs!$O$13))-1)/inputs!$N$13&lt;inputs!$I$17, (((inputs!$P$13/(V47/MAX(K47:S47)))^(1/inputs!$O$13))-1)/inputs!$N$13, inputs!$I$17))</f>
        <v>1000</v>
      </c>
      <c r="U47" s="63">
        <f>IF((((inputs!$P$13/(X47/MAX(K47:S47)))^(1/inputs!$O$13))-1)/inputs!$N$13&lt;0, 0, IF((((inputs!$P$13/(X47/MAX(K47:S47)))^(1/inputs!$O$13))-1)/inputs!$N$13&lt;inputs!$I$17, (((inputs!$P$13/(X47/MAX(K47:S47)))^(1/inputs!$O$13))-1)/inputs!$N$13, inputs!$I$17))</f>
        <v>1000</v>
      </c>
      <c r="V47" s="21">
        <f>inputs!$E$87*(F47/inputs!$F$87)^(1)</f>
        <v>4.37E-4</v>
      </c>
      <c r="W47" s="21">
        <f>inputs!$E$90*(F47/inputs!$F$90)^(1)</f>
        <v>4.6000000000000001E-4</v>
      </c>
      <c r="X47" s="21">
        <f>inputs!$E$89*(F47/inputs!$F$89)^(1)</f>
        <v>1.7177215189873418E-3</v>
      </c>
      <c r="Y47" s="21" t="s">
        <v>13</v>
      </c>
      <c r="Z47" s="63">
        <f t="shared" si="1"/>
        <v>250871.43755397003</v>
      </c>
      <c r="AA47" s="63">
        <f t="shared" si="2"/>
        <v>238327.86567627153</v>
      </c>
    </row>
    <row r="48" spans="1:476" x14ac:dyDescent="0.25">
      <c r="A48" s="103" t="s">
        <v>649</v>
      </c>
      <c r="B48" s="20" t="s">
        <v>650</v>
      </c>
      <c r="C48" s="21" t="s">
        <v>702</v>
      </c>
      <c r="D48" s="15" t="s">
        <v>703</v>
      </c>
      <c r="E48" s="15">
        <v>199</v>
      </c>
      <c r="F48" s="21">
        <v>3.9</v>
      </c>
      <c r="G48" s="21" t="s">
        <v>146</v>
      </c>
      <c r="H48" s="20">
        <v>0.84</v>
      </c>
      <c r="I48" s="68">
        <f>MAX('Max rate concentrations'!$I$3:$I$368)</f>
        <v>56.865414300472793</v>
      </c>
      <c r="J48" s="68" t="s">
        <v>13</v>
      </c>
      <c r="K48" s="69">
        <f t="shared" si="6"/>
        <v>3.3923442038082308</v>
      </c>
      <c r="L48" s="69" t="s">
        <v>13</v>
      </c>
      <c r="M48" s="69">
        <f>IF((((0.065*F48^0.726)/3.7-(0.301*F48^0.751)/(1-H48)*H48)*(MAX('Max rate concentrations'!$P$3:$P$368)))/F48&gt;0, (((0.065*F48^0.726)/3.7-(0.301*F48^0.751)/(1-H48)*H48)*(MAX('Max rate concentrations'!$P$3:$P$368)))/F48, 0)</f>
        <v>0</v>
      </c>
      <c r="N48" s="69">
        <f>IF((((0.065*F48^0.726)/3.7-(0.301*F48^0.751)/(1-H48)*H48)*(MAX('Max rate concentrations'!$Q$3:$Q$368)))/F48&gt;0, (((0.065*F48^0.726)/3.7-(0.301*F48^0.751)/(1-H48)*H48)*(MAX('Max rate concentrations'!$Q$3:$Q$368)))/F48, 0)</f>
        <v>0</v>
      </c>
      <c r="O48" s="69" t="s">
        <v>13</v>
      </c>
      <c r="P48" s="69" t="s">
        <v>13</v>
      </c>
      <c r="Q48" s="69">
        <f>(inputs!$C$18*11.2)*(8.42*F48^0.694)*0.5*1/F48</f>
        <v>93.272926547473972</v>
      </c>
      <c r="R48" s="59">
        <f>(60*76.9*((F48/1000)^0.76)*3*24*(MAX('Max rate concentrations'!$R$3:$R$368))/F48)</f>
        <v>9.6906359666274495E-3</v>
      </c>
      <c r="S48" s="59">
        <f>(IF(inputs!$C$17="aerial",((0.025*0.112*inputs!$C$18/3.3)*(3*60*76.9*((F48/1000)^0.76))*MAX(inputs!$I$14:$I$16))/F48,((0.0083*0.112*inputs!$C$18/1)*(3*60*76.9*((F48/1000)^0.76))*MAX(inputs!$I$14:$I$16))/F48))</f>
        <v>4.0918409123120843E-2</v>
      </c>
      <c r="T48" s="63">
        <f>IF((((inputs!$P$13/(V48/MAX(K48:S48)))^(1/inputs!$O$13))-1)/inputs!$N$13&lt;0, 0, IF((((inputs!$P$13/(V48/MAX(K48:S48)))^(1/inputs!$O$13))-1)/inputs!$N$13&lt;inputs!$I$17, (((inputs!$P$13/(V48/MAX(K48:S48)))^(1/inputs!$O$13))-1)/inputs!$N$13, inputs!$I$17))</f>
        <v>1000</v>
      </c>
      <c r="U48" s="63">
        <f>IF((((inputs!$P$13/(X48/MAX(K48:S48)))^(1/inputs!$O$13))-1)/inputs!$N$13&lt;0, 0, IF((((inputs!$P$13/(X48/MAX(K48:S48)))^(1/inputs!$O$13))-1)/inputs!$N$13&lt;inputs!$I$17, (((inputs!$P$13/(X48/MAX(K48:S48)))^(1/inputs!$O$13))-1)/inputs!$N$13, inputs!$I$17))</f>
        <v>1000</v>
      </c>
      <c r="V48" s="21">
        <f>inputs!$E$87*(F48/inputs!$F$87)^(1)</f>
        <v>7.4100000000000001E-4</v>
      </c>
      <c r="W48" s="21">
        <f>inputs!$E$90*(F48/inputs!$F$90)^(1)</f>
        <v>7.7999999999999999E-4</v>
      </c>
      <c r="X48" s="21">
        <f>inputs!$E$89*(F48/inputs!$F$89)^(1)</f>
        <v>2.9126582278481013E-3</v>
      </c>
      <c r="Y48" s="21" t="s">
        <v>13</v>
      </c>
      <c r="Z48" s="63">
        <f t="shared" si="1"/>
        <v>125874.39480090955</v>
      </c>
      <c r="AA48" s="63">
        <f t="shared" si="2"/>
        <v>119580.67506086407</v>
      </c>
    </row>
    <row r="49" spans="1:27" x14ac:dyDescent="0.25">
      <c r="A49" s="103" t="s">
        <v>681</v>
      </c>
      <c r="B49" s="20" t="s">
        <v>682</v>
      </c>
      <c r="C49" s="21" t="s">
        <v>702</v>
      </c>
      <c r="D49" s="15" t="s">
        <v>703</v>
      </c>
      <c r="E49" s="15">
        <v>3849</v>
      </c>
      <c r="F49" s="21">
        <v>8.1</v>
      </c>
      <c r="G49" s="21" t="s">
        <v>142</v>
      </c>
      <c r="H49" s="21">
        <v>0.69</v>
      </c>
      <c r="I49" s="68">
        <f>MAX('Max rate concentrations'!$H$3:$H$368)</f>
        <v>282</v>
      </c>
      <c r="J49" s="68">
        <f>MAX('Max rate concentrations'!AA:AA)</f>
        <v>195</v>
      </c>
      <c r="K49" s="69">
        <f t="shared" si="6"/>
        <v>7.355372428868753</v>
      </c>
      <c r="L49" s="69">
        <f>(((0.013*F49^0.773)/(1-H49)))*J49/F49</f>
        <v>5.0861617859198818</v>
      </c>
      <c r="M49" s="69">
        <f>IF((((0.065*F49^0.726)/3.7-(0.301*F49^0.751)/(1-H49)*H49)*(MAX('Max rate concentrations'!$P$3:$P$368)))/F49&gt;0, (((0.065*F49^0.726)/3.7-(0.301*F49^0.751)/(1-H49)*H49)*(MAX('Max rate concentrations'!$P$3:$P$368)))/F49, 0)</f>
        <v>0</v>
      </c>
      <c r="N49" s="69">
        <f>IF((((0.065*F49^0.726)/3.7-(0.301*F49^0.751)/(1-H49)*H49)*(MAX('Max rate concentrations'!$Q$3:$Q$368)))/F49&gt;0, (((0.065*F49^0.726)/3.7-(0.301*F49^0.751)/(1-H49)*H49)*(MAX('Max rate concentrations'!$Q$3:$Q$368)))/F49, 0)</f>
        <v>0</v>
      </c>
      <c r="O49" s="69" t="s">
        <v>13</v>
      </c>
      <c r="P49" s="69" t="s">
        <v>13</v>
      </c>
      <c r="Q49" s="69">
        <f>(inputs!$C$18*11.2)*(8.42*F49^0.694)*0.5*1/F49</f>
        <v>74.580442785696874</v>
      </c>
      <c r="R49" s="59">
        <f>(60*76.9*((F49/1000)^0.76)*3*24*(MAX('Max rate concentrations'!$R$3:$R$368))/F49)</f>
        <v>8.1315133726149059E-3</v>
      </c>
      <c r="S49" s="59">
        <f>(IF(inputs!$C$17="aerial",((0.025*0.112*inputs!$C$18/3.3)*(3*60*76.9*((F49/1000)^0.76))*MAX(inputs!$I$14:$I$16))/F49,((0.0083*0.112*inputs!$C$18/1)*(3*60*76.9*((F49/1000)^0.76))*MAX(inputs!$I$14:$I$16))/F49))</f>
        <v>3.4335062437246988E-2</v>
      </c>
      <c r="T49" s="63">
        <f>IF((((inputs!$P$13/(V49/MAX(K49:S49)))^(1/inputs!$O$13))-1)/inputs!$N$13&lt;0, 0, IF((((inputs!$P$13/(V49/MAX(K49:S49)))^(1/inputs!$O$13))-1)/inputs!$N$13&lt;inputs!$I$17, (((inputs!$P$13/(V49/MAX(K49:S49)))^(1/inputs!$O$13))-1)/inputs!$N$13, inputs!$I$17))</f>
        <v>1000</v>
      </c>
      <c r="U49" s="63">
        <f>IF((((inputs!$P$13/(X49/MAX(K49:S49)))^(1/inputs!$O$13))-1)/inputs!$N$13&lt;0, 0, IF((((inputs!$P$13/(X49/MAX(K49:S49)))^(1/inputs!$O$13))-1)/inputs!$N$13&lt;inputs!$I$17, (((inputs!$P$13/(X49/MAX(K49:S49)))^(1/inputs!$O$13))-1)/inputs!$N$13, inputs!$I$17))</f>
        <v>1000</v>
      </c>
      <c r="V49" s="21">
        <f>inputs!$E$87*(F49/inputs!$F$87)^(1)</f>
        <v>1.539E-3</v>
      </c>
      <c r="W49" s="21">
        <f>inputs!$E$90*(F49/inputs!$F$90)^(1)</f>
        <v>1.6200000000000001E-3</v>
      </c>
      <c r="X49" s="21">
        <f>inputs!$E$89*(F49/inputs!$F$89)^(1)</f>
        <v>6.0493670886075943E-3</v>
      </c>
      <c r="Y49" s="21" t="s">
        <v>13</v>
      </c>
      <c r="Z49" s="63">
        <f t="shared" si="1"/>
        <v>48460.32669635924</v>
      </c>
      <c r="AA49" s="63">
        <f t="shared" si="2"/>
        <v>46037.310361541277</v>
      </c>
    </row>
    <row r="50" spans="1:27" x14ac:dyDescent="0.25">
      <c r="A50" s="103" t="s">
        <v>679</v>
      </c>
      <c r="B50" s="20" t="s">
        <v>680</v>
      </c>
      <c r="C50" s="21" t="s">
        <v>702</v>
      </c>
      <c r="D50" s="15" t="s">
        <v>703</v>
      </c>
      <c r="E50" s="15">
        <v>192</v>
      </c>
      <c r="F50" s="21">
        <v>0.24</v>
      </c>
      <c r="G50" s="21" t="s">
        <v>142</v>
      </c>
      <c r="H50" s="21">
        <v>0.69</v>
      </c>
      <c r="I50" s="68">
        <f>MAX('Max rate concentrations'!$H$3:$H$368)</f>
        <v>282</v>
      </c>
      <c r="J50" s="68">
        <f>MAX('Max rate concentrations'!AA:AA)</f>
        <v>195</v>
      </c>
      <c r="K50" s="69">
        <f t="shared" si="6"/>
        <v>16.3501904182366</v>
      </c>
      <c r="L50" s="69">
        <f>(((0.013*F50^0.773)/(1-H50)))*J50/F50</f>
        <v>11.305982736014672</v>
      </c>
      <c r="M50" s="69">
        <f>IF((((0.065*F50^0.726)/3.7-(0.301*F50^0.751)/(1-H50)*H50)*(MAX('Max rate concentrations'!$P$3:$P$368)))/F50&gt;0, (((0.065*F50^0.726)/3.7-(0.301*F50^0.751)/(1-H50)*H50)*(MAX('Max rate concentrations'!$P$3:$P$368)))/F50, 0)</f>
        <v>0</v>
      </c>
      <c r="N50" s="69">
        <f>IF((((0.065*F50^0.726)/3.7-(0.301*F50^0.751)/(1-H50)*H50)*(MAX('Max rate concentrations'!$Q$3:$Q$368)))/F50&gt;0, (((0.065*F50^0.726)/3.7-(0.301*F50^0.751)/(1-H50)*H50)*(MAX('Max rate concentrations'!$Q$3:$Q$368)))/F50, 0)</f>
        <v>0</v>
      </c>
      <c r="O50" s="69" t="s">
        <v>13</v>
      </c>
      <c r="P50" s="69" t="s">
        <v>13</v>
      </c>
      <c r="Q50" s="69">
        <f>(inputs!$C$18*11.2)*(8.42*F50^0.694)*0.5*1/F50</f>
        <v>218.91561140151359</v>
      </c>
      <c r="R50" s="59">
        <f>(60*76.9*((F50/1000)^0.76)*3*24*(MAX('Max rate concentrations'!$R$3:$R$368))/F50)</f>
        <v>1.8921566441469948E-2</v>
      </c>
      <c r="S50" s="59">
        <f>(IF(inputs!$C$17="aerial",((0.025*0.112*inputs!$C$18/3.3)*(3*60*76.9*((F50/1000)^0.76))*MAX(inputs!$I$14:$I$16))/F50,((0.0083*0.112*inputs!$C$18/1)*(3*60*76.9*((F50/1000)^0.76))*MAX(inputs!$I$14:$I$16))/F50))</f>
        <v>7.9895726097720013E-2</v>
      </c>
      <c r="T50" s="63">
        <f>IF((((inputs!$P$13/(V50/MAX(K50:S50)))^(1/inputs!$O$13))-1)/inputs!$N$13&lt;0, 0, IF((((inputs!$P$13/(V50/MAX(K50:S50)))^(1/inputs!$O$13))-1)/inputs!$N$13&lt;inputs!$I$17, (((inputs!$P$13/(V50/MAX(K50:S50)))^(1/inputs!$O$13))-1)/inputs!$N$13, inputs!$I$17))</f>
        <v>1000</v>
      </c>
      <c r="U50" s="63">
        <f>IF((((inputs!$P$13/(X50/MAX(K50:S50)))^(1/inputs!$O$13))-1)/inputs!$N$13&lt;0, 0, IF((((inputs!$P$13/(X50/MAX(K50:S50)))^(1/inputs!$O$13))-1)/inputs!$N$13&lt;inputs!$I$17, (((inputs!$P$13/(X50/MAX(K50:S50)))^(1/inputs!$O$13))-1)/inputs!$N$13, inputs!$I$17))</f>
        <v>1000</v>
      </c>
      <c r="V50" s="21">
        <f>inputs!$E$87*(F50/inputs!$F$87)^(1)</f>
        <v>4.5599999999999997E-5</v>
      </c>
      <c r="W50" s="21">
        <f>inputs!$E$90*(F50/inputs!$F$90)^(1)</f>
        <v>4.7999999999999994E-5</v>
      </c>
      <c r="X50" s="21">
        <f>inputs!$E$89*(F50/inputs!$F$89)^(1)</f>
        <v>1.7924050632911389E-4</v>
      </c>
      <c r="Y50" s="21" t="s">
        <v>13</v>
      </c>
      <c r="Z50" s="63">
        <f t="shared" si="1"/>
        <v>4800780.9517875789</v>
      </c>
      <c r="AA50" s="63">
        <f t="shared" si="2"/>
        <v>4560741.9041982004</v>
      </c>
    </row>
    <row r="51" spans="1:27" x14ac:dyDescent="0.25">
      <c r="A51" s="103" t="s">
        <v>643</v>
      </c>
      <c r="B51" s="20" t="s">
        <v>644</v>
      </c>
      <c r="C51" s="21" t="s">
        <v>702</v>
      </c>
      <c r="D51" s="15" t="s">
        <v>703</v>
      </c>
      <c r="E51" s="15">
        <v>9943</v>
      </c>
      <c r="F51" s="21">
        <v>4.3</v>
      </c>
      <c r="G51" s="21" t="s">
        <v>164</v>
      </c>
      <c r="H51" s="21">
        <v>0.78</v>
      </c>
      <c r="I51" s="68">
        <f>inputs!$C$66*(inputs!$C$62/1000)</f>
        <v>8.2000000000000011</v>
      </c>
      <c r="J51" s="68">
        <f>inputs!$C$66*(inputs!$C$61/1000)</f>
        <v>2.5</v>
      </c>
      <c r="K51" s="69">
        <f t="shared" si="6"/>
        <v>0.34796629937502521</v>
      </c>
      <c r="L51" s="69">
        <f>(((0.013*F51^0.773)/(1-H51)))*J51/F51</f>
        <v>0.10608728639482475</v>
      </c>
      <c r="M51" s="69">
        <f>IF((((0.065*F51^0.726)/3.7-(0.301*F51^0.751)/(1-H51)*H51)*(MAX('Max rate concentrations'!$P$3:$P$368)))/F51&gt;0, (((0.065*F51^0.726)/3.7-(0.301*F51^0.751)/(1-H51)*H51)*(MAX('Max rate concentrations'!$P$3:$P$368)))/F51, 0)</f>
        <v>0</v>
      </c>
      <c r="N51" s="69">
        <f>IF((((0.065*F51^0.726)/3.7-(0.301*F51^0.751)/(1-H51)*H51)*(MAX('Max rate concentrations'!$Q$3:$Q$368)))/F51&gt;0, (((0.065*F51^0.726)/3.7-(0.301*F51^0.751)/(1-H51)*H51)*(MAX('Max rate concentrations'!$Q$3:$Q$368)))/F51, 0)</f>
        <v>0</v>
      </c>
      <c r="O51" s="69" t="s">
        <v>13</v>
      </c>
      <c r="P51" s="69" t="s">
        <v>13</v>
      </c>
      <c r="Q51" s="69">
        <f>(inputs!$C$18*11.2)*(8.42*F51^0.694)*0.5*1/F51</f>
        <v>90.527395510191653</v>
      </c>
      <c r="R51" s="59">
        <f>(60*76.9*((F51/1000)^0.76)*3*24*(MAX('Max rate concentrations'!$R$3:$R$368))/F51)</f>
        <v>9.4661930212859083E-3</v>
      </c>
      <c r="S51" s="59">
        <f>(IF(inputs!$C$17="aerial",((0.025*0.112*inputs!$C$18/3.3)*(3*60*76.9*((F51/1000)^0.76))*MAX(inputs!$I$14:$I$16))/F51,((0.0083*0.112*inputs!$C$18/1)*(3*60*76.9*((F51/1000)^0.76))*MAX(inputs!$I$14:$I$16))/F51))</f>
        <v>3.9970705763515677E-2</v>
      </c>
      <c r="T51" s="63">
        <f>IF((((inputs!$P$13/(V51/MAX(K51:S51)))^(1/inputs!$O$13))-1)/inputs!$N$13&lt;0, 0, IF((((inputs!$P$13/(V51/MAX(K51:S51)))^(1/inputs!$O$13))-1)/inputs!$N$13&lt;inputs!$I$17, (((inputs!$P$13/(V51/MAX(K51:S51)))^(1/inputs!$O$13))-1)/inputs!$N$13, inputs!$I$17))</f>
        <v>1000</v>
      </c>
      <c r="U51" s="63">
        <f>IF((((inputs!$P$13/(X51/MAX(K51:S51)))^(1/inputs!$O$13))-1)/inputs!$N$13&lt;0, 0, IF((((inputs!$P$13/(X51/MAX(K51:S51)))^(1/inputs!$O$13))-1)/inputs!$N$13&lt;inputs!$I$17, (((inputs!$P$13/(X51/MAX(K51:S51)))^(1/inputs!$O$13))-1)/inputs!$N$13, inputs!$I$17))</f>
        <v>1000</v>
      </c>
      <c r="V51" s="21">
        <f>inputs!$E$87*(F51/inputs!$F$87)^(1)</f>
        <v>8.1699999999999991E-4</v>
      </c>
      <c r="W51" s="21">
        <f>inputs!$E$90*(F51/inputs!$F$90)^(1)</f>
        <v>8.5999999999999998E-4</v>
      </c>
      <c r="X51" s="21">
        <f>inputs!$E$89*(F51/inputs!$F$89)^(1)</f>
        <v>3.211392405063291E-3</v>
      </c>
      <c r="Y51" s="21" t="s">
        <v>13</v>
      </c>
      <c r="Z51" s="63">
        <f t="shared" si="1"/>
        <v>110804.64566730926</v>
      </c>
      <c r="AA51" s="63">
        <f t="shared" si="2"/>
        <v>105264.41338394379</v>
      </c>
    </row>
    <row r="52" spans="1:27" ht="26.4" x14ac:dyDescent="0.25">
      <c r="A52" s="103" t="s">
        <v>643</v>
      </c>
      <c r="B52" s="20" t="s">
        <v>644</v>
      </c>
      <c r="C52" s="21" t="s">
        <v>702</v>
      </c>
      <c r="D52" s="15" t="s">
        <v>703</v>
      </c>
      <c r="E52" s="15">
        <v>9943</v>
      </c>
      <c r="F52" s="21">
        <v>4.3</v>
      </c>
      <c r="G52" s="21" t="s">
        <v>634</v>
      </c>
      <c r="H52" s="21">
        <v>0.75</v>
      </c>
      <c r="I52" s="68">
        <f>inputs!$C$66*inputs!$C$64/1000</f>
        <v>21.3</v>
      </c>
      <c r="J52" s="68">
        <f>inputs!$C$66*inputs!$C$63/1000</f>
        <v>8.8000000000000007</v>
      </c>
      <c r="K52" s="69">
        <f t="shared" si="6"/>
        <v>0.795400038473838</v>
      </c>
      <c r="L52" s="69">
        <f>(((0.013*F52^0.773)/(1-H52)))*J52/F52</f>
        <v>0.3286159783366091</v>
      </c>
      <c r="M52" s="69">
        <f>IF((((0.065*F52^0.726)/3.7-(0.301*F52^0.751)/(1-H52)*H52)*(MAX('Max rate concentrations'!$P$3:$P$368)))/F52&gt;0, (((0.065*F52^0.726)/3.7-(0.301*F52^0.751)/(1-H52)*H52)*(MAX('Max rate concentrations'!$P$3:$P$368)))/F52, 0)</f>
        <v>0</v>
      </c>
      <c r="N52" s="69">
        <f>IF((((0.065*F52^0.726)/3.7-(0.301*F52^0.751)/(1-H52)*H52)*(MAX('Max rate concentrations'!$Q$3:$Q$368)))/F52&gt;0, (((0.065*F52^0.726)/3.7-(0.301*F52^0.751)/(1-H52)*H52)*(MAX('Max rate concentrations'!$Q$3:$Q$368)))/F52, 0)</f>
        <v>0</v>
      </c>
      <c r="O52" s="69" t="s">
        <v>13</v>
      </c>
      <c r="P52" s="69" t="s">
        <v>13</v>
      </c>
      <c r="Q52" s="69">
        <f>(inputs!$C$18*11.2)*(8.42*F52^0.694)*0.5*1/F52</f>
        <v>90.527395510191653</v>
      </c>
      <c r="R52" s="59">
        <f>(60*76.9*((F52/1000)^0.76)*3*24*(MAX('Max rate concentrations'!$R$3:$R$368))/F52)</f>
        <v>9.4661930212859083E-3</v>
      </c>
      <c r="S52" s="59">
        <f>(IF(inputs!$C$17="aerial",((0.025*0.112*inputs!$C$18/3.3)*(3*60*76.9*((F52/1000)^0.76))*MAX(inputs!$I$14:$I$16))/F52,((0.0083*0.112*inputs!$C$18/1)*(3*60*76.9*((F52/1000)^0.76))*MAX(inputs!$I$14:$I$16))/F52))</f>
        <v>3.9970705763515677E-2</v>
      </c>
      <c r="T52" s="63">
        <f>IF((((inputs!$P$13/(V52/MAX(K52:S52)))^(1/inputs!$O$13))-1)/inputs!$N$13&lt;0, 0, IF((((inputs!$P$13/(V52/MAX(K52:S52)))^(1/inputs!$O$13))-1)/inputs!$N$13&lt;inputs!$I$17, (((inputs!$P$13/(V52/MAX(K52:S52)))^(1/inputs!$O$13))-1)/inputs!$N$13, inputs!$I$17))</f>
        <v>1000</v>
      </c>
      <c r="U52" s="63">
        <f>IF((((inputs!$P$13/(X52/MAX(K52:S52)))^(1/inputs!$O$13))-1)/inputs!$N$13&lt;0, 0, IF((((inputs!$P$13/(X52/MAX(K52:S52)))^(1/inputs!$O$13))-1)/inputs!$N$13&lt;inputs!$I$17, (((inputs!$P$13/(X52/MAX(K52:S52)))^(1/inputs!$O$13))-1)/inputs!$N$13, inputs!$I$17))</f>
        <v>1000</v>
      </c>
      <c r="V52" s="21">
        <f>inputs!$E$87*(F52/inputs!$F$87)^(1)</f>
        <v>8.1699999999999991E-4</v>
      </c>
      <c r="W52" s="21">
        <f>inputs!$E$90*(F52/inputs!$F$90)^(1)</f>
        <v>8.5999999999999998E-4</v>
      </c>
      <c r="X52" s="21">
        <f>inputs!$E$89*(F52/inputs!$F$89)^(1)</f>
        <v>3.211392405063291E-3</v>
      </c>
      <c r="Y52" s="21" t="s">
        <v>13</v>
      </c>
      <c r="Z52" s="63">
        <f t="shared" si="1"/>
        <v>110804.64566730926</v>
      </c>
      <c r="AA52" s="63">
        <f t="shared" si="2"/>
        <v>105264.41338394379</v>
      </c>
    </row>
    <row r="53" spans="1:27" x14ac:dyDescent="0.25">
      <c r="A53" s="103" t="s">
        <v>643</v>
      </c>
      <c r="B53" s="20" t="s">
        <v>644</v>
      </c>
      <c r="C53" s="21" t="s">
        <v>702</v>
      </c>
      <c r="D53" s="15" t="s">
        <v>703</v>
      </c>
      <c r="E53" s="15">
        <v>9943</v>
      </c>
      <c r="F53" s="21">
        <v>4.3</v>
      </c>
      <c r="G53" s="21" t="s">
        <v>146</v>
      </c>
      <c r="H53" s="20">
        <v>0.84</v>
      </c>
      <c r="I53" s="68">
        <f>MAX('Max rate concentrations'!$I$3:$I$368)</f>
        <v>56.865414300472793</v>
      </c>
      <c r="J53" s="68" t="s">
        <v>13</v>
      </c>
      <c r="K53" s="69">
        <f t="shared" si="6"/>
        <v>3.3179836210700402</v>
      </c>
      <c r="L53" s="69" t="s">
        <v>13</v>
      </c>
      <c r="M53" s="69">
        <f>IF((((0.065*F53^0.726)/3.7-(0.301*F53^0.751)/(1-H53)*H53)*(MAX('Max rate concentrations'!$P$3:$P$368)))/F53&gt;0, (((0.065*F53^0.726)/3.7-(0.301*F53^0.751)/(1-H53)*H53)*(MAX('Max rate concentrations'!$P$3:$P$368)))/F53, 0)</f>
        <v>0</v>
      </c>
      <c r="N53" s="69">
        <f>IF((((0.065*F53^0.726)/3.7-(0.301*F53^0.751)/(1-H53)*H53)*(MAX('Max rate concentrations'!$Q$3:$Q$368)))/F53&gt;0, (((0.065*F53^0.726)/3.7-(0.301*F53^0.751)/(1-H53)*H53)*(MAX('Max rate concentrations'!$Q$3:$Q$368)))/F53, 0)</f>
        <v>0</v>
      </c>
      <c r="O53" s="69" t="s">
        <v>13</v>
      </c>
      <c r="P53" s="69" t="s">
        <v>13</v>
      </c>
      <c r="Q53" s="69">
        <f>(inputs!$C$18*11.2)*(8.42*F53^0.694)*0.5*1/F53</f>
        <v>90.527395510191653</v>
      </c>
      <c r="R53" s="59">
        <f>(60*76.9*((F53/1000)^0.76)*3*24*(MAX('Max rate concentrations'!$R$3:$R$368))/F53)</f>
        <v>9.4661930212859083E-3</v>
      </c>
      <c r="S53" s="59">
        <f>(IF(inputs!$C$17="aerial",((0.025*0.112*inputs!$C$18/3.3)*(3*60*76.9*((F53/1000)^0.76))*MAX(inputs!$I$14:$I$16))/F53,((0.0083*0.112*inputs!$C$18/1)*(3*60*76.9*((F53/1000)^0.76))*MAX(inputs!$I$14:$I$16))/F53))</f>
        <v>3.9970705763515677E-2</v>
      </c>
      <c r="T53" s="63">
        <f>IF((((inputs!$P$13/(V53/MAX(K53:S53)))^(1/inputs!$O$13))-1)/inputs!$N$13&lt;0, 0, IF((((inputs!$P$13/(V53/MAX(K53:S53)))^(1/inputs!$O$13))-1)/inputs!$N$13&lt;inputs!$I$17, (((inputs!$P$13/(V53/MAX(K53:S53)))^(1/inputs!$O$13))-1)/inputs!$N$13, inputs!$I$17))</f>
        <v>1000</v>
      </c>
      <c r="U53" s="63">
        <f>IF((((inputs!$P$13/(X53/MAX(K53:S53)))^(1/inputs!$O$13))-1)/inputs!$N$13&lt;0, 0, IF((((inputs!$P$13/(X53/MAX(K53:S53)))^(1/inputs!$O$13))-1)/inputs!$N$13&lt;inputs!$I$17, (((inputs!$P$13/(X53/MAX(K53:S53)))^(1/inputs!$O$13))-1)/inputs!$N$13, inputs!$I$17))</f>
        <v>1000</v>
      </c>
      <c r="V53" s="21">
        <f>inputs!$E$87*(F53/inputs!$F$87)^(1)</f>
        <v>8.1699999999999991E-4</v>
      </c>
      <c r="W53" s="21">
        <f>inputs!$E$90*(F53/inputs!$F$90)^(1)</f>
        <v>8.5999999999999998E-4</v>
      </c>
      <c r="X53" s="21">
        <f>inputs!$E$89*(F53/inputs!$F$89)^(1)</f>
        <v>3.211392405063291E-3</v>
      </c>
      <c r="Y53" s="21" t="s">
        <v>13</v>
      </c>
      <c r="Z53" s="63">
        <f t="shared" si="1"/>
        <v>110804.64566730926</v>
      </c>
      <c r="AA53" s="63">
        <f t="shared" si="2"/>
        <v>105264.41338394379</v>
      </c>
    </row>
    <row r="54" spans="1:27" x14ac:dyDescent="0.25">
      <c r="A54" s="103" t="s">
        <v>651</v>
      </c>
      <c r="B54" s="20" t="s">
        <v>652</v>
      </c>
      <c r="C54" s="21" t="s">
        <v>702</v>
      </c>
      <c r="D54" s="15" t="s">
        <v>703</v>
      </c>
      <c r="E54" s="15">
        <v>188</v>
      </c>
      <c r="F54" s="21">
        <v>3</v>
      </c>
      <c r="G54" s="21" t="s">
        <v>142</v>
      </c>
      <c r="H54" s="21">
        <v>0.69</v>
      </c>
      <c r="I54" s="68">
        <f>MAX('Max rate concentrations'!$H$3:$H$368)</f>
        <v>282</v>
      </c>
      <c r="J54" s="68">
        <f>MAX('Max rate concentrations'!AA:AA)</f>
        <v>195</v>
      </c>
      <c r="K54" s="69">
        <f t="shared" si="6"/>
        <v>9.2156132811541518</v>
      </c>
      <c r="L54" s="69">
        <f>(((0.013*F54^0.773)/(1-H54)))*J54/F54</f>
        <v>6.3724985454789342</v>
      </c>
      <c r="M54" s="69">
        <f>IF((((0.065*F54^0.726)/3.7-(0.301*F54^0.751)/(1-H54)*H54)*(MAX('Max rate concentrations'!$P$3:$P$368)))/F54&gt;0, (((0.065*F54^0.726)/3.7-(0.301*F54^0.751)/(1-H54)*H54)*(MAX('Max rate concentrations'!$P$3:$P$368)))/F54, 0)</f>
        <v>0</v>
      </c>
      <c r="N54" s="69">
        <f>IF((((0.065*F54^0.726)/3.7-(0.301*F54^0.751)/(1-H54)*H54)*(MAX('Max rate concentrations'!$Q$3:$Q$368)))/F54&gt;0, (((0.065*F54^0.726)/3.7-(0.301*F54^0.751)/(1-H54)*H54)*(MAX('Max rate concentrations'!$Q$3:$Q$368)))/F54, 0)</f>
        <v>0</v>
      </c>
      <c r="O54" s="69" t="s">
        <v>13</v>
      </c>
      <c r="P54" s="69" t="s">
        <v>13</v>
      </c>
      <c r="Q54" s="69">
        <f>(inputs!$C$18*11.2)*(8.42*F54^0.694)*0.5*1/F54</f>
        <v>101.07000083326511</v>
      </c>
      <c r="R54" s="59">
        <f>(60*76.9*((F54/1000)^0.76)*3*24*(MAX('Max rate concentrations'!$R$3:$R$368))/F54)</f>
        <v>1.0320451183737278E-2</v>
      </c>
      <c r="S54" s="59">
        <f>(IF(inputs!$C$17="aerial",((0.025*0.112*inputs!$C$18/3.3)*(3*60*76.9*((F54/1000)^0.76))*MAX(inputs!$I$14:$I$16))/F54,((0.0083*0.112*inputs!$C$18/1)*(3*60*76.9*((F54/1000)^0.76))*MAX(inputs!$I$14:$I$16))/F54))</f>
        <v>4.3577784298745759E-2</v>
      </c>
      <c r="T54" s="63">
        <f>IF((((inputs!$P$13/(V54/MAX(K54:S54)))^(1/inputs!$O$13))-1)/inputs!$N$13&lt;0, 0, IF((((inputs!$P$13/(V54/MAX(K54:S54)))^(1/inputs!$O$13))-1)/inputs!$N$13&lt;inputs!$I$17, (((inputs!$P$13/(V54/MAX(K54:S54)))^(1/inputs!$O$13))-1)/inputs!$N$13, inputs!$I$17))</f>
        <v>1000</v>
      </c>
      <c r="U54" s="63">
        <f>IF((((inputs!$P$13/(X54/MAX(K54:S54)))^(1/inputs!$O$13))-1)/inputs!$N$13&lt;0, 0, IF((((inputs!$P$13/(X54/MAX(K54:S54)))^(1/inputs!$O$13))-1)/inputs!$N$13&lt;inputs!$I$17, (((inputs!$P$13/(X54/MAX(K54:S54)))^(1/inputs!$O$13))-1)/inputs!$N$13, inputs!$I$17))</f>
        <v>1000</v>
      </c>
      <c r="V54" s="21">
        <f>inputs!$E$87*(F54/inputs!$F$87)^(1)</f>
        <v>5.6999999999999998E-4</v>
      </c>
      <c r="W54" s="21">
        <f>inputs!$E$90*(F54/inputs!$F$90)^(1)</f>
        <v>5.9999999999999995E-4</v>
      </c>
      <c r="X54" s="21">
        <f>inputs!$E$89*(F54/inputs!$F$89)^(1)</f>
        <v>2.2405063291139238E-3</v>
      </c>
      <c r="Y54" s="21" t="s">
        <v>13</v>
      </c>
      <c r="Z54" s="63">
        <f t="shared" si="1"/>
        <v>177315.79093555282</v>
      </c>
      <c r="AA54" s="63">
        <f t="shared" si="2"/>
        <v>168450.00138877521</v>
      </c>
    </row>
    <row r="55" spans="1:27" x14ac:dyDescent="0.25">
      <c r="A55" s="103" t="s">
        <v>651</v>
      </c>
      <c r="B55" s="20" t="s">
        <v>652</v>
      </c>
      <c r="C55" s="21" t="s">
        <v>702</v>
      </c>
      <c r="D55" s="15" t="s">
        <v>703</v>
      </c>
      <c r="E55" s="15">
        <v>188</v>
      </c>
      <c r="F55" s="21">
        <v>3</v>
      </c>
      <c r="G55" s="21" t="s">
        <v>146</v>
      </c>
      <c r="H55" s="20">
        <v>0.84</v>
      </c>
      <c r="I55" s="68">
        <f>MAX('Max rate concentrations'!$I$3:$I$368)</f>
        <v>56.865414300472793</v>
      </c>
      <c r="J55" s="68" t="s">
        <v>13</v>
      </c>
      <c r="K55" s="69">
        <f t="shared" si="6"/>
        <v>3.6005185472603896</v>
      </c>
      <c r="L55" s="69" t="s">
        <v>13</v>
      </c>
      <c r="M55" s="69">
        <f>IF((((0.065*F55^0.726)/3.7-(0.301*F55^0.751)/(1-H55)*H55)*(MAX('Max rate concentrations'!$P$3:$P$368)))/F55&gt;0, (((0.065*F55^0.726)/3.7-(0.301*F55^0.751)/(1-H55)*H55)*(MAX('Max rate concentrations'!$P$3:$P$368)))/F55, 0)</f>
        <v>0</v>
      </c>
      <c r="N55" s="69">
        <f>IF((((0.065*F55^0.726)/3.7-(0.301*F55^0.751)/(1-H55)*H55)*(MAX('Max rate concentrations'!$Q$3:$Q$368)))/F55&gt;0, (((0.065*F55^0.726)/3.7-(0.301*F55^0.751)/(1-H55)*H55)*(MAX('Max rate concentrations'!$Q$3:$Q$368)))/F55, 0)</f>
        <v>0</v>
      </c>
      <c r="O55" s="69" t="s">
        <v>13</v>
      </c>
      <c r="P55" s="69" t="s">
        <v>13</v>
      </c>
      <c r="Q55" s="69">
        <f>(inputs!$C$18*11.2)*(8.42*F55^0.694)*0.5*1/F55</f>
        <v>101.07000083326511</v>
      </c>
      <c r="R55" s="59">
        <f>(60*76.9*((F55/1000)^0.76)*3*24*(MAX('Max rate concentrations'!$R$3:$R$368))/F55)</f>
        <v>1.0320451183737278E-2</v>
      </c>
      <c r="S55" s="59">
        <f>(IF(inputs!$C$17="aerial",((0.025*0.112*inputs!$C$18/3.3)*(3*60*76.9*((F55/1000)^0.76))*MAX(inputs!$I$14:$I$16))/F55,((0.0083*0.112*inputs!$C$18/1)*(3*60*76.9*((F55/1000)^0.76))*MAX(inputs!$I$14:$I$16))/F55))</f>
        <v>4.3577784298745759E-2</v>
      </c>
      <c r="T55" s="63">
        <f>IF((((inputs!$P$13/(V55/MAX(K55:S55)))^(1/inputs!$O$13))-1)/inputs!$N$13&lt;0, 0, IF((((inputs!$P$13/(V55/MAX(K55:S55)))^(1/inputs!$O$13))-1)/inputs!$N$13&lt;inputs!$I$17, (((inputs!$P$13/(V55/MAX(K55:S55)))^(1/inputs!$O$13))-1)/inputs!$N$13, inputs!$I$17))</f>
        <v>1000</v>
      </c>
      <c r="U55" s="63">
        <f>IF((((inputs!$P$13/(X55/MAX(K55:S55)))^(1/inputs!$O$13))-1)/inputs!$N$13&lt;0, 0, IF((((inputs!$P$13/(X55/MAX(K55:S55)))^(1/inputs!$O$13))-1)/inputs!$N$13&lt;inputs!$I$17, (((inputs!$P$13/(X55/MAX(K55:S55)))^(1/inputs!$O$13))-1)/inputs!$N$13, inputs!$I$17))</f>
        <v>1000</v>
      </c>
      <c r="V55" s="21">
        <f>inputs!$E$87*(F55/inputs!$F$87)^(1)</f>
        <v>5.6999999999999998E-4</v>
      </c>
      <c r="W55" s="21">
        <f>inputs!$E$90*(F55/inputs!$F$90)^(1)</f>
        <v>5.9999999999999995E-4</v>
      </c>
      <c r="X55" s="21">
        <f>inputs!$E$89*(F55/inputs!$F$89)^(1)</f>
        <v>2.2405063291139238E-3</v>
      </c>
      <c r="Y55" s="21" t="s">
        <v>13</v>
      </c>
      <c r="Z55" s="63">
        <f t="shared" si="1"/>
        <v>177315.79093555282</v>
      </c>
      <c r="AA55" s="63">
        <f t="shared" si="2"/>
        <v>168450.00138877521</v>
      </c>
    </row>
    <row r="56" spans="1:27" x14ac:dyDescent="0.25">
      <c r="A56" s="103" t="s">
        <v>685</v>
      </c>
      <c r="B56" s="20" t="s">
        <v>686</v>
      </c>
      <c r="C56" s="21" t="s">
        <v>702</v>
      </c>
      <c r="D56" s="15" t="s">
        <v>703</v>
      </c>
      <c r="E56" s="15">
        <v>200</v>
      </c>
      <c r="F56" s="21">
        <v>1.3</v>
      </c>
      <c r="G56" s="21" t="s">
        <v>142</v>
      </c>
      <c r="H56" s="21">
        <v>0.69</v>
      </c>
      <c r="I56" s="68">
        <f>MAX('Max rate concentrations'!$H$3:$H$368)</f>
        <v>282</v>
      </c>
      <c r="J56" s="68">
        <f>MAX('Max rate concentrations'!AA:AA)</f>
        <v>195</v>
      </c>
      <c r="K56" s="69">
        <f t="shared" si="6"/>
        <v>11.142063412508156</v>
      </c>
      <c r="L56" s="69">
        <f>(((0.013*F56^0.773)/(1-H56)))*J56/F56</f>
        <v>7.7046183171598956</v>
      </c>
      <c r="M56" s="69">
        <f>IF((((0.065*F56^0.726)/3.7-(0.301*F56^0.751)/(1-H56)*H56)*(MAX('Max rate concentrations'!$P$3:$P$368)))/F56&gt;0, (((0.065*F56^0.726)/3.7-(0.301*F56^0.751)/(1-H56)*H56)*(MAX('Max rate concentrations'!$P$3:$P$368)))/F56, 0)</f>
        <v>0</v>
      </c>
      <c r="N56" s="69">
        <f>IF((((0.065*F56^0.726)/3.7-(0.301*F56^0.751)/(1-H56)*H56)*(MAX('Max rate concentrations'!$Q$3:$Q$368)))/F56&gt;0, (((0.065*F56^0.726)/3.7-(0.301*F56^0.751)/(1-H56)*H56)*(MAX('Max rate concentrations'!$Q$3:$Q$368)))/F56, 0)</f>
        <v>0</v>
      </c>
      <c r="O56" s="69" t="s">
        <v>13</v>
      </c>
      <c r="P56" s="69" t="s">
        <v>13</v>
      </c>
      <c r="Q56" s="69">
        <f>(inputs!$C$18*11.2)*(8.42*F56^0.694)*0.5*1/F56</f>
        <v>130.54333619196865</v>
      </c>
      <c r="R56" s="59">
        <f>(60*76.9*((F56/1000)^0.76)*3*24*(MAX('Max rate concentrations'!$R$3:$R$368))/F56)</f>
        <v>1.2614248448028227E-2</v>
      </c>
      <c r="S56" s="59">
        <f>(IF(inputs!$C$17="aerial",((0.025*0.112*inputs!$C$18/3.3)*(3*60*76.9*((F56/1000)^0.76))*MAX(inputs!$I$14:$I$16))/F56,((0.0083*0.112*inputs!$C$18/1)*(3*60*76.9*((F56/1000)^0.76))*MAX(inputs!$I$14:$I$16))/F56))</f>
        <v>5.3263271941557014E-2</v>
      </c>
      <c r="T56" s="63">
        <f>IF((((inputs!$P$13/(V56/MAX(K56:S56)))^(1/inputs!$O$13))-1)/inputs!$N$13&lt;0, 0, IF((((inputs!$P$13/(V56/MAX(K56:S56)))^(1/inputs!$O$13))-1)/inputs!$N$13&lt;inputs!$I$17, (((inputs!$P$13/(V56/MAX(K56:S56)))^(1/inputs!$O$13))-1)/inputs!$N$13, inputs!$I$17))</f>
        <v>1000</v>
      </c>
      <c r="U56" s="63">
        <f>IF((((inputs!$P$13/(X56/MAX(K56:S56)))^(1/inputs!$O$13))-1)/inputs!$N$13&lt;0, 0, IF((((inputs!$P$13/(X56/MAX(K56:S56)))^(1/inputs!$O$13))-1)/inputs!$N$13&lt;inputs!$I$17, (((inputs!$P$13/(X56/MAX(K56:S56)))^(1/inputs!$O$13))-1)/inputs!$N$13, inputs!$I$17))</f>
        <v>1000</v>
      </c>
      <c r="V56" s="21">
        <f>inputs!$E$87*(F56/inputs!$F$87)^(1)</f>
        <v>2.4700000000000004E-4</v>
      </c>
      <c r="W56" s="21">
        <f>inputs!$E$90*(F56/inputs!$F$90)^(1)</f>
        <v>2.5999999999999998E-4</v>
      </c>
      <c r="X56" s="21">
        <f>inputs!$E$89*(F56/inputs!$F$89)^(1)</f>
        <v>9.7088607594936704E-4</v>
      </c>
      <c r="Y56" s="21" t="s">
        <v>13</v>
      </c>
      <c r="Z56" s="63">
        <f t="shared" si="1"/>
        <v>528515.53114157345</v>
      </c>
      <c r="AA56" s="63">
        <f t="shared" si="2"/>
        <v>502089.75458449486</v>
      </c>
    </row>
    <row r="57" spans="1:27" x14ac:dyDescent="0.25">
      <c r="A57" s="103" t="s">
        <v>653</v>
      </c>
      <c r="B57" s="20" t="s">
        <v>654</v>
      </c>
      <c r="C57" s="21" t="s">
        <v>702</v>
      </c>
      <c r="D57" s="15" t="s">
        <v>703</v>
      </c>
      <c r="E57" s="15">
        <v>201</v>
      </c>
      <c r="F57" s="21">
        <v>4.5999999999999996</v>
      </c>
      <c r="G57" s="21" t="s">
        <v>142</v>
      </c>
      <c r="H57" s="21">
        <v>0.69</v>
      </c>
      <c r="I57" s="68">
        <f>MAX('Max rate concentrations'!$H$3:$H$368)</f>
        <v>282</v>
      </c>
      <c r="J57" s="68">
        <f>MAX('Max rate concentrations'!AA:AA)</f>
        <v>195</v>
      </c>
      <c r="K57" s="69">
        <f t="shared" si="6"/>
        <v>8.36343602162043</v>
      </c>
      <c r="L57" s="69">
        <f>(((0.013*F57^0.773)/(1-H57)))*J57/F57</f>
        <v>5.7832270362268927</v>
      </c>
      <c r="M57" s="69">
        <f>IF((((0.065*F57^0.726)/3.7-(0.301*F57^0.751)/(1-H57)*H57)*(MAX('Max rate concentrations'!$P$3:$P$368)))/F57&gt;0, (((0.065*F57^0.726)/3.7-(0.301*F57^0.751)/(1-H57)*H57)*(MAX('Max rate concentrations'!$P$3:$P$368)))/F57, 0)</f>
        <v>0</v>
      </c>
      <c r="N57" s="69">
        <f>IF((((0.065*F57^0.726)/3.7-(0.301*F57^0.751)/(1-H57)*H57)*(MAX('Max rate concentrations'!$Q$3:$Q$368)))/F57&gt;0, (((0.065*F57^0.726)/3.7-(0.301*F57^0.751)/(1-H57)*H57)*(MAX('Max rate concentrations'!$Q$3:$Q$368)))/F57, 0)</f>
        <v>0</v>
      </c>
      <c r="O57" s="69" t="s">
        <v>13</v>
      </c>
      <c r="P57" s="69" t="s">
        <v>13</v>
      </c>
      <c r="Q57" s="69">
        <f>(inputs!$C$18*11.2)*(8.42*F57^0.694)*0.5*1/F57</f>
        <v>88.678324056583023</v>
      </c>
      <c r="R57" s="59">
        <f>(60*76.9*((F57/1000)^0.76)*3*24*(MAX('Max rate concentrations'!$R$3:$R$368))/F57)</f>
        <v>9.3142074281958708E-3</v>
      </c>
      <c r="S57" s="59">
        <f>(IF(inputs!$C$17="aerial",((0.025*0.112*inputs!$C$18/3.3)*(3*60*76.9*((F57/1000)^0.76))*MAX(inputs!$I$14:$I$16))/F57,((0.0083*0.112*inputs!$C$18/1)*(3*60*76.9*((F57/1000)^0.76))*MAX(inputs!$I$14:$I$16))/F57))</f>
        <v>3.9328951321361896E-2</v>
      </c>
      <c r="T57" s="63">
        <f>IF((((inputs!$P$13/(V57/MAX(K57:S57)))^(1/inputs!$O$13))-1)/inputs!$N$13&lt;0, 0, IF((((inputs!$P$13/(V57/MAX(K57:S57)))^(1/inputs!$O$13))-1)/inputs!$N$13&lt;inputs!$I$17, (((inputs!$P$13/(V57/MAX(K57:S57)))^(1/inputs!$O$13))-1)/inputs!$N$13, inputs!$I$17))</f>
        <v>1000</v>
      </c>
      <c r="U57" s="63">
        <f>IF((((inputs!$P$13/(X57/MAX(K57:S57)))^(1/inputs!$O$13))-1)/inputs!$N$13&lt;0, 0, IF((((inputs!$P$13/(X57/MAX(K57:S57)))^(1/inputs!$O$13))-1)/inputs!$N$13&lt;inputs!$I$17, (((inputs!$P$13/(X57/MAX(K57:S57)))^(1/inputs!$O$13))-1)/inputs!$N$13, inputs!$I$17))</f>
        <v>1000</v>
      </c>
      <c r="V57" s="21">
        <f>inputs!$E$87*(F57/inputs!$F$87)^(1)</f>
        <v>8.7399999999999999E-4</v>
      </c>
      <c r="W57" s="21">
        <f>inputs!$E$90*(F57/inputs!$F$90)^(1)</f>
        <v>9.2000000000000003E-4</v>
      </c>
      <c r="X57" s="21">
        <f>inputs!$E$89*(F57/inputs!$F$89)^(1)</f>
        <v>3.4354430379746836E-3</v>
      </c>
      <c r="Y57" s="21" t="s">
        <v>13</v>
      </c>
      <c r="Z57" s="63">
        <f t="shared" si="1"/>
        <v>101462.61333705152</v>
      </c>
      <c r="AA57" s="63">
        <f t="shared" si="2"/>
        <v>96389.482670198937</v>
      </c>
    </row>
    <row r="58" spans="1:27" x14ac:dyDescent="0.25">
      <c r="A58" s="103" t="s">
        <v>653</v>
      </c>
      <c r="B58" s="20" t="s">
        <v>654</v>
      </c>
      <c r="C58" s="21" t="s">
        <v>702</v>
      </c>
      <c r="D58" s="15" t="s">
        <v>703</v>
      </c>
      <c r="E58" s="15">
        <v>201</v>
      </c>
      <c r="F58" s="21">
        <v>4.5999999999999996</v>
      </c>
      <c r="G58" s="21" t="s">
        <v>164</v>
      </c>
      <c r="H58" s="21">
        <v>0.78</v>
      </c>
      <c r="I58" s="68">
        <f>inputs!$C$66*(inputs!$C$62/1000)</f>
        <v>8.2000000000000011</v>
      </c>
      <c r="J58" s="68">
        <f>inputs!$C$66*(inputs!$C$61/1000)</f>
        <v>2.5</v>
      </c>
      <c r="K58" s="69">
        <f t="shared" si="6"/>
        <v>0.34267979314892227</v>
      </c>
      <c r="L58" s="69">
        <f>(((0.013*F58^0.773)/(1-H58)))*J58/F58</f>
        <v>0.10447554669174459</v>
      </c>
      <c r="M58" s="69">
        <f>IF((((0.065*F58^0.726)/3.7-(0.301*F58^0.751)/(1-H58)*H58)*(MAX('Max rate concentrations'!$P$3:$P$368)))/F58&gt;0, (((0.065*F58^0.726)/3.7-(0.301*F58^0.751)/(1-H58)*H58)*(MAX('Max rate concentrations'!$P$3:$P$368)))/F58, 0)</f>
        <v>0</v>
      </c>
      <c r="N58" s="69">
        <f>IF((((0.065*F58^0.726)/3.7-(0.301*F58^0.751)/(1-H58)*H58)*(MAX('Max rate concentrations'!$Q$3:$Q$368)))/F58&gt;0, (((0.065*F58^0.726)/3.7-(0.301*F58^0.751)/(1-H58)*H58)*(MAX('Max rate concentrations'!$Q$3:$Q$368)))/F58, 0)</f>
        <v>0</v>
      </c>
      <c r="O58" s="69" t="s">
        <v>13</v>
      </c>
      <c r="P58" s="69" t="s">
        <v>13</v>
      </c>
      <c r="Q58" s="69">
        <f>(inputs!$C$18*11.2)*(8.42*F58^0.694)*0.5*1/F58</f>
        <v>88.678324056583023</v>
      </c>
      <c r="R58" s="59">
        <f>(60*76.9*((F58/1000)^0.76)*3*24*(MAX('Max rate concentrations'!$R$3:$R$368))/F58)</f>
        <v>9.3142074281958708E-3</v>
      </c>
      <c r="S58" s="59">
        <f>(IF(inputs!$C$17="aerial",((0.025*0.112*inputs!$C$18/3.3)*(3*60*76.9*((F58/1000)^0.76))*MAX(inputs!$I$14:$I$16))/F58,((0.0083*0.112*inputs!$C$18/1)*(3*60*76.9*((F58/1000)^0.76))*MAX(inputs!$I$14:$I$16))/F58))</f>
        <v>3.9328951321361896E-2</v>
      </c>
      <c r="T58" s="63">
        <f>IF((((inputs!$P$13/(V58/MAX(K58:S58)))^(1/inputs!$O$13))-1)/inputs!$N$13&lt;0, 0, IF((((inputs!$P$13/(V58/MAX(K58:S58)))^(1/inputs!$O$13))-1)/inputs!$N$13&lt;inputs!$I$17, (((inputs!$P$13/(V58/MAX(K58:S58)))^(1/inputs!$O$13))-1)/inputs!$N$13, inputs!$I$17))</f>
        <v>1000</v>
      </c>
      <c r="U58" s="63">
        <f>IF((((inputs!$P$13/(X58/MAX(K58:S58)))^(1/inputs!$O$13))-1)/inputs!$N$13&lt;0, 0, IF((((inputs!$P$13/(X58/MAX(K58:S58)))^(1/inputs!$O$13))-1)/inputs!$N$13&lt;inputs!$I$17, (((inputs!$P$13/(X58/MAX(K58:S58)))^(1/inputs!$O$13))-1)/inputs!$N$13, inputs!$I$17))</f>
        <v>1000</v>
      </c>
      <c r="V58" s="21">
        <f>inputs!$E$87*(F58/inputs!$F$87)^(1)</f>
        <v>8.7399999999999999E-4</v>
      </c>
      <c r="W58" s="21">
        <f>inputs!$E$90*(F58/inputs!$F$90)^(1)</f>
        <v>9.2000000000000003E-4</v>
      </c>
      <c r="X58" s="21">
        <f>inputs!$E$89*(F58/inputs!$F$89)^(1)</f>
        <v>3.4354430379746836E-3</v>
      </c>
      <c r="Y58" s="21" t="s">
        <v>13</v>
      </c>
      <c r="Z58" s="63">
        <f t="shared" si="1"/>
        <v>101462.61333705152</v>
      </c>
      <c r="AA58" s="63">
        <f t="shared" si="2"/>
        <v>96389.482670198937</v>
      </c>
    </row>
    <row r="59" spans="1:27" x14ac:dyDescent="0.25">
      <c r="A59" s="103" t="s">
        <v>675</v>
      </c>
      <c r="B59" s="20" t="s">
        <v>676</v>
      </c>
      <c r="C59" s="21" t="s">
        <v>702</v>
      </c>
      <c r="D59" s="15" t="s">
        <v>703</v>
      </c>
      <c r="E59" s="15">
        <v>7482</v>
      </c>
      <c r="F59" s="21">
        <v>0.8</v>
      </c>
      <c r="G59" s="21" t="s">
        <v>142</v>
      </c>
      <c r="H59" s="21">
        <v>0.69</v>
      </c>
      <c r="I59" s="68">
        <f>MAX('Max rate concentrations'!$H$3:$H$368)</f>
        <v>282</v>
      </c>
      <c r="J59" s="68">
        <f>MAX('Max rate concentrations'!AA:AA)</f>
        <v>195</v>
      </c>
      <c r="K59" s="69">
        <f t="shared" si="6"/>
        <v>12.440256636833583</v>
      </c>
      <c r="L59" s="69">
        <f>(((0.013*F59^0.773)/(1-H59)))*J59/F59</f>
        <v>8.6023051212147124</v>
      </c>
      <c r="M59" s="69">
        <f>IF((((0.065*F59^0.726)/3.7-(0.301*F59^0.751)/(1-H59)*H59)*(MAX('Max rate concentrations'!$P$3:$P$368)))/F59&gt;0, (((0.065*F59^0.726)/3.7-(0.301*F59^0.751)/(1-H59)*H59)*(MAX('Max rate concentrations'!$P$3:$P$368)))/F59, 0)</f>
        <v>0</v>
      </c>
      <c r="N59" s="69">
        <f>IF((((0.065*F59^0.726)/3.7-(0.301*F59^0.751)/(1-H59)*H59)*(MAX('Max rate concentrations'!$Q$3:$Q$368)))/F59&gt;0, (((0.065*F59^0.726)/3.7-(0.301*F59^0.751)/(1-H59)*H59)*(MAX('Max rate concentrations'!$Q$3:$Q$368)))/F59, 0)</f>
        <v>0</v>
      </c>
      <c r="O59" s="69" t="s">
        <v>13</v>
      </c>
      <c r="P59" s="69" t="s">
        <v>13</v>
      </c>
      <c r="Q59" s="69">
        <f>(inputs!$C$18*11.2)*(8.42*F59^0.694)*0.5*1/F59</f>
        <v>151.45228750177148</v>
      </c>
      <c r="R59" s="59">
        <f>(60*76.9*((F59/1000)^0.76)*3*24*(MAX('Max rate concentrations'!$R$3:$R$368))/F59)</f>
        <v>1.4173143627969889E-2</v>
      </c>
      <c r="S59" s="59">
        <f>(IF(inputs!$C$17="aerial",((0.025*0.112*inputs!$C$18/3.3)*(3*60*76.9*((F59/1000)^0.76))*MAX(inputs!$I$14:$I$16))/F59,((0.0083*0.112*inputs!$C$18/1)*(3*60*76.9*((F59/1000)^0.76))*MAX(inputs!$I$14:$I$16))/F59))</f>
        <v>5.9845658378586027E-2</v>
      </c>
      <c r="T59" s="63">
        <f>IF((((inputs!$P$13/(V59/MAX(K59:S59)))^(1/inputs!$O$13))-1)/inputs!$N$13&lt;0, 0, IF((((inputs!$P$13/(V59/MAX(K59:S59)))^(1/inputs!$O$13))-1)/inputs!$N$13&lt;inputs!$I$17, (((inputs!$P$13/(V59/MAX(K59:S59)))^(1/inputs!$O$13))-1)/inputs!$N$13, inputs!$I$17))</f>
        <v>1000</v>
      </c>
      <c r="U59" s="63">
        <f>IF((((inputs!$P$13/(X59/MAX(K59:S59)))^(1/inputs!$O$13))-1)/inputs!$N$13&lt;0, 0, IF((((inputs!$P$13/(X59/MAX(K59:S59)))^(1/inputs!$O$13))-1)/inputs!$N$13&lt;inputs!$I$17, (((inputs!$P$13/(X59/MAX(K59:S59)))^(1/inputs!$O$13))-1)/inputs!$N$13, inputs!$I$17))</f>
        <v>1000</v>
      </c>
      <c r="V59" s="21">
        <f>inputs!$E$87*(F59/inputs!$F$87)^(1)</f>
        <v>1.5200000000000001E-4</v>
      </c>
      <c r="W59" s="21">
        <f>inputs!$E$90*(F59/inputs!$F$90)^(1)</f>
        <v>1.6000000000000001E-4</v>
      </c>
      <c r="X59" s="21">
        <f>inputs!$E$89*(F59/inputs!$F$89)^(1)</f>
        <v>5.9746835443037977E-4</v>
      </c>
      <c r="Y59" s="21" t="s">
        <v>13</v>
      </c>
      <c r="Z59" s="63">
        <f t="shared" si="1"/>
        <v>996396.62830112805</v>
      </c>
      <c r="AA59" s="63">
        <f t="shared" si="2"/>
        <v>946576.79688607168</v>
      </c>
    </row>
    <row r="60" spans="1:27" x14ac:dyDescent="0.25">
      <c r="A60" s="103" t="s">
        <v>675</v>
      </c>
      <c r="B60" s="20" t="s">
        <v>676</v>
      </c>
      <c r="C60" s="21" t="s">
        <v>702</v>
      </c>
      <c r="D60" s="15" t="s">
        <v>703</v>
      </c>
      <c r="E60" s="15">
        <v>7482</v>
      </c>
      <c r="F60" s="21">
        <v>0.8</v>
      </c>
      <c r="G60" s="21" t="s">
        <v>164</v>
      </c>
      <c r="H60" s="21">
        <v>0.78</v>
      </c>
      <c r="I60" s="68">
        <f>inputs!$C$66*(inputs!$C$62/1000)</f>
        <v>8.2000000000000011</v>
      </c>
      <c r="J60" s="68">
        <f>inputs!$C$66*(inputs!$C$61/1000)</f>
        <v>2.5</v>
      </c>
      <c r="K60" s="69">
        <f t="shared" si="6"/>
        <v>0.50972166942022856</v>
      </c>
      <c r="L60" s="69">
        <f>(((0.013*F60^0.773)/(1-H60)))*J60/F60</f>
        <v>0.15540294799397211</v>
      </c>
      <c r="M60" s="69">
        <f>IF((((0.065*F60^0.726)/3.7-(0.301*F60^0.751)/(1-H60)*H60)*(MAX('Max rate concentrations'!$P$3:$P$368)))/F60&gt;0, (((0.065*F60^0.726)/3.7-(0.301*F60^0.751)/(1-H60)*H60)*(MAX('Max rate concentrations'!$P$3:$P$368)))/F60, 0)</f>
        <v>0</v>
      </c>
      <c r="N60" s="69">
        <f>IF((((0.065*F60^0.726)/3.7-(0.301*F60^0.751)/(1-H60)*H60)*(MAX('Max rate concentrations'!$Q$3:$Q$368)))/F60&gt;0, (((0.065*F60^0.726)/3.7-(0.301*F60^0.751)/(1-H60)*H60)*(MAX('Max rate concentrations'!$Q$3:$Q$368)))/F60, 0)</f>
        <v>0</v>
      </c>
      <c r="O60" s="69" t="s">
        <v>13</v>
      </c>
      <c r="P60" s="69" t="s">
        <v>13</v>
      </c>
      <c r="Q60" s="69">
        <f>(inputs!$C$18*11.2)*(8.42*F60^0.694)*0.5*1/F60</f>
        <v>151.45228750177148</v>
      </c>
      <c r="R60" s="59">
        <f>(60*76.9*((F60/1000)^0.76)*3*24*(MAX('Max rate concentrations'!$R$3:$R$368))/F60)</f>
        <v>1.4173143627969889E-2</v>
      </c>
      <c r="S60" s="59">
        <f>(IF(inputs!$C$17="aerial",((0.025*0.112*inputs!$C$18/3.3)*(3*60*76.9*((F60/1000)^0.76))*MAX(inputs!$I$14:$I$16))/F60,((0.0083*0.112*inputs!$C$18/1)*(3*60*76.9*((F60/1000)^0.76))*MAX(inputs!$I$14:$I$16))/F60))</f>
        <v>5.9845658378586027E-2</v>
      </c>
      <c r="T60" s="63">
        <f>IF((((inputs!$P$13/(V60/MAX(K60:S60)))^(1/inputs!$O$13))-1)/inputs!$N$13&lt;0, 0, IF((((inputs!$P$13/(V60/MAX(K60:S60)))^(1/inputs!$O$13))-1)/inputs!$N$13&lt;inputs!$I$17, (((inputs!$P$13/(V60/MAX(K60:S60)))^(1/inputs!$O$13))-1)/inputs!$N$13, inputs!$I$17))</f>
        <v>1000</v>
      </c>
      <c r="U60" s="63">
        <f>IF((((inputs!$P$13/(X60/MAX(K60:S60)))^(1/inputs!$O$13))-1)/inputs!$N$13&lt;0, 0, IF((((inputs!$P$13/(X60/MAX(K60:S60)))^(1/inputs!$O$13))-1)/inputs!$N$13&lt;inputs!$I$17, (((inputs!$P$13/(X60/MAX(K60:S60)))^(1/inputs!$O$13))-1)/inputs!$N$13, inputs!$I$17))</f>
        <v>1000</v>
      </c>
      <c r="V60" s="21">
        <f>inputs!$E$87*(F60/inputs!$F$87)^(1)</f>
        <v>1.5200000000000001E-4</v>
      </c>
      <c r="W60" s="21">
        <f>inputs!$E$90*(F60/inputs!$F$90)^(1)</f>
        <v>1.6000000000000001E-4</v>
      </c>
      <c r="X60" s="21">
        <f>inputs!$E$89*(F60/inputs!$F$89)^(1)</f>
        <v>5.9746835443037977E-4</v>
      </c>
      <c r="Y60" s="21" t="s">
        <v>13</v>
      </c>
      <c r="Z60" s="63">
        <f t="shared" si="1"/>
        <v>996396.62830112805</v>
      </c>
      <c r="AA60" s="63">
        <f t="shared" si="2"/>
        <v>946576.79688607168</v>
      </c>
    </row>
    <row r="61" spans="1:27" x14ac:dyDescent="0.25">
      <c r="A61" s="103" t="s">
        <v>675</v>
      </c>
      <c r="B61" s="20" t="s">
        <v>676</v>
      </c>
      <c r="C61" s="21" t="s">
        <v>702</v>
      </c>
      <c r="D61" s="15" t="s">
        <v>703</v>
      </c>
      <c r="E61" s="15">
        <v>7482</v>
      </c>
      <c r="F61" s="21">
        <v>0.8</v>
      </c>
      <c r="G61" s="21" t="s">
        <v>146</v>
      </c>
      <c r="H61" s="20">
        <v>0.84</v>
      </c>
      <c r="I61" s="68">
        <f>MAX('Max rate concentrations'!$I$3:$I$368)</f>
        <v>56.865414300472793</v>
      </c>
      <c r="J61" s="68" t="s">
        <v>13</v>
      </c>
      <c r="K61" s="69">
        <f t="shared" si="6"/>
        <v>4.8603791616556276</v>
      </c>
      <c r="L61" s="69" t="s">
        <v>13</v>
      </c>
      <c r="M61" s="69">
        <f>IF((((0.065*F61^0.726)/3.7-(0.301*F61^0.751)/(1-H61)*H61)*(MAX('Max rate concentrations'!$P$3:$P$368)))/F61&gt;0, (((0.065*F61^0.726)/3.7-(0.301*F61^0.751)/(1-H61)*H61)*(MAX('Max rate concentrations'!$P$3:$P$368)))/F61, 0)</f>
        <v>0</v>
      </c>
      <c r="N61" s="69">
        <f>IF((((0.065*F61^0.726)/3.7-(0.301*F61^0.751)/(1-H61)*H61)*(MAX('Max rate concentrations'!$Q$3:$Q$368)))/F61&gt;0, (((0.065*F61^0.726)/3.7-(0.301*F61^0.751)/(1-H61)*H61)*(MAX('Max rate concentrations'!$Q$3:$Q$368)))/F61, 0)</f>
        <v>0</v>
      </c>
      <c r="O61" s="69" t="s">
        <v>13</v>
      </c>
      <c r="P61" s="69" t="s">
        <v>13</v>
      </c>
      <c r="Q61" s="69">
        <f>(inputs!$C$18*11.2)*(8.42*F61^0.694)*0.5*1/F61</f>
        <v>151.45228750177148</v>
      </c>
      <c r="R61" s="59">
        <f>(60*76.9*((F61/1000)^0.76)*3*24*(MAX('Max rate concentrations'!$R$3:$R$368))/F61)</f>
        <v>1.4173143627969889E-2</v>
      </c>
      <c r="S61" s="59">
        <f>(IF(inputs!$C$17="aerial",((0.025*0.112*inputs!$C$18/3.3)*(3*60*76.9*((F61/1000)^0.76))*MAX(inputs!$I$14:$I$16))/F61,((0.0083*0.112*inputs!$C$18/1)*(3*60*76.9*((F61/1000)^0.76))*MAX(inputs!$I$14:$I$16))/F61))</f>
        <v>5.9845658378586027E-2</v>
      </c>
      <c r="T61" s="63">
        <f>IF((((inputs!$P$13/(V61/MAX(K61:S61)))^(1/inputs!$O$13))-1)/inputs!$N$13&lt;0, 0, IF((((inputs!$P$13/(V61/MAX(K61:S61)))^(1/inputs!$O$13))-1)/inputs!$N$13&lt;inputs!$I$17, (((inputs!$P$13/(V61/MAX(K61:S61)))^(1/inputs!$O$13))-1)/inputs!$N$13, inputs!$I$17))</f>
        <v>1000</v>
      </c>
      <c r="U61" s="63">
        <f>IF((((inputs!$P$13/(X61/MAX(K61:S61)))^(1/inputs!$O$13))-1)/inputs!$N$13&lt;0, 0, IF((((inputs!$P$13/(X61/MAX(K61:S61)))^(1/inputs!$O$13))-1)/inputs!$N$13&lt;inputs!$I$17, (((inputs!$P$13/(X61/MAX(K61:S61)))^(1/inputs!$O$13))-1)/inputs!$N$13, inputs!$I$17))</f>
        <v>1000</v>
      </c>
      <c r="V61" s="21">
        <f>inputs!$E$87*(F61/inputs!$F$87)^(1)</f>
        <v>1.5200000000000001E-4</v>
      </c>
      <c r="W61" s="21">
        <f>inputs!$E$90*(F61/inputs!$F$90)^(1)</f>
        <v>1.6000000000000001E-4</v>
      </c>
      <c r="X61" s="21">
        <f>inputs!$E$89*(F61/inputs!$F$89)^(1)</f>
        <v>5.9746835443037977E-4</v>
      </c>
      <c r="Y61" s="21" t="s">
        <v>13</v>
      </c>
      <c r="Z61" s="63">
        <f t="shared" si="1"/>
        <v>996396.62830112805</v>
      </c>
      <c r="AA61" s="63">
        <f t="shared" si="2"/>
        <v>946576.79688607168</v>
      </c>
    </row>
    <row r="62" spans="1:27" x14ac:dyDescent="0.25">
      <c r="A62" s="114" t="s">
        <v>338</v>
      </c>
      <c r="B62" s="20" t="s">
        <v>339</v>
      </c>
      <c r="C62" s="20" t="s">
        <v>73</v>
      </c>
      <c r="D62" s="48" t="s">
        <v>137</v>
      </c>
      <c r="E62" s="15">
        <v>1221</v>
      </c>
      <c r="F62" s="15">
        <v>380</v>
      </c>
      <c r="G62" s="20" t="s">
        <v>164</v>
      </c>
      <c r="H62" s="20">
        <v>0.78</v>
      </c>
      <c r="I62" s="68">
        <f>inputs!$C$66*(inputs!$C$62/1000)</f>
        <v>8.2000000000000011</v>
      </c>
      <c r="J62" s="68">
        <f>inputs!$C$66*(inputs!$C$61/1000)</f>
        <v>2.5</v>
      </c>
      <c r="K62" s="69">
        <f t="shared" ref="K62:K93" si="7">((0.301*F62^0.751)/(1-H62))*I62/F62</f>
        <v>2.556180700823838</v>
      </c>
      <c r="L62" s="69">
        <f t="shared" ref="L62:L76" si="8">((0.301*F62^0.751)/(1-H62))*J62/F62</f>
        <v>0.77932338439751148</v>
      </c>
      <c r="M62" s="69">
        <f>IF((((1.18*F62^0.874)/3.7-(0.301*F62^0.751)/(1-H62)*H62)*(MAX('Max rate concentrations'!$P$3:$P$368)))/F62&gt;0, (((1.18*F62^0.874)/3.7-(0.301*F62^0.751)/(1-H62)*H62)*(MAX('Max rate concentrations'!$P$3:$P$368)))/F62, 0)</f>
        <v>0</v>
      </c>
      <c r="N62" s="69">
        <f>IF((((1.18*F62^0.874)/3.7-(0.301*F62^0.751)/(1-H62)*H62)*(MAX('Max rate concentrations'!$Q$3:$Q$368)))/F62&gt;0, (((1.18*F62^0.874)/3.7-(0.301*F62^0.751)/(1-H62)*H62)*(MAX('Max rate concentrations'!$Q$3:$Q$368)))/F62, 0)</f>
        <v>0</v>
      </c>
      <c r="O62" s="69">
        <f>((MAX('Max rate concentrations'!$F$3:$F$368))*0.62*6.01*8*(10*F62^0.667)*0.079*0.1/F62)*inputs!$E$80/(10^(0.84+0.62*LOG10(inputs!$E$80)))</f>
        <v>20.308857302866461</v>
      </c>
      <c r="P62" s="69">
        <f>((MAX('Max rate concentrations'!Y:Y))*0.62*6.01*8*(10*F62^0.667)*0.079*0.1/F62)*inputs!$E$80/(10^(0.84+0.62*LOG10(inputs!$E$80)))</f>
        <v>6.7696191009554898</v>
      </c>
      <c r="Q62" s="69">
        <f>(inputs!$C$18*11.2*(10*F62^0.667)*0.5/F62)*inputs!$E$80/(10^(0.84+0.62*LOG10(inputs!$E$80)))</f>
        <v>3.5773094255886009</v>
      </c>
      <c r="R62" s="59">
        <f>(60*284*((F62/1000)^0.77)*3*24*(MAX('Max rate concentrations'!$R$3:$R$368))/F62)*(inputs!$E$73*3.4/inputs!$E$75)</f>
        <v>3.5134722533676541E-2</v>
      </c>
      <c r="S62" s="59">
        <f>(IF(inputs!$C$17="aerial",((0.025*0.112*inputs!$C$18/3.3)*(3*60*284*((F62/1000)^0.77))*MAX(inputs!$I$14:$I$16))/F62,((0.0083*0.112*inputs!$C$18/1)*(3*60*284*((F62/1000)^0.77))*MAX(inputs!$I$14:$I$16))/F62))*(inputs!E$75*3.4/inputs!$E$73)</f>
        <v>0.19377015339117348</v>
      </c>
      <c r="T62" s="63">
        <f>IF((((inputs!$P$13/(V62/MAX(K62:S62)))^(1/inputs!$O$13))-1)/inputs!$N$13&lt;0, 0, IF((((inputs!$P$13/(V62/MAX(K62:S62)))^(1/inputs!$O$13))-1)/inputs!$N$13&lt;inputs!$I$17, (((inputs!$P$13/(V62/MAX(K62:S62)))^(1/inputs!$O$13))-1)/inputs!$N$13, inputs!$I$17))</f>
        <v>1000</v>
      </c>
      <c r="U62" s="63">
        <f>IF((((inputs!$P$13/(X62/MAX(K62:S62)))^(1/inputs!$O$13))-1)/inputs!$N$13&lt;0, 0, IF((((inputs!$P$13/(X62/MAX(K62:S62)))^(1/inputs!$O$13))-1)/inputs!$N$13&lt;inputs!$I$17, (((inputs!$P$13/(X62/MAX(K62:S62)))^(1/inputs!$O$13))-1)/inputs!$N$13, inputs!$I$17))</f>
        <v>30.363546196211441</v>
      </c>
      <c r="V62" s="21">
        <f>inputs!$E$78*(F62/inputs!$F$78)^(inputs!$E$84-1)</f>
        <v>1.1594009988906985E-2</v>
      </c>
      <c r="W62" s="21">
        <f>inputs!$E$85*(F62/inputs!$F$85)^(inputs!$E$84-1)</f>
        <v>0.53539002324690754</v>
      </c>
      <c r="X62" s="21">
        <f>inputs!$E$80*(F62/inputs!$F$80)^(inputs!$E$84-1)</f>
        <v>1.9992412260485786</v>
      </c>
      <c r="Y62" s="21">
        <f>inputs!$E$82*(F62/inputs!$F$82)^(inputs!$E$84-1)</f>
        <v>0.92141868859208143</v>
      </c>
      <c r="Z62" s="63">
        <f t="shared" si="1"/>
        <v>1751.6680874259848</v>
      </c>
      <c r="AA62" s="63">
        <f t="shared" si="2"/>
        <v>37.932827324091839</v>
      </c>
    </row>
    <row r="63" spans="1:27" x14ac:dyDescent="0.25">
      <c r="A63" s="103" t="s">
        <v>191</v>
      </c>
      <c r="B63" s="20" t="s">
        <v>192</v>
      </c>
      <c r="C63" s="20" t="s">
        <v>73</v>
      </c>
      <c r="D63" s="104" t="s">
        <v>137</v>
      </c>
      <c r="E63" s="15">
        <v>8386</v>
      </c>
      <c r="F63" s="15">
        <v>441</v>
      </c>
      <c r="G63" s="20" t="s">
        <v>142</v>
      </c>
      <c r="H63" s="20">
        <v>0.69</v>
      </c>
      <c r="I63" s="68">
        <f>MAX('Max rate concentrations'!$H$3:$H$368)</f>
        <v>282</v>
      </c>
      <c r="J63" s="68">
        <f>MAX('Max rate concentrations'!AA:AA)</f>
        <v>195</v>
      </c>
      <c r="K63" s="69">
        <f t="shared" si="7"/>
        <v>60.11580974215952</v>
      </c>
      <c r="L63" s="69">
        <f t="shared" si="8"/>
        <v>41.569442906812434</v>
      </c>
      <c r="M63" s="69">
        <f>IF((((1.18*F63^0.874)/3.7-(0.301*F63^0.751)/(1-H63)*H63)*(MAX('Max rate concentrations'!$P$3:$P$368)))/F63&gt;0, (((1.18*F63^0.874)/3.7-(0.301*F63^0.751)/(1-H63)*H63)*(MAX('Max rate concentrations'!$P$3:$P$368)))/F63, 0)</f>
        <v>8.5597813847526985E-4</v>
      </c>
      <c r="N63" s="69">
        <f>IF((((1.18*F63^0.874)/3.7-(0.301*F63^0.751)/(1-H63)*H63)*(MAX('Max rate concentrations'!$Q$3:$Q$368)))/F63&gt;0, (((1.18*F63^0.874)/3.7-(0.301*F63^0.751)/(1-H63)*H63)*(MAX('Max rate concentrations'!$Q$3:$Q$368)))/F63, 0)</f>
        <v>3.2596107444616404E-3</v>
      </c>
      <c r="O63" s="69">
        <f>((MAX('Max rate concentrations'!$F$3:$F$368))*0.62*6.01*8*(10*F63^0.667)*0.079*0.1/F63)*inputs!$E$80/(10^(0.84+0.62*LOG10(inputs!$E$80)))</f>
        <v>19.326596318359169</v>
      </c>
      <c r="P63" s="69">
        <f>((MAX('Max rate concentrations'!Y:Y))*0.62*6.01*8*(10*F63^0.667)*0.079*0.1/F63)*inputs!$E$80/(10^(0.84+0.62*LOG10(inputs!$E$80)))</f>
        <v>6.4421987727863907</v>
      </c>
      <c r="Q63" s="69">
        <f>(inputs!$C$18*11.2*(10*F63^0.667)*0.5/F63)*inputs!$E$80/(10^(0.84+0.62*LOG10(inputs!$E$80)))</f>
        <v>3.404288786078276</v>
      </c>
      <c r="R63" s="59">
        <f>(60*284*((F63/1000)^0.77)*3*24*(MAX('Max rate concentrations'!$R$3:$R$368))/F63)*(inputs!$E$73*3.4/inputs!$E$75)</f>
        <v>3.3952040464205122E-2</v>
      </c>
      <c r="S63" s="59">
        <f>(IF(inputs!$C$17="aerial",((0.025*0.112*inputs!$C$18/3.3)*(3*60*284*((F63/1000)^0.77))*MAX(inputs!$I$14:$I$16))/F63,((0.0083*0.112*inputs!$C$18/1)*(3*60*284*((F63/1000)^0.77))*MAX(inputs!$I$14:$I$16))/F63))*(inputs!E$75*3.4/inputs!$E$73)</f>
        <v>0.18724758911605199</v>
      </c>
      <c r="T63" s="63">
        <f>IF((((inputs!$P$13/(V63/MAX(K63:S63)))^(1/inputs!$O$13))-1)/inputs!$N$13&lt;0, 0, IF((((inputs!$P$13/(V63/MAX(K63:S63)))^(1/inputs!$O$13))-1)/inputs!$N$13&lt;inputs!$I$17, (((inputs!$P$13/(V63/MAX(K63:S63)))^(1/inputs!$O$13))-1)/inputs!$N$13, inputs!$I$17))</f>
        <v>1000</v>
      </c>
      <c r="U63" s="63">
        <f>IF((((inputs!$P$13/(X63/MAX(K63:S63)))^(1/inputs!$O$13))-1)/inputs!$N$13&lt;0, 0, IF((((inputs!$P$13/(X63/MAX(K63:S63)))^(1/inputs!$O$13))-1)/inputs!$N$13&lt;inputs!$I$17, (((inputs!$P$13/(X63/MAX(K63:S63)))^(1/inputs!$O$13))-1)/inputs!$N$13, inputs!$I$17))</f>
        <v>84.270531189676802</v>
      </c>
      <c r="V63" s="21">
        <f>inputs!$E$78*(F63/inputs!$F$78)^(inputs!$E$84-1)</f>
        <v>1.0972644854266207E-2</v>
      </c>
      <c r="W63" s="21">
        <f>inputs!$E$85*(F63/inputs!$F$85)^(inputs!$E$84-1)</f>
        <v>0.50669652598423132</v>
      </c>
      <c r="X63" s="21">
        <f>inputs!$E$80*(F63/inputs!$F$80)^(inputs!$E$84-1)</f>
        <v>1.8920946223461801</v>
      </c>
      <c r="Y63" s="21">
        <f>inputs!$E$82*(F63/inputs!$F$82)^(inputs!$E$84-1)</f>
        <v>0.87203651210220912</v>
      </c>
      <c r="Z63" s="63">
        <f t="shared" si="1"/>
        <v>5478.6982118341557</v>
      </c>
      <c r="AA63" s="63">
        <f t="shared" si="2"/>
        <v>118.64263254102192</v>
      </c>
    </row>
    <row r="64" spans="1:27" x14ac:dyDescent="0.25">
      <c r="A64" s="103" t="s">
        <v>191</v>
      </c>
      <c r="B64" s="20" t="s">
        <v>192</v>
      </c>
      <c r="C64" s="20" t="s">
        <v>73</v>
      </c>
      <c r="D64" s="104" t="s">
        <v>137</v>
      </c>
      <c r="E64" s="15">
        <v>8386</v>
      </c>
      <c r="F64" s="15">
        <v>441</v>
      </c>
      <c r="G64" s="20" t="s">
        <v>138</v>
      </c>
      <c r="H64" s="20">
        <v>0.68</v>
      </c>
      <c r="I64" s="68">
        <f>MAX('Max rate concentrations'!$L$3:$L$368)</f>
        <v>350.52744091332482</v>
      </c>
      <c r="J64" s="68">
        <f>MAX('Max rate concentrations'!AD:AD)</f>
        <v>242.38599637623525</v>
      </c>
      <c r="K64" s="69">
        <f t="shared" si="7"/>
        <v>72.389125594846703</v>
      </c>
      <c r="L64" s="69">
        <f t="shared" si="8"/>
        <v>50.056310251755704</v>
      </c>
      <c r="M64" s="69">
        <f>IF((((1.18*F64^0.874)/3.7-(0.301*F64^0.751)/(1-H64)*H64)*(MAX('Max rate concentrations'!$P$3:$P$368)))/F64&gt;0, (((1.18*F64^0.874)/3.7-(0.301*F64^0.751)/(1-H64)*H64)*(MAX('Max rate concentrations'!$P$3:$P$368)))/F64, 0)</f>
        <v>6.6576346627341444E-3</v>
      </c>
      <c r="N64" s="69">
        <f>IF((((1.18*F64^0.874)/3.7-(0.301*F64^0.751)/(1-H64)*H64)*(MAX('Max rate concentrations'!$Q$3:$Q$368)))/F64&gt;0, (((1.18*F64^0.874)/3.7-(0.301*F64^0.751)/(1-H64)*H64)*(MAX('Max rate concentrations'!$Q$3:$Q$368)))/F64, 0)</f>
        <v>2.5352630521621015E-2</v>
      </c>
      <c r="O64" s="69">
        <f>((MAX('Max rate concentrations'!$F$3:$F$368))*0.62*6.01*8*(10*F64^0.667)*0.079*0.1/F64)*inputs!$E$80/(10^(0.84+0.62*LOG10(inputs!$E$80)))</f>
        <v>19.326596318359169</v>
      </c>
      <c r="P64" s="69">
        <f>((MAX('Max rate concentrations'!Y:Y))*0.62*6.01*8*(10*F64^0.667)*0.079*0.1/F64)*inputs!$E$80/(10^(0.84+0.62*LOG10(inputs!$E$80)))</f>
        <v>6.4421987727863907</v>
      </c>
      <c r="Q64" s="69">
        <f>(inputs!$C$18*11.2*(10*F64^0.667)*0.5/F64)*inputs!$E$80/(10^(0.84+0.62*LOG10(inputs!$E$80)))</f>
        <v>3.404288786078276</v>
      </c>
      <c r="R64" s="59">
        <f>(60*284*((F64/1000)^0.77)*3*24*(MAX('Max rate concentrations'!$R$3:$R$368))/F64)*(inputs!$E$73*3.4/inputs!$E$75)</f>
        <v>3.3952040464205122E-2</v>
      </c>
      <c r="S64" s="59">
        <f>(IF(inputs!$C$17="aerial",((0.025*0.112*inputs!$C$18/3.3)*(3*60*284*((F64/1000)^0.77))*MAX(inputs!$I$14:$I$16))/F64,((0.0083*0.112*inputs!$C$18/1)*(3*60*284*((F64/1000)^0.77))*MAX(inputs!$I$14:$I$16))/F64))*(inputs!E$75*3.4/inputs!$E$73)</f>
        <v>0.18724758911605199</v>
      </c>
      <c r="T64" s="63">
        <f>IF((((inputs!$P$13/(V64/MAX(K64:S64)))^(1/inputs!$O$13))-1)/inputs!$N$13&lt;0, 0, IF((((inputs!$P$13/(V64/MAX(K64:S64)))^(1/inputs!$O$13))-1)/inputs!$N$13&lt;inputs!$I$17, (((inputs!$P$13/(V64/MAX(K64:S64)))^(1/inputs!$O$13))-1)/inputs!$N$13, inputs!$I$17))</f>
        <v>1000</v>
      </c>
      <c r="U64" s="63">
        <f>IF((((inputs!$P$13/(X64/MAX(K64:S64)))^(1/inputs!$O$13))-1)/inputs!$N$13&lt;0, 0, IF((((inputs!$P$13/(X64/MAX(K64:S64)))^(1/inputs!$O$13))-1)/inputs!$N$13&lt;inputs!$I$17, (((inputs!$P$13/(X64/MAX(K64:S64)))^(1/inputs!$O$13))-1)/inputs!$N$13, inputs!$I$17))</f>
        <v>98.77901901140666</v>
      </c>
      <c r="V64" s="21">
        <f>inputs!$E$78*(F64/inputs!$F$78)^(inputs!$E$84-1)</f>
        <v>1.0972644854266207E-2</v>
      </c>
      <c r="W64" s="21">
        <f>inputs!$E$85*(F64/inputs!$F$85)^(inputs!$E$84-1)</f>
        <v>0.50669652598423132</v>
      </c>
      <c r="X64" s="21">
        <f>inputs!$E$80*(F64/inputs!$F$80)^(inputs!$E$84-1)</f>
        <v>1.8920946223461801</v>
      </c>
      <c r="Y64" s="21">
        <f>inputs!$E$82*(F64/inputs!$F$82)^(inputs!$E$84-1)</f>
        <v>0.87203651210220912</v>
      </c>
      <c r="Z64" s="63">
        <f t="shared" si="1"/>
        <v>6597.235812904446</v>
      </c>
      <c r="AA64" s="63">
        <f t="shared" si="2"/>
        <v>142.86485476535415</v>
      </c>
    </row>
    <row r="65" spans="1:27" x14ac:dyDescent="0.25">
      <c r="A65" s="103" t="s">
        <v>191</v>
      </c>
      <c r="B65" s="20" t="s">
        <v>192</v>
      </c>
      <c r="C65" s="20" t="s">
        <v>73</v>
      </c>
      <c r="D65" s="104" t="s">
        <v>137</v>
      </c>
      <c r="E65" s="15">
        <v>8386</v>
      </c>
      <c r="F65" s="15">
        <v>441</v>
      </c>
      <c r="G65" s="21" t="s">
        <v>456</v>
      </c>
      <c r="H65" s="20">
        <v>0.68</v>
      </c>
      <c r="I65" s="68">
        <f>MAX('Max rate concentrations'!$J$3:$J$368)</f>
        <v>686.46486205830786</v>
      </c>
      <c r="J65" s="68">
        <f>MAX('Max rate concentrations'!AB:AB)</f>
        <v>243.122971978984</v>
      </c>
      <c r="K65" s="69">
        <f t="shared" si="7"/>
        <v>141.76519529115978</v>
      </c>
      <c r="L65" s="69">
        <f t="shared" si="8"/>
        <v>50.20850666561909</v>
      </c>
      <c r="M65" s="69">
        <f>IF((((1.18*F65^0.874)/3.7-(0.301*F65^0.751)/(1-H65)*H65)*(MAX('Max rate concentrations'!$P$3:$P$368)))/F65&gt;0, (((1.18*F65^0.874)/3.7-(0.301*F65^0.751)/(1-H65)*H65)*(MAX('Max rate concentrations'!$P$3:$P$368)))/F65, 0)</f>
        <v>6.6576346627341444E-3</v>
      </c>
      <c r="N65" s="69">
        <f>IF((((1.18*F65^0.874)/3.7-(0.301*F65^0.751)/(1-H65)*H65)*(MAX('Max rate concentrations'!$Q$3:$Q$368)))/F65&gt;0, (((1.18*F65^0.874)/3.7-(0.301*F65^0.751)/(1-H65)*H65)*(MAX('Max rate concentrations'!$Q$3:$Q$368)))/F65, 0)</f>
        <v>2.5352630521621015E-2</v>
      </c>
      <c r="O65" s="69">
        <f>((MAX('Max rate concentrations'!$F$3:$F$368))*0.62*6.01*8*(10*F65^0.667)*0.079*0.1/F65)*inputs!$E$80/(10^(0.84+0.62*LOG10(inputs!$E$80)))</f>
        <v>19.326596318359169</v>
      </c>
      <c r="P65" s="69">
        <f>((MAX('Max rate concentrations'!Y:Y))*0.62*6.01*8*(10*F65^0.667)*0.079*0.1/F65)*inputs!$E$80/(10^(0.84+0.62*LOG10(inputs!$E$80)))</f>
        <v>6.4421987727863907</v>
      </c>
      <c r="Q65" s="69">
        <f>(inputs!$C$18*11.2*(10*F65^0.667)*0.5/F65)*inputs!$E$80/(10^(0.84+0.62*LOG10(inputs!$E$80)))</f>
        <v>3.404288786078276</v>
      </c>
      <c r="R65" s="59">
        <f>(60*284*((F65/1000)^0.77)*3*24*(MAX('Max rate concentrations'!$R$3:$R$368))/F65)*(inputs!$E$73*3.4/inputs!$E$75)</f>
        <v>3.3952040464205122E-2</v>
      </c>
      <c r="S65" s="59">
        <f>(IF(inputs!$C$17="aerial",((0.025*0.112*inputs!$C$18/3.3)*(3*60*284*((F65/1000)^0.77))*MAX(inputs!$I$14:$I$16))/F65,((0.0083*0.112*inputs!$C$18/1)*(3*60*284*((F65/1000)^0.77))*MAX(inputs!$I$14:$I$16))/F65))*(inputs!E$75*3.4/inputs!$E$73)</f>
        <v>0.18724758911605199</v>
      </c>
      <c r="T65" s="63">
        <f>IF((((inputs!$P$13/(V65/MAX(K65:S65)))^(1/inputs!$O$13))-1)/inputs!$N$13&lt;0, 0, IF((((inputs!$P$13/(V65/MAX(K65:S65)))^(1/inputs!$O$13))-1)/inputs!$N$13&lt;inputs!$I$17, (((inputs!$P$13/(V65/MAX(K65:S65)))^(1/inputs!$O$13))-1)/inputs!$N$13, inputs!$I$17))</f>
        <v>1000</v>
      </c>
      <c r="U65" s="63">
        <f>IF((((inputs!$P$13/(X65/MAX(K65:S65)))^(1/inputs!$O$13))-1)/inputs!$N$13&lt;0, 0, IF((((inputs!$P$13/(X65/MAX(K65:S65)))^(1/inputs!$O$13))-1)/inputs!$N$13&lt;inputs!$I$17, (((inputs!$P$13/(X65/MAX(K65:S65)))^(1/inputs!$O$13))-1)/inputs!$N$13, inputs!$I$17))</f>
        <v>173.87755026833705</v>
      </c>
      <c r="V65" s="21">
        <f>inputs!$E$78*(F65/inputs!$F$78)^(inputs!$E$84-1)</f>
        <v>1.0972644854266207E-2</v>
      </c>
      <c r="W65" s="21">
        <f>inputs!$E$85*(F65/inputs!$F$85)^(inputs!$E$84-1)</f>
        <v>0.50669652598423132</v>
      </c>
      <c r="X65" s="21">
        <f>inputs!$E$80*(F65/inputs!$F$80)^(inputs!$E$84-1)</f>
        <v>1.8920946223461801</v>
      </c>
      <c r="Y65" s="21">
        <f>inputs!$E$82*(F65/inputs!$F$82)^(inputs!$E$84-1)</f>
        <v>0.87203651210220912</v>
      </c>
      <c r="Z65" s="63">
        <f t="shared" si="1"/>
        <v>12919.87457664238</v>
      </c>
      <c r="AA65" s="63">
        <f t="shared" si="2"/>
        <v>279.78323912086898</v>
      </c>
    </row>
    <row r="66" spans="1:27" x14ac:dyDescent="0.25">
      <c r="A66" s="103" t="s">
        <v>189</v>
      </c>
      <c r="B66" s="20" t="s">
        <v>190</v>
      </c>
      <c r="C66" s="20" t="s">
        <v>73</v>
      </c>
      <c r="D66" s="104" t="s">
        <v>137</v>
      </c>
      <c r="E66" s="15">
        <v>127</v>
      </c>
      <c r="F66" s="15">
        <v>380</v>
      </c>
      <c r="G66" s="20" t="s">
        <v>182</v>
      </c>
      <c r="H66" s="20">
        <v>0.85</v>
      </c>
      <c r="I66" s="68">
        <f>MAX('Max rate concentrations'!$M$3:$M$368)</f>
        <v>17.092910873809167</v>
      </c>
      <c r="J66" s="68">
        <f>MAX('Max rate concentrations'!AE:AE)</f>
        <v>11.81956602976166</v>
      </c>
      <c r="K66" s="69">
        <f t="shared" si="7"/>
        <v>7.814931022144096</v>
      </c>
      <c r="L66" s="69">
        <f t="shared" si="8"/>
        <v>5.4039416642485776</v>
      </c>
      <c r="M66" s="69">
        <f>IF((((1.18*F66^0.874)/3.7-(0.301*F66^0.751)/(1-H66)*H66)*(MAX('Max rate concentrations'!$P$3:$P$368)))/F66&gt;0, (((1.18*F66^0.874)/3.7-(0.301*F66^0.751)/(1-H66)*H66)*(MAX('Max rate concentrations'!$P$3:$P$368)))/F66, 0)</f>
        <v>0</v>
      </c>
      <c r="N66" s="69">
        <f>IF((((1.18*F66^0.874)/3.7-(0.301*F66^0.751)/(1-H66)*H66)*(MAX('Max rate concentrations'!$Q$3:$Q$368)))/F66&gt;0, (((1.18*F66^0.874)/3.7-(0.301*F66^0.751)/(1-H66)*H66)*(MAX('Max rate concentrations'!$Q$3:$Q$368)))/F66, 0)</f>
        <v>0</v>
      </c>
      <c r="O66" s="69">
        <f>((MAX('Max rate concentrations'!$F$3:$F$368))*0.62*6.01*8*(10*F66^0.667)*0.079*0.1/F66)*inputs!$E$80/(10^(0.84+0.62*LOG10(inputs!$E$80)))</f>
        <v>20.308857302866461</v>
      </c>
      <c r="P66" s="69">
        <f>((MAX('Max rate concentrations'!Y:Y))*0.62*6.01*8*(10*F66^0.667)*0.079*0.1/F66)*inputs!$E$80/(10^(0.84+0.62*LOG10(inputs!$E$80)))</f>
        <v>6.7696191009554898</v>
      </c>
      <c r="Q66" s="69">
        <f>(inputs!$C$18*11.2*(10*F66^0.667)*0.5/F66)*inputs!$E$80/(10^(0.84+0.62*LOG10(inputs!$E$80)))</f>
        <v>3.5773094255886009</v>
      </c>
      <c r="R66" s="59">
        <f>(60*284*((F66/1000)^0.77)*3*24*(MAX('Max rate concentrations'!$R$3:$R$368))/F66)*(inputs!$E$73*3.4/inputs!$E$75)</f>
        <v>3.5134722533676541E-2</v>
      </c>
      <c r="S66" s="59">
        <f>(IF(inputs!$C$17="aerial",((0.025*0.112*inputs!$C$18/3.3)*(3*60*284*((F66/1000)^0.77))*MAX(inputs!$I$14:$I$16))/F66,((0.0083*0.112*inputs!$C$18/1)*(3*60*284*((F66/1000)^0.77))*MAX(inputs!$I$14:$I$16))/F66))*(inputs!E$75*3.4/inputs!$E$73)</f>
        <v>0.19377015339117348</v>
      </c>
      <c r="T66" s="63">
        <f>IF((((inputs!$P$13/(V66/MAX(K66:S66)))^(1/inputs!$O$13))-1)/inputs!$N$13&lt;0, 0, IF((((inputs!$P$13/(V66/MAX(K66:S66)))^(1/inputs!$O$13))-1)/inputs!$N$13&lt;inputs!$I$17, (((inputs!$P$13/(V66/MAX(K66:S66)))^(1/inputs!$O$13))-1)/inputs!$N$13, inputs!$I$17))</f>
        <v>1000</v>
      </c>
      <c r="U66" s="63">
        <f>IF((((inputs!$P$13/(X66/MAX(K66:S66)))^(1/inputs!$O$13))-1)/inputs!$N$13&lt;0, 0, IF((((inputs!$P$13/(X66/MAX(K66:S66)))^(1/inputs!$O$13))-1)/inputs!$N$13&lt;inputs!$I$17, (((inputs!$P$13/(X66/MAX(K66:S66)))^(1/inputs!$O$13))-1)/inputs!$N$13, inputs!$I$17))</f>
        <v>30.363546196211441</v>
      </c>
      <c r="V66" s="21">
        <f>inputs!$E$78*(F66/inputs!$F$78)^(inputs!$E$84-1)</f>
        <v>1.1594009988906985E-2</v>
      </c>
      <c r="W66" s="21">
        <f>inputs!$E$85*(F66/inputs!$F$85)^(inputs!$E$84-1)</f>
        <v>0.53539002324690754</v>
      </c>
      <c r="X66" s="21">
        <f>inputs!$E$80*(F66/inputs!$F$80)^(inputs!$E$84-1)</f>
        <v>1.9992412260485786</v>
      </c>
      <c r="Y66" s="21">
        <f>inputs!$E$82*(F66/inputs!$F$82)^(inputs!$E$84-1)</f>
        <v>0.92141868859208143</v>
      </c>
      <c r="Z66" s="63">
        <f t="shared" ref="Z66:Z129" si="9">MAX(K66:S66)/V66</f>
        <v>1751.6680874259848</v>
      </c>
      <c r="AA66" s="63">
        <f t="shared" ref="AA66:AA129" si="10">MAX(K66:S66)/W66</f>
        <v>37.932827324091839</v>
      </c>
    </row>
    <row r="67" spans="1:27" x14ac:dyDescent="0.25">
      <c r="A67" s="103" t="s">
        <v>189</v>
      </c>
      <c r="B67" s="20" t="s">
        <v>190</v>
      </c>
      <c r="C67" s="20" t="s">
        <v>73</v>
      </c>
      <c r="D67" s="104" t="s">
        <v>137</v>
      </c>
      <c r="E67" s="15">
        <v>127</v>
      </c>
      <c r="F67" s="15">
        <v>380</v>
      </c>
      <c r="G67" s="20" t="s">
        <v>142</v>
      </c>
      <c r="H67" s="20">
        <v>0.69</v>
      </c>
      <c r="I67" s="68">
        <f>MAX('Max rate concentrations'!$H$3:$H$368)</f>
        <v>282</v>
      </c>
      <c r="J67" s="68">
        <f>MAX('Max rate concentrations'!AA:AA)</f>
        <v>195</v>
      </c>
      <c r="K67" s="69">
        <f t="shared" si="7"/>
        <v>62.386093894221418</v>
      </c>
      <c r="L67" s="69">
        <f t="shared" si="8"/>
        <v>43.139320246004175</v>
      </c>
      <c r="M67" s="69">
        <f>IF((((1.18*F67^0.874)/3.7-(0.301*F67^0.751)/(1-H67)*H67)*(MAX('Max rate concentrations'!$P$3:$P$368)))/F67&gt;0, (((1.18*F67^0.874)/3.7-(0.301*F67^0.751)/(1-H67)*H67)*(MAX('Max rate concentrations'!$P$3:$P$368)))/F67, 0)</f>
        <v>0</v>
      </c>
      <c r="N67" s="69">
        <f>IF((((1.18*F67^0.874)/3.7-(0.301*F67^0.751)/(1-H67)*H67)*(MAX('Max rate concentrations'!$Q$3:$Q$368)))/F67&gt;0, (((1.18*F67^0.874)/3.7-(0.301*F67^0.751)/(1-H67)*H67)*(MAX('Max rate concentrations'!$Q$3:$Q$368)))/F67, 0)</f>
        <v>0</v>
      </c>
      <c r="O67" s="69">
        <f>((MAX('Max rate concentrations'!$F$3:$F$368))*0.62*6.01*8*(10*F67^0.667)*0.079*0.1/F67)*inputs!$E$80/(10^(0.84+0.62*LOG10(inputs!$E$80)))</f>
        <v>20.308857302866461</v>
      </c>
      <c r="P67" s="69">
        <f>((MAX('Max rate concentrations'!Y:Y))*0.62*6.01*8*(10*F67^0.667)*0.079*0.1/F67)*inputs!$E$80/(10^(0.84+0.62*LOG10(inputs!$E$80)))</f>
        <v>6.7696191009554898</v>
      </c>
      <c r="Q67" s="69">
        <f>(inputs!$C$18*11.2*(10*F67^0.667)*0.5/F67)*inputs!$E$80/(10^(0.84+0.62*LOG10(inputs!$E$80)))</f>
        <v>3.5773094255886009</v>
      </c>
      <c r="R67" s="59">
        <f>(60*284*((F67/1000)^0.77)*3*24*(MAX('Max rate concentrations'!$R$3:$R$368))/F67)*(inputs!$E$73*3.4/inputs!$E$75)</f>
        <v>3.5134722533676541E-2</v>
      </c>
      <c r="S67" s="59">
        <f>(IF(inputs!$C$17="aerial",((0.025*0.112*inputs!$C$18/3.3)*(3*60*284*((F67/1000)^0.77))*MAX(inputs!$I$14:$I$16))/F67,((0.0083*0.112*inputs!$C$18/1)*(3*60*284*((F67/1000)^0.77))*MAX(inputs!$I$14:$I$16))/F67))*(inputs!E$75*3.4/inputs!$E$73)</f>
        <v>0.19377015339117348</v>
      </c>
      <c r="T67" s="63">
        <f>IF((((inputs!$P$13/(V67/MAX(K67:S67)))^(1/inputs!$O$13))-1)/inputs!$N$13&lt;0, 0, IF((((inputs!$P$13/(V67/MAX(K67:S67)))^(1/inputs!$O$13))-1)/inputs!$N$13&lt;inputs!$I$17, (((inputs!$P$13/(V67/MAX(K67:S67)))^(1/inputs!$O$13))-1)/inputs!$N$13, inputs!$I$17))</f>
        <v>1000</v>
      </c>
      <c r="U67" s="63">
        <f>IF((((inputs!$P$13/(X67/MAX(K67:S67)))^(1/inputs!$O$13))-1)/inputs!$N$13&lt;0, 0, IF((((inputs!$P$13/(X67/MAX(K67:S67)))^(1/inputs!$O$13))-1)/inputs!$N$13&lt;inputs!$I$17, (((inputs!$P$13/(X67/MAX(K67:S67)))^(1/inputs!$O$13))-1)/inputs!$N$13, inputs!$I$17))</f>
        <v>82.976253488713894</v>
      </c>
      <c r="V67" s="21">
        <f>inputs!$E$78*(F67/inputs!$F$78)^(inputs!$E$84-1)</f>
        <v>1.1594009988906985E-2</v>
      </c>
      <c r="W67" s="21">
        <f>inputs!$E$85*(F67/inputs!$F$85)^(inputs!$E$84-1)</f>
        <v>0.53539002324690754</v>
      </c>
      <c r="X67" s="21">
        <f>inputs!$E$80*(F67/inputs!$F$80)^(inputs!$E$84-1)</f>
        <v>1.9992412260485786</v>
      </c>
      <c r="Y67" s="21">
        <f>inputs!$E$82*(F67/inputs!$F$82)^(inputs!$E$84-1)</f>
        <v>0.92141868859208143</v>
      </c>
      <c r="Z67" s="63">
        <f t="shared" si="9"/>
        <v>5380.8901280843911</v>
      </c>
      <c r="AA67" s="63">
        <f t="shared" si="10"/>
        <v>116.52457308762854</v>
      </c>
    </row>
    <row r="68" spans="1:27" x14ac:dyDescent="0.25">
      <c r="A68" s="103" t="s">
        <v>189</v>
      </c>
      <c r="B68" s="20" t="s">
        <v>190</v>
      </c>
      <c r="C68" s="20" t="s">
        <v>73</v>
      </c>
      <c r="D68" s="104" t="s">
        <v>137</v>
      </c>
      <c r="E68" s="15">
        <v>127</v>
      </c>
      <c r="F68" s="15">
        <v>380</v>
      </c>
      <c r="G68" s="20" t="s">
        <v>138</v>
      </c>
      <c r="H68" s="20">
        <v>0.68</v>
      </c>
      <c r="I68" s="68">
        <f>MAX('Max rate concentrations'!$L$3:$L$368)</f>
        <v>350.52744091332482</v>
      </c>
      <c r="J68" s="68">
        <f>MAX('Max rate concentrations'!AD:AD)</f>
        <v>242.38599637623525</v>
      </c>
      <c r="K68" s="69">
        <f t="shared" si="7"/>
        <v>75.122913683612026</v>
      </c>
      <c r="L68" s="69">
        <f t="shared" si="8"/>
        <v>51.946695632284921</v>
      </c>
      <c r="M68" s="69">
        <f>IF((((1.18*F68^0.874)/3.7-(0.301*F68^0.751)/(1-H68)*H68)*(MAX('Max rate concentrations'!$P$3:$P$368)))/F68&gt;0, (((1.18*F68^0.874)/3.7-(0.301*F68^0.751)/(1-H68)*H68)*(MAX('Max rate concentrations'!$P$3:$P$368)))/F68, 0)</f>
        <v>4.4808015156363361E-3</v>
      </c>
      <c r="N68" s="69">
        <f>IF((((1.18*F68^0.874)/3.7-(0.301*F68^0.751)/(1-H68)*H68)*(MAX('Max rate concentrations'!$Q$3:$Q$368)))/F68&gt;0, (((1.18*F68^0.874)/3.7-(0.301*F68^0.751)/(1-H68)*H68)*(MAX('Max rate concentrations'!$Q$3:$Q$368)))/F68, 0)</f>
        <v>1.7063132932559327E-2</v>
      </c>
      <c r="O68" s="69">
        <f>((MAX('Max rate concentrations'!$F$3:$F$368))*0.62*6.01*8*(10*F68^0.667)*0.079*0.1/F68)*inputs!$E$80/(10^(0.84+0.62*LOG10(inputs!$E$80)))</f>
        <v>20.308857302866461</v>
      </c>
      <c r="P68" s="69">
        <f>((MAX('Max rate concentrations'!Y:Y))*0.62*6.01*8*(10*F68^0.667)*0.079*0.1/F68)*inputs!$E$80/(10^(0.84+0.62*LOG10(inputs!$E$80)))</f>
        <v>6.7696191009554898</v>
      </c>
      <c r="Q68" s="69">
        <f>(inputs!$C$18*11.2*(10*F68^0.667)*0.5/F68)*inputs!$E$80/(10^(0.84+0.62*LOG10(inputs!$E$80)))</f>
        <v>3.5773094255886009</v>
      </c>
      <c r="R68" s="59">
        <f>(60*284*((F68/1000)^0.77)*3*24*(MAX('Max rate concentrations'!$R$3:$R$368))/F68)*(inputs!$E$73*3.4/inputs!$E$75)</f>
        <v>3.5134722533676541E-2</v>
      </c>
      <c r="S68" s="59">
        <f>(IF(inputs!$C$17="aerial",((0.025*0.112*inputs!$C$18/3.3)*(3*60*284*((F68/1000)^0.77))*MAX(inputs!$I$14:$I$16))/F68,((0.0083*0.112*inputs!$C$18/1)*(3*60*284*((F68/1000)^0.77))*MAX(inputs!$I$14:$I$16))/F68))*(inputs!E$75*3.4/inputs!$E$73)</f>
        <v>0.19377015339117348</v>
      </c>
      <c r="T68" s="63">
        <f>IF((((inputs!$P$13/(V68/MAX(K68:S68)))^(1/inputs!$O$13))-1)/inputs!$N$13&lt;0, 0, IF((((inputs!$P$13/(V68/MAX(K68:S68)))^(1/inputs!$O$13))-1)/inputs!$N$13&lt;inputs!$I$17, (((inputs!$P$13/(V68/MAX(K68:S68)))^(1/inputs!$O$13))-1)/inputs!$N$13, inputs!$I$17))</f>
        <v>1000</v>
      </c>
      <c r="U68" s="63">
        <f>IF((((inputs!$P$13/(X68/MAX(K68:S68)))^(1/inputs!$O$13))-1)/inputs!$N$13&lt;0, 0, IF((((inputs!$P$13/(X68/MAX(K68:S68)))^(1/inputs!$O$13))-1)/inputs!$N$13&lt;inputs!$I$17, (((inputs!$P$13/(X68/MAX(K68:S68)))^(1/inputs!$O$13))-1)/inputs!$N$13, inputs!$I$17))</f>
        <v>97.274926247798902</v>
      </c>
      <c r="V68" s="21">
        <f>inputs!$E$78*(F68/inputs!$F$78)^(inputs!$E$84-1)</f>
        <v>1.1594009988906985E-2</v>
      </c>
      <c r="W68" s="21">
        <f>inputs!$E$85*(F68/inputs!$F$85)^(inputs!$E$84-1)</f>
        <v>0.53539002324690754</v>
      </c>
      <c r="X68" s="21">
        <f>inputs!$E$80*(F68/inputs!$F$80)^(inputs!$E$84-1)</f>
        <v>1.9992412260485786</v>
      </c>
      <c r="Y68" s="21">
        <f>inputs!$E$82*(F68/inputs!$F$82)^(inputs!$E$84-1)</f>
        <v>0.92141868859208143</v>
      </c>
      <c r="Z68" s="63">
        <f t="shared" si="9"/>
        <v>6479.4591134119055</v>
      </c>
      <c r="AA68" s="63">
        <f t="shared" si="10"/>
        <v>140.3143697523989</v>
      </c>
    </row>
    <row r="69" spans="1:27" x14ac:dyDescent="0.25">
      <c r="A69" s="103" t="s">
        <v>189</v>
      </c>
      <c r="B69" s="20" t="s">
        <v>190</v>
      </c>
      <c r="C69" s="20" t="s">
        <v>73</v>
      </c>
      <c r="D69" s="104" t="s">
        <v>137</v>
      </c>
      <c r="E69" s="15">
        <v>127</v>
      </c>
      <c r="F69" s="15">
        <v>380</v>
      </c>
      <c r="G69" s="21" t="s">
        <v>456</v>
      </c>
      <c r="H69" s="20">
        <v>0.68</v>
      </c>
      <c r="I69" s="68">
        <f>MAX('Max rate concentrations'!$J$3:$J$368)</f>
        <v>686.46486205830786</v>
      </c>
      <c r="J69" s="68">
        <f>MAX('Max rate concentrations'!AB:AB)</f>
        <v>243.122971978984</v>
      </c>
      <c r="K69" s="69">
        <f t="shared" si="7"/>
        <v>147.11898288154413</v>
      </c>
      <c r="L69" s="69">
        <f t="shared" si="8"/>
        <v>52.104639770546868</v>
      </c>
      <c r="M69" s="69">
        <f>IF((((1.18*F69^0.874)/3.7-(0.301*F69^0.751)/(1-H69)*H69)*(MAX('Max rate concentrations'!$P$3:$P$368)))/F69&gt;0, (((1.18*F69^0.874)/3.7-(0.301*F69^0.751)/(1-H69)*H69)*(MAX('Max rate concentrations'!$P$3:$P$368)))/F69, 0)</f>
        <v>4.4808015156363361E-3</v>
      </c>
      <c r="N69" s="69">
        <f>IF((((1.18*F69^0.874)/3.7-(0.301*F69^0.751)/(1-H69)*H69)*(MAX('Max rate concentrations'!$Q$3:$Q$368)))/F69&gt;0, (((1.18*F69^0.874)/3.7-(0.301*F69^0.751)/(1-H69)*H69)*(MAX('Max rate concentrations'!$Q$3:$Q$368)))/F69, 0)</f>
        <v>1.7063132932559327E-2</v>
      </c>
      <c r="O69" s="69">
        <f>((MAX('Max rate concentrations'!$F$3:$F$368))*0.62*6.01*8*(10*F69^0.667)*0.079*0.1/F69)*inputs!$E$80/(10^(0.84+0.62*LOG10(inputs!$E$80)))</f>
        <v>20.308857302866461</v>
      </c>
      <c r="P69" s="69">
        <f>((MAX('Max rate concentrations'!Y:Y))*0.62*6.01*8*(10*F69^0.667)*0.079*0.1/F69)*inputs!$E$80/(10^(0.84+0.62*LOG10(inputs!$E$80)))</f>
        <v>6.7696191009554898</v>
      </c>
      <c r="Q69" s="69">
        <f>(inputs!$C$18*11.2*(10*F69^0.667)*0.5/F69)*inputs!$E$80/(10^(0.84+0.62*LOG10(inputs!$E$80)))</f>
        <v>3.5773094255886009</v>
      </c>
      <c r="R69" s="59">
        <f>(60*284*((F69/1000)^0.77)*3*24*(MAX('Max rate concentrations'!$R$3:$R$368))/F69)*(inputs!$E$73*3.4/inputs!$E$75)</f>
        <v>3.5134722533676541E-2</v>
      </c>
      <c r="S69" s="59">
        <f>(IF(inputs!$C$17="aerial",((0.025*0.112*inputs!$C$18/3.3)*(3*60*284*((F69/1000)^0.77))*MAX(inputs!$I$14:$I$16))/F69,((0.0083*0.112*inputs!$C$18/1)*(3*60*284*((F69/1000)^0.77))*MAX(inputs!$I$14:$I$16))/F69))*(inputs!E$75*3.4/inputs!$E$73)</f>
        <v>0.19377015339117348</v>
      </c>
      <c r="T69" s="63">
        <f>IF((((inputs!$P$13/(V69/MAX(K69:S69)))^(1/inputs!$O$13))-1)/inputs!$N$13&lt;0, 0, IF((((inputs!$P$13/(V69/MAX(K69:S69)))^(1/inputs!$O$13))-1)/inputs!$N$13&lt;inputs!$I$17, (((inputs!$P$13/(V69/MAX(K69:S69)))^(1/inputs!$O$13))-1)/inputs!$N$13, inputs!$I$17))</f>
        <v>1000</v>
      </c>
      <c r="U69" s="63">
        <f>IF((((inputs!$P$13/(X69/MAX(K69:S69)))^(1/inputs!$O$13))-1)/inputs!$N$13&lt;0, 0, IF((((inputs!$P$13/(X69/MAX(K69:S69)))^(1/inputs!$O$13))-1)/inputs!$N$13&lt;inputs!$I$17, (((inputs!$P$13/(X69/MAX(K69:S69)))^(1/inputs!$O$13))-1)/inputs!$N$13, inputs!$I$17))</f>
        <v>171.28741716518317</v>
      </c>
      <c r="V69" s="21">
        <f>inputs!$E$78*(F69/inputs!$F$78)^(inputs!$E$84-1)</f>
        <v>1.1594009988906985E-2</v>
      </c>
      <c r="W69" s="21">
        <f>inputs!$E$85*(F69/inputs!$F$85)^(inputs!$E$84-1)</f>
        <v>0.53539002324690754</v>
      </c>
      <c r="X69" s="21">
        <f>inputs!$E$80*(F69/inputs!$F$80)^(inputs!$E$84-1)</f>
        <v>1.9992412260485786</v>
      </c>
      <c r="Y69" s="21">
        <f>inputs!$E$82*(F69/inputs!$F$82)^(inputs!$E$84-1)</f>
        <v>0.92141868859208143</v>
      </c>
      <c r="Z69" s="63">
        <f t="shared" si="9"/>
        <v>12689.223402628244</v>
      </c>
      <c r="AA69" s="63">
        <f t="shared" si="10"/>
        <v>274.78842804976364</v>
      </c>
    </row>
    <row r="70" spans="1:27" x14ac:dyDescent="0.25">
      <c r="A70" s="103" t="s">
        <v>189</v>
      </c>
      <c r="B70" s="20" t="s">
        <v>190</v>
      </c>
      <c r="C70" s="20" t="s">
        <v>73</v>
      </c>
      <c r="D70" s="104" t="s">
        <v>137</v>
      </c>
      <c r="E70" s="15">
        <v>127</v>
      </c>
      <c r="F70" s="15">
        <v>380</v>
      </c>
      <c r="G70" s="20" t="s">
        <v>145</v>
      </c>
      <c r="H70" s="20">
        <v>0.66</v>
      </c>
      <c r="I70" s="68">
        <f>MAX('Max rate concentrations'!$M$3:$M$368)</f>
        <v>17.092910873809167</v>
      </c>
      <c r="J70" s="68">
        <f>MAX('Max rate concentrations'!AE:AE)</f>
        <v>11.81956602976166</v>
      </c>
      <c r="K70" s="69">
        <f t="shared" si="7"/>
        <v>3.4477636862400427</v>
      </c>
      <c r="L70" s="69">
        <f t="shared" si="8"/>
        <v>2.3840919106979026</v>
      </c>
      <c r="M70" s="69">
        <f>IF((((1.18*F70^0.874)/3.7-(0.301*F70^0.751)/(1-H70)*H70)*(MAX('Max rate concentrations'!$P$3:$P$368)))/F70&gt;0, (((1.18*F70^0.874)/3.7-(0.301*F70^0.751)/(1-H70)*H70)*(MAX('Max rate concentrations'!$P$3:$P$368)))/F70, 0)</f>
        <v>1.5459829178802498E-2</v>
      </c>
      <c r="N70" s="69">
        <f>IF((((1.18*F70^0.874)/3.7-(0.301*F70^0.751)/(1-H70)*H70)*(MAX('Max rate concentrations'!$Q$3:$Q$368)))/F70&gt;0, (((1.18*F70^0.874)/3.7-(0.301*F70^0.751)/(1-H70)*H70)*(MAX('Max rate concentrations'!$Q$3:$Q$368)))/F70, 0)</f>
        <v>5.8871860195553474E-2</v>
      </c>
      <c r="O70" s="69">
        <f>((MAX('Max rate concentrations'!$F$3:$F$368))*0.62*6.01*8*(10*F70^0.667)*0.079*0.1/F70)*inputs!$E$80/(10^(0.84+0.62*LOG10(inputs!$E$80)))</f>
        <v>20.308857302866461</v>
      </c>
      <c r="P70" s="69">
        <f>((MAX('Max rate concentrations'!Y:Y))*0.62*6.01*8*(10*F70^0.667)*0.079*0.1/F70)*inputs!$E$80/(10^(0.84+0.62*LOG10(inputs!$E$80)))</f>
        <v>6.7696191009554898</v>
      </c>
      <c r="Q70" s="69">
        <f>(inputs!$C$18*11.2*(10*F70^0.667)*0.5/F70)*inputs!$E$80/(10^(0.84+0.62*LOG10(inputs!$E$80)))</f>
        <v>3.5773094255886009</v>
      </c>
      <c r="R70" s="59">
        <f>(60*284*((F70/1000)^0.77)*3*24*(MAX('Max rate concentrations'!$R$3:$R$368))/F70)*(inputs!$E$73*3.4/inputs!$E$75)</f>
        <v>3.5134722533676541E-2</v>
      </c>
      <c r="S70" s="59">
        <f>(IF(inputs!$C$17="aerial",((0.025*0.112*inputs!$C$18/3.3)*(3*60*284*((F70/1000)^0.77))*MAX(inputs!$I$14:$I$16))/F70,((0.0083*0.112*inputs!$C$18/1)*(3*60*284*((F70/1000)^0.77))*MAX(inputs!$I$14:$I$16))/F70))*(inputs!E$75*3.4/inputs!$E$73)</f>
        <v>0.19377015339117348</v>
      </c>
      <c r="T70" s="63">
        <f>IF((((inputs!$P$13/(V70/MAX(K70:S70)))^(1/inputs!$O$13))-1)/inputs!$N$13&lt;0, 0, IF((((inputs!$P$13/(V70/MAX(K70:S70)))^(1/inputs!$O$13))-1)/inputs!$N$13&lt;inputs!$I$17, (((inputs!$P$13/(V70/MAX(K70:S70)))^(1/inputs!$O$13))-1)/inputs!$N$13, inputs!$I$17))</f>
        <v>1000</v>
      </c>
      <c r="U70" s="63">
        <f>IF((((inputs!$P$13/(X70/MAX(K70:S70)))^(1/inputs!$O$13))-1)/inputs!$N$13&lt;0, 0, IF((((inputs!$P$13/(X70/MAX(K70:S70)))^(1/inputs!$O$13))-1)/inputs!$N$13&lt;inputs!$I$17, (((inputs!$P$13/(X70/MAX(K70:S70)))^(1/inputs!$O$13))-1)/inputs!$N$13, inputs!$I$17))</f>
        <v>30.363546196211441</v>
      </c>
      <c r="V70" s="21">
        <f>inputs!$E$78*(F70/inputs!$F$78)^(inputs!$E$84-1)</f>
        <v>1.1594009988906985E-2</v>
      </c>
      <c r="W70" s="21">
        <f>inputs!$E$85*(F70/inputs!$F$85)^(inputs!$E$84-1)</f>
        <v>0.53539002324690754</v>
      </c>
      <c r="X70" s="21">
        <f>inputs!$E$80*(F70/inputs!$F$80)^(inputs!$E$84-1)</f>
        <v>1.9992412260485786</v>
      </c>
      <c r="Y70" s="21">
        <f>inputs!$E$82*(F70/inputs!$F$82)^(inputs!$E$84-1)</f>
        <v>0.92141868859208143</v>
      </c>
      <c r="Z70" s="63">
        <f t="shared" si="9"/>
        <v>1751.6680874259848</v>
      </c>
      <c r="AA70" s="63">
        <f t="shared" si="10"/>
        <v>37.932827324091839</v>
      </c>
    </row>
    <row r="71" spans="1:27" x14ac:dyDescent="0.25">
      <c r="A71" s="103" t="s">
        <v>135</v>
      </c>
      <c r="B71" s="20" t="s">
        <v>136</v>
      </c>
      <c r="C71" s="20" t="s">
        <v>73</v>
      </c>
      <c r="D71" s="104" t="s">
        <v>137</v>
      </c>
      <c r="E71" s="15">
        <v>128</v>
      </c>
      <c r="F71" s="15">
        <v>82</v>
      </c>
      <c r="G71" s="20" t="s">
        <v>138</v>
      </c>
      <c r="H71" s="20">
        <v>0.68</v>
      </c>
      <c r="I71" s="68">
        <f>MAX('Max rate concentrations'!$L$3:$L$368)</f>
        <v>350.52744091332482</v>
      </c>
      <c r="J71" s="68">
        <f>MAX('Max rate concentrations'!AD:AD)</f>
        <v>242.38599637623525</v>
      </c>
      <c r="K71" s="69">
        <f t="shared" si="7"/>
        <v>110.05224092578614</v>
      </c>
      <c r="L71" s="69">
        <f t="shared" si="8"/>
        <v>76.099953831660628</v>
      </c>
      <c r="M71" s="69">
        <f>IF((((1.18*F71^0.874)/3.7-(0.301*F71^0.751)/(1-H71)*H71)*(MAX('Max rate concentrations'!$P$3:$P$368)))/F71&gt;0, (((1.18*F71^0.874)/3.7-(0.301*F71^0.751)/(1-H71)*H71)*(MAX('Max rate concentrations'!$P$3:$P$368)))/F71, 0)</f>
        <v>0</v>
      </c>
      <c r="N71" s="69">
        <f>IF((((1.18*F71^0.874)/3.7-(0.301*F71^0.751)/(1-H71)*H71)*(MAX('Max rate concentrations'!$Q$3:$Q$368)))/F71&gt;0, (((1.18*F71^0.874)/3.7-(0.301*F71^0.751)/(1-H71)*H71)*(MAX('Max rate concentrations'!$Q$3:$Q$368)))/F71, 0)</f>
        <v>0</v>
      </c>
      <c r="O71" s="69">
        <f>((MAX('Max rate concentrations'!$F$3:$F$368))*0.62*6.01*8*(10*F71^0.667)*0.079*0.1/F71)*inputs!$E$80/(10^(0.84+0.62*LOG10(inputs!$E$80)))</f>
        <v>33.841796758974091</v>
      </c>
      <c r="P71" s="69">
        <f>((MAX('Max rate concentrations'!Y:Y))*0.62*6.01*8*(10*F71^0.667)*0.079*0.1/F71)*inputs!$E$80/(10^(0.84+0.62*LOG10(inputs!$E$80)))</f>
        <v>11.280598919658027</v>
      </c>
      <c r="Q71" s="69">
        <f>(inputs!$C$18*11.2*(10*F71^0.667)*0.5/F71)*inputs!$E$80/(10^(0.84+0.62*LOG10(inputs!$E$80)))</f>
        <v>5.9610728816162677</v>
      </c>
      <c r="R71" s="59">
        <f>(60*284*((F71/1000)^0.77)*3*24*(MAX('Max rate concentrations'!$R$3:$R$368))/F71)*(inputs!$E$73*3.4/inputs!$E$75)</f>
        <v>4.9993042648639421E-2</v>
      </c>
      <c r="S71" s="59">
        <f>(IF(inputs!$C$17="aerial",((0.025*0.112*inputs!$C$18/3.3)*(3*60*284*((F71/1000)^0.77))*MAX(inputs!$I$14:$I$16))/F71,((0.0083*0.112*inputs!$C$18/1)*(3*60*284*((F71/1000)^0.77))*MAX(inputs!$I$14:$I$16))/F71))*(inputs!E$75*3.4/inputs!$E$73)</f>
        <v>0.27571470169525952</v>
      </c>
      <c r="T71" s="63">
        <f>IF((((inputs!$P$13/(V71/MAX(K71:S71)))^(1/inputs!$O$13))-1)/inputs!$N$13&lt;0, 0, IF((((inputs!$P$13/(V71/MAX(K71:S71)))^(1/inputs!$O$13))-1)/inputs!$N$13&lt;inputs!$I$17, (((inputs!$P$13/(V71/MAX(K71:S71)))^(1/inputs!$O$13))-1)/inputs!$N$13, inputs!$I$17))</f>
        <v>1000</v>
      </c>
      <c r="U71" s="63">
        <f>IF((((inputs!$P$13/(X71/MAX(K71:S71)))^(1/inputs!$O$13))-1)/inputs!$N$13&lt;0, 0, IF((((inputs!$P$13/(X71/MAX(K71:S71)))^(1/inputs!$O$13))-1)/inputs!$N$13&lt;inputs!$I$17, (((inputs!$P$13/(X71/MAX(K71:S71)))^(1/inputs!$O$13))-1)/inputs!$N$13, inputs!$I$17))</f>
        <v>82.993055027354544</v>
      </c>
      <c r="V71" s="21">
        <f>inputs!$E$78*(F71/inputs!$F$78)^(inputs!$E$84-1)</f>
        <v>2.0447606345010017E-2</v>
      </c>
      <c r="W71" s="21">
        <f>inputs!$E$85*(F71/inputs!$F$85)^(inputs!$E$84-1)</f>
        <v>0.94423279321588605</v>
      </c>
      <c r="X71" s="21">
        <f>inputs!$E$80*(F71/inputs!$F$80)^(inputs!$E$84-1)</f>
        <v>3.5259325822618526</v>
      </c>
      <c r="Y71" s="21">
        <f>inputs!$E$82*(F71/inputs!$F$82)^(inputs!$E$84-1)</f>
        <v>1.6250466095244802</v>
      </c>
      <c r="Z71" s="63">
        <f t="shared" si="9"/>
        <v>5382.1576505771791</v>
      </c>
      <c r="AA71" s="63">
        <f t="shared" si="10"/>
        <v>116.55202161637293</v>
      </c>
    </row>
    <row r="72" spans="1:27" x14ac:dyDescent="0.25">
      <c r="A72" s="103" t="s">
        <v>175</v>
      </c>
      <c r="B72" s="20" t="s">
        <v>176</v>
      </c>
      <c r="C72" s="20" t="s">
        <v>73</v>
      </c>
      <c r="D72" s="104" t="s">
        <v>172</v>
      </c>
      <c r="E72" s="15">
        <v>69</v>
      </c>
      <c r="F72" s="15">
        <v>460</v>
      </c>
      <c r="G72" s="20" t="s">
        <v>173</v>
      </c>
      <c r="H72" s="20">
        <v>0.8</v>
      </c>
      <c r="I72" s="68">
        <f>inputs!$C$66*inputs!$C$60/1000</f>
        <v>28</v>
      </c>
      <c r="J72" s="68">
        <f>inputs!$C$66*inputs!$C$59/1000</f>
        <v>28</v>
      </c>
      <c r="K72" s="69">
        <f t="shared" si="7"/>
        <v>9.1551998958237792</v>
      </c>
      <c r="L72" s="69">
        <f t="shared" si="8"/>
        <v>9.1551998958237792</v>
      </c>
      <c r="M72" s="69">
        <f>IF((((1.18*F72^0.874)/3.7-(0.301*F72^0.751)/(1-H72)*H72)*(MAX('Max rate concentrations'!$P$3:$P$368)))/F72&gt;0, (((1.18*F72^0.874)/3.7-(0.301*F72^0.751)/(1-H72)*H72)*(MAX('Max rate concentrations'!$P$3:$P$368)))/F72, 0)</f>
        <v>0</v>
      </c>
      <c r="N72" s="69">
        <f>IF((((1.18*F72^0.874)/3.7-(0.301*F72^0.751)/(1-H72)*H72)*(MAX('Max rate concentrations'!$Q$3:$Q$368)))/F72&gt;0, (((1.18*F72^0.874)/3.7-(0.301*F72^0.751)/(1-H72)*H72)*(MAX('Max rate concentrations'!$Q$3:$Q$368)))/F72, 0)</f>
        <v>0</v>
      </c>
      <c r="O72" s="69">
        <f>((MAX('Max rate concentrations'!$F$3:$F$368))*0.62*6.01*8*(10*F72^0.667)*0.079*0.1/F72)*inputs!$E$80/(10^(0.84+0.62*LOG10(inputs!$E$80)))</f>
        <v>19.05702342559783</v>
      </c>
      <c r="P72" s="69">
        <f>((MAX('Max rate concentrations'!Y:Y))*0.62*6.01*8*(10*F72^0.667)*0.079*0.1/F72)*inputs!$E$80/(10^(0.84+0.62*LOG10(inputs!$E$80)))</f>
        <v>6.3523411418659421</v>
      </c>
      <c r="Q72" s="69">
        <f>(inputs!$C$18*11.2*(10*F72^0.667)*0.5/F72)*inputs!$E$80/(10^(0.84+0.62*LOG10(inputs!$E$80)))</f>
        <v>3.3568047924799655</v>
      </c>
      <c r="R72" s="59">
        <f>(60*284*((F72/1000)^0.77)*3*24*(MAX('Max rate concentrations'!$R$3:$R$368))/F72)*(inputs!$E$73*3.4/inputs!$E$75)</f>
        <v>3.3624238237170555E-2</v>
      </c>
      <c r="S72" s="59">
        <f>(IF(inputs!$C$17="aerial",((0.025*0.112*inputs!$C$18/3.3)*(3*60*284*((F72/1000)^0.77))*MAX(inputs!$I$14:$I$16))/F72,((0.0083*0.112*inputs!$C$18/1)*(3*60*284*((F72/1000)^0.77))*MAX(inputs!$I$14:$I$16))/F72))*(inputs!E$75*3.4/inputs!$E$73)</f>
        <v>0.18543973969434169</v>
      </c>
      <c r="T72" s="63">
        <f>IF((((inputs!$P$13/(V72/MAX(K72:S72)))^(1/inputs!$O$13))-1)/inputs!$N$13&lt;0, 0, IF((((inputs!$P$13/(V72/MAX(K72:S72)))^(1/inputs!$O$13))-1)/inputs!$N$13&lt;inputs!$I$17, (((inputs!$P$13/(V72/MAX(K72:S72)))^(1/inputs!$O$13))-1)/inputs!$N$13, inputs!$I$17))</f>
        <v>1000</v>
      </c>
      <c r="U72" s="63">
        <f>IF((((inputs!$P$13/(X72/MAX(K72:S72)))^(1/inputs!$O$13))-1)/inputs!$N$13&lt;0, 0, IF((((inputs!$P$13/(X72/MAX(K72:S72)))^(1/inputs!$O$13))-1)/inputs!$N$13&lt;inputs!$I$17, (((inputs!$P$13/(X72/MAX(K72:S72)))^(1/inputs!$O$13))-1)/inputs!$N$13, inputs!$I$17))</f>
        <v>30.567585003253168</v>
      </c>
      <c r="V72" s="21">
        <f>inputs!$E$78*(F72/inputs!$F$78)^(inputs!$E$84-1)</f>
        <v>1.0802722080610554E-2</v>
      </c>
      <c r="W72" s="21">
        <f>inputs!$E$85*(F72/inputs!$F$85)^(inputs!$E$84-1)</f>
        <v>0.49884980532203388</v>
      </c>
      <c r="X72" s="21">
        <f>inputs!$E$80*(F72/inputs!$F$80)^(inputs!$E$84-1)</f>
        <v>1.8627935768354429</v>
      </c>
      <c r="Y72" s="21">
        <f>inputs!$E$82*(F72/inputs!$F$82)^(inputs!$E$84-1)</f>
        <v>0.85853212324852302</v>
      </c>
      <c r="Z72" s="63">
        <f t="shared" si="9"/>
        <v>1764.0945757368549</v>
      </c>
      <c r="AA72" s="63">
        <f t="shared" si="10"/>
        <v>38.201926155499883</v>
      </c>
    </row>
    <row r="73" spans="1:27" x14ac:dyDescent="0.25">
      <c r="A73" s="103" t="s">
        <v>175</v>
      </c>
      <c r="B73" s="20" t="s">
        <v>176</v>
      </c>
      <c r="C73" s="20" t="s">
        <v>73</v>
      </c>
      <c r="D73" s="104" t="s">
        <v>172</v>
      </c>
      <c r="E73" s="15">
        <v>69</v>
      </c>
      <c r="F73" s="15">
        <v>460</v>
      </c>
      <c r="G73" s="20" t="s">
        <v>164</v>
      </c>
      <c r="H73" s="20">
        <v>0.78</v>
      </c>
      <c r="I73" s="68">
        <f>inputs!$C$66*(inputs!$C$62/1000)</f>
        <v>8.2000000000000011</v>
      </c>
      <c r="J73" s="68">
        <f>inputs!$C$66*(inputs!$C$61/1000)</f>
        <v>2.5</v>
      </c>
      <c r="K73" s="69">
        <f t="shared" si="7"/>
        <v>2.4374233488881494</v>
      </c>
      <c r="L73" s="69">
        <f t="shared" si="8"/>
        <v>0.74311687466102105</v>
      </c>
      <c r="M73" s="69">
        <f>IF((((1.18*F73^0.874)/3.7-(0.301*F73^0.751)/(1-H73)*H73)*(MAX('Max rate concentrations'!$P$3:$P$368)))/F73&gt;0, (((1.18*F73^0.874)/3.7-(0.301*F73^0.751)/(1-H73)*H73)*(MAX('Max rate concentrations'!$P$3:$P$368)))/F73, 0)</f>
        <v>0</v>
      </c>
      <c r="N73" s="69">
        <f>IF((((1.18*F73^0.874)/3.7-(0.301*F73^0.751)/(1-H73)*H73)*(MAX('Max rate concentrations'!$Q$3:$Q$368)))/F73&gt;0, (((1.18*F73^0.874)/3.7-(0.301*F73^0.751)/(1-H73)*H73)*(MAX('Max rate concentrations'!$Q$3:$Q$368)))/F73, 0)</f>
        <v>0</v>
      </c>
      <c r="O73" s="69">
        <f>((MAX('Max rate concentrations'!$F$3:$F$368))*0.62*6.01*8*(10*F73^0.667)*0.079*0.1/F73)*inputs!$E$80/(10^(0.84+0.62*LOG10(inputs!$E$80)))</f>
        <v>19.05702342559783</v>
      </c>
      <c r="P73" s="69">
        <f>((MAX('Max rate concentrations'!Y:Y))*0.62*6.01*8*(10*F73^0.667)*0.079*0.1/F73)*inputs!$E$80/(10^(0.84+0.62*LOG10(inputs!$E$80)))</f>
        <v>6.3523411418659421</v>
      </c>
      <c r="Q73" s="69">
        <f>(inputs!$C$18*11.2*(10*F73^0.667)*0.5/F73)*inputs!$E$80/(10^(0.84+0.62*LOG10(inputs!$E$80)))</f>
        <v>3.3568047924799655</v>
      </c>
      <c r="R73" s="59">
        <f>(60*284*((F73/1000)^0.77)*3*24*(MAX('Max rate concentrations'!$R$3:$R$368))/F73)*(inputs!$E$73*3.4/inputs!$E$75)</f>
        <v>3.3624238237170555E-2</v>
      </c>
      <c r="S73" s="59">
        <f>(IF(inputs!$C$17="aerial",((0.025*0.112*inputs!$C$18/3.3)*(3*60*284*((F73/1000)^0.77))*MAX(inputs!$I$14:$I$16))/F73,((0.0083*0.112*inputs!$C$18/1)*(3*60*284*((F73/1000)^0.77))*MAX(inputs!$I$14:$I$16))/F73))*(inputs!E$75*3.4/inputs!$E$73)</f>
        <v>0.18543973969434169</v>
      </c>
      <c r="T73" s="63">
        <f>IF((((inputs!$P$13/(V73/MAX(K73:S73)))^(1/inputs!$O$13))-1)/inputs!$N$13&lt;0, 0, IF((((inputs!$P$13/(V73/MAX(K73:S73)))^(1/inputs!$O$13))-1)/inputs!$N$13&lt;inputs!$I$17, (((inputs!$P$13/(V73/MAX(K73:S73)))^(1/inputs!$O$13))-1)/inputs!$N$13, inputs!$I$17))</f>
        <v>1000</v>
      </c>
      <c r="U73" s="63">
        <f>IF((((inputs!$P$13/(X73/MAX(K73:S73)))^(1/inputs!$O$13))-1)/inputs!$N$13&lt;0, 0, IF((((inputs!$P$13/(X73/MAX(K73:S73)))^(1/inputs!$O$13))-1)/inputs!$N$13&lt;inputs!$I$17, (((inputs!$P$13/(X73/MAX(K73:S73)))^(1/inputs!$O$13))-1)/inputs!$N$13, inputs!$I$17))</f>
        <v>30.567585003253168</v>
      </c>
      <c r="V73" s="21">
        <f>inputs!$E$78*(F73/inputs!$F$78)^(inputs!$E$84-1)</f>
        <v>1.0802722080610554E-2</v>
      </c>
      <c r="W73" s="21">
        <f>inputs!$E$85*(F73/inputs!$F$85)^(inputs!$E$84-1)</f>
        <v>0.49884980532203388</v>
      </c>
      <c r="X73" s="21">
        <f>inputs!$E$80*(F73/inputs!$F$80)^(inputs!$E$84-1)</f>
        <v>1.8627935768354429</v>
      </c>
      <c r="Y73" s="21">
        <f>inputs!$E$82*(F73/inputs!$F$82)^(inputs!$E$84-1)</f>
        <v>0.85853212324852302</v>
      </c>
      <c r="Z73" s="63">
        <f t="shared" si="9"/>
        <v>1764.0945757368549</v>
      </c>
      <c r="AA73" s="63">
        <f t="shared" si="10"/>
        <v>38.201926155499883</v>
      </c>
    </row>
    <row r="74" spans="1:27" x14ac:dyDescent="0.25">
      <c r="A74" s="103" t="s">
        <v>175</v>
      </c>
      <c r="B74" s="20" t="s">
        <v>176</v>
      </c>
      <c r="C74" s="20" t="s">
        <v>73</v>
      </c>
      <c r="D74" s="104" t="s">
        <v>172</v>
      </c>
      <c r="E74" s="15">
        <v>69</v>
      </c>
      <c r="F74" s="15">
        <v>460</v>
      </c>
      <c r="G74" s="20" t="s">
        <v>169</v>
      </c>
      <c r="H74" s="20">
        <v>0.79</v>
      </c>
      <c r="I74" s="68">
        <f>MAX('Max rate concentrations'!$D$3:$D$368)</f>
        <v>720</v>
      </c>
      <c r="J74" s="68">
        <f>MAX('Max rate concentrations'!W:W)</f>
        <v>255</v>
      </c>
      <c r="K74" s="69">
        <f t="shared" si="7"/>
        <v>224.20897704058234</v>
      </c>
      <c r="L74" s="69">
        <f t="shared" si="8"/>
        <v>79.407346035206245</v>
      </c>
      <c r="M74" s="69">
        <f>IF((((1.18*F74^0.874)/3.7-(0.301*F74^0.751)/(1-H74)*H74)*(MAX('Max rate concentrations'!$P$3:$P$368)))/F74&gt;0, (((1.18*F74^0.874)/3.7-(0.301*F74^0.751)/(1-H74)*H74)*(MAX('Max rate concentrations'!$P$3:$P$368)))/F74, 0)</f>
        <v>0</v>
      </c>
      <c r="N74" s="69">
        <f>IF((((1.18*F74^0.874)/3.7-(0.301*F74^0.751)/(1-H74)*H74)*(MAX('Max rate concentrations'!$Q$3:$Q$368)))/F74&gt;0, (((1.18*F74^0.874)/3.7-(0.301*F74^0.751)/(1-H74)*H74)*(MAX('Max rate concentrations'!$Q$3:$Q$368)))/F74, 0)</f>
        <v>0</v>
      </c>
      <c r="O74" s="69">
        <f>((MAX('Max rate concentrations'!$F$3:$F$368))*0.62*6.01*8*(10*F74^0.667)*0.079*0.1/F74)*inputs!$E$80/(10^(0.84+0.62*LOG10(inputs!$E$80)))</f>
        <v>19.05702342559783</v>
      </c>
      <c r="P74" s="69">
        <f>((MAX('Max rate concentrations'!Y:Y))*0.62*6.01*8*(10*F74^0.667)*0.079*0.1/F74)*inputs!$E$80/(10^(0.84+0.62*LOG10(inputs!$E$80)))</f>
        <v>6.3523411418659421</v>
      </c>
      <c r="Q74" s="69">
        <f>(inputs!$C$18*11.2*(10*F74^0.667)*0.5/F74)*inputs!$E$80/(10^(0.84+0.62*LOG10(inputs!$E$80)))</f>
        <v>3.3568047924799655</v>
      </c>
      <c r="R74" s="59">
        <f>(60*284*((F74/1000)^0.77)*3*24*(MAX('Max rate concentrations'!$R$3:$R$368))/F74)*(inputs!$E$73*3.4/inputs!$E$75)</f>
        <v>3.3624238237170555E-2</v>
      </c>
      <c r="S74" s="59">
        <f>(IF(inputs!$C$17="aerial",((0.025*0.112*inputs!$C$18/3.3)*(3*60*284*((F74/1000)^0.77))*MAX(inputs!$I$14:$I$16))/F74,((0.0083*0.112*inputs!$C$18/1)*(3*60*284*((F74/1000)^0.77))*MAX(inputs!$I$14:$I$16))/F74))*(inputs!E$75*3.4/inputs!$E$73)</f>
        <v>0.18543973969434169</v>
      </c>
      <c r="T74" s="63">
        <f>IF((((inputs!$P$13/(V74/MAX(K74:S74)))^(1/inputs!$O$13))-1)/inputs!$N$13&lt;0, 0, IF((((inputs!$P$13/(V74/MAX(K74:S74)))^(1/inputs!$O$13))-1)/inputs!$N$13&lt;inputs!$I$17, (((inputs!$P$13/(V74/MAX(K74:S74)))^(1/inputs!$O$13))-1)/inputs!$N$13, inputs!$I$17))</f>
        <v>1000</v>
      </c>
      <c r="U74" s="63">
        <f>IF((((inputs!$P$13/(X74/MAX(K74:S74)))^(1/inputs!$O$13))-1)/inputs!$N$13&lt;0, 0, IF((((inputs!$P$13/(X74/MAX(K74:S74)))^(1/inputs!$O$13))-1)/inputs!$N$13&lt;inputs!$I$17, (((inputs!$P$13/(X74/MAX(K74:S74)))^(1/inputs!$O$13))-1)/inputs!$N$13, inputs!$I$17))</f>
        <v>257.54598709681323</v>
      </c>
      <c r="V74" s="21">
        <f>inputs!$E$78*(F74/inputs!$F$78)^(inputs!$E$84-1)</f>
        <v>1.0802722080610554E-2</v>
      </c>
      <c r="W74" s="21">
        <f>inputs!$E$85*(F74/inputs!$F$85)^(inputs!$E$84-1)</f>
        <v>0.49884980532203388</v>
      </c>
      <c r="X74" s="21">
        <f>inputs!$E$80*(F74/inputs!$F$80)^(inputs!$E$84-1)</f>
        <v>1.8627935768354429</v>
      </c>
      <c r="Y74" s="21">
        <f>inputs!$E$82*(F74/inputs!$F$82)^(inputs!$E$84-1)</f>
        <v>0.85853212324852302</v>
      </c>
      <c r="Z74" s="63">
        <f t="shared" si="9"/>
        <v>20754.85931856079</v>
      </c>
      <c r="AA74" s="63">
        <f t="shared" si="10"/>
        <v>449.45186837517878</v>
      </c>
    </row>
    <row r="75" spans="1:27" x14ac:dyDescent="0.25">
      <c r="A75" s="103" t="s">
        <v>175</v>
      </c>
      <c r="B75" s="20" t="s">
        <v>176</v>
      </c>
      <c r="C75" s="20" t="s">
        <v>73</v>
      </c>
      <c r="D75" s="104" t="s">
        <v>172</v>
      </c>
      <c r="E75" s="15">
        <v>69</v>
      </c>
      <c r="F75" s="15">
        <v>460</v>
      </c>
      <c r="G75" s="20" t="s">
        <v>177</v>
      </c>
      <c r="H75" s="20">
        <v>0.85</v>
      </c>
      <c r="I75" s="68">
        <f>MAX('Max rate concentrations'!$F$3:$F$368)</f>
        <v>405</v>
      </c>
      <c r="J75" s="68">
        <f>MAX('Max rate concentrations'!Y:Y)</f>
        <v>135</v>
      </c>
      <c r="K75" s="69">
        <f t="shared" si="7"/>
        <v>176.56456941945854</v>
      </c>
      <c r="L75" s="69">
        <f t="shared" si="8"/>
        <v>58.85485647315285</v>
      </c>
      <c r="M75" s="69">
        <f>IF((((1.18*F75^0.874)/3.7-(0.301*F75^0.751)/(1-H75)*H75)*(MAX('Max rate concentrations'!$P$3:$P$368)))/F75&gt;0, (((1.18*F75^0.874)/3.7-(0.301*F75^0.751)/(1-H75)*H75)*(MAX('Max rate concentrations'!$P$3:$P$368)))/F75, 0)</f>
        <v>0</v>
      </c>
      <c r="N75" s="69">
        <f>IF((((1.18*F75^0.874)/3.7-(0.301*F75^0.751)/(1-H75)*H75)*(MAX('Max rate concentrations'!$Q$3:$Q$368)))/F75&gt;0, (((1.18*F75^0.874)/3.7-(0.301*F75^0.751)/(1-H75)*H75)*(MAX('Max rate concentrations'!$Q$3:$Q$368)))/F75, 0)</f>
        <v>0</v>
      </c>
      <c r="O75" s="69">
        <f>((MAX('Max rate concentrations'!$F$3:$F$368))*0.62*6.01*8*(10*F75^0.667)*0.079*0.1/F75)*inputs!$E$80/(10^(0.84+0.62*LOG10(inputs!$E$80)))</f>
        <v>19.05702342559783</v>
      </c>
      <c r="P75" s="69">
        <f>((MAX('Max rate concentrations'!Y:Y))*0.62*6.01*8*(10*F75^0.667)*0.079*0.1/F75)*inputs!$E$80/(10^(0.84+0.62*LOG10(inputs!$E$80)))</f>
        <v>6.3523411418659421</v>
      </c>
      <c r="Q75" s="69">
        <f>(inputs!$C$18*11.2*(10*F75^0.667)*0.5/F75)*inputs!$E$80/(10^(0.84+0.62*LOG10(inputs!$E$80)))</f>
        <v>3.3568047924799655</v>
      </c>
      <c r="R75" s="59">
        <f>(60*284*((F75/1000)^0.77)*3*24*(MAX('Max rate concentrations'!$R$3:$R$368))/F75)*(inputs!$E$73*3.4/inputs!$E$75)</f>
        <v>3.3624238237170555E-2</v>
      </c>
      <c r="S75" s="59">
        <f>(IF(inputs!$C$17="aerial",((0.025*0.112*inputs!$C$18/3.3)*(3*60*284*((F75/1000)^0.77))*MAX(inputs!$I$14:$I$16))/F75,((0.0083*0.112*inputs!$C$18/1)*(3*60*284*((F75/1000)^0.77))*MAX(inputs!$I$14:$I$16))/F75))*(inputs!E$75*3.4/inputs!$E$73)</f>
        <v>0.18543973969434169</v>
      </c>
      <c r="T75" s="63">
        <f>IF((((inputs!$P$13/(V75/MAX(K75:S75)))^(1/inputs!$O$13))-1)/inputs!$N$13&lt;0, 0, IF((((inputs!$P$13/(V75/MAX(K75:S75)))^(1/inputs!$O$13))-1)/inputs!$N$13&lt;inputs!$I$17, (((inputs!$P$13/(V75/MAX(K75:S75)))^(1/inputs!$O$13))-1)/inputs!$N$13, inputs!$I$17))</f>
        <v>1000</v>
      </c>
      <c r="U75" s="63">
        <f>IF((((inputs!$P$13/(X75/MAX(K75:S75)))^(1/inputs!$O$13))-1)/inputs!$N$13&lt;0, 0, IF((((inputs!$P$13/(X75/MAX(K75:S75)))^(1/inputs!$O$13))-1)/inputs!$N$13&lt;inputs!$I$17, (((inputs!$P$13/(X75/MAX(K75:S75)))^(1/inputs!$O$13))-1)/inputs!$N$13, inputs!$I$17))</f>
        <v>211.38456162076506</v>
      </c>
      <c r="V75" s="21">
        <f>inputs!$E$78*(F75/inputs!$F$78)^(inputs!$E$84-1)</f>
        <v>1.0802722080610554E-2</v>
      </c>
      <c r="W75" s="21">
        <f>inputs!$E$85*(F75/inputs!$F$85)^(inputs!$E$84-1)</f>
        <v>0.49884980532203388</v>
      </c>
      <c r="X75" s="21">
        <f>inputs!$E$80*(F75/inputs!$F$80)^(inputs!$E$84-1)</f>
        <v>1.8627935768354429</v>
      </c>
      <c r="Y75" s="21">
        <f>inputs!$E$82*(F75/inputs!$F$82)^(inputs!$E$84-1)</f>
        <v>0.85853212324852302</v>
      </c>
      <c r="Z75" s="63">
        <f t="shared" si="9"/>
        <v>16344.451713366616</v>
      </c>
      <c r="AA75" s="63">
        <f t="shared" si="10"/>
        <v>353.94334634545316</v>
      </c>
    </row>
    <row r="76" spans="1:27" x14ac:dyDescent="0.25">
      <c r="A76" s="103" t="s">
        <v>175</v>
      </c>
      <c r="B76" s="20" t="s">
        <v>176</v>
      </c>
      <c r="C76" s="20" t="s">
        <v>73</v>
      </c>
      <c r="D76" s="104" t="s">
        <v>172</v>
      </c>
      <c r="E76" s="15">
        <v>69</v>
      </c>
      <c r="F76" s="15">
        <v>460</v>
      </c>
      <c r="G76" s="20" t="s">
        <v>154</v>
      </c>
      <c r="H76" s="20">
        <v>9.2999999999999999E-2</v>
      </c>
      <c r="I76" s="68">
        <f>MAX('Max rate concentrations'!$G$3:$G$368)</f>
        <v>45</v>
      </c>
      <c r="J76" s="68">
        <f>MAX('Max rate concentrations'!Z:Z)</f>
        <v>21</v>
      </c>
      <c r="K76" s="69">
        <f t="shared" si="7"/>
        <v>3.2444794086633326</v>
      </c>
      <c r="L76" s="69">
        <f t="shared" si="8"/>
        <v>1.5140903907095551</v>
      </c>
      <c r="M76" s="69">
        <f>IF((((1.18*F76^0.874)/3.7-(0.301*F76^0.751)/(1-H76)*H76)*(MAX('Max rate concentrations'!$P$3:$P$368)))/F76&gt;0, (((1.18*F76^0.874)/3.7-(0.301*F76^0.751)/(1-H76)*H76)*(MAX('Max rate concentrations'!$P$3:$P$368)))/F76, 0)</f>
        <v>0.12243345381766631</v>
      </c>
      <c r="N76" s="69">
        <f>IF((((1.18*F76^0.874)/3.7-(0.301*F76^0.751)/(1-H76)*H76)*(MAX('Max rate concentrations'!$Q$3:$Q$368)))/F76&gt;0, (((1.18*F76^0.874)/3.7-(0.301*F76^0.751)/(1-H76)*H76)*(MAX('Max rate concentrations'!$Q$3:$Q$368)))/F76, 0)</f>
        <v>0.46623317069346298</v>
      </c>
      <c r="O76" s="69">
        <f>((MAX('Max rate concentrations'!$F$3:$F$368))*0.62*6.01*8*(10*F76^0.667)*0.079*0.1/F76)*inputs!$E$80/(10^(0.84+0.62*LOG10(inputs!$E$80)))</f>
        <v>19.05702342559783</v>
      </c>
      <c r="P76" s="69">
        <f>((MAX('Max rate concentrations'!Y:Y))*0.62*6.01*8*(10*F76^0.667)*0.079*0.1/F76)*inputs!$E$80/(10^(0.84+0.62*LOG10(inputs!$E$80)))</f>
        <v>6.3523411418659421</v>
      </c>
      <c r="Q76" s="69">
        <f>(inputs!$C$18*11.2*(10*F76^0.667)*0.5/F76)*inputs!$E$80/(10^(0.84+0.62*LOG10(inputs!$E$80)))</f>
        <v>3.3568047924799655</v>
      </c>
      <c r="R76" s="59">
        <f>(60*284*((F76/1000)^0.77)*3*24*(MAX('Max rate concentrations'!$R$3:$R$368))/F76)*(inputs!$E$73*3.4/inputs!$E$75)</f>
        <v>3.3624238237170555E-2</v>
      </c>
      <c r="S76" s="59">
        <f>(IF(inputs!$C$17="aerial",((0.025*0.112*inputs!$C$18/3.3)*(3*60*284*((F76/1000)^0.77))*MAX(inputs!$I$14:$I$16))/F76,((0.0083*0.112*inputs!$C$18/1)*(3*60*284*((F76/1000)^0.77))*MAX(inputs!$I$14:$I$16))/F76))*(inputs!E$75*3.4/inputs!$E$73)</f>
        <v>0.18543973969434169</v>
      </c>
      <c r="T76" s="63">
        <f>IF((((inputs!$P$13/(V76/MAX(K76:S76)))^(1/inputs!$O$13))-1)/inputs!$N$13&lt;0, 0, IF((((inputs!$P$13/(V76/MAX(K76:S76)))^(1/inputs!$O$13))-1)/inputs!$N$13&lt;inputs!$I$17, (((inputs!$P$13/(V76/MAX(K76:S76)))^(1/inputs!$O$13))-1)/inputs!$N$13, inputs!$I$17))</f>
        <v>1000</v>
      </c>
      <c r="U76" s="63">
        <f>IF((((inputs!$P$13/(X76/MAX(K76:S76)))^(1/inputs!$O$13))-1)/inputs!$N$13&lt;0, 0, IF((((inputs!$P$13/(X76/MAX(K76:S76)))^(1/inputs!$O$13))-1)/inputs!$N$13&lt;inputs!$I$17, (((inputs!$P$13/(X76/MAX(K76:S76)))^(1/inputs!$O$13))-1)/inputs!$N$13, inputs!$I$17))</f>
        <v>30.567585003253168</v>
      </c>
      <c r="V76" s="21">
        <f>inputs!$E$78*(F76/inputs!$F$78)^(inputs!$E$84-1)</f>
        <v>1.0802722080610554E-2</v>
      </c>
      <c r="W76" s="21">
        <f>inputs!$E$85*(F76/inputs!$F$85)^(inputs!$E$84-1)</f>
        <v>0.49884980532203388</v>
      </c>
      <c r="X76" s="21">
        <f>inputs!$E$80*(F76/inputs!$F$80)^(inputs!$E$84-1)</f>
        <v>1.8627935768354429</v>
      </c>
      <c r="Y76" s="21">
        <f>inputs!$E$82*(F76/inputs!$F$82)^(inputs!$E$84-1)</f>
        <v>0.85853212324852302</v>
      </c>
      <c r="Z76" s="63">
        <f t="shared" si="9"/>
        <v>1764.0945757368549</v>
      </c>
      <c r="AA76" s="63">
        <f t="shared" si="10"/>
        <v>38.201926155499883</v>
      </c>
    </row>
    <row r="77" spans="1:27" x14ac:dyDescent="0.25">
      <c r="A77" s="103" t="s">
        <v>175</v>
      </c>
      <c r="B77" s="20" t="s">
        <v>176</v>
      </c>
      <c r="C77" s="20" t="s">
        <v>73</v>
      </c>
      <c r="D77" s="104" t="s">
        <v>172</v>
      </c>
      <c r="E77" s="15">
        <v>69</v>
      </c>
      <c r="F77" s="15">
        <v>460</v>
      </c>
      <c r="G77" s="20" t="s">
        <v>146</v>
      </c>
      <c r="H77" s="20">
        <v>0.84</v>
      </c>
      <c r="I77" s="68">
        <f>MAX('Max rate concentrations'!$I$3:$I$368)</f>
        <v>56.865414300472793</v>
      </c>
      <c r="J77" s="68" t="s">
        <v>13</v>
      </c>
      <c r="K77" s="69">
        <f t="shared" si="7"/>
        <v>23.241706923199299</v>
      </c>
      <c r="L77" s="69" t="s">
        <v>13</v>
      </c>
      <c r="M77" s="69">
        <f>IF((((1.18*F77^0.874)/3.7-(0.301*F77^0.751)/(1-H77)*H77)*(MAX('Max rate concentrations'!$P$3:$P$368)))/F77&gt;0, (((1.18*F77^0.874)/3.7-(0.301*F77^0.751)/(1-H77)*H77)*(MAX('Max rate concentrations'!$P$3:$P$368)))/F77, 0)</f>
        <v>0</v>
      </c>
      <c r="N77" s="69">
        <f>IF((((1.18*F77^0.874)/3.7-(0.301*F77^0.751)/(1-H77)*H77)*(MAX('Max rate concentrations'!$Q$3:$Q$368)))/F77&gt;0, (((1.18*F77^0.874)/3.7-(0.301*F77^0.751)/(1-H77)*H77)*(MAX('Max rate concentrations'!$Q$3:$Q$368)))/F77, 0)</f>
        <v>0</v>
      </c>
      <c r="O77" s="69">
        <f>((MAX('Max rate concentrations'!$F$3:$F$368))*0.62*6.01*8*(10*F77^0.667)*0.079*0.1/F77)*inputs!$E$80/(10^(0.84+0.62*LOG10(inputs!$E$80)))</f>
        <v>19.05702342559783</v>
      </c>
      <c r="P77" s="69">
        <f>((MAX('Max rate concentrations'!Y:Y))*0.62*6.01*8*(10*F77^0.667)*0.079*0.1/F77)*inputs!$E$80/(10^(0.84+0.62*LOG10(inputs!$E$80)))</f>
        <v>6.3523411418659421</v>
      </c>
      <c r="Q77" s="69">
        <f>(inputs!$C$18*11.2*(10*F77^0.667)*0.5/F77)*inputs!$E$80/(10^(0.84+0.62*LOG10(inputs!$E$80)))</f>
        <v>3.3568047924799655</v>
      </c>
      <c r="R77" s="59">
        <f>(60*284*((F77/1000)^0.77)*3*24*(MAX('Max rate concentrations'!$R$3:$R$368))/F77)*(inputs!$E$73*3.4/inputs!$E$75)</f>
        <v>3.3624238237170555E-2</v>
      </c>
      <c r="S77" s="59">
        <f>(IF(inputs!$C$17="aerial",((0.025*0.112*inputs!$C$18/3.3)*(3*60*284*((F77/1000)^0.77))*MAX(inputs!$I$14:$I$16))/F77,((0.0083*0.112*inputs!$C$18/1)*(3*60*284*((F77/1000)^0.77))*MAX(inputs!$I$14:$I$16))/F77))*(inputs!E$75*3.4/inputs!$E$73)</f>
        <v>0.18543973969434169</v>
      </c>
      <c r="T77" s="63">
        <f>IF((((inputs!$P$13/(V77/MAX(K77:S77)))^(1/inputs!$O$13))-1)/inputs!$N$13&lt;0, 0, IF((((inputs!$P$13/(V77/MAX(K77:S77)))^(1/inputs!$O$13))-1)/inputs!$N$13&lt;inputs!$I$17, (((inputs!$P$13/(V77/MAX(K77:S77)))^(1/inputs!$O$13))-1)/inputs!$N$13, inputs!$I$17))</f>
        <v>1000</v>
      </c>
      <c r="U77" s="63">
        <f>IF((((inputs!$P$13/(X77/MAX(K77:S77)))^(1/inputs!$O$13))-1)/inputs!$N$13&lt;0, 0, IF((((inputs!$P$13/(X77/MAX(K77:S77)))^(1/inputs!$O$13))-1)/inputs!$N$13&lt;inputs!$I$17, (((inputs!$P$13/(X77/MAX(K77:S77)))^(1/inputs!$O$13))-1)/inputs!$N$13, inputs!$I$17))</f>
        <v>36.800714406446104</v>
      </c>
      <c r="V77" s="21">
        <f>inputs!$E$78*(F77/inputs!$F$78)^(inputs!$E$84-1)</f>
        <v>1.0802722080610554E-2</v>
      </c>
      <c r="W77" s="21">
        <f>inputs!$E$85*(F77/inputs!$F$85)^(inputs!$E$84-1)</f>
        <v>0.49884980532203388</v>
      </c>
      <c r="X77" s="21">
        <f>inputs!$E$80*(F77/inputs!$F$80)^(inputs!$E$84-1)</f>
        <v>1.8627935768354429</v>
      </c>
      <c r="Y77" s="21">
        <f>inputs!$E$82*(F77/inputs!$F$82)^(inputs!$E$84-1)</f>
        <v>0.85853212324852302</v>
      </c>
      <c r="Z77" s="63">
        <f t="shared" si="9"/>
        <v>2151.4676347098725</v>
      </c>
      <c r="AA77" s="63">
        <f t="shared" si="10"/>
        <v>46.590590344513714</v>
      </c>
    </row>
    <row r="78" spans="1:27" x14ac:dyDescent="0.25">
      <c r="A78" s="103" t="s">
        <v>187</v>
      </c>
      <c r="B78" s="20" t="s">
        <v>188</v>
      </c>
      <c r="C78" s="20" t="s">
        <v>73</v>
      </c>
      <c r="D78" s="104" t="s">
        <v>172</v>
      </c>
      <c r="E78" s="15">
        <v>73</v>
      </c>
      <c r="F78" s="15">
        <v>1500</v>
      </c>
      <c r="G78" s="20" t="s">
        <v>152</v>
      </c>
      <c r="H78" s="20">
        <v>0.77</v>
      </c>
      <c r="I78" s="68">
        <f>MAX('Max rate concentrations'!$G$3:$G$368)</f>
        <v>45</v>
      </c>
      <c r="J78" s="68">
        <f>MAX('Max rate concentrations'!Z:Z)</f>
        <v>21</v>
      </c>
      <c r="K78" s="69">
        <f t="shared" si="7"/>
        <v>9.5324481096050793</v>
      </c>
      <c r="L78" s="69">
        <f t="shared" ref="L78:L109" si="11">((0.301*F78^0.751)/(1-H78))*J78/F78</f>
        <v>4.4484757844823699</v>
      </c>
      <c r="M78" s="69">
        <f>IF((((1.18*F78^0.874)/3.7-(0.301*F78^0.751)/(1-H78)*H78)*(MAX('Max rate concentrations'!$P$3:$P$368)))/F78&gt;0, (((1.18*F78^0.874)/3.7-(0.301*F78^0.751)/(1-H78)*H78)*(MAX('Max rate concentrations'!$P$3:$P$368)))/F78, 0)</f>
        <v>0</v>
      </c>
      <c r="N78" s="69">
        <f>IF((((1.18*F78^0.874)/3.7-(0.301*F78^0.751)/(1-H78)*H78)*(MAX('Max rate concentrations'!$Q$3:$Q$368)))/F78&gt;0, (((1.18*F78^0.874)/3.7-(0.301*F78^0.751)/(1-H78)*H78)*(MAX('Max rate concentrations'!$Q$3:$Q$368)))/F78, 0)</f>
        <v>0</v>
      </c>
      <c r="O78" s="69">
        <f>((MAX('Max rate concentrations'!$F$3:$F$368))*0.62*6.01*8*(10*F78^0.667)*0.079*0.1/F78)*inputs!$E$80/(10^(0.84+0.62*LOG10(inputs!$E$80)))</f>
        <v>12.85627153502943</v>
      </c>
      <c r="P78" s="69">
        <f>((MAX('Max rate concentrations'!Y:Y))*0.62*6.01*8*(10*F78^0.667)*0.079*0.1/F78)*inputs!$E$80/(10^(0.84+0.62*LOG10(inputs!$E$80)))</f>
        <v>4.2854238450098094</v>
      </c>
      <c r="Q78" s="69">
        <f>(inputs!$C$18*11.2*(10*F78^0.667)*0.5/F78)*inputs!$E$80/(10^(0.84+0.62*LOG10(inputs!$E$80)))</f>
        <v>2.2645715932868313</v>
      </c>
      <c r="R78" s="59">
        <f>(60*284*((F78/1000)^0.77)*3*24*(MAX('Max rate concentrations'!$R$3:$R$368))/F78)*(inputs!$E$73*3.4/inputs!$E$75)</f>
        <v>2.5620391735113674E-2</v>
      </c>
      <c r="S78" s="59">
        <f>(IF(inputs!$C$17="aerial",((0.025*0.112*inputs!$C$18/3.3)*(3*60*284*((F78/1000)^0.77))*MAX(inputs!$I$14:$I$16))/F78,((0.0083*0.112*inputs!$C$18/1)*(3*60*284*((F78/1000)^0.77))*MAX(inputs!$I$14:$I$16))/F78))*(inputs!E$75*3.4/inputs!$E$73)</f>
        <v>0.1412980344927017</v>
      </c>
      <c r="T78" s="63">
        <f>IF((((inputs!$P$13/(V78/MAX(K78:S78)))^(1/inputs!$O$13))-1)/inputs!$N$13&lt;0, 0, IF((((inputs!$P$13/(V78/MAX(K78:S78)))^(1/inputs!$O$13))-1)/inputs!$N$13&lt;inputs!$I$17, (((inputs!$P$13/(V78/MAX(K78:S78)))^(1/inputs!$O$13))-1)/inputs!$N$13, inputs!$I$17))</f>
        <v>1000</v>
      </c>
      <c r="U78" s="63">
        <f>IF((((inputs!$P$13/(X78/MAX(K78:S78)))^(1/inputs!$O$13))-1)/inputs!$N$13&lt;0, 0, IF((((inputs!$P$13/(X78/MAX(K78:S78)))^(1/inputs!$O$13))-1)/inputs!$N$13&lt;inputs!$I$17, (((inputs!$P$13/(X78/MAX(K78:S78)))^(1/inputs!$O$13))-1)/inputs!$N$13, inputs!$I$17))</f>
        <v>31.856167097191108</v>
      </c>
      <c r="V78" s="21">
        <f>inputs!$E$78*(F78/inputs!$F$78)^(inputs!$E$84-1)</f>
        <v>6.9758933946425274E-3</v>
      </c>
      <c r="W78" s="21">
        <f>inputs!$E$85*(F78/inputs!$F$85)^(inputs!$E$84-1)</f>
        <v>0.32213390624115795</v>
      </c>
      <c r="X78" s="21">
        <f>inputs!$E$80*(F78/inputs!$F$80)^(inputs!$E$84-1)</f>
        <v>1.2029050929258429</v>
      </c>
      <c r="Y78" s="21">
        <f>inputs!$E$82*(F78/inputs!$F$82)^(inputs!$E$84-1)</f>
        <v>0.55439994873211673</v>
      </c>
      <c r="Z78" s="63">
        <f t="shared" si="9"/>
        <v>1842.9569960032677</v>
      </c>
      <c r="AA78" s="63">
        <f t="shared" si="10"/>
        <v>39.909712346159814</v>
      </c>
    </row>
    <row r="79" spans="1:27" x14ac:dyDescent="0.25">
      <c r="A79" s="103" t="s">
        <v>187</v>
      </c>
      <c r="B79" s="20" t="s">
        <v>188</v>
      </c>
      <c r="C79" s="20" t="s">
        <v>73</v>
      </c>
      <c r="D79" s="104" t="s">
        <v>172</v>
      </c>
      <c r="E79" s="15">
        <v>73</v>
      </c>
      <c r="F79" s="15">
        <v>1500</v>
      </c>
      <c r="G79" s="20" t="s">
        <v>169</v>
      </c>
      <c r="H79" s="20">
        <v>0.79</v>
      </c>
      <c r="I79" s="68">
        <f>MAX('Max rate concentrations'!$D$3:$D$368)</f>
        <v>720</v>
      </c>
      <c r="J79" s="68">
        <f>MAX('Max rate concentrations'!W:W)</f>
        <v>255</v>
      </c>
      <c r="K79" s="69">
        <f t="shared" si="7"/>
        <v>167.04480496831758</v>
      </c>
      <c r="L79" s="69">
        <f t="shared" si="11"/>
        <v>59.161701759612477</v>
      </c>
      <c r="M79" s="69">
        <f>IF((((1.18*F79^0.874)/3.7-(0.301*F79^0.751)/(1-H79)*H79)*(MAX('Max rate concentrations'!$P$3:$P$368)))/F79&gt;0, (((1.18*F79^0.874)/3.7-(0.301*F79^0.751)/(1-H79)*H79)*(MAX('Max rate concentrations'!$P$3:$P$368)))/F79, 0)</f>
        <v>0</v>
      </c>
      <c r="N79" s="69">
        <f>IF((((1.18*F79^0.874)/3.7-(0.301*F79^0.751)/(1-H79)*H79)*(MAX('Max rate concentrations'!$Q$3:$Q$368)))/F79&gt;0, (((1.18*F79^0.874)/3.7-(0.301*F79^0.751)/(1-H79)*H79)*(MAX('Max rate concentrations'!$Q$3:$Q$368)))/F79, 0)</f>
        <v>0</v>
      </c>
      <c r="O79" s="69">
        <f>((MAX('Max rate concentrations'!$F$3:$F$368))*0.62*6.01*8*(10*F79^0.667)*0.079*0.1/F79)*inputs!$E$80/(10^(0.84+0.62*LOG10(inputs!$E$80)))</f>
        <v>12.85627153502943</v>
      </c>
      <c r="P79" s="69">
        <f>((MAX('Max rate concentrations'!Y:Y))*0.62*6.01*8*(10*F79^0.667)*0.079*0.1/F79)*inputs!$E$80/(10^(0.84+0.62*LOG10(inputs!$E$80)))</f>
        <v>4.2854238450098094</v>
      </c>
      <c r="Q79" s="69">
        <f>(inputs!$C$18*11.2*(10*F79^0.667)*0.5/F79)*inputs!$E$80/(10^(0.84+0.62*LOG10(inputs!$E$80)))</f>
        <v>2.2645715932868313</v>
      </c>
      <c r="R79" s="59">
        <f>(60*284*((F79/1000)^0.77)*3*24*(MAX('Max rate concentrations'!$R$3:$R$368))/F79)*(inputs!$E$73*3.4/inputs!$E$75)</f>
        <v>2.5620391735113674E-2</v>
      </c>
      <c r="S79" s="59">
        <f>(IF(inputs!$C$17="aerial",((0.025*0.112*inputs!$C$18/3.3)*(3*60*284*((F79/1000)^0.77))*MAX(inputs!$I$14:$I$16))/F79,((0.0083*0.112*inputs!$C$18/1)*(3*60*284*((F79/1000)^0.77))*MAX(inputs!$I$14:$I$16))/F79))*(inputs!E$75*3.4/inputs!$E$73)</f>
        <v>0.1412980344927017</v>
      </c>
      <c r="T79" s="63">
        <f>IF((((inputs!$P$13/(V79/MAX(K79:S79)))^(1/inputs!$O$13))-1)/inputs!$N$13&lt;0, 0, IF((((inputs!$P$13/(V79/MAX(K79:S79)))^(1/inputs!$O$13))-1)/inputs!$N$13&lt;inputs!$I$17, (((inputs!$P$13/(V79/MAX(K79:S79)))^(1/inputs!$O$13))-1)/inputs!$N$13, inputs!$I$17))</f>
        <v>1000</v>
      </c>
      <c r="U79" s="63">
        <f>IF((((inputs!$P$13/(X79/MAX(K79:S79)))^(1/inputs!$O$13))-1)/inputs!$N$13&lt;0, 0, IF((((inputs!$P$13/(X79/MAX(K79:S79)))^(1/inputs!$O$13))-1)/inputs!$N$13&lt;inputs!$I$17, (((inputs!$P$13/(X79/MAX(K79:S79)))^(1/inputs!$O$13))-1)/inputs!$N$13, inputs!$I$17))</f>
        <v>289.76478425444532</v>
      </c>
      <c r="V79" s="21">
        <f>inputs!$E$78*(F79/inputs!$F$78)^(inputs!$E$84-1)</f>
        <v>6.9758933946425274E-3</v>
      </c>
      <c r="W79" s="21">
        <f>inputs!$E$85*(F79/inputs!$F$85)^(inputs!$E$84-1)</f>
        <v>0.32213390624115795</v>
      </c>
      <c r="X79" s="21">
        <f>inputs!$E$80*(F79/inputs!$F$80)^(inputs!$E$84-1)</f>
        <v>1.2029050929258429</v>
      </c>
      <c r="Y79" s="21">
        <f>inputs!$E$82*(F79/inputs!$F$82)^(inputs!$E$84-1)</f>
        <v>0.55439994873211673</v>
      </c>
      <c r="Z79" s="63">
        <f t="shared" si="9"/>
        <v>23946.00885050905</v>
      </c>
      <c r="AA79" s="63">
        <f t="shared" si="10"/>
        <v>518.55704019949837</v>
      </c>
    </row>
    <row r="80" spans="1:27" x14ac:dyDescent="0.25">
      <c r="A80" s="103" t="s">
        <v>187</v>
      </c>
      <c r="B80" s="20" t="s">
        <v>188</v>
      </c>
      <c r="C80" s="20" t="s">
        <v>73</v>
      </c>
      <c r="D80" s="104" t="s">
        <v>172</v>
      </c>
      <c r="E80" s="15">
        <v>73</v>
      </c>
      <c r="F80" s="15">
        <v>1500</v>
      </c>
      <c r="G80" s="20" t="s">
        <v>158</v>
      </c>
      <c r="H80" s="20">
        <v>0.85</v>
      </c>
      <c r="I80" s="68">
        <f>MAX('Max rate concentrations'!$F$3:$F$368)</f>
        <v>405</v>
      </c>
      <c r="J80" s="68">
        <f>MAX('Max rate concentrations'!Y:Y)</f>
        <v>135</v>
      </c>
      <c r="K80" s="69">
        <f t="shared" si="7"/>
        <v>131.54778391255005</v>
      </c>
      <c r="L80" s="69">
        <f t="shared" si="11"/>
        <v>43.849261304183351</v>
      </c>
      <c r="M80" s="69">
        <f>IF((((1.18*F80^0.874)/3.7-(0.301*F80^0.751)/(1-H80)*H80)*(MAX('Max rate concentrations'!$P$3:$P$368)))/F80&gt;0, (((1.18*F80^0.874)/3.7-(0.301*F80^0.751)/(1-H80)*H80)*(MAX('Max rate concentrations'!$P$3:$P$368)))/F80, 0)</f>
        <v>0</v>
      </c>
      <c r="N80" s="69">
        <f>IF((((1.18*F80^0.874)/3.7-(0.301*F80^0.751)/(1-H80)*H80)*(MAX('Max rate concentrations'!$Q$3:$Q$368)))/F80&gt;0, (((1.18*F80^0.874)/3.7-(0.301*F80^0.751)/(1-H80)*H80)*(MAX('Max rate concentrations'!$Q$3:$Q$368)))/F80, 0)</f>
        <v>0</v>
      </c>
      <c r="O80" s="69">
        <f>((MAX('Max rate concentrations'!$F$3:$F$368))*0.62*6.01*8*(10*F80^0.667)*0.079*0.1/F80)*inputs!$E$80/(10^(0.84+0.62*LOG10(inputs!$E$80)))</f>
        <v>12.85627153502943</v>
      </c>
      <c r="P80" s="69">
        <f>((MAX('Max rate concentrations'!Y:Y))*0.62*6.01*8*(10*F80^0.667)*0.079*0.1/F80)*inputs!$E$80/(10^(0.84+0.62*LOG10(inputs!$E$80)))</f>
        <v>4.2854238450098094</v>
      </c>
      <c r="Q80" s="69">
        <f>(inputs!$C$18*11.2*(10*F80^0.667)*0.5/F80)*inputs!$E$80/(10^(0.84+0.62*LOG10(inputs!$E$80)))</f>
        <v>2.2645715932868313</v>
      </c>
      <c r="R80" s="59">
        <f>(60*284*((F80/1000)^0.77)*3*24*(MAX('Max rate concentrations'!$R$3:$R$368))/F80)*(inputs!$E$73*3.4/inputs!$E$75)</f>
        <v>2.5620391735113674E-2</v>
      </c>
      <c r="S80" s="59">
        <f>(IF(inputs!$C$17="aerial",((0.025*0.112*inputs!$C$18/3.3)*(3*60*284*((F80/1000)^0.77))*MAX(inputs!$I$14:$I$16))/F80,((0.0083*0.112*inputs!$C$18/1)*(3*60*284*((F80/1000)^0.77))*MAX(inputs!$I$14:$I$16))/F80))*(inputs!E$75*3.4/inputs!$E$73)</f>
        <v>0.1412980344927017</v>
      </c>
      <c r="T80" s="63">
        <f>IF((((inputs!$P$13/(V80/MAX(K80:S80)))^(1/inputs!$O$13))-1)/inputs!$N$13&lt;0, 0, IF((((inputs!$P$13/(V80/MAX(K80:S80)))^(1/inputs!$O$13))-1)/inputs!$N$13&lt;inputs!$I$17, (((inputs!$P$13/(V80/MAX(K80:S80)))^(1/inputs!$O$13))-1)/inputs!$N$13, inputs!$I$17))</f>
        <v>1000</v>
      </c>
      <c r="U80" s="63">
        <f>IF((((inputs!$P$13/(X80/MAX(K80:S80)))^(1/inputs!$O$13))-1)/inputs!$N$13&lt;0, 0, IF((((inputs!$P$13/(X80/MAX(K80:S80)))^(1/inputs!$O$13))-1)/inputs!$N$13&lt;inputs!$I$17, (((inputs!$P$13/(X80/MAX(K80:S80)))^(1/inputs!$O$13))-1)/inputs!$N$13, inputs!$I$17))</f>
        <v>237.94347948741708</v>
      </c>
      <c r="V80" s="21">
        <f>inputs!$E$78*(F80/inputs!$F$78)^(inputs!$E$84-1)</f>
        <v>6.9758933946425274E-3</v>
      </c>
      <c r="W80" s="21">
        <f>inputs!$E$85*(F80/inputs!$F$85)^(inputs!$E$84-1)</f>
        <v>0.32213390624115795</v>
      </c>
      <c r="X80" s="21">
        <f>inputs!$E$80*(F80/inputs!$F$80)^(inputs!$E$84-1)</f>
        <v>1.2029050929258429</v>
      </c>
      <c r="Y80" s="21">
        <f>inputs!$E$82*(F80/inputs!$F$82)^(inputs!$E$84-1)</f>
        <v>0.55439994873211673</v>
      </c>
      <c r="Z80" s="63">
        <f t="shared" si="9"/>
        <v>18857.481969775868</v>
      </c>
      <c r="AA80" s="63">
        <f t="shared" si="10"/>
        <v>408.36366915710482</v>
      </c>
    </row>
    <row r="81" spans="1:27" x14ac:dyDescent="0.25">
      <c r="A81" s="103" t="s">
        <v>187</v>
      </c>
      <c r="B81" s="20" t="s">
        <v>188</v>
      </c>
      <c r="C81" s="20" t="s">
        <v>73</v>
      </c>
      <c r="D81" s="104" t="s">
        <v>172</v>
      </c>
      <c r="E81" s="15">
        <v>73</v>
      </c>
      <c r="F81" s="15">
        <v>1500</v>
      </c>
      <c r="G81" s="20" t="s">
        <v>154</v>
      </c>
      <c r="H81" s="20">
        <v>9.2999999999999999E-2</v>
      </c>
      <c r="I81" s="68">
        <f>MAX('Max rate concentrations'!$G$3:$G$368)</f>
        <v>45</v>
      </c>
      <c r="J81" s="68">
        <f>MAX('Max rate concentrations'!Z:Z)</f>
        <v>21</v>
      </c>
      <c r="K81" s="69">
        <f t="shared" si="7"/>
        <v>2.4172690906385532</v>
      </c>
      <c r="L81" s="69">
        <f t="shared" si="11"/>
        <v>1.1280589089646582</v>
      </c>
      <c r="M81" s="69">
        <f>IF((((1.18*F81^0.874)/3.7-(0.301*F81^0.751)/(1-H81)*H81)*(MAX('Max rate concentrations'!$P$3:$P$368)))/F81&gt;0, (((1.18*F81^0.874)/3.7-(0.301*F81^0.751)/(1-H81)*H81)*(MAX('Max rate concentrations'!$P$3:$P$368)))/F81, 0)</f>
        <v>0.10617295409741251</v>
      </c>
      <c r="N81" s="69">
        <f>IF((((1.18*F81^0.874)/3.7-(0.301*F81^0.751)/(1-H81)*H81)*(MAX('Max rate concentrations'!$Q$3:$Q$368)))/F81&gt;0, (((1.18*F81^0.874)/3.7-(0.301*F81^0.751)/(1-H81)*H81)*(MAX('Max rate concentrations'!$Q$3:$Q$368)))/F81, 0)</f>
        <v>0.40431231405468548</v>
      </c>
      <c r="O81" s="69">
        <f>((MAX('Max rate concentrations'!$F$3:$F$368))*0.62*6.01*8*(10*F81^0.667)*0.079*0.1/F81)*inputs!$E$80/(10^(0.84+0.62*LOG10(inputs!$E$80)))</f>
        <v>12.85627153502943</v>
      </c>
      <c r="P81" s="69">
        <f>((MAX('Max rate concentrations'!Y:Y))*0.62*6.01*8*(10*F81^0.667)*0.079*0.1/F81)*inputs!$E$80/(10^(0.84+0.62*LOG10(inputs!$E$80)))</f>
        <v>4.2854238450098094</v>
      </c>
      <c r="Q81" s="69">
        <f>(inputs!$C$18*11.2*(10*F81^0.667)*0.5/F81)*inputs!$E$80/(10^(0.84+0.62*LOG10(inputs!$E$80)))</f>
        <v>2.2645715932868313</v>
      </c>
      <c r="R81" s="59">
        <f>(60*284*((F81/1000)^0.77)*3*24*(MAX('Max rate concentrations'!$R$3:$R$368))/F81)*(inputs!$E$73*3.4/inputs!$E$75)</f>
        <v>2.5620391735113674E-2</v>
      </c>
      <c r="S81" s="59">
        <f>(IF(inputs!$C$17="aerial",((0.025*0.112*inputs!$C$18/3.3)*(3*60*284*((F81/1000)^0.77))*MAX(inputs!$I$14:$I$16))/F81,((0.0083*0.112*inputs!$C$18/1)*(3*60*284*((F81/1000)^0.77))*MAX(inputs!$I$14:$I$16))/F81))*(inputs!E$75*3.4/inputs!$E$73)</f>
        <v>0.1412980344927017</v>
      </c>
      <c r="T81" s="63">
        <f>IF((((inputs!$P$13/(V81/MAX(K81:S81)))^(1/inputs!$O$13))-1)/inputs!$N$13&lt;0, 0, IF((((inputs!$P$13/(V81/MAX(K81:S81)))^(1/inputs!$O$13))-1)/inputs!$N$13&lt;inputs!$I$17, (((inputs!$P$13/(V81/MAX(K81:S81)))^(1/inputs!$O$13))-1)/inputs!$N$13, inputs!$I$17))</f>
        <v>1000</v>
      </c>
      <c r="U81" s="63">
        <f>IF((((inputs!$P$13/(X81/MAX(K81:S81)))^(1/inputs!$O$13))-1)/inputs!$N$13&lt;0, 0, IF((((inputs!$P$13/(X81/MAX(K81:S81)))^(1/inputs!$O$13))-1)/inputs!$N$13&lt;inputs!$I$17, (((inputs!$P$13/(X81/MAX(K81:S81)))^(1/inputs!$O$13))-1)/inputs!$N$13, inputs!$I$17))</f>
        <v>31.856167097191108</v>
      </c>
      <c r="V81" s="21">
        <f>inputs!$E$78*(F81/inputs!$F$78)^(inputs!$E$84-1)</f>
        <v>6.9758933946425274E-3</v>
      </c>
      <c r="W81" s="21">
        <f>inputs!$E$85*(F81/inputs!$F$85)^(inputs!$E$84-1)</f>
        <v>0.32213390624115795</v>
      </c>
      <c r="X81" s="21">
        <f>inputs!$E$80*(F81/inputs!$F$80)^(inputs!$E$84-1)</f>
        <v>1.2029050929258429</v>
      </c>
      <c r="Y81" s="21">
        <f>inputs!$E$82*(F81/inputs!$F$82)^(inputs!$E$84-1)</f>
        <v>0.55439994873211673</v>
      </c>
      <c r="Z81" s="63">
        <f t="shared" si="9"/>
        <v>1842.9569960032677</v>
      </c>
      <c r="AA81" s="63">
        <f t="shared" si="10"/>
        <v>39.909712346159814</v>
      </c>
    </row>
    <row r="82" spans="1:27" x14ac:dyDescent="0.25">
      <c r="A82" s="103" t="s">
        <v>170</v>
      </c>
      <c r="B82" s="20" t="s">
        <v>171</v>
      </c>
      <c r="C82" s="20" t="s">
        <v>73</v>
      </c>
      <c r="D82" s="104" t="s">
        <v>172</v>
      </c>
      <c r="E82" s="15">
        <v>70</v>
      </c>
      <c r="F82" s="15">
        <v>420</v>
      </c>
      <c r="G82" s="20" t="s">
        <v>173</v>
      </c>
      <c r="H82" s="20">
        <v>0.8</v>
      </c>
      <c r="I82" s="68">
        <f>inputs!$C$66*inputs!$C$60/1000</f>
        <v>28</v>
      </c>
      <c r="J82" s="68">
        <f>inputs!$C$66*inputs!$C$59/1000</f>
        <v>28</v>
      </c>
      <c r="K82" s="69">
        <f t="shared" si="7"/>
        <v>9.3649498915020448</v>
      </c>
      <c r="L82" s="69">
        <f t="shared" si="11"/>
        <v>9.3649498915020448</v>
      </c>
      <c r="M82" s="69">
        <f>IF((((1.18*F82^0.874)/3.7-(0.301*F82^0.751)/(1-H82)*H82)*(MAX('Max rate concentrations'!$P$3:$P$368)))/F82&gt;0, (((1.18*F82^0.874)/3.7-(0.301*F82^0.751)/(1-H82)*H82)*(MAX('Max rate concentrations'!$P$3:$P$368)))/F82, 0)</f>
        <v>0</v>
      </c>
      <c r="N82" s="69">
        <f>IF((((1.18*F82^0.874)/3.7-(0.301*F82^0.751)/(1-H82)*H82)*(MAX('Max rate concentrations'!$Q$3:$Q$368)))/F82&gt;0, (((1.18*F82^0.874)/3.7-(0.301*F82^0.751)/(1-H82)*H82)*(MAX('Max rate concentrations'!$Q$3:$Q$368)))/F82, 0)</f>
        <v>0</v>
      </c>
      <c r="O82" s="69">
        <f>((MAX('Max rate concentrations'!$F$3:$F$368))*0.62*6.01*8*(10*F82^0.667)*0.079*0.1/F82)*inputs!$E$80/(10^(0.84+0.62*LOG10(inputs!$E$80)))</f>
        <v>19.643162620637447</v>
      </c>
      <c r="P82" s="69">
        <f>((MAX('Max rate concentrations'!Y:Y))*0.62*6.01*8*(10*F82^0.667)*0.079*0.1/F82)*inputs!$E$80/(10^(0.84+0.62*LOG10(inputs!$E$80)))</f>
        <v>6.5477208735458179</v>
      </c>
      <c r="Q82" s="69">
        <f>(inputs!$C$18*11.2*(10*F82^0.667)*0.5/F82)*inputs!$E$80/(10^(0.84+0.62*LOG10(inputs!$E$80)))</f>
        <v>3.4600504471149103</v>
      </c>
      <c r="R82" s="59">
        <f>(60*284*((F82/1000)^0.77)*3*24*(MAX('Max rate concentrations'!$R$3:$R$368))/F82)*(inputs!$E$73*3.4/inputs!$E$75)</f>
        <v>3.4335187123630595E-2</v>
      </c>
      <c r="S82" s="59">
        <f>(IF(inputs!$C$17="aerial",((0.025*0.112*inputs!$C$18/3.3)*(3*60*284*((F82/1000)^0.77))*MAX(inputs!$I$14:$I$16))/F82,((0.0083*0.112*inputs!$C$18/1)*(3*60*284*((F82/1000)^0.77))*MAX(inputs!$I$14:$I$16))/F82))*(inputs!E$75*3.4/inputs!$E$73)</f>
        <v>0.18936066648266645</v>
      </c>
      <c r="T82" s="63">
        <f>IF((((inputs!$P$13/(V82/MAX(K82:S82)))^(1/inputs!$O$13))-1)/inputs!$N$13&lt;0, 0, IF((((inputs!$P$13/(V82/MAX(K82:S82)))^(1/inputs!$O$13))-1)/inputs!$N$13&lt;inputs!$I$17, (((inputs!$P$13/(V82/MAX(K82:S82)))^(1/inputs!$O$13))-1)/inputs!$N$13, inputs!$I$17))</f>
        <v>1000</v>
      </c>
      <c r="U82" s="63">
        <f>IF((((inputs!$P$13/(X82/MAX(K82:S82)))^(1/inputs!$O$13))-1)/inputs!$N$13&lt;0, 0, IF((((inputs!$P$13/(X82/MAX(K82:S82)))^(1/inputs!$O$13))-1)/inputs!$N$13&lt;inputs!$I$17, (((inputs!$P$13/(X82/MAX(K82:S82)))^(1/inputs!$O$13))-1)/inputs!$N$13, inputs!$I$17))</f>
        <v>30.470285568057196</v>
      </c>
      <c r="V82" s="21">
        <f>inputs!$E$78*(F82/inputs!$F$78)^(inputs!$E$84-1)</f>
        <v>1.117252573011749E-2</v>
      </c>
      <c r="W82" s="21">
        <f>inputs!$E$85*(F82/inputs!$F$85)^(inputs!$E$84-1)</f>
        <v>0.51592665661815518</v>
      </c>
      <c r="X82" s="21">
        <f>inputs!$E$80*(F82/inputs!$F$80)^(inputs!$E$84-1)</f>
        <v>1.9265615658526047</v>
      </c>
      <c r="Y82" s="21">
        <f>inputs!$E$82*(F82/inputs!$F$82)^(inputs!$E$84-1)</f>
        <v>0.88792178170933744</v>
      </c>
      <c r="Z82" s="63">
        <f t="shared" si="9"/>
        <v>1758.1666934707414</v>
      </c>
      <c r="AA82" s="63">
        <f t="shared" si="10"/>
        <v>38.073556325614781</v>
      </c>
    </row>
    <row r="83" spans="1:27" x14ac:dyDescent="0.25">
      <c r="A83" s="103" t="s">
        <v>170</v>
      </c>
      <c r="B83" s="20" t="s">
        <v>171</v>
      </c>
      <c r="C83" s="20" t="s">
        <v>73</v>
      </c>
      <c r="D83" s="104" t="s">
        <v>172</v>
      </c>
      <c r="E83" s="15">
        <v>70</v>
      </c>
      <c r="F83" s="15">
        <v>420</v>
      </c>
      <c r="G83" s="20" t="s">
        <v>142</v>
      </c>
      <c r="H83" s="20">
        <v>0.69</v>
      </c>
      <c r="I83" s="68">
        <f>MAX('Max rate concentrations'!$H$3:$H$368)</f>
        <v>282</v>
      </c>
      <c r="J83" s="68">
        <f>MAX('Max rate concentrations'!AA:AA)</f>
        <v>195</v>
      </c>
      <c r="K83" s="69">
        <f t="shared" si="7"/>
        <v>60.850596069206802</v>
      </c>
      <c r="L83" s="69">
        <f t="shared" si="11"/>
        <v>42.077539835089809</v>
      </c>
      <c r="M83" s="69">
        <f>IF((((1.18*F83^0.874)/3.7-(0.301*F83^0.751)/(1-H83)*H83)*(MAX('Max rate concentrations'!$P$3:$P$368)))/F83&gt;0, (((1.18*F83^0.874)/3.7-(0.301*F83^0.751)/(1-H83)*H83)*(MAX('Max rate concentrations'!$P$3:$P$368)))/F83, 0)</f>
        <v>8.543447373375674E-5</v>
      </c>
      <c r="N83" s="69">
        <f>IF((((1.18*F83^0.874)/3.7-(0.301*F83^0.751)/(1-H83)*H83)*(MAX('Max rate concentrations'!$Q$3:$Q$368)))/F83&gt;0, (((1.18*F83^0.874)/3.7-(0.301*F83^0.751)/(1-H83)*H83)*(MAX('Max rate concentrations'!$Q$3:$Q$368)))/F83, 0)</f>
        <v>3.2533906651638741E-4</v>
      </c>
      <c r="O83" s="69">
        <f>((MAX('Max rate concentrations'!$F$3:$F$368))*0.62*6.01*8*(10*F83^0.667)*0.079*0.1/F83)*inputs!$E$80/(10^(0.84+0.62*LOG10(inputs!$E$80)))</f>
        <v>19.643162620637447</v>
      </c>
      <c r="P83" s="69">
        <f>((MAX('Max rate concentrations'!Y:Y))*0.62*6.01*8*(10*F83^0.667)*0.079*0.1/F83)*inputs!$E$80/(10^(0.84+0.62*LOG10(inputs!$E$80)))</f>
        <v>6.5477208735458179</v>
      </c>
      <c r="Q83" s="69">
        <f>(inputs!$C$18*11.2*(10*F83^0.667)*0.5/F83)*inputs!$E$80/(10^(0.84+0.62*LOG10(inputs!$E$80)))</f>
        <v>3.4600504471149103</v>
      </c>
      <c r="R83" s="59">
        <f>(60*284*((F83/1000)^0.77)*3*24*(MAX('Max rate concentrations'!$R$3:$R$368))/F83)*(inputs!$E$73*3.4/inputs!$E$75)</f>
        <v>3.4335187123630595E-2</v>
      </c>
      <c r="S83" s="59">
        <f>(IF(inputs!$C$17="aerial",((0.025*0.112*inputs!$C$18/3.3)*(3*60*284*((F83/1000)^0.77))*MAX(inputs!$I$14:$I$16))/F83,((0.0083*0.112*inputs!$C$18/1)*(3*60*284*((F83/1000)^0.77))*MAX(inputs!$I$14:$I$16))/F83))*(inputs!E$75*3.4/inputs!$E$73)</f>
        <v>0.18936066648266645</v>
      </c>
      <c r="T83" s="63">
        <f>IF((((inputs!$P$13/(V83/MAX(K83:S83)))^(1/inputs!$O$13))-1)/inputs!$N$13&lt;0, 0, IF((((inputs!$P$13/(V83/MAX(K83:S83)))^(1/inputs!$O$13))-1)/inputs!$N$13&lt;inputs!$I$17, (((inputs!$P$13/(V83/MAX(K83:S83)))^(1/inputs!$O$13))-1)/inputs!$N$13, inputs!$I$17))</f>
        <v>1000</v>
      </c>
      <c r="U83" s="63">
        <f>IF((((inputs!$P$13/(X83/MAX(K83:S83)))^(1/inputs!$O$13))-1)/inputs!$N$13&lt;0, 0, IF((((inputs!$P$13/(X83/MAX(K83:S83)))^(1/inputs!$O$13))-1)/inputs!$N$13&lt;inputs!$I$17, (((inputs!$P$13/(X83/MAX(K83:S83)))^(1/inputs!$O$13))-1)/inputs!$N$13, inputs!$I$17))</f>
        <v>83.844280494708556</v>
      </c>
      <c r="V83" s="21">
        <f>inputs!$E$78*(F83/inputs!$F$78)^(inputs!$E$84-1)</f>
        <v>1.117252573011749E-2</v>
      </c>
      <c r="W83" s="21">
        <f>inputs!$E$85*(F83/inputs!$F$85)^(inputs!$E$84-1)</f>
        <v>0.51592665661815518</v>
      </c>
      <c r="X83" s="21">
        <f>inputs!$E$80*(F83/inputs!$F$80)^(inputs!$E$84-1)</f>
        <v>1.9265615658526047</v>
      </c>
      <c r="Y83" s="21">
        <f>inputs!$E$82*(F83/inputs!$F$82)^(inputs!$E$84-1)</f>
        <v>0.88792178170933744</v>
      </c>
      <c r="Z83" s="63">
        <f t="shared" si="9"/>
        <v>5446.4494008882357</v>
      </c>
      <c r="AA83" s="63">
        <f t="shared" si="10"/>
        <v>117.9442761652907</v>
      </c>
    </row>
    <row r="84" spans="1:27" x14ac:dyDescent="0.25">
      <c r="A84" s="103" t="s">
        <v>170</v>
      </c>
      <c r="B84" s="20" t="s">
        <v>171</v>
      </c>
      <c r="C84" s="20" t="s">
        <v>73</v>
      </c>
      <c r="D84" s="104" t="s">
        <v>172</v>
      </c>
      <c r="E84" s="15">
        <v>70</v>
      </c>
      <c r="F84" s="15">
        <v>420</v>
      </c>
      <c r="G84" s="20" t="s">
        <v>169</v>
      </c>
      <c r="H84" s="20">
        <v>0.79</v>
      </c>
      <c r="I84" s="68">
        <f>MAX('Max rate concentrations'!$D$3:$D$368)</f>
        <v>720</v>
      </c>
      <c r="J84" s="68">
        <f>MAX('Max rate concentrations'!W:W)</f>
        <v>255</v>
      </c>
      <c r="K84" s="69">
        <f t="shared" si="7"/>
        <v>229.34571162862144</v>
      </c>
      <c r="L84" s="69">
        <f t="shared" si="11"/>
        <v>81.226606201803435</v>
      </c>
      <c r="M84" s="69">
        <f>IF((((1.18*F84^0.874)/3.7-(0.301*F84^0.751)/(1-H84)*H84)*(MAX('Max rate concentrations'!$P$3:$P$368)))/F84&gt;0, (((1.18*F84^0.874)/3.7-(0.301*F84^0.751)/(1-H84)*H84)*(MAX('Max rate concentrations'!$P$3:$P$368)))/F84, 0)</f>
        <v>0</v>
      </c>
      <c r="N84" s="69">
        <f>IF((((1.18*F84^0.874)/3.7-(0.301*F84^0.751)/(1-H84)*H84)*(MAX('Max rate concentrations'!$Q$3:$Q$368)))/F84&gt;0, (((1.18*F84^0.874)/3.7-(0.301*F84^0.751)/(1-H84)*H84)*(MAX('Max rate concentrations'!$Q$3:$Q$368)))/F84, 0)</f>
        <v>0</v>
      </c>
      <c r="O84" s="69">
        <f>((MAX('Max rate concentrations'!$F$3:$F$368))*0.62*6.01*8*(10*F84^0.667)*0.079*0.1/F84)*inputs!$E$80/(10^(0.84+0.62*LOG10(inputs!$E$80)))</f>
        <v>19.643162620637447</v>
      </c>
      <c r="P84" s="69">
        <f>((MAX('Max rate concentrations'!Y:Y))*0.62*6.01*8*(10*F84^0.667)*0.079*0.1/F84)*inputs!$E$80/(10^(0.84+0.62*LOG10(inputs!$E$80)))</f>
        <v>6.5477208735458179</v>
      </c>
      <c r="Q84" s="69">
        <f>(inputs!$C$18*11.2*(10*F84^0.667)*0.5/F84)*inputs!$E$80/(10^(0.84+0.62*LOG10(inputs!$E$80)))</f>
        <v>3.4600504471149103</v>
      </c>
      <c r="R84" s="59">
        <f>(60*284*((F84/1000)^0.77)*3*24*(MAX('Max rate concentrations'!$R$3:$R$368))/F84)*(inputs!$E$73*3.4/inputs!$E$75)</f>
        <v>3.4335187123630595E-2</v>
      </c>
      <c r="S84" s="59">
        <f>(IF(inputs!$C$17="aerial",((0.025*0.112*inputs!$C$18/3.3)*(3*60*284*((F84/1000)^0.77))*MAX(inputs!$I$14:$I$16))/F84,((0.0083*0.112*inputs!$C$18/1)*(3*60*284*((F84/1000)^0.77))*MAX(inputs!$I$14:$I$16))/F84))*(inputs!E$75*3.4/inputs!$E$73)</f>
        <v>0.18936066648266645</v>
      </c>
      <c r="T84" s="63">
        <f>IF((((inputs!$P$13/(V84/MAX(K84:S84)))^(1/inputs!$O$13))-1)/inputs!$N$13&lt;0, 0, IF((((inputs!$P$13/(V84/MAX(K84:S84)))^(1/inputs!$O$13))-1)/inputs!$N$13&lt;inputs!$I$17, (((inputs!$P$13/(V84/MAX(K84:S84)))^(1/inputs!$O$13))-1)/inputs!$N$13, inputs!$I$17))</f>
        <v>1000</v>
      </c>
      <c r="U84" s="63">
        <f>IF((((inputs!$P$13/(X84/MAX(K84:S84)))^(1/inputs!$O$13))-1)/inputs!$N$13&lt;0, 0, IF((((inputs!$P$13/(X84/MAX(K84:S84)))^(1/inputs!$O$13))-1)/inputs!$N$13&lt;inputs!$I$17, (((inputs!$P$13/(X84/MAX(K84:S84)))^(1/inputs!$O$13))-1)/inputs!$N$13, inputs!$I$17))</f>
        <v>255.2172917441917</v>
      </c>
      <c r="V84" s="21">
        <f>inputs!$E$78*(F84/inputs!$F$78)^(inputs!$E$84-1)</f>
        <v>1.117252573011749E-2</v>
      </c>
      <c r="W84" s="21">
        <f>inputs!$E$85*(F84/inputs!$F$85)^(inputs!$E$84-1)</f>
        <v>0.51592665661815518</v>
      </c>
      <c r="X84" s="21">
        <f>inputs!$E$80*(F84/inputs!$F$80)^(inputs!$E$84-1)</f>
        <v>1.9265615658526047</v>
      </c>
      <c r="Y84" s="21">
        <f>inputs!$E$82*(F84/inputs!$F$82)^(inputs!$E$84-1)</f>
        <v>0.88792178170933744</v>
      </c>
      <c r="Z84" s="63">
        <f t="shared" si="9"/>
        <v>20527.651237390317</v>
      </c>
      <c r="AA84" s="63">
        <f t="shared" si="10"/>
        <v>444.53161837374017</v>
      </c>
    </row>
    <row r="85" spans="1:27" x14ac:dyDescent="0.25">
      <c r="A85" s="103" t="s">
        <v>170</v>
      </c>
      <c r="B85" s="20" t="s">
        <v>171</v>
      </c>
      <c r="C85" s="20" t="s">
        <v>73</v>
      </c>
      <c r="D85" s="104" t="s">
        <v>172</v>
      </c>
      <c r="E85" s="15">
        <v>70</v>
      </c>
      <c r="F85" s="15">
        <v>420</v>
      </c>
      <c r="G85" s="20" t="s">
        <v>158</v>
      </c>
      <c r="H85" s="20">
        <v>0.85</v>
      </c>
      <c r="I85" s="68">
        <f>MAX('Max rate concentrations'!$F$3:$F$368)</f>
        <v>405</v>
      </c>
      <c r="J85" s="68">
        <f>MAX('Max rate concentrations'!Y:Y)</f>
        <v>135</v>
      </c>
      <c r="K85" s="69">
        <f t="shared" si="7"/>
        <v>180.60974790753934</v>
      </c>
      <c r="L85" s="69">
        <f t="shared" si="11"/>
        <v>60.203249302513115</v>
      </c>
      <c r="M85" s="69">
        <f>IF((((1.18*F85^0.874)/3.7-(0.301*F85^0.751)/(1-H85)*H85)*(MAX('Max rate concentrations'!$P$3:$P$368)))/F85&gt;0, (((1.18*F85^0.874)/3.7-(0.301*F85^0.751)/(1-H85)*H85)*(MAX('Max rate concentrations'!$P$3:$P$368)))/F85, 0)</f>
        <v>0</v>
      </c>
      <c r="N85" s="69">
        <f>IF((((1.18*F85^0.874)/3.7-(0.301*F85^0.751)/(1-H85)*H85)*(MAX('Max rate concentrations'!$Q$3:$Q$368)))/F85&gt;0, (((1.18*F85^0.874)/3.7-(0.301*F85^0.751)/(1-H85)*H85)*(MAX('Max rate concentrations'!$Q$3:$Q$368)))/F85, 0)</f>
        <v>0</v>
      </c>
      <c r="O85" s="69">
        <f>((MAX('Max rate concentrations'!$F$3:$F$368))*0.62*6.01*8*(10*F85^0.667)*0.079*0.1/F85)*inputs!$E$80/(10^(0.84+0.62*LOG10(inputs!$E$80)))</f>
        <v>19.643162620637447</v>
      </c>
      <c r="P85" s="69">
        <f>((MAX('Max rate concentrations'!Y:Y))*0.62*6.01*8*(10*F85^0.667)*0.079*0.1/F85)*inputs!$E$80/(10^(0.84+0.62*LOG10(inputs!$E$80)))</f>
        <v>6.5477208735458179</v>
      </c>
      <c r="Q85" s="69">
        <f>(inputs!$C$18*11.2*(10*F85^0.667)*0.5/F85)*inputs!$E$80/(10^(0.84+0.62*LOG10(inputs!$E$80)))</f>
        <v>3.4600504471149103</v>
      </c>
      <c r="R85" s="59">
        <f>(60*284*((F85/1000)^0.77)*3*24*(MAX('Max rate concentrations'!$R$3:$R$368))/F85)*(inputs!$E$73*3.4/inputs!$E$75)</f>
        <v>3.4335187123630595E-2</v>
      </c>
      <c r="S85" s="59">
        <f>(IF(inputs!$C$17="aerial",((0.025*0.112*inputs!$C$18/3.3)*(3*60*284*((F85/1000)^0.77))*MAX(inputs!$I$14:$I$16))/F85,((0.0083*0.112*inputs!$C$18/1)*(3*60*284*((F85/1000)^0.77))*MAX(inputs!$I$14:$I$16))/F85))*(inputs!E$75*3.4/inputs!$E$73)</f>
        <v>0.18936066648266645</v>
      </c>
      <c r="T85" s="63">
        <f>IF((((inputs!$P$13/(V85/MAX(K85:S85)))^(1/inputs!$O$13))-1)/inputs!$N$13&lt;0, 0, IF((((inputs!$P$13/(V85/MAX(K85:S85)))^(1/inputs!$O$13))-1)/inputs!$N$13&lt;inputs!$I$17, (((inputs!$P$13/(V85/MAX(K85:S85)))^(1/inputs!$O$13))-1)/inputs!$N$13, inputs!$I$17))</f>
        <v>1000</v>
      </c>
      <c r="U85" s="63">
        <f>IF((((inputs!$P$13/(X85/MAX(K85:S85)))^(1/inputs!$O$13))-1)/inputs!$N$13&lt;0, 0, IF((((inputs!$P$13/(X85/MAX(K85:S85)))^(1/inputs!$O$13))-1)/inputs!$N$13&lt;inputs!$I$17, (((inputs!$P$13/(X85/MAX(K85:S85)))^(1/inputs!$O$13))-1)/inputs!$N$13, inputs!$I$17))</f>
        <v>209.46494841161453</v>
      </c>
      <c r="V85" s="21">
        <f>inputs!$E$78*(F85/inputs!$F$78)^(inputs!$E$84-1)</f>
        <v>1.117252573011749E-2</v>
      </c>
      <c r="W85" s="21">
        <f>inputs!$E$85*(F85/inputs!$F$85)^(inputs!$E$84-1)</f>
        <v>0.51592665661815518</v>
      </c>
      <c r="X85" s="21">
        <f>inputs!$E$80*(F85/inputs!$F$80)^(inputs!$E$84-1)</f>
        <v>1.9265615658526047</v>
      </c>
      <c r="Y85" s="21">
        <f>inputs!$E$82*(F85/inputs!$F$82)^(inputs!$E$84-1)</f>
        <v>0.88792178170933744</v>
      </c>
      <c r="Z85" s="63">
        <f t="shared" si="9"/>
        <v>16165.52534944487</v>
      </c>
      <c r="AA85" s="63">
        <f t="shared" si="10"/>
        <v>350.06864946932029</v>
      </c>
    </row>
    <row r="86" spans="1:27" x14ac:dyDescent="0.25">
      <c r="A86" s="103" t="s">
        <v>170</v>
      </c>
      <c r="B86" s="20" t="s">
        <v>171</v>
      </c>
      <c r="C86" s="20" t="s">
        <v>73</v>
      </c>
      <c r="D86" s="104" t="s">
        <v>172</v>
      </c>
      <c r="E86" s="15">
        <v>70</v>
      </c>
      <c r="F86" s="15">
        <v>420</v>
      </c>
      <c r="G86" s="20" t="s">
        <v>154</v>
      </c>
      <c r="H86" s="20">
        <v>9.2999999999999999E-2</v>
      </c>
      <c r="I86" s="68">
        <f>MAX('Max rate concentrations'!$G$3:$G$368)</f>
        <v>45</v>
      </c>
      <c r="J86" s="68">
        <f>MAX('Max rate concentrations'!Z:Z)</f>
        <v>21</v>
      </c>
      <c r="K86" s="69">
        <f t="shared" si="7"/>
        <v>3.3188119791903596</v>
      </c>
      <c r="L86" s="69">
        <f t="shared" si="11"/>
        <v>1.5487789236221678</v>
      </c>
      <c r="M86" s="69">
        <f>IF((((1.18*F86^0.874)/3.7-(0.301*F86^0.751)/(1-H86)*H86)*(MAX('Max rate concentrations'!$P$3:$P$368)))/F86&gt;0, (((1.18*F86^0.874)/3.7-(0.301*F86^0.751)/(1-H86)*H86)*(MAX('Max rate concentrations'!$P$3:$P$368)))/F86, 0)</f>
        <v>0.12377844833772506</v>
      </c>
      <c r="N86" s="69">
        <f>IF((((1.18*F86^0.874)/3.7-(0.301*F86^0.751)/(1-H86)*H86)*(MAX('Max rate concentrations'!$Q$3:$Q$368)))/F86&gt;0, (((1.18*F86^0.874)/3.7-(0.301*F86^0.751)/(1-H86)*H86)*(MAX('Max rate concentrations'!$Q$3:$Q$368)))/F86, 0)</f>
        <v>0.4713549820946687</v>
      </c>
      <c r="O86" s="69">
        <f>((MAX('Max rate concentrations'!$F$3:$F$368))*0.62*6.01*8*(10*F86^0.667)*0.079*0.1/F86)*inputs!$E$80/(10^(0.84+0.62*LOG10(inputs!$E$80)))</f>
        <v>19.643162620637447</v>
      </c>
      <c r="P86" s="69">
        <f>((MAX('Max rate concentrations'!Y:Y))*0.62*6.01*8*(10*F86^0.667)*0.079*0.1/F86)*inputs!$E$80/(10^(0.84+0.62*LOG10(inputs!$E$80)))</f>
        <v>6.5477208735458179</v>
      </c>
      <c r="Q86" s="69">
        <f>(inputs!$C$18*11.2*(10*F86^0.667)*0.5/F86)*inputs!$E$80/(10^(0.84+0.62*LOG10(inputs!$E$80)))</f>
        <v>3.4600504471149103</v>
      </c>
      <c r="R86" s="59">
        <f>(60*284*((F86/1000)^0.77)*3*24*(MAX('Max rate concentrations'!$R$3:$R$368))/F86)*(inputs!$E$73*3.4/inputs!$E$75)</f>
        <v>3.4335187123630595E-2</v>
      </c>
      <c r="S86" s="59">
        <f>(IF(inputs!$C$17="aerial",((0.025*0.112*inputs!$C$18/3.3)*(3*60*284*((F86/1000)^0.77))*MAX(inputs!$I$14:$I$16))/F86,((0.0083*0.112*inputs!$C$18/1)*(3*60*284*((F86/1000)^0.77))*MAX(inputs!$I$14:$I$16))/F86))*(inputs!E$75*3.4/inputs!$E$73)</f>
        <v>0.18936066648266645</v>
      </c>
      <c r="T86" s="63">
        <f>IF((((inputs!$P$13/(V86/MAX(K86:S86)))^(1/inputs!$O$13))-1)/inputs!$N$13&lt;0, 0, IF((((inputs!$P$13/(V86/MAX(K86:S86)))^(1/inputs!$O$13))-1)/inputs!$N$13&lt;inputs!$I$17, (((inputs!$P$13/(V86/MAX(K86:S86)))^(1/inputs!$O$13))-1)/inputs!$N$13, inputs!$I$17))</f>
        <v>1000</v>
      </c>
      <c r="U86" s="63">
        <f>IF((((inputs!$P$13/(X86/MAX(K86:S86)))^(1/inputs!$O$13))-1)/inputs!$N$13&lt;0, 0, IF((((inputs!$P$13/(X86/MAX(K86:S86)))^(1/inputs!$O$13))-1)/inputs!$N$13&lt;inputs!$I$17, (((inputs!$P$13/(X86/MAX(K86:S86)))^(1/inputs!$O$13))-1)/inputs!$N$13, inputs!$I$17))</f>
        <v>30.470285568057196</v>
      </c>
      <c r="V86" s="21">
        <f>inputs!$E$78*(F86/inputs!$F$78)^(inputs!$E$84-1)</f>
        <v>1.117252573011749E-2</v>
      </c>
      <c r="W86" s="21">
        <f>inputs!$E$85*(F86/inputs!$F$85)^(inputs!$E$84-1)</f>
        <v>0.51592665661815518</v>
      </c>
      <c r="X86" s="21">
        <f>inputs!$E$80*(F86/inputs!$F$80)^(inputs!$E$84-1)</f>
        <v>1.9265615658526047</v>
      </c>
      <c r="Y86" s="21">
        <f>inputs!$E$82*(F86/inputs!$F$82)^(inputs!$E$84-1)</f>
        <v>0.88792178170933744</v>
      </c>
      <c r="Z86" s="63">
        <f t="shared" si="9"/>
        <v>1758.1666934707414</v>
      </c>
      <c r="AA86" s="63">
        <f t="shared" si="10"/>
        <v>38.073556325614781</v>
      </c>
    </row>
    <row r="87" spans="1:27" x14ac:dyDescent="0.25">
      <c r="A87" s="103" t="s">
        <v>170</v>
      </c>
      <c r="B87" s="20" t="s">
        <v>171</v>
      </c>
      <c r="C87" s="20" t="s">
        <v>73</v>
      </c>
      <c r="D87" s="104" t="s">
        <v>172</v>
      </c>
      <c r="E87" s="15">
        <v>70</v>
      </c>
      <c r="F87" s="15">
        <v>420</v>
      </c>
      <c r="G87" s="20" t="s">
        <v>174</v>
      </c>
      <c r="H87" s="20">
        <v>0.83</v>
      </c>
      <c r="I87" s="68">
        <f>inputs!$C$66*(inputs!$C$62/1000)</f>
        <v>8.2000000000000011</v>
      </c>
      <c r="J87" s="68">
        <f>inputs!$C$66*(inputs!$C$61/1000)</f>
        <v>2.5</v>
      </c>
      <c r="K87" s="69">
        <f t="shared" si="7"/>
        <v>3.2265793743830566</v>
      </c>
      <c r="L87" s="69">
        <f t="shared" si="11"/>
        <v>0.98371322389727311</v>
      </c>
      <c r="M87" s="69">
        <f>IF((((1.18*F87^0.874)/3.7-(0.301*F87^0.751)/(1-H87)*H87)*(MAX('Max rate concentrations'!$P$3:$P$368)))/F87&gt;0, (((1.18*F87^0.874)/3.7-(0.301*F87^0.751)/(1-H87)*H87)*(MAX('Max rate concentrations'!$P$3:$P$368)))/F87, 0)</f>
        <v>0</v>
      </c>
      <c r="N87" s="69">
        <f>IF((((1.18*F87^0.874)/3.7-(0.301*F87^0.751)/(1-H87)*H87)*(MAX('Max rate concentrations'!$Q$3:$Q$368)))/F87&gt;0, (((1.18*F87^0.874)/3.7-(0.301*F87^0.751)/(1-H87)*H87)*(MAX('Max rate concentrations'!$Q$3:$Q$368)))/F87, 0)</f>
        <v>0</v>
      </c>
      <c r="O87" s="69">
        <f>((MAX('Max rate concentrations'!$F$3:$F$368))*0.62*6.01*8*(10*F87^0.667)*0.079*0.1/F87)*inputs!$E$80/(10^(0.84+0.62*LOG10(inputs!$E$80)))</f>
        <v>19.643162620637447</v>
      </c>
      <c r="P87" s="69">
        <f>((MAX('Max rate concentrations'!Y:Y))*0.62*6.01*8*(10*F87^0.667)*0.079*0.1/F87)*inputs!$E$80/(10^(0.84+0.62*LOG10(inputs!$E$80)))</f>
        <v>6.5477208735458179</v>
      </c>
      <c r="Q87" s="69">
        <f>(inputs!$C$18*11.2*(10*F87^0.667)*0.5/F87)*inputs!$E$80/(10^(0.84+0.62*LOG10(inputs!$E$80)))</f>
        <v>3.4600504471149103</v>
      </c>
      <c r="R87" s="59">
        <f>(60*284*((F87/1000)^0.77)*3*24*(MAX('Max rate concentrations'!$R$3:$R$368))/F87)*(inputs!$E$73*3.4/inputs!$E$75)</f>
        <v>3.4335187123630595E-2</v>
      </c>
      <c r="S87" s="59">
        <f>(IF(inputs!$C$17="aerial",((0.025*0.112*inputs!$C$18/3.3)*(3*60*284*((F87/1000)^0.77))*MAX(inputs!$I$14:$I$16))/F87,((0.0083*0.112*inputs!$C$18/1)*(3*60*284*((F87/1000)^0.77))*MAX(inputs!$I$14:$I$16))/F87))*(inputs!E$75*3.4/inputs!$E$73)</f>
        <v>0.18936066648266645</v>
      </c>
      <c r="T87" s="63">
        <f>IF((((inputs!$P$13/(V87/MAX(K87:S87)))^(1/inputs!$O$13))-1)/inputs!$N$13&lt;0, 0, IF((((inputs!$P$13/(V87/MAX(K87:S87)))^(1/inputs!$O$13))-1)/inputs!$N$13&lt;inputs!$I$17, (((inputs!$P$13/(V87/MAX(K87:S87)))^(1/inputs!$O$13))-1)/inputs!$N$13, inputs!$I$17))</f>
        <v>1000</v>
      </c>
      <c r="U87" s="63">
        <f>IF((((inputs!$P$13/(X87/MAX(K87:S87)))^(1/inputs!$O$13))-1)/inputs!$N$13&lt;0, 0, IF((((inputs!$P$13/(X87/MAX(K87:S87)))^(1/inputs!$O$13))-1)/inputs!$N$13&lt;inputs!$I$17, (((inputs!$P$13/(X87/MAX(K87:S87)))^(1/inputs!$O$13))-1)/inputs!$N$13, inputs!$I$17))</f>
        <v>30.470285568057196</v>
      </c>
      <c r="V87" s="21">
        <f>inputs!$E$78*(F87/inputs!$F$78)^(inputs!$E$84-1)</f>
        <v>1.117252573011749E-2</v>
      </c>
      <c r="W87" s="21">
        <f>inputs!$E$85*(F87/inputs!$F$85)^(inputs!$E$84-1)</f>
        <v>0.51592665661815518</v>
      </c>
      <c r="X87" s="21">
        <f>inputs!$E$80*(F87/inputs!$F$80)^(inputs!$E$84-1)</f>
        <v>1.9265615658526047</v>
      </c>
      <c r="Y87" s="21">
        <f>inputs!$E$82*(F87/inputs!$F$82)^(inputs!$E$84-1)</f>
        <v>0.88792178170933744</v>
      </c>
      <c r="Z87" s="63">
        <f t="shared" si="9"/>
        <v>1758.1666934707414</v>
      </c>
      <c r="AA87" s="63">
        <f t="shared" si="10"/>
        <v>38.073556325614781</v>
      </c>
    </row>
    <row r="88" spans="1:27" x14ac:dyDescent="0.25">
      <c r="A88" s="103" t="s">
        <v>342</v>
      </c>
      <c r="B88" s="20" t="s">
        <v>343</v>
      </c>
      <c r="C88" s="20" t="s">
        <v>73</v>
      </c>
      <c r="D88" s="104" t="s">
        <v>172</v>
      </c>
      <c r="E88" s="15">
        <v>146</v>
      </c>
      <c r="F88" s="15">
        <v>1075</v>
      </c>
      <c r="G88" s="20" t="s">
        <v>241</v>
      </c>
      <c r="H88" s="20">
        <v>0.8</v>
      </c>
      <c r="I88" s="68">
        <f>inputs!$C$66*inputs!$C$60/1000</f>
        <v>28</v>
      </c>
      <c r="J88" s="68">
        <f>inputs!$C$66*inputs!$C$59/1000</f>
        <v>28</v>
      </c>
      <c r="K88" s="69">
        <f t="shared" si="7"/>
        <v>7.4109489843852359</v>
      </c>
      <c r="L88" s="69">
        <f t="shared" si="11"/>
        <v>7.4109489843852359</v>
      </c>
      <c r="M88" s="69">
        <f>IF((((1.18*F88^0.874)/3.7-(0.301*F88^0.751)/(1-H88)*H88)*(MAX('Max rate concentrations'!$P$3:$P$368)))/F88&gt;0, (((1.18*F88^0.874)/3.7-(0.301*F88^0.751)/(1-H88)*H88)*(MAX('Max rate concentrations'!$P$3:$P$368)))/F88, 0)</f>
        <v>0</v>
      </c>
      <c r="N88" s="69">
        <f>IF((((1.18*F88^0.874)/3.7-(0.301*F88^0.751)/(1-H88)*H88)*(MAX('Max rate concentrations'!$Q$3:$Q$368)))/F88&gt;0, (((1.18*F88^0.874)/3.7-(0.301*F88^0.751)/(1-H88)*H88)*(MAX('Max rate concentrations'!$Q$3:$Q$368)))/F88, 0)</f>
        <v>0</v>
      </c>
      <c r="O88" s="69">
        <f>((MAX('Max rate concentrations'!$F$3:$F$368))*0.62*6.01*8*(10*F88^0.667)*0.079*0.1/F88)*inputs!$E$80/(10^(0.84+0.62*LOG10(inputs!$E$80)))</f>
        <v>14.364628780782477</v>
      </c>
      <c r="P88" s="69">
        <f>((MAX('Max rate concentrations'!Y:Y))*0.62*6.01*8*(10*F88^0.667)*0.079*0.1/F88)*inputs!$E$80/(10^(0.84+0.62*LOG10(inputs!$E$80)))</f>
        <v>4.7882095935941589</v>
      </c>
      <c r="Q88" s="69">
        <f>(inputs!$C$18*11.2*(10*F88^0.667)*0.5/F88)*inputs!$E$80/(10^(0.84+0.62*LOG10(inputs!$E$80)))</f>
        <v>2.5302616078414988</v>
      </c>
      <c r="R88" s="59">
        <f>(60*284*((F88/1000)^0.77)*3*24*(MAX('Max rate concentrations'!$R$3:$R$368))/F88)*(inputs!$E$73*3.4/inputs!$E$75)</f>
        <v>2.7660677208735225E-2</v>
      </c>
      <c r="S88" s="59">
        <f>(IF(inputs!$C$17="aerial",((0.025*0.112*inputs!$C$18/3.3)*(3*60*284*((F88/1000)^0.77))*MAX(inputs!$I$14:$I$16))/F88,((0.0083*0.112*inputs!$C$18/1)*(3*60*284*((F88/1000)^0.77))*MAX(inputs!$I$14:$I$16))/F88))*(inputs!E$75*3.4/inputs!$E$73)</f>
        <v>0.15255033423141437</v>
      </c>
      <c r="T88" s="63">
        <f>IF((((inputs!$P$13/(V88/MAX(K88:S88)))^(1/inputs!$O$13))-1)/inputs!$N$13&lt;0, 0, IF((((inputs!$P$13/(V88/MAX(K88:S88)))^(1/inputs!$O$13))-1)/inputs!$N$13&lt;inputs!$I$17, (((inputs!$P$13/(V88/MAX(K88:S88)))^(1/inputs!$O$13))-1)/inputs!$N$13, inputs!$I$17))</f>
        <v>1000</v>
      </c>
      <c r="U88" s="63">
        <f>IF((((inputs!$P$13/(X88/MAX(K88:S88)))^(1/inputs!$O$13))-1)/inputs!$N$13&lt;0, 0, IF((((inputs!$P$13/(X88/MAX(K88:S88)))^(1/inputs!$O$13))-1)/inputs!$N$13&lt;inputs!$I$17, (((inputs!$P$13/(X88/MAX(K88:S88)))^(1/inputs!$O$13))-1)/inputs!$N$13, inputs!$I$17))</f>
        <v>31.488356911035243</v>
      </c>
      <c r="V88" s="21">
        <f>inputs!$E$78*(F88/inputs!$F$78)^(inputs!$E$84-1)</f>
        <v>7.8910077366186188E-3</v>
      </c>
      <c r="W88" s="21">
        <f>inputs!$E$85*(F88/inputs!$F$85)^(inputs!$E$84-1)</f>
        <v>0.36439220076504825</v>
      </c>
      <c r="X88" s="21">
        <f>inputs!$E$80*(F88/inputs!$F$80)^(inputs!$E$84-1)</f>
        <v>1.3607050534897371</v>
      </c>
      <c r="Y88" s="21">
        <f>inputs!$E$82*(F88/inputs!$F$82)^(inputs!$E$84-1)</f>
        <v>0.62712745696284811</v>
      </c>
      <c r="Z88" s="63">
        <f t="shared" si="9"/>
        <v>1820.3795079458221</v>
      </c>
      <c r="AA88" s="63">
        <f t="shared" si="10"/>
        <v>39.420790979125428</v>
      </c>
    </row>
    <row r="89" spans="1:27" x14ac:dyDescent="0.25">
      <c r="A89" s="103" t="s">
        <v>342</v>
      </c>
      <c r="B89" s="20" t="s">
        <v>343</v>
      </c>
      <c r="C89" s="20" t="s">
        <v>73</v>
      </c>
      <c r="D89" s="104" t="s">
        <v>172</v>
      </c>
      <c r="E89" s="15">
        <v>146</v>
      </c>
      <c r="F89" s="15">
        <v>1075</v>
      </c>
      <c r="G89" s="20" t="s">
        <v>164</v>
      </c>
      <c r="H89" s="20">
        <v>0.78</v>
      </c>
      <c r="I89" s="68">
        <f>inputs!$C$66*(inputs!$C$62/1000)</f>
        <v>8.2000000000000011</v>
      </c>
      <c r="J89" s="68">
        <f>inputs!$C$66*(inputs!$C$61/1000)</f>
        <v>2.5</v>
      </c>
      <c r="K89" s="69">
        <f t="shared" si="7"/>
        <v>1.9730448594791863</v>
      </c>
      <c r="L89" s="69">
        <f t="shared" si="11"/>
        <v>0.60153806691438605</v>
      </c>
      <c r="M89" s="69">
        <f>IF((((1.18*F89^0.874)/3.7-(0.301*F89^0.751)/(1-H89)*H89)*(MAX('Max rate concentrations'!$P$3:$P$368)))/F89&gt;0, (((1.18*F89^0.874)/3.7-(0.301*F89^0.751)/(1-H89)*H89)*(MAX('Max rate concentrations'!$P$3:$P$368)))/F89, 0)</f>
        <v>0</v>
      </c>
      <c r="N89" s="69">
        <f>IF((((1.18*F89^0.874)/3.7-(0.301*F89^0.751)/(1-H89)*H89)*(MAX('Max rate concentrations'!$Q$3:$Q$368)))/F89&gt;0, (((1.18*F89^0.874)/3.7-(0.301*F89^0.751)/(1-H89)*H89)*(MAX('Max rate concentrations'!$Q$3:$Q$368)))/F89, 0)</f>
        <v>0</v>
      </c>
      <c r="O89" s="69">
        <f>((MAX('Max rate concentrations'!$F$3:$F$368))*0.62*6.01*8*(10*F89^0.667)*0.079*0.1/F89)*inputs!$E$80/(10^(0.84+0.62*LOG10(inputs!$E$80)))</f>
        <v>14.364628780782477</v>
      </c>
      <c r="P89" s="69">
        <f>((MAX('Max rate concentrations'!Y:Y))*0.62*6.01*8*(10*F89^0.667)*0.079*0.1/F89)*inputs!$E$80/(10^(0.84+0.62*LOG10(inputs!$E$80)))</f>
        <v>4.7882095935941589</v>
      </c>
      <c r="Q89" s="69">
        <f>(inputs!$C$18*11.2*(10*F89^0.667)*0.5/F89)*inputs!$E$80/(10^(0.84+0.62*LOG10(inputs!$E$80)))</f>
        <v>2.5302616078414988</v>
      </c>
      <c r="R89" s="59">
        <f>(60*284*((F89/1000)^0.77)*3*24*(MAX('Max rate concentrations'!$R$3:$R$368))/F89)*(inputs!$E$73*3.4/inputs!$E$75)</f>
        <v>2.7660677208735225E-2</v>
      </c>
      <c r="S89" s="59">
        <f>(IF(inputs!$C$17="aerial",((0.025*0.112*inputs!$C$18/3.3)*(3*60*284*((F89/1000)^0.77))*MAX(inputs!$I$14:$I$16))/F89,((0.0083*0.112*inputs!$C$18/1)*(3*60*284*((F89/1000)^0.77))*MAX(inputs!$I$14:$I$16))/F89))*(inputs!E$75*3.4/inputs!$E$73)</f>
        <v>0.15255033423141437</v>
      </c>
      <c r="T89" s="63">
        <f>IF((((inputs!$P$13/(V89/MAX(K89:S89)))^(1/inputs!$O$13))-1)/inputs!$N$13&lt;0, 0, IF((((inputs!$P$13/(V89/MAX(K89:S89)))^(1/inputs!$O$13))-1)/inputs!$N$13&lt;inputs!$I$17, (((inputs!$P$13/(V89/MAX(K89:S89)))^(1/inputs!$O$13))-1)/inputs!$N$13, inputs!$I$17))</f>
        <v>1000</v>
      </c>
      <c r="U89" s="63">
        <f>IF((((inputs!$P$13/(X89/MAX(K89:S89)))^(1/inputs!$O$13))-1)/inputs!$N$13&lt;0, 0, IF((((inputs!$P$13/(X89/MAX(K89:S89)))^(1/inputs!$O$13))-1)/inputs!$N$13&lt;inputs!$I$17, (((inputs!$P$13/(X89/MAX(K89:S89)))^(1/inputs!$O$13))-1)/inputs!$N$13, inputs!$I$17))</f>
        <v>31.488356911035243</v>
      </c>
      <c r="V89" s="21">
        <f>inputs!$E$78*(F89/inputs!$F$78)^(inputs!$E$84-1)</f>
        <v>7.8910077366186188E-3</v>
      </c>
      <c r="W89" s="21">
        <f>inputs!$E$85*(F89/inputs!$F$85)^(inputs!$E$84-1)</f>
        <v>0.36439220076504825</v>
      </c>
      <c r="X89" s="21">
        <f>inputs!$E$80*(F89/inputs!$F$80)^(inputs!$E$84-1)</f>
        <v>1.3607050534897371</v>
      </c>
      <c r="Y89" s="21">
        <f>inputs!$E$82*(F89/inputs!$F$82)^(inputs!$E$84-1)</f>
        <v>0.62712745696284811</v>
      </c>
      <c r="Z89" s="63">
        <f t="shared" si="9"/>
        <v>1820.3795079458221</v>
      </c>
      <c r="AA89" s="63">
        <f t="shared" si="10"/>
        <v>39.420790979125428</v>
      </c>
    </row>
    <row r="90" spans="1:27" x14ac:dyDescent="0.25">
      <c r="A90" s="103" t="s">
        <v>342</v>
      </c>
      <c r="B90" s="20" t="s">
        <v>343</v>
      </c>
      <c r="C90" s="20" t="s">
        <v>73</v>
      </c>
      <c r="D90" s="104" t="s">
        <v>172</v>
      </c>
      <c r="E90" s="15">
        <v>146</v>
      </c>
      <c r="F90" s="15">
        <v>1075</v>
      </c>
      <c r="G90" s="20" t="s">
        <v>177</v>
      </c>
      <c r="H90" s="20">
        <v>0.85</v>
      </c>
      <c r="I90" s="68">
        <f>MAX('Max rate concentrations'!$F$3:$F$368)</f>
        <v>405</v>
      </c>
      <c r="J90" s="68">
        <f>MAX('Max rate concentrations'!Y:Y)</f>
        <v>135</v>
      </c>
      <c r="K90" s="69">
        <f t="shared" si="7"/>
        <v>142.92544469885806</v>
      </c>
      <c r="L90" s="69">
        <f t="shared" si="11"/>
        <v>47.641814899619362</v>
      </c>
      <c r="M90" s="69">
        <f>IF((((1.18*F90^0.874)/3.7-(0.301*F90^0.751)/(1-H90)*H90)*(MAX('Max rate concentrations'!$P$3:$P$368)))/F90&gt;0, (((1.18*F90^0.874)/3.7-(0.301*F90^0.751)/(1-H90)*H90)*(MAX('Max rate concentrations'!$P$3:$P$368)))/F90, 0)</f>
        <v>0</v>
      </c>
      <c r="N90" s="69">
        <f>IF((((1.18*F90^0.874)/3.7-(0.301*F90^0.751)/(1-H90)*H90)*(MAX('Max rate concentrations'!$Q$3:$Q$368)))/F90&gt;0, (((1.18*F90^0.874)/3.7-(0.301*F90^0.751)/(1-H90)*H90)*(MAX('Max rate concentrations'!$Q$3:$Q$368)))/F90, 0)</f>
        <v>0</v>
      </c>
      <c r="O90" s="69">
        <f>((MAX('Max rate concentrations'!$F$3:$F$368))*0.62*6.01*8*(10*F90^0.667)*0.079*0.1/F90)*inputs!$E$80/(10^(0.84+0.62*LOG10(inputs!$E$80)))</f>
        <v>14.364628780782477</v>
      </c>
      <c r="P90" s="69">
        <f>((MAX('Max rate concentrations'!Y:Y))*0.62*6.01*8*(10*F90^0.667)*0.079*0.1/F90)*inputs!$E$80/(10^(0.84+0.62*LOG10(inputs!$E$80)))</f>
        <v>4.7882095935941589</v>
      </c>
      <c r="Q90" s="69">
        <f>(inputs!$C$18*11.2*(10*F90^0.667)*0.5/F90)*inputs!$E$80/(10^(0.84+0.62*LOG10(inputs!$E$80)))</f>
        <v>2.5302616078414988</v>
      </c>
      <c r="R90" s="59">
        <f>(60*284*((F90/1000)^0.77)*3*24*(MAX('Max rate concentrations'!$R$3:$R$368))/F90)*(inputs!$E$73*3.4/inputs!$E$75)</f>
        <v>2.7660677208735225E-2</v>
      </c>
      <c r="S90" s="59">
        <f>(IF(inputs!$C$17="aerial",((0.025*0.112*inputs!$C$18/3.3)*(3*60*284*((F90/1000)^0.77))*MAX(inputs!$I$14:$I$16))/F90,((0.0083*0.112*inputs!$C$18/1)*(3*60*284*((F90/1000)^0.77))*MAX(inputs!$I$14:$I$16))/F90))*(inputs!E$75*3.4/inputs!$E$73)</f>
        <v>0.15255033423141437</v>
      </c>
      <c r="T90" s="63">
        <f>IF((((inputs!$P$13/(V90/MAX(K90:S90)))^(1/inputs!$O$13))-1)/inputs!$N$13&lt;0, 0, IF((((inputs!$P$13/(V90/MAX(K90:S90)))^(1/inputs!$O$13))-1)/inputs!$N$13&lt;inputs!$I$17, (((inputs!$P$13/(V90/MAX(K90:S90)))^(1/inputs!$O$13))-1)/inputs!$N$13, inputs!$I$17))</f>
        <v>1000</v>
      </c>
      <c r="U90" s="63">
        <f>IF((((inputs!$P$13/(X90/MAX(K90:S90)))^(1/inputs!$O$13))-1)/inputs!$N$13&lt;0, 0, IF((((inputs!$P$13/(X90/MAX(K90:S90)))^(1/inputs!$O$13))-1)/inputs!$N$13&lt;inputs!$I$17, (((inputs!$P$13/(X90/MAX(K90:S90)))^(1/inputs!$O$13))-1)/inputs!$N$13, inputs!$I$17))</f>
        <v>230.14444293051181</v>
      </c>
      <c r="V90" s="21">
        <f>inputs!$E$78*(F90/inputs!$F$78)^(inputs!$E$84-1)</f>
        <v>7.8910077366186188E-3</v>
      </c>
      <c r="W90" s="21">
        <f>inputs!$E$85*(F90/inputs!$F$85)^(inputs!$E$84-1)</f>
        <v>0.36439220076504825</v>
      </c>
      <c r="X90" s="21">
        <f>inputs!$E$80*(F90/inputs!$F$80)^(inputs!$E$84-1)</f>
        <v>1.3607050534897371</v>
      </c>
      <c r="Y90" s="21">
        <f>inputs!$E$82*(F90/inputs!$F$82)^(inputs!$E$84-1)</f>
        <v>0.62712745696284811</v>
      </c>
      <c r="Z90" s="63">
        <f t="shared" si="9"/>
        <v>18112.44513620299</v>
      </c>
      <c r="AA90" s="63">
        <f t="shared" si="10"/>
        <v>392.22970304738521</v>
      </c>
    </row>
    <row r="91" spans="1:27" x14ac:dyDescent="0.25">
      <c r="A91" s="114" t="s">
        <v>317</v>
      </c>
      <c r="B91" s="48" t="s">
        <v>318</v>
      </c>
      <c r="C91" s="20" t="s">
        <v>73</v>
      </c>
      <c r="D91" s="48" t="s">
        <v>172</v>
      </c>
      <c r="E91" s="15">
        <v>147</v>
      </c>
      <c r="F91" s="15">
        <v>773</v>
      </c>
      <c r="G91" s="20" t="s">
        <v>241</v>
      </c>
      <c r="H91" s="20">
        <v>0.8</v>
      </c>
      <c r="I91" s="68">
        <f>inputs!$C$66*inputs!$C$60/1000</f>
        <v>28</v>
      </c>
      <c r="J91" s="68">
        <f>inputs!$C$66*inputs!$C$59/1000</f>
        <v>28</v>
      </c>
      <c r="K91" s="69">
        <f t="shared" si="7"/>
        <v>8.0452183831489101</v>
      </c>
      <c r="L91" s="69">
        <f t="shared" si="11"/>
        <v>8.0452183831489101</v>
      </c>
      <c r="M91" s="69">
        <f>IF((((1.18*F91^0.874)/3.7-(0.301*F91^0.751)/(1-H91)*H91)*(MAX('Max rate concentrations'!$P$3:$P$368)))/F91&gt;0, (((1.18*F91^0.874)/3.7-(0.301*F91^0.751)/(1-H91)*H91)*(MAX('Max rate concentrations'!$P$3:$P$368)))/F91, 0)</f>
        <v>0</v>
      </c>
      <c r="N91" s="69">
        <f>IF((((1.18*F91^0.874)/3.7-(0.301*F91^0.751)/(1-H91)*H91)*(MAX('Max rate concentrations'!$Q$3:$Q$368)))/F91&gt;0, (((1.18*F91^0.874)/3.7-(0.301*F91^0.751)/(1-H91)*H91)*(MAX('Max rate concentrations'!$Q$3:$Q$368)))/F91, 0)</f>
        <v>0</v>
      </c>
      <c r="O91" s="69">
        <f>((MAX('Max rate concentrations'!$F$3:$F$368))*0.62*6.01*8*(10*F91^0.667)*0.079*0.1/F91)*inputs!$E$80/(10^(0.84+0.62*LOG10(inputs!$E$80)))</f>
        <v>16.032071988647854</v>
      </c>
      <c r="P91" s="69">
        <f>((MAX('Max rate concentrations'!Y:Y))*0.62*6.01*8*(10*F91^0.667)*0.079*0.1/F91)*inputs!$E$80/(10^(0.84+0.62*LOG10(inputs!$E$80)))</f>
        <v>5.3440239962159497</v>
      </c>
      <c r="Q91" s="69">
        <f>(inputs!$C$18*11.2*(10*F91^0.667)*0.5/F91)*inputs!$E$80/(10^(0.84+0.62*LOG10(inputs!$E$80)))</f>
        <v>2.8239738642808883</v>
      </c>
      <c r="R91" s="59">
        <f>(60*284*((F91/1000)^0.77)*3*24*(MAX('Max rate concentrations'!$R$3:$R$368))/F91)*(inputs!$E$73*3.4/inputs!$E$75)</f>
        <v>2.9840457124824679E-2</v>
      </c>
      <c r="S91" s="59">
        <f>(IF(inputs!$C$17="aerial",((0.025*0.112*inputs!$C$18/3.3)*(3*60*284*((F91/1000)^0.77))*MAX(inputs!$I$14:$I$16))/F91,((0.0083*0.112*inputs!$C$18/1)*(3*60*284*((F91/1000)^0.77))*MAX(inputs!$I$14:$I$16))/F91))*(inputs!E$75*3.4/inputs!$E$73)</f>
        <v>0.16457195439064023</v>
      </c>
      <c r="T91" s="63">
        <f>IF((((inputs!$P$13/(V91/MAX(K91:S91)))^(1/inputs!$O$13))-1)/inputs!$N$13&lt;0, 0, IF((((inputs!$P$13/(V91/MAX(K91:S91)))^(1/inputs!$O$13))-1)/inputs!$N$13&lt;inputs!$I$17, (((inputs!$P$13/(V91/MAX(K91:S91)))^(1/inputs!$O$13))-1)/inputs!$N$13, inputs!$I$17))</f>
        <v>1000</v>
      </c>
      <c r="U91" s="63">
        <f>IF((((inputs!$P$13/(X91/MAX(K91:S91)))^(1/inputs!$O$13))-1)/inputs!$N$13&lt;0, 0, IF((((inputs!$P$13/(X91/MAX(K91:S91)))^(1/inputs!$O$13))-1)/inputs!$N$13&lt;inputs!$I$17, (((inputs!$P$13/(X91/MAX(K91:S91)))^(1/inputs!$O$13))-1)/inputs!$N$13, inputs!$I$17))</f>
        <v>31.127836025673453</v>
      </c>
      <c r="V91" s="21">
        <f>inputs!$E$78*(F91/inputs!$F$78)^(inputs!$E$84-1)</f>
        <v>8.9151198958738638E-3</v>
      </c>
      <c r="W91" s="21">
        <f>inputs!$E$85*(F91/inputs!$F$85)^(inputs!$E$84-1)</f>
        <v>0.41168381369928875</v>
      </c>
      <c r="X91" s="21">
        <f>inputs!$E$80*(F91/inputs!$F$80)^(inputs!$E$84-1)</f>
        <v>1.5373003169783566</v>
      </c>
      <c r="Y91" s="21">
        <f>inputs!$E$82*(F91/inputs!$F$82)^(inputs!$E$84-1)</f>
        <v>0.70851742330365974</v>
      </c>
      <c r="Z91" s="63">
        <f t="shared" si="9"/>
        <v>1798.3013325561544</v>
      </c>
      <c r="AA91" s="63">
        <f t="shared" si="10"/>
        <v>38.942682357578327</v>
      </c>
    </row>
    <row r="92" spans="1:27" x14ac:dyDescent="0.25">
      <c r="A92" s="114" t="s">
        <v>317</v>
      </c>
      <c r="B92" s="48" t="s">
        <v>318</v>
      </c>
      <c r="C92" s="20" t="s">
        <v>73</v>
      </c>
      <c r="D92" s="48" t="s">
        <v>172</v>
      </c>
      <c r="E92" s="15">
        <v>147</v>
      </c>
      <c r="F92" s="15">
        <v>773</v>
      </c>
      <c r="G92" s="20" t="s">
        <v>164</v>
      </c>
      <c r="H92" s="20">
        <v>0.78</v>
      </c>
      <c r="I92" s="68">
        <f>inputs!$C$66*(inputs!$C$62/1000)</f>
        <v>8.2000000000000011</v>
      </c>
      <c r="J92" s="68">
        <f>inputs!$C$66*(inputs!$C$61/1000)</f>
        <v>2.5</v>
      </c>
      <c r="K92" s="69">
        <f t="shared" si="7"/>
        <v>2.1419087903188658</v>
      </c>
      <c r="L92" s="69">
        <f t="shared" si="11"/>
        <v>0.6530209726581907</v>
      </c>
      <c r="M92" s="69">
        <f>IF((((1.18*F92^0.874)/3.7-(0.301*F92^0.751)/(1-H92)*H92)*(MAX('Max rate concentrations'!$P$3:$P$368)))/F92&gt;0, (((1.18*F92^0.874)/3.7-(0.301*F92^0.751)/(1-H92)*H92)*(MAX('Max rate concentrations'!$P$3:$P$368)))/F92, 0)</f>
        <v>0</v>
      </c>
      <c r="N92" s="69">
        <f>IF((((1.18*F92^0.874)/3.7-(0.301*F92^0.751)/(1-H92)*H92)*(MAX('Max rate concentrations'!$Q$3:$Q$368)))/F92&gt;0, (((1.18*F92^0.874)/3.7-(0.301*F92^0.751)/(1-H92)*H92)*(MAX('Max rate concentrations'!$Q$3:$Q$368)))/F92, 0)</f>
        <v>0</v>
      </c>
      <c r="O92" s="69">
        <f>((MAX('Max rate concentrations'!$F$3:$F$368))*0.62*6.01*8*(10*F92^0.667)*0.079*0.1/F92)*inputs!$E$80/(10^(0.84+0.62*LOG10(inputs!$E$80)))</f>
        <v>16.032071988647854</v>
      </c>
      <c r="P92" s="69">
        <f>((MAX('Max rate concentrations'!Y:Y))*0.62*6.01*8*(10*F92^0.667)*0.079*0.1/F92)*inputs!$E$80/(10^(0.84+0.62*LOG10(inputs!$E$80)))</f>
        <v>5.3440239962159497</v>
      </c>
      <c r="Q92" s="69">
        <f>(inputs!$C$18*11.2*(10*F92^0.667)*0.5/F92)*inputs!$E$80/(10^(0.84+0.62*LOG10(inputs!$E$80)))</f>
        <v>2.8239738642808883</v>
      </c>
      <c r="R92" s="59">
        <f>(60*284*((F92/1000)^0.77)*3*24*(MAX('Max rate concentrations'!$R$3:$R$368))/F92)*(inputs!$E$73*3.4/inputs!$E$75)</f>
        <v>2.9840457124824679E-2</v>
      </c>
      <c r="S92" s="59">
        <f>(IF(inputs!$C$17="aerial",((0.025*0.112*inputs!$C$18/3.3)*(3*60*284*((F92/1000)^0.77))*MAX(inputs!$I$14:$I$16))/F92,((0.0083*0.112*inputs!$C$18/1)*(3*60*284*((F92/1000)^0.77))*MAX(inputs!$I$14:$I$16))/F92))*(inputs!E$75*3.4/inputs!$E$73)</f>
        <v>0.16457195439064023</v>
      </c>
      <c r="T92" s="63">
        <f>IF((((inputs!$P$13/(V92/MAX(K92:S92)))^(1/inputs!$O$13))-1)/inputs!$N$13&lt;0, 0, IF((((inputs!$P$13/(V92/MAX(K92:S92)))^(1/inputs!$O$13))-1)/inputs!$N$13&lt;inputs!$I$17, (((inputs!$P$13/(V92/MAX(K92:S92)))^(1/inputs!$O$13))-1)/inputs!$N$13, inputs!$I$17))</f>
        <v>1000</v>
      </c>
      <c r="U92" s="63">
        <f>IF((((inputs!$P$13/(X92/MAX(K92:S92)))^(1/inputs!$O$13))-1)/inputs!$N$13&lt;0, 0, IF((((inputs!$P$13/(X92/MAX(K92:S92)))^(1/inputs!$O$13))-1)/inputs!$N$13&lt;inputs!$I$17, (((inputs!$P$13/(X92/MAX(K92:S92)))^(1/inputs!$O$13))-1)/inputs!$N$13, inputs!$I$17))</f>
        <v>31.127836025673453</v>
      </c>
      <c r="V92" s="21">
        <f>inputs!$E$78*(F92/inputs!$F$78)^(inputs!$E$84-1)</f>
        <v>8.9151198958738638E-3</v>
      </c>
      <c r="W92" s="21">
        <f>inputs!$E$85*(F92/inputs!$F$85)^(inputs!$E$84-1)</f>
        <v>0.41168381369928875</v>
      </c>
      <c r="X92" s="21">
        <f>inputs!$E$80*(F92/inputs!$F$80)^(inputs!$E$84-1)</f>
        <v>1.5373003169783566</v>
      </c>
      <c r="Y92" s="21">
        <f>inputs!$E$82*(F92/inputs!$F$82)^(inputs!$E$84-1)</f>
        <v>0.70851742330365974</v>
      </c>
      <c r="Z92" s="63">
        <f t="shared" si="9"/>
        <v>1798.3013325561544</v>
      </c>
      <c r="AA92" s="63">
        <f t="shared" si="10"/>
        <v>38.942682357578327</v>
      </c>
    </row>
    <row r="93" spans="1:27" x14ac:dyDescent="0.25">
      <c r="A93" s="103" t="s">
        <v>147</v>
      </c>
      <c r="B93" s="20" t="s">
        <v>148</v>
      </c>
      <c r="C93" s="20" t="s">
        <v>73</v>
      </c>
      <c r="D93" s="104" t="s">
        <v>149</v>
      </c>
      <c r="E93" s="15">
        <v>148</v>
      </c>
      <c r="F93" s="15">
        <v>6.4</v>
      </c>
      <c r="G93" s="20" t="s">
        <v>142</v>
      </c>
      <c r="H93" s="20">
        <v>0.69</v>
      </c>
      <c r="I93" s="68">
        <f>MAX('Max rate concentrations'!$H$3:$H$368)</f>
        <v>282</v>
      </c>
      <c r="J93" s="68">
        <f>MAX('Max rate concentrations'!AA:AA)</f>
        <v>195</v>
      </c>
      <c r="K93" s="69">
        <f t="shared" si="7"/>
        <v>172.47060887251024</v>
      </c>
      <c r="L93" s="69">
        <f t="shared" si="11"/>
        <v>119.26159124162943</v>
      </c>
      <c r="M93" s="69">
        <f>IF((((1.18*F93^0.874)/3.7-(0.301*F93^0.751)/(1-H93)*H93)*(MAX('Max rate concentrations'!$P$3:$P$368)))/F93&gt;0, (((1.18*F93^0.874)/3.7-(0.301*F93^0.751)/(1-H93)*H93)*(MAX('Max rate concentrations'!$P$3:$P$368)))/F93, 0)</f>
        <v>0</v>
      </c>
      <c r="N93" s="69">
        <f>IF((((1.18*F93^0.874)/3.7-(0.301*F93^0.751)/(1-H93)*H93)*(MAX('Max rate concentrations'!$Q$3:$Q$368)))/F93&gt;0, (((1.18*F93^0.874)/3.7-(0.301*F93^0.751)/(1-H93)*H93)*(MAX('Max rate concentrations'!$Q$3:$Q$368)))/F93, 0)</f>
        <v>0</v>
      </c>
      <c r="O93" s="69">
        <f>((MAX('Max rate concentrations'!$F$3:$F$368))*0.62*6.01*8*(10*F93^0.667)*0.079*0.1/F93)*inputs!$E$80/(10^(0.84+0.62*LOG10(inputs!$E$80)))</f>
        <v>79.121678966023026</v>
      </c>
      <c r="P93" s="69">
        <f>((MAX('Max rate concentrations'!Y:Y))*0.62*6.01*8*(10*F93^0.667)*0.079*0.1/F93)*inputs!$E$80/(10^(0.84+0.62*LOG10(inputs!$E$80)))</f>
        <v>26.373892988674346</v>
      </c>
      <c r="Q93" s="69">
        <f>(inputs!$C$18*11.2*(10*F93^0.667)*0.5/F93)*inputs!$E$80/(10^(0.84+0.62*LOG10(inputs!$E$80)))</f>
        <v>13.936910566287738</v>
      </c>
      <c r="R93" s="59">
        <f>(60*284*((F93/1000)^0.77)*3*24*(MAX('Max rate concentrations'!$R$3:$R$368))/F93)*(inputs!$E$73*3.4/inputs!$E$75)</f>
        <v>8.9880475510377159E-2</v>
      </c>
      <c r="S93" s="59">
        <f>(IF(inputs!$C$17="aerial",((0.025*0.112*inputs!$C$18/3.3)*(3*60*284*((F93/1000)^0.77))*MAX(inputs!$I$14:$I$16))/F93,((0.0083*0.112*inputs!$C$18/1)*(3*60*284*((F93/1000)^0.77))*MAX(inputs!$I$14:$I$16))/F93))*(inputs!E$75*3.4/inputs!$E$73)</f>
        <v>0.49569634454417738</v>
      </c>
      <c r="T93" s="63">
        <f>IF((((inputs!$P$13/(V93/MAX(K93:S93)))^(1/inputs!$O$13))-1)/inputs!$N$13&lt;0, 0, IF((((inputs!$P$13/(V93/MAX(K93:S93)))^(1/inputs!$O$13))-1)/inputs!$N$13&lt;inputs!$I$17, (((inputs!$P$13/(V93/MAX(K93:S93)))^(1/inputs!$O$13))-1)/inputs!$N$13, inputs!$I$17))</f>
        <v>1000</v>
      </c>
      <c r="U93" s="63">
        <f>IF((((inputs!$P$13/(X93/MAX(K93:S93)))^(1/inputs!$O$13))-1)/inputs!$N$13&lt;0, 0, IF((((inputs!$P$13/(X93/MAX(K93:S93)))^(1/inputs!$O$13))-1)/inputs!$N$13&lt;inputs!$I$17, (((inputs!$P$13/(X93/MAX(K93:S93)))^(1/inputs!$O$13))-1)/inputs!$N$13, inputs!$I$17))</f>
        <v>53.920776387669946</v>
      </c>
      <c r="V93" s="21">
        <f>inputs!$E$78*(F93/inputs!$F$78)^(inputs!$E$84-1)</f>
        <v>5.2537210583032415E-2</v>
      </c>
      <c r="W93" s="21">
        <f>inputs!$E$85*(F93/inputs!$F$85)^(inputs!$E$84-1)</f>
        <v>2.426071602688789</v>
      </c>
      <c r="X93" s="21">
        <f>inputs!$E$80*(F93/inputs!$F$80)^(inputs!$E$84-1)</f>
        <v>9.0593813011796538</v>
      </c>
      <c r="Y93" s="21">
        <f>inputs!$E$82*(F93/inputs!$F$82)^(inputs!$E$84-1)</f>
        <v>4.1753256831778396</v>
      </c>
      <c r="Z93" s="63">
        <f t="shared" si="9"/>
        <v>3282.8276750614527</v>
      </c>
      <c r="AA93" s="63">
        <f t="shared" si="10"/>
        <v>71.090485821342995</v>
      </c>
    </row>
    <row r="94" spans="1:27" x14ac:dyDescent="0.25">
      <c r="A94" s="103" t="s">
        <v>199</v>
      </c>
      <c r="B94" s="20" t="s">
        <v>200</v>
      </c>
      <c r="C94" s="20" t="s">
        <v>73</v>
      </c>
      <c r="D94" s="104" t="s">
        <v>201</v>
      </c>
      <c r="E94" s="15">
        <v>111</v>
      </c>
      <c r="F94" s="15">
        <v>33.799999999999997</v>
      </c>
      <c r="G94" s="20" t="s">
        <v>142</v>
      </c>
      <c r="H94" s="20">
        <v>0.69</v>
      </c>
      <c r="I94" s="68">
        <f>MAX('Max rate concentrations'!$H$3:$H$368)</f>
        <v>282</v>
      </c>
      <c r="J94" s="68">
        <f>MAX('Max rate concentrations'!AA:AA)</f>
        <v>195</v>
      </c>
      <c r="K94" s="69">
        <f t="shared" ref="K94:K125" si="12">((0.301*F94^0.751)/(1-H94))*I94/F94</f>
        <v>113.96031780734305</v>
      </c>
      <c r="L94" s="69">
        <f t="shared" si="11"/>
        <v>78.802347419971255</v>
      </c>
      <c r="M94" s="69">
        <f>IF((((1.18*F94^0.874)/3.7-(0.301*F94^0.751)/(1-H94)*H94)*(MAX('Max rate concentrations'!$P$3:$P$368)))/F94&gt;0, (((1.18*F94^0.874)/3.7-(0.301*F94^0.751)/(1-H94)*H94)*(MAX('Max rate concentrations'!$P$3:$P$368)))/F94, 0)</f>
        <v>0</v>
      </c>
      <c r="N94" s="69">
        <f>IF((((1.18*F94^0.874)/3.7-(0.301*F94^0.751)/(1-H94)*H94)*(MAX('Max rate concentrations'!$Q$3:$Q$368)))/F94&gt;0, (((1.18*F94^0.874)/3.7-(0.301*F94^0.751)/(1-H94)*H94)*(MAX('Max rate concentrations'!$Q$3:$Q$368)))/F94, 0)</f>
        <v>0</v>
      </c>
      <c r="O94" s="69">
        <f>((MAX('Max rate concentrations'!$F$3:$F$368))*0.62*6.01*8*(10*F94^0.667)*0.079*0.1/F94)*inputs!$E$80/(10^(0.84+0.62*LOG10(inputs!$E$80)))</f>
        <v>45.459448697586438</v>
      </c>
      <c r="P94" s="69">
        <f>((MAX('Max rate concentrations'!Y:Y))*0.62*6.01*8*(10*F94^0.667)*0.079*0.1/F94)*inputs!$E$80/(10^(0.84+0.62*LOG10(inputs!$E$80)))</f>
        <v>15.153149565862146</v>
      </c>
      <c r="Q94" s="69">
        <f>(inputs!$C$18*11.2*(10*F94^0.667)*0.5/F94)*inputs!$E$80/(10^(0.84+0.62*LOG10(inputs!$E$80)))</f>
        <v>8.0074674750402774</v>
      </c>
      <c r="R94" s="59">
        <f>(60*284*((F94/1000)^0.77)*3*24*(MAX('Max rate concentrations'!$R$3:$R$368))/F94)*(inputs!$E$73*3.4/inputs!$E$75)</f>
        <v>6.1296533465032603E-2</v>
      </c>
      <c r="S94" s="59">
        <f>(IF(inputs!$C$17="aerial",((0.025*0.112*inputs!$C$18/3.3)*(3*60*284*((F94/1000)^0.77))*MAX(inputs!$I$14:$I$16))/F94,((0.0083*0.112*inputs!$C$18/1)*(3*60*284*((F94/1000)^0.77))*MAX(inputs!$I$14:$I$16))/F94))*(inputs!E$75*3.4/inputs!$E$73)</f>
        <v>0.33805414801503186</v>
      </c>
      <c r="T94" s="63">
        <f>IF((((inputs!$P$13/(V94/MAX(K94:S94)))^(1/inputs!$O$13))-1)/inputs!$N$13&lt;0, 0, IF((((inputs!$P$13/(V94/MAX(K94:S94)))^(1/inputs!$O$13))-1)/inputs!$N$13&lt;inputs!$I$17, (((inputs!$P$13/(V94/MAX(K94:S94)))^(1/inputs!$O$13))-1)/inputs!$N$13, inputs!$I$17))</f>
        <v>1000</v>
      </c>
      <c r="U94" s="63">
        <f>IF((((inputs!$P$13/(X94/MAX(K94:S94)))^(1/inputs!$O$13))-1)/inputs!$N$13&lt;0, 0, IF((((inputs!$P$13/(X94/MAX(K94:S94)))^(1/inputs!$O$13))-1)/inputs!$N$13&lt;inputs!$I$17, (((inputs!$P$13/(X94/MAX(K94:S94)))^(1/inputs!$O$13))-1)/inputs!$N$13, inputs!$I$17))</f>
        <v>64.380795118068647</v>
      </c>
      <c r="V94" s="21">
        <f>inputs!$E$78*(F94/inputs!$F$78)^(inputs!$E$84-1)</f>
        <v>2.8382746730274414E-2</v>
      </c>
      <c r="W94" s="21">
        <f>inputs!$E$85*(F94/inputs!$F$85)^(inputs!$E$84-1)</f>
        <v>1.3106629583959224</v>
      </c>
      <c r="X94" s="21">
        <f>inputs!$E$80*(F94/inputs!$F$80)^(inputs!$E$84-1)</f>
        <v>4.8942477560354058</v>
      </c>
      <c r="Y94" s="21">
        <f>inputs!$E$82*(F94/inputs!$F$82)^(inputs!$E$84-1)</f>
        <v>2.2556814506691771</v>
      </c>
      <c r="Z94" s="63">
        <f t="shared" si="9"/>
        <v>4015.126474203691</v>
      </c>
      <c r="AA94" s="63">
        <f t="shared" si="10"/>
        <v>86.948606487525481</v>
      </c>
    </row>
    <row r="95" spans="1:27" x14ac:dyDescent="0.25">
      <c r="A95" s="114" t="s">
        <v>346</v>
      </c>
      <c r="B95" s="20" t="s">
        <v>347</v>
      </c>
      <c r="C95" s="20" t="s">
        <v>73</v>
      </c>
      <c r="D95" s="48" t="s">
        <v>185</v>
      </c>
      <c r="E95" s="15">
        <v>96</v>
      </c>
      <c r="F95" s="15">
        <v>39</v>
      </c>
      <c r="G95" s="20" t="s">
        <v>186</v>
      </c>
      <c r="H95" s="49">
        <v>0.75</v>
      </c>
      <c r="I95" s="68">
        <f>inputs!$C$66*inputs!$C$64/1000</f>
        <v>21.3</v>
      </c>
      <c r="J95" s="68">
        <f>inputs!$C$66*inputs!$C$63/1000</f>
        <v>8.8000000000000007</v>
      </c>
      <c r="K95" s="69">
        <f t="shared" si="12"/>
        <v>10.299852448202287</v>
      </c>
      <c r="L95" s="69">
        <f t="shared" si="11"/>
        <v>4.2553381006657345</v>
      </c>
      <c r="M95" s="69">
        <f>IF((((1.18*F95^0.874)/3.7-(0.301*F95^0.751)/(1-H95)*H95)*(MAX('Max rate concentrations'!$P$3:$P$368)))/F95&gt;0, (((1.18*F95^0.874)/3.7-(0.301*F95^0.751)/(1-H95)*H95)*(MAX('Max rate concentrations'!$P$3:$P$368)))/F95, 0)</f>
        <v>0</v>
      </c>
      <c r="N95" s="69">
        <f>IF((((1.18*F95^0.874)/3.7-(0.301*F95^0.751)/(1-H95)*H95)*(MAX('Max rate concentrations'!$Q$3:$Q$368)))/F95&gt;0, (((1.18*F95^0.874)/3.7-(0.301*F95^0.751)/(1-H95)*H95)*(MAX('Max rate concentrations'!$Q$3:$Q$368)))/F95, 0)</f>
        <v>0</v>
      </c>
      <c r="O95" s="69">
        <f>((MAX('Max rate concentrations'!$F$3:$F$368))*0.62*6.01*8*(10*F95^0.667)*0.079*0.1/F95)*inputs!$E$80/(10^(0.84+0.62*LOG10(inputs!$E$80)))</f>
        <v>43.343992409510264</v>
      </c>
      <c r="P95" s="69">
        <f>((MAX('Max rate concentrations'!Y:Y))*0.62*6.01*8*(10*F95^0.667)*0.079*0.1/F95)*inputs!$E$80/(10^(0.84+0.62*LOG10(inputs!$E$80)))</f>
        <v>14.447997469836752</v>
      </c>
      <c r="Q95" s="69">
        <f>(inputs!$C$18*11.2*(10*F95^0.667)*0.5/F95)*inputs!$E$80/(10^(0.84+0.62*LOG10(inputs!$E$80)))</f>
        <v>7.6348398276104303</v>
      </c>
      <c r="R95" s="59">
        <f>(60*284*((F95/1000)^0.77)*3*24*(MAX('Max rate concentrations'!$R$3:$R$368))/F95)*(inputs!$E$73*3.4/inputs!$E$75)</f>
        <v>5.9311908100378188E-2</v>
      </c>
      <c r="S95" s="59">
        <f>(IF(inputs!$C$17="aerial",((0.025*0.112*inputs!$C$18/3.3)*(3*60*284*((F95/1000)^0.77))*MAX(inputs!$I$14:$I$16))/F95,((0.0083*0.112*inputs!$C$18/1)*(3*60*284*((F95/1000)^0.77))*MAX(inputs!$I$14:$I$16))/F95))*(inputs!E$75*3.4/inputs!$E$73)</f>
        <v>0.32710881719693613</v>
      </c>
      <c r="T95" s="63">
        <f>IF((((inputs!$P$13/(V95/MAX(K95:S95)))^(1/inputs!$O$13))-1)/inputs!$N$13&lt;0, 0, IF((((inputs!$P$13/(V95/MAX(K95:S95)))^(1/inputs!$O$13))-1)/inputs!$N$13&lt;inputs!$I$17, (((inputs!$P$13/(V95/MAX(K95:S95)))^(1/inputs!$O$13))-1)/inputs!$N$13, inputs!$I$17))</f>
        <v>1000</v>
      </c>
      <c r="U95" s="63">
        <f>IF((((inputs!$P$13/(X95/MAX(K95:S95)))^(1/inputs!$O$13))-1)/inputs!$N$13&lt;0, 0, IF((((inputs!$P$13/(X95/MAX(K95:S95)))^(1/inputs!$O$13))-1)/inputs!$N$13&lt;inputs!$I$17, (((inputs!$P$13/(X95/MAX(K95:S95)))^(1/inputs!$O$13))-1)/inputs!$N$13, inputs!$I$17))</f>
        <v>28.019895786179433</v>
      </c>
      <c r="V95" s="21">
        <f>inputs!$E$78*(F95/inputs!$F$78)^(inputs!$E$84-1)</f>
        <v>2.6919047967817342E-2</v>
      </c>
      <c r="W95" s="21">
        <f>inputs!$E$85*(F95/inputs!$F$85)^(inputs!$E$84-1)</f>
        <v>1.2430720459154132</v>
      </c>
      <c r="X95" s="21">
        <f>inputs!$E$80*(F95/inputs!$F$80)^(inputs!$E$84-1)</f>
        <v>4.6418513106967962</v>
      </c>
      <c r="Y95" s="21">
        <f>inputs!$E$82*(F95/inputs!$F$82)^(inputs!$E$84-1)</f>
        <v>2.1393559174423253</v>
      </c>
      <c r="Z95" s="63">
        <f t="shared" si="9"/>
        <v>1610.1606736363601</v>
      </c>
      <c r="AA95" s="63">
        <f t="shared" si="10"/>
        <v>34.868447530401369</v>
      </c>
    </row>
    <row r="96" spans="1:27" x14ac:dyDescent="0.25">
      <c r="A96" s="103" t="s">
        <v>292</v>
      </c>
      <c r="B96" s="20" t="s">
        <v>293</v>
      </c>
      <c r="C96" s="20" t="s">
        <v>73</v>
      </c>
      <c r="D96" s="104" t="s">
        <v>185</v>
      </c>
      <c r="E96" s="15">
        <v>91</v>
      </c>
      <c r="F96" s="15">
        <v>270</v>
      </c>
      <c r="G96" s="20" t="s">
        <v>142</v>
      </c>
      <c r="H96" s="20">
        <v>0.69</v>
      </c>
      <c r="I96" s="68">
        <f>MAX('Max rate concentrations'!$H$3:$H$368)</f>
        <v>282</v>
      </c>
      <c r="J96" s="68">
        <f>MAX('Max rate concentrations'!AA:AA)</f>
        <v>195</v>
      </c>
      <c r="K96" s="69">
        <f t="shared" si="12"/>
        <v>67.927296929828131</v>
      </c>
      <c r="L96" s="69">
        <f t="shared" si="11"/>
        <v>46.971003196157753</v>
      </c>
      <c r="M96" s="69">
        <f>IF((((1.18*F96^0.874)/3.7-(0.301*F96^0.751)/(1-H96)*H96)*(MAX('Max rate concentrations'!$P$3:$P$368)))/F96&gt;0, (((1.18*F96^0.874)/3.7-(0.301*F96^0.751)/(1-H96)*H96)*(MAX('Max rate concentrations'!$P$3:$P$368)))/F96, 0)</f>
        <v>0</v>
      </c>
      <c r="N96" s="69">
        <f>IF((((1.18*F96^0.874)/3.7-(0.301*F96^0.751)/(1-H96)*H96)*(MAX('Max rate concentrations'!$Q$3:$Q$368)))/F96&gt;0, (((1.18*F96^0.874)/3.7-(0.301*F96^0.751)/(1-H96)*H96)*(MAX('Max rate concentrations'!$Q$3:$Q$368)))/F96, 0)</f>
        <v>0</v>
      </c>
      <c r="O96" s="69">
        <f>((MAX('Max rate concentrations'!$F$3:$F$368))*0.62*6.01*8*(10*F96^0.667)*0.079*0.1/F96)*inputs!$E$80/(10^(0.84+0.62*LOG10(inputs!$E$80)))</f>
        <v>22.756700421048166</v>
      </c>
      <c r="P96" s="69">
        <f>((MAX('Max rate concentrations'!Y:Y))*0.62*6.01*8*(10*F96^0.667)*0.079*0.1/F96)*inputs!$E$80/(10^(0.84+0.62*LOG10(inputs!$E$80)))</f>
        <v>7.5855668070160549</v>
      </c>
      <c r="Q96" s="69">
        <f>(inputs!$C$18*11.2*(10*F96^0.667)*0.5/F96)*inputs!$E$80/(10^(0.84+0.62*LOG10(inputs!$E$80)))</f>
        <v>4.008485445413096</v>
      </c>
      <c r="R96" s="59">
        <f>(60*284*((F96/1000)^0.77)*3*24*(MAX('Max rate concentrations'!$R$3:$R$368))/F96)*(inputs!$E$73*3.4/inputs!$E$75)</f>
        <v>3.8007831288017109E-2</v>
      </c>
      <c r="S96" s="59">
        <f>(IF(inputs!$C$17="aerial",((0.025*0.112*inputs!$C$18/3.3)*(3*60*284*((F96/1000)^0.77))*MAX(inputs!$I$14:$I$16))/F96,((0.0083*0.112*inputs!$C$18/1)*(3*60*284*((F96/1000)^0.77))*MAX(inputs!$I$14:$I$16))/F96))*(inputs!E$75*3.4/inputs!$E$73)</f>
        <v>0.20961552469030581</v>
      </c>
      <c r="T96" s="63">
        <f>IF((((inputs!$P$13/(V96/MAX(K96:S96)))^(1/inputs!$O$13))-1)/inputs!$N$13&lt;0, 0, IF((((inputs!$P$13/(V96/MAX(K96:S96)))^(1/inputs!$O$13))-1)/inputs!$N$13&lt;inputs!$I$17, (((inputs!$P$13/(V96/MAX(K96:S96)))^(1/inputs!$O$13))-1)/inputs!$N$13, inputs!$I$17))</f>
        <v>1000</v>
      </c>
      <c r="U96" s="63">
        <f>IF((((inputs!$P$13/(X96/MAX(K96:S96)))^(1/inputs!$O$13))-1)/inputs!$N$13&lt;0, 0, IF((((inputs!$P$13/(X96/MAX(K96:S96)))^(1/inputs!$O$13))-1)/inputs!$N$13&lt;inputs!$I$17, (((inputs!$P$13/(X96/MAX(K96:S96)))^(1/inputs!$O$13))-1)/inputs!$N$13, inputs!$I$17))</f>
        <v>80.075511111786881</v>
      </c>
      <c r="V96" s="21">
        <f>inputs!$E$78*(F96/inputs!$F$78)^(inputs!$E$84-1)</f>
        <v>1.3156761686377191E-2</v>
      </c>
      <c r="W96" s="21">
        <f>inputs!$E$85*(F96/inputs!$F$85)^(inputs!$E$84-1)</f>
        <v>0.60755501779480292</v>
      </c>
      <c r="X96" s="21">
        <f>inputs!$E$80*(F96/inputs!$F$80)^(inputs!$E$84-1)</f>
        <v>2.2687181044236309</v>
      </c>
      <c r="Y96" s="21">
        <f>inputs!$E$82*(F96/inputs!$F$82)^(inputs!$E$84-1)</f>
        <v>1.0456163234962925</v>
      </c>
      <c r="Z96" s="63">
        <f t="shared" si="9"/>
        <v>5162.9191551110634</v>
      </c>
      <c r="AA96" s="63">
        <f t="shared" si="10"/>
        <v>111.8043550629847</v>
      </c>
    </row>
    <row r="97" spans="1:476" x14ac:dyDescent="0.25">
      <c r="A97" s="103" t="s">
        <v>292</v>
      </c>
      <c r="B97" s="20" t="s">
        <v>293</v>
      </c>
      <c r="C97" s="20" t="s">
        <v>73</v>
      </c>
      <c r="D97" s="104" t="s">
        <v>185</v>
      </c>
      <c r="E97" s="15">
        <v>91</v>
      </c>
      <c r="F97" s="15">
        <v>270</v>
      </c>
      <c r="G97" s="20" t="s">
        <v>152</v>
      </c>
      <c r="H97" s="20">
        <v>0.77</v>
      </c>
      <c r="I97" s="68">
        <f>MAX('Max rate concentrations'!$G$3:$G$368)</f>
        <v>45</v>
      </c>
      <c r="J97" s="68">
        <f>MAX('Max rate concentrations'!Z:Z)</f>
        <v>21</v>
      </c>
      <c r="K97" s="69">
        <f t="shared" si="12"/>
        <v>14.609710024222984</v>
      </c>
      <c r="L97" s="69">
        <f t="shared" si="11"/>
        <v>6.8178646779707259</v>
      </c>
      <c r="M97" s="69">
        <f>IF((((1.18*F97^0.874)/3.7-(0.301*F97^0.751)/(1-H97)*H97)*(MAX('Max rate concentrations'!$P$3:$P$368)))/F97&gt;0, (((1.18*F97^0.874)/3.7-(0.301*F97^0.751)/(1-H97)*H97)*(MAX('Max rate concentrations'!$P$3:$P$368)))/F97, 0)</f>
        <v>0</v>
      </c>
      <c r="N97" s="69">
        <f>IF((((1.18*F97^0.874)/3.7-(0.301*F97^0.751)/(1-H97)*H97)*(MAX('Max rate concentrations'!$Q$3:$Q$368)))/F97&gt;0, (((1.18*F97^0.874)/3.7-(0.301*F97^0.751)/(1-H97)*H97)*(MAX('Max rate concentrations'!$Q$3:$Q$368)))/F97, 0)</f>
        <v>0</v>
      </c>
      <c r="O97" s="69">
        <f>((MAX('Max rate concentrations'!$F$3:$F$368))*0.62*6.01*8*(10*F97^0.667)*0.079*0.1/F97)*inputs!$E$80/(10^(0.84+0.62*LOG10(inputs!$E$80)))</f>
        <v>22.756700421048166</v>
      </c>
      <c r="P97" s="69">
        <f>((MAX('Max rate concentrations'!Y:Y))*0.62*6.01*8*(10*F97^0.667)*0.079*0.1/F97)*inputs!$E$80/(10^(0.84+0.62*LOG10(inputs!$E$80)))</f>
        <v>7.5855668070160549</v>
      </c>
      <c r="Q97" s="69">
        <f>(inputs!$C$18*11.2*(10*F97^0.667)*0.5/F97)*inputs!$E$80/(10^(0.84+0.62*LOG10(inputs!$E$80)))</f>
        <v>4.008485445413096</v>
      </c>
      <c r="R97" s="59">
        <f>(60*284*((F97/1000)^0.77)*3*24*(MAX('Max rate concentrations'!$R$3:$R$368))/F97)*(inputs!$E$73*3.4/inputs!$E$75)</f>
        <v>3.8007831288017109E-2</v>
      </c>
      <c r="S97" s="59">
        <f>(IF(inputs!$C$17="aerial",((0.025*0.112*inputs!$C$18/3.3)*(3*60*284*((F97/1000)^0.77))*MAX(inputs!$I$14:$I$16))/F97,((0.0083*0.112*inputs!$C$18/1)*(3*60*284*((F97/1000)^0.77))*MAX(inputs!$I$14:$I$16))/F97))*(inputs!E$75*3.4/inputs!$E$73)</f>
        <v>0.20961552469030581</v>
      </c>
      <c r="T97" s="63">
        <f>IF((((inputs!$P$13/(V97/MAX(K97:S97)))^(1/inputs!$O$13))-1)/inputs!$N$13&lt;0, 0, IF((((inputs!$P$13/(V97/MAX(K97:S97)))^(1/inputs!$O$13))-1)/inputs!$N$13&lt;inputs!$I$17, (((inputs!$P$13/(V97/MAX(K97:S97)))^(1/inputs!$O$13))-1)/inputs!$N$13, inputs!$I$17))</f>
        <v>1000</v>
      </c>
      <c r="U97" s="63">
        <f>IF((((inputs!$P$13/(X97/MAX(K97:S97)))^(1/inputs!$O$13))-1)/inputs!$N$13&lt;0, 0, IF((((inputs!$P$13/(X97/MAX(K97:S97)))^(1/inputs!$O$13))-1)/inputs!$N$13&lt;inputs!$I$17, (((inputs!$P$13/(X97/MAX(K97:S97)))^(1/inputs!$O$13))-1)/inputs!$N$13, inputs!$I$17))</f>
        <v>30.001469133112153</v>
      </c>
      <c r="V97" s="21">
        <f>inputs!$E$78*(F97/inputs!$F$78)^(inputs!$E$84-1)</f>
        <v>1.3156761686377191E-2</v>
      </c>
      <c r="W97" s="21">
        <f>inputs!$E$85*(F97/inputs!$F$85)^(inputs!$E$84-1)</f>
        <v>0.60755501779480292</v>
      </c>
      <c r="X97" s="21">
        <f>inputs!$E$80*(F97/inputs!$F$80)^(inputs!$E$84-1)</f>
        <v>2.2687181044236309</v>
      </c>
      <c r="Y97" s="21">
        <f>inputs!$E$82*(F97/inputs!$F$82)^(inputs!$E$84-1)</f>
        <v>1.0456163234962925</v>
      </c>
      <c r="Z97" s="63">
        <f t="shared" si="9"/>
        <v>1729.6581760396989</v>
      </c>
      <c r="AA97" s="63">
        <f t="shared" si="10"/>
        <v>37.456196977265471</v>
      </c>
    </row>
    <row r="98" spans="1:476" x14ac:dyDescent="0.25">
      <c r="A98" s="114" t="s">
        <v>265</v>
      </c>
      <c r="B98" s="48" t="s">
        <v>266</v>
      </c>
      <c r="C98" s="20" t="s">
        <v>73</v>
      </c>
      <c r="D98" s="48" t="s">
        <v>185</v>
      </c>
      <c r="E98" s="15">
        <v>104</v>
      </c>
      <c r="F98" s="15">
        <v>166</v>
      </c>
      <c r="G98" s="20" t="s">
        <v>164</v>
      </c>
      <c r="H98" s="20">
        <v>0.78</v>
      </c>
      <c r="I98" s="68">
        <f>inputs!$C$66*(inputs!$C$62/1000)</f>
        <v>8.2000000000000011</v>
      </c>
      <c r="J98" s="68">
        <f>inputs!$C$66*(inputs!$C$61/1000)</f>
        <v>2.5</v>
      </c>
      <c r="K98" s="69">
        <f t="shared" si="12"/>
        <v>3.1415990232273274</v>
      </c>
      <c r="L98" s="69">
        <f t="shared" si="11"/>
        <v>0.95780458025223381</v>
      </c>
      <c r="M98" s="69">
        <f>IF((((1.18*F98^0.874)/3.7-(0.301*F98^0.751)/(1-H98)*H98)*(MAX('Max rate concentrations'!$P$3:$P$368)))/F98&gt;0, (((1.18*F98^0.874)/3.7-(0.301*F98^0.751)/(1-H98)*H98)*(MAX('Max rate concentrations'!$P$3:$P$368)))/F98, 0)</f>
        <v>0</v>
      </c>
      <c r="N98" s="69">
        <f>IF((((1.18*F98^0.874)/3.7-(0.301*F98^0.751)/(1-H98)*H98)*(MAX('Max rate concentrations'!$Q$3:$Q$368)))/F98&gt;0, (((1.18*F98^0.874)/3.7-(0.301*F98^0.751)/(1-H98)*H98)*(MAX('Max rate concentrations'!$Q$3:$Q$368)))/F98, 0)</f>
        <v>0</v>
      </c>
      <c r="O98" s="69">
        <f>((MAX('Max rate concentrations'!$F$3:$F$368))*0.62*6.01*8*(10*F98^0.667)*0.079*0.1/F98)*inputs!$E$80/(10^(0.84+0.62*LOG10(inputs!$E$80)))</f>
        <v>26.758233084807596</v>
      </c>
      <c r="P98" s="69">
        <f>((MAX('Max rate concentrations'!Y:Y))*0.62*6.01*8*(10*F98^0.667)*0.079*0.1/F98)*inputs!$E$80/(10^(0.84+0.62*LOG10(inputs!$E$80)))</f>
        <v>8.9194110282691987</v>
      </c>
      <c r="Q98" s="69">
        <f>(inputs!$C$18*11.2*(10*F98^0.667)*0.5/F98)*inputs!$E$80/(10^(0.84+0.62*LOG10(inputs!$E$80)))</f>
        <v>4.7133365505930431</v>
      </c>
      <c r="R98" s="59">
        <f>(60*284*((F98/1000)^0.77)*3*24*(MAX('Max rate concentrations'!$R$3:$R$368))/F98)*(inputs!$E$73*3.4/inputs!$E$75)</f>
        <v>4.2507140954196485E-2</v>
      </c>
      <c r="S98" s="59">
        <f>(IF(inputs!$C$17="aerial",((0.025*0.112*inputs!$C$18/3.3)*(3*60*284*((F98/1000)^0.77))*MAX(inputs!$I$14:$I$16))/F98,((0.0083*0.112*inputs!$C$18/1)*(3*60*284*((F98/1000)^0.77))*MAX(inputs!$I$14:$I$16))/F98))*(inputs!E$75*3.4/inputs!$E$73)</f>
        <v>0.23442949392926365</v>
      </c>
      <c r="T98" s="63">
        <f>IF((((inputs!$P$13/(V98/MAX(K98:S98)))^(1/inputs!$O$13))-1)/inputs!$N$13&lt;0, 0, IF((((inputs!$P$13/(V98/MAX(K98:S98)))^(1/inputs!$O$13))-1)/inputs!$N$13&lt;inputs!$I$17, (((inputs!$P$13/(V98/MAX(K98:S98)))^(1/inputs!$O$13))-1)/inputs!$N$13, inputs!$I$17))</f>
        <v>1000</v>
      </c>
      <c r="U98" s="63">
        <f>IF((((inputs!$P$13/(X98/MAX(K98:S98)))^(1/inputs!$O$13))-1)/inputs!$N$13&lt;0, 0, IF((((inputs!$P$13/(X98/MAX(K98:S98)))^(1/inputs!$O$13))-1)/inputs!$N$13&lt;inputs!$I$17, (((inputs!$P$13/(X98/MAX(K98:S98)))^(1/inputs!$O$13))-1)/inputs!$N$13, inputs!$I$17))</f>
        <v>29.492444822770739</v>
      </c>
      <c r="V98" s="21">
        <f>inputs!$E$78*(F98/inputs!$F$78)^(inputs!$E$84-1)</f>
        <v>1.5751198636649078E-2</v>
      </c>
      <c r="W98" s="21">
        <f>inputs!$E$85*(F98/inputs!$F$85)^(inputs!$E$84-1)</f>
        <v>0.72736133678605042</v>
      </c>
      <c r="X98" s="21">
        <f>inputs!$E$80*(F98/inputs!$F$80)^(inputs!$E$84-1)</f>
        <v>2.7160961310365175</v>
      </c>
      <c r="Y98" s="21">
        <f>inputs!$E$82*(F98/inputs!$F$82)^(inputs!$E$84-1)</f>
        <v>1.2518057863863215</v>
      </c>
      <c r="Z98" s="63">
        <f t="shared" si="9"/>
        <v>1698.8061481586499</v>
      </c>
      <c r="AA98" s="63">
        <f t="shared" si="10"/>
        <v>36.788088301534771</v>
      </c>
    </row>
    <row r="99" spans="1:476" x14ac:dyDescent="0.25">
      <c r="A99" s="114" t="s">
        <v>265</v>
      </c>
      <c r="B99" s="48" t="s">
        <v>266</v>
      </c>
      <c r="C99" s="20" t="s">
        <v>73</v>
      </c>
      <c r="D99" s="48" t="s">
        <v>185</v>
      </c>
      <c r="E99" s="15">
        <v>104</v>
      </c>
      <c r="F99" s="15">
        <v>166</v>
      </c>
      <c r="G99" s="49" t="s">
        <v>186</v>
      </c>
      <c r="H99" s="49">
        <v>0.75</v>
      </c>
      <c r="I99" s="68">
        <f>inputs!$C$66*inputs!$C$64/1000</f>
        <v>21.3</v>
      </c>
      <c r="J99" s="68">
        <f>inputs!$C$66*inputs!$C$63/1000</f>
        <v>8.8000000000000007</v>
      </c>
      <c r="K99" s="69">
        <f t="shared" si="12"/>
        <v>7.1812356208991464</v>
      </c>
      <c r="L99" s="69">
        <f t="shared" si="11"/>
        <v>2.9668954677893189</v>
      </c>
      <c r="M99" s="69">
        <f>IF((((1.18*F99^0.874)/3.7-(0.301*F99^0.751)/(1-H99)*H99)*(MAX('Max rate concentrations'!$P$3:$P$368)))/F99&gt;0, (((1.18*F99^0.874)/3.7-(0.301*F99^0.751)/(1-H99)*H99)*(MAX('Max rate concentrations'!$P$3:$P$368)))/F99, 0)</f>
        <v>0</v>
      </c>
      <c r="N99" s="69">
        <f>IF((((1.18*F99^0.874)/3.7-(0.301*F99^0.751)/(1-H99)*H99)*(MAX('Max rate concentrations'!$Q$3:$Q$368)))/F99&gt;0, (((1.18*F99^0.874)/3.7-(0.301*F99^0.751)/(1-H99)*H99)*(MAX('Max rate concentrations'!$Q$3:$Q$368)))/F99, 0)</f>
        <v>0</v>
      </c>
      <c r="O99" s="69">
        <f>((MAX('Max rate concentrations'!$F$3:$F$368))*0.62*6.01*8*(10*F99^0.667)*0.079*0.1/F99)*inputs!$E$80/(10^(0.84+0.62*LOG10(inputs!$E$80)))</f>
        <v>26.758233084807596</v>
      </c>
      <c r="P99" s="69">
        <f>((MAX('Max rate concentrations'!Y:Y))*0.62*6.01*8*(10*F99^0.667)*0.079*0.1/F99)*inputs!$E$80/(10^(0.84+0.62*LOG10(inputs!$E$80)))</f>
        <v>8.9194110282691987</v>
      </c>
      <c r="Q99" s="69">
        <f>(inputs!$C$18*11.2*(10*F99^0.667)*0.5/F99)*inputs!$E$80/(10^(0.84+0.62*LOG10(inputs!$E$80)))</f>
        <v>4.7133365505930431</v>
      </c>
      <c r="R99" s="59">
        <f>(60*284*((F99/1000)^0.77)*3*24*(MAX('Max rate concentrations'!$R$3:$R$368))/F99)*(inputs!$E$73*3.4/inputs!$E$75)</f>
        <v>4.2507140954196485E-2</v>
      </c>
      <c r="S99" s="59">
        <f>(IF(inputs!$C$17="aerial",((0.025*0.112*inputs!$C$18/3.3)*(3*60*284*((F99/1000)^0.77))*MAX(inputs!$I$14:$I$16))/F99,((0.0083*0.112*inputs!$C$18/1)*(3*60*284*((F99/1000)^0.77))*MAX(inputs!$I$14:$I$16))/F99))*(inputs!E$75*3.4/inputs!$E$73)</f>
        <v>0.23442949392926365</v>
      </c>
      <c r="T99" s="63">
        <f>IF((((inputs!$P$13/(V99/MAX(K99:S99)))^(1/inputs!$O$13))-1)/inputs!$N$13&lt;0, 0, IF((((inputs!$P$13/(V99/MAX(K99:S99)))^(1/inputs!$O$13))-1)/inputs!$N$13&lt;inputs!$I$17, (((inputs!$P$13/(V99/MAX(K99:S99)))^(1/inputs!$O$13))-1)/inputs!$N$13, inputs!$I$17))</f>
        <v>1000</v>
      </c>
      <c r="U99" s="63">
        <f>IF((((inputs!$P$13/(X99/MAX(K99:S99)))^(1/inputs!$O$13))-1)/inputs!$N$13&lt;0, 0, IF((((inputs!$P$13/(X99/MAX(K99:S99)))^(1/inputs!$O$13))-1)/inputs!$N$13&lt;inputs!$I$17, (((inputs!$P$13/(X99/MAX(K99:S99)))^(1/inputs!$O$13))-1)/inputs!$N$13, inputs!$I$17))</f>
        <v>29.492444822770739</v>
      </c>
      <c r="V99" s="21">
        <f>inputs!$E$78*(F99/inputs!$F$78)^(inputs!$E$84-1)</f>
        <v>1.5751198636649078E-2</v>
      </c>
      <c r="W99" s="21">
        <f>inputs!$E$85*(F99/inputs!$F$85)^(inputs!$E$84-1)</f>
        <v>0.72736133678605042</v>
      </c>
      <c r="X99" s="21">
        <f>inputs!$E$80*(F99/inputs!$F$80)^(inputs!$E$84-1)</f>
        <v>2.7160961310365175</v>
      </c>
      <c r="Y99" s="21">
        <f>inputs!$E$82*(F99/inputs!$F$82)^(inputs!$E$84-1)</f>
        <v>1.2518057863863215</v>
      </c>
      <c r="Z99" s="63">
        <f t="shared" si="9"/>
        <v>1698.8061481586499</v>
      </c>
      <c r="AA99" s="63">
        <f t="shared" si="10"/>
        <v>36.788088301534771</v>
      </c>
    </row>
    <row r="100" spans="1:476" x14ac:dyDescent="0.25">
      <c r="A100" s="114" t="s">
        <v>344</v>
      </c>
      <c r="B100" s="20" t="s">
        <v>345</v>
      </c>
      <c r="C100" s="20" t="s">
        <v>73</v>
      </c>
      <c r="D100" s="48" t="s">
        <v>185</v>
      </c>
      <c r="E100" s="15">
        <v>134</v>
      </c>
      <c r="F100" s="15">
        <v>39</v>
      </c>
      <c r="G100" s="20" t="s">
        <v>186</v>
      </c>
      <c r="H100" s="49">
        <v>0.75</v>
      </c>
      <c r="I100" s="68">
        <f>inputs!$C$66*inputs!$C$64/1000</f>
        <v>21.3</v>
      </c>
      <c r="J100" s="68">
        <f>inputs!$C$66*inputs!$C$63/1000</f>
        <v>8.8000000000000007</v>
      </c>
      <c r="K100" s="69">
        <f t="shared" si="12"/>
        <v>10.299852448202287</v>
      </c>
      <c r="L100" s="69">
        <f t="shared" si="11"/>
        <v>4.2553381006657345</v>
      </c>
      <c r="M100" s="69">
        <f>IF((((1.18*F100^0.874)/3.7-(0.301*F100^0.751)/(1-H100)*H100)*(MAX('Max rate concentrations'!$P$3:$P$368)))/F100&gt;0, (((1.18*F100^0.874)/3.7-(0.301*F100^0.751)/(1-H100)*H100)*(MAX('Max rate concentrations'!$P$3:$P$368)))/F100, 0)</f>
        <v>0</v>
      </c>
      <c r="N100" s="69">
        <f>IF((((1.18*F100^0.874)/3.7-(0.301*F100^0.751)/(1-H100)*H100)*(MAX('Max rate concentrations'!$Q$3:$Q$368)))/F100&gt;0, (((1.18*F100^0.874)/3.7-(0.301*F100^0.751)/(1-H100)*H100)*(MAX('Max rate concentrations'!$Q$3:$Q$368)))/F100, 0)</f>
        <v>0</v>
      </c>
      <c r="O100" s="69">
        <f>((MAX('Max rate concentrations'!$F$3:$F$368))*0.62*6.01*8*(10*F100^0.667)*0.079*0.1/F100)*inputs!$E$80/(10^(0.84+0.62*LOG10(inputs!$E$80)))</f>
        <v>43.343992409510264</v>
      </c>
      <c r="P100" s="69">
        <f>((MAX('Max rate concentrations'!Y:Y))*0.62*6.01*8*(10*F100^0.667)*0.079*0.1/F100)*inputs!$E$80/(10^(0.84+0.62*LOG10(inputs!$E$80)))</f>
        <v>14.447997469836752</v>
      </c>
      <c r="Q100" s="69">
        <f>(inputs!$C$18*11.2*(10*F100^0.667)*0.5/F100)*inputs!$E$80/(10^(0.84+0.62*LOG10(inputs!$E$80)))</f>
        <v>7.6348398276104303</v>
      </c>
      <c r="R100" s="59">
        <f>(60*284*((F100/1000)^0.77)*3*24*(MAX('Max rate concentrations'!$R$3:$R$368))/F100)*(inputs!$E$73*3.4/inputs!$E$75)</f>
        <v>5.9311908100378188E-2</v>
      </c>
      <c r="S100" s="59">
        <f>(IF(inputs!$C$17="aerial",((0.025*0.112*inputs!$C$18/3.3)*(3*60*284*((F100/1000)^0.77))*MAX(inputs!$I$14:$I$16))/F100,((0.0083*0.112*inputs!$C$18/1)*(3*60*284*((F100/1000)^0.77))*MAX(inputs!$I$14:$I$16))/F100))*(inputs!E$75*3.4/inputs!$E$73)</f>
        <v>0.32710881719693613</v>
      </c>
      <c r="T100" s="63">
        <f>IF((((inputs!$P$13/(V100/MAX(K100:S100)))^(1/inputs!$O$13))-1)/inputs!$N$13&lt;0, 0, IF((((inputs!$P$13/(V100/MAX(K100:S100)))^(1/inputs!$O$13))-1)/inputs!$N$13&lt;inputs!$I$17, (((inputs!$P$13/(V100/MAX(K100:S100)))^(1/inputs!$O$13))-1)/inputs!$N$13, inputs!$I$17))</f>
        <v>1000</v>
      </c>
      <c r="U100" s="63">
        <f>IF((((inputs!$P$13/(X100/MAX(K100:S100)))^(1/inputs!$O$13))-1)/inputs!$N$13&lt;0, 0, IF((((inputs!$P$13/(X100/MAX(K100:S100)))^(1/inputs!$O$13))-1)/inputs!$N$13&lt;inputs!$I$17, (((inputs!$P$13/(X100/MAX(K100:S100)))^(1/inputs!$O$13))-1)/inputs!$N$13, inputs!$I$17))</f>
        <v>28.019895786179433</v>
      </c>
      <c r="V100" s="21">
        <f>inputs!$E$78*(F100/inputs!$F$78)^(inputs!$E$84-1)</f>
        <v>2.6919047967817342E-2</v>
      </c>
      <c r="W100" s="21">
        <f>inputs!$E$85*(F100/inputs!$F$85)^(inputs!$E$84-1)</f>
        <v>1.2430720459154132</v>
      </c>
      <c r="X100" s="21">
        <f>inputs!$E$80*(F100/inputs!$F$80)^(inputs!$E$84-1)</f>
        <v>4.6418513106967962</v>
      </c>
      <c r="Y100" s="21">
        <f>inputs!$E$82*(F100/inputs!$F$82)^(inputs!$E$84-1)</f>
        <v>2.1393559174423253</v>
      </c>
      <c r="Z100" s="63">
        <f t="shared" si="9"/>
        <v>1610.1606736363601</v>
      </c>
      <c r="AA100" s="63">
        <f t="shared" si="10"/>
        <v>34.868447530401369</v>
      </c>
    </row>
    <row r="101" spans="1:476" x14ac:dyDescent="0.25">
      <c r="A101" s="114" t="s">
        <v>183</v>
      </c>
      <c r="B101" s="20" t="s">
        <v>184</v>
      </c>
      <c r="C101" s="20" t="s">
        <v>73</v>
      </c>
      <c r="D101" s="48" t="s">
        <v>185</v>
      </c>
      <c r="E101" s="15">
        <v>143</v>
      </c>
      <c r="F101" s="15">
        <v>222</v>
      </c>
      <c r="G101" s="20" t="s">
        <v>164</v>
      </c>
      <c r="H101" s="20">
        <v>0.78</v>
      </c>
      <c r="I101" s="68">
        <f>inputs!$C$66*(inputs!$C$62/1000)</f>
        <v>8.2000000000000011</v>
      </c>
      <c r="J101" s="68">
        <f>inputs!$C$66*(inputs!$C$61/1000)</f>
        <v>2.5</v>
      </c>
      <c r="K101" s="69">
        <f t="shared" si="12"/>
        <v>2.9222392960363837</v>
      </c>
      <c r="L101" s="69">
        <f t="shared" si="11"/>
        <v>0.89092661464523892</v>
      </c>
      <c r="M101" s="69">
        <f>IF((((1.18*F101^0.874)/3.7-(0.301*F101^0.751)/(1-H101)*H101)*(MAX('Max rate concentrations'!$P$3:$P$368)))/F101&gt;0, (((1.18*F101^0.874)/3.7-(0.301*F101^0.751)/(1-H101)*H101)*(MAX('Max rate concentrations'!$P$3:$P$368)))/F101, 0)</f>
        <v>0</v>
      </c>
      <c r="N101" s="69">
        <f>IF((((1.18*F101^0.874)/3.7-(0.301*F101^0.751)/(1-H101)*H101)*(MAX('Max rate concentrations'!$Q$3:$Q$368)))/F101&gt;0, (((1.18*F101^0.874)/3.7-(0.301*F101^0.751)/(1-H101)*H101)*(MAX('Max rate concentrations'!$Q$3:$Q$368)))/F101, 0)</f>
        <v>0</v>
      </c>
      <c r="O101" s="69">
        <f>((MAX('Max rate concentrations'!$F$3:$F$368))*0.62*6.01*8*(10*F101^0.667)*0.079*0.1/F101)*inputs!$E$80/(10^(0.84+0.62*LOG10(inputs!$E$80)))</f>
        <v>24.289461428763406</v>
      </c>
      <c r="P101" s="69">
        <f>((MAX('Max rate concentrations'!Y:Y))*0.62*6.01*8*(10*F101^0.667)*0.079*0.1/F101)*inputs!$E$80/(10^(0.84+0.62*LOG10(inputs!$E$80)))</f>
        <v>8.0964871429211343</v>
      </c>
      <c r="Q101" s="69">
        <f>(inputs!$C$18*11.2*(10*F101^0.667)*0.5/F101)*inputs!$E$80/(10^(0.84+0.62*LOG10(inputs!$E$80)))</f>
        <v>4.2784740675351536</v>
      </c>
      <c r="R101" s="59">
        <f>(60*284*((F101/1000)^0.77)*3*24*(MAX('Max rate concentrations'!$R$3:$R$368))/F101)*(inputs!$E$73*3.4/inputs!$E$75)</f>
        <v>3.9758095381421582E-2</v>
      </c>
      <c r="S101" s="59">
        <f>(IF(inputs!$C$17="aerial",((0.025*0.112*inputs!$C$18/3.3)*(3*60*284*((F101/1000)^0.77))*MAX(inputs!$I$14:$I$16))/F101,((0.0083*0.112*inputs!$C$18/1)*(3*60*284*((F101/1000)^0.77))*MAX(inputs!$I$14:$I$16))/F101))*(inputs!E$75*3.4/inputs!$E$73)</f>
        <v>0.21926833869869811</v>
      </c>
      <c r="T101" s="63">
        <f>IF((((inputs!$P$13/(V101/MAX(K101:S101)))^(1/inputs!$O$13))-1)/inputs!$N$13&lt;0, 0, IF((((inputs!$P$13/(V101/MAX(K101:S101)))^(1/inputs!$O$13))-1)/inputs!$N$13&lt;inputs!$I$17, (((inputs!$P$13/(V101/MAX(K101:S101)))^(1/inputs!$O$13))-1)/inputs!$N$13, inputs!$I$17))</f>
        <v>1000</v>
      </c>
      <c r="U101" s="63">
        <f>IF((((inputs!$P$13/(X101/MAX(K101:S101)))^(1/inputs!$O$13))-1)/inputs!$N$13&lt;0, 0, IF((((inputs!$P$13/(X101/MAX(K101:S101)))^(1/inputs!$O$13))-1)/inputs!$N$13&lt;inputs!$I$17, (((inputs!$P$13/(X101/MAX(K101:S101)))^(1/inputs!$O$13))-1)/inputs!$N$13, inputs!$I$17))</f>
        <v>29.795742913094724</v>
      </c>
      <c r="V101" s="21">
        <f>inputs!$E$78*(F101/inputs!$F$78)^(inputs!$E$84-1)</f>
        <v>1.4145001583331419E-2</v>
      </c>
      <c r="W101" s="21">
        <f>inputs!$E$85*(F101/inputs!$F$85)^(inputs!$E$84-1)</f>
        <v>0.65319011573848906</v>
      </c>
      <c r="X101" s="21">
        <f>inputs!$E$80*(F101/inputs!$F$80)^(inputs!$E$84-1)</f>
        <v>2.439127647377902</v>
      </c>
      <c r="Y101" s="21">
        <f>inputs!$E$82*(F101/inputs!$F$82)^(inputs!$E$84-1)</f>
        <v>1.124155388991076</v>
      </c>
      <c r="Z101" s="63">
        <f t="shared" si="9"/>
        <v>1717.1762962109738</v>
      </c>
      <c r="AA101" s="63">
        <f t="shared" si="10"/>
        <v>37.185898628153652</v>
      </c>
    </row>
    <row r="102" spans="1:476" x14ac:dyDescent="0.25">
      <c r="A102" s="114" t="s">
        <v>183</v>
      </c>
      <c r="B102" s="20" t="s">
        <v>184</v>
      </c>
      <c r="C102" s="20" t="s">
        <v>73</v>
      </c>
      <c r="D102" s="48" t="s">
        <v>185</v>
      </c>
      <c r="E102" s="15">
        <v>143</v>
      </c>
      <c r="F102" s="15">
        <v>222</v>
      </c>
      <c r="G102" s="49" t="s">
        <v>186</v>
      </c>
      <c r="H102" s="49">
        <v>0.75</v>
      </c>
      <c r="I102" s="68">
        <f>inputs!$C$66*inputs!$C$64/1000</f>
        <v>21.3</v>
      </c>
      <c r="J102" s="68">
        <f>inputs!$C$66*inputs!$C$63/1000</f>
        <v>8.8000000000000007</v>
      </c>
      <c r="K102" s="69">
        <f t="shared" si="12"/>
        <v>6.6798113859641433</v>
      </c>
      <c r="L102" s="69">
        <f t="shared" si="11"/>
        <v>2.759734281525092</v>
      </c>
      <c r="M102" s="69">
        <f>IF((((1.18*F102^0.874)/3.7-(0.301*F102^0.751)/(1-H102)*H102)*(MAX('Max rate concentrations'!$P$3:$P$368)))/F102&gt;0, (((1.18*F102^0.874)/3.7-(0.301*F102^0.751)/(1-H102)*H102)*(MAX('Max rate concentrations'!$P$3:$P$368)))/F102, 0)</f>
        <v>0</v>
      </c>
      <c r="N102" s="69">
        <f>IF((((1.18*F102^0.874)/3.7-(0.301*F102^0.751)/(1-H102)*H102)*(MAX('Max rate concentrations'!$Q$3:$Q$368)))/F102&gt;0, (((1.18*F102^0.874)/3.7-(0.301*F102^0.751)/(1-H102)*H102)*(MAX('Max rate concentrations'!$Q$3:$Q$368)))/F102, 0)</f>
        <v>0</v>
      </c>
      <c r="O102" s="69">
        <f>((MAX('Max rate concentrations'!$F$3:$F$368))*0.62*6.01*8*(10*F102^0.667)*0.079*0.1/F102)*inputs!$E$80/(10^(0.84+0.62*LOG10(inputs!$E$80)))</f>
        <v>24.289461428763406</v>
      </c>
      <c r="P102" s="69">
        <f>((MAX('Max rate concentrations'!Y:Y))*0.62*6.01*8*(10*F102^0.667)*0.079*0.1/F102)*inputs!$E$80/(10^(0.84+0.62*LOG10(inputs!$E$80)))</f>
        <v>8.0964871429211343</v>
      </c>
      <c r="Q102" s="69">
        <f>(inputs!$C$18*11.2*(10*F102^0.667)*0.5/F102)*inputs!$E$80/(10^(0.84+0.62*LOG10(inputs!$E$80)))</f>
        <v>4.2784740675351536</v>
      </c>
      <c r="R102" s="59">
        <f>(60*284*((F102/1000)^0.77)*3*24*(MAX('Max rate concentrations'!$R$3:$R$368))/F102)*(inputs!$E$73*3.4/inputs!$E$75)</f>
        <v>3.9758095381421582E-2</v>
      </c>
      <c r="S102" s="59">
        <f>(IF(inputs!$C$17="aerial",((0.025*0.112*inputs!$C$18/3.3)*(3*60*284*((F102/1000)^0.77))*MAX(inputs!$I$14:$I$16))/F102,((0.0083*0.112*inputs!$C$18/1)*(3*60*284*((F102/1000)^0.77))*MAX(inputs!$I$14:$I$16))/F102))*(inputs!E$75*3.4/inputs!$E$73)</f>
        <v>0.21926833869869811</v>
      </c>
      <c r="T102" s="63">
        <f>IF((((inputs!$P$13/(V102/MAX(K102:S102)))^(1/inputs!$O$13))-1)/inputs!$N$13&lt;0, 0, IF((((inputs!$P$13/(V102/MAX(K102:S102)))^(1/inputs!$O$13))-1)/inputs!$N$13&lt;inputs!$I$17, (((inputs!$P$13/(V102/MAX(K102:S102)))^(1/inputs!$O$13))-1)/inputs!$N$13, inputs!$I$17))</f>
        <v>1000</v>
      </c>
      <c r="U102" s="63">
        <f>IF((((inputs!$P$13/(X102/MAX(K102:S102)))^(1/inputs!$O$13))-1)/inputs!$N$13&lt;0, 0, IF((((inputs!$P$13/(X102/MAX(K102:S102)))^(1/inputs!$O$13))-1)/inputs!$N$13&lt;inputs!$I$17, (((inputs!$P$13/(X102/MAX(K102:S102)))^(1/inputs!$O$13))-1)/inputs!$N$13, inputs!$I$17))</f>
        <v>29.795742913094724</v>
      </c>
      <c r="V102" s="21">
        <f>inputs!$E$78*(F102/inputs!$F$78)^(inputs!$E$84-1)</f>
        <v>1.4145001583331419E-2</v>
      </c>
      <c r="W102" s="21">
        <f>inputs!$E$85*(F102/inputs!$F$85)^(inputs!$E$84-1)</f>
        <v>0.65319011573848906</v>
      </c>
      <c r="X102" s="21">
        <f>inputs!$E$80*(F102/inputs!$F$80)^(inputs!$E$84-1)</f>
        <v>2.439127647377902</v>
      </c>
      <c r="Y102" s="21">
        <f>inputs!$E$82*(F102/inputs!$F$82)^(inputs!$E$84-1)</f>
        <v>1.124155388991076</v>
      </c>
      <c r="Z102" s="63">
        <f t="shared" si="9"/>
        <v>1717.1762962109738</v>
      </c>
      <c r="AA102" s="63">
        <f t="shared" si="10"/>
        <v>37.185898628153652</v>
      </c>
    </row>
    <row r="103" spans="1:476" ht="26.4" x14ac:dyDescent="0.25">
      <c r="A103" s="103" t="s">
        <v>210</v>
      </c>
      <c r="B103" s="20" t="s">
        <v>212</v>
      </c>
      <c r="C103" s="20" t="s">
        <v>73</v>
      </c>
      <c r="D103" s="104" t="s">
        <v>185</v>
      </c>
      <c r="E103" s="15">
        <v>131</v>
      </c>
      <c r="F103" s="15">
        <v>40</v>
      </c>
      <c r="G103" s="20" t="s">
        <v>142</v>
      </c>
      <c r="H103" s="20">
        <v>0.69</v>
      </c>
      <c r="I103" s="68">
        <f>MAX('Max rate concentrations'!$H$3:$H$368)</f>
        <v>282</v>
      </c>
      <c r="J103" s="68">
        <f>MAX('Max rate concentrations'!AA:AA)</f>
        <v>195</v>
      </c>
      <c r="K103" s="69">
        <f t="shared" si="12"/>
        <v>109.28007194024399</v>
      </c>
      <c r="L103" s="69">
        <f t="shared" si="11"/>
        <v>75.566007192721898</v>
      </c>
      <c r="M103" s="69">
        <f>IF((((1.18*F103^0.874)/3.7-(0.301*F103^0.751)/(1-H103)*H103)*(MAX('Max rate concentrations'!$P$3:$P$368)))/F103&gt;0, (((1.18*F103^0.874)/3.7-(0.301*F103^0.751)/(1-H103)*H103)*(MAX('Max rate concentrations'!$P$3:$P$368)))/F103, 0)</f>
        <v>0</v>
      </c>
      <c r="N103" s="69">
        <f>IF((((1.18*F103^0.874)/3.7-(0.301*F103^0.751)/(1-H103)*H103)*(MAX('Max rate concentrations'!$Q$3:$Q$368)))/F103&gt;0, (((1.18*F103^0.874)/3.7-(0.301*F103^0.751)/(1-H103)*H103)*(MAX('Max rate concentrations'!$Q$3:$Q$368)))/F103, 0)</f>
        <v>0</v>
      </c>
      <c r="O103" s="69">
        <f>((MAX('Max rate concentrations'!$F$3:$F$368))*0.62*6.01*8*(10*F103^0.667)*0.079*0.1/F103)*inputs!$E$80/(10^(0.84+0.62*LOG10(inputs!$E$80)))</f>
        <v>42.980102677088347</v>
      </c>
      <c r="P103" s="69">
        <f>((MAX('Max rate concentrations'!Y:Y))*0.62*6.01*8*(10*F103^0.667)*0.079*0.1/F103)*inputs!$E$80/(10^(0.84+0.62*LOG10(inputs!$E$80)))</f>
        <v>14.326700892362783</v>
      </c>
      <c r="Q103" s="69">
        <f>(inputs!$C$18*11.2*(10*F103^0.667)*0.5/F103)*inputs!$E$80/(10^(0.84+0.62*LOG10(inputs!$E$80)))</f>
        <v>7.5707423675586494</v>
      </c>
      <c r="R103" s="59">
        <f>(60*284*((F103/1000)^0.77)*3*24*(MAX('Max rate concentrations'!$R$3:$R$368))/F103)*(inputs!$E$73*3.4/inputs!$E$75)</f>
        <v>5.8967532813522246E-2</v>
      </c>
      <c r="S103" s="59">
        <f>(IF(inputs!$C$17="aerial",((0.025*0.112*inputs!$C$18/3.3)*(3*60*284*((F103/1000)^0.77))*MAX(inputs!$I$14:$I$16))/F103,((0.0083*0.112*inputs!$C$18/1)*(3*60*284*((F103/1000)^0.77))*MAX(inputs!$I$14:$I$16))/F103))*(inputs!E$75*3.4/inputs!$E$73)</f>
        <v>0.32520956633209019</v>
      </c>
      <c r="T103" s="63">
        <f>IF((((inputs!$P$13/(V103/MAX(K103:S103)))^(1/inputs!$O$13))-1)/inputs!$N$13&lt;0, 0, IF((((inputs!$P$13/(V103/MAX(K103:S103)))^(1/inputs!$O$13))-1)/inputs!$N$13&lt;inputs!$I$17, (((inputs!$P$13/(V103/MAX(K103:S103)))^(1/inputs!$O$13))-1)/inputs!$N$13, inputs!$I$17))</f>
        <v>1000</v>
      </c>
      <c r="U103" s="63">
        <f>IF((((inputs!$P$13/(X103/MAX(K103:S103)))^(1/inputs!$O$13))-1)/inputs!$N$13&lt;0, 0, IF((((inputs!$P$13/(X103/MAX(K103:S103)))^(1/inputs!$O$13))-1)/inputs!$N$13&lt;inputs!$I$17, (((inputs!$P$13/(X103/MAX(K103:S103)))^(1/inputs!$O$13))-1)/inputs!$N$13, inputs!$I$17))</f>
        <v>65.537413380912994</v>
      </c>
      <c r="V103" s="21">
        <f>inputs!$E$78*(F103/inputs!$F$78)^(inputs!$E$84-1)</f>
        <v>2.6668058808446828E-2</v>
      </c>
      <c r="W103" s="21">
        <f>inputs!$E$85*(F103/inputs!$F$85)^(inputs!$E$84-1)</f>
        <v>1.2314818288982921</v>
      </c>
      <c r="X103" s="21">
        <f>inputs!$E$80*(F103/inputs!$F$80)^(inputs!$E$84-1)</f>
        <v>4.5985713863923561</v>
      </c>
      <c r="Y103" s="21">
        <f>inputs!$E$82*(F103/inputs!$F$82)^(inputs!$E$84-1)</f>
        <v>2.1194088842502481</v>
      </c>
      <c r="Z103" s="63">
        <f t="shared" si="9"/>
        <v>4097.7887713983391</v>
      </c>
      <c r="AA103" s="63">
        <f t="shared" si="10"/>
        <v>88.738679999856828</v>
      </c>
    </row>
    <row r="104" spans="1:476" ht="26.4" x14ac:dyDescent="0.25">
      <c r="A104" s="103" t="s">
        <v>210</v>
      </c>
      <c r="B104" s="20" t="s">
        <v>212</v>
      </c>
      <c r="C104" s="20" t="s">
        <v>73</v>
      </c>
      <c r="D104" s="104" t="s">
        <v>185</v>
      </c>
      <c r="E104" s="15">
        <v>131</v>
      </c>
      <c r="F104" s="15">
        <v>40</v>
      </c>
      <c r="G104" s="20" t="s">
        <v>164</v>
      </c>
      <c r="H104" s="20">
        <v>0.78</v>
      </c>
      <c r="I104" s="68">
        <f>inputs!$C$66*(inputs!$C$62/1000)</f>
        <v>8.2000000000000011</v>
      </c>
      <c r="J104" s="68">
        <f>inputs!$C$66*(inputs!$C$61/1000)</f>
        <v>2.5</v>
      </c>
      <c r="K104" s="69">
        <f t="shared" si="12"/>
        <v>4.4775941791118683</v>
      </c>
      <c r="L104" s="69">
        <f t="shared" si="11"/>
        <v>1.3651201765584962</v>
      </c>
      <c r="M104" s="69">
        <f>IF((((1.18*F104^0.874)/3.7-(0.301*F104^0.751)/(1-H104)*H104)*(MAX('Max rate concentrations'!$P$3:$P$368)))/F104&gt;0, (((1.18*F104^0.874)/3.7-(0.301*F104^0.751)/(1-H104)*H104)*(MAX('Max rate concentrations'!$P$3:$P$368)))/F104, 0)</f>
        <v>0</v>
      </c>
      <c r="N104" s="69">
        <f>IF((((1.18*F104^0.874)/3.7-(0.301*F104^0.751)/(1-H104)*H104)*(MAX('Max rate concentrations'!$Q$3:$Q$368)))/F104&gt;0, (((1.18*F104^0.874)/3.7-(0.301*F104^0.751)/(1-H104)*H104)*(MAX('Max rate concentrations'!$Q$3:$Q$368)))/F104, 0)</f>
        <v>0</v>
      </c>
      <c r="O104" s="69">
        <f>((MAX('Max rate concentrations'!$F$3:$F$368))*0.62*6.01*8*(10*F104^0.667)*0.079*0.1/F104)*inputs!$E$80/(10^(0.84+0.62*LOG10(inputs!$E$80)))</f>
        <v>42.980102677088347</v>
      </c>
      <c r="P104" s="69">
        <f>((MAX('Max rate concentrations'!Y:Y))*0.62*6.01*8*(10*F104^0.667)*0.079*0.1/F104)*inputs!$E$80/(10^(0.84+0.62*LOG10(inputs!$E$80)))</f>
        <v>14.326700892362783</v>
      </c>
      <c r="Q104" s="69">
        <f>(inputs!$C$18*11.2*(10*F104^0.667)*0.5/F104)*inputs!$E$80/(10^(0.84+0.62*LOG10(inputs!$E$80)))</f>
        <v>7.5707423675586494</v>
      </c>
      <c r="R104" s="59">
        <f>(60*284*((F104/1000)^0.77)*3*24*(MAX('Max rate concentrations'!$R$3:$R$368))/F104)*(inputs!$E$73*3.4/inputs!$E$75)</f>
        <v>5.8967532813522246E-2</v>
      </c>
      <c r="S104" s="59">
        <f>(IF(inputs!$C$17="aerial",((0.025*0.112*inputs!$C$18/3.3)*(3*60*284*((F104/1000)^0.77))*MAX(inputs!$I$14:$I$16))/F104,((0.0083*0.112*inputs!$C$18/1)*(3*60*284*((F104/1000)^0.77))*MAX(inputs!$I$14:$I$16))/F104))*(inputs!E$75*3.4/inputs!$E$73)</f>
        <v>0.32520956633209019</v>
      </c>
      <c r="T104" s="63">
        <f>IF((((inputs!$P$13/(V104/MAX(K104:S104)))^(1/inputs!$O$13))-1)/inputs!$N$13&lt;0, 0, IF((((inputs!$P$13/(V104/MAX(K104:S104)))^(1/inputs!$O$13))-1)/inputs!$N$13&lt;inputs!$I$17, (((inputs!$P$13/(V104/MAX(K104:S104)))^(1/inputs!$O$13))-1)/inputs!$N$13, inputs!$I$17))</f>
        <v>1000</v>
      </c>
      <c r="U104" s="63">
        <f>IF((((inputs!$P$13/(X104/MAX(K104:S104)))^(1/inputs!$O$13))-1)/inputs!$N$13&lt;0, 0, IF((((inputs!$P$13/(X104/MAX(K104:S104)))^(1/inputs!$O$13))-1)/inputs!$N$13&lt;inputs!$I$17, (((inputs!$P$13/(X104/MAX(K104:S104)))^(1/inputs!$O$13))-1)/inputs!$N$13, inputs!$I$17))</f>
        <v>28.045091072939961</v>
      </c>
      <c r="V104" s="21">
        <f>inputs!$E$78*(F104/inputs!$F$78)^(inputs!$E$84-1)</f>
        <v>2.6668058808446828E-2</v>
      </c>
      <c r="W104" s="21">
        <f>inputs!$E$85*(F104/inputs!$F$85)^(inputs!$E$84-1)</f>
        <v>1.2314818288982921</v>
      </c>
      <c r="X104" s="21">
        <f>inputs!$E$80*(F104/inputs!$F$80)^(inputs!$E$84-1)</f>
        <v>4.5985713863923561</v>
      </c>
      <c r="Y104" s="21">
        <f>inputs!$E$82*(F104/inputs!$F$82)^(inputs!$E$84-1)</f>
        <v>2.1194088842502481</v>
      </c>
      <c r="Z104" s="63">
        <f t="shared" si="9"/>
        <v>1611.6697126629572</v>
      </c>
      <c r="AA104" s="63">
        <f t="shared" si="10"/>
        <v>34.901126162404843</v>
      </c>
    </row>
    <row r="105" spans="1:476" ht="26.4" x14ac:dyDescent="0.25">
      <c r="A105" s="103" t="s">
        <v>210</v>
      </c>
      <c r="B105" s="20" t="s">
        <v>211</v>
      </c>
      <c r="C105" s="20" t="s">
        <v>73</v>
      </c>
      <c r="D105" s="104" t="s">
        <v>185</v>
      </c>
      <c r="E105" s="15">
        <v>130</v>
      </c>
      <c r="F105" s="15">
        <v>40</v>
      </c>
      <c r="G105" s="20" t="s">
        <v>142</v>
      </c>
      <c r="H105" s="20">
        <v>0.69</v>
      </c>
      <c r="I105" s="68">
        <f>MAX('Max rate concentrations'!$H$3:$H$368)</f>
        <v>282</v>
      </c>
      <c r="J105" s="68">
        <f>MAX('Max rate concentrations'!AA:AA)</f>
        <v>195</v>
      </c>
      <c r="K105" s="69">
        <f t="shared" si="12"/>
        <v>109.28007194024399</v>
      </c>
      <c r="L105" s="69">
        <f t="shared" si="11"/>
        <v>75.566007192721898</v>
      </c>
      <c r="M105" s="69">
        <f>IF((((1.18*F105^0.874)/3.7-(0.301*F105^0.751)/(1-H105)*H105)*(MAX('Max rate concentrations'!$P$3:$P$368)))/F105&gt;0, (((1.18*F105^0.874)/3.7-(0.301*F105^0.751)/(1-H105)*H105)*(MAX('Max rate concentrations'!$P$3:$P$368)))/F105, 0)</f>
        <v>0</v>
      </c>
      <c r="N105" s="69">
        <f>IF((((1.18*F105^0.874)/3.7-(0.301*F105^0.751)/(1-H105)*H105)*(MAX('Max rate concentrations'!$Q$3:$Q$368)))/F105&gt;0, (((1.18*F105^0.874)/3.7-(0.301*F105^0.751)/(1-H105)*H105)*(MAX('Max rate concentrations'!$Q$3:$Q$368)))/F105, 0)</f>
        <v>0</v>
      </c>
      <c r="O105" s="69">
        <f>((MAX('Max rate concentrations'!$F$3:$F$368))*0.62*6.01*8*(10*F105^0.667)*0.079*0.1/F105)*inputs!$E$80/(10^(0.84+0.62*LOG10(inputs!$E$80)))</f>
        <v>42.980102677088347</v>
      </c>
      <c r="P105" s="69">
        <f>((MAX('Max rate concentrations'!Y:Y))*0.62*6.01*8*(10*F105^0.667)*0.079*0.1/F105)*inputs!$E$80/(10^(0.84+0.62*LOG10(inputs!$E$80)))</f>
        <v>14.326700892362783</v>
      </c>
      <c r="Q105" s="69">
        <f>(inputs!$C$18*11.2*(10*F105^0.667)*0.5/F105)*inputs!$E$80/(10^(0.84+0.62*LOG10(inputs!$E$80)))</f>
        <v>7.5707423675586494</v>
      </c>
      <c r="R105" s="59">
        <f>(60*284*((F105/1000)^0.77)*3*24*(MAX('Max rate concentrations'!$R$3:$R$368))/F105)*(inputs!$E$73*3.4/inputs!$E$75)</f>
        <v>5.8967532813522246E-2</v>
      </c>
      <c r="S105" s="59">
        <f>(IF(inputs!$C$17="aerial",((0.025*0.112*inputs!$C$18/3.3)*(3*60*284*((F105/1000)^0.77))*MAX(inputs!$I$14:$I$16))/F105,((0.0083*0.112*inputs!$C$18/1)*(3*60*284*((F105/1000)^0.77))*MAX(inputs!$I$14:$I$16))/F105))*(inputs!E$75*3.4/inputs!$E$73)</f>
        <v>0.32520956633209019</v>
      </c>
      <c r="T105" s="63">
        <f>IF((((inputs!$P$13/(V105/MAX(K105:S105)))^(1/inputs!$O$13))-1)/inputs!$N$13&lt;0, 0, IF((((inputs!$P$13/(V105/MAX(K105:S105)))^(1/inputs!$O$13))-1)/inputs!$N$13&lt;inputs!$I$17, (((inputs!$P$13/(V105/MAX(K105:S105)))^(1/inputs!$O$13))-1)/inputs!$N$13, inputs!$I$17))</f>
        <v>1000</v>
      </c>
      <c r="U105" s="63">
        <f>IF((((inputs!$P$13/(X105/MAX(K105:S105)))^(1/inputs!$O$13))-1)/inputs!$N$13&lt;0, 0, IF((((inputs!$P$13/(X105/MAX(K105:S105)))^(1/inputs!$O$13))-1)/inputs!$N$13&lt;inputs!$I$17, (((inputs!$P$13/(X105/MAX(K105:S105)))^(1/inputs!$O$13))-1)/inputs!$N$13, inputs!$I$17))</f>
        <v>65.537413380912994</v>
      </c>
      <c r="V105" s="21">
        <f>inputs!$E$78*(F105/inputs!$F$78)^(inputs!$E$84-1)</f>
        <v>2.6668058808446828E-2</v>
      </c>
      <c r="W105" s="21">
        <f>inputs!$E$85*(F105/inputs!$F$85)^(inputs!$E$84-1)</f>
        <v>1.2314818288982921</v>
      </c>
      <c r="X105" s="21">
        <f>inputs!$E$80*(F105/inputs!$F$80)^(inputs!$E$84-1)</f>
        <v>4.5985713863923561</v>
      </c>
      <c r="Y105" s="21">
        <f>inputs!$E$82*(F105/inputs!$F$82)^(inputs!$E$84-1)</f>
        <v>2.1194088842502481</v>
      </c>
      <c r="Z105" s="63">
        <f t="shared" si="9"/>
        <v>4097.7887713983391</v>
      </c>
      <c r="AA105" s="63">
        <f t="shared" si="10"/>
        <v>88.738679999856828</v>
      </c>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c r="CZ105" s="107"/>
      <c r="DA105" s="107"/>
      <c r="DB105" s="107"/>
      <c r="DC105" s="107"/>
      <c r="DD105" s="107"/>
      <c r="DE105" s="107"/>
      <c r="DF105" s="107"/>
      <c r="DG105" s="107"/>
      <c r="DH105" s="107"/>
      <c r="DI105" s="107"/>
      <c r="DJ105" s="107"/>
      <c r="DK105" s="107"/>
      <c r="DL105" s="107"/>
      <c r="DM105" s="107"/>
      <c r="DN105" s="107"/>
      <c r="DO105" s="107"/>
      <c r="DP105" s="107"/>
      <c r="DQ105" s="107"/>
      <c r="DR105" s="107"/>
      <c r="DS105" s="107"/>
      <c r="DT105" s="107"/>
      <c r="DU105" s="107"/>
      <c r="DV105" s="107"/>
      <c r="DW105" s="107"/>
      <c r="DX105" s="107"/>
      <c r="DY105" s="107"/>
      <c r="DZ105" s="107"/>
      <c r="EA105" s="107"/>
      <c r="EB105" s="107"/>
      <c r="EC105" s="107"/>
      <c r="ED105" s="107"/>
      <c r="EE105" s="107"/>
      <c r="EF105" s="107"/>
      <c r="EG105" s="107"/>
      <c r="EH105" s="107"/>
      <c r="EI105" s="107"/>
      <c r="EJ105" s="107"/>
      <c r="EK105" s="107"/>
      <c r="EL105" s="107"/>
      <c r="EM105" s="107"/>
      <c r="EN105" s="107"/>
      <c r="EO105" s="107"/>
      <c r="EP105" s="107"/>
      <c r="EQ105" s="107"/>
      <c r="ER105" s="107"/>
      <c r="ES105" s="107"/>
      <c r="ET105" s="107"/>
      <c r="EU105" s="107"/>
      <c r="EV105" s="107"/>
      <c r="EW105" s="107"/>
      <c r="EX105" s="107"/>
      <c r="EY105" s="107"/>
      <c r="EZ105" s="107"/>
      <c r="FA105" s="107"/>
      <c r="FB105" s="107"/>
      <c r="FC105" s="107"/>
      <c r="FD105" s="107"/>
      <c r="FE105" s="107"/>
      <c r="FF105" s="107"/>
      <c r="FG105" s="107"/>
      <c r="FH105" s="107"/>
      <c r="FI105" s="107"/>
      <c r="FJ105" s="107"/>
      <c r="FK105" s="107"/>
      <c r="FL105" s="107"/>
      <c r="FM105" s="107"/>
      <c r="FN105" s="107"/>
      <c r="FO105" s="107"/>
      <c r="FP105" s="107"/>
      <c r="FQ105" s="107"/>
      <c r="FR105" s="107"/>
      <c r="FS105" s="107"/>
      <c r="FT105" s="107"/>
      <c r="FU105" s="107"/>
      <c r="FV105" s="107"/>
      <c r="FW105" s="107"/>
      <c r="FX105" s="107"/>
      <c r="FY105" s="107"/>
      <c r="FZ105" s="107"/>
      <c r="GA105" s="107"/>
      <c r="GB105" s="107"/>
      <c r="GC105" s="107"/>
      <c r="GD105" s="107"/>
      <c r="GE105" s="107"/>
      <c r="GF105" s="107"/>
      <c r="GG105" s="107"/>
      <c r="GH105" s="107"/>
      <c r="GI105" s="107"/>
      <c r="GJ105" s="107"/>
      <c r="GK105" s="107"/>
      <c r="GL105" s="107"/>
      <c r="GM105" s="107"/>
      <c r="GN105" s="107"/>
      <c r="GO105" s="107"/>
      <c r="GP105" s="107"/>
      <c r="GQ105" s="107"/>
      <c r="GR105" s="107"/>
      <c r="GS105" s="107"/>
      <c r="GT105" s="107"/>
      <c r="GU105" s="107"/>
      <c r="GV105" s="107"/>
      <c r="GW105" s="107"/>
      <c r="GX105" s="107"/>
      <c r="GY105" s="107"/>
      <c r="GZ105" s="107"/>
      <c r="HA105" s="107"/>
      <c r="HB105" s="107"/>
      <c r="HC105" s="107"/>
      <c r="HD105" s="107"/>
      <c r="HE105" s="107"/>
      <c r="HF105" s="107"/>
      <c r="HG105" s="107"/>
      <c r="HH105" s="107"/>
      <c r="HI105" s="107"/>
      <c r="HJ105" s="107"/>
      <c r="HK105" s="107"/>
      <c r="HL105" s="107"/>
      <c r="HM105" s="107"/>
      <c r="HN105" s="107"/>
      <c r="HO105" s="107"/>
      <c r="HP105" s="107"/>
      <c r="HQ105" s="107"/>
      <c r="HR105" s="107"/>
      <c r="HS105" s="107"/>
      <c r="HT105" s="107"/>
      <c r="HU105" s="107"/>
      <c r="HV105" s="107"/>
      <c r="HW105" s="107"/>
      <c r="HX105" s="107"/>
      <c r="HY105" s="107"/>
      <c r="HZ105" s="107"/>
      <c r="IA105" s="107"/>
      <c r="IB105" s="107"/>
      <c r="IC105" s="107"/>
      <c r="ID105" s="107"/>
      <c r="IE105" s="107"/>
      <c r="IF105" s="107"/>
      <c r="IG105" s="107"/>
      <c r="IH105" s="107"/>
      <c r="II105" s="107"/>
      <c r="IJ105" s="107"/>
      <c r="IK105" s="107"/>
      <c r="IL105" s="107"/>
      <c r="IM105" s="107"/>
      <c r="IN105" s="107"/>
      <c r="IO105" s="107"/>
      <c r="IP105" s="107"/>
      <c r="IQ105" s="107"/>
      <c r="IR105" s="107"/>
      <c r="IS105" s="107"/>
      <c r="IT105" s="107"/>
      <c r="IU105" s="107"/>
      <c r="IV105" s="107"/>
      <c r="IW105" s="107"/>
      <c r="IX105" s="107"/>
      <c r="IY105" s="107"/>
      <c r="IZ105" s="107"/>
      <c r="JA105" s="107"/>
      <c r="JB105" s="107"/>
      <c r="JC105" s="107"/>
      <c r="JD105" s="107"/>
      <c r="JE105" s="107"/>
      <c r="JF105" s="107"/>
      <c r="JG105" s="107"/>
      <c r="JH105" s="107"/>
      <c r="JI105" s="107"/>
      <c r="JJ105" s="107"/>
      <c r="JK105" s="107"/>
      <c r="JL105" s="107"/>
      <c r="JM105" s="107"/>
      <c r="JN105" s="107"/>
      <c r="JO105" s="107"/>
      <c r="JP105" s="107"/>
      <c r="JQ105" s="107"/>
      <c r="JR105" s="107"/>
      <c r="JS105" s="107"/>
      <c r="JT105" s="107"/>
      <c r="JU105" s="107"/>
      <c r="JV105" s="107"/>
      <c r="JW105" s="107"/>
      <c r="JX105" s="107"/>
      <c r="JY105" s="107"/>
      <c r="JZ105" s="107"/>
      <c r="KA105" s="107"/>
      <c r="KB105" s="107"/>
      <c r="KC105" s="107"/>
      <c r="KD105" s="107"/>
      <c r="KE105" s="107"/>
      <c r="KF105" s="107"/>
      <c r="KG105" s="107"/>
      <c r="KH105" s="107"/>
      <c r="KI105" s="107"/>
      <c r="KJ105" s="107"/>
      <c r="KK105" s="107"/>
      <c r="KL105" s="107"/>
      <c r="KM105" s="107"/>
      <c r="KN105" s="107"/>
      <c r="KO105" s="107"/>
      <c r="KP105" s="107"/>
      <c r="KQ105" s="107"/>
      <c r="KR105" s="107"/>
      <c r="KS105" s="107"/>
      <c r="KT105" s="107"/>
      <c r="KU105" s="107"/>
      <c r="KV105" s="107"/>
      <c r="KW105" s="107"/>
      <c r="KX105" s="107"/>
      <c r="KY105" s="107"/>
      <c r="KZ105" s="107"/>
      <c r="LA105" s="107"/>
      <c r="LB105" s="107"/>
      <c r="LC105" s="107"/>
      <c r="LD105" s="107"/>
      <c r="LE105" s="107"/>
      <c r="LF105" s="107"/>
      <c r="LG105" s="107"/>
      <c r="LH105" s="107"/>
      <c r="LI105" s="107"/>
      <c r="LJ105" s="107"/>
      <c r="LK105" s="107"/>
      <c r="LL105" s="107"/>
      <c r="LM105" s="107"/>
      <c r="LN105" s="107"/>
      <c r="LO105" s="107"/>
      <c r="LP105" s="107"/>
      <c r="LQ105" s="107"/>
      <c r="LR105" s="107"/>
      <c r="LS105" s="107"/>
      <c r="LT105" s="107"/>
      <c r="LU105" s="107"/>
      <c r="LV105" s="107"/>
      <c r="LW105" s="107"/>
      <c r="LX105" s="107"/>
      <c r="LY105" s="107"/>
      <c r="LZ105" s="107"/>
      <c r="MA105" s="107"/>
      <c r="MB105" s="107"/>
      <c r="MC105" s="107"/>
      <c r="MD105" s="107"/>
      <c r="ME105" s="107"/>
      <c r="MF105" s="107"/>
      <c r="MG105" s="107"/>
      <c r="MH105" s="107"/>
      <c r="MI105" s="107"/>
      <c r="MJ105" s="107"/>
      <c r="MK105" s="107"/>
      <c r="ML105" s="107"/>
      <c r="MM105" s="107"/>
      <c r="MN105" s="107"/>
      <c r="MO105" s="107"/>
      <c r="MP105" s="107"/>
      <c r="MQ105" s="107"/>
      <c r="MR105" s="107"/>
      <c r="MS105" s="107"/>
      <c r="MT105" s="107"/>
      <c r="MU105" s="107"/>
      <c r="MV105" s="107"/>
      <c r="MW105" s="107"/>
      <c r="MX105" s="107"/>
      <c r="MY105" s="107"/>
      <c r="MZ105" s="107"/>
      <c r="NA105" s="107"/>
      <c r="NB105" s="107"/>
      <c r="NC105" s="107"/>
      <c r="ND105" s="107"/>
      <c r="NE105" s="107"/>
      <c r="NF105" s="107"/>
      <c r="NG105" s="107"/>
      <c r="NH105" s="107"/>
      <c r="NI105" s="107"/>
      <c r="NJ105" s="107"/>
      <c r="NK105" s="107"/>
      <c r="NL105" s="107"/>
      <c r="NM105" s="107"/>
      <c r="NN105" s="107"/>
      <c r="NO105" s="107"/>
      <c r="NP105" s="107"/>
      <c r="NQ105" s="107"/>
      <c r="NR105" s="107"/>
      <c r="NS105" s="107"/>
      <c r="NT105" s="107"/>
      <c r="NU105" s="107"/>
      <c r="NV105" s="107"/>
      <c r="NW105" s="107"/>
      <c r="NX105" s="107"/>
      <c r="NY105" s="107"/>
      <c r="NZ105" s="107"/>
      <c r="OA105" s="107"/>
      <c r="OB105" s="107"/>
      <c r="OC105" s="107"/>
      <c r="OD105" s="107"/>
      <c r="OE105" s="107"/>
      <c r="OF105" s="107"/>
      <c r="OG105" s="107"/>
      <c r="OH105" s="107"/>
      <c r="OI105" s="107"/>
      <c r="OJ105" s="107"/>
      <c r="OK105" s="107"/>
      <c r="OL105" s="107"/>
      <c r="OM105" s="107"/>
      <c r="ON105" s="107"/>
      <c r="OO105" s="107"/>
      <c r="OP105" s="107"/>
      <c r="OQ105" s="107"/>
      <c r="OR105" s="107"/>
      <c r="OS105" s="107"/>
      <c r="OT105" s="107"/>
      <c r="OU105" s="107"/>
      <c r="OV105" s="107"/>
      <c r="OW105" s="107"/>
      <c r="OX105" s="107"/>
      <c r="OY105" s="107"/>
      <c r="OZ105" s="107"/>
      <c r="PA105" s="107"/>
      <c r="PB105" s="107"/>
      <c r="PC105" s="107"/>
      <c r="PD105" s="107"/>
      <c r="PE105" s="107"/>
      <c r="PF105" s="107"/>
      <c r="PG105" s="107"/>
      <c r="PH105" s="107"/>
      <c r="PI105" s="107"/>
      <c r="PJ105" s="107"/>
      <c r="PK105" s="107"/>
      <c r="PL105" s="107"/>
      <c r="PM105" s="107"/>
      <c r="PN105" s="107"/>
      <c r="PO105" s="107"/>
      <c r="PP105" s="107"/>
      <c r="PQ105" s="107"/>
      <c r="PR105" s="107"/>
      <c r="PS105" s="107"/>
      <c r="PT105" s="107"/>
      <c r="PU105" s="107"/>
      <c r="PV105" s="107"/>
      <c r="PW105" s="107"/>
      <c r="PX105" s="107"/>
      <c r="PY105" s="107"/>
      <c r="PZ105" s="107"/>
      <c r="QA105" s="107"/>
      <c r="QB105" s="107"/>
      <c r="QC105" s="107"/>
      <c r="QD105" s="107"/>
      <c r="QE105" s="107"/>
      <c r="QF105" s="107"/>
      <c r="QG105" s="107"/>
      <c r="QH105" s="107"/>
      <c r="QI105" s="107"/>
      <c r="QJ105" s="107"/>
      <c r="QK105" s="107"/>
      <c r="QL105" s="107"/>
      <c r="QM105" s="107"/>
      <c r="QN105" s="107"/>
      <c r="QO105" s="107"/>
      <c r="QP105" s="107"/>
      <c r="QQ105" s="107"/>
      <c r="QR105" s="107"/>
      <c r="QS105" s="107"/>
      <c r="QT105" s="107"/>
      <c r="QU105" s="107"/>
      <c r="QV105" s="107"/>
      <c r="QW105" s="107"/>
      <c r="QX105" s="107"/>
      <c r="QY105" s="107"/>
      <c r="QZ105" s="107"/>
      <c r="RA105" s="107"/>
      <c r="RB105" s="107"/>
      <c r="RC105" s="107"/>
      <c r="RD105" s="107"/>
      <c r="RE105" s="107"/>
      <c r="RF105" s="107"/>
      <c r="RG105" s="107"/>
      <c r="RH105" s="107"/>
    </row>
    <row r="106" spans="1:476" ht="26.4" x14ac:dyDescent="0.25">
      <c r="A106" s="103" t="s">
        <v>210</v>
      </c>
      <c r="B106" s="20" t="s">
        <v>211</v>
      </c>
      <c r="C106" s="20" t="s">
        <v>73</v>
      </c>
      <c r="D106" s="104" t="s">
        <v>185</v>
      </c>
      <c r="E106" s="15">
        <v>130</v>
      </c>
      <c r="F106" s="15">
        <v>40</v>
      </c>
      <c r="G106" s="20" t="s">
        <v>164</v>
      </c>
      <c r="H106" s="20">
        <v>0.78</v>
      </c>
      <c r="I106" s="68">
        <f>inputs!$C$66*(inputs!$C$62/1000)</f>
        <v>8.2000000000000011</v>
      </c>
      <c r="J106" s="68">
        <f>inputs!$C$66*(inputs!$C$61/1000)</f>
        <v>2.5</v>
      </c>
      <c r="K106" s="69">
        <f t="shared" si="12"/>
        <v>4.4775941791118683</v>
      </c>
      <c r="L106" s="69">
        <f t="shared" si="11"/>
        <v>1.3651201765584962</v>
      </c>
      <c r="M106" s="69">
        <f>IF((((1.18*F106^0.874)/3.7-(0.301*F106^0.751)/(1-H106)*H106)*(MAX('Max rate concentrations'!$P$3:$P$368)))/F106&gt;0, (((1.18*F106^0.874)/3.7-(0.301*F106^0.751)/(1-H106)*H106)*(MAX('Max rate concentrations'!$P$3:$P$368)))/F106, 0)</f>
        <v>0</v>
      </c>
      <c r="N106" s="69">
        <f>IF((((1.18*F106^0.874)/3.7-(0.301*F106^0.751)/(1-H106)*H106)*(MAX('Max rate concentrations'!$Q$3:$Q$368)))/F106&gt;0, (((1.18*F106^0.874)/3.7-(0.301*F106^0.751)/(1-H106)*H106)*(MAX('Max rate concentrations'!$Q$3:$Q$368)))/F106, 0)</f>
        <v>0</v>
      </c>
      <c r="O106" s="69">
        <f>((MAX('Max rate concentrations'!$F$3:$F$368))*0.62*6.01*8*(10*F106^0.667)*0.079*0.1/F106)*inputs!$E$80/(10^(0.84+0.62*LOG10(inputs!$E$80)))</f>
        <v>42.980102677088347</v>
      </c>
      <c r="P106" s="69">
        <f>((MAX('Max rate concentrations'!Y:Y))*0.62*6.01*8*(10*F106^0.667)*0.079*0.1/F106)*inputs!$E$80/(10^(0.84+0.62*LOG10(inputs!$E$80)))</f>
        <v>14.326700892362783</v>
      </c>
      <c r="Q106" s="69">
        <f>(inputs!$C$18*11.2*(10*F106^0.667)*0.5/F106)*inputs!$E$80/(10^(0.84+0.62*LOG10(inputs!$E$80)))</f>
        <v>7.5707423675586494</v>
      </c>
      <c r="R106" s="59">
        <f>(60*284*((F106/1000)^0.77)*3*24*(MAX('Max rate concentrations'!$R$3:$R$368))/F106)*(inputs!$E$73*3.4/inputs!$E$75)</f>
        <v>5.8967532813522246E-2</v>
      </c>
      <c r="S106" s="59">
        <f>(IF(inputs!$C$17="aerial",((0.025*0.112*inputs!$C$18/3.3)*(3*60*284*((F106/1000)^0.77))*MAX(inputs!$I$14:$I$16))/F106,((0.0083*0.112*inputs!$C$18/1)*(3*60*284*((F106/1000)^0.77))*MAX(inputs!$I$14:$I$16))/F106))*(inputs!E$75*3.4/inputs!$E$73)</f>
        <v>0.32520956633209019</v>
      </c>
      <c r="T106" s="63">
        <f>IF((((inputs!$P$13/(V106/MAX(K106:S106)))^(1/inputs!$O$13))-1)/inputs!$N$13&lt;0, 0, IF((((inputs!$P$13/(V106/MAX(K106:S106)))^(1/inputs!$O$13))-1)/inputs!$N$13&lt;inputs!$I$17, (((inputs!$P$13/(V106/MAX(K106:S106)))^(1/inputs!$O$13))-1)/inputs!$N$13, inputs!$I$17))</f>
        <v>1000</v>
      </c>
      <c r="U106" s="63">
        <f>IF((((inputs!$P$13/(X106/MAX(K106:S106)))^(1/inputs!$O$13))-1)/inputs!$N$13&lt;0, 0, IF((((inputs!$P$13/(X106/MAX(K106:S106)))^(1/inputs!$O$13))-1)/inputs!$N$13&lt;inputs!$I$17, (((inputs!$P$13/(X106/MAX(K106:S106)))^(1/inputs!$O$13))-1)/inputs!$N$13, inputs!$I$17))</f>
        <v>28.045091072939961</v>
      </c>
      <c r="V106" s="21">
        <f>inputs!$E$78*(F106/inputs!$F$78)^(inputs!$E$84-1)</f>
        <v>2.6668058808446828E-2</v>
      </c>
      <c r="W106" s="21">
        <f>inputs!$E$85*(F106/inputs!$F$85)^(inputs!$E$84-1)</f>
        <v>1.2314818288982921</v>
      </c>
      <c r="X106" s="21">
        <f>inputs!$E$80*(F106/inputs!$F$80)^(inputs!$E$84-1)</f>
        <v>4.5985713863923561</v>
      </c>
      <c r="Y106" s="21">
        <f>inputs!$E$82*(F106/inputs!$F$82)^(inputs!$E$84-1)</f>
        <v>2.1194088842502481</v>
      </c>
      <c r="Z106" s="63">
        <f t="shared" si="9"/>
        <v>1611.6697126629572</v>
      </c>
      <c r="AA106" s="63">
        <f t="shared" si="10"/>
        <v>34.901126162404843</v>
      </c>
    </row>
    <row r="107" spans="1:476" x14ac:dyDescent="0.25">
      <c r="A107" s="112" t="s">
        <v>193</v>
      </c>
      <c r="B107" s="20" t="s">
        <v>194</v>
      </c>
      <c r="C107" s="20" t="s">
        <v>73</v>
      </c>
      <c r="D107" s="48" t="s">
        <v>185</v>
      </c>
      <c r="E107" s="15">
        <v>8621</v>
      </c>
      <c r="F107" s="15">
        <v>90</v>
      </c>
      <c r="G107" s="20" t="s">
        <v>164</v>
      </c>
      <c r="H107" s="20">
        <v>0.78</v>
      </c>
      <c r="I107" s="68">
        <f>inputs!$C$66*(inputs!$C$62/1000)</f>
        <v>8.2000000000000011</v>
      </c>
      <c r="J107" s="68">
        <f>inputs!$C$66*(inputs!$C$61/1000)</f>
        <v>2.5</v>
      </c>
      <c r="K107" s="69">
        <f t="shared" si="12"/>
        <v>3.658906252927991</v>
      </c>
      <c r="L107" s="69">
        <f t="shared" si="11"/>
        <v>1.1155201990634118</v>
      </c>
      <c r="M107" s="69">
        <f>IF((((1.18*F107^0.874)/3.7-(0.301*F107^0.751)/(1-H107)*H107)*(MAX('Max rate concentrations'!$P$3:$P$368)))/F107&gt;0, (((1.18*F107^0.874)/3.7-(0.301*F107^0.751)/(1-H107)*H107)*(MAX('Max rate concentrations'!$P$3:$P$368)))/F107, 0)</f>
        <v>0</v>
      </c>
      <c r="N107" s="69">
        <f>IF((((1.18*F107^0.874)/3.7-(0.301*F107^0.751)/(1-H107)*H107)*(MAX('Max rate concentrations'!$Q$3:$Q$368)))/F107&gt;0, (((1.18*F107^0.874)/3.7-(0.301*F107^0.751)/(1-H107)*H107)*(MAX('Max rate concentrations'!$Q$3:$Q$368)))/F107, 0)</f>
        <v>0</v>
      </c>
      <c r="O107" s="69">
        <f>((MAX('Max rate concentrations'!$F$3:$F$368))*0.62*6.01*8*(10*F107^0.667)*0.079*0.1/F107)*inputs!$E$80/(10^(0.84+0.62*LOG10(inputs!$E$80)))</f>
        <v>32.808824477765633</v>
      </c>
      <c r="P107" s="69">
        <f>((MAX('Max rate concentrations'!Y:Y))*0.62*6.01*8*(10*F107^0.667)*0.079*0.1/F107)*inputs!$E$80/(10^(0.84+0.62*LOG10(inputs!$E$80)))</f>
        <v>10.936274825921876</v>
      </c>
      <c r="Q107" s="69">
        <f>(inputs!$C$18*11.2*(10*F107^0.667)*0.5/F107)*inputs!$E$80/(10^(0.84+0.62*LOG10(inputs!$E$80)))</f>
        <v>5.7791196863758225</v>
      </c>
      <c r="R107" s="59">
        <f>(60*284*((F107/1000)^0.77)*3*24*(MAX('Max rate concentrations'!$R$3:$R$368))/F107)*(inputs!$E$73*3.4/inputs!$E$75)</f>
        <v>4.8934029361201732E-2</v>
      </c>
      <c r="S107" s="59">
        <f>(IF(inputs!$C$17="aerial",((0.025*0.112*inputs!$C$18/3.3)*(3*60*284*((F107/1000)^0.77))*MAX(inputs!$I$14:$I$16))/F107,((0.0083*0.112*inputs!$C$18/1)*(3*60*284*((F107/1000)^0.77))*MAX(inputs!$I$14:$I$16))/F107))*(inputs!E$75*3.4/inputs!$E$73)</f>
        <v>0.26987417835105493</v>
      </c>
      <c r="T107" s="63">
        <f>IF((((inputs!$P$13/(V107/MAX(K107:S107)))^(1/inputs!$O$13))-1)/inputs!$N$13&lt;0, 0, IF((((inputs!$P$13/(V107/MAX(K107:S107)))^(1/inputs!$O$13))-1)/inputs!$N$13&lt;inputs!$I$17, (((inputs!$P$13/(V107/MAX(K107:S107)))^(1/inputs!$O$13))-1)/inputs!$N$13, inputs!$I$17))</f>
        <v>1000</v>
      </c>
      <c r="U107" s="63">
        <f>IF((((inputs!$P$13/(X107/MAX(K107:S107)))^(1/inputs!$O$13))-1)/inputs!$N$13&lt;0, 0, IF((((inputs!$P$13/(X107/MAX(K107:S107)))^(1/inputs!$O$13))-1)/inputs!$N$13&lt;inputs!$I$17, (((inputs!$P$13/(X107/MAX(K107:S107)))^(1/inputs!$O$13))-1)/inputs!$N$13, inputs!$I$17))</f>
        <v>28.862276489263756</v>
      </c>
      <c r="V107" s="21">
        <f>inputs!$E$78*(F107/inputs!$F$78)^(inputs!$E$84-1)</f>
        <v>1.9755311066585041E-2</v>
      </c>
      <c r="W107" s="21">
        <f>inputs!$E$85*(F107/inputs!$F$85)^(inputs!$E$84-1)</f>
        <v>0.91226387257804753</v>
      </c>
      <c r="X107" s="21">
        <f>inputs!$E$80*(F107/inputs!$F$80)^(inputs!$E$84-1)</f>
        <v>3.4065549672218229</v>
      </c>
      <c r="Y107" s="21">
        <f>inputs!$E$82*(F107/inputs!$F$82)^(inputs!$E$84-1)</f>
        <v>1.5700273531864954</v>
      </c>
      <c r="Z107" s="63">
        <f t="shared" si="9"/>
        <v>1660.7596998692595</v>
      </c>
      <c r="AA107" s="63">
        <f t="shared" si="10"/>
        <v>35.9641825835416</v>
      </c>
    </row>
    <row r="108" spans="1:476" x14ac:dyDescent="0.25">
      <c r="A108" s="112" t="s">
        <v>193</v>
      </c>
      <c r="B108" s="20" t="s">
        <v>194</v>
      </c>
      <c r="C108" s="20" t="s">
        <v>73</v>
      </c>
      <c r="D108" s="48" t="s">
        <v>185</v>
      </c>
      <c r="E108" s="15">
        <v>8621</v>
      </c>
      <c r="F108" s="15">
        <v>90</v>
      </c>
      <c r="G108" s="20" t="s">
        <v>195</v>
      </c>
      <c r="H108" s="20">
        <v>0.82</v>
      </c>
      <c r="I108" s="68">
        <f>inputs!$C$66*(inputs!$C$62/1000)</f>
        <v>8.2000000000000011</v>
      </c>
      <c r="J108" s="68">
        <f>inputs!$C$66*(inputs!$C$61/1000)</f>
        <v>2.5</v>
      </c>
      <c r="K108" s="69">
        <f t="shared" si="12"/>
        <v>4.4719965313564316</v>
      </c>
      <c r="L108" s="69">
        <f t="shared" si="11"/>
        <v>1.3634135766330582</v>
      </c>
      <c r="M108" s="69">
        <f>IF((((1.18*F108^0.874)/3.7-(0.301*F108^0.751)/(1-H108)*H108)*(MAX('Max rate concentrations'!$P$3:$P$368)))/F108&gt;0, (((1.18*F108^0.874)/3.7-(0.301*F108^0.751)/(1-H108)*H108)*(MAX('Max rate concentrations'!$P$3:$P$368)))/F108, 0)</f>
        <v>0</v>
      </c>
      <c r="N108" s="69">
        <f>IF((((1.18*F108^0.874)/3.7-(0.301*F108^0.751)/(1-H108)*H108)*(MAX('Max rate concentrations'!$Q$3:$Q$368)))/F108&gt;0, (((1.18*F108^0.874)/3.7-(0.301*F108^0.751)/(1-H108)*H108)*(MAX('Max rate concentrations'!$Q$3:$Q$368)))/F108, 0)</f>
        <v>0</v>
      </c>
      <c r="O108" s="69">
        <f>((MAX('Max rate concentrations'!$F$3:$F$368))*0.62*6.01*8*(10*F108^0.667)*0.079*0.1/F108)*inputs!$E$80/(10^(0.84+0.62*LOG10(inputs!$E$80)))</f>
        <v>32.808824477765633</v>
      </c>
      <c r="P108" s="69">
        <f>((MAX('Max rate concentrations'!Y:Y))*0.62*6.01*8*(10*F108^0.667)*0.079*0.1/F108)*inputs!$E$80/(10^(0.84+0.62*LOG10(inputs!$E$80)))</f>
        <v>10.936274825921876</v>
      </c>
      <c r="Q108" s="69">
        <f>(inputs!$C$18*11.2*(10*F108^0.667)*0.5/F108)*inputs!$E$80/(10^(0.84+0.62*LOG10(inputs!$E$80)))</f>
        <v>5.7791196863758225</v>
      </c>
      <c r="R108" s="59">
        <f>(60*284*((F108/1000)^0.77)*3*24*(MAX('Max rate concentrations'!$R$3:$R$368))/F108)*(inputs!$E$73*3.4/inputs!$E$75)</f>
        <v>4.8934029361201732E-2</v>
      </c>
      <c r="S108" s="59">
        <f>(IF(inputs!$C$17="aerial",((0.025*0.112*inputs!$C$18/3.3)*(3*60*284*((F108/1000)^0.77))*MAX(inputs!$I$14:$I$16))/F108,((0.0083*0.112*inputs!$C$18/1)*(3*60*284*((F108/1000)^0.77))*MAX(inputs!$I$14:$I$16))/F108))*(inputs!E$75*3.4/inputs!$E$73)</f>
        <v>0.26987417835105493</v>
      </c>
      <c r="T108" s="63">
        <f>IF((((inputs!$P$13/(V108/MAX(K108:S108)))^(1/inputs!$O$13))-1)/inputs!$N$13&lt;0, 0, IF((((inputs!$P$13/(V108/MAX(K108:S108)))^(1/inputs!$O$13))-1)/inputs!$N$13&lt;inputs!$I$17, (((inputs!$P$13/(V108/MAX(K108:S108)))^(1/inputs!$O$13))-1)/inputs!$N$13, inputs!$I$17))</f>
        <v>1000</v>
      </c>
      <c r="U108" s="63">
        <f>IF((((inputs!$P$13/(X108/MAX(K108:S108)))^(1/inputs!$O$13))-1)/inputs!$N$13&lt;0, 0, IF((((inputs!$P$13/(X108/MAX(K108:S108)))^(1/inputs!$O$13))-1)/inputs!$N$13&lt;inputs!$I$17, (((inputs!$P$13/(X108/MAX(K108:S108)))^(1/inputs!$O$13))-1)/inputs!$N$13, inputs!$I$17))</f>
        <v>28.862276489263756</v>
      </c>
      <c r="V108" s="21">
        <f>inputs!$E$78*(F108/inputs!$F$78)^(inputs!$E$84-1)</f>
        <v>1.9755311066585041E-2</v>
      </c>
      <c r="W108" s="21">
        <f>inputs!$E$85*(F108/inputs!$F$85)^(inputs!$E$84-1)</f>
        <v>0.91226387257804753</v>
      </c>
      <c r="X108" s="21">
        <f>inputs!$E$80*(F108/inputs!$F$80)^(inputs!$E$84-1)</f>
        <v>3.4065549672218229</v>
      </c>
      <c r="Y108" s="21">
        <f>inputs!$E$82*(F108/inputs!$F$82)^(inputs!$E$84-1)</f>
        <v>1.5700273531864954</v>
      </c>
      <c r="Z108" s="63">
        <f t="shared" si="9"/>
        <v>1660.7596998692595</v>
      </c>
      <c r="AA108" s="63">
        <f t="shared" si="10"/>
        <v>35.9641825835416</v>
      </c>
    </row>
    <row r="109" spans="1:476" x14ac:dyDescent="0.25">
      <c r="A109" s="114" t="s">
        <v>348</v>
      </c>
      <c r="B109" s="20" t="s">
        <v>349</v>
      </c>
      <c r="C109" s="20" t="s">
        <v>73</v>
      </c>
      <c r="D109" s="48" t="s">
        <v>185</v>
      </c>
      <c r="E109" s="15">
        <v>136</v>
      </c>
      <c r="F109" s="15">
        <v>100</v>
      </c>
      <c r="G109" s="20" t="s">
        <v>186</v>
      </c>
      <c r="H109" s="49">
        <v>0.75</v>
      </c>
      <c r="I109" s="68">
        <f>inputs!$C$66*inputs!$C$64/1000</f>
        <v>21.3</v>
      </c>
      <c r="J109" s="68">
        <f>inputs!$C$66*inputs!$C$63/1000</f>
        <v>8.8000000000000007</v>
      </c>
      <c r="K109" s="69">
        <f t="shared" si="12"/>
        <v>8.147157091662752</v>
      </c>
      <c r="L109" s="69">
        <f t="shared" si="11"/>
        <v>3.3659616153348462</v>
      </c>
      <c r="M109" s="69">
        <f>IF((((1.18*F109^0.874)/3.7-(0.301*F109^0.751)/(1-H109)*H109)*(MAX('Max rate concentrations'!$P$3:$P$368)))/F109&gt;0, (((1.18*F109^0.874)/3.7-(0.301*F109^0.751)/(1-H109)*H109)*(MAX('Max rate concentrations'!$P$3:$P$368)))/F109, 0)</f>
        <v>0</v>
      </c>
      <c r="N109" s="69">
        <f>IF((((1.18*F109^0.874)/3.7-(0.301*F109^0.751)/(1-H109)*H109)*(MAX('Max rate concentrations'!$Q$3:$Q$368)))/F109&gt;0, (((1.18*F109^0.874)/3.7-(0.301*F109^0.751)/(1-H109)*H109)*(MAX('Max rate concentrations'!$Q$3:$Q$368)))/F109, 0)</f>
        <v>0</v>
      </c>
      <c r="O109" s="69">
        <f>((MAX('Max rate concentrations'!$F$3:$F$368))*0.62*6.01*8*(10*F109^0.667)*0.079*0.1/F109)*inputs!$E$80/(10^(0.84+0.62*LOG10(inputs!$E$80)))</f>
        <v>31.67768426085243</v>
      </c>
      <c r="P109" s="69">
        <f>((MAX('Max rate concentrations'!Y:Y))*0.62*6.01*8*(10*F109^0.667)*0.079*0.1/F109)*inputs!$E$80/(10^(0.84+0.62*LOG10(inputs!$E$80)))</f>
        <v>10.55922808695081</v>
      </c>
      <c r="Q109" s="69">
        <f>(inputs!$C$18*11.2*(10*F109^0.667)*0.5/F109)*inputs!$E$80/(10^(0.84+0.62*LOG10(inputs!$E$80)))</f>
        <v>5.5798746722777244</v>
      </c>
      <c r="R109" s="59">
        <f>(60*284*((F109/1000)^0.77)*3*24*(MAX('Max rate concentrations'!$R$3:$R$368))/F109)*(inputs!$E$73*3.4/inputs!$E$75)</f>
        <v>4.7762467523401853E-2</v>
      </c>
      <c r="S109" s="59">
        <f>(IF(inputs!$C$17="aerial",((0.025*0.112*inputs!$C$18/3.3)*(3*60*284*((F109/1000)^0.77))*MAX(inputs!$I$14:$I$16))/F109,((0.0083*0.112*inputs!$C$18/1)*(3*60*284*((F109/1000)^0.77))*MAX(inputs!$I$14:$I$16))/F109))*(inputs!E$75*3.4/inputs!$E$73)</f>
        <v>0.26341294283681005</v>
      </c>
      <c r="T109" s="63">
        <f>IF((((inputs!$P$13/(V109/MAX(K109:S109)))^(1/inputs!$O$13))-1)/inputs!$N$13&lt;0, 0, IF((((inputs!$P$13/(V109/MAX(K109:S109)))^(1/inputs!$O$13))-1)/inputs!$N$13&lt;inputs!$I$17, (((inputs!$P$13/(V109/MAX(K109:S109)))^(1/inputs!$O$13))-1)/inputs!$N$13, inputs!$I$17))</f>
        <v>1000</v>
      </c>
      <c r="U109" s="63">
        <f>IF((((inputs!$P$13/(X109/MAX(K109:S109)))^(1/inputs!$O$13))-1)/inputs!$N$13&lt;0, 0, IF((((inputs!$P$13/(X109/MAX(K109:S109)))^(1/inputs!$O$13))-1)/inputs!$N$13&lt;inputs!$I$17, (((inputs!$P$13/(X109/MAX(K109:S109)))^(1/inputs!$O$13))-1)/inputs!$N$13, inputs!$I$17))</f>
        <v>28.969912568661432</v>
      </c>
      <c r="V109" s="21">
        <f>inputs!$E$78*(F109/inputs!$F$78)^(inputs!$E$84-1)</f>
        <v>1.9E-2</v>
      </c>
      <c r="W109" s="21">
        <f>inputs!$E$85*(F109/inputs!$F$85)^(inputs!$E$84-1)</f>
        <v>0.87738499892824706</v>
      </c>
      <c r="X109" s="21">
        <f>inputs!$E$80*(F109/inputs!$F$80)^(inputs!$E$84-1)</f>
        <v>3.2763110719472515</v>
      </c>
      <c r="Y109" s="21">
        <f>inputs!$E$82*(F109/inputs!$F$82)^(inputs!$E$84-1)</f>
        <v>1.51</v>
      </c>
      <c r="Z109" s="63">
        <f t="shared" si="9"/>
        <v>1667.2465400448648</v>
      </c>
      <c r="AA109" s="63">
        <f t="shared" si="10"/>
        <v>36.104656792112586</v>
      </c>
    </row>
    <row r="110" spans="1:476" x14ac:dyDescent="0.25">
      <c r="A110" s="114" t="s">
        <v>350</v>
      </c>
      <c r="B110" s="20" t="s">
        <v>351</v>
      </c>
      <c r="C110" s="20" t="s">
        <v>73</v>
      </c>
      <c r="D110" s="48" t="s">
        <v>185</v>
      </c>
      <c r="E110" s="15">
        <v>135</v>
      </c>
      <c r="F110" s="15">
        <v>110</v>
      </c>
      <c r="G110" s="20" t="s">
        <v>186</v>
      </c>
      <c r="H110" s="49">
        <v>0.75</v>
      </c>
      <c r="I110" s="68">
        <f>inputs!$C$66*inputs!$C$64/1000</f>
        <v>21.3</v>
      </c>
      <c r="J110" s="68">
        <f>inputs!$C$66*inputs!$C$63/1000</f>
        <v>8.8000000000000007</v>
      </c>
      <c r="K110" s="69">
        <f t="shared" si="12"/>
        <v>7.9560831209667455</v>
      </c>
      <c r="L110" s="69">
        <f t="shared" ref="L110:L126" si="13">((0.301*F110^0.751)/(1-H110))*J110/F110</f>
        <v>3.287020256549642</v>
      </c>
      <c r="M110" s="69">
        <f>IF((((1.18*F110^0.874)/3.7-(0.301*F110^0.751)/(1-H110)*H110)*(MAX('Max rate concentrations'!$P$3:$P$368)))/F110&gt;0, (((1.18*F110^0.874)/3.7-(0.301*F110^0.751)/(1-H110)*H110)*(MAX('Max rate concentrations'!$P$3:$P$368)))/F110, 0)</f>
        <v>0</v>
      </c>
      <c r="N110" s="69">
        <f>IF((((1.18*F110^0.874)/3.7-(0.301*F110^0.751)/(1-H110)*H110)*(MAX('Max rate concentrations'!$Q$3:$Q$368)))/F110&gt;0, (((1.18*F110^0.874)/3.7-(0.301*F110^0.751)/(1-H110)*H110)*(MAX('Max rate concentrations'!$Q$3:$Q$368)))/F110, 0)</f>
        <v>0</v>
      </c>
      <c r="O110" s="69">
        <f>((MAX('Max rate concentrations'!$F$3:$F$368))*0.62*6.01*8*(10*F110^0.667)*0.079*0.1/F110)*inputs!$E$80/(10^(0.84+0.62*LOG10(inputs!$E$80)))</f>
        <v>30.688076041028705</v>
      </c>
      <c r="P110" s="69">
        <f>((MAX('Max rate concentrations'!Y:Y))*0.62*6.01*8*(10*F110^0.667)*0.079*0.1/F110)*inputs!$E$80/(10^(0.84+0.62*LOG10(inputs!$E$80)))</f>
        <v>10.229358680342907</v>
      </c>
      <c r="Q110" s="69">
        <f>(inputs!$C$18*11.2*(10*F110^0.667)*0.5/F110)*inputs!$E$80/(10^(0.84+0.62*LOG10(inputs!$E$80)))</f>
        <v>5.4055598519202208</v>
      </c>
      <c r="R110" s="59">
        <f>(60*284*((F110/1000)^0.77)*3*24*(MAX('Max rate concentrations'!$R$3:$R$368))/F110)*(inputs!$E$73*3.4/inputs!$E$75)</f>
        <v>4.6726842782307078E-2</v>
      </c>
      <c r="S110" s="59">
        <f>(IF(inputs!$C$17="aerial",((0.025*0.112*inputs!$C$18/3.3)*(3*60*284*((F110/1000)^0.77))*MAX(inputs!$I$14:$I$16))/F110,((0.0083*0.112*inputs!$C$18/1)*(3*60*284*((F110/1000)^0.77))*MAX(inputs!$I$14:$I$16))/F110))*(inputs!E$75*3.4/inputs!$E$73)</f>
        <v>0.25770140876263931</v>
      </c>
      <c r="T110" s="63">
        <f>IF((((inputs!$P$13/(V110/MAX(K110:S110)))^(1/inputs!$O$13))-1)/inputs!$N$13&lt;0, 0, IF((((inputs!$P$13/(V110/MAX(K110:S110)))^(1/inputs!$O$13))-1)/inputs!$N$13&lt;inputs!$I$17, (((inputs!$P$13/(V110/MAX(K110:S110)))^(1/inputs!$O$13))-1)/inputs!$N$13, inputs!$I$17))</f>
        <v>1000</v>
      </c>
      <c r="U110" s="63">
        <f>IF((((inputs!$P$13/(X110/MAX(K110:S110)))^(1/inputs!$O$13))-1)/inputs!$N$13&lt;0, 0, IF((((inputs!$P$13/(X110/MAX(K110:S110)))^(1/inputs!$O$13))-1)/inputs!$N$13&lt;inputs!$I$17, (((inputs!$P$13/(X110/MAX(K110:S110)))^(1/inputs!$O$13))-1)/inputs!$N$13, inputs!$I$17))</f>
        <v>29.067573989502268</v>
      </c>
      <c r="V110" s="21">
        <f>inputs!$E$78*(F110/inputs!$F$78)^(inputs!$E$84-1)</f>
        <v>1.8341646012025203E-2</v>
      </c>
      <c r="W110" s="21">
        <f>inputs!$E$85*(F110/inputs!$F$85)^(inputs!$E$84-1)</f>
        <v>0.84698342455805364</v>
      </c>
      <c r="X110" s="21">
        <f>inputs!$E$80*(F110/inputs!$F$80)^(inputs!$E$84-1)</f>
        <v>3.162786205628175</v>
      </c>
      <c r="Y110" s="21">
        <f>inputs!$E$82*(F110/inputs!$F$82)^(inputs!$E$84-1)</f>
        <v>1.4576781830609504</v>
      </c>
      <c r="Z110" s="63">
        <f t="shared" si="9"/>
        <v>1673.1364252100875</v>
      </c>
      <c r="AA110" s="63">
        <f t="shared" si="10"/>
        <v>36.232203784910425</v>
      </c>
    </row>
    <row r="111" spans="1:476" x14ac:dyDescent="0.25">
      <c r="A111" s="103" t="s">
        <v>208</v>
      </c>
      <c r="B111" s="20" t="s">
        <v>209</v>
      </c>
      <c r="C111" s="20" t="s">
        <v>73</v>
      </c>
      <c r="D111" s="104" t="s">
        <v>185</v>
      </c>
      <c r="E111" s="15">
        <v>132</v>
      </c>
      <c r="F111" s="15">
        <v>34</v>
      </c>
      <c r="G111" s="20" t="s">
        <v>142</v>
      </c>
      <c r="H111" s="20">
        <v>0.69</v>
      </c>
      <c r="I111" s="68">
        <f>MAX('Max rate concentrations'!$H$3:$H$368)</f>
        <v>282</v>
      </c>
      <c r="J111" s="68">
        <f>MAX('Max rate concentrations'!AA:AA)</f>
        <v>195</v>
      </c>
      <c r="K111" s="69">
        <f t="shared" si="12"/>
        <v>113.79302949533124</v>
      </c>
      <c r="L111" s="69">
        <f t="shared" si="13"/>
        <v>78.68666933187798</v>
      </c>
      <c r="M111" s="69">
        <f>IF((((1.18*F111^0.874)/3.7-(0.301*F111^0.751)/(1-H111)*H111)*(MAX('Max rate concentrations'!$P$3:$P$368)))/F111&gt;0, (((1.18*F111^0.874)/3.7-(0.301*F111^0.751)/(1-H111)*H111)*(MAX('Max rate concentrations'!$P$3:$P$368)))/F111, 0)</f>
        <v>0</v>
      </c>
      <c r="N111" s="69">
        <f>IF((((1.18*F111^0.874)/3.7-(0.301*F111^0.751)/(1-H111)*H111)*(MAX('Max rate concentrations'!$Q$3:$Q$368)))/F111&gt;0, (((1.18*F111^0.874)/3.7-(0.301*F111^0.751)/(1-H111)*H111)*(MAX('Max rate concentrations'!$Q$3:$Q$368)))/F111, 0)</f>
        <v>0</v>
      </c>
      <c r="O111" s="69">
        <f>((MAX('Max rate concentrations'!$F$3:$F$368))*0.62*6.01*8*(10*F111^0.667)*0.079*0.1/F111)*inputs!$E$80/(10^(0.84+0.62*LOG10(inputs!$E$80)))</f>
        <v>45.370226397264176</v>
      </c>
      <c r="P111" s="69">
        <f>((MAX('Max rate concentrations'!Y:Y))*0.62*6.01*8*(10*F111^0.667)*0.079*0.1/F111)*inputs!$E$80/(10^(0.84+0.62*LOG10(inputs!$E$80)))</f>
        <v>15.123408799088054</v>
      </c>
      <c r="Q111" s="69">
        <f>(inputs!$C$18*11.2*(10*F111^0.667)*0.5/F111)*inputs!$E$80/(10^(0.84+0.62*LOG10(inputs!$E$80)))</f>
        <v>7.9917513876624557</v>
      </c>
      <c r="R111" s="59">
        <f>(60*284*((F111/1000)^0.77)*3*24*(MAX('Max rate concentrations'!$R$3:$R$368))/F111)*(inputs!$E$73*3.4/inputs!$E$75)</f>
        <v>6.121341439301578E-2</v>
      </c>
      <c r="S111" s="59">
        <f>(IF(inputs!$C$17="aerial",((0.025*0.112*inputs!$C$18/3.3)*(3*60*284*((F111/1000)^0.77))*MAX(inputs!$I$14:$I$16))/F111,((0.0083*0.112*inputs!$C$18/1)*(3*60*284*((F111/1000)^0.77))*MAX(inputs!$I$14:$I$16))/F111))*(inputs!E$75*3.4/inputs!$E$73)</f>
        <v>0.33759574122616398</v>
      </c>
      <c r="T111" s="63">
        <f>IF((((inputs!$P$13/(V111/MAX(K111:S111)))^(1/inputs!$O$13))-1)/inputs!$N$13&lt;0, 0, IF((((inputs!$P$13/(V111/MAX(K111:S111)))^(1/inputs!$O$13))-1)/inputs!$N$13&lt;inputs!$I$17, (((inputs!$P$13/(V111/MAX(K111:S111)))^(1/inputs!$O$13))-1)/inputs!$N$13, inputs!$I$17))</f>
        <v>1000</v>
      </c>
      <c r="U111" s="63">
        <f>IF((((inputs!$P$13/(X111/MAX(K111:S111)))^(1/inputs!$O$13))-1)/inputs!$N$13&lt;0, 0, IF((((inputs!$P$13/(X111/MAX(K111:S111)))^(1/inputs!$O$13))-1)/inputs!$N$13&lt;inputs!$I$17, (((inputs!$P$13/(X111/MAX(K111:S111)))^(1/inputs!$O$13))-1)/inputs!$N$13, inputs!$I$17))</f>
        <v>64.420990241498657</v>
      </c>
      <c r="V111" s="21">
        <f>inputs!$E$78*(F111/inputs!$F$78)^(inputs!$E$84-1)</f>
        <v>2.832085768556198E-2</v>
      </c>
      <c r="W111" s="21">
        <f>inputs!$E$85*(F111/inputs!$F$85)^(inputs!$E$84-1)</f>
        <v>1.3078050363207285</v>
      </c>
      <c r="X111" s="21">
        <f>inputs!$E$80*(F111/inputs!$F$80)^(inputs!$E$84-1)</f>
        <v>4.883575768539429</v>
      </c>
      <c r="Y111" s="21">
        <f>inputs!$E$82*(F111/inputs!$F$82)^(inputs!$E$84-1)</f>
        <v>2.2507629002736103</v>
      </c>
      <c r="Z111" s="63">
        <f t="shared" si="9"/>
        <v>4017.993761302756</v>
      </c>
      <c r="AA111" s="63">
        <f t="shared" si="10"/>
        <v>87.010698334261832</v>
      </c>
    </row>
    <row r="112" spans="1:476" x14ac:dyDescent="0.25">
      <c r="A112" s="112" t="s">
        <v>357</v>
      </c>
      <c r="B112" s="113" t="s">
        <v>358</v>
      </c>
      <c r="C112" s="20" t="s">
        <v>73</v>
      </c>
      <c r="D112" s="48" t="s">
        <v>185</v>
      </c>
      <c r="E112" s="118">
        <v>6618</v>
      </c>
      <c r="F112" s="15">
        <v>148</v>
      </c>
      <c r="G112" s="20" t="s">
        <v>186</v>
      </c>
      <c r="H112" s="49">
        <v>0.75</v>
      </c>
      <c r="I112" s="68">
        <f>inputs!$C$66*inputs!$C$64/1000</f>
        <v>21.3</v>
      </c>
      <c r="J112" s="68">
        <f>inputs!$C$66*inputs!$C$63/1000</f>
        <v>8.8000000000000007</v>
      </c>
      <c r="K112" s="69">
        <f t="shared" si="12"/>
        <v>7.3894297244323432</v>
      </c>
      <c r="L112" s="69">
        <f t="shared" si="13"/>
        <v>3.0529099330988085</v>
      </c>
      <c r="M112" s="69">
        <f>IF((((1.18*F112^0.874)/3.7-(0.301*F112^0.751)/(1-H112)*H112)*(MAX('Max rate concentrations'!$P$3:$P$368)))/F112&gt;0, (((1.18*F112^0.874)/3.7-(0.301*F112^0.751)/(1-H112)*H112)*(MAX('Max rate concentrations'!$P$3:$P$368)))/F112, 0)</f>
        <v>0</v>
      </c>
      <c r="N112" s="69">
        <f>IF((((1.18*F112^0.874)/3.7-(0.301*F112^0.751)/(1-H112)*H112)*(MAX('Max rate concentrations'!$Q$3:$Q$368)))/F112&gt;0, (((1.18*F112^0.874)/3.7-(0.301*F112^0.751)/(1-H112)*H112)*(MAX('Max rate concentrations'!$Q$3:$Q$368)))/F112, 0)</f>
        <v>0</v>
      </c>
      <c r="O112" s="69">
        <f>((MAX('Max rate concentrations'!$F$3:$F$368))*0.62*6.01*8*(10*F112^0.667)*0.079*0.1/F112)*inputs!$E$80/(10^(0.84+0.62*LOG10(inputs!$E$80)))</f>
        <v>27.800734778216651</v>
      </c>
      <c r="P112" s="69">
        <f>((MAX('Max rate concentrations'!Y:Y))*0.62*6.01*8*(10*F112^0.667)*0.079*0.1/F112)*inputs!$E$80/(10^(0.84+0.62*LOG10(inputs!$E$80)))</f>
        <v>9.2669115927388823</v>
      </c>
      <c r="Q112" s="69">
        <f>(inputs!$C$18*11.2*(10*F112^0.667)*0.5/F112)*inputs!$E$80/(10^(0.84+0.62*LOG10(inputs!$E$80)))</f>
        <v>4.8969683068464063</v>
      </c>
      <c r="R112" s="59">
        <f>(60*284*((F112/1000)^0.77)*3*24*(MAX('Max rate concentrations'!$R$3:$R$368))/F112)*(inputs!$E$73*3.4/inputs!$E$75)</f>
        <v>4.3644202370333056E-2</v>
      </c>
      <c r="S112" s="59">
        <f>(IF(inputs!$C$17="aerial",((0.025*0.112*inputs!$C$18/3.3)*(3*60*284*((F112/1000)^0.77))*MAX(inputs!$I$14:$I$16))/F112,((0.0083*0.112*inputs!$C$18/1)*(3*60*284*((F112/1000)^0.77))*MAX(inputs!$I$14:$I$16))/F112))*(inputs!E$75*3.4/inputs!$E$73)</f>
        <v>0.2407004574983877</v>
      </c>
      <c r="T112" s="63">
        <f>IF((((inputs!$P$13/(V112/MAX(K112:S112)))^(1/inputs!$O$13))-1)/inputs!$N$13&lt;0, 0, IF((((inputs!$P$13/(V112/MAX(K112:S112)))^(1/inputs!$O$13))-1)/inputs!$N$13&lt;inputs!$I$17, (((inputs!$P$13/(V112/MAX(K112:S112)))^(1/inputs!$O$13))-1)/inputs!$N$13, inputs!$I$17))</f>
        <v>1000</v>
      </c>
      <c r="U112" s="63">
        <f>IF((((inputs!$P$13/(X112/MAX(K112:S112)))^(1/inputs!$O$13))-1)/inputs!$N$13&lt;0, 0, IF((((inputs!$P$13/(X112/MAX(K112:S112)))^(1/inputs!$O$13))-1)/inputs!$N$13&lt;inputs!$I$17, (((inputs!$P$13/(X112/MAX(K112:S112)))^(1/inputs!$O$13))-1)/inputs!$N$13, inputs!$I$17))</f>
        <v>29.373415519085608</v>
      </c>
      <c r="V112" s="21">
        <f>inputs!$E$78*(F112/inputs!$F$78)^(inputs!$E$84-1)</f>
        <v>1.6434510237281978E-2</v>
      </c>
      <c r="W112" s="21">
        <f>inputs!$E$85*(F112/inputs!$F$85)^(inputs!$E$84-1)</f>
        <v>0.75891540773283761</v>
      </c>
      <c r="X112" s="21">
        <f>inputs!$E$80*(F112/inputs!$F$80)^(inputs!$E$84-1)</f>
        <v>2.8339246238124951</v>
      </c>
      <c r="Y112" s="21">
        <f>inputs!$E$82*(F112/inputs!$F$82)^(inputs!$E$84-1)</f>
        <v>1.30611107675241</v>
      </c>
      <c r="Z112" s="63">
        <f t="shared" si="9"/>
        <v>1691.6071350365032</v>
      </c>
      <c r="AA112" s="63">
        <f t="shared" si="10"/>
        <v>36.632191802862167</v>
      </c>
    </row>
    <row r="113" spans="1:476" x14ac:dyDescent="0.25">
      <c r="A113" s="112" t="s">
        <v>357</v>
      </c>
      <c r="B113" s="113" t="s">
        <v>358</v>
      </c>
      <c r="C113" s="20" t="s">
        <v>73</v>
      </c>
      <c r="D113" s="48" t="s">
        <v>185</v>
      </c>
      <c r="E113" s="118">
        <v>6618</v>
      </c>
      <c r="F113" s="15">
        <v>148</v>
      </c>
      <c r="G113" s="20" t="s">
        <v>174</v>
      </c>
      <c r="H113" s="20">
        <v>0.83</v>
      </c>
      <c r="I113" s="68">
        <f>inputs!$C$66*(inputs!$C$62/1000)</f>
        <v>8.2000000000000011</v>
      </c>
      <c r="J113" s="68">
        <f>inputs!$C$66*(inputs!$C$61/1000)</f>
        <v>2.5</v>
      </c>
      <c r="K113" s="69">
        <f t="shared" si="12"/>
        <v>4.1834661516394087</v>
      </c>
      <c r="L113" s="69">
        <f t="shared" si="13"/>
        <v>1.2754469974510392</v>
      </c>
      <c r="M113" s="69">
        <f>IF((((1.18*F113^0.874)/3.7-(0.301*F113^0.751)/(1-H113)*H113)*(MAX('Max rate concentrations'!$P$3:$P$368)))/F113&gt;0, (((1.18*F113^0.874)/3.7-(0.301*F113^0.751)/(1-H113)*H113)*(MAX('Max rate concentrations'!$P$3:$P$368)))/F113, 0)</f>
        <v>0</v>
      </c>
      <c r="N113" s="69">
        <f>IF((((1.18*F113^0.874)/3.7-(0.301*F113^0.751)/(1-H113)*H113)*(MAX('Max rate concentrations'!$Q$3:$Q$368)))/F113&gt;0, (((1.18*F113^0.874)/3.7-(0.301*F113^0.751)/(1-H113)*H113)*(MAX('Max rate concentrations'!$Q$3:$Q$368)))/F113, 0)</f>
        <v>0</v>
      </c>
      <c r="O113" s="69">
        <f>((MAX('Max rate concentrations'!$F$3:$F$368))*0.62*6.01*8*(10*F113^0.667)*0.079*0.1/F113)*inputs!$E$80/(10^(0.84+0.62*LOG10(inputs!$E$80)))</f>
        <v>27.800734778216651</v>
      </c>
      <c r="P113" s="69">
        <f>((MAX('Max rate concentrations'!Y:Y))*0.62*6.01*8*(10*F113^0.667)*0.079*0.1/F113)*inputs!$E$80/(10^(0.84+0.62*LOG10(inputs!$E$80)))</f>
        <v>9.2669115927388823</v>
      </c>
      <c r="Q113" s="69">
        <f>(inputs!$C$18*11.2*(10*F113^0.667)*0.5/F113)*inputs!$E$80/(10^(0.84+0.62*LOG10(inputs!$E$80)))</f>
        <v>4.8969683068464063</v>
      </c>
      <c r="R113" s="59">
        <f>(60*284*((F113/1000)^0.77)*3*24*(MAX('Max rate concentrations'!$R$3:$R$368))/F113)*(inputs!$E$73*3.4/inputs!$E$75)</f>
        <v>4.3644202370333056E-2</v>
      </c>
      <c r="S113" s="59">
        <f>(IF(inputs!$C$17="aerial",((0.025*0.112*inputs!$C$18/3.3)*(3*60*284*((F113/1000)^0.77))*MAX(inputs!$I$14:$I$16))/F113,((0.0083*0.112*inputs!$C$18/1)*(3*60*284*((F113/1000)^0.77))*MAX(inputs!$I$14:$I$16))/F113))*(inputs!E$75*3.4/inputs!$E$73)</f>
        <v>0.2407004574983877</v>
      </c>
      <c r="T113" s="63">
        <f>IF((((inputs!$P$13/(V113/MAX(K113:S113)))^(1/inputs!$O$13))-1)/inputs!$N$13&lt;0, 0, IF((((inputs!$P$13/(V113/MAX(K113:S113)))^(1/inputs!$O$13))-1)/inputs!$N$13&lt;inputs!$I$17, (((inputs!$P$13/(V113/MAX(K113:S113)))^(1/inputs!$O$13))-1)/inputs!$N$13, inputs!$I$17))</f>
        <v>1000</v>
      </c>
      <c r="U113" s="63">
        <f>IF((((inputs!$P$13/(X113/MAX(K113:S113)))^(1/inputs!$O$13))-1)/inputs!$N$13&lt;0, 0, IF((((inputs!$P$13/(X113/MAX(K113:S113)))^(1/inputs!$O$13))-1)/inputs!$N$13&lt;inputs!$I$17, (((inputs!$P$13/(X113/MAX(K113:S113)))^(1/inputs!$O$13))-1)/inputs!$N$13, inputs!$I$17))</f>
        <v>29.373415519085608</v>
      </c>
      <c r="V113" s="21">
        <f>inputs!$E$78*(F113/inputs!$F$78)^(inputs!$E$84-1)</f>
        <v>1.6434510237281978E-2</v>
      </c>
      <c r="W113" s="21">
        <f>inputs!$E$85*(F113/inputs!$F$85)^(inputs!$E$84-1)</f>
        <v>0.75891540773283761</v>
      </c>
      <c r="X113" s="21">
        <f>inputs!$E$80*(F113/inputs!$F$80)^(inputs!$E$84-1)</f>
        <v>2.8339246238124951</v>
      </c>
      <c r="Y113" s="21">
        <f>inputs!$E$82*(F113/inputs!$F$82)^(inputs!$E$84-1)</f>
        <v>1.30611107675241</v>
      </c>
      <c r="Z113" s="63">
        <f t="shared" si="9"/>
        <v>1691.6071350365032</v>
      </c>
      <c r="AA113" s="63">
        <f t="shared" si="10"/>
        <v>36.632191802862167</v>
      </c>
    </row>
    <row r="114" spans="1:476" x14ac:dyDescent="0.25">
      <c r="A114" s="114" t="s">
        <v>289</v>
      </c>
      <c r="B114" s="20" t="s">
        <v>290</v>
      </c>
      <c r="C114" s="20" t="s">
        <v>73</v>
      </c>
      <c r="D114" s="48" t="s">
        <v>291</v>
      </c>
      <c r="E114" s="15">
        <v>124</v>
      </c>
      <c r="F114" s="15">
        <v>2050</v>
      </c>
      <c r="G114" s="49" t="s">
        <v>186</v>
      </c>
      <c r="H114" s="49">
        <v>0.75</v>
      </c>
      <c r="I114" s="68">
        <f>inputs!$C$66*inputs!$C$64/1000</f>
        <v>21.3</v>
      </c>
      <c r="J114" s="68">
        <f>inputs!$C$66*inputs!$C$63/1000</f>
        <v>8.8000000000000007</v>
      </c>
      <c r="K114" s="69">
        <f t="shared" si="12"/>
        <v>3.8404258029650342</v>
      </c>
      <c r="L114" s="69">
        <f t="shared" si="13"/>
        <v>1.5866547918353193</v>
      </c>
      <c r="M114" s="69">
        <f>IF((((1.18*F114^0.874)/3.7-(0.301*F114^0.751)/(1-H114)*H114)*(MAX('Max rate concentrations'!$P$3:$P$368)))/F114&gt;0, (((1.18*F114^0.874)/3.7-(0.301*F114^0.751)/(1-H114)*H114)*(MAX('Max rate concentrations'!$P$3:$P$368)))/F114, 0)</f>
        <v>0</v>
      </c>
      <c r="N114" s="69">
        <f>IF((((1.18*F114^0.874)/3.7-(0.301*F114^0.751)/(1-H114)*H114)*(MAX('Max rate concentrations'!$Q$3:$Q$368)))/F114&gt;0, (((1.18*F114^0.874)/3.7-(0.301*F114^0.751)/(1-H114)*H114)*(MAX('Max rate concentrations'!$Q$3:$Q$368)))/F114, 0)</f>
        <v>0</v>
      </c>
      <c r="O114" s="69">
        <f>((MAX('Max rate concentrations'!$F$3:$F$368))*0.62*6.01*8*(10*F114^0.667)*0.079*0.1/F114)*inputs!$E$80/(10^(0.84+0.62*LOG10(inputs!$E$80)))</f>
        <v>11.58615648953606</v>
      </c>
      <c r="P114" s="69">
        <f>((MAX('Max rate concentrations'!Y:Y))*0.62*6.01*8*(10*F114^0.667)*0.079*0.1/F114)*inputs!$E$80/(10^(0.84+0.62*LOG10(inputs!$E$80)))</f>
        <v>3.8620521631786868</v>
      </c>
      <c r="Q114" s="69">
        <f>(inputs!$C$18*11.2*(10*F114^0.667)*0.5/F114)*inputs!$E$80/(10^(0.84+0.62*LOG10(inputs!$E$80)))</f>
        <v>2.0408468186199662</v>
      </c>
      <c r="R114" s="59">
        <f>(60*284*((F114/1000)^0.77)*3*24*(MAX('Max rate concentrations'!$R$3:$R$368))/F114)*(inputs!$E$73*3.4/inputs!$E$75)</f>
        <v>2.3844233568425206E-2</v>
      </c>
      <c r="S114" s="59">
        <f>(IF(inputs!$C$17="aerial",((0.025*0.112*inputs!$C$18/3.3)*(3*60*284*((F114/1000)^0.77))*MAX(inputs!$I$14:$I$16))/F114,((0.0083*0.112*inputs!$C$18/1)*(3*60*284*((F114/1000)^0.77))*MAX(inputs!$I$14:$I$16))/F114))*(inputs!E$75*3.4/inputs!$E$73)</f>
        <v>0.13150241307926011</v>
      </c>
      <c r="T114" s="63">
        <f>IF((((inputs!$P$13/(V114/MAX(K114:S114)))^(1/inputs!$O$13))-1)/inputs!$N$13&lt;0, 0, IF((((inputs!$P$13/(V114/MAX(K114:S114)))^(1/inputs!$O$13))-1)/inputs!$N$13&lt;inputs!$I$17, (((inputs!$P$13/(V114/MAX(K114:S114)))^(1/inputs!$O$13))-1)/inputs!$N$13, inputs!$I$17))</f>
        <v>1000</v>
      </c>
      <c r="U114" s="63">
        <f>IF((((inputs!$P$13/(X114/MAX(K114:S114)))^(1/inputs!$O$13))-1)/inputs!$N$13&lt;0, 0, IF((((inputs!$P$13/(X114/MAX(K114:S114)))^(1/inputs!$O$13))-1)/inputs!$N$13&lt;inputs!$I$17, (((inputs!$P$13/(X114/MAX(K114:S114)))^(1/inputs!$O$13))-1)/inputs!$N$13, inputs!$I$17))</f>
        <v>32.204392829835299</v>
      </c>
      <c r="V114" s="21">
        <f>inputs!$E$78*(F114/inputs!$F$78)^(inputs!$E$84-1)</f>
        <v>6.2144782498448634E-3</v>
      </c>
      <c r="W114" s="21">
        <f>inputs!$E$85*(F114/inputs!$F$85)^(inputs!$E$84-1)</f>
        <v>0.28697315750419744</v>
      </c>
      <c r="X114" s="21">
        <f>inputs!$E$80*(F114/inputs!$F$80)^(inputs!$E$84-1)</f>
        <v>1.0716086261232689</v>
      </c>
      <c r="Y114" s="21">
        <f>inputs!$E$82*(F114/inputs!$F$82)^(inputs!$E$84-1)</f>
        <v>0.4938874819613549</v>
      </c>
      <c r="Z114" s="63">
        <f t="shared" si="9"/>
        <v>1864.3812117011262</v>
      </c>
      <c r="AA114" s="63">
        <f t="shared" si="10"/>
        <v>40.373659300753921</v>
      </c>
    </row>
    <row r="115" spans="1:476" x14ac:dyDescent="0.25">
      <c r="A115" s="103" t="s">
        <v>242</v>
      </c>
      <c r="B115" s="20" t="s">
        <v>243</v>
      </c>
      <c r="C115" s="20" t="s">
        <v>73</v>
      </c>
      <c r="D115" s="104" t="s">
        <v>223</v>
      </c>
      <c r="E115" s="15">
        <v>5170</v>
      </c>
      <c r="F115" s="15">
        <v>58</v>
      </c>
      <c r="G115" s="20" t="s">
        <v>142</v>
      </c>
      <c r="H115" s="20">
        <v>0.69</v>
      </c>
      <c r="I115" s="68">
        <f>MAX('Max rate concentrations'!$H$3:$H$368)</f>
        <v>282</v>
      </c>
      <c r="J115" s="68">
        <f>MAX('Max rate concentrations'!AA:AA)</f>
        <v>195</v>
      </c>
      <c r="K115" s="69">
        <f t="shared" si="12"/>
        <v>99.623166067214257</v>
      </c>
      <c r="L115" s="69">
        <f t="shared" si="13"/>
        <v>68.888359514563049</v>
      </c>
      <c r="M115" s="69">
        <f>IF((((1.18*F115^0.874)/3.7-(0.301*F115^0.751)/(1-H115)*H115)*(MAX('Max rate concentrations'!$P$3:$P$368)))/F115&gt;0, (((1.18*F115^0.874)/3.7-(0.301*F115^0.751)/(1-H115)*H115)*(MAX('Max rate concentrations'!$P$3:$P$368)))/F115, 0)</f>
        <v>0</v>
      </c>
      <c r="N115" s="69">
        <f>IF((((1.18*F115^0.874)/3.7-(0.301*F115^0.751)/(1-H115)*H115)*(MAX('Max rate concentrations'!$Q$3:$Q$368)))/F115&gt;0, (((1.18*F115^0.874)/3.7-(0.301*F115^0.751)/(1-H115)*H115)*(MAX('Max rate concentrations'!$Q$3:$Q$368)))/F115, 0)</f>
        <v>0</v>
      </c>
      <c r="O115" s="69">
        <f>((MAX('Max rate concentrations'!$F$3:$F$368))*0.62*6.01*8*(10*F115^0.667)*0.079*0.1/F115)*inputs!$E$80/(10^(0.84+0.62*LOG10(inputs!$E$80)))</f>
        <v>37.977983713771373</v>
      </c>
      <c r="P115" s="69">
        <f>((MAX('Max rate concentrations'!Y:Y))*0.62*6.01*8*(10*F115^0.667)*0.079*0.1/F115)*inputs!$E$80/(10^(0.84+0.62*LOG10(inputs!$E$80)))</f>
        <v>12.659327904590455</v>
      </c>
      <c r="Q115" s="69">
        <f>(inputs!$C$18*11.2*(10*F115^0.667)*0.5/F115)*inputs!$E$80/(10^(0.84+0.62*LOG10(inputs!$E$80)))</f>
        <v>6.6896427050550535</v>
      </c>
      <c r="R115" s="59">
        <f>(60*284*((F115/1000)^0.77)*3*24*(MAX('Max rate concentrations'!$R$3:$R$368))/F115)*(inputs!$E$73*3.4/inputs!$E$75)</f>
        <v>5.4137514975703842E-2</v>
      </c>
      <c r="S115" s="59">
        <f>(IF(inputs!$C$17="aerial",((0.025*0.112*inputs!$C$18/3.3)*(3*60*284*((F115/1000)^0.77))*MAX(inputs!$I$14:$I$16))/F115,((0.0083*0.112*inputs!$C$18/1)*(3*60*284*((F115/1000)^0.77))*MAX(inputs!$I$14:$I$16))/F115))*(inputs!E$75*3.4/inputs!$E$73)</f>
        <v>0.29857172120839226</v>
      </c>
      <c r="T115" s="63">
        <f>IF((((inputs!$P$13/(V115/MAX(K115:S115)))^(1/inputs!$O$13))-1)/inputs!$N$13&lt;0, 0, IF((((inputs!$P$13/(V115/MAX(K115:S115)))^(1/inputs!$O$13))-1)/inputs!$N$13&lt;inputs!$I$17, (((inputs!$P$13/(V115/MAX(K115:S115)))^(1/inputs!$O$13))-1)/inputs!$N$13, inputs!$I$17))</f>
        <v>1000</v>
      </c>
      <c r="U115" s="63">
        <f>IF((((inputs!$P$13/(X115/MAX(K115:S115)))^(1/inputs!$O$13))-1)/inputs!$N$13&lt;0, 0, IF((((inputs!$P$13/(X115/MAX(K115:S115)))^(1/inputs!$O$13))-1)/inputs!$N$13&lt;inputs!$I$17, (((inputs!$P$13/(X115/MAX(K115:S115)))^(1/inputs!$O$13))-1)/inputs!$N$13, inputs!$I$17))</f>
        <v>68.157558321639982</v>
      </c>
      <c r="V115" s="21">
        <f>inputs!$E$78*(F115/inputs!$F$78)^(inputs!$E$84-1)</f>
        <v>2.3242628641364116E-2</v>
      </c>
      <c r="W115" s="21">
        <f>inputs!$E$85*(F115/inputs!$F$85)^(inputs!$E$84-1)</f>
        <v>1.073301773978574</v>
      </c>
      <c r="X115" s="21">
        <f>inputs!$E$80*(F115/inputs!$F$80)^(inputs!$E$84-1)</f>
        <v>4.0078990294136618</v>
      </c>
      <c r="Y115" s="21">
        <f>inputs!$E$82*(F115/inputs!$F$82)^(inputs!$E$84-1)</f>
        <v>1.847177328866306</v>
      </c>
      <c r="Z115" s="63">
        <f t="shared" si="9"/>
        <v>4286.2262958466881</v>
      </c>
      <c r="AA115" s="63">
        <f t="shared" si="10"/>
        <v>92.819343527147666</v>
      </c>
    </row>
    <row r="116" spans="1:476" x14ac:dyDescent="0.25">
      <c r="A116" s="103" t="s">
        <v>242</v>
      </c>
      <c r="B116" s="20" t="s">
        <v>243</v>
      </c>
      <c r="C116" s="20" t="s">
        <v>73</v>
      </c>
      <c r="D116" s="104" t="s">
        <v>223</v>
      </c>
      <c r="E116" s="15">
        <v>5170</v>
      </c>
      <c r="F116" s="15">
        <v>58</v>
      </c>
      <c r="G116" s="20" t="s">
        <v>152</v>
      </c>
      <c r="H116" s="20">
        <v>0.77</v>
      </c>
      <c r="I116" s="68">
        <f>MAX('Max rate concentrations'!$G$3:$G$368)</f>
        <v>45</v>
      </c>
      <c r="J116" s="68">
        <f>MAX('Max rate concentrations'!Z:Z)</f>
        <v>21</v>
      </c>
      <c r="K116" s="69">
        <f t="shared" si="12"/>
        <v>21.426814163392528</v>
      </c>
      <c r="L116" s="69">
        <f t="shared" si="13"/>
        <v>9.9991799429165127</v>
      </c>
      <c r="M116" s="69">
        <f>IF((((1.18*F116^0.874)/3.7-(0.301*F116^0.751)/(1-H116)*H116)*(MAX('Max rate concentrations'!$P$3:$P$368)))/F116&gt;0, (((1.18*F116^0.874)/3.7-(0.301*F116^0.751)/(1-H116)*H116)*(MAX('Max rate concentrations'!$P$3:$P$368)))/F116, 0)</f>
        <v>0</v>
      </c>
      <c r="N116" s="69">
        <f>IF((((1.18*F116^0.874)/3.7-(0.301*F116^0.751)/(1-H116)*H116)*(MAX('Max rate concentrations'!$Q$3:$Q$368)))/F116&gt;0, (((1.18*F116^0.874)/3.7-(0.301*F116^0.751)/(1-H116)*H116)*(MAX('Max rate concentrations'!$Q$3:$Q$368)))/F116, 0)</f>
        <v>0</v>
      </c>
      <c r="O116" s="69">
        <f>((MAX('Max rate concentrations'!$F$3:$F$368))*0.62*6.01*8*(10*F116^0.667)*0.079*0.1/F116)*inputs!$E$80/(10^(0.84+0.62*LOG10(inputs!$E$80)))</f>
        <v>37.977983713771373</v>
      </c>
      <c r="P116" s="69">
        <f>((MAX('Max rate concentrations'!Y:Y))*0.62*6.01*8*(10*F116^0.667)*0.079*0.1/F116)*inputs!$E$80/(10^(0.84+0.62*LOG10(inputs!$E$80)))</f>
        <v>12.659327904590455</v>
      </c>
      <c r="Q116" s="69">
        <f>(inputs!$C$18*11.2*(10*F116^0.667)*0.5/F116)*inputs!$E$80/(10^(0.84+0.62*LOG10(inputs!$E$80)))</f>
        <v>6.6896427050550535</v>
      </c>
      <c r="R116" s="59">
        <f>(60*284*((F116/1000)^0.77)*3*24*(MAX('Max rate concentrations'!$R$3:$R$368))/F116)*(inputs!$E$73*3.4/inputs!$E$75)</f>
        <v>5.4137514975703842E-2</v>
      </c>
      <c r="S116" s="59">
        <f>(IF(inputs!$C$17="aerial",((0.025*0.112*inputs!$C$18/3.3)*(3*60*284*((F116/1000)^0.77))*MAX(inputs!$I$14:$I$16))/F116,((0.0083*0.112*inputs!$C$18/1)*(3*60*284*((F116/1000)^0.77))*MAX(inputs!$I$14:$I$16))/F116))*(inputs!E$75*3.4/inputs!$E$73)</f>
        <v>0.29857172120839226</v>
      </c>
      <c r="T116" s="63">
        <f>IF((((inputs!$P$13/(V116/MAX(K116:S116)))^(1/inputs!$O$13))-1)/inputs!$N$13&lt;0, 0, IF((((inputs!$P$13/(V116/MAX(K116:S116)))^(1/inputs!$O$13))-1)/inputs!$N$13&lt;inputs!$I$17, (((inputs!$P$13/(V116/MAX(K116:S116)))^(1/inputs!$O$13))-1)/inputs!$N$13, inputs!$I$17))</f>
        <v>1000</v>
      </c>
      <c r="U116" s="63">
        <f>IF((((inputs!$P$13/(X116/MAX(K116:S116)))^(1/inputs!$O$13))-1)/inputs!$N$13&lt;0, 0, IF((((inputs!$P$13/(X116/MAX(K116:S116)))^(1/inputs!$O$13))-1)/inputs!$N$13&lt;inputs!$I$17, (((inputs!$P$13/(X116/MAX(K116:S116)))^(1/inputs!$O$13))-1)/inputs!$N$13, inputs!$I$17))</f>
        <v>28.417060428335031</v>
      </c>
      <c r="V116" s="21">
        <f>inputs!$E$78*(F116/inputs!$F$78)^(inputs!$E$84-1)</f>
        <v>2.3242628641364116E-2</v>
      </c>
      <c r="W116" s="21">
        <f>inputs!$E$85*(F116/inputs!$F$85)^(inputs!$E$84-1)</f>
        <v>1.073301773978574</v>
      </c>
      <c r="X116" s="21">
        <f>inputs!$E$80*(F116/inputs!$F$80)^(inputs!$E$84-1)</f>
        <v>4.0078990294136618</v>
      </c>
      <c r="Y116" s="21">
        <f>inputs!$E$82*(F116/inputs!$F$82)^(inputs!$E$84-1)</f>
        <v>1.847177328866306</v>
      </c>
      <c r="Z116" s="63">
        <f t="shared" si="9"/>
        <v>1633.9797145914574</v>
      </c>
      <c r="AA116" s="63">
        <f t="shared" si="10"/>
        <v>35.384255047853408</v>
      </c>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c r="CZ116" s="107"/>
      <c r="DA116" s="107"/>
      <c r="DB116" s="107"/>
      <c r="DC116" s="107"/>
      <c r="DD116" s="107"/>
      <c r="DE116" s="107"/>
      <c r="DF116" s="107"/>
      <c r="DG116" s="107"/>
      <c r="DH116" s="107"/>
      <c r="DI116" s="107"/>
      <c r="DJ116" s="107"/>
      <c r="DK116" s="107"/>
      <c r="DL116" s="107"/>
      <c r="DM116" s="107"/>
      <c r="DN116" s="107"/>
      <c r="DO116" s="107"/>
      <c r="DP116" s="107"/>
      <c r="DQ116" s="107"/>
      <c r="DR116" s="107"/>
      <c r="DS116" s="107"/>
      <c r="DT116" s="107"/>
      <c r="DU116" s="107"/>
      <c r="DV116" s="107"/>
      <c r="DW116" s="107"/>
      <c r="DX116" s="107"/>
      <c r="DY116" s="107"/>
      <c r="DZ116" s="107"/>
      <c r="EA116" s="107"/>
      <c r="EB116" s="107"/>
      <c r="EC116" s="107"/>
      <c r="ED116" s="107"/>
      <c r="EE116" s="107"/>
      <c r="EF116" s="107"/>
      <c r="EG116" s="107"/>
      <c r="EH116" s="107"/>
      <c r="EI116" s="107"/>
      <c r="EJ116" s="107"/>
      <c r="EK116" s="107"/>
      <c r="EL116" s="107"/>
      <c r="EM116" s="107"/>
      <c r="EN116" s="107"/>
      <c r="EO116" s="107"/>
      <c r="EP116" s="107"/>
      <c r="EQ116" s="107"/>
      <c r="ER116" s="107"/>
      <c r="ES116" s="107"/>
      <c r="ET116" s="107"/>
      <c r="EU116" s="107"/>
      <c r="EV116" s="107"/>
      <c r="EW116" s="107"/>
      <c r="EX116" s="107"/>
      <c r="EY116" s="107"/>
      <c r="EZ116" s="107"/>
      <c r="FA116" s="107"/>
      <c r="FB116" s="107"/>
      <c r="FC116" s="107"/>
      <c r="FD116" s="107"/>
      <c r="FE116" s="107"/>
      <c r="FF116" s="107"/>
      <c r="FG116" s="107"/>
      <c r="FH116" s="107"/>
      <c r="FI116" s="107"/>
      <c r="FJ116" s="107"/>
      <c r="FK116" s="107"/>
      <c r="FL116" s="107"/>
      <c r="FM116" s="107"/>
      <c r="FN116" s="107"/>
      <c r="FO116" s="107"/>
      <c r="FP116" s="107"/>
      <c r="FQ116" s="107"/>
      <c r="FR116" s="107"/>
      <c r="FS116" s="107"/>
      <c r="FT116" s="107"/>
      <c r="FU116" s="107"/>
      <c r="FV116" s="107"/>
      <c r="FW116" s="107"/>
      <c r="FX116" s="107"/>
      <c r="FY116" s="107"/>
      <c r="FZ116" s="107"/>
      <c r="GA116" s="107"/>
      <c r="GB116" s="107"/>
      <c r="GC116" s="107"/>
      <c r="GD116" s="107"/>
      <c r="GE116" s="107"/>
      <c r="GF116" s="107"/>
      <c r="GG116" s="107"/>
      <c r="GH116" s="107"/>
      <c r="GI116" s="107"/>
      <c r="GJ116" s="107"/>
      <c r="GK116" s="107"/>
      <c r="GL116" s="107"/>
      <c r="GM116" s="107"/>
      <c r="GN116" s="107"/>
      <c r="GO116" s="107"/>
      <c r="GP116" s="107"/>
      <c r="GQ116" s="107"/>
      <c r="GR116" s="107"/>
      <c r="GS116" s="107"/>
      <c r="GT116" s="107"/>
      <c r="GU116" s="107"/>
      <c r="GV116" s="107"/>
      <c r="GW116" s="107"/>
      <c r="GX116" s="107"/>
      <c r="GY116" s="107"/>
      <c r="GZ116" s="107"/>
      <c r="HA116" s="107"/>
      <c r="HB116" s="107"/>
      <c r="HC116" s="107"/>
      <c r="HD116" s="107"/>
      <c r="HE116" s="107"/>
      <c r="HF116" s="107"/>
      <c r="HG116" s="107"/>
      <c r="HH116" s="107"/>
      <c r="HI116" s="107"/>
      <c r="HJ116" s="107"/>
      <c r="HK116" s="107"/>
      <c r="HL116" s="107"/>
      <c r="HM116" s="107"/>
      <c r="HN116" s="107"/>
      <c r="HO116" s="107"/>
      <c r="HP116" s="107"/>
      <c r="HQ116" s="107"/>
      <c r="HR116" s="107"/>
      <c r="HS116" s="107"/>
      <c r="HT116" s="107"/>
      <c r="HU116" s="107"/>
      <c r="HV116" s="107"/>
      <c r="HW116" s="107"/>
      <c r="HX116" s="107"/>
      <c r="HY116" s="107"/>
      <c r="HZ116" s="107"/>
      <c r="IA116" s="107"/>
      <c r="IB116" s="107"/>
      <c r="IC116" s="107"/>
      <c r="ID116" s="107"/>
      <c r="IE116" s="107"/>
      <c r="IF116" s="107"/>
      <c r="IG116" s="107"/>
      <c r="IH116" s="107"/>
      <c r="II116" s="107"/>
      <c r="IJ116" s="107"/>
      <c r="IK116" s="107"/>
      <c r="IL116" s="107"/>
      <c r="IM116" s="107"/>
      <c r="IN116" s="107"/>
      <c r="IO116" s="107"/>
      <c r="IP116" s="107"/>
      <c r="IQ116" s="107"/>
      <c r="IR116" s="107"/>
      <c r="IS116" s="107"/>
      <c r="IT116" s="107"/>
      <c r="IU116" s="107"/>
      <c r="IV116" s="107"/>
      <c r="IW116" s="107"/>
      <c r="IX116" s="107"/>
      <c r="IY116" s="107"/>
      <c r="IZ116" s="107"/>
      <c r="JA116" s="107"/>
      <c r="JB116" s="107"/>
      <c r="JC116" s="107"/>
      <c r="JD116" s="107"/>
      <c r="JE116" s="107"/>
      <c r="JF116" s="107"/>
      <c r="JG116" s="107"/>
      <c r="JH116" s="107"/>
      <c r="JI116" s="107"/>
      <c r="JJ116" s="107"/>
      <c r="JK116" s="107"/>
      <c r="JL116" s="107"/>
      <c r="JM116" s="107"/>
      <c r="JN116" s="107"/>
      <c r="JO116" s="107"/>
      <c r="JP116" s="107"/>
      <c r="JQ116" s="107"/>
      <c r="JR116" s="107"/>
      <c r="JS116" s="107"/>
      <c r="JT116" s="107"/>
      <c r="JU116" s="107"/>
      <c r="JV116" s="107"/>
      <c r="JW116" s="107"/>
      <c r="JX116" s="107"/>
      <c r="JY116" s="107"/>
      <c r="JZ116" s="107"/>
      <c r="KA116" s="107"/>
      <c r="KB116" s="107"/>
      <c r="KC116" s="107"/>
      <c r="KD116" s="107"/>
      <c r="KE116" s="107"/>
      <c r="KF116" s="107"/>
      <c r="KG116" s="107"/>
      <c r="KH116" s="107"/>
      <c r="KI116" s="107"/>
      <c r="KJ116" s="107"/>
      <c r="KK116" s="107"/>
      <c r="KL116" s="107"/>
      <c r="KM116" s="107"/>
      <c r="KN116" s="107"/>
      <c r="KO116" s="107"/>
      <c r="KP116" s="107"/>
      <c r="KQ116" s="107"/>
      <c r="KR116" s="107"/>
      <c r="KS116" s="107"/>
      <c r="KT116" s="107"/>
      <c r="KU116" s="107"/>
      <c r="KV116" s="107"/>
      <c r="KW116" s="107"/>
      <c r="KX116" s="107"/>
      <c r="KY116" s="107"/>
      <c r="KZ116" s="107"/>
      <c r="LA116" s="107"/>
      <c r="LB116" s="107"/>
      <c r="LC116" s="107"/>
      <c r="LD116" s="107"/>
      <c r="LE116" s="107"/>
      <c r="LF116" s="107"/>
      <c r="LG116" s="107"/>
      <c r="LH116" s="107"/>
      <c r="LI116" s="107"/>
      <c r="LJ116" s="107"/>
      <c r="LK116" s="107"/>
      <c r="LL116" s="107"/>
      <c r="LM116" s="107"/>
      <c r="LN116" s="107"/>
      <c r="LO116" s="107"/>
      <c r="LP116" s="107"/>
      <c r="LQ116" s="107"/>
      <c r="LR116" s="107"/>
      <c r="LS116" s="107"/>
      <c r="LT116" s="107"/>
      <c r="LU116" s="107"/>
      <c r="LV116" s="107"/>
      <c r="LW116" s="107"/>
      <c r="LX116" s="107"/>
      <c r="LY116" s="107"/>
      <c r="LZ116" s="107"/>
      <c r="MA116" s="107"/>
      <c r="MB116" s="107"/>
      <c r="MC116" s="107"/>
      <c r="MD116" s="107"/>
      <c r="ME116" s="107"/>
      <c r="MF116" s="107"/>
      <c r="MG116" s="107"/>
      <c r="MH116" s="107"/>
      <c r="MI116" s="107"/>
      <c r="MJ116" s="107"/>
      <c r="MK116" s="107"/>
      <c r="ML116" s="107"/>
      <c r="MM116" s="107"/>
      <c r="MN116" s="107"/>
      <c r="MO116" s="107"/>
      <c r="MP116" s="107"/>
      <c r="MQ116" s="107"/>
      <c r="MR116" s="107"/>
      <c r="MS116" s="107"/>
      <c r="MT116" s="107"/>
      <c r="MU116" s="107"/>
      <c r="MV116" s="107"/>
      <c r="MW116" s="107"/>
      <c r="MX116" s="107"/>
      <c r="MY116" s="107"/>
      <c r="MZ116" s="107"/>
      <c r="NA116" s="107"/>
      <c r="NB116" s="107"/>
      <c r="NC116" s="107"/>
      <c r="ND116" s="107"/>
      <c r="NE116" s="107"/>
      <c r="NF116" s="107"/>
      <c r="NG116" s="107"/>
      <c r="NH116" s="107"/>
      <c r="NI116" s="107"/>
      <c r="NJ116" s="107"/>
      <c r="NK116" s="107"/>
      <c r="NL116" s="107"/>
      <c r="NM116" s="107"/>
      <c r="NN116" s="107"/>
      <c r="NO116" s="107"/>
      <c r="NP116" s="107"/>
      <c r="NQ116" s="107"/>
      <c r="NR116" s="107"/>
      <c r="NS116" s="107"/>
      <c r="NT116" s="107"/>
      <c r="NU116" s="107"/>
      <c r="NV116" s="107"/>
      <c r="NW116" s="107"/>
      <c r="NX116" s="107"/>
      <c r="NY116" s="107"/>
      <c r="NZ116" s="107"/>
      <c r="OA116" s="107"/>
      <c r="OB116" s="107"/>
      <c r="OC116" s="107"/>
      <c r="OD116" s="107"/>
      <c r="OE116" s="107"/>
      <c r="OF116" s="107"/>
      <c r="OG116" s="107"/>
      <c r="OH116" s="107"/>
      <c r="OI116" s="107"/>
      <c r="OJ116" s="107"/>
      <c r="OK116" s="107"/>
      <c r="OL116" s="107"/>
      <c r="OM116" s="107"/>
      <c r="ON116" s="107"/>
      <c r="OO116" s="107"/>
      <c r="OP116" s="107"/>
      <c r="OQ116" s="107"/>
      <c r="OR116" s="107"/>
      <c r="OS116" s="107"/>
      <c r="OT116" s="107"/>
      <c r="OU116" s="107"/>
      <c r="OV116" s="107"/>
      <c r="OW116" s="107"/>
      <c r="OX116" s="107"/>
      <c r="OY116" s="107"/>
      <c r="OZ116" s="107"/>
      <c r="PA116" s="107"/>
      <c r="PB116" s="107"/>
      <c r="PC116" s="107"/>
      <c r="PD116" s="107"/>
      <c r="PE116" s="107"/>
      <c r="PF116" s="107"/>
      <c r="PG116" s="107"/>
      <c r="PH116" s="107"/>
      <c r="PI116" s="107"/>
      <c r="PJ116" s="107"/>
      <c r="PK116" s="107"/>
      <c r="PL116" s="107"/>
      <c r="PM116" s="107"/>
      <c r="PN116" s="107"/>
      <c r="PO116" s="107"/>
      <c r="PP116" s="107"/>
      <c r="PQ116" s="107"/>
      <c r="PR116" s="107"/>
      <c r="PS116" s="107"/>
      <c r="PT116" s="107"/>
      <c r="PU116" s="107"/>
      <c r="PV116" s="107"/>
      <c r="PW116" s="107"/>
      <c r="PX116" s="107"/>
      <c r="PY116" s="107"/>
      <c r="PZ116" s="107"/>
      <c r="QA116" s="107"/>
      <c r="QB116" s="107"/>
      <c r="QC116" s="107"/>
      <c r="QD116" s="107"/>
      <c r="QE116" s="107"/>
      <c r="QF116" s="107"/>
      <c r="QG116" s="107"/>
      <c r="QH116" s="107"/>
      <c r="QI116" s="107"/>
      <c r="QJ116" s="107"/>
      <c r="QK116" s="107"/>
      <c r="QL116" s="107"/>
      <c r="QM116" s="107"/>
      <c r="QN116" s="107"/>
      <c r="QO116" s="107"/>
      <c r="QP116" s="107"/>
      <c r="QQ116" s="107"/>
      <c r="QR116" s="107"/>
      <c r="QS116" s="107"/>
      <c r="QT116" s="107"/>
      <c r="QU116" s="107"/>
      <c r="QV116" s="107"/>
      <c r="QW116" s="107"/>
      <c r="QX116" s="107"/>
      <c r="QY116" s="107"/>
      <c r="QZ116" s="107"/>
      <c r="RA116" s="107"/>
      <c r="RB116" s="107"/>
      <c r="RC116" s="107"/>
      <c r="RD116" s="107"/>
      <c r="RE116" s="107"/>
      <c r="RF116" s="107"/>
      <c r="RG116" s="107"/>
      <c r="RH116" s="107"/>
    </row>
    <row r="117" spans="1:476" x14ac:dyDescent="0.25">
      <c r="A117" s="103" t="s">
        <v>242</v>
      </c>
      <c r="B117" s="20" t="s">
        <v>243</v>
      </c>
      <c r="C117" s="20" t="s">
        <v>73</v>
      </c>
      <c r="D117" s="104" t="s">
        <v>223</v>
      </c>
      <c r="E117" s="15">
        <v>5170</v>
      </c>
      <c r="F117" s="15">
        <v>58</v>
      </c>
      <c r="G117" s="20" t="s">
        <v>177</v>
      </c>
      <c r="H117" s="20">
        <v>0.85</v>
      </c>
      <c r="I117" s="68">
        <f>MAX('Max rate concentrations'!$F$3:$F$368)</f>
        <v>405</v>
      </c>
      <c r="J117" s="68">
        <f>MAX('Max rate concentrations'!Y:Y)</f>
        <v>135</v>
      </c>
      <c r="K117" s="69">
        <f t="shared" si="12"/>
        <v>295.69003545481678</v>
      </c>
      <c r="L117" s="69">
        <f t="shared" si="13"/>
        <v>98.563345151605617</v>
      </c>
      <c r="M117" s="69">
        <f>IF((((1.18*F117^0.874)/3.7-(0.301*F117^0.751)/(1-H117)*H117)*(MAX('Max rate concentrations'!$P$3:$P$368)))/F117&gt;0, (((1.18*F117^0.874)/3.7-(0.301*F117^0.751)/(1-H117)*H117)*(MAX('Max rate concentrations'!$P$3:$P$368)))/F117, 0)</f>
        <v>0</v>
      </c>
      <c r="N117" s="69">
        <f>IF((((1.18*F117^0.874)/3.7-(0.301*F117^0.751)/(1-H117)*H117)*(MAX('Max rate concentrations'!$Q$3:$Q$368)))/F117&gt;0, (((1.18*F117^0.874)/3.7-(0.301*F117^0.751)/(1-H117)*H117)*(MAX('Max rate concentrations'!$Q$3:$Q$368)))/F117, 0)</f>
        <v>0</v>
      </c>
      <c r="O117" s="69">
        <f>((MAX('Max rate concentrations'!$F$3:$F$368))*0.62*6.01*8*(10*F117^0.667)*0.079*0.1/F117)*inputs!$E$80/(10^(0.84+0.62*LOG10(inputs!$E$80)))</f>
        <v>37.977983713771373</v>
      </c>
      <c r="P117" s="69">
        <f>((MAX('Max rate concentrations'!Y:Y))*0.62*6.01*8*(10*F117^0.667)*0.079*0.1/F117)*inputs!$E$80/(10^(0.84+0.62*LOG10(inputs!$E$80)))</f>
        <v>12.659327904590455</v>
      </c>
      <c r="Q117" s="69">
        <f>(inputs!$C$18*11.2*(10*F117^0.667)*0.5/F117)*inputs!$E$80/(10^(0.84+0.62*LOG10(inputs!$E$80)))</f>
        <v>6.6896427050550535</v>
      </c>
      <c r="R117" s="59">
        <f>(60*284*((F117/1000)^0.77)*3*24*(MAX('Max rate concentrations'!$R$3:$R$368))/F117)*(inputs!$E$73*3.4/inputs!$E$75)</f>
        <v>5.4137514975703842E-2</v>
      </c>
      <c r="S117" s="59">
        <f>(IF(inputs!$C$17="aerial",((0.025*0.112*inputs!$C$18/3.3)*(3*60*284*((F117/1000)^0.77))*MAX(inputs!$I$14:$I$16))/F117,((0.0083*0.112*inputs!$C$18/1)*(3*60*284*((F117/1000)^0.77))*MAX(inputs!$I$14:$I$16))/F117))*(inputs!E$75*3.4/inputs!$E$73)</f>
        <v>0.29857172120839226</v>
      </c>
      <c r="T117" s="63">
        <f>IF((((inputs!$P$13/(V117/MAX(K117:S117)))^(1/inputs!$O$13))-1)/inputs!$N$13&lt;0, 0, IF((((inputs!$P$13/(V117/MAX(K117:S117)))^(1/inputs!$O$13))-1)/inputs!$N$13&lt;inputs!$I$17, (((inputs!$P$13/(V117/MAX(K117:S117)))^(1/inputs!$O$13))-1)/inputs!$N$13, inputs!$I$17))</f>
        <v>1000</v>
      </c>
      <c r="U117" s="63">
        <f>IF((((inputs!$P$13/(X117/MAX(K117:S117)))^(1/inputs!$O$13))-1)/inputs!$N$13&lt;0, 0, IF((((inputs!$P$13/(X117/MAX(K117:S117)))^(1/inputs!$O$13))-1)/inputs!$N$13&lt;inputs!$I$17, (((inputs!$P$13/(X117/MAX(K117:S117)))^(1/inputs!$O$13))-1)/inputs!$N$13, inputs!$I$17))</f>
        <v>171.65473319100096</v>
      </c>
      <c r="V117" s="21">
        <f>inputs!$E$78*(F117/inputs!$F$78)^(inputs!$E$84-1)</f>
        <v>2.3242628641364116E-2</v>
      </c>
      <c r="W117" s="21">
        <f>inputs!$E$85*(F117/inputs!$F$85)^(inputs!$E$84-1)</f>
        <v>1.073301773978574</v>
      </c>
      <c r="X117" s="21">
        <f>inputs!$E$80*(F117/inputs!$F$80)^(inputs!$E$84-1)</f>
        <v>4.0078990294136618</v>
      </c>
      <c r="Y117" s="21">
        <f>inputs!$E$82*(F117/inputs!$F$82)^(inputs!$E$84-1)</f>
        <v>1.847177328866306</v>
      </c>
      <c r="Z117" s="63">
        <f t="shared" si="9"/>
        <v>12721.884431289638</v>
      </c>
      <c r="AA117" s="63">
        <f t="shared" si="10"/>
        <v>275.49571110717233</v>
      </c>
    </row>
    <row r="118" spans="1:476" x14ac:dyDescent="0.25">
      <c r="A118" s="103" t="s">
        <v>242</v>
      </c>
      <c r="B118" s="20" t="s">
        <v>243</v>
      </c>
      <c r="C118" s="20" t="s">
        <v>73</v>
      </c>
      <c r="D118" s="104" t="s">
        <v>223</v>
      </c>
      <c r="E118" s="15">
        <v>5170</v>
      </c>
      <c r="F118" s="15">
        <v>58</v>
      </c>
      <c r="G118" s="20" t="s">
        <v>154</v>
      </c>
      <c r="H118" s="20">
        <v>9.2999999999999999E-2</v>
      </c>
      <c r="I118" s="68">
        <f>MAX('Max rate concentrations'!$G$3:$G$368)</f>
        <v>45</v>
      </c>
      <c r="J118" s="68">
        <f>MAX('Max rate concentrations'!Z:Z)</f>
        <v>21</v>
      </c>
      <c r="K118" s="69">
        <f t="shared" si="12"/>
        <v>5.4334809896144227</v>
      </c>
      <c r="L118" s="69">
        <f t="shared" si="13"/>
        <v>2.5356244618200638</v>
      </c>
      <c r="M118" s="69">
        <f>IF((((1.18*F118^0.874)/3.7-(0.301*F118^0.751)/(1-H118)*H118)*(MAX('Max rate concentrations'!$P$3:$P$368)))/F118&gt;0, (((1.18*F118^0.874)/3.7-(0.301*F118^0.751)/(1-H118)*H118)*(MAX('Max rate concentrations'!$P$3:$P$368)))/F118, 0)</f>
        <v>0.15673462814623854</v>
      </c>
      <c r="N118" s="69">
        <f>IF((((1.18*F118^0.874)/3.7-(0.301*F118^0.751)/(1-H118)*H118)*(MAX('Max rate concentrations'!$Q$3:$Q$368)))/F118&gt;0, (((1.18*F118^0.874)/3.7-(0.301*F118^0.751)/(1-H118)*H118)*(MAX('Max rate concentrations'!$Q$3:$Q$368)))/F118, 0)</f>
        <v>0.59685388559656449</v>
      </c>
      <c r="O118" s="69">
        <f>((MAX('Max rate concentrations'!$F$3:$F$368))*0.62*6.01*8*(10*F118^0.667)*0.079*0.1/F118)*inputs!$E$80/(10^(0.84+0.62*LOG10(inputs!$E$80)))</f>
        <v>37.977983713771373</v>
      </c>
      <c r="P118" s="69">
        <f>((MAX('Max rate concentrations'!Y:Y))*0.62*6.01*8*(10*F118^0.667)*0.079*0.1/F118)*inputs!$E$80/(10^(0.84+0.62*LOG10(inputs!$E$80)))</f>
        <v>12.659327904590455</v>
      </c>
      <c r="Q118" s="69">
        <f>(inputs!$C$18*11.2*(10*F118^0.667)*0.5/F118)*inputs!$E$80/(10^(0.84+0.62*LOG10(inputs!$E$80)))</f>
        <v>6.6896427050550535</v>
      </c>
      <c r="R118" s="59">
        <f>(60*284*((F118/1000)^0.77)*3*24*(MAX('Max rate concentrations'!$R$3:$R$368))/F118)*(inputs!$E$73*3.4/inputs!$E$75)</f>
        <v>5.4137514975703842E-2</v>
      </c>
      <c r="S118" s="59">
        <f>(IF(inputs!$C$17="aerial",((0.025*0.112*inputs!$C$18/3.3)*(3*60*284*((F118/1000)^0.77))*MAX(inputs!$I$14:$I$16))/F118,((0.0083*0.112*inputs!$C$18/1)*(3*60*284*((F118/1000)^0.77))*MAX(inputs!$I$14:$I$16))/F118))*(inputs!E$75*3.4/inputs!$E$73)</f>
        <v>0.29857172120839226</v>
      </c>
      <c r="T118" s="63">
        <f>IF((((inputs!$P$13/(V118/MAX(K118:S118)))^(1/inputs!$O$13))-1)/inputs!$N$13&lt;0, 0, IF((((inputs!$P$13/(V118/MAX(K118:S118)))^(1/inputs!$O$13))-1)/inputs!$N$13&lt;inputs!$I$17, (((inputs!$P$13/(V118/MAX(K118:S118)))^(1/inputs!$O$13))-1)/inputs!$N$13, inputs!$I$17))</f>
        <v>1000</v>
      </c>
      <c r="U118" s="63">
        <f>IF((((inputs!$P$13/(X118/MAX(K118:S118)))^(1/inputs!$O$13))-1)/inputs!$N$13&lt;0, 0, IF((((inputs!$P$13/(X118/MAX(K118:S118)))^(1/inputs!$O$13))-1)/inputs!$N$13&lt;inputs!$I$17, (((inputs!$P$13/(X118/MAX(K118:S118)))^(1/inputs!$O$13))-1)/inputs!$N$13, inputs!$I$17))</f>
        <v>28.417060428335031</v>
      </c>
      <c r="V118" s="21">
        <f>inputs!$E$78*(F118/inputs!$F$78)^(inputs!$E$84-1)</f>
        <v>2.3242628641364116E-2</v>
      </c>
      <c r="W118" s="21">
        <f>inputs!$E$85*(F118/inputs!$F$85)^(inputs!$E$84-1)</f>
        <v>1.073301773978574</v>
      </c>
      <c r="X118" s="21">
        <f>inputs!$E$80*(F118/inputs!$F$80)^(inputs!$E$84-1)</f>
        <v>4.0078990294136618</v>
      </c>
      <c r="Y118" s="21">
        <f>inputs!$E$82*(F118/inputs!$F$82)^(inputs!$E$84-1)</f>
        <v>1.847177328866306</v>
      </c>
      <c r="Z118" s="63">
        <f t="shared" si="9"/>
        <v>1633.9797145914574</v>
      </c>
      <c r="AA118" s="63">
        <f t="shared" si="10"/>
        <v>35.384255047853408</v>
      </c>
    </row>
    <row r="119" spans="1:476" x14ac:dyDescent="0.25">
      <c r="A119" s="103" t="s">
        <v>221</v>
      </c>
      <c r="B119" s="20" t="s">
        <v>222</v>
      </c>
      <c r="C119" s="20" t="s">
        <v>73</v>
      </c>
      <c r="D119" s="104" t="s">
        <v>223</v>
      </c>
      <c r="E119" s="15">
        <v>101</v>
      </c>
      <c r="F119" s="15">
        <v>494</v>
      </c>
      <c r="G119" s="20" t="s">
        <v>177</v>
      </c>
      <c r="H119" s="20">
        <v>0.85</v>
      </c>
      <c r="I119" s="68">
        <f>MAX('Max rate concentrations'!$F$3:$F$368)</f>
        <v>405</v>
      </c>
      <c r="J119" s="68">
        <f>MAX('Max rate concentrations'!Y:Y)</f>
        <v>135</v>
      </c>
      <c r="K119" s="69">
        <f t="shared" si="12"/>
        <v>173.45716719983318</v>
      </c>
      <c r="L119" s="69">
        <f t="shared" si="13"/>
        <v>57.819055733277729</v>
      </c>
      <c r="M119" s="69">
        <f>IF((((1.18*F119^0.874)/3.7-(0.301*F119^0.751)/(1-H119)*H119)*(MAX('Max rate concentrations'!$P$3:$P$368)))/F119&gt;0, (((1.18*F119^0.874)/3.7-(0.301*F119^0.751)/(1-H119)*H119)*(MAX('Max rate concentrations'!$P$3:$P$368)))/F119, 0)</f>
        <v>0</v>
      </c>
      <c r="N119" s="69">
        <f>IF((((1.18*F119^0.874)/3.7-(0.301*F119^0.751)/(1-H119)*H119)*(MAX('Max rate concentrations'!$Q$3:$Q$368)))/F119&gt;0, (((1.18*F119^0.874)/3.7-(0.301*F119^0.751)/(1-H119)*H119)*(MAX('Max rate concentrations'!$Q$3:$Q$368)))/F119, 0)</f>
        <v>0</v>
      </c>
      <c r="O119" s="69">
        <f>((MAX('Max rate concentrations'!$F$3:$F$368))*0.62*6.01*8*(10*F119^0.667)*0.079*0.1/F119)*inputs!$E$80/(10^(0.84+0.62*LOG10(inputs!$E$80)))</f>
        <v>18.609827681579425</v>
      </c>
      <c r="P119" s="69">
        <f>((MAX('Max rate concentrations'!Y:Y))*0.62*6.01*8*(10*F119^0.667)*0.079*0.1/F119)*inputs!$E$80/(10^(0.84+0.62*LOG10(inputs!$E$80)))</f>
        <v>6.2032758938598072</v>
      </c>
      <c r="Q119" s="69">
        <f>(inputs!$C$18*11.2*(10*F119^0.667)*0.5/F119)*inputs!$E$80/(10^(0.84+0.62*LOG10(inputs!$E$80)))</f>
        <v>3.2780333714047689</v>
      </c>
      <c r="R119" s="59">
        <f>(60*284*((F119/1000)^0.77)*3*24*(MAX('Max rate concentrations'!$R$3:$R$368))/F119)*(inputs!$E$73*3.4/inputs!$E$75)</f>
        <v>3.3077262296089142E-2</v>
      </c>
      <c r="S119" s="59">
        <f>(IF(inputs!$C$17="aerial",((0.025*0.112*inputs!$C$18/3.3)*(3*60*284*((F119/1000)^0.77))*MAX(inputs!$I$14:$I$16))/F119,((0.0083*0.112*inputs!$C$18/1)*(3*60*284*((F119/1000)^0.77))*MAX(inputs!$I$14:$I$16))/F119))*(inputs!E$75*3.4/inputs!$E$73)</f>
        <v>0.18242313377400082</v>
      </c>
      <c r="T119" s="63">
        <f>IF((((inputs!$P$13/(V119/MAX(K119:S119)))^(1/inputs!$O$13))-1)/inputs!$N$13&lt;0, 0, IF((((inputs!$P$13/(V119/MAX(K119:S119)))^(1/inputs!$O$13))-1)/inputs!$N$13&lt;inputs!$I$17, (((inputs!$P$13/(V119/MAX(K119:S119)))^(1/inputs!$O$13))-1)/inputs!$N$13, inputs!$I$17))</f>
        <v>1000</v>
      </c>
      <c r="U119" s="63">
        <f>IF((((inputs!$P$13/(X119/MAX(K119:S119)))^(1/inputs!$O$13))-1)/inputs!$N$13&lt;0, 0, IF((((inputs!$P$13/(X119/MAX(K119:S119)))^(1/inputs!$O$13))-1)/inputs!$N$13&lt;inputs!$I$17, (((inputs!$P$13/(X119/MAX(K119:S119)))^(1/inputs!$O$13))-1)/inputs!$N$13, inputs!$I$17))</f>
        <v>212.90125953681226</v>
      </c>
      <c r="V119" s="21">
        <f>inputs!$E$78*(F119/inputs!$F$78)^(inputs!$E$84-1)</f>
        <v>1.0521426601493024E-2</v>
      </c>
      <c r="W119" s="21">
        <f>inputs!$E$85*(F119/inputs!$F$85)^(inputs!$E$84-1)</f>
        <v>0.48586009828813626</v>
      </c>
      <c r="X119" s="21">
        <f>inputs!$E$80*(F119/inputs!$F$80)^(inputs!$E$84-1)</f>
        <v>1.8142877087974707</v>
      </c>
      <c r="Y119" s="21">
        <f>inputs!$E$82*(F119/inputs!$F$82)^(inputs!$E$84-1)</f>
        <v>0.83617653517128765</v>
      </c>
      <c r="Z119" s="63">
        <f t="shared" si="9"/>
        <v>16486.088224501709</v>
      </c>
      <c r="AA119" s="63">
        <f t="shared" si="10"/>
        <v>357.01052177568511</v>
      </c>
    </row>
    <row r="120" spans="1:476" x14ac:dyDescent="0.25">
      <c r="A120" s="103" t="s">
        <v>221</v>
      </c>
      <c r="B120" s="20" t="s">
        <v>222</v>
      </c>
      <c r="C120" s="20" t="s">
        <v>73</v>
      </c>
      <c r="D120" s="104" t="s">
        <v>223</v>
      </c>
      <c r="E120" s="15">
        <v>101</v>
      </c>
      <c r="F120" s="15">
        <v>494</v>
      </c>
      <c r="G120" s="20" t="s">
        <v>154</v>
      </c>
      <c r="H120" s="20">
        <v>9.2999999999999999E-2</v>
      </c>
      <c r="I120" s="68">
        <f>MAX('Max rate concentrations'!$G$3:$G$368)</f>
        <v>45</v>
      </c>
      <c r="J120" s="68">
        <f>MAX('Max rate concentrations'!Z:Z)</f>
        <v>21</v>
      </c>
      <c r="K120" s="69">
        <f t="shared" si="12"/>
        <v>3.1873790371156416</v>
      </c>
      <c r="L120" s="69">
        <f t="shared" si="13"/>
        <v>1.4874435506539661</v>
      </c>
      <c r="M120" s="69">
        <f>IF((((1.18*F120^0.874)/3.7-(0.301*F120^0.751)/(1-H120)*H120)*(MAX('Max rate concentrations'!$P$3:$P$368)))/F120&gt;0, (((1.18*F120^0.874)/3.7-(0.301*F120^0.751)/(1-H120)*H120)*(MAX('Max rate concentrations'!$P$3:$P$368)))/F120, 0)</f>
        <v>0.12138886257051898</v>
      </c>
      <c r="N120" s="69">
        <f>IF((((1.18*F120^0.874)/3.7-(0.301*F120^0.751)/(1-H120)*H120)*(MAX('Max rate concentrations'!$Q$3:$Q$368)))/F120&gt;0, (((1.18*F120^0.874)/3.7-(0.301*F120^0.751)/(1-H120)*H120)*(MAX('Max rate concentrations'!$Q$3:$Q$368)))/F120, 0)</f>
        <v>0.46225531109667795</v>
      </c>
      <c r="O120" s="69">
        <f>((MAX('Max rate concentrations'!$F$3:$F$368))*0.62*6.01*8*(10*F120^0.667)*0.079*0.1/F120)*inputs!$E$80/(10^(0.84+0.62*LOG10(inputs!$E$80)))</f>
        <v>18.609827681579425</v>
      </c>
      <c r="P120" s="69">
        <f>((MAX('Max rate concentrations'!Y:Y))*0.62*6.01*8*(10*F120^0.667)*0.079*0.1/F120)*inputs!$E$80/(10^(0.84+0.62*LOG10(inputs!$E$80)))</f>
        <v>6.2032758938598072</v>
      </c>
      <c r="Q120" s="69">
        <f>(inputs!$C$18*11.2*(10*F120^0.667)*0.5/F120)*inputs!$E$80/(10^(0.84+0.62*LOG10(inputs!$E$80)))</f>
        <v>3.2780333714047689</v>
      </c>
      <c r="R120" s="59">
        <f>(60*284*((F120/1000)^0.77)*3*24*(MAX('Max rate concentrations'!$R$3:$R$368))/F120)*(inputs!$E$73*3.4/inputs!$E$75)</f>
        <v>3.3077262296089142E-2</v>
      </c>
      <c r="S120" s="59">
        <f>(IF(inputs!$C$17="aerial",((0.025*0.112*inputs!$C$18/3.3)*(3*60*284*((F120/1000)^0.77))*MAX(inputs!$I$14:$I$16))/F120,((0.0083*0.112*inputs!$C$18/1)*(3*60*284*((F120/1000)^0.77))*MAX(inputs!$I$14:$I$16))/F120))*(inputs!E$75*3.4/inputs!$E$73)</f>
        <v>0.18242313377400082</v>
      </c>
      <c r="T120" s="63">
        <f>IF((((inputs!$P$13/(V120/MAX(K120:S120)))^(1/inputs!$O$13))-1)/inputs!$N$13&lt;0, 0, IF((((inputs!$P$13/(V120/MAX(K120:S120)))^(1/inputs!$O$13))-1)/inputs!$N$13&lt;inputs!$I$17, (((inputs!$P$13/(V120/MAX(K120:S120)))^(1/inputs!$O$13))-1)/inputs!$N$13, inputs!$I$17))</f>
        <v>1000</v>
      </c>
      <c r="U120" s="63">
        <f>IF((((inputs!$P$13/(X120/MAX(K120:S120)))^(1/inputs!$O$13))-1)/inputs!$N$13&lt;0, 0, IF((((inputs!$P$13/(X120/MAX(K120:S120)))^(1/inputs!$O$13))-1)/inputs!$N$13&lt;inputs!$I$17, (((inputs!$P$13/(X120/MAX(K120:S120)))^(1/inputs!$O$13))-1)/inputs!$N$13, inputs!$I$17))</f>
        <v>30.644039400869495</v>
      </c>
      <c r="V120" s="21">
        <f>inputs!$E$78*(F120/inputs!$F$78)^(inputs!$E$84-1)</f>
        <v>1.0521426601493024E-2</v>
      </c>
      <c r="W120" s="21">
        <f>inputs!$E$85*(F120/inputs!$F$85)^(inputs!$E$84-1)</f>
        <v>0.48586009828813626</v>
      </c>
      <c r="X120" s="21">
        <f>inputs!$E$80*(F120/inputs!$F$80)^(inputs!$E$84-1)</f>
        <v>1.8142877087974707</v>
      </c>
      <c r="Y120" s="21">
        <f>inputs!$E$82*(F120/inputs!$F$82)^(inputs!$E$84-1)</f>
        <v>0.83617653517128765</v>
      </c>
      <c r="Z120" s="63">
        <f t="shared" si="9"/>
        <v>1768.7551685185572</v>
      </c>
      <c r="AA120" s="63">
        <f t="shared" si="10"/>
        <v>38.302852502497508</v>
      </c>
    </row>
    <row r="121" spans="1:476" x14ac:dyDescent="0.25">
      <c r="A121" s="103" t="s">
        <v>258</v>
      </c>
      <c r="B121" s="20" t="s">
        <v>259</v>
      </c>
      <c r="C121" s="20" t="s">
        <v>73</v>
      </c>
      <c r="D121" s="104" t="s">
        <v>260</v>
      </c>
      <c r="E121" s="15">
        <v>119</v>
      </c>
      <c r="F121" s="15">
        <v>50.5</v>
      </c>
      <c r="G121" s="20" t="s">
        <v>142</v>
      </c>
      <c r="H121" s="20">
        <v>0.69</v>
      </c>
      <c r="I121" s="68">
        <f>MAX('Max rate concentrations'!$H$3:$H$368)</f>
        <v>282</v>
      </c>
      <c r="J121" s="68">
        <f>MAX('Max rate concentrations'!AA:AA)</f>
        <v>195</v>
      </c>
      <c r="K121" s="69">
        <f t="shared" si="12"/>
        <v>103.11797049904291</v>
      </c>
      <c r="L121" s="69">
        <f t="shared" si="13"/>
        <v>71.304979600402021</v>
      </c>
      <c r="M121" s="69">
        <f>IF((((1.18*F121^0.874)/3.7-(0.301*F121^0.751)/(1-H121)*H121)*(MAX('Max rate concentrations'!$P$3:$P$368)))/F121&gt;0, (((1.18*F121^0.874)/3.7-(0.301*F121^0.751)/(1-H121)*H121)*(MAX('Max rate concentrations'!$P$3:$P$368)))/F121, 0)</f>
        <v>0</v>
      </c>
      <c r="N121" s="69">
        <f>IF((((1.18*F121^0.874)/3.7-(0.301*F121^0.751)/(1-H121)*H121)*(MAX('Max rate concentrations'!$Q$3:$Q$368)))/F121&gt;0, (((1.18*F121^0.874)/3.7-(0.301*F121^0.751)/(1-H121)*H121)*(MAX('Max rate concentrations'!$Q$3:$Q$368)))/F121, 0)</f>
        <v>0</v>
      </c>
      <c r="O121" s="69">
        <f>((MAX('Max rate concentrations'!$F$3:$F$368))*0.62*6.01*8*(10*F121^0.667)*0.079*0.1/F121)*inputs!$E$80/(10^(0.84+0.62*LOG10(inputs!$E$80)))</f>
        <v>39.770165371185442</v>
      </c>
      <c r="P121" s="69">
        <f>((MAX('Max rate concentrations'!Y:Y))*0.62*6.01*8*(10*F121^0.667)*0.079*0.1/F121)*inputs!$E$80/(10^(0.84+0.62*LOG10(inputs!$E$80)))</f>
        <v>13.256721790395146</v>
      </c>
      <c r="Q121" s="69">
        <f>(inputs!$C$18*11.2*(10*F121^0.667)*0.5/F121)*inputs!$E$80/(10^(0.84+0.62*LOG10(inputs!$E$80)))</f>
        <v>7.0053270510438077</v>
      </c>
      <c r="R121" s="59">
        <f>(60*284*((F121/1000)^0.77)*3*24*(MAX('Max rate concentrations'!$R$3:$R$368))/F121)*(inputs!$E$73*3.4/inputs!$E$75)</f>
        <v>5.5889437467944204E-2</v>
      </c>
      <c r="S121" s="59">
        <f>(IF(inputs!$C$17="aerial",((0.025*0.112*inputs!$C$18/3.3)*(3*60*284*((F121/1000)^0.77))*MAX(inputs!$I$14:$I$16))/F121,((0.0083*0.112*inputs!$C$18/1)*(3*60*284*((F121/1000)^0.77))*MAX(inputs!$I$14:$I$16))/F121))*(inputs!E$75*3.4/inputs!$E$73)</f>
        <v>0.30823368138825363</v>
      </c>
      <c r="T121" s="63">
        <f>IF((((inputs!$P$13/(V121/MAX(K121:S121)))^(1/inputs!$O$13))-1)/inputs!$N$13&lt;0, 0, IF((((inputs!$P$13/(V121/MAX(K121:S121)))^(1/inputs!$O$13))-1)/inputs!$N$13&lt;inputs!$I$17, (((inputs!$P$13/(V121/MAX(K121:S121)))^(1/inputs!$O$13))-1)/inputs!$N$13, inputs!$I$17))</f>
        <v>1000</v>
      </c>
      <c r="U121" s="63">
        <f>IF((((inputs!$P$13/(X121/MAX(K121:S121)))^(1/inputs!$O$13))-1)/inputs!$N$13&lt;0, 0, IF((((inputs!$P$13/(X121/MAX(K121:S121)))^(1/inputs!$O$13))-1)/inputs!$N$13&lt;inputs!$I$17, (((inputs!$P$13/(X121/MAX(K121:S121)))^(1/inputs!$O$13))-1)/inputs!$N$13, inputs!$I$17))</f>
        <v>67.169963121735762</v>
      </c>
      <c r="V121" s="21">
        <f>inputs!$E$78*(F121/inputs!$F$78)^(inputs!$E$84-1)</f>
        <v>2.4464468841670566E-2</v>
      </c>
      <c r="W121" s="21">
        <f>inputs!$E$85*(F121/inputs!$F$85)^(inputs!$E$84-1)</f>
        <v>1.1297241036015404</v>
      </c>
      <c r="X121" s="21">
        <f>inputs!$E$80*(F121/inputs!$F$80)^(inputs!$E$84-1)</f>
        <v>4.2185900071196754</v>
      </c>
      <c r="Y121" s="21">
        <f>inputs!$E$82*(F121/inputs!$F$82)^(inputs!$E$84-1)</f>
        <v>1.9442814711011871</v>
      </c>
      <c r="Z121" s="63">
        <f t="shared" si="9"/>
        <v>4215.0095784381419</v>
      </c>
      <c r="AA121" s="63">
        <f t="shared" si="10"/>
        <v>91.277127017388267</v>
      </c>
    </row>
    <row r="122" spans="1:476" x14ac:dyDescent="0.25">
      <c r="A122" s="103" t="s">
        <v>258</v>
      </c>
      <c r="B122" s="20" t="s">
        <v>259</v>
      </c>
      <c r="C122" s="20" t="s">
        <v>73</v>
      </c>
      <c r="D122" s="104" t="s">
        <v>260</v>
      </c>
      <c r="E122" s="15">
        <v>119</v>
      </c>
      <c r="F122" s="15">
        <v>50.5</v>
      </c>
      <c r="G122" s="20" t="s">
        <v>164</v>
      </c>
      <c r="H122" s="20">
        <v>0.78</v>
      </c>
      <c r="I122" s="68">
        <f>inputs!$C$66*(inputs!$C$62/1000)</f>
        <v>8.2000000000000011</v>
      </c>
      <c r="J122" s="68">
        <f>inputs!$C$66*(inputs!$C$61/1000)</f>
        <v>2.5</v>
      </c>
      <c r="K122" s="69">
        <f t="shared" si="12"/>
        <v>4.2251109124527275</v>
      </c>
      <c r="L122" s="69">
        <f t="shared" si="13"/>
        <v>1.2881435708697337</v>
      </c>
      <c r="M122" s="69">
        <f>IF((((1.18*F122^0.874)/3.7-(0.301*F122^0.751)/(1-H122)*H122)*(MAX('Max rate concentrations'!$P$3:$P$368)))/F122&gt;0, (((1.18*F122^0.874)/3.7-(0.301*F122^0.751)/(1-H122)*H122)*(MAX('Max rate concentrations'!$P$3:$P$368)))/F122, 0)</f>
        <v>0</v>
      </c>
      <c r="N122" s="69">
        <f>IF((((1.18*F122^0.874)/3.7-(0.301*F122^0.751)/(1-H122)*H122)*(MAX('Max rate concentrations'!$Q$3:$Q$368)))/F122&gt;0, (((1.18*F122^0.874)/3.7-(0.301*F122^0.751)/(1-H122)*H122)*(MAX('Max rate concentrations'!$Q$3:$Q$368)))/F122, 0)</f>
        <v>0</v>
      </c>
      <c r="O122" s="69">
        <f>((MAX('Max rate concentrations'!$F$3:$F$368))*0.62*6.01*8*(10*F122^0.667)*0.079*0.1/F122)*inputs!$E$80/(10^(0.84+0.62*LOG10(inputs!$E$80)))</f>
        <v>39.770165371185442</v>
      </c>
      <c r="P122" s="69">
        <f>((MAX('Max rate concentrations'!Y:Y))*0.62*6.01*8*(10*F122^0.667)*0.079*0.1/F122)*inputs!$E$80/(10^(0.84+0.62*LOG10(inputs!$E$80)))</f>
        <v>13.256721790395146</v>
      </c>
      <c r="Q122" s="69">
        <f>(inputs!$C$18*11.2*(10*F122^0.667)*0.5/F122)*inputs!$E$80/(10^(0.84+0.62*LOG10(inputs!$E$80)))</f>
        <v>7.0053270510438077</v>
      </c>
      <c r="R122" s="59">
        <f>(60*284*((F122/1000)^0.77)*3*24*(MAX('Max rate concentrations'!$R$3:$R$368))/F122)*(inputs!$E$73*3.4/inputs!$E$75)</f>
        <v>5.5889437467944204E-2</v>
      </c>
      <c r="S122" s="59">
        <f>(IF(inputs!$C$17="aerial",((0.025*0.112*inputs!$C$18/3.3)*(3*60*284*((F122/1000)^0.77))*MAX(inputs!$I$14:$I$16))/F122,((0.0083*0.112*inputs!$C$18/1)*(3*60*284*((F122/1000)^0.77))*MAX(inputs!$I$14:$I$16))/F122))*(inputs!E$75*3.4/inputs!$E$73)</f>
        <v>0.30823368138825363</v>
      </c>
      <c r="T122" s="63">
        <f>IF((((inputs!$P$13/(V122/MAX(K122:S122)))^(1/inputs!$O$13))-1)/inputs!$N$13&lt;0, 0, IF((((inputs!$P$13/(V122/MAX(K122:S122)))^(1/inputs!$O$13))-1)/inputs!$N$13&lt;inputs!$I$17, (((inputs!$P$13/(V122/MAX(K122:S122)))^(1/inputs!$O$13))-1)/inputs!$N$13, inputs!$I$17))</f>
        <v>1000</v>
      </c>
      <c r="U122" s="63">
        <f>IF((((inputs!$P$13/(X122/MAX(K122:S122)))^(1/inputs!$O$13))-1)/inputs!$N$13&lt;0, 0, IF((((inputs!$P$13/(X122/MAX(K122:S122)))^(1/inputs!$O$13))-1)/inputs!$N$13&lt;inputs!$I$17, (((inputs!$P$13/(X122/MAX(K122:S122)))^(1/inputs!$O$13))-1)/inputs!$N$13, inputs!$I$17))</f>
        <v>28.277955904115018</v>
      </c>
      <c r="V122" s="21">
        <f>inputs!$E$78*(F122/inputs!$F$78)^(inputs!$E$84-1)</f>
        <v>2.4464468841670566E-2</v>
      </c>
      <c r="W122" s="21">
        <f>inputs!$E$85*(F122/inputs!$F$85)^(inputs!$E$84-1)</f>
        <v>1.1297241036015404</v>
      </c>
      <c r="X122" s="21">
        <f>inputs!$E$80*(F122/inputs!$F$80)^(inputs!$E$84-1)</f>
        <v>4.2185900071196754</v>
      </c>
      <c r="Y122" s="21">
        <f>inputs!$E$82*(F122/inputs!$F$82)^(inputs!$E$84-1)</f>
        <v>1.9442814711011871</v>
      </c>
      <c r="Z122" s="63">
        <f t="shared" si="9"/>
        <v>1625.6296275455829</v>
      </c>
      <c r="AA122" s="63">
        <f t="shared" si="10"/>
        <v>35.203431744439953</v>
      </c>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c r="BK122" s="107"/>
      <c r="BL122" s="107"/>
      <c r="BM122" s="107"/>
      <c r="BN122" s="107"/>
      <c r="BO122" s="107"/>
      <c r="BP122" s="107"/>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c r="CZ122" s="107"/>
      <c r="DA122" s="107"/>
      <c r="DB122" s="107"/>
      <c r="DC122" s="107"/>
      <c r="DD122" s="107"/>
      <c r="DE122" s="107"/>
      <c r="DF122" s="107"/>
      <c r="DG122" s="107"/>
      <c r="DH122" s="107"/>
      <c r="DI122" s="107"/>
      <c r="DJ122" s="107"/>
      <c r="DK122" s="107"/>
      <c r="DL122" s="107"/>
      <c r="DM122" s="107"/>
      <c r="DN122" s="107"/>
      <c r="DO122" s="107"/>
      <c r="DP122" s="107"/>
      <c r="DQ122" s="107"/>
      <c r="DR122" s="107"/>
      <c r="DS122" s="107"/>
      <c r="DT122" s="107"/>
      <c r="DU122" s="107"/>
      <c r="DV122" s="107"/>
      <c r="DW122" s="107"/>
      <c r="DX122" s="107"/>
      <c r="DY122" s="107"/>
      <c r="DZ122" s="107"/>
      <c r="EA122" s="107"/>
      <c r="EB122" s="107"/>
      <c r="EC122" s="107"/>
      <c r="ED122" s="107"/>
      <c r="EE122" s="107"/>
      <c r="EF122" s="107"/>
      <c r="EG122" s="107"/>
      <c r="EH122" s="107"/>
      <c r="EI122" s="107"/>
      <c r="EJ122" s="107"/>
      <c r="EK122" s="107"/>
      <c r="EL122" s="107"/>
      <c r="EM122" s="107"/>
      <c r="EN122" s="107"/>
      <c r="EO122" s="107"/>
      <c r="EP122" s="107"/>
      <c r="EQ122" s="107"/>
      <c r="ER122" s="107"/>
      <c r="ES122" s="107"/>
      <c r="ET122" s="107"/>
      <c r="EU122" s="107"/>
      <c r="EV122" s="107"/>
      <c r="EW122" s="107"/>
      <c r="EX122" s="107"/>
      <c r="EY122" s="107"/>
      <c r="EZ122" s="107"/>
      <c r="FA122" s="107"/>
      <c r="FB122" s="107"/>
      <c r="FC122" s="107"/>
      <c r="FD122" s="107"/>
      <c r="FE122" s="107"/>
      <c r="FF122" s="107"/>
      <c r="FG122" s="107"/>
      <c r="FH122" s="107"/>
      <c r="FI122" s="107"/>
      <c r="FJ122" s="107"/>
      <c r="FK122" s="107"/>
      <c r="FL122" s="107"/>
      <c r="FM122" s="107"/>
      <c r="FN122" s="107"/>
      <c r="FO122" s="107"/>
      <c r="FP122" s="107"/>
      <c r="FQ122" s="107"/>
      <c r="FR122" s="107"/>
      <c r="FS122" s="107"/>
      <c r="FT122" s="107"/>
      <c r="FU122" s="107"/>
      <c r="FV122" s="107"/>
      <c r="FW122" s="107"/>
      <c r="FX122" s="107"/>
      <c r="FY122" s="107"/>
      <c r="FZ122" s="107"/>
      <c r="GA122" s="107"/>
      <c r="GB122" s="107"/>
      <c r="GC122" s="107"/>
      <c r="GD122" s="107"/>
      <c r="GE122" s="107"/>
      <c r="GF122" s="107"/>
      <c r="GG122" s="107"/>
      <c r="GH122" s="107"/>
      <c r="GI122" s="107"/>
      <c r="GJ122" s="107"/>
      <c r="GK122" s="107"/>
      <c r="GL122" s="107"/>
      <c r="GM122" s="107"/>
      <c r="GN122" s="107"/>
      <c r="GO122" s="107"/>
      <c r="GP122" s="107"/>
      <c r="GQ122" s="107"/>
      <c r="GR122" s="107"/>
      <c r="GS122" s="107"/>
      <c r="GT122" s="107"/>
      <c r="GU122" s="107"/>
      <c r="GV122" s="107"/>
      <c r="GW122" s="107"/>
      <c r="GX122" s="107"/>
      <c r="GY122" s="107"/>
      <c r="GZ122" s="107"/>
      <c r="HA122" s="107"/>
      <c r="HB122" s="107"/>
      <c r="HC122" s="107"/>
      <c r="HD122" s="107"/>
      <c r="HE122" s="107"/>
      <c r="HF122" s="107"/>
      <c r="HG122" s="107"/>
      <c r="HH122" s="107"/>
      <c r="HI122" s="107"/>
      <c r="HJ122" s="107"/>
      <c r="HK122" s="107"/>
      <c r="HL122" s="107"/>
      <c r="HM122" s="107"/>
      <c r="HN122" s="107"/>
      <c r="HO122" s="107"/>
      <c r="HP122" s="107"/>
      <c r="HQ122" s="107"/>
      <c r="HR122" s="107"/>
      <c r="HS122" s="107"/>
      <c r="HT122" s="107"/>
      <c r="HU122" s="107"/>
      <c r="HV122" s="107"/>
      <c r="HW122" s="107"/>
      <c r="HX122" s="107"/>
      <c r="HY122" s="107"/>
      <c r="HZ122" s="107"/>
      <c r="IA122" s="107"/>
      <c r="IB122" s="107"/>
      <c r="IC122" s="107"/>
      <c r="ID122" s="107"/>
      <c r="IE122" s="107"/>
      <c r="IF122" s="107"/>
      <c r="IG122" s="107"/>
      <c r="IH122" s="107"/>
      <c r="II122" s="107"/>
      <c r="IJ122" s="107"/>
      <c r="IK122" s="107"/>
      <c r="IL122" s="107"/>
      <c r="IM122" s="107"/>
      <c r="IN122" s="107"/>
      <c r="IO122" s="107"/>
      <c r="IP122" s="107"/>
      <c r="IQ122" s="107"/>
      <c r="IR122" s="107"/>
      <c r="IS122" s="107"/>
      <c r="IT122" s="107"/>
      <c r="IU122" s="107"/>
      <c r="IV122" s="107"/>
      <c r="IW122" s="107"/>
      <c r="IX122" s="107"/>
      <c r="IY122" s="107"/>
      <c r="IZ122" s="107"/>
      <c r="JA122" s="107"/>
      <c r="JB122" s="107"/>
      <c r="JC122" s="107"/>
      <c r="JD122" s="107"/>
      <c r="JE122" s="107"/>
      <c r="JF122" s="107"/>
      <c r="JG122" s="107"/>
      <c r="JH122" s="107"/>
      <c r="JI122" s="107"/>
      <c r="JJ122" s="107"/>
      <c r="JK122" s="107"/>
      <c r="JL122" s="107"/>
      <c r="JM122" s="107"/>
      <c r="JN122" s="107"/>
      <c r="JO122" s="107"/>
      <c r="JP122" s="107"/>
      <c r="JQ122" s="107"/>
      <c r="JR122" s="107"/>
      <c r="JS122" s="107"/>
      <c r="JT122" s="107"/>
      <c r="JU122" s="107"/>
      <c r="JV122" s="107"/>
      <c r="JW122" s="107"/>
      <c r="JX122" s="107"/>
      <c r="JY122" s="107"/>
      <c r="JZ122" s="107"/>
      <c r="KA122" s="107"/>
      <c r="KB122" s="107"/>
      <c r="KC122" s="107"/>
      <c r="KD122" s="107"/>
      <c r="KE122" s="107"/>
      <c r="KF122" s="107"/>
      <c r="KG122" s="107"/>
      <c r="KH122" s="107"/>
      <c r="KI122" s="107"/>
      <c r="KJ122" s="107"/>
      <c r="KK122" s="107"/>
      <c r="KL122" s="107"/>
      <c r="KM122" s="107"/>
      <c r="KN122" s="107"/>
      <c r="KO122" s="107"/>
      <c r="KP122" s="107"/>
      <c r="KQ122" s="107"/>
      <c r="KR122" s="107"/>
      <c r="KS122" s="107"/>
      <c r="KT122" s="107"/>
      <c r="KU122" s="107"/>
      <c r="KV122" s="107"/>
      <c r="KW122" s="107"/>
      <c r="KX122" s="107"/>
      <c r="KY122" s="107"/>
      <c r="KZ122" s="107"/>
      <c r="LA122" s="107"/>
      <c r="LB122" s="107"/>
      <c r="LC122" s="107"/>
      <c r="LD122" s="107"/>
      <c r="LE122" s="107"/>
      <c r="LF122" s="107"/>
      <c r="LG122" s="107"/>
      <c r="LH122" s="107"/>
      <c r="LI122" s="107"/>
      <c r="LJ122" s="107"/>
      <c r="LK122" s="107"/>
      <c r="LL122" s="107"/>
      <c r="LM122" s="107"/>
      <c r="LN122" s="107"/>
      <c r="LO122" s="107"/>
      <c r="LP122" s="107"/>
      <c r="LQ122" s="107"/>
      <c r="LR122" s="107"/>
      <c r="LS122" s="107"/>
      <c r="LT122" s="107"/>
      <c r="LU122" s="107"/>
      <c r="LV122" s="107"/>
      <c r="LW122" s="107"/>
      <c r="LX122" s="107"/>
      <c r="LY122" s="107"/>
      <c r="LZ122" s="107"/>
      <c r="MA122" s="107"/>
      <c r="MB122" s="107"/>
      <c r="MC122" s="107"/>
      <c r="MD122" s="107"/>
      <c r="ME122" s="107"/>
      <c r="MF122" s="107"/>
      <c r="MG122" s="107"/>
      <c r="MH122" s="107"/>
      <c r="MI122" s="107"/>
      <c r="MJ122" s="107"/>
      <c r="MK122" s="107"/>
      <c r="ML122" s="107"/>
      <c r="MM122" s="107"/>
      <c r="MN122" s="107"/>
      <c r="MO122" s="107"/>
      <c r="MP122" s="107"/>
      <c r="MQ122" s="107"/>
      <c r="MR122" s="107"/>
      <c r="MS122" s="107"/>
      <c r="MT122" s="107"/>
      <c r="MU122" s="107"/>
      <c r="MV122" s="107"/>
      <c r="MW122" s="107"/>
      <c r="MX122" s="107"/>
      <c r="MY122" s="107"/>
      <c r="MZ122" s="107"/>
      <c r="NA122" s="107"/>
      <c r="NB122" s="107"/>
      <c r="NC122" s="107"/>
      <c r="ND122" s="107"/>
      <c r="NE122" s="107"/>
      <c r="NF122" s="107"/>
      <c r="NG122" s="107"/>
      <c r="NH122" s="107"/>
      <c r="NI122" s="107"/>
      <c r="NJ122" s="107"/>
      <c r="NK122" s="107"/>
      <c r="NL122" s="107"/>
      <c r="NM122" s="107"/>
      <c r="NN122" s="107"/>
      <c r="NO122" s="107"/>
      <c r="NP122" s="107"/>
      <c r="NQ122" s="107"/>
      <c r="NR122" s="107"/>
      <c r="NS122" s="107"/>
      <c r="NT122" s="107"/>
      <c r="NU122" s="107"/>
      <c r="NV122" s="107"/>
      <c r="NW122" s="107"/>
      <c r="NX122" s="107"/>
      <c r="NY122" s="107"/>
      <c r="NZ122" s="107"/>
      <c r="OA122" s="107"/>
      <c r="OB122" s="107"/>
      <c r="OC122" s="107"/>
      <c r="OD122" s="107"/>
      <c r="OE122" s="107"/>
      <c r="OF122" s="107"/>
      <c r="OG122" s="107"/>
      <c r="OH122" s="107"/>
      <c r="OI122" s="107"/>
      <c r="OJ122" s="107"/>
      <c r="OK122" s="107"/>
      <c r="OL122" s="107"/>
      <c r="OM122" s="107"/>
      <c r="ON122" s="107"/>
      <c r="OO122" s="107"/>
      <c r="OP122" s="107"/>
      <c r="OQ122" s="107"/>
      <c r="OR122" s="107"/>
      <c r="OS122" s="107"/>
      <c r="OT122" s="107"/>
      <c r="OU122" s="107"/>
      <c r="OV122" s="107"/>
      <c r="OW122" s="107"/>
      <c r="OX122" s="107"/>
      <c r="OY122" s="107"/>
      <c r="OZ122" s="107"/>
      <c r="PA122" s="107"/>
      <c r="PB122" s="107"/>
      <c r="PC122" s="107"/>
      <c r="PD122" s="107"/>
      <c r="PE122" s="107"/>
      <c r="PF122" s="107"/>
      <c r="PG122" s="107"/>
      <c r="PH122" s="107"/>
      <c r="PI122" s="107"/>
      <c r="PJ122" s="107"/>
      <c r="PK122" s="107"/>
      <c r="PL122" s="107"/>
      <c r="PM122" s="107"/>
      <c r="PN122" s="107"/>
      <c r="PO122" s="107"/>
      <c r="PP122" s="107"/>
      <c r="PQ122" s="107"/>
      <c r="PR122" s="107"/>
      <c r="PS122" s="107"/>
      <c r="PT122" s="107"/>
      <c r="PU122" s="107"/>
      <c r="PV122" s="107"/>
      <c r="PW122" s="107"/>
      <c r="PX122" s="107"/>
      <c r="PY122" s="107"/>
      <c r="PZ122" s="107"/>
      <c r="QA122" s="107"/>
      <c r="QB122" s="107"/>
      <c r="QC122" s="107"/>
      <c r="QD122" s="107"/>
      <c r="QE122" s="107"/>
      <c r="QF122" s="107"/>
      <c r="QG122" s="107"/>
      <c r="QH122" s="107"/>
      <c r="QI122" s="107"/>
      <c r="QJ122" s="107"/>
      <c r="QK122" s="107"/>
      <c r="QL122" s="107"/>
      <c r="QM122" s="107"/>
      <c r="QN122" s="107"/>
      <c r="QO122" s="107"/>
      <c r="QP122" s="107"/>
      <c r="QQ122" s="107"/>
      <c r="QR122" s="107"/>
      <c r="QS122" s="107"/>
      <c r="QT122" s="107"/>
      <c r="QU122" s="107"/>
      <c r="QV122" s="107"/>
      <c r="QW122" s="107"/>
      <c r="QX122" s="107"/>
      <c r="QY122" s="107"/>
      <c r="QZ122" s="107"/>
      <c r="RA122" s="107"/>
      <c r="RB122" s="107"/>
      <c r="RC122" s="107"/>
      <c r="RD122" s="107"/>
      <c r="RE122" s="107"/>
      <c r="RF122" s="107"/>
      <c r="RG122" s="107"/>
      <c r="RH122" s="107"/>
    </row>
    <row r="123" spans="1:476" x14ac:dyDescent="0.25">
      <c r="A123" s="103" t="s">
        <v>258</v>
      </c>
      <c r="B123" s="20" t="s">
        <v>259</v>
      </c>
      <c r="C123" s="20" t="s">
        <v>73</v>
      </c>
      <c r="D123" s="104" t="s">
        <v>260</v>
      </c>
      <c r="E123" s="15">
        <v>119</v>
      </c>
      <c r="F123" s="15">
        <v>50.5</v>
      </c>
      <c r="G123" s="20" t="s">
        <v>138</v>
      </c>
      <c r="H123" s="20">
        <v>0.68</v>
      </c>
      <c r="I123" s="68">
        <f>MAX('Max rate concentrations'!$L$3:$L$368)</f>
        <v>350.52744091332482</v>
      </c>
      <c r="J123" s="68">
        <f>MAX('Max rate concentrations'!AD:AD)</f>
        <v>242.38599637623525</v>
      </c>
      <c r="K123" s="69">
        <f t="shared" si="12"/>
        <v>124.17065909212799</v>
      </c>
      <c r="L123" s="69">
        <f t="shared" si="13"/>
        <v>85.862689797748061</v>
      </c>
      <c r="M123" s="69">
        <f>IF((((1.18*F123^0.874)/3.7-(0.301*F123^0.751)/(1-H123)*H123)*(MAX('Max rate concentrations'!$P$3:$P$368)))/F123&gt;0, (((1.18*F123^0.874)/3.7-(0.301*F123^0.751)/(1-H123)*H123)*(MAX('Max rate concentrations'!$P$3:$P$368)))/F123, 0)</f>
        <v>0</v>
      </c>
      <c r="N123" s="69">
        <f>IF((((1.18*F123^0.874)/3.7-(0.301*F123^0.751)/(1-H123)*H123)*(MAX('Max rate concentrations'!$Q$3:$Q$368)))/F123&gt;0, (((1.18*F123^0.874)/3.7-(0.301*F123^0.751)/(1-H123)*H123)*(MAX('Max rate concentrations'!$Q$3:$Q$368)))/F123, 0)</f>
        <v>0</v>
      </c>
      <c r="O123" s="69">
        <f>((MAX('Max rate concentrations'!$F$3:$F$368))*0.62*6.01*8*(10*F123^0.667)*0.079*0.1/F123)*inputs!$E$80/(10^(0.84+0.62*LOG10(inputs!$E$80)))</f>
        <v>39.770165371185442</v>
      </c>
      <c r="P123" s="69">
        <f>((MAX('Max rate concentrations'!Y:Y))*0.62*6.01*8*(10*F123^0.667)*0.079*0.1/F123)*inputs!$E$80/(10^(0.84+0.62*LOG10(inputs!$E$80)))</f>
        <v>13.256721790395146</v>
      </c>
      <c r="Q123" s="69">
        <f>(inputs!$C$18*11.2*(10*F123^0.667)*0.5/F123)*inputs!$E$80/(10^(0.84+0.62*LOG10(inputs!$E$80)))</f>
        <v>7.0053270510438077</v>
      </c>
      <c r="R123" s="59">
        <f>(60*284*((F123/1000)^0.77)*3*24*(MAX('Max rate concentrations'!$R$3:$R$368))/F123)*(inputs!$E$73*3.4/inputs!$E$75)</f>
        <v>5.5889437467944204E-2</v>
      </c>
      <c r="S123" s="59">
        <f>(IF(inputs!$C$17="aerial",((0.025*0.112*inputs!$C$18/3.3)*(3*60*284*((F123/1000)^0.77))*MAX(inputs!$I$14:$I$16))/F123,((0.0083*0.112*inputs!$C$18/1)*(3*60*284*((F123/1000)^0.77))*MAX(inputs!$I$14:$I$16))/F123))*(inputs!E$75*3.4/inputs!$E$73)</f>
        <v>0.30823368138825363</v>
      </c>
      <c r="T123" s="63">
        <f>IF((((inputs!$P$13/(V123/MAX(K123:S123)))^(1/inputs!$O$13))-1)/inputs!$N$13&lt;0, 0, IF((((inputs!$P$13/(V123/MAX(K123:S123)))^(1/inputs!$O$13))-1)/inputs!$N$13&lt;inputs!$I$17, (((inputs!$P$13/(V123/MAX(K123:S123)))^(1/inputs!$O$13))-1)/inputs!$N$13, inputs!$I$17))</f>
        <v>1000</v>
      </c>
      <c r="U123" s="63">
        <f>IF((((inputs!$P$13/(X123/MAX(K123:S123)))^(1/inputs!$O$13))-1)/inputs!$N$13&lt;0, 0, IF((((inputs!$P$13/(X123/MAX(K123:S123)))^(1/inputs!$O$13))-1)/inputs!$N$13&lt;inputs!$I$17, (((inputs!$P$13/(X123/MAX(K123:S123)))^(1/inputs!$O$13))-1)/inputs!$N$13, inputs!$I$17))</f>
        <v>78.90628175769605</v>
      </c>
      <c r="V123" s="21">
        <f>inputs!$E$78*(F123/inputs!$F$78)^(inputs!$E$84-1)</f>
        <v>2.4464468841670566E-2</v>
      </c>
      <c r="W123" s="21">
        <f>inputs!$E$85*(F123/inputs!$F$85)^(inputs!$E$84-1)</f>
        <v>1.1297241036015404</v>
      </c>
      <c r="X123" s="21">
        <f>inputs!$E$80*(F123/inputs!$F$80)^(inputs!$E$84-1)</f>
        <v>4.2185900071196754</v>
      </c>
      <c r="Y123" s="21">
        <f>inputs!$E$82*(F123/inputs!$F$82)^(inputs!$E$84-1)</f>
        <v>1.9442814711011871</v>
      </c>
      <c r="Z123" s="63">
        <f t="shared" si="9"/>
        <v>5075.5509917561303</v>
      </c>
      <c r="AA123" s="63">
        <f t="shared" si="10"/>
        <v>109.91237479688549</v>
      </c>
    </row>
    <row r="124" spans="1:476" x14ac:dyDescent="0.25">
      <c r="A124" s="103" t="s">
        <v>258</v>
      </c>
      <c r="B124" s="20" t="s">
        <v>259</v>
      </c>
      <c r="C124" s="20" t="s">
        <v>73</v>
      </c>
      <c r="D124" s="104" t="s">
        <v>260</v>
      </c>
      <c r="E124" s="15">
        <v>119</v>
      </c>
      <c r="F124" s="15">
        <v>50.5</v>
      </c>
      <c r="G124" s="49" t="s">
        <v>186</v>
      </c>
      <c r="H124" s="49">
        <v>0.75</v>
      </c>
      <c r="I124" s="68">
        <f>inputs!$C$66*inputs!$C$64/1000</f>
        <v>21.3</v>
      </c>
      <c r="J124" s="68">
        <f>inputs!$C$66*inputs!$C$63/1000</f>
        <v>8.8000000000000007</v>
      </c>
      <c r="K124" s="69">
        <f t="shared" si="12"/>
        <v>9.657985236952916</v>
      </c>
      <c r="L124" s="69">
        <f t="shared" si="13"/>
        <v>3.9901535251260878</v>
      </c>
      <c r="M124" s="69">
        <f>IF((((1.18*F124^0.874)/3.7-(0.301*F124^0.751)/(1-H124)*H124)*(MAX('Max rate concentrations'!$P$3:$P$368)))/F124&gt;0, (((1.18*F124^0.874)/3.7-(0.301*F124^0.751)/(1-H124)*H124)*(MAX('Max rate concentrations'!$P$3:$P$368)))/F124, 0)</f>
        <v>0</v>
      </c>
      <c r="N124" s="69">
        <f>IF((((1.18*F124^0.874)/3.7-(0.301*F124^0.751)/(1-H124)*H124)*(MAX('Max rate concentrations'!$Q$3:$Q$368)))/F124&gt;0, (((1.18*F124^0.874)/3.7-(0.301*F124^0.751)/(1-H124)*H124)*(MAX('Max rate concentrations'!$Q$3:$Q$368)))/F124, 0)</f>
        <v>0</v>
      </c>
      <c r="O124" s="69">
        <f>((MAX('Max rate concentrations'!$F$3:$F$368))*0.62*6.01*8*(10*F124^0.667)*0.079*0.1/F124)*inputs!$E$80/(10^(0.84+0.62*LOG10(inputs!$E$80)))</f>
        <v>39.770165371185442</v>
      </c>
      <c r="P124" s="69">
        <f>((MAX('Max rate concentrations'!Y:Y))*0.62*6.01*8*(10*F124^0.667)*0.079*0.1/F124)*inputs!$E$80/(10^(0.84+0.62*LOG10(inputs!$E$80)))</f>
        <v>13.256721790395146</v>
      </c>
      <c r="Q124" s="69">
        <f>(inputs!$C$18*11.2*(10*F124^0.667)*0.5/F124)*inputs!$E$80/(10^(0.84+0.62*LOG10(inputs!$E$80)))</f>
        <v>7.0053270510438077</v>
      </c>
      <c r="R124" s="59">
        <f>(60*284*((F124/1000)^0.77)*3*24*(MAX('Max rate concentrations'!$R$3:$R$368))/F124)*(inputs!$E$73*3.4/inputs!$E$75)</f>
        <v>5.5889437467944204E-2</v>
      </c>
      <c r="S124" s="59">
        <f>(IF(inputs!$C$17="aerial",((0.025*0.112*inputs!$C$18/3.3)*(3*60*284*((F124/1000)^0.77))*MAX(inputs!$I$14:$I$16))/F124,((0.0083*0.112*inputs!$C$18/1)*(3*60*284*((F124/1000)^0.77))*MAX(inputs!$I$14:$I$16))/F124))*(inputs!E$75*3.4/inputs!$E$73)</f>
        <v>0.30823368138825363</v>
      </c>
      <c r="T124" s="63">
        <f>IF((((inputs!$P$13/(V124/MAX(K124:S124)))^(1/inputs!$O$13))-1)/inputs!$N$13&lt;0, 0, IF((((inputs!$P$13/(V124/MAX(K124:S124)))^(1/inputs!$O$13))-1)/inputs!$N$13&lt;inputs!$I$17, (((inputs!$P$13/(V124/MAX(K124:S124)))^(1/inputs!$O$13))-1)/inputs!$N$13, inputs!$I$17))</f>
        <v>1000</v>
      </c>
      <c r="U124" s="63">
        <f>IF((((inputs!$P$13/(X124/MAX(K124:S124)))^(1/inputs!$O$13))-1)/inputs!$N$13&lt;0, 0, IF((((inputs!$P$13/(X124/MAX(K124:S124)))^(1/inputs!$O$13))-1)/inputs!$N$13&lt;inputs!$I$17, (((inputs!$P$13/(X124/MAX(K124:S124)))^(1/inputs!$O$13))-1)/inputs!$N$13, inputs!$I$17))</f>
        <v>28.277955904115018</v>
      </c>
      <c r="V124" s="21">
        <f>inputs!$E$78*(F124/inputs!$F$78)^(inputs!$E$84-1)</f>
        <v>2.4464468841670566E-2</v>
      </c>
      <c r="W124" s="21">
        <f>inputs!$E$85*(F124/inputs!$F$85)^(inputs!$E$84-1)</f>
        <v>1.1297241036015404</v>
      </c>
      <c r="X124" s="21">
        <f>inputs!$E$80*(F124/inputs!$F$80)^(inputs!$E$84-1)</f>
        <v>4.2185900071196754</v>
      </c>
      <c r="Y124" s="21">
        <f>inputs!$E$82*(F124/inputs!$F$82)^(inputs!$E$84-1)</f>
        <v>1.9442814711011871</v>
      </c>
      <c r="Z124" s="63">
        <f t="shared" si="9"/>
        <v>1625.6296275455829</v>
      </c>
      <c r="AA124" s="63">
        <f t="shared" si="10"/>
        <v>35.203431744439953</v>
      </c>
    </row>
    <row r="125" spans="1:476" x14ac:dyDescent="0.25">
      <c r="A125" s="103" t="s">
        <v>258</v>
      </c>
      <c r="B125" s="20" t="s">
        <v>259</v>
      </c>
      <c r="C125" s="20" t="s">
        <v>73</v>
      </c>
      <c r="D125" s="104" t="s">
        <v>260</v>
      </c>
      <c r="E125" s="15">
        <v>119</v>
      </c>
      <c r="F125" s="15">
        <v>50.5</v>
      </c>
      <c r="G125" s="21" t="s">
        <v>456</v>
      </c>
      <c r="H125" s="20">
        <v>0.68</v>
      </c>
      <c r="I125" s="68">
        <f>MAX('Max rate concentrations'!$J$3:$J$368)</f>
        <v>686.46486205830786</v>
      </c>
      <c r="J125" s="68">
        <f>MAX('Max rate concentrations'!AB:AB)</f>
        <v>243.122971978984</v>
      </c>
      <c r="K125" s="69">
        <f t="shared" si="12"/>
        <v>243.17295713930673</v>
      </c>
      <c r="L125" s="69">
        <f t="shared" si="13"/>
        <v>86.123755653504446</v>
      </c>
      <c r="M125" s="69">
        <f>IF((((1.18*F125^0.874)/3.7-(0.301*F125^0.751)/(1-H125)*H125)*(MAX('Max rate concentrations'!$P$3:$P$368)))/F125&gt;0, (((1.18*F125^0.874)/3.7-(0.301*F125^0.751)/(1-H125)*H125)*(MAX('Max rate concentrations'!$P$3:$P$368)))/F125, 0)</f>
        <v>0</v>
      </c>
      <c r="N125" s="69">
        <f>IF((((1.18*F125^0.874)/3.7-(0.301*F125^0.751)/(1-H125)*H125)*(MAX('Max rate concentrations'!$Q$3:$Q$368)))/F125&gt;0, (((1.18*F125^0.874)/3.7-(0.301*F125^0.751)/(1-H125)*H125)*(MAX('Max rate concentrations'!$Q$3:$Q$368)))/F125, 0)</f>
        <v>0</v>
      </c>
      <c r="O125" s="69">
        <f>((MAX('Max rate concentrations'!$F$3:$F$368))*0.62*6.01*8*(10*F125^0.667)*0.079*0.1/F125)*inputs!$E$80/(10^(0.84+0.62*LOG10(inputs!$E$80)))</f>
        <v>39.770165371185442</v>
      </c>
      <c r="P125" s="69">
        <f>((MAX('Max rate concentrations'!Y:Y))*0.62*6.01*8*(10*F125^0.667)*0.079*0.1/F125)*inputs!$E$80/(10^(0.84+0.62*LOG10(inputs!$E$80)))</f>
        <v>13.256721790395146</v>
      </c>
      <c r="Q125" s="69">
        <f>(inputs!$C$18*11.2*(10*F125^0.667)*0.5/F125)*inputs!$E$80/(10^(0.84+0.62*LOG10(inputs!$E$80)))</f>
        <v>7.0053270510438077</v>
      </c>
      <c r="R125" s="59">
        <f>(60*284*((F125/1000)^0.77)*3*24*(MAX('Max rate concentrations'!$R$3:$R$368))/F125)*(inputs!$E$73*3.4/inputs!$E$75)</f>
        <v>5.5889437467944204E-2</v>
      </c>
      <c r="S125" s="59">
        <f>(IF(inputs!$C$17="aerial",((0.025*0.112*inputs!$C$18/3.3)*(3*60*284*((F125/1000)^0.77))*MAX(inputs!$I$14:$I$16))/F125,((0.0083*0.112*inputs!$C$18/1)*(3*60*284*((F125/1000)^0.77))*MAX(inputs!$I$14:$I$16))/F125))*(inputs!E$75*3.4/inputs!$E$73)</f>
        <v>0.30823368138825363</v>
      </c>
      <c r="T125" s="63">
        <f>IF((((inputs!$P$13/(V125/MAX(K125:S125)))^(1/inputs!$O$13))-1)/inputs!$N$13&lt;0, 0, IF((((inputs!$P$13/(V125/MAX(K125:S125)))^(1/inputs!$O$13))-1)/inputs!$N$13&lt;inputs!$I$17, (((inputs!$P$13/(V125/MAX(K125:S125)))^(1/inputs!$O$13))-1)/inputs!$N$13, inputs!$I$17))</f>
        <v>1000</v>
      </c>
      <c r="U125" s="63">
        <f>IF((((inputs!$P$13/(X125/MAX(K125:S125)))^(1/inputs!$O$13))-1)/inputs!$N$13&lt;0, 0, IF((((inputs!$P$13/(X125/MAX(K125:S125)))^(1/inputs!$O$13))-1)/inputs!$N$13&lt;inputs!$I$17, (((inputs!$P$13/(X125/MAX(K125:S125)))^(1/inputs!$O$13))-1)/inputs!$N$13, inputs!$I$17))</f>
        <v>139.65556884769043</v>
      </c>
      <c r="V125" s="21">
        <f>inputs!$E$78*(F125/inputs!$F$78)^(inputs!$E$84-1)</f>
        <v>2.4464468841670566E-2</v>
      </c>
      <c r="W125" s="21">
        <f>inputs!$E$85*(F125/inputs!$F$85)^(inputs!$E$84-1)</f>
        <v>1.1297241036015404</v>
      </c>
      <c r="X125" s="21">
        <f>inputs!$E$80*(F125/inputs!$F$80)^(inputs!$E$84-1)</f>
        <v>4.2185900071196754</v>
      </c>
      <c r="Y125" s="21">
        <f>inputs!$E$82*(F125/inputs!$F$82)^(inputs!$E$84-1)</f>
        <v>1.9442814711011871</v>
      </c>
      <c r="Z125" s="63">
        <f t="shared" si="9"/>
        <v>9939.8420915277711</v>
      </c>
      <c r="AA125" s="63">
        <f t="shared" si="10"/>
        <v>215.24986177074177</v>
      </c>
    </row>
    <row r="126" spans="1:476" x14ac:dyDescent="0.25">
      <c r="A126" s="103" t="s">
        <v>258</v>
      </c>
      <c r="B126" s="20" t="s">
        <v>259</v>
      </c>
      <c r="C126" s="20" t="s">
        <v>73</v>
      </c>
      <c r="D126" s="104" t="s">
        <v>260</v>
      </c>
      <c r="E126" s="15">
        <v>119</v>
      </c>
      <c r="F126" s="15">
        <v>50.5</v>
      </c>
      <c r="G126" s="20" t="s">
        <v>145</v>
      </c>
      <c r="H126" s="20">
        <v>0.66</v>
      </c>
      <c r="I126" s="68">
        <f>MAX('Max rate concentrations'!$M$3:$M$368)</f>
        <v>17.092910873809167</v>
      </c>
      <c r="J126" s="68">
        <f>MAX('Max rate concentrations'!AE:AE)</f>
        <v>11.81956602976166</v>
      </c>
      <c r="K126" s="69">
        <f t="shared" ref="K126:K157" si="14">((0.301*F126^0.751)/(1-H126))*I126/F126</f>
        <v>5.6988083704708954</v>
      </c>
      <c r="L126" s="69">
        <f t="shared" si="13"/>
        <v>3.9406653625596619</v>
      </c>
      <c r="M126" s="69">
        <f>IF((((1.18*F126^0.874)/3.7-(0.301*F126^0.751)/(1-H126)*H126)*(MAX('Max rate concentrations'!$P$3:$P$368)))/F126&gt;0, (((1.18*F126^0.874)/3.7-(0.301*F126^0.751)/(1-H126)*H126)*(MAX('Max rate concentrations'!$P$3:$P$368)))/F126, 0)</f>
        <v>0</v>
      </c>
      <c r="N126" s="69">
        <f>IF((((1.18*F126^0.874)/3.7-(0.301*F126^0.751)/(1-H126)*H126)*(MAX('Max rate concentrations'!$Q$3:$Q$368)))/F126&gt;0, (((1.18*F126^0.874)/3.7-(0.301*F126^0.751)/(1-H126)*H126)*(MAX('Max rate concentrations'!$Q$3:$Q$368)))/F126, 0)</f>
        <v>0</v>
      </c>
      <c r="O126" s="69">
        <f>((MAX('Max rate concentrations'!$F$3:$F$368))*0.62*6.01*8*(10*F126^0.667)*0.079*0.1/F126)*inputs!$E$80/(10^(0.84+0.62*LOG10(inputs!$E$80)))</f>
        <v>39.770165371185442</v>
      </c>
      <c r="P126" s="69">
        <f>((MAX('Max rate concentrations'!Y:Y))*0.62*6.01*8*(10*F126^0.667)*0.079*0.1/F126)*inputs!$E$80/(10^(0.84+0.62*LOG10(inputs!$E$80)))</f>
        <v>13.256721790395146</v>
      </c>
      <c r="Q126" s="69">
        <f>(inputs!$C$18*11.2*(10*F126^0.667)*0.5/F126)*inputs!$E$80/(10^(0.84+0.62*LOG10(inputs!$E$80)))</f>
        <v>7.0053270510438077</v>
      </c>
      <c r="R126" s="59">
        <f>(60*284*((F126/1000)^0.77)*3*24*(MAX('Max rate concentrations'!$R$3:$R$368))/F126)*(inputs!$E$73*3.4/inputs!$E$75)</f>
        <v>5.5889437467944204E-2</v>
      </c>
      <c r="S126" s="59">
        <f>(IF(inputs!$C$17="aerial",((0.025*0.112*inputs!$C$18/3.3)*(3*60*284*((F126/1000)^0.77))*MAX(inputs!$I$14:$I$16))/F126,((0.0083*0.112*inputs!$C$18/1)*(3*60*284*((F126/1000)^0.77))*MAX(inputs!$I$14:$I$16))/F126))*(inputs!E$75*3.4/inputs!$E$73)</f>
        <v>0.30823368138825363</v>
      </c>
      <c r="T126" s="63">
        <f>IF((((inputs!$P$13/(V126/MAX(K126:S126)))^(1/inputs!$O$13))-1)/inputs!$N$13&lt;0, 0, IF((((inputs!$P$13/(V126/MAX(K126:S126)))^(1/inputs!$O$13))-1)/inputs!$N$13&lt;inputs!$I$17, (((inputs!$P$13/(V126/MAX(K126:S126)))^(1/inputs!$O$13))-1)/inputs!$N$13, inputs!$I$17))</f>
        <v>1000</v>
      </c>
      <c r="U126" s="63">
        <f>IF((((inputs!$P$13/(X126/MAX(K126:S126)))^(1/inputs!$O$13))-1)/inputs!$N$13&lt;0, 0, IF((((inputs!$P$13/(X126/MAX(K126:S126)))^(1/inputs!$O$13))-1)/inputs!$N$13&lt;inputs!$I$17, (((inputs!$P$13/(X126/MAX(K126:S126)))^(1/inputs!$O$13))-1)/inputs!$N$13, inputs!$I$17))</f>
        <v>28.277955904115018</v>
      </c>
      <c r="V126" s="21">
        <f>inputs!$E$78*(F126/inputs!$F$78)^(inputs!$E$84-1)</f>
        <v>2.4464468841670566E-2</v>
      </c>
      <c r="W126" s="21">
        <f>inputs!$E$85*(F126/inputs!$F$85)^(inputs!$E$84-1)</f>
        <v>1.1297241036015404</v>
      </c>
      <c r="X126" s="21">
        <f>inputs!$E$80*(F126/inputs!$F$80)^(inputs!$E$84-1)</f>
        <v>4.2185900071196754</v>
      </c>
      <c r="Y126" s="21">
        <f>inputs!$E$82*(F126/inputs!$F$82)^(inputs!$E$84-1)</f>
        <v>1.9442814711011871</v>
      </c>
      <c r="Z126" s="63">
        <f t="shared" si="9"/>
        <v>1625.6296275455829</v>
      </c>
      <c r="AA126" s="63">
        <f t="shared" si="10"/>
        <v>35.203431744439953</v>
      </c>
    </row>
    <row r="127" spans="1:476" x14ac:dyDescent="0.25">
      <c r="A127" s="103" t="s">
        <v>258</v>
      </c>
      <c r="B127" s="20" t="s">
        <v>259</v>
      </c>
      <c r="C127" s="20" t="s">
        <v>73</v>
      </c>
      <c r="D127" s="104" t="s">
        <v>260</v>
      </c>
      <c r="E127" s="15">
        <v>119</v>
      </c>
      <c r="F127" s="15">
        <v>50.5</v>
      </c>
      <c r="G127" s="20" t="s">
        <v>146</v>
      </c>
      <c r="H127" s="20">
        <v>0.84</v>
      </c>
      <c r="I127" s="68">
        <f>MAX('Max rate concentrations'!$I$3:$I$368)</f>
        <v>56.865414300472793</v>
      </c>
      <c r="J127" s="68" t="s">
        <v>13</v>
      </c>
      <c r="K127" s="69">
        <f t="shared" si="14"/>
        <v>40.287949809798803</v>
      </c>
      <c r="L127" s="69" t="s">
        <v>13</v>
      </c>
      <c r="M127" s="69">
        <f>IF((((1.18*F127^0.874)/3.7-(0.301*F127^0.751)/(1-H127)*H127)*(MAX('Max rate concentrations'!$P$3:$P$368)))/F127&gt;0, (((1.18*F127^0.874)/3.7-(0.301*F127^0.751)/(1-H127)*H127)*(MAX('Max rate concentrations'!$P$3:$P$368)))/F127, 0)</f>
        <v>0</v>
      </c>
      <c r="N127" s="69">
        <f>IF((((1.18*F127^0.874)/3.7-(0.301*F127^0.751)/(1-H127)*H127)*(MAX('Max rate concentrations'!$Q$3:$Q$368)))/F127&gt;0, (((1.18*F127^0.874)/3.7-(0.301*F127^0.751)/(1-H127)*H127)*(MAX('Max rate concentrations'!$Q$3:$Q$368)))/F127, 0)</f>
        <v>0</v>
      </c>
      <c r="O127" s="69">
        <f>((MAX('Max rate concentrations'!$F$3:$F$368))*0.62*6.01*8*(10*F127^0.667)*0.079*0.1/F127)*inputs!$E$80/(10^(0.84+0.62*LOG10(inputs!$E$80)))</f>
        <v>39.770165371185442</v>
      </c>
      <c r="P127" s="69">
        <f>((MAX('Max rate concentrations'!Y:Y))*0.62*6.01*8*(10*F127^0.667)*0.079*0.1/F127)*inputs!$E$80/(10^(0.84+0.62*LOG10(inputs!$E$80)))</f>
        <v>13.256721790395146</v>
      </c>
      <c r="Q127" s="69">
        <f>(inputs!$C$18*11.2*(10*F127^0.667)*0.5/F127)*inputs!$E$80/(10^(0.84+0.62*LOG10(inputs!$E$80)))</f>
        <v>7.0053270510438077</v>
      </c>
      <c r="R127" s="59">
        <f>(60*284*((F127/1000)^0.77)*3*24*(MAX('Max rate concentrations'!$R$3:$R$368))/F127)*(inputs!$E$73*3.4/inputs!$E$75)</f>
        <v>5.5889437467944204E-2</v>
      </c>
      <c r="S127" s="59">
        <f>(IF(inputs!$C$17="aerial",((0.025*0.112*inputs!$C$18/3.3)*(3*60*284*((F127/1000)^0.77))*MAX(inputs!$I$14:$I$16))/F127,((0.0083*0.112*inputs!$C$18/1)*(3*60*284*((F127/1000)^0.77))*MAX(inputs!$I$14:$I$16))/F127))*(inputs!E$75*3.4/inputs!$E$73)</f>
        <v>0.30823368138825363</v>
      </c>
      <c r="T127" s="63">
        <f>IF((((inputs!$P$13/(V127/MAX(K127:S127)))^(1/inputs!$O$13))-1)/inputs!$N$13&lt;0, 0, IF((((inputs!$P$13/(V127/MAX(K127:S127)))^(1/inputs!$O$13))-1)/inputs!$N$13&lt;inputs!$I$17, (((inputs!$P$13/(V127/MAX(K127:S127)))^(1/inputs!$O$13))-1)/inputs!$N$13, inputs!$I$17))</f>
        <v>1000</v>
      </c>
      <c r="U127" s="63">
        <f>IF((((inputs!$P$13/(X127/MAX(K127:S127)))^(1/inputs!$O$13))-1)/inputs!$N$13&lt;0, 0, IF((((inputs!$P$13/(X127/MAX(K127:S127)))^(1/inputs!$O$13))-1)/inputs!$N$13&lt;inputs!$I$17, (((inputs!$P$13/(X127/MAX(K127:S127)))^(1/inputs!$O$13))-1)/inputs!$N$13, inputs!$I$17))</f>
        <v>28.630276479051346</v>
      </c>
      <c r="V127" s="21">
        <f>inputs!$E$78*(F127/inputs!$F$78)^(inputs!$E$84-1)</f>
        <v>2.4464468841670566E-2</v>
      </c>
      <c r="W127" s="21">
        <f>inputs!$E$85*(F127/inputs!$F$85)^(inputs!$E$84-1)</f>
        <v>1.1297241036015404</v>
      </c>
      <c r="X127" s="21">
        <f>inputs!$E$80*(F127/inputs!$F$80)^(inputs!$E$84-1)</f>
        <v>4.2185900071196754</v>
      </c>
      <c r="Y127" s="21">
        <f>inputs!$E$82*(F127/inputs!$F$82)^(inputs!$E$84-1)</f>
        <v>1.9442814711011871</v>
      </c>
      <c r="Z127" s="63">
        <f t="shared" si="9"/>
        <v>1646.7943804762256</v>
      </c>
      <c r="AA127" s="63">
        <f t="shared" si="10"/>
        <v>35.661759965430086</v>
      </c>
    </row>
    <row r="128" spans="1:476" x14ac:dyDescent="0.25">
      <c r="A128" s="103" t="s">
        <v>215</v>
      </c>
      <c r="B128" s="20" t="s">
        <v>216</v>
      </c>
      <c r="C128" s="20" t="s">
        <v>73</v>
      </c>
      <c r="D128" s="104" t="s">
        <v>217</v>
      </c>
      <c r="E128" s="15">
        <v>6901</v>
      </c>
      <c r="F128" s="15">
        <v>52.3</v>
      </c>
      <c r="G128" s="20" t="s">
        <v>182</v>
      </c>
      <c r="H128" s="20">
        <v>0.85</v>
      </c>
      <c r="I128" s="68">
        <f>MAX('Max rate concentrations'!$M$3:$M$368)</f>
        <v>17.092910873809167</v>
      </c>
      <c r="J128" s="68">
        <f>MAX('Max rate concentrations'!AE:AE)</f>
        <v>11.81956602976166</v>
      </c>
      <c r="K128" s="69">
        <f t="shared" si="14"/>
        <v>12.805140386755852</v>
      </c>
      <c r="L128" s="69">
        <f t="shared" ref="L128:L142" si="15">((0.301*F128^0.751)/(1-H128))*J128/F128</f>
        <v>8.854618352543941</v>
      </c>
      <c r="M128" s="69">
        <f>IF((((1.18*F128^0.874)/3.7-(0.301*F128^0.751)/(1-H128)*H128)*(MAX('Max rate concentrations'!$P$3:$P$368)))/F128&gt;0, (((1.18*F128^0.874)/3.7-(0.301*F128^0.751)/(1-H128)*H128)*(MAX('Max rate concentrations'!$P$3:$P$368)))/F128, 0)</f>
        <v>0</v>
      </c>
      <c r="N128" s="69">
        <f>IF((((1.18*F128^0.874)/3.7-(0.301*F128^0.751)/(1-H128)*H128)*(MAX('Max rate concentrations'!$Q$3:$Q$368)))/F128&gt;0, (((1.18*F128^0.874)/3.7-(0.301*F128^0.751)/(1-H128)*H128)*(MAX('Max rate concentrations'!$Q$3:$Q$368)))/F128, 0)</f>
        <v>0</v>
      </c>
      <c r="O128" s="69">
        <f>((MAX('Max rate concentrations'!$F$3:$F$368))*0.62*6.01*8*(10*F128^0.667)*0.079*0.1/F128)*inputs!$E$80/(10^(0.84+0.62*LOG10(inputs!$E$80)))</f>
        <v>39.309033276053327</v>
      </c>
      <c r="P128" s="69">
        <f>((MAX('Max rate concentrations'!Y:Y))*0.62*6.01*8*(10*F128^0.667)*0.079*0.1/F128)*inputs!$E$80/(10^(0.84+0.62*LOG10(inputs!$E$80)))</f>
        <v>13.103011092017779</v>
      </c>
      <c r="Q128" s="69">
        <f>(inputs!$C$18*11.2*(10*F128^0.667)*0.5/F128)*inputs!$E$80/(10^(0.84+0.62*LOG10(inputs!$E$80)))</f>
        <v>6.9241008074518229</v>
      </c>
      <c r="R128" s="59">
        <f>(60*284*((F128/1000)^0.77)*3*24*(MAX('Max rate concentrations'!$R$3:$R$368))/F128)*(inputs!$E$73*3.4/inputs!$E$75)</f>
        <v>5.5441039807015646E-2</v>
      </c>
      <c r="S128" s="59">
        <f>(IF(inputs!$C$17="aerial",((0.025*0.112*inputs!$C$18/3.3)*(3*60*284*((F128/1000)^0.77))*MAX(inputs!$I$14:$I$16))/F128,((0.0083*0.112*inputs!$C$18/1)*(3*60*284*((F128/1000)^0.77))*MAX(inputs!$I$14:$I$16))/F128))*(inputs!E$75*3.4/inputs!$E$73)</f>
        <v>0.30576074073943849</v>
      </c>
      <c r="T128" s="63">
        <f>IF((((inputs!$P$13/(V128/MAX(K128:S128)))^(1/inputs!$O$13))-1)/inputs!$N$13&lt;0, 0, IF((((inputs!$P$13/(V128/MAX(K128:S128)))^(1/inputs!$O$13))-1)/inputs!$N$13&lt;inputs!$I$17, (((inputs!$P$13/(V128/MAX(K128:S128)))^(1/inputs!$O$13))-1)/inputs!$N$13, inputs!$I$17))</f>
        <v>1000</v>
      </c>
      <c r="U128" s="63">
        <f>IF((((inputs!$P$13/(X128/MAX(K128:S128)))^(1/inputs!$O$13))-1)/inputs!$N$13&lt;0, 0, IF((((inputs!$P$13/(X128/MAX(K128:S128)))^(1/inputs!$O$13))-1)/inputs!$N$13&lt;inputs!$I$17, (((inputs!$P$13/(X128/MAX(K128:S128)))^(1/inputs!$O$13))-1)/inputs!$N$13, inputs!$I$17))</f>
        <v>28.313085079470266</v>
      </c>
      <c r="V128" s="21">
        <f>inputs!$E$78*(F128/inputs!$F$78)^(inputs!$E$84-1)</f>
        <v>2.4149490696052035E-2</v>
      </c>
      <c r="W128" s="21">
        <f>inputs!$E$85*(F128/inputs!$F$85)^(inputs!$E$84-1)</f>
        <v>1.115178993077544</v>
      </c>
      <c r="X128" s="21">
        <f>inputs!$E$80*(F128/inputs!$F$80)^(inputs!$E$84-1)</f>
        <v>4.1642759868085495</v>
      </c>
      <c r="Y128" s="21">
        <f>inputs!$E$82*(F128/inputs!$F$82)^(inputs!$E$84-1)</f>
        <v>1.9192489974230829</v>
      </c>
      <c r="Z128" s="63">
        <f t="shared" si="9"/>
        <v>1627.7375689119431</v>
      </c>
      <c r="AA128" s="63">
        <f t="shared" si="10"/>
        <v>35.249079762140006</v>
      </c>
    </row>
    <row r="129" spans="1:27" x14ac:dyDescent="0.25">
      <c r="A129" s="103" t="s">
        <v>215</v>
      </c>
      <c r="B129" s="20" t="s">
        <v>216</v>
      </c>
      <c r="C129" s="20" t="s">
        <v>73</v>
      </c>
      <c r="D129" s="104" t="s">
        <v>217</v>
      </c>
      <c r="E129" s="15">
        <v>6901</v>
      </c>
      <c r="F129" s="15">
        <v>52.3</v>
      </c>
      <c r="G129" s="20" t="s">
        <v>142</v>
      </c>
      <c r="H129" s="20">
        <v>0.69</v>
      </c>
      <c r="I129" s="68">
        <f>MAX('Max rate concentrations'!$H$3:$H$368)</f>
        <v>282</v>
      </c>
      <c r="J129" s="68">
        <f>MAX('Max rate concentrations'!AA:AA)</f>
        <v>195</v>
      </c>
      <c r="K129" s="69">
        <f t="shared" si="14"/>
        <v>102.22261568697277</v>
      </c>
      <c r="L129" s="69">
        <f t="shared" si="15"/>
        <v>70.685851272906703</v>
      </c>
      <c r="M129" s="69">
        <f>IF((((1.18*F129^0.874)/3.7-(0.301*F129^0.751)/(1-H129)*H129)*(MAX('Max rate concentrations'!$P$3:$P$368)))/F129&gt;0, (((1.18*F129^0.874)/3.7-(0.301*F129^0.751)/(1-H129)*H129)*(MAX('Max rate concentrations'!$P$3:$P$368)))/F129, 0)</f>
        <v>0</v>
      </c>
      <c r="N129" s="69">
        <f>IF((((1.18*F129^0.874)/3.7-(0.301*F129^0.751)/(1-H129)*H129)*(MAX('Max rate concentrations'!$Q$3:$Q$368)))/F129&gt;0, (((1.18*F129^0.874)/3.7-(0.301*F129^0.751)/(1-H129)*H129)*(MAX('Max rate concentrations'!$Q$3:$Q$368)))/F129, 0)</f>
        <v>0</v>
      </c>
      <c r="O129" s="69">
        <f>((MAX('Max rate concentrations'!$F$3:$F$368))*0.62*6.01*8*(10*F129^0.667)*0.079*0.1/F129)*inputs!$E$80/(10^(0.84+0.62*LOG10(inputs!$E$80)))</f>
        <v>39.309033276053327</v>
      </c>
      <c r="P129" s="69">
        <f>((MAX('Max rate concentrations'!Y:Y))*0.62*6.01*8*(10*F129^0.667)*0.079*0.1/F129)*inputs!$E$80/(10^(0.84+0.62*LOG10(inputs!$E$80)))</f>
        <v>13.103011092017779</v>
      </c>
      <c r="Q129" s="69">
        <f>(inputs!$C$18*11.2*(10*F129^0.667)*0.5/F129)*inputs!$E$80/(10^(0.84+0.62*LOG10(inputs!$E$80)))</f>
        <v>6.9241008074518229</v>
      </c>
      <c r="R129" s="59">
        <f>(60*284*((F129/1000)^0.77)*3*24*(MAX('Max rate concentrations'!$R$3:$R$368))/F129)*(inputs!$E$73*3.4/inputs!$E$75)</f>
        <v>5.5441039807015646E-2</v>
      </c>
      <c r="S129" s="59">
        <f>(IF(inputs!$C$17="aerial",((0.025*0.112*inputs!$C$18/3.3)*(3*60*284*((F129/1000)^0.77))*MAX(inputs!$I$14:$I$16))/F129,((0.0083*0.112*inputs!$C$18/1)*(3*60*284*((F129/1000)^0.77))*MAX(inputs!$I$14:$I$16))/F129))*(inputs!E$75*3.4/inputs!$E$73)</f>
        <v>0.30576074073943849</v>
      </c>
      <c r="T129" s="63">
        <f>IF((((inputs!$P$13/(V129/MAX(K129:S129)))^(1/inputs!$O$13))-1)/inputs!$N$13&lt;0, 0, IF((((inputs!$P$13/(V129/MAX(K129:S129)))^(1/inputs!$O$13))-1)/inputs!$N$13&lt;inputs!$I$17, (((inputs!$P$13/(V129/MAX(K129:S129)))^(1/inputs!$O$13))-1)/inputs!$N$13, inputs!$I$17))</f>
        <v>1000</v>
      </c>
      <c r="U129" s="63">
        <f>IF((((inputs!$P$13/(X129/MAX(K129:S129)))^(1/inputs!$O$13))-1)/inputs!$N$13&lt;0, 0, IF((((inputs!$P$13/(X129/MAX(K129:S129)))^(1/inputs!$O$13))-1)/inputs!$N$13&lt;inputs!$I$17, (((inputs!$P$13/(X129/MAX(K129:S129)))^(1/inputs!$O$13))-1)/inputs!$N$13, inputs!$I$17))</f>
        <v>67.41849206331932</v>
      </c>
      <c r="V129" s="21">
        <f>inputs!$E$78*(F129/inputs!$F$78)^(inputs!$E$84-1)</f>
        <v>2.4149490696052035E-2</v>
      </c>
      <c r="W129" s="21">
        <f>inputs!$E$85*(F129/inputs!$F$85)^(inputs!$E$84-1)</f>
        <v>1.115178993077544</v>
      </c>
      <c r="X129" s="21">
        <f>inputs!$E$80*(F129/inputs!$F$80)^(inputs!$E$84-1)</f>
        <v>4.1642759868085495</v>
      </c>
      <c r="Y129" s="21">
        <f>inputs!$E$82*(F129/inputs!$F$82)^(inputs!$E$84-1)</f>
        <v>1.9192489974230829</v>
      </c>
      <c r="Z129" s="63">
        <f t="shared" si="9"/>
        <v>4232.9097939810445</v>
      </c>
      <c r="AA129" s="63">
        <f t="shared" si="10"/>
        <v>91.664760833478795</v>
      </c>
    </row>
    <row r="130" spans="1:27" x14ac:dyDescent="0.25">
      <c r="A130" s="103" t="s">
        <v>215</v>
      </c>
      <c r="B130" s="20" t="s">
        <v>216</v>
      </c>
      <c r="C130" s="20" t="s">
        <v>73</v>
      </c>
      <c r="D130" s="104" t="s">
        <v>217</v>
      </c>
      <c r="E130" s="15">
        <v>6901</v>
      </c>
      <c r="F130" s="15">
        <v>52.3</v>
      </c>
      <c r="G130" s="20" t="s">
        <v>138</v>
      </c>
      <c r="H130" s="20">
        <v>0.68</v>
      </c>
      <c r="I130" s="68">
        <f>MAX('Max rate concentrations'!$L$3:$L$368)</f>
        <v>350.52744091332482</v>
      </c>
      <c r="J130" s="68">
        <f>MAX('Max rate concentrations'!AD:AD)</f>
        <v>242.38599637623525</v>
      </c>
      <c r="K130" s="69">
        <f t="shared" si="14"/>
        <v>123.09250756724813</v>
      </c>
      <c r="L130" s="69">
        <f t="shared" si="15"/>
        <v>85.117159487990733</v>
      </c>
      <c r="M130" s="69">
        <f>IF((((1.18*F130^0.874)/3.7-(0.301*F130^0.751)/(1-H130)*H130)*(MAX('Max rate concentrations'!$P$3:$P$368)))/F130&gt;0, (((1.18*F130^0.874)/3.7-(0.301*F130^0.751)/(1-H130)*H130)*(MAX('Max rate concentrations'!$P$3:$P$368)))/F130, 0)</f>
        <v>0</v>
      </c>
      <c r="N130" s="69">
        <f>IF((((1.18*F130^0.874)/3.7-(0.301*F130^0.751)/(1-H130)*H130)*(MAX('Max rate concentrations'!$Q$3:$Q$368)))/F130&gt;0, (((1.18*F130^0.874)/3.7-(0.301*F130^0.751)/(1-H130)*H130)*(MAX('Max rate concentrations'!$Q$3:$Q$368)))/F130, 0)</f>
        <v>0</v>
      </c>
      <c r="O130" s="69">
        <f>((MAX('Max rate concentrations'!$F$3:$F$368))*0.62*6.01*8*(10*F130^0.667)*0.079*0.1/F130)*inputs!$E$80/(10^(0.84+0.62*LOG10(inputs!$E$80)))</f>
        <v>39.309033276053327</v>
      </c>
      <c r="P130" s="69">
        <f>((MAX('Max rate concentrations'!Y:Y))*0.62*6.01*8*(10*F130^0.667)*0.079*0.1/F130)*inputs!$E$80/(10^(0.84+0.62*LOG10(inputs!$E$80)))</f>
        <v>13.103011092017779</v>
      </c>
      <c r="Q130" s="69">
        <f>(inputs!$C$18*11.2*(10*F130^0.667)*0.5/F130)*inputs!$E$80/(10^(0.84+0.62*LOG10(inputs!$E$80)))</f>
        <v>6.9241008074518229</v>
      </c>
      <c r="R130" s="59">
        <f>(60*284*((F130/1000)^0.77)*3*24*(MAX('Max rate concentrations'!$R$3:$R$368))/F130)*(inputs!$E$73*3.4/inputs!$E$75)</f>
        <v>5.5441039807015646E-2</v>
      </c>
      <c r="S130" s="59">
        <f>(IF(inputs!$C$17="aerial",((0.025*0.112*inputs!$C$18/3.3)*(3*60*284*((F130/1000)^0.77))*MAX(inputs!$I$14:$I$16))/F130,((0.0083*0.112*inputs!$C$18/1)*(3*60*284*((F130/1000)^0.77))*MAX(inputs!$I$14:$I$16))/F130))*(inputs!E$75*3.4/inputs!$E$73)</f>
        <v>0.30576074073943849</v>
      </c>
      <c r="T130" s="63">
        <f>IF((((inputs!$P$13/(V130/MAX(K130:S130)))^(1/inputs!$O$13))-1)/inputs!$N$13&lt;0, 0, IF((((inputs!$P$13/(V130/MAX(K130:S130)))^(1/inputs!$O$13))-1)/inputs!$N$13&lt;inputs!$I$17, (((inputs!$P$13/(V130/MAX(K130:S130)))^(1/inputs!$O$13))-1)/inputs!$N$13, inputs!$I$17))</f>
        <v>1000</v>
      </c>
      <c r="U130" s="63">
        <f>IF((((inputs!$P$13/(X130/MAX(K130:S130)))^(1/inputs!$O$13))-1)/inputs!$N$13&lt;0, 0, IF((((inputs!$P$13/(X130/MAX(K130:S130)))^(1/inputs!$O$13))-1)/inputs!$N$13&lt;inputs!$I$17, (((inputs!$P$13/(X130/MAX(K130:S130)))^(1/inputs!$O$13))-1)/inputs!$N$13, inputs!$I$17))</f>
        <v>79.195099669265431</v>
      </c>
      <c r="V130" s="21">
        <f>inputs!$E$78*(F130/inputs!$F$78)^(inputs!$E$84-1)</f>
        <v>2.4149490696052035E-2</v>
      </c>
      <c r="W130" s="21">
        <f>inputs!$E$85*(F130/inputs!$F$85)^(inputs!$E$84-1)</f>
        <v>1.115178993077544</v>
      </c>
      <c r="X130" s="21">
        <f>inputs!$E$80*(F130/inputs!$F$80)^(inputs!$E$84-1)</f>
        <v>4.1642759868085495</v>
      </c>
      <c r="Y130" s="21">
        <f>inputs!$E$82*(F130/inputs!$F$82)^(inputs!$E$84-1)</f>
        <v>1.9192489974230829</v>
      </c>
      <c r="Z130" s="63">
        <f t="shared" ref="Z130:Z193" si="16">MAX(K130:S130)/V130</f>
        <v>5097.1057367835638</v>
      </c>
      <c r="AA130" s="63">
        <f t="shared" ref="AA130:AA193" si="17">MAX(K130:S130)/W130</f>
        <v>110.3791483980087</v>
      </c>
    </row>
    <row r="131" spans="1:27" x14ac:dyDescent="0.25">
      <c r="A131" s="103" t="s">
        <v>215</v>
      </c>
      <c r="B131" s="20" t="s">
        <v>216</v>
      </c>
      <c r="C131" s="20" t="s">
        <v>73</v>
      </c>
      <c r="D131" s="104" t="s">
        <v>217</v>
      </c>
      <c r="E131" s="15">
        <v>6901</v>
      </c>
      <c r="F131" s="15">
        <v>52.3</v>
      </c>
      <c r="G131" s="20" t="s">
        <v>218</v>
      </c>
      <c r="H131" s="20">
        <v>0.68</v>
      </c>
      <c r="I131" s="68">
        <f>MAX('Max rate concentrations'!$K$3:$K$368)</f>
        <v>110.00035859694511</v>
      </c>
      <c r="J131" s="68">
        <f>MAX('Max rate concentrations'!AC:AC)</f>
        <v>38.958460336418057</v>
      </c>
      <c r="K131" s="69">
        <f t="shared" si="14"/>
        <v>38.628131189142977</v>
      </c>
      <c r="L131" s="69">
        <f t="shared" si="15"/>
        <v>13.680796462821471</v>
      </c>
      <c r="M131" s="69">
        <f>IF((((1.18*F131^0.874)/3.7-(0.301*F131^0.751)/(1-H131)*H131)*(MAX('Max rate concentrations'!$P$3:$P$368)))/F131&gt;0, (((1.18*F131^0.874)/3.7-(0.301*F131^0.751)/(1-H131)*H131)*(MAX('Max rate concentrations'!$P$3:$P$368)))/F131, 0)</f>
        <v>0</v>
      </c>
      <c r="N131" s="69">
        <f>IF((((1.18*F131^0.874)/3.7-(0.301*F131^0.751)/(1-H131)*H131)*(MAX('Max rate concentrations'!$Q$3:$Q$368)))/F131&gt;0, (((1.18*F131^0.874)/3.7-(0.301*F131^0.751)/(1-H131)*H131)*(MAX('Max rate concentrations'!$Q$3:$Q$368)))/F131, 0)</f>
        <v>0</v>
      </c>
      <c r="O131" s="69">
        <f>((MAX('Max rate concentrations'!$F$3:$F$368))*0.62*6.01*8*(10*F131^0.667)*0.079*0.1/F131)*inputs!$E$80/(10^(0.84+0.62*LOG10(inputs!$E$80)))</f>
        <v>39.309033276053327</v>
      </c>
      <c r="P131" s="69">
        <f>((MAX('Max rate concentrations'!Y:Y))*0.62*6.01*8*(10*F131^0.667)*0.079*0.1/F131)*inputs!$E$80/(10^(0.84+0.62*LOG10(inputs!$E$80)))</f>
        <v>13.103011092017779</v>
      </c>
      <c r="Q131" s="69">
        <f>(inputs!$C$18*11.2*(10*F131^0.667)*0.5/F131)*inputs!$E$80/(10^(0.84+0.62*LOG10(inputs!$E$80)))</f>
        <v>6.9241008074518229</v>
      </c>
      <c r="R131" s="59">
        <f>(60*284*((F131/1000)^0.77)*3*24*(MAX('Max rate concentrations'!$R$3:$R$368))/F131)*(inputs!$E$73*3.4/inputs!$E$75)</f>
        <v>5.5441039807015646E-2</v>
      </c>
      <c r="S131" s="59">
        <f>(IF(inputs!$C$17="aerial",((0.025*0.112*inputs!$C$18/3.3)*(3*60*284*((F131/1000)^0.77))*MAX(inputs!$I$14:$I$16))/F131,((0.0083*0.112*inputs!$C$18/1)*(3*60*284*((F131/1000)^0.77))*MAX(inputs!$I$14:$I$16))/F131))*(inputs!E$75*3.4/inputs!$E$73)</f>
        <v>0.30576074073943849</v>
      </c>
      <c r="T131" s="63">
        <f>IF((((inputs!$P$13/(V131/MAX(K131:S131)))^(1/inputs!$O$13))-1)/inputs!$N$13&lt;0, 0, IF((((inputs!$P$13/(V131/MAX(K131:S131)))^(1/inputs!$O$13))-1)/inputs!$N$13&lt;inputs!$I$17, (((inputs!$P$13/(V131/MAX(K131:S131)))^(1/inputs!$O$13))-1)/inputs!$N$13, inputs!$I$17))</f>
        <v>1000</v>
      </c>
      <c r="U131" s="63">
        <f>IF((((inputs!$P$13/(X131/MAX(K131:S131)))^(1/inputs!$O$13))-1)/inputs!$N$13&lt;0, 0, IF((((inputs!$P$13/(X131/MAX(K131:S131)))^(1/inputs!$O$13))-1)/inputs!$N$13&lt;inputs!$I$17, (((inputs!$P$13/(X131/MAX(K131:S131)))^(1/inputs!$O$13))-1)/inputs!$N$13, inputs!$I$17))</f>
        <v>28.313085079470266</v>
      </c>
      <c r="V131" s="21">
        <f>inputs!$E$78*(F131/inputs!$F$78)^(inputs!$E$84-1)</f>
        <v>2.4149490696052035E-2</v>
      </c>
      <c r="W131" s="21">
        <f>inputs!$E$85*(F131/inputs!$F$85)^(inputs!$E$84-1)</f>
        <v>1.115178993077544</v>
      </c>
      <c r="X131" s="21">
        <f>inputs!$E$80*(F131/inputs!$F$80)^(inputs!$E$84-1)</f>
        <v>4.1642759868085495</v>
      </c>
      <c r="Y131" s="21">
        <f>inputs!$E$82*(F131/inputs!$F$82)^(inputs!$E$84-1)</f>
        <v>1.9192489974230829</v>
      </c>
      <c r="Z131" s="63">
        <f t="shared" si="16"/>
        <v>1627.7375689119431</v>
      </c>
      <c r="AA131" s="63">
        <f t="shared" si="17"/>
        <v>35.249079762140006</v>
      </c>
    </row>
    <row r="132" spans="1:27" x14ac:dyDescent="0.25">
      <c r="A132" s="103" t="s">
        <v>215</v>
      </c>
      <c r="B132" s="20" t="s">
        <v>216</v>
      </c>
      <c r="C132" s="20" t="s">
        <v>73</v>
      </c>
      <c r="D132" s="104" t="s">
        <v>217</v>
      </c>
      <c r="E132" s="15">
        <v>6901</v>
      </c>
      <c r="F132" s="15">
        <v>52.3</v>
      </c>
      <c r="G132" s="20" t="s">
        <v>152</v>
      </c>
      <c r="H132" s="20">
        <v>0.77</v>
      </c>
      <c r="I132" s="68">
        <f>MAX('Max rate concentrations'!$G$3:$G$368)</f>
        <v>45</v>
      </c>
      <c r="J132" s="68">
        <f>MAX('Max rate concentrations'!Z:Z)</f>
        <v>21</v>
      </c>
      <c r="K132" s="69">
        <f t="shared" si="14"/>
        <v>21.985900228696739</v>
      </c>
      <c r="L132" s="69">
        <f t="shared" si="15"/>
        <v>10.260086773391812</v>
      </c>
      <c r="M132" s="69">
        <f>IF((((1.18*F132^0.874)/3.7-(0.301*F132^0.751)/(1-H132)*H132)*(MAX('Max rate concentrations'!$P$3:$P$368)))/F132&gt;0, (((1.18*F132^0.874)/3.7-(0.301*F132^0.751)/(1-H132)*H132)*(MAX('Max rate concentrations'!$P$3:$P$368)))/F132, 0)</f>
        <v>0</v>
      </c>
      <c r="N132" s="69">
        <f>IF((((1.18*F132^0.874)/3.7-(0.301*F132^0.751)/(1-H132)*H132)*(MAX('Max rate concentrations'!$Q$3:$Q$368)))/F132&gt;0, (((1.18*F132^0.874)/3.7-(0.301*F132^0.751)/(1-H132)*H132)*(MAX('Max rate concentrations'!$Q$3:$Q$368)))/F132, 0)</f>
        <v>0</v>
      </c>
      <c r="O132" s="69">
        <f>((MAX('Max rate concentrations'!$F$3:$F$368))*0.62*6.01*8*(10*F132^0.667)*0.079*0.1/F132)*inputs!$E$80/(10^(0.84+0.62*LOG10(inputs!$E$80)))</f>
        <v>39.309033276053327</v>
      </c>
      <c r="P132" s="69">
        <f>((MAX('Max rate concentrations'!Y:Y))*0.62*6.01*8*(10*F132^0.667)*0.079*0.1/F132)*inputs!$E$80/(10^(0.84+0.62*LOG10(inputs!$E$80)))</f>
        <v>13.103011092017779</v>
      </c>
      <c r="Q132" s="69">
        <f>(inputs!$C$18*11.2*(10*F132^0.667)*0.5/F132)*inputs!$E$80/(10^(0.84+0.62*LOG10(inputs!$E$80)))</f>
        <v>6.9241008074518229</v>
      </c>
      <c r="R132" s="59">
        <f>(60*284*((F132/1000)^0.77)*3*24*(MAX('Max rate concentrations'!$R$3:$R$368))/F132)*(inputs!$E$73*3.4/inputs!$E$75)</f>
        <v>5.5441039807015646E-2</v>
      </c>
      <c r="S132" s="59">
        <f>(IF(inputs!$C$17="aerial",((0.025*0.112*inputs!$C$18/3.3)*(3*60*284*((F132/1000)^0.77))*MAX(inputs!$I$14:$I$16))/F132,((0.0083*0.112*inputs!$C$18/1)*(3*60*284*((F132/1000)^0.77))*MAX(inputs!$I$14:$I$16))/F132))*(inputs!E$75*3.4/inputs!$E$73)</f>
        <v>0.30576074073943849</v>
      </c>
      <c r="T132" s="63">
        <f>IF((((inputs!$P$13/(V132/MAX(K132:S132)))^(1/inputs!$O$13))-1)/inputs!$N$13&lt;0, 0, IF((((inputs!$P$13/(V132/MAX(K132:S132)))^(1/inputs!$O$13))-1)/inputs!$N$13&lt;inputs!$I$17, (((inputs!$P$13/(V132/MAX(K132:S132)))^(1/inputs!$O$13))-1)/inputs!$N$13, inputs!$I$17))</f>
        <v>1000</v>
      </c>
      <c r="U132" s="63">
        <f>IF((((inputs!$P$13/(X132/MAX(K132:S132)))^(1/inputs!$O$13))-1)/inputs!$N$13&lt;0, 0, IF((((inputs!$P$13/(X132/MAX(K132:S132)))^(1/inputs!$O$13))-1)/inputs!$N$13&lt;inputs!$I$17, (((inputs!$P$13/(X132/MAX(K132:S132)))^(1/inputs!$O$13))-1)/inputs!$N$13, inputs!$I$17))</f>
        <v>28.313085079470266</v>
      </c>
      <c r="V132" s="21">
        <f>inputs!$E$78*(F132/inputs!$F$78)^(inputs!$E$84-1)</f>
        <v>2.4149490696052035E-2</v>
      </c>
      <c r="W132" s="21">
        <f>inputs!$E$85*(F132/inputs!$F$85)^(inputs!$E$84-1)</f>
        <v>1.115178993077544</v>
      </c>
      <c r="X132" s="21">
        <f>inputs!$E$80*(F132/inputs!$F$80)^(inputs!$E$84-1)</f>
        <v>4.1642759868085495</v>
      </c>
      <c r="Y132" s="21">
        <f>inputs!$E$82*(F132/inputs!$F$82)^(inputs!$E$84-1)</f>
        <v>1.9192489974230829</v>
      </c>
      <c r="Z132" s="63">
        <f t="shared" si="16"/>
        <v>1627.7375689119431</v>
      </c>
      <c r="AA132" s="63">
        <f t="shared" si="17"/>
        <v>35.249079762140006</v>
      </c>
    </row>
    <row r="133" spans="1:27" x14ac:dyDescent="0.25">
      <c r="A133" s="103" t="s">
        <v>215</v>
      </c>
      <c r="B133" s="20" t="s">
        <v>216</v>
      </c>
      <c r="C133" s="20" t="s">
        <v>73</v>
      </c>
      <c r="D133" s="104" t="s">
        <v>217</v>
      </c>
      <c r="E133" s="15">
        <v>6901</v>
      </c>
      <c r="F133" s="15">
        <v>52.3</v>
      </c>
      <c r="G133" s="20" t="s">
        <v>145</v>
      </c>
      <c r="H133" s="20">
        <v>0.66</v>
      </c>
      <c r="I133" s="68">
        <f>MAX('Max rate concentrations'!$M$3:$M$368)</f>
        <v>17.092910873809167</v>
      </c>
      <c r="J133" s="68">
        <f>MAX('Max rate concentrations'!AE:AE)</f>
        <v>11.81956602976166</v>
      </c>
      <c r="K133" s="69">
        <f t="shared" si="14"/>
        <v>5.6493266412158176</v>
      </c>
      <c r="L133" s="69">
        <f t="shared" si="15"/>
        <v>3.9064492731811513</v>
      </c>
      <c r="M133" s="69">
        <f>IF((((1.18*F133^0.874)/3.7-(0.301*F133^0.751)/(1-H133)*H133)*(MAX('Max rate concentrations'!$P$3:$P$368)))/F133&gt;0, (((1.18*F133^0.874)/3.7-(0.301*F133^0.751)/(1-H133)*H133)*(MAX('Max rate concentrations'!$P$3:$P$368)))/F133, 0)</f>
        <v>0</v>
      </c>
      <c r="N133" s="69">
        <f>IF((((1.18*F133^0.874)/3.7-(0.301*F133^0.751)/(1-H133)*H133)*(MAX('Max rate concentrations'!$Q$3:$Q$368)))/F133&gt;0, (((1.18*F133^0.874)/3.7-(0.301*F133^0.751)/(1-H133)*H133)*(MAX('Max rate concentrations'!$Q$3:$Q$368)))/F133, 0)</f>
        <v>0</v>
      </c>
      <c r="O133" s="69">
        <f>((MAX('Max rate concentrations'!$F$3:$F$368))*0.62*6.01*8*(10*F133^0.667)*0.079*0.1/F133)*inputs!$E$80/(10^(0.84+0.62*LOG10(inputs!$E$80)))</f>
        <v>39.309033276053327</v>
      </c>
      <c r="P133" s="69">
        <f>((MAX('Max rate concentrations'!Y:Y))*0.62*6.01*8*(10*F133^0.667)*0.079*0.1/F133)*inputs!$E$80/(10^(0.84+0.62*LOG10(inputs!$E$80)))</f>
        <v>13.103011092017779</v>
      </c>
      <c r="Q133" s="69">
        <f>(inputs!$C$18*11.2*(10*F133^0.667)*0.5/F133)*inputs!$E$80/(10^(0.84+0.62*LOG10(inputs!$E$80)))</f>
        <v>6.9241008074518229</v>
      </c>
      <c r="R133" s="59">
        <f>(60*284*((F133/1000)^0.77)*3*24*(MAX('Max rate concentrations'!$R$3:$R$368))/F133)*(inputs!$E$73*3.4/inputs!$E$75)</f>
        <v>5.5441039807015646E-2</v>
      </c>
      <c r="S133" s="59">
        <f>(IF(inputs!$C$17="aerial",((0.025*0.112*inputs!$C$18/3.3)*(3*60*284*((F133/1000)^0.77))*MAX(inputs!$I$14:$I$16))/F133,((0.0083*0.112*inputs!$C$18/1)*(3*60*284*((F133/1000)^0.77))*MAX(inputs!$I$14:$I$16))/F133))*(inputs!E$75*3.4/inputs!$E$73)</f>
        <v>0.30576074073943849</v>
      </c>
      <c r="T133" s="63">
        <f>IF((((inputs!$P$13/(V133/MAX(K133:S133)))^(1/inputs!$O$13))-1)/inputs!$N$13&lt;0, 0, IF((((inputs!$P$13/(V133/MAX(K133:S133)))^(1/inputs!$O$13))-1)/inputs!$N$13&lt;inputs!$I$17, (((inputs!$P$13/(V133/MAX(K133:S133)))^(1/inputs!$O$13))-1)/inputs!$N$13, inputs!$I$17))</f>
        <v>1000</v>
      </c>
      <c r="U133" s="63">
        <f>IF((((inputs!$P$13/(X133/MAX(K133:S133)))^(1/inputs!$O$13))-1)/inputs!$N$13&lt;0, 0, IF((((inputs!$P$13/(X133/MAX(K133:S133)))^(1/inputs!$O$13))-1)/inputs!$N$13&lt;inputs!$I$17, (((inputs!$P$13/(X133/MAX(K133:S133)))^(1/inputs!$O$13))-1)/inputs!$N$13, inputs!$I$17))</f>
        <v>28.313085079470266</v>
      </c>
      <c r="V133" s="21">
        <f>inputs!$E$78*(F133/inputs!$F$78)^(inputs!$E$84-1)</f>
        <v>2.4149490696052035E-2</v>
      </c>
      <c r="W133" s="21">
        <f>inputs!$E$85*(F133/inputs!$F$85)^(inputs!$E$84-1)</f>
        <v>1.115178993077544</v>
      </c>
      <c r="X133" s="21">
        <f>inputs!$E$80*(F133/inputs!$F$80)^(inputs!$E$84-1)</f>
        <v>4.1642759868085495</v>
      </c>
      <c r="Y133" s="21">
        <f>inputs!$E$82*(F133/inputs!$F$82)^(inputs!$E$84-1)</f>
        <v>1.9192489974230829</v>
      </c>
      <c r="Z133" s="63">
        <f t="shared" si="16"/>
        <v>1627.7375689119431</v>
      </c>
      <c r="AA133" s="63">
        <f t="shared" si="17"/>
        <v>35.249079762140006</v>
      </c>
    </row>
    <row r="134" spans="1:27" x14ac:dyDescent="0.25">
      <c r="A134" s="103" t="s">
        <v>215</v>
      </c>
      <c r="B134" s="20" t="s">
        <v>216</v>
      </c>
      <c r="C134" s="20" t="s">
        <v>73</v>
      </c>
      <c r="D134" s="104" t="s">
        <v>217</v>
      </c>
      <c r="E134" s="15">
        <v>6901</v>
      </c>
      <c r="F134" s="15">
        <v>52.3</v>
      </c>
      <c r="G134" s="20" t="s">
        <v>154</v>
      </c>
      <c r="H134" s="20">
        <v>9.2999999999999999E-2</v>
      </c>
      <c r="I134" s="68">
        <f>MAX('Max rate concentrations'!$G$3:$G$368)</f>
        <v>45</v>
      </c>
      <c r="J134" s="68">
        <f>MAX('Max rate concentrations'!Z:Z)</f>
        <v>21</v>
      </c>
      <c r="K134" s="69">
        <f t="shared" si="14"/>
        <v>5.5752558463067814</v>
      </c>
      <c r="L134" s="69">
        <f t="shared" si="15"/>
        <v>2.6017860616098312</v>
      </c>
      <c r="M134" s="69">
        <f>IF((((1.18*F134^0.874)/3.7-(0.301*F134^0.751)/(1-H134)*H134)*(MAX('Max rate concentrations'!$P$3:$P$368)))/F134&gt;0, (((1.18*F134^0.874)/3.7-(0.301*F134^0.751)/(1-H134)*H134)*(MAX('Max rate concentrations'!$P$3:$P$368)))/F134, 0)</f>
        <v>0.15866405263617658</v>
      </c>
      <c r="N134" s="69">
        <f>IF((((1.18*F134^0.874)/3.7-(0.301*F134^0.751)/(1-H134)*H134)*(MAX('Max rate concentrations'!$Q$3:$Q$368)))/F134&gt;0, (((1.18*F134^0.874)/3.7-(0.301*F134^0.751)/(1-H134)*H134)*(MAX('Max rate concentrations'!$Q$3:$Q$368)))/F134, 0)</f>
        <v>0.60420123772547785</v>
      </c>
      <c r="O134" s="69">
        <f>((MAX('Max rate concentrations'!$F$3:$F$368))*0.62*6.01*8*(10*F134^0.667)*0.079*0.1/F134)*inputs!$E$80/(10^(0.84+0.62*LOG10(inputs!$E$80)))</f>
        <v>39.309033276053327</v>
      </c>
      <c r="P134" s="69">
        <f>((MAX('Max rate concentrations'!Y:Y))*0.62*6.01*8*(10*F134^0.667)*0.079*0.1/F134)*inputs!$E$80/(10^(0.84+0.62*LOG10(inputs!$E$80)))</f>
        <v>13.103011092017779</v>
      </c>
      <c r="Q134" s="69">
        <f>(inputs!$C$18*11.2*(10*F134^0.667)*0.5/F134)*inputs!$E$80/(10^(0.84+0.62*LOG10(inputs!$E$80)))</f>
        <v>6.9241008074518229</v>
      </c>
      <c r="R134" s="59">
        <f>(60*284*((F134/1000)^0.77)*3*24*(MAX('Max rate concentrations'!$R$3:$R$368))/F134)*(inputs!$E$73*3.4/inputs!$E$75)</f>
        <v>5.5441039807015646E-2</v>
      </c>
      <c r="S134" s="59">
        <f>(IF(inputs!$C$17="aerial",((0.025*0.112*inputs!$C$18/3.3)*(3*60*284*((F134/1000)^0.77))*MAX(inputs!$I$14:$I$16))/F134,((0.0083*0.112*inputs!$C$18/1)*(3*60*284*((F134/1000)^0.77))*MAX(inputs!$I$14:$I$16))/F134))*(inputs!E$75*3.4/inputs!$E$73)</f>
        <v>0.30576074073943849</v>
      </c>
      <c r="T134" s="63">
        <f>IF((((inputs!$P$13/(V134/MAX(K134:S134)))^(1/inputs!$O$13))-1)/inputs!$N$13&lt;0, 0, IF((((inputs!$P$13/(V134/MAX(K134:S134)))^(1/inputs!$O$13))-1)/inputs!$N$13&lt;inputs!$I$17, (((inputs!$P$13/(V134/MAX(K134:S134)))^(1/inputs!$O$13))-1)/inputs!$N$13, inputs!$I$17))</f>
        <v>1000</v>
      </c>
      <c r="U134" s="63">
        <f>IF((((inputs!$P$13/(X134/MAX(K134:S134)))^(1/inputs!$O$13))-1)/inputs!$N$13&lt;0, 0, IF((((inputs!$P$13/(X134/MAX(K134:S134)))^(1/inputs!$O$13))-1)/inputs!$N$13&lt;inputs!$I$17, (((inputs!$P$13/(X134/MAX(K134:S134)))^(1/inputs!$O$13))-1)/inputs!$N$13, inputs!$I$17))</f>
        <v>28.313085079470266</v>
      </c>
      <c r="V134" s="21">
        <f>inputs!$E$78*(F134/inputs!$F$78)^(inputs!$E$84-1)</f>
        <v>2.4149490696052035E-2</v>
      </c>
      <c r="W134" s="21">
        <f>inputs!$E$85*(F134/inputs!$F$85)^(inputs!$E$84-1)</f>
        <v>1.115178993077544</v>
      </c>
      <c r="X134" s="21">
        <f>inputs!$E$80*(F134/inputs!$F$80)^(inputs!$E$84-1)</f>
        <v>4.1642759868085495</v>
      </c>
      <c r="Y134" s="21">
        <f>inputs!$E$82*(F134/inputs!$F$82)^(inputs!$E$84-1)</f>
        <v>1.9192489974230829</v>
      </c>
      <c r="Z134" s="63">
        <f t="shared" si="16"/>
        <v>1627.7375689119431</v>
      </c>
      <c r="AA134" s="63">
        <f t="shared" si="17"/>
        <v>35.249079762140006</v>
      </c>
    </row>
    <row r="135" spans="1:27" x14ac:dyDescent="0.25">
      <c r="A135" s="103" t="s">
        <v>315</v>
      </c>
      <c r="B135" s="20" t="s">
        <v>316</v>
      </c>
      <c r="C135" s="20" t="s">
        <v>73</v>
      </c>
      <c r="D135" s="104" t="s">
        <v>236</v>
      </c>
      <c r="E135" s="15">
        <v>125</v>
      </c>
      <c r="F135" s="15">
        <v>834</v>
      </c>
      <c r="G135" s="20" t="s">
        <v>182</v>
      </c>
      <c r="H135" s="20">
        <v>0.85</v>
      </c>
      <c r="I135" s="68">
        <f>MAX('Max rate concentrations'!$M$3:$M$368)</f>
        <v>17.092910873809167</v>
      </c>
      <c r="J135" s="68">
        <f>MAX('Max rate concentrations'!AE:AE)</f>
        <v>11.81956602976166</v>
      </c>
      <c r="K135" s="69">
        <f t="shared" si="14"/>
        <v>6.4257069909748932</v>
      </c>
      <c r="L135" s="69">
        <f t="shared" si="15"/>
        <v>4.4433080256741295</v>
      </c>
      <c r="M135" s="69">
        <f>IF((((1.18*F135^0.874)/3.7-(0.301*F135^0.751)/(1-H135)*H135)*(MAX('Max rate concentrations'!$P$3:$P$368)))/F135&gt;0, (((1.18*F135^0.874)/3.7-(0.301*F135^0.751)/(1-H135)*H135)*(MAX('Max rate concentrations'!$P$3:$P$368)))/F135, 0)</f>
        <v>0</v>
      </c>
      <c r="N135" s="69">
        <f>IF((((1.18*F135^0.874)/3.7-(0.301*F135^0.751)/(1-H135)*H135)*(MAX('Max rate concentrations'!$Q$3:$Q$368)))/F135&gt;0, (((1.18*F135^0.874)/3.7-(0.301*F135^0.751)/(1-H135)*H135)*(MAX('Max rate concentrations'!$Q$3:$Q$368)))/F135, 0)</f>
        <v>0</v>
      </c>
      <c r="O135" s="69">
        <f>((MAX('Max rate concentrations'!$F$3:$F$368))*0.62*6.01*8*(10*F135^0.667)*0.079*0.1/F135)*inputs!$E$80/(10^(0.84+0.62*LOG10(inputs!$E$80)))</f>
        <v>15.631661103413768</v>
      </c>
      <c r="P135" s="69">
        <f>((MAX('Max rate concentrations'!Y:Y))*0.62*6.01*8*(10*F135^0.667)*0.079*0.1/F135)*inputs!$E$80/(10^(0.84+0.62*LOG10(inputs!$E$80)))</f>
        <v>5.2105537011379237</v>
      </c>
      <c r="Q135" s="69">
        <f>(inputs!$C$18*11.2*(10*F135^0.667)*0.5/F135)*inputs!$E$80/(10^(0.84+0.62*LOG10(inputs!$E$80)))</f>
        <v>2.7534433754161114</v>
      </c>
      <c r="R135" s="59">
        <f>(60*284*((F135/1000)^0.77)*3*24*(MAX('Max rate concentrations'!$R$3:$R$368))/F135)*(inputs!$E$73*3.4/inputs!$E$75)</f>
        <v>2.9323686225671445E-2</v>
      </c>
      <c r="S135" s="59">
        <f>(IF(inputs!$C$17="aerial",((0.025*0.112*inputs!$C$18/3.3)*(3*60*284*((F135/1000)^0.77))*MAX(inputs!$I$14:$I$16))/F135,((0.0083*0.112*inputs!$C$18/1)*(3*60*284*((F135/1000)^0.77))*MAX(inputs!$I$14:$I$16))/F135))*(inputs!E$75*3.4/inputs!$E$73)</f>
        <v>0.16172193113227987</v>
      </c>
      <c r="T135" s="63">
        <f>IF((((inputs!$P$13/(V135/MAX(K135:S135)))^(1/inputs!$O$13))-1)/inputs!$N$13&lt;0, 0, IF((((inputs!$P$13/(V135/MAX(K135:S135)))^(1/inputs!$O$13))-1)/inputs!$N$13&lt;inputs!$I$17, (((inputs!$P$13/(V135/MAX(K135:S135)))^(1/inputs!$O$13))-1)/inputs!$N$13, inputs!$I$17))</f>
        <v>1000</v>
      </c>
      <c r="U135" s="63">
        <f>IF((((inputs!$P$13/(X135/MAX(K135:S135)))^(1/inputs!$O$13))-1)/inputs!$N$13&lt;0, 0, IF((((inputs!$P$13/(X135/MAX(K135:S135)))^(1/inputs!$O$13))-1)/inputs!$N$13&lt;inputs!$I$17, (((inputs!$P$13/(X135/MAX(K135:S135)))^(1/inputs!$O$13))-1)/inputs!$N$13, inputs!$I$17))</f>
        <v>31.210551279547914</v>
      </c>
      <c r="V135" s="21">
        <f>inputs!$E$78*(F135/inputs!$F$78)^(inputs!$E$84-1)</f>
        <v>8.6680650573563271E-3</v>
      </c>
      <c r="W135" s="21">
        <f>inputs!$E$85*(F135/inputs!$F$85)^(inputs!$E$84-1)</f>
        <v>0.40027527637150312</v>
      </c>
      <c r="X135" s="21">
        <f>inputs!$E$80*(F135/inputs!$F$80)^(inputs!$E$84-1)</f>
        <v>1.4946988168302964</v>
      </c>
      <c r="Y135" s="21">
        <f>inputs!$E$82*(F135/inputs!$F$82)^(inputs!$E$84-1)</f>
        <v>0.68888306508463437</v>
      </c>
      <c r="Z135" s="63">
        <f t="shared" si="16"/>
        <v>1803.3622267460539</v>
      </c>
      <c r="AA135" s="63">
        <f t="shared" si="17"/>
        <v>39.052277335524778</v>
      </c>
    </row>
    <row r="136" spans="1:27" x14ac:dyDescent="0.25">
      <c r="A136" s="103" t="s">
        <v>315</v>
      </c>
      <c r="B136" s="20" t="s">
        <v>316</v>
      </c>
      <c r="C136" s="20" t="s">
        <v>73</v>
      </c>
      <c r="D136" s="104" t="s">
        <v>236</v>
      </c>
      <c r="E136" s="15">
        <v>125</v>
      </c>
      <c r="F136" s="15">
        <v>834</v>
      </c>
      <c r="G136" s="20" t="s">
        <v>142</v>
      </c>
      <c r="H136" s="20">
        <v>0.69</v>
      </c>
      <c r="I136" s="68">
        <f>MAX('Max rate concentrations'!$H$3:$H$368)</f>
        <v>282</v>
      </c>
      <c r="J136" s="68">
        <f>MAX('Max rate concentrations'!AA:AA)</f>
        <v>195</v>
      </c>
      <c r="K136" s="69">
        <f t="shared" si="14"/>
        <v>51.296007417059855</v>
      </c>
      <c r="L136" s="69">
        <f t="shared" si="15"/>
        <v>35.470643426690323</v>
      </c>
      <c r="M136" s="69">
        <f>IF((((1.18*F136^0.874)/3.7-(0.301*F136^0.751)/(1-H136)*H136)*(MAX('Max rate concentrations'!$P$3:$P$368)))/F136&gt;0, (((1.18*F136^0.874)/3.7-(0.301*F136^0.751)/(1-H136)*H136)*(MAX('Max rate concentrations'!$P$3:$P$368)))/F136, 0)</f>
        <v>9.701402210740102E-3</v>
      </c>
      <c r="N136" s="69">
        <f>IF((((1.18*F136^0.874)/3.7-(0.301*F136^0.751)/(1-H136)*H136)*(MAX('Max rate concentrations'!$Q$3:$Q$368)))/F136&gt;0, (((1.18*F136^0.874)/3.7-(0.301*F136^0.751)/(1-H136)*H136)*(MAX('Max rate concentrations'!$Q$3:$Q$368)))/F136, 0)</f>
        <v>3.6943460891187198E-2</v>
      </c>
      <c r="O136" s="69">
        <f>((MAX('Max rate concentrations'!$F$3:$F$368))*0.62*6.01*8*(10*F136^0.667)*0.079*0.1/F136)*inputs!$E$80/(10^(0.84+0.62*LOG10(inputs!$E$80)))</f>
        <v>15.631661103413768</v>
      </c>
      <c r="P136" s="69">
        <f>((MAX('Max rate concentrations'!Y:Y))*0.62*6.01*8*(10*F136^0.667)*0.079*0.1/F136)*inputs!$E$80/(10^(0.84+0.62*LOG10(inputs!$E$80)))</f>
        <v>5.2105537011379237</v>
      </c>
      <c r="Q136" s="69">
        <f>(inputs!$C$18*11.2*(10*F136^0.667)*0.5/F136)*inputs!$E$80/(10^(0.84+0.62*LOG10(inputs!$E$80)))</f>
        <v>2.7534433754161114</v>
      </c>
      <c r="R136" s="59">
        <f>(60*284*((F136/1000)^0.77)*3*24*(MAX('Max rate concentrations'!$R$3:$R$368))/F136)*(inputs!$E$73*3.4/inputs!$E$75)</f>
        <v>2.9323686225671445E-2</v>
      </c>
      <c r="S136" s="59">
        <f>(IF(inputs!$C$17="aerial",((0.025*0.112*inputs!$C$18/3.3)*(3*60*284*((F136/1000)^0.77))*MAX(inputs!$I$14:$I$16))/F136,((0.0083*0.112*inputs!$C$18/1)*(3*60*284*((F136/1000)^0.77))*MAX(inputs!$I$14:$I$16))/F136))*(inputs!E$75*3.4/inputs!$E$73)</f>
        <v>0.16172193113227987</v>
      </c>
      <c r="T136" s="63">
        <f>IF((((inputs!$P$13/(V136/MAX(K136:S136)))^(1/inputs!$O$13))-1)/inputs!$N$13&lt;0, 0, IF((((inputs!$P$13/(V136/MAX(K136:S136)))^(1/inputs!$O$13))-1)/inputs!$N$13&lt;inputs!$I$17, (((inputs!$P$13/(V136/MAX(K136:S136)))^(1/inputs!$O$13))-1)/inputs!$N$13, inputs!$I$17))</f>
        <v>1000</v>
      </c>
      <c r="U136" s="63">
        <f>IF((((inputs!$P$13/(X136/MAX(K136:S136)))^(1/inputs!$O$13))-1)/inputs!$N$13&lt;0, 0, IF((((inputs!$P$13/(X136/MAX(K136:S136)))^(1/inputs!$O$13))-1)/inputs!$N$13&lt;inputs!$I$17, (((inputs!$P$13/(X136/MAX(K136:S136)))^(1/inputs!$O$13))-1)/inputs!$N$13, inputs!$I$17))</f>
        <v>90.028192523802659</v>
      </c>
      <c r="V136" s="21">
        <f>inputs!$E$78*(F136/inputs!$F$78)^(inputs!$E$84-1)</f>
        <v>8.6680650573563271E-3</v>
      </c>
      <c r="W136" s="21">
        <f>inputs!$E$85*(F136/inputs!$F$85)^(inputs!$E$84-1)</f>
        <v>0.40027527637150312</v>
      </c>
      <c r="X136" s="21">
        <f>inputs!$E$80*(F136/inputs!$F$80)^(inputs!$E$84-1)</f>
        <v>1.4946988168302964</v>
      </c>
      <c r="Y136" s="21">
        <f>inputs!$E$82*(F136/inputs!$F$82)^(inputs!$E$84-1)</f>
        <v>0.68888306508463437</v>
      </c>
      <c r="Z136" s="63">
        <f t="shared" si="16"/>
        <v>5917.8152306928605</v>
      </c>
      <c r="AA136" s="63">
        <f t="shared" si="17"/>
        <v>128.15182561875505</v>
      </c>
    </row>
    <row r="137" spans="1:27" x14ac:dyDescent="0.25">
      <c r="A137" s="103" t="s">
        <v>315</v>
      </c>
      <c r="B137" s="20" t="s">
        <v>316</v>
      </c>
      <c r="C137" s="20" t="s">
        <v>73</v>
      </c>
      <c r="D137" s="104" t="s">
        <v>236</v>
      </c>
      <c r="E137" s="15">
        <v>125</v>
      </c>
      <c r="F137" s="15">
        <v>834</v>
      </c>
      <c r="G137" s="20" t="s">
        <v>164</v>
      </c>
      <c r="H137" s="20">
        <v>0.78</v>
      </c>
      <c r="I137" s="68">
        <f>inputs!$C$66*(inputs!$C$62/1000)</f>
        <v>8.2000000000000011</v>
      </c>
      <c r="J137" s="68">
        <f>inputs!$C$66*(inputs!$C$61/1000)</f>
        <v>2.5</v>
      </c>
      <c r="K137" s="69">
        <f t="shared" si="14"/>
        <v>2.1017803167982945</v>
      </c>
      <c r="L137" s="69">
        <f t="shared" si="15"/>
        <v>0.64078668195069943</v>
      </c>
      <c r="M137" s="69">
        <f>IF((((1.18*F137^0.874)/3.7-(0.301*F137^0.751)/(1-H137)*H137)*(MAX('Max rate concentrations'!$P$3:$P$368)))/F137&gt;0, (((1.18*F137^0.874)/3.7-(0.301*F137^0.751)/(1-H137)*H137)*(MAX('Max rate concentrations'!$P$3:$P$368)))/F137, 0)</f>
        <v>0</v>
      </c>
      <c r="N137" s="69">
        <f>IF((((1.18*F137^0.874)/3.7-(0.301*F137^0.751)/(1-H137)*H137)*(MAX('Max rate concentrations'!$Q$3:$Q$368)))/F137&gt;0, (((1.18*F137^0.874)/3.7-(0.301*F137^0.751)/(1-H137)*H137)*(MAX('Max rate concentrations'!$Q$3:$Q$368)))/F137, 0)</f>
        <v>0</v>
      </c>
      <c r="O137" s="69">
        <f>((MAX('Max rate concentrations'!$F$3:$F$368))*0.62*6.01*8*(10*F137^0.667)*0.079*0.1/F137)*inputs!$E$80/(10^(0.84+0.62*LOG10(inputs!$E$80)))</f>
        <v>15.631661103413768</v>
      </c>
      <c r="P137" s="69">
        <f>((MAX('Max rate concentrations'!Y:Y))*0.62*6.01*8*(10*F137^0.667)*0.079*0.1/F137)*inputs!$E$80/(10^(0.84+0.62*LOG10(inputs!$E$80)))</f>
        <v>5.2105537011379237</v>
      </c>
      <c r="Q137" s="69">
        <f>(inputs!$C$18*11.2*(10*F137^0.667)*0.5/F137)*inputs!$E$80/(10^(0.84+0.62*LOG10(inputs!$E$80)))</f>
        <v>2.7534433754161114</v>
      </c>
      <c r="R137" s="59">
        <f>(60*284*((F137/1000)^0.77)*3*24*(MAX('Max rate concentrations'!$R$3:$R$368))/F137)*(inputs!$E$73*3.4/inputs!$E$75)</f>
        <v>2.9323686225671445E-2</v>
      </c>
      <c r="S137" s="59">
        <f>(IF(inputs!$C$17="aerial",((0.025*0.112*inputs!$C$18/3.3)*(3*60*284*((F137/1000)^0.77))*MAX(inputs!$I$14:$I$16))/F137,((0.0083*0.112*inputs!$C$18/1)*(3*60*284*((F137/1000)^0.77))*MAX(inputs!$I$14:$I$16))/F137))*(inputs!E$75*3.4/inputs!$E$73)</f>
        <v>0.16172193113227987</v>
      </c>
      <c r="T137" s="63">
        <f>IF((((inputs!$P$13/(V137/MAX(K137:S137)))^(1/inputs!$O$13))-1)/inputs!$N$13&lt;0, 0, IF((((inputs!$P$13/(V137/MAX(K137:S137)))^(1/inputs!$O$13))-1)/inputs!$N$13&lt;inputs!$I$17, (((inputs!$P$13/(V137/MAX(K137:S137)))^(1/inputs!$O$13))-1)/inputs!$N$13, inputs!$I$17))</f>
        <v>1000</v>
      </c>
      <c r="U137" s="63">
        <f>IF((((inputs!$P$13/(X137/MAX(K137:S137)))^(1/inputs!$O$13))-1)/inputs!$N$13&lt;0, 0, IF((((inputs!$P$13/(X137/MAX(K137:S137)))^(1/inputs!$O$13))-1)/inputs!$N$13&lt;inputs!$I$17, (((inputs!$P$13/(X137/MAX(K137:S137)))^(1/inputs!$O$13))-1)/inputs!$N$13, inputs!$I$17))</f>
        <v>31.210551279547914</v>
      </c>
      <c r="V137" s="21">
        <f>inputs!$E$78*(F137/inputs!$F$78)^(inputs!$E$84-1)</f>
        <v>8.6680650573563271E-3</v>
      </c>
      <c r="W137" s="21">
        <f>inputs!$E$85*(F137/inputs!$F$85)^(inputs!$E$84-1)</f>
        <v>0.40027527637150312</v>
      </c>
      <c r="X137" s="21">
        <f>inputs!$E$80*(F137/inputs!$F$80)^(inputs!$E$84-1)</f>
        <v>1.4946988168302964</v>
      </c>
      <c r="Y137" s="21">
        <f>inputs!$E$82*(F137/inputs!$F$82)^(inputs!$E$84-1)</f>
        <v>0.68888306508463437</v>
      </c>
      <c r="Z137" s="63">
        <f t="shared" si="16"/>
        <v>1803.3622267460539</v>
      </c>
      <c r="AA137" s="63">
        <f t="shared" si="17"/>
        <v>39.052277335524778</v>
      </c>
    </row>
    <row r="138" spans="1:27" x14ac:dyDescent="0.25">
      <c r="A138" s="103" t="s">
        <v>315</v>
      </c>
      <c r="B138" s="20" t="s">
        <v>316</v>
      </c>
      <c r="C138" s="20" t="s">
        <v>73</v>
      </c>
      <c r="D138" s="104" t="s">
        <v>236</v>
      </c>
      <c r="E138" s="15">
        <v>125</v>
      </c>
      <c r="F138" s="15">
        <v>834</v>
      </c>
      <c r="G138" s="20" t="s">
        <v>138</v>
      </c>
      <c r="H138" s="20">
        <v>0.68</v>
      </c>
      <c r="I138" s="68">
        <f>MAX('Max rate concentrations'!$L$3:$L$368)</f>
        <v>350.52744091332482</v>
      </c>
      <c r="J138" s="68">
        <f>MAX('Max rate concentrations'!AD:AD)</f>
        <v>242.38599637623525</v>
      </c>
      <c r="K138" s="69">
        <f t="shared" si="14"/>
        <v>61.768661843767809</v>
      </c>
      <c r="L138" s="69">
        <f t="shared" si="15"/>
        <v>42.71237255154157</v>
      </c>
      <c r="M138" s="69">
        <f>IF((((1.18*F138^0.874)/3.7-(0.301*F138^0.751)/(1-H138)*H138)*(MAX('Max rate concentrations'!$P$3:$P$368)))/F138&gt;0, (((1.18*F138^0.874)/3.7-(0.301*F138^0.751)/(1-H138)*H138)*(MAX('Max rate concentrations'!$P$3:$P$368)))/F138, 0)</f>
        <v>1.4651877258419741E-2</v>
      </c>
      <c r="N138" s="69">
        <f>IF((((1.18*F138^0.874)/3.7-(0.301*F138^0.751)/(1-H138)*H138)*(MAX('Max rate concentrations'!$Q$3:$Q$368)))/F138&gt;0, (((1.18*F138^0.874)/3.7-(0.301*F138^0.751)/(1-H138)*H138)*(MAX('Max rate concentrations'!$Q$3:$Q$368)))/F138, 0)</f>
        <v>5.5795135870117758E-2</v>
      </c>
      <c r="O138" s="69">
        <f>((MAX('Max rate concentrations'!$F$3:$F$368))*0.62*6.01*8*(10*F138^0.667)*0.079*0.1/F138)*inputs!$E$80/(10^(0.84+0.62*LOG10(inputs!$E$80)))</f>
        <v>15.631661103413768</v>
      </c>
      <c r="P138" s="69">
        <f>((MAX('Max rate concentrations'!Y:Y))*0.62*6.01*8*(10*F138^0.667)*0.079*0.1/F138)*inputs!$E$80/(10^(0.84+0.62*LOG10(inputs!$E$80)))</f>
        <v>5.2105537011379237</v>
      </c>
      <c r="Q138" s="69">
        <f>(inputs!$C$18*11.2*(10*F138^0.667)*0.5/F138)*inputs!$E$80/(10^(0.84+0.62*LOG10(inputs!$E$80)))</f>
        <v>2.7534433754161114</v>
      </c>
      <c r="R138" s="59">
        <f>(60*284*((F138/1000)^0.77)*3*24*(MAX('Max rate concentrations'!$R$3:$R$368))/F138)*(inputs!$E$73*3.4/inputs!$E$75)</f>
        <v>2.9323686225671445E-2</v>
      </c>
      <c r="S138" s="59">
        <f>(IF(inputs!$C$17="aerial",((0.025*0.112*inputs!$C$18/3.3)*(3*60*284*((F138/1000)^0.77))*MAX(inputs!$I$14:$I$16))/F138,((0.0083*0.112*inputs!$C$18/1)*(3*60*284*((F138/1000)^0.77))*MAX(inputs!$I$14:$I$16))/F138))*(inputs!E$75*3.4/inputs!$E$73)</f>
        <v>0.16172193113227987</v>
      </c>
      <c r="T138" s="63">
        <f>IF((((inputs!$P$13/(V138/MAX(K138:S138)))^(1/inputs!$O$13))-1)/inputs!$N$13&lt;0, 0, IF((((inputs!$P$13/(V138/MAX(K138:S138)))^(1/inputs!$O$13))-1)/inputs!$N$13&lt;inputs!$I$17, (((inputs!$P$13/(V138/MAX(K138:S138)))^(1/inputs!$O$13))-1)/inputs!$N$13, inputs!$I$17))</f>
        <v>1000</v>
      </c>
      <c r="U138" s="63">
        <f>IF((((inputs!$P$13/(X138/MAX(K138:S138)))^(1/inputs!$O$13))-1)/inputs!$N$13&lt;0, 0, IF((((inputs!$P$13/(X138/MAX(K138:S138)))^(1/inputs!$O$13))-1)/inputs!$N$13&lt;inputs!$I$17, (((inputs!$P$13/(X138/MAX(K138:S138)))^(1/inputs!$O$13))-1)/inputs!$N$13, inputs!$I$17))</f>
        <v>105.4700535100465</v>
      </c>
      <c r="V138" s="21">
        <f>inputs!$E$78*(F138/inputs!$F$78)^(inputs!$E$84-1)</f>
        <v>8.6680650573563271E-3</v>
      </c>
      <c r="W138" s="21">
        <f>inputs!$E$85*(F138/inputs!$F$85)^(inputs!$E$84-1)</f>
        <v>0.40027527637150312</v>
      </c>
      <c r="X138" s="21">
        <f>inputs!$E$80*(F138/inputs!$F$80)^(inputs!$E$84-1)</f>
        <v>1.4946988168302964</v>
      </c>
      <c r="Y138" s="21">
        <f>inputs!$E$82*(F138/inputs!$F$82)^(inputs!$E$84-1)</f>
        <v>0.68888306508463437</v>
      </c>
      <c r="Z138" s="63">
        <f t="shared" si="16"/>
        <v>7126.0034892500717</v>
      </c>
      <c r="AA138" s="63">
        <f t="shared" si="17"/>
        <v>154.31545611235589</v>
      </c>
    </row>
    <row r="139" spans="1:27" x14ac:dyDescent="0.25">
      <c r="A139" s="103" t="s">
        <v>315</v>
      </c>
      <c r="B139" s="20" t="s">
        <v>316</v>
      </c>
      <c r="C139" s="20" t="s">
        <v>73</v>
      </c>
      <c r="D139" s="104" t="s">
        <v>236</v>
      </c>
      <c r="E139" s="15">
        <v>125</v>
      </c>
      <c r="F139" s="15">
        <v>834</v>
      </c>
      <c r="G139" s="20" t="s">
        <v>218</v>
      </c>
      <c r="H139" s="20">
        <v>0.68</v>
      </c>
      <c r="I139" s="68">
        <f>MAX('Max rate concentrations'!$K$3:$K$368)</f>
        <v>110.00035859694511</v>
      </c>
      <c r="J139" s="68">
        <f>MAX('Max rate concentrations'!AC:AC)</f>
        <v>38.958460336418057</v>
      </c>
      <c r="K139" s="69">
        <f t="shared" si="14"/>
        <v>19.383860319648981</v>
      </c>
      <c r="L139" s="69">
        <f t="shared" si="15"/>
        <v>6.8651171965423465</v>
      </c>
      <c r="M139" s="69">
        <f>IF((((1.18*F139^0.874)/3.7-(0.301*F139^0.751)/(1-H139)*H139)*(MAX('Max rate concentrations'!$P$3:$P$368)))/F139&gt;0, (((1.18*F139^0.874)/3.7-(0.301*F139^0.751)/(1-H139)*H139)*(MAX('Max rate concentrations'!$P$3:$P$368)))/F139, 0)</f>
        <v>1.4651877258419741E-2</v>
      </c>
      <c r="N139" s="69">
        <f>IF((((1.18*F139^0.874)/3.7-(0.301*F139^0.751)/(1-H139)*H139)*(MAX('Max rate concentrations'!$Q$3:$Q$368)))/F139&gt;0, (((1.18*F139^0.874)/3.7-(0.301*F139^0.751)/(1-H139)*H139)*(MAX('Max rate concentrations'!$Q$3:$Q$368)))/F139, 0)</f>
        <v>5.5795135870117758E-2</v>
      </c>
      <c r="O139" s="69">
        <f>((MAX('Max rate concentrations'!$F$3:$F$368))*0.62*6.01*8*(10*F139^0.667)*0.079*0.1/F139)*inputs!$E$80/(10^(0.84+0.62*LOG10(inputs!$E$80)))</f>
        <v>15.631661103413768</v>
      </c>
      <c r="P139" s="69">
        <f>((MAX('Max rate concentrations'!Y:Y))*0.62*6.01*8*(10*F139^0.667)*0.079*0.1/F139)*inputs!$E$80/(10^(0.84+0.62*LOG10(inputs!$E$80)))</f>
        <v>5.2105537011379237</v>
      </c>
      <c r="Q139" s="69">
        <f>(inputs!$C$18*11.2*(10*F139^0.667)*0.5/F139)*inputs!$E$80/(10^(0.84+0.62*LOG10(inputs!$E$80)))</f>
        <v>2.7534433754161114</v>
      </c>
      <c r="R139" s="59">
        <f>(60*284*((F139/1000)^0.77)*3*24*(MAX('Max rate concentrations'!$R$3:$R$368))/F139)*(inputs!$E$73*3.4/inputs!$E$75)</f>
        <v>2.9323686225671445E-2</v>
      </c>
      <c r="S139" s="59">
        <f>(IF(inputs!$C$17="aerial",((0.025*0.112*inputs!$C$18/3.3)*(3*60*284*((F139/1000)^0.77))*MAX(inputs!$I$14:$I$16))/F139,((0.0083*0.112*inputs!$C$18/1)*(3*60*284*((F139/1000)^0.77))*MAX(inputs!$I$14:$I$16))/F139))*(inputs!E$75*3.4/inputs!$E$73)</f>
        <v>0.16172193113227987</v>
      </c>
      <c r="T139" s="63">
        <f>IF((((inputs!$P$13/(V139/MAX(K139:S139)))^(1/inputs!$O$13))-1)/inputs!$N$13&lt;0, 0, IF((((inputs!$P$13/(V139/MAX(K139:S139)))^(1/inputs!$O$13))-1)/inputs!$N$13&lt;inputs!$I$17, (((inputs!$P$13/(V139/MAX(K139:S139)))^(1/inputs!$O$13))-1)/inputs!$N$13, inputs!$I$17))</f>
        <v>1000</v>
      </c>
      <c r="U139" s="63">
        <f>IF((((inputs!$P$13/(X139/MAX(K139:S139)))^(1/inputs!$O$13))-1)/inputs!$N$13&lt;0, 0, IF((((inputs!$P$13/(X139/MAX(K139:S139)))^(1/inputs!$O$13))-1)/inputs!$N$13&lt;inputs!$I$17, (((inputs!$P$13/(X139/MAX(K139:S139)))^(1/inputs!$O$13))-1)/inputs!$N$13, inputs!$I$17))</f>
        <v>38.1348720717303</v>
      </c>
      <c r="V139" s="21">
        <f>inputs!$E$78*(F139/inputs!$F$78)^(inputs!$E$84-1)</f>
        <v>8.6680650573563271E-3</v>
      </c>
      <c r="W139" s="21">
        <f>inputs!$E$85*(F139/inputs!$F$85)^(inputs!$E$84-1)</f>
        <v>0.40027527637150312</v>
      </c>
      <c r="X139" s="21">
        <f>inputs!$E$80*(F139/inputs!$F$80)^(inputs!$E$84-1)</f>
        <v>1.4946988168302964</v>
      </c>
      <c r="Y139" s="21">
        <f>inputs!$E$82*(F139/inputs!$F$82)^(inputs!$E$84-1)</f>
        <v>0.68888306508463437</v>
      </c>
      <c r="Z139" s="63">
        <f t="shared" si="16"/>
        <v>2236.2384443802116</v>
      </c>
      <c r="AA139" s="63">
        <f t="shared" si="17"/>
        <v>48.426324242065981</v>
      </c>
    </row>
    <row r="140" spans="1:27" x14ac:dyDescent="0.25">
      <c r="A140" s="103" t="s">
        <v>315</v>
      </c>
      <c r="B140" s="20" t="s">
        <v>316</v>
      </c>
      <c r="C140" s="20" t="s">
        <v>73</v>
      </c>
      <c r="D140" s="104" t="s">
        <v>236</v>
      </c>
      <c r="E140" s="15">
        <v>125</v>
      </c>
      <c r="F140" s="15">
        <v>834</v>
      </c>
      <c r="G140" s="49" t="s">
        <v>186</v>
      </c>
      <c r="H140" s="49">
        <v>0.75</v>
      </c>
      <c r="I140" s="68">
        <f>inputs!$C$66*inputs!$C$64/1000</f>
        <v>21.3</v>
      </c>
      <c r="J140" s="68">
        <f>inputs!$C$66*inputs!$C$63/1000</f>
        <v>8.8000000000000007</v>
      </c>
      <c r="K140" s="69">
        <f t="shared" si="14"/>
        <v>4.8043622265935637</v>
      </c>
      <c r="L140" s="69">
        <f t="shared" si="15"/>
        <v>1.9849008260104866</v>
      </c>
      <c r="M140" s="69">
        <f>IF((((1.18*F140^0.874)/3.7-(0.301*F140^0.751)/(1-H140)*H140)*(MAX('Max rate concentrations'!$P$3:$P$368)))/F140&gt;0, (((1.18*F140^0.874)/3.7-(0.301*F140^0.751)/(1-H140)*H140)*(MAX('Max rate concentrations'!$P$3:$P$368)))/F140, 0)</f>
        <v>0</v>
      </c>
      <c r="N140" s="69">
        <f>IF((((1.18*F140^0.874)/3.7-(0.301*F140^0.751)/(1-H140)*H140)*(MAX('Max rate concentrations'!$Q$3:$Q$368)))/F140&gt;0, (((1.18*F140^0.874)/3.7-(0.301*F140^0.751)/(1-H140)*H140)*(MAX('Max rate concentrations'!$Q$3:$Q$368)))/F140, 0)</f>
        <v>0</v>
      </c>
      <c r="O140" s="69">
        <f>((MAX('Max rate concentrations'!$F$3:$F$368))*0.62*6.01*8*(10*F140^0.667)*0.079*0.1/F140)*inputs!$E$80/(10^(0.84+0.62*LOG10(inputs!$E$80)))</f>
        <v>15.631661103413768</v>
      </c>
      <c r="P140" s="69">
        <f>((MAX('Max rate concentrations'!Y:Y))*0.62*6.01*8*(10*F140^0.667)*0.079*0.1/F140)*inputs!$E$80/(10^(0.84+0.62*LOG10(inputs!$E$80)))</f>
        <v>5.2105537011379237</v>
      </c>
      <c r="Q140" s="69">
        <f>(inputs!$C$18*11.2*(10*F140^0.667)*0.5/F140)*inputs!$E$80/(10^(0.84+0.62*LOG10(inputs!$E$80)))</f>
        <v>2.7534433754161114</v>
      </c>
      <c r="R140" s="59">
        <f>(60*284*((F140/1000)^0.77)*3*24*(MAX('Max rate concentrations'!$R$3:$R$368))/F140)*(inputs!$E$73*3.4/inputs!$E$75)</f>
        <v>2.9323686225671445E-2</v>
      </c>
      <c r="S140" s="59">
        <f>(IF(inputs!$C$17="aerial",((0.025*0.112*inputs!$C$18/3.3)*(3*60*284*((F140/1000)^0.77))*MAX(inputs!$I$14:$I$16))/F140,((0.0083*0.112*inputs!$C$18/1)*(3*60*284*((F140/1000)^0.77))*MAX(inputs!$I$14:$I$16))/F140))*(inputs!E$75*3.4/inputs!$E$73)</f>
        <v>0.16172193113227987</v>
      </c>
      <c r="T140" s="63">
        <f>IF((((inputs!$P$13/(V140/MAX(K140:S140)))^(1/inputs!$O$13))-1)/inputs!$N$13&lt;0, 0, IF((((inputs!$P$13/(V140/MAX(K140:S140)))^(1/inputs!$O$13))-1)/inputs!$N$13&lt;inputs!$I$17, (((inputs!$P$13/(V140/MAX(K140:S140)))^(1/inputs!$O$13))-1)/inputs!$N$13, inputs!$I$17))</f>
        <v>1000</v>
      </c>
      <c r="U140" s="63">
        <f>IF((((inputs!$P$13/(X140/MAX(K140:S140)))^(1/inputs!$O$13))-1)/inputs!$N$13&lt;0, 0, IF((((inputs!$P$13/(X140/MAX(K140:S140)))^(1/inputs!$O$13))-1)/inputs!$N$13&lt;inputs!$I$17, (((inputs!$P$13/(X140/MAX(K140:S140)))^(1/inputs!$O$13))-1)/inputs!$N$13, inputs!$I$17))</f>
        <v>31.210551279547914</v>
      </c>
      <c r="V140" s="21">
        <f>inputs!$E$78*(F140/inputs!$F$78)^(inputs!$E$84-1)</f>
        <v>8.6680650573563271E-3</v>
      </c>
      <c r="W140" s="21">
        <f>inputs!$E$85*(F140/inputs!$F$85)^(inputs!$E$84-1)</f>
        <v>0.40027527637150312</v>
      </c>
      <c r="X140" s="21">
        <f>inputs!$E$80*(F140/inputs!$F$80)^(inputs!$E$84-1)</f>
        <v>1.4946988168302964</v>
      </c>
      <c r="Y140" s="21">
        <f>inputs!$E$82*(F140/inputs!$F$82)^(inputs!$E$84-1)</f>
        <v>0.68888306508463437</v>
      </c>
      <c r="Z140" s="63">
        <f t="shared" si="16"/>
        <v>1803.3622267460539</v>
      </c>
      <c r="AA140" s="63">
        <f t="shared" si="17"/>
        <v>39.052277335524778</v>
      </c>
    </row>
    <row r="141" spans="1:27" x14ac:dyDescent="0.25">
      <c r="A141" s="103" t="s">
        <v>315</v>
      </c>
      <c r="B141" s="20" t="s">
        <v>316</v>
      </c>
      <c r="C141" s="20" t="s">
        <v>73</v>
      </c>
      <c r="D141" s="104" t="s">
        <v>236</v>
      </c>
      <c r="E141" s="15">
        <v>125</v>
      </c>
      <c r="F141" s="15">
        <v>834</v>
      </c>
      <c r="G141" s="21" t="s">
        <v>456</v>
      </c>
      <c r="H141" s="20">
        <v>0.68</v>
      </c>
      <c r="I141" s="68">
        <f>MAX('Max rate concentrations'!$J$3:$J$368)</f>
        <v>686.46486205830786</v>
      </c>
      <c r="J141" s="68">
        <f>MAX('Max rate concentrations'!AB:AB)</f>
        <v>243.122971978984</v>
      </c>
      <c r="K141" s="69">
        <f t="shared" si="14"/>
        <v>120.96632383937413</v>
      </c>
      <c r="L141" s="69">
        <f t="shared" si="15"/>
        <v>42.842239693111665</v>
      </c>
      <c r="M141" s="69">
        <f>IF((((1.18*F141^0.874)/3.7-(0.301*F141^0.751)/(1-H141)*H141)*(MAX('Max rate concentrations'!$P$3:$P$368)))/F141&gt;0, (((1.18*F141^0.874)/3.7-(0.301*F141^0.751)/(1-H141)*H141)*(MAX('Max rate concentrations'!$P$3:$P$368)))/F141, 0)</f>
        <v>1.4651877258419741E-2</v>
      </c>
      <c r="N141" s="69">
        <f>IF((((1.18*F141^0.874)/3.7-(0.301*F141^0.751)/(1-H141)*H141)*(MAX('Max rate concentrations'!$Q$3:$Q$368)))/F141&gt;0, (((1.18*F141^0.874)/3.7-(0.301*F141^0.751)/(1-H141)*H141)*(MAX('Max rate concentrations'!$Q$3:$Q$368)))/F141, 0)</f>
        <v>5.5795135870117758E-2</v>
      </c>
      <c r="O141" s="69">
        <f>((MAX('Max rate concentrations'!$F$3:$F$368))*0.62*6.01*8*(10*F141^0.667)*0.079*0.1/F141)*inputs!$E$80/(10^(0.84+0.62*LOG10(inputs!$E$80)))</f>
        <v>15.631661103413768</v>
      </c>
      <c r="P141" s="69">
        <f>((MAX('Max rate concentrations'!Y:Y))*0.62*6.01*8*(10*F141^0.667)*0.079*0.1/F141)*inputs!$E$80/(10^(0.84+0.62*LOG10(inputs!$E$80)))</f>
        <v>5.2105537011379237</v>
      </c>
      <c r="Q141" s="69">
        <f>(inputs!$C$18*11.2*(10*F141^0.667)*0.5/F141)*inputs!$E$80/(10^(0.84+0.62*LOG10(inputs!$E$80)))</f>
        <v>2.7534433754161114</v>
      </c>
      <c r="R141" s="59">
        <f>(60*284*((F141/1000)^0.77)*3*24*(MAX('Max rate concentrations'!$R$3:$R$368))/F141)*(inputs!$E$73*3.4/inputs!$E$75)</f>
        <v>2.9323686225671445E-2</v>
      </c>
      <c r="S141" s="59">
        <f>(IF(inputs!$C$17="aerial",((0.025*0.112*inputs!$C$18/3.3)*(3*60*284*((F141/1000)^0.77))*MAX(inputs!$I$14:$I$16))/F141,((0.0083*0.112*inputs!$C$18/1)*(3*60*284*((F141/1000)^0.77))*MAX(inputs!$I$14:$I$16))/F141))*(inputs!E$75*3.4/inputs!$E$73)</f>
        <v>0.16172193113227987</v>
      </c>
      <c r="T141" s="63">
        <f>IF((((inputs!$P$13/(V141/MAX(K141:S141)))^(1/inputs!$O$13))-1)/inputs!$N$13&lt;0, 0, IF((((inputs!$P$13/(V141/MAX(K141:S141)))^(1/inputs!$O$13))-1)/inputs!$N$13&lt;inputs!$I$17, (((inputs!$P$13/(V141/MAX(K141:S141)))^(1/inputs!$O$13))-1)/inputs!$N$13, inputs!$I$17))</f>
        <v>1000</v>
      </c>
      <c r="U141" s="63">
        <f>IF((((inputs!$P$13/(X141/MAX(K141:S141)))^(1/inputs!$O$13))-1)/inputs!$N$13&lt;0, 0, IF((((inputs!$P$13/(X141/MAX(K141:S141)))^(1/inputs!$O$13))-1)/inputs!$N$13&lt;inputs!$I$17, (((inputs!$P$13/(X141/MAX(K141:S141)))^(1/inputs!$O$13))-1)/inputs!$N$13, inputs!$I$17))</f>
        <v>185.39989142215069</v>
      </c>
      <c r="V141" s="21">
        <f>inputs!$E$78*(F141/inputs!$F$78)^(inputs!$E$84-1)</f>
        <v>8.6680650573563271E-3</v>
      </c>
      <c r="W141" s="21">
        <f>inputs!$E$85*(F141/inputs!$F$85)^(inputs!$E$84-1)</f>
        <v>0.40027527637150312</v>
      </c>
      <c r="X141" s="21">
        <f>inputs!$E$80*(F141/inputs!$F$80)^(inputs!$E$84-1)</f>
        <v>1.4946988168302964</v>
      </c>
      <c r="Y141" s="21">
        <f>inputs!$E$82*(F141/inputs!$F$82)^(inputs!$E$84-1)</f>
        <v>0.68888306508463437</v>
      </c>
      <c r="Z141" s="63">
        <f t="shared" si="16"/>
        <v>13955.401008061612</v>
      </c>
      <c r="AA141" s="63">
        <f t="shared" si="17"/>
        <v>302.20783290922765</v>
      </c>
    </row>
    <row r="142" spans="1:27" x14ac:dyDescent="0.25">
      <c r="A142" s="103" t="s">
        <v>315</v>
      </c>
      <c r="B142" s="20" t="s">
        <v>316</v>
      </c>
      <c r="C142" s="20" t="s">
        <v>73</v>
      </c>
      <c r="D142" s="104" t="s">
        <v>236</v>
      </c>
      <c r="E142" s="15">
        <v>125</v>
      </c>
      <c r="F142" s="15">
        <v>834</v>
      </c>
      <c r="G142" s="20" t="s">
        <v>145</v>
      </c>
      <c r="H142" s="20">
        <v>0.66</v>
      </c>
      <c r="I142" s="68">
        <f>MAX('Max rate concentrations'!$M$3:$M$368)</f>
        <v>17.092910873809167</v>
      </c>
      <c r="J142" s="68">
        <f>MAX('Max rate concentrations'!AE:AE)</f>
        <v>11.81956602976166</v>
      </c>
      <c r="K142" s="69">
        <f t="shared" si="14"/>
        <v>2.8348707313124537</v>
      </c>
      <c r="L142" s="69">
        <f t="shared" si="15"/>
        <v>1.9602829525032925</v>
      </c>
      <c r="M142" s="69">
        <f>IF((((1.18*F142^0.874)/3.7-(0.301*F142^0.751)/(1-H142)*H142)*(MAX('Max rate concentrations'!$P$3:$P$368)))/F142&gt;0, (((1.18*F142^0.874)/3.7-(0.301*F142^0.751)/(1-H142)*H142)*(MAX('Max rate concentrations'!$P$3:$P$368)))/F142, 0)</f>
        <v>2.3679214110070953E-2</v>
      </c>
      <c r="N142" s="69">
        <f>IF((((1.18*F142^0.874)/3.7-(0.301*F142^0.751)/(1-H142)*H142)*(MAX('Max rate concentrations'!$Q$3:$Q$368)))/F142&gt;0, (((1.18*F142^0.874)/3.7-(0.301*F142^0.751)/(1-H142)*H142)*(MAX('Max rate concentrations'!$Q$3:$Q$368)))/F142, 0)</f>
        <v>9.0171719655226829E-2</v>
      </c>
      <c r="O142" s="69">
        <f>((MAX('Max rate concentrations'!$F$3:$F$368))*0.62*6.01*8*(10*F142^0.667)*0.079*0.1/F142)*inputs!$E$80/(10^(0.84+0.62*LOG10(inputs!$E$80)))</f>
        <v>15.631661103413768</v>
      </c>
      <c r="P142" s="69">
        <f>((MAX('Max rate concentrations'!Y:Y))*0.62*6.01*8*(10*F142^0.667)*0.079*0.1/F142)*inputs!$E$80/(10^(0.84+0.62*LOG10(inputs!$E$80)))</f>
        <v>5.2105537011379237</v>
      </c>
      <c r="Q142" s="69">
        <f>(inputs!$C$18*11.2*(10*F142^0.667)*0.5/F142)*inputs!$E$80/(10^(0.84+0.62*LOG10(inputs!$E$80)))</f>
        <v>2.7534433754161114</v>
      </c>
      <c r="R142" s="59">
        <f>(60*284*((F142/1000)^0.77)*3*24*(MAX('Max rate concentrations'!$R$3:$R$368))/F142)*(inputs!$E$73*3.4/inputs!$E$75)</f>
        <v>2.9323686225671445E-2</v>
      </c>
      <c r="S142" s="59">
        <f>(IF(inputs!$C$17="aerial",((0.025*0.112*inputs!$C$18/3.3)*(3*60*284*((F142/1000)^0.77))*MAX(inputs!$I$14:$I$16))/F142,((0.0083*0.112*inputs!$C$18/1)*(3*60*284*((F142/1000)^0.77))*MAX(inputs!$I$14:$I$16))/F142))*(inputs!E$75*3.4/inputs!$E$73)</f>
        <v>0.16172193113227987</v>
      </c>
      <c r="T142" s="63">
        <f>IF((((inputs!$P$13/(V142/MAX(K142:S142)))^(1/inputs!$O$13))-1)/inputs!$N$13&lt;0, 0, IF((((inputs!$P$13/(V142/MAX(K142:S142)))^(1/inputs!$O$13))-1)/inputs!$N$13&lt;inputs!$I$17, (((inputs!$P$13/(V142/MAX(K142:S142)))^(1/inputs!$O$13))-1)/inputs!$N$13, inputs!$I$17))</f>
        <v>1000</v>
      </c>
      <c r="U142" s="63">
        <f>IF((((inputs!$P$13/(X142/MAX(K142:S142)))^(1/inputs!$O$13))-1)/inputs!$N$13&lt;0, 0, IF((((inputs!$P$13/(X142/MAX(K142:S142)))^(1/inputs!$O$13))-1)/inputs!$N$13&lt;inputs!$I$17, (((inputs!$P$13/(X142/MAX(K142:S142)))^(1/inputs!$O$13))-1)/inputs!$N$13, inputs!$I$17))</f>
        <v>31.210551279547914</v>
      </c>
      <c r="V142" s="21">
        <f>inputs!$E$78*(F142/inputs!$F$78)^(inputs!$E$84-1)</f>
        <v>8.6680650573563271E-3</v>
      </c>
      <c r="W142" s="21">
        <f>inputs!$E$85*(F142/inputs!$F$85)^(inputs!$E$84-1)</f>
        <v>0.40027527637150312</v>
      </c>
      <c r="X142" s="21">
        <f>inputs!$E$80*(F142/inputs!$F$80)^(inputs!$E$84-1)</f>
        <v>1.4946988168302964</v>
      </c>
      <c r="Y142" s="21">
        <f>inputs!$E$82*(F142/inputs!$F$82)^(inputs!$E$84-1)</f>
        <v>0.68888306508463437</v>
      </c>
      <c r="Z142" s="63">
        <f t="shared" si="16"/>
        <v>1803.3622267460539</v>
      </c>
      <c r="AA142" s="63">
        <f t="shared" si="17"/>
        <v>39.052277335524778</v>
      </c>
    </row>
    <row r="143" spans="1:27" x14ac:dyDescent="0.25">
      <c r="A143" s="103" t="s">
        <v>315</v>
      </c>
      <c r="B143" s="20" t="s">
        <v>316</v>
      </c>
      <c r="C143" s="20" t="s">
        <v>73</v>
      </c>
      <c r="D143" s="104" t="s">
        <v>236</v>
      </c>
      <c r="E143" s="15">
        <v>125</v>
      </c>
      <c r="F143" s="15">
        <v>834</v>
      </c>
      <c r="G143" s="20" t="s">
        <v>146</v>
      </c>
      <c r="H143" s="20">
        <v>0.84</v>
      </c>
      <c r="I143" s="68">
        <f>MAX('Max rate concentrations'!$I$3:$I$368)</f>
        <v>56.865414300472793</v>
      </c>
      <c r="J143" s="68" t="s">
        <v>13</v>
      </c>
      <c r="K143" s="69">
        <f t="shared" si="14"/>
        <v>20.041230081043494</v>
      </c>
      <c r="L143" s="69" t="s">
        <v>13</v>
      </c>
      <c r="M143" s="69">
        <f>IF((((1.18*F143^0.874)/3.7-(0.301*F143^0.751)/(1-H143)*H143)*(MAX('Max rate concentrations'!$P$3:$P$368)))/F143&gt;0, (((1.18*F143^0.874)/3.7-(0.301*F143^0.751)/(1-H143)*H143)*(MAX('Max rate concentrations'!$P$3:$P$368)))/F143, 0)</f>
        <v>0</v>
      </c>
      <c r="N143" s="69">
        <f>IF((((1.18*F143^0.874)/3.7-(0.301*F143^0.751)/(1-H143)*H143)*(MAX('Max rate concentrations'!$Q$3:$Q$368)))/F143&gt;0, (((1.18*F143^0.874)/3.7-(0.301*F143^0.751)/(1-H143)*H143)*(MAX('Max rate concentrations'!$Q$3:$Q$368)))/F143, 0)</f>
        <v>0</v>
      </c>
      <c r="O143" s="69">
        <f>((MAX('Max rate concentrations'!$F$3:$F$368))*0.62*6.01*8*(10*F143^0.667)*0.079*0.1/F143)*inputs!$E$80/(10^(0.84+0.62*LOG10(inputs!$E$80)))</f>
        <v>15.631661103413768</v>
      </c>
      <c r="P143" s="69">
        <f>((MAX('Max rate concentrations'!Y:Y))*0.62*6.01*8*(10*F143^0.667)*0.079*0.1/F143)*inputs!$E$80/(10^(0.84+0.62*LOG10(inputs!$E$80)))</f>
        <v>5.2105537011379237</v>
      </c>
      <c r="Q143" s="69">
        <f>(inputs!$C$18*11.2*(10*F143^0.667)*0.5/F143)*inputs!$E$80/(10^(0.84+0.62*LOG10(inputs!$E$80)))</f>
        <v>2.7534433754161114</v>
      </c>
      <c r="R143" s="59">
        <f>(60*284*((F143/1000)^0.77)*3*24*(MAX('Max rate concentrations'!$R$3:$R$368))/F143)*(inputs!$E$73*3.4/inputs!$E$75)</f>
        <v>2.9323686225671445E-2</v>
      </c>
      <c r="S143" s="59">
        <f>(IF(inputs!$C$17="aerial",((0.025*0.112*inputs!$C$18/3.3)*(3*60*284*((F143/1000)^0.77))*MAX(inputs!$I$14:$I$16))/F143,((0.0083*0.112*inputs!$C$18/1)*(3*60*284*((F143/1000)^0.77))*MAX(inputs!$I$14:$I$16))/F143))*(inputs!E$75*3.4/inputs!$E$73)</f>
        <v>0.16172193113227987</v>
      </c>
      <c r="T143" s="63">
        <f>IF((((inputs!$P$13/(V143/MAX(K143:S143)))^(1/inputs!$O$13))-1)/inputs!$N$13&lt;0, 0, IF((((inputs!$P$13/(V143/MAX(K143:S143)))^(1/inputs!$O$13))-1)/inputs!$N$13&lt;inputs!$I$17, (((inputs!$P$13/(V143/MAX(K143:S143)))^(1/inputs!$O$13))-1)/inputs!$N$13, inputs!$I$17))</f>
        <v>1000</v>
      </c>
      <c r="U143" s="63">
        <f>IF((((inputs!$P$13/(X143/MAX(K143:S143)))^(1/inputs!$O$13))-1)/inputs!$N$13&lt;0, 0, IF((((inputs!$P$13/(X143/MAX(K143:S143)))^(1/inputs!$O$13))-1)/inputs!$N$13&lt;inputs!$I$17, (((inputs!$P$13/(X143/MAX(K143:S143)))^(1/inputs!$O$13))-1)/inputs!$N$13, inputs!$I$17))</f>
        <v>39.320257433640585</v>
      </c>
      <c r="V143" s="21">
        <f>inputs!$E$78*(F143/inputs!$F$78)^(inputs!$E$84-1)</f>
        <v>8.6680650573563271E-3</v>
      </c>
      <c r="W143" s="21">
        <f>inputs!$E$85*(F143/inputs!$F$85)^(inputs!$E$84-1)</f>
        <v>0.40027527637150312</v>
      </c>
      <c r="X143" s="21">
        <f>inputs!$E$80*(F143/inputs!$F$80)^(inputs!$E$84-1)</f>
        <v>1.4946988168302964</v>
      </c>
      <c r="Y143" s="21">
        <f>inputs!$E$82*(F143/inputs!$F$82)^(inputs!$E$84-1)</f>
        <v>0.68888306508463437</v>
      </c>
      <c r="Z143" s="63">
        <f t="shared" si="16"/>
        <v>2312.0765647732537</v>
      </c>
      <c r="AA143" s="63">
        <f t="shared" si="17"/>
        <v>50.068618433587304</v>
      </c>
    </row>
    <row r="144" spans="1:27" x14ac:dyDescent="0.25">
      <c r="A144" s="103" t="s">
        <v>255</v>
      </c>
      <c r="B144" s="20" t="s">
        <v>257</v>
      </c>
      <c r="C144" s="20" t="s">
        <v>73</v>
      </c>
      <c r="D144" s="104" t="s">
        <v>236</v>
      </c>
      <c r="E144" s="15">
        <v>66</v>
      </c>
      <c r="F144" s="15">
        <v>8500</v>
      </c>
      <c r="G144" s="20" t="s">
        <v>218</v>
      </c>
      <c r="H144" s="20">
        <v>0.68</v>
      </c>
      <c r="I144" s="68">
        <f>MAX('Max rate concentrations'!$K$3:$K$368)</f>
        <v>110.00035859694511</v>
      </c>
      <c r="J144" s="68">
        <f>MAX('Max rate concentrations'!AC:AC)</f>
        <v>38.958460336418057</v>
      </c>
      <c r="K144" s="69">
        <f t="shared" si="14"/>
        <v>10.873899272577424</v>
      </c>
      <c r="L144" s="69">
        <f t="shared" ref="L144:L181" si="18">((0.301*F144^0.751)/(1-H144))*J144/F144</f>
        <v>3.8511726590378372</v>
      </c>
      <c r="M144" s="69">
        <f>IF((((1.18*F144^0.874)/3.7-(0.301*F144^0.751)/(1-H144)*H144)*(MAX('Max rate concentrations'!$P$3:$P$368)))/F144&gt;0, (((1.18*F144^0.874)/3.7-(0.301*F144^0.751)/(1-H144)*H144)*(MAX('Max rate concentrations'!$P$3:$P$368)))/F144, 0)</f>
        <v>3.0283818602130495E-2</v>
      </c>
      <c r="N144" s="69">
        <f>IF((((1.18*F144^0.874)/3.7-(0.301*F144^0.751)/(1-H144)*H144)*(MAX('Max rate concentrations'!$Q$3:$Q$368)))/F144&gt;0, (((1.18*F144^0.874)/3.7-(0.301*F144^0.751)/(1-H144)*H144)*(MAX('Max rate concentrations'!$Q$3:$Q$368)))/F144, 0)</f>
        <v>0.11532240843751852</v>
      </c>
      <c r="O144" s="69">
        <f>((MAX('Max rate concentrations'!$F$3:$F$368))*0.62*6.01*8*(10*F144^0.667)*0.079*0.1/F144)*inputs!$E$80/(10^(0.84+0.62*LOG10(inputs!$E$80)))</f>
        <v>7.2153420410315867</v>
      </c>
      <c r="P144" s="69">
        <f>((MAX('Max rate concentrations'!Y:Y))*0.62*6.01*8*(10*F144^0.667)*0.079*0.1/F144)*inputs!$E$80/(10^(0.84+0.62*LOG10(inputs!$E$80)))</f>
        <v>2.4051140136771965</v>
      </c>
      <c r="Q144" s="69">
        <f>(inputs!$C$18*11.2*(10*F144^0.667)*0.5/F144)*inputs!$E$80/(10^(0.84+0.62*LOG10(inputs!$E$80)))</f>
        <v>1.2709484688035533</v>
      </c>
      <c r="R144" s="59">
        <f>(60*284*((F144/1000)^0.77)*3*24*(MAX('Max rate concentrations'!$R$3:$R$368))/F144)*(inputs!$E$73*3.4/inputs!$E$75)</f>
        <v>1.7191762485214389E-2</v>
      </c>
      <c r="S144" s="59">
        <f>(IF(inputs!$C$17="aerial",((0.025*0.112*inputs!$C$18/3.3)*(3*60*284*((F144/1000)^0.77))*MAX(inputs!$I$14:$I$16))/F144,((0.0083*0.112*inputs!$C$18/1)*(3*60*284*((F144/1000)^0.77))*MAX(inputs!$I$14:$I$16))/F144))*(inputs!E$75*3.4/inputs!$E$73)</f>
        <v>9.4813626338776977E-2</v>
      </c>
      <c r="T144" s="63">
        <f>IF((((inputs!$P$13/(V144/MAX(K144:S144)))^(1/inputs!$O$13))-1)/inputs!$N$13&lt;0, 0, IF((((inputs!$P$13/(V144/MAX(K144:S144)))^(1/inputs!$O$13))-1)/inputs!$N$13&lt;inputs!$I$17, (((inputs!$P$13/(V144/MAX(K144:S144)))^(1/inputs!$O$13))-1)/inputs!$N$13, inputs!$I$17))</f>
        <v>1000</v>
      </c>
      <c r="U144" s="63">
        <f>IF((((inputs!$P$13/(X144/MAX(K144:S144)))^(1/inputs!$O$13))-1)/inputs!$N$13&lt;0, 0, IF((((inputs!$P$13/(X144/MAX(K144:S144)))^(1/inputs!$O$13))-1)/inputs!$N$13&lt;inputs!$I$17, (((inputs!$P$13/(X144/MAX(K144:S144)))^(1/inputs!$O$13))-1)/inputs!$N$13, inputs!$I$17))</f>
        <v>49.193846952413985</v>
      </c>
      <c r="V144" s="21">
        <f>inputs!$E$78*(F144/inputs!$F$78)^(inputs!$E$84-1)</f>
        <v>3.6717119117145279E-3</v>
      </c>
      <c r="W144" s="21">
        <f>inputs!$E$85*(F144/inputs!$F$85)^(inputs!$E$84-1)</f>
        <v>0.16955289219602543</v>
      </c>
      <c r="X144" s="21">
        <f>inputs!$E$80*(F144/inputs!$F$80)^(inputs!$E$84-1)</f>
        <v>0.63314054680794307</v>
      </c>
      <c r="Y144" s="21">
        <f>inputs!$E$82*(F144/inputs!$F$82)^(inputs!$E$84-1)</f>
        <v>0.29180447298362827</v>
      </c>
      <c r="Z144" s="63">
        <f t="shared" si="16"/>
        <v>2961.5338931914707</v>
      </c>
      <c r="AA144" s="63">
        <f t="shared" si="17"/>
        <v>64.132785538130292</v>
      </c>
    </row>
    <row r="145" spans="1:27" ht="26.4" x14ac:dyDescent="0.25">
      <c r="A145" s="103" t="s">
        <v>255</v>
      </c>
      <c r="B145" s="20" t="s">
        <v>256</v>
      </c>
      <c r="C145" s="20" t="s">
        <v>73</v>
      </c>
      <c r="D145" s="104" t="s">
        <v>236</v>
      </c>
      <c r="E145" s="15">
        <v>1737</v>
      </c>
      <c r="F145" s="15">
        <v>8500</v>
      </c>
      <c r="G145" s="20" t="s">
        <v>218</v>
      </c>
      <c r="H145" s="20">
        <v>0.68</v>
      </c>
      <c r="I145" s="68">
        <f>MAX('Max rate concentrations'!$K$3:$K$368)</f>
        <v>110.00035859694511</v>
      </c>
      <c r="J145" s="68">
        <f>MAX('Max rate concentrations'!AC:AC)</f>
        <v>38.958460336418057</v>
      </c>
      <c r="K145" s="69">
        <f t="shared" si="14"/>
        <v>10.873899272577424</v>
      </c>
      <c r="L145" s="69">
        <f t="shared" si="18"/>
        <v>3.8511726590378372</v>
      </c>
      <c r="M145" s="69">
        <f>IF((((1.18*F145^0.874)/3.7-(0.301*F145^0.751)/(1-H145)*H145)*(MAX('Max rate concentrations'!$P$3:$P$368)))/F145&gt;0, (((1.18*F145^0.874)/3.7-(0.301*F145^0.751)/(1-H145)*H145)*(MAX('Max rate concentrations'!$P$3:$P$368)))/F145, 0)</f>
        <v>3.0283818602130495E-2</v>
      </c>
      <c r="N145" s="69">
        <f>IF((((1.18*F145^0.874)/3.7-(0.301*F145^0.751)/(1-H145)*H145)*(MAX('Max rate concentrations'!$Q$3:$Q$368)))/F145&gt;0, (((1.18*F145^0.874)/3.7-(0.301*F145^0.751)/(1-H145)*H145)*(MAX('Max rate concentrations'!$Q$3:$Q$368)))/F145, 0)</f>
        <v>0.11532240843751852</v>
      </c>
      <c r="O145" s="69">
        <f>((MAX('Max rate concentrations'!$F$3:$F$368))*0.62*6.01*8*(10*F145^0.667)*0.079*0.1/F145)*inputs!$E$80/(10^(0.84+0.62*LOG10(inputs!$E$80)))</f>
        <v>7.2153420410315867</v>
      </c>
      <c r="P145" s="69">
        <f>((MAX('Max rate concentrations'!Y:Y))*0.62*6.01*8*(10*F145^0.667)*0.079*0.1/F145)*inputs!$E$80/(10^(0.84+0.62*LOG10(inputs!$E$80)))</f>
        <v>2.4051140136771965</v>
      </c>
      <c r="Q145" s="69">
        <f>(inputs!$C$18*11.2*(10*F145^0.667)*0.5/F145)*inputs!$E$80/(10^(0.84+0.62*LOG10(inputs!$E$80)))</f>
        <v>1.2709484688035533</v>
      </c>
      <c r="R145" s="59">
        <f>(60*284*((F145/1000)^0.77)*3*24*(MAX('Max rate concentrations'!$R$3:$R$368))/F145)*(inputs!$E$73*3.4/inputs!$E$75)</f>
        <v>1.7191762485214389E-2</v>
      </c>
      <c r="S145" s="59">
        <f>(IF(inputs!$C$17="aerial",((0.025*0.112*inputs!$C$18/3.3)*(3*60*284*((F145/1000)^0.77))*MAX(inputs!$I$14:$I$16))/F145,((0.0083*0.112*inputs!$C$18/1)*(3*60*284*((F145/1000)^0.77))*MAX(inputs!$I$14:$I$16))/F145))*(inputs!E$75*3.4/inputs!$E$73)</f>
        <v>9.4813626338776977E-2</v>
      </c>
      <c r="T145" s="63">
        <f>IF((((inputs!$P$13/(V145/MAX(K145:S145)))^(1/inputs!$O$13))-1)/inputs!$N$13&lt;0, 0, IF((((inputs!$P$13/(V145/MAX(K145:S145)))^(1/inputs!$O$13))-1)/inputs!$N$13&lt;inputs!$I$17, (((inputs!$P$13/(V145/MAX(K145:S145)))^(1/inputs!$O$13))-1)/inputs!$N$13, inputs!$I$17))</f>
        <v>1000</v>
      </c>
      <c r="U145" s="63">
        <f>IF((((inputs!$P$13/(X145/MAX(K145:S145)))^(1/inputs!$O$13))-1)/inputs!$N$13&lt;0, 0, IF((((inputs!$P$13/(X145/MAX(K145:S145)))^(1/inputs!$O$13))-1)/inputs!$N$13&lt;inputs!$I$17, (((inputs!$P$13/(X145/MAX(K145:S145)))^(1/inputs!$O$13))-1)/inputs!$N$13, inputs!$I$17))</f>
        <v>49.193846952413985</v>
      </c>
      <c r="V145" s="21">
        <f>inputs!$E$78*(F145/inputs!$F$78)^(inputs!$E$84-1)</f>
        <v>3.6717119117145279E-3</v>
      </c>
      <c r="W145" s="21">
        <f>inputs!$E$85*(F145/inputs!$F$85)^(inputs!$E$84-1)</f>
        <v>0.16955289219602543</v>
      </c>
      <c r="X145" s="21">
        <f>inputs!$E$80*(F145/inputs!$F$80)^(inputs!$E$84-1)</f>
        <v>0.63314054680794307</v>
      </c>
      <c r="Y145" s="21">
        <f>inputs!$E$82*(F145/inputs!$F$82)^(inputs!$E$84-1)</f>
        <v>0.29180447298362827</v>
      </c>
      <c r="Z145" s="63">
        <f t="shared" si="16"/>
        <v>2961.5338931914707</v>
      </c>
      <c r="AA145" s="63">
        <f t="shared" si="17"/>
        <v>64.132785538130292</v>
      </c>
    </row>
    <row r="146" spans="1:27" x14ac:dyDescent="0.25">
      <c r="A146" s="103" t="s">
        <v>234</v>
      </c>
      <c r="B146" s="20" t="s">
        <v>237</v>
      </c>
      <c r="C146" s="20" t="s">
        <v>73</v>
      </c>
      <c r="D146" s="104" t="s">
        <v>236</v>
      </c>
      <c r="E146" s="15">
        <v>126</v>
      </c>
      <c r="F146" s="15">
        <v>325</v>
      </c>
      <c r="G146" s="20" t="s">
        <v>142</v>
      </c>
      <c r="H146" s="20">
        <v>0.69</v>
      </c>
      <c r="I146" s="68">
        <f>MAX('Max rate concentrations'!$H$3:$H$368)</f>
        <v>282</v>
      </c>
      <c r="J146" s="68">
        <f>MAX('Max rate concentrations'!AA:AA)</f>
        <v>195</v>
      </c>
      <c r="K146" s="69">
        <f t="shared" si="14"/>
        <v>64.862689600748226</v>
      </c>
      <c r="L146" s="69">
        <f t="shared" si="18"/>
        <v>44.851859830304633</v>
      </c>
      <c r="M146" s="69">
        <f>IF((((1.18*F146^0.874)/3.7-(0.301*F146^0.751)/(1-H146)*H146)*(MAX('Max rate concentrations'!$P$3:$P$368)))/F146&gt;0, (((1.18*F146^0.874)/3.7-(0.301*F146^0.751)/(1-H146)*H146)*(MAX('Max rate concentrations'!$P$3:$P$368)))/F146, 0)</f>
        <v>0</v>
      </c>
      <c r="N146" s="69">
        <f>IF((((1.18*F146^0.874)/3.7-(0.301*F146^0.751)/(1-H146)*H146)*(MAX('Max rate concentrations'!$Q$3:$Q$368)))/F146&gt;0, (((1.18*F146^0.874)/3.7-(0.301*F146^0.751)/(1-H146)*H146)*(MAX('Max rate concentrations'!$Q$3:$Q$368)))/F146, 0)</f>
        <v>0</v>
      </c>
      <c r="O146" s="69">
        <f>((MAX('Max rate concentrations'!$F$3:$F$368))*0.62*6.01*8*(10*F146^0.667)*0.079*0.1/F146)*inputs!$E$80/(10^(0.84+0.62*LOG10(inputs!$E$80)))</f>
        <v>21.394210598911073</v>
      </c>
      <c r="P146" s="69">
        <f>((MAX('Max rate concentrations'!Y:Y))*0.62*6.01*8*(10*F146^0.667)*0.079*0.1/F146)*inputs!$E$80/(10^(0.84+0.62*LOG10(inputs!$E$80)))</f>
        <v>7.1314035329703582</v>
      </c>
      <c r="Q146" s="69">
        <f>(inputs!$C$18*11.2*(10*F146^0.667)*0.5/F146)*inputs!$E$80/(10^(0.84+0.62*LOG10(inputs!$E$80)))</f>
        <v>3.7684892895332864</v>
      </c>
      <c r="R146" s="59">
        <f>(60*284*((F146/1000)^0.77)*3*24*(MAX('Max rate concentrations'!$R$3:$R$368))/F146)*(inputs!$E$73*3.4/inputs!$E$75)</f>
        <v>3.6421143946658498E-2</v>
      </c>
      <c r="S146" s="59">
        <f>(IF(inputs!$C$17="aerial",((0.025*0.112*inputs!$C$18/3.3)*(3*60*284*((F146/1000)^0.77))*MAX(inputs!$I$14:$I$16))/F146,((0.0083*0.112*inputs!$C$18/1)*(3*60*284*((F146/1000)^0.77))*MAX(inputs!$I$14:$I$16))/F146))*(inputs!E$75*3.4/inputs!$E$73)</f>
        <v>0.20086484651932554</v>
      </c>
      <c r="T146" s="63">
        <f>IF((((inputs!$P$13/(V146/MAX(K146:S146)))^(1/inputs!$O$13))-1)/inputs!$N$13&lt;0, 0, IF((((inputs!$P$13/(V146/MAX(K146:S146)))^(1/inputs!$O$13))-1)/inputs!$N$13&lt;inputs!$I$17, (((inputs!$P$13/(V146/MAX(K146:S146)))^(1/inputs!$O$13))-1)/inputs!$N$13, inputs!$I$17))</f>
        <v>1000</v>
      </c>
      <c r="U146" s="63">
        <f>IF((((inputs!$P$13/(X146/MAX(K146:S146)))^(1/inputs!$O$13))-1)/inputs!$N$13&lt;0, 0, IF((((inputs!$P$13/(X146/MAX(K146:S146)))^(1/inputs!$O$13))-1)/inputs!$N$13&lt;inputs!$I$17, (((inputs!$P$13/(X146/MAX(K146:S146)))^(1/inputs!$O$13))-1)/inputs!$N$13, inputs!$I$17))</f>
        <v>81.637156963748808</v>
      </c>
      <c r="V146" s="21">
        <f>inputs!$E$78*(F146/inputs!$F$78)^(inputs!$E$84-1)</f>
        <v>1.2284479428588334E-2</v>
      </c>
      <c r="W146" s="21">
        <f>inputs!$E$85*(F146/inputs!$F$85)^(inputs!$E$84-1)</f>
        <v>0.56727463001505529</v>
      </c>
      <c r="X146" s="21">
        <f>inputs!$E$80*(F146/inputs!$F$80)^(inputs!$E$84-1)</f>
        <v>2.1183039981574847</v>
      </c>
      <c r="Y146" s="21">
        <f>inputs!$E$82*(F146/inputs!$F$82)^(inputs!$E$84-1)</f>
        <v>0.97629283879833606</v>
      </c>
      <c r="Z146" s="63">
        <f t="shared" si="16"/>
        <v>5280.0519531825121</v>
      </c>
      <c r="AA146" s="63">
        <f t="shared" si="17"/>
        <v>114.3408962234514</v>
      </c>
    </row>
    <row r="147" spans="1:27" x14ac:dyDescent="0.25">
      <c r="A147" s="103" t="s">
        <v>234</v>
      </c>
      <c r="B147" s="20" t="s">
        <v>237</v>
      </c>
      <c r="C147" s="20" t="s">
        <v>73</v>
      </c>
      <c r="D147" s="104" t="s">
        <v>236</v>
      </c>
      <c r="E147" s="15">
        <v>126</v>
      </c>
      <c r="F147" s="15">
        <v>325</v>
      </c>
      <c r="G147" s="20" t="s">
        <v>138</v>
      </c>
      <c r="H147" s="20">
        <v>0.68</v>
      </c>
      <c r="I147" s="68">
        <f>MAX('Max rate concentrations'!$L$3:$L$368)</f>
        <v>350.52744091332482</v>
      </c>
      <c r="J147" s="68">
        <f>MAX('Max rate concentrations'!AD:AD)</f>
        <v>242.38599637623525</v>
      </c>
      <c r="K147" s="69">
        <f t="shared" si="14"/>
        <v>78.105134141364559</v>
      </c>
      <c r="L147" s="69">
        <f t="shared" si="18"/>
        <v>54.008869353071248</v>
      </c>
      <c r="M147" s="69">
        <f>IF((((1.18*F147^0.874)/3.7-(0.301*F147^0.751)/(1-H147)*H147)*(MAX('Max rate concentrations'!$P$3:$P$368)))/F147&gt;0, (((1.18*F147^0.874)/3.7-(0.301*F147^0.751)/(1-H147)*H147)*(MAX('Max rate concentrations'!$P$3:$P$368)))/F147, 0)</f>
        <v>2.0566036007968291E-3</v>
      </c>
      <c r="N147" s="69">
        <f>IF((((1.18*F147^0.874)/3.7-(0.301*F147^0.751)/(1-H147)*H147)*(MAX('Max rate concentrations'!$Q$3:$Q$368)))/F147&gt;0, (((1.18*F147^0.874)/3.7-(0.301*F147^0.751)/(1-H147)*H147)*(MAX('Max rate concentrations'!$Q$3:$Q$368)))/F147, 0)</f>
        <v>7.8316570166114367E-3</v>
      </c>
      <c r="O147" s="69">
        <f>((MAX('Max rate concentrations'!$F$3:$F$368))*0.62*6.01*8*(10*F147^0.667)*0.079*0.1/F147)*inputs!$E$80/(10^(0.84+0.62*LOG10(inputs!$E$80)))</f>
        <v>21.394210598911073</v>
      </c>
      <c r="P147" s="69">
        <f>((MAX('Max rate concentrations'!Y:Y))*0.62*6.01*8*(10*F147^0.667)*0.079*0.1/F147)*inputs!$E$80/(10^(0.84+0.62*LOG10(inputs!$E$80)))</f>
        <v>7.1314035329703582</v>
      </c>
      <c r="Q147" s="69">
        <f>(inputs!$C$18*11.2*(10*F147^0.667)*0.5/F147)*inputs!$E$80/(10^(0.84+0.62*LOG10(inputs!$E$80)))</f>
        <v>3.7684892895332864</v>
      </c>
      <c r="R147" s="59">
        <f>(60*284*((F147/1000)^0.77)*3*24*(MAX('Max rate concentrations'!$R$3:$R$368))/F147)*(inputs!$E$73*3.4/inputs!$E$75)</f>
        <v>3.6421143946658498E-2</v>
      </c>
      <c r="S147" s="59">
        <f>(IF(inputs!$C$17="aerial",((0.025*0.112*inputs!$C$18/3.3)*(3*60*284*((F147/1000)^0.77))*MAX(inputs!$I$14:$I$16))/F147,((0.0083*0.112*inputs!$C$18/1)*(3*60*284*((F147/1000)^0.77))*MAX(inputs!$I$14:$I$16))/F147))*(inputs!E$75*3.4/inputs!$E$73)</f>
        <v>0.20086484651932554</v>
      </c>
      <c r="T147" s="63">
        <f>IF((((inputs!$P$13/(V147/MAX(K147:S147)))^(1/inputs!$O$13))-1)/inputs!$N$13&lt;0, 0, IF((((inputs!$P$13/(V147/MAX(K147:S147)))^(1/inputs!$O$13))-1)/inputs!$N$13&lt;inputs!$I$17, (((inputs!$P$13/(V147/MAX(K147:S147)))^(1/inputs!$O$13))-1)/inputs!$N$13, inputs!$I$17))</f>
        <v>1000</v>
      </c>
      <c r="U147" s="63">
        <f>IF((((inputs!$P$13/(X147/MAX(K147:S147)))^(1/inputs!$O$13))-1)/inputs!$N$13&lt;0, 0, IF((((inputs!$P$13/(X147/MAX(K147:S147)))^(1/inputs!$O$13))-1)/inputs!$N$13&lt;inputs!$I$17, (((inputs!$P$13/(X147/MAX(K147:S147)))^(1/inputs!$O$13))-1)/inputs!$N$13, inputs!$I$17))</f>
        <v>95.718749090861166</v>
      </c>
      <c r="V147" s="21">
        <f>inputs!$E$78*(F147/inputs!$F$78)^(inputs!$E$84-1)</f>
        <v>1.2284479428588334E-2</v>
      </c>
      <c r="W147" s="21">
        <f>inputs!$E$85*(F147/inputs!$F$85)^(inputs!$E$84-1)</f>
        <v>0.56727463001505529</v>
      </c>
      <c r="X147" s="21">
        <f>inputs!$E$80*(F147/inputs!$F$80)^(inputs!$E$84-1)</f>
        <v>2.1183039981574847</v>
      </c>
      <c r="Y147" s="21">
        <f>inputs!$E$82*(F147/inputs!$F$82)^(inputs!$E$84-1)</f>
        <v>0.97629283879833606</v>
      </c>
      <c r="Z147" s="63">
        <f t="shared" si="16"/>
        <v>6358.0336957216896</v>
      </c>
      <c r="AA147" s="63">
        <f t="shared" si="17"/>
        <v>137.68487079933695</v>
      </c>
    </row>
    <row r="148" spans="1:27" x14ac:dyDescent="0.25">
      <c r="A148" s="103" t="s">
        <v>234</v>
      </c>
      <c r="B148" s="20" t="s">
        <v>237</v>
      </c>
      <c r="C148" s="20" t="s">
        <v>73</v>
      </c>
      <c r="D148" s="104" t="s">
        <v>236</v>
      </c>
      <c r="E148" s="15">
        <v>126</v>
      </c>
      <c r="F148" s="15">
        <v>325</v>
      </c>
      <c r="G148" s="21" t="s">
        <v>456</v>
      </c>
      <c r="H148" s="20">
        <v>0.68</v>
      </c>
      <c r="I148" s="68">
        <f>MAX('Max rate concentrations'!$J$3:$J$368)</f>
        <v>686.46486205830786</v>
      </c>
      <c r="J148" s="68">
        <f>MAX('Max rate concentrations'!AB:AB)</f>
        <v>243.122971978984</v>
      </c>
      <c r="K148" s="69">
        <f t="shared" si="14"/>
        <v>152.95929469800123</v>
      </c>
      <c r="L148" s="69">
        <f t="shared" si="18"/>
        <v>54.173083538875417</v>
      </c>
      <c r="M148" s="69">
        <f>IF((((1.18*F148^0.874)/3.7-(0.301*F148^0.751)/(1-H148)*H148)*(MAX('Max rate concentrations'!$P$3:$P$368)))/F148&gt;0, (((1.18*F148^0.874)/3.7-(0.301*F148^0.751)/(1-H148)*H148)*(MAX('Max rate concentrations'!$P$3:$P$368)))/F148, 0)</f>
        <v>2.0566036007968291E-3</v>
      </c>
      <c r="N148" s="69">
        <f>IF((((1.18*F148^0.874)/3.7-(0.301*F148^0.751)/(1-H148)*H148)*(MAX('Max rate concentrations'!$Q$3:$Q$368)))/F148&gt;0, (((1.18*F148^0.874)/3.7-(0.301*F148^0.751)/(1-H148)*H148)*(MAX('Max rate concentrations'!$Q$3:$Q$368)))/F148, 0)</f>
        <v>7.8316570166114367E-3</v>
      </c>
      <c r="O148" s="69">
        <f>((MAX('Max rate concentrations'!$F$3:$F$368))*0.62*6.01*8*(10*F148^0.667)*0.079*0.1/F148)*inputs!$E$80/(10^(0.84+0.62*LOG10(inputs!$E$80)))</f>
        <v>21.394210598911073</v>
      </c>
      <c r="P148" s="69">
        <f>((MAX('Max rate concentrations'!Y:Y))*0.62*6.01*8*(10*F148^0.667)*0.079*0.1/F148)*inputs!$E$80/(10^(0.84+0.62*LOG10(inputs!$E$80)))</f>
        <v>7.1314035329703582</v>
      </c>
      <c r="Q148" s="69">
        <f>(inputs!$C$18*11.2*(10*F148^0.667)*0.5/F148)*inputs!$E$80/(10^(0.84+0.62*LOG10(inputs!$E$80)))</f>
        <v>3.7684892895332864</v>
      </c>
      <c r="R148" s="59">
        <f>(60*284*((F148/1000)^0.77)*3*24*(MAX('Max rate concentrations'!$R$3:$R$368))/F148)*(inputs!$E$73*3.4/inputs!$E$75)</f>
        <v>3.6421143946658498E-2</v>
      </c>
      <c r="S148" s="59">
        <f>(IF(inputs!$C$17="aerial",((0.025*0.112*inputs!$C$18/3.3)*(3*60*284*((F148/1000)^0.77))*MAX(inputs!$I$14:$I$16))/F148,((0.0083*0.112*inputs!$C$18/1)*(3*60*284*((F148/1000)^0.77))*MAX(inputs!$I$14:$I$16))/F148))*(inputs!E$75*3.4/inputs!$E$73)</f>
        <v>0.20086484651932554</v>
      </c>
      <c r="T148" s="63">
        <f>IF((((inputs!$P$13/(V148/MAX(K148:S148)))^(1/inputs!$O$13))-1)/inputs!$N$13&lt;0, 0, IF((((inputs!$P$13/(V148/MAX(K148:S148)))^(1/inputs!$O$13))-1)/inputs!$N$13&lt;inputs!$I$17, (((inputs!$P$13/(V148/MAX(K148:S148)))^(1/inputs!$O$13))-1)/inputs!$N$13, inputs!$I$17))</f>
        <v>1000</v>
      </c>
      <c r="U148" s="63">
        <f>IF((((inputs!$P$13/(X148/MAX(K148:S148)))^(1/inputs!$O$13))-1)/inputs!$N$13&lt;0, 0, IF((((inputs!$P$13/(X148/MAX(K148:S148)))^(1/inputs!$O$13))-1)/inputs!$N$13&lt;inputs!$I$17, (((inputs!$P$13/(X148/MAX(K148:S148)))^(1/inputs!$O$13))-1)/inputs!$N$13, inputs!$I$17))</f>
        <v>168.60759178068506</v>
      </c>
      <c r="V148" s="21">
        <f>inputs!$E$78*(F148/inputs!$F$78)^(inputs!$E$84-1)</f>
        <v>1.2284479428588334E-2</v>
      </c>
      <c r="W148" s="21">
        <f>inputs!$E$85*(F148/inputs!$F$85)^(inputs!$E$84-1)</f>
        <v>0.56727463001505529</v>
      </c>
      <c r="X148" s="21">
        <f>inputs!$E$80*(F148/inputs!$F$80)^(inputs!$E$84-1)</f>
        <v>2.1183039981574847</v>
      </c>
      <c r="Y148" s="21">
        <f>inputs!$E$82*(F148/inputs!$F$82)^(inputs!$E$84-1)</f>
        <v>0.97629283879833606</v>
      </c>
      <c r="Z148" s="63">
        <f t="shared" si="16"/>
        <v>12451.426662983837</v>
      </c>
      <c r="AA148" s="63">
        <f t="shared" si="17"/>
        <v>269.63887789930203</v>
      </c>
    </row>
    <row r="149" spans="1:27" x14ac:dyDescent="0.25">
      <c r="A149" s="103" t="s">
        <v>234</v>
      </c>
      <c r="B149" s="20" t="s">
        <v>237</v>
      </c>
      <c r="C149" s="20" t="s">
        <v>73</v>
      </c>
      <c r="D149" s="104" t="s">
        <v>236</v>
      </c>
      <c r="E149" s="15">
        <v>126</v>
      </c>
      <c r="F149" s="15">
        <v>325</v>
      </c>
      <c r="G149" s="20" t="s">
        <v>145</v>
      </c>
      <c r="H149" s="20">
        <v>0.66</v>
      </c>
      <c r="I149" s="68">
        <f>MAX('Max rate concentrations'!$M$3:$M$368)</f>
        <v>17.092910873809167</v>
      </c>
      <c r="J149" s="68">
        <f>MAX('Max rate concentrations'!AE:AE)</f>
        <v>11.81956602976166</v>
      </c>
      <c r="K149" s="69">
        <f t="shared" si="14"/>
        <v>3.5846325973941693</v>
      </c>
      <c r="L149" s="69">
        <f t="shared" si="18"/>
        <v>2.4787353067087343</v>
      </c>
      <c r="M149" s="69">
        <f>IF((((1.18*F149^0.874)/3.7-(0.301*F149^0.751)/(1-H149)*H149)*(MAX('Max rate concentrations'!$P$3:$P$368)))/F149&gt;0, (((1.18*F149^0.874)/3.7-(0.301*F149^0.751)/(1-H149)*H149)*(MAX('Max rate concentrations'!$P$3:$P$368)))/F149, 0)</f>
        <v>1.3471475393241837E-2</v>
      </c>
      <c r="N149" s="69">
        <f>IF((((1.18*F149^0.874)/3.7-(0.301*F149^0.751)/(1-H149)*H149)*(MAX('Max rate concentrations'!$Q$3:$Q$368)))/F149&gt;0, (((1.18*F149^0.874)/3.7-(0.301*F149^0.751)/(1-H149)*H149)*(MAX('Max rate concentrations'!$Q$3:$Q$368)))/F149, 0)</f>
        <v>5.130010214253896E-2</v>
      </c>
      <c r="O149" s="69">
        <f>((MAX('Max rate concentrations'!$F$3:$F$368))*0.62*6.01*8*(10*F149^0.667)*0.079*0.1/F149)*inputs!$E$80/(10^(0.84+0.62*LOG10(inputs!$E$80)))</f>
        <v>21.394210598911073</v>
      </c>
      <c r="P149" s="69">
        <f>((MAX('Max rate concentrations'!Y:Y))*0.62*6.01*8*(10*F149^0.667)*0.079*0.1/F149)*inputs!$E$80/(10^(0.84+0.62*LOG10(inputs!$E$80)))</f>
        <v>7.1314035329703582</v>
      </c>
      <c r="Q149" s="69">
        <f>(inputs!$C$18*11.2*(10*F149^0.667)*0.5/F149)*inputs!$E$80/(10^(0.84+0.62*LOG10(inputs!$E$80)))</f>
        <v>3.7684892895332864</v>
      </c>
      <c r="R149" s="59">
        <f>(60*284*((F149/1000)^0.77)*3*24*(MAX('Max rate concentrations'!$R$3:$R$368))/F149)*(inputs!$E$73*3.4/inputs!$E$75)</f>
        <v>3.6421143946658498E-2</v>
      </c>
      <c r="S149" s="59">
        <f>(IF(inputs!$C$17="aerial",((0.025*0.112*inputs!$C$18/3.3)*(3*60*284*((F149/1000)^0.77))*MAX(inputs!$I$14:$I$16))/F149,((0.0083*0.112*inputs!$C$18/1)*(3*60*284*((F149/1000)^0.77))*MAX(inputs!$I$14:$I$16))/F149))*(inputs!E$75*3.4/inputs!$E$73)</f>
        <v>0.20086484651932554</v>
      </c>
      <c r="T149" s="63">
        <f>IF((((inputs!$P$13/(V149/MAX(K149:S149)))^(1/inputs!$O$13))-1)/inputs!$N$13&lt;0, 0, IF((((inputs!$P$13/(V149/MAX(K149:S149)))^(1/inputs!$O$13))-1)/inputs!$N$13&lt;inputs!$I$17, (((inputs!$P$13/(V149/MAX(K149:S149)))^(1/inputs!$O$13))-1)/inputs!$N$13, inputs!$I$17))</f>
        <v>1000</v>
      </c>
      <c r="U149" s="63">
        <f>IF((((inputs!$P$13/(X149/MAX(K149:S149)))^(1/inputs!$O$13))-1)/inputs!$N$13&lt;0, 0, IF((((inputs!$P$13/(X149/MAX(K149:S149)))^(1/inputs!$O$13))-1)/inputs!$N$13&lt;inputs!$I$17, (((inputs!$P$13/(X149/MAX(K149:S149)))^(1/inputs!$O$13))-1)/inputs!$N$13, inputs!$I$17))</f>
        <v>30.197440905466912</v>
      </c>
      <c r="V149" s="21">
        <f>inputs!$E$78*(F149/inputs!$F$78)^(inputs!$E$84-1)</f>
        <v>1.2284479428588334E-2</v>
      </c>
      <c r="W149" s="21">
        <f>inputs!$E$85*(F149/inputs!$F$85)^(inputs!$E$84-1)</f>
        <v>0.56727463001505529</v>
      </c>
      <c r="X149" s="21">
        <f>inputs!$E$80*(F149/inputs!$F$80)^(inputs!$E$84-1)</f>
        <v>2.1183039981574847</v>
      </c>
      <c r="Y149" s="21">
        <f>inputs!$E$82*(F149/inputs!$F$82)^(inputs!$E$84-1)</f>
        <v>0.97629283879833606</v>
      </c>
      <c r="Z149" s="63">
        <f t="shared" si="16"/>
        <v>1741.5642822538048</v>
      </c>
      <c r="AA149" s="63">
        <f t="shared" si="17"/>
        <v>37.714026799229991</v>
      </c>
    </row>
    <row r="150" spans="1:27" x14ac:dyDescent="0.25">
      <c r="A150" s="103" t="s">
        <v>234</v>
      </c>
      <c r="B150" s="20" t="s">
        <v>235</v>
      </c>
      <c r="C150" s="20" t="s">
        <v>73</v>
      </c>
      <c r="D150" s="104" t="s">
        <v>236</v>
      </c>
      <c r="E150" s="15">
        <v>9122</v>
      </c>
      <c r="F150" s="15">
        <v>325</v>
      </c>
      <c r="G150" s="20" t="s">
        <v>142</v>
      </c>
      <c r="H150" s="20">
        <v>0.69</v>
      </c>
      <c r="I150" s="68">
        <f>MAX('Max rate concentrations'!$H$3:$H$368)</f>
        <v>282</v>
      </c>
      <c r="J150" s="68">
        <f>MAX('Max rate concentrations'!AA:AA)</f>
        <v>195</v>
      </c>
      <c r="K150" s="69">
        <f t="shared" si="14"/>
        <v>64.862689600748226</v>
      </c>
      <c r="L150" s="69">
        <f t="shared" si="18"/>
        <v>44.851859830304633</v>
      </c>
      <c r="M150" s="69">
        <f>IF((((1.18*F150^0.874)/3.7-(0.301*F150^0.751)/(1-H150)*H150)*(MAX('Max rate concentrations'!$P$3:$P$368)))/F150&gt;0, (((1.18*F150^0.874)/3.7-(0.301*F150^0.751)/(1-H150)*H150)*(MAX('Max rate concentrations'!$P$3:$P$368)))/F150, 0)</f>
        <v>0</v>
      </c>
      <c r="N150" s="69">
        <f>IF((((1.18*F150^0.874)/3.7-(0.301*F150^0.751)/(1-H150)*H150)*(MAX('Max rate concentrations'!$Q$3:$Q$368)))/F150&gt;0, (((1.18*F150^0.874)/3.7-(0.301*F150^0.751)/(1-H150)*H150)*(MAX('Max rate concentrations'!$Q$3:$Q$368)))/F150, 0)</f>
        <v>0</v>
      </c>
      <c r="O150" s="69">
        <f>((MAX('Max rate concentrations'!$F$3:$F$368))*0.62*6.01*8*(10*F150^0.667)*0.079*0.1/F150)*inputs!$E$80/(10^(0.84+0.62*LOG10(inputs!$E$80)))</f>
        <v>21.394210598911073</v>
      </c>
      <c r="P150" s="69">
        <f>((MAX('Max rate concentrations'!Y:Y))*0.62*6.01*8*(10*F150^0.667)*0.079*0.1/F150)*inputs!$E$80/(10^(0.84+0.62*LOG10(inputs!$E$80)))</f>
        <v>7.1314035329703582</v>
      </c>
      <c r="Q150" s="69">
        <f>(inputs!$C$18*11.2*(10*F150^0.667)*0.5/F150)*inputs!$E$80/(10^(0.84+0.62*LOG10(inputs!$E$80)))</f>
        <v>3.7684892895332864</v>
      </c>
      <c r="R150" s="59">
        <f>(60*284*((F150/1000)^0.77)*3*24*(MAX('Max rate concentrations'!$R$3:$R$368))/F150)*(inputs!$E$73*3.4/inputs!$E$75)</f>
        <v>3.6421143946658498E-2</v>
      </c>
      <c r="S150" s="59">
        <f>(IF(inputs!$C$17="aerial",((0.025*0.112*inputs!$C$18/3.3)*(3*60*284*((F150/1000)^0.77))*MAX(inputs!$I$14:$I$16))/F150,((0.0083*0.112*inputs!$C$18/1)*(3*60*284*((F150/1000)^0.77))*MAX(inputs!$I$14:$I$16))/F150))*(inputs!E$75*3.4/inputs!$E$73)</f>
        <v>0.20086484651932554</v>
      </c>
      <c r="T150" s="63">
        <f>IF((((inputs!$P$13/(V150/MAX(K150:S150)))^(1/inputs!$O$13))-1)/inputs!$N$13&lt;0, 0, IF((((inputs!$P$13/(V150/MAX(K150:S150)))^(1/inputs!$O$13))-1)/inputs!$N$13&lt;inputs!$I$17, (((inputs!$P$13/(V150/MAX(K150:S150)))^(1/inputs!$O$13))-1)/inputs!$N$13, inputs!$I$17))</f>
        <v>1000</v>
      </c>
      <c r="U150" s="63">
        <f>IF((((inputs!$P$13/(X150/MAX(K150:S150)))^(1/inputs!$O$13))-1)/inputs!$N$13&lt;0, 0, IF((((inputs!$P$13/(X150/MAX(K150:S150)))^(1/inputs!$O$13))-1)/inputs!$N$13&lt;inputs!$I$17, (((inputs!$P$13/(X150/MAX(K150:S150)))^(1/inputs!$O$13))-1)/inputs!$N$13, inputs!$I$17))</f>
        <v>81.637156963748808</v>
      </c>
      <c r="V150" s="21">
        <f>inputs!$E$78*(F150/inputs!$F$78)^(inputs!$E$84-1)</f>
        <v>1.2284479428588334E-2</v>
      </c>
      <c r="W150" s="21">
        <f>inputs!$E$85*(F150/inputs!$F$85)^(inputs!$E$84-1)</f>
        <v>0.56727463001505529</v>
      </c>
      <c r="X150" s="21">
        <f>inputs!$E$80*(F150/inputs!$F$80)^(inputs!$E$84-1)</f>
        <v>2.1183039981574847</v>
      </c>
      <c r="Y150" s="21">
        <f>inputs!$E$82*(F150/inputs!$F$82)^(inputs!$E$84-1)</f>
        <v>0.97629283879833606</v>
      </c>
      <c r="Z150" s="63">
        <f t="shared" si="16"/>
        <v>5280.0519531825121</v>
      </c>
      <c r="AA150" s="63">
        <f t="shared" si="17"/>
        <v>114.3408962234514</v>
      </c>
    </row>
    <row r="151" spans="1:27" x14ac:dyDescent="0.25">
      <c r="A151" s="103" t="s">
        <v>234</v>
      </c>
      <c r="B151" s="20" t="s">
        <v>235</v>
      </c>
      <c r="C151" s="20" t="s">
        <v>73</v>
      </c>
      <c r="D151" s="104" t="s">
        <v>236</v>
      </c>
      <c r="E151" s="15">
        <v>9122</v>
      </c>
      <c r="F151" s="15">
        <v>325</v>
      </c>
      <c r="G151" s="20" t="s">
        <v>138</v>
      </c>
      <c r="H151" s="20">
        <v>0.68</v>
      </c>
      <c r="I151" s="68">
        <f>MAX('Max rate concentrations'!$L$3:$L$368)</f>
        <v>350.52744091332482</v>
      </c>
      <c r="J151" s="68">
        <f>MAX('Max rate concentrations'!AD:AD)</f>
        <v>242.38599637623525</v>
      </c>
      <c r="K151" s="69">
        <f t="shared" si="14"/>
        <v>78.105134141364559</v>
      </c>
      <c r="L151" s="69">
        <f t="shared" si="18"/>
        <v>54.008869353071248</v>
      </c>
      <c r="M151" s="69">
        <f>IF((((1.18*F151^0.874)/3.7-(0.301*F151^0.751)/(1-H151)*H151)*(MAX('Max rate concentrations'!$P$3:$P$368)))/F151&gt;0, (((1.18*F151^0.874)/3.7-(0.301*F151^0.751)/(1-H151)*H151)*(MAX('Max rate concentrations'!$P$3:$P$368)))/F151, 0)</f>
        <v>2.0566036007968291E-3</v>
      </c>
      <c r="N151" s="69">
        <f>IF((((1.18*F151^0.874)/3.7-(0.301*F151^0.751)/(1-H151)*H151)*(MAX('Max rate concentrations'!$Q$3:$Q$368)))/F151&gt;0, (((1.18*F151^0.874)/3.7-(0.301*F151^0.751)/(1-H151)*H151)*(MAX('Max rate concentrations'!$Q$3:$Q$368)))/F151, 0)</f>
        <v>7.8316570166114367E-3</v>
      </c>
      <c r="O151" s="69">
        <f>((MAX('Max rate concentrations'!$F$3:$F$368))*0.62*6.01*8*(10*F151^0.667)*0.079*0.1/F151)*inputs!$E$80/(10^(0.84+0.62*LOG10(inputs!$E$80)))</f>
        <v>21.394210598911073</v>
      </c>
      <c r="P151" s="69">
        <f>((MAX('Max rate concentrations'!Y:Y))*0.62*6.01*8*(10*F151^0.667)*0.079*0.1/F151)*inputs!$E$80/(10^(0.84+0.62*LOG10(inputs!$E$80)))</f>
        <v>7.1314035329703582</v>
      </c>
      <c r="Q151" s="69">
        <f>(inputs!$C$18*11.2*(10*F151^0.667)*0.5/F151)*inputs!$E$80/(10^(0.84+0.62*LOG10(inputs!$E$80)))</f>
        <v>3.7684892895332864</v>
      </c>
      <c r="R151" s="59">
        <f>(60*284*((F151/1000)^0.77)*3*24*(MAX('Max rate concentrations'!$R$3:$R$368))/F151)*(inputs!$E$73*3.4/inputs!$E$75)</f>
        <v>3.6421143946658498E-2</v>
      </c>
      <c r="S151" s="59">
        <f>(IF(inputs!$C$17="aerial",((0.025*0.112*inputs!$C$18/3.3)*(3*60*284*((F151/1000)^0.77))*MAX(inputs!$I$14:$I$16))/F151,((0.0083*0.112*inputs!$C$18/1)*(3*60*284*((F151/1000)^0.77))*MAX(inputs!$I$14:$I$16))/F151))*(inputs!E$75*3.4/inputs!$E$73)</f>
        <v>0.20086484651932554</v>
      </c>
      <c r="T151" s="63">
        <f>IF((((inputs!$P$13/(V151/MAX(K151:S151)))^(1/inputs!$O$13))-1)/inputs!$N$13&lt;0, 0, IF((((inputs!$P$13/(V151/MAX(K151:S151)))^(1/inputs!$O$13))-1)/inputs!$N$13&lt;inputs!$I$17, (((inputs!$P$13/(V151/MAX(K151:S151)))^(1/inputs!$O$13))-1)/inputs!$N$13, inputs!$I$17))</f>
        <v>1000</v>
      </c>
      <c r="U151" s="63">
        <f>IF((((inputs!$P$13/(X151/MAX(K151:S151)))^(1/inputs!$O$13))-1)/inputs!$N$13&lt;0, 0, IF((((inputs!$P$13/(X151/MAX(K151:S151)))^(1/inputs!$O$13))-1)/inputs!$N$13&lt;inputs!$I$17, (((inputs!$P$13/(X151/MAX(K151:S151)))^(1/inputs!$O$13))-1)/inputs!$N$13, inputs!$I$17))</f>
        <v>95.718749090861166</v>
      </c>
      <c r="V151" s="21">
        <f>inputs!$E$78*(F151/inputs!$F$78)^(inputs!$E$84-1)</f>
        <v>1.2284479428588334E-2</v>
      </c>
      <c r="W151" s="21">
        <f>inputs!$E$85*(F151/inputs!$F$85)^(inputs!$E$84-1)</f>
        <v>0.56727463001505529</v>
      </c>
      <c r="X151" s="21">
        <f>inputs!$E$80*(F151/inputs!$F$80)^(inputs!$E$84-1)</f>
        <v>2.1183039981574847</v>
      </c>
      <c r="Y151" s="21">
        <f>inputs!$E$82*(F151/inputs!$F$82)^(inputs!$E$84-1)</f>
        <v>0.97629283879833606</v>
      </c>
      <c r="Z151" s="63">
        <f t="shared" si="16"/>
        <v>6358.0336957216896</v>
      </c>
      <c r="AA151" s="63">
        <f t="shared" si="17"/>
        <v>137.68487079933695</v>
      </c>
    </row>
    <row r="152" spans="1:27" x14ac:dyDescent="0.25">
      <c r="A152" s="103" t="s">
        <v>234</v>
      </c>
      <c r="B152" s="20" t="s">
        <v>235</v>
      </c>
      <c r="C152" s="20" t="s">
        <v>73</v>
      </c>
      <c r="D152" s="104" t="s">
        <v>236</v>
      </c>
      <c r="E152" s="15">
        <v>9122</v>
      </c>
      <c r="F152" s="15">
        <v>325</v>
      </c>
      <c r="G152" s="21" t="s">
        <v>456</v>
      </c>
      <c r="H152" s="20">
        <v>0.68</v>
      </c>
      <c r="I152" s="68">
        <f>MAX('Max rate concentrations'!$J$3:$J$368)</f>
        <v>686.46486205830786</v>
      </c>
      <c r="J152" s="68">
        <f>MAX('Max rate concentrations'!AB:AB)</f>
        <v>243.122971978984</v>
      </c>
      <c r="K152" s="69">
        <f t="shared" si="14"/>
        <v>152.95929469800123</v>
      </c>
      <c r="L152" s="69">
        <f t="shared" si="18"/>
        <v>54.173083538875417</v>
      </c>
      <c r="M152" s="69">
        <f>IF((((1.18*F152^0.874)/3.7-(0.301*F152^0.751)/(1-H152)*H152)*(MAX('Max rate concentrations'!$P$3:$P$368)))/F152&gt;0, (((1.18*F152^0.874)/3.7-(0.301*F152^0.751)/(1-H152)*H152)*(MAX('Max rate concentrations'!$P$3:$P$368)))/F152, 0)</f>
        <v>2.0566036007968291E-3</v>
      </c>
      <c r="N152" s="69">
        <f>IF((((1.18*F152^0.874)/3.7-(0.301*F152^0.751)/(1-H152)*H152)*(MAX('Max rate concentrations'!$Q$3:$Q$368)))/F152&gt;0, (((1.18*F152^0.874)/3.7-(0.301*F152^0.751)/(1-H152)*H152)*(MAX('Max rate concentrations'!$Q$3:$Q$368)))/F152, 0)</f>
        <v>7.8316570166114367E-3</v>
      </c>
      <c r="O152" s="69">
        <f>((MAX('Max rate concentrations'!$F$3:$F$368))*0.62*6.01*8*(10*F152^0.667)*0.079*0.1/F152)*inputs!$E$80/(10^(0.84+0.62*LOG10(inputs!$E$80)))</f>
        <v>21.394210598911073</v>
      </c>
      <c r="P152" s="69">
        <f>((MAX('Max rate concentrations'!Y:Y))*0.62*6.01*8*(10*F152^0.667)*0.079*0.1/F152)*inputs!$E$80/(10^(0.84+0.62*LOG10(inputs!$E$80)))</f>
        <v>7.1314035329703582</v>
      </c>
      <c r="Q152" s="69">
        <f>(inputs!$C$18*11.2*(10*F152^0.667)*0.5/F152)*inputs!$E$80/(10^(0.84+0.62*LOG10(inputs!$E$80)))</f>
        <v>3.7684892895332864</v>
      </c>
      <c r="R152" s="59">
        <f>(60*284*((F152/1000)^0.77)*3*24*(MAX('Max rate concentrations'!$R$3:$R$368))/F152)*(inputs!$E$73*3.4/inputs!$E$75)</f>
        <v>3.6421143946658498E-2</v>
      </c>
      <c r="S152" s="59">
        <f>(IF(inputs!$C$17="aerial",((0.025*0.112*inputs!$C$18/3.3)*(3*60*284*((F152/1000)^0.77))*MAX(inputs!$I$14:$I$16))/F152,((0.0083*0.112*inputs!$C$18/1)*(3*60*284*((F152/1000)^0.77))*MAX(inputs!$I$14:$I$16))/F152))*(inputs!E$75*3.4/inputs!$E$73)</f>
        <v>0.20086484651932554</v>
      </c>
      <c r="T152" s="63">
        <f>IF((((inputs!$P$13/(V152/MAX(K152:S152)))^(1/inputs!$O$13))-1)/inputs!$N$13&lt;0, 0, IF((((inputs!$P$13/(V152/MAX(K152:S152)))^(1/inputs!$O$13))-1)/inputs!$N$13&lt;inputs!$I$17, (((inputs!$P$13/(V152/MAX(K152:S152)))^(1/inputs!$O$13))-1)/inputs!$N$13, inputs!$I$17))</f>
        <v>1000</v>
      </c>
      <c r="U152" s="63">
        <f>IF((((inputs!$P$13/(X152/MAX(K152:S152)))^(1/inputs!$O$13))-1)/inputs!$N$13&lt;0, 0, IF((((inputs!$P$13/(X152/MAX(K152:S152)))^(1/inputs!$O$13))-1)/inputs!$N$13&lt;inputs!$I$17, (((inputs!$P$13/(X152/MAX(K152:S152)))^(1/inputs!$O$13))-1)/inputs!$N$13, inputs!$I$17))</f>
        <v>168.60759178068506</v>
      </c>
      <c r="V152" s="21">
        <f>inputs!$E$78*(F152/inputs!$F$78)^(inputs!$E$84-1)</f>
        <v>1.2284479428588334E-2</v>
      </c>
      <c r="W152" s="21">
        <f>inputs!$E$85*(F152/inputs!$F$85)^(inputs!$E$84-1)</f>
        <v>0.56727463001505529</v>
      </c>
      <c r="X152" s="21">
        <f>inputs!$E$80*(F152/inputs!$F$80)^(inputs!$E$84-1)</f>
        <v>2.1183039981574847</v>
      </c>
      <c r="Y152" s="21">
        <f>inputs!$E$82*(F152/inputs!$F$82)^(inputs!$E$84-1)</f>
        <v>0.97629283879833606</v>
      </c>
      <c r="Z152" s="63">
        <f t="shared" si="16"/>
        <v>12451.426662983837</v>
      </c>
      <c r="AA152" s="63">
        <f t="shared" si="17"/>
        <v>269.63887789930203</v>
      </c>
    </row>
    <row r="153" spans="1:27" x14ac:dyDescent="0.25">
      <c r="A153" s="103" t="s">
        <v>234</v>
      </c>
      <c r="B153" s="20" t="s">
        <v>235</v>
      </c>
      <c r="C153" s="20" t="s">
        <v>73</v>
      </c>
      <c r="D153" s="104" t="s">
        <v>236</v>
      </c>
      <c r="E153" s="15">
        <v>9122</v>
      </c>
      <c r="F153" s="15">
        <v>325</v>
      </c>
      <c r="G153" s="20" t="s">
        <v>145</v>
      </c>
      <c r="H153" s="20">
        <v>0.66</v>
      </c>
      <c r="I153" s="68">
        <f>MAX('Max rate concentrations'!$M$3:$M$368)</f>
        <v>17.092910873809167</v>
      </c>
      <c r="J153" s="68">
        <f>MAX('Max rate concentrations'!AE:AE)</f>
        <v>11.81956602976166</v>
      </c>
      <c r="K153" s="69">
        <f t="shared" si="14"/>
        <v>3.5846325973941693</v>
      </c>
      <c r="L153" s="69">
        <f t="shared" si="18"/>
        <v>2.4787353067087343</v>
      </c>
      <c r="M153" s="69">
        <f>IF((((1.18*F153^0.874)/3.7-(0.301*F153^0.751)/(1-H153)*H153)*(MAX('Max rate concentrations'!$P$3:$P$368)))/F153&gt;0, (((1.18*F153^0.874)/3.7-(0.301*F153^0.751)/(1-H153)*H153)*(MAX('Max rate concentrations'!$P$3:$P$368)))/F153, 0)</f>
        <v>1.3471475393241837E-2</v>
      </c>
      <c r="N153" s="69">
        <f>IF((((1.18*F153^0.874)/3.7-(0.301*F153^0.751)/(1-H153)*H153)*(MAX('Max rate concentrations'!$Q$3:$Q$368)))/F153&gt;0, (((1.18*F153^0.874)/3.7-(0.301*F153^0.751)/(1-H153)*H153)*(MAX('Max rate concentrations'!$Q$3:$Q$368)))/F153, 0)</f>
        <v>5.130010214253896E-2</v>
      </c>
      <c r="O153" s="69">
        <f>((MAX('Max rate concentrations'!$F$3:$F$368))*0.62*6.01*8*(10*F153^0.667)*0.079*0.1/F153)*inputs!$E$80/(10^(0.84+0.62*LOG10(inputs!$E$80)))</f>
        <v>21.394210598911073</v>
      </c>
      <c r="P153" s="69">
        <f>((MAX('Max rate concentrations'!Y:Y))*0.62*6.01*8*(10*F153^0.667)*0.079*0.1/F153)*inputs!$E$80/(10^(0.84+0.62*LOG10(inputs!$E$80)))</f>
        <v>7.1314035329703582</v>
      </c>
      <c r="Q153" s="69">
        <f>(inputs!$C$18*11.2*(10*F153^0.667)*0.5/F153)*inputs!$E$80/(10^(0.84+0.62*LOG10(inputs!$E$80)))</f>
        <v>3.7684892895332864</v>
      </c>
      <c r="R153" s="59">
        <f>(60*284*((F153/1000)^0.77)*3*24*(MAX('Max rate concentrations'!$R$3:$R$368))/F153)*(inputs!$E$73*3.4/inputs!$E$75)</f>
        <v>3.6421143946658498E-2</v>
      </c>
      <c r="S153" s="59">
        <f>(IF(inputs!$C$17="aerial",((0.025*0.112*inputs!$C$18/3.3)*(3*60*284*((F153/1000)^0.77))*MAX(inputs!$I$14:$I$16))/F153,((0.0083*0.112*inputs!$C$18/1)*(3*60*284*((F153/1000)^0.77))*MAX(inputs!$I$14:$I$16))/F153))*(inputs!E$75*3.4/inputs!$E$73)</f>
        <v>0.20086484651932554</v>
      </c>
      <c r="T153" s="63">
        <f>IF((((inputs!$P$13/(V153/MAX(K153:S153)))^(1/inputs!$O$13))-1)/inputs!$N$13&lt;0, 0, IF((((inputs!$P$13/(V153/MAX(K153:S153)))^(1/inputs!$O$13))-1)/inputs!$N$13&lt;inputs!$I$17, (((inputs!$P$13/(V153/MAX(K153:S153)))^(1/inputs!$O$13))-1)/inputs!$N$13, inputs!$I$17))</f>
        <v>1000</v>
      </c>
      <c r="U153" s="63">
        <f>IF((((inputs!$P$13/(X153/MAX(K153:S153)))^(1/inputs!$O$13))-1)/inputs!$N$13&lt;0, 0, IF((((inputs!$P$13/(X153/MAX(K153:S153)))^(1/inputs!$O$13))-1)/inputs!$N$13&lt;inputs!$I$17, (((inputs!$P$13/(X153/MAX(K153:S153)))^(1/inputs!$O$13))-1)/inputs!$N$13, inputs!$I$17))</f>
        <v>30.197440905466912</v>
      </c>
      <c r="V153" s="21">
        <f>inputs!$E$78*(F153/inputs!$F$78)^(inputs!$E$84-1)</f>
        <v>1.2284479428588334E-2</v>
      </c>
      <c r="W153" s="21">
        <f>inputs!$E$85*(F153/inputs!$F$85)^(inputs!$E$84-1)</f>
        <v>0.56727463001505529</v>
      </c>
      <c r="X153" s="21">
        <f>inputs!$E$80*(F153/inputs!$F$80)^(inputs!$E$84-1)</f>
        <v>2.1183039981574847</v>
      </c>
      <c r="Y153" s="21">
        <f>inputs!$E$82*(F153/inputs!$F$82)^(inputs!$E$84-1)</f>
        <v>0.97629283879833606</v>
      </c>
      <c r="Z153" s="63">
        <f t="shared" si="16"/>
        <v>1741.5642822538048</v>
      </c>
      <c r="AA153" s="63">
        <f t="shared" si="17"/>
        <v>37.714026799229991</v>
      </c>
    </row>
    <row r="154" spans="1:27" x14ac:dyDescent="0.25">
      <c r="A154" s="103" t="s">
        <v>364</v>
      </c>
      <c r="B154" s="20" t="s">
        <v>365</v>
      </c>
      <c r="C154" s="20" t="s">
        <v>73</v>
      </c>
      <c r="D154" s="104" t="s">
        <v>204</v>
      </c>
      <c r="E154" s="15">
        <v>83</v>
      </c>
      <c r="F154" s="15">
        <v>737</v>
      </c>
      <c r="G154" s="20" t="s">
        <v>142</v>
      </c>
      <c r="H154" s="20">
        <v>0.69</v>
      </c>
      <c r="I154" s="68">
        <f>MAX('Max rate concentrations'!$H$3:$H$368)</f>
        <v>282</v>
      </c>
      <c r="J154" s="68">
        <f>MAX('Max rate concentrations'!AA:AA)</f>
        <v>195</v>
      </c>
      <c r="K154" s="69">
        <f t="shared" si="14"/>
        <v>52.89985792075705</v>
      </c>
      <c r="L154" s="69">
        <f t="shared" si="18"/>
        <v>36.579688987757535</v>
      </c>
      <c r="M154" s="69">
        <f>IF((((1.18*F154^0.874)/3.7-(0.301*F154^0.751)/(1-H154)*H154)*(MAX('Max rate concentrations'!$P$3:$P$368)))/F154&gt;0, (((1.18*F154^0.874)/3.7-(0.301*F154^0.751)/(1-H154)*H154)*(MAX('Max rate concentrations'!$P$3:$P$368)))/F154, 0)</f>
        <v>8.1523441403862935E-3</v>
      </c>
      <c r="N154" s="69">
        <f>IF((((1.18*F154^0.874)/3.7-(0.301*F154^0.751)/(1-H154)*H154)*(MAX('Max rate concentrations'!$Q$3:$Q$368)))/F154&gt;0, (((1.18*F154^0.874)/3.7-(0.301*F154^0.751)/(1-H154)*H154)*(MAX('Max rate concentrations'!$Q$3:$Q$368)))/F154, 0)</f>
        <v>3.1044564525779406E-2</v>
      </c>
      <c r="O154" s="69">
        <f>((MAX('Max rate concentrations'!$F$3:$F$368))*0.62*6.01*8*(10*F154^0.667)*0.079*0.1/F154)*inputs!$E$80/(10^(0.84+0.62*LOG10(inputs!$E$80)))</f>
        <v>16.288712288424577</v>
      </c>
      <c r="P154" s="69">
        <f>((MAX('Max rate concentrations'!Y:Y))*0.62*6.01*8*(10*F154^0.667)*0.079*0.1/F154)*inputs!$E$80/(10^(0.84+0.62*LOG10(inputs!$E$80)))</f>
        <v>5.4295707628081917</v>
      </c>
      <c r="Q154" s="69">
        <f>(inputs!$C$18*11.2*(10*F154^0.667)*0.5/F154)*inputs!$E$80/(10^(0.84+0.62*LOG10(inputs!$E$80)))</f>
        <v>2.8691798426225441</v>
      </c>
      <c r="R154" s="59">
        <f>(60*284*((F154/1000)^0.77)*3*24*(MAX('Max rate concentrations'!$R$3:$R$368))/F154)*(inputs!$E$73*3.4/inputs!$E$75)</f>
        <v>3.0169577840640699E-2</v>
      </c>
      <c r="S154" s="59">
        <f>(IF(inputs!$C$17="aerial",((0.025*0.112*inputs!$C$18/3.3)*(3*60*284*((F154/1000)^0.77))*MAX(inputs!$I$14:$I$16))/F154,((0.0083*0.112*inputs!$C$18/1)*(3*60*284*((F154/1000)^0.77))*MAX(inputs!$I$14:$I$16))/F154))*(inputs!E$75*3.4/inputs!$E$73)</f>
        <v>0.16638707535898592</v>
      </c>
      <c r="T154" s="63">
        <f>IF((((inputs!$P$13/(V154/MAX(K154:S154)))^(1/inputs!$O$13))-1)/inputs!$N$13&lt;0, 0, IF((((inputs!$P$13/(V154/MAX(K154:S154)))^(1/inputs!$O$13))-1)/inputs!$N$13&lt;inputs!$I$17, (((inputs!$P$13/(V154/MAX(K154:S154)))^(1/inputs!$O$13))-1)/inputs!$N$13, inputs!$I$17))</f>
        <v>1000</v>
      </c>
      <c r="U154" s="63">
        <f>IF((((inputs!$P$13/(X154/MAX(K154:S154)))^(1/inputs!$O$13))-1)/inputs!$N$13&lt;0, 0, IF((((inputs!$P$13/(X154/MAX(K154:S154)))^(1/inputs!$O$13))-1)/inputs!$N$13&lt;inputs!$I$17, (((inputs!$P$13/(X154/MAX(K154:S154)))^(1/inputs!$O$13))-1)/inputs!$N$13, inputs!$I$17))</f>
        <v>88.882678531990464</v>
      </c>
      <c r="V154" s="21">
        <f>inputs!$E$78*(F154/inputs!$F$78)^(inputs!$E$84-1)</f>
        <v>9.0738298335181038E-3</v>
      </c>
      <c r="W154" s="21">
        <f>inputs!$E$85*(F154/inputs!$F$85)^(inputs!$E$84-1)</f>
        <v>0.41901274625033585</v>
      </c>
      <c r="X154" s="21">
        <f>inputs!$E$80*(F154/inputs!$F$80)^(inputs!$E$84-1)</f>
        <v>1.5646678499221403</v>
      </c>
      <c r="Y154" s="21">
        <f>inputs!$E$82*(F154/inputs!$F$82)^(inputs!$E$84-1)</f>
        <v>0.72113068676907044</v>
      </c>
      <c r="Z154" s="63">
        <f t="shared" si="16"/>
        <v>5829.937181028964</v>
      </c>
      <c r="AA154" s="63">
        <f t="shared" si="17"/>
        <v>126.2488036322228</v>
      </c>
    </row>
    <row r="155" spans="1:27" x14ac:dyDescent="0.25">
      <c r="A155" s="103" t="s">
        <v>364</v>
      </c>
      <c r="B155" s="20" t="s">
        <v>365</v>
      </c>
      <c r="C155" s="20" t="s">
        <v>73</v>
      </c>
      <c r="D155" s="104" t="s">
        <v>204</v>
      </c>
      <c r="E155" s="15">
        <v>83</v>
      </c>
      <c r="F155" s="15">
        <v>737</v>
      </c>
      <c r="G155" s="20" t="s">
        <v>169</v>
      </c>
      <c r="H155" s="20">
        <v>0.79</v>
      </c>
      <c r="I155" s="68">
        <f>MAX('Max rate concentrations'!$D$3:$D$368)</f>
        <v>720</v>
      </c>
      <c r="J155" s="68">
        <f>MAX('Max rate concentrations'!W:W)</f>
        <v>255</v>
      </c>
      <c r="K155" s="69">
        <f t="shared" si="14"/>
        <v>199.37940371349171</v>
      </c>
      <c r="L155" s="69">
        <f t="shared" si="18"/>
        <v>70.613538815194985</v>
      </c>
      <c r="M155" s="69">
        <f>IF((((1.18*F155^0.874)/3.7-(0.301*F155^0.751)/(1-H155)*H155)*(MAX('Max rate concentrations'!$P$3:$P$368)))/F155&gt;0, (((1.18*F155^0.874)/3.7-(0.301*F155^0.751)/(1-H155)*H155)*(MAX('Max rate concentrations'!$P$3:$P$368)))/F155, 0)</f>
        <v>0</v>
      </c>
      <c r="N155" s="69">
        <f>IF((((1.18*F155^0.874)/3.7-(0.301*F155^0.751)/(1-H155)*H155)*(MAX('Max rate concentrations'!$Q$3:$Q$368)))/F155&gt;0, (((1.18*F155^0.874)/3.7-(0.301*F155^0.751)/(1-H155)*H155)*(MAX('Max rate concentrations'!$Q$3:$Q$368)))/F155, 0)</f>
        <v>0</v>
      </c>
      <c r="O155" s="69">
        <f>((MAX('Max rate concentrations'!$F$3:$F$368))*0.62*6.01*8*(10*F155^0.667)*0.079*0.1/F155)*inputs!$E$80/(10^(0.84+0.62*LOG10(inputs!$E$80)))</f>
        <v>16.288712288424577</v>
      </c>
      <c r="P155" s="69">
        <f>((MAX('Max rate concentrations'!Y:Y))*0.62*6.01*8*(10*F155^0.667)*0.079*0.1/F155)*inputs!$E$80/(10^(0.84+0.62*LOG10(inputs!$E$80)))</f>
        <v>5.4295707628081917</v>
      </c>
      <c r="Q155" s="69">
        <f>(inputs!$C$18*11.2*(10*F155^0.667)*0.5/F155)*inputs!$E$80/(10^(0.84+0.62*LOG10(inputs!$E$80)))</f>
        <v>2.8691798426225441</v>
      </c>
      <c r="R155" s="59">
        <f>(60*284*((F155/1000)^0.77)*3*24*(MAX('Max rate concentrations'!$R$3:$R$368))/F155)*(inputs!$E$73*3.4/inputs!$E$75)</f>
        <v>3.0169577840640699E-2</v>
      </c>
      <c r="S155" s="59">
        <f>(IF(inputs!$C$17="aerial",((0.025*0.112*inputs!$C$18/3.3)*(3*60*284*((F155/1000)^0.77))*MAX(inputs!$I$14:$I$16))/F155,((0.0083*0.112*inputs!$C$18/1)*(3*60*284*((F155/1000)^0.77))*MAX(inputs!$I$14:$I$16))/F155))*(inputs!E$75*3.4/inputs!$E$73)</f>
        <v>0.16638707535898592</v>
      </c>
      <c r="T155" s="63">
        <f>IF((((inputs!$P$13/(V155/MAX(K155:S155)))^(1/inputs!$O$13))-1)/inputs!$N$13&lt;0, 0, IF((((inputs!$P$13/(V155/MAX(K155:S155)))^(1/inputs!$O$13))-1)/inputs!$N$13&lt;inputs!$I$17, (((inputs!$P$13/(V155/MAX(K155:S155)))^(1/inputs!$O$13))-1)/inputs!$N$13, inputs!$I$17))</f>
        <v>1000</v>
      </c>
      <c r="U155" s="63">
        <f>IF((((inputs!$P$13/(X155/MAX(K155:S155)))^(1/inputs!$O$13))-1)/inputs!$N$13&lt;0, 0, IF((((inputs!$P$13/(X155/MAX(K155:S155)))^(1/inputs!$O$13))-1)/inputs!$N$13&lt;inputs!$I$17, (((inputs!$P$13/(X155/MAX(K155:S155)))^(1/inputs!$O$13))-1)/inputs!$N$13, inputs!$I$17))</f>
        <v>269.94951750334695</v>
      </c>
      <c r="V155" s="21">
        <f>inputs!$E$78*(F155/inputs!$F$78)^(inputs!$E$84-1)</f>
        <v>9.0738298335181038E-3</v>
      </c>
      <c r="W155" s="21">
        <f>inputs!$E$85*(F155/inputs!$F$85)^(inputs!$E$84-1)</f>
        <v>0.41901274625033585</v>
      </c>
      <c r="X155" s="21">
        <f>inputs!$E$80*(F155/inputs!$F$80)^(inputs!$E$84-1)</f>
        <v>1.5646678499221403</v>
      </c>
      <c r="Y155" s="21">
        <f>inputs!$E$82*(F155/inputs!$F$82)^(inputs!$E$84-1)</f>
        <v>0.72113068676907044</v>
      </c>
      <c r="Z155" s="63">
        <f t="shared" si="16"/>
        <v>21973.015515124374</v>
      </c>
      <c r="AA155" s="63">
        <f t="shared" si="17"/>
        <v>475.83135715488248</v>
      </c>
    </row>
    <row r="156" spans="1:27" x14ac:dyDescent="0.25">
      <c r="A156" s="103" t="s">
        <v>364</v>
      </c>
      <c r="B156" s="20" t="s">
        <v>365</v>
      </c>
      <c r="C156" s="20" t="s">
        <v>73</v>
      </c>
      <c r="D156" s="104" t="s">
        <v>204</v>
      </c>
      <c r="E156" s="15">
        <v>83</v>
      </c>
      <c r="F156" s="15">
        <v>737</v>
      </c>
      <c r="G156" s="20" t="s">
        <v>158</v>
      </c>
      <c r="H156" s="20">
        <v>0.85</v>
      </c>
      <c r="I156" s="68">
        <f>MAX('Max rate concentrations'!$F$3:$F$368)</f>
        <v>405</v>
      </c>
      <c r="J156" s="68">
        <f>MAX('Max rate concentrations'!Y:Y)</f>
        <v>135</v>
      </c>
      <c r="K156" s="69">
        <f t="shared" si="14"/>
        <v>157.01128042437469</v>
      </c>
      <c r="L156" s="69">
        <f t="shared" si="18"/>
        <v>52.337093474791558</v>
      </c>
      <c r="M156" s="69">
        <f>IF((((1.18*F156^0.874)/3.7-(0.301*F156^0.751)/(1-H156)*H156)*(MAX('Max rate concentrations'!$P$3:$P$368)))/F156&gt;0, (((1.18*F156^0.874)/3.7-(0.301*F156^0.751)/(1-H156)*H156)*(MAX('Max rate concentrations'!$P$3:$P$368)))/F156, 0)</f>
        <v>0</v>
      </c>
      <c r="N156" s="69">
        <f>IF((((1.18*F156^0.874)/3.7-(0.301*F156^0.751)/(1-H156)*H156)*(MAX('Max rate concentrations'!$Q$3:$Q$368)))/F156&gt;0, (((1.18*F156^0.874)/3.7-(0.301*F156^0.751)/(1-H156)*H156)*(MAX('Max rate concentrations'!$Q$3:$Q$368)))/F156, 0)</f>
        <v>0</v>
      </c>
      <c r="O156" s="69">
        <f>((MAX('Max rate concentrations'!$F$3:$F$368))*0.62*6.01*8*(10*F156^0.667)*0.079*0.1/F156)*inputs!$E$80/(10^(0.84+0.62*LOG10(inputs!$E$80)))</f>
        <v>16.288712288424577</v>
      </c>
      <c r="P156" s="69">
        <f>((MAX('Max rate concentrations'!Y:Y))*0.62*6.01*8*(10*F156^0.667)*0.079*0.1/F156)*inputs!$E$80/(10^(0.84+0.62*LOG10(inputs!$E$80)))</f>
        <v>5.4295707628081917</v>
      </c>
      <c r="Q156" s="69">
        <f>(inputs!$C$18*11.2*(10*F156^0.667)*0.5/F156)*inputs!$E$80/(10^(0.84+0.62*LOG10(inputs!$E$80)))</f>
        <v>2.8691798426225441</v>
      </c>
      <c r="R156" s="59">
        <f>(60*284*((F156/1000)^0.77)*3*24*(MAX('Max rate concentrations'!$R$3:$R$368))/F156)*(inputs!$E$73*3.4/inputs!$E$75)</f>
        <v>3.0169577840640699E-2</v>
      </c>
      <c r="S156" s="59">
        <f>(IF(inputs!$C$17="aerial",((0.025*0.112*inputs!$C$18/3.3)*(3*60*284*((F156/1000)^0.77))*MAX(inputs!$I$14:$I$16))/F156,((0.0083*0.112*inputs!$C$18/1)*(3*60*284*((F156/1000)^0.77))*MAX(inputs!$I$14:$I$16))/F156))*(inputs!E$75*3.4/inputs!$E$73)</f>
        <v>0.16638707535898592</v>
      </c>
      <c r="T156" s="63">
        <f>IF((((inputs!$P$13/(V156/MAX(K156:S156)))^(1/inputs!$O$13))-1)/inputs!$N$13&lt;0, 0, IF((((inputs!$P$13/(V156/MAX(K156:S156)))^(1/inputs!$O$13))-1)/inputs!$N$13&lt;inputs!$I$17, (((inputs!$P$13/(V156/MAX(K156:S156)))^(1/inputs!$O$13))-1)/inputs!$N$13, inputs!$I$17))</f>
        <v>1000</v>
      </c>
      <c r="U156" s="63">
        <f>IF((((inputs!$P$13/(X156/MAX(K156:S156)))^(1/inputs!$O$13))-1)/inputs!$N$13&lt;0, 0, IF((((inputs!$P$13/(X156/MAX(K156:S156)))^(1/inputs!$O$13))-1)/inputs!$N$13&lt;inputs!$I$17, (((inputs!$P$13/(X156/MAX(K156:S156)))^(1/inputs!$O$13))-1)/inputs!$N$13, inputs!$I$17))</f>
        <v>221.60916261104788</v>
      </c>
      <c r="V156" s="21">
        <f>inputs!$E$78*(F156/inputs!$F$78)^(inputs!$E$84-1)</f>
        <v>9.0738298335181038E-3</v>
      </c>
      <c r="W156" s="21">
        <f>inputs!$E$85*(F156/inputs!$F$85)^(inputs!$E$84-1)</f>
        <v>0.41901274625033585</v>
      </c>
      <c r="X156" s="21">
        <f>inputs!$E$80*(F156/inputs!$F$80)^(inputs!$E$84-1)</f>
        <v>1.5646678499221403</v>
      </c>
      <c r="Y156" s="21">
        <f>inputs!$E$82*(F156/inputs!$F$82)^(inputs!$E$84-1)</f>
        <v>0.72113068676907044</v>
      </c>
      <c r="Z156" s="63">
        <f t="shared" si="16"/>
        <v>17303.749718160441</v>
      </c>
      <c r="AA156" s="63">
        <f t="shared" si="17"/>
        <v>374.71719375946986</v>
      </c>
    </row>
    <row r="157" spans="1:27" x14ac:dyDescent="0.25">
      <c r="A157" s="103" t="s">
        <v>205</v>
      </c>
      <c r="B157" s="20" t="s">
        <v>206</v>
      </c>
      <c r="C157" s="20" t="s">
        <v>73</v>
      </c>
      <c r="D157" s="104" t="s">
        <v>204</v>
      </c>
      <c r="E157" s="15">
        <v>4120</v>
      </c>
      <c r="F157" s="15">
        <v>1300</v>
      </c>
      <c r="G157" s="20" t="s">
        <v>142</v>
      </c>
      <c r="H157" s="20">
        <v>0.69</v>
      </c>
      <c r="I157" s="68">
        <f>MAX('Max rate concentrations'!$H$3:$H$368)</f>
        <v>282</v>
      </c>
      <c r="J157" s="68">
        <f>MAX('Max rate concentrations'!AA:AA)</f>
        <v>195</v>
      </c>
      <c r="K157" s="69">
        <f t="shared" si="14"/>
        <v>45.92847393455677</v>
      </c>
      <c r="L157" s="69">
        <f t="shared" si="18"/>
        <v>31.759051124959463</v>
      </c>
      <c r="M157" s="69">
        <f>IF((((1.18*F157^0.874)/3.7-(0.301*F157^0.751)/(1-H157)*H157)*(MAX('Max rate concentrations'!$P$3:$P$368)))/F157&gt;0, (((1.18*F157^0.874)/3.7-(0.301*F157^0.751)/(1-H157)*H157)*(MAX('Max rate concentrations'!$P$3:$P$368)))/F157, 0)</f>
        <v>1.4665704697145367E-2</v>
      </c>
      <c r="N157" s="69">
        <f>IF((((1.18*F157^0.874)/3.7-(0.301*F157^0.751)/(1-H157)*H157)*(MAX('Max rate concentrations'!$Q$3:$Q$368)))/F157&gt;0, (((1.18*F157^0.874)/3.7-(0.301*F157^0.751)/(1-H157)*H157)*(MAX('Max rate concentrations'!$Q$3:$Q$368)))/F157, 0)</f>
        <v>5.5847791499756522E-2</v>
      </c>
      <c r="O157" s="69">
        <f>((MAX('Max rate concentrations'!$F$3:$F$368))*0.62*6.01*8*(10*F157^0.667)*0.079*0.1/F157)*inputs!$E$80/(10^(0.84+0.62*LOG10(inputs!$E$80)))</f>
        <v>13.483737510084032</v>
      </c>
      <c r="P157" s="69">
        <f>((MAX('Max rate concentrations'!Y:Y))*0.62*6.01*8*(10*F157^0.667)*0.079*0.1/F157)*inputs!$E$80/(10^(0.84+0.62*LOG10(inputs!$E$80)))</f>
        <v>4.4945791700280111</v>
      </c>
      <c r="Q157" s="69">
        <f>(inputs!$C$18*11.2*(10*F157^0.667)*0.5/F157)*inputs!$E$80/(10^(0.84+0.62*LOG10(inputs!$E$80)))</f>
        <v>2.3750967653004316</v>
      </c>
      <c r="R157" s="59">
        <f>(60*284*((F157/1000)^0.77)*3*24*(MAX('Max rate concentrations'!$R$3:$R$368))/F157)*(inputs!$E$73*3.4/inputs!$E$75)</f>
        <v>2.6477671173904222E-2</v>
      </c>
      <c r="S157" s="59">
        <f>(IF(inputs!$C$17="aerial",((0.025*0.112*inputs!$C$18/3.3)*(3*60*284*((F157/1000)^0.77))*MAX(inputs!$I$14:$I$16))/F157,((0.0083*0.112*inputs!$C$18/1)*(3*60*284*((F157/1000)^0.77))*MAX(inputs!$I$14:$I$16))/F157))*(inputs!E$75*3.4/inputs!$E$73)</f>
        <v>0.14602598326743083</v>
      </c>
      <c r="T157" s="63">
        <f>IF((((inputs!$P$13/(V157/MAX(K157:S157)))^(1/inputs!$O$13))-1)/inputs!$N$13&lt;0, 0, IF((((inputs!$P$13/(V157/MAX(K157:S157)))^(1/inputs!$O$13))-1)/inputs!$N$13&lt;inputs!$I$17, (((inputs!$P$13/(V157/MAX(K157:S157)))^(1/inputs!$O$13))-1)/inputs!$N$13, inputs!$I$17))</f>
        <v>1000</v>
      </c>
      <c r="U157" s="63">
        <f>IF((((inputs!$P$13/(X157/MAX(K157:S157)))^(1/inputs!$O$13))-1)/inputs!$N$13&lt;0, 0, IF((((inputs!$P$13/(X157/MAX(K157:S157)))^(1/inputs!$O$13))-1)/inputs!$N$13&lt;inputs!$I$17, (((inputs!$P$13/(X157/MAX(K157:S157)))^(1/inputs!$O$13))-1)/inputs!$N$13, inputs!$I$17))</f>
        <v>94.256668059340726</v>
      </c>
      <c r="V157" s="21">
        <f>inputs!$E$78*(F157/inputs!$F$78)^(inputs!$E$84-1)</f>
        <v>7.3552012565319168E-3</v>
      </c>
      <c r="W157" s="21">
        <f>inputs!$E$85*(F157/inputs!$F$85)^(inputs!$E$84-1)</f>
        <v>0.33964964455680513</v>
      </c>
      <c r="X157" s="21">
        <f>inputs!$E$80*(F157/inputs!$F$80)^(inputs!$E$84-1)</f>
        <v>1.2683119638513609</v>
      </c>
      <c r="Y157" s="21">
        <f>inputs!$E$82*(F157/inputs!$F$82)^(inputs!$E$84-1)</f>
        <v>0.58454494196648399</v>
      </c>
      <c r="Z157" s="63">
        <f t="shared" si="16"/>
        <v>6244.3531227332733</v>
      </c>
      <c r="AA157" s="63">
        <f t="shared" si="17"/>
        <v>135.22308846955207</v>
      </c>
    </row>
    <row r="158" spans="1:27" x14ac:dyDescent="0.25">
      <c r="A158" s="103" t="s">
        <v>205</v>
      </c>
      <c r="B158" s="20" t="s">
        <v>206</v>
      </c>
      <c r="C158" s="20" t="s">
        <v>73</v>
      </c>
      <c r="D158" s="104" t="s">
        <v>204</v>
      </c>
      <c r="E158" s="15">
        <v>4120</v>
      </c>
      <c r="F158" s="15">
        <v>1300</v>
      </c>
      <c r="G158" s="20" t="s">
        <v>152</v>
      </c>
      <c r="H158" s="20">
        <v>0.77</v>
      </c>
      <c r="I158" s="68">
        <f>MAX('Max rate concentrations'!$G$3:$G$368)</f>
        <v>45</v>
      </c>
      <c r="J158" s="68">
        <f>MAX('Max rate concentrations'!Z:Z)</f>
        <v>21</v>
      </c>
      <c r="K158" s="69">
        <f t="shared" ref="K158:K189" si="19">((0.301*F158^0.751)/(1-H158))*I158/F158</f>
        <v>9.8782332930475967</v>
      </c>
      <c r="L158" s="69">
        <f t="shared" si="18"/>
        <v>4.609842203422212</v>
      </c>
      <c r="M158" s="69">
        <f>IF((((1.18*F158^0.874)/3.7-(0.301*F158^0.751)/(1-H158)*H158)*(MAX('Max rate concentrations'!$P$3:$P$368)))/F158&gt;0, (((1.18*F158^0.874)/3.7-(0.301*F158^0.751)/(1-H158)*H158)*(MAX('Max rate concentrations'!$P$3:$P$368)))/F158, 0)</f>
        <v>0</v>
      </c>
      <c r="N158" s="69">
        <f>IF((((1.18*F158^0.874)/3.7-(0.301*F158^0.751)/(1-H158)*H158)*(MAX('Max rate concentrations'!$Q$3:$Q$368)))/F158&gt;0, (((1.18*F158^0.874)/3.7-(0.301*F158^0.751)/(1-H158)*H158)*(MAX('Max rate concentrations'!$Q$3:$Q$368)))/F158, 0)</f>
        <v>0</v>
      </c>
      <c r="O158" s="69">
        <f>((MAX('Max rate concentrations'!$F$3:$F$368))*0.62*6.01*8*(10*F158^0.667)*0.079*0.1/F158)*inputs!$E$80/(10^(0.84+0.62*LOG10(inputs!$E$80)))</f>
        <v>13.483737510084032</v>
      </c>
      <c r="P158" s="69">
        <f>((MAX('Max rate concentrations'!Y:Y))*0.62*6.01*8*(10*F158^0.667)*0.079*0.1/F158)*inputs!$E$80/(10^(0.84+0.62*LOG10(inputs!$E$80)))</f>
        <v>4.4945791700280111</v>
      </c>
      <c r="Q158" s="69">
        <f>(inputs!$C$18*11.2*(10*F158^0.667)*0.5/F158)*inputs!$E$80/(10^(0.84+0.62*LOG10(inputs!$E$80)))</f>
        <v>2.3750967653004316</v>
      </c>
      <c r="R158" s="59">
        <f>(60*284*((F158/1000)^0.77)*3*24*(MAX('Max rate concentrations'!$R$3:$R$368))/F158)*(inputs!$E$73*3.4/inputs!$E$75)</f>
        <v>2.6477671173904222E-2</v>
      </c>
      <c r="S158" s="59">
        <f>(IF(inputs!$C$17="aerial",((0.025*0.112*inputs!$C$18/3.3)*(3*60*284*((F158/1000)^0.77))*MAX(inputs!$I$14:$I$16))/F158,((0.0083*0.112*inputs!$C$18/1)*(3*60*284*((F158/1000)^0.77))*MAX(inputs!$I$14:$I$16))/F158))*(inputs!E$75*3.4/inputs!$E$73)</f>
        <v>0.14602598326743083</v>
      </c>
      <c r="T158" s="63">
        <f>IF((((inputs!$P$13/(V158/MAX(K158:S158)))^(1/inputs!$O$13))-1)/inputs!$N$13&lt;0, 0, IF((((inputs!$P$13/(V158/MAX(K158:S158)))^(1/inputs!$O$13))-1)/inputs!$N$13&lt;inputs!$I$17, (((inputs!$P$13/(V158/MAX(K158:S158)))^(1/inputs!$O$13))-1)/inputs!$N$13, inputs!$I$17))</f>
        <v>1000</v>
      </c>
      <c r="U158" s="63">
        <f>IF((((inputs!$P$13/(X158/MAX(K158:S158)))^(1/inputs!$O$13))-1)/inputs!$N$13&lt;0, 0, IF((((inputs!$P$13/(X158/MAX(K158:S158)))^(1/inputs!$O$13))-1)/inputs!$N$13&lt;inputs!$I$17, (((inputs!$P$13/(X158/MAX(K158:S158)))^(1/inputs!$O$13))-1)/inputs!$N$13, inputs!$I$17))</f>
        <v>31.697726432681403</v>
      </c>
      <c r="V158" s="21">
        <f>inputs!$E$78*(F158/inputs!$F$78)^(inputs!$E$84-1)</f>
        <v>7.3552012565319168E-3</v>
      </c>
      <c r="W158" s="21">
        <f>inputs!$E$85*(F158/inputs!$F$85)^(inputs!$E$84-1)</f>
        <v>0.33964964455680513</v>
      </c>
      <c r="X158" s="21">
        <f>inputs!$E$80*(F158/inputs!$F$80)^(inputs!$E$84-1)</f>
        <v>1.2683119638513609</v>
      </c>
      <c r="Y158" s="21">
        <f>inputs!$E$82*(F158/inputs!$F$82)^(inputs!$E$84-1)</f>
        <v>0.58454494196648399</v>
      </c>
      <c r="Z158" s="63">
        <f t="shared" si="16"/>
        <v>1833.2248214295373</v>
      </c>
      <c r="AA158" s="63">
        <f t="shared" si="17"/>
        <v>39.698959578416186</v>
      </c>
    </row>
    <row r="159" spans="1:27" x14ac:dyDescent="0.25">
      <c r="A159" s="103" t="s">
        <v>205</v>
      </c>
      <c r="B159" s="20" t="s">
        <v>206</v>
      </c>
      <c r="C159" s="20" t="s">
        <v>73</v>
      </c>
      <c r="D159" s="104" t="s">
        <v>204</v>
      </c>
      <c r="E159" s="15">
        <v>4120</v>
      </c>
      <c r="F159" s="15">
        <v>1300</v>
      </c>
      <c r="G159" s="20" t="s">
        <v>158</v>
      </c>
      <c r="H159" s="20">
        <v>0.85</v>
      </c>
      <c r="I159" s="68">
        <f>MAX('Max rate concentrations'!$F$3:$F$368)</f>
        <v>405</v>
      </c>
      <c r="J159" s="68">
        <f>MAX('Max rate concentrations'!Y:Y)</f>
        <v>135</v>
      </c>
      <c r="K159" s="69">
        <f t="shared" si="19"/>
        <v>136.31961944405683</v>
      </c>
      <c r="L159" s="69">
        <f t="shared" si="18"/>
        <v>45.43987314801894</v>
      </c>
      <c r="M159" s="69">
        <f>IF((((1.18*F159^0.874)/3.7-(0.301*F159^0.751)/(1-H159)*H159)*(MAX('Max rate concentrations'!$P$3:$P$368)))/F159&gt;0, (((1.18*F159^0.874)/3.7-(0.301*F159^0.751)/(1-H159)*H159)*(MAX('Max rate concentrations'!$P$3:$P$368)))/F159, 0)</f>
        <v>0</v>
      </c>
      <c r="N159" s="69">
        <f>IF((((1.18*F159^0.874)/3.7-(0.301*F159^0.751)/(1-H159)*H159)*(MAX('Max rate concentrations'!$Q$3:$Q$368)))/F159&gt;0, (((1.18*F159^0.874)/3.7-(0.301*F159^0.751)/(1-H159)*H159)*(MAX('Max rate concentrations'!$Q$3:$Q$368)))/F159, 0)</f>
        <v>0</v>
      </c>
      <c r="O159" s="69">
        <f>((MAX('Max rate concentrations'!$F$3:$F$368))*0.62*6.01*8*(10*F159^0.667)*0.079*0.1/F159)*inputs!$E$80/(10^(0.84+0.62*LOG10(inputs!$E$80)))</f>
        <v>13.483737510084032</v>
      </c>
      <c r="P159" s="69">
        <f>((MAX('Max rate concentrations'!Y:Y))*0.62*6.01*8*(10*F159^0.667)*0.079*0.1/F159)*inputs!$E$80/(10^(0.84+0.62*LOG10(inputs!$E$80)))</f>
        <v>4.4945791700280111</v>
      </c>
      <c r="Q159" s="69">
        <f>(inputs!$C$18*11.2*(10*F159^0.667)*0.5/F159)*inputs!$E$80/(10^(0.84+0.62*LOG10(inputs!$E$80)))</f>
        <v>2.3750967653004316</v>
      </c>
      <c r="R159" s="59">
        <f>(60*284*((F159/1000)^0.77)*3*24*(MAX('Max rate concentrations'!$R$3:$R$368))/F159)*(inputs!$E$73*3.4/inputs!$E$75)</f>
        <v>2.6477671173904222E-2</v>
      </c>
      <c r="S159" s="59">
        <f>(IF(inputs!$C$17="aerial",((0.025*0.112*inputs!$C$18/3.3)*(3*60*284*((F159/1000)^0.77))*MAX(inputs!$I$14:$I$16))/F159,((0.0083*0.112*inputs!$C$18/1)*(3*60*284*((F159/1000)^0.77))*MAX(inputs!$I$14:$I$16))/F159))*(inputs!E$75*3.4/inputs!$E$73)</f>
        <v>0.14602598326743083</v>
      </c>
      <c r="T159" s="63">
        <f>IF((((inputs!$P$13/(V159/MAX(K159:S159)))^(1/inputs!$O$13))-1)/inputs!$N$13&lt;0, 0, IF((((inputs!$P$13/(V159/MAX(K159:S159)))^(1/inputs!$O$13))-1)/inputs!$N$13&lt;inputs!$I$17, (((inputs!$P$13/(V159/MAX(K159:S159)))^(1/inputs!$O$13))-1)/inputs!$N$13, inputs!$I$17))</f>
        <v>1000</v>
      </c>
      <c r="U159" s="63">
        <f>IF((((inputs!$P$13/(X159/MAX(K159:S159)))^(1/inputs!$O$13))-1)/inputs!$N$13&lt;0, 0, IF((((inputs!$P$13/(X159/MAX(K159:S159)))^(1/inputs!$O$13))-1)/inputs!$N$13&lt;inputs!$I$17, (((inputs!$P$13/(X159/MAX(K159:S159)))^(1/inputs!$O$13))-1)/inputs!$N$13, inputs!$I$17))</f>
        <v>234.56226386321913</v>
      </c>
      <c r="V159" s="21">
        <f>inputs!$E$78*(F159/inputs!$F$78)^(inputs!$E$84-1)</f>
        <v>7.3552012565319168E-3</v>
      </c>
      <c r="W159" s="21">
        <f>inputs!$E$85*(F159/inputs!$F$85)^(inputs!$E$84-1)</f>
        <v>0.33964964455680513</v>
      </c>
      <c r="X159" s="21">
        <f>inputs!$E$80*(F159/inputs!$F$80)^(inputs!$E$84-1)</f>
        <v>1.2683119638513609</v>
      </c>
      <c r="Y159" s="21">
        <f>inputs!$E$82*(F159/inputs!$F$82)^(inputs!$E$84-1)</f>
        <v>0.58454494196648399</v>
      </c>
      <c r="Z159" s="63">
        <f t="shared" si="16"/>
        <v>18533.771502580676</v>
      </c>
      <c r="AA159" s="63">
        <f t="shared" si="17"/>
        <v>401.35363492558542</v>
      </c>
    </row>
    <row r="160" spans="1:27" x14ac:dyDescent="0.25">
      <c r="A160" s="103" t="s">
        <v>205</v>
      </c>
      <c r="B160" s="20" t="s">
        <v>207</v>
      </c>
      <c r="C160" s="20" t="s">
        <v>73</v>
      </c>
      <c r="D160" s="104" t="s">
        <v>204</v>
      </c>
      <c r="E160" s="15">
        <v>8741</v>
      </c>
      <c r="F160" s="15">
        <v>1200</v>
      </c>
      <c r="G160" s="20" t="s">
        <v>142</v>
      </c>
      <c r="H160" s="20">
        <v>0.69</v>
      </c>
      <c r="I160" s="68">
        <f>MAX('Max rate concentrations'!$H$3:$H$368)</f>
        <v>282</v>
      </c>
      <c r="J160" s="68">
        <f>MAX('Max rate concentrations'!AA:AA)</f>
        <v>195</v>
      </c>
      <c r="K160" s="69">
        <f t="shared" si="19"/>
        <v>46.853040542558922</v>
      </c>
      <c r="L160" s="69">
        <f t="shared" si="18"/>
        <v>32.398379098577983</v>
      </c>
      <c r="M160" s="69">
        <f>IF((((1.18*F160^0.874)/3.7-(0.301*F160^0.751)/(1-H160)*H160)*(MAX('Max rate concentrations'!$P$3:$P$368)))/F160&gt;0, (((1.18*F160^0.874)/3.7-(0.301*F160^0.751)/(1-H160)*H160)*(MAX('Max rate concentrations'!$P$3:$P$368)))/F160, 0)</f>
        <v>1.3836245019787977E-2</v>
      </c>
      <c r="N160" s="69">
        <f>IF((((1.18*F160^0.874)/3.7-(0.301*F160^0.751)/(1-H160)*H160)*(MAX('Max rate concentrations'!$Q$3:$Q$368)))/F160&gt;0, (((1.18*F160^0.874)/3.7-(0.301*F160^0.751)/(1-H160)*H160)*(MAX('Max rate concentrations'!$Q$3:$Q$368)))/F160, 0)</f>
        <v>5.2689164480113369E-2</v>
      </c>
      <c r="O160" s="69">
        <f>((MAX('Max rate concentrations'!$F$3:$F$368))*0.62*6.01*8*(10*F160^0.667)*0.079*0.1/F160)*inputs!$E$80/(10^(0.84+0.62*LOG10(inputs!$E$80)))</f>
        <v>13.847968623161096</v>
      </c>
      <c r="P160" s="69">
        <f>((MAX('Max rate concentrations'!Y:Y))*0.62*6.01*8*(10*F160^0.667)*0.079*0.1/F160)*inputs!$E$80/(10^(0.84+0.62*LOG10(inputs!$E$80)))</f>
        <v>4.6159895410536995</v>
      </c>
      <c r="Q160" s="69">
        <f>(inputs!$C$18*11.2*(10*F160^0.667)*0.5/F160)*inputs!$E$80/(10^(0.84+0.62*LOG10(inputs!$E$80)))</f>
        <v>2.4392543579444701</v>
      </c>
      <c r="R160" s="59">
        <f>(60*284*((F160/1000)^0.77)*3*24*(MAX('Max rate concentrations'!$R$3:$R$368))/F160)*(inputs!$E$73*3.4/inputs!$E$75)</f>
        <v>2.696963499614629E-2</v>
      </c>
      <c r="S160" s="59">
        <f>(IF(inputs!$C$17="aerial",((0.025*0.112*inputs!$C$18/3.3)*(3*60*284*((F160/1000)^0.77))*MAX(inputs!$I$14:$I$16))/F160,((0.0083*0.112*inputs!$C$18/1)*(3*60*284*((F160/1000)^0.77))*MAX(inputs!$I$14:$I$16))/F160))*(inputs!E$75*3.4/inputs!$E$73)</f>
        <v>0.14873919397252125</v>
      </c>
      <c r="T160" s="63">
        <f>IF((((inputs!$P$13/(V160/MAX(K160:S160)))^(1/inputs!$O$13))-1)/inputs!$N$13&lt;0, 0, IF((((inputs!$P$13/(V160/MAX(K160:S160)))^(1/inputs!$O$13))-1)/inputs!$N$13&lt;inputs!$I$17, (((inputs!$P$13/(V160/MAX(K160:S160)))^(1/inputs!$O$13))-1)/inputs!$N$13, inputs!$I$17))</f>
        <v>1000</v>
      </c>
      <c r="U160" s="63">
        <f>IF((((inputs!$P$13/(X160/MAX(K160:S160)))^(1/inputs!$O$13))-1)/inputs!$N$13&lt;0, 0, IF((((inputs!$P$13/(X160/MAX(K160:S160)))^(1/inputs!$O$13))-1)/inputs!$N$13&lt;inputs!$I$17, (((inputs!$P$13/(X160/MAX(K160:S160)))^(1/inputs!$O$13))-1)/inputs!$N$13, inputs!$I$17))</f>
        <v>93.480542848252895</v>
      </c>
      <c r="V160" s="21">
        <f>inputs!$E$78*(F160/inputs!$F$78)^(inputs!$E$84-1)</f>
        <v>7.5762891273526475E-3</v>
      </c>
      <c r="W160" s="21">
        <f>inputs!$E$85*(F160/inputs!$F$85)^(inputs!$E$84-1)</f>
        <v>0.34985907515170483</v>
      </c>
      <c r="X160" s="21">
        <f>inputs!$E$80*(F160/inputs!$F$80)^(inputs!$E$84-1)</f>
        <v>1.3064357869588976</v>
      </c>
      <c r="Y160" s="21">
        <f>inputs!$E$82*(F160/inputs!$F$82)^(inputs!$E$84-1)</f>
        <v>0.60211560959486832</v>
      </c>
      <c r="Z160" s="63">
        <f t="shared" si="16"/>
        <v>6184.1674406808961</v>
      </c>
      <c r="AA160" s="63">
        <f t="shared" si="17"/>
        <v>133.91975189508133</v>
      </c>
    </row>
    <row r="161" spans="1:27" x14ac:dyDescent="0.25">
      <c r="A161" s="103" t="s">
        <v>205</v>
      </c>
      <c r="B161" s="20" t="s">
        <v>207</v>
      </c>
      <c r="C161" s="20" t="s">
        <v>73</v>
      </c>
      <c r="D161" s="104" t="s">
        <v>204</v>
      </c>
      <c r="E161" s="15">
        <v>8741</v>
      </c>
      <c r="F161" s="15">
        <v>1200</v>
      </c>
      <c r="G161" s="20" t="s">
        <v>152</v>
      </c>
      <c r="H161" s="20">
        <v>0.77</v>
      </c>
      <c r="I161" s="68">
        <f>MAX('Max rate concentrations'!$G$3:$G$368)</f>
        <v>45</v>
      </c>
      <c r="J161" s="68">
        <f>MAX('Max rate concentrations'!Z:Z)</f>
        <v>21</v>
      </c>
      <c r="K161" s="69">
        <f t="shared" si="19"/>
        <v>10.077087813270078</v>
      </c>
      <c r="L161" s="69">
        <f t="shared" si="18"/>
        <v>4.702640979526036</v>
      </c>
      <c r="M161" s="69">
        <f>IF((((1.18*F161^0.874)/3.7-(0.301*F161^0.751)/(1-H161)*H161)*(MAX('Max rate concentrations'!$P$3:$P$368)))/F161&gt;0, (((1.18*F161^0.874)/3.7-(0.301*F161^0.751)/(1-H161)*H161)*(MAX('Max rate concentrations'!$P$3:$P$368)))/F161, 0)</f>
        <v>0</v>
      </c>
      <c r="N161" s="69">
        <f>IF((((1.18*F161^0.874)/3.7-(0.301*F161^0.751)/(1-H161)*H161)*(MAX('Max rate concentrations'!$Q$3:$Q$368)))/F161&gt;0, (((1.18*F161^0.874)/3.7-(0.301*F161^0.751)/(1-H161)*H161)*(MAX('Max rate concentrations'!$Q$3:$Q$368)))/F161, 0)</f>
        <v>0</v>
      </c>
      <c r="O161" s="69">
        <f>((MAX('Max rate concentrations'!$F$3:$F$368))*0.62*6.01*8*(10*F161^0.667)*0.079*0.1/F161)*inputs!$E$80/(10^(0.84+0.62*LOG10(inputs!$E$80)))</f>
        <v>13.847968623161096</v>
      </c>
      <c r="P161" s="69">
        <f>((MAX('Max rate concentrations'!Y:Y))*0.62*6.01*8*(10*F161^0.667)*0.079*0.1/F161)*inputs!$E$80/(10^(0.84+0.62*LOG10(inputs!$E$80)))</f>
        <v>4.6159895410536995</v>
      </c>
      <c r="Q161" s="69">
        <f>(inputs!$C$18*11.2*(10*F161^0.667)*0.5/F161)*inputs!$E$80/(10^(0.84+0.62*LOG10(inputs!$E$80)))</f>
        <v>2.4392543579444701</v>
      </c>
      <c r="R161" s="59">
        <f>(60*284*((F161/1000)^0.77)*3*24*(MAX('Max rate concentrations'!$R$3:$R$368))/F161)*(inputs!$E$73*3.4/inputs!$E$75)</f>
        <v>2.696963499614629E-2</v>
      </c>
      <c r="S161" s="59">
        <f>(IF(inputs!$C$17="aerial",((0.025*0.112*inputs!$C$18/3.3)*(3*60*284*((F161/1000)^0.77))*MAX(inputs!$I$14:$I$16))/F161,((0.0083*0.112*inputs!$C$18/1)*(3*60*284*((F161/1000)^0.77))*MAX(inputs!$I$14:$I$16))/F161))*(inputs!E$75*3.4/inputs!$E$73)</f>
        <v>0.14873919397252125</v>
      </c>
      <c r="T161" s="63">
        <f>IF((((inputs!$P$13/(V161/MAX(K161:S161)))^(1/inputs!$O$13))-1)/inputs!$N$13&lt;0, 0, IF((((inputs!$P$13/(V161/MAX(K161:S161)))^(1/inputs!$O$13))-1)/inputs!$N$13&lt;inputs!$I$17, (((inputs!$P$13/(V161/MAX(K161:S161)))^(1/inputs!$O$13))-1)/inputs!$N$13, inputs!$I$17))</f>
        <v>1000</v>
      </c>
      <c r="U161" s="63">
        <f>IF((((inputs!$P$13/(X161/MAX(K161:S161)))^(1/inputs!$O$13))-1)/inputs!$N$13&lt;0, 0, IF((((inputs!$P$13/(X161/MAX(K161:S161)))^(1/inputs!$O$13))-1)/inputs!$N$13&lt;inputs!$I$17, (((inputs!$P$13/(X161/MAX(K161:S161)))^(1/inputs!$O$13))-1)/inputs!$N$13, inputs!$I$17))</f>
        <v>31.609398880618787</v>
      </c>
      <c r="V161" s="21">
        <f>inputs!$E$78*(F161/inputs!$F$78)^(inputs!$E$84-1)</f>
        <v>7.5762891273526475E-3</v>
      </c>
      <c r="W161" s="21">
        <f>inputs!$E$85*(F161/inputs!$F$85)^(inputs!$E$84-1)</f>
        <v>0.34985907515170483</v>
      </c>
      <c r="X161" s="21">
        <f>inputs!$E$80*(F161/inputs!$F$80)^(inputs!$E$84-1)</f>
        <v>1.3064357869588976</v>
      </c>
      <c r="Y161" s="21">
        <f>inputs!$E$82*(F161/inputs!$F$82)^(inputs!$E$84-1)</f>
        <v>0.60211560959486832</v>
      </c>
      <c r="Z161" s="63">
        <f t="shared" si="16"/>
        <v>1827.8036107631938</v>
      </c>
      <c r="AA161" s="63">
        <f t="shared" si="17"/>
        <v>39.581561853601713</v>
      </c>
    </row>
    <row r="162" spans="1:27" x14ac:dyDescent="0.25">
      <c r="A162" s="103" t="s">
        <v>205</v>
      </c>
      <c r="B162" s="20" t="s">
        <v>207</v>
      </c>
      <c r="C162" s="20" t="s">
        <v>73</v>
      </c>
      <c r="D162" s="104" t="s">
        <v>204</v>
      </c>
      <c r="E162" s="15">
        <v>8741</v>
      </c>
      <c r="F162" s="15">
        <v>1200</v>
      </c>
      <c r="G162" s="20" t="s">
        <v>158</v>
      </c>
      <c r="H162" s="20">
        <v>0.85</v>
      </c>
      <c r="I162" s="68">
        <f>MAX('Max rate concentrations'!$F$3:$F$368)</f>
        <v>405</v>
      </c>
      <c r="J162" s="68">
        <f>MAX('Max rate concentrations'!Y:Y)</f>
        <v>135</v>
      </c>
      <c r="K162" s="69">
        <f t="shared" si="19"/>
        <v>139.06381182312703</v>
      </c>
      <c r="L162" s="69">
        <f t="shared" si="18"/>
        <v>46.354603941042349</v>
      </c>
      <c r="M162" s="69">
        <f>IF((((1.18*F162^0.874)/3.7-(0.301*F162^0.751)/(1-H162)*H162)*(MAX('Max rate concentrations'!$P$3:$P$368)))/F162&gt;0, (((1.18*F162^0.874)/3.7-(0.301*F162^0.751)/(1-H162)*H162)*(MAX('Max rate concentrations'!$P$3:$P$368)))/F162, 0)</f>
        <v>0</v>
      </c>
      <c r="N162" s="69">
        <f>IF((((1.18*F162^0.874)/3.7-(0.301*F162^0.751)/(1-H162)*H162)*(MAX('Max rate concentrations'!$Q$3:$Q$368)))/F162&gt;0, (((1.18*F162^0.874)/3.7-(0.301*F162^0.751)/(1-H162)*H162)*(MAX('Max rate concentrations'!$Q$3:$Q$368)))/F162, 0)</f>
        <v>0</v>
      </c>
      <c r="O162" s="69">
        <f>((MAX('Max rate concentrations'!$F$3:$F$368))*0.62*6.01*8*(10*F162^0.667)*0.079*0.1/F162)*inputs!$E$80/(10^(0.84+0.62*LOG10(inputs!$E$80)))</f>
        <v>13.847968623161096</v>
      </c>
      <c r="P162" s="69">
        <f>((MAX('Max rate concentrations'!Y:Y))*0.62*6.01*8*(10*F162^0.667)*0.079*0.1/F162)*inputs!$E$80/(10^(0.84+0.62*LOG10(inputs!$E$80)))</f>
        <v>4.6159895410536995</v>
      </c>
      <c r="Q162" s="69">
        <f>(inputs!$C$18*11.2*(10*F162^0.667)*0.5/F162)*inputs!$E$80/(10^(0.84+0.62*LOG10(inputs!$E$80)))</f>
        <v>2.4392543579444701</v>
      </c>
      <c r="R162" s="59">
        <f>(60*284*((F162/1000)^0.77)*3*24*(MAX('Max rate concentrations'!$R$3:$R$368))/F162)*(inputs!$E$73*3.4/inputs!$E$75)</f>
        <v>2.696963499614629E-2</v>
      </c>
      <c r="S162" s="59">
        <f>(IF(inputs!$C$17="aerial",((0.025*0.112*inputs!$C$18/3.3)*(3*60*284*((F162/1000)^0.77))*MAX(inputs!$I$14:$I$16))/F162,((0.0083*0.112*inputs!$C$18/1)*(3*60*284*((F162/1000)^0.77))*MAX(inputs!$I$14:$I$16))/F162))*(inputs!E$75*3.4/inputs!$E$73)</f>
        <v>0.14873919397252125</v>
      </c>
      <c r="T162" s="63">
        <f>IF((((inputs!$P$13/(V162/MAX(K162:S162)))^(1/inputs!$O$13))-1)/inputs!$N$13&lt;0, 0, IF((((inputs!$P$13/(V162/MAX(K162:S162)))^(1/inputs!$O$13))-1)/inputs!$N$13&lt;inputs!$I$17, (((inputs!$P$13/(V162/MAX(K162:S162)))^(1/inputs!$O$13))-1)/inputs!$N$13, inputs!$I$17))</f>
        <v>1000</v>
      </c>
      <c r="U162" s="63">
        <f>IF((((inputs!$P$13/(X162/MAX(K162:S162)))^(1/inputs!$O$13))-1)/inputs!$N$13&lt;0, 0, IF((((inputs!$P$13/(X162/MAX(K162:S162)))^(1/inputs!$O$13))-1)/inputs!$N$13&lt;inputs!$I$17, (((inputs!$P$13/(X162/MAX(K162:S162)))^(1/inputs!$O$13))-1)/inputs!$N$13, inputs!$I$17))</f>
        <v>232.69154409489474</v>
      </c>
      <c r="V162" s="21">
        <f>inputs!$E$78*(F162/inputs!$F$78)^(inputs!$E$84-1)</f>
        <v>7.5762891273526475E-3</v>
      </c>
      <c r="W162" s="21">
        <f>inputs!$E$85*(F162/inputs!$F$85)^(inputs!$E$84-1)</f>
        <v>0.34985907515170483</v>
      </c>
      <c r="X162" s="21">
        <f>inputs!$E$80*(F162/inputs!$F$80)^(inputs!$E$84-1)</f>
        <v>1.3064357869588976</v>
      </c>
      <c r="Y162" s="21">
        <f>inputs!$E$82*(F162/inputs!$F$82)^(inputs!$E$84-1)</f>
        <v>0.60211560959486832</v>
      </c>
      <c r="Z162" s="63">
        <f t="shared" si="16"/>
        <v>18355.135276063513</v>
      </c>
      <c r="AA162" s="63">
        <f t="shared" si="17"/>
        <v>397.48522105029457</v>
      </c>
    </row>
    <row r="163" spans="1:27" x14ac:dyDescent="0.25">
      <c r="A163" s="103" t="s">
        <v>202</v>
      </c>
      <c r="B163" s="20" t="s">
        <v>203</v>
      </c>
      <c r="C163" s="20" t="s">
        <v>73</v>
      </c>
      <c r="D163" s="104" t="s">
        <v>204</v>
      </c>
      <c r="E163" s="15">
        <v>4064</v>
      </c>
      <c r="F163" s="15">
        <v>1100</v>
      </c>
      <c r="G163" s="20" t="s">
        <v>142</v>
      </c>
      <c r="H163" s="20">
        <v>0.69</v>
      </c>
      <c r="I163" s="68">
        <f>MAX('Max rate concentrations'!$H$3:$H$368)</f>
        <v>282</v>
      </c>
      <c r="J163" s="68">
        <f>MAX('Max rate concentrations'!AA:AA)</f>
        <v>195</v>
      </c>
      <c r="K163" s="69">
        <f t="shared" si="19"/>
        <v>47.87922714069343</v>
      </c>
      <c r="L163" s="69">
        <f t="shared" si="18"/>
        <v>33.107976214309282</v>
      </c>
      <c r="M163" s="69">
        <f>IF((((1.18*F163^0.874)/3.7-(0.301*F163^0.751)/(1-H163)*H163)*(MAX('Max rate concentrations'!$P$3:$P$368)))/F163&gt;0, (((1.18*F163^0.874)/3.7-(0.301*F163^0.751)/(1-H163)*H163)*(MAX('Max rate concentrations'!$P$3:$P$368)))/F163, 0)</f>
        <v>1.2902675035644439E-2</v>
      </c>
      <c r="N163" s="69">
        <f>IF((((1.18*F163^0.874)/3.7-(0.301*F163^0.751)/(1-H163)*H163)*(MAX('Max rate concentrations'!$Q$3:$Q$368)))/F163&gt;0, (((1.18*F163^0.874)/3.7-(0.301*F163^0.751)/(1-H163)*H163)*(MAX('Max rate concentrations'!$Q$3:$Q$368)))/F163, 0)</f>
        <v>4.9134079818206347E-2</v>
      </c>
      <c r="O163" s="69">
        <f>((MAX('Max rate concentrations'!$F$3:$F$368))*0.62*6.01*8*(10*F163^0.667)*0.079*0.1/F163)*inputs!$E$80/(10^(0.84+0.62*LOG10(inputs!$E$80)))</f>
        <v>14.255080088255108</v>
      </c>
      <c r="P163" s="69">
        <f>((MAX('Max rate concentrations'!Y:Y))*0.62*6.01*8*(10*F163^0.667)*0.079*0.1/F163)*inputs!$E$80/(10^(0.84+0.62*LOG10(inputs!$E$80)))</f>
        <v>4.751693362751702</v>
      </c>
      <c r="Q163" s="69">
        <f>(inputs!$C$18*11.2*(10*F163^0.667)*0.5/F163)*inputs!$E$80/(10^(0.84+0.62*LOG10(inputs!$E$80)))</f>
        <v>2.5109651223477645</v>
      </c>
      <c r="R163" s="59">
        <f>(60*284*((F163/1000)^0.77)*3*24*(MAX('Max rate concentrations'!$R$3:$R$368))/F163)*(inputs!$E$73*3.4/inputs!$E$75)</f>
        <v>2.7514804907159619E-2</v>
      </c>
      <c r="S163" s="59">
        <f>(IF(inputs!$C$17="aerial",((0.025*0.112*inputs!$C$18/3.3)*(3*60*284*((F163/1000)^0.77))*MAX(inputs!$I$14:$I$16))/F163,((0.0083*0.112*inputs!$C$18/1)*(3*60*284*((F163/1000)^0.77))*MAX(inputs!$I$14:$I$16))/F163))*(inputs!E$75*3.4/inputs!$E$73)</f>
        <v>0.15174583952607734</v>
      </c>
      <c r="T163" s="63">
        <f>IF((((inputs!$P$13/(V163/MAX(K163:S163)))^(1/inputs!$O$13))-1)/inputs!$N$13&lt;0, 0, IF((((inputs!$P$13/(V163/MAX(K163:S163)))^(1/inputs!$O$13))-1)/inputs!$N$13&lt;inputs!$I$17, (((inputs!$P$13/(V163/MAX(K163:S163)))^(1/inputs!$O$13))-1)/inputs!$N$13, inputs!$I$17))</f>
        <v>1000</v>
      </c>
      <c r="U163" s="63">
        <f>IF((((inputs!$P$13/(X163/MAX(K163:S163)))^(1/inputs!$O$13))-1)/inputs!$N$13&lt;0, 0, IF((((inputs!$P$13/(X163/MAX(K163:S163)))^(1/inputs!$O$13))-1)/inputs!$N$13&lt;inputs!$I$17, (((inputs!$P$13/(X163/MAX(K163:S163)))^(1/inputs!$O$13))-1)/inputs!$N$13, inputs!$I$17))</f>
        <v>92.643713775548136</v>
      </c>
      <c r="V163" s="21">
        <f>inputs!$E$78*(F163/inputs!$F$78)^(inputs!$E$84-1)</f>
        <v>7.8241705298388586E-3</v>
      </c>
      <c r="W163" s="21">
        <f>inputs!$E$85*(F163/inputs!$F$85)^(inputs!$E$84-1)</f>
        <v>0.36130578168089961</v>
      </c>
      <c r="X163" s="21">
        <f>inputs!$E$80*(F163/inputs!$F$80)^(inputs!$E$84-1)</f>
        <v>1.3491798176691818</v>
      </c>
      <c r="Y163" s="21">
        <f>inputs!$E$82*(F163/inputs!$F$82)^(inputs!$E$84-1)</f>
        <v>0.62181565789771986</v>
      </c>
      <c r="Z163" s="63">
        <f t="shared" si="16"/>
        <v>6119.399744432656</v>
      </c>
      <c r="AA163" s="63">
        <f t="shared" si="17"/>
        <v>132.5171906132953</v>
      </c>
    </row>
    <row r="164" spans="1:27" x14ac:dyDescent="0.25">
      <c r="A164" s="103" t="s">
        <v>202</v>
      </c>
      <c r="B164" s="20" t="s">
        <v>203</v>
      </c>
      <c r="C164" s="20" t="s">
        <v>73</v>
      </c>
      <c r="D164" s="104" t="s">
        <v>204</v>
      </c>
      <c r="E164" s="15">
        <v>4064</v>
      </c>
      <c r="F164" s="15">
        <v>1100</v>
      </c>
      <c r="G164" s="20" t="s">
        <v>177</v>
      </c>
      <c r="H164" s="20">
        <v>0.85</v>
      </c>
      <c r="I164" s="68">
        <f>MAX('Max rate concentrations'!$F$3:$F$368)</f>
        <v>405</v>
      </c>
      <c r="J164" s="68">
        <f>MAX('Max rate concentrations'!Y:Y)</f>
        <v>135</v>
      </c>
      <c r="K164" s="69">
        <f t="shared" si="19"/>
        <v>142.10962098141988</v>
      </c>
      <c r="L164" s="69">
        <f t="shared" si="18"/>
        <v>47.369873660473296</v>
      </c>
      <c r="M164" s="69">
        <f>IF((((1.18*F164^0.874)/3.7-(0.301*F164^0.751)/(1-H164)*H164)*(MAX('Max rate concentrations'!$P$3:$P$368)))/F164&gt;0, (((1.18*F164^0.874)/3.7-(0.301*F164^0.751)/(1-H164)*H164)*(MAX('Max rate concentrations'!$P$3:$P$368)))/F164, 0)</f>
        <v>0</v>
      </c>
      <c r="N164" s="69">
        <f>IF((((1.18*F164^0.874)/3.7-(0.301*F164^0.751)/(1-H164)*H164)*(MAX('Max rate concentrations'!$Q$3:$Q$368)))/F164&gt;0, (((1.18*F164^0.874)/3.7-(0.301*F164^0.751)/(1-H164)*H164)*(MAX('Max rate concentrations'!$Q$3:$Q$368)))/F164, 0)</f>
        <v>0</v>
      </c>
      <c r="O164" s="69">
        <f>((MAX('Max rate concentrations'!$F$3:$F$368))*0.62*6.01*8*(10*F164^0.667)*0.079*0.1/F164)*inputs!$E$80/(10^(0.84+0.62*LOG10(inputs!$E$80)))</f>
        <v>14.255080088255108</v>
      </c>
      <c r="P164" s="69">
        <f>((MAX('Max rate concentrations'!Y:Y))*0.62*6.01*8*(10*F164^0.667)*0.079*0.1/F164)*inputs!$E$80/(10^(0.84+0.62*LOG10(inputs!$E$80)))</f>
        <v>4.751693362751702</v>
      </c>
      <c r="Q164" s="69">
        <f>(inputs!$C$18*11.2*(10*F164^0.667)*0.5/F164)*inputs!$E$80/(10^(0.84+0.62*LOG10(inputs!$E$80)))</f>
        <v>2.5109651223477645</v>
      </c>
      <c r="R164" s="59">
        <f>(60*284*((F164/1000)^0.77)*3*24*(MAX('Max rate concentrations'!$R$3:$R$368))/F164)*(inputs!$E$73*3.4/inputs!$E$75)</f>
        <v>2.7514804907159619E-2</v>
      </c>
      <c r="S164" s="59">
        <f>(IF(inputs!$C$17="aerial",((0.025*0.112*inputs!$C$18/3.3)*(3*60*284*((F164/1000)^0.77))*MAX(inputs!$I$14:$I$16))/F164,((0.0083*0.112*inputs!$C$18/1)*(3*60*284*((F164/1000)^0.77))*MAX(inputs!$I$14:$I$16))/F164))*(inputs!E$75*3.4/inputs!$E$73)</f>
        <v>0.15174583952607734</v>
      </c>
      <c r="T164" s="63">
        <f>IF((((inputs!$P$13/(V164/MAX(K164:S164)))^(1/inputs!$O$13))-1)/inputs!$N$13&lt;0, 0, IF((((inputs!$P$13/(V164/MAX(K164:S164)))^(1/inputs!$O$13))-1)/inputs!$N$13&lt;inputs!$I$17, (((inputs!$P$13/(V164/MAX(K164:S164)))^(1/inputs!$O$13))-1)/inputs!$N$13, inputs!$I$17))</f>
        <v>1000</v>
      </c>
      <c r="U164" s="63">
        <f>IF((((inputs!$P$13/(X164/MAX(K164:S164)))^(1/inputs!$O$13))-1)/inputs!$N$13&lt;0, 0, IF((((inputs!$P$13/(X164/MAX(K164:S164)))^(1/inputs!$O$13))-1)/inputs!$N$13&lt;inputs!$I$17, (((inputs!$P$13/(X164/MAX(K164:S164)))^(1/inputs!$O$13))-1)/inputs!$N$13, inputs!$I$17))</f>
        <v>230.67450784010865</v>
      </c>
      <c r="V164" s="21">
        <f>inputs!$E$78*(F164/inputs!$F$78)^(inputs!$E$84-1)</f>
        <v>7.8241705298388586E-3</v>
      </c>
      <c r="W164" s="21">
        <f>inputs!$E$85*(F164/inputs!$F$85)^(inputs!$E$84-1)</f>
        <v>0.36130578168089961</v>
      </c>
      <c r="X164" s="21">
        <f>inputs!$E$80*(F164/inputs!$F$80)^(inputs!$E$84-1)</f>
        <v>1.3491798176691818</v>
      </c>
      <c r="Y164" s="21">
        <f>inputs!$E$82*(F164/inputs!$F$82)^(inputs!$E$84-1)</f>
        <v>0.62181565789771986</v>
      </c>
      <c r="Z164" s="63">
        <f t="shared" si="16"/>
        <v>18162.899241454375</v>
      </c>
      <c r="AA164" s="63">
        <f t="shared" si="17"/>
        <v>393.3222997990361</v>
      </c>
    </row>
    <row r="165" spans="1:27" x14ac:dyDescent="0.25">
      <c r="A165" s="103" t="s">
        <v>366</v>
      </c>
      <c r="B165" s="20" t="s">
        <v>367</v>
      </c>
      <c r="C165" s="20" t="s">
        <v>73</v>
      </c>
      <c r="D165" s="104" t="s">
        <v>204</v>
      </c>
      <c r="E165" s="15">
        <v>2691</v>
      </c>
      <c r="F165" s="15">
        <v>628</v>
      </c>
      <c r="G165" s="20" t="s">
        <v>142</v>
      </c>
      <c r="H165" s="20">
        <v>0.69</v>
      </c>
      <c r="I165" s="68">
        <f>MAX('Max rate concentrations'!$H$3:$H$368)</f>
        <v>282</v>
      </c>
      <c r="J165" s="68">
        <f>MAX('Max rate concentrations'!AA:AA)</f>
        <v>195</v>
      </c>
      <c r="K165" s="69">
        <f t="shared" si="19"/>
        <v>55.050587584184179</v>
      </c>
      <c r="L165" s="69">
        <f t="shared" si="18"/>
        <v>38.066895669914587</v>
      </c>
      <c r="M165" s="69">
        <f>IF((((1.18*F165^0.874)/3.7-(0.301*F165^0.751)/(1-H165)*H165)*(MAX('Max rate concentrations'!$P$3:$P$368)))/F165&gt;0, (((1.18*F165^0.874)/3.7-(0.301*F165^0.751)/(1-H165)*H165)*(MAX('Max rate concentrations'!$P$3:$P$368)))/F165, 0)</f>
        <v>6.0317024904276055E-3</v>
      </c>
      <c r="N165" s="69">
        <f>IF((((1.18*F165^0.874)/3.7-(0.301*F165^0.751)/(1-H165)*H165)*(MAX('Max rate concentrations'!$Q$3:$Q$368)))/F165&gt;0, (((1.18*F165^0.874)/3.7-(0.301*F165^0.751)/(1-H165)*H165)*(MAX('Max rate concentrations'!$Q$3:$Q$368)))/F165, 0)</f>
        <v>2.2969047177087323E-2</v>
      </c>
      <c r="O165" s="69">
        <f>((MAX('Max rate concentrations'!$F$3:$F$368))*0.62*6.01*8*(10*F165^0.667)*0.079*0.1/F165)*inputs!$E$80/(10^(0.84+0.62*LOG10(inputs!$E$80)))</f>
        <v>17.180383915301274</v>
      </c>
      <c r="P165" s="69">
        <f>((MAX('Max rate concentrations'!Y:Y))*0.62*6.01*8*(10*F165^0.667)*0.079*0.1/F165)*inputs!$E$80/(10^(0.84+0.62*LOG10(inputs!$E$80)))</f>
        <v>5.72679463843376</v>
      </c>
      <c r="Q165" s="69">
        <f>(inputs!$C$18*11.2*(10*F165^0.667)*0.5/F165)*inputs!$E$80/(10^(0.84+0.62*LOG10(inputs!$E$80)))</f>
        <v>3.0262435940580188</v>
      </c>
      <c r="R165" s="59">
        <f>(60*284*((F165/1000)^0.77)*3*24*(MAX('Max rate concentrations'!$R$3:$R$368))/F165)*(inputs!$E$73*3.4/inputs!$E$75)</f>
        <v>3.1300843225723199E-2</v>
      </c>
      <c r="S165" s="59">
        <f>(IF(inputs!$C$17="aerial",((0.025*0.112*inputs!$C$18/3.3)*(3*60*284*((F165/1000)^0.77))*MAX(inputs!$I$14:$I$16))/F165,((0.0083*0.112*inputs!$C$18/1)*(3*60*284*((F165/1000)^0.77))*MAX(inputs!$I$14:$I$16))/F165))*(inputs!E$75*3.4/inputs!$E$73)</f>
        <v>0.17262607346074846</v>
      </c>
      <c r="T165" s="63">
        <f>IF((((inputs!$P$13/(V165/MAX(K165:S165)))^(1/inputs!$O$13))-1)/inputs!$N$13&lt;0, 0, IF((((inputs!$P$13/(V165/MAX(K165:S165)))^(1/inputs!$O$13))-1)/inputs!$N$13&lt;inputs!$I$17, (((inputs!$P$13/(V165/MAX(K165:S165)))^(1/inputs!$O$13))-1)/inputs!$N$13, inputs!$I$17))</f>
        <v>1000</v>
      </c>
      <c r="U165" s="63">
        <f>IF((((inputs!$P$13/(X165/MAX(K165:S165)))^(1/inputs!$O$13))-1)/inputs!$N$13&lt;0, 0, IF((((inputs!$P$13/(X165/MAX(K165:S165)))^(1/inputs!$O$13))-1)/inputs!$N$13&lt;inputs!$I$17, (((inputs!$P$13/(X165/MAX(K165:S165)))^(1/inputs!$O$13))-1)/inputs!$N$13, inputs!$I$17))</f>
        <v>87.420348040818268</v>
      </c>
      <c r="V165" s="21">
        <f>inputs!$E$78*(F165/inputs!$F$78)^(inputs!$E$84-1)</f>
        <v>9.6273892813238914E-3</v>
      </c>
      <c r="W165" s="21">
        <f>inputs!$E$85*(F165/inputs!$F$85)^(inputs!$E$84-1)</f>
        <v>0.4445751018040095</v>
      </c>
      <c r="X165" s="21">
        <f>inputs!$E$80*(F165/inputs!$F$80)^(inputs!$E$84-1)</f>
        <v>1.6601222155972506</v>
      </c>
      <c r="Y165" s="21">
        <f>inputs!$E$82*(F165/inputs!$F$82)^(inputs!$E$84-1)</f>
        <v>0.7651240955157409</v>
      </c>
      <c r="Z165" s="63">
        <f t="shared" si="16"/>
        <v>5718.1221175897026</v>
      </c>
      <c r="AA165" s="63">
        <f t="shared" si="17"/>
        <v>123.82741939617927</v>
      </c>
    </row>
    <row r="166" spans="1:27" x14ac:dyDescent="0.25">
      <c r="A166" s="103" t="s">
        <v>366</v>
      </c>
      <c r="B166" s="20" t="s">
        <v>367</v>
      </c>
      <c r="C166" s="20" t="s">
        <v>73</v>
      </c>
      <c r="D166" s="104" t="s">
        <v>204</v>
      </c>
      <c r="E166" s="15">
        <v>2691</v>
      </c>
      <c r="F166" s="15">
        <v>628</v>
      </c>
      <c r="G166" s="20" t="s">
        <v>169</v>
      </c>
      <c r="H166" s="20">
        <v>0.79</v>
      </c>
      <c r="I166" s="68">
        <f>MAX('Max rate concentrations'!$D$3:$D$368)</f>
        <v>720</v>
      </c>
      <c r="J166" s="68">
        <f>MAX('Max rate concentrations'!W:W)</f>
        <v>255</v>
      </c>
      <c r="K166" s="69">
        <f t="shared" si="19"/>
        <v>207.48549727777629</v>
      </c>
      <c r="L166" s="69">
        <f t="shared" si="18"/>
        <v>73.484446952545767</v>
      </c>
      <c r="M166" s="69">
        <f>IF((((1.18*F166^0.874)/3.7-(0.301*F166^0.751)/(1-H166)*H166)*(MAX('Max rate concentrations'!$P$3:$P$368)))/F166&gt;0, (((1.18*F166^0.874)/3.7-(0.301*F166^0.751)/(1-H166)*H166)*(MAX('Max rate concentrations'!$P$3:$P$368)))/F166, 0)</f>
        <v>0</v>
      </c>
      <c r="N166" s="69">
        <f>IF((((1.18*F166^0.874)/3.7-(0.301*F166^0.751)/(1-H166)*H166)*(MAX('Max rate concentrations'!$Q$3:$Q$368)))/F166&gt;0, (((1.18*F166^0.874)/3.7-(0.301*F166^0.751)/(1-H166)*H166)*(MAX('Max rate concentrations'!$Q$3:$Q$368)))/F166, 0)</f>
        <v>0</v>
      </c>
      <c r="O166" s="69">
        <f>((MAX('Max rate concentrations'!$F$3:$F$368))*0.62*6.01*8*(10*F166^0.667)*0.079*0.1/F166)*inputs!$E$80/(10^(0.84+0.62*LOG10(inputs!$E$80)))</f>
        <v>17.180383915301274</v>
      </c>
      <c r="P166" s="69">
        <f>((MAX('Max rate concentrations'!Y:Y))*0.62*6.01*8*(10*F166^0.667)*0.079*0.1/F166)*inputs!$E$80/(10^(0.84+0.62*LOG10(inputs!$E$80)))</f>
        <v>5.72679463843376</v>
      </c>
      <c r="Q166" s="69">
        <f>(inputs!$C$18*11.2*(10*F166^0.667)*0.5/F166)*inputs!$E$80/(10^(0.84+0.62*LOG10(inputs!$E$80)))</f>
        <v>3.0262435940580188</v>
      </c>
      <c r="R166" s="59">
        <f>(60*284*((F166/1000)^0.77)*3*24*(MAX('Max rate concentrations'!$R$3:$R$368))/F166)*(inputs!$E$73*3.4/inputs!$E$75)</f>
        <v>3.1300843225723199E-2</v>
      </c>
      <c r="S166" s="59">
        <f>(IF(inputs!$C$17="aerial",((0.025*0.112*inputs!$C$18/3.3)*(3*60*284*((F166/1000)^0.77))*MAX(inputs!$I$14:$I$16))/F166,((0.0083*0.112*inputs!$C$18/1)*(3*60*284*((F166/1000)^0.77))*MAX(inputs!$I$14:$I$16))/F166))*(inputs!E$75*3.4/inputs!$E$73)</f>
        <v>0.17262607346074846</v>
      </c>
      <c r="T166" s="63">
        <f>IF((((inputs!$P$13/(V166/MAX(K166:S166)))^(1/inputs!$O$13))-1)/inputs!$N$13&lt;0, 0, IF((((inputs!$P$13/(V166/MAX(K166:S166)))^(1/inputs!$O$13))-1)/inputs!$N$13&lt;inputs!$I$17, (((inputs!$P$13/(V166/MAX(K166:S166)))^(1/inputs!$O$13))-1)/inputs!$N$13, inputs!$I$17))</f>
        <v>1000</v>
      </c>
      <c r="U166" s="63">
        <f>IF((((inputs!$P$13/(X166/MAX(K166:S166)))^(1/inputs!$O$13))-1)/inputs!$N$13&lt;0, 0, IF((((inputs!$P$13/(X166/MAX(K166:S166)))^(1/inputs!$O$13))-1)/inputs!$N$13&lt;inputs!$I$17, (((inputs!$P$13/(X166/MAX(K166:S166)))^(1/inputs!$O$13))-1)/inputs!$N$13, inputs!$I$17))</f>
        <v>265.67367768858145</v>
      </c>
      <c r="V166" s="21">
        <f>inputs!$E$78*(F166/inputs!$F$78)^(inputs!$E$84-1)</f>
        <v>9.6273892813238914E-3</v>
      </c>
      <c r="W166" s="21">
        <f>inputs!$E$85*(F166/inputs!$F$85)^(inputs!$E$84-1)</f>
        <v>0.4445751018040095</v>
      </c>
      <c r="X166" s="21">
        <f>inputs!$E$80*(F166/inputs!$F$80)^(inputs!$E$84-1)</f>
        <v>1.6601222155972506</v>
      </c>
      <c r="Y166" s="21">
        <f>inputs!$E$82*(F166/inputs!$F$82)^(inputs!$E$84-1)</f>
        <v>0.7651240955157409</v>
      </c>
      <c r="Z166" s="63">
        <f t="shared" si="16"/>
        <v>21551.58488088521</v>
      </c>
      <c r="AA166" s="63">
        <f t="shared" si="17"/>
        <v>466.70516732906486</v>
      </c>
    </row>
    <row r="167" spans="1:27" x14ac:dyDescent="0.25">
      <c r="A167" s="103" t="s">
        <v>366</v>
      </c>
      <c r="B167" s="20" t="s">
        <v>367</v>
      </c>
      <c r="C167" s="20" t="s">
        <v>73</v>
      </c>
      <c r="D167" s="104" t="s">
        <v>204</v>
      </c>
      <c r="E167" s="15">
        <v>2691</v>
      </c>
      <c r="F167" s="15">
        <v>628</v>
      </c>
      <c r="G167" s="20" t="s">
        <v>158</v>
      </c>
      <c r="H167" s="20">
        <v>0.85</v>
      </c>
      <c r="I167" s="68">
        <f>MAX('Max rate concentrations'!$F$3:$F$368)</f>
        <v>405</v>
      </c>
      <c r="J167" s="68">
        <f>MAX('Max rate concentrations'!Y:Y)</f>
        <v>135</v>
      </c>
      <c r="K167" s="69">
        <f t="shared" si="19"/>
        <v>163.39482910624881</v>
      </c>
      <c r="L167" s="69">
        <f t="shared" si="18"/>
        <v>54.464943035416269</v>
      </c>
      <c r="M167" s="69">
        <f>IF((((1.18*F167^0.874)/3.7-(0.301*F167^0.751)/(1-H167)*H167)*(MAX('Max rate concentrations'!$P$3:$P$368)))/F167&gt;0, (((1.18*F167^0.874)/3.7-(0.301*F167^0.751)/(1-H167)*H167)*(MAX('Max rate concentrations'!$P$3:$P$368)))/F167, 0)</f>
        <v>0</v>
      </c>
      <c r="N167" s="69">
        <f>IF((((1.18*F167^0.874)/3.7-(0.301*F167^0.751)/(1-H167)*H167)*(MAX('Max rate concentrations'!$Q$3:$Q$368)))/F167&gt;0, (((1.18*F167^0.874)/3.7-(0.301*F167^0.751)/(1-H167)*H167)*(MAX('Max rate concentrations'!$Q$3:$Q$368)))/F167, 0)</f>
        <v>0</v>
      </c>
      <c r="O167" s="69">
        <f>((MAX('Max rate concentrations'!$F$3:$F$368))*0.62*6.01*8*(10*F167^0.667)*0.079*0.1/F167)*inputs!$E$80/(10^(0.84+0.62*LOG10(inputs!$E$80)))</f>
        <v>17.180383915301274</v>
      </c>
      <c r="P167" s="69">
        <f>((MAX('Max rate concentrations'!Y:Y))*0.62*6.01*8*(10*F167^0.667)*0.079*0.1/F167)*inputs!$E$80/(10^(0.84+0.62*LOG10(inputs!$E$80)))</f>
        <v>5.72679463843376</v>
      </c>
      <c r="Q167" s="69">
        <f>(inputs!$C$18*11.2*(10*F167^0.667)*0.5/F167)*inputs!$E$80/(10^(0.84+0.62*LOG10(inputs!$E$80)))</f>
        <v>3.0262435940580188</v>
      </c>
      <c r="R167" s="59">
        <f>(60*284*((F167/1000)^0.77)*3*24*(MAX('Max rate concentrations'!$R$3:$R$368))/F167)*(inputs!$E$73*3.4/inputs!$E$75)</f>
        <v>3.1300843225723199E-2</v>
      </c>
      <c r="S167" s="59">
        <f>(IF(inputs!$C$17="aerial",((0.025*0.112*inputs!$C$18/3.3)*(3*60*284*((F167/1000)^0.77))*MAX(inputs!$I$14:$I$16))/F167,((0.0083*0.112*inputs!$C$18/1)*(3*60*284*((F167/1000)^0.77))*MAX(inputs!$I$14:$I$16))/F167))*(inputs!E$75*3.4/inputs!$E$73)</f>
        <v>0.17262607346074846</v>
      </c>
      <c r="T167" s="63">
        <f>IF((((inputs!$P$13/(V167/MAX(K167:S167)))^(1/inputs!$O$13))-1)/inputs!$N$13&lt;0, 0, IF((((inputs!$P$13/(V167/MAX(K167:S167)))^(1/inputs!$O$13))-1)/inputs!$N$13&lt;inputs!$I$17, (((inputs!$P$13/(V167/MAX(K167:S167)))^(1/inputs!$O$13))-1)/inputs!$N$13, inputs!$I$17))</f>
        <v>1000</v>
      </c>
      <c r="U167" s="63">
        <f>IF((((inputs!$P$13/(X167/MAX(K167:S167)))^(1/inputs!$O$13))-1)/inputs!$N$13&lt;0, 0, IF((((inputs!$P$13/(X167/MAX(K167:S167)))^(1/inputs!$O$13))-1)/inputs!$N$13&lt;inputs!$I$17, (((inputs!$P$13/(X167/MAX(K167:S167)))^(1/inputs!$O$13))-1)/inputs!$N$13, inputs!$I$17))</f>
        <v>218.08446000046609</v>
      </c>
      <c r="V167" s="21">
        <f>inputs!$E$78*(F167/inputs!$F$78)^(inputs!$E$84-1)</f>
        <v>9.6273892813238914E-3</v>
      </c>
      <c r="W167" s="21">
        <f>inputs!$E$85*(F167/inputs!$F$85)^(inputs!$E$84-1)</f>
        <v>0.4445751018040095</v>
      </c>
      <c r="X167" s="21">
        <f>inputs!$E$80*(F167/inputs!$F$80)^(inputs!$E$84-1)</f>
        <v>1.6601222155972506</v>
      </c>
      <c r="Y167" s="21">
        <f>inputs!$E$82*(F167/inputs!$F$82)^(inputs!$E$84-1)</f>
        <v>0.7651240955157409</v>
      </c>
      <c r="Z167" s="63">
        <f t="shared" si="16"/>
        <v>16971.873093697101</v>
      </c>
      <c r="AA167" s="63">
        <f t="shared" si="17"/>
        <v>367.53031927163852</v>
      </c>
    </row>
    <row r="168" spans="1:27" x14ac:dyDescent="0.25">
      <c r="A168" s="103" t="s">
        <v>366</v>
      </c>
      <c r="B168" s="20" t="s">
        <v>367</v>
      </c>
      <c r="C168" s="20" t="s">
        <v>73</v>
      </c>
      <c r="D168" s="104" t="s">
        <v>204</v>
      </c>
      <c r="E168" s="15">
        <v>2691</v>
      </c>
      <c r="F168" s="15">
        <v>628</v>
      </c>
      <c r="G168" s="20" t="s">
        <v>154</v>
      </c>
      <c r="H168" s="20">
        <v>9.2999999999999999E-2</v>
      </c>
      <c r="I168" s="68">
        <f>MAX('Max rate concentrations'!$G$3:$G$368)</f>
        <v>45</v>
      </c>
      <c r="J168" s="68">
        <f>MAX('Max rate concentrations'!Z:Z)</f>
        <v>21</v>
      </c>
      <c r="K168" s="69">
        <f t="shared" si="19"/>
        <v>3.0024775653481957</v>
      </c>
      <c r="L168" s="69">
        <f t="shared" si="18"/>
        <v>1.4011561971624913</v>
      </c>
      <c r="M168" s="69">
        <f>IF((((1.18*F168^0.874)/3.7-(0.301*F168^0.751)/(1-H168)*H168)*(MAX('Max rate concentrations'!$P$3:$P$368)))/F168&gt;0, (((1.18*F168^0.874)/3.7-(0.301*F168^0.751)/(1-H168)*H168)*(MAX('Max rate concentrations'!$P$3:$P$368)))/F168, 0)</f>
        <v>0.11793484778627485</v>
      </c>
      <c r="N168" s="69">
        <f>IF((((1.18*F168^0.874)/3.7-(0.301*F168^0.751)/(1-H168)*H168)*(MAX('Max rate concentrations'!$Q$3:$Q$368)))/F168&gt;0, (((1.18*F168^0.874)/3.7-(0.301*F168^0.751)/(1-H168)*H168)*(MAX('Max rate concentrations'!$Q$3:$Q$368)))/F168, 0)</f>
        <v>0.44910223720824149</v>
      </c>
      <c r="O168" s="69">
        <f>((MAX('Max rate concentrations'!$F$3:$F$368))*0.62*6.01*8*(10*F168^0.667)*0.079*0.1/F168)*inputs!$E$80/(10^(0.84+0.62*LOG10(inputs!$E$80)))</f>
        <v>17.180383915301274</v>
      </c>
      <c r="P168" s="69">
        <f>((MAX('Max rate concentrations'!Y:Y))*0.62*6.01*8*(10*F168^0.667)*0.079*0.1/F168)*inputs!$E$80/(10^(0.84+0.62*LOG10(inputs!$E$80)))</f>
        <v>5.72679463843376</v>
      </c>
      <c r="Q168" s="69">
        <f>(inputs!$C$18*11.2*(10*F168^0.667)*0.5/F168)*inputs!$E$80/(10^(0.84+0.62*LOG10(inputs!$E$80)))</f>
        <v>3.0262435940580188</v>
      </c>
      <c r="R168" s="59">
        <f>(60*284*((F168/1000)^0.77)*3*24*(MAX('Max rate concentrations'!$R$3:$R$368))/F168)*(inputs!$E$73*3.4/inputs!$E$75)</f>
        <v>3.1300843225723199E-2</v>
      </c>
      <c r="S168" s="59">
        <f>(IF(inputs!$C$17="aerial",((0.025*0.112*inputs!$C$18/3.3)*(3*60*284*((F168/1000)^0.77))*MAX(inputs!$I$14:$I$16))/F168,((0.0083*0.112*inputs!$C$18/1)*(3*60*284*((F168/1000)^0.77))*MAX(inputs!$I$14:$I$16))/F168))*(inputs!E$75*3.4/inputs!$E$73)</f>
        <v>0.17262607346074846</v>
      </c>
      <c r="T168" s="63">
        <f>IF((((inputs!$P$13/(V168/MAX(K168:S168)))^(1/inputs!$O$13))-1)/inputs!$N$13&lt;0, 0, IF((((inputs!$P$13/(V168/MAX(K168:S168)))^(1/inputs!$O$13))-1)/inputs!$N$13&lt;inputs!$I$17, (((inputs!$P$13/(V168/MAX(K168:S168)))^(1/inputs!$O$13))-1)/inputs!$N$13, inputs!$I$17))</f>
        <v>1000</v>
      </c>
      <c r="U168" s="63">
        <f>IF((((inputs!$P$13/(X168/MAX(K168:S168)))^(1/inputs!$O$13))-1)/inputs!$N$13&lt;0, 0, IF((((inputs!$P$13/(X168/MAX(K168:S168)))^(1/inputs!$O$13))-1)/inputs!$N$13&lt;inputs!$I$17, (((inputs!$P$13/(X168/MAX(K168:S168)))^(1/inputs!$O$13))-1)/inputs!$N$13, inputs!$I$17))</f>
        <v>30.902563558293032</v>
      </c>
      <c r="V168" s="21">
        <f>inputs!$E$78*(F168/inputs!$F$78)^(inputs!$E$84-1)</f>
        <v>9.6273892813238914E-3</v>
      </c>
      <c r="W168" s="21">
        <f>inputs!$E$85*(F168/inputs!$F$85)^(inputs!$E$84-1)</f>
        <v>0.4445751018040095</v>
      </c>
      <c r="X168" s="21">
        <f>inputs!$E$80*(F168/inputs!$F$80)^(inputs!$E$84-1)</f>
        <v>1.6601222155972506</v>
      </c>
      <c r="Y168" s="21">
        <f>inputs!$E$82*(F168/inputs!$F$82)^(inputs!$E$84-1)</f>
        <v>0.7651240955157409</v>
      </c>
      <c r="Z168" s="63">
        <f t="shared" si="16"/>
        <v>1784.5319653407375</v>
      </c>
      <c r="AA168" s="63">
        <f t="shared" si="17"/>
        <v>38.644503134759958</v>
      </c>
    </row>
    <row r="169" spans="1:27" x14ac:dyDescent="0.25">
      <c r="A169" s="103" t="s">
        <v>219</v>
      </c>
      <c r="B169" s="20" t="s">
        <v>220</v>
      </c>
      <c r="C169" s="20" t="s">
        <v>73</v>
      </c>
      <c r="D169" s="104" t="s">
        <v>204</v>
      </c>
      <c r="E169" s="15">
        <v>89</v>
      </c>
      <c r="F169" s="15">
        <v>178</v>
      </c>
      <c r="G169" s="20" t="s">
        <v>142</v>
      </c>
      <c r="H169" s="20">
        <v>0.69</v>
      </c>
      <c r="I169" s="68">
        <f>MAX('Max rate concentrations'!$H$3:$H$368)</f>
        <v>282</v>
      </c>
      <c r="J169" s="68">
        <f>MAX('Max rate concentrations'!AA:AA)</f>
        <v>195</v>
      </c>
      <c r="K169" s="69">
        <f t="shared" si="19"/>
        <v>75.352788688234781</v>
      </c>
      <c r="L169" s="69">
        <f t="shared" si="18"/>
        <v>52.105651752502773</v>
      </c>
      <c r="M169" s="69">
        <f>IF((((1.18*F169^0.874)/3.7-(0.301*F169^0.751)/(1-H169)*H169)*(MAX('Max rate concentrations'!$P$3:$P$368)))/F169&gt;0, (((1.18*F169^0.874)/3.7-(0.301*F169^0.751)/(1-H169)*H169)*(MAX('Max rate concentrations'!$P$3:$P$368)))/F169, 0)</f>
        <v>0</v>
      </c>
      <c r="N169" s="69">
        <f>IF((((1.18*F169^0.874)/3.7-(0.301*F169^0.751)/(1-H169)*H169)*(MAX('Max rate concentrations'!$Q$3:$Q$368)))/F169&gt;0, (((1.18*F169^0.874)/3.7-(0.301*F169^0.751)/(1-H169)*H169)*(MAX('Max rate concentrations'!$Q$3:$Q$368)))/F169, 0)</f>
        <v>0</v>
      </c>
      <c r="O169" s="69">
        <f>((MAX('Max rate concentrations'!$F$3:$F$368))*0.62*6.01*8*(10*F169^0.667)*0.079*0.1/F169)*inputs!$E$80/(10^(0.84+0.62*LOG10(inputs!$E$80)))</f>
        <v>26.143490130487656</v>
      </c>
      <c r="P169" s="69">
        <f>((MAX('Max rate concentrations'!Y:Y))*0.62*6.01*8*(10*F169^0.667)*0.079*0.1/F169)*inputs!$E$80/(10^(0.84+0.62*LOG10(inputs!$E$80)))</f>
        <v>8.7144967101625532</v>
      </c>
      <c r="Q169" s="69">
        <f>(inputs!$C$18*11.2*(10*F169^0.667)*0.5/F169)*inputs!$E$80/(10^(0.84+0.62*LOG10(inputs!$E$80)))</f>
        <v>4.6050524786727332</v>
      </c>
      <c r="R169" s="59">
        <f>(60*284*((F169/1000)^0.77)*3*24*(MAX('Max rate concentrations'!$R$3:$R$368))/F169)*(inputs!$E$73*3.4/inputs!$E$75)</f>
        <v>4.1830220593955379E-2</v>
      </c>
      <c r="S169" s="59">
        <f>(IF(inputs!$C$17="aerial",((0.025*0.112*inputs!$C$18/3.3)*(3*60*284*((F169/1000)^0.77))*MAX(inputs!$I$14:$I$16))/F169,((0.0083*0.112*inputs!$C$18/1)*(3*60*284*((F169/1000)^0.77))*MAX(inputs!$I$14:$I$16))/F169))*(inputs!E$75*3.4/inputs!$E$73)</f>
        <v>0.23069623655369148</v>
      </c>
      <c r="T169" s="63">
        <f>IF((((inputs!$P$13/(V169/MAX(K169:S169)))^(1/inputs!$O$13))-1)/inputs!$N$13&lt;0, 0, IF((((inputs!$P$13/(V169/MAX(K169:S169)))^(1/inputs!$O$13))-1)/inputs!$N$13&lt;inputs!$I$17, (((inputs!$P$13/(V169/MAX(K169:S169)))^(1/inputs!$O$13))-1)/inputs!$N$13, inputs!$I$17))</f>
        <v>1000</v>
      </c>
      <c r="U169" s="63">
        <f>IF((((inputs!$P$13/(X169/MAX(K169:S169)))^(1/inputs!$O$13))-1)/inputs!$N$13&lt;0, 0, IF((((inputs!$P$13/(X169/MAX(K169:S169)))^(1/inputs!$O$13))-1)/inputs!$N$13&lt;inputs!$I$17, (((inputs!$P$13/(X169/MAX(K169:S169)))^(1/inputs!$O$13))-1)/inputs!$N$13, inputs!$I$17))</f>
        <v>76.667847332350064</v>
      </c>
      <c r="V169" s="21">
        <f>inputs!$E$78*(F169/inputs!$F$78)^(inputs!$E$84-1)</f>
        <v>1.5349640205447362E-2</v>
      </c>
      <c r="W169" s="21">
        <f>inputs!$E$85*(F169/inputs!$F$85)^(inputs!$E$84-1)</f>
        <v>0.70881810816870583</v>
      </c>
      <c r="X169" s="21">
        <f>inputs!$E$80*(F169/inputs!$F$80)^(inputs!$E$84-1)</f>
        <v>2.6468524292375721</v>
      </c>
      <c r="Y169" s="21">
        <f>inputs!$E$82*(F169/inputs!$F$82)^(inputs!$E$84-1)</f>
        <v>1.2198924584329218</v>
      </c>
      <c r="Z169" s="63">
        <f t="shared" si="16"/>
        <v>4909.0915278582997</v>
      </c>
      <c r="AA169" s="63">
        <f t="shared" si="17"/>
        <v>106.30765187830114</v>
      </c>
    </row>
    <row r="170" spans="1:27" x14ac:dyDescent="0.25">
      <c r="A170" s="103" t="s">
        <v>219</v>
      </c>
      <c r="B170" s="20" t="s">
        <v>220</v>
      </c>
      <c r="C170" s="20" t="s">
        <v>73</v>
      </c>
      <c r="D170" s="104" t="s">
        <v>204</v>
      </c>
      <c r="E170" s="15">
        <v>89</v>
      </c>
      <c r="F170" s="15">
        <v>178</v>
      </c>
      <c r="G170" s="20" t="s">
        <v>152</v>
      </c>
      <c r="H170" s="20">
        <v>0.77</v>
      </c>
      <c r="I170" s="68">
        <f>MAX('Max rate concentrations'!$G$3:$G$368)</f>
        <v>45</v>
      </c>
      <c r="J170" s="68">
        <f>MAX('Max rate concentrations'!Z:Z)</f>
        <v>21</v>
      </c>
      <c r="K170" s="69">
        <f t="shared" si="19"/>
        <v>16.206774625360399</v>
      </c>
      <c r="L170" s="69">
        <f t="shared" si="18"/>
        <v>7.5631614918348529</v>
      </c>
      <c r="M170" s="69">
        <f>IF((((1.18*F170^0.874)/3.7-(0.301*F170^0.751)/(1-H170)*H170)*(MAX('Max rate concentrations'!$P$3:$P$368)))/F170&gt;0, (((1.18*F170^0.874)/3.7-(0.301*F170^0.751)/(1-H170)*H170)*(MAX('Max rate concentrations'!$P$3:$P$368)))/F170, 0)</f>
        <v>0</v>
      </c>
      <c r="N170" s="69">
        <f>IF((((1.18*F170^0.874)/3.7-(0.301*F170^0.751)/(1-H170)*H170)*(MAX('Max rate concentrations'!$Q$3:$Q$368)))/F170&gt;0, (((1.18*F170^0.874)/3.7-(0.301*F170^0.751)/(1-H170)*H170)*(MAX('Max rate concentrations'!$Q$3:$Q$368)))/F170, 0)</f>
        <v>0</v>
      </c>
      <c r="O170" s="69">
        <f>((MAX('Max rate concentrations'!$F$3:$F$368))*0.62*6.01*8*(10*F170^0.667)*0.079*0.1/F170)*inputs!$E$80/(10^(0.84+0.62*LOG10(inputs!$E$80)))</f>
        <v>26.143490130487656</v>
      </c>
      <c r="P170" s="69">
        <f>((MAX('Max rate concentrations'!Y:Y))*0.62*6.01*8*(10*F170^0.667)*0.079*0.1/F170)*inputs!$E$80/(10^(0.84+0.62*LOG10(inputs!$E$80)))</f>
        <v>8.7144967101625532</v>
      </c>
      <c r="Q170" s="69">
        <f>(inputs!$C$18*11.2*(10*F170^0.667)*0.5/F170)*inputs!$E$80/(10^(0.84+0.62*LOG10(inputs!$E$80)))</f>
        <v>4.6050524786727332</v>
      </c>
      <c r="R170" s="59">
        <f>(60*284*((F170/1000)^0.77)*3*24*(MAX('Max rate concentrations'!$R$3:$R$368))/F170)*(inputs!$E$73*3.4/inputs!$E$75)</f>
        <v>4.1830220593955379E-2</v>
      </c>
      <c r="S170" s="59">
        <f>(IF(inputs!$C$17="aerial",((0.025*0.112*inputs!$C$18/3.3)*(3*60*284*((F170/1000)^0.77))*MAX(inputs!$I$14:$I$16))/F170,((0.0083*0.112*inputs!$C$18/1)*(3*60*284*((F170/1000)^0.77))*MAX(inputs!$I$14:$I$16))/F170))*(inputs!E$75*3.4/inputs!$E$73)</f>
        <v>0.23069623655369148</v>
      </c>
      <c r="T170" s="63">
        <f>IF((((inputs!$P$13/(V170/MAX(K170:S170)))^(1/inputs!$O$13))-1)/inputs!$N$13&lt;0, 0, IF((((inputs!$P$13/(V170/MAX(K170:S170)))^(1/inputs!$O$13))-1)/inputs!$N$13&lt;inputs!$I$17, (((inputs!$P$13/(V170/MAX(K170:S170)))^(1/inputs!$O$13))-1)/inputs!$N$13, inputs!$I$17))</f>
        <v>1000</v>
      </c>
      <c r="U170" s="63">
        <f>IF((((inputs!$P$13/(X170/MAX(K170:S170)))^(1/inputs!$O$13))-1)/inputs!$N$13&lt;0, 0, IF((((inputs!$P$13/(X170/MAX(K170:S170)))^(1/inputs!$O$13))-1)/inputs!$N$13&lt;inputs!$I$17, (((inputs!$P$13/(X170/MAX(K170:S170)))^(1/inputs!$O$13))-1)/inputs!$N$13, inputs!$I$17))</f>
        <v>29.565027462799588</v>
      </c>
      <c r="V170" s="21">
        <f>inputs!$E$78*(F170/inputs!$F$78)^(inputs!$E$84-1)</f>
        <v>1.5349640205447362E-2</v>
      </c>
      <c r="W170" s="21">
        <f>inputs!$E$85*(F170/inputs!$F$85)^(inputs!$E$84-1)</f>
        <v>0.70881810816870583</v>
      </c>
      <c r="X170" s="21">
        <f>inputs!$E$80*(F170/inputs!$F$80)^(inputs!$E$84-1)</f>
        <v>2.6468524292375721</v>
      </c>
      <c r="Y170" s="21">
        <f>inputs!$E$82*(F170/inputs!$F$82)^(inputs!$E$84-1)</f>
        <v>1.2198924584329218</v>
      </c>
      <c r="Z170" s="63">
        <f t="shared" si="16"/>
        <v>1703.1988880892279</v>
      </c>
      <c r="AA170" s="63">
        <f t="shared" si="17"/>
        <v>36.883214225482575</v>
      </c>
    </row>
    <row r="171" spans="1:27" x14ac:dyDescent="0.25">
      <c r="A171" s="103" t="s">
        <v>219</v>
      </c>
      <c r="B171" s="20" t="s">
        <v>220</v>
      </c>
      <c r="C171" s="20" t="s">
        <v>73</v>
      </c>
      <c r="D171" s="104" t="s">
        <v>204</v>
      </c>
      <c r="E171" s="15">
        <v>89</v>
      </c>
      <c r="F171" s="15">
        <v>178</v>
      </c>
      <c r="G171" s="20" t="s">
        <v>169</v>
      </c>
      <c r="H171" s="20">
        <v>0.79</v>
      </c>
      <c r="I171" s="68">
        <f>MAX('Max rate concentrations'!$D$3:$D$368)</f>
        <v>720</v>
      </c>
      <c r="J171" s="68">
        <f>MAX('Max rate concentrations'!W:W)</f>
        <v>255</v>
      </c>
      <c r="K171" s="69">
        <f t="shared" si="19"/>
        <v>284.00443153012509</v>
      </c>
      <c r="L171" s="69">
        <f t="shared" si="18"/>
        <v>100.58490283358599</v>
      </c>
      <c r="M171" s="69">
        <f>IF((((1.18*F171^0.874)/3.7-(0.301*F171^0.751)/(1-H171)*H171)*(MAX('Max rate concentrations'!$P$3:$P$368)))/F171&gt;0, (((1.18*F171^0.874)/3.7-(0.301*F171^0.751)/(1-H171)*H171)*(MAX('Max rate concentrations'!$P$3:$P$368)))/F171, 0)</f>
        <v>0</v>
      </c>
      <c r="N171" s="69">
        <f>IF((((1.18*F171^0.874)/3.7-(0.301*F171^0.751)/(1-H171)*H171)*(MAX('Max rate concentrations'!$Q$3:$Q$368)))/F171&gt;0, (((1.18*F171^0.874)/3.7-(0.301*F171^0.751)/(1-H171)*H171)*(MAX('Max rate concentrations'!$Q$3:$Q$368)))/F171, 0)</f>
        <v>0</v>
      </c>
      <c r="O171" s="69">
        <f>((MAX('Max rate concentrations'!$F$3:$F$368))*0.62*6.01*8*(10*F171^0.667)*0.079*0.1/F171)*inputs!$E$80/(10^(0.84+0.62*LOG10(inputs!$E$80)))</f>
        <v>26.143490130487656</v>
      </c>
      <c r="P171" s="69">
        <f>((MAX('Max rate concentrations'!Y:Y))*0.62*6.01*8*(10*F171^0.667)*0.079*0.1/F171)*inputs!$E$80/(10^(0.84+0.62*LOG10(inputs!$E$80)))</f>
        <v>8.7144967101625532</v>
      </c>
      <c r="Q171" s="69">
        <f>(inputs!$C$18*11.2*(10*F171^0.667)*0.5/F171)*inputs!$E$80/(10^(0.84+0.62*LOG10(inputs!$E$80)))</f>
        <v>4.6050524786727332</v>
      </c>
      <c r="R171" s="59">
        <f>(60*284*((F171/1000)^0.77)*3*24*(MAX('Max rate concentrations'!$R$3:$R$368))/F171)*(inputs!$E$73*3.4/inputs!$E$75)</f>
        <v>4.1830220593955379E-2</v>
      </c>
      <c r="S171" s="59">
        <f>(IF(inputs!$C$17="aerial",((0.025*0.112*inputs!$C$18/3.3)*(3*60*284*((F171/1000)^0.77))*MAX(inputs!$I$14:$I$16))/F171,((0.0083*0.112*inputs!$C$18/1)*(3*60*284*((F171/1000)^0.77))*MAX(inputs!$I$14:$I$16))/F171))*(inputs!E$75*3.4/inputs!$E$73)</f>
        <v>0.23069623655369148</v>
      </c>
      <c r="T171" s="63">
        <f>IF((((inputs!$P$13/(V171/MAX(K171:S171)))^(1/inputs!$O$13))-1)/inputs!$N$13&lt;0, 0, IF((((inputs!$P$13/(V171/MAX(K171:S171)))^(1/inputs!$O$13))-1)/inputs!$N$13&lt;inputs!$I$17, (((inputs!$P$13/(V171/MAX(K171:S171)))^(1/inputs!$O$13))-1)/inputs!$N$13, inputs!$I$17))</f>
        <v>1000</v>
      </c>
      <c r="U171" s="63">
        <f>IF((((inputs!$P$13/(X171/MAX(K171:S171)))^(1/inputs!$O$13))-1)/inputs!$N$13&lt;0, 0, IF((((inputs!$P$13/(X171/MAX(K171:S171)))^(1/inputs!$O$13))-1)/inputs!$N$13&lt;inputs!$I$17, (((inputs!$P$13/(X171/MAX(K171:S171)))^(1/inputs!$O$13))-1)/inputs!$N$13, inputs!$I$17))</f>
        <v>234.23347253994532</v>
      </c>
      <c r="V171" s="21">
        <f>inputs!$E$78*(F171/inputs!$F$78)^(inputs!$E$84-1)</f>
        <v>1.5349640205447362E-2</v>
      </c>
      <c r="W171" s="21">
        <f>inputs!$E$85*(F171/inputs!$F$85)^(inputs!$E$84-1)</f>
        <v>0.70881810816870583</v>
      </c>
      <c r="X171" s="21">
        <f>inputs!$E$80*(F171/inputs!$F$80)^(inputs!$E$84-1)</f>
        <v>2.6468524292375721</v>
      </c>
      <c r="Y171" s="21">
        <f>inputs!$E$82*(F171/inputs!$F$82)^(inputs!$E$84-1)</f>
        <v>1.2198924584329218</v>
      </c>
      <c r="Z171" s="63">
        <f t="shared" si="16"/>
        <v>18502.351047247095</v>
      </c>
      <c r="AA171" s="63">
        <f t="shared" si="17"/>
        <v>400.67321680575515</v>
      </c>
    </row>
    <row r="172" spans="1:27" x14ac:dyDescent="0.25">
      <c r="A172" s="103" t="s">
        <v>219</v>
      </c>
      <c r="B172" s="20" t="s">
        <v>220</v>
      </c>
      <c r="C172" s="20" t="s">
        <v>73</v>
      </c>
      <c r="D172" s="104" t="s">
        <v>204</v>
      </c>
      <c r="E172" s="15">
        <v>89</v>
      </c>
      <c r="F172" s="15">
        <v>178</v>
      </c>
      <c r="G172" s="20" t="s">
        <v>177</v>
      </c>
      <c r="H172" s="20">
        <v>0.85</v>
      </c>
      <c r="I172" s="68">
        <f>MAX('Max rate concentrations'!$F$3:$F$368)</f>
        <v>405</v>
      </c>
      <c r="J172" s="68">
        <f>MAX('Max rate concentrations'!Y:Y)</f>
        <v>135</v>
      </c>
      <c r="K172" s="69">
        <f t="shared" si="19"/>
        <v>223.65348982997341</v>
      </c>
      <c r="L172" s="69">
        <f t="shared" si="18"/>
        <v>74.551163276657803</v>
      </c>
      <c r="M172" s="69">
        <f>IF((((1.18*F172^0.874)/3.7-(0.301*F172^0.751)/(1-H172)*H172)*(MAX('Max rate concentrations'!$P$3:$P$368)))/F172&gt;0, (((1.18*F172^0.874)/3.7-(0.301*F172^0.751)/(1-H172)*H172)*(MAX('Max rate concentrations'!$P$3:$P$368)))/F172, 0)</f>
        <v>0</v>
      </c>
      <c r="N172" s="69">
        <f>IF((((1.18*F172^0.874)/3.7-(0.301*F172^0.751)/(1-H172)*H172)*(MAX('Max rate concentrations'!$Q$3:$Q$368)))/F172&gt;0, (((1.18*F172^0.874)/3.7-(0.301*F172^0.751)/(1-H172)*H172)*(MAX('Max rate concentrations'!$Q$3:$Q$368)))/F172, 0)</f>
        <v>0</v>
      </c>
      <c r="O172" s="69">
        <f>((MAX('Max rate concentrations'!$F$3:$F$368))*0.62*6.01*8*(10*F172^0.667)*0.079*0.1/F172)*inputs!$E$80/(10^(0.84+0.62*LOG10(inputs!$E$80)))</f>
        <v>26.143490130487656</v>
      </c>
      <c r="P172" s="69">
        <f>((MAX('Max rate concentrations'!Y:Y))*0.62*6.01*8*(10*F172^0.667)*0.079*0.1/F172)*inputs!$E$80/(10^(0.84+0.62*LOG10(inputs!$E$80)))</f>
        <v>8.7144967101625532</v>
      </c>
      <c r="Q172" s="69">
        <f>(inputs!$C$18*11.2*(10*F172^0.667)*0.5/F172)*inputs!$E$80/(10^(0.84+0.62*LOG10(inputs!$E$80)))</f>
        <v>4.6050524786727332</v>
      </c>
      <c r="R172" s="59">
        <f>(60*284*((F172/1000)^0.77)*3*24*(MAX('Max rate concentrations'!$R$3:$R$368))/F172)*(inputs!$E$73*3.4/inputs!$E$75)</f>
        <v>4.1830220593955379E-2</v>
      </c>
      <c r="S172" s="59">
        <f>(IF(inputs!$C$17="aerial",((0.025*0.112*inputs!$C$18/3.3)*(3*60*284*((F172/1000)^0.77))*MAX(inputs!$I$14:$I$16))/F172,((0.0083*0.112*inputs!$C$18/1)*(3*60*284*((F172/1000)^0.77))*MAX(inputs!$I$14:$I$16))/F172))*(inputs!E$75*3.4/inputs!$E$73)</f>
        <v>0.23069623655369148</v>
      </c>
      <c r="T172" s="63">
        <f>IF((((inputs!$P$13/(V172/MAX(K172:S172)))^(1/inputs!$O$13))-1)/inputs!$N$13&lt;0, 0, IF((((inputs!$P$13/(V172/MAX(K172:S172)))^(1/inputs!$O$13))-1)/inputs!$N$13&lt;inputs!$I$17, (((inputs!$P$13/(V172/MAX(K172:S172)))^(1/inputs!$O$13))-1)/inputs!$N$13, inputs!$I$17))</f>
        <v>1000</v>
      </c>
      <c r="U172" s="63">
        <f>IF((((inputs!$P$13/(X172/MAX(K172:S172)))^(1/inputs!$O$13))-1)/inputs!$N$13&lt;0, 0, IF((((inputs!$P$13/(X172/MAX(K172:S172)))^(1/inputs!$O$13))-1)/inputs!$N$13&lt;inputs!$I$17, (((inputs!$P$13/(X172/MAX(K172:S172)))^(1/inputs!$O$13))-1)/inputs!$N$13, inputs!$I$17))</f>
        <v>192.16735880739682</v>
      </c>
      <c r="V172" s="21">
        <f>inputs!$E$78*(F172/inputs!$F$78)^(inputs!$E$84-1)</f>
        <v>1.5349640205447362E-2</v>
      </c>
      <c r="W172" s="21">
        <f>inputs!$E$85*(F172/inputs!$F$85)^(inputs!$E$84-1)</f>
        <v>0.70881810816870583</v>
      </c>
      <c r="X172" s="21">
        <f>inputs!$E$80*(F172/inputs!$F$80)^(inputs!$E$84-1)</f>
        <v>2.6468524292375721</v>
      </c>
      <c r="Y172" s="21">
        <f>inputs!$E$82*(F172/inputs!$F$82)^(inputs!$E$84-1)</f>
        <v>1.2198924584329218</v>
      </c>
      <c r="Z172" s="63">
        <f t="shared" si="16"/>
        <v>14570.601449707079</v>
      </c>
      <c r="AA172" s="63">
        <f t="shared" si="17"/>
        <v>315.53015823453205</v>
      </c>
    </row>
    <row r="173" spans="1:27" x14ac:dyDescent="0.25">
      <c r="A173" s="103" t="s">
        <v>219</v>
      </c>
      <c r="B173" s="20" t="s">
        <v>220</v>
      </c>
      <c r="C173" s="20" t="s">
        <v>73</v>
      </c>
      <c r="D173" s="104" t="s">
        <v>204</v>
      </c>
      <c r="E173" s="15">
        <v>89</v>
      </c>
      <c r="F173" s="15">
        <v>178</v>
      </c>
      <c r="G173" s="20" t="s">
        <v>154</v>
      </c>
      <c r="H173" s="20">
        <v>9.2999999999999999E-2</v>
      </c>
      <c r="I173" s="68">
        <f>MAX('Max rate concentrations'!$G$3:$G$368)</f>
        <v>45</v>
      </c>
      <c r="J173" s="68">
        <f>MAX('Max rate concentrations'!Z:Z)</f>
        <v>21</v>
      </c>
      <c r="K173" s="69">
        <f t="shared" si="19"/>
        <v>4.109766443035161</v>
      </c>
      <c r="L173" s="69">
        <f t="shared" si="18"/>
        <v>1.9178910067497417</v>
      </c>
      <c r="M173" s="69">
        <f>IF((((1.18*F173^0.874)/3.7-(0.301*F173^0.751)/(1-H173)*H173)*(MAX('Max rate concentrations'!$P$3:$P$368)))/F173&gt;0, (((1.18*F173^0.874)/3.7-(0.301*F173^0.751)/(1-H173)*H173)*(MAX('Max rate concentrations'!$P$3:$P$368)))/F173, 0)</f>
        <v>0.1371769512835446</v>
      </c>
      <c r="N173" s="69">
        <f>IF((((1.18*F173^0.874)/3.7-(0.301*F173^0.751)/(1-H173)*H173)*(MAX('Max rate concentrations'!$Q$3:$Q$368)))/F173&gt;0, (((1.18*F173^0.874)/3.7-(0.301*F173^0.751)/(1-H173)*H173)*(MAX('Max rate concentrations'!$Q$3:$Q$368)))/F173, 0)</f>
        <v>0.52237720123649101</v>
      </c>
      <c r="O173" s="69">
        <f>((MAX('Max rate concentrations'!$F$3:$F$368))*0.62*6.01*8*(10*F173^0.667)*0.079*0.1/F173)*inputs!$E$80/(10^(0.84+0.62*LOG10(inputs!$E$80)))</f>
        <v>26.143490130487656</v>
      </c>
      <c r="P173" s="69">
        <f>((MAX('Max rate concentrations'!Y:Y))*0.62*6.01*8*(10*F173^0.667)*0.079*0.1/F173)*inputs!$E$80/(10^(0.84+0.62*LOG10(inputs!$E$80)))</f>
        <v>8.7144967101625532</v>
      </c>
      <c r="Q173" s="69">
        <f>(inputs!$C$18*11.2*(10*F173^0.667)*0.5/F173)*inputs!$E$80/(10^(0.84+0.62*LOG10(inputs!$E$80)))</f>
        <v>4.6050524786727332</v>
      </c>
      <c r="R173" s="59">
        <f>(60*284*((F173/1000)^0.77)*3*24*(MAX('Max rate concentrations'!$R$3:$R$368))/F173)*(inputs!$E$73*3.4/inputs!$E$75)</f>
        <v>4.1830220593955379E-2</v>
      </c>
      <c r="S173" s="59">
        <f>(IF(inputs!$C$17="aerial",((0.025*0.112*inputs!$C$18/3.3)*(3*60*284*((F173/1000)^0.77))*MAX(inputs!$I$14:$I$16))/F173,((0.0083*0.112*inputs!$C$18/1)*(3*60*284*((F173/1000)^0.77))*MAX(inputs!$I$14:$I$16))/F173))*(inputs!E$75*3.4/inputs!$E$73)</f>
        <v>0.23069623655369148</v>
      </c>
      <c r="T173" s="63">
        <f>IF((((inputs!$P$13/(V173/MAX(K173:S173)))^(1/inputs!$O$13))-1)/inputs!$N$13&lt;0, 0, IF((((inputs!$P$13/(V173/MAX(K173:S173)))^(1/inputs!$O$13))-1)/inputs!$N$13&lt;inputs!$I$17, (((inputs!$P$13/(V173/MAX(K173:S173)))^(1/inputs!$O$13))-1)/inputs!$N$13, inputs!$I$17))</f>
        <v>1000</v>
      </c>
      <c r="U173" s="63">
        <f>IF((((inputs!$P$13/(X173/MAX(K173:S173)))^(1/inputs!$O$13))-1)/inputs!$N$13&lt;0, 0, IF((((inputs!$P$13/(X173/MAX(K173:S173)))^(1/inputs!$O$13))-1)/inputs!$N$13&lt;inputs!$I$17, (((inputs!$P$13/(X173/MAX(K173:S173)))^(1/inputs!$O$13))-1)/inputs!$N$13, inputs!$I$17))</f>
        <v>29.565027462799588</v>
      </c>
      <c r="V173" s="21">
        <f>inputs!$E$78*(F173/inputs!$F$78)^(inputs!$E$84-1)</f>
        <v>1.5349640205447362E-2</v>
      </c>
      <c r="W173" s="21">
        <f>inputs!$E$85*(F173/inputs!$F$85)^(inputs!$E$84-1)</f>
        <v>0.70881810816870583</v>
      </c>
      <c r="X173" s="21">
        <f>inputs!$E$80*(F173/inputs!$F$80)^(inputs!$E$84-1)</f>
        <v>2.6468524292375721</v>
      </c>
      <c r="Y173" s="21">
        <f>inputs!$E$82*(F173/inputs!$F$82)^(inputs!$E$84-1)</f>
        <v>1.2198924584329218</v>
      </c>
      <c r="Z173" s="63">
        <f t="shared" si="16"/>
        <v>1703.1988880892279</v>
      </c>
      <c r="AA173" s="63">
        <f t="shared" si="17"/>
        <v>36.883214225482575</v>
      </c>
    </row>
    <row r="174" spans="1:27" x14ac:dyDescent="0.25">
      <c r="A174" s="103" t="s">
        <v>277</v>
      </c>
      <c r="B174" s="20" t="s">
        <v>278</v>
      </c>
      <c r="C174" s="20" t="s">
        <v>73</v>
      </c>
      <c r="D174" s="104" t="s">
        <v>204</v>
      </c>
      <c r="E174" s="15">
        <v>87</v>
      </c>
      <c r="F174" s="15">
        <v>350</v>
      </c>
      <c r="G174" s="20" t="s">
        <v>142</v>
      </c>
      <c r="H174" s="20">
        <v>0.69</v>
      </c>
      <c r="I174" s="68">
        <f>MAX('Max rate concentrations'!$H$3:$H$368)</f>
        <v>282</v>
      </c>
      <c r="J174" s="68">
        <f>MAX('Max rate concentrations'!AA:AA)</f>
        <v>195</v>
      </c>
      <c r="K174" s="69">
        <f t="shared" si="19"/>
        <v>63.676761394309224</v>
      </c>
      <c r="L174" s="69">
        <f t="shared" si="18"/>
        <v>44.031803091809572</v>
      </c>
      <c r="M174" s="69">
        <f>IF((((1.18*F174^0.874)/3.7-(0.301*F174^0.751)/(1-H174)*H174)*(MAX('Max rate concentrations'!$P$3:$P$368)))/F174&gt;0, (((1.18*F174^0.874)/3.7-(0.301*F174^0.751)/(1-H174)*H174)*(MAX('Max rate concentrations'!$P$3:$P$368)))/F174, 0)</f>
        <v>0</v>
      </c>
      <c r="N174" s="69">
        <f>IF((((1.18*F174^0.874)/3.7-(0.301*F174^0.751)/(1-H174)*H174)*(MAX('Max rate concentrations'!$Q$3:$Q$368)))/F174&gt;0, (((1.18*F174^0.874)/3.7-(0.301*F174^0.751)/(1-H174)*H174)*(MAX('Max rate concentrations'!$Q$3:$Q$368)))/F174, 0)</f>
        <v>0</v>
      </c>
      <c r="O174" s="69">
        <f>((MAX('Max rate concentrations'!$F$3:$F$368))*0.62*6.01*8*(10*F174^0.667)*0.079*0.1/F174)*inputs!$E$80/(10^(0.84+0.62*LOG10(inputs!$E$80)))</f>
        <v>20.872706531337791</v>
      </c>
      <c r="P174" s="69">
        <f>((MAX('Max rate concentrations'!Y:Y))*0.62*6.01*8*(10*F174^0.667)*0.079*0.1/F174)*inputs!$E$80/(10^(0.84+0.62*LOG10(inputs!$E$80)))</f>
        <v>6.9575688437792644</v>
      </c>
      <c r="Q174" s="69">
        <f>(inputs!$C$18*11.2*(10*F174^0.667)*0.5/F174)*inputs!$E$80/(10^(0.84+0.62*LOG10(inputs!$E$80)))</f>
        <v>3.676628807744911</v>
      </c>
      <c r="R174" s="59">
        <f>(60*284*((F174/1000)^0.77)*3*24*(MAX('Max rate concentrations'!$R$3:$R$368))/F174)*(inputs!$E$73*3.4/inputs!$E$75)</f>
        <v>3.5805612328015581E-2</v>
      </c>
      <c r="S174" s="59">
        <f>(IF(inputs!$C$17="aerial",((0.025*0.112*inputs!$C$18/3.3)*(3*60*284*((F174/1000)^0.77))*MAX(inputs!$I$14:$I$16))/F174,((0.0083*0.112*inputs!$C$18/1)*(3*60*284*((F174/1000)^0.77))*MAX(inputs!$I$14:$I$16))/F174))*(inputs!E$75*3.4/inputs!$E$73)</f>
        <v>0.19747015182528793</v>
      </c>
      <c r="T174" s="63">
        <f>IF((((inputs!$P$13/(V174/MAX(K174:S174)))^(1/inputs!$O$13))-1)/inputs!$N$13&lt;0, 0, IF((((inputs!$P$13/(V174/MAX(K174:S174)))^(1/inputs!$O$13))-1)/inputs!$N$13&lt;inputs!$I$17, (((inputs!$P$13/(V174/MAX(K174:S174)))^(1/inputs!$O$13))-1)/inputs!$N$13, inputs!$I$17))</f>
        <v>1000</v>
      </c>
      <c r="U174" s="63">
        <f>IF((((inputs!$P$13/(X174/MAX(K174:S174)))^(1/inputs!$O$13))-1)/inputs!$N$13&lt;0, 0, IF((((inputs!$P$13/(X174/MAX(K174:S174)))^(1/inputs!$O$13))-1)/inputs!$N$13&lt;inputs!$I$17, (((inputs!$P$13/(X174/MAX(K174:S174)))^(1/inputs!$O$13))-1)/inputs!$N$13, inputs!$I$17))</f>
        <v>82.269334696419264</v>
      </c>
      <c r="V174" s="21">
        <f>inputs!$E$78*(F174/inputs!$F$78)^(inputs!$E$84-1)</f>
        <v>1.1952215764623077E-2</v>
      </c>
      <c r="W174" s="21">
        <f>inputs!$E$85*(F174/inputs!$F$85)^(inputs!$E$84-1)</f>
        <v>0.55193130609652619</v>
      </c>
      <c r="X174" s="21">
        <f>inputs!$E$80*(F174/inputs!$F$80)^(inputs!$E$84-1)</f>
        <v>2.0610093075756355</v>
      </c>
      <c r="Y174" s="21">
        <f>inputs!$E$82*(F174/inputs!$F$82)^(inputs!$E$84-1)</f>
        <v>0.94988662129372869</v>
      </c>
      <c r="Z174" s="63">
        <f t="shared" si="16"/>
        <v>5327.6114360973743</v>
      </c>
      <c r="AA174" s="63">
        <f t="shared" si="17"/>
        <v>115.37080917670019</v>
      </c>
    </row>
    <row r="175" spans="1:27" x14ac:dyDescent="0.25">
      <c r="A175" s="103" t="s">
        <v>277</v>
      </c>
      <c r="B175" s="20" t="s">
        <v>278</v>
      </c>
      <c r="C175" s="20" t="s">
        <v>73</v>
      </c>
      <c r="D175" s="104" t="s">
        <v>204</v>
      </c>
      <c r="E175" s="15">
        <v>87</v>
      </c>
      <c r="F175" s="15">
        <v>350</v>
      </c>
      <c r="G175" s="20" t="s">
        <v>154</v>
      </c>
      <c r="H175" s="20">
        <v>9.2999999999999999E-2</v>
      </c>
      <c r="I175" s="68">
        <f>MAX('Max rate concentrations'!$G$3:$G$368)</f>
        <v>45</v>
      </c>
      <c r="J175" s="68">
        <f>MAX('Max rate concentrations'!Z:Z)</f>
        <v>21</v>
      </c>
      <c r="K175" s="69">
        <f t="shared" si="19"/>
        <v>3.4729519867172343</v>
      </c>
      <c r="L175" s="69">
        <f t="shared" si="18"/>
        <v>1.6207109271347093</v>
      </c>
      <c r="M175" s="69">
        <f>IF((((1.18*F175^0.874)/3.7-(0.301*F175^0.751)/(1-H175)*H175)*(MAX('Max rate concentrations'!$P$3:$P$368)))/F175&gt;0, (((1.18*F175^0.874)/3.7-(0.301*F175^0.751)/(1-H175)*H175)*(MAX('Max rate concentrations'!$P$3:$P$368)))/F175, 0)</f>
        <v>0.12651624722379384</v>
      </c>
      <c r="N175" s="69">
        <f>IF((((1.18*F175^0.874)/3.7-(0.301*F175^0.751)/(1-H175)*H175)*(MAX('Max rate concentrations'!$Q$3:$Q$368)))/F175&gt;0, (((1.18*F175^0.874)/3.7-(0.301*F175^0.751)/(1-H175)*H175)*(MAX('Max rate concentrations'!$Q$3:$Q$368)))/F175, 0)</f>
        <v>0.48178066735936631</v>
      </c>
      <c r="O175" s="69">
        <f>((MAX('Max rate concentrations'!$F$3:$F$368))*0.62*6.01*8*(10*F175^0.667)*0.079*0.1/F175)*inputs!$E$80/(10^(0.84+0.62*LOG10(inputs!$E$80)))</f>
        <v>20.872706531337791</v>
      </c>
      <c r="P175" s="69">
        <f>((MAX('Max rate concentrations'!Y:Y))*0.62*6.01*8*(10*F175^0.667)*0.079*0.1/F175)*inputs!$E$80/(10^(0.84+0.62*LOG10(inputs!$E$80)))</f>
        <v>6.9575688437792644</v>
      </c>
      <c r="Q175" s="69">
        <f>(inputs!$C$18*11.2*(10*F175^0.667)*0.5/F175)*inputs!$E$80/(10^(0.84+0.62*LOG10(inputs!$E$80)))</f>
        <v>3.676628807744911</v>
      </c>
      <c r="R175" s="59">
        <f>(60*284*((F175/1000)^0.77)*3*24*(MAX('Max rate concentrations'!$R$3:$R$368))/F175)*(inputs!$E$73*3.4/inputs!$E$75)</f>
        <v>3.5805612328015581E-2</v>
      </c>
      <c r="S175" s="59">
        <f>(IF(inputs!$C$17="aerial",((0.025*0.112*inputs!$C$18/3.3)*(3*60*284*((F175/1000)^0.77))*MAX(inputs!$I$14:$I$16))/F175,((0.0083*0.112*inputs!$C$18/1)*(3*60*284*((F175/1000)^0.77))*MAX(inputs!$I$14:$I$16))/F175))*(inputs!E$75*3.4/inputs!$E$73)</f>
        <v>0.19747015182528793</v>
      </c>
      <c r="T175" s="63">
        <f>IF((((inputs!$P$13/(V175/MAX(K175:S175)))^(1/inputs!$O$13))-1)/inputs!$N$13&lt;0, 0, IF((((inputs!$P$13/(V175/MAX(K175:S175)))^(1/inputs!$O$13))-1)/inputs!$N$13&lt;inputs!$I$17, (((inputs!$P$13/(V175/MAX(K175:S175)))^(1/inputs!$O$13))-1)/inputs!$N$13, inputs!$I$17))</f>
        <v>1000</v>
      </c>
      <c r="U175" s="63">
        <f>IF((((inputs!$P$13/(X175/MAX(K175:S175)))^(1/inputs!$O$13))-1)/inputs!$N$13&lt;0, 0, IF((((inputs!$P$13/(X175/MAX(K175:S175)))^(1/inputs!$O$13))-1)/inputs!$N$13&lt;inputs!$I$17, (((inputs!$P$13/(X175/MAX(K175:S175)))^(1/inputs!$O$13))-1)/inputs!$N$13, inputs!$I$17))</f>
        <v>30.276077880719267</v>
      </c>
      <c r="V175" s="21">
        <f>inputs!$E$78*(F175/inputs!$F$78)^(inputs!$E$84-1)</f>
        <v>1.1952215764623077E-2</v>
      </c>
      <c r="W175" s="21">
        <f>inputs!$E$85*(F175/inputs!$F$85)^(inputs!$E$84-1)</f>
        <v>0.55193130609652619</v>
      </c>
      <c r="X175" s="21">
        <f>inputs!$E$80*(F175/inputs!$F$80)^(inputs!$E$84-1)</f>
        <v>2.0610093075756355</v>
      </c>
      <c r="Y175" s="21">
        <f>inputs!$E$82*(F175/inputs!$F$82)^(inputs!$E$84-1)</f>
        <v>0.94988662129372869</v>
      </c>
      <c r="Z175" s="63">
        <f t="shared" si="16"/>
        <v>1746.3461957504269</v>
      </c>
      <c r="AA175" s="63">
        <f t="shared" si="17"/>
        <v>37.817580377814998</v>
      </c>
    </row>
    <row r="176" spans="1:27" x14ac:dyDescent="0.25">
      <c r="A176" s="103" t="s">
        <v>331</v>
      </c>
      <c r="B176" s="20" t="s">
        <v>332</v>
      </c>
      <c r="C176" s="20" t="s">
        <v>73</v>
      </c>
      <c r="D176" s="104" t="s">
        <v>240</v>
      </c>
      <c r="E176" s="15">
        <v>102</v>
      </c>
      <c r="F176" s="15">
        <v>248</v>
      </c>
      <c r="G176" s="20" t="s">
        <v>142</v>
      </c>
      <c r="H176" s="20">
        <v>0.69</v>
      </c>
      <c r="I176" s="68">
        <f>MAX('Max rate concentrations'!$H$3:$H$368)</f>
        <v>282</v>
      </c>
      <c r="J176" s="68">
        <f>MAX('Max rate concentrations'!AA:AA)</f>
        <v>195</v>
      </c>
      <c r="K176" s="69">
        <f t="shared" si="19"/>
        <v>69.380183085119413</v>
      </c>
      <c r="L176" s="69">
        <f t="shared" si="18"/>
        <v>47.975658516305977</v>
      </c>
      <c r="M176" s="69">
        <f>IF((((1.18*F176^0.874)/3.7-(0.301*F176^0.751)/(1-H176)*H176)*(MAX('Max rate concentrations'!$P$3:$P$368)))/F176&gt;0, (((1.18*F176^0.874)/3.7-(0.301*F176^0.751)/(1-H176)*H176)*(MAX('Max rate concentrations'!$P$3:$P$368)))/F176, 0)</f>
        <v>0</v>
      </c>
      <c r="N176" s="69">
        <f>IF((((1.18*F176^0.874)/3.7-(0.301*F176^0.751)/(1-H176)*H176)*(MAX('Max rate concentrations'!$Q$3:$Q$368)))/F176&gt;0, (((1.18*F176^0.874)/3.7-(0.301*F176^0.751)/(1-H176)*H176)*(MAX('Max rate concentrations'!$Q$3:$Q$368)))/F176, 0)</f>
        <v>0</v>
      </c>
      <c r="O176" s="69">
        <f>((MAX('Max rate concentrations'!$F$3:$F$368))*0.62*6.01*8*(10*F176^0.667)*0.079*0.1/F176)*inputs!$E$80/(10^(0.84+0.62*LOG10(inputs!$E$80)))</f>
        <v>23.409978565956553</v>
      </c>
      <c r="P176" s="69">
        <f>((MAX('Max rate concentrations'!Y:Y))*0.62*6.01*8*(10*F176^0.667)*0.079*0.1/F176)*inputs!$E$80/(10^(0.84+0.62*LOG10(inputs!$E$80)))</f>
        <v>7.803326188652183</v>
      </c>
      <c r="Q176" s="69">
        <f>(inputs!$C$18*11.2*(10*F176^0.667)*0.5/F176)*inputs!$E$80/(10^(0.84+0.62*LOG10(inputs!$E$80)))</f>
        <v>4.1235573094013249</v>
      </c>
      <c r="R176" s="59">
        <f>(60*284*((F176/1000)^0.77)*3*24*(MAX('Max rate concentrations'!$R$3:$R$368))/F176)*(inputs!$E$73*3.4/inputs!$E$75)</f>
        <v>3.8758134795437049E-2</v>
      </c>
      <c r="S176" s="59">
        <f>(IF(inputs!$C$17="aerial",((0.025*0.112*inputs!$C$18/3.3)*(3*60*284*((F176/1000)^0.77))*MAX(inputs!$I$14:$I$16))/F176,((0.0083*0.112*inputs!$C$18/1)*(3*60*284*((F176/1000)^0.77))*MAX(inputs!$I$14:$I$16))/F176))*(inputs!E$75*3.4/inputs!$E$73)</f>
        <v>0.21375349463110571</v>
      </c>
      <c r="T176" s="63">
        <f>IF((((inputs!$P$13/(V176/MAX(K176:S176)))^(1/inputs!$O$13))-1)/inputs!$N$13&lt;0, 0, IF((((inputs!$P$13/(V176/MAX(K176:S176)))^(1/inputs!$O$13))-1)/inputs!$N$13&lt;inputs!$I$17, (((inputs!$P$13/(V176/MAX(K176:S176)))^(1/inputs!$O$13))-1)/inputs!$N$13, inputs!$I$17))</f>
        <v>1000</v>
      </c>
      <c r="U176" s="63">
        <f>IF((((inputs!$P$13/(X176/MAX(K176:S176)))^(1/inputs!$O$13))-1)/inputs!$N$13&lt;0, 0, IF((((inputs!$P$13/(X176/MAX(K176:S176)))^(1/inputs!$O$13))-1)/inputs!$N$13&lt;inputs!$I$17, (((inputs!$P$13/(X176/MAX(K176:S176)))^(1/inputs!$O$13))-1)/inputs!$N$13, inputs!$I$17))</f>
        <v>79.369031665613448</v>
      </c>
      <c r="V176" s="21">
        <f>inputs!$E$78*(F176/inputs!$F$78)^(inputs!$E$84-1)</f>
        <v>1.3577083190374073E-2</v>
      </c>
      <c r="W176" s="21">
        <f>inputs!$E$85*(F176/inputs!$F$85)^(inputs!$E$84-1)</f>
        <v>0.62696469054921478</v>
      </c>
      <c r="X176" s="21">
        <f>inputs!$E$80*(F176/inputs!$F$80)^(inputs!$E$84-1)</f>
        <v>2.3411972621774475</v>
      </c>
      <c r="Y176" s="21">
        <f>inputs!$E$82*(F176/inputs!$F$82)^(inputs!$E$84-1)</f>
        <v>1.0790208219718342</v>
      </c>
      <c r="Z176" s="63">
        <f t="shared" si="16"/>
        <v>5110.0948644336813</v>
      </c>
      <c r="AA176" s="63">
        <f t="shared" si="17"/>
        <v>110.66043133042001</v>
      </c>
    </row>
    <row r="177" spans="1:27" x14ac:dyDescent="0.25">
      <c r="A177" s="103" t="s">
        <v>331</v>
      </c>
      <c r="B177" s="20" t="s">
        <v>332</v>
      </c>
      <c r="C177" s="20" t="s">
        <v>73</v>
      </c>
      <c r="D177" s="104" t="s">
        <v>240</v>
      </c>
      <c r="E177" s="15">
        <v>102</v>
      </c>
      <c r="F177" s="15">
        <v>248</v>
      </c>
      <c r="G177" s="20" t="s">
        <v>195</v>
      </c>
      <c r="H177" s="20">
        <v>0.82</v>
      </c>
      <c r="I177" s="68">
        <f>inputs!$C$66*(inputs!$C$62/1000)</f>
        <v>8.2000000000000011</v>
      </c>
      <c r="J177" s="68">
        <f>inputs!$C$66*(inputs!$C$61/1000)</f>
        <v>2.5</v>
      </c>
      <c r="K177" s="69">
        <f t="shared" si="19"/>
        <v>3.4744764657678</v>
      </c>
      <c r="L177" s="69">
        <f t="shared" si="18"/>
        <v>1.0592916054170121</v>
      </c>
      <c r="M177" s="69">
        <f>IF((((1.18*F177^0.874)/3.7-(0.301*F177^0.751)/(1-H177)*H177)*(MAX('Max rate concentrations'!$P$3:$P$368)))/F177&gt;0, (((1.18*F177^0.874)/3.7-(0.301*F177^0.751)/(1-H177)*H177)*(MAX('Max rate concentrations'!$P$3:$P$368)))/F177, 0)</f>
        <v>0</v>
      </c>
      <c r="N177" s="69">
        <f>IF((((1.18*F177^0.874)/3.7-(0.301*F177^0.751)/(1-H177)*H177)*(MAX('Max rate concentrations'!$Q$3:$Q$368)))/F177&gt;0, (((1.18*F177^0.874)/3.7-(0.301*F177^0.751)/(1-H177)*H177)*(MAX('Max rate concentrations'!$Q$3:$Q$368)))/F177, 0)</f>
        <v>0</v>
      </c>
      <c r="O177" s="69">
        <f>((MAX('Max rate concentrations'!$F$3:$F$368))*0.62*6.01*8*(10*F177^0.667)*0.079*0.1/F177)*inputs!$E$80/(10^(0.84+0.62*LOG10(inputs!$E$80)))</f>
        <v>23.409978565956553</v>
      </c>
      <c r="P177" s="69">
        <f>((MAX('Max rate concentrations'!Y:Y))*0.62*6.01*8*(10*F177^0.667)*0.079*0.1/F177)*inputs!$E$80/(10^(0.84+0.62*LOG10(inputs!$E$80)))</f>
        <v>7.803326188652183</v>
      </c>
      <c r="Q177" s="69">
        <f>(inputs!$C$18*11.2*(10*F177^0.667)*0.5/F177)*inputs!$E$80/(10^(0.84+0.62*LOG10(inputs!$E$80)))</f>
        <v>4.1235573094013249</v>
      </c>
      <c r="R177" s="59">
        <f>(60*284*((F177/1000)^0.77)*3*24*(MAX('Max rate concentrations'!$R$3:$R$368))/F177)*(inputs!$E$73*3.4/inputs!$E$75)</f>
        <v>3.8758134795437049E-2</v>
      </c>
      <c r="S177" s="59">
        <f>(IF(inputs!$C$17="aerial",((0.025*0.112*inputs!$C$18/3.3)*(3*60*284*((F177/1000)^0.77))*MAX(inputs!$I$14:$I$16))/F177,((0.0083*0.112*inputs!$C$18/1)*(3*60*284*((F177/1000)^0.77))*MAX(inputs!$I$14:$I$16))/F177))*(inputs!E$75*3.4/inputs!$E$73)</f>
        <v>0.21375349463110571</v>
      </c>
      <c r="T177" s="63">
        <f>IF((((inputs!$P$13/(V177/MAX(K177:S177)))^(1/inputs!$O$13))-1)/inputs!$N$13&lt;0, 0, IF((((inputs!$P$13/(V177/MAX(K177:S177)))^(1/inputs!$O$13))-1)/inputs!$N$13&lt;inputs!$I$17, (((inputs!$P$13/(V177/MAX(K177:S177)))^(1/inputs!$O$13))-1)/inputs!$N$13, inputs!$I$17))</f>
        <v>1000</v>
      </c>
      <c r="U177" s="63">
        <f>IF((((inputs!$P$13/(X177/MAX(K177:S177)))^(1/inputs!$O$13))-1)/inputs!$N$13&lt;0, 0, IF((((inputs!$P$13/(X177/MAX(K177:S177)))^(1/inputs!$O$13))-1)/inputs!$N$13&lt;inputs!$I$17, (((inputs!$P$13/(X177/MAX(K177:S177)))^(1/inputs!$O$13))-1)/inputs!$N$13, inputs!$I$17))</f>
        <v>29.911993820470371</v>
      </c>
      <c r="V177" s="21">
        <f>inputs!$E$78*(F177/inputs!$F$78)^(inputs!$E$84-1)</f>
        <v>1.3577083190374073E-2</v>
      </c>
      <c r="W177" s="21">
        <f>inputs!$E$85*(F177/inputs!$F$85)^(inputs!$E$84-1)</f>
        <v>0.62696469054921478</v>
      </c>
      <c r="X177" s="21">
        <f>inputs!$E$80*(F177/inputs!$F$80)^(inputs!$E$84-1)</f>
        <v>2.3411972621774475</v>
      </c>
      <c r="Y177" s="21">
        <f>inputs!$E$82*(F177/inputs!$F$82)^(inputs!$E$84-1)</f>
        <v>1.0790208219718342</v>
      </c>
      <c r="Z177" s="63">
        <f t="shared" si="16"/>
        <v>1724.2273791585692</v>
      </c>
      <c r="AA177" s="63">
        <f t="shared" si="17"/>
        <v>37.338591660480347</v>
      </c>
    </row>
    <row r="178" spans="1:27" x14ac:dyDescent="0.25">
      <c r="A178" s="103" t="s">
        <v>335</v>
      </c>
      <c r="B178" s="20" t="s">
        <v>337</v>
      </c>
      <c r="C178" s="20" t="s">
        <v>73</v>
      </c>
      <c r="D178" s="104" t="s">
        <v>240</v>
      </c>
      <c r="E178" s="15">
        <v>121</v>
      </c>
      <c r="F178" s="15">
        <v>67</v>
      </c>
      <c r="G178" s="20" t="s">
        <v>218</v>
      </c>
      <c r="H178" s="20">
        <v>0.68</v>
      </c>
      <c r="I178" s="68">
        <f>MAX('Max rate concentrations'!$K$3:$K$368)</f>
        <v>110.00035859694511</v>
      </c>
      <c r="J178" s="68">
        <f>MAX('Max rate concentrations'!AC:AC)</f>
        <v>38.958460336418057</v>
      </c>
      <c r="K178" s="69">
        <f t="shared" si="19"/>
        <v>36.317671190972504</v>
      </c>
      <c r="L178" s="69">
        <f t="shared" si="18"/>
        <v>12.862508546802761</v>
      </c>
      <c r="M178" s="69">
        <f>IF((((1.18*F178^0.874)/3.7-(0.301*F178^0.751)/(1-H178)*H178)*(MAX('Max rate concentrations'!$P$3:$P$368)))/F178&gt;0, (((1.18*F178^0.874)/3.7-(0.301*F178^0.751)/(1-H178)*H178)*(MAX('Max rate concentrations'!$P$3:$P$368)))/F178, 0)</f>
        <v>0</v>
      </c>
      <c r="N178" s="69">
        <f>IF((((1.18*F178^0.874)/3.7-(0.301*F178^0.751)/(1-H178)*H178)*(MAX('Max rate concentrations'!$Q$3:$Q$368)))/F178&gt;0, (((1.18*F178^0.874)/3.7-(0.301*F178^0.751)/(1-H178)*H178)*(MAX('Max rate concentrations'!$Q$3:$Q$368)))/F178, 0)</f>
        <v>0</v>
      </c>
      <c r="O178" s="69">
        <f>((MAX('Max rate concentrations'!$F$3:$F$368))*0.62*6.01*8*(10*F178^0.667)*0.079*0.1/F178)*inputs!$E$80/(10^(0.84+0.62*LOG10(inputs!$E$80)))</f>
        <v>36.196828196967367</v>
      </c>
      <c r="P178" s="69">
        <f>((MAX('Max rate concentrations'!Y:Y))*0.62*6.01*8*(10*F178^0.667)*0.079*0.1/F178)*inputs!$E$80/(10^(0.84+0.62*LOG10(inputs!$E$80)))</f>
        <v>12.065609398989123</v>
      </c>
      <c r="Q178" s="69">
        <f>(inputs!$C$18*11.2*(10*F178^0.667)*0.5/F178)*inputs!$E$80/(10^(0.84+0.62*LOG10(inputs!$E$80)))</f>
        <v>6.37590056172911</v>
      </c>
      <c r="R178" s="59">
        <f>(60*284*((F178/1000)^0.77)*3*24*(MAX('Max rate concentrations'!$R$3:$R$368))/F178)*(inputs!$E$73*3.4/inputs!$E$75)</f>
        <v>5.2370841322352618E-2</v>
      </c>
      <c r="S178" s="59">
        <f>(IF(inputs!$C$17="aerial",((0.025*0.112*inputs!$C$18/3.3)*(3*60*284*((F178/1000)^0.77))*MAX(inputs!$I$14:$I$16))/F178,((0.0083*0.112*inputs!$C$18/1)*(3*60*284*((F178/1000)^0.77))*MAX(inputs!$I$14:$I$16))/F178))*(inputs!E$75*3.4/inputs!$E$73)</f>
        <v>0.28882840746871796</v>
      </c>
      <c r="T178" s="63">
        <f>IF((((inputs!$P$13/(V178/MAX(K178:S178)))^(1/inputs!$O$13))-1)/inputs!$N$13&lt;0, 0, IF((((inputs!$P$13/(V178/MAX(K178:S178)))^(1/inputs!$O$13))-1)/inputs!$N$13&lt;inputs!$I$17, (((inputs!$P$13/(V178/MAX(K178:S178)))^(1/inputs!$O$13))-1)/inputs!$N$13, inputs!$I$17))</f>
        <v>1000</v>
      </c>
      <c r="U178" s="63">
        <f>IF((((inputs!$P$13/(X178/MAX(K178:S178)))^(1/inputs!$O$13))-1)/inputs!$N$13&lt;0, 0, IF((((inputs!$P$13/(X178/MAX(K178:S178)))^(1/inputs!$O$13))-1)/inputs!$N$13&lt;inputs!$I$17, (((inputs!$P$13/(X178/MAX(K178:S178)))^(1/inputs!$O$13))-1)/inputs!$N$13, inputs!$I$17))</f>
        <v>28.653780616581962</v>
      </c>
      <c r="V178" s="21">
        <f>inputs!$E$78*(F178/inputs!$F$78)^(inputs!$E$84-1)</f>
        <v>2.2034638199583647E-2</v>
      </c>
      <c r="W178" s="21">
        <f>inputs!$E$85*(F178/inputs!$F$85)^(inputs!$E$84-1)</f>
        <v>1.017519000690843</v>
      </c>
      <c r="X178" s="21">
        <f>inputs!$E$80*(F178/inputs!$F$80)^(inputs!$E$84-1)</f>
        <v>3.7995962684025146</v>
      </c>
      <c r="Y178" s="21">
        <f>inputs!$E$82*(F178/inputs!$F$82)^(inputs!$E$84-1)</f>
        <v>1.751173877966911</v>
      </c>
      <c r="Z178" s="63">
        <f t="shared" si="16"/>
        <v>1648.2081921208373</v>
      </c>
      <c r="AA178" s="63">
        <f t="shared" si="17"/>
        <v>35.692376423747049</v>
      </c>
    </row>
    <row r="179" spans="1:27" x14ac:dyDescent="0.25">
      <c r="A179" s="103" t="s">
        <v>335</v>
      </c>
      <c r="B179" s="20" t="s">
        <v>337</v>
      </c>
      <c r="C179" s="20" t="s">
        <v>73</v>
      </c>
      <c r="D179" s="104" t="s">
        <v>240</v>
      </c>
      <c r="E179" s="15">
        <v>121</v>
      </c>
      <c r="F179" s="15">
        <v>67</v>
      </c>
      <c r="G179" s="20" t="s">
        <v>177</v>
      </c>
      <c r="H179" s="20">
        <v>0.85</v>
      </c>
      <c r="I179" s="68">
        <f>MAX('Max rate concentrations'!$F$3:$F$368)</f>
        <v>405</v>
      </c>
      <c r="J179" s="68">
        <f>MAX('Max rate concentrations'!Y:Y)</f>
        <v>135</v>
      </c>
      <c r="K179" s="69">
        <f t="shared" si="19"/>
        <v>285.25786923999777</v>
      </c>
      <c r="L179" s="69">
        <f t="shared" si="18"/>
        <v>95.085956413332596</v>
      </c>
      <c r="M179" s="69">
        <f>IF((((1.18*F179^0.874)/3.7-(0.301*F179^0.751)/(1-H179)*H179)*(MAX('Max rate concentrations'!$P$3:$P$368)))/F179&gt;0, (((1.18*F179^0.874)/3.7-(0.301*F179^0.751)/(1-H179)*H179)*(MAX('Max rate concentrations'!$P$3:$P$368)))/F179, 0)</f>
        <v>0</v>
      </c>
      <c r="N179" s="69">
        <f>IF((((1.18*F179^0.874)/3.7-(0.301*F179^0.751)/(1-H179)*H179)*(MAX('Max rate concentrations'!$Q$3:$Q$368)))/F179&gt;0, (((1.18*F179^0.874)/3.7-(0.301*F179^0.751)/(1-H179)*H179)*(MAX('Max rate concentrations'!$Q$3:$Q$368)))/F179, 0)</f>
        <v>0</v>
      </c>
      <c r="O179" s="69">
        <f>((MAX('Max rate concentrations'!$F$3:$F$368))*0.62*6.01*8*(10*F179^0.667)*0.079*0.1/F179)*inputs!$E$80/(10^(0.84+0.62*LOG10(inputs!$E$80)))</f>
        <v>36.196828196967367</v>
      </c>
      <c r="P179" s="69">
        <f>((MAX('Max rate concentrations'!Y:Y))*0.62*6.01*8*(10*F179^0.667)*0.079*0.1/F179)*inputs!$E$80/(10^(0.84+0.62*LOG10(inputs!$E$80)))</f>
        <v>12.065609398989123</v>
      </c>
      <c r="Q179" s="69">
        <f>(inputs!$C$18*11.2*(10*F179^0.667)*0.5/F179)*inputs!$E$80/(10^(0.84+0.62*LOG10(inputs!$E$80)))</f>
        <v>6.37590056172911</v>
      </c>
      <c r="R179" s="59">
        <f>(60*284*((F179/1000)^0.77)*3*24*(MAX('Max rate concentrations'!$R$3:$R$368))/F179)*(inputs!$E$73*3.4/inputs!$E$75)</f>
        <v>5.2370841322352618E-2</v>
      </c>
      <c r="S179" s="59">
        <f>(IF(inputs!$C$17="aerial",((0.025*0.112*inputs!$C$18/3.3)*(3*60*284*((F179/1000)^0.77))*MAX(inputs!$I$14:$I$16))/F179,((0.0083*0.112*inputs!$C$18/1)*(3*60*284*((F179/1000)^0.77))*MAX(inputs!$I$14:$I$16))/F179))*(inputs!E$75*3.4/inputs!$E$73)</f>
        <v>0.28882840746871796</v>
      </c>
      <c r="T179" s="63">
        <f>IF((((inputs!$P$13/(V179/MAX(K179:S179)))^(1/inputs!$O$13))-1)/inputs!$N$13&lt;0, 0, IF((((inputs!$P$13/(V179/MAX(K179:S179)))^(1/inputs!$O$13))-1)/inputs!$N$13&lt;inputs!$I$17, (((inputs!$P$13/(V179/MAX(K179:S179)))^(1/inputs!$O$13))-1)/inputs!$N$13, inputs!$I$17))</f>
        <v>1000</v>
      </c>
      <c r="U179" s="63">
        <f>IF((((inputs!$P$13/(X179/MAX(K179:S179)))^(1/inputs!$O$13))-1)/inputs!$N$13&lt;0, 0, IF((((inputs!$P$13/(X179/MAX(K179:S179)))^(1/inputs!$O$13))-1)/inputs!$N$13&lt;inputs!$I$17, (((inputs!$P$13/(X179/MAX(K179:S179)))^(1/inputs!$O$13))-1)/inputs!$N$13, inputs!$I$17))</f>
        <v>174.16906902965798</v>
      </c>
      <c r="V179" s="21">
        <f>inputs!$E$78*(F179/inputs!$F$78)^(inputs!$E$84-1)</f>
        <v>2.2034638199583647E-2</v>
      </c>
      <c r="W179" s="21">
        <f>inputs!$E$85*(F179/inputs!$F$85)^(inputs!$E$84-1)</f>
        <v>1.017519000690843</v>
      </c>
      <c r="X179" s="21">
        <f>inputs!$E$80*(F179/inputs!$F$80)^(inputs!$E$84-1)</f>
        <v>3.7995962684025146</v>
      </c>
      <c r="Y179" s="21">
        <f>inputs!$E$82*(F179/inputs!$F$82)^(inputs!$E$84-1)</f>
        <v>1.751173877966911</v>
      </c>
      <c r="Z179" s="63">
        <f t="shared" si="16"/>
        <v>12945.883960345118</v>
      </c>
      <c r="AA179" s="63">
        <f t="shared" si="17"/>
        <v>280.34647907933157</v>
      </c>
    </row>
    <row r="180" spans="1:27" x14ac:dyDescent="0.25">
      <c r="A180" s="103" t="s">
        <v>335</v>
      </c>
      <c r="B180" s="20" t="s">
        <v>337</v>
      </c>
      <c r="C180" s="20" t="s">
        <v>73</v>
      </c>
      <c r="D180" s="104" t="s">
        <v>240</v>
      </c>
      <c r="E180" s="15">
        <v>121</v>
      </c>
      <c r="F180" s="15">
        <v>67</v>
      </c>
      <c r="G180" s="20" t="s">
        <v>145</v>
      </c>
      <c r="H180" s="20">
        <v>0.66</v>
      </c>
      <c r="I180" s="68">
        <f>MAX('Max rate concentrations'!$M$3:$M$368)</f>
        <v>17.092910873809167</v>
      </c>
      <c r="J180" s="68">
        <f>MAX('Max rate concentrations'!AE:AE)</f>
        <v>11.81956602976166</v>
      </c>
      <c r="K180" s="69">
        <f t="shared" si="19"/>
        <v>5.3114241121699273</v>
      </c>
      <c r="L180" s="69">
        <f t="shared" si="18"/>
        <v>3.6727932690536735</v>
      </c>
      <c r="M180" s="69">
        <f>IF((((1.18*F180^0.874)/3.7-(0.301*F180^0.751)/(1-H180)*H180)*(MAX('Max rate concentrations'!$P$3:$P$368)))/F180&gt;0, (((1.18*F180^0.874)/3.7-(0.301*F180^0.751)/(1-H180)*H180)*(MAX('Max rate concentrations'!$P$3:$P$368)))/F180, 0)</f>
        <v>0</v>
      </c>
      <c r="N180" s="69">
        <f>IF((((1.18*F180^0.874)/3.7-(0.301*F180^0.751)/(1-H180)*H180)*(MAX('Max rate concentrations'!$Q$3:$Q$368)))/F180&gt;0, (((1.18*F180^0.874)/3.7-(0.301*F180^0.751)/(1-H180)*H180)*(MAX('Max rate concentrations'!$Q$3:$Q$368)))/F180, 0)</f>
        <v>0</v>
      </c>
      <c r="O180" s="69">
        <f>((MAX('Max rate concentrations'!$F$3:$F$368))*0.62*6.01*8*(10*F180^0.667)*0.079*0.1/F180)*inputs!$E$80/(10^(0.84+0.62*LOG10(inputs!$E$80)))</f>
        <v>36.196828196967367</v>
      </c>
      <c r="P180" s="69">
        <f>((MAX('Max rate concentrations'!Y:Y))*0.62*6.01*8*(10*F180^0.667)*0.079*0.1/F180)*inputs!$E$80/(10^(0.84+0.62*LOG10(inputs!$E$80)))</f>
        <v>12.065609398989123</v>
      </c>
      <c r="Q180" s="69">
        <f>(inputs!$C$18*11.2*(10*F180^0.667)*0.5/F180)*inputs!$E$80/(10^(0.84+0.62*LOG10(inputs!$E$80)))</f>
        <v>6.37590056172911</v>
      </c>
      <c r="R180" s="59">
        <f>(60*284*((F180/1000)^0.77)*3*24*(MAX('Max rate concentrations'!$R$3:$R$368))/F180)*(inputs!$E$73*3.4/inputs!$E$75)</f>
        <v>5.2370841322352618E-2</v>
      </c>
      <c r="S180" s="59">
        <f>(IF(inputs!$C$17="aerial",((0.025*0.112*inputs!$C$18/3.3)*(3*60*284*((F180/1000)^0.77))*MAX(inputs!$I$14:$I$16))/F180,((0.0083*0.112*inputs!$C$18/1)*(3*60*284*((F180/1000)^0.77))*MAX(inputs!$I$14:$I$16))/F180))*(inputs!E$75*3.4/inputs!$E$73)</f>
        <v>0.28882840746871796</v>
      </c>
      <c r="T180" s="63">
        <f>IF((((inputs!$P$13/(V180/MAX(K180:S180)))^(1/inputs!$O$13))-1)/inputs!$N$13&lt;0, 0, IF((((inputs!$P$13/(V180/MAX(K180:S180)))^(1/inputs!$O$13))-1)/inputs!$N$13&lt;inputs!$I$17, (((inputs!$P$13/(V180/MAX(K180:S180)))^(1/inputs!$O$13))-1)/inputs!$N$13, inputs!$I$17))</f>
        <v>1000</v>
      </c>
      <c r="U180" s="63">
        <f>IF((((inputs!$P$13/(X180/MAX(K180:S180)))^(1/inputs!$O$13))-1)/inputs!$N$13&lt;0, 0, IF((((inputs!$P$13/(X180/MAX(K180:S180)))^(1/inputs!$O$13))-1)/inputs!$N$13&lt;inputs!$I$17, (((inputs!$P$13/(X180/MAX(K180:S180)))^(1/inputs!$O$13))-1)/inputs!$N$13, inputs!$I$17))</f>
        <v>28.562585607063046</v>
      </c>
      <c r="V180" s="21">
        <f>inputs!$E$78*(F180/inputs!$F$78)^(inputs!$E$84-1)</f>
        <v>2.2034638199583647E-2</v>
      </c>
      <c r="W180" s="21">
        <f>inputs!$E$85*(F180/inputs!$F$85)^(inputs!$E$84-1)</f>
        <v>1.017519000690843</v>
      </c>
      <c r="X180" s="21">
        <f>inputs!$E$80*(F180/inputs!$F$80)^(inputs!$E$84-1)</f>
        <v>3.7995962684025146</v>
      </c>
      <c r="Y180" s="21">
        <f>inputs!$E$82*(F180/inputs!$F$82)^(inputs!$E$84-1)</f>
        <v>1.751173877966911</v>
      </c>
      <c r="Z180" s="63">
        <f t="shared" si="16"/>
        <v>1642.7239634754394</v>
      </c>
      <c r="AA180" s="63">
        <f t="shared" si="17"/>
        <v>35.573614028231006</v>
      </c>
    </row>
    <row r="181" spans="1:27" x14ac:dyDescent="0.25">
      <c r="A181" s="103" t="s">
        <v>335</v>
      </c>
      <c r="B181" s="20" t="s">
        <v>337</v>
      </c>
      <c r="C181" s="20" t="s">
        <v>73</v>
      </c>
      <c r="D181" s="104" t="s">
        <v>240</v>
      </c>
      <c r="E181" s="15">
        <v>121</v>
      </c>
      <c r="F181" s="15">
        <v>67</v>
      </c>
      <c r="G181" s="20" t="s">
        <v>154</v>
      </c>
      <c r="H181" s="20">
        <v>9.2999999999999999E-2</v>
      </c>
      <c r="I181" s="68">
        <f>MAX('Max rate concentrations'!$G$3:$G$368)</f>
        <v>45</v>
      </c>
      <c r="J181" s="68">
        <f>MAX('Max rate concentrations'!Z:Z)</f>
        <v>21</v>
      </c>
      <c r="K181" s="69">
        <f t="shared" si="19"/>
        <v>5.2417837052553811</v>
      </c>
      <c r="L181" s="69">
        <f t="shared" si="18"/>
        <v>2.4461657291191776</v>
      </c>
      <c r="M181" s="69">
        <f>IF((((1.18*F181^0.874)/3.7-(0.301*F181^0.751)/(1-H181)*H181)*(MAX('Max rate concentrations'!$P$3:$P$368)))/F181&gt;0, (((1.18*F181^0.874)/3.7-(0.301*F181^0.751)/(1-H181)*H181)*(MAX('Max rate concentrations'!$P$3:$P$368)))/F181, 0)</f>
        <v>0.15408052255389648</v>
      </c>
      <c r="N181" s="69">
        <f>IF((((1.18*F181^0.874)/3.7-(0.301*F181^0.751)/(1-H181)*H181)*(MAX('Max rate concentrations'!$Q$3:$Q$368)))/F181&gt;0, (((1.18*F181^0.874)/3.7-(0.301*F181^0.751)/(1-H181)*H181)*(MAX('Max rate concentrations'!$Q$3:$Q$368)))/F181, 0)</f>
        <v>0.58674690889135994</v>
      </c>
      <c r="O181" s="69">
        <f>((MAX('Max rate concentrations'!$F$3:$F$368))*0.62*6.01*8*(10*F181^0.667)*0.079*0.1/F181)*inputs!$E$80/(10^(0.84+0.62*LOG10(inputs!$E$80)))</f>
        <v>36.196828196967367</v>
      </c>
      <c r="P181" s="69">
        <f>((MAX('Max rate concentrations'!Y:Y))*0.62*6.01*8*(10*F181^0.667)*0.079*0.1/F181)*inputs!$E$80/(10^(0.84+0.62*LOG10(inputs!$E$80)))</f>
        <v>12.065609398989123</v>
      </c>
      <c r="Q181" s="69">
        <f>(inputs!$C$18*11.2*(10*F181^0.667)*0.5/F181)*inputs!$E$80/(10^(0.84+0.62*LOG10(inputs!$E$80)))</f>
        <v>6.37590056172911</v>
      </c>
      <c r="R181" s="59">
        <f>(60*284*((F181/1000)^0.77)*3*24*(MAX('Max rate concentrations'!$R$3:$R$368))/F181)*(inputs!$E$73*3.4/inputs!$E$75)</f>
        <v>5.2370841322352618E-2</v>
      </c>
      <c r="S181" s="59">
        <f>(IF(inputs!$C$17="aerial",((0.025*0.112*inputs!$C$18/3.3)*(3*60*284*((F181/1000)^0.77))*MAX(inputs!$I$14:$I$16))/F181,((0.0083*0.112*inputs!$C$18/1)*(3*60*284*((F181/1000)^0.77))*MAX(inputs!$I$14:$I$16))/F181))*(inputs!E$75*3.4/inputs!$E$73)</f>
        <v>0.28882840746871796</v>
      </c>
      <c r="T181" s="63">
        <f>IF((((inputs!$P$13/(V181/MAX(K181:S181)))^(1/inputs!$O$13))-1)/inputs!$N$13&lt;0, 0, IF((((inputs!$P$13/(V181/MAX(K181:S181)))^(1/inputs!$O$13))-1)/inputs!$N$13&lt;inputs!$I$17, (((inputs!$P$13/(V181/MAX(K181:S181)))^(1/inputs!$O$13))-1)/inputs!$N$13, inputs!$I$17))</f>
        <v>1000</v>
      </c>
      <c r="U181" s="63">
        <f>IF((((inputs!$P$13/(X181/MAX(K181:S181)))^(1/inputs!$O$13))-1)/inputs!$N$13&lt;0, 0, IF((((inputs!$P$13/(X181/MAX(K181:S181)))^(1/inputs!$O$13))-1)/inputs!$N$13&lt;inputs!$I$17, (((inputs!$P$13/(X181/MAX(K181:S181)))^(1/inputs!$O$13))-1)/inputs!$N$13, inputs!$I$17))</f>
        <v>28.562585607063046</v>
      </c>
      <c r="V181" s="21">
        <f>inputs!$E$78*(F181/inputs!$F$78)^(inputs!$E$84-1)</f>
        <v>2.2034638199583647E-2</v>
      </c>
      <c r="W181" s="21">
        <f>inputs!$E$85*(F181/inputs!$F$85)^(inputs!$E$84-1)</f>
        <v>1.017519000690843</v>
      </c>
      <c r="X181" s="21">
        <f>inputs!$E$80*(F181/inputs!$F$80)^(inputs!$E$84-1)</f>
        <v>3.7995962684025146</v>
      </c>
      <c r="Y181" s="21">
        <f>inputs!$E$82*(F181/inputs!$F$82)^(inputs!$E$84-1)</f>
        <v>1.751173877966911</v>
      </c>
      <c r="Z181" s="63">
        <f t="shared" si="16"/>
        <v>1642.7239634754394</v>
      </c>
      <c r="AA181" s="63">
        <f t="shared" si="17"/>
        <v>35.573614028231006</v>
      </c>
    </row>
    <row r="182" spans="1:27" x14ac:dyDescent="0.25">
      <c r="A182" s="103" t="s">
        <v>335</v>
      </c>
      <c r="B182" s="20" t="s">
        <v>337</v>
      </c>
      <c r="C182" s="20" t="s">
        <v>73</v>
      </c>
      <c r="D182" s="104" t="s">
        <v>240</v>
      </c>
      <c r="E182" s="15">
        <v>121</v>
      </c>
      <c r="F182" s="15">
        <v>67</v>
      </c>
      <c r="G182" s="20" t="s">
        <v>146</v>
      </c>
      <c r="H182" s="20">
        <v>0.84</v>
      </c>
      <c r="I182" s="68">
        <f>MAX('Max rate concentrations'!$I$3:$I$368)</f>
        <v>56.865414300472793</v>
      </c>
      <c r="J182" s="68" t="s">
        <v>13</v>
      </c>
      <c r="K182" s="69">
        <f t="shared" si="19"/>
        <v>37.54932156667261</v>
      </c>
      <c r="L182" s="69" t="s">
        <v>13</v>
      </c>
      <c r="M182" s="69">
        <f>IF((((1.18*F182^0.874)/3.7-(0.301*F182^0.751)/(1-H182)*H182)*(MAX('Max rate concentrations'!$P$3:$P$368)))/F182&gt;0, (((1.18*F182^0.874)/3.7-(0.301*F182^0.751)/(1-H182)*H182)*(MAX('Max rate concentrations'!$P$3:$P$368)))/F182, 0)</f>
        <v>0</v>
      </c>
      <c r="N182" s="69">
        <f>IF((((1.18*F182^0.874)/3.7-(0.301*F182^0.751)/(1-H182)*H182)*(MAX('Max rate concentrations'!$Q$3:$Q$368)))/F182&gt;0, (((1.18*F182^0.874)/3.7-(0.301*F182^0.751)/(1-H182)*H182)*(MAX('Max rate concentrations'!$Q$3:$Q$368)))/F182, 0)</f>
        <v>0</v>
      </c>
      <c r="O182" s="69">
        <f>((MAX('Max rate concentrations'!$F$3:$F$368))*0.62*6.01*8*(10*F182^0.667)*0.079*0.1/F182)*inputs!$E$80/(10^(0.84+0.62*LOG10(inputs!$E$80)))</f>
        <v>36.196828196967367</v>
      </c>
      <c r="P182" s="69">
        <f>((MAX('Max rate concentrations'!Y:Y))*0.62*6.01*8*(10*F182^0.667)*0.079*0.1/F182)*inputs!$E$80/(10^(0.84+0.62*LOG10(inputs!$E$80)))</f>
        <v>12.065609398989123</v>
      </c>
      <c r="Q182" s="69">
        <f>(inputs!$C$18*11.2*(10*F182^0.667)*0.5/F182)*inputs!$E$80/(10^(0.84+0.62*LOG10(inputs!$E$80)))</f>
        <v>6.37590056172911</v>
      </c>
      <c r="R182" s="59">
        <f>(60*284*((F182/1000)^0.77)*3*24*(MAX('Max rate concentrations'!$R$3:$R$368))/F182)*(inputs!$E$73*3.4/inputs!$E$75)</f>
        <v>5.2370841322352618E-2</v>
      </c>
      <c r="S182" s="59">
        <f>(IF(inputs!$C$17="aerial",((0.025*0.112*inputs!$C$18/3.3)*(3*60*284*((F182/1000)^0.77))*MAX(inputs!$I$14:$I$16))/F182,((0.0083*0.112*inputs!$C$18/1)*(3*60*284*((F182/1000)^0.77))*MAX(inputs!$I$14:$I$16))/F182))*(inputs!E$75*3.4/inputs!$E$73)</f>
        <v>0.28882840746871796</v>
      </c>
      <c r="T182" s="63">
        <f>IF((((inputs!$P$13/(V182/MAX(K182:S182)))^(1/inputs!$O$13))-1)/inputs!$N$13&lt;0, 0, IF((((inputs!$P$13/(V182/MAX(K182:S182)))^(1/inputs!$O$13))-1)/inputs!$N$13&lt;inputs!$I$17, (((inputs!$P$13/(V182/MAX(K182:S182)))^(1/inputs!$O$13))-1)/inputs!$N$13, inputs!$I$17))</f>
        <v>1000</v>
      </c>
      <c r="U182" s="63">
        <f>IF((((inputs!$P$13/(X182/MAX(K182:S182)))^(1/inputs!$O$13))-1)/inputs!$N$13&lt;0, 0, IF((((inputs!$P$13/(X182/MAX(K182:S182)))^(1/inputs!$O$13))-1)/inputs!$N$13&lt;inputs!$I$17, (((inputs!$P$13/(X182/MAX(K182:S182)))^(1/inputs!$O$13))-1)/inputs!$N$13, inputs!$I$17))</f>
        <v>29.57998331384476</v>
      </c>
      <c r="V182" s="21">
        <f>inputs!$E$78*(F182/inputs!$F$78)^(inputs!$E$84-1)</f>
        <v>2.2034638199583647E-2</v>
      </c>
      <c r="W182" s="21">
        <f>inputs!$E$85*(F182/inputs!$F$85)^(inputs!$E$84-1)</f>
        <v>1.017519000690843</v>
      </c>
      <c r="X182" s="21">
        <f>inputs!$E$80*(F182/inputs!$F$80)^(inputs!$E$84-1)</f>
        <v>3.7995962684025146</v>
      </c>
      <c r="Y182" s="21">
        <f>inputs!$E$82*(F182/inputs!$F$82)^(inputs!$E$84-1)</f>
        <v>1.751173877966911</v>
      </c>
      <c r="Z182" s="63">
        <f t="shared" si="16"/>
        <v>1704.1042937288673</v>
      </c>
      <c r="AA182" s="63">
        <f t="shared" si="17"/>
        <v>36.902821019733835</v>
      </c>
    </row>
    <row r="183" spans="1:27" x14ac:dyDescent="0.25">
      <c r="A183" s="103" t="s">
        <v>335</v>
      </c>
      <c r="B183" s="20" t="s">
        <v>336</v>
      </c>
      <c r="C183" s="20" t="s">
        <v>73</v>
      </c>
      <c r="D183" s="104" t="s">
        <v>240</v>
      </c>
      <c r="E183" s="15">
        <v>4889</v>
      </c>
      <c r="F183" s="15">
        <v>67</v>
      </c>
      <c r="G183" s="20" t="s">
        <v>218</v>
      </c>
      <c r="H183" s="20">
        <v>0.68</v>
      </c>
      <c r="I183" s="68">
        <f>MAX('Max rate concentrations'!$K$3:$K$368)</f>
        <v>110.00035859694511</v>
      </c>
      <c r="J183" s="68">
        <f>MAX('Max rate concentrations'!AC:AC)</f>
        <v>38.958460336418057</v>
      </c>
      <c r="K183" s="69">
        <f t="shared" si="19"/>
        <v>36.317671190972504</v>
      </c>
      <c r="L183" s="69">
        <f>((0.301*F183^0.751)/(1-H183))*J183/F183</f>
        <v>12.862508546802761</v>
      </c>
      <c r="M183" s="69">
        <f>IF((((1.18*F183^0.874)/3.7-(0.301*F183^0.751)/(1-H183)*H183)*(MAX('Max rate concentrations'!$P$3:$P$368)))/F183&gt;0, (((1.18*F183^0.874)/3.7-(0.301*F183^0.751)/(1-H183)*H183)*(MAX('Max rate concentrations'!$P$3:$P$368)))/F183, 0)</f>
        <v>0</v>
      </c>
      <c r="N183" s="69">
        <f>IF((((1.18*F183^0.874)/3.7-(0.301*F183^0.751)/(1-H183)*H183)*(MAX('Max rate concentrations'!$Q$3:$Q$368)))/F183&gt;0, (((1.18*F183^0.874)/3.7-(0.301*F183^0.751)/(1-H183)*H183)*(MAX('Max rate concentrations'!$Q$3:$Q$368)))/F183, 0)</f>
        <v>0</v>
      </c>
      <c r="O183" s="69">
        <f>((MAX('Max rate concentrations'!$F$3:$F$368))*0.62*6.01*8*(10*F183^0.667)*0.079*0.1/F183)*inputs!$E$80/(10^(0.84+0.62*LOG10(inputs!$E$80)))</f>
        <v>36.196828196967367</v>
      </c>
      <c r="P183" s="69">
        <f>((MAX('Max rate concentrations'!Y:Y))*0.62*6.01*8*(10*F183^0.667)*0.079*0.1/F183)*inputs!$E$80/(10^(0.84+0.62*LOG10(inputs!$E$80)))</f>
        <v>12.065609398989123</v>
      </c>
      <c r="Q183" s="69">
        <f>(inputs!$C$18*11.2*(10*F183^0.667)*0.5/F183)*inputs!$E$80/(10^(0.84+0.62*LOG10(inputs!$E$80)))</f>
        <v>6.37590056172911</v>
      </c>
      <c r="R183" s="59">
        <f>(60*284*((F183/1000)^0.77)*3*24*(MAX('Max rate concentrations'!$R$3:$R$368))/F183)*(inputs!$E$73*3.4/inputs!$E$75)</f>
        <v>5.2370841322352618E-2</v>
      </c>
      <c r="S183" s="59">
        <f>(IF(inputs!$C$17="aerial",((0.025*0.112*inputs!$C$18/3.3)*(3*60*284*((F183/1000)^0.77))*MAX(inputs!$I$14:$I$16))/F183,((0.0083*0.112*inputs!$C$18/1)*(3*60*284*((F183/1000)^0.77))*MAX(inputs!$I$14:$I$16))/F183))*(inputs!E$75*3.4/inputs!$E$73)</f>
        <v>0.28882840746871796</v>
      </c>
      <c r="T183" s="63">
        <f>IF((((inputs!$P$13/(V183/MAX(K183:S183)))^(1/inputs!$O$13))-1)/inputs!$N$13&lt;0, 0, IF((((inputs!$P$13/(V183/MAX(K183:S183)))^(1/inputs!$O$13))-1)/inputs!$N$13&lt;inputs!$I$17, (((inputs!$P$13/(V183/MAX(K183:S183)))^(1/inputs!$O$13))-1)/inputs!$N$13, inputs!$I$17))</f>
        <v>1000</v>
      </c>
      <c r="U183" s="63">
        <f>IF((((inputs!$P$13/(X183/MAX(K183:S183)))^(1/inputs!$O$13))-1)/inputs!$N$13&lt;0, 0, IF((((inputs!$P$13/(X183/MAX(K183:S183)))^(1/inputs!$O$13))-1)/inputs!$N$13&lt;inputs!$I$17, (((inputs!$P$13/(X183/MAX(K183:S183)))^(1/inputs!$O$13))-1)/inputs!$N$13, inputs!$I$17))</f>
        <v>28.653780616581962</v>
      </c>
      <c r="V183" s="21">
        <f>inputs!$E$78*(F183/inputs!$F$78)^(inputs!$E$84-1)</f>
        <v>2.2034638199583647E-2</v>
      </c>
      <c r="W183" s="21">
        <f>inputs!$E$85*(F183/inputs!$F$85)^(inputs!$E$84-1)</f>
        <v>1.017519000690843</v>
      </c>
      <c r="X183" s="21">
        <f>inputs!$E$80*(F183/inputs!$F$80)^(inputs!$E$84-1)</f>
        <v>3.7995962684025146</v>
      </c>
      <c r="Y183" s="21">
        <f>inputs!$E$82*(F183/inputs!$F$82)^(inputs!$E$84-1)</f>
        <v>1.751173877966911</v>
      </c>
      <c r="Z183" s="63">
        <f t="shared" si="16"/>
        <v>1648.2081921208373</v>
      </c>
      <c r="AA183" s="63">
        <f t="shared" si="17"/>
        <v>35.692376423747049</v>
      </c>
    </row>
    <row r="184" spans="1:27" x14ac:dyDescent="0.25">
      <c r="A184" s="103" t="s">
        <v>335</v>
      </c>
      <c r="B184" s="20" t="s">
        <v>336</v>
      </c>
      <c r="C184" s="20" t="s">
        <v>73</v>
      </c>
      <c r="D184" s="104" t="s">
        <v>240</v>
      </c>
      <c r="E184" s="15">
        <v>4889</v>
      </c>
      <c r="F184" s="15">
        <v>67</v>
      </c>
      <c r="G184" s="20" t="s">
        <v>177</v>
      </c>
      <c r="H184" s="20">
        <v>0.85</v>
      </c>
      <c r="I184" s="68">
        <f>MAX('Max rate concentrations'!$F$3:$F$368)</f>
        <v>405</v>
      </c>
      <c r="J184" s="68">
        <f>MAX('Max rate concentrations'!Y:Y)</f>
        <v>135</v>
      </c>
      <c r="K184" s="69">
        <f t="shared" si="19"/>
        <v>285.25786923999777</v>
      </c>
      <c r="L184" s="69">
        <f>((0.301*F184^0.751)/(1-H184))*J184/F184</f>
        <v>95.085956413332596</v>
      </c>
      <c r="M184" s="69">
        <f>IF((((1.18*F184^0.874)/3.7-(0.301*F184^0.751)/(1-H184)*H184)*(MAX('Max rate concentrations'!$P$3:$P$368)))/F184&gt;0, (((1.18*F184^0.874)/3.7-(0.301*F184^0.751)/(1-H184)*H184)*(MAX('Max rate concentrations'!$P$3:$P$368)))/F184, 0)</f>
        <v>0</v>
      </c>
      <c r="N184" s="69">
        <f>IF((((1.18*F184^0.874)/3.7-(0.301*F184^0.751)/(1-H184)*H184)*(MAX('Max rate concentrations'!$Q$3:$Q$368)))/F184&gt;0, (((1.18*F184^0.874)/3.7-(0.301*F184^0.751)/(1-H184)*H184)*(MAX('Max rate concentrations'!$Q$3:$Q$368)))/F184, 0)</f>
        <v>0</v>
      </c>
      <c r="O184" s="69">
        <f>((MAX('Max rate concentrations'!$F$3:$F$368))*0.62*6.01*8*(10*F184^0.667)*0.079*0.1/F184)*inputs!$E$80/(10^(0.84+0.62*LOG10(inputs!$E$80)))</f>
        <v>36.196828196967367</v>
      </c>
      <c r="P184" s="69">
        <f>((MAX('Max rate concentrations'!Y:Y))*0.62*6.01*8*(10*F184^0.667)*0.079*0.1/F184)*inputs!$E$80/(10^(0.84+0.62*LOG10(inputs!$E$80)))</f>
        <v>12.065609398989123</v>
      </c>
      <c r="Q184" s="69">
        <f>(inputs!$C$18*11.2*(10*F184^0.667)*0.5/F184)*inputs!$E$80/(10^(0.84+0.62*LOG10(inputs!$E$80)))</f>
        <v>6.37590056172911</v>
      </c>
      <c r="R184" s="59">
        <f>(60*284*((F184/1000)^0.77)*3*24*(MAX('Max rate concentrations'!$R$3:$R$368))/F184)*(inputs!$E$73*3.4/inputs!$E$75)</f>
        <v>5.2370841322352618E-2</v>
      </c>
      <c r="S184" s="59">
        <f>(IF(inputs!$C$17="aerial",((0.025*0.112*inputs!$C$18/3.3)*(3*60*284*((F184/1000)^0.77))*MAX(inputs!$I$14:$I$16))/F184,((0.0083*0.112*inputs!$C$18/1)*(3*60*284*((F184/1000)^0.77))*MAX(inputs!$I$14:$I$16))/F184))*(inputs!E$75*3.4/inputs!$E$73)</f>
        <v>0.28882840746871796</v>
      </c>
      <c r="T184" s="63">
        <f>IF((((inputs!$P$13/(V184/MAX(K184:S184)))^(1/inputs!$O$13))-1)/inputs!$N$13&lt;0, 0, IF((((inputs!$P$13/(V184/MAX(K184:S184)))^(1/inputs!$O$13))-1)/inputs!$N$13&lt;inputs!$I$17, (((inputs!$P$13/(V184/MAX(K184:S184)))^(1/inputs!$O$13))-1)/inputs!$N$13, inputs!$I$17))</f>
        <v>1000</v>
      </c>
      <c r="U184" s="63">
        <f>IF((((inputs!$P$13/(X184/MAX(K184:S184)))^(1/inputs!$O$13))-1)/inputs!$N$13&lt;0, 0, IF((((inputs!$P$13/(X184/MAX(K184:S184)))^(1/inputs!$O$13))-1)/inputs!$N$13&lt;inputs!$I$17, (((inputs!$P$13/(X184/MAX(K184:S184)))^(1/inputs!$O$13))-1)/inputs!$N$13, inputs!$I$17))</f>
        <v>174.16906902965798</v>
      </c>
      <c r="V184" s="21">
        <f>inputs!$E$78*(F184/inputs!$F$78)^(inputs!$E$84-1)</f>
        <v>2.2034638199583647E-2</v>
      </c>
      <c r="W184" s="21">
        <f>inputs!$E$85*(F184/inputs!$F$85)^(inputs!$E$84-1)</f>
        <v>1.017519000690843</v>
      </c>
      <c r="X184" s="21">
        <f>inputs!$E$80*(F184/inputs!$F$80)^(inputs!$E$84-1)</f>
        <v>3.7995962684025146</v>
      </c>
      <c r="Y184" s="21">
        <f>inputs!$E$82*(F184/inputs!$F$82)^(inputs!$E$84-1)</f>
        <v>1.751173877966911</v>
      </c>
      <c r="Z184" s="63">
        <f t="shared" si="16"/>
        <v>12945.883960345118</v>
      </c>
      <c r="AA184" s="63">
        <f t="shared" si="17"/>
        <v>280.34647907933157</v>
      </c>
    </row>
    <row r="185" spans="1:27" x14ac:dyDescent="0.25">
      <c r="A185" s="103" t="s">
        <v>335</v>
      </c>
      <c r="B185" s="20" t="s">
        <v>336</v>
      </c>
      <c r="C185" s="20" t="s">
        <v>73</v>
      </c>
      <c r="D185" s="104" t="s">
        <v>240</v>
      </c>
      <c r="E185" s="15">
        <v>4889</v>
      </c>
      <c r="F185" s="15">
        <v>67</v>
      </c>
      <c r="G185" s="20" t="s">
        <v>145</v>
      </c>
      <c r="H185" s="20">
        <v>0.66</v>
      </c>
      <c r="I185" s="68">
        <f>MAX('Max rate concentrations'!$M$3:$M$368)</f>
        <v>17.092910873809167</v>
      </c>
      <c r="J185" s="68">
        <f>MAX('Max rate concentrations'!AE:AE)</f>
        <v>11.81956602976166</v>
      </c>
      <c r="K185" s="69">
        <f t="shared" si="19"/>
        <v>5.3114241121699273</v>
      </c>
      <c r="L185" s="69">
        <f>((0.301*F185^0.751)/(1-H185))*J185/F185</f>
        <v>3.6727932690536735</v>
      </c>
      <c r="M185" s="69">
        <f>IF((((1.18*F185^0.874)/3.7-(0.301*F185^0.751)/(1-H185)*H185)*(MAX('Max rate concentrations'!$P$3:$P$368)))/F185&gt;0, (((1.18*F185^0.874)/3.7-(0.301*F185^0.751)/(1-H185)*H185)*(MAX('Max rate concentrations'!$P$3:$P$368)))/F185, 0)</f>
        <v>0</v>
      </c>
      <c r="N185" s="69">
        <f>IF((((1.18*F185^0.874)/3.7-(0.301*F185^0.751)/(1-H185)*H185)*(MAX('Max rate concentrations'!$Q$3:$Q$368)))/F185&gt;0, (((1.18*F185^0.874)/3.7-(0.301*F185^0.751)/(1-H185)*H185)*(MAX('Max rate concentrations'!$Q$3:$Q$368)))/F185, 0)</f>
        <v>0</v>
      </c>
      <c r="O185" s="69">
        <f>((MAX('Max rate concentrations'!$F$3:$F$368))*0.62*6.01*8*(10*F185^0.667)*0.079*0.1/F185)*inputs!$E$80/(10^(0.84+0.62*LOG10(inputs!$E$80)))</f>
        <v>36.196828196967367</v>
      </c>
      <c r="P185" s="69">
        <f>((MAX('Max rate concentrations'!Y:Y))*0.62*6.01*8*(10*F185^0.667)*0.079*0.1/F185)*inputs!$E$80/(10^(0.84+0.62*LOG10(inputs!$E$80)))</f>
        <v>12.065609398989123</v>
      </c>
      <c r="Q185" s="69">
        <f>(inputs!$C$18*11.2*(10*F185^0.667)*0.5/F185)*inputs!$E$80/(10^(0.84+0.62*LOG10(inputs!$E$80)))</f>
        <v>6.37590056172911</v>
      </c>
      <c r="R185" s="59">
        <f>(60*284*((F185/1000)^0.77)*3*24*(MAX('Max rate concentrations'!$R$3:$R$368))/F185)*(inputs!$E$73*3.4/inputs!$E$75)</f>
        <v>5.2370841322352618E-2</v>
      </c>
      <c r="S185" s="59">
        <f>(IF(inputs!$C$17="aerial",((0.025*0.112*inputs!$C$18/3.3)*(3*60*284*((F185/1000)^0.77))*MAX(inputs!$I$14:$I$16))/F185,((0.0083*0.112*inputs!$C$18/1)*(3*60*284*((F185/1000)^0.77))*MAX(inputs!$I$14:$I$16))/F185))*(inputs!E$75*3.4/inputs!$E$73)</f>
        <v>0.28882840746871796</v>
      </c>
      <c r="T185" s="63">
        <f>IF((((inputs!$P$13/(V185/MAX(K185:S185)))^(1/inputs!$O$13))-1)/inputs!$N$13&lt;0, 0, IF((((inputs!$P$13/(V185/MAX(K185:S185)))^(1/inputs!$O$13))-1)/inputs!$N$13&lt;inputs!$I$17, (((inputs!$P$13/(V185/MAX(K185:S185)))^(1/inputs!$O$13))-1)/inputs!$N$13, inputs!$I$17))</f>
        <v>1000</v>
      </c>
      <c r="U185" s="63">
        <f>IF((((inputs!$P$13/(X185/MAX(K185:S185)))^(1/inputs!$O$13))-1)/inputs!$N$13&lt;0, 0, IF((((inputs!$P$13/(X185/MAX(K185:S185)))^(1/inputs!$O$13))-1)/inputs!$N$13&lt;inputs!$I$17, (((inputs!$P$13/(X185/MAX(K185:S185)))^(1/inputs!$O$13))-1)/inputs!$N$13, inputs!$I$17))</f>
        <v>28.562585607063046</v>
      </c>
      <c r="V185" s="21">
        <f>inputs!$E$78*(F185/inputs!$F$78)^(inputs!$E$84-1)</f>
        <v>2.2034638199583647E-2</v>
      </c>
      <c r="W185" s="21">
        <f>inputs!$E$85*(F185/inputs!$F$85)^(inputs!$E$84-1)</f>
        <v>1.017519000690843</v>
      </c>
      <c r="X185" s="21">
        <f>inputs!$E$80*(F185/inputs!$F$80)^(inputs!$E$84-1)</f>
        <v>3.7995962684025146</v>
      </c>
      <c r="Y185" s="21">
        <f>inputs!$E$82*(F185/inputs!$F$82)^(inputs!$E$84-1)</f>
        <v>1.751173877966911</v>
      </c>
      <c r="Z185" s="63">
        <f t="shared" si="16"/>
        <v>1642.7239634754394</v>
      </c>
      <c r="AA185" s="63">
        <f t="shared" si="17"/>
        <v>35.573614028231006</v>
      </c>
    </row>
    <row r="186" spans="1:27" x14ac:dyDescent="0.25">
      <c r="A186" s="103" t="s">
        <v>335</v>
      </c>
      <c r="B186" s="20" t="s">
        <v>336</v>
      </c>
      <c r="C186" s="20" t="s">
        <v>73</v>
      </c>
      <c r="D186" s="104" t="s">
        <v>240</v>
      </c>
      <c r="E186" s="15">
        <v>4889</v>
      </c>
      <c r="F186" s="15">
        <v>67</v>
      </c>
      <c r="G186" s="20" t="s">
        <v>154</v>
      </c>
      <c r="H186" s="20">
        <v>9.2999999999999999E-2</v>
      </c>
      <c r="I186" s="68">
        <f>MAX('Max rate concentrations'!$G$3:$G$368)</f>
        <v>45</v>
      </c>
      <c r="J186" s="68">
        <f>MAX('Max rate concentrations'!Z:Z)</f>
        <v>21</v>
      </c>
      <c r="K186" s="69">
        <f t="shared" si="19"/>
        <v>5.2417837052553811</v>
      </c>
      <c r="L186" s="69">
        <f>((0.301*F186^0.751)/(1-H186))*J186/F186</f>
        <v>2.4461657291191776</v>
      </c>
      <c r="M186" s="69">
        <f>IF((((1.18*F186^0.874)/3.7-(0.301*F186^0.751)/(1-H186)*H186)*(MAX('Max rate concentrations'!$P$3:$P$368)))/F186&gt;0, (((1.18*F186^0.874)/3.7-(0.301*F186^0.751)/(1-H186)*H186)*(MAX('Max rate concentrations'!$P$3:$P$368)))/F186, 0)</f>
        <v>0.15408052255389648</v>
      </c>
      <c r="N186" s="69">
        <f>IF((((1.18*F186^0.874)/3.7-(0.301*F186^0.751)/(1-H186)*H186)*(MAX('Max rate concentrations'!$Q$3:$Q$368)))/F186&gt;0, (((1.18*F186^0.874)/3.7-(0.301*F186^0.751)/(1-H186)*H186)*(MAX('Max rate concentrations'!$Q$3:$Q$368)))/F186, 0)</f>
        <v>0.58674690889135994</v>
      </c>
      <c r="O186" s="69">
        <f>((MAX('Max rate concentrations'!$F$3:$F$368))*0.62*6.01*8*(10*F186^0.667)*0.079*0.1/F186)*inputs!$E$80/(10^(0.84+0.62*LOG10(inputs!$E$80)))</f>
        <v>36.196828196967367</v>
      </c>
      <c r="P186" s="69">
        <f>((MAX('Max rate concentrations'!Y:Y))*0.62*6.01*8*(10*F186^0.667)*0.079*0.1/F186)*inputs!$E$80/(10^(0.84+0.62*LOG10(inputs!$E$80)))</f>
        <v>12.065609398989123</v>
      </c>
      <c r="Q186" s="69">
        <f>(inputs!$C$18*11.2*(10*F186^0.667)*0.5/F186)*inputs!$E$80/(10^(0.84+0.62*LOG10(inputs!$E$80)))</f>
        <v>6.37590056172911</v>
      </c>
      <c r="R186" s="59">
        <f>(60*284*((F186/1000)^0.77)*3*24*(MAX('Max rate concentrations'!$R$3:$R$368))/F186)*(inputs!$E$73*3.4/inputs!$E$75)</f>
        <v>5.2370841322352618E-2</v>
      </c>
      <c r="S186" s="59">
        <f>(IF(inputs!$C$17="aerial",((0.025*0.112*inputs!$C$18/3.3)*(3*60*284*((F186/1000)^0.77))*MAX(inputs!$I$14:$I$16))/F186,((0.0083*0.112*inputs!$C$18/1)*(3*60*284*((F186/1000)^0.77))*MAX(inputs!$I$14:$I$16))/F186))*(inputs!E$75*3.4/inputs!$E$73)</f>
        <v>0.28882840746871796</v>
      </c>
      <c r="T186" s="63">
        <f>IF((((inputs!$P$13/(V186/MAX(K186:S186)))^(1/inputs!$O$13))-1)/inputs!$N$13&lt;0, 0, IF((((inputs!$P$13/(V186/MAX(K186:S186)))^(1/inputs!$O$13))-1)/inputs!$N$13&lt;inputs!$I$17, (((inputs!$P$13/(V186/MAX(K186:S186)))^(1/inputs!$O$13))-1)/inputs!$N$13, inputs!$I$17))</f>
        <v>1000</v>
      </c>
      <c r="U186" s="63">
        <f>IF((((inputs!$P$13/(X186/MAX(K186:S186)))^(1/inputs!$O$13))-1)/inputs!$N$13&lt;0, 0, IF((((inputs!$P$13/(X186/MAX(K186:S186)))^(1/inputs!$O$13))-1)/inputs!$N$13&lt;inputs!$I$17, (((inputs!$P$13/(X186/MAX(K186:S186)))^(1/inputs!$O$13))-1)/inputs!$N$13, inputs!$I$17))</f>
        <v>28.562585607063046</v>
      </c>
      <c r="V186" s="21">
        <f>inputs!$E$78*(F186/inputs!$F$78)^(inputs!$E$84-1)</f>
        <v>2.2034638199583647E-2</v>
      </c>
      <c r="W186" s="21">
        <f>inputs!$E$85*(F186/inputs!$F$85)^(inputs!$E$84-1)</f>
        <v>1.017519000690843</v>
      </c>
      <c r="X186" s="21">
        <f>inputs!$E$80*(F186/inputs!$F$80)^(inputs!$E$84-1)</f>
        <v>3.7995962684025146</v>
      </c>
      <c r="Y186" s="21">
        <f>inputs!$E$82*(F186/inputs!$F$82)^(inputs!$E$84-1)</f>
        <v>1.751173877966911</v>
      </c>
      <c r="Z186" s="63">
        <f t="shared" si="16"/>
        <v>1642.7239634754394</v>
      </c>
      <c r="AA186" s="63">
        <f t="shared" si="17"/>
        <v>35.573614028231006</v>
      </c>
    </row>
    <row r="187" spans="1:27" x14ac:dyDescent="0.25">
      <c r="A187" s="103" t="s">
        <v>335</v>
      </c>
      <c r="B187" s="20" t="s">
        <v>336</v>
      </c>
      <c r="C187" s="20" t="s">
        <v>73</v>
      </c>
      <c r="D187" s="104" t="s">
        <v>240</v>
      </c>
      <c r="E187" s="15">
        <v>4889</v>
      </c>
      <c r="F187" s="15">
        <v>67</v>
      </c>
      <c r="G187" s="20" t="s">
        <v>146</v>
      </c>
      <c r="H187" s="20">
        <v>0.84</v>
      </c>
      <c r="I187" s="68">
        <f>MAX('Max rate concentrations'!$I$3:$I$368)</f>
        <v>56.865414300472793</v>
      </c>
      <c r="J187" s="68" t="s">
        <v>13</v>
      </c>
      <c r="K187" s="69">
        <f t="shared" si="19"/>
        <v>37.54932156667261</v>
      </c>
      <c r="L187" s="69" t="s">
        <v>13</v>
      </c>
      <c r="M187" s="69">
        <f>IF((((1.18*F187^0.874)/3.7-(0.301*F187^0.751)/(1-H187)*H187)*(MAX('Max rate concentrations'!$P$3:$P$368)))/F187&gt;0, (((1.18*F187^0.874)/3.7-(0.301*F187^0.751)/(1-H187)*H187)*(MAX('Max rate concentrations'!$P$3:$P$368)))/F187, 0)</f>
        <v>0</v>
      </c>
      <c r="N187" s="69">
        <f>IF((((1.18*F187^0.874)/3.7-(0.301*F187^0.751)/(1-H187)*H187)*(MAX('Max rate concentrations'!$Q$3:$Q$368)))/F187&gt;0, (((1.18*F187^0.874)/3.7-(0.301*F187^0.751)/(1-H187)*H187)*(MAX('Max rate concentrations'!$Q$3:$Q$368)))/F187, 0)</f>
        <v>0</v>
      </c>
      <c r="O187" s="69">
        <f>((MAX('Max rate concentrations'!$F$3:$F$368))*0.62*6.01*8*(10*F187^0.667)*0.079*0.1/F187)*inputs!$E$80/(10^(0.84+0.62*LOG10(inputs!$E$80)))</f>
        <v>36.196828196967367</v>
      </c>
      <c r="P187" s="69">
        <f>((MAX('Max rate concentrations'!Y:Y))*0.62*6.01*8*(10*F187^0.667)*0.079*0.1/F187)*inputs!$E$80/(10^(0.84+0.62*LOG10(inputs!$E$80)))</f>
        <v>12.065609398989123</v>
      </c>
      <c r="Q187" s="69">
        <f>(inputs!$C$18*11.2*(10*F187^0.667)*0.5/F187)*inputs!$E$80/(10^(0.84+0.62*LOG10(inputs!$E$80)))</f>
        <v>6.37590056172911</v>
      </c>
      <c r="R187" s="59">
        <f>(60*284*((F187/1000)^0.77)*3*24*(MAX('Max rate concentrations'!$R$3:$R$368))/F187)*(inputs!$E$73*3.4/inputs!$E$75)</f>
        <v>5.2370841322352618E-2</v>
      </c>
      <c r="S187" s="59">
        <f>(IF(inputs!$C$17="aerial",((0.025*0.112*inputs!$C$18/3.3)*(3*60*284*((F187/1000)^0.77))*MAX(inputs!$I$14:$I$16))/F187,((0.0083*0.112*inputs!$C$18/1)*(3*60*284*((F187/1000)^0.77))*MAX(inputs!$I$14:$I$16))/F187))*(inputs!E$75*3.4/inputs!$E$73)</f>
        <v>0.28882840746871796</v>
      </c>
      <c r="T187" s="63">
        <f>IF((((inputs!$P$13/(V187/MAX(K187:S187)))^(1/inputs!$O$13))-1)/inputs!$N$13&lt;0, 0, IF((((inputs!$P$13/(V187/MAX(K187:S187)))^(1/inputs!$O$13))-1)/inputs!$N$13&lt;inputs!$I$17, (((inputs!$P$13/(V187/MAX(K187:S187)))^(1/inputs!$O$13))-1)/inputs!$N$13, inputs!$I$17))</f>
        <v>1000</v>
      </c>
      <c r="U187" s="63">
        <f>IF((((inputs!$P$13/(X187/MAX(K187:S187)))^(1/inputs!$O$13))-1)/inputs!$N$13&lt;0, 0, IF((((inputs!$P$13/(X187/MAX(K187:S187)))^(1/inputs!$O$13))-1)/inputs!$N$13&lt;inputs!$I$17, (((inputs!$P$13/(X187/MAX(K187:S187)))^(1/inputs!$O$13))-1)/inputs!$N$13, inputs!$I$17))</f>
        <v>29.57998331384476</v>
      </c>
      <c r="V187" s="21">
        <f>inputs!$E$78*(F187/inputs!$F$78)^(inputs!$E$84-1)</f>
        <v>2.2034638199583647E-2</v>
      </c>
      <c r="W187" s="21">
        <f>inputs!$E$85*(F187/inputs!$F$85)^(inputs!$E$84-1)</f>
        <v>1.017519000690843</v>
      </c>
      <c r="X187" s="21">
        <f>inputs!$E$80*(F187/inputs!$F$80)^(inputs!$E$84-1)</f>
        <v>3.7995962684025146</v>
      </c>
      <c r="Y187" s="21">
        <f>inputs!$E$82*(F187/inputs!$F$82)^(inputs!$E$84-1)</f>
        <v>1.751173877966911</v>
      </c>
      <c r="Z187" s="63">
        <f t="shared" si="16"/>
        <v>1704.1042937288673</v>
      </c>
      <c r="AA187" s="63">
        <f t="shared" si="17"/>
        <v>36.902821019733835</v>
      </c>
    </row>
    <row r="188" spans="1:27" x14ac:dyDescent="0.25">
      <c r="A188" s="103" t="s">
        <v>246</v>
      </c>
      <c r="B188" s="20" t="s">
        <v>247</v>
      </c>
      <c r="C188" s="20" t="s">
        <v>73</v>
      </c>
      <c r="D188" s="104" t="s">
        <v>240</v>
      </c>
      <c r="E188" s="15">
        <v>76</v>
      </c>
      <c r="F188" s="15">
        <v>334</v>
      </c>
      <c r="G188" s="20" t="s">
        <v>173</v>
      </c>
      <c r="H188" s="20">
        <v>0.8</v>
      </c>
      <c r="I188" s="68">
        <f>inputs!$C$66*inputs!$C$60/1000</f>
        <v>28</v>
      </c>
      <c r="J188" s="68">
        <f>inputs!$C$66*inputs!$C$59/1000</f>
        <v>28</v>
      </c>
      <c r="K188" s="69">
        <f t="shared" si="19"/>
        <v>9.9147475589165435</v>
      </c>
      <c r="L188" s="69">
        <f t="shared" ref="L188:L214" si="20">((0.301*F188^0.751)/(1-H188))*J188/F188</f>
        <v>9.9147475589165435</v>
      </c>
      <c r="M188" s="69">
        <f>IF((((1.18*F188^0.874)/3.7-(0.301*F188^0.751)/(1-H188)*H188)*(MAX('Max rate concentrations'!$P$3:$P$368)))/F188&gt;0, (((1.18*F188^0.874)/3.7-(0.301*F188^0.751)/(1-H188)*H188)*(MAX('Max rate concentrations'!$P$3:$P$368)))/F188, 0)</f>
        <v>0</v>
      </c>
      <c r="N188" s="69">
        <f>IF((((1.18*F188^0.874)/3.7-(0.301*F188^0.751)/(1-H188)*H188)*(MAX('Max rate concentrations'!$Q$3:$Q$368)))/F188&gt;0, (((1.18*F188^0.874)/3.7-(0.301*F188^0.751)/(1-H188)*H188)*(MAX('Max rate concentrations'!$Q$3:$Q$368)))/F188, 0)</f>
        <v>0</v>
      </c>
      <c r="O188" s="69">
        <f>((MAX('Max rate concentrations'!$F$3:$F$368))*0.62*6.01*8*(10*F188^0.667)*0.079*0.1/F188)*inputs!$E$80/(10^(0.84+0.62*LOG10(inputs!$E$80)))</f>
        <v>21.200487733714517</v>
      </c>
      <c r="P188" s="69">
        <f>((MAX('Max rate concentrations'!Y:Y))*0.62*6.01*8*(10*F188^0.667)*0.079*0.1/F188)*inputs!$E$80/(10^(0.84+0.62*LOG10(inputs!$E$80)))</f>
        <v>7.0668292445715055</v>
      </c>
      <c r="Q188" s="69">
        <f>(inputs!$C$18*11.2*(10*F188^0.667)*0.5/F188)*inputs!$E$80/(10^(0.84+0.62*LOG10(inputs!$E$80)))</f>
        <v>3.7343659205379343</v>
      </c>
      <c r="R188" s="59">
        <f>(60*284*((F188/1000)^0.77)*3*24*(MAX('Max rate concentrations'!$R$3:$R$368))/F188)*(inputs!$E$73*3.4/inputs!$E$75)</f>
        <v>3.6193040436205484E-2</v>
      </c>
      <c r="S188" s="59">
        <f>(IF(inputs!$C$17="aerial",((0.025*0.112*inputs!$C$18/3.3)*(3*60*284*((F188/1000)^0.77))*MAX(inputs!$I$14:$I$16))/F188,((0.0083*0.112*inputs!$C$18/1)*(3*60*284*((F188/1000)^0.77))*MAX(inputs!$I$14:$I$16))/F188))*(inputs!E$75*3.4/inputs!$E$73)</f>
        <v>0.19960684164488321</v>
      </c>
      <c r="T188" s="63">
        <f>IF((((inputs!$P$13/(V188/MAX(K188:S188)))^(1/inputs!$O$13))-1)/inputs!$N$13&lt;0, 0, IF((((inputs!$P$13/(V188/MAX(K188:S188)))^(1/inputs!$O$13))-1)/inputs!$N$13&lt;inputs!$I$17, (((inputs!$P$13/(V188/MAX(K188:S188)))^(1/inputs!$O$13))-1)/inputs!$N$13, inputs!$I$17))</f>
        <v>1000</v>
      </c>
      <c r="U188" s="63">
        <f>IF((((inputs!$P$13/(X188/MAX(K188:S188)))^(1/inputs!$O$13))-1)/inputs!$N$13&lt;0, 0, IF((((inputs!$P$13/(X188/MAX(K188:S188)))^(1/inputs!$O$13))-1)/inputs!$N$13&lt;inputs!$I$17, (((inputs!$P$13/(X188/MAX(K188:S188)))^(1/inputs!$O$13))-1)/inputs!$N$13, inputs!$I$17))</f>
        <v>30.226405794479078</v>
      </c>
      <c r="V188" s="21">
        <f>inputs!$E$78*(F188/inputs!$F$78)^(inputs!$E$84-1)</f>
        <v>1.2160947350059152E-2</v>
      </c>
      <c r="W188" s="21">
        <f>inputs!$E$85*(F188/inputs!$F$85)^(inputs!$E$84-1)</f>
        <v>0.56157014619463785</v>
      </c>
      <c r="X188" s="21">
        <f>inputs!$E$80*(F188/inputs!$F$80)^(inputs!$E$84-1)</f>
        <v>2.0970024446508626</v>
      </c>
      <c r="Y188" s="21">
        <f>inputs!$E$82*(F188/inputs!$F$82)^(inputs!$E$84-1)</f>
        <v>0.96647528939943783</v>
      </c>
      <c r="Z188" s="63">
        <f t="shared" si="16"/>
        <v>1743.3253449297597</v>
      </c>
      <c r="AA188" s="63">
        <f t="shared" si="17"/>
        <v>37.752163068808358</v>
      </c>
    </row>
    <row r="189" spans="1:27" x14ac:dyDescent="0.25">
      <c r="A189" s="103" t="s">
        <v>246</v>
      </c>
      <c r="B189" s="20" t="s">
        <v>247</v>
      </c>
      <c r="C189" s="20" t="s">
        <v>73</v>
      </c>
      <c r="D189" s="104" t="s">
        <v>240</v>
      </c>
      <c r="E189" s="15">
        <v>76</v>
      </c>
      <c r="F189" s="15">
        <v>334</v>
      </c>
      <c r="G189" s="20" t="s">
        <v>164</v>
      </c>
      <c r="H189" s="20">
        <v>0.78</v>
      </c>
      <c r="I189" s="68">
        <f>inputs!$C$66*(inputs!$C$62/1000)</f>
        <v>8.2000000000000011</v>
      </c>
      <c r="J189" s="68">
        <f>inputs!$C$66*(inputs!$C$61/1000)</f>
        <v>2.5</v>
      </c>
      <c r="K189" s="69">
        <f t="shared" si="19"/>
        <v>2.6396405838673922</v>
      </c>
      <c r="L189" s="69">
        <f t="shared" si="20"/>
        <v>0.80476847069127788</v>
      </c>
      <c r="M189" s="69">
        <f>IF((((1.18*F189^0.874)/3.7-(0.301*F189^0.751)/(1-H189)*H189)*(MAX('Max rate concentrations'!$P$3:$P$368)))/F189&gt;0, (((1.18*F189^0.874)/3.7-(0.301*F189^0.751)/(1-H189)*H189)*(MAX('Max rate concentrations'!$P$3:$P$368)))/F189, 0)</f>
        <v>0</v>
      </c>
      <c r="N189" s="69">
        <f>IF((((1.18*F189^0.874)/3.7-(0.301*F189^0.751)/(1-H189)*H189)*(MAX('Max rate concentrations'!$Q$3:$Q$368)))/F189&gt;0, (((1.18*F189^0.874)/3.7-(0.301*F189^0.751)/(1-H189)*H189)*(MAX('Max rate concentrations'!$Q$3:$Q$368)))/F189, 0)</f>
        <v>0</v>
      </c>
      <c r="O189" s="69">
        <f>((MAX('Max rate concentrations'!$F$3:$F$368))*0.62*6.01*8*(10*F189^0.667)*0.079*0.1/F189)*inputs!$E$80/(10^(0.84+0.62*LOG10(inputs!$E$80)))</f>
        <v>21.200487733714517</v>
      </c>
      <c r="P189" s="69">
        <f>((MAX('Max rate concentrations'!Y:Y))*0.62*6.01*8*(10*F189^0.667)*0.079*0.1/F189)*inputs!$E$80/(10^(0.84+0.62*LOG10(inputs!$E$80)))</f>
        <v>7.0668292445715055</v>
      </c>
      <c r="Q189" s="69">
        <f>(inputs!$C$18*11.2*(10*F189^0.667)*0.5/F189)*inputs!$E$80/(10^(0.84+0.62*LOG10(inputs!$E$80)))</f>
        <v>3.7343659205379343</v>
      </c>
      <c r="R189" s="59">
        <f>(60*284*((F189/1000)^0.77)*3*24*(MAX('Max rate concentrations'!$R$3:$R$368))/F189)*(inputs!$E$73*3.4/inputs!$E$75)</f>
        <v>3.6193040436205484E-2</v>
      </c>
      <c r="S189" s="59">
        <f>(IF(inputs!$C$17="aerial",((0.025*0.112*inputs!$C$18/3.3)*(3*60*284*((F189/1000)^0.77))*MAX(inputs!$I$14:$I$16))/F189,((0.0083*0.112*inputs!$C$18/1)*(3*60*284*((F189/1000)^0.77))*MAX(inputs!$I$14:$I$16))/F189))*(inputs!E$75*3.4/inputs!$E$73)</f>
        <v>0.19960684164488321</v>
      </c>
      <c r="T189" s="63">
        <f>IF((((inputs!$P$13/(V189/MAX(K189:S189)))^(1/inputs!$O$13))-1)/inputs!$N$13&lt;0, 0, IF((((inputs!$P$13/(V189/MAX(K189:S189)))^(1/inputs!$O$13))-1)/inputs!$N$13&lt;inputs!$I$17, (((inputs!$P$13/(V189/MAX(K189:S189)))^(1/inputs!$O$13))-1)/inputs!$N$13, inputs!$I$17))</f>
        <v>1000</v>
      </c>
      <c r="U189" s="63">
        <f>IF((((inputs!$P$13/(X189/MAX(K189:S189)))^(1/inputs!$O$13))-1)/inputs!$N$13&lt;0, 0, IF((((inputs!$P$13/(X189/MAX(K189:S189)))^(1/inputs!$O$13))-1)/inputs!$N$13&lt;inputs!$I$17, (((inputs!$P$13/(X189/MAX(K189:S189)))^(1/inputs!$O$13))-1)/inputs!$N$13, inputs!$I$17))</f>
        <v>30.226405794479078</v>
      </c>
      <c r="V189" s="21">
        <f>inputs!$E$78*(F189/inputs!$F$78)^(inputs!$E$84-1)</f>
        <v>1.2160947350059152E-2</v>
      </c>
      <c r="W189" s="21">
        <f>inputs!$E$85*(F189/inputs!$F$85)^(inputs!$E$84-1)</f>
        <v>0.56157014619463785</v>
      </c>
      <c r="X189" s="21">
        <f>inputs!$E$80*(F189/inputs!$F$80)^(inputs!$E$84-1)</f>
        <v>2.0970024446508626</v>
      </c>
      <c r="Y189" s="21">
        <f>inputs!$E$82*(F189/inputs!$F$82)^(inputs!$E$84-1)</f>
        <v>0.96647528939943783</v>
      </c>
      <c r="Z189" s="63">
        <f t="shared" si="16"/>
        <v>1743.3253449297597</v>
      </c>
      <c r="AA189" s="63">
        <f t="shared" si="17"/>
        <v>37.752163068808358</v>
      </c>
    </row>
    <row r="190" spans="1:27" x14ac:dyDescent="0.25">
      <c r="A190" s="103" t="s">
        <v>246</v>
      </c>
      <c r="B190" s="20" t="s">
        <v>247</v>
      </c>
      <c r="C190" s="20" t="s">
        <v>73</v>
      </c>
      <c r="D190" s="104" t="s">
        <v>240</v>
      </c>
      <c r="E190" s="15">
        <v>76</v>
      </c>
      <c r="F190" s="15">
        <v>334</v>
      </c>
      <c r="G190" s="20" t="s">
        <v>195</v>
      </c>
      <c r="H190" s="20">
        <v>0.82</v>
      </c>
      <c r="I190" s="68">
        <f>inputs!$C$66*(inputs!$C$62/1000)</f>
        <v>8.2000000000000011</v>
      </c>
      <c r="J190" s="68">
        <f>inputs!$C$66*(inputs!$C$61/1000)</f>
        <v>2.5</v>
      </c>
      <c r="K190" s="69">
        <f t="shared" ref="K190:K221" si="21">((0.301*F190^0.751)/(1-H190))*I190/F190</f>
        <v>3.2262273802823667</v>
      </c>
      <c r="L190" s="69">
        <f t="shared" si="20"/>
        <v>0.98360590862267261</v>
      </c>
      <c r="M190" s="69">
        <f>IF((((1.18*F190^0.874)/3.7-(0.301*F190^0.751)/(1-H190)*H190)*(MAX('Max rate concentrations'!$P$3:$P$368)))/F190&gt;0, (((1.18*F190^0.874)/3.7-(0.301*F190^0.751)/(1-H190)*H190)*(MAX('Max rate concentrations'!$P$3:$P$368)))/F190, 0)</f>
        <v>0</v>
      </c>
      <c r="N190" s="69">
        <f>IF((((1.18*F190^0.874)/3.7-(0.301*F190^0.751)/(1-H190)*H190)*(MAX('Max rate concentrations'!$Q$3:$Q$368)))/F190&gt;0, (((1.18*F190^0.874)/3.7-(0.301*F190^0.751)/(1-H190)*H190)*(MAX('Max rate concentrations'!$Q$3:$Q$368)))/F190, 0)</f>
        <v>0</v>
      </c>
      <c r="O190" s="69">
        <f>((MAX('Max rate concentrations'!$F$3:$F$368))*0.62*6.01*8*(10*F190^0.667)*0.079*0.1/F190)*inputs!$E$80/(10^(0.84+0.62*LOG10(inputs!$E$80)))</f>
        <v>21.200487733714517</v>
      </c>
      <c r="P190" s="69">
        <f>((MAX('Max rate concentrations'!Y:Y))*0.62*6.01*8*(10*F190^0.667)*0.079*0.1/F190)*inputs!$E$80/(10^(0.84+0.62*LOG10(inputs!$E$80)))</f>
        <v>7.0668292445715055</v>
      </c>
      <c r="Q190" s="69">
        <f>(inputs!$C$18*11.2*(10*F190^0.667)*0.5/F190)*inputs!$E$80/(10^(0.84+0.62*LOG10(inputs!$E$80)))</f>
        <v>3.7343659205379343</v>
      </c>
      <c r="R190" s="59">
        <f>(60*284*((F190/1000)^0.77)*3*24*(MAX('Max rate concentrations'!$R$3:$R$368))/F190)*(inputs!$E$73*3.4/inputs!$E$75)</f>
        <v>3.6193040436205484E-2</v>
      </c>
      <c r="S190" s="59">
        <f>(IF(inputs!$C$17="aerial",((0.025*0.112*inputs!$C$18/3.3)*(3*60*284*((F190/1000)^0.77))*MAX(inputs!$I$14:$I$16))/F190,((0.0083*0.112*inputs!$C$18/1)*(3*60*284*((F190/1000)^0.77))*MAX(inputs!$I$14:$I$16))/F190))*(inputs!E$75*3.4/inputs!$E$73)</f>
        <v>0.19960684164488321</v>
      </c>
      <c r="T190" s="63">
        <f>IF((((inputs!$P$13/(V190/MAX(K190:S190)))^(1/inputs!$O$13))-1)/inputs!$N$13&lt;0, 0, IF((((inputs!$P$13/(V190/MAX(K190:S190)))^(1/inputs!$O$13))-1)/inputs!$N$13&lt;inputs!$I$17, (((inputs!$P$13/(V190/MAX(K190:S190)))^(1/inputs!$O$13))-1)/inputs!$N$13, inputs!$I$17))</f>
        <v>1000</v>
      </c>
      <c r="U190" s="63">
        <f>IF((((inputs!$P$13/(X190/MAX(K190:S190)))^(1/inputs!$O$13))-1)/inputs!$N$13&lt;0, 0, IF((((inputs!$P$13/(X190/MAX(K190:S190)))^(1/inputs!$O$13))-1)/inputs!$N$13&lt;inputs!$I$17, (((inputs!$P$13/(X190/MAX(K190:S190)))^(1/inputs!$O$13))-1)/inputs!$N$13, inputs!$I$17))</f>
        <v>30.226405794479078</v>
      </c>
      <c r="V190" s="21">
        <f>inputs!$E$78*(F190/inputs!$F$78)^(inputs!$E$84-1)</f>
        <v>1.2160947350059152E-2</v>
      </c>
      <c r="W190" s="21">
        <f>inputs!$E$85*(F190/inputs!$F$85)^(inputs!$E$84-1)</f>
        <v>0.56157014619463785</v>
      </c>
      <c r="X190" s="21">
        <f>inputs!$E$80*(F190/inputs!$F$80)^(inputs!$E$84-1)</f>
        <v>2.0970024446508626</v>
      </c>
      <c r="Y190" s="21">
        <f>inputs!$E$82*(F190/inputs!$F$82)^(inputs!$E$84-1)</f>
        <v>0.96647528939943783</v>
      </c>
      <c r="Z190" s="63">
        <f t="shared" si="16"/>
        <v>1743.3253449297597</v>
      </c>
      <c r="AA190" s="63">
        <f t="shared" si="17"/>
        <v>37.752163068808358</v>
      </c>
    </row>
    <row r="191" spans="1:27" x14ac:dyDescent="0.25">
      <c r="A191" s="103" t="s">
        <v>246</v>
      </c>
      <c r="B191" s="20" t="s">
        <v>247</v>
      </c>
      <c r="C191" s="20" t="s">
        <v>73</v>
      </c>
      <c r="D191" s="104" t="s">
        <v>240</v>
      </c>
      <c r="E191" s="15">
        <v>76</v>
      </c>
      <c r="F191" s="15">
        <v>334</v>
      </c>
      <c r="G191" s="20" t="s">
        <v>152</v>
      </c>
      <c r="H191" s="20">
        <v>0.77</v>
      </c>
      <c r="I191" s="68">
        <f>MAX('Max rate concentrations'!$G$3:$G$368)</f>
        <v>45</v>
      </c>
      <c r="J191" s="68">
        <f>MAX('Max rate concentrations'!Z:Z)</f>
        <v>21</v>
      </c>
      <c r="K191" s="69">
        <f t="shared" si="21"/>
        <v>13.856013669293306</v>
      </c>
      <c r="L191" s="69">
        <f t="shared" si="20"/>
        <v>6.4661397123368767</v>
      </c>
      <c r="M191" s="69">
        <f>IF((((1.18*F191^0.874)/3.7-(0.301*F191^0.751)/(1-H191)*H191)*(MAX('Max rate concentrations'!$P$3:$P$368)))/F191&gt;0, (((1.18*F191^0.874)/3.7-(0.301*F191^0.751)/(1-H191)*H191)*(MAX('Max rate concentrations'!$P$3:$P$368)))/F191, 0)</f>
        <v>0</v>
      </c>
      <c r="N191" s="69">
        <f>IF((((1.18*F191^0.874)/3.7-(0.301*F191^0.751)/(1-H191)*H191)*(MAX('Max rate concentrations'!$Q$3:$Q$368)))/F191&gt;0, (((1.18*F191^0.874)/3.7-(0.301*F191^0.751)/(1-H191)*H191)*(MAX('Max rate concentrations'!$Q$3:$Q$368)))/F191, 0)</f>
        <v>0</v>
      </c>
      <c r="O191" s="69">
        <f>((MAX('Max rate concentrations'!$F$3:$F$368))*0.62*6.01*8*(10*F191^0.667)*0.079*0.1/F191)*inputs!$E$80/(10^(0.84+0.62*LOG10(inputs!$E$80)))</f>
        <v>21.200487733714517</v>
      </c>
      <c r="P191" s="69">
        <f>((MAX('Max rate concentrations'!Y:Y))*0.62*6.01*8*(10*F191^0.667)*0.079*0.1/F191)*inputs!$E$80/(10^(0.84+0.62*LOG10(inputs!$E$80)))</f>
        <v>7.0668292445715055</v>
      </c>
      <c r="Q191" s="69">
        <f>(inputs!$C$18*11.2*(10*F191^0.667)*0.5/F191)*inputs!$E$80/(10^(0.84+0.62*LOG10(inputs!$E$80)))</f>
        <v>3.7343659205379343</v>
      </c>
      <c r="R191" s="59">
        <f>(60*284*((F191/1000)^0.77)*3*24*(MAX('Max rate concentrations'!$R$3:$R$368))/F191)*(inputs!$E$73*3.4/inputs!$E$75)</f>
        <v>3.6193040436205484E-2</v>
      </c>
      <c r="S191" s="59">
        <f>(IF(inputs!$C$17="aerial",((0.025*0.112*inputs!$C$18/3.3)*(3*60*284*((F191/1000)^0.77))*MAX(inputs!$I$14:$I$16))/F191,((0.0083*0.112*inputs!$C$18/1)*(3*60*284*((F191/1000)^0.77))*MAX(inputs!$I$14:$I$16))/F191))*(inputs!E$75*3.4/inputs!$E$73)</f>
        <v>0.19960684164488321</v>
      </c>
      <c r="T191" s="63">
        <f>IF((((inputs!$P$13/(V191/MAX(K191:S191)))^(1/inputs!$O$13))-1)/inputs!$N$13&lt;0, 0, IF((((inputs!$P$13/(V191/MAX(K191:S191)))^(1/inputs!$O$13))-1)/inputs!$N$13&lt;inputs!$I$17, (((inputs!$P$13/(V191/MAX(K191:S191)))^(1/inputs!$O$13))-1)/inputs!$N$13, inputs!$I$17))</f>
        <v>1000</v>
      </c>
      <c r="U191" s="63">
        <f>IF((((inputs!$P$13/(X191/MAX(K191:S191)))^(1/inputs!$O$13))-1)/inputs!$N$13&lt;0, 0, IF((((inputs!$P$13/(X191/MAX(K191:S191)))^(1/inputs!$O$13))-1)/inputs!$N$13&lt;inputs!$I$17, (((inputs!$P$13/(X191/MAX(K191:S191)))^(1/inputs!$O$13))-1)/inputs!$N$13, inputs!$I$17))</f>
        <v>30.226405794479078</v>
      </c>
      <c r="V191" s="21">
        <f>inputs!$E$78*(F191/inputs!$F$78)^(inputs!$E$84-1)</f>
        <v>1.2160947350059152E-2</v>
      </c>
      <c r="W191" s="21">
        <f>inputs!$E$85*(F191/inputs!$F$85)^(inputs!$E$84-1)</f>
        <v>0.56157014619463785</v>
      </c>
      <c r="X191" s="21">
        <f>inputs!$E$80*(F191/inputs!$F$80)^(inputs!$E$84-1)</f>
        <v>2.0970024446508626</v>
      </c>
      <c r="Y191" s="21">
        <f>inputs!$E$82*(F191/inputs!$F$82)^(inputs!$E$84-1)</f>
        <v>0.96647528939943783</v>
      </c>
      <c r="Z191" s="63">
        <f t="shared" si="16"/>
        <v>1743.3253449297597</v>
      </c>
      <c r="AA191" s="63">
        <f t="shared" si="17"/>
        <v>37.752163068808358</v>
      </c>
    </row>
    <row r="192" spans="1:27" x14ac:dyDescent="0.25">
      <c r="A192" s="103" t="s">
        <v>246</v>
      </c>
      <c r="B192" s="20" t="s">
        <v>247</v>
      </c>
      <c r="C192" s="20" t="s">
        <v>73</v>
      </c>
      <c r="D192" s="104" t="s">
        <v>240</v>
      </c>
      <c r="E192" s="15">
        <v>76</v>
      </c>
      <c r="F192" s="15">
        <v>334</v>
      </c>
      <c r="G192" s="20" t="s">
        <v>169</v>
      </c>
      <c r="H192" s="20">
        <v>0.79</v>
      </c>
      <c r="I192" s="68">
        <f>MAX('Max rate concentrations'!$D$3:$D$368)</f>
        <v>720</v>
      </c>
      <c r="J192" s="68">
        <f>MAX('Max rate concentrations'!W:W)</f>
        <v>255</v>
      </c>
      <c r="K192" s="69">
        <f t="shared" si="21"/>
        <v>242.81014429999698</v>
      </c>
      <c r="L192" s="69">
        <f t="shared" si="20"/>
        <v>85.99525943958227</v>
      </c>
      <c r="M192" s="69">
        <f>IF((((1.18*F192^0.874)/3.7-(0.301*F192^0.751)/(1-H192)*H192)*(MAX('Max rate concentrations'!$P$3:$P$368)))/F192&gt;0, (((1.18*F192^0.874)/3.7-(0.301*F192^0.751)/(1-H192)*H192)*(MAX('Max rate concentrations'!$P$3:$P$368)))/F192, 0)</f>
        <v>0</v>
      </c>
      <c r="N192" s="69">
        <f>IF((((1.18*F192^0.874)/3.7-(0.301*F192^0.751)/(1-H192)*H192)*(MAX('Max rate concentrations'!$Q$3:$Q$368)))/F192&gt;0, (((1.18*F192^0.874)/3.7-(0.301*F192^0.751)/(1-H192)*H192)*(MAX('Max rate concentrations'!$Q$3:$Q$368)))/F192, 0)</f>
        <v>0</v>
      </c>
      <c r="O192" s="69">
        <f>((MAX('Max rate concentrations'!$F$3:$F$368))*0.62*6.01*8*(10*F192^0.667)*0.079*0.1/F192)*inputs!$E$80/(10^(0.84+0.62*LOG10(inputs!$E$80)))</f>
        <v>21.200487733714517</v>
      </c>
      <c r="P192" s="69">
        <f>((MAX('Max rate concentrations'!Y:Y))*0.62*6.01*8*(10*F192^0.667)*0.079*0.1/F192)*inputs!$E$80/(10^(0.84+0.62*LOG10(inputs!$E$80)))</f>
        <v>7.0668292445715055</v>
      </c>
      <c r="Q192" s="69">
        <f>(inputs!$C$18*11.2*(10*F192^0.667)*0.5/F192)*inputs!$E$80/(10^(0.84+0.62*LOG10(inputs!$E$80)))</f>
        <v>3.7343659205379343</v>
      </c>
      <c r="R192" s="59">
        <f>(60*284*((F192/1000)^0.77)*3*24*(MAX('Max rate concentrations'!$R$3:$R$368))/F192)*(inputs!$E$73*3.4/inputs!$E$75)</f>
        <v>3.6193040436205484E-2</v>
      </c>
      <c r="S192" s="59">
        <f>(IF(inputs!$C$17="aerial",((0.025*0.112*inputs!$C$18/3.3)*(3*60*284*((F192/1000)^0.77))*MAX(inputs!$I$14:$I$16))/F192,((0.0083*0.112*inputs!$C$18/1)*(3*60*284*((F192/1000)^0.77))*MAX(inputs!$I$14:$I$16))/F192))*(inputs!E$75*3.4/inputs!$E$73)</f>
        <v>0.19960684164488321</v>
      </c>
      <c r="T192" s="63">
        <f>IF((((inputs!$P$13/(V192/MAX(K192:S192)))^(1/inputs!$O$13))-1)/inputs!$N$13&lt;0, 0, IF((((inputs!$P$13/(V192/MAX(K192:S192)))^(1/inputs!$O$13))-1)/inputs!$N$13&lt;inputs!$I$17, (((inputs!$P$13/(V192/MAX(K192:S192)))^(1/inputs!$O$13))-1)/inputs!$N$13, inputs!$I$17))</f>
        <v>1000</v>
      </c>
      <c r="U192" s="63">
        <f>IF((((inputs!$P$13/(X192/MAX(K192:S192)))^(1/inputs!$O$13))-1)/inputs!$N$13&lt;0, 0, IF((((inputs!$P$13/(X192/MAX(K192:S192)))^(1/inputs!$O$13))-1)/inputs!$N$13&lt;inputs!$I$17, (((inputs!$P$13/(X192/MAX(K192:S192)))^(1/inputs!$O$13))-1)/inputs!$N$13, inputs!$I$17))</f>
        <v>249.44346577416599</v>
      </c>
      <c r="V192" s="21">
        <f>inputs!$E$78*(F192/inputs!$F$78)^(inputs!$E$84-1)</f>
        <v>1.2160947350059152E-2</v>
      </c>
      <c r="W192" s="21">
        <f>inputs!$E$85*(F192/inputs!$F$85)^(inputs!$E$84-1)</f>
        <v>0.56157014619463785</v>
      </c>
      <c r="X192" s="21">
        <f>inputs!$E$80*(F192/inputs!$F$80)^(inputs!$E$84-1)</f>
        <v>2.0970024446508626</v>
      </c>
      <c r="Y192" s="21">
        <f>inputs!$E$82*(F192/inputs!$F$82)^(inputs!$E$84-1)</f>
        <v>0.96647528939943783</v>
      </c>
      <c r="Z192" s="63">
        <f t="shared" si="16"/>
        <v>19966.383975736557</v>
      </c>
      <c r="AA192" s="63">
        <f t="shared" si="17"/>
        <v>432.37723006706983</v>
      </c>
    </row>
    <row r="193" spans="1:27" x14ac:dyDescent="0.25">
      <c r="A193" s="103" t="s">
        <v>246</v>
      </c>
      <c r="B193" s="20" t="s">
        <v>247</v>
      </c>
      <c r="C193" s="20" t="s">
        <v>73</v>
      </c>
      <c r="D193" s="104" t="s">
        <v>240</v>
      </c>
      <c r="E193" s="15">
        <v>76</v>
      </c>
      <c r="F193" s="15">
        <v>334</v>
      </c>
      <c r="G193" s="20" t="s">
        <v>158</v>
      </c>
      <c r="H193" s="20">
        <v>0.85</v>
      </c>
      <c r="I193" s="68">
        <f>MAX('Max rate concentrations'!$F$3:$F$368)</f>
        <v>405</v>
      </c>
      <c r="J193" s="68">
        <f>MAX('Max rate concentrations'!Y:Y)</f>
        <v>135</v>
      </c>
      <c r="K193" s="69">
        <f t="shared" si="21"/>
        <v>191.21298863624759</v>
      </c>
      <c r="L193" s="69">
        <f t="shared" si="20"/>
        <v>63.737662878749184</v>
      </c>
      <c r="M193" s="69">
        <f>IF((((1.18*F193^0.874)/3.7-(0.301*F193^0.751)/(1-H193)*H193)*(MAX('Max rate concentrations'!$P$3:$P$368)))/F193&gt;0, (((1.18*F193^0.874)/3.7-(0.301*F193^0.751)/(1-H193)*H193)*(MAX('Max rate concentrations'!$P$3:$P$368)))/F193, 0)</f>
        <v>0</v>
      </c>
      <c r="N193" s="69">
        <f>IF((((1.18*F193^0.874)/3.7-(0.301*F193^0.751)/(1-H193)*H193)*(MAX('Max rate concentrations'!$Q$3:$Q$368)))/F193&gt;0, (((1.18*F193^0.874)/3.7-(0.301*F193^0.751)/(1-H193)*H193)*(MAX('Max rate concentrations'!$Q$3:$Q$368)))/F193, 0)</f>
        <v>0</v>
      </c>
      <c r="O193" s="69">
        <f>((MAX('Max rate concentrations'!$F$3:$F$368))*0.62*6.01*8*(10*F193^0.667)*0.079*0.1/F193)*inputs!$E$80/(10^(0.84+0.62*LOG10(inputs!$E$80)))</f>
        <v>21.200487733714517</v>
      </c>
      <c r="P193" s="69">
        <f>((MAX('Max rate concentrations'!Y:Y))*0.62*6.01*8*(10*F193^0.667)*0.079*0.1/F193)*inputs!$E$80/(10^(0.84+0.62*LOG10(inputs!$E$80)))</f>
        <v>7.0668292445715055</v>
      </c>
      <c r="Q193" s="69">
        <f>(inputs!$C$18*11.2*(10*F193^0.667)*0.5/F193)*inputs!$E$80/(10^(0.84+0.62*LOG10(inputs!$E$80)))</f>
        <v>3.7343659205379343</v>
      </c>
      <c r="R193" s="59">
        <f>(60*284*((F193/1000)^0.77)*3*24*(MAX('Max rate concentrations'!$R$3:$R$368))/F193)*(inputs!$E$73*3.4/inputs!$E$75)</f>
        <v>3.6193040436205484E-2</v>
      </c>
      <c r="S193" s="59">
        <f>(IF(inputs!$C$17="aerial",((0.025*0.112*inputs!$C$18/3.3)*(3*60*284*((F193/1000)^0.77))*MAX(inputs!$I$14:$I$16))/F193,((0.0083*0.112*inputs!$C$18/1)*(3*60*284*((F193/1000)^0.77))*MAX(inputs!$I$14:$I$16))/F193))*(inputs!E$75*3.4/inputs!$E$73)</f>
        <v>0.19960684164488321</v>
      </c>
      <c r="T193" s="63">
        <f>IF((((inputs!$P$13/(V193/MAX(K193:S193)))^(1/inputs!$O$13))-1)/inputs!$N$13&lt;0, 0, IF((((inputs!$P$13/(V193/MAX(K193:S193)))^(1/inputs!$O$13))-1)/inputs!$N$13&lt;inputs!$I$17, (((inputs!$P$13/(V193/MAX(K193:S193)))^(1/inputs!$O$13))-1)/inputs!$N$13, inputs!$I$17))</f>
        <v>1000</v>
      </c>
      <c r="U193" s="63">
        <f>IF((((inputs!$P$13/(X193/MAX(K193:S193)))^(1/inputs!$O$13))-1)/inputs!$N$13&lt;0, 0, IF((((inputs!$P$13/(X193/MAX(K193:S193)))^(1/inputs!$O$13))-1)/inputs!$N$13&lt;inputs!$I$17, (((inputs!$P$13/(X193/MAX(K193:S193)))^(1/inputs!$O$13))-1)/inputs!$N$13, inputs!$I$17))</f>
        <v>204.70541102218331</v>
      </c>
      <c r="V193" s="21">
        <f>inputs!$E$78*(F193/inputs!$F$78)^(inputs!$E$84-1)</f>
        <v>1.2160947350059152E-2</v>
      </c>
      <c r="W193" s="21">
        <f>inputs!$E$85*(F193/inputs!$F$85)^(inputs!$E$84-1)</f>
        <v>0.56157014619463785</v>
      </c>
      <c r="X193" s="21">
        <f>inputs!$E$80*(F193/inputs!$F$80)^(inputs!$E$84-1)</f>
        <v>2.0970024446508626</v>
      </c>
      <c r="Y193" s="21">
        <f>inputs!$E$82*(F193/inputs!$F$82)^(inputs!$E$84-1)</f>
        <v>0.96647528939943783</v>
      </c>
      <c r="Z193" s="63">
        <f t="shared" si="16"/>
        <v>15723.527380892534</v>
      </c>
      <c r="AA193" s="63">
        <f t="shared" si="17"/>
        <v>340.49706867781742</v>
      </c>
    </row>
    <row r="194" spans="1:27" x14ac:dyDescent="0.25">
      <c r="A194" s="103" t="s">
        <v>246</v>
      </c>
      <c r="B194" s="20" t="s">
        <v>247</v>
      </c>
      <c r="C194" s="20" t="s">
        <v>73</v>
      </c>
      <c r="D194" s="104" t="s">
        <v>240</v>
      </c>
      <c r="E194" s="15">
        <v>76</v>
      </c>
      <c r="F194" s="15">
        <v>334</v>
      </c>
      <c r="G194" s="20" t="s">
        <v>154</v>
      </c>
      <c r="H194" s="20">
        <v>9.2999999999999999E-2</v>
      </c>
      <c r="I194" s="68">
        <f>MAX('Max rate concentrations'!$G$3:$G$368)</f>
        <v>45</v>
      </c>
      <c r="J194" s="68">
        <f>MAX('Max rate concentrations'!Z:Z)</f>
        <v>21</v>
      </c>
      <c r="K194" s="69">
        <f t="shared" si="21"/>
        <v>3.5136528599089965</v>
      </c>
      <c r="L194" s="69">
        <f t="shared" si="20"/>
        <v>1.6397046679575318</v>
      </c>
      <c r="M194" s="69">
        <f>IF((((1.18*F194^0.874)/3.7-(0.301*F194^0.751)/(1-H194)*H194)*(MAX('Max rate concentrations'!$P$3:$P$368)))/F194&gt;0, (((1.18*F194^0.874)/3.7-(0.301*F194^0.751)/(1-H194)*H194)*(MAX('Max rate concentrations'!$P$3:$P$368)))/F194, 0)</f>
        <v>0.12722807367393626</v>
      </c>
      <c r="N194" s="69">
        <f>IF((((1.18*F194^0.874)/3.7-(0.301*F194^0.751)/(1-H194)*H194)*(MAX('Max rate concentrations'!$Q$3:$Q$368)))/F194&gt;0, (((1.18*F194^0.874)/3.7-(0.301*F194^0.751)/(1-H194)*H194)*(MAX('Max rate concentrations'!$Q$3:$Q$368)))/F194, 0)</f>
        <v>0.48449134072914335</v>
      </c>
      <c r="O194" s="69">
        <f>((MAX('Max rate concentrations'!$F$3:$F$368))*0.62*6.01*8*(10*F194^0.667)*0.079*0.1/F194)*inputs!$E$80/(10^(0.84+0.62*LOG10(inputs!$E$80)))</f>
        <v>21.200487733714517</v>
      </c>
      <c r="P194" s="69">
        <f>((MAX('Max rate concentrations'!Y:Y))*0.62*6.01*8*(10*F194^0.667)*0.079*0.1/F194)*inputs!$E$80/(10^(0.84+0.62*LOG10(inputs!$E$80)))</f>
        <v>7.0668292445715055</v>
      </c>
      <c r="Q194" s="69">
        <f>(inputs!$C$18*11.2*(10*F194^0.667)*0.5/F194)*inputs!$E$80/(10^(0.84+0.62*LOG10(inputs!$E$80)))</f>
        <v>3.7343659205379343</v>
      </c>
      <c r="R194" s="59">
        <f>(60*284*((F194/1000)^0.77)*3*24*(MAX('Max rate concentrations'!$R$3:$R$368))/F194)*(inputs!$E$73*3.4/inputs!$E$75)</f>
        <v>3.6193040436205484E-2</v>
      </c>
      <c r="S194" s="59">
        <f>(IF(inputs!$C$17="aerial",((0.025*0.112*inputs!$C$18/3.3)*(3*60*284*((F194/1000)^0.77))*MAX(inputs!$I$14:$I$16))/F194,((0.0083*0.112*inputs!$C$18/1)*(3*60*284*((F194/1000)^0.77))*MAX(inputs!$I$14:$I$16))/F194))*(inputs!E$75*3.4/inputs!$E$73)</f>
        <v>0.19960684164488321</v>
      </c>
      <c r="T194" s="63">
        <f>IF((((inputs!$P$13/(V194/MAX(K194:S194)))^(1/inputs!$O$13))-1)/inputs!$N$13&lt;0, 0, IF((((inputs!$P$13/(V194/MAX(K194:S194)))^(1/inputs!$O$13))-1)/inputs!$N$13&lt;inputs!$I$17, (((inputs!$P$13/(V194/MAX(K194:S194)))^(1/inputs!$O$13))-1)/inputs!$N$13, inputs!$I$17))</f>
        <v>1000</v>
      </c>
      <c r="U194" s="63">
        <f>IF((((inputs!$P$13/(X194/MAX(K194:S194)))^(1/inputs!$O$13))-1)/inputs!$N$13&lt;0, 0, IF((((inputs!$P$13/(X194/MAX(K194:S194)))^(1/inputs!$O$13))-1)/inputs!$N$13&lt;inputs!$I$17, (((inputs!$P$13/(X194/MAX(K194:S194)))^(1/inputs!$O$13))-1)/inputs!$N$13, inputs!$I$17))</f>
        <v>30.226405794479078</v>
      </c>
      <c r="V194" s="21">
        <f>inputs!$E$78*(F194/inputs!$F$78)^(inputs!$E$84-1)</f>
        <v>1.2160947350059152E-2</v>
      </c>
      <c r="W194" s="21">
        <f>inputs!$E$85*(F194/inputs!$F$85)^(inputs!$E$84-1)</f>
        <v>0.56157014619463785</v>
      </c>
      <c r="X194" s="21">
        <f>inputs!$E$80*(F194/inputs!$F$80)^(inputs!$E$84-1)</f>
        <v>2.0970024446508626</v>
      </c>
      <c r="Y194" s="21">
        <f>inputs!$E$82*(F194/inputs!$F$82)^(inputs!$E$84-1)</f>
        <v>0.96647528939943783</v>
      </c>
      <c r="Z194" s="63">
        <f t="shared" ref="Z194:Z257" si="22">MAX(K194:S194)/V194</f>
        <v>1743.3253449297597</v>
      </c>
      <c r="AA194" s="63">
        <f t="shared" ref="AA194:AA257" si="23">MAX(K194:S194)/W194</f>
        <v>37.752163068808358</v>
      </c>
    </row>
    <row r="195" spans="1:27" x14ac:dyDescent="0.25">
      <c r="A195" s="103" t="s">
        <v>238</v>
      </c>
      <c r="B195" s="20" t="s">
        <v>239</v>
      </c>
      <c r="C195" s="20" t="s">
        <v>73</v>
      </c>
      <c r="D195" s="104" t="s">
        <v>240</v>
      </c>
      <c r="E195" s="15">
        <v>108</v>
      </c>
      <c r="F195" s="15">
        <v>427</v>
      </c>
      <c r="G195" s="20" t="s">
        <v>241</v>
      </c>
      <c r="H195" s="20">
        <v>0.8</v>
      </c>
      <c r="I195" s="68">
        <f>inputs!$C$66*inputs!$C$60/1000</f>
        <v>28</v>
      </c>
      <c r="J195" s="68">
        <f>inputs!$C$66*inputs!$C$59/1000</f>
        <v>28</v>
      </c>
      <c r="K195" s="69">
        <f t="shared" si="21"/>
        <v>9.3264848778352309</v>
      </c>
      <c r="L195" s="69">
        <f t="shared" si="20"/>
        <v>9.3264848778352309</v>
      </c>
      <c r="M195" s="69">
        <f>IF((((1.18*F195^0.874)/3.7-(0.301*F195^0.751)/(1-H195)*H195)*(MAX('Max rate concentrations'!$P$3:$P$368)))/F195&gt;0, (((1.18*F195^0.874)/3.7-(0.301*F195^0.751)/(1-H195)*H195)*(MAX('Max rate concentrations'!$P$3:$P$368)))/F195, 0)</f>
        <v>0</v>
      </c>
      <c r="N195" s="69">
        <f>IF((((1.18*F195^0.874)/3.7-(0.301*F195^0.751)/(1-H195)*H195)*(MAX('Max rate concentrations'!$Q$3:$Q$368)))/F195&gt;0, (((1.18*F195^0.874)/3.7-(0.301*F195^0.751)/(1-H195)*H195)*(MAX('Max rate concentrations'!$Q$3:$Q$368)))/F195, 0)</f>
        <v>0</v>
      </c>
      <c r="O195" s="69">
        <f>((MAX('Max rate concentrations'!$F$3:$F$368))*0.62*6.01*8*(10*F195^0.667)*0.079*0.1/F195)*inputs!$E$80/(10^(0.84+0.62*LOG10(inputs!$E$80)))</f>
        <v>19.535338612265036</v>
      </c>
      <c r="P195" s="69">
        <f>((MAX('Max rate concentrations'!Y:Y))*0.62*6.01*8*(10*F195^0.667)*0.079*0.1/F195)*inputs!$E$80/(10^(0.84+0.62*LOG10(inputs!$E$80)))</f>
        <v>6.5117795374216776</v>
      </c>
      <c r="Q195" s="69">
        <f>(inputs!$C$18*11.2*(10*F195^0.667)*0.5/F195)*inputs!$E$80/(10^(0.84+0.62*LOG10(inputs!$E$80)))</f>
        <v>3.4410577566004652</v>
      </c>
      <c r="R195" s="59">
        <f>(60*284*((F195/1000)^0.77)*3*24*(MAX('Max rate concentrations'!$R$3:$R$368))/F195)*(inputs!$E$73*3.4/inputs!$E$75)</f>
        <v>3.4204901501177297E-2</v>
      </c>
      <c r="S195" s="59">
        <f>(IF(inputs!$C$17="aerial",((0.025*0.112*inputs!$C$18/3.3)*(3*60*284*((F195/1000)^0.77))*MAX(inputs!$I$14:$I$16))/F195,((0.0083*0.112*inputs!$C$18/1)*(3*60*284*((F195/1000)^0.77))*MAX(inputs!$I$14:$I$16))/F195))*(inputs!E$75*3.4/inputs!$E$73)</f>
        <v>0.18864213327030813</v>
      </c>
      <c r="T195" s="63">
        <f>IF((((inputs!$P$13/(V195/MAX(K195:S195)))^(1/inputs!$O$13))-1)/inputs!$N$13&lt;0, 0, IF((((inputs!$P$13/(V195/MAX(K195:S195)))^(1/inputs!$O$13))-1)/inputs!$N$13&lt;inputs!$I$17, (((inputs!$P$13/(V195/MAX(K195:S195)))^(1/inputs!$O$13))-1)/inputs!$N$13, inputs!$I$17))</f>
        <v>1000</v>
      </c>
      <c r="U195" s="63">
        <f>IF((((inputs!$P$13/(X195/MAX(K195:S195)))^(1/inputs!$O$13))-1)/inputs!$N$13&lt;0, 0, IF((((inputs!$P$13/(X195/MAX(K195:S195)))^(1/inputs!$O$13))-1)/inputs!$N$13&lt;inputs!$I$17, (((inputs!$P$13/(X195/MAX(K195:S195)))^(1/inputs!$O$13))-1)/inputs!$N$13, inputs!$I$17))</f>
        <v>30.487944903281317</v>
      </c>
      <c r="V195" s="21">
        <f>inputs!$E$78*(F195/inputs!$F$78)^(inputs!$E$84-1)</f>
        <v>1.1104404851702795E-2</v>
      </c>
      <c r="W195" s="21">
        <f>inputs!$E$85*(F195/inputs!$F$85)^(inputs!$E$84-1)</f>
        <v>0.51278095994263584</v>
      </c>
      <c r="X195" s="21">
        <f>inputs!$E$80*(F195/inputs!$F$80)^(inputs!$E$84-1)</f>
        <v>1.9148149770009817</v>
      </c>
      <c r="Y195" s="21">
        <f>inputs!$E$82*(F195/inputs!$F$82)^(inputs!$E$84-1)</f>
        <v>0.88250796453006419</v>
      </c>
      <c r="Z195" s="63">
        <f t="shared" si="22"/>
        <v>1759.242289267705</v>
      </c>
      <c r="AA195" s="63">
        <f t="shared" si="23"/>
        <v>38.09684863191962</v>
      </c>
    </row>
    <row r="196" spans="1:27" x14ac:dyDescent="0.25">
      <c r="A196" s="103" t="s">
        <v>238</v>
      </c>
      <c r="B196" s="20" t="s">
        <v>239</v>
      </c>
      <c r="C196" s="20" t="s">
        <v>73</v>
      </c>
      <c r="D196" s="104" t="s">
        <v>240</v>
      </c>
      <c r="E196" s="15">
        <v>108</v>
      </c>
      <c r="F196" s="15">
        <v>427</v>
      </c>
      <c r="G196" s="20" t="s">
        <v>142</v>
      </c>
      <c r="H196" s="20">
        <v>0.69</v>
      </c>
      <c r="I196" s="68">
        <f>MAX('Max rate concentrations'!$H$3:$H$368)</f>
        <v>282</v>
      </c>
      <c r="J196" s="68">
        <f>MAX('Max rate concentrations'!AA:AA)</f>
        <v>195</v>
      </c>
      <c r="K196" s="69">
        <f t="shared" si="21"/>
        <v>60.600662109436264</v>
      </c>
      <c r="L196" s="69">
        <f t="shared" si="20"/>
        <v>41.904713160780389</v>
      </c>
      <c r="M196" s="69">
        <f>IF((((1.18*F196^0.874)/3.7-(0.301*F196^0.751)/(1-H196)*H196)*(MAX('Max rate concentrations'!$P$3:$P$368)))/F196&gt;0, (((1.18*F196^0.874)/3.7-(0.301*F196^0.751)/(1-H196)*H196)*(MAX('Max rate concentrations'!$P$3:$P$368)))/F196, 0)</f>
        <v>3.480661484068439E-4</v>
      </c>
      <c r="N196" s="69">
        <f>IF((((1.18*F196^0.874)/3.7-(0.301*F196^0.751)/(1-H196)*H196)*(MAX('Max rate concentrations'!$Q$3:$Q$368)))/F196&gt;0, (((1.18*F196^0.874)/3.7-(0.301*F196^0.751)/(1-H196)*H196)*(MAX('Max rate concentrations'!$Q$3:$Q$368)))/F196, 0)</f>
        <v>1.3254545953139516E-3</v>
      </c>
      <c r="O196" s="69">
        <f>((MAX('Max rate concentrations'!$F$3:$F$368))*0.62*6.01*8*(10*F196^0.667)*0.079*0.1/F196)*inputs!$E$80/(10^(0.84+0.62*LOG10(inputs!$E$80)))</f>
        <v>19.535338612265036</v>
      </c>
      <c r="P196" s="69">
        <f>((MAX('Max rate concentrations'!Y:Y))*0.62*6.01*8*(10*F196^0.667)*0.079*0.1/F196)*inputs!$E$80/(10^(0.84+0.62*LOG10(inputs!$E$80)))</f>
        <v>6.5117795374216776</v>
      </c>
      <c r="Q196" s="69">
        <f>(inputs!$C$18*11.2*(10*F196^0.667)*0.5/F196)*inputs!$E$80/(10^(0.84+0.62*LOG10(inputs!$E$80)))</f>
        <v>3.4410577566004652</v>
      </c>
      <c r="R196" s="59">
        <f>(60*284*((F196/1000)^0.77)*3*24*(MAX('Max rate concentrations'!$R$3:$R$368))/F196)*(inputs!$E$73*3.4/inputs!$E$75)</f>
        <v>3.4204901501177297E-2</v>
      </c>
      <c r="S196" s="59">
        <f>(IF(inputs!$C$17="aerial",((0.025*0.112*inputs!$C$18/3.3)*(3*60*284*((F196/1000)^0.77))*MAX(inputs!$I$14:$I$16))/F196,((0.0083*0.112*inputs!$C$18/1)*(3*60*284*((F196/1000)^0.77))*MAX(inputs!$I$14:$I$16))/F196))*(inputs!E$75*3.4/inputs!$E$73)</f>
        <v>0.18864213327030813</v>
      </c>
      <c r="T196" s="63">
        <f>IF((((inputs!$P$13/(V196/MAX(K196:S196)))^(1/inputs!$O$13))-1)/inputs!$N$13&lt;0, 0, IF((((inputs!$P$13/(V196/MAX(K196:S196)))^(1/inputs!$O$13))-1)/inputs!$N$13&lt;inputs!$I$17, (((inputs!$P$13/(V196/MAX(K196:S196)))^(1/inputs!$O$13))-1)/inputs!$N$13, inputs!$I$17))</f>
        <v>1000</v>
      </c>
      <c r="U196" s="63">
        <f>IF((((inputs!$P$13/(X196/MAX(K196:S196)))^(1/inputs!$O$13))-1)/inputs!$N$13&lt;0, 0, IF((((inputs!$P$13/(X196/MAX(K196:S196)))^(1/inputs!$O$13))-1)/inputs!$N$13&lt;inputs!$I$17, (((inputs!$P$13/(X196/MAX(K196:S196)))^(1/inputs!$O$13))-1)/inputs!$N$13, inputs!$I$17))</f>
        <v>83.988459326406058</v>
      </c>
      <c r="V196" s="21">
        <f>inputs!$E$78*(F196/inputs!$F$78)^(inputs!$E$84-1)</f>
        <v>1.1104404851702795E-2</v>
      </c>
      <c r="W196" s="21">
        <f>inputs!$E$85*(F196/inputs!$F$85)^(inputs!$E$84-1)</f>
        <v>0.51278095994263584</v>
      </c>
      <c r="X196" s="21">
        <f>inputs!$E$80*(F196/inputs!$F$80)^(inputs!$E$84-1)</f>
        <v>1.9148149770009817</v>
      </c>
      <c r="Y196" s="21">
        <f>inputs!$E$82*(F196/inputs!$F$82)^(inputs!$E$84-1)</f>
        <v>0.88250796453006419</v>
      </c>
      <c r="Z196" s="63">
        <f t="shared" si="22"/>
        <v>5457.3534483609455</v>
      </c>
      <c r="AA196" s="63">
        <f t="shared" si="23"/>
        <v>118.18040614498554</v>
      </c>
    </row>
    <row r="197" spans="1:27" x14ac:dyDescent="0.25">
      <c r="A197" s="103" t="s">
        <v>238</v>
      </c>
      <c r="B197" s="20" t="s">
        <v>239</v>
      </c>
      <c r="C197" s="20" t="s">
        <v>73</v>
      </c>
      <c r="D197" s="104" t="s">
        <v>240</v>
      </c>
      <c r="E197" s="15">
        <v>108</v>
      </c>
      <c r="F197" s="15">
        <v>427</v>
      </c>
      <c r="G197" s="20" t="s">
        <v>164</v>
      </c>
      <c r="H197" s="20">
        <v>0.78</v>
      </c>
      <c r="I197" s="68">
        <f>inputs!$C$66*(inputs!$C$62/1000)</f>
        <v>8.2000000000000011</v>
      </c>
      <c r="J197" s="68">
        <f>inputs!$C$66*(inputs!$C$61/1000)</f>
        <v>2.5</v>
      </c>
      <c r="K197" s="69">
        <f t="shared" si="21"/>
        <v>2.4830251947483406</v>
      </c>
      <c r="L197" s="69">
        <f t="shared" si="20"/>
        <v>0.75701987644766466</v>
      </c>
      <c r="M197" s="69">
        <f>IF((((1.18*F197^0.874)/3.7-(0.301*F197^0.751)/(1-H197)*H197)*(MAX('Max rate concentrations'!$P$3:$P$368)))/F197&gt;0, (((1.18*F197^0.874)/3.7-(0.301*F197^0.751)/(1-H197)*H197)*(MAX('Max rate concentrations'!$P$3:$P$368)))/F197, 0)</f>
        <v>0</v>
      </c>
      <c r="N197" s="69">
        <f>IF((((1.18*F197^0.874)/3.7-(0.301*F197^0.751)/(1-H197)*H197)*(MAX('Max rate concentrations'!$Q$3:$Q$368)))/F197&gt;0, (((1.18*F197^0.874)/3.7-(0.301*F197^0.751)/(1-H197)*H197)*(MAX('Max rate concentrations'!$Q$3:$Q$368)))/F197, 0)</f>
        <v>0</v>
      </c>
      <c r="O197" s="69">
        <f>((MAX('Max rate concentrations'!$F$3:$F$368))*0.62*6.01*8*(10*F197^0.667)*0.079*0.1/F197)*inputs!$E$80/(10^(0.84+0.62*LOG10(inputs!$E$80)))</f>
        <v>19.535338612265036</v>
      </c>
      <c r="P197" s="69">
        <f>((MAX('Max rate concentrations'!Y:Y))*0.62*6.01*8*(10*F197^0.667)*0.079*0.1/F197)*inputs!$E$80/(10^(0.84+0.62*LOG10(inputs!$E$80)))</f>
        <v>6.5117795374216776</v>
      </c>
      <c r="Q197" s="69">
        <f>(inputs!$C$18*11.2*(10*F197^0.667)*0.5/F197)*inputs!$E$80/(10^(0.84+0.62*LOG10(inputs!$E$80)))</f>
        <v>3.4410577566004652</v>
      </c>
      <c r="R197" s="59">
        <f>(60*284*((F197/1000)^0.77)*3*24*(MAX('Max rate concentrations'!$R$3:$R$368))/F197)*(inputs!$E$73*3.4/inputs!$E$75)</f>
        <v>3.4204901501177297E-2</v>
      </c>
      <c r="S197" s="59">
        <f>(IF(inputs!$C$17="aerial",((0.025*0.112*inputs!$C$18/3.3)*(3*60*284*((F197/1000)^0.77))*MAX(inputs!$I$14:$I$16))/F197,((0.0083*0.112*inputs!$C$18/1)*(3*60*284*((F197/1000)^0.77))*MAX(inputs!$I$14:$I$16))/F197))*(inputs!E$75*3.4/inputs!$E$73)</f>
        <v>0.18864213327030813</v>
      </c>
      <c r="T197" s="63">
        <f>IF((((inputs!$P$13/(V197/MAX(K197:S197)))^(1/inputs!$O$13))-1)/inputs!$N$13&lt;0, 0, IF((((inputs!$P$13/(V197/MAX(K197:S197)))^(1/inputs!$O$13))-1)/inputs!$N$13&lt;inputs!$I$17, (((inputs!$P$13/(V197/MAX(K197:S197)))^(1/inputs!$O$13))-1)/inputs!$N$13, inputs!$I$17))</f>
        <v>1000</v>
      </c>
      <c r="U197" s="63">
        <f>IF((((inputs!$P$13/(X197/MAX(K197:S197)))^(1/inputs!$O$13))-1)/inputs!$N$13&lt;0, 0, IF((((inputs!$P$13/(X197/MAX(K197:S197)))^(1/inputs!$O$13))-1)/inputs!$N$13&lt;inputs!$I$17, (((inputs!$P$13/(X197/MAX(K197:S197)))^(1/inputs!$O$13))-1)/inputs!$N$13, inputs!$I$17))</f>
        <v>30.487944903281317</v>
      </c>
      <c r="V197" s="21">
        <f>inputs!$E$78*(F197/inputs!$F$78)^(inputs!$E$84-1)</f>
        <v>1.1104404851702795E-2</v>
      </c>
      <c r="W197" s="21">
        <f>inputs!$E$85*(F197/inputs!$F$85)^(inputs!$E$84-1)</f>
        <v>0.51278095994263584</v>
      </c>
      <c r="X197" s="21">
        <f>inputs!$E$80*(F197/inputs!$F$80)^(inputs!$E$84-1)</f>
        <v>1.9148149770009817</v>
      </c>
      <c r="Y197" s="21">
        <f>inputs!$E$82*(F197/inputs!$F$82)^(inputs!$E$84-1)</f>
        <v>0.88250796453006419</v>
      </c>
      <c r="Z197" s="63">
        <f t="shared" si="22"/>
        <v>1759.242289267705</v>
      </c>
      <c r="AA197" s="63">
        <f t="shared" si="23"/>
        <v>38.09684863191962</v>
      </c>
    </row>
    <row r="198" spans="1:27" x14ac:dyDescent="0.25">
      <c r="A198" s="103" t="s">
        <v>238</v>
      </c>
      <c r="B198" s="20" t="s">
        <v>239</v>
      </c>
      <c r="C198" s="20" t="s">
        <v>73</v>
      </c>
      <c r="D198" s="104" t="s">
        <v>240</v>
      </c>
      <c r="E198" s="15">
        <v>108</v>
      </c>
      <c r="F198" s="15">
        <v>427</v>
      </c>
      <c r="G198" s="49" t="s">
        <v>186</v>
      </c>
      <c r="H198" s="49">
        <v>0.75</v>
      </c>
      <c r="I198" s="68">
        <f>inputs!$C$66*inputs!$C$64/1000</f>
        <v>21.3</v>
      </c>
      <c r="J198" s="68">
        <f>inputs!$C$66*inputs!$C$63/1000</f>
        <v>8.8000000000000007</v>
      </c>
      <c r="K198" s="69">
        <f t="shared" si="21"/>
        <v>5.6758322256540099</v>
      </c>
      <c r="L198" s="69">
        <f t="shared" si="20"/>
        <v>2.344944769284286</v>
      </c>
      <c r="M198" s="69">
        <f>IF((((1.18*F198^0.874)/3.7-(0.301*F198^0.751)/(1-H198)*H198)*(MAX('Max rate concentrations'!$P$3:$P$368)))/F198&gt;0, (((1.18*F198^0.874)/3.7-(0.301*F198^0.751)/(1-H198)*H198)*(MAX('Max rate concentrations'!$P$3:$P$368)))/F198, 0)</f>
        <v>0</v>
      </c>
      <c r="N198" s="69">
        <f>IF((((1.18*F198^0.874)/3.7-(0.301*F198^0.751)/(1-H198)*H198)*(MAX('Max rate concentrations'!$Q$3:$Q$368)))/F198&gt;0, (((1.18*F198^0.874)/3.7-(0.301*F198^0.751)/(1-H198)*H198)*(MAX('Max rate concentrations'!$Q$3:$Q$368)))/F198, 0)</f>
        <v>0</v>
      </c>
      <c r="O198" s="69">
        <f>((MAX('Max rate concentrations'!$F$3:$F$368))*0.62*6.01*8*(10*F198^0.667)*0.079*0.1/F198)*inputs!$E$80/(10^(0.84+0.62*LOG10(inputs!$E$80)))</f>
        <v>19.535338612265036</v>
      </c>
      <c r="P198" s="69">
        <f>((MAX('Max rate concentrations'!Y:Y))*0.62*6.01*8*(10*F198^0.667)*0.079*0.1/F198)*inputs!$E$80/(10^(0.84+0.62*LOG10(inputs!$E$80)))</f>
        <v>6.5117795374216776</v>
      </c>
      <c r="Q198" s="69">
        <f>(inputs!$C$18*11.2*(10*F198^0.667)*0.5/F198)*inputs!$E$80/(10^(0.84+0.62*LOG10(inputs!$E$80)))</f>
        <v>3.4410577566004652</v>
      </c>
      <c r="R198" s="59">
        <f>(60*284*((F198/1000)^0.77)*3*24*(MAX('Max rate concentrations'!$R$3:$R$368))/F198)*(inputs!$E$73*3.4/inputs!$E$75)</f>
        <v>3.4204901501177297E-2</v>
      </c>
      <c r="S198" s="59">
        <f>(IF(inputs!$C$17="aerial",((0.025*0.112*inputs!$C$18/3.3)*(3*60*284*((F198/1000)^0.77))*MAX(inputs!$I$14:$I$16))/F198,((0.0083*0.112*inputs!$C$18/1)*(3*60*284*((F198/1000)^0.77))*MAX(inputs!$I$14:$I$16))/F198))*(inputs!E$75*3.4/inputs!$E$73)</f>
        <v>0.18864213327030813</v>
      </c>
      <c r="T198" s="63">
        <f>IF((((inputs!$P$13/(V198/MAX(K198:S198)))^(1/inputs!$O$13))-1)/inputs!$N$13&lt;0, 0, IF((((inputs!$P$13/(V198/MAX(K198:S198)))^(1/inputs!$O$13))-1)/inputs!$N$13&lt;inputs!$I$17, (((inputs!$P$13/(V198/MAX(K198:S198)))^(1/inputs!$O$13))-1)/inputs!$N$13, inputs!$I$17))</f>
        <v>1000</v>
      </c>
      <c r="U198" s="63">
        <f>IF((((inputs!$P$13/(X198/MAX(K198:S198)))^(1/inputs!$O$13))-1)/inputs!$N$13&lt;0, 0, IF((((inputs!$P$13/(X198/MAX(K198:S198)))^(1/inputs!$O$13))-1)/inputs!$N$13&lt;inputs!$I$17, (((inputs!$P$13/(X198/MAX(K198:S198)))^(1/inputs!$O$13))-1)/inputs!$N$13, inputs!$I$17))</f>
        <v>30.487944903281317</v>
      </c>
      <c r="V198" s="21">
        <f>inputs!$E$78*(F198/inputs!$F$78)^(inputs!$E$84-1)</f>
        <v>1.1104404851702795E-2</v>
      </c>
      <c r="W198" s="21">
        <f>inputs!$E$85*(F198/inputs!$F$85)^(inputs!$E$84-1)</f>
        <v>0.51278095994263584</v>
      </c>
      <c r="X198" s="21">
        <f>inputs!$E$80*(F198/inputs!$F$80)^(inputs!$E$84-1)</f>
        <v>1.9148149770009817</v>
      </c>
      <c r="Y198" s="21">
        <f>inputs!$E$82*(F198/inputs!$F$82)^(inputs!$E$84-1)</f>
        <v>0.88250796453006419</v>
      </c>
      <c r="Z198" s="63">
        <f t="shared" si="22"/>
        <v>1759.242289267705</v>
      </c>
      <c r="AA198" s="63">
        <f t="shared" si="23"/>
        <v>38.09684863191962</v>
      </c>
    </row>
    <row r="199" spans="1:27" x14ac:dyDescent="0.25">
      <c r="A199" s="114" t="s">
        <v>329</v>
      </c>
      <c r="B199" s="48" t="s">
        <v>330</v>
      </c>
      <c r="C199" s="20" t="s">
        <v>73</v>
      </c>
      <c r="D199" s="48" t="s">
        <v>240</v>
      </c>
      <c r="E199" s="15">
        <v>103</v>
      </c>
      <c r="F199" s="15">
        <v>250</v>
      </c>
      <c r="G199" s="20" t="s">
        <v>164</v>
      </c>
      <c r="H199" s="20">
        <v>0.78</v>
      </c>
      <c r="I199" s="68">
        <f>inputs!$C$66*(inputs!$C$62/1000)</f>
        <v>8.2000000000000011</v>
      </c>
      <c r="J199" s="68">
        <f>inputs!$C$66*(inputs!$C$61/1000)</f>
        <v>2.5</v>
      </c>
      <c r="K199" s="69">
        <f t="shared" si="21"/>
        <v>2.8370736162603802</v>
      </c>
      <c r="L199" s="69">
        <f t="shared" si="20"/>
        <v>0.86496146837206711</v>
      </c>
      <c r="M199" s="69">
        <f>IF((((1.18*F199^0.874)/3.7-(0.301*F199^0.751)/(1-H199)*H199)*(MAX('Max rate concentrations'!$P$3:$P$368)))/F199&gt;0, (((1.18*F199^0.874)/3.7-(0.301*F199^0.751)/(1-H199)*H199)*(MAX('Max rate concentrations'!$P$3:$P$368)))/F199, 0)</f>
        <v>0</v>
      </c>
      <c r="N199" s="69">
        <f>IF((((1.18*F199^0.874)/3.7-(0.301*F199^0.751)/(1-H199)*H199)*(MAX('Max rate concentrations'!$Q$3:$Q$368)))/F199&gt;0, (((1.18*F199^0.874)/3.7-(0.301*F199^0.751)/(1-H199)*H199)*(MAX('Max rate concentrations'!$Q$3:$Q$368)))/F199, 0)</f>
        <v>0</v>
      </c>
      <c r="O199" s="69">
        <f>((MAX('Max rate concentrations'!$F$3:$F$368))*0.62*6.01*8*(10*F199^0.667)*0.079*0.1/F199)*inputs!$E$80/(10^(0.84+0.62*LOG10(inputs!$E$80)))</f>
        <v>23.34744725179975</v>
      </c>
      <c r="P199" s="69">
        <f>((MAX('Max rate concentrations'!Y:Y))*0.62*6.01*8*(10*F199^0.667)*0.079*0.1/F199)*inputs!$E$80/(10^(0.84+0.62*LOG10(inputs!$E$80)))</f>
        <v>7.782482417266583</v>
      </c>
      <c r="Q199" s="69">
        <f>(inputs!$C$18*11.2*(10*F199^0.667)*0.5/F199)*inputs!$E$80/(10^(0.84+0.62*LOG10(inputs!$E$80)))</f>
        <v>4.1125427133464303</v>
      </c>
      <c r="R199" s="59">
        <f>(60*284*((F199/1000)^0.77)*3*24*(MAX('Max rate concentrations'!$R$3:$R$368))/F199)*(inputs!$E$73*3.4/inputs!$E$75)</f>
        <v>3.8686599134784998E-2</v>
      </c>
      <c r="S199" s="59">
        <f>(IF(inputs!$C$17="aerial",((0.025*0.112*inputs!$C$18/3.3)*(3*60*284*((F199/1000)^0.77))*MAX(inputs!$I$14:$I$16))/F199,((0.0083*0.112*inputs!$C$18/1)*(3*60*284*((F199/1000)^0.77))*MAX(inputs!$I$14:$I$16))/F199))*(inputs!E$75*3.4/inputs!$E$73)</f>
        <v>0.21335897106757959</v>
      </c>
      <c r="T199" s="63">
        <f>IF((((inputs!$P$13/(V199/MAX(K199:S199)))^(1/inputs!$O$13))-1)/inputs!$N$13&lt;0, 0, IF((((inputs!$P$13/(V199/MAX(K199:S199)))^(1/inputs!$O$13))-1)/inputs!$N$13&lt;inputs!$I$17, (((inputs!$P$13/(V199/MAX(K199:S199)))^(1/inputs!$O$13))-1)/inputs!$N$13, inputs!$I$17))</f>
        <v>1000</v>
      </c>
      <c r="U199" s="63">
        <f>IF((((inputs!$P$13/(X199/MAX(K199:S199)))^(1/inputs!$O$13))-1)/inputs!$N$13&lt;0, 0, IF((((inputs!$P$13/(X199/MAX(K199:S199)))^(1/inputs!$O$13))-1)/inputs!$N$13&lt;inputs!$I$17, (((inputs!$P$13/(X199/MAX(K199:S199)))^(1/inputs!$O$13))-1)/inputs!$N$13, inputs!$I$17))</f>
        <v>29.920439834797254</v>
      </c>
      <c r="V199" s="21">
        <f>inputs!$E$78*(F199/inputs!$F$78)^(inputs!$E$84-1)</f>
        <v>1.3536793307417524E-2</v>
      </c>
      <c r="W199" s="21">
        <f>inputs!$E$85*(F199/inputs!$F$85)^(inputs!$E$84-1)</f>
        <v>0.62510417797475948</v>
      </c>
      <c r="X199" s="21">
        <f>inputs!$E$80*(F199/inputs!$F$80)^(inputs!$E$84-1)</f>
        <v>2.334249778513342</v>
      </c>
      <c r="Y199" s="21">
        <f>inputs!$E$82*(F199/inputs!$F$82)^(inputs!$E$84-1)</f>
        <v>1.0758188365368664</v>
      </c>
      <c r="Z199" s="63">
        <f t="shared" si="22"/>
        <v>1724.7398790529253</v>
      </c>
      <c r="AA199" s="63">
        <f t="shared" si="23"/>
        <v>37.349689978783786</v>
      </c>
    </row>
    <row r="200" spans="1:27" x14ac:dyDescent="0.25">
      <c r="A200" s="103" t="s">
        <v>244</v>
      </c>
      <c r="B200" s="20" t="s">
        <v>245</v>
      </c>
      <c r="C200" s="20" t="s">
        <v>73</v>
      </c>
      <c r="D200" s="104" t="s">
        <v>240</v>
      </c>
      <c r="E200" s="15">
        <v>120</v>
      </c>
      <c r="F200" s="15">
        <v>334</v>
      </c>
      <c r="G200" s="20" t="s">
        <v>241</v>
      </c>
      <c r="H200" s="20">
        <v>0.8</v>
      </c>
      <c r="I200" s="68">
        <f>inputs!$C$66*inputs!$C$60/1000</f>
        <v>28</v>
      </c>
      <c r="J200" s="68">
        <f>inputs!$C$66*inputs!$C$59/1000</f>
        <v>28</v>
      </c>
      <c r="K200" s="69">
        <f t="shared" si="21"/>
        <v>9.9147475589165435</v>
      </c>
      <c r="L200" s="69">
        <f t="shared" si="20"/>
        <v>9.9147475589165435</v>
      </c>
      <c r="M200" s="69">
        <f>IF((((1.18*F200^0.874)/3.7-(0.301*F200^0.751)/(1-H200)*H200)*(MAX('Max rate concentrations'!$P$3:$P$368)))/F200&gt;0, (((1.18*F200^0.874)/3.7-(0.301*F200^0.751)/(1-H200)*H200)*(MAX('Max rate concentrations'!$P$3:$P$368)))/F200, 0)</f>
        <v>0</v>
      </c>
      <c r="N200" s="69">
        <f>IF((((1.18*F200^0.874)/3.7-(0.301*F200^0.751)/(1-H200)*H200)*(MAX('Max rate concentrations'!$Q$3:$Q$368)))/F200&gt;0, (((1.18*F200^0.874)/3.7-(0.301*F200^0.751)/(1-H200)*H200)*(MAX('Max rate concentrations'!$Q$3:$Q$368)))/F200, 0)</f>
        <v>0</v>
      </c>
      <c r="O200" s="69">
        <f>((MAX('Max rate concentrations'!$F$3:$F$368))*0.62*6.01*8*(10*F200^0.667)*0.079*0.1/F200)*inputs!$E$80/(10^(0.84+0.62*LOG10(inputs!$E$80)))</f>
        <v>21.200487733714517</v>
      </c>
      <c r="P200" s="69">
        <f>((MAX('Max rate concentrations'!Y:Y))*0.62*6.01*8*(10*F200^0.667)*0.079*0.1/F200)*inputs!$E$80/(10^(0.84+0.62*LOG10(inputs!$E$80)))</f>
        <v>7.0668292445715055</v>
      </c>
      <c r="Q200" s="69">
        <f>(inputs!$C$18*11.2*(10*F200^0.667)*0.5/F200)*inputs!$E$80/(10^(0.84+0.62*LOG10(inputs!$E$80)))</f>
        <v>3.7343659205379343</v>
      </c>
      <c r="R200" s="59">
        <f>(60*284*((F200/1000)^0.77)*3*24*(MAX('Max rate concentrations'!$R$3:$R$368))/F200)*(inputs!$E$73*3.4/inputs!$E$75)</f>
        <v>3.6193040436205484E-2</v>
      </c>
      <c r="S200" s="59">
        <f>(IF(inputs!$C$17="aerial",((0.025*0.112*inputs!$C$18/3.3)*(3*60*284*((F200/1000)^0.77))*MAX(inputs!$I$14:$I$16))/F200,((0.0083*0.112*inputs!$C$18/1)*(3*60*284*((F200/1000)^0.77))*MAX(inputs!$I$14:$I$16))/F200))*(inputs!E$75*3.4/inputs!$E$73)</f>
        <v>0.19960684164488321</v>
      </c>
      <c r="T200" s="63">
        <f>IF((((inputs!$P$13/(V200/MAX(K200:S200)))^(1/inputs!$O$13))-1)/inputs!$N$13&lt;0, 0, IF((((inputs!$P$13/(V200/MAX(K200:S200)))^(1/inputs!$O$13))-1)/inputs!$N$13&lt;inputs!$I$17, (((inputs!$P$13/(V200/MAX(K200:S200)))^(1/inputs!$O$13))-1)/inputs!$N$13, inputs!$I$17))</f>
        <v>1000</v>
      </c>
      <c r="U200" s="63">
        <f>IF((((inputs!$P$13/(X200/MAX(K200:S200)))^(1/inputs!$O$13))-1)/inputs!$N$13&lt;0, 0, IF((((inputs!$P$13/(X200/MAX(K200:S200)))^(1/inputs!$O$13))-1)/inputs!$N$13&lt;inputs!$I$17, (((inputs!$P$13/(X200/MAX(K200:S200)))^(1/inputs!$O$13))-1)/inputs!$N$13, inputs!$I$17))</f>
        <v>30.226405794479078</v>
      </c>
      <c r="V200" s="21">
        <f>inputs!$E$78*(F200/inputs!$F$78)^(inputs!$E$84-1)</f>
        <v>1.2160947350059152E-2</v>
      </c>
      <c r="W200" s="21">
        <f>inputs!$E$85*(F200/inputs!$F$85)^(inputs!$E$84-1)</f>
        <v>0.56157014619463785</v>
      </c>
      <c r="X200" s="21">
        <f>inputs!$E$80*(F200/inputs!$F$80)^(inputs!$E$84-1)</f>
        <v>2.0970024446508626</v>
      </c>
      <c r="Y200" s="21">
        <f>inputs!$E$82*(F200/inputs!$F$82)^(inputs!$E$84-1)</f>
        <v>0.96647528939943783</v>
      </c>
      <c r="Z200" s="63">
        <f t="shared" si="22"/>
        <v>1743.3253449297597</v>
      </c>
      <c r="AA200" s="63">
        <f t="shared" si="23"/>
        <v>37.752163068808358</v>
      </c>
    </row>
    <row r="201" spans="1:27" x14ac:dyDescent="0.25">
      <c r="A201" s="103" t="s">
        <v>244</v>
      </c>
      <c r="B201" s="20" t="s">
        <v>245</v>
      </c>
      <c r="C201" s="20" t="s">
        <v>73</v>
      </c>
      <c r="D201" s="104" t="s">
        <v>240</v>
      </c>
      <c r="E201" s="15">
        <v>120</v>
      </c>
      <c r="F201" s="15">
        <v>334</v>
      </c>
      <c r="G201" s="20" t="s">
        <v>142</v>
      </c>
      <c r="H201" s="20">
        <v>0.69</v>
      </c>
      <c r="I201" s="68">
        <f>MAX('Max rate concentrations'!$H$3:$H$368)</f>
        <v>282</v>
      </c>
      <c r="J201" s="68">
        <f>MAX('Max rate concentrations'!AA:AA)</f>
        <v>195</v>
      </c>
      <c r="K201" s="69">
        <f t="shared" si="21"/>
        <v>64.423014092499187</v>
      </c>
      <c r="L201" s="69">
        <f t="shared" si="20"/>
        <v>44.547828893749433</v>
      </c>
      <c r="M201" s="69">
        <f>IF((((1.18*F201^0.874)/3.7-(0.301*F201^0.751)/(1-H201)*H201)*(MAX('Max rate concentrations'!$P$3:$P$368)))/F201&gt;0, (((1.18*F201^0.874)/3.7-(0.301*F201^0.751)/(1-H201)*H201)*(MAX('Max rate concentrations'!$P$3:$P$368)))/F201, 0)</f>
        <v>0</v>
      </c>
      <c r="N201" s="69">
        <f>IF((((1.18*F201^0.874)/3.7-(0.301*F201^0.751)/(1-H201)*H201)*(MAX('Max rate concentrations'!$Q$3:$Q$368)))/F201&gt;0, (((1.18*F201^0.874)/3.7-(0.301*F201^0.751)/(1-H201)*H201)*(MAX('Max rate concentrations'!$Q$3:$Q$368)))/F201, 0)</f>
        <v>0</v>
      </c>
      <c r="O201" s="69">
        <f>((MAX('Max rate concentrations'!$F$3:$F$368))*0.62*6.01*8*(10*F201^0.667)*0.079*0.1/F201)*inputs!$E$80/(10^(0.84+0.62*LOG10(inputs!$E$80)))</f>
        <v>21.200487733714517</v>
      </c>
      <c r="P201" s="69">
        <f>((MAX('Max rate concentrations'!Y:Y))*0.62*6.01*8*(10*F201^0.667)*0.079*0.1/F201)*inputs!$E$80/(10^(0.84+0.62*LOG10(inputs!$E$80)))</f>
        <v>7.0668292445715055</v>
      </c>
      <c r="Q201" s="69">
        <f>(inputs!$C$18*11.2*(10*F201^0.667)*0.5/F201)*inputs!$E$80/(10^(0.84+0.62*LOG10(inputs!$E$80)))</f>
        <v>3.7343659205379343</v>
      </c>
      <c r="R201" s="59">
        <f>(60*284*((F201/1000)^0.77)*3*24*(MAX('Max rate concentrations'!$R$3:$R$368))/F201)*(inputs!$E$73*3.4/inputs!$E$75)</f>
        <v>3.6193040436205484E-2</v>
      </c>
      <c r="S201" s="59">
        <f>(IF(inputs!$C$17="aerial",((0.025*0.112*inputs!$C$18/3.3)*(3*60*284*((F201/1000)^0.77))*MAX(inputs!$I$14:$I$16))/F201,((0.0083*0.112*inputs!$C$18/1)*(3*60*284*((F201/1000)^0.77))*MAX(inputs!$I$14:$I$16))/F201))*(inputs!E$75*3.4/inputs!$E$73)</f>
        <v>0.19960684164488321</v>
      </c>
      <c r="T201" s="63">
        <f>IF((((inputs!$P$13/(V201/MAX(K201:S201)))^(1/inputs!$O$13))-1)/inputs!$N$13&lt;0, 0, IF((((inputs!$P$13/(V201/MAX(K201:S201)))^(1/inputs!$O$13))-1)/inputs!$N$13&lt;inputs!$I$17, (((inputs!$P$13/(V201/MAX(K201:S201)))^(1/inputs!$O$13))-1)/inputs!$N$13, inputs!$I$17))</f>
        <v>1000</v>
      </c>
      <c r="U201" s="63">
        <f>IF((((inputs!$P$13/(X201/MAX(K201:S201)))^(1/inputs!$O$13))-1)/inputs!$N$13&lt;0, 0, IF((((inputs!$P$13/(X201/MAX(K201:S201)))^(1/inputs!$O$13))-1)/inputs!$N$13&lt;inputs!$I$17, (((inputs!$P$13/(X201/MAX(K201:S201)))^(1/inputs!$O$13))-1)/inputs!$N$13, inputs!$I$17))</f>
        <v>81.869641094622921</v>
      </c>
      <c r="V201" s="21">
        <f>inputs!$E$78*(F201/inputs!$F$78)^(inputs!$E$84-1)</f>
        <v>1.2160947350059152E-2</v>
      </c>
      <c r="W201" s="21">
        <f>inputs!$E$85*(F201/inputs!$F$85)^(inputs!$E$84-1)</f>
        <v>0.56157014619463785</v>
      </c>
      <c r="X201" s="21">
        <f>inputs!$E$80*(F201/inputs!$F$80)^(inputs!$E$84-1)</f>
        <v>2.0970024446508626</v>
      </c>
      <c r="Y201" s="21">
        <f>inputs!$E$82*(F201/inputs!$F$82)^(inputs!$E$84-1)</f>
        <v>0.96647528939943783</v>
      </c>
      <c r="Z201" s="63">
        <f t="shared" si="22"/>
        <v>5297.5325225946171</v>
      </c>
      <c r="AA201" s="63">
        <f t="shared" si="23"/>
        <v>114.71944249360158</v>
      </c>
    </row>
    <row r="202" spans="1:27" x14ac:dyDescent="0.25">
      <c r="A202" s="103" t="s">
        <v>244</v>
      </c>
      <c r="B202" s="20" t="s">
        <v>245</v>
      </c>
      <c r="C202" s="20" t="s">
        <v>73</v>
      </c>
      <c r="D202" s="104" t="s">
        <v>240</v>
      </c>
      <c r="E202" s="15">
        <v>120</v>
      </c>
      <c r="F202" s="15">
        <v>334</v>
      </c>
      <c r="G202" s="20" t="s">
        <v>164</v>
      </c>
      <c r="H202" s="20">
        <v>0.78</v>
      </c>
      <c r="I202" s="68">
        <f>inputs!$C$66*(inputs!$C$62/1000)</f>
        <v>8.2000000000000011</v>
      </c>
      <c r="J202" s="68">
        <f>inputs!$C$66*(inputs!$C$61/1000)</f>
        <v>2.5</v>
      </c>
      <c r="K202" s="69">
        <f t="shared" si="21"/>
        <v>2.6396405838673922</v>
      </c>
      <c r="L202" s="69">
        <f t="shared" si="20"/>
        <v>0.80476847069127788</v>
      </c>
      <c r="M202" s="69">
        <f>IF((((1.18*F202^0.874)/3.7-(0.301*F202^0.751)/(1-H202)*H202)*(MAX('Max rate concentrations'!$P$3:$P$368)))/F202&gt;0, (((1.18*F202^0.874)/3.7-(0.301*F202^0.751)/(1-H202)*H202)*(MAX('Max rate concentrations'!$P$3:$P$368)))/F202, 0)</f>
        <v>0</v>
      </c>
      <c r="N202" s="69">
        <f>IF((((1.18*F202^0.874)/3.7-(0.301*F202^0.751)/(1-H202)*H202)*(MAX('Max rate concentrations'!$Q$3:$Q$368)))/F202&gt;0, (((1.18*F202^0.874)/3.7-(0.301*F202^0.751)/(1-H202)*H202)*(MAX('Max rate concentrations'!$Q$3:$Q$368)))/F202, 0)</f>
        <v>0</v>
      </c>
      <c r="O202" s="69">
        <f>((MAX('Max rate concentrations'!$F$3:$F$368))*0.62*6.01*8*(10*F202^0.667)*0.079*0.1/F202)*inputs!$E$80/(10^(0.84+0.62*LOG10(inputs!$E$80)))</f>
        <v>21.200487733714517</v>
      </c>
      <c r="P202" s="69">
        <f>((MAX('Max rate concentrations'!Y:Y))*0.62*6.01*8*(10*F202^0.667)*0.079*0.1/F202)*inputs!$E$80/(10^(0.84+0.62*LOG10(inputs!$E$80)))</f>
        <v>7.0668292445715055</v>
      </c>
      <c r="Q202" s="69">
        <f>(inputs!$C$18*11.2*(10*F202^0.667)*0.5/F202)*inputs!$E$80/(10^(0.84+0.62*LOG10(inputs!$E$80)))</f>
        <v>3.7343659205379343</v>
      </c>
      <c r="R202" s="59">
        <f>(60*284*((F202/1000)^0.77)*3*24*(MAX('Max rate concentrations'!$R$3:$R$368))/F202)*(inputs!$E$73*3.4/inputs!$E$75)</f>
        <v>3.6193040436205484E-2</v>
      </c>
      <c r="S202" s="59">
        <f>(IF(inputs!$C$17="aerial",((0.025*0.112*inputs!$C$18/3.3)*(3*60*284*((F202/1000)^0.77))*MAX(inputs!$I$14:$I$16))/F202,((0.0083*0.112*inputs!$C$18/1)*(3*60*284*((F202/1000)^0.77))*MAX(inputs!$I$14:$I$16))/F202))*(inputs!E$75*3.4/inputs!$E$73)</f>
        <v>0.19960684164488321</v>
      </c>
      <c r="T202" s="63">
        <f>IF((((inputs!$P$13/(V202/MAX(K202:S202)))^(1/inputs!$O$13))-1)/inputs!$N$13&lt;0, 0, IF((((inputs!$P$13/(V202/MAX(K202:S202)))^(1/inputs!$O$13))-1)/inputs!$N$13&lt;inputs!$I$17, (((inputs!$P$13/(V202/MAX(K202:S202)))^(1/inputs!$O$13))-1)/inputs!$N$13, inputs!$I$17))</f>
        <v>1000</v>
      </c>
      <c r="U202" s="63">
        <f>IF((((inputs!$P$13/(X202/MAX(K202:S202)))^(1/inputs!$O$13))-1)/inputs!$N$13&lt;0, 0, IF((((inputs!$P$13/(X202/MAX(K202:S202)))^(1/inputs!$O$13))-1)/inputs!$N$13&lt;inputs!$I$17, (((inputs!$P$13/(X202/MAX(K202:S202)))^(1/inputs!$O$13))-1)/inputs!$N$13, inputs!$I$17))</f>
        <v>30.226405794479078</v>
      </c>
      <c r="V202" s="21">
        <f>inputs!$E$78*(F202/inputs!$F$78)^(inputs!$E$84-1)</f>
        <v>1.2160947350059152E-2</v>
      </c>
      <c r="W202" s="21">
        <f>inputs!$E$85*(F202/inputs!$F$85)^(inputs!$E$84-1)</f>
        <v>0.56157014619463785</v>
      </c>
      <c r="X202" s="21">
        <f>inputs!$E$80*(F202/inputs!$F$80)^(inputs!$E$84-1)</f>
        <v>2.0970024446508626</v>
      </c>
      <c r="Y202" s="21">
        <f>inputs!$E$82*(F202/inputs!$F$82)^(inputs!$E$84-1)</f>
        <v>0.96647528939943783</v>
      </c>
      <c r="Z202" s="63">
        <f t="shared" si="22"/>
        <v>1743.3253449297597</v>
      </c>
      <c r="AA202" s="63">
        <f t="shared" si="23"/>
        <v>37.752163068808358</v>
      </c>
    </row>
    <row r="203" spans="1:27" x14ac:dyDescent="0.25">
      <c r="A203" s="103" t="s">
        <v>244</v>
      </c>
      <c r="B203" s="20" t="s">
        <v>245</v>
      </c>
      <c r="C203" s="20" t="s">
        <v>73</v>
      </c>
      <c r="D203" s="104" t="s">
        <v>240</v>
      </c>
      <c r="E203" s="15">
        <v>120</v>
      </c>
      <c r="F203" s="15">
        <v>334</v>
      </c>
      <c r="G203" s="20" t="s">
        <v>169</v>
      </c>
      <c r="H203" s="20">
        <v>0.79</v>
      </c>
      <c r="I203" s="68">
        <f>MAX('Max rate concentrations'!$D$3:$D$368)</f>
        <v>720</v>
      </c>
      <c r="J203" s="68">
        <f>MAX('Max rate concentrations'!W:W)</f>
        <v>255</v>
      </c>
      <c r="K203" s="69">
        <f t="shared" si="21"/>
        <v>242.81014429999698</v>
      </c>
      <c r="L203" s="69">
        <f t="shared" si="20"/>
        <v>85.99525943958227</v>
      </c>
      <c r="M203" s="69">
        <f>IF((((1.18*F203^0.874)/3.7-(0.301*F203^0.751)/(1-H203)*H203)*(MAX('Max rate concentrations'!$P$3:$P$368)))/F203&gt;0, (((1.18*F203^0.874)/3.7-(0.301*F203^0.751)/(1-H203)*H203)*(MAX('Max rate concentrations'!$P$3:$P$368)))/F203, 0)</f>
        <v>0</v>
      </c>
      <c r="N203" s="69">
        <f>IF((((1.18*F203^0.874)/3.7-(0.301*F203^0.751)/(1-H203)*H203)*(MAX('Max rate concentrations'!$Q$3:$Q$368)))/F203&gt;0, (((1.18*F203^0.874)/3.7-(0.301*F203^0.751)/(1-H203)*H203)*(MAX('Max rate concentrations'!$Q$3:$Q$368)))/F203, 0)</f>
        <v>0</v>
      </c>
      <c r="O203" s="69">
        <f>((MAX('Max rate concentrations'!$F$3:$F$368))*0.62*6.01*8*(10*F203^0.667)*0.079*0.1/F203)*inputs!$E$80/(10^(0.84+0.62*LOG10(inputs!$E$80)))</f>
        <v>21.200487733714517</v>
      </c>
      <c r="P203" s="69">
        <f>((MAX('Max rate concentrations'!Y:Y))*0.62*6.01*8*(10*F203^0.667)*0.079*0.1/F203)*inputs!$E$80/(10^(0.84+0.62*LOG10(inputs!$E$80)))</f>
        <v>7.0668292445715055</v>
      </c>
      <c r="Q203" s="69">
        <f>(inputs!$C$18*11.2*(10*F203^0.667)*0.5/F203)*inputs!$E$80/(10^(0.84+0.62*LOG10(inputs!$E$80)))</f>
        <v>3.7343659205379343</v>
      </c>
      <c r="R203" s="59">
        <f>(60*284*((F203/1000)^0.77)*3*24*(MAX('Max rate concentrations'!$R$3:$R$368))/F203)*(inputs!$E$73*3.4/inputs!$E$75)</f>
        <v>3.6193040436205484E-2</v>
      </c>
      <c r="S203" s="59">
        <f>(IF(inputs!$C$17="aerial",((0.025*0.112*inputs!$C$18/3.3)*(3*60*284*((F203/1000)^0.77))*MAX(inputs!$I$14:$I$16))/F203,((0.0083*0.112*inputs!$C$18/1)*(3*60*284*((F203/1000)^0.77))*MAX(inputs!$I$14:$I$16))/F203))*(inputs!E$75*3.4/inputs!$E$73)</f>
        <v>0.19960684164488321</v>
      </c>
      <c r="T203" s="63">
        <f>IF((((inputs!$P$13/(V203/MAX(K203:S203)))^(1/inputs!$O$13))-1)/inputs!$N$13&lt;0, 0, IF((((inputs!$P$13/(V203/MAX(K203:S203)))^(1/inputs!$O$13))-1)/inputs!$N$13&lt;inputs!$I$17, (((inputs!$P$13/(V203/MAX(K203:S203)))^(1/inputs!$O$13))-1)/inputs!$N$13, inputs!$I$17))</f>
        <v>1000</v>
      </c>
      <c r="U203" s="63">
        <f>IF((((inputs!$P$13/(X203/MAX(K203:S203)))^(1/inputs!$O$13))-1)/inputs!$N$13&lt;0, 0, IF((((inputs!$P$13/(X203/MAX(K203:S203)))^(1/inputs!$O$13))-1)/inputs!$N$13&lt;inputs!$I$17, (((inputs!$P$13/(X203/MAX(K203:S203)))^(1/inputs!$O$13))-1)/inputs!$N$13, inputs!$I$17))</f>
        <v>249.44346577416599</v>
      </c>
      <c r="V203" s="21">
        <f>inputs!$E$78*(F203/inputs!$F$78)^(inputs!$E$84-1)</f>
        <v>1.2160947350059152E-2</v>
      </c>
      <c r="W203" s="21">
        <f>inputs!$E$85*(F203/inputs!$F$85)^(inputs!$E$84-1)</f>
        <v>0.56157014619463785</v>
      </c>
      <c r="X203" s="21">
        <f>inputs!$E$80*(F203/inputs!$F$80)^(inputs!$E$84-1)</f>
        <v>2.0970024446508626</v>
      </c>
      <c r="Y203" s="21">
        <f>inputs!$E$82*(F203/inputs!$F$82)^(inputs!$E$84-1)</f>
        <v>0.96647528939943783</v>
      </c>
      <c r="Z203" s="63">
        <f t="shared" si="22"/>
        <v>19966.383975736557</v>
      </c>
      <c r="AA203" s="63">
        <f t="shared" si="23"/>
        <v>432.37723006706983</v>
      </c>
    </row>
    <row r="204" spans="1:27" x14ac:dyDescent="0.25">
      <c r="A204" s="103" t="s">
        <v>244</v>
      </c>
      <c r="B204" s="20" t="s">
        <v>245</v>
      </c>
      <c r="C204" s="20" t="s">
        <v>73</v>
      </c>
      <c r="D204" s="104" t="s">
        <v>240</v>
      </c>
      <c r="E204" s="15">
        <v>120</v>
      </c>
      <c r="F204" s="15">
        <v>334</v>
      </c>
      <c r="G204" s="20" t="s">
        <v>158</v>
      </c>
      <c r="H204" s="20">
        <v>0.85</v>
      </c>
      <c r="I204" s="68">
        <f>MAX('Max rate concentrations'!$F$3:$F$368)</f>
        <v>405</v>
      </c>
      <c r="J204" s="68">
        <f>MAX('Max rate concentrations'!Y:Y)</f>
        <v>135</v>
      </c>
      <c r="K204" s="69">
        <f t="shared" si="21"/>
        <v>191.21298863624759</v>
      </c>
      <c r="L204" s="69">
        <f t="shared" si="20"/>
        <v>63.737662878749184</v>
      </c>
      <c r="M204" s="69">
        <f>IF((((1.18*F204^0.874)/3.7-(0.301*F204^0.751)/(1-H204)*H204)*(MAX('Max rate concentrations'!$P$3:$P$368)))/F204&gt;0, (((1.18*F204^0.874)/3.7-(0.301*F204^0.751)/(1-H204)*H204)*(MAX('Max rate concentrations'!$P$3:$P$368)))/F204, 0)</f>
        <v>0</v>
      </c>
      <c r="N204" s="69">
        <f>IF((((1.18*F204^0.874)/3.7-(0.301*F204^0.751)/(1-H204)*H204)*(MAX('Max rate concentrations'!$Q$3:$Q$368)))/F204&gt;0, (((1.18*F204^0.874)/3.7-(0.301*F204^0.751)/(1-H204)*H204)*(MAX('Max rate concentrations'!$Q$3:$Q$368)))/F204, 0)</f>
        <v>0</v>
      </c>
      <c r="O204" s="69">
        <f>((MAX('Max rate concentrations'!$F$3:$F$368))*0.62*6.01*8*(10*F204^0.667)*0.079*0.1/F204)*inputs!$E$80/(10^(0.84+0.62*LOG10(inputs!$E$80)))</f>
        <v>21.200487733714517</v>
      </c>
      <c r="P204" s="69">
        <f>((MAX('Max rate concentrations'!Y:Y))*0.62*6.01*8*(10*F204^0.667)*0.079*0.1/F204)*inputs!$E$80/(10^(0.84+0.62*LOG10(inputs!$E$80)))</f>
        <v>7.0668292445715055</v>
      </c>
      <c r="Q204" s="69">
        <f>(inputs!$C$18*11.2*(10*F204^0.667)*0.5/F204)*inputs!$E$80/(10^(0.84+0.62*LOG10(inputs!$E$80)))</f>
        <v>3.7343659205379343</v>
      </c>
      <c r="R204" s="59">
        <f>(60*284*((F204/1000)^0.77)*3*24*(MAX('Max rate concentrations'!$R$3:$R$368))/F204)*(inputs!$E$73*3.4/inputs!$E$75)</f>
        <v>3.6193040436205484E-2</v>
      </c>
      <c r="S204" s="59">
        <f>(IF(inputs!$C$17="aerial",((0.025*0.112*inputs!$C$18/3.3)*(3*60*284*((F204/1000)^0.77))*MAX(inputs!$I$14:$I$16))/F204,((0.0083*0.112*inputs!$C$18/1)*(3*60*284*((F204/1000)^0.77))*MAX(inputs!$I$14:$I$16))/F204))*(inputs!E$75*3.4/inputs!$E$73)</f>
        <v>0.19960684164488321</v>
      </c>
      <c r="T204" s="63">
        <f>IF((((inputs!$P$13/(V204/MAX(K204:S204)))^(1/inputs!$O$13))-1)/inputs!$N$13&lt;0, 0, IF((((inputs!$P$13/(V204/MAX(K204:S204)))^(1/inputs!$O$13))-1)/inputs!$N$13&lt;inputs!$I$17, (((inputs!$P$13/(V204/MAX(K204:S204)))^(1/inputs!$O$13))-1)/inputs!$N$13, inputs!$I$17))</f>
        <v>1000</v>
      </c>
      <c r="U204" s="63">
        <f>IF((((inputs!$P$13/(X204/MAX(K204:S204)))^(1/inputs!$O$13))-1)/inputs!$N$13&lt;0, 0, IF((((inputs!$P$13/(X204/MAX(K204:S204)))^(1/inputs!$O$13))-1)/inputs!$N$13&lt;inputs!$I$17, (((inputs!$P$13/(X204/MAX(K204:S204)))^(1/inputs!$O$13))-1)/inputs!$N$13, inputs!$I$17))</f>
        <v>204.70541102218331</v>
      </c>
      <c r="V204" s="21">
        <f>inputs!$E$78*(F204/inputs!$F$78)^(inputs!$E$84-1)</f>
        <v>1.2160947350059152E-2</v>
      </c>
      <c r="W204" s="21">
        <f>inputs!$E$85*(F204/inputs!$F$85)^(inputs!$E$84-1)</f>
        <v>0.56157014619463785</v>
      </c>
      <c r="X204" s="21">
        <f>inputs!$E$80*(F204/inputs!$F$80)^(inputs!$E$84-1)</f>
        <v>2.0970024446508626</v>
      </c>
      <c r="Y204" s="21">
        <f>inputs!$E$82*(F204/inputs!$F$82)^(inputs!$E$84-1)</f>
        <v>0.96647528939943783</v>
      </c>
      <c r="Z204" s="63">
        <f t="shared" si="22"/>
        <v>15723.527380892534</v>
      </c>
      <c r="AA204" s="63">
        <f t="shared" si="23"/>
        <v>340.49706867781742</v>
      </c>
    </row>
    <row r="205" spans="1:27" x14ac:dyDescent="0.25">
      <c r="A205" s="103" t="s">
        <v>253</v>
      </c>
      <c r="B205" s="20" t="s">
        <v>254</v>
      </c>
      <c r="C205" s="20" t="s">
        <v>73</v>
      </c>
      <c r="D205" s="104" t="s">
        <v>240</v>
      </c>
      <c r="E205" s="15">
        <v>110</v>
      </c>
      <c r="F205" s="15">
        <v>2450</v>
      </c>
      <c r="G205" s="20" t="s">
        <v>182</v>
      </c>
      <c r="H205" s="20">
        <v>0.85</v>
      </c>
      <c r="I205" s="68">
        <f>MAX('Max rate concentrations'!$M$3:$M$368)</f>
        <v>17.092910873809167</v>
      </c>
      <c r="J205" s="68">
        <f>MAX('Max rate concentrations'!AE:AE)</f>
        <v>11.81956602976166</v>
      </c>
      <c r="K205" s="69">
        <f t="shared" si="21"/>
        <v>4.9134767986023604</v>
      </c>
      <c r="L205" s="69">
        <f t="shared" si="20"/>
        <v>3.3976169352037604</v>
      </c>
      <c r="M205" s="69">
        <f>IF((((1.18*F205^0.874)/3.7-(0.301*F205^0.751)/(1-H205)*H205)*(MAX('Max rate concentrations'!$P$3:$P$368)))/F205&gt;0, (((1.18*F205^0.874)/3.7-(0.301*F205^0.751)/(1-H205)*H205)*(MAX('Max rate concentrations'!$P$3:$P$368)))/F205, 0)</f>
        <v>0</v>
      </c>
      <c r="N205" s="69">
        <f>IF((((1.18*F205^0.874)/3.7-(0.301*F205^0.751)/(1-H205)*H205)*(MAX('Max rate concentrations'!$Q$3:$Q$368)))/F205&gt;0, (((1.18*F205^0.874)/3.7-(0.301*F205^0.751)/(1-H205)*H205)*(MAX('Max rate concentrations'!$Q$3:$Q$368)))/F205, 0)</f>
        <v>0</v>
      </c>
      <c r="O205" s="69">
        <f>((MAX('Max rate concentrations'!$F$3:$F$368))*0.62*6.01*8*(10*F205^0.667)*0.079*0.1/F205)*inputs!$E$80/(10^(0.84+0.62*LOG10(inputs!$E$80)))</f>
        <v>10.918453269565923</v>
      </c>
      <c r="P205" s="69">
        <f>((MAX('Max rate concentrations'!Y:Y))*0.62*6.01*8*(10*F205^0.667)*0.079*0.1/F205)*inputs!$E$80/(10^(0.84+0.62*LOG10(inputs!$E$80)))</f>
        <v>3.6394844231886418</v>
      </c>
      <c r="Q205" s="69">
        <f>(inputs!$C$18*11.2*(10*F205^0.667)*0.5/F205)*inputs!$E$80/(10^(0.84+0.62*LOG10(inputs!$E$80)))</f>
        <v>1.9232340456966024</v>
      </c>
      <c r="R205" s="59">
        <f>(60*284*((F205/1000)^0.77)*3*24*(MAX('Max rate concentrations'!$R$3:$R$368))/F205)*(inputs!$E$73*3.4/inputs!$E$75)</f>
        <v>2.2886456485971929E-2</v>
      </c>
      <c r="S205" s="59">
        <f>(IF(inputs!$C$17="aerial",((0.025*0.112*inputs!$C$18/3.3)*(3*60*284*((F205/1000)^0.77))*MAX(inputs!$I$14:$I$16))/F205,((0.0083*0.112*inputs!$C$18/1)*(3*60*284*((F205/1000)^0.77))*MAX(inputs!$I$14:$I$16))/F205))*(inputs!E$75*3.4/inputs!$E$73)</f>
        <v>0.12622021362532576</v>
      </c>
      <c r="T205" s="63">
        <f>IF((((inputs!$P$13/(V205/MAX(K205:S205)))^(1/inputs!$O$13))-1)/inputs!$N$13&lt;0, 0, IF((((inputs!$P$13/(V205/MAX(K205:S205)))^(1/inputs!$O$13))-1)/inputs!$N$13&lt;inputs!$I$17, (((inputs!$P$13/(V205/MAX(K205:S205)))^(1/inputs!$O$13))-1)/inputs!$N$13, inputs!$I$17))</f>
        <v>1000</v>
      </c>
      <c r="U205" s="63">
        <f>IF((((inputs!$P$13/(X205/MAX(K205:S205)))^(1/inputs!$O$13))-1)/inputs!$N$13&lt;0, 0, IF((((inputs!$P$13/(X205/MAX(K205:S205)))^(1/inputs!$O$13))-1)/inputs!$N$13&lt;inputs!$I$17, (((inputs!$P$13/(X205/MAX(K205:S205)))^(1/inputs!$O$13))-1)/inputs!$N$13, inputs!$I$17))</f>
        <v>32.404561854133441</v>
      </c>
      <c r="V205" s="21">
        <f>inputs!$E$78*(F205/inputs!$F$78)^(inputs!$E$84-1)</f>
        <v>5.8178450431225284E-3</v>
      </c>
      <c r="W205" s="21">
        <f>inputs!$E$85*(F205/inputs!$F$85)^(inputs!$E$84-1)</f>
        <v>0.26865736668025103</v>
      </c>
      <c r="X205" s="21">
        <f>inputs!$E$80*(F205/inputs!$F$80)^(inputs!$E$84-1)</f>
        <v>1.0032142173503045</v>
      </c>
      <c r="Y205" s="21">
        <f>inputs!$E$82*(F205/inputs!$F$82)^(inputs!$E$84-1)</f>
        <v>0.46236557974289572</v>
      </c>
      <c r="Z205" s="63">
        <f t="shared" si="22"/>
        <v>1876.7177861625923</v>
      </c>
      <c r="AA205" s="63">
        <f t="shared" si="23"/>
        <v>40.640811024403362</v>
      </c>
    </row>
    <row r="206" spans="1:27" x14ac:dyDescent="0.25">
      <c r="A206" s="103" t="s">
        <v>253</v>
      </c>
      <c r="B206" s="20" t="s">
        <v>254</v>
      </c>
      <c r="C206" s="20" t="s">
        <v>73</v>
      </c>
      <c r="D206" s="104" t="s">
        <v>240</v>
      </c>
      <c r="E206" s="15">
        <v>110</v>
      </c>
      <c r="F206" s="15">
        <v>2450</v>
      </c>
      <c r="G206" s="20" t="s">
        <v>142</v>
      </c>
      <c r="H206" s="20">
        <v>0.69</v>
      </c>
      <c r="I206" s="68">
        <f>MAX('Max rate concentrations'!$H$3:$H$368)</f>
        <v>282</v>
      </c>
      <c r="J206" s="68">
        <f>MAX('Max rate concentrations'!AA:AA)</f>
        <v>195</v>
      </c>
      <c r="K206" s="69">
        <f t="shared" si="21"/>
        <v>39.223970632127909</v>
      </c>
      <c r="L206" s="69">
        <f t="shared" si="20"/>
        <v>27.122958415833128</v>
      </c>
      <c r="M206" s="69">
        <f>IF((((1.18*F206^0.874)/3.7-(0.301*F206^0.751)/(1-H206)*H206)*(MAX('Max rate concentrations'!$P$3:$P$368)))/F206&gt;0, (((1.18*F206^0.874)/3.7-(0.301*F206^0.751)/(1-H206)*H206)*(MAX('Max rate concentrations'!$P$3:$P$368)))/F206, 0)</f>
        <v>2.0315909266728858E-2</v>
      </c>
      <c r="N206" s="69">
        <f>IF((((1.18*F206^0.874)/3.7-(0.301*F206^0.751)/(1-H206)*H206)*(MAX('Max rate concentrations'!$Q$3:$Q$368)))/F206&gt;0, (((1.18*F206^0.874)/3.7-(0.301*F206^0.751)/(1-H206)*H206)*(MAX('Max rate concentrations'!$Q$3:$Q$368)))/F206, 0)</f>
        <v>7.7364074095743293E-2</v>
      </c>
      <c r="O206" s="69">
        <f>((MAX('Max rate concentrations'!$F$3:$F$368))*0.62*6.01*8*(10*F206^0.667)*0.079*0.1/F206)*inputs!$E$80/(10^(0.84+0.62*LOG10(inputs!$E$80)))</f>
        <v>10.918453269565923</v>
      </c>
      <c r="P206" s="69">
        <f>((MAX('Max rate concentrations'!Y:Y))*0.62*6.01*8*(10*F206^0.667)*0.079*0.1/F206)*inputs!$E$80/(10^(0.84+0.62*LOG10(inputs!$E$80)))</f>
        <v>3.6394844231886418</v>
      </c>
      <c r="Q206" s="69">
        <f>(inputs!$C$18*11.2*(10*F206^0.667)*0.5/F206)*inputs!$E$80/(10^(0.84+0.62*LOG10(inputs!$E$80)))</f>
        <v>1.9232340456966024</v>
      </c>
      <c r="R206" s="59">
        <f>(60*284*((F206/1000)^0.77)*3*24*(MAX('Max rate concentrations'!$R$3:$R$368))/F206)*(inputs!$E$73*3.4/inputs!$E$75)</f>
        <v>2.2886456485971929E-2</v>
      </c>
      <c r="S206" s="59">
        <f>(IF(inputs!$C$17="aerial",((0.025*0.112*inputs!$C$18/3.3)*(3*60*284*((F206/1000)^0.77))*MAX(inputs!$I$14:$I$16))/F206,((0.0083*0.112*inputs!$C$18/1)*(3*60*284*((F206/1000)^0.77))*MAX(inputs!$I$14:$I$16))/F206))*(inputs!E$75*3.4/inputs!$E$73)</f>
        <v>0.12622021362532576</v>
      </c>
      <c r="T206" s="63">
        <f>IF((((inputs!$P$13/(V206/MAX(K206:S206)))^(1/inputs!$O$13))-1)/inputs!$N$13&lt;0, 0, IF((((inputs!$P$13/(V206/MAX(K206:S206)))^(1/inputs!$O$13))-1)/inputs!$N$13&lt;inputs!$I$17, (((inputs!$P$13/(V206/MAX(K206:S206)))^(1/inputs!$O$13))-1)/inputs!$N$13, inputs!$I$17))</f>
        <v>1000</v>
      </c>
      <c r="U206" s="63">
        <f>IF((((inputs!$P$13/(X206/MAX(K206:S206)))^(1/inputs!$O$13))-1)/inputs!$N$13&lt;0, 0, IF((((inputs!$P$13/(X206/MAX(K206:S206)))^(1/inputs!$O$13))-1)/inputs!$N$13&lt;inputs!$I$17, (((inputs!$P$13/(X206/MAX(K206:S206)))^(1/inputs!$O$13))-1)/inputs!$N$13, inputs!$I$17))</f>
        <v>100.62087542369413</v>
      </c>
      <c r="V206" s="21">
        <f>inputs!$E$78*(F206/inputs!$F$78)^(inputs!$E$84-1)</f>
        <v>5.8178450431225284E-3</v>
      </c>
      <c r="W206" s="21">
        <f>inputs!$E$85*(F206/inputs!$F$85)^(inputs!$E$84-1)</f>
        <v>0.26865736668025103</v>
      </c>
      <c r="X206" s="21">
        <f>inputs!$E$80*(F206/inputs!$F$80)^(inputs!$E$84-1)</f>
        <v>1.0032142173503045</v>
      </c>
      <c r="Y206" s="21">
        <f>inputs!$E$82*(F206/inputs!$F$82)^(inputs!$E$84-1)</f>
        <v>0.46236557974289572</v>
      </c>
      <c r="Z206" s="63">
        <f t="shared" si="22"/>
        <v>6742.0102016116589</v>
      </c>
      <c r="AA206" s="63">
        <f t="shared" si="23"/>
        <v>145.99998174928609</v>
      </c>
    </row>
    <row r="207" spans="1:27" x14ac:dyDescent="0.25">
      <c r="A207" s="103" t="s">
        <v>253</v>
      </c>
      <c r="B207" s="20" t="s">
        <v>254</v>
      </c>
      <c r="C207" s="20" t="s">
        <v>73</v>
      </c>
      <c r="D207" s="104" t="s">
        <v>240</v>
      </c>
      <c r="E207" s="15">
        <v>110</v>
      </c>
      <c r="F207" s="15">
        <v>2450</v>
      </c>
      <c r="G207" s="20" t="s">
        <v>164</v>
      </c>
      <c r="H207" s="20">
        <v>0.78</v>
      </c>
      <c r="I207" s="68">
        <f>inputs!$C$66*(inputs!$C$62/1000)</f>
        <v>8.2000000000000011</v>
      </c>
      <c r="J207" s="68">
        <f>inputs!$C$66*(inputs!$C$61/1000)</f>
        <v>2.5</v>
      </c>
      <c r="K207" s="69">
        <f t="shared" si="21"/>
        <v>1.6071459275768727</v>
      </c>
      <c r="L207" s="69">
        <f t="shared" si="20"/>
        <v>0.48998351450514405</v>
      </c>
      <c r="M207" s="69">
        <f>IF((((1.18*F207^0.874)/3.7-(0.301*F207^0.751)/(1-H207)*H207)*(MAX('Max rate concentrations'!$P$3:$P$368)))/F207&gt;0, (((1.18*F207^0.874)/3.7-(0.301*F207^0.751)/(1-H207)*H207)*(MAX('Max rate concentrations'!$P$3:$P$368)))/F207, 0)</f>
        <v>0</v>
      </c>
      <c r="N207" s="69">
        <f>IF((((1.18*F207^0.874)/3.7-(0.301*F207^0.751)/(1-H207)*H207)*(MAX('Max rate concentrations'!$Q$3:$Q$368)))/F207&gt;0, (((1.18*F207^0.874)/3.7-(0.301*F207^0.751)/(1-H207)*H207)*(MAX('Max rate concentrations'!$Q$3:$Q$368)))/F207, 0)</f>
        <v>0</v>
      </c>
      <c r="O207" s="69">
        <f>((MAX('Max rate concentrations'!$F$3:$F$368))*0.62*6.01*8*(10*F207^0.667)*0.079*0.1/F207)*inputs!$E$80/(10^(0.84+0.62*LOG10(inputs!$E$80)))</f>
        <v>10.918453269565923</v>
      </c>
      <c r="P207" s="69">
        <f>((MAX('Max rate concentrations'!Y:Y))*0.62*6.01*8*(10*F207^0.667)*0.079*0.1/F207)*inputs!$E$80/(10^(0.84+0.62*LOG10(inputs!$E$80)))</f>
        <v>3.6394844231886418</v>
      </c>
      <c r="Q207" s="69">
        <f>(inputs!$C$18*11.2*(10*F207^0.667)*0.5/F207)*inputs!$E$80/(10^(0.84+0.62*LOG10(inputs!$E$80)))</f>
        <v>1.9232340456966024</v>
      </c>
      <c r="R207" s="59">
        <f>(60*284*((F207/1000)^0.77)*3*24*(MAX('Max rate concentrations'!$R$3:$R$368))/F207)*(inputs!$E$73*3.4/inputs!$E$75)</f>
        <v>2.2886456485971929E-2</v>
      </c>
      <c r="S207" s="59">
        <f>(IF(inputs!$C$17="aerial",((0.025*0.112*inputs!$C$18/3.3)*(3*60*284*((F207/1000)^0.77))*MAX(inputs!$I$14:$I$16))/F207,((0.0083*0.112*inputs!$C$18/1)*(3*60*284*((F207/1000)^0.77))*MAX(inputs!$I$14:$I$16))/F207))*(inputs!E$75*3.4/inputs!$E$73)</f>
        <v>0.12622021362532576</v>
      </c>
      <c r="T207" s="63">
        <f>IF((((inputs!$P$13/(V207/MAX(K207:S207)))^(1/inputs!$O$13))-1)/inputs!$N$13&lt;0, 0, IF((((inputs!$P$13/(V207/MAX(K207:S207)))^(1/inputs!$O$13))-1)/inputs!$N$13&lt;inputs!$I$17, (((inputs!$P$13/(V207/MAX(K207:S207)))^(1/inputs!$O$13))-1)/inputs!$N$13, inputs!$I$17))</f>
        <v>1000</v>
      </c>
      <c r="U207" s="63">
        <f>IF((((inputs!$P$13/(X207/MAX(K207:S207)))^(1/inputs!$O$13))-1)/inputs!$N$13&lt;0, 0, IF((((inputs!$P$13/(X207/MAX(K207:S207)))^(1/inputs!$O$13))-1)/inputs!$N$13&lt;inputs!$I$17, (((inputs!$P$13/(X207/MAX(K207:S207)))^(1/inputs!$O$13))-1)/inputs!$N$13, inputs!$I$17))</f>
        <v>32.404561854133441</v>
      </c>
      <c r="V207" s="21">
        <f>inputs!$E$78*(F207/inputs!$F$78)^(inputs!$E$84-1)</f>
        <v>5.8178450431225284E-3</v>
      </c>
      <c r="W207" s="21">
        <f>inputs!$E$85*(F207/inputs!$F$85)^(inputs!$E$84-1)</f>
        <v>0.26865736668025103</v>
      </c>
      <c r="X207" s="21">
        <f>inputs!$E$80*(F207/inputs!$F$80)^(inputs!$E$84-1)</f>
        <v>1.0032142173503045</v>
      </c>
      <c r="Y207" s="21">
        <f>inputs!$E$82*(F207/inputs!$F$82)^(inputs!$E$84-1)</f>
        <v>0.46236557974289572</v>
      </c>
      <c r="Z207" s="63">
        <f t="shared" si="22"/>
        <v>1876.7177861625923</v>
      </c>
      <c r="AA207" s="63">
        <f t="shared" si="23"/>
        <v>40.640811024403362</v>
      </c>
    </row>
    <row r="208" spans="1:27" x14ac:dyDescent="0.25">
      <c r="A208" s="103" t="s">
        <v>253</v>
      </c>
      <c r="B208" s="20" t="s">
        <v>254</v>
      </c>
      <c r="C208" s="20" t="s">
        <v>73</v>
      </c>
      <c r="D208" s="104" t="s">
        <v>240</v>
      </c>
      <c r="E208" s="15">
        <v>110</v>
      </c>
      <c r="F208" s="15">
        <v>2450</v>
      </c>
      <c r="G208" s="20" t="s">
        <v>138</v>
      </c>
      <c r="H208" s="20">
        <v>0.68</v>
      </c>
      <c r="I208" s="68">
        <f>MAX('Max rate concentrations'!$L$3:$L$368)</f>
        <v>350.52744091332482</v>
      </c>
      <c r="J208" s="68">
        <f>MAX('Max rate concentrations'!AD:AD)</f>
        <v>242.38599637623525</v>
      </c>
      <c r="K208" s="69">
        <f t="shared" si="21"/>
        <v>47.231983543031404</v>
      </c>
      <c r="L208" s="69">
        <f t="shared" si="20"/>
        <v>32.66041415209618</v>
      </c>
      <c r="M208" s="69">
        <f>IF((((1.18*F208^0.874)/3.7-(0.301*F208^0.751)/(1-H208)*H208)*(MAX('Max rate concentrations'!$P$3:$P$368)))/F208&gt;0, (((1.18*F208^0.874)/3.7-(0.301*F208^0.751)/(1-H208)*H208)*(MAX('Max rate concentrations'!$P$3:$P$368)))/F208, 0)</f>
        <v>2.4101336196870209E-2</v>
      </c>
      <c r="N208" s="69">
        <f>IF((((1.18*F208^0.874)/3.7-(0.301*F208^0.751)/(1-H208)*H208)*(MAX('Max rate concentrations'!$Q$3:$Q$368)))/F208&gt;0, (((1.18*F208^0.874)/3.7-(0.301*F208^0.751)/(1-H208)*H208)*(MAX('Max rate concentrations'!$Q$3:$Q$368)))/F208, 0)</f>
        <v>9.1779183243089438E-2</v>
      </c>
      <c r="O208" s="69">
        <f>((MAX('Max rate concentrations'!$F$3:$F$368))*0.62*6.01*8*(10*F208^0.667)*0.079*0.1/F208)*inputs!$E$80/(10^(0.84+0.62*LOG10(inputs!$E$80)))</f>
        <v>10.918453269565923</v>
      </c>
      <c r="P208" s="69">
        <f>((MAX('Max rate concentrations'!Y:Y))*0.62*6.01*8*(10*F208^0.667)*0.079*0.1/F208)*inputs!$E$80/(10^(0.84+0.62*LOG10(inputs!$E$80)))</f>
        <v>3.6394844231886418</v>
      </c>
      <c r="Q208" s="69">
        <f>(inputs!$C$18*11.2*(10*F208^0.667)*0.5/F208)*inputs!$E$80/(10^(0.84+0.62*LOG10(inputs!$E$80)))</f>
        <v>1.9232340456966024</v>
      </c>
      <c r="R208" s="59">
        <f>(60*284*((F208/1000)^0.77)*3*24*(MAX('Max rate concentrations'!$R$3:$R$368))/F208)*(inputs!$E$73*3.4/inputs!$E$75)</f>
        <v>2.2886456485971929E-2</v>
      </c>
      <c r="S208" s="59">
        <f>(IF(inputs!$C$17="aerial",((0.025*0.112*inputs!$C$18/3.3)*(3*60*284*((F208/1000)^0.77))*MAX(inputs!$I$14:$I$16))/F208,((0.0083*0.112*inputs!$C$18/1)*(3*60*284*((F208/1000)^0.77))*MAX(inputs!$I$14:$I$16))/F208))*(inputs!E$75*3.4/inputs!$E$73)</f>
        <v>0.12622021362532576</v>
      </c>
      <c r="T208" s="63">
        <f>IF((((inputs!$P$13/(V208/MAX(K208:S208)))^(1/inputs!$O$13))-1)/inputs!$N$13&lt;0, 0, IF((((inputs!$P$13/(V208/MAX(K208:S208)))^(1/inputs!$O$13))-1)/inputs!$N$13&lt;inputs!$I$17, (((inputs!$P$13/(V208/MAX(K208:S208)))^(1/inputs!$O$13))-1)/inputs!$N$13, inputs!$I$17))</f>
        <v>1000</v>
      </c>
      <c r="U208" s="63">
        <f>IF((((inputs!$P$13/(X208/MAX(K208:S208)))^(1/inputs!$O$13))-1)/inputs!$N$13&lt;0, 0, IF((((inputs!$P$13/(X208/MAX(K208:S208)))^(1/inputs!$O$13))-1)/inputs!$N$13&lt;inputs!$I$17, (((inputs!$P$13/(X208/MAX(K208:S208)))^(1/inputs!$O$13))-1)/inputs!$N$13, inputs!$I$17))</f>
        <v>117.7799138167376</v>
      </c>
      <c r="V208" s="21">
        <f>inputs!$E$78*(F208/inputs!$F$78)^(inputs!$E$84-1)</f>
        <v>5.8178450431225284E-3</v>
      </c>
      <c r="W208" s="21">
        <f>inputs!$E$85*(F208/inputs!$F$85)^(inputs!$E$84-1)</f>
        <v>0.26865736668025103</v>
      </c>
      <c r="X208" s="21">
        <f>inputs!$E$80*(F208/inputs!$F$80)^(inputs!$E$84-1)</f>
        <v>1.0032142173503045</v>
      </c>
      <c r="Y208" s="21">
        <f>inputs!$E$82*(F208/inputs!$F$82)^(inputs!$E$84-1)</f>
        <v>0.46236557974289572</v>
      </c>
      <c r="Z208" s="63">
        <f t="shared" si="22"/>
        <v>8118.467094421143</v>
      </c>
      <c r="AA208" s="63">
        <f t="shared" si="23"/>
        <v>175.80751321532037</v>
      </c>
    </row>
    <row r="209" spans="1:27" x14ac:dyDescent="0.25">
      <c r="A209" s="103" t="s">
        <v>253</v>
      </c>
      <c r="B209" s="20" t="s">
        <v>254</v>
      </c>
      <c r="C209" s="20" t="s">
        <v>73</v>
      </c>
      <c r="D209" s="104" t="s">
        <v>240</v>
      </c>
      <c r="E209" s="15">
        <v>110</v>
      </c>
      <c r="F209" s="15">
        <v>2450</v>
      </c>
      <c r="G209" s="20" t="s">
        <v>152</v>
      </c>
      <c r="H209" s="20">
        <v>0.77</v>
      </c>
      <c r="I209" s="68">
        <f>MAX('Max rate concentrations'!$G$3:$G$368)</f>
        <v>45</v>
      </c>
      <c r="J209" s="68">
        <f>MAX('Max rate concentrations'!Z:Z)</f>
        <v>21</v>
      </c>
      <c r="K209" s="69">
        <f t="shared" si="21"/>
        <v>8.4362379019146534</v>
      </c>
      <c r="L209" s="69">
        <f t="shared" si="20"/>
        <v>3.936911020893505</v>
      </c>
      <c r="M209" s="69">
        <f>IF((((1.18*F209^0.874)/3.7-(0.301*F209^0.751)/(1-H209)*H209)*(MAX('Max rate concentrations'!$P$3:$P$368)))/F209&gt;0, (((1.18*F209^0.874)/3.7-(0.301*F209^0.751)/(1-H209)*H209)*(MAX('Max rate concentrations'!$P$3:$P$368)))/F209, 0)</f>
        <v>0</v>
      </c>
      <c r="N209" s="69">
        <f>IF((((1.18*F209^0.874)/3.7-(0.301*F209^0.751)/(1-H209)*H209)*(MAX('Max rate concentrations'!$Q$3:$Q$368)))/F209&gt;0, (((1.18*F209^0.874)/3.7-(0.301*F209^0.751)/(1-H209)*H209)*(MAX('Max rate concentrations'!$Q$3:$Q$368)))/F209, 0)</f>
        <v>0</v>
      </c>
      <c r="O209" s="69">
        <f>((MAX('Max rate concentrations'!$F$3:$F$368))*0.62*6.01*8*(10*F209^0.667)*0.079*0.1/F209)*inputs!$E$80/(10^(0.84+0.62*LOG10(inputs!$E$80)))</f>
        <v>10.918453269565923</v>
      </c>
      <c r="P209" s="69">
        <f>((MAX('Max rate concentrations'!Y:Y))*0.62*6.01*8*(10*F209^0.667)*0.079*0.1/F209)*inputs!$E$80/(10^(0.84+0.62*LOG10(inputs!$E$80)))</f>
        <v>3.6394844231886418</v>
      </c>
      <c r="Q209" s="69">
        <f>(inputs!$C$18*11.2*(10*F209^0.667)*0.5/F209)*inputs!$E$80/(10^(0.84+0.62*LOG10(inputs!$E$80)))</f>
        <v>1.9232340456966024</v>
      </c>
      <c r="R209" s="59">
        <f>(60*284*((F209/1000)^0.77)*3*24*(MAX('Max rate concentrations'!$R$3:$R$368))/F209)*(inputs!$E$73*3.4/inputs!$E$75)</f>
        <v>2.2886456485971929E-2</v>
      </c>
      <c r="S209" s="59">
        <f>(IF(inputs!$C$17="aerial",((0.025*0.112*inputs!$C$18/3.3)*(3*60*284*((F209/1000)^0.77))*MAX(inputs!$I$14:$I$16))/F209,((0.0083*0.112*inputs!$C$18/1)*(3*60*284*((F209/1000)^0.77))*MAX(inputs!$I$14:$I$16))/F209))*(inputs!E$75*3.4/inputs!$E$73)</f>
        <v>0.12622021362532576</v>
      </c>
      <c r="T209" s="63">
        <f>IF((((inputs!$P$13/(V209/MAX(K209:S209)))^(1/inputs!$O$13))-1)/inputs!$N$13&lt;0, 0, IF((((inputs!$P$13/(V209/MAX(K209:S209)))^(1/inputs!$O$13))-1)/inputs!$N$13&lt;inputs!$I$17, (((inputs!$P$13/(V209/MAX(K209:S209)))^(1/inputs!$O$13))-1)/inputs!$N$13, inputs!$I$17))</f>
        <v>1000</v>
      </c>
      <c r="U209" s="63">
        <f>IF((((inputs!$P$13/(X209/MAX(K209:S209)))^(1/inputs!$O$13))-1)/inputs!$N$13&lt;0, 0, IF((((inputs!$P$13/(X209/MAX(K209:S209)))^(1/inputs!$O$13))-1)/inputs!$N$13&lt;inputs!$I$17, (((inputs!$P$13/(X209/MAX(K209:S209)))^(1/inputs!$O$13))-1)/inputs!$N$13, inputs!$I$17))</f>
        <v>32.404561854133441</v>
      </c>
      <c r="V209" s="21">
        <f>inputs!$E$78*(F209/inputs!$F$78)^(inputs!$E$84-1)</f>
        <v>5.8178450431225284E-3</v>
      </c>
      <c r="W209" s="21">
        <f>inputs!$E$85*(F209/inputs!$F$85)^(inputs!$E$84-1)</f>
        <v>0.26865736668025103</v>
      </c>
      <c r="X209" s="21">
        <f>inputs!$E$80*(F209/inputs!$F$80)^(inputs!$E$84-1)</f>
        <v>1.0032142173503045</v>
      </c>
      <c r="Y209" s="21">
        <f>inputs!$E$82*(F209/inputs!$F$82)^(inputs!$E$84-1)</f>
        <v>0.46236557974289572</v>
      </c>
      <c r="Z209" s="63">
        <f t="shared" si="22"/>
        <v>1876.7177861625923</v>
      </c>
      <c r="AA209" s="63">
        <f t="shared" si="23"/>
        <v>40.640811024403362</v>
      </c>
    </row>
    <row r="210" spans="1:27" x14ac:dyDescent="0.25">
      <c r="A210" s="103" t="s">
        <v>253</v>
      </c>
      <c r="B210" s="20" t="s">
        <v>254</v>
      </c>
      <c r="C210" s="20" t="s">
        <v>73</v>
      </c>
      <c r="D210" s="104" t="s">
        <v>240</v>
      </c>
      <c r="E210" s="15">
        <v>110</v>
      </c>
      <c r="F210" s="15">
        <v>2450</v>
      </c>
      <c r="G210" s="20" t="s">
        <v>169</v>
      </c>
      <c r="H210" s="20">
        <v>0.79</v>
      </c>
      <c r="I210" s="68">
        <f>MAX('Max rate concentrations'!$D$3:$D$368)</f>
        <v>720</v>
      </c>
      <c r="J210" s="68">
        <f>MAX('Max rate concentrations'!W:W)</f>
        <v>255</v>
      </c>
      <c r="K210" s="69">
        <f t="shared" si="21"/>
        <v>147.8350260906949</v>
      </c>
      <c r="L210" s="69">
        <f t="shared" si="20"/>
        <v>52.358238407121107</v>
      </c>
      <c r="M210" s="69">
        <f>IF((((1.18*F210^0.874)/3.7-(0.301*F210^0.751)/(1-H210)*H210)*(MAX('Max rate concentrations'!$P$3:$P$368)))/F210&gt;0, (((1.18*F210^0.874)/3.7-(0.301*F210^0.751)/(1-H210)*H210)*(MAX('Max rate concentrations'!$P$3:$P$368)))/F210, 0)</f>
        <v>0</v>
      </c>
      <c r="N210" s="69">
        <f>IF((((1.18*F210^0.874)/3.7-(0.301*F210^0.751)/(1-H210)*H210)*(MAX('Max rate concentrations'!$Q$3:$Q$368)))/F210&gt;0, (((1.18*F210^0.874)/3.7-(0.301*F210^0.751)/(1-H210)*H210)*(MAX('Max rate concentrations'!$Q$3:$Q$368)))/F210, 0)</f>
        <v>0</v>
      </c>
      <c r="O210" s="69">
        <f>((MAX('Max rate concentrations'!$F$3:$F$368))*0.62*6.01*8*(10*F210^0.667)*0.079*0.1/F210)*inputs!$E$80/(10^(0.84+0.62*LOG10(inputs!$E$80)))</f>
        <v>10.918453269565923</v>
      </c>
      <c r="P210" s="69">
        <f>((MAX('Max rate concentrations'!Y:Y))*0.62*6.01*8*(10*F210^0.667)*0.079*0.1/F210)*inputs!$E$80/(10^(0.84+0.62*LOG10(inputs!$E$80)))</f>
        <v>3.6394844231886418</v>
      </c>
      <c r="Q210" s="69">
        <f>(inputs!$C$18*11.2*(10*F210^0.667)*0.5/F210)*inputs!$E$80/(10^(0.84+0.62*LOG10(inputs!$E$80)))</f>
        <v>1.9232340456966024</v>
      </c>
      <c r="R210" s="59">
        <f>(60*284*((F210/1000)^0.77)*3*24*(MAX('Max rate concentrations'!$R$3:$R$368))/F210)*(inputs!$E$73*3.4/inputs!$E$75)</f>
        <v>2.2886456485971929E-2</v>
      </c>
      <c r="S210" s="59">
        <f>(IF(inputs!$C$17="aerial",((0.025*0.112*inputs!$C$18/3.3)*(3*60*284*((F210/1000)^0.77))*MAX(inputs!$I$14:$I$16))/F210,((0.0083*0.112*inputs!$C$18/1)*(3*60*284*((F210/1000)^0.77))*MAX(inputs!$I$14:$I$16))/F210))*(inputs!E$75*3.4/inputs!$E$73)</f>
        <v>0.12622021362532576</v>
      </c>
      <c r="T210" s="63">
        <f>IF((((inputs!$P$13/(V210/MAX(K210:S210)))^(1/inputs!$O$13))-1)/inputs!$N$13&lt;0, 0, IF((((inputs!$P$13/(V210/MAX(K210:S210)))^(1/inputs!$O$13))-1)/inputs!$N$13&lt;inputs!$I$17, (((inputs!$P$13/(V210/MAX(K210:S210)))^(1/inputs!$O$13))-1)/inputs!$N$13, inputs!$I$17))</f>
        <v>1000</v>
      </c>
      <c r="U210" s="63">
        <f>IF((((inputs!$P$13/(X210/MAX(K210:S210)))^(1/inputs!$O$13))-1)/inputs!$N$13&lt;0, 0, IF((((inputs!$P$13/(X210/MAX(K210:S210)))^(1/inputs!$O$13))-1)/inputs!$N$13&lt;inputs!$I$17, (((inputs!$P$13/(X210/MAX(K210:S210)))^(1/inputs!$O$13))-1)/inputs!$N$13, inputs!$I$17))</f>
        <v>304.27188848999566</v>
      </c>
      <c r="V210" s="21">
        <f>inputs!$E$78*(F210/inputs!$F$78)^(inputs!$E$84-1)</f>
        <v>5.8178450431225284E-3</v>
      </c>
      <c r="W210" s="21">
        <f>inputs!$E$85*(F210/inputs!$F$85)^(inputs!$E$84-1)</f>
        <v>0.26865736668025103</v>
      </c>
      <c r="X210" s="21">
        <f>inputs!$E$80*(F210/inputs!$F$80)^(inputs!$E$84-1)</f>
        <v>1.0032142173503045</v>
      </c>
      <c r="Y210" s="21">
        <f>inputs!$E$82*(F210/inputs!$F$82)^(inputs!$E$84-1)</f>
        <v>0.46236557974289572</v>
      </c>
      <c r="Z210" s="63">
        <f t="shared" si="22"/>
        <v>25410.615957442125</v>
      </c>
      <c r="AA210" s="63">
        <f t="shared" si="23"/>
        <v>550.2734874441179</v>
      </c>
    </row>
    <row r="211" spans="1:27" x14ac:dyDescent="0.25">
      <c r="A211" s="103" t="s">
        <v>253</v>
      </c>
      <c r="B211" s="20" t="s">
        <v>254</v>
      </c>
      <c r="C211" s="20" t="s">
        <v>73</v>
      </c>
      <c r="D211" s="104" t="s">
        <v>240</v>
      </c>
      <c r="E211" s="15">
        <v>110</v>
      </c>
      <c r="F211" s="15">
        <v>2450</v>
      </c>
      <c r="G211" s="20" t="s">
        <v>158</v>
      </c>
      <c r="H211" s="20">
        <v>0.85</v>
      </c>
      <c r="I211" s="68">
        <f>MAX('Max rate concentrations'!$F$3:$F$368)</f>
        <v>405</v>
      </c>
      <c r="J211" s="68">
        <f>MAX('Max rate concentrations'!Y:Y)</f>
        <v>135</v>
      </c>
      <c r="K211" s="69">
        <f t="shared" si="21"/>
        <v>116.42008304642219</v>
      </c>
      <c r="L211" s="69">
        <f t="shared" si="20"/>
        <v>38.806694348807397</v>
      </c>
      <c r="M211" s="69">
        <f>IF((((1.18*F211^0.874)/3.7-(0.301*F211^0.751)/(1-H211)*H211)*(MAX('Max rate concentrations'!$P$3:$P$368)))/F211&gt;0, (((1.18*F211^0.874)/3.7-(0.301*F211^0.751)/(1-H211)*H211)*(MAX('Max rate concentrations'!$P$3:$P$368)))/F211, 0)</f>
        <v>0</v>
      </c>
      <c r="N211" s="69">
        <f>IF((((1.18*F211^0.874)/3.7-(0.301*F211^0.751)/(1-H211)*H211)*(MAX('Max rate concentrations'!$Q$3:$Q$368)))/F211&gt;0, (((1.18*F211^0.874)/3.7-(0.301*F211^0.751)/(1-H211)*H211)*(MAX('Max rate concentrations'!$Q$3:$Q$368)))/F211, 0)</f>
        <v>0</v>
      </c>
      <c r="O211" s="69">
        <f>((MAX('Max rate concentrations'!$F$3:$F$368))*0.62*6.01*8*(10*F211^0.667)*0.079*0.1/F211)*inputs!$E$80/(10^(0.84+0.62*LOG10(inputs!$E$80)))</f>
        <v>10.918453269565923</v>
      </c>
      <c r="P211" s="69">
        <f>((MAX('Max rate concentrations'!Y:Y))*0.62*6.01*8*(10*F211^0.667)*0.079*0.1/F211)*inputs!$E$80/(10^(0.84+0.62*LOG10(inputs!$E$80)))</f>
        <v>3.6394844231886418</v>
      </c>
      <c r="Q211" s="69">
        <f>(inputs!$C$18*11.2*(10*F211^0.667)*0.5/F211)*inputs!$E$80/(10^(0.84+0.62*LOG10(inputs!$E$80)))</f>
        <v>1.9232340456966024</v>
      </c>
      <c r="R211" s="59">
        <f>(60*284*((F211/1000)^0.77)*3*24*(MAX('Max rate concentrations'!$R$3:$R$368))/F211)*(inputs!$E$73*3.4/inputs!$E$75)</f>
        <v>2.2886456485971929E-2</v>
      </c>
      <c r="S211" s="59">
        <f>(IF(inputs!$C$17="aerial",((0.025*0.112*inputs!$C$18/3.3)*(3*60*284*((F211/1000)^0.77))*MAX(inputs!$I$14:$I$16))/F211,((0.0083*0.112*inputs!$C$18/1)*(3*60*284*((F211/1000)^0.77))*MAX(inputs!$I$14:$I$16))/F211))*(inputs!E$75*3.4/inputs!$E$73)</f>
        <v>0.12622021362532576</v>
      </c>
      <c r="T211" s="63">
        <f>IF((((inputs!$P$13/(V211/MAX(K211:S211)))^(1/inputs!$O$13))-1)/inputs!$N$13&lt;0, 0, IF((((inputs!$P$13/(V211/MAX(K211:S211)))^(1/inputs!$O$13))-1)/inputs!$N$13&lt;inputs!$I$17, (((inputs!$P$13/(V211/MAX(K211:S211)))^(1/inputs!$O$13))-1)/inputs!$N$13, inputs!$I$17))</f>
        <v>1000</v>
      </c>
      <c r="U211" s="63">
        <f>IF((((inputs!$P$13/(X211/MAX(K211:S211)))^(1/inputs!$O$13))-1)/inputs!$N$13&lt;0, 0, IF((((inputs!$P$13/(X211/MAX(K211:S211)))^(1/inputs!$O$13))-1)/inputs!$N$13&lt;inputs!$I$17, (((inputs!$P$13/(X211/MAX(K211:S211)))^(1/inputs!$O$13))-1)/inputs!$N$13, inputs!$I$17))</f>
        <v>249.9021192836168</v>
      </c>
      <c r="V211" s="21">
        <f>inputs!$E$78*(F211/inputs!$F$78)^(inputs!$E$84-1)</f>
        <v>5.8178450431225284E-3</v>
      </c>
      <c r="W211" s="21">
        <f>inputs!$E$85*(F211/inputs!$F$85)^(inputs!$E$84-1)</f>
        <v>0.26865736668025103</v>
      </c>
      <c r="X211" s="21">
        <f>inputs!$E$80*(F211/inputs!$F$80)^(inputs!$E$84-1)</f>
        <v>1.0032142173503045</v>
      </c>
      <c r="Y211" s="21">
        <f>inputs!$E$82*(F211/inputs!$F$82)^(inputs!$E$84-1)</f>
        <v>0.46236557974289572</v>
      </c>
      <c r="Z211" s="63">
        <f t="shared" si="22"/>
        <v>20010.860066485668</v>
      </c>
      <c r="AA211" s="63">
        <f t="shared" si="23"/>
        <v>433.34037136224271</v>
      </c>
    </row>
    <row r="212" spans="1:27" x14ac:dyDescent="0.25">
      <c r="A212" s="103" t="s">
        <v>253</v>
      </c>
      <c r="B212" s="20" t="s">
        <v>254</v>
      </c>
      <c r="C212" s="20" t="s">
        <v>73</v>
      </c>
      <c r="D212" s="104" t="s">
        <v>240</v>
      </c>
      <c r="E212" s="15">
        <v>110</v>
      </c>
      <c r="F212" s="15">
        <v>2450</v>
      </c>
      <c r="G212" s="21" t="s">
        <v>456</v>
      </c>
      <c r="H212" s="20">
        <v>0.68</v>
      </c>
      <c r="I212" s="68">
        <f>MAX('Max rate concentrations'!$J$3:$J$368)</f>
        <v>686.46486205830786</v>
      </c>
      <c r="J212" s="68">
        <f>MAX('Max rate concentrations'!AB:AB)</f>
        <v>243.122971978984</v>
      </c>
      <c r="K212" s="69">
        <f t="shared" si="21"/>
        <v>92.498028066295106</v>
      </c>
      <c r="L212" s="69">
        <f t="shared" si="20"/>
        <v>32.759718273479514</v>
      </c>
      <c r="M212" s="69">
        <f>IF((((1.18*F212^0.874)/3.7-(0.301*F212^0.751)/(1-H212)*H212)*(MAX('Max rate concentrations'!$P$3:$P$368)))/F212&gt;0, (((1.18*F212^0.874)/3.7-(0.301*F212^0.751)/(1-H212)*H212)*(MAX('Max rate concentrations'!$P$3:$P$368)))/F212, 0)</f>
        <v>2.4101336196870209E-2</v>
      </c>
      <c r="N212" s="69">
        <f>IF((((1.18*F212^0.874)/3.7-(0.301*F212^0.751)/(1-H212)*H212)*(MAX('Max rate concentrations'!$Q$3:$Q$368)))/F212&gt;0, (((1.18*F212^0.874)/3.7-(0.301*F212^0.751)/(1-H212)*H212)*(MAX('Max rate concentrations'!$Q$3:$Q$368)))/F212, 0)</f>
        <v>9.1779183243089438E-2</v>
      </c>
      <c r="O212" s="69">
        <f>((MAX('Max rate concentrations'!$F$3:$F$368))*0.62*6.01*8*(10*F212^0.667)*0.079*0.1/F212)*inputs!$E$80/(10^(0.84+0.62*LOG10(inputs!$E$80)))</f>
        <v>10.918453269565923</v>
      </c>
      <c r="P212" s="69">
        <f>((MAX('Max rate concentrations'!Y:Y))*0.62*6.01*8*(10*F212^0.667)*0.079*0.1/F212)*inputs!$E$80/(10^(0.84+0.62*LOG10(inputs!$E$80)))</f>
        <v>3.6394844231886418</v>
      </c>
      <c r="Q212" s="69">
        <f>(inputs!$C$18*11.2*(10*F212^0.667)*0.5/F212)*inputs!$E$80/(10^(0.84+0.62*LOG10(inputs!$E$80)))</f>
        <v>1.9232340456966024</v>
      </c>
      <c r="R212" s="59">
        <f>(60*284*((F212/1000)^0.77)*3*24*(MAX('Max rate concentrations'!$R$3:$R$368))/F212)*(inputs!$E$73*3.4/inputs!$E$75)</f>
        <v>2.2886456485971929E-2</v>
      </c>
      <c r="S212" s="59">
        <f>(IF(inputs!$C$17="aerial",((0.025*0.112*inputs!$C$18/3.3)*(3*60*284*((F212/1000)^0.77))*MAX(inputs!$I$14:$I$16))/F212,((0.0083*0.112*inputs!$C$18/1)*(3*60*284*((F212/1000)^0.77))*MAX(inputs!$I$14:$I$16))/F212))*(inputs!E$75*3.4/inputs!$E$73)</f>
        <v>0.12622021362532576</v>
      </c>
      <c r="T212" s="63">
        <f>IF((((inputs!$P$13/(V212/MAX(K212:S212)))^(1/inputs!$O$13))-1)/inputs!$N$13&lt;0, 0, IF((((inputs!$P$13/(V212/MAX(K212:S212)))^(1/inputs!$O$13))-1)/inputs!$N$13&lt;inputs!$I$17, (((inputs!$P$13/(V212/MAX(K212:S212)))^(1/inputs!$O$13))-1)/inputs!$N$13, inputs!$I$17))</f>
        <v>1000</v>
      </c>
      <c r="U212" s="63">
        <f>IF((((inputs!$P$13/(X212/MAX(K212:S212)))^(1/inputs!$O$13))-1)/inputs!$N$13&lt;0, 0, IF((((inputs!$P$13/(X212/MAX(K212:S212)))^(1/inputs!$O$13))-1)/inputs!$N$13&lt;inputs!$I$17, (((inputs!$P$13/(X212/MAX(K212:S212)))^(1/inputs!$O$13))-1)/inputs!$N$13, inputs!$I$17))</f>
        <v>206.5981695117822</v>
      </c>
      <c r="V212" s="21">
        <f>inputs!$E$78*(F212/inputs!$F$78)^(inputs!$E$84-1)</f>
        <v>5.8178450431225284E-3</v>
      </c>
      <c r="W212" s="21">
        <f>inputs!$E$85*(F212/inputs!$F$85)^(inputs!$E$84-1)</f>
        <v>0.26865736668025103</v>
      </c>
      <c r="X212" s="21">
        <f>inputs!$E$80*(F212/inputs!$F$80)^(inputs!$E$84-1)</f>
        <v>1.0032142173503045</v>
      </c>
      <c r="Y212" s="21">
        <f>inputs!$E$82*(F212/inputs!$F$82)^(inputs!$E$84-1)</f>
        <v>0.46236557974289572</v>
      </c>
      <c r="Z212" s="63">
        <f t="shared" si="22"/>
        <v>15899.018860194661</v>
      </c>
      <c r="AA212" s="63">
        <f t="shared" si="23"/>
        <v>344.29738223550686</v>
      </c>
    </row>
    <row r="213" spans="1:27" x14ac:dyDescent="0.25">
      <c r="A213" s="103" t="s">
        <v>253</v>
      </c>
      <c r="B213" s="20" t="s">
        <v>254</v>
      </c>
      <c r="C213" s="20" t="s">
        <v>73</v>
      </c>
      <c r="D213" s="104" t="s">
        <v>240</v>
      </c>
      <c r="E213" s="15">
        <v>110</v>
      </c>
      <c r="F213" s="15">
        <v>2450</v>
      </c>
      <c r="G213" s="20" t="s">
        <v>145</v>
      </c>
      <c r="H213" s="20">
        <v>0.66</v>
      </c>
      <c r="I213" s="68">
        <f>MAX('Max rate concentrations'!$M$3:$M$368)</f>
        <v>17.092910873809167</v>
      </c>
      <c r="J213" s="68">
        <f>MAX('Max rate concentrations'!AE:AE)</f>
        <v>11.81956602976166</v>
      </c>
      <c r="K213" s="69">
        <f t="shared" si="21"/>
        <v>2.1677103523245713</v>
      </c>
      <c r="L213" s="69">
        <f t="shared" si="20"/>
        <v>1.4989486478840124</v>
      </c>
      <c r="M213" s="69">
        <f>IF((((1.18*F213^0.874)/3.7-(0.301*F213^0.751)/(1-H213)*H213)*(MAX('Max rate concentrations'!$P$3:$P$368)))/F213&gt;0, (((1.18*F213^0.874)/3.7-(0.301*F213^0.751)/(1-H213)*H213)*(MAX('Max rate concentrations'!$P$3:$P$368)))/F213, 0)</f>
        <v>3.1004173540069187E-2</v>
      </c>
      <c r="N213" s="69">
        <f>IF((((1.18*F213^0.874)/3.7-(0.301*F213^0.751)/(1-H213)*H213)*(MAX('Max rate concentrations'!$Q$3:$Q$368)))/F213&gt;0, (((1.18*F213^0.874)/3.7-(0.301*F213^0.751)/(1-H213)*H213)*(MAX('Max rate concentrations'!$Q$3:$Q$368)))/F213, 0)</f>
        <v>0.11806555874707376</v>
      </c>
      <c r="O213" s="69">
        <f>((MAX('Max rate concentrations'!$F$3:$F$368))*0.62*6.01*8*(10*F213^0.667)*0.079*0.1/F213)*inputs!$E$80/(10^(0.84+0.62*LOG10(inputs!$E$80)))</f>
        <v>10.918453269565923</v>
      </c>
      <c r="P213" s="69">
        <f>((MAX('Max rate concentrations'!Y:Y))*0.62*6.01*8*(10*F213^0.667)*0.079*0.1/F213)*inputs!$E$80/(10^(0.84+0.62*LOG10(inputs!$E$80)))</f>
        <v>3.6394844231886418</v>
      </c>
      <c r="Q213" s="69">
        <f>(inputs!$C$18*11.2*(10*F213^0.667)*0.5/F213)*inputs!$E$80/(10^(0.84+0.62*LOG10(inputs!$E$80)))</f>
        <v>1.9232340456966024</v>
      </c>
      <c r="R213" s="59">
        <f>(60*284*((F213/1000)^0.77)*3*24*(MAX('Max rate concentrations'!$R$3:$R$368))/F213)*(inputs!$E$73*3.4/inputs!$E$75)</f>
        <v>2.2886456485971929E-2</v>
      </c>
      <c r="S213" s="59">
        <f>(IF(inputs!$C$17="aerial",((0.025*0.112*inputs!$C$18/3.3)*(3*60*284*((F213/1000)^0.77))*MAX(inputs!$I$14:$I$16))/F213,((0.0083*0.112*inputs!$C$18/1)*(3*60*284*((F213/1000)^0.77))*MAX(inputs!$I$14:$I$16))/F213))*(inputs!E$75*3.4/inputs!$E$73)</f>
        <v>0.12622021362532576</v>
      </c>
      <c r="T213" s="63">
        <f>IF((((inputs!$P$13/(V213/MAX(K213:S213)))^(1/inputs!$O$13))-1)/inputs!$N$13&lt;0, 0, IF((((inputs!$P$13/(V213/MAX(K213:S213)))^(1/inputs!$O$13))-1)/inputs!$N$13&lt;inputs!$I$17, (((inputs!$P$13/(V213/MAX(K213:S213)))^(1/inputs!$O$13))-1)/inputs!$N$13, inputs!$I$17))</f>
        <v>1000</v>
      </c>
      <c r="U213" s="63">
        <f>IF((((inputs!$P$13/(X213/MAX(K213:S213)))^(1/inputs!$O$13))-1)/inputs!$N$13&lt;0, 0, IF((((inputs!$P$13/(X213/MAX(K213:S213)))^(1/inputs!$O$13))-1)/inputs!$N$13&lt;inputs!$I$17, (((inputs!$P$13/(X213/MAX(K213:S213)))^(1/inputs!$O$13))-1)/inputs!$N$13, inputs!$I$17))</f>
        <v>32.404561854133441</v>
      </c>
      <c r="V213" s="21">
        <f>inputs!$E$78*(F213/inputs!$F$78)^(inputs!$E$84-1)</f>
        <v>5.8178450431225284E-3</v>
      </c>
      <c r="W213" s="21">
        <f>inputs!$E$85*(F213/inputs!$F$85)^(inputs!$E$84-1)</f>
        <v>0.26865736668025103</v>
      </c>
      <c r="X213" s="21">
        <f>inputs!$E$80*(F213/inputs!$F$80)^(inputs!$E$84-1)</f>
        <v>1.0032142173503045</v>
      </c>
      <c r="Y213" s="21">
        <f>inputs!$E$82*(F213/inputs!$F$82)^(inputs!$E$84-1)</f>
        <v>0.46236557974289572</v>
      </c>
      <c r="Z213" s="63">
        <f t="shared" si="22"/>
        <v>1876.7177861625923</v>
      </c>
      <c r="AA213" s="63">
        <f t="shared" si="23"/>
        <v>40.640811024403362</v>
      </c>
    </row>
    <row r="214" spans="1:27" x14ac:dyDescent="0.25">
      <c r="A214" s="103" t="s">
        <v>253</v>
      </c>
      <c r="B214" s="20" t="s">
        <v>254</v>
      </c>
      <c r="C214" s="20" t="s">
        <v>73</v>
      </c>
      <c r="D214" s="104" t="s">
        <v>240</v>
      </c>
      <c r="E214" s="15">
        <v>110</v>
      </c>
      <c r="F214" s="15">
        <v>2450</v>
      </c>
      <c r="G214" s="20" t="s">
        <v>154</v>
      </c>
      <c r="H214" s="20">
        <v>9.2999999999999999E-2</v>
      </c>
      <c r="I214" s="68">
        <f>MAX('Max rate concentrations'!$G$3:$G$368)</f>
        <v>45</v>
      </c>
      <c r="J214" s="68">
        <f>MAX('Max rate concentrations'!Z:Z)</f>
        <v>21</v>
      </c>
      <c r="K214" s="69">
        <f t="shared" si="21"/>
        <v>2.1392885528559762</v>
      </c>
      <c r="L214" s="69">
        <f t="shared" si="20"/>
        <v>0.99833465799945542</v>
      </c>
      <c r="M214" s="69">
        <f>IF((((1.18*F214^0.874)/3.7-(0.301*F214^0.751)/(1-H214)*H214)*(MAX('Max rate concentrations'!$P$3:$P$368)))/F214&gt;0, (((1.18*F214^0.874)/3.7-(0.301*F214^0.751)/(1-H214)*H214)*(MAX('Max rate concentrations'!$P$3:$P$368)))/F214, 0)</f>
        <v>0.10004776822309137</v>
      </c>
      <c r="N214" s="69">
        <f>IF((((1.18*F214^0.874)/3.7-(0.301*F214^0.751)/(1-H214)*H214)*(MAX('Max rate concentrations'!$Q$3:$Q$368)))/F214&gt;0, (((1.18*F214^0.874)/3.7-(0.301*F214^0.751)/(1-H214)*H214)*(MAX('Max rate concentrations'!$Q$3:$Q$368)))/F214, 0)</f>
        <v>0.38098727712871189</v>
      </c>
      <c r="O214" s="69">
        <f>((MAX('Max rate concentrations'!$F$3:$F$368))*0.62*6.01*8*(10*F214^0.667)*0.079*0.1/F214)*inputs!$E$80/(10^(0.84+0.62*LOG10(inputs!$E$80)))</f>
        <v>10.918453269565923</v>
      </c>
      <c r="P214" s="69">
        <f>((MAX('Max rate concentrations'!Y:Y))*0.62*6.01*8*(10*F214^0.667)*0.079*0.1/F214)*inputs!$E$80/(10^(0.84+0.62*LOG10(inputs!$E$80)))</f>
        <v>3.6394844231886418</v>
      </c>
      <c r="Q214" s="69">
        <f>(inputs!$C$18*11.2*(10*F214^0.667)*0.5/F214)*inputs!$E$80/(10^(0.84+0.62*LOG10(inputs!$E$80)))</f>
        <v>1.9232340456966024</v>
      </c>
      <c r="R214" s="59">
        <f>(60*284*((F214/1000)^0.77)*3*24*(MAX('Max rate concentrations'!$R$3:$R$368))/F214)*(inputs!$E$73*3.4/inputs!$E$75)</f>
        <v>2.2886456485971929E-2</v>
      </c>
      <c r="S214" s="59">
        <f>(IF(inputs!$C$17="aerial",((0.025*0.112*inputs!$C$18/3.3)*(3*60*284*((F214/1000)^0.77))*MAX(inputs!$I$14:$I$16))/F214,((0.0083*0.112*inputs!$C$18/1)*(3*60*284*((F214/1000)^0.77))*MAX(inputs!$I$14:$I$16))/F214))*(inputs!E$75*3.4/inputs!$E$73)</f>
        <v>0.12622021362532576</v>
      </c>
      <c r="T214" s="63">
        <f>IF((((inputs!$P$13/(V214/MAX(K214:S214)))^(1/inputs!$O$13))-1)/inputs!$N$13&lt;0, 0, IF((((inputs!$P$13/(V214/MAX(K214:S214)))^(1/inputs!$O$13))-1)/inputs!$N$13&lt;inputs!$I$17, (((inputs!$P$13/(V214/MAX(K214:S214)))^(1/inputs!$O$13))-1)/inputs!$N$13, inputs!$I$17))</f>
        <v>1000</v>
      </c>
      <c r="U214" s="63">
        <f>IF((((inputs!$P$13/(X214/MAX(K214:S214)))^(1/inputs!$O$13))-1)/inputs!$N$13&lt;0, 0, IF((((inputs!$P$13/(X214/MAX(K214:S214)))^(1/inputs!$O$13))-1)/inputs!$N$13&lt;inputs!$I$17, (((inputs!$P$13/(X214/MAX(K214:S214)))^(1/inputs!$O$13))-1)/inputs!$N$13, inputs!$I$17))</f>
        <v>32.404561854133441</v>
      </c>
      <c r="V214" s="21">
        <f>inputs!$E$78*(F214/inputs!$F$78)^(inputs!$E$84-1)</f>
        <v>5.8178450431225284E-3</v>
      </c>
      <c r="W214" s="21">
        <f>inputs!$E$85*(F214/inputs!$F$85)^(inputs!$E$84-1)</f>
        <v>0.26865736668025103</v>
      </c>
      <c r="X214" s="21">
        <f>inputs!$E$80*(F214/inputs!$F$80)^(inputs!$E$84-1)</f>
        <v>1.0032142173503045</v>
      </c>
      <c r="Y214" s="21">
        <f>inputs!$E$82*(F214/inputs!$F$82)^(inputs!$E$84-1)</f>
        <v>0.46236557974289572</v>
      </c>
      <c r="Z214" s="63">
        <f t="shared" si="22"/>
        <v>1876.7177861625923</v>
      </c>
      <c r="AA214" s="63">
        <f t="shared" si="23"/>
        <v>40.640811024403362</v>
      </c>
    </row>
    <row r="215" spans="1:27" x14ac:dyDescent="0.25">
      <c r="A215" s="103" t="s">
        <v>253</v>
      </c>
      <c r="B215" s="20" t="s">
        <v>254</v>
      </c>
      <c r="C215" s="20" t="s">
        <v>73</v>
      </c>
      <c r="D215" s="104" t="s">
        <v>240</v>
      </c>
      <c r="E215" s="15">
        <v>110</v>
      </c>
      <c r="F215" s="15">
        <v>2450</v>
      </c>
      <c r="G215" s="20" t="s">
        <v>146</v>
      </c>
      <c r="H215" s="20">
        <v>0.84</v>
      </c>
      <c r="I215" s="68">
        <f>MAX('Max rate concentrations'!$I$3:$I$368)</f>
        <v>56.865414300472793</v>
      </c>
      <c r="J215" s="68" t="s">
        <v>13</v>
      </c>
      <c r="K215" s="69">
        <f t="shared" si="21"/>
        <v>15.324713554005198</v>
      </c>
      <c r="L215" s="69" t="s">
        <v>13</v>
      </c>
      <c r="M215" s="69">
        <f>IF((((1.18*F215^0.874)/3.7-(0.301*F215^0.751)/(1-H215)*H215)*(MAX('Max rate concentrations'!$P$3:$P$368)))/F215&gt;0, (((1.18*F215^0.874)/3.7-(0.301*F215^0.751)/(1-H215)*H215)*(MAX('Max rate concentrations'!$P$3:$P$368)))/F215, 0)</f>
        <v>0</v>
      </c>
      <c r="N215" s="69">
        <f>IF((((1.18*F215^0.874)/3.7-(0.301*F215^0.751)/(1-H215)*H215)*(MAX('Max rate concentrations'!$Q$3:$Q$368)))/F215&gt;0, (((1.18*F215^0.874)/3.7-(0.301*F215^0.751)/(1-H215)*H215)*(MAX('Max rate concentrations'!$Q$3:$Q$368)))/F215, 0)</f>
        <v>0</v>
      </c>
      <c r="O215" s="69">
        <f>((MAX('Max rate concentrations'!$F$3:$F$368))*0.62*6.01*8*(10*F215^0.667)*0.079*0.1/F215)*inputs!$E$80/(10^(0.84+0.62*LOG10(inputs!$E$80)))</f>
        <v>10.918453269565923</v>
      </c>
      <c r="P215" s="69">
        <f>((MAX('Max rate concentrations'!Y:Y))*0.62*6.01*8*(10*F215^0.667)*0.079*0.1/F215)*inputs!$E$80/(10^(0.84+0.62*LOG10(inputs!$E$80)))</f>
        <v>3.6394844231886418</v>
      </c>
      <c r="Q215" s="69">
        <f>(inputs!$C$18*11.2*(10*F215^0.667)*0.5/F215)*inputs!$E$80/(10^(0.84+0.62*LOG10(inputs!$E$80)))</f>
        <v>1.9232340456966024</v>
      </c>
      <c r="R215" s="59">
        <f>(60*284*((F215/1000)^0.77)*3*24*(MAX('Max rate concentrations'!$R$3:$R$368))/F215)*(inputs!$E$73*3.4/inputs!$E$75)</f>
        <v>2.2886456485971929E-2</v>
      </c>
      <c r="S215" s="59">
        <f>(IF(inputs!$C$17="aerial",((0.025*0.112*inputs!$C$18/3.3)*(3*60*284*((F215/1000)^0.77))*MAX(inputs!$I$14:$I$16))/F215,((0.0083*0.112*inputs!$C$18/1)*(3*60*284*((F215/1000)^0.77))*MAX(inputs!$I$14:$I$16))/F215))*(inputs!E$75*3.4/inputs!$E$73)</f>
        <v>0.12622021362532576</v>
      </c>
      <c r="T215" s="63">
        <f>IF((((inputs!$P$13/(V215/MAX(K215:S215)))^(1/inputs!$O$13))-1)/inputs!$N$13&lt;0, 0, IF((((inputs!$P$13/(V215/MAX(K215:S215)))^(1/inputs!$O$13))-1)/inputs!$N$13&lt;inputs!$I$17, (((inputs!$P$13/(V215/MAX(K215:S215)))^(1/inputs!$O$13))-1)/inputs!$N$13, inputs!$I$17))</f>
        <v>1000</v>
      </c>
      <c r="U215" s="63">
        <f>IF((((inputs!$P$13/(X215/MAX(K215:S215)))^(1/inputs!$O$13))-1)/inputs!$N$13&lt;0, 0, IF((((inputs!$P$13/(X215/MAX(K215:S215)))^(1/inputs!$O$13))-1)/inputs!$N$13&lt;inputs!$I$17, (((inputs!$P$13/(X215/MAX(K215:S215)))^(1/inputs!$O$13))-1)/inputs!$N$13, inputs!$I$17))</f>
        <v>44.274078504646397</v>
      </c>
      <c r="V215" s="21">
        <f>inputs!$E$78*(F215/inputs!$F$78)^(inputs!$E$84-1)</f>
        <v>5.8178450431225284E-3</v>
      </c>
      <c r="W215" s="21">
        <f>inputs!$E$85*(F215/inputs!$F$85)^(inputs!$E$84-1)</f>
        <v>0.26865736668025103</v>
      </c>
      <c r="X215" s="21">
        <f>inputs!$E$80*(F215/inputs!$F$80)^(inputs!$E$84-1)</f>
        <v>1.0032142173503045</v>
      </c>
      <c r="Y215" s="21">
        <f>inputs!$E$82*(F215/inputs!$F$82)^(inputs!$E$84-1)</f>
        <v>0.46236557974289572</v>
      </c>
      <c r="Z215" s="63">
        <f t="shared" si="22"/>
        <v>2634.0876115497545</v>
      </c>
      <c r="AA215" s="63">
        <f t="shared" si="23"/>
        <v>57.041851274617279</v>
      </c>
    </row>
    <row r="216" spans="1:27" x14ac:dyDescent="0.25">
      <c r="A216" s="103" t="s">
        <v>319</v>
      </c>
      <c r="B216" s="20" t="s">
        <v>320</v>
      </c>
      <c r="C216" s="20" t="s">
        <v>73</v>
      </c>
      <c r="D216" s="104" t="s">
        <v>240</v>
      </c>
      <c r="E216" s="15">
        <v>1353</v>
      </c>
      <c r="F216" s="15">
        <v>44</v>
      </c>
      <c r="G216" s="20" t="s">
        <v>241</v>
      </c>
      <c r="H216" s="20">
        <v>0.8</v>
      </c>
      <c r="I216" s="68">
        <f>inputs!$C$66*inputs!$C$60/1000</f>
        <v>28</v>
      </c>
      <c r="J216" s="68">
        <f>inputs!$C$66*inputs!$C$59/1000</f>
        <v>28</v>
      </c>
      <c r="K216" s="69">
        <f t="shared" si="21"/>
        <v>16.423844133920852</v>
      </c>
      <c r="L216" s="69">
        <f>((0.301*F216^0.751)/(1-H216))*J216/F216</f>
        <v>16.423844133920852</v>
      </c>
      <c r="M216" s="69">
        <f>IF((((1.18*F216^0.874)/3.7-(0.301*F216^0.751)/(1-H216)*H216)*(MAX('Max rate concentrations'!$P$3:$P$368)))/F216&gt;0, (((1.18*F216^0.874)/3.7-(0.301*F216^0.751)/(1-H216)*H216)*(MAX('Max rate concentrations'!$P$3:$P$368)))/F216, 0)</f>
        <v>0</v>
      </c>
      <c r="N216" s="69">
        <f>IF((((1.18*F216^0.874)/3.7-(0.301*F216^0.751)/(1-H216)*H216)*(MAX('Max rate concentrations'!$Q$3:$Q$368)))/F216&gt;0, (((1.18*F216^0.874)/3.7-(0.301*F216^0.751)/(1-H216)*H216)*(MAX('Max rate concentrations'!$Q$3:$Q$368)))/F216, 0)</f>
        <v>0</v>
      </c>
      <c r="O216" s="69">
        <f>((MAX('Max rate concentrations'!$F$3:$F$368))*0.62*6.01*8*(10*F216^0.667)*0.079*0.1/F216)*inputs!$E$80/(10^(0.84+0.62*LOG10(inputs!$E$80)))</f>
        <v>41.637407846624441</v>
      </c>
      <c r="P216" s="69">
        <f>((MAX('Max rate concentrations'!Y:Y))*0.62*6.01*8*(10*F216^0.667)*0.079*0.1/F216)*inputs!$E$80/(10^(0.84+0.62*LOG10(inputs!$E$80)))</f>
        <v>13.879135948874811</v>
      </c>
      <c r="Q216" s="69">
        <f>(inputs!$C$18*11.2*(10*F216^0.667)*0.5/F216)*inputs!$E$80/(10^(0.84+0.62*LOG10(inputs!$E$80)))</f>
        <v>7.3342330060974454</v>
      </c>
      <c r="R216" s="59">
        <f>(60*284*((F216/1000)^0.77)*3*24*(MAX('Max rate concentrations'!$R$3:$R$368))/F216)*(inputs!$E$73*3.4/inputs!$E$75)</f>
        <v>5.7688950716123719E-2</v>
      </c>
      <c r="S216" s="59">
        <f>(IF(inputs!$C$17="aerial",((0.025*0.112*inputs!$C$18/3.3)*(3*60*284*((F216/1000)^0.77))*MAX(inputs!$I$14:$I$16))/F216,((0.0083*0.112*inputs!$C$18/1)*(3*60*284*((F216/1000)^0.77))*MAX(inputs!$I$14:$I$16))/F216))*(inputs!E$75*3.4/inputs!$E$73)</f>
        <v>0.31815810751101498</v>
      </c>
      <c r="T216" s="63">
        <f>IF((((inputs!$P$13/(V216/MAX(K216:S216)))^(1/inputs!$O$13))-1)/inputs!$N$13&lt;0, 0, IF((((inputs!$P$13/(V216/MAX(K216:S216)))^(1/inputs!$O$13))-1)/inputs!$N$13&lt;inputs!$I$17, (((inputs!$P$13/(V216/MAX(K216:S216)))^(1/inputs!$O$13))-1)/inputs!$N$13, inputs!$I$17))</f>
        <v>1000</v>
      </c>
      <c r="U216" s="63">
        <f>IF((((inputs!$P$13/(X216/MAX(K216:S216)))^(1/inputs!$O$13))-1)/inputs!$N$13&lt;0, 0, IF((((inputs!$P$13/(X216/MAX(K216:S216)))^(1/inputs!$O$13))-1)/inputs!$N$13&lt;inputs!$I$17, (((inputs!$P$13/(X216/MAX(K216:S216)))^(1/inputs!$O$13))-1)/inputs!$N$13, inputs!$I$17))</f>
        <v>28.140111368005737</v>
      </c>
      <c r="V216" s="21">
        <f>inputs!$E$78*(F216/inputs!$F$78)^(inputs!$E$84-1)</f>
        <v>2.5744004973284332E-2</v>
      </c>
      <c r="W216" s="21">
        <f>inputs!$E$85*(F216/inputs!$F$85)^(inputs!$E$84-1)</f>
        <v>1.1888107250470454</v>
      </c>
      <c r="X216" s="21">
        <f>inputs!$E$80*(F216/inputs!$F$80)^(inputs!$E$84-1)</f>
        <v>4.4392299226440306</v>
      </c>
      <c r="Y216" s="21">
        <f>inputs!$E$82*(F216/inputs!$F$82)^(inputs!$E$84-1)</f>
        <v>2.0459709215610178</v>
      </c>
      <c r="Z216" s="63">
        <f t="shared" si="22"/>
        <v>1617.3632614596438</v>
      </c>
      <c r="AA216" s="63">
        <f t="shared" si="23"/>
        <v>35.024421440155415</v>
      </c>
    </row>
    <row r="217" spans="1:27" x14ac:dyDescent="0.25">
      <c r="A217" s="103" t="s">
        <v>319</v>
      </c>
      <c r="B217" s="20" t="s">
        <v>320</v>
      </c>
      <c r="C217" s="20" t="s">
        <v>73</v>
      </c>
      <c r="D217" s="104" t="s">
        <v>240</v>
      </c>
      <c r="E217" s="15">
        <v>1353</v>
      </c>
      <c r="F217" s="15">
        <v>44</v>
      </c>
      <c r="G217" s="20" t="s">
        <v>142</v>
      </c>
      <c r="H217" s="20">
        <v>0.69</v>
      </c>
      <c r="I217" s="68">
        <f>MAX('Max rate concentrations'!$H$3:$H$368)</f>
        <v>282</v>
      </c>
      <c r="J217" s="68">
        <f>MAX('Max rate concentrations'!AA:AA)</f>
        <v>195</v>
      </c>
      <c r="K217" s="69">
        <f t="shared" si="21"/>
        <v>106.71714391165156</v>
      </c>
      <c r="L217" s="69">
        <f>((0.301*F217^0.751)/(1-H217))*J217/F217</f>
        <v>73.793769726142045</v>
      </c>
      <c r="M217" s="69">
        <f>IF((((1.18*F217^0.874)/3.7-(0.301*F217^0.751)/(1-H217)*H217)*(MAX('Max rate concentrations'!$P$3:$P$368)))/F217&gt;0, (((1.18*F217^0.874)/3.7-(0.301*F217^0.751)/(1-H217)*H217)*(MAX('Max rate concentrations'!$P$3:$P$368)))/F217, 0)</f>
        <v>0</v>
      </c>
      <c r="N217" s="69">
        <f>IF((((1.18*F217^0.874)/3.7-(0.301*F217^0.751)/(1-H217)*H217)*(MAX('Max rate concentrations'!$Q$3:$Q$368)))/F217&gt;0, (((1.18*F217^0.874)/3.7-(0.301*F217^0.751)/(1-H217)*H217)*(MAX('Max rate concentrations'!$Q$3:$Q$368)))/F217, 0)</f>
        <v>0</v>
      </c>
      <c r="O217" s="69">
        <f>((MAX('Max rate concentrations'!$F$3:$F$368))*0.62*6.01*8*(10*F217^0.667)*0.079*0.1/F217)*inputs!$E$80/(10^(0.84+0.62*LOG10(inputs!$E$80)))</f>
        <v>41.637407846624441</v>
      </c>
      <c r="P217" s="69">
        <f>((MAX('Max rate concentrations'!Y:Y))*0.62*6.01*8*(10*F217^0.667)*0.079*0.1/F217)*inputs!$E$80/(10^(0.84+0.62*LOG10(inputs!$E$80)))</f>
        <v>13.879135948874811</v>
      </c>
      <c r="Q217" s="69">
        <f>(inputs!$C$18*11.2*(10*F217^0.667)*0.5/F217)*inputs!$E$80/(10^(0.84+0.62*LOG10(inputs!$E$80)))</f>
        <v>7.3342330060974454</v>
      </c>
      <c r="R217" s="59">
        <f>(60*284*((F217/1000)^0.77)*3*24*(MAX('Max rate concentrations'!$R$3:$R$368))/F217)*(inputs!$E$73*3.4/inputs!$E$75)</f>
        <v>5.7688950716123719E-2</v>
      </c>
      <c r="S217" s="59">
        <f>(IF(inputs!$C$17="aerial",((0.025*0.112*inputs!$C$18/3.3)*(3*60*284*((F217/1000)^0.77))*MAX(inputs!$I$14:$I$16))/F217,((0.0083*0.112*inputs!$C$18/1)*(3*60*284*((F217/1000)^0.77))*MAX(inputs!$I$14:$I$16))/F217))*(inputs!E$75*3.4/inputs!$E$73)</f>
        <v>0.31815810751101498</v>
      </c>
      <c r="T217" s="63">
        <f>IF((((inputs!$P$13/(V217/MAX(K217:S217)))^(1/inputs!$O$13))-1)/inputs!$N$13&lt;0, 0, IF((((inputs!$P$13/(V217/MAX(K217:S217)))^(1/inputs!$O$13))-1)/inputs!$N$13&lt;inputs!$I$17, (((inputs!$P$13/(V217/MAX(K217:S217)))^(1/inputs!$O$13))-1)/inputs!$N$13, inputs!$I$17))</f>
        <v>1000</v>
      </c>
      <c r="U217" s="63">
        <f>IF((((inputs!$P$13/(X217/MAX(K217:S217)))^(1/inputs!$O$13))-1)/inputs!$N$13&lt;0, 0, IF((((inputs!$P$13/(X217/MAX(K217:S217)))^(1/inputs!$O$13))-1)/inputs!$N$13&lt;inputs!$I$17, (((inputs!$P$13/(X217/MAX(K217:S217)))^(1/inputs!$O$13))-1)/inputs!$N$13, inputs!$I$17))</f>
        <v>66.200452908222289</v>
      </c>
      <c r="V217" s="21">
        <f>inputs!$E$78*(F217/inputs!$F$78)^(inputs!$E$84-1)</f>
        <v>2.5744004973284332E-2</v>
      </c>
      <c r="W217" s="21">
        <f>inputs!$E$85*(F217/inputs!$F$85)^(inputs!$E$84-1)</f>
        <v>1.1888107250470454</v>
      </c>
      <c r="X217" s="21">
        <f>inputs!$E$80*(F217/inputs!$F$80)^(inputs!$E$84-1)</f>
        <v>4.4392299226440306</v>
      </c>
      <c r="Y217" s="21">
        <f>inputs!$E$82*(F217/inputs!$F$82)^(inputs!$E$84-1)</f>
        <v>2.0459709215610178</v>
      </c>
      <c r="Z217" s="63">
        <f t="shared" si="22"/>
        <v>4145.3202026023755</v>
      </c>
      <c r="AA217" s="63">
        <f t="shared" si="23"/>
        <v>89.767985486022923</v>
      </c>
    </row>
    <row r="218" spans="1:27" x14ac:dyDescent="0.25">
      <c r="A218" s="103" t="s">
        <v>319</v>
      </c>
      <c r="B218" s="20" t="s">
        <v>320</v>
      </c>
      <c r="C218" s="20" t="s">
        <v>73</v>
      </c>
      <c r="D218" s="104" t="s">
        <v>240</v>
      </c>
      <c r="E218" s="15">
        <v>1353</v>
      </c>
      <c r="F218" s="15">
        <v>44</v>
      </c>
      <c r="G218" s="20" t="s">
        <v>164</v>
      </c>
      <c r="H218" s="20">
        <v>0.78</v>
      </c>
      <c r="I218" s="68">
        <f>inputs!$C$66*(inputs!$C$62/1000)</f>
        <v>8.2000000000000011</v>
      </c>
      <c r="J218" s="68">
        <f>inputs!$C$66*(inputs!$C$61/1000)</f>
        <v>2.5</v>
      </c>
      <c r="K218" s="69">
        <f t="shared" si="21"/>
        <v>4.3725818798100979</v>
      </c>
      <c r="L218" s="69">
        <f>((0.301*F218^0.751)/(1-H218))*J218/F218</f>
        <v>1.3331042316494197</v>
      </c>
      <c r="M218" s="69">
        <f>IF((((1.18*F218^0.874)/3.7-(0.301*F218^0.751)/(1-H218)*H218)*(MAX('Max rate concentrations'!$P$3:$P$368)))/F218&gt;0, (((1.18*F218^0.874)/3.7-(0.301*F218^0.751)/(1-H218)*H218)*(MAX('Max rate concentrations'!$P$3:$P$368)))/F218, 0)</f>
        <v>0</v>
      </c>
      <c r="N218" s="69">
        <f>IF((((1.18*F218^0.874)/3.7-(0.301*F218^0.751)/(1-H218)*H218)*(MAX('Max rate concentrations'!$Q$3:$Q$368)))/F218&gt;0, (((1.18*F218^0.874)/3.7-(0.301*F218^0.751)/(1-H218)*H218)*(MAX('Max rate concentrations'!$Q$3:$Q$368)))/F218, 0)</f>
        <v>0</v>
      </c>
      <c r="O218" s="69">
        <f>((MAX('Max rate concentrations'!$F$3:$F$368))*0.62*6.01*8*(10*F218^0.667)*0.079*0.1/F218)*inputs!$E$80/(10^(0.84+0.62*LOG10(inputs!$E$80)))</f>
        <v>41.637407846624441</v>
      </c>
      <c r="P218" s="69">
        <f>((MAX('Max rate concentrations'!Y:Y))*0.62*6.01*8*(10*F218^0.667)*0.079*0.1/F218)*inputs!$E$80/(10^(0.84+0.62*LOG10(inputs!$E$80)))</f>
        <v>13.879135948874811</v>
      </c>
      <c r="Q218" s="69">
        <f>(inputs!$C$18*11.2*(10*F218^0.667)*0.5/F218)*inputs!$E$80/(10^(0.84+0.62*LOG10(inputs!$E$80)))</f>
        <v>7.3342330060974454</v>
      </c>
      <c r="R218" s="59">
        <f>(60*284*((F218/1000)^0.77)*3*24*(MAX('Max rate concentrations'!$R$3:$R$368))/F218)*(inputs!$E$73*3.4/inputs!$E$75)</f>
        <v>5.7688950716123719E-2</v>
      </c>
      <c r="S218" s="59">
        <f>(IF(inputs!$C$17="aerial",((0.025*0.112*inputs!$C$18/3.3)*(3*60*284*((F218/1000)^0.77))*MAX(inputs!$I$14:$I$16))/F218,((0.0083*0.112*inputs!$C$18/1)*(3*60*284*((F218/1000)^0.77))*MAX(inputs!$I$14:$I$16))/F218))*(inputs!E$75*3.4/inputs!$E$73)</f>
        <v>0.31815810751101498</v>
      </c>
      <c r="T218" s="63">
        <f>IF((((inputs!$P$13/(V218/MAX(K218:S218)))^(1/inputs!$O$13))-1)/inputs!$N$13&lt;0, 0, IF((((inputs!$P$13/(V218/MAX(K218:S218)))^(1/inputs!$O$13))-1)/inputs!$N$13&lt;inputs!$I$17, (((inputs!$P$13/(V218/MAX(K218:S218)))^(1/inputs!$O$13))-1)/inputs!$N$13, inputs!$I$17))</f>
        <v>1000</v>
      </c>
      <c r="U218" s="63">
        <f>IF((((inputs!$P$13/(X218/MAX(K218:S218)))^(1/inputs!$O$13))-1)/inputs!$N$13&lt;0, 0, IF((((inputs!$P$13/(X218/MAX(K218:S218)))^(1/inputs!$O$13))-1)/inputs!$N$13&lt;inputs!$I$17, (((inputs!$P$13/(X218/MAX(K218:S218)))^(1/inputs!$O$13))-1)/inputs!$N$13, inputs!$I$17))</f>
        <v>28.140111368005737</v>
      </c>
      <c r="V218" s="21">
        <f>inputs!$E$78*(F218/inputs!$F$78)^(inputs!$E$84-1)</f>
        <v>2.5744004973284332E-2</v>
      </c>
      <c r="W218" s="21">
        <f>inputs!$E$85*(F218/inputs!$F$85)^(inputs!$E$84-1)</f>
        <v>1.1888107250470454</v>
      </c>
      <c r="X218" s="21">
        <f>inputs!$E$80*(F218/inputs!$F$80)^(inputs!$E$84-1)</f>
        <v>4.4392299226440306</v>
      </c>
      <c r="Y218" s="21">
        <f>inputs!$E$82*(F218/inputs!$F$82)^(inputs!$E$84-1)</f>
        <v>2.0459709215610178</v>
      </c>
      <c r="Z218" s="63">
        <f t="shared" si="22"/>
        <v>1617.3632614596438</v>
      </c>
      <c r="AA218" s="63">
        <f t="shared" si="23"/>
        <v>35.024421440155415</v>
      </c>
    </row>
    <row r="219" spans="1:27" x14ac:dyDescent="0.25">
      <c r="A219" s="103" t="s">
        <v>319</v>
      </c>
      <c r="B219" s="20" t="s">
        <v>320</v>
      </c>
      <c r="C219" s="20" t="s">
        <v>73</v>
      </c>
      <c r="D219" s="104" t="s">
        <v>240</v>
      </c>
      <c r="E219" s="15">
        <v>1353</v>
      </c>
      <c r="F219" s="15">
        <v>44</v>
      </c>
      <c r="G219" s="20" t="s">
        <v>152</v>
      </c>
      <c r="H219" s="20">
        <v>0.77</v>
      </c>
      <c r="I219" s="68">
        <f>MAX('Max rate concentrations'!$G$3:$G$368)</f>
        <v>45</v>
      </c>
      <c r="J219" s="68">
        <f>MAX('Max rate concentrations'!Z:Z)</f>
        <v>21</v>
      </c>
      <c r="K219" s="69">
        <f t="shared" si="21"/>
        <v>22.952577205790007</v>
      </c>
      <c r="L219" s="69">
        <f>((0.301*F219^0.751)/(1-H219))*J219/F219</f>
        <v>10.711202696035336</v>
      </c>
      <c r="M219" s="69">
        <f>IF((((1.18*F219^0.874)/3.7-(0.301*F219^0.751)/(1-H219)*H219)*(MAX('Max rate concentrations'!$P$3:$P$368)))/F219&gt;0, (((1.18*F219^0.874)/3.7-(0.301*F219^0.751)/(1-H219)*H219)*(MAX('Max rate concentrations'!$P$3:$P$368)))/F219, 0)</f>
        <v>0</v>
      </c>
      <c r="N219" s="69">
        <f>IF((((1.18*F219^0.874)/3.7-(0.301*F219^0.751)/(1-H219)*H219)*(MAX('Max rate concentrations'!$Q$3:$Q$368)))/F219&gt;0, (((1.18*F219^0.874)/3.7-(0.301*F219^0.751)/(1-H219)*H219)*(MAX('Max rate concentrations'!$Q$3:$Q$368)))/F219, 0)</f>
        <v>0</v>
      </c>
      <c r="O219" s="69">
        <f>((MAX('Max rate concentrations'!$F$3:$F$368))*0.62*6.01*8*(10*F219^0.667)*0.079*0.1/F219)*inputs!$E$80/(10^(0.84+0.62*LOG10(inputs!$E$80)))</f>
        <v>41.637407846624441</v>
      </c>
      <c r="P219" s="69">
        <f>((MAX('Max rate concentrations'!Y:Y))*0.62*6.01*8*(10*F219^0.667)*0.079*0.1/F219)*inputs!$E$80/(10^(0.84+0.62*LOG10(inputs!$E$80)))</f>
        <v>13.879135948874811</v>
      </c>
      <c r="Q219" s="69">
        <f>(inputs!$C$18*11.2*(10*F219^0.667)*0.5/F219)*inputs!$E$80/(10^(0.84+0.62*LOG10(inputs!$E$80)))</f>
        <v>7.3342330060974454</v>
      </c>
      <c r="R219" s="59">
        <f>(60*284*((F219/1000)^0.77)*3*24*(MAX('Max rate concentrations'!$R$3:$R$368))/F219)*(inputs!$E$73*3.4/inputs!$E$75)</f>
        <v>5.7688950716123719E-2</v>
      </c>
      <c r="S219" s="59">
        <f>(IF(inputs!$C$17="aerial",((0.025*0.112*inputs!$C$18/3.3)*(3*60*284*((F219/1000)^0.77))*MAX(inputs!$I$14:$I$16))/F219,((0.0083*0.112*inputs!$C$18/1)*(3*60*284*((F219/1000)^0.77))*MAX(inputs!$I$14:$I$16))/F219))*(inputs!E$75*3.4/inputs!$E$73)</f>
        <v>0.31815810751101498</v>
      </c>
      <c r="T219" s="63">
        <f>IF((((inputs!$P$13/(V219/MAX(K219:S219)))^(1/inputs!$O$13))-1)/inputs!$N$13&lt;0, 0, IF((((inputs!$P$13/(V219/MAX(K219:S219)))^(1/inputs!$O$13))-1)/inputs!$N$13&lt;inputs!$I$17, (((inputs!$P$13/(V219/MAX(K219:S219)))^(1/inputs!$O$13))-1)/inputs!$N$13, inputs!$I$17))</f>
        <v>1000</v>
      </c>
      <c r="U219" s="63">
        <f>IF((((inputs!$P$13/(X219/MAX(K219:S219)))^(1/inputs!$O$13))-1)/inputs!$N$13&lt;0, 0, IF((((inputs!$P$13/(X219/MAX(K219:S219)))^(1/inputs!$O$13))-1)/inputs!$N$13&lt;inputs!$I$17, (((inputs!$P$13/(X219/MAX(K219:S219)))^(1/inputs!$O$13))-1)/inputs!$N$13, inputs!$I$17))</f>
        <v>28.140111368005737</v>
      </c>
      <c r="V219" s="21">
        <f>inputs!$E$78*(F219/inputs!$F$78)^(inputs!$E$84-1)</f>
        <v>2.5744004973284332E-2</v>
      </c>
      <c r="W219" s="21">
        <f>inputs!$E$85*(F219/inputs!$F$85)^(inputs!$E$84-1)</f>
        <v>1.1888107250470454</v>
      </c>
      <c r="X219" s="21">
        <f>inputs!$E$80*(F219/inputs!$F$80)^(inputs!$E$84-1)</f>
        <v>4.4392299226440306</v>
      </c>
      <c r="Y219" s="21">
        <f>inputs!$E$82*(F219/inputs!$F$82)^(inputs!$E$84-1)</f>
        <v>2.0459709215610178</v>
      </c>
      <c r="Z219" s="63">
        <f t="shared" si="22"/>
        <v>1617.3632614596438</v>
      </c>
      <c r="AA219" s="63">
        <f t="shared" si="23"/>
        <v>35.024421440155415</v>
      </c>
    </row>
    <row r="220" spans="1:27" x14ac:dyDescent="0.25">
      <c r="A220" s="103" t="s">
        <v>319</v>
      </c>
      <c r="B220" s="20" t="s">
        <v>320</v>
      </c>
      <c r="C220" s="20" t="s">
        <v>73</v>
      </c>
      <c r="D220" s="104" t="s">
        <v>240</v>
      </c>
      <c r="E220" s="15">
        <v>1353</v>
      </c>
      <c r="F220" s="15">
        <v>44</v>
      </c>
      <c r="G220" s="20" t="s">
        <v>154</v>
      </c>
      <c r="H220" s="20">
        <v>9.2999999999999999E-2</v>
      </c>
      <c r="I220" s="68">
        <f>MAX('Max rate concentrations'!$G$3:$G$368)</f>
        <v>45</v>
      </c>
      <c r="J220" s="68">
        <f>MAX('Max rate concentrations'!Z:Z)</f>
        <v>21</v>
      </c>
      <c r="K220" s="69">
        <f t="shared" si="21"/>
        <v>5.8203889275983469</v>
      </c>
      <c r="L220" s="69">
        <f>((0.301*F220^0.751)/(1-H220))*J220/F220</f>
        <v>2.7161814995458955</v>
      </c>
      <c r="M220" s="69">
        <f>IF((((1.18*F220^0.874)/3.7-(0.301*F220^0.751)/(1-H220)*H220)*(MAX('Max rate concentrations'!$P$3:$P$368)))/F220&gt;0, (((1.18*F220^0.874)/3.7-(0.301*F220^0.751)/(1-H220)*H220)*(MAX('Max rate concentrations'!$P$3:$P$368)))/F220, 0)</f>
        <v>0.16193631853454005</v>
      </c>
      <c r="N220" s="69">
        <f>IF((((1.18*F220^0.874)/3.7-(0.301*F220^0.751)/(1-H220)*H220)*(MAX('Max rate concentrations'!$Q$3:$Q$368)))/F220&gt;0, (((1.18*F220^0.874)/3.7-(0.301*F220^0.751)/(1-H220)*H220)*(MAX('Max rate concentrations'!$Q$3:$Q$368)))/F220, 0)</f>
        <v>0.6166622020908068</v>
      </c>
      <c r="O220" s="69">
        <f>((MAX('Max rate concentrations'!$F$3:$F$368))*0.62*6.01*8*(10*F220^0.667)*0.079*0.1/F220)*inputs!$E$80/(10^(0.84+0.62*LOG10(inputs!$E$80)))</f>
        <v>41.637407846624441</v>
      </c>
      <c r="P220" s="69">
        <f>((MAX('Max rate concentrations'!Y:Y))*0.62*6.01*8*(10*F220^0.667)*0.079*0.1/F220)*inputs!$E$80/(10^(0.84+0.62*LOG10(inputs!$E$80)))</f>
        <v>13.879135948874811</v>
      </c>
      <c r="Q220" s="69">
        <f>(inputs!$C$18*11.2*(10*F220^0.667)*0.5/F220)*inputs!$E$80/(10^(0.84+0.62*LOG10(inputs!$E$80)))</f>
        <v>7.3342330060974454</v>
      </c>
      <c r="R220" s="59">
        <f>(60*284*((F220/1000)^0.77)*3*24*(MAX('Max rate concentrations'!$R$3:$R$368))/F220)*(inputs!$E$73*3.4/inputs!$E$75)</f>
        <v>5.7688950716123719E-2</v>
      </c>
      <c r="S220" s="59">
        <f>(IF(inputs!$C$17="aerial",((0.025*0.112*inputs!$C$18/3.3)*(3*60*284*((F220/1000)^0.77))*MAX(inputs!$I$14:$I$16))/F220,((0.0083*0.112*inputs!$C$18/1)*(3*60*284*((F220/1000)^0.77))*MAX(inputs!$I$14:$I$16))/F220))*(inputs!E$75*3.4/inputs!$E$73)</f>
        <v>0.31815810751101498</v>
      </c>
      <c r="T220" s="63">
        <f>IF((((inputs!$P$13/(V220/MAX(K220:S220)))^(1/inputs!$O$13))-1)/inputs!$N$13&lt;0, 0, IF((((inputs!$P$13/(V220/MAX(K220:S220)))^(1/inputs!$O$13))-1)/inputs!$N$13&lt;inputs!$I$17, (((inputs!$P$13/(V220/MAX(K220:S220)))^(1/inputs!$O$13))-1)/inputs!$N$13, inputs!$I$17))</f>
        <v>1000</v>
      </c>
      <c r="U220" s="63">
        <f>IF((((inputs!$P$13/(X220/MAX(K220:S220)))^(1/inputs!$O$13))-1)/inputs!$N$13&lt;0, 0, IF((((inputs!$P$13/(X220/MAX(K220:S220)))^(1/inputs!$O$13))-1)/inputs!$N$13&lt;inputs!$I$17, (((inputs!$P$13/(X220/MAX(K220:S220)))^(1/inputs!$O$13))-1)/inputs!$N$13, inputs!$I$17))</f>
        <v>28.140111368005737</v>
      </c>
      <c r="V220" s="21">
        <f>inputs!$E$78*(F220/inputs!$F$78)^(inputs!$E$84-1)</f>
        <v>2.5744004973284332E-2</v>
      </c>
      <c r="W220" s="21">
        <f>inputs!$E$85*(F220/inputs!$F$85)^(inputs!$E$84-1)</f>
        <v>1.1888107250470454</v>
      </c>
      <c r="X220" s="21">
        <f>inputs!$E$80*(F220/inputs!$F$80)^(inputs!$E$84-1)</f>
        <v>4.4392299226440306</v>
      </c>
      <c r="Y220" s="21">
        <f>inputs!$E$82*(F220/inputs!$F$82)^(inputs!$E$84-1)</f>
        <v>2.0459709215610178</v>
      </c>
      <c r="Z220" s="63">
        <f t="shared" si="22"/>
        <v>1617.3632614596438</v>
      </c>
      <c r="AA220" s="63">
        <f t="shared" si="23"/>
        <v>35.024421440155415</v>
      </c>
    </row>
    <row r="221" spans="1:27" x14ac:dyDescent="0.25">
      <c r="A221" s="103" t="s">
        <v>319</v>
      </c>
      <c r="B221" s="20" t="s">
        <v>320</v>
      </c>
      <c r="C221" s="20" t="s">
        <v>73</v>
      </c>
      <c r="D221" s="104" t="s">
        <v>240</v>
      </c>
      <c r="E221" s="15">
        <v>1353</v>
      </c>
      <c r="F221" s="15">
        <v>44</v>
      </c>
      <c r="G221" s="20" t="s">
        <v>146</v>
      </c>
      <c r="H221" s="20">
        <v>0.84</v>
      </c>
      <c r="I221" s="68">
        <f>MAX('Max rate concentrations'!$I$3:$I$368)</f>
        <v>56.865414300472793</v>
      </c>
      <c r="J221" s="68" t="s">
        <v>13</v>
      </c>
      <c r="K221" s="69">
        <f t="shared" si="21"/>
        <v>41.694138441151729</v>
      </c>
      <c r="L221" s="69" t="s">
        <v>13</v>
      </c>
      <c r="M221" s="69">
        <f>IF((((1.18*F221^0.874)/3.7-(0.301*F221^0.751)/(1-H221)*H221)*(MAX('Max rate concentrations'!$P$3:$P$368)))/F221&gt;0, (((1.18*F221^0.874)/3.7-(0.301*F221^0.751)/(1-H221)*H221)*(MAX('Max rate concentrations'!$P$3:$P$368)))/F221, 0)</f>
        <v>0</v>
      </c>
      <c r="N221" s="69">
        <f>IF((((1.18*F221^0.874)/3.7-(0.301*F221^0.751)/(1-H221)*H221)*(MAX('Max rate concentrations'!$Q$3:$Q$368)))/F221&gt;0, (((1.18*F221^0.874)/3.7-(0.301*F221^0.751)/(1-H221)*H221)*(MAX('Max rate concentrations'!$Q$3:$Q$368)))/F221, 0)</f>
        <v>0</v>
      </c>
      <c r="O221" s="69">
        <f>((MAX('Max rate concentrations'!$F$3:$F$368))*0.62*6.01*8*(10*F221^0.667)*0.079*0.1/F221)*inputs!$E$80/(10^(0.84+0.62*LOG10(inputs!$E$80)))</f>
        <v>41.637407846624441</v>
      </c>
      <c r="P221" s="69">
        <f>((MAX('Max rate concentrations'!Y:Y))*0.62*6.01*8*(10*F221^0.667)*0.079*0.1/F221)*inputs!$E$80/(10^(0.84+0.62*LOG10(inputs!$E$80)))</f>
        <v>13.879135948874811</v>
      </c>
      <c r="Q221" s="69">
        <f>(inputs!$C$18*11.2*(10*F221^0.667)*0.5/F221)*inputs!$E$80/(10^(0.84+0.62*LOG10(inputs!$E$80)))</f>
        <v>7.3342330060974454</v>
      </c>
      <c r="R221" s="59">
        <f>(60*284*((F221/1000)^0.77)*3*24*(MAX('Max rate concentrations'!$R$3:$R$368))/F221)*(inputs!$E$73*3.4/inputs!$E$75)</f>
        <v>5.7688950716123719E-2</v>
      </c>
      <c r="S221" s="59">
        <f>(IF(inputs!$C$17="aerial",((0.025*0.112*inputs!$C$18/3.3)*(3*60*284*((F221/1000)^0.77))*MAX(inputs!$I$14:$I$16))/F221,((0.0083*0.112*inputs!$C$18/1)*(3*60*284*((F221/1000)^0.77))*MAX(inputs!$I$14:$I$16))/F221))*(inputs!E$75*3.4/inputs!$E$73)</f>
        <v>0.31815810751101498</v>
      </c>
      <c r="T221" s="63">
        <f>IF((((inputs!$P$13/(V221/MAX(K221:S221)))^(1/inputs!$O$13))-1)/inputs!$N$13&lt;0, 0, IF((((inputs!$P$13/(V221/MAX(K221:S221)))^(1/inputs!$O$13))-1)/inputs!$N$13&lt;inputs!$I$17, (((inputs!$P$13/(V221/MAX(K221:S221)))^(1/inputs!$O$13))-1)/inputs!$N$13, inputs!$I$17))</f>
        <v>1000</v>
      </c>
      <c r="U221" s="63">
        <f>IF((((inputs!$P$13/(X221/MAX(K221:S221)))^(1/inputs!$O$13))-1)/inputs!$N$13&lt;0, 0, IF((((inputs!$P$13/(X221/MAX(K221:S221)))^(1/inputs!$O$13))-1)/inputs!$N$13&lt;inputs!$I$17, (((inputs!$P$13/(X221/MAX(K221:S221)))^(1/inputs!$O$13))-1)/inputs!$N$13, inputs!$I$17))</f>
        <v>28.176871032135939</v>
      </c>
      <c r="V221" s="21">
        <f>inputs!$E$78*(F221/inputs!$F$78)^(inputs!$E$84-1)</f>
        <v>2.5744004973284332E-2</v>
      </c>
      <c r="W221" s="21">
        <f>inputs!$E$85*(F221/inputs!$F$85)^(inputs!$E$84-1)</f>
        <v>1.1888107250470454</v>
      </c>
      <c r="X221" s="21">
        <f>inputs!$E$80*(F221/inputs!$F$80)^(inputs!$E$84-1)</f>
        <v>4.4392299226440306</v>
      </c>
      <c r="Y221" s="21">
        <f>inputs!$E$82*(F221/inputs!$F$82)^(inputs!$E$84-1)</f>
        <v>2.0459709215610178</v>
      </c>
      <c r="Z221" s="63">
        <f t="shared" si="22"/>
        <v>1619.5669043887904</v>
      </c>
      <c r="AA221" s="63">
        <f t="shared" si="23"/>
        <v>35.072141900050362</v>
      </c>
    </row>
    <row r="222" spans="1:27" x14ac:dyDescent="0.25">
      <c r="A222" s="103" t="s">
        <v>248</v>
      </c>
      <c r="B222" s="20" t="s">
        <v>252</v>
      </c>
      <c r="C222" s="20" t="s">
        <v>73</v>
      </c>
      <c r="D222" s="104" t="s">
        <v>240</v>
      </c>
      <c r="E222" s="15">
        <v>67</v>
      </c>
      <c r="F222" s="15">
        <v>5400</v>
      </c>
      <c r="G222" s="20" t="s">
        <v>182</v>
      </c>
      <c r="H222" s="20">
        <v>0.85</v>
      </c>
      <c r="I222" s="68">
        <f>MAX('Max rate concentrations'!$M$3:$M$368)</f>
        <v>17.092910873809167</v>
      </c>
      <c r="J222" s="68">
        <f>MAX('Max rate concentrations'!AE:AE)</f>
        <v>11.81956602976166</v>
      </c>
      <c r="K222" s="69">
        <f t="shared" ref="K222:K256" si="24">((0.301*F222^0.751)/(1-H222))*I222/F222</f>
        <v>4.0357589491229406</v>
      </c>
      <c r="L222" s="69">
        <f t="shared" ref="L222:L256" si="25">((0.301*F222^0.751)/(1-H222))*J222/F222</f>
        <v>2.7906843797126721</v>
      </c>
      <c r="M222" s="69">
        <f>IF((((1.18*F222^0.874)/3.7-(0.301*F222^0.751)/(1-H222)*H222)*(MAX('Max rate concentrations'!$P$3:$P$368)))/F222&gt;0, (((1.18*F222^0.874)/3.7-(0.301*F222^0.751)/(1-H222)*H222)*(MAX('Max rate concentrations'!$P$3:$P$368)))/F222, 0)</f>
        <v>0</v>
      </c>
      <c r="N222" s="69">
        <f>IF((((1.18*F222^0.874)/3.7-(0.301*F222^0.751)/(1-H222)*H222)*(MAX('Max rate concentrations'!$Q$3:$Q$368)))/F222&gt;0, (((1.18*F222^0.874)/3.7-(0.301*F222^0.751)/(1-H222)*H222)*(MAX('Max rate concentrations'!$Q$3:$Q$368)))/F222, 0)</f>
        <v>0</v>
      </c>
      <c r="O222" s="69">
        <f>((MAX('Max rate concentrations'!$F$3:$F$368))*0.62*6.01*8*(10*F222^0.667)*0.079*0.1/F222)*inputs!$E$80/(10^(0.84+0.62*LOG10(inputs!$E$80)))</f>
        <v>8.3920160106750359</v>
      </c>
      <c r="P222" s="69">
        <f>((MAX('Max rate concentrations'!Y:Y))*0.62*6.01*8*(10*F222^0.667)*0.079*0.1/F222)*inputs!$E$80/(10^(0.84+0.62*LOG10(inputs!$E$80)))</f>
        <v>2.7973386702250127</v>
      </c>
      <c r="Q222" s="69">
        <f>(inputs!$C$18*11.2*(10*F222^0.667)*0.5/F222)*inputs!$E$80/(10^(0.84+0.62*LOG10(inputs!$E$80)))</f>
        <v>1.4782140386815861</v>
      </c>
      <c r="R222" s="59">
        <f>(60*284*((F222/1000)^0.77)*3*24*(MAX('Max rate concentrations'!$R$3:$R$368))/F222)*(inputs!$E$73*3.4/inputs!$E$75)</f>
        <v>1.9082540405563651E-2</v>
      </c>
      <c r="S222" s="59">
        <f>(IF(inputs!$C$17="aerial",((0.025*0.112*inputs!$C$18/3.3)*(3*60*284*((F222/1000)^0.77))*MAX(inputs!$I$14:$I$16))/F222,((0.0083*0.112*inputs!$C$18/1)*(3*60*284*((F222/1000)^0.77))*MAX(inputs!$I$14:$I$16))/F222))*(inputs!E$75*3.4/inputs!$E$73)</f>
        <v>0.10524138273570169</v>
      </c>
      <c r="T222" s="63">
        <f>IF((((inputs!$P$13/(V222/MAX(K222:S222)))^(1/inputs!$O$13))-1)/inputs!$N$13&lt;0, 0, IF((((inputs!$P$13/(V222/MAX(K222:S222)))^(1/inputs!$O$13))-1)/inputs!$N$13&lt;inputs!$I$17, (((inputs!$P$13/(V222/MAX(K222:S222)))^(1/inputs!$O$13))-1)/inputs!$N$13, inputs!$I$17))</f>
        <v>1000</v>
      </c>
      <c r="U222" s="63">
        <f>IF((((inputs!$P$13/(X222/MAX(K222:S222)))^(1/inputs!$O$13))-1)/inputs!$N$13&lt;0, 0, IF((((inputs!$P$13/(X222/MAX(K222:S222)))^(1/inputs!$O$13))-1)/inputs!$N$13&lt;inputs!$I$17, (((inputs!$P$13/(X222/MAX(K222:S222)))^(1/inputs!$O$13))-1)/inputs!$N$13, inputs!$I$17))</f>
        <v>33.305037901220594</v>
      </c>
      <c r="V222" s="21">
        <f>inputs!$E$78*(F222/inputs!$F$78)^(inputs!$E$84-1)</f>
        <v>4.3427808073074944E-3</v>
      </c>
      <c r="W222" s="21">
        <f>inputs!$E$85*(F222/inputs!$F$85)^(inputs!$E$84-1)</f>
        <v>0.20054161757711042</v>
      </c>
      <c r="X222" s="21">
        <f>inputs!$E$80*(F222/inputs!$F$80)^(inputs!$E$84-1)</f>
        <v>0.74885793905376674</v>
      </c>
      <c r="Y222" s="21">
        <f>inputs!$E$82*(F222/inputs!$F$82)^(inputs!$E$84-1)</f>
        <v>0.34513679047549034</v>
      </c>
      <c r="Z222" s="63">
        <f t="shared" si="22"/>
        <v>1932.4060741343403</v>
      </c>
      <c r="AA222" s="63">
        <f t="shared" si="23"/>
        <v>41.846755362129336</v>
      </c>
    </row>
    <row r="223" spans="1:27" x14ac:dyDescent="0.25">
      <c r="A223" s="103" t="s">
        <v>248</v>
      </c>
      <c r="B223" s="20" t="s">
        <v>252</v>
      </c>
      <c r="C223" s="20" t="s">
        <v>73</v>
      </c>
      <c r="D223" s="104" t="s">
        <v>240</v>
      </c>
      <c r="E223" s="15">
        <v>67</v>
      </c>
      <c r="F223" s="15">
        <v>5400</v>
      </c>
      <c r="G223" s="20" t="s">
        <v>142</v>
      </c>
      <c r="H223" s="20">
        <v>0.69</v>
      </c>
      <c r="I223" s="68">
        <f>MAX('Max rate concentrations'!$H$3:$H$368)</f>
        <v>282</v>
      </c>
      <c r="J223" s="68">
        <f>MAX('Max rate concentrations'!AA:AA)</f>
        <v>195</v>
      </c>
      <c r="K223" s="69">
        <f t="shared" si="24"/>
        <v>32.217205247366515</v>
      </c>
      <c r="L223" s="69">
        <f t="shared" si="25"/>
        <v>22.277854692327907</v>
      </c>
      <c r="M223" s="69">
        <f>IF((((1.18*F223^0.874)/3.7-(0.301*F223^0.751)/(1-H223)*H223)*(MAX('Max rate concentrations'!$P$3:$P$368)))/F223&gt;0, (((1.18*F223^0.874)/3.7-(0.301*F223^0.751)/(1-H223)*H223)*(MAX('Max rate concentrations'!$P$3:$P$368)))/F223, 0)</f>
        <v>2.5398957379465095E-2</v>
      </c>
      <c r="N223" s="69">
        <f>IF((((1.18*F223^0.874)/3.7-(0.301*F223^0.751)/(1-H223)*H223)*(MAX('Max rate concentrations'!$Q$3:$Q$368)))/F223&gt;0, (((1.18*F223^0.874)/3.7-(0.301*F223^0.751)/(1-H223)*H223)*(MAX('Max rate concentrations'!$Q$3:$Q$368)))/F223, 0)</f>
        <v>9.6720594429783577E-2</v>
      </c>
      <c r="O223" s="69">
        <f>((MAX('Max rate concentrations'!$F$3:$F$368))*0.62*6.01*8*(10*F223^0.667)*0.079*0.1/F223)*inputs!$E$80/(10^(0.84+0.62*LOG10(inputs!$E$80)))</f>
        <v>8.3920160106750359</v>
      </c>
      <c r="P223" s="69">
        <f>((MAX('Max rate concentrations'!Y:Y))*0.62*6.01*8*(10*F223^0.667)*0.079*0.1/F223)*inputs!$E$80/(10^(0.84+0.62*LOG10(inputs!$E$80)))</f>
        <v>2.7973386702250127</v>
      </c>
      <c r="Q223" s="69">
        <f>(inputs!$C$18*11.2*(10*F223^0.667)*0.5/F223)*inputs!$E$80/(10^(0.84+0.62*LOG10(inputs!$E$80)))</f>
        <v>1.4782140386815861</v>
      </c>
      <c r="R223" s="59">
        <f>(60*284*((F223/1000)^0.77)*3*24*(MAX('Max rate concentrations'!$R$3:$R$368))/F223)*(inputs!$E$73*3.4/inputs!$E$75)</f>
        <v>1.9082540405563651E-2</v>
      </c>
      <c r="S223" s="59">
        <f>(IF(inputs!$C$17="aerial",((0.025*0.112*inputs!$C$18/3.3)*(3*60*284*((F223/1000)^0.77))*MAX(inputs!$I$14:$I$16))/F223,((0.0083*0.112*inputs!$C$18/1)*(3*60*284*((F223/1000)^0.77))*MAX(inputs!$I$14:$I$16))/F223))*(inputs!E$75*3.4/inputs!$E$73)</f>
        <v>0.10524138273570169</v>
      </c>
      <c r="T223" s="63">
        <f>IF((((inputs!$P$13/(V223/MAX(K223:S223)))^(1/inputs!$O$13))-1)/inputs!$N$13&lt;0, 0, IF((((inputs!$P$13/(V223/MAX(K223:S223)))^(1/inputs!$O$13))-1)/inputs!$N$13&lt;inputs!$I$17, (((inputs!$P$13/(V223/MAX(K223:S223)))^(1/inputs!$O$13))-1)/inputs!$N$13, inputs!$I$17))</f>
        <v>1000</v>
      </c>
      <c r="U223" s="63">
        <f>IF((((inputs!$P$13/(X223/MAX(K223:S223)))^(1/inputs!$O$13))-1)/inputs!$N$13&lt;0, 0, IF((((inputs!$P$13/(X223/MAX(K223:S223)))^(1/inputs!$O$13))-1)/inputs!$N$13&lt;inputs!$I$17, (((inputs!$P$13/(X223/MAX(K223:S223)))^(1/inputs!$O$13))-1)/inputs!$N$13, inputs!$I$17))</f>
        <v>109.13104683936109</v>
      </c>
      <c r="V223" s="21">
        <f>inputs!$E$78*(F223/inputs!$F$78)^(inputs!$E$84-1)</f>
        <v>4.3427808073074944E-3</v>
      </c>
      <c r="W223" s="21">
        <f>inputs!$E$85*(F223/inputs!$F$85)^(inputs!$E$84-1)</f>
        <v>0.20054161757711042</v>
      </c>
      <c r="X223" s="21">
        <f>inputs!$E$80*(F223/inputs!$F$80)^(inputs!$E$84-1)</f>
        <v>0.74885793905376674</v>
      </c>
      <c r="Y223" s="21">
        <f>inputs!$E$82*(F223/inputs!$F$82)^(inputs!$E$84-1)</f>
        <v>0.34513679047549034</v>
      </c>
      <c r="Z223" s="63">
        <f t="shared" si="22"/>
        <v>7418.5658168967193</v>
      </c>
      <c r="AA223" s="63">
        <f t="shared" si="23"/>
        <v>160.65096929308777</v>
      </c>
    </row>
    <row r="224" spans="1:27" x14ac:dyDescent="0.25">
      <c r="A224" s="103" t="s">
        <v>248</v>
      </c>
      <c r="B224" s="20" t="s">
        <v>252</v>
      </c>
      <c r="C224" s="20" t="s">
        <v>73</v>
      </c>
      <c r="D224" s="104" t="s">
        <v>240</v>
      </c>
      <c r="E224" s="15">
        <v>67</v>
      </c>
      <c r="F224" s="15">
        <v>5400</v>
      </c>
      <c r="G224" s="20" t="s">
        <v>164</v>
      </c>
      <c r="H224" s="20">
        <v>0.78</v>
      </c>
      <c r="I224" s="68">
        <f>inputs!$C$66*(inputs!$C$62/1000)</f>
        <v>8.2000000000000011</v>
      </c>
      <c r="J224" s="68">
        <f>inputs!$C$66*(inputs!$C$61/1000)</f>
        <v>2.5</v>
      </c>
      <c r="K224" s="69">
        <f t="shared" si="24"/>
        <v>1.3200537675500599</v>
      </c>
      <c r="L224" s="69">
        <f t="shared" si="25"/>
        <v>0.40245541693599385</v>
      </c>
      <c r="M224" s="69">
        <f>IF((((1.18*F224^0.874)/3.7-(0.301*F224^0.751)/(1-H224)*H224)*(MAX('Max rate concentrations'!$P$3:$P$368)))/F224&gt;0, (((1.18*F224^0.874)/3.7-(0.301*F224^0.751)/(1-H224)*H224)*(MAX('Max rate concentrations'!$P$3:$P$368)))/F224, 0)</f>
        <v>0</v>
      </c>
      <c r="N224" s="69">
        <f>IF((((1.18*F224^0.874)/3.7-(0.301*F224^0.751)/(1-H224)*H224)*(MAX('Max rate concentrations'!$Q$3:$Q$368)))/F224&gt;0, (((1.18*F224^0.874)/3.7-(0.301*F224^0.751)/(1-H224)*H224)*(MAX('Max rate concentrations'!$Q$3:$Q$368)))/F224, 0)</f>
        <v>0</v>
      </c>
      <c r="O224" s="69">
        <f>((MAX('Max rate concentrations'!$F$3:$F$368))*0.62*6.01*8*(10*F224^0.667)*0.079*0.1/F224)*inputs!$E$80/(10^(0.84+0.62*LOG10(inputs!$E$80)))</f>
        <v>8.3920160106750359</v>
      </c>
      <c r="P224" s="69">
        <f>((MAX('Max rate concentrations'!Y:Y))*0.62*6.01*8*(10*F224^0.667)*0.079*0.1/F224)*inputs!$E$80/(10^(0.84+0.62*LOG10(inputs!$E$80)))</f>
        <v>2.7973386702250127</v>
      </c>
      <c r="Q224" s="69">
        <f>(inputs!$C$18*11.2*(10*F224^0.667)*0.5/F224)*inputs!$E$80/(10^(0.84+0.62*LOG10(inputs!$E$80)))</f>
        <v>1.4782140386815861</v>
      </c>
      <c r="R224" s="59">
        <f>(60*284*((F224/1000)^0.77)*3*24*(MAX('Max rate concentrations'!$R$3:$R$368))/F224)*(inputs!$E$73*3.4/inputs!$E$75)</f>
        <v>1.9082540405563651E-2</v>
      </c>
      <c r="S224" s="59">
        <f>(IF(inputs!$C$17="aerial",((0.025*0.112*inputs!$C$18/3.3)*(3*60*284*((F224/1000)^0.77))*MAX(inputs!$I$14:$I$16))/F224,((0.0083*0.112*inputs!$C$18/1)*(3*60*284*((F224/1000)^0.77))*MAX(inputs!$I$14:$I$16))/F224))*(inputs!E$75*3.4/inputs!$E$73)</f>
        <v>0.10524138273570169</v>
      </c>
      <c r="T224" s="63">
        <f>IF((((inputs!$P$13/(V224/MAX(K224:S224)))^(1/inputs!$O$13))-1)/inputs!$N$13&lt;0, 0, IF((((inputs!$P$13/(V224/MAX(K224:S224)))^(1/inputs!$O$13))-1)/inputs!$N$13&lt;inputs!$I$17, (((inputs!$P$13/(V224/MAX(K224:S224)))^(1/inputs!$O$13))-1)/inputs!$N$13, inputs!$I$17))</f>
        <v>1000</v>
      </c>
      <c r="U224" s="63">
        <f>IF((((inputs!$P$13/(X224/MAX(K224:S224)))^(1/inputs!$O$13))-1)/inputs!$N$13&lt;0, 0, IF((((inputs!$P$13/(X224/MAX(K224:S224)))^(1/inputs!$O$13))-1)/inputs!$N$13&lt;inputs!$I$17, (((inputs!$P$13/(X224/MAX(K224:S224)))^(1/inputs!$O$13))-1)/inputs!$N$13, inputs!$I$17))</f>
        <v>33.305037901220594</v>
      </c>
      <c r="V224" s="21">
        <f>inputs!$E$78*(F224/inputs!$F$78)^(inputs!$E$84-1)</f>
        <v>4.3427808073074944E-3</v>
      </c>
      <c r="W224" s="21">
        <f>inputs!$E$85*(F224/inputs!$F$85)^(inputs!$E$84-1)</f>
        <v>0.20054161757711042</v>
      </c>
      <c r="X224" s="21">
        <f>inputs!$E$80*(F224/inputs!$F$80)^(inputs!$E$84-1)</f>
        <v>0.74885793905376674</v>
      </c>
      <c r="Y224" s="21">
        <f>inputs!$E$82*(F224/inputs!$F$82)^(inputs!$E$84-1)</f>
        <v>0.34513679047549034</v>
      </c>
      <c r="Z224" s="63">
        <f t="shared" si="22"/>
        <v>1932.4060741343403</v>
      </c>
      <c r="AA224" s="63">
        <f t="shared" si="23"/>
        <v>41.846755362129336</v>
      </c>
    </row>
    <row r="225" spans="1:27" x14ac:dyDescent="0.25">
      <c r="A225" s="103" t="s">
        <v>248</v>
      </c>
      <c r="B225" s="20" t="s">
        <v>252</v>
      </c>
      <c r="C225" s="20" t="s">
        <v>73</v>
      </c>
      <c r="D225" s="104" t="s">
        <v>240</v>
      </c>
      <c r="E225" s="15">
        <v>67</v>
      </c>
      <c r="F225" s="15">
        <v>5400</v>
      </c>
      <c r="G225" s="20" t="s">
        <v>138</v>
      </c>
      <c r="H225" s="20">
        <v>0.68</v>
      </c>
      <c r="I225" s="68">
        <f>MAX('Max rate concentrations'!$L$3:$L$368)</f>
        <v>350.52744091332482</v>
      </c>
      <c r="J225" s="68">
        <f>MAX('Max rate concentrations'!AD:AD)</f>
        <v>242.38599637623525</v>
      </c>
      <c r="K225" s="69">
        <f t="shared" si="24"/>
        <v>38.794708529576745</v>
      </c>
      <c r="L225" s="69">
        <f t="shared" si="25"/>
        <v>26.826128238537112</v>
      </c>
      <c r="M225" s="69">
        <f>IF((((1.18*F225^0.874)/3.7-(0.301*F225^0.751)/(1-H225)*H225)*(MAX('Max rate concentrations'!$P$3:$P$368)))/F225&gt;0, (((1.18*F225^0.874)/3.7-(0.301*F225^0.751)/(1-H225)*H225)*(MAX('Max rate concentrations'!$P$3:$P$368)))/F225, 0)</f>
        <v>2.8508175400788503E-2</v>
      </c>
      <c r="N225" s="69">
        <f>IF((((1.18*F225^0.874)/3.7-(0.301*F225^0.751)/(1-H225)*H225)*(MAX('Max rate concentrations'!$Q$3:$Q$368)))/F225&gt;0, (((1.18*F225^0.874)/3.7-(0.301*F225^0.751)/(1-H225)*H225)*(MAX('Max rate concentrations'!$Q$3:$Q$368)))/F225, 0)</f>
        <v>0.10856066371850683</v>
      </c>
      <c r="O225" s="69">
        <f>((MAX('Max rate concentrations'!$F$3:$F$368))*0.62*6.01*8*(10*F225^0.667)*0.079*0.1/F225)*inputs!$E$80/(10^(0.84+0.62*LOG10(inputs!$E$80)))</f>
        <v>8.3920160106750359</v>
      </c>
      <c r="P225" s="69">
        <f>((MAX('Max rate concentrations'!Y:Y))*0.62*6.01*8*(10*F225^0.667)*0.079*0.1/F225)*inputs!$E$80/(10^(0.84+0.62*LOG10(inputs!$E$80)))</f>
        <v>2.7973386702250127</v>
      </c>
      <c r="Q225" s="69">
        <f>(inputs!$C$18*11.2*(10*F225^0.667)*0.5/F225)*inputs!$E$80/(10^(0.84+0.62*LOG10(inputs!$E$80)))</f>
        <v>1.4782140386815861</v>
      </c>
      <c r="R225" s="59">
        <f>(60*284*((F225/1000)^0.77)*3*24*(MAX('Max rate concentrations'!$R$3:$R$368))/F225)*(inputs!$E$73*3.4/inputs!$E$75)</f>
        <v>1.9082540405563651E-2</v>
      </c>
      <c r="S225" s="59">
        <f>(IF(inputs!$C$17="aerial",((0.025*0.112*inputs!$C$18/3.3)*(3*60*284*((F225/1000)^0.77))*MAX(inputs!$I$14:$I$16))/F225,((0.0083*0.112*inputs!$C$18/1)*(3*60*284*((F225/1000)^0.77))*MAX(inputs!$I$14:$I$16))/F225))*(inputs!E$75*3.4/inputs!$E$73)</f>
        <v>0.10524138273570169</v>
      </c>
      <c r="T225" s="63">
        <f>IF((((inputs!$P$13/(V225/MAX(K225:S225)))^(1/inputs!$O$13))-1)/inputs!$N$13&lt;0, 0, IF((((inputs!$P$13/(V225/MAX(K225:S225)))^(1/inputs!$O$13))-1)/inputs!$N$13&lt;inputs!$I$17, (((inputs!$P$13/(V225/MAX(K225:S225)))^(1/inputs!$O$13))-1)/inputs!$N$13, inputs!$I$17))</f>
        <v>1000</v>
      </c>
      <c r="U225" s="63">
        <f>IF((((inputs!$P$13/(X225/MAX(K225:S225)))^(1/inputs!$O$13))-1)/inputs!$N$13&lt;0, 0, IF((((inputs!$P$13/(X225/MAX(K225:S225)))^(1/inputs!$O$13))-1)/inputs!$N$13&lt;inputs!$I$17, (((inputs!$P$13/(X225/MAX(K225:S225)))^(1/inputs!$O$13))-1)/inputs!$N$13, inputs!$I$17))</f>
        <v>127.66966717789317</v>
      </c>
      <c r="V225" s="21">
        <f>inputs!$E$78*(F225/inputs!$F$78)^(inputs!$E$84-1)</f>
        <v>4.3427808073074944E-3</v>
      </c>
      <c r="W225" s="21">
        <f>inputs!$E$85*(F225/inputs!$F$85)^(inputs!$E$84-1)</f>
        <v>0.20054161757711042</v>
      </c>
      <c r="X225" s="21">
        <f>inputs!$E$80*(F225/inputs!$F$80)^(inputs!$E$84-1)</f>
        <v>0.74885793905376674</v>
      </c>
      <c r="Y225" s="21">
        <f>inputs!$E$82*(F225/inputs!$F$82)^(inputs!$E$84-1)</f>
        <v>0.34513679047549034</v>
      </c>
      <c r="Z225" s="63">
        <f t="shared" si="22"/>
        <v>8933.1491159530342</v>
      </c>
      <c r="AA225" s="63">
        <f t="shared" si="23"/>
        <v>193.44966395645912</v>
      </c>
    </row>
    <row r="226" spans="1:27" x14ac:dyDescent="0.25">
      <c r="A226" s="103" t="s">
        <v>248</v>
      </c>
      <c r="B226" s="20" t="s">
        <v>252</v>
      </c>
      <c r="C226" s="20" t="s">
        <v>73</v>
      </c>
      <c r="D226" s="104" t="s">
        <v>240</v>
      </c>
      <c r="E226" s="15">
        <v>67</v>
      </c>
      <c r="F226" s="15">
        <v>5400</v>
      </c>
      <c r="G226" s="49" t="s">
        <v>186</v>
      </c>
      <c r="H226" s="49">
        <v>0.75</v>
      </c>
      <c r="I226" s="68">
        <f>inputs!$C$66*inputs!$C$64/1000</f>
        <v>21.3</v>
      </c>
      <c r="J226" s="68">
        <f>inputs!$C$66*inputs!$C$63/1000</f>
        <v>8.8000000000000007</v>
      </c>
      <c r="K226" s="69">
        <f t="shared" si="24"/>
        <v>3.0174497340193067</v>
      </c>
      <c r="L226" s="69">
        <f t="shared" si="25"/>
        <v>1.2466458995009344</v>
      </c>
      <c r="M226" s="69">
        <f>IF((((1.18*F226^0.874)/3.7-(0.301*F226^0.751)/(1-H226)*H226)*(MAX('Max rate concentrations'!$P$3:$P$368)))/F226&gt;0, (((1.18*F226^0.874)/3.7-(0.301*F226^0.751)/(1-H226)*H226)*(MAX('Max rate concentrations'!$P$3:$P$368)))/F226, 0)</f>
        <v>1.5201629757010946E-3</v>
      </c>
      <c r="N226" s="69">
        <f>IF((((1.18*F226^0.874)/3.7-(0.301*F226^0.751)/(1-H226)*H226)*(MAX('Max rate concentrations'!$Q$3:$Q$368)))/F226&gt;0, (((1.18*F226^0.874)/3.7-(0.301*F226^0.751)/(1-H226)*H226)*(MAX('Max rate concentrations'!$Q$3:$Q$368)))/F226, 0)</f>
        <v>5.788862292388122E-3</v>
      </c>
      <c r="O226" s="69">
        <f>((MAX('Max rate concentrations'!$F$3:$F$368))*0.62*6.01*8*(10*F226^0.667)*0.079*0.1/F226)*inputs!$E$80/(10^(0.84+0.62*LOG10(inputs!$E$80)))</f>
        <v>8.3920160106750359</v>
      </c>
      <c r="P226" s="69">
        <f>((MAX('Max rate concentrations'!Y:Y))*0.62*6.01*8*(10*F226^0.667)*0.079*0.1/F226)*inputs!$E$80/(10^(0.84+0.62*LOG10(inputs!$E$80)))</f>
        <v>2.7973386702250127</v>
      </c>
      <c r="Q226" s="69">
        <f>(inputs!$C$18*11.2*(10*F226^0.667)*0.5/F226)*inputs!$E$80/(10^(0.84+0.62*LOG10(inputs!$E$80)))</f>
        <v>1.4782140386815861</v>
      </c>
      <c r="R226" s="59">
        <f>(60*284*((F226/1000)^0.77)*3*24*(MAX('Max rate concentrations'!$R$3:$R$368))/F226)*(inputs!$E$73*3.4/inputs!$E$75)</f>
        <v>1.9082540405563651E-2</v>
      </c>
      <c r="S226" s="59">
        <f>(IF(inputs!$C$17="aerial",((0.025*0.112*inputs!$C$18/3.3)*(3*60*284*((F226/1000)^0.77))*MAX(inputs!$I$14:$I$16))/F226,((0.0083*0.112*inputs!$C$18/1)*(3*60*284*((F226/1000)^0.77))*MAX(inputs!$I$14:$I$16))/F226))*(inputs!E$75*3.4/inputs!$E$73)</f>
        <v>0.10524138273570169</v>
      </c>
      <c r="T226" s="63">
        <f>IF((((inputs!$P$13/(V226/MAX(K226:S226)))^(1/inputs!$O$13))-1)/inputs!$N$13&lt;0, 0, IF((((inputs!$P$13/(V226/MAX(K226:S226)))^(1/inputs!$O$13))-1)/inputs!$N$13&lt;inputs!$I$17, (((inputs!$P$13/(V226/MAX(K226:S226)))^(1/inputs!$O$13))-1)/inputs!$N$13, inputs!$I$17))</f>
        <v>1000</v>
      </c>
      <c r="U226" s="63">
        <f>IF((((inputs!$P$13/(X226/MAX(K226:S226)))^(1/inputs!$O$13))-1)/inputs!$N$13&lt;0, 0, IF((((inputs!$P$13/(X226/MAX(K226:S226)))^(1/inputs!$O$13))-1)/inputs!$N$13&lt;inputs!$I$17, (((inputs!$P$13/(X226/MAX(K226:S226)))^(1/inputs!$O$13))-1)/inputs!$N$13, inputs!$I$17))</f>
        <v>33.305037901220594</v>
      </c>
      <c r="V226" s="21">
        <f>inputs!$E$78*(F226/inputs!$F$78)^(inputs!$E$84-1)</f>
        <v>4.3427808073074944E-3</v>
      </c>
      <c r="W226" s="21">
        <f>inputs!$E$85*(F226/inputs!$F$85)^(inputs!$E$84-1)</f>
        <v>0.20054161757711042</v>
      </c>
      <c r="X226" s="21">
        <f>inputs!$E$80*(F226/inputs!$F$80)^(inputs!$E$84-1)</f>
        <v>0.74885793905376674</v>
      </c>
      <c r="Y226" s="21">
        <f>inputs!$E$82*(F226/inputs!$F$82)^(inputs!$E$84-1)</f>
        <v>0.34513679047549034</v>
      </c>
      <c r="Z226" s="63">
        <f t="shared" si="22"/>
        <v>1932.4060741343403</v>
      </c>
      <c r="AA226" s="63">
        <f t="shared" si="23"/>
        <v>41.846755362129336</v>
      </c>
    </row>
    <row r="227" spans="1:27" x14ac:dyDescent="0.25">
      <c r="A227" s="103" t="s">
        <v>248</v>
      </c>
      <c r="B227" s="20" t="s">
        <v>252</v>
      </c>
      <c r="C227" s="20" t="s">
        <v>73</v>
      </c>
      <c r="D227" s="104" t="s">
        <v>240</v>
      </c>
      <c r="E227" s="15">
        <v>67</v>
      </c>
      <c r="F227" s="15">
        <v>5400</v>
      </c>
      <c r="G227" s="20" t="s">
        <v>152</v>
      </c>
      <c r="H227" s="20">
        <v>0.77</v>
      </c>
      <c r="I227" s="68">
        <f>MAX('Max rate concentrations'!$G$3:$G$368)</f>
        <v>45</v>
      </c>
      <c r="J227" s="68">
        <f>MAX('Max rate concentrations'!Z:Z)</f>
        <v>21</v>
      </c>
      <c r="K227" s="69">
        <f t="shared" si="24"/>
        <v>6.9292323959414581</v>
      </c>
      <c r="L227" s="69">
        <f t="shared" si="25"/>
        <v>3.2336417847726806</v>
      </c>
      <c r="M227" s="69">
        <f>IF((((1.18*F227^0.874)/3.7-(0.301*F227^0.751)/(1-H227)*H227)*(MAX('Max rate concentrations'!$P$3:$P$368)))/F227&gt;0, (((1.18*F227^0.874)/3.7-(0.301*F227^0.751)/(1-H227)*H227)*(MAX('Max rate concentrations'!$P$3:$P$368)))/F227, 0)</f>
        <v>0</v>
      </c>
      <c r="N227" s="69">
        <f>IF((((1.18*F227^0.874)/3.7-(0.301*F227^0.751)/(1-H227)*H227)*(MAX('Max rate concentrations'!$Q$3:$Q$368)))/F227&gt;0, (((1.18*F227^0.874)/3.7-(0.301*F227^0.751)/(1-H227)*H227)*(MAX('Max rate concentrations'!$Q$3:$Q$368)))/F227, 0)</f>
        <v>0</v>
      </c>
      <c r="O227" s="69">
        <f>((MAX('Max rate concentrations'!$F$3:$F$368))*0.62*6.01*8*(10*F227^0.667)*0.079*0.1/F227)*inputs!$E$80/(10^(0.84+0.62*LOG10(inputs!$E$80)))</f>
        <v>8.3920160106750359</v>
      </c>
      <c r="P227" s="69">
        <f>((MAX('Max rate concentrations'!Y:Y))*0.62*6.01*8*(10*F227^0.667)*0.079*0.1/F227)*inputs!$E$80/(10^(0.84+0.62*LOG10(inputs!$E$80)))</f>
        <v>2.7973386702250127</v>
      </c>
      <c r="Q227" s="69">
        <f>(inputs!$C$18*11.2*(10*F227^0.667)*0.5/F227)*inputs!$E$80/(10^(0.84+0.62*LOG10(inputs!$E$80)))</f>
        <v>1.4782140386815861</v>
      </c>
      <c r="R227" s="59">
        <f>(60*284*((F227/1000)^0.77)*3*24*(MAX('Max rate concentrations'!$R$3:$R$368))/F227)*(inputs!$E$73*3.4/inputs!$E$75)</f>
        <v>1.9082540405563651E-2</v>
      </c>
      <c r="S227" s="59">
        <f>(IF(inputs!$C$17="aerial",((0.025*0.112*inputs!$C$18/3.3)*(3*60*284*((F227/1000)^0.77))*MAX(inputs!$I$14:$I$16))/F227,((0.0083*0.112*inputs!$C$18/1)*(3*60*284*((F227/1000)^0.77))*MAX(inputs!$I$14:$I$16))/F227))*(inputs!E$75*3.4/inputs!$E$73)</f>
        <v>0.10524138273570169</v>
      </c>
      <c r="T227" s="63">
        <f>IF((((inputs!$P$13/(V227/MAX(K227:S227)))^(1/inputs!$O$13))-1)/inputs!$N$13&lt;0, 0, IF((((inputs!$P$13/(V227/MAX(K227:S227)))^(1/inputs!$O$13))-1)/inputs!$N$13&lt;inputs!$I$17, (((inputs!$P$13/(V227/MAX(K227:S227)))^(1/inputs!$O$13))-1)/inputs!$N$13, inputs!$I$17))</f>
        <v>1000</v>
      </c>
      <c r="U227" s="63">
        <f>IF((((inputs!$P$13/(X227/MAX(K227:S227)))^(1/inputs!$O$13))-1)/inputs!$N$13&lt;0, 0, IF((((inputs!$P$13/(X227/MAX(K227:S227)))^(1/inputs!$O$13))-1)/inputs!$N$13&lt;inputs!$I$17, (((inputs!$P$13/(X227/MAX(K227:S227)))^(1/inputs!$O$13))-1)/inputs!$N$13, inputs!$I$17))</f>
        <v>33.305037901220594</v>
      </c>
      <c r="V227" s="21">
        <f>inputs!$E$78*(F227/inputs!$F$78)^(inputs!$E$84-1)</f>
        <v>4.3427808073074944E-3</v>
      </c>
      <c r="W227" s="21">
        <f>inputs!$E$85*(F227/inputs!$F$85)^(inputs!$E$84-1)</f>
        <v>0.20054161757711042</v>
      </c>
      <c r="X227" s="21">
        <f>inputs!$E$80*(F227/inputs!$F$80)^(inputs!$E$84-1)</f>
        <v>0.74885793905376674</v>
      </c>
      <c r="Y227" s="21">
        <f>inputs!$E$82*(F227/inputs!$F$82)^(inputs!$E$84-1)</f>
        <v>0.34513679047549034</v>
      </c>
      <c r="Z227" s="63">
        <f t="shared" si="22"/>
        <v>1932.4060741343403</v>
      </c>
      <c r="AA227" s="63">
        <f t="shared" si="23"/>
        <v>41.846755362129336</v>
      </c>
    </row>
    <row r="228" spans="1:27" x14ac:dyDescent="0.25">
      <c r="A228" s="103" t="s">
        <v>248</v>
      </c>
      <c r="B228" s="20" t="s">
        <v>252</v>
      </c>
      <c r="C228" s="20" t="s">
        <v>73</v>
      </c>
      <c r="D228" s="104" t="s">
        <v>240</v>
      </c>
      <c r="E228" s="15">
        <v>67</v>
      </c>
      <c r="F228" s="15">
        <v>5400</v>
      </c>
      <c r="G228" s="21" t="s">
        <v>456</v>
      </c>
      <c r="H228" s="20">
        <v>0.68</v>
      </c>
      <c r="I228" s="68">
        <f>MAX('Max rate concentrations'!$J$3:$J$368)</f>
        <v>686.46486205830786</v>
      </c>
      <c r="J228" s="68">
        <f>MAX('Max rate concentrations'!AB:AB)</f>
        <v>243.122971978984</v>
      </c>
      <c r="K228" s="69">
        <f t="shared" si="24"/>
        <v>75.974663124686074</v>
      </c>
      <c r="L228" s="69">
        <f t="shared" si="25"/>
        <v>26.907693189992983</v>
      </c>
      <c r="M228" s="69">
        <f>IF((((1.18*F228^0.874)/3.7-(0.301*F228^0.751)/(1-H228)*H228)*(MAX('Max rate concentrations'!$P$3:$P$368)))/F228&gt;0, (((1.18*F228^0.874)/3.7-(0.301*F228^0.751)/(1-H228)*H228)*(MAX('Max rate concentrations'!$P$3:$P$368)))/F228, 0)</f>
        <v>2.8508175400788503E-2</v>
      </c>
      <c r="N228" s="69">
        <f>IF((((1.18*F228^0.874)/3.7-(0.301*F228^0.751)/(1-H228)*H228)*(MAX('Max rate concentrations'!$Q$3:$Q$368)))/F228&gt;0, (((1.18*F228^0.874)/3.7-(0.301*F228^0.751)/(1-H228)*H228)*(MAX('Max rate concentrations'!$Q$3:$Q$368)))/F228, 0)</f>
        <v>0.10856066371850683</v>
      </c>
      <c r="O228" s="69">
        <f>((MAX('Max rate concentrations'!$F$3:$F$368))*0.62*6.01*8*(10*F228^0.667)*0.079*0.1/F228)*inputs!$E$80/(10^(0.84+0.62*LOG10(inputs!$E$80)))</f>
        <v>8.3920160106750359</v>
      </c>
      <c r="P228" s="69">
        <f>((MAX('Max rate concentrations'!Y:Y))*0.62*6.01*8*(10*F228^0.667)*0.079*0.1/F228)*inputs!$E$80/(10^(0.84+0.62*LOG10(inputs!$E$80)))</f>
        <v>2.7973386702250127</v>
      </c>
      <c r="Q228" s="69">
        <f>(inputs!$C$18*11.2*(10*F228^0.667)*0.5/F228)*inputs!$E$80/(10^(0.84+0.62*LOG10(inputs!$E$80)))</f>
        <v>1.4782140386815861</v>
      </c>
      <c r="R228" s="59">
        <f>(60*284*((F228/1000)^0.77)*3*24*(MAX('Max rate concentrations'!$R$3:$R$368))/F228)*(inputs!$E$73*3.4/inputs!$E$75)</f>
        <v>1.9082540405563651E-2</v>
      </c>
      <c r="S228" s="59">
        <f>(IF(inputs!$C$17="aerial",((0.025*0.112*inputs!$C$18/3.3)*(3*60*284*((F228/1000)^0.77))*MAX(inputs!$I$14:$I$16))/F228,((0.0083*0.112*inputs!$C$18/1)*(3*60*284*((F228/1000)^0.77))*MAX(inputs!$I$14:$I$16))/F228))*(inputs!E$75*3.4/inputs!$E$73)</f>
        <v>0.10524138273570169</v>
      </c>
      <c r="T228" s="63">
        <f>IF((((inputs!$P$13/(V228/MAX(K228:S228)))^(1/inputs!$O$13))-1)/inputs!$N$13&lt;0, 0, IF((((inputs!$P$13/(V228/MAX(K228:S228)))^(1/inputs!$O$13))-1)/inputs!$N$13&lt;inputs!$I$17, (((inputs!$P$13/(V228/MAX(K228:S228)))^(1/inputs!$O$13))-1)/inputs!$N$13, inputs!$I$17))</f>
        <v>1000</v>
      </c>
      <c r="U228" s="63">
        <f>IF((((inputs!$P$13/(X228/MAX(K228:S228)))^(1/inputs!$O$13))-1)/inputs!$N$13&lt;0, 0, IF((((inputs!$P$13/(X228/MAX(K228:S228)))^(1/inputs!$O$13))-1)/inputs!$N$13&lt;inputs!$I$17, (((inputs!$P$13/(X228/MAX(K228:S228)))^(1/inputs!$O$13))-1)/inputs!$N$13, inputs!$I$17))</f>
        <v>223.62888608893857</v>
      </c>
      <c r="V228" s="21">
        <f>inputs!$E$78*(F228/inputs!$F$78)^(inputs!$E$84-1)</f>
        <v>4.3427808073074944E-3</v>
      </c>
      <c r="W228" s="21">
        <f>inputs!$E$85*(F228/inputs!$F$85)^(inputs!$E$84-1)</f>
        <v>0.20054161757711042</v>
      </c>
      <c r="X228" s="21">
        <f>inputs!$E$80*(F228/inputs!$F$80)^(inputs!$E$84-1)</f>
        <v>0.74885793905376674</v>
      </c>
      <c r="Y228" s="21">
        <f>inputs!$E$82*(F228/inputs!$F$82)^(inputs!$E$84-1)</f>
        <v>0.34513679047549034</v>
      </c>
      <c r="Z228" s="63">
        <f t="shared" si="22"/>
        <v>17494.473356068378</v>
      </c>
      <c r="AA228" s="63">
        <f t="shared" si="23"/>
        <v>378.8473636674093</v>
      </c>
    </row>
    <row r="229" spans="1:27" x14ac:dyDescent="0.25">
      <c r="A229" s="103" t="s">
        <v>248</v>
      </c>
      <c r="B229" s="20" t="s">
        <v>252</v>
      </c>
      <c r="C229" s="20" t="s">
        <v>73</v>
      </c>
      <c r="D229" s="104" t="s">
        <v>240</v>
      </c>
      <c r="E229" s="15">
        <v>67</v>
      </c>
      <c r="F229" s="15">
        <v>5400</v>
      </c>
      <c r="G229" s="20" t="s">
        <v>154</v>
      </c>
      <c r="H229" s="20">
        <v>9.2999999999999999E-2</v>
      </c>
      <c r="I229" s="68">
        <f>MAX('Max rate concentrations'!$G$3:$G$368)</f>
        <v>45</v>
      </c>
      <c r="J229" s="68">
        <f>MAX('Max rate concentrations'!Z:Z)</f>
        <v>21</v>
      </c>
      <c r="K229" s="69">
        <f t="shared" si="24"/>
        <v>1.7571372117602371</v>
      </c>
      <c r="L229" s="69">
        <f t="shared" si="25"/>
        <v>0.81999736548811075</v>
      </c>
      <c r="M229" s="69">
        <f>IF((((1.18*F229^0.874)/3.7-(0.301*F229^0.751)/(1-H229)*H229)*(MAX('Max rate concentrations'!$P$3:$P$368)))/F229&gt;0, (((1.18*F229^0.874)/3.7-(0.301*F229^0.751)/(1-H229)*H229)*(MAX('Max rate concentrations'!$P$3:$P$368)))/F229, 0)</f>
        <v>9.0887933211177191E-2</v>
      </c>
      <c r="N229" s="69">
        <f>IF((((1.18*F229^0.874)/3.7-(0.301*F229^0.751)/(1-H229)*H229)*(MAX('Max rate concentrations'!$Q$3:$Q$368)))/F229&gt;0, (((1.18*F229^0.874)/3.7-(0.301*F229^0.751)/(1-H229)*H229)*(MAX('Max rate concentrations'!$Q$3:$Q$368)))/F229, 0)</f>
        <v>0.34610613322997191</v>
      </c>
      <c r="O229" s="69">
        <f>((MAX('Max rate concentrations'!$F$3:$F$368))*0.62*6.01*8*(10*F229^0.667)*0.079*0.1/F229)*inputs!$E$80/(10^(0.84+0.62*LOG10(inputs!$E$80)))</f>
        <v>8.3920160106750359</v>
      </c>
      <c r="P229" s="69">
        <f>((MAX('Max rate concentrations'!Y:Y))*0.62*6.01*8*(10*F229^0.667)*0.079*0.1/F229)*inputs!$E$80/(10^(0.84+0.62*LOG10(inputs!$E$80)))</f>
        <v>2.7973386702250127</v>
      </c>
      <c r="Q229" s="69">
        <f>(inputs!$C$18*11.2*(10*F229^0.667)*0.5/F229)*inputs!$E$80/(10^(0.84+0.62*LOG10(inputs!$E$80)))</f>
        <v>1.4782140386815861</v>
      </c>
      <c r="R229" s="59">
        <f>(60*284*((F229/1000)^0.77)*3*24*(MAX('Max rate concentrations'!$R$3:$R$368))/F229)*(inputs!$E$73*3.4/inputs!$E$75)</f>
        <v>1.9082540405563651E-2</v>
      </c>
      <c r="S229" s="59">
        <f>(IF(inputs!$C$17="aerial",((0.025*0.112*inputs!$C$18/3.3)*(3*60*284*((F229/1000)^0.77))*MAX(inputs!$I$14:$I$16))/F229,((0.0083*0.112*inputs!$C$18/1)*(3*60*284*((F229/1000)^0.77))*MAX(inputs!$I$14:$I$16))/F229))*(inputs!E$75*3.4/inputs!$E$73)</f>
        <v>0.10524138273570169</v>
      </c>
      <c r="T229" s="63">
        <f>IF((((inputs!$P$13/(V229/MAX(K229:S229)))^(1/inputs!$O$13))-1)/inputs!$N$13&lt;0, 0, IF((((inputs!$P$13/(V229/MAX(K229:S229)))^(1/inputs!$O$13))-1)/inputs!$N$13&lt;inputs!$I$17, (((inputs!$P$13/(V229/MAX(K229:S229)))^(1/inputs!$O$13))-1)/inputs!$N$13, inputs!$I$17))</f>
        <v>1000</v>
      </c>
      <c r="U229" s="63">
        <f>IF((((inputs!$P$13/(X229/MAX(K229:S229)))^(1/inputs!$O$13))-1)/inputs!$N$13&lt;0, 0, IF((((inputs!$P$13/(X229/MAX(K229:S229)))^(1/inputs!$O$13))-1)/inputs!$N$13&lt;inputs!$I$17, (((inputs!$P$13/(X229/MAX(K229:S229)))^(1/inputs!$O$13))-1)/inputs!$N$13, inputs!$I$17))</f>
        <v>33.305037901220594</v>
      </c>
      <c r="V229" s="21">
        <f>inputs!$E$78*(F229/inputs!$F$78)^(inputs!$E$84-1)</f>
        <v>4.3427808073074944E-3</v>
      </c>
      <c r="W229" s="21">
        <f>inputs!$E$85*(F229/inputs!$F$85)^(inputs!$E$84-1)</f>
        <v>0.20054161757711042</v>
      </c>
      <c r="X229" s="21">
        <f>inputs!$E$80*(F229/inputs!$F$80)^(inputs!$E$84-1)</f>
        <v>0.74885793905376674</v>
      </c>
      <c r="Y229" s="21">
        <f>inputs!$E$82*(F229/inputs!$F$82)^(inputs!$E$84-1)</f>
        <v>0.34513679047549034</v>
      </c>
      <c r="Z229" s="63">
        <f t="shared" si="22"/>
        <v>1932.4060741343403</v>
      </c>
      <c r="AA229" s="63">
        <f t="shared" si="23"/>
        <v>41.846755362129336</v>
      </c>
    </row>
    <row r="230" spans="1:27" ht="39.6" x14ac:dyDescent="0.25">
      <c r="A230" s="103" t="s">
        <v>248</v>
      </c>
      <c r="B230" s="20" t="s">
        <v>249</v>
      </c>
      <c r="C230" s="20" t="s">
        <v>73</v>
      </c>
      <c r="D230" s="104" t="s">
        <v>240</v>
      </c>
      <c r="E230" s="15">
        <v>7342</v>
      </c>
      <c r="F230" s="15">
        <v>5400</v>
      </c>
      <c r="G230" s="20" t="s">
        <v>182</v>
      </c>
      <c r="H230" s="20">
        <v>0.85</v>
      </c>
      <c r="I230" s="68">
        <f>MAX('Max rate concentrations'!$M$3:$M$368)</f>
        <v>17.092910873809167</v>
      </c>
      <c r="J230" s="68">
        <f>MAX('Max rate concentrations'!AE:AE)</f>
        <v>11.81956602976166</v>
      </c>
      <c r="K230" s="69">
        <f t="shared" si="24"/>
        <v>4.0357589491229406</v>
      </c>
      <c r="L230" s="69">
        <f t="shared" si="25"/>
        <v>2.7906843797126721</v>
      </c>
      <c r="M230" s="69">
        <f>IF((((1.18*F230^0.874)/3.7-(0.301*F230^0.751)/(1-H230)*H230)*(MAX('Max rate concentrations'!$P$3:$P$368)))/F230&gt;0, (((1.18*F230^0.874)/3.7-(0.301*F230^0.751)/(1-H230)*H230)*(MAX('Max rate concentrations'!$P$3:$P$368)))/F230, 0)</f>
        <v>0</v>
      </c>
      <c r="N230" s="69">
        <f>IF((((1.18*F230^0.874)/3.7-(0.301*F230^0.751)/(1-H230)*H230)*(MAX('Max rate concentrations'!$Q$3:$Q$368)))/F230&gt;0, (((1.18*F230^0.874)/3.7-(0.301*F230^0.751)/(1-H230)*H230)*(MAX('Max rate concentrations'!$Q$3:$Q$368)))/F230, 0)</f>
        <v>0</v>
      </c>
      <c r="O230" s="69">
        <f>((MAX('Max rate concentrations'!$F$3:$F$368))*0.62*6.01*8*(10*F230^0.667)*0.079*0.1/F230)*inputs!$E$80/(10^(0.84+0.62*LOG10(inputs!$E$80)))</f>
        <v>8.3920160106750359</v>
      </c>
      <c r="P230" s="69">
        <f>((MAX('Max rate concentrations'!Y:Y))*0.62*6.01*8*(10*F230^0.667)*0.079*0.1/F230)*inputs!$E$80/(10^(0.84+0.62*LOG10(inputs!$E$80)))</f>
        <v>2.7973386702250127</v>
      </c>
      <c r="Q230" s="69">
        <f>(inputs!$C$18*11.2*(10*F230^0.667)*0.5/F230)*inputs!$E$80/(10^(0.84+0.62*LOG10(inputs!$E$80)))</f>
        <v>1.4782140386815861</v>
      </c>
      <c r="R230" s="59">
        <f>(60*284*((F230/1000)^0.77)*3*24*(MAX('Max rate concentrations'!$R$3:$R$368))/F230)*(inputs!$E$73*3.4/inputs!$E$75)</f>
        <v>1.9082540405563651E-2</v>
      </c>
      <c r="S230" s="59">
        <f>(IF(inputs!$C$17="aerial",((0.025*0.112*inputs!$C$18/3.3)*(3*60*284*((F230/1000)^0.77))*MAX(inputs!$I$14:$I$16))/F230,((0.0083*0.112*inputs!$C$18/1)*(3*60*284*((F230/1000)^0.77))*MAX(inputs!$I$14:$I$16))/F230))*(inputs!E$75*3.4/inputs!$E$73)</f>
        <v>0.10524138273570169</v>
      </c>
      <c r="T230" s="63">
        <f>IF((((inputs!$P$13/(V230/MAX(K230:S230)))^(1/inputs!$O$13))-1)/inputs!$N$13&lt;0, 0, IF((((inputs!$P$13/(V230/MAX(K230:S230)))^(1/inputs!$O$13))-1)/inputs!$N$13&lt;inputs!$I$17, (((inputs!$P$13/(V230/MAX(K230:S230)))^(1/inputs!$O$13))-1)/inputs!$N$13, inputs!$I$17))</f>
        <v>1000</v>
      </c>
      <c r="U230" s="63">
        <f>IF((((inputs!$P$13/(X230/MAX(K230:S230)))^(1/inputs!$O$13))-1)/inputs!$N$13&lt;0, 0, IF((((inputs!$P$13/(X230/MAX(K230:S230)))^(1/inputs!$O$13))-1)/inputs!$N$13&lt;inputs!$I$17, (((inputs!$P$13/(X230/MAX(K230:S230)))^(1/inputs!$O$13))-1)/inputs!$N$13, inputs!$I$17))</f>
        <v>33.305037901220594</v>
      </c>
      <c r="V230" s="21">
        <f>inputs!$E$78*(F230/inputs!$F$78)^(inputs!$E$84-1)</f>
        <v>4.3427808073074944E-3</v>
      </c>
      <c r="W230" s="21">
        <f>inputs!$E$85*(F230/inputs!$F$85)^(inputs!$E$84-1)</f>
        <v>0.20054161757711042</v>
      </c>
      <c r="X230" s="21">
        <f>inputs!$E$80*(F230/inputs!$F$80)^(inputs!$E$84-1)</f>
        <v>0.74885793905376674</v>
      </c>
      <c r="Y230" s="21">
        <f>inputs!$E$82*(F230/inputs!$F$82)^(inputs!$E$84-1)</f>
        <v>0.34513679047549034</v>
      </c>
      <c r="Z230" s="63">
        <f t="shared" si="22"/>
        <v>1932.4060741343403</v>
      </c>
      <c r="AA230" s="63">
        <f t="shared" si="23"/>
        <v>41.846755362129336</v>
      </c>
    </row>
    <row r="231" spans="1:27" ht="39.6" x14ac:dyDescent="0.25">
      <c r="A231" s="103" t="s">
        <v>248</v>
      </c>
      <c r="B231" s="20" t="s">
        <v>249</v>
      </c>
      <c r="C231" s="20" t="s">
        <v>73</v>
      </c>
      <c r="D231" s="104" t="s">
        <v>240</v>
      </c>
      <c r="E231" s="15">
        <v>7342</v>
      </c>
      <c r="F231" s="15">
        <v>5400</v>
      </c>
      <c r="G231" s="20" t="s">
        <v>142</v>
      </c>
      <c r="H231" s="20">
        <v>0.69</v>
      </c>
      <c r="I231" s="68">
        <f>MAX('Max rate concentrations'!$H$3:$H$368)</f>
        <v>282</v>
      </c>
      <c r="J231" s="68">
        <f>MAX('Max rate concentrations'!AA:AA)</f>
        <v>195</v>
      </c>
      <c r="K231" s="69">
        <f t="shared" si="24"/>
        <v>32.217205247366515</v>
      </c>
      <c r="L231" s="69">
        <f t="shared" si="25"/>
        <v>22.277854692327907</v>
      </c>
      <c r="M231" s="69">
        <f>IF((((1.18*F231^0.874)/3.7-(0.301*F231^0.751)/(1-H231)*H231)*(MAX('Max rate concentrations'!$P$3:$P$368)))/F231&gt;0, (((1.18*F231^0.874)/3.7-(0.301*F231^0.751)/(1-H231)*H231)*(MAX('Max rate concentrations'!$P$3:$P$368)))/F231, 0)</f>
        <v>2.5398957379465095E-2</v>
      </c>
      <c r="N231" s="69">
        <f>IF((((1.18*F231^0.874)/3.7-(0.301*F231^0.751)/(1-H231)*H231)*(MAX('Max rate concentrations'!$Q$3:$Q$368)))/F231&gt;0, (((1.18*F231^0.874)/3.7-(0.301*F231^0.751)/(1-H231)*H231)*(MAX('Max rate concentrations'!$Q$3:$Q$368)))/F231, 0)</f>
        <v>9.6720594429783577E-2</v>
      </c>
      <c r="O231" s="69">
        <f>((MAX('Max rate concentrations'!$F$3:$F$368))*0.62*6.01*8*(10*F231^0.667)*0.079*0.1/F231)*inputs!$E$80/(10^(0.84+0.62*LOG10(inputs!$E$80)))</f>
        <v>8.3920160106750359</v>
      </c>
      <c r="P231" s="69">
        <f>((MAX('Max rate concentrations'!Y:Y))*0.62*6.01*8*(10*F231^0.667)*0.079*0.1/F231)*inputs!$E$80/(10^(0.84+0.62*LOG10(inputs!$E$80)))</f>
        <v>2.7973386702250127</v>
      </c>
      <c r="Q231" s="69">
        <f>(inputs!$C$18*11.2*(10*F231^0.667)*0.5/F231)*inputs!$E$80/(10^(0.84+0.62*LOG10(inputs!$E$80)))</f>
        <v>1.4782140386815861</v>
      </c>
      <c r="R231" s="59">
        <f>(60*284*((F231/1000)^0.77)*3*24*(MAX('Max rate concentrations'!$R$3:$R$368))/F231)*(inputs!$E$73*3.4/inputs!$E$75)</f>
        <v>1.9082540405563651E-2</v>
      </c>
      <c r="S231" s="59">
        <f>(IF(inputs!$C$17="aerial",((0.025*0.112*inputs!$C$18/3.3)*(3*60*284*((F231/1000)^0.77))*MAX(inputs!$I$14:$I$16))/F231,((0.0083*0.112*inputs!$C$18/1)*(3*60*284*((F231/1000)^0.77))*MAX(inputs!$I$14:$I$16))/F231))*(inputs!E$75*3.4/inputs!$E$73)</f>
        <v>0.10524138273570169</v>
      </c>
      <c r="T231" s="63">
        <f>IF((((inputs!$P$13/(V231/MAX(K231:S231)))^(1/inputs!$O$13))-1)/inputs!$N$13&lt;0, 0, IF((((inputs!$P$13/(V231/MAX(K231:S231)))^(1/inputs!$O$13))-1)/inputs!$N$13&lt;inputs!$I$17, (((inputs!$P$13/(V231/MAX(K231:S231)))^(1/inputs!$O$13))-1)/inputs!$N$13, inputs!$I$17))</f>
        <v>1000</v>
      </c>
      <c r="U231" s="63">
        <f>IF((((inputs!$P$13/(X231/MAX(K231:S231)))^(1/inputs!$O$13))-1)/inputs!$N$13&lt;0, 0, IF((((inputs!$P$13/(X231/MAX(K231:S231)))^(1/inputs!$O$13))-1)/inputs!$N$13&lt;inputs!$I$17, (((inputs!$P$13/(X231/MAX(K231:S231)))^(1/inputs!$O$13))-1)/inputs!$N$13, inputs!$I$17))</f>
        <v>109.13104683936109</v>
      </c>
      <c r="V231" s="21">
        <f>inputs!$E$78*(F231/inputs!$F$78)^(inputs!$E$84-1)</f>
        <v>4.3427808073074944E-3</v>
      </c>
      <c r="W231" s="21">
        <f>inputs!$E$85*(F231/inputs!$F$85)^(inputs!$E$84-1)</f>
        <v>0.20054161757711042</v>
      </c>
      <c r="X231" s="21">
        <f>inputs!$E$80*(F231/inputs!$F$80)^(inputs!$E$84-1)</f>
        <v>0.74885793905376674</v>
      </c>
      <c r="Y231" s="21">
        <f>inputs!$E$82*(F231/inputs!$F$82)^(inputs!$E$84-1)</f>
        <v>0.34513679047549034</v>
      </c>
      <c r="Z231" s="63">
        <f t="shared" si="22"/>
        <v>7418.5658168967193</v>
      </c>
      <c r="AA231" s="63">
        <f t="shared" si="23"/>
        <v>160.65096929308777</v>
      </c>
    </row>
    <row r="232" spans="1:27" ht="39.6" x14ac:dyDescent="0.25">
      <c r="A232" s="103" t="s">
        <v>248</v>
      </c>
      <c r="B232" s="20" t="s">
        <v>249</v>
      </c>
      <c r="C232" s="20" t="s">
        <v>73</v>
      </c>
      <c r="D232" s="104" t="s">
        <v>240</v>
      </c>
      <c r="E232" s="15">
        <v>7342</v>
      </c>
      <c r="F232" s="15">
        <v>5400</v>
      </c>
      <c r="G232" s="20" t="s">
        <v>164</v>
      </c>
      <c r="H232" s="20">
        <v>0.78</v>
      </c>
      <c r="I232" s="68">
        <f>inputs!$C$66*(inputs!$C$62/1000)</f>
        <v>8.2000000000000011</v>
      </c>
      <c r="J232" s="68">
        <f>inputs!$C$66*(inputs!$C$61/1000)</f>
        <v>2.5</v>
      </c>
      <c r="K232" s="69">
        <f t="shared" si="24"/>
        <v>1.3200537675500599</v>
      </c>
      <c r="L232" s="69">
        <f t="shared" si="25"/>
        <v>0.40245541693599385</v>
      </c>
      <c r="M232" s="69">
        <f>IF((((1.18*F232^0.874)/3.7-(0.301*F232^0.751)/(1-H232)*H232)*(MAX('Max rate concentrations'!$P$3:$P$368)))/F232&gt;0, (((1.18*F232^0.874)/3.7-(0.301*F232^0.751)/(1-H232)*H232)*(MAX('Max rate concentrations'!$P$3:$P$368)))/F232, 0)</f>
        <v>0</v>
      </c>
      <c r="N232" s="69">
        <f>IF((((1.18*F232^0.874)/3.7-(0.301*F232^0.751)/(1-H232)*H232)*(MAX('Max rate concentrations'!$Q$3:$Q$368)))/F232&gt;0, (((1.18*F232^0.874)/3.7-(0.301*F232^0.751)/(1-H232)*H232)*(MAX('Max rate concentrations'!$Q$3:$Q$368)))/F232, 0)</f>
        <v>0</v>
      </c>
      <c r="O232" s="69">
        <f>((MAX('Max rate concentrations'!$F$3:$F$368))*0.62*6.01*8*(10*F232^0.667)*0.079*0.1/F232)*inputs!$E$80/(10^(0.84+0.62*LOG10(inputs!$E$80)))</f>
        <v>8.3920160106750359</v>
      </c>
      <c r="P232" s="69">
        <f>((MAX('Max rate concentrations'!Y:Y))*0.62*6.01*8*(10*F232^0.667)*0.079*0.1/F232)*inputs!$E$80/(10^(0.84+0.62*LOG10(inputs!$E$80)))</f>
        <v>2.7973386702250127</v>
      </c>
      <c r="Q232" s="69">
        <f>(inputs!$C$18*11.2*(10*F232^0.667)*0.5/F232)*inputs!$E$80/(10^(0.84+0.62*LOG10(inputs!$E$80)))</f>
        <v>1.4782140386815861</v>
      </c>
      <c r="R232" s="59">
        <f>(60*284*((F232/1000)^0.77)*3*24*(MAX('Max rate concentrations'!$R$3:$R$368))/F232)*(inputs!$E$73*3.4/inputs!$E$75)</f>
        <v>1.9082540405563651E-2</v>
      </c>
      <c r="S232" s="59">
        <f>(IF(inputs!$C$17="aerial",((0.025*0.112*inputs!$C$18/3.3)*(3*60*284*((F232/1000)^0.77))*MAX(inputs!$I$14:$I$16))/F232,((0.0083*0.112*inputs!$C$18/1)*(3*60*284*((F232/1000)^0.77))*MAX(inputs!$I$14:$I$16))/F232))*(inputs!E$75*3.4/inputs!$E$73)</f>
        <v>0.10524138273570169</v>
      </c>
      <c r="T232" s="63">
        <f>IF((((inputs!$P$13/(V232/MAX(K232:S232)))^(1/inputs!$O$13))-1)/inputs!$N$13&lt;0, 0, IF((((inputs!$P$13/(V232/MAX(K232:S232)))^(1/inputs!$O$13))-1)/inputs!$N$13&lt;inputs!$I$17, (((inputs!$P$13/(V232/MAX(K232:S232)))^(1/inputs!$O$13))-1)/inputs!$N$13, inputs!$I$17))</f>
        <v>1000</v>
      </c>
      <c r="U232" s="63">
        <f>IF((((inputs!$P$13/(X232/MAX(K232:S232)))^(1/inputs!$O$13))-1)/inputs!$N$13&lt;0, 0, IF((((inputs!$P$13/(X232/MAX(K232:S232)))^(1/inputs!$O$13))-1)/inputs!$N$13&lt;inputs!$I$17, (((inputs!$P$13/(X232/MAX(K232:S232)))^(1/inputs!$O$13))-1)/inputs!$N$13, inputs!$I$17))</f>
        <v>33.305037901220594</v>
      </c>
      <c r="V232" s="21">
        <f>inputs!$E$78*(F232/inputs!$F$78)^(inputs!$E$84-1)</f>
        <v>4.3427808073074944E-3</v>
      </c>
      <c r="W232" s="21">
        <f>inputs!$E$85*(F232/inputs!$F$85)^(inputs!$E$84-1)</f>
        <v>0.20054161757711042</v>
      </c>
      <c r="X232" s="21">
        <f>inputs!$E$80*(F232/inputs!$F$80)^(inputs!$E$84-1)</f>
        <v>0.74885793905376674</v>
      </c>
      <c r="Y232" s="21">
        <f>inputs!$E$82*(F232/inputs!$F$82)^(inputs!$E$84-1)</f>
        <v>0.34513679047549034</v>
      </c>
      <c r="Z232" s="63">
        <f t="shared" si="22"/>
        <v>1932.4060741343403</v>
      </c>
      <c r="AA232" s="63">
        <f t="shared" si="23"/>
        <v>41.846755362129336</v>
      </c>
    </row>
    <row r="233" spans="1:27" ht="39.6" x14ac:dyDescent="0.25">
      <c r="A233" s="103" t="s">
        <v>248</v>
      </c>
      <c r="B233" s="20" t="s">
        <v>249</v>
      </c>
      <c r="C233" s="20" t="s">
        <v>73</v>
      </c>
      <c r="D233" s="104" t="s">
        <v>240</v>
      </c>
      <c r="E233" s="15">
        <v>7342</v>
      </c>
      <c r="F233" s="15">
        <v>5400</v>
      </c>
      <c r="G233" s="20" t="s">
        <v>138</v>
      </c>
      <c r="H233" s="20">
        <v>0.68</v>
      </c>
      <c r="I233" s="68">
        <f>MAX('Max rate concentrations'!$L$3:$L$368)</f>
        <v>350.52744091332482</v>
      </c>
      <c r="J233" s="68">
        <f>MAX('Max rate concentrations'!AD:AD)</f>
        <v>242.38599637623525</v>
      </c>
      <c r="K233" s="69">
        <f t="shared" si="24"/>
        <v>38.794708529576745</v>
      </c>
      <c r="L233" s="69">
        <f t="shared" si="25"/>
        <v>26.826128238537112</v>
      </c>
      <c r="M233" s="69">
        <f>IF((((1.18*F233^0.874)/3.7-(0.301*F233^0.751)/(1-H233)*H233)*(MAX('Max rate concentrations'!$P$3:$P$368)))/F233&gt;0, (((1.18*F233^0.874)/3.7-(0.301*F233^0.751)/(1-H233)*H233)*(MAX('Max rate concentrations'!$P$3:$P$368)))/F233, 0)</f>
        <v>2.8508175400788503E-2</v>
      </c>
      <c r="N233" s="69">
        <f>IF((((1.18*F233^0.874)/3.7-(0.301*F233^0.751)/(1-H233)*H233)*(MAX('Max rate concentrations'!$Q$3:$Q$368)))/F233&gt;0, (((1.18*F233^0.874)/3.7-(0.301*F233^0.751)/(1-H233)*H233)*(MAX('Max rate concentrations'!$Q$3:$Q$368)))/F233, 0)</f>
        <v>0.10856066371850683</v>
      </c>
      <c r="O233" s="69">
        <f>((MAX('Max rate concentrations'!$F$3:$F$368))*0.62*6.01*8*(10*F233^0.667)*0.079*0.1/F233)*inputs!$E$80/(10^(0.84+0.62*LOG10(inputs!$E$80)))</f>
        <v>8.3920160106750359</v>
      </c>
      <c r="P233" s="69">
        <f>((MAX('Max rate concentrations'!Y:Y))*0.62*6.01*8*(10*F233^0.667)*0.079*0.1/F233)*inputs!$E$80/(10^(0.84+0.62*LOG10(inputs!$E$80)))</f>
        <v>2.7973386702250127</v>
      </c>
      <c r="Q233" s="69">
        <f>(inputs!$C$18*11.2*(10*F233^0.667)*0.5/F233)*inputs!$E$80/(10^(0.84+0.62*LOG10(inputs!$E$80)))</f>
        <v>1.4782140386815861</v>
      </c>
      <c r="R233" s="59">
        <f>(60*284*((F233/1000)^0.77)*3*24*(MAX('Max rate concentrations'!$R$3:$R$368))/F233)*(inputs!$E$73*3.4/inputs!$E$75)</f>
        <v>1.9082540405563651E-2</v>
      </c>
      <c r="S233" s="59">
        <f>(IF(inputs!$C$17="aerial",((0.025*0.112*inputs!$C$18/3.3)*(3*60*284*((F233/1000)^0.77))*MAX(inputs!$I$14:$I$16))/F233,((0.0083*0.112*inputs!$C$18/1)*(3*60*284*((F233/1000)^0.77))*MAX(inputs!$I$14:$I$16))/F233))*(inputs!E$75*3.4/inputs!$E$73)</f>
        <v>0.10524138273570169</v>
      </c>
      <c r="T233" s="63">
        <f>IF((((inputs!$P$13/(V233/MAX(K233:S233)))^(1/inputs!$O$13))-1)/inputs!$N$13&lt;0, 0, IF((((inputs!$P$13/(V233/MAX(K233:S233)))^(1/inputs!$O$13))-1)/inputs!$N$13&lt;inputs!$I$17, (((inputs!$P$13/(V233/MAX(K233:S233)))^(1/inputs!$O$13))-1)/inputs!$N$13, inputs!$I$17))</f>
        <v>1000</v>
      </c>
      <c r="U233" s="63">
        <f>IF((((inputs!$P$13/(X233/MAX(K233:S233)))^(1/inputs!$O$13))-1)/inputs!$N$13&lt;0, 0, IF((((inputs!$P$13/(X233/MAX(K233:S233)))^(1/inputs!$O$13))-1)/inputs!$N$13&lt;inputs!$I$17, (((inputs!$P$13/(X233/MAX(K233:S233)))^(1/inputs!$O$13))-1)/inputs!$N$13, inputs!$I$17))</f>
        <v>127.66966717789317</v>
      </c>
      <c r="V233" s="21">
        <f>inputs!$E$78*(F233/inputs!$F$78)^(inputs!$E$84-1)</f>
        <v>4.3427808073074944E-3</v>
      </c>
      <c r="W233" s="21">
        <f>inputs!$E$85*(F233/inputs!$F$85)^(inputs!$E$84-1)</f>
        <v>0.20054161757711042</v>
      </c>
      <c r="X233" s="21">
        <f>inputs!$E$80*(F233/inputs!$F$80)^(inputs!$E$84-1)</f>
        <v>0.74885793905376674</v>
      </c>
      <c r="Y233" s="21">
        <f>inputs!$E$82*(F233/inputs!$F$82)^(inputs!$E$84-1)</f>
        <v>0.34513679047549034</v>
      </c>
      <c r="Z233" s="63">
        <f t="shared" si="22"/>
        <v>8933.1491159530342</v>
      </c>
      <c r="AA233" s="63">
        <f t="shared" si="23"/>
        <v>193.44966395645912</v>
      </c>
    </row>
    <row r="234" spans="1:27" ht="39.6" x14ac:dyDescent="0.25">
      <c r="A234" s="103" t="s">
        <v>248</v>
      </c>
      <c r="B234" s="20" t="s">
        <v>249</v>
      </c>
      <c r="C234" s="20" t="s">
        <v>73</v>
      </c>
      <c r="D234" s="104" t="s">
        <v>240</v>
      </c>
      <c r="E234" s="15">
        <v>7342</v>
      </c>
      <c r="F234" s="15">
        <v>5400</v>
      </c>
      <c r="G234" s="49" t="s">
        <v>186</v>
      </c>
      <c r="H234" s="49">
        <v>0.75</v>
      </c>
      <c r="I234" s="68">
        <f>inputs!$C$66*inputs!$C$64/1000</f>
        <v>21.3</v>
      </c>
      <c r="J234" s="68">
        <f>inputs!$C$66*inputs!$C$63/1000</f>
        <v>8.8000000000000007</v>
      </c>
      <c r="K234" s="69">
        <f t="shared" si="24"/>
        <v>3.0174497340193067</v>
      </c>
      <c r="L234" s="69">
        <f t="shared" si="25"/>
        <v>1.2466458995009344</v>
      </c>
      <c r="M234" s="69">
        <f>IF((((1.18*F234^0.874)/3.7-(0.301*F234^0.751)/(1-H234)*H234)*(MAX('Max rate concentrations'!$P$3:$P$368)))/F234&gt;0, (((1.18*F234^0.874)/3.7-(0.301*F234^0.751)/(1-H234)*H234)*(MAX('Max rate concentrations'!$P$3:$P$368)))/F234, 0)</f>
        <v>1.5201629757010946E-3</v>
      </c>
      <c r="N234" s="69">
        <f>IF((((1.18*F234^0.874)/3.7-(0.301*F234^0.751)/(1-H234)*H234)*(MAX('Max rate concentrations'!$Q$3:$Q$368)))/F234&gt;0, (((1.18*F234^0.874)/3.7-(0.301*F234^0.751)/(1-H234)*H234)*(MAX('Max rate concentrations'!$Q$3:$Q$368)))/F234, 0)</f>
        <v>5.788862292388122E-3</v>
      </c>
      <c r="O234" s="69">
        <f>((MAX('Max rate concentrations'!$F$3:$F$368))*0.62*6.01*8*(10*F234^0.667)*0.079*0.1/F234)*inputs!$E$80/(10^(0.84+0.62*LOG10(inputs!$E$80)))</f>
        <v>8.3920160106750359</v>
      </c>
      <c r="P234" s="69">
        <f>((MAX('Max rate concentrations'!Y:Y))*0.62*6.01*8*(10*F234^0.667)*0.079*0.1/F234)*inputs!$E$80/(10^(0.84+0.62*LOG10(inputs!$E$80)))</f>
        <v>2.7973386702250127</v>
      </c>
      <c r="Q234" s="69">
        <f>(inputs!$C$18*11.2*(10*F234^0.667)*0.5/F234)*inputs!$E$80/(10^(0.84+0.62*LOG10(inputs!$E$80)))</f>
        <v>1.4782140386815861</v>
      </c>
      <c r="R234" s="59">
        <f>(60*284*((F234/1000)^0.77)*3*24*(MAX('Max rate concentrations'!$R$3:$R$368))/F234)*(inputs!$E$73*3.4/inputs!$E$75)</f>
        <v>1.9082540405563651E-2</v>
      </c>
      <c r="S234" s="59">
        <f>(IF(inputs!$C$17="aerial",((0.025*0.112*inputs!$C$18/3.3)*(3*60*284*((F234/1000)^0.77))*MAX(inputs!$I$14:$I$16))/F234,((0.0083*0.112*inputs!$C$18/1)*(3*60*284*((F234/1000)^0.77))*MAX(inputs!$I$14:$I$16))/F234))*(inputs!E$75*3.4/inputs!$E$73)</f>
        <v>0.10524138273570169</v>
      </c>
      <c r="T234" s="63">
        <f>IF((((inputs!$P$13/(V234/MAX(K234:S234)))^(1/inputs!$O$13))-1)/inputs!$N$13&lt;0, 0, IF((((inputs!$P$13/(V234/MAX(K234:S234)))^(1/inputs!$O$13))-1)/inputs!$N$13&lt;inputs!$I$17, (((inputs!$P$13/(V234/MAX(K234:S234)))^(1/inputs!$O$13))-1)/inputs!$N$13, inputs!$I$17))</f>
        <v>1000</v>
      </c>
      <c r="U234" s="63">
        <f>IF((((inputs!$P$13/(X234/MAX(K234:S234)))^(1/inputs!$O$13))-1)/inputs!$N$13&lt;0, 0, IF((((inputs!$P$13/(X234/MAX(K234:S234)))^(1/inputs!$O$13))-1)/inputs!$N$13&lt;inputs!$I$17, (((inputs!$P$13/(X234/MAX(K234:S234)))^(1/inputs!$O$13))-1)/inputs!$N$13, inputs!$I$17))</f>
        <v>33.305037901220594</v>
      </c>
      <c r="V234" s="21">
        <f>inputs!$E$78*(F234/inputs!$F$78)^(inputs!$E$84-1)</f>
        <v>4.3427808073074944E-3</v>
      </c>
      <c r="W234" s="21">
        <f>inputs!$E$85*(F234/inputs!$F$85)^(inputs!$E$84-1)</f>
        <v>0.20054161757711042</v>
      </c>
      <c r="X234" s="21">
        <f>inputs!$E$80*(F234/inputs!$F$80)^(inputs!$E$84-1)</f>
        <v>0.74885793905376674</v>
      </c>
      <c r="Y234" s="21">
        <f>inputs!$E$82*(F234/inputs!$F$82)^(inputs!$E$84-1)</f>
        <v>0.34513679047549034</v>
      </c>
      <c r="Z234" s="63">
        <f t="shared" si="22"/>
        <v>1932.4060741343403</v>
      </c>
      <c r="AA234" s="63">
        <f t="shared" si="23"/>
        <v>41.846755362129336</v>
      </c>
    </row>
    <row r="235" spans="1:27" ht="39.6" x14ac:dyDescent="0.25">
      <c r="A235" s="103" t="s">
        <v>248</v>
      </c>
      <c r="B235" s="20" t="s">
        <v>249</v>
      </c>
      <c r="C235" s="20" t="s">
        <v>73</v>
      </c>
      <c r="D235" s="104" t="s">
        <v>240</v>
      </c>
      <c r="E235" s="15">
        <v>7342</v>
      </c>
      <c r="F235" s="15">
        <v>5400</v>
      </c>
      <c r="G235" s="20" t="s">
        <v>152</v>
      </c>
      <c r="H235" s="20">
        <v>0.77</v>
      </c>
      <c r="I235" s="68">
        <f>MAX('Max rate concentrations'!$G$3:$G$368)</f>
        <v>45</v>
      </c>
      <c r="J235" s="68">
        <f>MAX('Max rate concentrations'!Z:Z)</f>
        <v>21</v>
      </c>
      <c r="K235" s="69">
        <f t="shared" si="24"/>
        <v>6.9292323959414581</v>
      </c>
      <c r="L235" s="69">
        <f t="shared" si="25"/>
        <v>3.2336417847726806</v>
      </c>
      <c r="M235" s="69">
        <f>IF((((1.18*F235^0.874)/3.7-(0.301*F235^0.751)/(1-H235)*H235)*(MAX('Max rate concentrations'!$P$3:$P$368)))/F235&gt;0, (((1.18*F235^0.874)/3.7-(0.301*F235^0.751)/(1-H235)*H235)*(MAX('Max rate concentrations'!$P$3:$P$368)))/F235, 0)</f>
        <v>0</v>
      </c>
      <c r="N235" s="69">
        <f>IF((((1.18*F235^0.874)/3.7-(0.301*F235^0.751)/(1-H235)*H235)*(MAX('Max rate concentrations'!$Q$3:$Q$368)))/F235&gt;0, (((1.18*F235^0.874)/3.7-(0.301*F235^0.751)/(1-H235)*H235)*(MAX('Max rate concentrations'!$Q$3:$Q$368)))/F235, 0)</f>
        <v>0</v>
      </c>
      <c r="O235" s="69">
        <f>((MAX('Max rate concentrations'!$F$3:$F$368))*0.62*6.01*8*(10*F235^0.667)*0.079*0.1/F235)*inputs!$E$80/(10^(0.84+0.62*LOG10(inputs!$E$80)))</f>
        <v>8.3920160106750359</v>
      </c>
      <c r="P235" s="69">
        <f>((MAX('Max rate concentrations'!Y:Y))*0.62*6.01*8*(10*F235^0.667)*0.079*0.1/F235)*inputs!$E$80/(10^(0.84+0.62*LOG10(inputs!$E$80)))</f>
        <v>2.7973386702250127</v>
      </c>
      <c r="Q235" s="69">
        <f>(inputs!$C$18*11.2*(10*F235^0.667)*0.5/F235)*inputs!$E$80/(10^(0.84+0.62*LOG10(inputs!$E$80)))</f>
        <v>1.4782140386815861</v>
      </c>
      <c r="R235" s="59">
        <f>(60*284*((F235/1000)^0.77)*3*24*(MAX('Max rate concentrations'!$R$3:$R$368))/F235)*(inputs!$E$73*3.4/inputs!$E$75)</f>
        <v>1.9082540405563651E-2</v>
      </c>
      <c r="S235" s="59">
        <f>(IF(inputs!$C$17="aerial",((0.025*0.112*inputs!$C$18/3.3)*(3*60*284*((F235/1000)^0.77))*MAX(inputs!$I$14:$I$16))/F235,((0.0083*0.112*inputs!$C$18/1)*(3*60*284*((F235/1000)^0.77))*MAX(inputs!$I$14:$I$16))/F235))*(inputs!E$75*3.4/inputs!$E$73)</f>
        <v>0.10524138273570169</v>
      </c>
      <c r="T235" s="63">
        <f>IF((((inputs!$P$13/(V235/MAX(K235:S235)))^(1/inputs!$O$13))-1)/inputs!$N$13&lt;0, 0, IF((((inputs!$P$13/(V235/MAX(K235:S235)))^(1/inputs!$O$13))-1)/inputs!$N$13&lt;inputs!$I$17, (((inputs!$P$13/(V235/MAX(K235:S235)))^(1/inputs!$O$13))-1)/inputs!$N$13, inputs!$I$17))</f>
        <v>1000</v>
      </c>
      <c r="U235" s="63">
        <f>IF((((inputs!$P$13/(X235/MAX(K235:S235)))^(1/inputs!$O$13))-1)/inputs!$N$13&lt;0, 0, IF((((inputs!$P$13/(X235/MAX(K235:S235)))^(1/inputs!$O$13))-1)/inputs!$N$13&lt;inputs!$I$17, (((inputs!$P$13/(X235/MAX(K235:S235)))^(1/inputs!$O$13))-1)/inputs!$N$13, inputs!$I$17))</f>
        <v>33.305037901220594</v>
      </c>
      <c r="V235" s="21">
        <f>inputs!$E$78*(F235/inputs!$F$78)^(inputs!$E$84-1)</f>
        <v>4.3427808073074944E-3</v>
      </c>
      <c r="W235" s="21">
        <f>inputs!$E$85*(F235/inputs!$F$85)^(inputs!$E$84-1)</f>
        <v>0.20054161757711042</v>
      </c>
      <c r="X235" s="21">
        <f>inputs!$E$80*(F235/inputs!$F$80)^(inputs!$E$84-1)</f>
        <v>0.74885793905376674</v>
      </c>
      <c r="Y235" s="21">
        <f>inputs!$E$82*(F235/inputs!$F$82)^(inputs!$E$84-1)</f>
        <v>0.34513679047549034</v>
      </c>
      <c r="Z235" s="63">
        <f t="shared" si="22"/>
        <v>1932.4060741343403</v>
      </c>
      <c r="AA235" s="63">
        <f t="shared" si="23"/>
        <v>41.846755362129336</v>
      </c>
    </row>
    <row r="236" spans="1:27" ht="39.6" x14ac:dyDescent="0.25">
      <c r="A236" s="103" t="s">
        <v>248</v>
      </c>
      <c r="B236" s="20" t="s">
        <v>249</v>
      </c>
      <c r="C236" s="20" t="s">
        <v>73</v>
      </c>
      <c r="D236" s="104" t="s">
        <v>240</v>
      </c>
      <c r="E236" s="15">
        <v>7342</v>
      </c>
      <c r="F236" s="15">
        <v>5400</v>
      </c>
      <c r="G236" s="21" t="s">
        <v>456</v>
      </c>
      <c r="H236" s="20">
        <v>0.68</v>
      </c>
      <c r="I236" s="68">
        <f>MAX('Max rate concentrations'!$J$3:$J$368)</f>
        <v>686.46486205830786</v>
      </c>
      <c r="J236" s="68">
        <f>MAX('Max rate concentrations'!AB:AB)</f>
        <v>243.122971978984</v>
      </c>
      <c r="K236" s="69">
        <f t="shared" si="24"/>
        <v>75.974663124686074</v>
      </c>
      <c r="L236" s="69">
        <f t="shared" si="25"/>
        <v>26.907693189992983</v>
      </c>
      <c r="M236" s="69">
        <f>IF((((1.18*F236^0.874)/3.7-(0.301*F236^0.751)/(1-H236)*H236)*(MAX('Max rate concentrations'!$P$3:$P$368)))/F236&gt;0, (((1.18*F236^0.874)/3.7-(0.301*F236^0.751)/(1-H236)*H236)*(MAX('Max rate concentrations'!$P$3:$P$368)))/F236, 0)</f>
        <v>2.8508175400788503E-2</v>
      </c>
      <c r="N236" s="69">
        <f>IF((((1.18*F236^0.874)/3.7-(0.301*F236^0.751)/(1-H236)*H236)*(MAX('Max rate concentrations'!$Q$3:$Q$368)))/F236&gt;0, (((1.18*F236^0.874)/3.7-(0.301*F236^0.751)/(1-H236)*H236)*(MAX('Max rate concentrations'!$Q$3:$Q$368)))/F236, 0)</f>
        <v>0.10856066371850683</v>
      </c>
      <c r="O236" s="69">
        <f>((MAX('Max rate concentrations'!$F$3:$F$368))*0.62*6.01*8*(10*F236^0.667)*0.079*0.1/F236)*inputs!$E$80/(10^(0.84+0.62*LOG10(inputs!$E$80)))</f>
        <v>8.3920160106750359</v>
      </c>
      <c r="P236" s="69">
        <f>((MAX('Max rate concentrations'!Y:Y))*0.62*6.01*8*(10*F236^0.667)*0.079*0.1/F236)*inputs!$E$80/(10^(0.84+0.62*LOG10(inputs!$E$80)))</f>
        <v>2.7973386702250127</v>
      </c>
      <c r="Q236" s="69">
        <f>(inputs!$C$18*11.2*(10*F236^0.667)*0.5/F236)*inputs!$E$80/(10^(0.84+0.62*LOG10(inputs!$E$80)))</f>
        <v>1.4782140386815861</v>
      </c>
      <c r="R236" s="59">
        <f>(60*284*((F236/1000)^0.77)*3*24*(MAX('Max rate concentrations'!$R$3:$R$368))/F236)*(inputs!$E$73*3.4/inputs!$E$75)</f>
        <v>1.9082540405563651E-2</v>
      </c>
      <c r="S236" s="59">
        <f>(IF(inputs!$C$17="aerial",((0.025*0.112*inputs!$C$18/3.3)*(3*60*284*((F236/1000)^0.77))*MAX(inputs!$I$14:$I$16))/F236,((0.0083*0.112*inputs!$C$18/1)*(3*60*284*((F236/1000)^0.77))*MAX(inputs!$I$14:$I$16))/F236))*(inputs!E$75*3.4/inputs!$E$73)</f>
        <v>0.10524138273570169</v>
      </c>
      <c r="T236" s="63">
        <f>IF((((inputs!$P$13/(V236/MAX(K236:S236)))^(1/inputs!$O$13))-1)/inputs!$N$13&lt;0, 0, IF((((inputs!$P$13/(V236/MAX(K236:S236)))^(1/inputs!$O$13))-1)/inputs!$N$13&lt;inputs!$I$17, (((inputs!$P$13/(V236/MAX(K236:S236)))^(1/inputs!$O$13))-1)/inputs!$N$13, inputs!$I$17))</f>
        <v>1000</v>
      </c>
      <c r="U236" s="63">
        <f>IF((((inputs!$P$13/(X236/MAX(K236:S236)))^(1/inputs!$O$13))-1)/inputs!$N$13&lt;0, 0, IF((((inputs!$P$13/(X236/MAX(K236:S236)))^(1/inputs!$O$13))-1)/inputs!$N$13&lt;inputs!$I$17, (((inputs!$P$13/(X236/MAX(K236:S236)))^(1/inputs!$O$13))-1)/inputs!$N$13, inputs!$I$17))</f>
        <v>223.62888608893857</v>
      </c>
      <c r="V236" s="21">
        <f>inputs!$E$78*(F236/inputs!$F$78)^(inputs!$E$84-1)</f>
        <v>4.3427808073074944E-3</v>
      </c>
      <c r="W236" s="21">
        <f>inputs!$E$85*(F236/inputs!$F$85)^(inputs!$E$84-1)</f>
        <v>0.20054161757711042</v>
      </c>
      <c r="X236" s="21">
        <f>inputs!$E$80*(F236/inputs!$F$80)^(inputs!$E$84-1)</f>
        <v>0.74885793905376674</v>
      </c>
      <c r="Y236" s="21">
        <f>inputs!$E$82*(F236/inputs!$F$82)^(inputs!$E$84-1)</f>
        <v>0.34513679047549034</v>
      </c>
      <c r="Z236" s="63">
        <f t="shared" si="22"/>
        <v>17494.473356068378</v>
      </c>
      <c r="AA236" s="63">
        <f t="shared" si="23"/>
        <v>378.8473636674093</v>
      </c>
    </row>
    <row r="237" spans="1:27" ht="39.6" x14ac:dyDescent="0.25">
      <c r="A237" s="103" t="s">
        <v>248</v>
      </c>
      <c r="B237" s="20" t="s">
        <v>249</v>
      </c>
      <c r="C237" s="20" t="s">
        <v>73</v>
      </c>
      <c r="D237" s="104" t="s">
        <v>240</v>
      </c>
      <c r="E237" s="15">
        <v>7342</v>
      </c>
      <c r="F237" s="15">
        <v>5400</v>
      </c>
      <c r="G237" s="20" t="s">
        <v>154</v>
      </c>
      <c r="H237" s="20">
        <v>9.2999999999999999E-2</v>
      </c>
      <c r="I237" s="68">
        <f>MAX('Max rate concentrations'!$G$3:$G$368)</f>
        <v>45</v>
      </c>
      <c r="J237" s="68">
        <f>MAX('Max rate concentrations'!Z:Z)</f>
        <v>21</v>
      </c>
      <c r="K237" s="69">
        <f t="shared" si="24"/>
        <v>1.7571372117602371</v>
      </c>
      <c r="L237" s="69">
        <f t="shared" si="25"/>
        <v>0.81999736548811075</v>
      </c>
      <c r="M237" s="69">
        <f>IF((((1.18*F237^0.874)/3.7-(0.301*F237^0.751)/(1-H237)*H237)*(MAX('Max rate concentrations'!$P$3:$P$368)))/F237&gt;0, (((1.18*F237^0.874)/3.7-(0.301*F237^0.751)/(1-H237)*H237)*(MAX('Max rate concentrations'!$P$3:$P$368)))/F237, 0)</f>
        <v>9.0887933211177191E-2</v>
      </c>
      <c r="N237" s="69">
        <f>IF((((1.18*F237^0.874)/3.7-(0.301*F237^0.751)/(1-H237)*H237)*(MAX('Max rate concentrations'!$Q$3:$Q$368)))/F237&gt;0, (((1.18*F237^0.874)/3.7-(0.301*F237^0.751)/(1-H237)*H237)*(MAX('Max rate concentrations'!$Q$3:$Q$368)))/F237, 0)</f>
        <v>0.34610613322997191</v>
      </c>
      <c r="O237" s="69">
        <f>((MAX('Max rate concentrations'!$F$3:$F$368))*0.62*6.01*8*(10*F237^0.667)*0.079*0.1/F237)*inputs!$E$80/(10^(0.84+0.62*LOG10(inputs!$E$80)))</f>
        <v>8.3920160106750359</v>
      </c>
      <c r="P237" s="69">
        <f>((MAX('Max rate concentrations'!Y:Y))*0.62*6.01*8*(10*F237^0.667)*0.079*0.1/F237)*inputs!$E$80/(10^(0.84+0.62*LOG10(inputs!$E$80)))</f>
        <v>2.7973386702250127</v>
      </c>
      <c r="Q237" s="69">
        <f>(inputs!$C$18*11.2*(10*F237^0.667)*0.5/F237)*inputs!$E$80/(10^(0.84+0.62*LOG10(inputs!$E$80)))</f>
        <v>1.4782140386815861</v>
      </c>
      <c r="R237" s="59">
        <f>(60*284*((F237/1000)^0.77)*3*24*(MAX('Max rate concentrations'!$R$3:$R$368))/F237)*(inputs!$E$73*3.4/inputs!$E$75)</f>
        <v>1.9082540405563651E-2</v>
      </c>
      <c r="S237" s="59">
        <f>(IF(inputs!$C$17="aerial",((0.025*0.112*inputs!$C$18/3.3)*(3*60*284*((F237/1000)^0.77))*MAX(inputs!$I$14:$I$16))/F237,((0.0083*0.112*inputs!$C$18/1)*(3*60*284*((F237/1000)^0.77))*MAX(inputs!$I$14:$I$16))/F237))*(inputs!E$75*3.4/inputs!$E$73)</f>
        <v>0.10524138273570169</v>
      </c>
      <c r="T237" s="63">
        <f>IF((((inputs!$P$13/(V237/MAX(K237:S237)))^(1/inputs!$O$13))-1)/inputs!$N$13&lt;0, 0, IF((((inputs!$P$13/(V237/MAX(K237:S237)))^(1/inputs!$O$13))-1)/inputs!$N$13&lt;inputs!$I$17, (((inputs!$P$13/(V237/MAX(K237:S237)))^(1/inputs!$O$13))-1)/inputs!$N$13, inputs!$I$17))</f>
        <v>1000</v>
      </c>
      <c r="U237" s="63">
        <f>IF((((inputs!$P$13/(X237/MAX(K237:S237)))^(1/inputs!$O$13))-1)/inputs!$N$13&lt;0, 0, IF((((inputs!$P$13/(X237/MAX(K237:S237)))^(1/inputs!$O$13))-1)/inputs!$N$13&lt;inputs!$I$17, (((inputs!$P$13/(X237/MAX(K237:S237)))^(1/inputs!$O$13))-1)/inputs!$N$13, inputs!$I$17))</f>
        <v>33.305037901220594</v>
      </c>
      <c r="V237" s="21">
        <f>inputs!$E$78*(F237/inputs!$F$78)^(inputs!$E$84-1)</f>
        <v>4.3427808073074944E-3</v>
      </c>
      <c r="W237" s="21">
        <f>inputs!$E$85*(F237/inputs!$F$85)^(inputs!$E$84-1)</f>
        <v>0.20054161757711042</v>
      </c>
      <c r="X237" s="21">
        <f>inputs!$E$80*(F237/inputs!$F$80)^(inputs!$E$84-1)</f>
        <v>0.74885793905376674</v>
      </c>
      <c r="Y237" s="21">
        <f>inputs!$E$82*(F237/inputs!$F$82)^(inputs!$E$84-1)</f>
        <v>0.34513679047549034</v>
      </c>
      <c r="Z237" s="63">
        <f t="shared" si="22"/>
        <v>1932.4060741343403</v>
      </c>
      <c r="AA237" s="63">
        <f t="shared" si="23"/>
        <v>41.846755362129336</v>
      </c>
    </row>
    <row r="238" spans="1:27" ht="26.4" x14ac:dyDescent="0.25">
      <c r="A238" s="103" t="s">
        <v>248</v>
      </c>
      <c r="B238" s="20" t="s">
        <v>251</v>
      </c>
      <c r="C238" s="20" t="s">
        <v>73</v>
      </c>
      <c r="D238" s="104" t="s">
        <v>240</v>
      </c>
      <c r="E238" s="15">
        <v>4679</v>
      </c>
      <c r="F238" s="15">
        <v>5400</v>
      </c>
      <c r="G238" s="20" t="s">
        <v>182</v>
      </c>
      <c r="H238" s="20">
        <v>0.85</v>
      </c>
      <c r="I238" s="68">
        <f>MAX('Max rate concentrations'!$M$3:$M$368)</f>
        <v>17.092910873809167</v>
      </c>
      <c r="J238" s="68">
        <f>MAX('Max rate concentrations'!AE:AE)</f>
        <v>11.81956602976166</v>
      </c>
      <c r="K238" s="69">
        <f t="shared" si="24"/>
        <v>4.0357589491229406</v>
      </c>
      <c r="L238" s="69">
        <f t="shared" si="25"/>
        <v>2.7906843797126721</v>
      </c>
      <c r="M238" s="69">
        <f>IF((((1.18*F238^0.874)/3.7-(0.301*F238^0.751)/(1-H238)*H238)*(MAX('Max rate concentrations'!$P$3:$P$368)))/F238&gt;0, (((1.18*F238^0.874)/3.7-(0.301*F238^0.751)/(1-H238)*H238)*(MAX('Max rate concentrations'!$P$3:$P$368)))/F238, 0)</f>
        <v>0</v>
      </c>
      <c r="N238" s="69">
        <f>IF((((1.18*F238^0.874)/3.7-(0.301*F238^0.751)/(1-H238)*H238)*(MAX('Max rate concentrations'!$Q$3:$Q$368)))/F238&gt;0, (((1.18*F238^0.874)/3.7-(0.301*F238^0.751)/(1-H238)*H238)*(MAX('Max rate concentrations'!$Q$3:$Q$368)))/F238, 0)</f>
        <v>0</v>
      </c>
      <c r="O238" s="69">
        <f>((MAX('Max rate concentrations'!$F$3:$F$368))*0.62*6.01*8*(10*F238^0.667)*0.079*0.1/F238)*inputs!$E$80/(10^(0.84+0.62*LOG10(inputs!$E$80)))</f>
        <v>8.3920160106750359</v>
      </c>
      <c r="P238" s="69">
        <f>((MAX('Max rate concentrations'!Y:Y))*0.62*6.01*8*(10*F238^0.667)*0.079*0.1/F238)*inputs!$E$80/(10^(0.84+0.62*LOG10(inputs!$E$80)))</f>
        <v>2.7973386702250127</v>
      </c>
      <c r="Q238" s="69">
        <f>(inputs!$C$18*11.2*(10*F238^0.667)*0.5/F238)*inputs!$E$80/(10^(0.84+0.62*LOG10(inputs!$E$80)))</f>
        <v>1.4782140386815861</v>
      </c>
      <c r="R238" s="59">
        <f>(60*284*((F238/1000)^0.77)*3*24*(MAX('Max rate concentrations'!$R$3:$R$368))/F238)*(inputs!$E$73*3.4/inputs!$E$75)</f>
        <v>1.9082540405563651E-2</v>
      </c>
      <c r="S238" s="59">
        <f>(IF(inputs!$C$17="aerial",((0.025*0.112*inputs!$C$18/3.3)*(3*60*284*((F238/1000)^0.77))*MAX(inputs!$I$14:$I$16))/F238,((0.0083*0.112*inputs!$C$18/1)*(3*60*284*((F238/1000)^0.77))*MAX(inputs!$I$14:$I$16))/F238))*(inputs!E$75*3.4/inputs!$E$73)</f>
        <v>0.10524138273570169</v>
      </c>
      <c r="T238" s="63">
        <f>IF((((inputs!$P$13/(V238/MAX(K238:S238)))^(1/inputs!$O$13))-1)/inputs!$N$13&lt;0, 0, IF((((inputs!$P$13/(V238/MAX(K238:S238)))^(1/inputs!$O$13))-1)/inputs!$N$13&lt;inputs!$I$17, (((inputs!$P$13/(V238/MAX(K238:S238)))^(1/inputs!$O$13))-1)/inputs!$N$13, inputs!$I$17))</f>
        <v>1000</v>
      </c>
      <c r="U238" s="63">
        <f>IF((((inputs!$P$13/(X238/MAX(K238:S238)))^(1/inputs!$O$13))-1)/inputs!$N$13&lt;0, 0, IF((((inputs!$P$13/(X238/MAX(K238:S238)))^(1/inputs!$O$13))-1)/inputs!$N$13&lt;inputs!$I$17, (((inputs!$P$13/(X238/MAX(K238:S238)))^(1/inputs!$O$13))-1)/inputs!$N$13, inputs!$I$17))</f>
        <v>33.305037901220594</v>
      </c>
      <c r="V238" s="21">
        <f>inputs!$E$78*(F238/inputs!$F$78)^(inputs!$E$84-1)</f>
        <v>4.3427808073074944E-3</v>
      </c>
      <c r="W238" s="21">
        <f>inputs!$E$85*(F238/inputs!$F$85)^(inputs!$E$84-1)</f>
        <v>0.20054161757711042</v>
      </c>
      <c r="X238" s="21">
        <f>inputs!$E$80*(F238/inputs!$F$80)^(inputs!$E$84-1)</f>
        <v>0.74885793905376674</v>
      </c>
      <c r="Y238" s="21">
        <f>inputs!$E$82*(F238/inputs!$F$82)^(inputs!$E$84-1)</f>
        <v>0.34513679047549034</v>
      </c>
      <c r="Z238" s="63">
        <f t="shared" si="22"/>
        <v>1932.4060741343403</v>
      </c>
      <c r="AA238" s="63">
        <f t="shared" si="23"/>
        <v>41.846755362129336</v>
      </c>
    </row>
    <row r="239" spans="1:27" ht="26.4" x14ac:dyDescent="0.25">
      <c r="A239" s="103" t="s">
        <v>248</v>
      </c>
      <c r="B239" s="20" t="s">
        <v>251</v>
      </c>
      <c r="C239" s="20" t="s">
        <v>73</v>
      </c>
      <c r="D239" s="104" t="s">
        <v>240</v>
      </c>
      <c r="E239" s="15">
        <v>4679</v>
      </c>
      <c r="F239" s="15">
        <v>5400</v>
      </c>
      <c r="G239" s="20" t="s">
        <v>142</v>
      </c>
      <c r="H239" s="20">
        <v>0.69</v>
      </c>
      <c r="I239" s="68">
        <f>MAX('Max rate concentrations'!$H$3:$H$368)</f>
        <v>282</v>
      </c>
      <c r="J239" s="68">
        <f>MAX('Max rate concentrations'!AA:AA)</f>
        <v>195</v>
      </c>
      <c r="K239" s="69">
        <f t="shared" si="24"/>
        <v>32.217205247366515</v>
      </c>
      <c r="L239" s="69">
        <f t="shared" si="25"/>
        <v>22.277854692327907</v>
      </c>
      <c r="M239" s="69">
        <f>IF((((1.18*F239^0.874)/3.7-(0.301*F239^0.751)/(1-H239)*H239)*(MAX('Max rate concentrations'!$P$3:$P$368)))/F239&gt;0, (((1.18*F239^0.874)/3.7-(0.301*F239^0.751)/(1-H239)*H239)*(MAX('Max rate concentrations'!$P$3:$P$368)))/F239, 0)</f>
        <v>2.5398957379465095E-2</v>
      </c>
      <c r="N239" s="69">
        <f>IF((((1.18*F239^0.874)/3.7-(0.301*F239^0.751)/(1-H239)*H239)*(MAX('Max rate concentrations'!$Q$3:$Q$368)))/F239&gt;0, (((1.18*F239^0.874)/3.7-(0.301*F239^0.751)/(1-H239)*H239)*(MAX('Max rate concentrations'!$Q$3:$Q$368)))/F239, 0)</f>
        <v>9.6720594429783577E-2</v>
      </c>
      <c r="O239" s="69">
        <f>((MAX('Max rate concentrations'!$F$3:$F$368))*0.62*6.01*8*(10*F239^0.667)*0.079*0.1/F239)*inputs!$E$80/(10^(0.84+0.62*LOG10(inputs!$E$80)))</f>
        <v>8.3920160106750359</v>
      </c>
      <c r="P239" s="69">
        <f>((MAX('Max rate concentrations'!Y:Y))*0.62*6.01*8*(10*F239^0.667)*0.079*0.1/F239)*inputs!$E$80/(10^(0.84+0.62*LOG10(inputs!$E$80)))</f>
        <v>2.7973386702250127</v>
      </c>
      <c r="Q239" s="69">
        <f>(inputs!$C$18*11.2*(10*F239^0.667)*0.5/F239)*inputs!$E$80/(10^(0.84+0.62*LOG10(inputs!$E$80)))</f>
        <v>1.4782140386815861</v>
      </c>
      <c r="R239" s="59">
        <f>(60*284*((F239/1000)^0.77)*3*24*(MAX('Max rate concentrations'!$R$3:$R$368))/F239)*(inputs!$E$73*3.4/inputs!$E$75)</f>
        <v>1.9082540405563651E-2</v>
      </c>
      <c r="S239" s="59">
        <f>(IF(inputs!$C$17="aerial",((0.025*0.112*inputs!$C$18/3.3)*(3*60*284*((F239/1000)^0.77))*MAX(inputs!$I$14:$I$16))/F239,((0.0083*0.112*inputs!$C$18/1)*(3*60*284*((F239/1000)^0.77))*MAX(inputs!$I$14:$I$16))/F239))*(inputs!E$75*3.4/inputs!$E$73)</f>
        <v>0.10524138273570169</v>
      </c>
      <c r="T239" s="63">
        <f>IF((((inputs!$P$13/(V239/MAX(K239:S239)))^(1/inputs!$O$13))-1)/inputs!$N$13&lt;0, 0, IF((((inputs!$P$13/(V239/MAX(K239:S239)))^(1/inputs!$O$13))-1)/inputs!$N$13&lt;inputs!$I$17, (((inputs!$P$13/(V239/MAX(K239:S239)))^(1/inputs!$O$13))-1)/inputs!$N$13, inputs!$I$17))</f>
        <v>1000</v>
      </c>
      <c r="U239" s="63">
        <f>IF((((inputs!$P$13/(X239/MAX(K239:S239)))^(1/inputs!$O$13))-1)/inputs!$N$13&lt;0, 0, IF((((inputs!$P$13/(X239/MAX(K239:S239)))^(1/inputs!$O$13))-1)/inputs!$N$13&lt;inputs!$I$17, (((inputs!$P$13/(X239/MAX(K239:S239)))^(1/inputs!$O$13))-1)/inputs!$N$13, inputs!$I$17))</f>
        <v>109.13104683936109</v>
      </c>
      <c r="V239" s="21">
        <f>inputs!$E$78*(F239/inputs!$F$78)^(inputs!$E$84-1)</f>
        <v>4.3427808073074944E-3</v>
      </c>
      <c r="W239" s="21">
        <f>inputs!$E$85*(F239/inputs!$F$85)^(inputs!$E$84-1)</f>
        <v>0.20054161757711042</v>
      </c>
      <c r="X239" s="21">
        <f>inputs!$E$80*(F239/inputs!$F$80)^(inputs!$E$84-1)</f>
        <v>0.74885793905376674</v>
      </c>
      <c r="Y239" s="21">
        <f>inputs!$E$82*(F239/inputs!$F$82)^(inputs!$E$84-1)</f>
        <v>0.34513679047549034</v>
      </c>
      <c r="Z239" s="63">
        <f t="shared" si="22"/>
        <v>7418.5658168967193</v>
      </c>
      <c r="AA239" s="63">
        <f t="shared" si="23"/>
        <v>160.65096929308777</v>
      </c>
    </row>
    <row r="240" spans="1:27" ht="26.4" x14ac:dyDescent="0.25">
      <c r="A240" s="103" t="s">
        <v>248</v>
      </c>
      <c r="B240" s="20" t="s">
        <v>251</v>
      </c>
      <c r="C240" s="20" t="s">
        <v>73</v>
      </c>
      <c r="D240" s="104" t="s">
        <v>240</v>
      </c>
      <c r="E240" s="15">
        <v>4679</v>
      </c>
      <c r="F240" s="15">
        <v>5400</v>
      </c>
      <c r="G240" s="20" t="s">
        <v>164</v>
      </c>
      <c r="H240" s="20">
        <v>0.78</v>
      </c>
      <c r="I240" s="68">
        <f>inputs!$C$66*(inputs!$C$62/1000)</f>
        <v>8.2000000000000011</v>
      </c>
      <c r="J240" s="68">
        <f>inputs!$C$66*(inputs!$C$61/1000)</f>
        <v>2.5</v>
      </c>
      <c r="K240" s="69">
        <f t="shared" si="24"/>
        <v>1.3200537675500599</v>
      </c>
      <c r="L240" s="69">
        <f t="shared" si="25"/>
        <v>0.40245541693599385</v>
      </c>
      <c r="M240" s="69">
        <f>IF((((1.18*F240^0.874)/3.7-(0.301*F240^0.751)/(1-H240)*H240)*(MAX('Max rate concentrations'!$P$3:$P$368)))/F240&gt;0, (((1.18*F240^0.874)/3.7-(0.301*F240^0.751)/(1-H240)*H240)*(MAX('Max rate concentrations'!$P$3:$P$368)))/F240, 0)</f>
        <v>0</v>
      </c>
      <c r="N240" s="69">
        <f>IF((((1.18*F240^0.874)/3.7-(0.301*F240^0.751)/(1-H240)*H240)*(MAX('Max rate concentrations'!$Q$3:$Q$368)))/F240&gt;0, (((1.18*F240^0.874)/3.7-(0.301*F240^0.751)/(1-H240)*H240)*(MAX('Max rate concentrations'!$Q$3:$Q$368)))/F240, 0)</f>
        <v>0</v>
      </c>
      <c r="O240" s="69">
        <f>((MAX('Max rate concentrations'!$F$3:$F$368))*0.62*6.01*8*(10*F240^0.667)*0.079*0.1/F240)*inputs!$E$80/(10^(0.84+0.62*LOG10(inputs!$E$80)))</f>
        <v>8.3920160106750359</v>
      </c>
      <c r="P240" s="69">
        <f>((MAX('Max rate concentrations'!Y:Y))*0.62*6.01*8*(10*F240^0.667)*0.079*0.1/F240)*inputs!$E$80/(10^(0.84+0.62*LOG10(inputs!$E$80)))</f>
        <v>2.7973386702250127</v>
      </c>
      <c r="Q240" s="69">
        <f>(inputs!$C$18*11.2*(10*F240^0.667)*0.5/F240)*inputs!$E$80/(10^(0.84+0.62*LOG10(inputs!$E$80)))</f>
        <v>1.4782140386815861</v>
      </c>
      <c r="R240" s="59">
        <f>(60*284*((F240/1000)^0.77)*3*24*(MAX('Max rate concentrations'!$R$3:$R$368))/F240)*(inputs!$E$73*3.4/inputs!$E$75)</f>
        <v>1.9082540405563651E-2</v>
      </c>
      <c r="S240" s="59">
        <f>(IF(inputs!$C$17="aerial",((0.025*0.112*inputs!$C$18/3.3)*(3*60*284*((F240/1000)^0.77))*MAX(inputs!$I$14:$I$16))/F240,((0.0083*0.112*inputs!$C$18/1)*(3*60*284*((F240/1000)^0.77))*MAX(inputs!$I$14:$I$16))/F240))*(inputs!E$75*3.4/inputs!$E$73)</f>
        <v>0.10524138273570169</v>
      </c>
      <c r="T240" s="63">
        <f>IF((((inputs!$P$13/(V240/MAX(K240:S240)))^(1/inputs!$O$13))-1)/inputs!$N$13&lt;0, 0, IF((((inputs!$P$13/(V240/MAX(K240:S240)))^(1/inputs!$O$13))-1)/inputs!$N$13&lt;inputs!$I$17, (((inputs!$P$13/(V240/MAX(K240:S240)))^(1/inputs!$O$13))-1)/inputs!$N$13, inputs!$I$17))</f>
        <v>1000</v>
      </c>
      <c r="U240" s="63">
        <f>IF((((inputs!$P$13/(X240/MAX(K240:S240)))^(1/inputs!$O$13))-1)/inputs!$N$13&lt;0, 0, IF((((inputs!$P$13/(X240/MAX(K240:S240)))^(1/inputs!$O$13))-1)/inputs!$N$13&lt;inputs!$I$17, (((inputs!$P$13/(X240/MAX(K240:S240)))^(1/inputs!$O$13))-1)/inputs!$N$13, inputs!$I$17))</f>
        <v>33.305037901220594</v>
      </c>
      <c r="V240" s="21">
        <f>inputs!$E$78*(F240/inputs!$F$78)^(inputs!$E$84-1)</f>
        <v>4.3427808073074944E-3</v>
      </c>
      <c r="W240" s="21">
        <f>inputs!$E$85*(F240/inputs!$F$85)^(inputs!$E$84-1)</f>
        <v>0.20054161757711042</v>
      </c>
      <c r="X240" s="21">
        <f>inputs!$E$80*(F240/inputs!$F$80)^(inputs!$E$84-1)</f>
        <v>0.74885793905376674</v>
      </c>
      <c r="Y240" s="21">
        <f>inputs!$E$82*(F240/inputs!$F$82)^(inputs!$E$84-1)</f>
        <v>0.34513679047549034</v>
      </c>
      <c r="Z240" s="63">
        <f t="shared" si="22"/>
        <v>1932.4060741343403</v>
      </c>
      <c r="AA240" s="63">
        <f t="shared" si="23"/>
        <v>41.846755362129336</v>
      </c>
    </row>
    <row r="241" spans="1:476" ht="26.4" x14ac:dyDescent="0.25">
      <c r="A241" s="103" t="s">
        <v>248</v>
      </c>
      <c r="B241" s="20" t="s">
        <v>251</v>
      </c>
      <c r="C241" s="20" t="s">
        <v>73</v>
      </c>
      <c r="D241" s="104" t="s">
        <v>240</v>
      </c>
      <c r="E241" s="15">
        <v>4679</v>
      </c>
      <c r="F241" s="15">
        <v>5400</v>
      </c>
      <c r="G241" s="20" t="s">
        <v>138</v>
      </c>
      <c r="H241" s="20">
        <v>0.68</v>
      </c>
      <c r="I241" s="68">
        <f>MAX('Max rate concentrations'!$L$3:$L$368)</f>
        <v>350.52744091332482</v>
      </c>
      <c r="J241" s="68">
        <f>MAX('Max rate concentrations'!AD:AD)</f>
        <v>242.38599637623525</v>
      </c>
      <c r="K241" s="69">
        <f t="shared" si="24"/>
        <v>38.794708529576745</v>
      </c>
      <c r="L241" s="69">
        <f t="shared" si="25"/>
        <v>26.826128238537112</v>
      </c>
      <c r="M241" s="69">
        <f>IF((((1.18*F241^0.874)/3.7-(0.301*F241^0.751)/(1-H241)*H241)*(MAX('Max rate concentrations'!$P$3:$P$368)))/F241&gt;0, (((1.18*F241^0.874)/3.7-(0.301*F241^0.751)/(1-H241)*H241)*(MAX('Max rate concentrations'!$P$3:$P$368)))/F241, 0)</f>
        <v>2.8508175400788503E-2</v>
      </c>
      <c r="N241" s="69">
        <f>IF((((1.18*F241^0.874)/3.7-(0.301*F241^0.751)/(1-H241)*H241)*(MAX('Max rate concentrations'!$Q$3:$Q$368)))/F241&gt;0, (((1.18*F241^0.874)/3.7-(0.301*F241^0.751)/(1-H241)*H241)*(MAX('Max rate concentrations'!$Q$3:$Q$368)))/F241, 0)</f>
        <v>0.10856066371850683</v>
      </c>
      <c r="O241" s="69">
        <f>((MAX('Max rate concentrations'!$F$3:$F$368))*0.62*6.01*8*(10*F241^0.667)*0.079*0.1/F241)*inputs!$E$80/(10^(0.84+0.62*LOG10(inputs!$E$80)))</f>
        <v>8.3920160106750359</v>
      </c>
      <c r="P241" s="69">
        <f>((MAX('Max rate concentrations'!Y:Y))*0.62*6.01*8*(10*F241^0.667)*0.079*0.1/F241)*inputs!$E$80/(10^(0.84+0.62*LOG10(inputs!$E$80)))</f>
        <v>2.7973386702250127</v>
      </c>
      <c r="Q241" s="69">
        <f>(inputs!$C$18*11.2*(10*F241^0.667)*0.5/F241)*inputs!$E$80/(10^(0.84+0.62*LOG10(inputs!$E$80)))</f>
        <v>1.4782140386815861</v>
      </c>
      <c r="R241" s="59">
        <f>(60*284*((F241/1000)^0.77)*3*24*(MAX('Max rate concentrations'!$R$3:$R$368))/F241)*(inputs!$E$73*3.4/inputs!$E$75)</f>
        <v>1.9082540405563651E-2</v>
      </c>
      <c r="S241" s="59">
        <f>(IF(inputs!$C$17="aerial",((0.025*0.112*inputs!$C$18/3.3)*(3*60*284*((F241/1000)^0.77))*MAX(inputs!$I$14:$I$16))/F241,((0.0083*0.112*inputs!$C$18/1)*(3*60*284*((F241/1000)^0.77))*MAX(inputs!$I$14:$I$16))/F241))*(inputs!E$75*3.4/inputs!$E$73)</f>
        <v>0.10524138273570169</v>
      </c>
      <c r="T241" s="63">
        <f>IF((((inputs!$P$13/(V241/MAX(K241:S241)))^(1/inputs!$O$13))-1)/inputs!$N$13&lt;0, 0, IF((((inputs!$P$13/(V241/MAX(K241:S241)))^(1/inputs!$O$13))-1)/inputs!$N$13&lt;inputs!$I$17, (((inputs!$P$13/(V241/MAX(K241:S241)))^(1/inputs!$O$13))-1)/inputs!$N$13, inputs!$I$17))</f>
        <v>1000</v>
      </c>
      <c r="U241" s="63">
        <f>IF((((inputs!$P$13/(X241/MAX(K241:S241)))^(1/inputs!$O$13))-1)/inputs!$N$13&lt;0, 0, IF((((inputs!$P$13/(X241/MAX(K241:S241)))^(1/inputs!$O$13))-1)/inputs!$N$13&lt;inputs!$I$17, (((inputs!$P$13/(X241/MAX(K241:S241)))^(1/inputs!$O$13))-1)/inputs!$N$13, inputs!$I$17))</f>
        <v>127.66966717789317</v>
      </c>
      <c r="V241" s="21">
        <f>inputs!$E$78*(F241/inputs!$F$78)^(inputs!$E$84-1)</f>
        <v>4.3427808073074944E-3</v>
      </c>
      <c r="W241" s="21">
        <f>inputs!$E$85*(F241/inputs!$F$85)^(inputs!$E$84-1)</f>
        <v>0.20054161757711042</v>
      </c>
      <c r="X241" s="21">
        <f>inputs!$E$80*(F241/inputs!$F$80)^(inputs!$E$84-1)</f>
        <v>0.74885793905376674</v>
      </c>
      <c r="Y241" s="21">
        <f>inputs!$E$82*(F241/inputs!$F$82)^(inputs!$E$84-1)</f>
        <v>0.34513679047549034</v>
      </c>
      <c r="Z241" s="63">
        <f t="shared" si="22"/>
        <v>8933.1491159530342</v>
      </c>
      <c r="AA241" s="63">
        <f t="shared" si="23"/>
        <v>193.44966395645912</v>
      </c>
    </row>
    <row r="242" spans="1:476" ht="26.4" x14ac:dyDescent="0.25">
      <c r="A242" s="103" t="s">
        <v>248</v>
      </c>
      <c r="B242" s="20" t="s">
        <v>251</v>
      </c>
      <c r="C242" s="20" t="s">
        <v>73</v>
      </c>
      <c r="D242" s="104" t="s">
        <v>240</v>
      </c>
      <c r="E242" s="15">
        <v>4679</v>
      </c>
      <c r="F242" s="15">
        <v>5400</v>
      </c>
      <c r="G242" s="49" t="s">
        <v>186</v>
      </c>
      <c r="H242" s="49">
        <v>0.75</v>
      </c>
      <c r="I242" s="68">
        <f>inputs!$C$66*inputs!$C$64/1000</f>
        <v>21.3</v>
      </c>
      <c r="J242" s="68">
        <f>inputs!$C$66*inputs!$C$63/1000</f>
        <v>8.8000000000000007</v>
      </c>
      <c r="K242" s="69">
        <f t="shared" si="24"/>
        <v>3.0174497340193067</v>
      </c>
      <c r="L242" s="69">
        <f t="shared" si="25"/>
        <v>1.2466458995009344</v>
      </c>
      <c r="M242" s="69">
        <f>IF((((1.18*F242^0.874)/3.7-(0.301*F242^0.751)/(1-H242)*H242)*(MAX('Max rate concentrations'!$P$3:$P$368)))/F242&gt;0, (((1.18*F242^0.874)/3.7-(0.301*F242^0.751)/(1-H242)*H242)*(MAX('Max rate concentrations'!$P$3:$P$368)))/F242, 0)</f>
        <v>1.5201629757010946E-3</v>
      </c>
      <c r="N242" s="69">
        <f>IF((((1.18*F242^0.874)/3.7-(0.301*F242^0.751)/(1-H242)*H242)*(MAX('Max rate concentrations'!$Q$3:$Q$368)))/F242&gt;0, (((1.18*F242^0.874)/3.7-(0.301*F242^0.751)/(1-H242)*H242)*(MAX('Max rate concentrations'!$Q$3:$Q$368)))/F242, 0)</f>
        <v>5.788862292388122E-3</v>
      </c>
      <c r="O242" s="69">
        <f>((MAX('Max rate concentrations'!$F$3:$F$368))*0.62*6.01*8*(10*F242^0.667)*0.079*0.1/F242)*inputs!$E$80/(10^(0.84+0.62*LOG10(inputs!$E$80)))</f>
        <v>8.3920160106750359</v>
      </c>
      <c r="P242" s="69">
        <f>((MAX('Max rate concentrations'!Y:Y))*0.62*6.01*8*(10*F242^0.667)*0.079*0.1/F242)*inputs!$E$80/(10^(0.84+0.62*LOG10(inputs!$E$80)))</f>
        <v>2.7973386702250127</v>
      </c>
      <c r="Q242" s="69">
        <f>(inputs!$C$18*11.2*(10*F242^0.667)*0.5/F242)*inputs!$E$80/(10^(0.84+0.62*LOG10(inputs!$E$80)))</f>
        <v>1.4782140386815861</v>
      </c>
      <c r="R242" s="59">
        <f>(60*284*((F242/1000)^0.77)*3*24*(MAX('Max rate concentrations'!$R$3:$R$368))/F242)*(inputs!$E$73*3.4/inputs!$E$75)</f>
        <v>1.9082540405563651E-2</v>
      </c>
      <c r="S242" s="59">
        <f>(IF(inputs!$C$17="aerial",((0.025*0.112*inputs!$C$18/3.3)*(3*60*284*((F242/1000)^0.77))*MAX(inputs!$I$14:$I$16))/F242,((0.0083*0.112*inputs!$C$18/1)*(3*60*284*((F242/1000)^0.77))*MAX(inputs!$I$14:$I$16))/F242))*(inputs!E$75*3.4/inputs!$E$73)</f>
        <v>0.10524138273570169</v>
      </c>
      <c r="T242" s="63">
        <f>IF((((inputs!$P$13/(V242/MAX(K242:S242)))^(1/inputs!$O$13))-1)/inputs!$N$13&lt;0, 0, IF((((inputs!$P$13/(V242/MAX(K242:S242)))^(1/inputs!$O$13))-1)/inputs!$N$13&lt;inputs!$I$17, (((inputs!$P$13/(V242/MAX(K242:S242)))^(1/inputs!$O$13))-1)/inputs!$N$13, inputs!$I$17))</f>
        <v>1000</v>
      </c>
      <c r="U242" s="63">
        <f>IF((((inputs!$P$13/(X242/MAX(K242:S242)))^(1/inputs!$O$13))-1)/inputs!$N$13&lt;0, 0, IF((((inputs!$P$13/(X242/MAX(K242:S242)))^(1/inputs!$O$13))-1)/inputs!$N$13&lt;inputs!$I$17, (((inputs!$P$13/(X242/MAX(K242:S242)))^(1/inputs!$O$13))-1)/inputs!$N$13, inputs!$I$17))</f>
        <v>33.305037901220594</v>
      </c>
      <c r="V242" s="21">
        <f>inputs!$E$78*(F242/inputs!$F$78)^(inputs!$E$84-1)</f>
        <v>4.3427808073074944E-3</v>
      </c>
      <c r="W242" s="21">
        <f>inputs!$E$85*(F242/inputs!$F$85)^(inputs!$E$84-1)</f>
        <v>0.20054161757711042</v>
      </c>
      <c r="X242" s="21">
        <f>inputs!$E$80*(F242/inputs!$F$80)^(inputs!$E$84-1)</f>
        <v>0.74885793905376674</v>
      </c>
      <c r="Y242" s="21">
        <f>inputs!$E$82*(F242/inputs!$F$82)^(inputs!$E$84-1)</f>
        <v>0.34513679047549034</v>
      </c>
      <c r="Z242" s="63">
        <f t="shared" si="22"/>
        <v>1932.4060741343403</v>
      </c>
      <c r="AA242" s="63">
        <f t="shared" si="23"/>
        <v>41.846755362129336</v>
      </c>
    </row>
    <row r="243" spans="1:476" ht="26.4" x14ac:dyDescent="0.25">
      <c r="A243" s="103" t="s">
        <v>248</v>
      </c>
      <c r="B243" s="20" t="s">
        <v>251</v>
      </c>
      <c r="C243" s="20" t="s">
        <v>73</v>
      </c>
      <c r="D243" s="104" t="s">
        <v>240</v>
      </c>
      <c r="E243" s="15">
        <v>4679</v>
      </c>
      <c r="F243" s="15">
        <v>5400</v>
      </c>
      <c r="G243" s="20" t="s">
        <v>152</v>
      </c>
      <c r="H243" s="20">
        <v>0.77</v>
      </c>
      <c r="I243" s="68">
        <f>MAX('Max rate concentrations'!$G$3:$G$368)</f>
        <v>45</v>
      </c>
      <c r="J243" s="68">
        <f>MAX('Max rate concentrations'!Z:Z)</f>
        <v>21</v>
      </c>
      <c r="K243" s="69">
        <f t="shared" si="24"/>
        <v>6.9292323959414581</v>
      </c>
      <c r="L243" s="69">
        <f t="shared" si="25"/>
        <v>3.2336417847726806</v>
      </c>
      <c r="M243" s="69">
        <f>IF((((1.18*F243^0.874)/3.7-(0.301*F243^0.751)/(1-H243)*H243)*(MAX('Max rate concentrations'!$P$3:$P$368)))/F243&gt;0, (((1.18*F243^0.874)/3.7-(0.301*F243^0.751)/(1-H243)*H243)*(MAX('Max rate concentrations'!$P$3:$P$368)))/F243, 0)</f>
        <v>0</v>
      </c>
      <c r="N243" s="69">
        <f>IF((((1.18*F243^0.874)/3.7-(0.301*F243^0.751)/(1-H243)*H243)*(MAX('Max rate concentrations'!$Q$3:$Q$368)))/F243&gt;0, (((1.18*F243^0.874)/3.7-(0.301*F243^0.751)/(1-H243)*H243)*(MAX('Max rate concentrations'!$Q$3:$Q$368)))/F243, 0)</f>
        <v>0</v>
      </c>
      <c r="O243" s="69">
        <f>((MAX('Max rate concentrations'!$F$3:$F$368))*0.62*6.01*8*(10*F243^0.667)*0.079*0.1/F243)*inputs!$E$80/(10^(0.84+0.62*LOG10(inputs!$E$80)))</f>
        <v>8.3920160106750359</v>
      </c>
      <c r="P243" s="69">
        <f>((MAX('Max rate concentrations'!Y:Y))*0.62*6.01*8*(10*F243^0.667)*0.079*0.1/F243)*inputs!$E$80/(10^(0.84+0.62*LOG10(inputs!$E$80)))</f>
        <v>2.7973386702250127</v>
      </c>
      <c r="Q243" s="69">
        <f>(inputs!$C$18*11.2*(10*F243^0.667)*0.5/F243)*inputs!$E$80/(10^(0.84+0.62*LOG10(inputs!$E$80)))</f>
        <v>1.4782140386815861</v>
      </c>
      <c r="R243" s="59">
        <f>(60*284*((F243/1000)^0.77)*3*24*(MAX('Max rate concentrations'!$R$3:$R$368))/F243)*(inputs!$E$73*3.4/inputs!$E$75)</f>
        <v>1.9082540405563651E-2</v>
      </c>
      <c r="S243" s="59">
        <f>(IF(inputs!$C$17="aerial",((0.025*0.112*inputs!$C$18/3.3)*(3*60*284*((F243/1000)^0.77))*MAX(inputs!$I$14:$I$16))/F243,((0.0083*0.112*inputs!$C$18/1)*(3*60*284*((F243/1000)^0.77))*MAX(inputs!$I$14:$I$16))/F243))*(inputs!E$75*3.4/inputs!$E$73)</f>
        <v>0.10524138273570169</v>
      </c>
      <c r="T243" s="63">
        <f>IF((((inputs!$P$13/(V243/MAX(K243:S243)))^(1/inputs!$O$13))-1)/inputs!$N$13&lt;0, 0, IF((((inputs!$P$13/(V243/MAX(K243:S243)))^(1/inputs!$O$13))-1)/inputs!$N$13&lt;inputs!$I$17, (((inputs!$P$13/(V243/MAX(K243:S243)))^(1/inputs!$O$13))-1)/inputs!$N$13, inputs!$I$17))</f>
        <v>1000</v>
      </c>
      <c r="U243" s="63">
        <f>IF((((inputs!$P$13/(X243/MAX(K243:S243)))^(1/inputs!$O$13))-1)/inputs!$N$13&lt;0, 0, IF((((inputs!$P$13/(X243/MAX(K243:S243)))^(1/inputs!$O$13))-1)/inputs!$N$13&lt;inputs!$I$17, (((inputs!$P$13/(X243/MAX(K243:S243)))^(1/inputs!$O$13))-1)/inputs!$N$13, inputs!$I$17))</f>
        <v>33.305037901220594</v>
      </c>
      <c r="V243" s="21">
        <f>inputs!$E$78*(F243/inputs!$F$78)^(inputs!$E$84-1)</f>
        <v>4.3427808073074944E-3</v>
      </c>
      <c r="W243" s="21">
        <f>inputs!$E$85*(F243/inputs!$F$85)^(inputs!$E$84-1)</f>
        <v>0.20054161757711042</v>
      </c>
      <c r="X243" s="21">
        <f>inputs!$E$80*(F243/inputs!$F$80)^(inputs!$E$84-1)</f>
        <v>0.74885793905376674</v>
      </c>
      <c r="Y243" s="21">
        <f>inputs!$E$82*(F243/inputs!$F$82)^(inputs!$E$84-1)</f>
        <v>0.34513679047549034</v>
      </c>
      <c r="Z243" s="63">
        <f t="shared" si="22"/>
        <v>1932.4060741343403</v>
      </c>
      <c r="AA243" s="63">
        <f t="shared" si="23"/>
        <v>41.846755362129336</v>
      </c>
    </row>
    <row r="244" spans="1:476" ht="26.4" x14ac:dyDescent="0.25">
      <c r="A244" s="103" t="s">
        <v>248</v>
      </c>
      <c r="B244" s="20" t="s">
        <v>251</v>
      </c>
      <c r="C244" s="20" t="s">
        <v>73</v>
      </c>
      <c r="D244" s="104" t="s">
        <v>240</v>
      </c>
      <c r="E244" s="15">
        <v>4679</v>
      </c>
      <c r="F244" s="15">
        <v>5400</v>
      </c>
      <c r="G244" s="21" t="s">
        <v>456</v>
      </c>
      <c r="H244" s="20">
        <v>0.68</v>
      </c>
      <c r="I244" s="68">
        <f>MAX('Max rate concentrations'!$J$3:$J$368)</f>
        <v>686.46486205830786</v>
      </c>
      <c r="J244" s="68">
        <f>MAX('Max rate concentrations'!AB:AB)</f>
        <v>243.122971978984</v>
      </c>
      <c r="K244" s="69">
        <f t="shared" si="24"/>
        <v>75.974663124686074</v>
      </c>
      <c r="L244" s="69">
        <f t="shared" si="25"/>
        <v>26.907693189992983</v>
      </c>
      <c r="M244" s="69">
        <f>IF((((1.18*F244^0.874)/3.7-(0.301*F244^0.751)/(1-H244)*H244)*(MAX('Max rate concentrations'!$P$3:$P$368)))/F244&gt;0, (((1.18*F244^0.874)/3.7-(0.301*F244^0.751)/(1-H244)*H244)*(MAX('Max rate concentrations'!$P$3:$P$368)))/F244, 0)</f>
        <v>2.8508175400788503E-2</v>
      </c>
      <c r="N244" s="69">
        <f>IF((((1.18*F244^0.874)/3.7-(0.301*F244^0.751)/(1-H244)*H244)*(MAX('Max rate concentrations'!$Q$3:$Q$368)))/F244&gt;0, (((1.18*F244^0.874)/3.7-(0.301*F244^0.751)/(1-H244)*H244)*(MAX('Max rate concentrations'!$Q$3:$Q$368)))/F244, 0)</f>
        <v>0.10856066371850683</v>
      </c>
      <c r="O244" s="69">
        <f>((MAX('Max rate concentrations'!$F$3:$F$368))*0.62*6.01*8*(10*F244^0.667)*0.079*0.1/F244)*inputs!$E$80/(10^(0.84+0.62*LOG10(inputs!$E$80)))</f>
        <v>8.3920160106750359</v>
      </c>
      <c r="P244" s="69">
        <f>((MAX('Max rate concentrations'!Y:Y))*0.62*6.01*8*(10*F244^0.667)*0.079*0.1/F244)*inputs!$E$80/(10^(0.84+0.62*LOG10(inputs!$E$80)))</f>
        <v>2.7973386702250127</v>
      </c>
      <c r="Q244" s="69">
        <f>(inputs!$C$18*11.2*(10*F244^0.667)*0.5/F244)*inputs!$E$80/(10^(0.84+0.62*LOG10(inputs!$E$80)))</f>
        <v>1.4782140386815861</v>
      </c>
      <c r="R244" s="59">
        <f>(60*284*((F244/1000)^0.77)*3*24*(MAX('Max rate concentrations'!$R$3:$R$368))/F244)*(inputs!$E$73*3.4/inputs!$E$75)</f>
        <v>1.9082540405563651E-2</v>
      </c>
      <c r="S244" s="59">
        <f>(IF(inputs!$C$17="aerial",((0.025*0.112*inputs!$C$18/3.3)*(3*60*284*((F244/1000)^0.77))*MAX(inputs!$I$14:$I$16))/F244,((0.0083*0.112*inputs!$C$18/1)*(3*60*284*((F244/1000)^0.77))*MAX(inputs!$I$14:$I$16))/F244))*(inputs!E$75*3.4/inputs!$E$73)</f>
        <v>0.10524138273570169</v>
      </c>
      <c r="T244" s="63">
        <f>IF((((inputs!$P$13/(V244/MAX(K244:S244)))^(1/inputs!$O$13))-1)/inputs!$N$13&lt;0, 0, IF((((inputs!$P$13/(V244/MAX(K244:S244)))^(1/inputs!$O$13))-1)/inputs!$N$13&lt;inputs!$I$17, (((inputs!$P$13/(V244/MAX(K244:S244)))^(1/inputs!$O$13))-1)/inputs!$N$13, inputs!$I$17))</f>
        <v>1000</v>
      </c>
      <c r="U244" s="63">
        <f>IF((((inputs!$P$13/(X244/MAX(K244:S244)))^(1/inputs!$O$13))-1)/inputs!$N$13&lt;0, 0, IF((((inputs!$P$13/(X244/MAX(K244:S244)))^(1/inputs!$O$13))-1)/inputs!$N$13&lt;inputs!$I$17, (((inputs!$P$13/(X244/MAX(K244:S244)))^(1/inputs!$O$13))-1)/inputs!$N$13, inputs!$I$17))</f>
        <v>223.62888608893857</v>
      </c>
      <c r="V244" s="21">
        <f>inputs!$E$78*(F244/inputs!$F$78)^(inputs!$E$84-1)</f>
        <v>4.3427808073074944E-3</v>
      </c>
      <c r="W244" s="21">
        <f>inputs!$E$85*(F244/inputs!$F$85)^(inputs!$E$84-1)</f>
        <v>0.20054161757711042</v>
      </c>
      <c r="X244" s="21">
        <f>inputs!$E$80*(F244/inputs!$F$80)^(inputs!$E$84-1)</f>
        <v>0.74885793905376674</v>
      </c>
      <c r="Y244" s="21">
        <f>inputs!$E$82*(F244/inputs!$F$82)^(inputs!$E$84-1)</f>
        <v>0.34513679047549034</v>
      </c>
      <c r="Z244" s="63">
        <f t="shared" si="22"/>
        <v>17494.473356068378</v>
      </c>
      <c r="AA244" s="63">
        <f t="shared" si="23"/>
        <v>378.8473636674093</v>
      </c>
    </row>
    <row r="245" spans="1:476" s="21" customFormat="1" ht="26.4" x14ac:dyDescent="0.25">
      <c r="A245" s="103" t="s">
        <v>248</v>
      </c>
      <c r="B245" s="20" t="s">
        <v>251</v>
      </c>
      <c r="C245" s="20" t="s">
        <v>73</v>
      </c>
      <c r="D245" s="104" t="s">
        <v>240</v>
      </c>
      <c r="E245" s="15">
        <v>4679</v>
      </c>
      <c r="F245" s="15">
        <v>5400</v>
      </c>
      <c r="G245" s="20" t="s">
        <v>154</v>
      </c>
      <c r="H245" s="20">
        <v>9.2999999999999999E-2</v>
      </c>
      <c r="I245" s="68">
        <f>MAX('Max rate concentrations'!$G$3:$G$368)</f>
        <v>45</v>
      </c>
      <c r="J245" s="68">
        <f>MAX('Max rate concentrations'!Z:Z)</f>
        <v>21</v>
      </c>
      <c r="K245" s="69">
        <f t="shared" si="24"/>
        <v>1.7571372117602371</v>
      </c>
      <c r="L245" s="69">
        <f t="shared" si="25"/>
        <v>0.81999736548811075</v>
      </c>
      <c r="M245" s="69">
        <f>IF((((1.18*F245^0.874)/3.7-(0.301*F245^0.751)/(1-H245)*H245)*(MAX('Max rate concentrations'!$P$3:$P$368)))/F245&gt;0, (((1.18*F245^0.874)/3.7-(0.301*F245^0.751)/(1-H245)*H245)*(MAX('Max rate concentrations'!$P$3:$P$368)))/F245, 0)</f>
        <v>9.0887933211177191E-2</v>
      </c>
      <c r="N245" s="69">
        <f>IF((((1.18*F245^0.874)/3.7-(0.301*F245^0.751)/(1-H245)*H245)*(MAX('Max rate concentrations'!$Q$3:$Q$368)))/F245&gt;0, (((1.18*F245^0.874)/3.7-(0.301*F245^0.751)/(1-H245)*H245)*(MAX('Max rate concentrations'!$Q$3:$Q$368)))/F245, 0)</f>
        <v>0.34610613322997191</v>
      </c>
      <c r="O245" s="69">
        <f>((MAX('Max rate concentrations'!$F$3:$F$368))*0.62*6.01*8*(10*F245^0.667)*0.079*0.1/F245)*inputs!$E$80/(10^(0.84+0.62*LOG10(inputs!$E$80)))</f>
        <v>8.3920160106750359</v>
      </c>
      <c r="P245" s="69">
        <f>((MAX('Max rate concentrations'!Y:Y))*0.62*6.01*8*(10*F245^0.667)*0.079*0.1/F245)*inputs!$E$80/(10^(0.84+0.62*LOG10(inputs!$E$80)))</f>
        <v>2.7973386702250127</v>
      </c>
      <c r="Q245" s="69">
        <f>(inputs!$C$18*11.2*(10*F245^0.667)*0.5/F245)*inputs!$E$80/(10^(0.84+0.62*LOG10(inputs!$E$80)))</f>
        <v>1.4782140386815861</v>
      </c>
      <c r="R245" s="59">
        <f>(60*284*((F245/1000)^0.77)*3*24*(MAX('Max rate concentrations'!$R$3:$R$368))/F245)*(inputs!$E$73*3.4/inputs!$E$75)</f>
        <v>1.9082540405563651E-2</v>
      </c>
      <c r="S245" s="59">
        <f>(IF(inputs!$C$17="aerial",((0.025*0.112*inputs!$C$18/3.3)*(3*60*284*((F245/1000)^0.77))*MAX(inputs!$I$14:$I$16))/F245,((0.0083*0.112*inputs!$C$18/1)*(3*60*284*((F245/1000)^0.77))*MAX(inputs!$I$14:$I$16))/F245))*(inputs!E$75*3.4/inputs!$E$73)</f>
        <v>0.10524138273570169</v>
      </c>
      <c r="T245" s="63">
        <f>IF((((inputs!$P$13/(V245/MAX(K245:S245)))^(1/inputs!$O$13))-1)/inputs!$N$13&lt;0, 0, IF((((inputs!$P$13/(V245/MAX(K245:S245)))^(1/inputs!$O$13))-1)/inputs!$N$13&lt;inputs!$I$17, (((inputs!$P$13/(V245/MAX(K245:S245)))^(1/inputs!$O$13))-1)/inputs!$N$13, inputs!$I$17))</f>
        <v>1000</v>
      </c>
      <c r="U245" s="63">
        <f>IF((((inputs!$P$13/(X245/MAX(K245:S245)))^(1/inputs!$O$13))-1)/inputs!$N$13&lt;0, 0, IF((((inputs!$P$13/(X245/MAX(K245:S245)))^(1/inputs!$O$13))-1)/inputs!$N$13&lt;inputs!$I$17, (((inputs!$P$13/(X245/MAX(K245:S245)))^(1/inputs!$O$13))-1)/inputs!$N$13, inputs!$I$17))</f>
        <v>33.305037901220594</v>
      </c>
      <c r="V245" s="21">
        <f>inputs!$E$78*(F245/inputs!$F$78)^(inputs!$E$84-1)</f>
        <v>4.3427808073074944E-3</v>
      </c>
      <c r="W245" s="21">
        <f>inputs!$E$85*(F245/inputs!$F$85)^(inputs!$E$84-1)</f>
        <v>0.20054161757711042</v>
      </c>
      <c r="X245" s="21">
        <f>inputs!$E$80*(F245/inputs!$F$80)^(inputs!$E$84-1)</f>
        <v>0.74885793905376674</v>
      </c>
      <c r="Y245" s="21">
        <f>inputs!$E$82*(F245/inputs!$F$82)^(inputs!$E$84-1)</f>
        <v>0.34513679047549034</v>
      </c>
      <c r="Z245" s="63">
        <f t="shared" si="22"/>
        <v>1932.4060741343403</v>
      </c>
      <c r="AA245" s="63">
        <f t="shared" si="23"/>
        <v>41.846755362129336</v>
      </c>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c r="DD245" s="107"/>
      <c r="DE245" s="107"/>
      <c r="DF245" s="107"/>
      <c r="DG245" s="107"/>
      <c r="DH245" s="107"/>
      <c r="DI245" s="107"/>
      <c r="DJ245" s="107"/>
      <c r="DK245" s="107"/>
      <c r="DL245" s="107"/>
      <c r="DM245" s="107"/>
      <c r="DN245" s="107"/>
      <c r="DO245" s="107"/>
      <c r="DP245" s="107"/>
      <c r="DQ245" s="107"/>
      <c r="DR245" s="107"/>
      <c r="DS245" s="107"/>
      <c r="DT245" s="107"/>
      <c r="DU245" s="107"/>
      <c r="DV245" s="107"/>
      <c r="DW245" s="107"/>
      <c r="DX245" s="107"/>
      <c r="DY245" s="107"/>
      <c r="DZ245" s="107"/>
      <c r="EA245" s="107"/>
      <c r="EB245" s="107"/>
      <c r="EC245" s="107"/>
      <c r="ED245" s="107"/>
      <c r="EE245" s="107"/>
      <c r="EF245" s="107"/>
      <c r="EG245" s="107"/>
      <c r="EH245" s="107"/>
      <c r="EI245" s="107"/>
      <c r="EJ245" s="107"/>
      <c r="EK245" s="107"/>
      <c r="EL245" s="107"/>
      <c r="EM245" s="107"/>
      <c r="EN245" s="107"/>
      <c r="EO245" s="107"/>
      <c r="EP245" s="107"/>
      <c r="EQ245" s="107"/>
      <c r="ER245" s="107"/>
      <c r="ES245" s="107"/>
      <c r="ET245" s="107"/>
      <c r="EU245" s="107"/>
      <c r="EV245" s="107"/>
      <c r="EW245" s="107"/>
      <c r="EX245" s="107"/>
      <c r="EY245" s="107"/>
      <c r="EZ245" s="107"/>
      <c r="FA245" s="107"/>
      <c r="FB245" s="107"/>
      <c r="FC245" s="107"/>
      <c r="FD245" s="107"/>
      <c r="FE245" s="107"/>
      <c r="FF245" s="107"/>
      <c r="FG245" s="107"/>
      <c r="FH245" s="107"/>
      <c r="FI245" s="107"/>
      <c r="FJ245" s="107"/>
      <c r="FK245" s="107"/>
      <c r="FL245" s="107"/>
      <c r="FM245" s="107"/>
      <c r="FN245" s="107"/>
      <c r="FO245" s="107"/>
      <c r="FP245" s="107"/>
      <c r="FQ245" s="107"/>
      <c r="FR245" s="107"/>
      <c r="FS245" s="107"/>
      <c r="FT245" s="107"/>
      <c r="FU245" s="107"/>
      <c r="FV245" s="107"/>
      <c r="FW245" s="107"/>
      <c r="FX245" s="107"/>
      <c r="FY245" s="107"/>
      <c r="FZ245" s="107"/>
      <c r="GA245" s="107"/>
      <c r="GB245" s="107"/>
      <c r="GC245" s="107"/>
      <c r="GD245" s="107"/>
      <c r="GE245" s="107"/>
      <c r="GF245" s="107"/>
      <c r="GG245" s="107"/>
      <c r="GH245" s="107"/>
      <c r="GI245" s="107"/>
      <c r="GJ245" s="107"/>
      <c r="GK245" s="107"/>
      <c r="GL245" s="107"/>
      <c r="GM245" s="107"/>
      <c r="GN245" s="107"/>
      <c r="GO245" s="107"/>
      <c r="GP245" s="107"/>
      <c r="GQ245" s="107"/>
      <c r="GR245" s="107"/>
      <c r="GS245" s="107"/>
      <c r="GT245" s="107"/>
      <c r="GU245" s="107"/>
      <c r="GV245" s="107"/>
      <c r="GW245" s="107"/>
      <c r="GX245" s="107"/>
      <c r="GY245" s="107"/>
      <c r="GZ245" s="107"/>
      <c r="HA245" s="107"/>
      <c r="HB245" s="107"/>
      <c r="HC245" s="107"/>
      <c r="HD245" s="107"/>
      <c r="HE245" s="107"/>
      <c r="HF245" s="107"/>
      <c r="HG245" s="107"/>
      <c r="HH245" s="107"/>
      <c r="HI245" s="107"/>
      <c r="HJ245" s="107"/>
      <c r="HK245" s="107"/>
      <c r="HL245" s="107"/>
      <c r="HM245" s="107"/>
      <c r="HN245" s="107"/>
      <c r="HO245" s="107"/>
      <c r="HP245" s="107"/>
      <c r="HQ245" s="107"/>
      <c r="HR245" s="107"/>
      <c r="HS245" s="107"/>
      <c r="HT245" s="107"/>
      <c r="HU245" s="107"/>
      <c r="HV245" s="107"/>
      <c r="HW245" s="107"/>
      <c r="HX245" s="107"/>
      <c r="HY245" s="107"/>
      <c r="HZ245" s="107"/>
      <c r="IA245" s="107"/>
      <c r="IB245" s="107"/>
      <c r="IC245" s="107"/>
      <c r="ID245" s="107"/>
      <c r="IE245" s="107"/>
      <c r="IF245" s="107"/>
      <c r="IG245" s="107"/>
      <c r="IH245" s="107"/>
      <c r="II245" s="107"/>
      <c r="IJ245" s="107"/>
      <c r="IK245" s="107"/>
      <c r="IL245" s="107"/>
      <c r="IM245" s="107"/>
      <c r="IN245" s="107"/>
      <c r="IO245" s="107"/>
      <c r="IP245" s="107"/>
      <c r="IQ245" s="107"/>
      <c r="IR245" s="107"/>
      <c r="IS245" s="107"/>
      <c r="IT245" s="107"/>
      <c r="IU245" s="107"/>
      <c r="IV245" s="107"/>
      <c r="IW245" s="107"/>
      <c r="IX245" s="107"/>
      <c r="IY245" s="107"/>
      <c r="IZ245" s="107"/>
      <c r="JA245" s="107"/>
      <c r="JB245" s="107"/>
      <c r="JC245" s="107"/>
      <c r="JD245" s="107"/>
      <c r="JE245" s="107"/>
      <c r="JF245" s="107"/>
      <c r="JG245" s="107"/>
      <c r="JH245" s="107"/>
      <c r="JI245" s="107"/>
      <c r="JJ245" s="107"/>
      <c r="JK245" s="107"/>
      <c r="JL245" s="107"/>
      <c r="JM245" s="107"/>
      <c r="JN245" s="107"/>
      <c r="JO245" s="107"/>
      <c r="JP245" s="107"/>
      <c r="JQ245" s="107"/>
      <c r="JR245" s="107"/>
      <c r="JS245" s="107"/>
      <c r="JT245" s="107"/>
      <c r="JU245" s="107"/>
      <c r="JV245" s="107"/>
      <c r="JW245" s="107"/>
      <c r="JX245" s="107"/>
      <c r="JY245" s="107"/>
      <c r="JZ245" s="107"/>
      <c r="KA245" s="107"/>
      <c r="KB245" s="107"/>
      <c r="KC245" s="107"/>
      <c r="KD245" s="107"/>
      <c r="KE245" s="107"/>
      <c r="KF245" s="107"/>
      <c r="KG245" s="107"/>
      <c r="KH245" s="107"/>
      <c r="KI245" s="107"/>
      <c r="KJ245" s="107"/>
      <c r="KK245" s="107"/>
      <c r="KL245" s="107"/>
      <c r="KM245" s="107"/>
      <c r="KN245" s="107"/>
      <c r="KO245" s="107"/>
      <c r="KP245" s="107"/>
      <c r="KQ245" s="107"/>
      <c r="KR245" s="107"/>
      <c r="KS245" s="107"/>
      <c r="KT245" s="107"/>
      <c r="KU245" s="107"/>
      <c r="KV245" s="107"/>
      <c r="KW245" s="107"/>
      <c r="KX245" s="107"/>
      <c r="KY245" s="107"/>
      <c r="KZ245" s="107"/>
      <c r="LA245" s="107"/>
      <c r="LB245" s="107"/>
      <c r="LC245" s="107"/>
      <c r="LD245" s="107"/>
      <c r="LE245" s="107"/>
      <c r="LF245" s="107"/>
      <c r="LG245" s="107"/>
      <c r="LH245" s="107"/>
      <c r="LI245" s="107"/>
      <c r="LJ245" s="107"/>
      <c r="LK245" s="107"/>
      <c r="LL245" s="107"/>
      <c r="LM245" s="107"/>
      <c r="LN245" s="107"/>
      <c r="LO245" s="107"/>
      <c r="LP245" s="107"/>
      <c r="LQ245" s="107"/>
      <c r="LR245" s="107"/>
      <c r="LS245" s="107"/>
      <c r="LT245" s="107"/>
      <c r="LU245" s="107"/>
      <c r="LV245" s="107"/>
      <c r="LW245" s="107"/>
      <c r="LX245" s="107"/>
      <c r="LY245" s="107"/>
      <c r="LZ245" s="107"/>
      <c r="MA245" s="107"/>
      <c r="MB245" s="107"/>
      <c r="MC245" s="107"/>
      <c r="MD245" s="107"/>
      <c r="ME245" s="107"/>
      <c r="MF245" s="107"/>
      <c r="MG245" s="107"/>
      <c r="MH245" s="107"/>
      <c r="MI245" s="107"/>
      <c r="MJ245" s="107"/>
      <c r="MK245" s="107"/>
      <c r="ML245" s="107"/>
      <c r="MM245" s="107"/>
      <c r="MN245" s="107"/>
      <c r="MO245" s="107"/>
      <c r="MP245" s="107"/>
      <c r="MQ245" s="107"/>
      <c r="MR245" s="107"/>
      <c r="MS245" s="107"/>
      <c r="MT245" s="107"/>
      <c r="MU245" s="107"/>
      <c r="MV245" s="107"/>
      <c r="MW245" s="107"/>
      <c r="MX245" s="107"/>
      <c r="MY245" s="107"/>
      <c r="MZ245" s="107"/>
      <c r="NA245" s="107"/>
      <c r="NB245" s="107"/>
      <c r="NC245" s="107"/>
      <c r="ND245" s="107"/>
      <c r="NE245" s="107"/>
      <c r="NF245" s="107"/>
      <c r="NG245" s="107"/>
      <c r="NH245" s="107"/>
      <c r="NI245" s="107"/>
      <c r="NJ245" s="107"/>
      <c r="NK245" s="107"/>
      <c r="NL245" s="107"/>
      <c r="NM245" s="107"/>
      <c r="NN245" s="107"/>
      <c r="NO245" s="107"/>
      <c r="NP245" s="107"/>
      <c r="NQ245" s="107"/>
      <c r="NR245" s="107"/>
      <c r="NS245" s="107"/>
      <c r="NT245" s="107"/>
      <c r="NU245" s="107"/>
      <c r="NV245" s="107"/>
      <c r="NW245" s="107"/>
      <c r="NX245" s="107"/>
      <c r="NY245" s="107"/>
      <c r="NZ245" s="107"/>
      <c r="OA245" s="107"/>
      <c r="OB245" s="107"/>
      <c r="OC245" s="107"/>
      <c r="OD245" s="107"/>
      <c r="OE245" s="107"/>
      <c r="OF245" s="107"/>
      <c r="OG245" s="107"/>
      <c r="OH245" s="107"/>
      <c r="OI245" s="107"/>
      <c r="OJ245" s="107"/>
      <c r="OK245" s="107"/>
      <c r="OL245" s="107"/>
      <c r="OM245" s="107"/>
      <c r="ON245" s="107"/>
      <c r="OO245" s="107"/>
      <c r="OP245" s="107"/>
      <c r="OQ245" s="107"/>
      <c r="OR245" s="107"/>
      <c r="OS245" s="107"/>
      <c r="OT245" s="107"/>
      <c r="OU245" s="107"/>
      <c r="OV245" s="107"/>
      <c r="OW245" s="107"/>
      <c r="OX245" s="107"/>
      <c r="OY245" s="107"/>
      <c r="OZ245" s="107"/>
      <c r="PA245" s="107"/>
      <c r="PB245" s="107"/>
      <c r="PC245" s="107"/>
      <c r="PD245" s="107"/>
      <c r="PE245" s="107"/>
      <c r="PF245" s="107"/>
      <c r="PG245" s="107"/>
      <c r="PH245" s="107"/>
      <c r="PI245" s="107"/>
      <c r="PJ245" s="107"/>
      <c r="PK245" s="107"/>
      <c r="PL245" s="107"/>
      <c r="PM245" s="107"/>
      <c r="PN245" s="107"/>
      <c r="PO245" s="107"/>
      <c r="PP245" s="107"/>
      <c r="PQ245" s="107"/>
      <c r="PR245" s="107"/>
      <c r="PS245" s="107"/>
      <c r="PT245" s="107"/>
      <c r="PU245" s="107"/>
      <c r="PV245" s="107"/>
      <c r="PW245" s="107"/>
      <c r="PX245" s="107"/>
      <c r="PY245" s="107"/>
      <c r="PZ245" s="107"/>
      <c r="QA245" s="107"/>
      <c r="QB245" s="107"/>
      <c r="QC245" s="107"/>
      <c r="QD245" s="107"/>
      <c r="QE245" s="107"/>
      <c r="QF245" s="107"/>
      <c r="QG245" s="107"/>
      <c r="QH245" s="107"/>
      <c r="QI245" s="107"/>
      <c r="QJ245" s="107"/>
      <c r="QK245" s="107"/>
      <c r="QL245" s="107"/>
      <c r="QM245" s="107"/>
      <c r="QN245" s="107"/>
      <c r="QO245" s="107"/>
      <c r="QP245" s="107"/>
      <c r="QQ245" s="107"/>
      <c r="QR245" s="107"/>
      <c r="QS245" s="107"/>
      <c r="QT245" s="107"/>
      <c r="QU245" s="107"/>
      <c r="QV245" s="107"/>
      <c r="QW245" s="107"/>
      <c r="QX245" s="107"/>
      <c r="QY245" s="107"/>
      <c r="QZ245" s="107"/>
      <c r="RA245" s="107"/>
      <c r="RB245" s="107"/>
      <c r="RC245" s="107"/>
      <c r="RD245" s="107"/>
      <c r="RE245" s="107"/>
      <c r="RF245" s="107"/>
      <c r="RG245" s="107"/>
      <c r="RH245" s="107"/>
    </row>
    <row r="246" spans="1:476" s="21" customFormat="1" x14ac:dyDescent="0.25">
      <c r="A246" s="103" t="s">
        <v>248</v>
      </c>
      <c r="B246" s="20" t="s">
        <v>250</v>
      </c>
      <c r="C246" s="20" t="s">
        <v>73</v>
      </c>
      <c r="D246" s="104" t="s">
        <v>240</v>
      </c>
      <c r="E246" s="15">
        <v>10124</v>
      </c>
      <c r="F246" s="15">
        <v>5400</v>
      </c>
      <c r="G246" s="20" t="s">
        <v>182</v>
      </c>
      <c r="H246" s="20">
        <v>0.85</v>
      </c>
      <c r="I246" s="68">
        <f>MAX('Max rate concentrations'!$M$3:$M$368)</f>
        <v>17.092910873809167</v>
      </c>
      <c r="J246" s="68">
        <f>MAX('Max rate concentrations'!AE:AE)</f>
        <v>11.81956602976166</v>
      </c>
      <c r="K246" s="69">
        <f t="shared" si="24"/>
        <v>4.0357589491229406</v>
      </c>
      <c r="L246" s="69">
        <f t="shared" si="25"/>
        <v>2.7906843797126721</v>
      </c>
      <c r="M246" s="69">
        <f>IF((((1.18*F246^0.874)/3.7-(0.301*F246^0.751)/(1-H246)*H246)*(MAX('Max rate concentrations'!$P$3:$P$368)))/F246&gt;0, (((1.18*F246^0.874)/3.7-(0.301*F246^0.751)/(1-H246)*H246)*(MAX('Max rate concentrations'!$P$3:$P$368)))/F246, 0)</f>
        <v>0</v>
      </c>
      <c r="N246" s="69">
        <f>IF((((1.18*F246^0.874)/3.7-(0.301*F246^0.751)/(1-H246)*H246)*(MAX('Max rate concentrations'!$Q$3:$Q$368)))/F246&gt;0, (((1.18*F246^0.874)/3.7-(0.301*F246^0.751)/(1-H246)*H246)*(MAX('Max rate concentrations'!$Q$3:$Q$368)))/F246, 0)</f>
        <v>0</v>
      </c>
      <c r="O246" s="69">
        <f>((MAX('Max rate concentrations'!$F$3:$F$368))*0.62*6.01*8*(10*F246^0.667)*0.079*0.1/F246)*inputs!$E$80/(10^(0.84+0.62*LOG10(inputs!$E$80)))</f>
        <v>8.3920160106750359</v>
      </c>
      <c r="P246" s="69">
        <f>((MAX('Max rate concentrations'!Y:Y))*0.62*6.01*8*(10*F246^0.667)*0.079*0.1/F246)*inputs!$E$80/(10^(0.84+0.62*LOG10(inputs!$E$80)))</f>
        <v>2.7973386702250127</v>
      </c>
      <c r="Q246" s="69">
        <f>(inputs!$C$18*11.2*(10*F246^0.667)*0.5/F246)*inputs!$E$80/(10^(0.84+0.62*LOG10(inputs!$E$80)))</f>
        <v>1.4782140386815861</v>
      </c>
      <c r="R246" s="59">
        <f>(60*284*((F246/1000)^0.77)*3*24*(MAX('Max rate concentrations'!$R$3:$R$368))/F246)*(inputs!$E$73*3.4/inputs!$E$75)</f>
        <v>1.9082540405563651E-2</v>
      </c>
      <c r="S246" s="59">
        <f>(IF(inputs!$C$17="aerial",((0.025*0.112*inputs!$C$18/3.3)*(3*60*284*((F246/1000)^0.77))*MAX(inputs!$I$14:$I$16))/F246,((0.0083*0.112*inputs!$C$18/1)*(3*60*284*((F246/1000)^0.77))*MAX(inputs!$I$14:$I$16))/F246))*(inputs!E$75*3.4/inputs!$E$73)</f>
        <v>0.10524138273570169</v>
      </c>
      <c r="T246" s="63">
        <f>IF((((inputs!$P$13/(V246/MAX(K246:S246)))^(1/inputs!$O$13))-1)/inputs!$N$13&lt;0, 0, IF((((inputs!$P$13/(V246/MAX(K246:S246)))^(1/inputs!$O$13))-1)/inputs!$N$13&lt;inputs!$I$17, (((inputs!$P$13/(V246/MAX(K246:S246)))^(1/inputs!$O$13))-1)/inputs!$N$13, inputs!$I$17))</f>
        <v>1000</v>
      </c>
      <c r="U246" s="63">
        <f>IF((((inputs!$P$13/(X246/MAX(K246:S246)))^(1/inputs!$O$13))-1)/inputs!$N$13&lt;0, 0, IF((((inputs!$P$13/(X246/MAX(K246:S246)))^(1/inputs!$O$13))-1)/inputs!$N$13&lt;inputs!$I$17, (((inputs!$P$13/(X246/MAX(K246:S246)))^(1/inputs!$O$13))-1)/inputs!$N$13, inputs!$I$17))</f>
        <v>33.305037901220594</v>
      </c>
      <c r="V246" s="21">
        <f>inputs!$E$78*(F246/inputs!$F$78)^(inputs!$E$84-1)</f>
        <v>4.3427808073074944E-3</v>
      </c>
      <c r="W246" s="21">
        <f>inputs!$E$85*(F246/inputs!$F$85)^(inputs!$E$84-1)</f>
        <v>0.20054161757711042</v>
      </c>
      <c r="X246" s="21">
        <f>inputs!$E$80*(F246/inputs!$F$80)^(inputs!$E$84-1)</f>
        <v>0.74885793905376674</v>
      </c>
      <c r="Y246" s="21">
        <f>inputs!$E$82*(F246/inputs!$F$82)^(inputs!$E$84-1)</f>
        <v>0.34513679047549034</v>
      </c>
      <c r="Z246" s="63">
        <f t="shared" si="22"/>
        <v>1932.4060741343403</v>
      </c>
      <c r="AA246" s="63">
        <f t="shared" si="23"/>
        <v>41.846755362129336</v>
      </c>
      <c r="AB246" s="115"/>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c r="CE246" s="116"/>
      <c r="CF246" s="116"/>
      <c r="CG246" s="116"/>
      <c r="CH246" s="116"/>
      <c r="CI246" s="116"/>
      <c r="CJ246" s="116"/>
      <c r="CK246" s="116"/>
      <c r="CL246" s="116"/>
      <c r="CM246" s="116"/>
      <c r="CN246" s="116"/>
      <c r="CO246" s="116"/>
      <c r="CP246" s="116"/>
      <c r="CQ246" s="116"/>
      <c r="CR246" s="116"/>
      <c r="CS246" s="116"/>
      <c r="CT246" s="116"/>
      <c r="CU246" s="116"/>
      <c r="CV246" s="116"/>
      <c r="CW246" s="116"/>
      <c r="CX246" s="116"/>
      <c r="CY246" s="116"/>
      <c r="CZ246" s="116"/>
      <c r="DA246" s="116"/>
      <c r="DB246" s="116"/>
      <c r="DC246" s="116"/>
      <c r="DD246" s="116"/>
      <c r="DE246" s="116"/>
      <c r="DF246" s="116"/>
      <c r="DG246" s="116"/>
      <c r="DH246" s="116"/>
      <c r="DI246" s="116"/>
      <c r="DJ246" s="116"/>
      <c r="DK246" s="116"/>
      <c r="DL246" s="116"/>
      <c r="DM246" s="116"/>
      <c r="DN246" s="116"/>
      <c r="DO246" s="116"/>
      <c r="DP246" s="116"/>
      <c r="DQ246" s="116"/>
      <c r="DR246" s="116"/>
      <c r="DS246" s="116"/>
      <c r="DT246" s="116"/>
      <c r="DU246" s="116"/>
      <c r="DV246" s="116"/>
      <c r="DW246" s="116"/>
      <c r="DX246" s="116"/>
      <c r="DY246" s="116"/>
      <c r="DZ246" s="116"/>
      <c r="EA246" s="116"/>
      <c r="EB246" s="116"/>
      <c r="EC246" s="116"/>
      <c r="ED246" s="116"/>
      <c r="EE246" s="116"/>
      <c r="EF246" s="116"/>
      <c r="EG246" s="116"/>
      <c r="EH246" s="116"/>
      <c r="EI246" s="116"/>
      <c r="EJ246" s="116"/>
      <c r="EK246" s="116"/>
      <c r="EL246" s="116"/>
      <c r="EM246" s="116"/>
      <c r="EN246" s="116"/>
      <c r="EO246" s="116"/>
      <c r="EP246" s="116"/>
      <c r="EQ246" s="116"/>
      <c r="ER246" s="116"/>
      <c r="ES246" s="116"/>
      <c r="ET246" s="116"/>
      <c r="EU246" s="116"/>
      <c r="EV246" s="116"/>
      <c r="EW246" s="116"/>
      <c r="EX246" s="116"/>
      <c r="EY246" s="116"/>
      <c r="EZ246" s="116"/>
      <c r="FA246" s="116"/>
      <c r="FB246" s="116"/>
      <c r="FC246" s="116"/>
      <c r="FD246" s="116"/>
      <c r="FE246" s="116"/>
      <c r="FF246" s="116"/>
      <c r="FG246" s="116"/>
      <c r="FH246" s="116"/>
      <c r="FI246" s="116"/>
      <c r="FJ246" s="116"/>
      <c r="FK246" s="116"/>
      <c r="FL246" s="116"/>
      <c r="FM246" s="116"/>
      <c r="FN246" s="116"/>
      <c r="FO246" s="116"/>
      <c r="FP246" s="116"/>
      <c r="FQ246" s="116"/>
      <c r="FR246" s="116"/>
      <c r="FS246" s="116"/>
      <c r="FT246" s="116"/>
      <c r="FU246" s="116"/>
      <c r="FV246" s="116"/>
      <c r="FW246" s="116"/>
      <c r="FX246" s="116"/>
      <c r="FY246" s="116"/>
      <c r="FZ246" s="116"/>
      <c r="GA246" s="116"/>
      <c r="GB246" s="116"/>
      <c r="GC246" s="116"/>
      <c r="GD246" s="116"/>
      <c r="GE246" s="116"/>
      <c r="GF246" s="116"/>
      <c r="GG246" s="116"/>
      <c r="GH246" s="116"/>
      <c r="GI246" s="116"/>
      <c r="GJ246" s="116"/>
      <c r="GK246" s="116"/>
      <c r="GL246" s="116"/>
      <c r="GM246" s="116"/>
      <c r="GN246" s="116"/>
      <c r="GO246" s="116"/>
      <c r="GP246" s="116"/>
      <c r="GQ246" s="116"/>
      <c r="GR246" s="116"/>
      <c r="GS246" s="116"/>
      <c r="GT246" s="116"/>
      <c r="GU246" s="116"/>
      <c r="GV246" s="116"/>
      <c r="GW246" s="116"/>
      <c r="GX246" s="116"/>
      <c r="GY246" s="116"/>
      <c r="GZ246" s="116"/>
      <c r="HA246" s="116"/>
      <c r="HB246" s="116"/>
      <c r="HC246" s="116"/>
      <c r="HD246" s="116"/>
      <c r="HE246" s="116"/>
      <c r="HF246" s="116"/>
      <c r="HG246" s="116"/>
      <c r="HH246" s="116"/>
      <c r="HI246" s="116"/>
      <c r="HJ246" s="116"/>
      <c r="HK246" s="116"/>
      <c r="HL246" s="116"/>
      <c r="HM246" s="116"/>
      <c r="HN246" s="116"/>
      <c r="HO246" s="116"/>
      <c r="HP246" s="116"/>
      <c r="HQ246" s="116"/>
      <c r="HR246" s="116"/>
      <c r="HS246" s="116"/>
      <c r="HT246" s="116"/>
      <c r="HU246" s="116"/>
      <c r="HV246" s="116"/>
      <c r="HW246" s="116"/>
      <c r="HX246" s="116"/>
      <c r="HY246" s="116"/>
      <c r="HZ246" s="116"/>
      <c r="IA246" s="116"/>
      <c r="IB246" s="116"/>
      <c r="IC246" s="116"/>
      <c r="ID246" s="116"/>
      <c r="IE246" s="116"/>
      <c r="IF246" s="116"/>
      <c r="IG246" s="116"/>
      <c r="IH246" s="116"/>
      <c r="II246" s="116"/>
      <c r="IJ246" s="116"/>
      <c r="IK246" s="116"/>
      <c r="IL246" s="116"/>
      <c r="IM246" s="116"/>
      <c r="IN246" s="116"/>
      <c r="IO246" s="116"/>
      <c r="IP246" s="116"/>
      <c r="IQ246" s="116"/>
      <c r="IR246" s="116"/>
      <c r="IS246" s="116"/>
      <c r="IT246" s="116"/>
      <c r="IU246" s="116"/>
      <c r="IV246" s="116"/>
      <c r="IW246" s="116"/>
      <c r="IX246" s="116"/>
      <c r="IY246" s="116"/>
      <c r="IZ246" s="116"/>
      <c r="JA246" s="116"/>
      <c r="JB246" s="116"/>
      <c r="JC246" s="116"/>
      <c r="JD246" s="116"/>
      <c r="JE246" s="116"/>
      <c r="JF246" s="116"/>
      <c r="JG246" s="116"/>
      <c r="JH246" s="116"/>
      <c r="JI246" s="116"/>
      <c r="JJ246" s="116"/>
      <c r="JK246" s="116"/>
      <c r="JL246" s="116"/>
      <c r="JM246" s="116"/>
      <c r="JN246" s="116"/>
      <c r="JO246" s="116"/>
      <c r="JP246" s="116"/>
      <c r="JQ246" s="116"/>
      <c r="JR246" s="116"/>
      <c r="JS246" s="116"/>
      <c r="JT246" s="116"/>
      <c r="JU246" s="116"/>
      <c r="JV246" s="116"/>
      <c r="JW246" s="116"/>
      <c r="JX246" s="116"/>
      <c r="JY246" s="116"/>
      <c r="JZ246" s="116"/>
      <c r="KA246" s="116"/>
      <c r="KB246" s="116"/>
      <c r="KC246" s="116"/>
      <c r="KD246" s="116"/>
      <c r="KE246" s="116"/>
      <c r="KF246" s="116"/>
      <c r="KG246" s="116"/>
      <c r="KH246" s="116"/>
      <c r="KI246" s="116"/>
      <c r="KJ246" s="116"/>
      <c r="KK246" s="116"/>
      <c r="KL246" s="116"/>
      <c r="KM246" s="116"/>
      <c r="KN246" s="116"/>
      <c r="KO246" s="116"/>
      <c r="KP246" s="116"/>
      <c r="KQ246" s="116"/>
      <c r="KR246" s="116"/>
      <c r="KS246" s="116"/>
      <c r="KT246" s="116"/>
      <c r="KU246" s="116"/>
      <c r="KV246" s="116"/>
      <c r="KW246" s="116"/>
      <c r="KX246" s="116"/>
      <c r="KY246" s="116"/>
      <c r="KZ246" s="116"/>
      <c r="LA246" s="116"/>
      <c r="LB246" s="116"/>
      <c r="LC246" s="116"/>
      <c r="LD246" s="116"/>
      <c r="LE246" s="116"/>
      <c r="LF246" s="116"/>
      <c r="LG246" s="116"/>
      <c r="LH246" s="116"/>
      <c r="LI246" s="116"/>
      <c r="LJ246" s="116"/>
      <c r="LK246" s="116"/>
      <c r="LL246" s="116"/>
      <c r="LM246" s="116"/>
      <c r="LN246" s="116"/>
      <c r="LO246" s="116"/>
      <c r="LP246" s="116"/>
      <c r="LQ246" s="116"/>
      <c r="LR246" s="116"/>
      <c r="LS246" s="116"/>
      <c r="LT246" s="116"/>
      <c r="LU246" s="116"/>
      <c r="LV246" s="116"/>
      <c r="LW246" s="116"/>
      <c r="LX246" s="116"/>
      <c r="LY246" s="116"/>
      <c r="LZ246" s="116"/>
      <c r="MA246" s="116"/>
      <c r="MB246" s="116"/>
      <c r="MC246" s="116"/>
      <c r="MD246" s="116"/>
      <c r="ME246" s="116"/>
      <c r="MF246" s="116"/>
      <c r="MG246" s="116"/>
      <c r="MH246" s="116"/>
      <c r="MI246" s="116"/>
      <c r="MJ246" s="116"/>
      <c r="MK246" s="116"/>
      <c r="ML246" s="116"/>
      <c r="MM246" s="116"/>
      <c r="MN246" s="116"/>
      <c r="MO246" s="116"/>
      <c r="MP246" s="116"/>
      <c r="MQ246" s="116"/>
      <c r="MR246" s="116"/>
      <c r="MS246" s="116"/>
      <c r="MT246" s="116"/>
      <c r="MU246" s="116"/>
      <c r="MV246" s="116"/>
      <c r="MW246" s="116"/>
      <c r="MX246" s="116"/>
      <c r="MY246" s="116"/>
      <c r="MZ246" s="116"/>
      <c r="NA246" s="116"/>
      <c r="NB246" s="116"/>
      <c r="NC246" s="116"/>
      <c r="ND246" s="116"/>
      <c r="NE246" s="116"/>
      <c r="NF246" s="116"/>
      <c r="NG246" s="116"/>
      <c r="NH246" s="116"/>
      <c r="NI246" s="116"/>
      <c r="NJ246" s="116"/>
      <c r="NK246" s="116"/>
      <c r="NL246" s="116"/>
      <c r="NM246" s="116"/>
      <c r="NN246" s="116"/>
      <c r="NO246" s="116"/>
      <c r="NP246" s="116"/>
      <c r="NQ246" s="116"/>
      <c r="NR246" s="116"/>
      <c r="NS246" s="116"/>
      <c r="NT246" s="116"/>
      <c r="NU246" s="116"/>
      <c r="NV246" s="116"/>
      <c r="NW246" s="116"/>
      <c r="NX246" s="116"/>
      <c r="NY246" s="116"/>
      <c r="NZ246" s="116"/>
      <c r="OA246" s="116"/>
      <c r="OB246" s="116"/>
      <c r="OC246" s="116"/>
      <c r="OD246" s="116"/>
      <c r="OE246" s="116"/>
      <c r="OF246" s="116"/>
      <c r="OG246" s="116"/>
      <c r="OH246" s="116"/>
      <c r="OI246" s="116"/>
      <c r="OJ246" s="116"/>
      <c r="OK246" s="116"/>
      <c r="OL246" s="116"/>
      <c r="OM246" s="116"/>
      <c r="ON246" s="116"/>
      <c r="OO246" s="116"/>
      <c r="OP246" s="116"/>
      <c r="OQ246" s="116"/>
      <c r="OR246" s="116"/>
      <c r="OS246" s="116"/>
      <c r="OT246" s="116"/>
      <c r="OU246" s="116"/>
      <c r="OV246" s="116"/>
      <c r="OW246" s="116"/>
      <c r="OX246" s="116"/>
      <c r="OY246" s="116"/>
      <c r="OZ246" s="116"/>
      <c r="PA246" s="116"/>
      <c r="PB246" s="116"/>
      <c r="PC246" s="116"/>
      <c r="PD246" s="116"/>
      <c r="PE246" s="116"/>
      <c r="PF246" s="116"/>
      <c r="PG246" s="116"/>
      <c r="PH246" s="116"/>
      <c r="PI246" s="116"/>
      <c r="PJ246" s="116"/>
      <c r="PK246" s="116"/>
      <c r="PL246" s="116"/>
      <c r="PM246" s="116"/>
      <c r="PN246" s="116"/>
      <c r="PO246" s="116"/>
      <c r="PP246" s="116"/>
      <c r="PQ246" s="116"/>
      <c r="PR246" s="116"/>
      <c r="PS246" s="116"/>
      <c r="PT246" s="116"/>
      <c r="PU246" s="116"/>
      <c r="PV246" s="116"/>
      <c r="PW246" s="116"/>
      <c r="PX246" s="116"/>
      <c r="PY246" s="116"/>
      <c r="PZ246" s="116"/>
      <c r="QA246" s="116"/>
      <c r="QB246" s="116"/>
      <c r="QC246" s="116"/>
      <c r="QD246" s="116"/>
      <c r="QE246" s="116"/>
      <c r="QF246" s="116"/>
      <c r="QG246" s="116"/>
      <c r="QH246" s="116"/>
      <c r="QI246" s="116"/>
      <c r="QJ246" s="116"/>
      <c r="QK246" s="116"/>
      <c r="QL246" s="116"/>
      <c r="QM246" s="116"/>
      <c r="QN246" s="116"/>
      <c r="QO246" s="116"/>
      <c r="QP246" s="116"/>
      <c r="QQ246" s="116"/>
      <c r="QR246" s="116"/>
      <c r="QS246" s="116"/>
      <c r="QT246" s="116"/>
      <c r="QU246" s="116"/>
      <c r="QV246" s="116"/>
      <c r="QW246" s="116"/>
      <c r="QX246" s="116"/>
      <c r="QY246" s="116"/>
      <c r="QZ246" s="116"/>
      <c r="RA246" s="116"/>
      <c r="RB246" s="116"/>
      <c r="RC246" s="116"/>
      <c r="RD246" s="116"/>
      <c r="RE246" s="116"/>
      <c r="RF246" s="116"/>
      <c r="RG246" s="116"/>
      <c r="RH246" s="116"/>
    </row>
    <row r="247" spans="1:476" s="21" customFormat="1" x14ac:dyDescent="0.25">
      <c r="A247" s="103" t="s">
        <v>248</v>
      </c>
      <c r="B247" s="20" t="s">
        <v>250</v>
      </c>
      <c r="C247" s="20" t="s">
        <v>73</v>
      </c>
      <c r="D247" s="104" t="s">
        <v>240</v>
      </c>
      <c r="E247" s="15">
        <v>10124</v>
      </c>
      <c r="F247" s="15">
        <v>5400</v>
      </c>
      <c r="G247" s="20" t="s">
        <v>142</v>
      </c>
      <c r="H247" s="20">
        <v>0.69</v>
      </c>
      <c r="I247" s="68">
        <f>MAX('Max rate concentrations'!$H$3:$H$368)</f>
        <v>282</v>
      </c>
      <c r="J247" s="68">
        <f>MAX('Max rate concentrations'!AA:AA)</f>
        <v>195</v>
      </c>
      <c r="K247" s="69">
        <f t="shared" si="24"/>
        <v>32.217205247366515</v>
      </c>
      <c r="L247" s="69">
        <f t="shared" si="25"/>
        <v>22.277854692327907</v>
      </c>
      <c r="M247" s="69">
        <f>IF((((1.18*F247^0.874)/3.7-(0.301*F247^0.751)/(1-H247)*H247)*(MAX('Max rate concentrations'!$P$3:$P$368)))/F247&gt;0, (((1.18*F247^0.874)/3.7-(0.301*F247^0.751)/(1-H247)*H247)*(MAX('Max rate concentrations'!$P$3:$P$368)))/F247, 0)</f>
        <v>2.5398957379465095E-2</v>
      </c>
      <c r="N247" s="69">
        <f>IF((((1.18*F247^0.874)/3.7-(0.301*F247^0.751)/(1-H247)*H247)*(MAX('Max rate concentrations'!$Q$3:$Q$368)))/F247&gt;0, (((1.18*F247^0.874)/3.7-(0.301*F247^0.751)/(1-H247)*H247)*(MAX('Max rate concentrations'!$Q$3:$Q$368)))/F247, 0)</f>
        <v>9.6720594429783577E-2</v>
      </c>
      <c r="O247" s="69">
        <f>((MAX('Max rate concentrations'!$F$3:$F$368))*0.62*6.01*8*(10*F247^0.667)*0.079*0.1/F247)*inputs!$E$80/(10^(0.84+0.62*LOG10(inputs!$E$80)))</f>
        <v>8.3920160106750359</v>
      </c>
      <c r="P247" s="69">
        <f>((MAX('Max rate concentrations'!Y:Y))*0.62*6.01*8*(10*F247^0.667)*0.079*0.1/F247)*inputs!$E$80/(10^(0.84+0.62*LOG10(inputs!$E$80)))</f>
        <v>2.7973386702250127</v>
      </c>
      <c r="Q247" s="69">
        <f>(inputs!$C$18*11.2*(10*F247^0.667)*0.5/F247)*inputs!$E$80/(10^(0.84+0.62*LOG10(inputs!$E$80)))</f>
        <v>1.4782140386815861</v>
      </c>
      <c r="R247" s="59">
        <f>(60*284*((F247/1000)^0.77)*3*24*(MAX('Max rate concentrations'!$R$3:$R$368))/F247)*(inputs!$E$73*3.4/inputs!$E$75)</f>
        <v>1.9082540405563651E-2</v>
      </c>
      <c r="S247" s="59">
        <f>(IF(inputs!$C$17="aerial",((0.025*0.112*inputs!$C$18/3.3)*(3*60*284*((F247/1000)^0.77))*MAX(inputs!$I$14:$I$16))/F247,((0.0083*0.112*inputs!$C$18/1)*(3*60*284*((F247/1000)^0.77))*MAX(inputs!$I$14:$I$16))/F247))*(inputs!E$75*3.4/inputs!$E$73)</f>
        <v>0.10524138273570169</v>
      </c>
      <c r="T247" s="63">
        <f>IF((((inputs!$P$13/(V247/MAX(K247:S247)))^(1/inputs!$O$13))-1)/inputs!$N$13&lt;0, 0, IF((((inputs!$P$13/(V247/MAX(K247:S247)))^(1/inputs!$O$13))-1)/inputs!$N$13&lt;inputs!$I$17, (((inputs!$P$13/(V247/MAX(K247:S247)))^(1/inputs!$O$13))-1)/inputs!$N$13, inputs!$I$17))</f>
        <v>1000</v>
      </c>
      <c r="U247" s="63">
        <f>IF((((inputs!$P$13/(X247/MAX(K247:S247)))^(1/inputs!$O$13))-1)/inputs!$N$13&lt;0, 0, IF((((inputs!$P$13/(X247/MAX(K247:S247)))^(1/inputs!$O$13))-1)/inputs!$N$13&lt;inputs!$I$17, (((inputs!$P$13/(X247/MAX(K247:S247)))^(1/inputs!$O$13))-1)/inputs!$N$13, inputs!$I$17))</f>
        <v>109.13104683936109</v>
      </c>
      <c r="V247" s="21">
        <f>inputs!$E$78*(F247/inputs!$F$78)^(inputs!$E$84-1)</f>
        <v>4.3427808073074944E-3</v>
      </c>
      <c r="W247" s="21">
        <f>inputs!$E$85*(F247/inputs!$F$85)^(inputs!$E$84-1)</f>
        <v>0.20054161757711042</v>
      </c>
      <c r="X247" s="21">
        <f>inputs!$E$80*(F247/inputs!$F$80)^(inputs!$E$84-1)</f>
        <v>0.74885793905376674</v>
      </c>
      <c r="Y247" s="21">
        <f>inputs!$E$82*(F247/inputs!$F$82)^(inputs!$E$84-1)</f>
        <v>0.34513679047549034</v>
      </c>
      <c r="Z247" s="63">
        <f t="shared" si="22"/>
        <v>7418.5658168967193</v>
      </c>
      <c r="AA247" s="63">
        <f t="shared" si="23"/>
        <v>160.65096929308777</v>
      </c>
      <c r="AB247" s="117"/>
    </row>
    <row r="248" spans="1:476" s="21" customFormat="1" x14ac:dyDescent="0.25">
      <c r="A248" s="103" t="s">
        <v>248</v>
      </c>
      <c r="B248" s="20" t="s">
        <v>250</v>
      </c>
      <c r="C248" s="20" t="s">
        <v>73</v>
      </c>
      <c r="D248" s="104" t="s">
        <v>240</v>
      </c>
      <c r="E248" s="15">
        <v>10124</v>
      </c>
      <c r="F248" s="15">
        <v>5400</v>
      </c>
      <c r="G248" s="20" t="s">
        <v>164</v>
      </c>
      <c r="H248" s="20">
        <v>0.78</v>
      </c>
      <c r="I248" s="68">
        <f>inputs!$C$66*(inputs!$C$62/1000)</f>
        <v>8.2000000000000011</v>
      </c>
      <c r="J248" s="68">
        <f>inputs!$C$66*(inputs!$C$61/1000)</f>
        <v>2.5</v>
      </c>
      <c r="K248" s="69">
        <f t="shared" si="24"/>
        <v>1.3200537675500599</v>
      </c>
      <c r="L248" s="69">
        <f t="shared" si="25"/>
        <v>0.40245541693599385</v>
      </c>
      <c r="M248" s="69">
        <f>IF((((1.18*F248^0.874)/3.7-(0.301*F248^0.751)/(1-H248)*H248)*(MAX('Max rate concentrations'!$P$3:$P$368)))/F248&gt;0, (((1.18*F248^0.874)/3.7-(0.301*F248^0.751)/(1-H248)*H248)*(MAX('Max rate concentrations'!$P$3:$P$368)))/F248, 0)</f>
        <v>0</v>
      </c>
      <c r="N248" s="69">
        <f>IF((((1.18*F248^0.874)/3.7-(0.301*F248^0.751)/(1-H248)*H248)*(MAX('Max rate concentrations'!$Q$3:$Q$368)))/F248&gt;0, (((1.18*F248^0.874)/3.7-(0.301*F248^0.751)/(1-H248)*H248)*(MAX('Max rate concentrations'!$Q$3:$Q$368)))/F248, 0)</f>
        <v>0</v>
      </c>
      <c r="O248" s="69">
        <f>((MAX('Max rate concentrations'!$F$3:$F$368))*0.62*6.01*8*(10*F248^0.667)*0.079*0.1/F248)*inputs!$E$80/(10^(0.84+0.62*LOG10(inputs!$E$80)))</f>
        <v>8.3920160106750359</v>
      </c>
      <c r="P248" s="69">
        <f>((MAX('Max rate concentrations'!Y:Y))*0.62*6.01*8*(10*F248^0.667)*0.079*0.1/F248)*inputs!$E$80/(10^(0.84+0.62*LOG10(inputs!$E$80)))</f>
        <v>2.7973386702250127</v>
      </c>
      <c r="Q248" s="69">
        <f>(inputs!$C$18*11.2*(10*F248^0.667)*0.5/F248)*inputs!$E$80/(10^(0.84+0.62*LOG10(inputs!$E$80)))</f>
        <v>1.4782140386815861</v>
      </c>
      <c r="R248" s="59">
        <f>(60*284*((F248/1000)^0.77)*3*24*(MAX('Max rate concentrations'!$R$3:$R$368))/F248)*(inputs!$E$73*3.4/inputs!$E$75)</f>
        <v>1.9082540405563651E-2</v>
      </c>
      <c r="S248" s="59">
        <f>(IF(inputs!$C$17="aerial",((0.025*0.112*inputs!$C$18/3.3)*(3*60*284*((F248/1000)^0.77))*MAX(inputs!$I$14:$I$16))/F248,((0.0083*0.112*inputs!$C$18/1)*(3*60*284*((F248/1000)^0.77))*MAX(inputs!$I$14:$I$16))/F248))*(inputs!E$75*3.4/inputs!$E$73)</f>
        <v>0.10524138273570169</v>
      </c>
      <c r="T248" s="63">
        <f>IF((((inputs!$P$13/(V248/MAX(K248:S248)))^(1/inputs!$O$13))-1)/inputs!$N$13&lt;0, 0, IF((((inputs!$P$13/(V248/MAX(K248:S248)))^(1/inputs!$O$13))-1)/inputs!$N$13&lt;inputs!$I$17, (((inputs!$P$13/(V248/MAX(K248:S248)))^(1/inputs!$O$13))-1)/inputs!$N$13, inputs!$I$17))</f>
        <v>1000</v>
      </c>
      <c r="U248" s="63">
        <f>IF((((inputs!$P$13/(X248/MAX(K248:S248)))^(1/inputs!$O$13))-1)/inputs!$N$13&lt;0, 0, IF((((inputs!$P$13/(X248/MAX(K248:S248)))^(1/inputs!$O$13))-1)/inputs!$N$13&lt;inputs!$I$17, (((inputs!$P$13/(X248/MAX(K248:S248)))^(1/inputs!$O$13))-1)/inputs!$N$13, inputs!$I$17))</f>
        <v>33.305037901220594</v>
      </c>
      <c r="V248" s="21">
        <f>inputs!$E$78*(F248/inputs!$F$78)^(inputs!$E$84-1)</f>
        <v>4.3427808073074944E-3</v>
      </c>
      <c r="W248" s="21">
        <f>inputs!$E$85*(F248/inputs!$F$85)^(inputs!$E$84-1)</f>
        <v>0.20054161757711042</v>
      </c>
      <c r="X248" s="21">
        <f>inputs!$E$80*(F248/inputs!$F$80)^(inputs!$E$84-1)</f>
        <v>0.74885793905376674</v>
      </c>
      <c r="Y248" s="21">
        <f>inputs!$E$82*(F248/inputs!$F$82)^(inputs!$E$84-1)</f>
        <v>0.34513679047549034</v>
      </c>
      <c r="Z248" s="63">
        <f t="shared" si="22"/>
        <v>1932.4060741343403</v>
      </c>
      <c r="AA248" s="63">
        <f t="shared" si="23"/>
        <v>41.846755362129336</v>
      </c>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c r="FB248" s="107"/>
      <c r="FC248" s="107"/>
      <c r="FD248" s="107"/>
      <c r="FE248" s="107"/>
      <c r="FF248" s="107"/>
      <c r="FG248" s="107"/>
      <c r="FH248" s="107"/>
      <c r="FI248" s="107"/>
      <c r="FJ248" s="107"/>
      <c r="FK248" s="107"/>
      <c r="FL248" s="107"/>
      <c r="FM248" s="107"/>
      <c r="FN248" s="107"/>
      <c r="FO248" s="107"/>
      <c r="FP248" s="107"/>
      <c r="FQ248" s="107"/>
      <c r="FR248" s="107"/>
      <c r="FS248" s="107"/>
      <c r="FT248" s="107"/>
      <c r="FU248" s="107"/>
      <c r="FV248" s="107"/>
      <c r="FW248" s="107"/>
      <c r="FX248" s="107"/>
      <c r="FY248" s="107"/>
      <c r="FZ248" s="107"/>
      <c r="GA248" s="107"/>
      <c r="GB248" s="107"/>
      <c r="GC248" s="107"/>
      <c r="GD248" s="107"/>
      <c r="GE248" s="107"/>
      <c r="GF248" s="107"/>
      <c r="GG248" s="107"/>
      <c r="GH248" s="107"/>
      <c r="GI248" s="107"/>
      <c r="GJ248" s="107"/>
      <c r="GK248" s="107"/>
      <c r="GL248" s="107"/>
      <c r="GM248" s="107"/>
      <c r="GN248" s="107"/>
      <c r="GO248" s="107"/>
      <c r="GP248" s="107"/>
      <c r="GQ248" s="107"/>
      <c r="GR248" s="107"/>
      <c r="GS248" s="107"/>
      <c r="GT248" s="107"/>
      <c r="GU248" s="107"/>
      <c r="GV248" s="107"/>
      <c r="GW248" s="107"/>
      <c r="GX248" s="107"/>
      <c r="GY248" s="107"/>
      <c r="GZ248" s="107"/>
      <c r="HA248" s="107"/>
      <c r="HB248" s="107"/>
      <c r="HC248" s="107"/>
      <c r="HD248" s="107"/>
      <c r="HE248" s="107"/>
      <c r="HF248" s="107"/>
      <c r="HG248" s="107"/>
      <c r="HH248" s="107"/>
      <c r="HI248" s="107"/>
      <c r="HJ248" s="107"/>
      <c r="HK248" s="107"/>
      <c r="HL248" s="107"/>
      <c r="HM248" s="107"/>
      <c r="HN248" s="107"/>
      <c r="HO248" s="107"/>
      <c r="HP248" s="107"/>
      <c r="HQ248" s="107"/>
      <c r="HR248" s="107"/>
      <c r="HS248" s="107"/>
      <c r="HT248" s="107"/>
      <c r="HU248" s="107"/>
      <c r="HV248" s="107"/>
      <c r="HW248" s="107"/>
      <c r="HX248" s="107"/>
      <c r="HY248" s="107"/>
      <c r="HZ248" s="107"/>
      <c r="IA248" s="107"/>
      <c r="IB248" s="107"/>
      <c r="IC248" s="107"/>
      <c r="ID248" s="107"/>
      <c r="IE248" s="107"/>
      <c r="IF248" s="107"/>
      <c r="IG248" s="107"/>
      <c r="IH248" s="107"/>
      <c r="II248" s="107"/>
      <c r="IJ248" s="107"/>
      <c r="IK248" s="107"/>
      <c r="IL248" s="107"/>
      <c r="IM248" s="107"/>
      <c r="IN248" s="107"/>
      <c r="IO248" s="107"/>
      <c r="IP248" s="107"/>
      <c r="IQ248" s="107"/>
      <c r="IR248" s="107"/>
      <c r="IS248" s="107"/>
      <c r="IT248" s="107"/>
      <c r="IU248" s="107"/>
      <c r="IV248" s="107"/>
      <c r="IW248" s="107"/>
      <c r="IX248" s="107"/>
      <c r="IY248" s="107"/>
      <c r="IZ248" s="107"/>
      <c r="JA248" s="107"/>
      <c r="JB248" s="107"/>
      <c r="JC248" s="107"/>
      <c r="JD248" s="107"/>
      <c r="JE248" s="107"/>
      <c r="JF248" s="107"/>
      <c r="JG248" s="107"/>
      <c r="JH248" s="107"/>
      <c r="JI248" s="107"/>
      <c r="JJ248" s="107"/>
      <c r="JK248" s="107"/>
      <c r="JL248" s="107"/>
      <c r="JM248" s="107"/>
      <c r="JN248" s="107"/>
      <c r="JO248" s="107"/>
      <c r="JP248" s="107"/>
      <c r="JQ248" s="107"/>
      <c r="JR248" s="107"/>
      <c r="JS248" s="107"/>
      <c r="JT248" s="107"/>
      <c r="JU248" s="107"/>
      <c r="JV248" s="107"/>
      <c r="JW248" s="107"/>
      <c r="JX248" s="107"/>
      <c r="JY248" s="107"/>
      <c r="JZ248" s="107"/>
      <c r="KA248" s="107"/>
      <c r="KB248" s="107"/>
      <c r="KC248" s="107"/>
      <c r="KD248" s="107"/>
      <c r="KE248" s="107"/>
      <c r="KF248" s="107"/>
      <c r="KG248" s="107"/>
      <c r="KH248" s="107"/>
      <c r="KI248" s="107"/>
      <c r="KJ248" s="107"/>
      <c r="KK248" s="107"/>
      <c r="KL248" s="107"/>
      <c r="KM248" s="107"/>
      <c r="KN248" s="107"/>
      <c r="KO248" s="107"/>
      <c r="KP248" s="107"/>
      <c r="KQ248" s="107"/>
      <c r="KR248" s="107"/>
      <c r="KS248" s="107"/>
      <c r="KT248" s="107"/>
      <c r="KU248" s="107"/>
      <c r="KV248" s="107"/>
      <c r="KW248" s="107"/>
      <c r="KX248" s="107"/>
      <c r="KY248" s="107"/>
      <c r="KZ248" s="107"/>
      <c r="LA248" s="107"/>
      <c r="LB248" s="107"/>
      <c r="LC248" s="107"/>
      <c r="LD248" s="107"/>
      <c r="LE248" s="107"/>
      <c r="LF248" s="107"/>
      <c r="LG248" s="107"/>
      <c r="LH248" s="107"/>
      <c r="LI248" s="107"/>
      <c r="LJ248" s="107"/>
      <c r="LK248" s="107"/>
      <c r="LL248" s="107"/>
      <c r="LM248" s="107"/>
      <c r="LN248" s="107"/>
      <c r="LO248" s="107"/>
      <c r="LP248" s="107"/>
      <c r="LQ248" s="107"/>
      <c r="LR248" s="107"/>
      <c r="LS248" s="107"/>
      <c r="LT248" s="107"/>
      <c r="LU248" s="107"/>
      <c r="LV248" s="107"/>
      <c r="LW248" s="107"/>
      <c r="LX248" s="107"/>
      <c r="LY248" s="107"/>
      <c r="LZ248" s="107"/>
      <c r="MA248" s="107"/>
      <c r="MB248" s="107"/>
      <c r="MC248" s="107"/>
      <c r="MD248" s="107"/>
      <c r="ME248" s="107"/>
      <c r="MF248" s="107"/>
      <c r="MG248" s="107"/>
      <c r="MH248" s="107"/>
      <c r="MI248" s="107"/>
      <c r="MJ248" s="107"/>
      <c r="MK248" s="107"/>
      <c r="ML248" s="107"/>
      <c r="MM248" s="107"/>
      <c r="MN248" s="107"/>
      <c r="MO248" s="107"/>
      <c r="MP248" s="107"/>
      <c r="MQ248" s="107"/>
      <c r="MR248" s="107"/>
      <c r="MS248" s="107"/>
      <c r="MT248" s="107"/>
      <c r="MU248" s="107"/>
      <c r="MV248" s="107"/>
      <c r="MW248" s="107"/>
      <c r="MX248" s="107"/>
      <c r="MY248" s="107"/>
      <c r="MZ248" s="107"/>
      <c r="NA248" s="107"/>
      <c r="NB248" s="107"/>
      <c r="NC248" s="107"/>
      <c r="ND248" s="107"/>
      <c r="NE248" s="107"/>
      <c r="NF248" s="107"/>
      <c r="NG248" s="107"/>
      <c r="NH248" s="107"/>
      <c r="NI248" s="107"/>
      <c r="NJ248" s="107"/>
      <c r="NK248" s="107"/>
      <c r="NL248" s="107"/>
      <c r="NM248" s="107"/>
      <c r="NN248" s="107"/>
      <c r="NO248" s="107"/>
      <c r="NP248" s="107"/>
      <c r="NQ248" s="107"/>
      <c r="NR248" s="107"/>
      <c r="NS248" s="107"/>
      <c r="NT248" s="107"/>
      <c r="NU248" s="107"/>
      <c r="NV248" s="107"/>
      <c r="NW248" s="107"/>
      <c r="NX248" s="107"/>
      <c r="NY248" s="107"/>
      <c r="NZ248" s="107"/>
      <c r="OA248" s="107"/>
      <c r="OB248" s="107"/>
      <c r="OC248" s="107"/>
      <c r="OD248" s="107"/>
      <c r="OE248" s="107"/>
      <c r="OF248" s="107"/>
      <c r="OG248" s="107"/>
      <c r="OH248" s="107"/>
      <c r="OI248" s="107"/>
      <c r="OJ248" s="107"/>
      <c r="OK248" s="107"/>
      <c r="OL248" s="107"/>
      <c r="OM248" s="107"/>
      <c r="ON248" s="107"/>
      <c r="OO248" s="107"/>
      <c r="OP248" s="107"/>
      <c r="OQ248" s="107"/>
      <c r="OR248" s="107"/>
      <c r="OS248" s="107"/>
      <c r="OT248" s="107"/>
      <c r="OU248" s="107"/>
      <c r="OV248" s="107"/>
      <c r="OW248" s="107"/>
      <c r="OX248" s="107"/>
      <c r="OY248" s="107"/>
      <c r="OZ248" s="107"/>
      <c r="PA248" s="107"/>
      <c r="PB248" s="107"/>
      <c r="PC248" s="107"/>
      <c r="PD248" s="107"/>
      <c r="PE248" s="107"/>
      <c r="PF248" s="107"/>
      <c r="PG248" s="107"/>
      <c r="PH248" s="107"/>
      <c r="PI248" s="107"/>
      <c r="PJ248" s="107"/>
      <c r="PK248" s="107"/>
      <c r="PL248" s="107"/>
      <c r="PM248" s="107"/>
      <c r="PN248" s="107"/>
      <c r="PO248" s="107"/>
      <c r="PP248" s="107"/>
      <c r="PQ248" s="107"/>
      <c r="PR248" s="107"/>
      <c r="PS248" s="107"/>
      <c r="PT248" s="107"/>
      <c r="PU248" s="107"/>
      <c r="PV248" s="107"/>
      <c r="PW248" s="107"/>
      <c r="PX248" s="107"/>
      <c r="PY248" s="107"/>
      <c r="PZ248" s="107"/>
      <c r="QA248" s="107"/>
      <c r="QB248" s="107"/>
      <c r="QC248" s="107"/>
      <c r="QD248" s="107"/>
      <c r="QE248" s="107"/>
      <c r="QF248" s="107"/>
      <c r="QG248" s="107"/>
      <c r="QH248" s="107"/>
      <c r="QI248" s="107"/>
      <c r="QJ248" s="107"/>
      <c r="QK248" s="107"/>
      <c r="QL248" s="107"/>
      <c r="QM248" s="107"/>
      <c r="QN248" s="107"/>
      <c r="QO248" s="107"/>
      <c r="QP248" s="107"/>
      <c r="QQ248" s="107"/>
      <c r="QR248" s="107"/>
      <c r="QS248" s="107"/>
      <c r="QT248" s="107"/>
      <c r="QU248" s="107"/>
      <c r="QV248" s="107"/>
      <c r="QW248" s="107"/>
      <c r="QX248" s="107"/>
      <c r="QY248" s="107"/>
      <c r="QZ248" s="107"/>
      <c r="RA248" s="107"/>
      <c r="RB248" s="107"/>
      <c r="RC248" s="107"/>
      <c r="RD248" s="107"/>
      <c r="RE248" s="107"/>
      <c r="RF248" s="107"/>
      <c r="RG248" s="107"/>
      <c r="RH248" s="107"/>
    </row>
    <row r="249" spans="1:476" s="21" customFormat="1" x14ac:dyDescent="0.25">
      <c r="A249" s="103" t="s">
        <v>248</v>
      </c>
      <c r="B249" s="20" t="s">
        <v>250</v>
      </c>
      <c r="C249" s="20" t="s">
        <v>73</v>
      </c>
      <c r="D249" s="104" t="s">
        <v>240</v>
      </c>
      <c r="E249" s="15">
        <v>10124</v>
      </c>
      <c r="F249" s="15">
        <v>5400</v>
      </c>
      <c r="G249" s="20" t="s">
        <v>138</v>
      </c>
      <c r="H249" s="20">
        <v>0.68</v>
      </c>
      <c r="I249" s="68">
        <f>MAX('Max rate concentrations'!$L$3:$L$368)</f>
        <v>350.52744091332482</v>
      </c>
      <c r="J249" s="68">
        <f>MAX('Max rate concentrations'!AD:AD)</f>
        <v>242.38599637623525</v>
      </c>
      <c r="K249" s="69">
        <f t="shared" si="24"/>
        <v>38.794708529576745</v>
      </c>
      <c r="L249" s="69">
        <f t="shared" si="25"/>
        <v>26.826128238537112</v>
      </c>
      <c r="M249" s="69">
        <f>IF((((1.18*F249^0.874)/3.7-(0.301*F249^0.751)/(1-H249)*H249)*(MAX('Max rate concentrations'!$P$3:$P$368)))/F249&gt;0, (((1.18*F249^0.874)/3.7-(0.301*F249^0.751)/(1-H249)*H249)*(MAX('Max rate concentrations'!$P$3:$P$368)))/F249, 0)</f>
        <v>2.8508175400788503E-2</v>
      </c>
      <c r="N249" s="69">
        <f>IF((((1.18*F249^0.874)/3.7-(0.301*F249^0.751)/(1-H249)*H249)*(MAX('Max rate concentrations'!$Q$3:$Q$368)))/F249&gt;0, (((1.18*F249^0.874)/3.7-(0.301*F249^0.751)/(1-H249)*H249)*(MAX('Max rate concentrations'!$Q$3:$Q$368)))/F249, 0)</f>
        <v>0.10856066371850683</v>
      </c>
      <c r="O249" s="69">
        <f>((MAX('Max rate concentrations'!$F$3:$F$368))*0.62*6.01*8*(10*F249^0.667)*0.079*0.1/F249)*inputs!$E$80/(10^(0.84+0.62*LOG10(inputs!$E$80)))</f>
        <v>8.3920160106750359</v>
      </c>
      <c r="P249" s="69">
        <f>((MAX('Max rate concentrations'!Y:Y))*0.62*6.01*8*(10*F249^0.667)*0.079*0.1/F249)*inputs!$E$80/(10^(0.84+0.62*LOG10(inputs!$E$80)))</f>
        <v>2.7973386702250127</v>
      </c>
      <c r="Q249" s="69">
        <f>(inputs!$C$18*11.2*(10*F249^0.667)*0.5/F249)*inputs!$E$80/(10^(0.84+0.62*LOG10(inputs!$E$80)))</f>
        <v>1.4782140386815861</v>
      </c>
      <c r="R249" s="59">
        <f>(60*284*((F249/1000)^0.77)*3*24*(MAX('Max rate concentrations'!$R$3:$R$368))/F249)*(inputs!$E$73*3.4/inputs!$E$75)</f>
        <v>1.9082540405563651E-2</v>
      </c>
      <c r="S249" s="59">
        <f>(IF(inputs!$C$17="aerial",((0.025*0.112*inputs!$C$18/3.3)*(3*60*284*((F249/1000)^0.77))*MAX(inputs!$I$14:$I$16))/F249,((0.0083*0.112*inputs!$C$18/1)*(3*60*284*((F249/1000)^0.77))*MAX(inputs!$I$14:$I$16))/F249))*(inputs!E$75*3.4/inputs!$E$73)</f>
        <v>0.10524138273570169</v>
      </c>
      <c r="T249" s="63">
        <f>IF((((inputs!$P$13/(V249/MAX(K249:S249)))^(1/inputs!$O$13))-1)/inputs!$N$13&lt;0, 0, IF((((inputs!$P$13/(V249/MAX(K249:S249)))^(1/inputs!$O$13))-1)/inputs!$N$13&lt;inputs!$I$17, (((inputs!$P$13/(V249/MAX(K249:S249)))^(1/inputs!$O$13))-1)/inputs!$N$13, inputs!$I$17))</f>
        <v>1000</v>
      </c>
      <c r="U249" s="63">
        <f>IF((((inputs!$P$13/(X249/MAX(K249:S249)))^(1/inputs!$O$13))-1)/inputs!$N$13&lt;0, 0, IF((((inputs!$P$13/(X249/MAX(K249:S249)))^(1/inputs!$O$13))-1)/inputs!$N$13&lt;inputs!$I$17, (((inputs!$P$13/(X249/MAX(K249:S249)))^(1/inputs!$O$13))-1)/inputs!$N$13, inputs!$I$17))</f>
        <v>127.66966717789317</v>
      </c>
      <c r="V249" s="21">
        <f>inputs!$E$78*(F249/inputs!$F$78)^(inputs!$E$84-1)</f>
        <v>4.3427808073074944E-3</v>
      </c>
      <c r="W249" s="21">
        <f>inputs!$E$85*(F249/inputs!$F$85)^(inputs!$E$84-1)</f>
        <v>0.20054161757711042</v>
      </c>
      <c r="X249" s="21">
        <f>inputs!$E$80*(F249/inputs!$F$80)^(inputs!$E$84-1)</f>
        <v>0.74885793905376674</v>
      </c>
      <c r="Y249" s="21">
        <f>inputs!$E$82*(F249/inputs!$F$82)^(inputs!$E$84-1)</f>
        <v>0.34513679047549034</v>
      </c>
      <c r="Z249" s="63">
        <f t="shared" si="22"/>
        <v>8933.1491159530342</v>
      </c>
      <c r="AA249" s="63">
        <f t="shared" si="23"/>
        <v>193.44966395645912</v>
      </c>
      <c r="AB249" s="115"/>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c r="CE249" s="116"/>
      <c r="CF249" s="116"/>
      <c r="CG249" s="116"/>
      <c r="CH249" s="116"/>
      <c r="CI249" s="116"/>
      <c r="CJ249" s="116"/>
      <c r="CK249" s="116"/>
      <c r="CL249" s="116"/>
      <c r="CM249" s="116"/>
      <c r="CN249" s="116"/>
      <c r="CO249" s="116"/>
      <c r="CP249" s="116"/>
      <c r="CQ249" s="116"/>
      <c r="CR249" s="116"/>
      <c r="CS249" s="116"/>
      <c r="CT249" s="116"/>
      <c r="CU249" s="116"/>
      <c r="CV249" s="116"/>
      <c r="CW249" s="116"/>
      <c r="CX249" s="116"/>
      <c r="CY249" s="116"/>
      <c r="CZ249" s="116"/>
      <c r="DA249" s="116"/>
      <c r="DB249" s="116"/>
      <c r="DC249" s="116"/>
      <c r="DD249" s="116"/>
      <c r="DE249" s="116"/>
      <c r="DF249" s="116"/>
      <c r="DG249" s="116"/>
      <c r="DH249" s="116"/>
      <c r="DI249" s="116"/>
      <c r="DJ249" s="116"/>
      <c r="DK249" s="116"/>
      <c r="DL249" s="116"/>
      <c r="DM249" s="116"/>
      <c r="DN249" s="116"/>
      <c r="DO249" s="116"/>
      <c r="DP249" s="116"/>
      <c r="DQ249" s="116"/>
      <c r="DR249" s="116"/>
      <c r="DS249" s="116"/>
      <c r="DT249" s="116"/>
      <c r="DU249" s="116"/>
      <c r="DV249" s="116"/>
      <c r="DW249" s="116"/>
      <c r="DX249" s="116"/>
      <c r="DY249" s="116"/>
      <c r="DZ249" s="116"/>
      <c r="EA249" s="116"/>
      <c r="EB249" s="116"/>
      <c r="EC249" s="116"/>
      <c r="ED249" s="116"/>
      <c r="EE249" s="116"/>
      <c r="EF249" s="116"/>
      <c r="EG249" s="116"/>
      <c r="EH249" s="116"/>
      <c r="EI249" s="116"/>
      <c r="EJ249" s="116"/>
      <c r="EK249" s="116"/>
      <c r="EL249" s="116"/>
      <c r="EM249" s="116"/>
      <c r="EN249" s="116"/>
      <c r="EO249" s="116"/>
      <c r="EP249" s="116"/>
      <c r="EQ249" s="116"/>
      <c r="ER249" s="116"/>
      <c r="ES249" s="116"/>
      <c r="ET249" s="116"/>
      <c r="EU249" s="116"/>
      <c r="EV249" s="116"/>
      <c r="EW249" s="116"/>
      <c r="EX249" s="116"/>
      <c r="EY249" s="116"/>
      <c r="EZ249" s="116"/>
      <c r="FA249" s="116"/>
      <c r="FB249" s="116"/>
      <c r="FC249" s="116"/>
      <c r="FD249" s="116"/>
      <c r="FE249" s="116"/>
      <c r="FF249" s="116"/>
      <c r="FG249" s="116"/>
      <c r="FH249" s="116"/>
      <c r="FI249" s="116"/>
      <c r="FJ249" s="116"/>
      <c r="FK249" s="116"/>
      <c r="FL249" s="116"/>
      <c r="FM249" s="116"/>
      <c r="FN249" s="116"/>
      <c r="FO249" s="116"/>
      <c r="FP249" s="116"/>
      <c r="FQ249" s="116"/>
      <c r="FR249" s="116"/>
      <c r="FS249" s="116"/>
      <c r="FT249" s="116"/>
      <c r="FU249" s="116"/>
      <c r="FV249" s="116"/>
      <c r="FW249" s="116"/>
      <c r="FX249" s="116"/>
      <c r="FY249" s="116"/>
      <c r="FZ249" s="116"/>
      <c r="GA249" s="116"/>
      <c r="GB249" s="116"/>
      <c r="GC249" s="116"/>
      <c r="GD249" s="116"/>
      <c r="GE249" s="116"/>
      <c r="GF249" s="116"/>
      <c r="GG249" s="116"/>
      <c r="GH249" s="116"/>
      <c r="GI249" s="116"/>
      <c r="GJ249" s="116"/>
      <c r="GK249" s="116"/>
      <c r="GL249" s="116"/>
      <c r="GM249" s="116"/>
      <c r="GN249" s="116"/>
      <c r="GO249" s="116"/>
      <c r="GP249" s="116"/>
      <c r="GQ249" s="116"/>
      <c r="GR249" s="116"/>
      <c r="GS249" s="116"/>
      <c r="GT249" s="116"/>
      <c r="GU249" s="116"/>
      <c r="GV249" s="116"/>
      <c r="GW249" s="116"/>
      <c r="GX249" s="116"/>
      <c r="GY249" s="116"/>
      <c r="GZ249" s="116"/>
      <c r="HA249" s="116"/>
      <c r="HB249" s="116"/>
      <c r="HC249" s="116"/>
      <c r="HD249" s="116"/>
      <c r="HE249" s="116"/>
      <c r="HF249" s="116"/>
      <c r="HG249" s="116"/>
      <c r="HH249" s="116"/>
      <c r="HI249" s="116"/>
      <c r="HJ249" s="116"/>
      <c r="HK249" s="116"/>
      <c r="HL249" s="116"/>
      <c r="HM249" s="116"/>
      <c r="HN249" s="116"/>
      <c r="HO249" s="116"/>
      <c r="HP249" s="116"/>
      <c r="HQ249" s="116"/>
      <c r="HR249" s="116"/>
      <c r="HS249" s="116"/>
      <c r="HT249" s="116"/>
      <c r="HU249" s="116"/>
      <c r="HV249" s="116"/>
      <c r="HW249" s="116"/>
      <c r="HX249" s="116"/>
      <c r="HY249" s="116"/>
      <c r="HZ249" s="116"/>
      <c r="IA249" s="116"/>
      <c r="IB249" s="116"/>
      <c r="IC249" s="116"/>
      <c r="ID249" s="116"/>
      <c r="IE249" s="116"/>
      <c r="IF249" s="116"/>
      <c r="IG249" s="116"/>
      <c r="IH249" s="116"/>
      <c r="II249" s="116"/>
      <c r="IJ249" s="116"/>
      <c r="IK249" s="116"/>
      <c r="IL249" s="116"/>
      <c r="IM249" s="116"/>
      <c r="IN249" s="116"/>
      <c r="IO249" s="116"/>
      <c r="IP249" s="116"/>
      <c r="IQ249" s="116"/>
      <c r="IR249" s="116"/>
      <c r="IS249" s="116"/>
      <c r="IT249" s="116"/>
      <c r="IU249" s="116"/>
      <c r="IV249" s="116"/>
      <c r="IW249" s="116"/>
      <c r="IX249" s="116"/>
      <c r="IY249" s="116"/>
      <c r="IZ249" s="116"/>
      <c r="JA249" s="116"/>
      <c r="JB249" s="116"/>
      <c r="JC249" s="116"/>
      <c r="JD249" s="116"/>
      <c r="JE249" s="116"/>
      <c r="JF249" s="116"/>
      <c r="JG249" s="116"/>
      <c r="JH249" s="116"/>
      <c r="JI249" s="116"/>
      <c r="JJ249" s="116"/>
      <c r="JK249" s="116"/>
      <c r="JL249" s="116"/>
      <c r="JM249" s="116"/>
      <c r="JN249" s="116"/>
      <c r="JO249" s="116"/>
      <c r="JP249" s="116"/>
      <c r="JQ249" s="116"/>
      <c r="JR249" s="116"/>
      <c r="JS249" s="116"/>
      <c r="JT249" s="116"/>
      <c r="JU249" s="116"/>
      <c r="JV249" s="116"/>
      <c r="JW249" s="116"/>
      <c r="JX249" s="116"/>
      <c r="JY249" s="116"/>
      <c r="JZ249" s="116"/>
      <c r="KA249" s="116"/>
      <c r="KB249" s="116"/>
      <c r="KC249" s="116"/>
      <c r="KD249" s="116"/>
      <c r="KE249" s="116"/>
      <c r="KF249" s="116"/>
      <c r="KG249" s="116"/>
      <c r="KH249" s="116"/>
      <c r="KI249" s="116"/>
      <c r="KJ249" s="116"/>
      <c r="KK249" s="116"/>
      <c r="KL249" s="116"/>
      <c r="KM249" s="116"/>
      <c r="KN249" s="116"/>
      <c r="KO249" s="116"/>
      <c r="KP249" s="116"/>
      <c r="KQ249" s="116"/>
      <c r="KR249" s="116"/>
      <c r="KS249" s="116"/>
      <c r="KT249" s="116"/>
      <c r="KU249" s="116"/>
      <c r="KV249" s="116"/>
      <c r="KW249" s="116"/>
      <c r="KX249" s="116"/>
      <c r="KY249" s="116"/>
      <c r="KZ249" s="116"/>
      <c r="LA249" s="116"/>
      <c r="LB249" s="116"/>
      <c r="LC249" s="116"/>
      <c r="LD249" s="116"/>
      <c r="LE249" s="116"/>
      <c r="LF249" s="116"/>
      <c r="LG249" s="116"/>
      <c r="LH249" s="116"/>
      <c r="LI249" s="116"/>
      <c r="LJ249" s="116"/>
      <c r="LK249" s="116"/>
      <c r="LL249" s="116"/>
      <c r="LM249" s="116"/>
      <c r="LN249" s="116"/>
      <c r="LO249" s="116"/>
      <c r="LP249" s="116"/>
      <c r="LQ249" s="116"/>
      <c r="LR249" s="116"/>
      <c r="LS249" s="116"/>
      <c r="LT249" s="116"/>
      <c r="LU249" s="116"/>
      <c r="LV249" s="116"/>
      <c r="LW249" s="116"/>
      <c r="LX249" s="116"/>
      <c r="LY249" s="116"/>
      <c r="LZ249" s="116"/>
      <c r="MA249" s="116"/>
      <c r="MB249" s="116"/>
      <c r="MC249" s="116"/>
      <c r="MD249" s="116"/>
      <c r="ME249" s="116"/>
      <c r="MF249" s="116"/>
      <c r="MG249" s="116"/>
      <c r="MH249" s="116"/>
      <c r="MI249" s="116"/>
      <c r="MJ249" s="116"/>
      <c r="MK249" s="116"/>
      <c r="ML249" s="116"/>
      <c r="MM249" s="116"/>
      <c r="MN249" s="116"/>
      <c r="MO249" s="116"/>
      <c r="MP249" s="116"/>
      <c r="MQ249" s="116"/>
      <c r="MR249" s="116"/>
      <c r="MS249" s="116"/>
      <c r="MT249" s="116"/>
      <c r="MU249" s="116"/>
      <c r="MV249" s="116"/>
      <c r="MW249" s="116"/>
      <c r="MX249" s="116"/>
      <c r="MY249" s="116"/>
      <c r="MZ249" s="116"/>
      <c r="NA249" s="116"/>
      <c r="NB249" s="116"/>
      <c r="NC249" s="116"/>
      <c r="ND249" s="116"/>
      <c r="NE249" s="116"/>
      <c r="NF249" s="116"/>
      <c r="NG249" s="116"/>
      <c r="NH249" s="116"/>
      <c r="NI249" s="116"/>
      <c r="NJ249" s="116"/>
      <c r="NK249" s="116"/>
      <c r="NL249" s="116"/>
      <c r="NM249" s="116"/>
      <c r="NN249" s="116"/>
      <c r="NO249" s="116"/>
      <c r="NP249" s="116"/>
      <c r="NQ249" s="116"/>
      <c r="NR249" s="116"/>
      <c r="NS249" s="116"/>
      <c r="NT249" s="116"/>
      <c r="NU249" s="116"/>
      <c r="NV249" s="116"/>
      <c r="NW249" s="116"/>
      <c r="NX249" s="116"/>
      <c r="NY249" s="116"/>
      <c r="NZ249" s="116"/>
      <c r="OA249" s="116"/>
      <c r="OB249" s="116"/>
      <c r="OC249" s="116"/>
      <c r="OD249" s="116"/>
      <c r="OE249" s="116"/>
      <c r="OF249" s="116"/>
      <c r="OG249" s="116"/>
      <c r="OH249" s="116"/>
      <c r="OI249" s="116"/>
      <c r="OJ249" s="116"/>
      <c r="OK249" s="116"/>
      <c r="OL249" s="116"/>
      <c r="OM249" s="116"/>
      <c r="ON249" s="116"/>
      <c r="OO249" s="116"/>
      <c r="OP249" s="116"/>
      <c r="OQ249" s="116"/>
      <c r="OR249" s="116"/>
      <c r="OS249" s="116"/>
      <c r="OT249" s="116"/>
      <c r="OU249" s="116"/>
      <c r="OV249" s="116"/>
      <c r="OW249" s="116"/>
      <c r="OX249" s="116"/>
      <c r="OY249" s="116"/>
      <c r="OZ249" s="116"/>
      <c r="PA249" s="116"/>
      <c r="PB249" s="116"/>
      <c r="PC249" s="116"/>
      <c r="PD249" s="116"/>
      <c r="PE249" s="116"/>
      <c r="PF249" s="116"/>
      <c r="PG249" s="116"/>
      <c r="PH249" s="116"/>
      <c r="PI249" s="116"/>
      <c r="PJ249" s="116"/>
      <c r="PK249" s="116"/>
      <c r="PL249" s="116"/>
      <c r="PM249" s="116"/>
      <c r="PN249" s="116"/>
      <c r="PO249" s="116"/>
      <c r="PP249" s="116"/>
      <c r="PQ249" s="116"/>
      <c r="PR249" s="116"/>
      <c r="PS249" s="116"/>
      <c r="PT249" s="116"/>
      <c r="PU249" s="116"/>
      <c r="PV249" s="116"/>
      <c r="PW249" s="116"/>
      <c r="PX249" s="116"/>
      <c r="PY249" s="116"/>
      <c r="PZ249" s="116"/>
      <c r="QA249" s="116"/>
      <c r="QB249" s="116"/>
      <c r="QC249" s="116"/>
      <c r="QD249" s="116"/>
      <c r="QE249" s="116"/>
      <c r="QF249" s="116"/>
      <c r="QG249" s="116"/>
      <c r="QH249" s="116"/>
      <c r="QI249" s="116"/>
      <c r="QJ249" s="116"/>
      <c r="QK249" s="116"/>
      <c r="QL249" s="116"/>
      <c r="QM249" s="116"/>
      <c r="QN249" s="116"/>
      <c r="QO249" s="116"/>
      <c r="QP249" s="116"/>
      <c r="QQ249" s="116"/>
      <c r="QR249" s="116"/>
      <c r="QS249" s="116"/>
      <c r="QT249" s="116"/>
      <c r="QU249" s="116"/>
      <c r="QV249" s="116"/>
      <c r="QW249" s="116"/>
      <c r="QX249" s="116"/>
      <c r="QY249" s="116"/>
      <c r="QZ249" s="116"/>
      <c r="RA249" s="116"/>
      <c r="RB249" s="116"/>
      <c r="RC249" s="116"/>
      <c r="RD249" s="116"/>
      <c r="RE249" s="116"/>
      <c r="RF249" s="116"/>
      <c r="RG249" s="116"/>
      <c r="RH249" s="116"/>
    </row>
    <row r="250" spans="1:476" s="21" customFormat="1" x14ac:dyDescent="0.25">
      <c r="A250" s="103" t="s">
        <v>248</v>
      </c>
      <c r="B250" s="20" t="s">
        <v>250</v>
      </c>
      <c r="C250" s="20" t="s">
        <v>73</v>
      </c>
      <c r="D250" s="104" t="s">
        <v>240</v>
      </c>
      <c r="E250" s="15">
        <v>10124</v>
      </c>
      <c r="F250" s="15">
        <v>5400</v>
      </c>
      <c r="G250" s="49" t="s">
        <v>186</v>
      </c>
      <c r="H250" s="49">
        <v>0.75</v>
      </c>
      <c r="I250" s="68">
        <f>inputs!$C$66*inputs!$C$64/1000</f>
        <v>21.3</v>
      </c>
      <c r="J250" s="68">
        <f>inputs!$C$66*inputs!$C$63/1000</f>
        <v>8.8000000000000007</v>
      </c>
      <c r="K250" s="69">
        <f t="shared" si="24"/>
        <v>3.0174497340193067</v>
      </c>
      <c r="L250" s="69">
        <f t="shared" si="25"/>
        <v>1.2466458995009344</v>
      </c>
      <c r="M250" s="69">
        <f>IF((((1.18*F250^0.874)/3.7-(0.301*F250^0.751)/(1-H250)*H250)*(MAX('Max rate concentrations'!$P$3:$P$368)))/F250&gt;0, (((1.18*F250^0.874)/3.7-(0.301*F250^0.751)/(1-H250)*H250)*(MAX('Max rate concentrations'!$P$3:$P$368)))/F250, 0)</f>
        <v>1.5201629757010946E-3</v>
      </c>
      <c r="N250" s="69">
        <f>IF((((1.18*F250^0.874)/3.7-(0.301*F250^0.751)/(1-H250)*H250)*(MAX('Max rate concentrations'!$Q$3:$Q$368)))/F250&gt;0, (((1.18*F250^0.874)/3.7-(0.301*F250^0.751)/(1-H250)*H250)*(MAX('Max rate concentrations'!$Q$3:$Q$368)))/F250, 0)</f>
        <v>5.788862292388122E-3</v>
      </c>
      <c r="O250" s="69">
        <f>((MAX('Max rate concentrations'!$F$3:$F$368))*0.62*6.01*8*(10*F250^0.667)*0.079*0.1/F250)*inputs!$E$80/(10^(0.84+0.62*LOG10(inputs!$E$80)))</f>
        <v>8.3920160106750359</v>
      </c>
      <c r="P250" s="69">
        <f>((MAX('Max rate concentrations'!Y:Y))*0.62*6.01*8*(10*F250^0.667)*0.079*0.1/F250)*inputs!$E$80/(10^(0.84+0.62*LOG10(inputs!$E$80)))</f>
        <v>2.7973386702250127</v>
      </c>
      <c r="Q250" s="69">
        <f>(inputs!$C$18*11.2*(10*F250^0.667)*0.5/F250)*inputs!$E$80/(10^(0.84+0.62*LOG10(inputs!$E$80)))</f>
        <v>1.4782140386815861</v>
      </c>
      <c r="R250" s="59">
        <f>(60*284*((F250/1000)^0.77)*3*24*(MAX('Max rate concentrations'!$R$3:$R$368))/F250)*(inputs!$E$73*3.4/inputs!$E$75)</f>
        <v>1.9082540405563651E-2</v>
      </c>
      <c r="S250" s="59">
        <f>(IF(inputs!$C$17="aerial",((0.025*0.112*inputs!$C$18/3.3)*(3*60*284*((F250/1000)^0.77))*MAX(inputs!$I$14:$I$16))/F250,((0.0083*0.112*inputs!$C$18/1)*(3*60*284*((F250/1000)^0.77))*MAX(inputs!$I$14:$I$16))/F250))*(inputs!E$75*3.4/inputs!$E$73)</f>
        <v>0.10524138273570169</v>
      </c>
      <c r="T250" s="63">
        <f>IF((((inputs!$P$13/(V250/MAX(K250:S250)))^(1/inputs!$O$13))-1)/inputs!$N$13&lt;0, 0, IF((((inputs!$P$13/(V250/MAX(K250:S250)))^(1/inputs!$O$13))-1)/inputs!$N$13&lt;inputs!$I$17, (((inputs!$P$13/(V250/MAX(K250:S250)))^(1/inputs!$O$13))-1)/inputs!$N$13, inputs!$I$17))</f>
        <v>1000</v>
      </c>
      <c r="U250" s="63">
        <f>IF((((inputs!$P$13/(X250/MAX(K250:S250)))^(1/inputs!$O$13))-1)/inputs!$N$13&lt;0, 0, IF((((inputs!$P$13/(X250/MAX(K250:S250)))^(1/inputs!$O$13))-1)/inputs!$N$13&lt;inputs!$I$17, (((inputs!$P$13/(X250/MAX(K250:S250)))^(1/inputs!$O$13))-1)/inputs!$N$13, inputs!$I$17))</f>
        <v>33.305037901220594</v>
      </c>
      <c r="V250" s="21">
        <f>inputs!$E$78*(F250/inputs!$F$78)^(inputs!$E$84-1)</f>
        <v>4.3427808073074944E-3</v>
      </c>
      <c r="W250" s="21">
        <f>inputs!$E$85*(F250/inputs!$F$85)^(inputs!$E$84-1)</f>
        <v>0.20054161757711042</v>
      </c>
      <c r="X250" s="21">
        <f>inputs!$E$80*(F250/inputs!$F$80)^(inputs!$E$84-1)</f>
        <v>0.74885793905376674</v>
      </c>
      <c r="Y250" s="21">
        <f>inputs!$E$82*(F250/inputs!$F$82)^(inputs!$E$84-1)</f>
        <v>0.34513679047549034</v>
      </c>
      <c r="Z250" s="63">
        <f t="shared" si="22"/>
        <v>1932.4060741343403</v>
      </c>
      <c r="AA250" s="63">
        <f t="shared" si="23"/>
        <v>41.846755362129336</v>
      </c>
      <c r="AB250" s="117"/>
    </row>
    <row r="251" spans="1:476" s="21" customFormat="1" x14ac:dyDescent="0.25">
      <c r="A251" s="103" t="s">
        <v>248</v>
      </c>
      <c r="B251" s="20" t="s">
        <v>250</v>
      </c>
      <c r="C251" s="20" t="s">
        <v>73</v>
      </c>
      <c r="D251" s="104" t="s">
        <v>240</v>
      </c>
      <c r="E251" s="15">
        <v>10124</v>
      </c>
      <c r="F251" s="15">
        <v>5400</v>
      </c>
      <c r="G251" s="20" t="s">
        <v>152</v>
      </c>
      <c r="H251" s="20">
        <v>0.77</v>
      </c>
      <c r="I251" s="68">
        <f>MAX('Max rate concentrations'!$G$3:$G$368)</f>
        <v>45</v>
      </c>
      <c r="J251" s="68">
        <f>MAX('Max rate concentrations'!Z:Z)</f>
        <v>21</v>
      </c>
      <c r="K251" s="69">
        <f t="shared" si="24"/>
        <v>6.9292323959414581</v>
      </c>
      <c r="L251" s="69">
        <f t="shared" si="25"/>
        <v>3.2336417847726806</v>
      </c>
      <c r="M251" s="69">
        <f>IF((((1.18*F251^0.874)/3.7-(0.301*F251^0.751)/(1-H251)*H251)*(MAX('Max rate concentrations'!$P$3:$P$368)))/F251&gt;0, (((1.18*F251^0.874)/3.7-(0.301*F251^0.751)/(1-H251)*H251)*(MAX('Max rate concentrations'!$P$3:$P$368)))/F251, 0)</f>
        <v>0</v>
      </c>
      <c r="N251" s="69">
        <f>IF((((1.18*F251^0.874)/3.7-(0.301*F251^0.751)/(1-H251)*H251)*(MAX('Max rate concentrations'!$Q$3:$Q$368)))/F251&gt;0, (((1.18*F251^0.874)/3.7-(0.301*F251^0.751)/(1-H251)*H251)*(MAX('Max rate concentrations'!$Q$3:$Q$368)))/F251, 0)</f>
        <v>0</v>
      </c>
      <c r="O251" s="69">
        <f>((MAX('Max rate concentrations'!$F$3:$F$368))*0.62*6.01*8*(10*F251^0.667)*0.079*0.1/F251)*inputs!$E$80/(10^(0.84+0.62*LOG10(inputs!$E$80)))</f>
        <v>8.3920160106750359</v>
      </c>
      <c r="P251" s="69">
        <f>((MAX('Max rate concentrations'!Y:Y))*0.62*6.01*8*(10*F251^0.667)*0.079*0.1/F251)*inputs!$E$80/(10^(0.84+0.62*LOG10(inputs!$E$80)))</f>
        <v>2.7973386702250127</v>
      </c>
      <c r="Q251" s="69">
        <f>(inputs!$C$18*11.2*(10*F251^0.667)*0.5/F251)*inputs!$E$80/(10^(0.84+0.62*LOG10(inputs!$E$80)))</f>
        <v>1.4782140386815861</v>
      </c>
      <c r="R251" s="59">
        <f>(60*284*((F251/1000)^0.77)*3*24*(MAX('Max rate concentrations'!$R$3:$R$368))/F251)*(inputs!$E$73*3.4/inputs!$E$75)</f>
        <v>1.9082540405563651E-2</v>
      </c>
      <c r="S251" s="59">
        <f>(IF(inputs!$C$17="aerial",((0.025*0.112*inputs!$C$18/3.3)*(3*60*284*((F251/1000)^0.77))*MAX(inputs!$I$14:$I$16))/F251,((0.0083*0.112*inputs!$C$18/1)*(3*60*284*((F251/1000)^0.77))*MAX(inputs!$I$14:$I$16))/F251))*(inputs!E$75*3.4/inputs!$E$73)</f>
        <v>0.10524138273570169</v>
      </c>
      <c r="T251" s="63">
        <f>IF((((inputs!$P$13/(V251/MAX(K251:S251)))^(1/inputs!$O$13))-1)/inputs!$N$13&lt;0, 0, IF((((inputs!$P$13/(V251/MAX(K251:S251)))^(1/inputs!$O$13))-1)/inputs!$N$13&lt;inputs!$I$17, (((inputs!$P$13/(V251/MAX(K251:S251)))^(1/inputs!$O$13))-1)/inputs!$N$13, inputs!$I$17))</f>
        <v>1000</v>
      </c>
      <c r="U251" s="63">
        <f>IF((((inputs!$P$13/(X251/MAX(K251:S251)))^(1/inputs!$O$13))-1)/inputs!$N$13&lt;0, 0, IF((((inputs!$P$13/(X251/MAX(K251:S251)))^(1/inputs!$O$13))-1)/inputs!$N$13&lt;inputs!$I$17, (((inputs!$P$13/(X251/MAX(K251:S251)))^(1/inputs!$O$13))-1)/inputs!$N$13, inputs!$I$17))</f>
        <v>33.305037901220594</v>
      </c>
      <c r="V251" s="21">
        <f>inputs!$E$78*(F251/inputs!$F$78)^(inputs!$E$84-1)</f>
        <v>4.3427808073074944E-3</v>
      </c>
      <c r="W251" s="21">
        <f>inputs!$E$85*(F251/inputs!$F$85)^(inputs!$E$84-1)</f>
        <v>0.20054161757711042</v>
      </c>
      <c r="X251" s="21">
        <f>inputs!$E$80*(F251/inputs!$F$80)^(inputs!$E$84-1)</f>
        <v>0.74885793905376674</v>
      </c>
      <c r="Y251" s="21">
        <f>inputs!$E$82*(F251/inputs!$F$82)^(inputs!$E$84-1)</f>
        <v>0.34513679047549034</v>
      </c>
      <c r="Z251" s="63">
        <f t="shared" si="22"/>
        <v>1932.4060741343403</v>
      </c>
      <c r="AA251" s="63">
        <f t="shared" si="23"/>
        <v>41.846755362129336</v>
      </c>
      <c r="AB251" s="117"/>
    </row>
    <row r="252" spans="1:476" s="21" customFormat="1" x14ac:dyDescent="0.25">
      <c r="A252" s="103" t="s">
        <v>248</v>
      </c>
      <c r="B252" s="20" t="s">
        <v>250</v>
      </c>
      <c r="C252" s="20" t="s">
        <v>73</v>
      </c>
      <c r="D252" s="104" t="s">
        <v>240</v>
      </c>
      <c r="E252" s="15">
        <v>10124</v>
      </c>
      <c r="F252" s="15">
        <v>5400</v>
      </c>
      <c r="G252" s="21" t="s">
        <v>456</v>
      </c>
      <c r="H252" s="20">
        <v>0.68</v>
      </c>
      <c r="I252" s="68">
        <f>MAX('Max rate concentrations'!$J$3:$J$368)</f>
        <v>686.46486205830786</v>
      </c>
      <c r="J252" s="68">
        <f>MAX('Max rate concentrations'!AB:AB)</f>
        <v>243.122971978984</v>
      </c>
      <c r="K252" s="69">
        <f t="shared" si="24"/>
        <v>75.974663124686074</v>
      </c>
      <c r="L252" s="69">
        <f t="shared" si="25"/>
        <v>26.907693189992983</v>
      </c>
      <c r="M252" s="69">
        <f>IF((((1.18*F252^0.874)/3.7-(0.301*F252^0.751)/(1-H252)*H252)*(MAX('Max rate concentrations'!$P$3:$P$368)))/F252&gt;0, (((1.18*F252^0.874)/3.7-(0.301*F252^0.751)/(1-H252)*H252)*(MAX('Max rate concentrations'!$P$3:$P$368)))/F252, 0)</f>
        <v>2.8508175400788503E-2</v>
      </c>
      <c r="N252" s="69">
        <f>IF((((1.18*F252^0.874)/3.7-(0.301*F252^0.751)/(1-H252)*H252)*(MAX('Max rate concentrations'!$Q$3:$Q$368)))/F252&gt;0, (((1.18*F252^0.874)/3.7-(0.301*F252^0.751)/(1-H252)*H252)*(MAX('Max rate concentrations'!$Q$3:$Q$368)))/F252, 0)</f>
        <v>0.10856066371850683</v>
      </c>
      <c r="O252" s="69">
        <f>((MAX('Max rate concentrations'!$F$3:$F$368))*0.62*6.01*8*(10*F252^0.667)*0.079*0.1/F252)*inputs!$E$80/(10^(0.84+0.62*LOG10(inputs!$E$80)))</f>
        <v>8.3920160106750359</v>
      </c>
      <c r="P252" s="69">
        <f>((MAX('Max rate concentrations'!Y:Y))*0.62*6.01*8*(10*F252^0.667)*0.079*0.1/F252)*inputs!$E$80/(10^(0.84+0.62*LOG10(inputs!$E$80)))</f>
        <v>2.7973386702250127</v>
      </c>
      <c r="Q252" s="69">
        <f>(inputs!$C$18*11.2*(10*F252^0.667)*0.5/F252)*inputs!$E$80/(10^(0.84+0.62*LOG10(inputs!$E$80)))</f>
        <v>1.4782140386815861</v>
      </c>
      <c r="R252" s="59">
        <f>(60*284*((F252/1000)^0.77)*3*24*(MAX('Max rate concentrations'!$R$3:$R$368))/F252)*(inputs!$E$73*3.4/inputs!$E$75)</f>
        <v>1.9082540405563651E-2</v>
      </c>
      <c r="S252" s="59">
        <f>(IF(inputs!$C$17="aerial",((0.025*0.112*inputs!$C$18/3.3)*(3*60*284*((F252/1000)^0.77))*MAX(inputs!$I$14:$I$16))/F252,((0.0083*0.112*inputs!$C$18/1)*(3*60*284*((F252/1000)^0.77))*MAX(inputs!$I$14:$I$16))/F252))*(inputs!E$75*3.4/inputs!$E$73)</f>
        <v>0.10524138273570169</v>
      </c>
      <c r="T252" s="63">
        <f>IF((((inputs!$P$13/(V252/MAX(K252:S252)))^(1/inputs!$O$13))-1)/inputs!$N$13&lt;0, 0, IF((((inputs!$P$13/(V252/MAX(K252:S252)))^(1/inputs!$O$13))-1)/inputs!$N$13&lt;inputs!$I$17, (((inputs!$P$13/(V252/MAX(K252:S252)))^(1/inputs!$O$13))-1)/inputs!$N$13, inputs!$I$17))</f>
        <v>1000</v>
      </c>
      <c r="U252" s="63">
        <f>IF((((inputs!$P$13/(X252/MAX(K252:S252)))^(1/inputs!$O$13))-1)/inputs!$N$13&lt;0, 0, IF((((inputs!$P$13/(X252/MAX(K252:S252)))^(1/inputs!$O$13))-1)/inputs!$N$13&lt;inputs!$I$17, (((inputs!$P$13/(X252/MAX(K252:S252)))^(1/inputs!$O$13))-1)/inputs!$N$13, inputs!$I$17))</f>
        <v>223.62888608893857</v>
      </c>
      <c r="V252" s="21">
        <f>inputs!$E$78*(F252/inputs!$F$78)^(inputs!$E$84-1)</f>
        <v>4.3427808073074944E-3</v>
      </c>
      <c r="W252" s="21">
        <f>inputs!$E$85*(F252/inputs!$F$85)^(inputs!$E$84-1)</f>
        <v>0.20054161757711042</v>
      </c>
      <c r="X252" s="21">
        <f>inputs!$E$80*(F252/inputs!$F$80)^(inputs!$E$84-1)</f>
        <v>0.74885793905376674</v>
      </c>
      <c r="Y252" s="21">
        <f>inputs!$E$82*(F252/inputs!$F$82)^(inputs!$E$84-1)</f>
        <v>0.34513679047549034</v>
      </c>
      <c r="Z252" s="63">
        <f t="shared" si="22"/>
        <v>17494.473356068378</v>
      </c>
      <c r="AA252" s="63">
        <f t="shared" si="23"/>
        <v>378.8473636674093</v>
      </c>
      <c r="AB252" s="117"/>
    </row>
    <row r="253" spans="1:476" x14ac:dyDescent="0.25">
      <c r="A253" s="103" t="s">
        <v>248</v>
      </c>
      <c r="B253" s="20" t="s">
        <v>250</v>
      </c>
      <c r="C253" s="20" t="s">
        <v>73</v>
      </c>
      <c r="D253" s="104" t="s">
        <v>240</v>
      </c>
      <c r="E253" s="15">
        <v>10124</v>
      </c>
      <c r="F253" s="15">
        <v>5400</v>
      </c>
      <c r="G253" s="20" t="s">
        <v>154</v>
      </c>
      <c r="H253" s="20">
        <v>9.2999999999999999E-2</v>
      </c>
      <c r="I253" s="68">
        <f>MAX('Max rate concentrations'!$G$3:$G$368)</f>
        <v>45</v>
      </c>
      <c r="J253" s="68">
        <f>MAX('Max rate concentrations'!Z:Z)</f>
        <v>21</v>
      </c>
      <c r="K253" s="69">
        <f t="shared" si="24"/>
        <v>1.7571372117602371</v>
      </c>
      <c r="L253" s="69">
        <f t="shared" si="25"/>
        <v>0.81999736548811075</v>
      </c>
      <c r="M253" s="69">
        <f>IF((((1.18*F253^0.874)/3.7-(0.301*F253^0.751)/(1-H253)*H253)*(MAX('Max rate concentrations'!$P$3:$P$368)))/F253&gt;0, (((1.18*F253^0.874)/3.7-(0.301*F253^0.751)/(1-H253)*H253)*(MAX('Max rate concentrations'!$P$3:$P$368)))/F253, 0)</f>
        <v>9.0887933211177191E-2</v>
      </c>
      <c r="N253" s="69">
        <f>IF((((1.18*F253^0.874)/3.7-(0.301*F253^0.751)/(1-H253)*H253)*(MAX('Max rate concentrations'!$Q$3:$Q$368)))/F253&gt;0, (((1.18*F253^0.874)/3.7-(0.301*F253^0.751)/(1-H253)*H253)*(MAX('Max rate concentrations'!$Q$3:$Q$368)))/F253, 0)</f>
        <v>0.34610613322997191</v>
      </c>
      <c r="O253" s="69">
        <f>((MAX('Max rate concentrations'!$F$3:$F$368))*0.62*6.01*8*(10*F253^0.667)*0.079*0.1/F253)*inputs!$E$80/(10^(0.84+0.62*LOG10(inputs!$E$80)))</f>
        <v>8.3920160106750359</v>
      </c>
      <c r="P253" s="69">
        <f>((MAX('Max rate concentrations'!Y:Y))*0.62*6.01*8*(10*F253^0.667)*0.079*0.1/F253)*inputs!$E$80/(10^(0.84+0.62*LOG10(inputs!$E$80)))</f>
        <v>2.7973386702250127</v>
      </c>
      <c r="Q253" s="69">
        <f>(inputs!$C$18*11.2*(10*F253^0.667)*0.5/F253)*inputs!$E$80/(10^(0.84+0.62*LOG10(inputs!$E$80)))</f>
        <v>1.4782140386815861</v>
      </c>
      <c r="R253" s="59">
        <f>(60*284*((F253/1000)^0.77)*3*24*(MAX('Max rate concentrations'!$R$3:$R$368))/F253)*(inputs!$E$73*3.4/inputs!$E$75)</f>
        <v>1.9082540405563651E-2</v>
      </c>
      <c r="S253" s="59">
        <f>(IF(inputs!$C$17="aerial",((0.025*0.112*inputs!$C$18/3.3)*(3*60*284*((F253/1000)^0.77))*MAX(inputs!$I$14:$I$16))/F253,((0.0083*0.112*inputs!$C$18/1)*(3*60*284*((F253/1000)^0.77))*MAX(inputs!$I$14:$I$16))/F253))*(inputs!E$75*3.4/inputs!$E$73)</f>
        <v>0.10524138273570169</v>
      </c>
      <c r="T253" s="63">
        <f>IF((((inputs!$P$13/(V253/MAX(K253:S253)))^(1/inputs!$O$13))-1)/inputs!$N$13&lt;0, 0, IF((((inputs!$P$13/(V253/MAX(K253:S253)))^(1/inputs!$O$13))-1)/inputs!$N$13&lt;inputs!$I$17, (((inputs!$P$13/(V253/MAX(K253:S253)))^(1/inputs!$O$13))-1)/inputs!$N$13, inputs!$I$17))</f>
        <v>1000</v>
      </c>
      <c r="U253" s="63">
        <f>IF((((inputs!$P$13/(X253/MAX(K253:S253)))^(1/inputs!$O$13))-1)/inputs!$N$13&lt;0, 0, IF((((inputs!$P$13/(X253/MAX(K253:S253)))^(1/inputs!$O$13))-1)/inputs!$N$13&lt;inputs!$I$17, (((inputs!$P$13/(X253/MAX(K253:S253)))^(1/inputs!$O$13))-1)/inputs!$N$13, inputs!$I$17))</f>
        <v>33.305037901220594</v>
      </c>
      <c r="V253" s="21">
        <f>inputs!$E$78*(F253/inputs!$F$78)^(inputs!$E$84-1)</f>
        <v>4.3427808073074944E-3</v>
      </c>
      <c r="W253" s="21">
        <f>inputs!$E$85*(F253/inputs!$F$85)^(inputs!$E$84-1)</f>
        <v>0.20054161757711042</v>
      </c>
      <c r="X253" s="21">
        <f>inputs!$E$80*(F253/inputs!$F$80)^(inputs!$E$84-1)</f>
        <v>0.74885793905376674</v>
      </c>
      <c r="Y253" s="21">
        <f>inputs!$E$82*(F253/inputs!$F$82)^(inputs!$E$84-1)</f>
        <v>0.34513679047549034</v>
      </c>
      <c r="Z253" s="63">
        <f t="shared" si="22"/>
        <v>1932.4060741343403</v>
      </c>
      <c r="AA253" s="63">
        <f t="shared" si="23"/>
        <v>41.846755362129336</v>
      </c>
    </row>
    <row r="254" spans="1:476" x14ac:dyDescent="0.25">
      <c r="A254" s="114" t="s">
        <v>333</v>
      </c>
      <c r="B254" s="20" t="s">
        <v>334</v>
      </c>
      <c r="C254" s="20" t="s">
        <v>73</v>
      </c>
      <c r="D254" s="104" t="s">
        <v>240</v>
      </c>
      <c r="E254" s="15">
        <v>84</v>
      </c>
      <c r="F254" s="15">
        <v>226</v>
      </c>
      <c r="G254" s="20" t="s">
        <v>164</v>
      </c>
      <c r="H254" s="20">
        <v>0.78</v>
      </c>
      <c r="I254" s="68">
        <f>inputs!$C$66*(inputs!$C$62/1000)</f>
        <v>8.2000000000000011</v>
      </c>
      <c r="J254" s="68">
        <f>inputs!$C$66*(inputs!$C$61/1000)</f>
        <v>2.5</v>
      </c>
      <c r="K254" s="69">
        <f t="shared" si="24"/>
        <v>2.9092742686046931</v>
      </c>
      <c r="L254" s="69">
        <f t="shared" si="25"/>
        <v>0.88697386237947939</v>
      </c>
      <c r="M254" s="69">
        <f>IF((((1.18*F254^0.874)/3.7-(0.301*F254^0.751)/(1-H254)*H254)*(MAX('Max rate concentrations'!$P$3:$P$368)))/F254&gt;0, (((1.18*F254^0.874)/3.7-(0.301*F254^0.751)/(1-H254)*H254)*(MAX('Max rate concentrations'!$P$3:$P$368)))/F254, 0)</f>
        <v>0</v>
      </c>
      <c r="N254" s="69">
        <f>IF((((1.18*F254^0.874)/3.7-(0.301*F254^0.751)/(1-H254)*H254)*(MAX('Max rate concentrations'!$Q$3:$Q$368)))/F254&gt;0, (((1.18*F254^0.874)/3.7-(0.301*F254^0.751)/(1-H254)*H254)*(MAX('Max rate concentrations'!$Q$3:$Q$368)))/F254, 0)</f>
        <v>0</v>
      </c>
      <c r="O254" s="69">
        <f>((MAX('Max rate concentrations'!$F$3:$F$368))*0.62*6.01*8*(10*F254^0.667)*0.079*0.1/F254)*inputs!$E$80/(10^(0.84+0.62*LOG10(inputs!$E$80)))</f>
        <v>24.145450653697157</v>
      </c>
      <c r="P254" s="69">
        <f>((MAX('Max rate concentrations'!Y:Y))*0.62*6.01*8*(10*F254^0.667)*0.079*0.1/F254)*inputs!$E$80/(10^(0.84+0.62*LOG10(inputs!$E$80)))</f>
        <v>8.0484835512323851</v>
      </c>
      <c r="Q254" s="69">
        <f>(inputs!$C$18*11.2*(10*F254^0.667)*0.5/F254)*inputs!$E$80/(10^(0.84+0.62*LOG10(inputs!$E$80)))</f>
        <v>4.2531072487453008</v>
      </c>
      <c r="R254" s="59">
        <f>(60*284*((F254/1000)^0.77)*3*24*(MAX('Max rate concentrations'!$R$3:$R$368))/F254)*(inputs!$E$73*3.4/inputs!$E$75)</f>
        <v>3.9595133755892124E-2</v>
      </c>
      <c r="S254" s="59">
        <f>(IF(inputs!$C$17="aerial",((0.025*0.112*inputs!$C$18/3.3)*(3*60*284*((F254/1000)^0.77))*MAX(inputs!$I$14:$I$16))/F254,((0.0083*0.112*inputs!$C$18/1)*(3*60*284*((F254/1000)^0.77))*MAX(inputs!$I$14:$I$16))/F254))*(inputs!E$75*3.4/inputs!$E$73)</f>
        <v>0.21836959532181638</v>
      </c>
      <c r="T254" s="63">
        <f>IF((((inputs!$P$13/(V254/MAX(K254:S254)))^(1/inputs!$O$13))-1)/inputs!$N$13&lt;0, 0, IF((((inputs!$P$13/(V254/MAX(K254:S254)))^(1/inputs!$O$13))-1)/inputs!$N$13&lt;inputs!$I$17, (((inputs!$P$13/(V254/MAX(K254:S254)))^(1/inputs!$O$13))-1)/inputs!$N$13, inputs!$I$17))</f>
        <v>1000</v>
      </c>
      <c r="U254" s="63">
        <f>IF((((inputs!$P$13/(X254/MAX(K254:S254)))^(1/inputs!$O$13))-1)/inputs!$N$13&lt;0, 0, IF((((inputs!$P$13/(X254/MAX(K254:S254)))^(1/inputs!$O$13))-1)/inputs!$N$13&lt;inputs!$I$17, (((inputs!$P$13/(X254/MAX(K254:S254)))^(1/inputs!$O$13))-1)/inputs!$N$13, inputs!$I$17))</f>
        <v>29.81446124039871</v>
      </c>
      <c r="V254" s="21">
        <f>inputs!$E$78*(F254/inputs!$F$78)^(inputs!$E$84-1)</f>
        <v>1.4051849136397839E-2</v>
      </c>
      <c r="W254" s="21">
        <f>inputs!$E$85*(F254/inputs!$F$85)^(inputs!$E$84-1)</f>
        <v>0.6488885073409637</v>
      </c>
      <c r="X254" s="21">
        <f>inputs!$E$80*(F254/inputs!$F$80)^(inputs!$E$84-1)</f>
        <v>2.4230646793111932</v>
      </c>
      <c r="Y254" s="21">
        <f>inputs!$E$82*(F254/inputs!$F$82)^(inputs!$E$84-1)</f>
        <v>1.1167522208400387</v>
      </c>
      <c r="Z254" s="63">
        <f t="shared" si="22"/>
        <v>1718.3112641847499</v>
      </c>
      <c r="AA254" s="63">
        <f t="shared" si="23"/>
        <v>37.210476654365735</v>
      </c>
    </row>
    <row r="255" spans="1:476" x14ac:dyDescent="0.25">
      <c r="A255" s="114" t="s">
        <v>333</v>
      </c>
      <c r="B255" s="20" t="s">
        <v>334</v>
      </c>
      <c r="C255" s="20" t="s">
        <v>73</v>
      </c>
      <c r="D255" s="104" t="s">
        <v>240</v>
      </c>
      <c r="E255" s="15">
        <v>84</v>
      </c>
      <c r="F255" s="15">
        <v>226</v>
      </c>
      <c r="G255" s="20" t="s">
        <v>195</v>
      </c>
      <c r="H255" s="20">
        <v>0.82</v>
      </c>
      <c r="I255" s="68">
        <f>inputs!$C$66*(inputs!$C$62/1000)</f>
        <v>8.2000000000000011</v>
      </c>
      <c r="J255" s="68">
        <f>inputs!$C$66*(inputs!$C$61/1000)</f>
        <v>2.5</v>
      </c>
      <c r="K255" s="69">
        <f t="shared" si="24"/>
        <v>3.5557796616279562</v>
      </c>
      <c r="L255" s="69">
        <f t="shared" si="25"/>
        <v>1.0840791651304742</v>
      </c>
      <c r="M255" s="69">
        <f>IF((((1.18*F255^0.874)/3.7-(0.301*F255^0.751)/(1-H255)*H255)*(MAX('Max rate concentrations'!$P$3:$P$368)))/F255&gt;0, (((1.18*F255^0.874)/3.7-(0.301*F255^0.751)/(1-H255)*H255)*(MAX('Max rate concentrations'!$P$3:$P$368)))/F255, 0)</f>
        <v>0</v>
      </c>
      <c r="N255" s="69">
        <f>IF((((1.18*F255^0.874)/3.7-(0.301*F255^0.751)/(1-H255)*H255)*(MAX('Max rate concentrations'!$Q$3:$Q$368)))/F255&gt;0, (((1.18*F255^0.874)/3.7-(0.301*F255^0.751)/(1-H255)*H255)*(MAX('Max rate concentrations'!$Q$3:$Q$368)))/F255, 0)</f>
        <v>0</v>
      </c>
      <c r="O255" s="69">
        <f>((MAX('Max rate concentrations'!$F$3:$F$368))*0.62*6.01*8*(10*F255^0.667)*0.079*0.1/F255)*inputs!$E$80/(10^(0.84+0.62*LOG10(inputs!$E$80)))</f>
        <v>24.145450653697157</v>
      </c>
      <c r="P255" s="69">
        <f>((MAX('Max rate concentrations'!Y:Y))*0.62*6.01*8*(10*F255^0.667)*0.079*0.1/F255)*inputs!$E$80/(10^(0.84+0.62*LOG10(inputs!$E$80)))</f>
        <v>8.0484835512323851</v>
      </c>
      <c r="Q255" s="69">
        <f>(inputs!$C$18*11.2*(10*F255^0.667)*0.5/F255)*inputs!$E$80/(10^(0.84+0.62*LOG10(inputs!$E$80)))</f>
        <v>4.2531072487453008</v>
      </c>
      <c r="R255" s="59">
        <f>(60*284*((F255/1000)^0.77)*3*24*(MAX('Max rate concentrations'!$R$3:$R$368))/F255)*(inputs!$E$73*3.4/inputs!$E$75)</f>
        <v>3.9595133755892124E-2</v>
      </c>
      <c r="S255" s="59">
        <f>(IF(inputs!$C$17="aerial",((0.025*0.112*inputs!$C$18/3.3)*(3*60*284*((F255/1000)^0.77))*MAX(inputs!$I$14:$I$16))/F255,((0.0083*0.112*inputs!$C$18/1)*(3*60*284*((F255/1000)^0.77))*MAX(inputs!$I$14:$I$16))/F255))*(inputs!E$75*3.4/inputs!$E$73)</f>
        <v>0.21836959532181638</v>
      </c>
      <c r="T255" s="63">
        <f>IF((((inputs!$P$13/(V255/MAX(K255:S255)))^(1/inputs!$O$13))-1)/inputs!$N$13&lt;0, 0, IF((((inputs!$P$13/(V255/MAX(K255:S255)))^(1/inputs!$O$13))-1)/inputs!$N$13&lt;inputs!$I$17, (((inputs!$P$13/(V255/MAX(K255:S255)))^(1/inputs!$O$13))-1)/inputs!$N$13, inputs!$I$17))</f>
        <v>1000</v>
      </c>
      <c r="U255" s="63">
        <f>IF((((inputs!$P$13/(X255/MAX(K255:S255)))^(1/inputs!$O$13))-1)/inputs!$N$13&lt;0, 0, IF((((inputs!$P$13/(X255/MAX(K255:S255)))^(1/inputs!$O$13))-1)/inputs!$N$13&lt;inputs!$I$17, (((inputs!$P$13/(X255/MAX(K255:S255)))^(1/inputs!$O$13))-1)/inputs!$N$13, inputs!$I$17))</f>
        <v>29.81446124039871</v>
      </c>
      <c r="V255" s="21">
        <f>inputs!$E$78*(F255/inputs!$F$78)^(inputs!$E$84-1)</f>
        <v>1.4051849136397839E-2</v>
      </c>
      <c r="W255" s="21">
        <f>inputs!$E$85*(F255/inputs!$F$85)^(inputs!$E$84-1)</f>
        <v>0.6488885073409637</v>
      </c>
      <c r="X255" s="21">
        <f>inputs!$E$80*(F255/inputs!$F$80)^(inputs!$E$84-1)</f>
        <v>2.4230646793111932</v>
      </c>
      <c r="Y255" s="21">
        <f>inputs!$E$82*(F255/inputs!$F$82)^(inputs!$E$84-1)</f>
        <v>1.1167522208400387</v>
      </c>
      <c r="Z255" s="63">
        <f t="shared" si="22"/>
        <v>1718.3112641847499</v>
      </c>
      <c r="AA255" s="63">
        <f t="shared" si="23"/>
        <v>37.210476654365735</v>
      </c>
    </row>
    <row r="256" spans="1:476" x14ac:dyDescent="0.25">
      <c r="A256" s="114" t="s">
        <v>333</v>
      </c>
      <c r="B256" s="20" t="s">
        <v>334</v>
      </c>
      <c r="C256" s="20" t="s">
        <v>73</v>
      </c>
      <c r="D256" s="104" t="s">
        <v>240</v>
      </c>
      <c r="E256" s="15">
        <v>84</v>
      </c>
      <c r="F256" s="15">
        <v>226</v>
      </c>
      <c r="G256" s="20" t="s">
        <v>186</v>
      </c>
      <c r="H256" s="49">
        <v>0.75</v>
      </c>
      <c r="I256" s="68">
        <f>inputs!$C$66*inputs!$C$64/1000</f>
        <v>21.3</v>
      </c>
      <c r="J256" s="68">
        <f>inputs!$C$66*inputs!$C$63/1000</f>
        <v>8.8000000000000007</v>
      </c>
      <c r="K256" s="69">
        <f t="shared" si="24"/>
        <v>6.6501752305763837</v>
      </c>
      <c r="L256" s="69">
        <f t="shared" si="25"/>
        <v>2.7474902361066751</v>
      </c>
      <c r="M256" s="69">
        <f>IF((((1.18*F256^0.874)/3.7-(0.301*F256^0.751)/(1-H256)*H256)*(MAX('Max rate concentrations'!$P$3:$P$368)))/F256&gt;0, (((1.18*F256^0.874)/3.7-(0.301*F256^0.751)/(1-H256)*H256)*(MAX('Max rate concentrations'!$P$3:$P$368)))/F256, 0)</f>
        <v>0</v>
      </c>
      <c r="N256" s="69">
        <f>IF((((1.18*F256^0.874)/3.7-(0.301*F256^0.751)/(1-H256)*H256)*(MAX('Max rate concentrations'!$Q$3:$Q$368)))/F256&gt;0, (((1.18*F256^0.874)/3.7-(0.301*F256^0.751)/(1-H256)*H256)*(MAX('Max rate concentrations'!$Q$3:$Q$368)))/F256, 0)</f>
        <v>0</v>
      </c>
      <c r="O256" s="69">
        <f>((MAX('Max rate concentrations'!$F$3:$F$368))*0.62*6.01*8*(10*F256^0.667)*0.079*0.1/F256)*inputs!$E$80/(10^(0.84+0.62*LOG10(inputs!$E$80)))</f>
        <v>24.145450653697157</v>
      </c>
      <c r="P256" s="69">
        <f>((MAX('Max rate concentrations'!Y:Y))*0.62*6.01*8*(10*F256^0.667)*0.079*0.1/F256)*inputs!$E$80/(10^(0.84+0.62*LOG10(inputs!$E$80)))</f>
        <v>8.0484835512323851</v>
      </c>
      <c r="Q256" s="69">
        <f>(inputs!$C$18*11.2*(10*F256^0.667)*0.5/F256)*inputs!$E$80/(10^(0.84+0.62*LOG10(inputs!$E$80)))</f>
        <v>4.2531072487453008</v>
      </c>
      <c r="R256" s="59">
        <f>(60*284*((F256/1000)^0.77)*3*24*(MAX('Max rate concentrations'!$R$3:$R$368))/F256)*(inputs!$E$73*3.4/inputs!$E$75)</f>
        <v>3.9595133755892124E-2</v>
      </c>
      <c r="S256" s="59">
        <f>(IF(inputs!$C$17="aerial",((0.025*0.112*inputs!$C$18/3.3)*(3*60*284*((F256/1000)^0.77))*MAX(inputs!$I$14:$I$16))/F256,((0.0083*0.112*inputs!$C$18/1)*(3*60*284*((F256/1000)^0.77))*MAX(inputs!$I$14:$I$16))/F256))*(inputs!E$75*3.4/inputs!$E$73)</f>
        <v>0.21836959532181638</v>
      </c>
      <c r="T256" s="63">
        <f>IF((((inputs!$P$13/(V256/MAX(K256:S256)))^(1/inputs!$O$13))-1)/inputs!$N$13&lt;0, 0, IF((((inputs!$P$13/(V256/MAX(K256:S256)))^(1/inputs!$O$13))-1)/inputs!$N$13&lt;inputs!$I$17, (((inputs!$P$13/(V256/MAX(K256:S256)))^(1/inputs!$O$13))-1)/inputs!$N$13, inputs!$I$17))</f>
        <v>1000</v>
      </c>
      <c r="U256" s="63">
        <f>IF((((inputs!$P$13/(X256/MAX(K256:S256)))^(1/inputs!$O$13))-1)/inputs!$N$13&lt;0, 0, IF((((inputs!$P$13/(X256/MAX(K256:S256)))^(1/inputs!$O$13))-1)/inputs!$N$13&lt;inputs!$I$17, (((inputs!$P$13/(X256/MAX(K256:S256)))^(1/inputs!$O$13))-1)/inputs!$N$13, inputs!$I$17))</f>
        <v>29.81446124039871</v>
      </c>
      <c r="V256" s="21">
        <f>inputs!$E$78*(F256/inputs!$F$78)^(inputs!$E$84-1)</f>
        <v>1.4051849136397839E-2</v>
      </c>
      <c r="W256" s="21">
        <f>inputs!$E$85*(F256/inputs!$F$85)^(inputs!$E$84-1)</f>
        <v>0.6488885073409637</v>
      </c>
      <c r="X256" s="21">
        <f>inputs!$E$80*(F256/inputs!$F$80)^(inputs!$E$84-1)</f>
        <v>2.4230646793111932</v>
      </c>
      <c r="Y256" s="21">
        <f>inputs!$E$82*(F256/inputs!$F$82)^(inputs!$E$84-1)</f>
        <v>1.1167522208400387</v>
      </c>
      <c r="Z256" s="63">
        <f t="shared" si="22"/>
        <v>1718.3112641847499</v>
      </c>
      <c r="AA256" s="63">
        <f t="shared" si="23"/>
        <v>37.210476654365735</v>
      </c>
    </row>
    <row r="257" spans="1:27" x14ac:dyDescent="0.25">
      <c r="A257" s="103" t="s">
        <v>323</v>
      </c>
      <c r="B257" s="20" t="s">
        <v>324</v>
      </c>
      <c r="C257" s="20" t="s">
        <v>73</v>
      </c>
      <c r="D257" s="104" t="s">
        <v>141</v>
      </c>
      <c r="E257" s="15">
        <v>78</v>
      </c>
      <c r="F257" s="15">
        <v>20</v>
      </c>
      <c r="G257" s="20" t="s">
        <v>142</v>
      </c>
      <c r="H257" s="20">
        <v>0.69</v>
      </c>
      <c r="I257" s="68">
        <f>MAX('Max rate concentrations'!$H$3:$H$368)</f>
        <v>282</v>
      </c>
      <c r="J257" s="68">
        <f>MAX('Max rate concentrations'!AA:AA)</f>
        <v>195</v>
      </c>
      <c r="K257" s="69">
        <f t="shared" ref="K257:K288" si="26">((0.398*F257^0.85)/(1-H257))*I257/F257</f>
        <v>231.00213149036972</v>
      </c>
      <c r="L257" s="69">
        <f t="shared" ref="L257:L298" si="27">((0.398*F257^0.85)/(1-H257))*J257/F257</f>
        <v>159.73551645610672</v>
      </c>
      <c r="M257" s="69">
        <f>IF((((1.18*F257^0.874)-(0.301*F257^0.751)/(1-H257)*H257)*(MAX('Max rate concentrations'!$P$3:$P$368)))/F257&gt;0, (((1.18*F257^0.874)-(0.301*F257^0.751)/(1-H257)*H257)*(MAX('Max rate concentrations'!$P$3:$P$368)))/F257, 0)</f>
        <v>0.42782227393758332</v>
      </c>
      <c r="N257" s="69">
        <f>IF((((1.18*F257^0.874)-(0.301*F257^0.751)/(1-H257)*H257)*(MAX('Max rate concentrations'!$Q$3:$Q$368)))/F257&gt;0, (((1.18*F257^0.874)-(0.301*F257^0.751)/(1-H257)*H257)*(MAX('Max rate concentrations'!$Q$3:$Q$368)))/F257, 0)</f>
        <v>1.629170206766031</v>
      </c>
      <c r="O257" s="69">
        <f>((MAX('Max rate concentrations'!$F$3:$F$368))*0.62*6.01*8*(10*F257^0.667)*0.079*0.1/F257)*inputs!$E$80/(10^(0.84+0.62*LOG10(inputs!$E$80)))</f>
        <v>54.139025873277951</v>
      </c>
      <c r="P257" s="69">
        <f>((MAX('Max rate concentrations'!Y:Y))*0.62*6.01*8*(10*F257^0.667)*0.079*0.1/F257)*inputs!$E$80/(10^(0.84+0.62*LOG10(inputs!$E$80)))</f>
        <v>18.046341957759321</v>
      </c>
      <c r="Q257" s="69">
        <f>(inputs!$C$18*11.2*(10*F257^0.667)*0.5/F257)*inputs!$E$80/(10^(0.84+0.62*LOG10(inputs!$E$80)))</f>
        <v>9.5363340566348267</v>
      </c>
      <c r="R257" s="59">
        <f>(60*284*((F257/1000)^0.77)*3*24*(MAX('Max rate concentrations'!$R$3:$R$368))/F257)*(inputs!$E$73*3.4/inputs!$E$75)</f>
        <v>6.9159183353676532E-2</v>
      </c>
      <c r="S257" s="59">
        <f>(IF(inputs!$C$17="aerial",((0.025*0.112*inputs!$C$18/3.3)*(3*60*284*((F257/1000)^0.77))*MAX(inputs!$I$14:$I$16))/F257,((0.0083*0.112*inputs!$C$18/1)*(3*60*284*((F257/1000)^0.77))*MAX(inputs!$I$14:$I$16))/F257))*(inputs!E$75*3.4/inputs!$E$73)</f>
        <v>0.38141714521881848</v>
      </c>
      <c r="T257" s="63">
        <f>IF((((inputs!$P$13/(V257/MAX(K257:S257)))^(1/inputs!$O$13))-1)/inputs!$N$13&lt;0, 0, IF((((inputs!$P$13/(V257/MAX(K257:S257)))^(1/inputs!$O$13))-1)/inputs!$N$13&lt;inputs!$I$17, (((inputs!$P$13/(V257/MAX(K257:S257)))^(1/inputs!$O$13))-1)/inputs!$N$13, inputs!$I$17))</f>
        <v>1000</v>
      </c>
      <c r="U257" s="63">
        <f>IF((((inputs!$P$13/(X257/MAX(K257:S257)))^(1/inputs!$O$13))-1)/inputs!$N$13&lt;0, 0, IF((((inputs!$P$13/(X257/MAX(K257:S257)))^(1/inputs!$O$13))-1)/inputs!$N$13&lt;inputs!$I$17, (((inputs!$P$13/(X257/MAX(K257:S257)))^(1/inputs!$O$13))-1)/inputs!$N$13, inputs!$I$17))</f>
        <v>100.12028092729068</v>
      </c>
      <c r="V257" s="21">
        <f>inputs!$E$78*(F257/inputs!$F$78)^(inputs!$E$84-1)</f>
        <v>3.4464541288703368E-2</v>
      </c>
      <c r="W257" s="21">
        <f>inputs!$E$85*(F257/inputs!$F$85)^(inputs!$E$84-1)</f>
        <v>1.5915090274553441</v>
      </c>
      <c r="X257" s="21">
        <f>inputs!$E$80*(F257/inputs!$F$80)^(inputs!$E$84-1)</f>
        <v>5.9429767480927405</v>
      </c>
      <c r="Y257" s="21">
        <f>inputs!$E$82*(F257/inputs!$F$82)^(inputs!$E$84-1)</f>
        <v>2.739024070839057</v>
      </c>
      <c r="Z257" s="63">
        <f t="shared" si="22"/>
        <v>6702.6028159001371</v>
      </c>
      <c r="AA257" s="63">
        <f t="shared" si="23"/>
        <v>145.14660457799468</v>
      </c>
    </row>
    <row r="258" spans="1:27" x14ac:dyDescent="0.25">
      <c r="A258" s="103" t="s">
        <v>323</v>
      </c>
      <c r="B258" s="20" t="s">
        <v>324</v>
      </c>
      <c r="C258" s="20" t="s">
        <v>73</v>
      </c>
      <c r="D258" s="104" t="s">
        <v>141</v>
      </c>
      <c r="E258" s="15">
        <v>78</v>
      </c>
      <c r="F258" s="15">
        <v>20</v>
      </c>
      <c r="G258" s="20" t="s">
        <v>152</v>
      </c>
      <c r="H258" s="20">
        <v>0.77</v>
      </c>
      <c r="I258" s="68">
        <f>MAX('Max rate concentrations'!$G$3:$G$368)</f>
        <v>45</v>
      </c>
      <c r="J258" s="68">
        <f>MAX('Max rate concentrations'!Z:Z)</f>
        <v>21</v>
      </c>
      <c r="K258" s="69">
        <f t="shared" si="26"/>
        <v>49.683622175310788</v>
      </c>
      <c r="L258" s="69">
        <f t="shared" si="27"/>
        <v>23.185690348478367</v>
      </c>
      <c r="M258" s="69">
        <f>IF((((1.18*F258^0.874)-(0.301*F258^0.751)/(1-H258)*H258)*(MAX('Max rate concentrations'!$P$3:$P$368)))/F258&gt;0, (((1.18*F258^0.874)-(0.301*F258^0.751)/(1-H258)*H258)*(MAX('Max rate concentrations'!$P$3:$P$368)))/F258, 0)</f>
        <v>0.28832269947255484</v>
      </c>
      <c r="N258" s="69">
        <f>IF((((1.18*F258^0.874)-(0.301*F258^0.751)/(1-H258)*H258)*(MAX('Max rate concentrations'!$Q$3:$Q$368)))/F258&gt;0, (((1.18*F258^0.874)-(0.301*F258^0.751)/(1-H258)*H258)*(MAX('Max rate concentrations'!$Q$3:$Q$368)))/F258, 0)</f>
        <v>1.0979483316559921</v>
      </c>
      <c r="O258" s="69">
        <f>((MAX('Max rate concentrations'!$F$3:$F$368))*0.62*6.01*8*(10*F258^0.667)*0.079*0.1/F258)*inputs!$E$80/(10^(0.84+0.62*LOG10(inputs!$E$80)))</f>
        <v>54.139025873277951</v>
      </c>
      <c r="P258" s="69">
        <f>((MAX('Max rate concentrations'!Y:Y))*0.62*6.01*8*(10*F258^0.667)*0.079*0.1/F258)*inputs!$E$80/(10^(0.84+0.62*LOG10(inputs!$E$80)))</f>
        <v>18.046341957759321</v>
      </c>
      <c r="Q258" s="69">
        <f>(inputs!$C$18*11.2*(10*F258^0.667)*0.5/F258)*inputs!$E$80/(10^(0.84+0.62*LOG10(inputs!$E$80)))</f>
        <v>9.5363340566348267</v>
      </c>
      <c r="R258" s="59">
        <f>(60*284*((F258/1000)^0.77)*3*24*(MAX('Max rate concentrations'!$R$3:$R$368))/F258)*(inputs!$E$73*3.4/inputs!$E$75)</f>
        <v>6.9159183353676532E-2</v>
      </c>
      <c r="S258" s="59">
        <f>(IF(inputs!$C$17="aerial",((0.025*0.112*inputs!$C$18/3.3)*(3*60*284*((F258/1000)^0.77))*MAX(inputs!$I$14:$I$16))/F258,((0.0083*0.112*inputs!$C$18/1)*(3*60*284*((F258/1000)^0.77))*MAX(inputs!$I$14:$I$16))/F258))*(inputs!E$75*3.4/inputs!$E$73)</f>
        <v>0.38141714521881848</v>
      </c>
      <c r="T258" s="63">
        <f>IF((((inputs!$P$13/(V258/MAX(K258:S258)))^(1/inputs!$O$13))-1)/inputs!$N$13&lt;0, 0, IF((((inputs!$P$13/(V258/MAX(K258:S258)))^(1/inputs!$O$13))-1)/inputs!$N$13&lt;inputs!$I$17, (((inputs!$P$13/(V258/MAX(K258:S258)))^(1/inputs!$O$13))-1)/inputs!$N$13, inputs!$I$17))</f>
        <v>1000</v>
      </c>
      <c r="U258" s="63">
        <f>IF((((inputs!$P$13/(X258/MAX(K258:S258)))^(1/inputs!$O$13))-1)/inputs!$N$13&lt;0, 0, IF((((inputs!$P$13/(X258/MAX(K258:S258)))^(1/inputs!$O$13))-1)/inputs!$N$13&lt;inputs!$I$17, (((inputs!$P$13/(X258/MAX(K258:S258)))^(1/inputs!$O$13))-1)/inputs!$N$13, inputs!$I$17))</f>
        <v>27.362143428712233</v>
      </c>
      <c r="V258" s="21">
        <f>inputs!$E$78*(F258/inputs!$F$78)^(inputs!$E$84-1)</f>
        <v>3.4464541288703368E-2</v>
      </c>
      <c r="W258" s="21">
        <f>inputs!$E$85*(F258/inputs!$F$85)^(inputs!$E$84-1)</f>
        <v>1.5915090274553441</v>
      </c>
      <c r="X258" s="21">
        <f>inputs!$E$80*(F258/inputs!$F$80)^(inputs!$E$84-1)</f>
        <v>5.9429767480927405</v>
      </c>
      <c r="Y258" s="21">
        <f>inputs!$E$82*(F258/inputs!$F$82)^(inputs!$E$84-1)</f>
        <v>2.739024070839057</v>
      </c>
      <c r="Z258" s="63">
        <f t="shared" ref="Z258:Z321" si="28">MAX(K258:S258)/V258</f>
        <v>1570.8616406574197</v>
      </c>
      <c r="AA258" s="63">
        <f t="shared" ref="AA258:AA321" si="29">MAX(K258:S258)/W258</f>
        <v>34.017416765672117</v>
      </c>
    </row>
    <row r="259" spans="1:27" x14ac:dyDescent="0.25">
      <c r="A259" s="103" t="s">
        <v>323</v>
      </c>
      <c r="B259" s="20" t="s">
        <v>324</v>
      </c>
      <c r="C259" s="20" t="s">
        <v>73</v>
      </c>
      <c r="D259" s="104" t="s">
        <v>141</v>
      </c>
      <c r="E259" s="15">
        <v>78</v>
      </c>
      <c r="F259" s="15">
        <v>20</v>
      </c>
      <c r="G259" s="20" t="s">
        <v>177</v>
      </c>
      <c r="H259" s="20">
        <v>0.85</v>
      </c>
      <c r="I259" s="68">
        <f>MAX('Max rate concentrations'!$F$3:$F$368)</f>
        <v>405</v>
      </c>
      <c r="J259" s="68">
        <f>MAX('Max rate concentrations'!Y:Y)</f>
        <v>135</v>
      </c>
      <c r="K259" s="69">
        <f t="shared" si="26"/>
        <v>685.63398601928884</v>
      </c>
      <c r="L259" s="69">
        <f t="shared" si="27"/>
        <v>228.5446620064296</v>
      </c>
      <c r="M259" s="69">
        <f>IF((((1.18*F259^0.874)-(0.301*F259^0.751)/(1-H259)*H259)*(MAX('Max rate concentrations'!$P$3:$P$368)))/F259&gt;0, (((1.18*F259^0.874)-(0.301*F259^0.751)/(1-H259)*H259)*(MAX('Max rate concentrations'!$P$3:$P$368)))/F259, 0)</f>
        <v>2.357891149636444E-5</v>
      </c>
      <c r="N259" s="69">
        <f>IF((((1.18*F259^0.874)-(0.301*F259^0.751)/(1-H259)*H259)*(MAX('Max rate concentrations'!$Q$3:$Q$368)))/F259&gt;0, (((1.18*F259^0.874)-(0.301*F259^0.751)/(1-H259)*H259)*(MAX('Max rate concentrations'!$Q$3:$Q$368)))/F259, 0)</f>
        <v>8.9789761912803957E-5</v>
      </c>
      <c r="O259" s="69">
        <f>((MAX('Max rate concentrations'!$F$3:$F$368))*0.62*6.01*8*(10*F259^0.667)*0.079*0.1/F259)*inputs!$E$80/(10^(0.84+0.62*LOG10(inputs!$E$80)))</f>
        <v>54.139025873277951</v>
      </c>
      <c r="P259" s="69">
        <f>((MAX('Max rate concentrations'!Y:Y))*0.62*6.01*8*(10*F259^0.667)*0.079*0.1/F259)*inputs!$E$80/(10^(0.84+0.62*LOG10(inputs!$E$80)))</f>
        <v>18.046341957759321</v>
      </c>
      <c r="Q259" s="69">
        <f>(inputs!$C$18*11.2*(10*F259^0.667)*0.5/F259)*inputs!$E$80/(10^(0.84+0.62*LOG10(inputs!$E$80)))</f>
        <v>9.5363340566348267</v>
      </c>
      <c r="R259" s="59">
        <f>(60*284*((F259/1000)^0.77)*3*24*(MAX('Max rate concentrations'!$R$3:$R$368))/F259)*(inputs!$E$73*3.4/inputs!$E$75)</f>
        <v>6.9159183353676532E-2</v>
      </c>
      <c r="S259" s="59">
        <f>(IF(inputs!$C$17="aerial",((0.025*0.112*inputs!$C$18/3.3)*(3*60*284*((F259/1000)^0.77))*MAX(inputs!$I$14:$I$16))/F259,((0.0083*0.112*inputs!$C$18/1)*(3*60*284*((F259/1000)^0.77))*MAX(inputs!$I$14:$I$16))/F259))*(inputs!E$75*3.4/inputs!$E$73)</f>
        <v>0.38141714521881848</v>
      </c>
      <c r="T259" s="63">
        <f>IF((((inputs!$P$13/(V259/MAX(K259:S259)))^(1/inputs!$O$13))-1)/inputs!$N$13&lt;0, 0, IF((((inputs!$P$13/(V259/MAX(K259:S259)))^(1/inputs!$O$13))-1)/inputs!$N$13&lt;inputs!$I$17, (((inputs!$P$13/(V259/MAX(K259:S259)))^(1/inputs!$O$13))-1)/inputs!$N$13, inputs!$I$17))</f>
        <v>1000</v>
      </c>
      <c r="U259" s="63">
        <f>IF((((inputs!$P$13/(X259/MAX(K259:S259)))^(1/inputs!$O$13))-1)/inputs!$N$13&lt;0, 0, IF((((inputs!$P$13/(X259/MAX(K259:S259)))^(1/inputs!$O$13))-1)/inputs!$N$13&lt;inputs!$I$17, (((inputs!$P$13/(X259/MAX(K259:S259)))^(1/inputs!$O$13))-1)/inputs!$N$13, inputs!$I$17))</f>
        <v>248.69552013317306</v>
      </c>
      <c r="V259" s="21">
        <f>inputs!$E$78*(F259/inputs!$F$78)^(inputs!$E$84-1)</f>
        <v>3.4464541288703368E-2</v>
      </c>
      <c r="W259" s="21">
        <f>inputs!$E$85*(F259/inputs!$F$85)^(inputs!$E$84-1)</f>
        <v>1.5915090274553441</v>
      </c>
      <c r="X259" s="21">
        <f>inputs!$E$80*(F259/inputs!$F$80)^(inputs!$E$84-1)</f>
        <v>5.9429767480927405</v>
      </c>
      <c r="Y259" s="21">
        <f>inputs!$E$82*(F259/inputs!$F$82)^(inputs!$E$84-1)</f>
        <v>2.739024070839057</v>
      </c>
      <c r="Z259" s="63">
        <f t="shared" si="28"/>
        <v>19893.89559187381</v>
      </c>
      <c r="AA259" s="63">
        <f t="shared" si="29"/>
        <v>430.80747529000553</v>
      </c>
    </row>
    <row r="260" spans="1:27" x14ac:dyDescent="0.25">
      <c r="A260" s="103" t="s">
        <v>323</v>
      </c>
      <c r="B260" s="20" t="s">
        <v>324</v>
      </c>
      <c r="C260" s="20" t="s">
        <v>73</v>
      </c>
      <c r="D260" s="104" t="s">
        <v>141</v>
      </c>
      <c r="E260" s="15">
        <v>78</v>
      </c>
      <c r="F260" s="15">
        <v>20</v>
      </c>
      <c r="G260" s="20" t="s">
        <v>153</v>
      </c>
      <c r="H260" s="20">
        <v>0.7</v>
      </c>
      <c r="I260" s="68">
        <f>MAX('Max rate concentrations'!$E$3:$E$368)</f>
        <v>330</v>
      </c>
      <c r="J260" s="68">
        <f>MAX('Max rate concentrations'!X:X)</f>
        <v>108</v>
      </c>
      <c r="K260" s="69">
        <f t="shared" si="26"/>
        <v>279.33236467452508</v>
      </c>
      <c r="L260" s="69">
        <f t="shared" si="27"/>
        <v>91.417864802571842</v>
      </c>
      <c r="M260" s="69">
        <f>IF((((1.18*F260^0.874)-(0.301*F260^0.751)/(1-H260)*H260)*(MAX('Max rate concentrations'!$P$3:$P$368)))/F260&gt;0, (((1.18*F260^0.874)-(0.301*F260^0.751)/(1-H260)*H260)*(MAX('Max rate concentrations'!$P$3:$P$368)))/F260, 0)</f>
        <v>0.41445356471801809</v>
      </c>
      <c r="N260" s="69">
        <f>IF((((1.18*F260^0.874)-(0.301*F260^0.751)/(1-H260)*H260)*(MAX('Max rate concentrations'!$Q$3:$Q$368)))/F260&gt;0, (((1.18*F260^0.874)-(0.301*F260^0.751)/(1-H260)*H260)*(MAX('Max rate concentrations'!$Q$3:$Q$368)))/F260, 0)</f>
        <v>1.5782614437346523</v>
      </c>
      <c r="O260" s="69">
        <f>((MAX('Max rate concentrations'!$F$3:$F$368))*0.62*6.01*8*(10*F260^0.667)*0.079*0.1/F260)*inputs!$E$80/(10^(0.84+0.62*LOG10(inputs!$E$80)))</f>
        <v>54.139025873277951</v>
      </c>
      <c r="P260" s="69">
        <f>((MAX('Max rate concentrations'!Y:Y))*0.62*6.01*8*(10*F260^0.667)*0.079*0.1/F260)*inputs!$E$80/(10^(0.84+0.62*LOG10(inputs!$E$80)))</f>
        <v>18.046341957759321</v>
      </c>
      <c r="Q260" s="69">
        <f>(inputs!$C$18*11.2*(10*F260^0.667)*0.5/F260)*inputs!$E$80/(10^(0.84+0.62*LOG10(inputs!$E$80)))</f>
        <v>9.5363340566348267</v>
      </c>
      <c r="R260" s="59">
        <f>(60*284*((F260/1000)^0.77)*3*24*(MAX('Max rate concentrations'!$R$3:$R$368))/F260)*(inputs!$E$73*3.4/inputs!$E$75)</f>
        <v>6.9159183353676532E-2</v>
      </c>
      <c r="S260" s="59">
        <f>(IF(inputs!$C$17="aerial",((0.025*0.112*inputs!$C$18/3.3)*(3*60*284*((F260/1000)^0.77))*MAX(inputs!$I$14:$I$16))/F260,((0.0083*0.112*inputs!$C$18/1)*(3*60*284*((F260/1000)^0.77))*MAX(inputs!$I$14:$I$16))/F260))*(inputs!E$75*3.4/inputs!$E$73)</f>
        <v>0.38141714521881848</v>
      </c>
      <c r="T260" s="63">
        <f>IF((((inputs!$P$13/(V260/MAX(K260:S260)))^(1/inputs!$O$13))-1)/inputs!$N$13&lt;0, 0, IF((((inputs!$P$13/(V260/MAX(K260:S260)))^(1/inputs!$O$13))-1)/inputs!$N$13&lt;inputs!$I$17, (((inputs!$P$13/(V260/MAX(K260:S260)))^(1/inputs!$O$13))-1)/inputs!$N$13, inputs!$I$17))</f>
        <v>1000</v>
      </c>
      <c r="U260" s="63">
        <f>IF((((inputs!$P$13/(X260/MAX(K260:S260)))^(1/inputs!$O$13))-1)/inputs!$N$13&lt;0, 0, IF((((inputs!$P$13/(X260/MAX(K260:S260)))^(1/inputs!$O$13))-1)/inputs!$N$13&lt;inputs!$I$17, (((inputs!$P$13/(X260/MAX(K260:S260)))^(1/inputs!$O$13))-1)/inputs!$N$13, inputs!$I$17))</f>
        <v>117.61390563791687</v>
      </c>
      <c r="V260" s="21">
        <f>inputs!$E$78*(F260/inputs!$F$78)^(inputs!$E$84-1)</f>
        <v>3.4464541288703368E-2</v>
      </c>
      <c r="W260" s="21">
        <f>inputs!$E$85*(F260/inputs!$F$85)^(inputs!$E$84-1)</f>
        <v>1.5915090274553441</v>
      </c>
      <c r="X260" s="21">
        <f>inputs!$E$80*(F260/inputs!$F$80)^(inputs!$E$84-1)</f>
        <v>5.9429767480927405</v>
      </c>
      <c r="Y260" s="21">
        <f>inputs!$E$82*(F260/inputs!$F$82)^(inputs!$E$84-1)</f>
        <v>2.739024070839057</v>
      </c>
      <c r="Z260" s="63">
        <f t="shared" si="28"/>
        <v>8104.9204263189595</v>
      </c>
      <c r="AA260" s="63">
        <f t="shared" si="29"/>
        <v>175.51415659963186</v>
      </c>
    </row>
    <row r="261" spans="1:27" x14ac:dyDescent="0.25">
      <c r="A261" s="103" t="s">
        <v>271</v>
      </c>
      <c r="B261" s="20" t="s">
        <v>272</v>
      </c>
      <c r="C261" s="20" t="s">
        <v>73</v>
      </c>
      <c r="D261" s="104" t="s">
        <v>141</v>
      </c>
      <c r="E261" s="15">
        <v>6522</v>
      </c>
      <c r="F261" s="15">
        <v>9.5</v>
      </c>
      <c r="G261" s="20" t="s">
        <v>142</v>
      </c>
      <c r="H261" s="20">
        <v>0.69</v>
      </c>
      <c r="I261" s="68">
        <f>MAX('Max rate concentrations'!$H$3:$H$368)</f>
        <v>282</v>
      </c>
      <c r="J261" s="68">
        <f>MAX('Max rate concentrations'!AA:AA)</f>
        <v>195</v>
      </c>
      <c r="K261" s="69">
        <f t="shared" si="26"/>
        <v>258.29258918242044</v>
      </c>
      <c r="L261" s="69">
        <f t="shared" si="27"/>
        <v>178.60657762614179</v>
      </c>
      <c r="M261" s="69">
        <f>IF((((1.18*F261^0.874)-(0.301*F261^0.751)/(1-H261)*H261)*(MAX('Max rate concentrations'!$P$3:$P$368)))/F261&gt;0, (((1.18*F261^0.874)-(0.301*F261^0.751)/(1-H261)*H261)*(MAX('Max rate concentrations'!$P$3:$P$368)))/F261, 0)</f>
        <v>0.44074893684793331</v>
      </c>
      <c r="N261" s="69">
        <f>IF((((1.18*F261^0.874)-(0.301*F261^0.751)/(1-H261)*H261)*(MAX('Max rate concentrations'!$Q$3:$Q$368)))/F261&gt;0, (((1.18*F261^0.874)-(0.301*F261^0.751)/(1-H261)*H261)*(MAX('Max rate concentrations'!$Q$3:$Q$368)))/F261, 0)</f>
        <v>1.678395633700025</v>
      </c>
      <c r="O261" s="69">
        <f>((MAX('Max rate concentrations'!$F$3:$F$368))*0.62*6.01*8*(10*F261^0.667)*0.079*0.1/F261)*inputs!$E$80/(10^(0.84+0.62*LOG10(inputs!$E$80)))</f>
        <v>69.36996337602676</v>
      </c>
      <c r="P261" s="69">
        <f>((MAX('Max rate concentrations'!Y:Y))*0.62*6.01*8*(10*F261^0.667)*0.079*0.1/F261)*inputs!$E$80/(10^(0.84+0.62*LOG10(inputs!$E$80)))</f>
        <v>23.123321125342258</v>
      </c>
      <c r="Q261" s="69">
        <f>(inputs!$C$18*11.2*(10*F261^0.667)*0.5/F261)*inputs!$E$80/(10^(0.84+0.62*LOG10(inputs!$E$80)))</f>
        <v>12.219191859837958</v>
      </c>
      <c r="R261" s="59">
        <f>(60*284*((F261/1000)^0.77)*3*24*(MAX('Max rate concentrations'!$R$3:$R$368))/F261)*(inputs!$E$73*3.4/inputs!$E$75)</f>
        <v>8.2074893181321468E-2</v>
      </c>
      <c r="S261" s="59">
        <f>(IF(inputs!$C$17="aerial",((0.025*0.112*inputs!$C$18/3.3)*(3*60*284*((F261/1000)^0.77))*MAX(inputs!$I$14:$I$16))/F261,((0.0083*0.112*inputs!$C$18/1)*(3*60*284*((F261/1000)^0.77))*MAX(inputs!$I$14:$I$16))/F261))*(inputs!E$75*3.4/inputs!$E$73)</f>
        <v>0.45264807843765448</v>
      </c>
      <c r="T261" s="63">
        <f>IF((((inputs!$P$13/(V261/MAX(K261:S261)))^(1/inputs!$O$13))-1)/inputs!$N$13&lt;0, 0, IF((((inputs!$P$13/(V261/MAX(K261:S261)))^(1/inputs!$O$13))-1)/inputs!$N$13&lt;inputs!$I$17, (((inputs!$P$13/(V261/MAX(K261:S261)))^(1/inputs!$O$13))-1)/inputs!$N$13, inputs!$I$17))</f>
        <v>1000</v>
      </c>
      <c r="U261" s="63">
        <f>IF((((inputs!$P$13/(X261/MAX(K261:S261)))^(1/inputs!$O$13))-1)/inputs!$N$13&lt;0, 0, IF((((inputs!$P$13/(X261/MAX(K261:S261)))^(1/inputs!$O$13))-1)/inputs!$N$13&lt;inputs!$I$17, (((inputs!$P$13/(X261/MAX(K261:S261)))^(1/inputs!$O$13))-1)/inputs!$N$13, inputs!$I$17))</f>
        <v>87.052361068062623</v>
      </c>
      <c r="V261" s="21">
        <f>inputs!$E$78*(F261/inputs!$F$78)^(inputs!$E$84-1)</f>
        <v>4.5393729669291928E-2</v>
      </c>
      <c r="W261" s="21">
        <f>inputs!$E$85*(F261/inputs!$F$85)^(inputs!$E$84-1)</f>
        <v>2.0961988135389915</v>
      </c>
      <c r="X261" s="21">
        <f>inputs!$E$80*(F261/inputs!$F$80)^(inputs!$E$84-1)</f>
        <v>7.8275778480253475</v>
      </c>
      <c r="Y261" s="21">
        <f>inputs!$E$82*(F261/inputs!$F$82)^(inputs!$E$84-1)</f>
        <v>3.6076069368753059</v>
      </c>
      <c r="Z261" s="63">
        <f t="shared" si="28"/>
        <v>5690.0499488402011</v>
      </c>
      <c r="AA261" s="63">
        <f t="shared" si="29"/>
        <v>123.21950929184415</v>
      </c>
    </row>
    <row r="262" spans="1:27" x14ac:dyDescent="0.25">
      <c r="A262" s="103" t="s">
        <v>261</v>
      </c>
      <c r="B262" s="20" t="s">
        <v>262</v>
      </c>
      <c r="C262" s="20" t="s">
        <v>73</v>
      </c>
      <c r="D262" s="104" t="s">
        <v>141</v>
      </c>
      <c r="E262" s="15">
        <v>65</v>
      </c>
      <c r="F262" s="15">
        <v>28</v>
      </c>
      <c r="G262" s="20" t="s">
        <v>142</v>
      </c>
      <c r="H262" s="20">
        <v>0.69</v>
      </c>
      <c r="I262" s="68">
        <f>MAX('Max rate concentrations'!$H$3:$H$368)</f>
        <v>282</v>
      </c>
      <c r="J262" s="68">
        <f>MAX('Max rate concentrations'!AA:AA)</f>
        <v>195</v>
      </c>
      <c r="K262" s="69">
        <f t="shared" si="26"/>
        <v>219.63258942889689</v>
      </c>
      <c r="L262" s="69">
        <f t="shared" si="27"/>
        <v>151.87359907317341</v>
      </c>
      <c r="M262" s="69">
        <f>IF((((1.18*F262^0.874)-(0.301*F262^0.751)/(1-H262)*H262)*(MAX('Max rate concentrations'!$P$3:$P$368)))/F262&gt;0, (((1.18*F262^0.874)-(0.301*F262^0.751)/(1-H262)*H262)*(MAX('Max rate concentrations'!$P$3:$P$368)))/F262, 0)</f>
        <v>0.42081704574739787</v>
      </c>
      <c r="N262" s="69">
        <f>IF((((1.18*F262^0.874)-(0.301*F262^0.751)/(1-H262)*H262)*(MAX('Max rate concentrations'!$Q$3:$Q$368)))/F262&gt;0, (((1.18*F262^0.874)-(0.301*F262^0.751)/(1-H262)*H262)*(MAX('Max rate concentrations'!$Q$3:$Q$368)))/F262, 0)</f>
        <v>1.6024939214150895</v>
      </c>
      <c r="O262" s="69">
        <f>((MAX('Max rate concentrations'!$F$3:$F$368))*0.62*6.01*8*(10*F262^0.667)*0.079*0.1/F262)*inputs!$E$80/(10^(0.84+0.62*LOG10(inputs!$E$80)))</f>
        <v>48.400494784641857</v>
      </c>
      <c r="P262" s="69">
        <f>((MAX('Max rate concentrations'!Y:Y))*0.62*6.01*8*(10*F262^0.667)*0.079*0.1/F262)*inputs!$E$80/(10^(0.84+0.62*LOG10(inputs!$E$80)))</f>
        <v>16.133498261547285</v>
      </c>
      <c r="Q262" s="69">
        <f>(inputs!$C$18*11.2*(10*F262^0.667)*0.5/F262)*inputs!$E$80/(10^(0.84+0.62*LOG10(inputs!$E$80)))</f>
        <v>8.5255188716015624</v>
      </c>
      <c r="R262" s="59">
        <f>(60*284*((F262/1000)^0.77)*3*24*(MAX('Max rate concentrations'!$R$3:$R$368))/F262)*(inputs!$E$73*3.4/inputs!$E$75)</f>
        <v>6.4008906532632887E-2</v>
      </c>
      <c r="S262" s="59">
        <f>(IF(inputs!$C$17="aerial",((0.025*0.112*inputs!$C$18/3.3)*(3*60*284*((F262/1000)^0.77))*MAX(inputs!$I$14:$I$16))/F262,((0.0083*0.112*inputs!$C$18/1)*(3*60*284*((F262/1000)^0.77))*MAX(inputs!$I$14:$I$16))/F262))*(inputs!E$75*3.4/inputs!$E$73)</f>
        <v>0.35301305212646289</v>
      </c>
      <c r="T262" s="63">
        <f>IF((((inputs!$P$13/(V262/MAX(K262:S262)))^(1/inputs!$O$13))-1)/inputs!$N$13&lt;0, 0, IF((((inputs!$P$13/(V262/MAX(K262:S262)))^(1/inputs!$O$13))-1)/inputs!$N$13&lt;inputs!$I$17, (((inputs!$P$13/(V262/MAX(K262:S262)))^(1/inputs!$O$13))-1)/inputs!$N$13, inputs!$I$17))</f>
        <v>1000</v>
      </c>
      <c r="U262" s="63">
        <f>IF((((inputs!$P$13/(X262/MAX(K262:S262)))^(1/inputs!$O$13))-1)/inputs!$N$13&lt;0, 0, IF((((inputs!$P$13/(X262/MAX(K262:S262)))^(1/inputs!$O$13))-1)/inputs!$N$13&lt;inputs!$I$17, (((inputs!$P$13/(X262/MAX(K262:S262)))^(1/inputs!$O$13))-1)/inputs!$N$13, inputs!$I$17))</f>
        <v>106.61904949269619</v>
      </c>
      <c r="V262" s="21">
        <f>inputs!$E$78*(F262/inputs!$F$78)^(inputs!$E$84-1)</f>
        <v>3.0430222605646665E-2</v>
      </c>
      <c r="W262" s="21">
        <f>inputs!$E$85*(F262/inputs!$F$85)^(inputs!$E$84-1)</f>
        <v>1.405211622539033</v>
      </c>
      <c r="X262" s="21">
        <f>inputs!$E$80*(F262/inputs!$F$80)^(inputs!$E$84-1)</f>
        <v>5.2473092234052494</v>
      </c>
      <c r="Y262" s="21">
        <f>inputs!$E$82*(F262/inputs!$F$82)^(inputs!$E$84-1)</f>
        <v>2.4184019018171825</v>
      </c>
      <c r="Z262" s="63">
        <f t="shared" si="28"/>
        <v>7217.5807674880971</v>
      </c>
      <c r="AA262" s="63">
        <f t="shared" si="29"/>
        <v>156.29858585431398</v>
      </c>
    </row>
    <row r="263" spans="1:27" x14ac:dyDescent="0.25">
      <c r="A263" s="103" t="s">
        <v>261</v>
      </c>
      <c r="B263" s="20" t="s">
        <v>262</v>
      </c>
      <c r="C263" s="20" t="s">
        <v>73</v>
      </c>
      <c r="D263" s="104" t="s">
        <v>141</v>
      </c>
      <c r="E263" s="15">
        <v>65</v>
      </c>
      <c r="F263" s="15">
        <v>28</v>
      </c>
      <c r="G263" s="20" t="s">
        <v>153</v>
      </c>
      <c r="H263" s="20">
        <v>0.7</v>
      </c>
      <c r="I263" s="68">
        <f>MAX('Max rate concentrations'!$E$3:$E$368)</f>
        <v>330</v>
      </c>
      <c r="J263" s="68">
        <f>MAX('Max rate concentrations'!X:X)</f>
        <v>108</v>
      </c>
      <c r="K263" s="69">
        <f t="shared" si="26"/>
        <v>265.58408863565194</v>
      </c>
      <c r="L263" s="69">
        <f t="shared" si="27"/>
        <v>86.918429008031552</v>
      </c>
      <c r="M263" s="69">
        <f>IF((((1.18*F263^0.874)-(0.301*F263^0.751)/(1-H263)*H263)*(MAX('Max rate concentrations'!$P$3:$P$368)))/F263&gt;0, (((1.18*F263^0.874)-(0.301*F263^0.751)/(1-H263)*H263)*(MAX('Max rate concentrations'!$P$3:$P$368)))/F263, 0)</f>
        <v>0.40852275169585994</v>
      </c>
      <c r="N263" s="69">
        <f>IF((((1.18*F263^0.874)-(0.301*F263^0.751)/(1-H263)*H263)*(MAX('Max rate concentrations'!$Q$3:$Q$368)))/F263&gt;0, (((1.18*F263^0.874)-(0.301*F263^0.751)/(1-H263)*H263)*(MAX('Max rate concentrations'!$Q$3:$Q$368)))/F263, 0)</f>
        <v>1.5556765890736963</v>
      </c>
      <c r="O263" s="69">
        <f>((MAX('Max rate concentrations'!$F$3:$F$368))*0.62*6.01*8*(10*F263^0.667)*0.079*0.1/F263)*inputs!$E$80/(10^(0.84+0.62*LOG10(inputs!$E$80)))</f>
        <v>48.400494784641857</v>
      </c>
      <c r="P263" s="69">
        <f>((MAX('Max rate concentrations'!Y:Y))*0.62*6.01*8*(10*F263^0.667)*0.079*0.1/F263)*inputs!$E$80/(10^(0.84+0.62*LOG10(inputs!$E$80)))</f>
        <v>16.133498261547285</v>
      </c>
      <c r="Q263" s="69">
        <f>(inputs!$C$18*11.2*(10*F263^0.667)*0.5/F263)*inputs!$E$80/(10^(0.84+0.62*LOG10(inputs!$E$80)))</f>
        <v>8.5255188716015624</v>
      </c>
      <c r="R263" s="59">
        <f>(60*284*((F263/1000)^0.77)*3*24*(MAX('Max rate concentrations'!$R$3:$R$368))/F263)*(inputs!$E$73*3.4/inputs!$E$75)</f>
        <v>6.4008906532632887E-2</v>
      </c>
      <c r="S263" s="59">
        <f>(IF(inputs!$C$17="aerial",((0.025*0.112*inputs!$C$18/3.3)*(3*60*284*((F263/1000)^0.77))*MAX(inputs!$I$14:$I$16))/F263,((0.0083*0.112*inputs!$C$18/1)*(3*60*284*((F263/1000)^0.77))*MAX(inputs!$I$14:$I$16))/F263))*(inputs!E$75*3.4/inputs!$E$73)</f>
        <v>0.35301305212646289</v>
      </c>
      <c r="T263" s="63">
        <f>IF((((inputs!$P$13/(V263/MAX(K263:S263)))^(1/inputs!$O$13))-1)/inputs!$N$13&lt;0, 0, IF((((inputs!$P$13/(V263/MAX(K263:S263)))^(1/inputs!$O$13))-1)/inputs!$N$13&lt;inputs!$I$17, (((inputs!$P$13/(V263/MAX(K263:S263)))^(1/inputs!$O$13))-1)/inputs!$N$13, inputs!$I$17))</f>
        <v>1000</v>
      </c>
      <c r="U263" s="63">
        <f>IF((((inputs!$P$13/(X263/MAX(K263:S263)))^(1/inputs!$O$13))-1)/inputs!$N$13&lt;0, 0, IF((((inputs!$P$13/(X263/MAX(K263:S263)))^(1/inputs!$O$13))-1)/inputs!$N$13&lt;inputs!$I$17, (((inputs!$P$13/(X263/MAX(K263:S263)))^(1/inputs!$O$13))-1)/inputs!$N$13, inputs!$I$17))</f>
        <v>125.19183443259801</v>
      </c>
      <c r="V263" s="21">
        <f>inputs!$E$78*(F263/inputs!$F$78)^(inputs!$E$84-1)</f>
        <v>3.0430222605646665E-2</v>
      </c>
      <c r="W263" s="21">
        <f>inputs!$E$85*(F263/inputs!$F$85)^(inputs!$E$84-1)</f>
        <v>1.405211622539033</v>
      </c>
      <c r="X263" s="21">
        <f>inputs!$E$80*(F263/inputs!$F$80)^(inputs!$E$84-1)</f>
        <v>5.2473092234052494</v>
      </c>
      <c r="Y263" s="21">
        <f>inputs!$E$82*(F263/inputs!$F$82)^(inputs!$E$84-1)</f>
        <v>2.4184019018171825</v>
      </c>
      <c r="Z263" s="63">
        <f t="shared" si="28"/>
        <v>8727.6419918916363</v>
      </c>
      <c r="AA263" s="63">
        <f t="shared" si="29"/>
        <v>188.99935381674138</v>
      </c>
    </row>
    <row r="264" spans="1:27" x14ac:dyDescent="0.25">
      <c r="A264" s="103" t="s">
        <v>297</v>
      </c>
      <c r="B264" s="20" t="s">
        <v>298</v>
      </c>
      <c r="C264" s="20" t="s">
        <v>73</v>
      </c>
      <c r="D264" s="104" t="s">
        <v>141</v>
      </c>
      <c r="E264" s="15">
        <v>4136</v>
      </c>
      <c r="F264" s="15">
        <v>11.5</v>
      </c>
      <c r="G264" s="20" t="s">
        <v>142</v>
      </c>
      <c r="H264" s="20">
        <v>0.69</v>
      </c>
      <c r="I264" s="68">
        <f>MAX('Max rate concentrations'!$H$3:$H$368)</f>
        <v>282</v>
      </c>
      <c r="J264" s="68">
        <f>MAX('Max rate concentrations'!AA:AA)</f>
        <v>195</v>
      </c>
      <c r="K264" s="69">
        <f t="shared" si="26"/>
        <v>250.99542790249689</v>
      </c>
      <c r="L264" s="69">
        <f t="shared" si="27"/>
        <v>173.56066823044998</v>
      </c>
      <c r="M264" s="69">
        <f>IF((((1.18*F264^0.874)-(0.301*F264^0.751)/(1-H264)*H264)*(MAX('Max rate concentrations'!$P$3:$P$368)))/F264&gt;0, (((1.18*F264^0.874)-(0.301*F264^0.751)/(1-H264)*H264)*(MAX('Max rate concentrations'!$P$3:$P$368)))/F264, 0)</f>
        <v>0.4378177999513439</v>
      </c>
      <c r="N264" s="69">
        <f>IF((((1.18*F264^0.874)-(0.301*F264^0.751)/(1-H264)*H264)*(MAX('Max rate concentrations'!$Q$3:$Q$368)))/F264&gt;0, (((1.18*F264^0.874)-(0.301*F264^0.751)/(1-H264)*H264)*(MAX('Max rate concentrations'!$Q$3:$Q$368)))/F264, 0)</f>
        <v>1.667233706902888</v>
      </c>
      <c r="O264" s="69">
        <f>((MAX('Max rate concentrations'!$F$3:$F$368))*0.62*6.01*8*(10*F264^0.667)*0.079*0.1/F264)*inputs!$E$80/(10^(0.84+0.62*LOG10(inputs!$E$80)))</f>
        <v>65.094012793285771</v>
      </c>
      <c r="P264" s="69">
        <f>((MAX('Max rate concentrations'!Y:Y))*0.62*6.01*8*(10*F264^0.667)*0.079*0.1/F264)*inputs!$E$80/(10^(0.84+0.62*LOG10(inputs!$E$80)))</f>
        <v>21.698004264428594</v>
      </c>
      <c r="Q264" s="69">
        <f>(inputs!$C$18*11.2*(10*F264^0.667)*0.5/F264)*inputs!$E$80/(10^(0.84+0.62*LOG10(inputs!$E$80)))</f>
        <v>11.466003332542952</v>
      </c>
      <c r="R264" s="59">
        <f>(60*284*((F264/1000)^0.77)*3*24*(MAX('Max rate concentrations'!$R$3:$R$368))/F264)*(inputs!$E$73*3.4/inputs!$E$75)</f>
        <v>7.8546394068543079E-2</v>
      </c>
      <c r="S264" s="59">
        <f>(IF(inputs!$C$17="aerial",((0.025*0.112*inputs!$C$18/3.3)*(3*60*284*((F264/1000)^0.77))*MAX(inputs!$I$14:$I$16))/F264,((0.0083*0.112*inputs!$C$18/1)*(3*60*284*((F264/1000)^0.77))*MAX(inputs!$I$14:$I$16))/F264))*(inputs!E$75*3.4/inputs!$E$73)</f>
        <v>0.43318818904566209</v>
      </c>
      <c r="T264" s="63">
        <f>IF((((inputs!$P$13/(V264/MAX(K264:S264)))^(1/inputs!$O$13))-1)/inputs!$N$13&lt;0, 0, IF((((inputs!$P$13/(V264/MAX(K264:S264)))^(1/inputs!$O$13))-1)/inputs!$N$13&lt;inputs!$I$17, (((inputs!$P$13/(V264/MAX(K264:S264)))^(1/inputs!$O$13))-1)/inputs!$N$13, inputs!$I$17))</f>
        <v>1000</v>
      </c>
      <c r="U264" s="63">
        <f>IF((((inputs!$P$13/(X264/MAX(K264:S264)))^(1/inputs!$O$13))-1)/inputs!$N$13&lt;0, 0, IF((((inputs!$P$13/(X264/MAX(K264:S264)))^(1/inputs!$O$13))-1)/inputs!$N$13&lt;inputs!$I$17, (((inputs!$P$13/(X264/MAX(K264:S264)))^(1/inputs!$O$13))-1)/inputs!$N$13, inputs!$I$17))</f>
        <v>90.242874430179413</v>
      </c>
      <c r="V264" s="21">
        <f>inputs!$E$78*(F264/inputs!$F$78)^(inputs!$E$84-1)</f>
        <v>4.2295620435803684E-2</v>
      </c>
      <c r="W264" s="21">
        <f>inputs!$E$85*(F264/inputs!$F$85)^(inputs!$E$84-1)</f>
        <v>1.9531338363545885</v>
      </c>
      <c r="X264" s="21">
        <f>inputs!$E$80*(F264/inputs!$F$80)^(inputs!$E$84-1)</f>
        <v>7.2933478699316909</v>
      </c>
      <c r="Y264" s="21">
        <f>inputs!$E$82*(F264/inputs!$F$82)^(inputs!$E$84-1)</f>
        <v>3.3613887820033455</v>
      </c>
      <c r="Z264" s="63">
        <f t="shared" si="28"/>
        <v>5934.3124729298597</v>
      </c>
      <c r="AA264" s="63">
        <f t="shared" si="29"/>
        <v>128.50907768356794</v>
      </c>
    </row>
    <row r="265" spans="1:27" x14ac:dyDescent="0.25">
      <c r="A265" s="103" t="s">
        <v>297</v>
      </c>
      <c r="B265" s="20" t="s">
        <v>298</v>
      </c>
      <c r="C265" s="20" t="s">
        <v>73</v>
      </c>
      <c r="D265" s="104" t="s">
        <v>141</v>
      </c>
      <c r="E265" s="15">
        <v>4136</v>
      </c>
      <c r="F265" s="15">
        <v>11.5</v>
      </c>
      <c r="G265" s="20" t="s">
        <v>152</v>
      </c>
      <c r="H265" s="20">
        <v>0.77</v>
      </c>
      <c r="I265" s="68">
        <f>MAX('Max rate concentrations'!$G$3:$G$368)</f>
        <v>45</v>
      </c>
      <c r="J265" s="68">
        <f>MAX('Max rate concentrations'!Z:Z)</f>
        <v>21</v>
      </c>
      <c r="K265" s="69">
        <f t="shared" si="26"/>
        <v>53.983752994755356</v>
      </c>
      <c r="L265" s="69">
        <f t="shared" si="27"/>
        <v>25.192418064219169</v>
      </c>
      <c r="M265" s="69">
        <f>IF((((1.18*F265^0.874)-(0.301*F265^0.751)/(1-H265)*H265)*(MAX('Max rate concentrations'!$P$3:$P$368)))/F265&gt;0, (((1.18*F265^0.874)-(0.301*F265^0.751)/(1-H265)*H265)*(MAX('Max rate concentrations'!$P$3:$P$368)))/F265, 0)</f>
        <v>0.27770885729493333</v>
      </c>
      <c r="N265" s="69">
        <f>IF((((1.18*F265^0.874)-(0.301*F265^0.751)/(1-H265)*H265)*(MAX('Max rate concentrations'!$Q$3:$Q$368)))/F265&gt;0, (((1.18*F265^0.874)-(0.301*F265^0.751)/(1-H265)*H265)*(MAX('Max rate concentrations'!$Q$3:$Q$368)))/F265, 0)</f>
        <v>1.0575302503439834</v>
      </c>
      <c r="O265" s="69">
        <f>((MAX('Max rate concentrations'!$F$3:$F$368))*0.62*6.01*8*(10*F265^0.667)*0.079*0.1/F265)*inputs!$E$80/(10^(0.84+0.62*LOG10(inputs!$E$80)))</f>
        <v>65.094012793285771</v>
      </c>
      <c r="P265" s="69">
        <f>((MAX('Max rate concentrations'!Y:Y))*0.62*6.01*8*(10*F265^0.667)*0.079*0.1/F265)*inputs!$E$80/(10^(0.84+0.62*LOG10(inputs!$E$80)))</f>
        <v>21.698004264428594</v>
      </c>
      <c r="Q265" s="69">
        <f>(inputs!$C$18*11.2*(10*F265^0.667)*0.5/F265)*inputs!$E$80/(10^(0.84+0.62*LOG10(inputs!$E$80)))</f>
        <v>11.466003332542952</v>
      </c>
      <c r="R265" s="59">
        <f>(60*284*((F265/1000)^0.77)*3*24*(MAX('Max rate concentrations'!$R$3:$R$368))/F265)*(inputs!$E$73*3.4/inputs!$E$75)</f>
        <v>7.8546394068543079E-2</v>
      </c>
      <c r="S265" s="59">
        <f>(IF(inputs!$C$17="aerial",((0.025*0.112*inputs!$C$18/3.3)*(3*60*284*((F265/1000)^0.77))*MAX(inputs!$I$14:$I$16))/F265,((0.0083*0.112*inputs!$C$18/1)*(3*60*284*((F265/1000)^0.77))*MAX(inputs!$I$14:$I$16))/F265))*(inputs!E$75*3.4/inputs!$E$73)</f>
        <v>0.43318818904566209</v>
      </c>
      <c r="T265" s="63">
        <f>IF((((inputs!$P$13/(V265/MAX(K265:S265)))^(1/inputs!$O$13))-1)/inputs!$N$13&lt;0, 0, IF((((inputs!$P$13/(V265/MAX(K265:S265)))^(1/inputs!$O$13))-1)/inputs!$N$13&lt;inputs!$I$17, (((inputs!$P$13/(V265/MAX(K265:S265)))^(1/inputs!$O$13))-1)/inputs!$N$13, inputs!$I$17))</f>
        <v>1000</v>
      </c>
      <c r="U265" s="63">
        <f>IF((((inputs!$P$13/(X265/MAX(K265:S265)))^(1/inputs!$O$13))-1)/inputs!$N$13&lt;0, 0, IF((((inputs!$P$13/(X265/MAX(K265:S265)))^(1/inputs!$O$13))-1)/inputs!$N$13&lt;inputs!$I$17, (((inputs!$P$13/(X265/MAX(K265:S265)))^(1/inputs!$O$13))-1)/inputs!$N$13, inputs!$I$17))</f>
        <v>26.82697841108596</v>
      </c>
      <c r="V265" s="21">
        <f>inputs!$E$78*(F265/inputs!$F$78)^(inputs!$E$84-1)</f>
        <v>4.2295620435803684E-2</v>
      </c>
      <c r="W265" s="21">
        <f>inputs!$E$85*(F265/inputs!$F$85)^(inputs!$E$84-1)</f>
        <v>1.9531338363545885</v>
      </c>
      <c r="X265" s="21">
        <f>inputs!$E$80*(F265/inputs!$F$80)^(inputs!$E$84-1)</f>
        <v>7.2933478699316909</v>
      </c>
      <c r="Y265" s="21">
        <f>inputs!$E$82*(F265/inputs!$F$82)^(inputs!$E$84-1)</f>
        <v>3.3613887820033455</v>
      </c>
      <c r="Z265" s="63">
        <f t="shared" si="28"/>
        <v>1539.0248948371734</v>
      </c>
      <c r="AA265" s="63">
        <f t="shared" si="29"/>
        <v>33.327983767246586</v>
      </c>
    </row>
    <row r="266" spans="1:27" x14ac:dyDescent="0.25">
      <c r="A266" s="103" t="s">
        <v>297</v>
      </c>
      <c r="B266" s="20" t="s">
        <v>298</v>
      </c>
      <c r="C266" s="20" t="s">
        <v>73</v>
      </c>
      <c r="D266" s="104" t="s">
        <v>141</v>
      </c>
      <c r="E266" s="15">
        <v>4136</v>
      </c>
      <c r="F266" s="15">
        <v>11.5</v>
      </c>
      <c r="G266" s="20" t="s">
        <v>153</v>
      </c>
      <c r="H266" s="20">
        <v>0.7</v>
      </c>
      <c r="I266" s="68">
        <f>MAX('Max rate concentrations'!$E$3:$E$368)</f>
        <v>330</v>
      </c>
      <c r="J266" s="68">
        <f>MAX('Max rate concentrations'!X:X)</f>
        <v>108</v>
      </c>
      <c r="K266" s="69">
        <f t="shared" si="26"/>
        <v>303.50865572606892</v>
      </c>
      <c r="L266" s="69">
        <f t="shared" si="27"/>
        <v>99.330105510349853</v>
      </c>
      <c r="M266" s="69">
        <f>IF((((1.18*F266^0.874)-(0.301*F266^0.751)/(1-H266)*H266)*(MAX('Max rate concentrations'!$P$3:$P$368)))/F266&gt;0, (((1.18*F266^0.874)-(0.301*F266^0.751)/(1-H266)*H266)*(MAX('Max rate concentrations'!$P$3:$P$368)))/F266, 0)</f>
        <v>0.42247402628010461</v>
      </c>
      <c r="N266" s="69">
        <f>IF((((1.18*F266^0.874)-(0.301*F266^0.751)/(1-H266)*H266)*(MAX('Max rate concentrations'!$Q$3:$Q$368)))/F266&gt;0, (((1.18*F266^0.874)-(0.301*F266^0.751)/(1-H266)*H266)*(MAX('Max rate concentrations'!$Q$3:$Q$368)))/F266, 0)</f>
        <v>1.608803792315993</v>
      </c>
      <c r="O266" s="69">
        <f>((MAX('Max rate concentrations'!$F$3:$F$368))*0.62*6.01*8*(10*F266^0.667)*0.079*0.1/F266)*inputs!$E$80/(10^(0.84+0.62*LOG10(inputs!$E$80)))</f>
        <v>65.094012793285771</v>
      </c>
      <c r="P266" s="69">
        <f>((MAX('Max rate concentrations'!Y:Y))*0.62*6.01*8*(10*F266^0.667)*0.079*0.1/F266)*inputs!$E$80/(10^(0.84+0.62*LOG10(inputs!$E$80)))</f>
        <v>21.698004264428594</v>
      </c>
      <c r="Q266" s="69">
        <f>(inputs!$C$18*11.2*(10*F266^0.667)*0.5/F266)*inputs!$E$80/(10^(0.84+0.62*LOG10(inputs!$E$80)))</f>
        <v>11.466003332542952</v>
      </c>
      <c r="R266" s="59">
        <f>(60*284*((F266/1000)^0.77)*3*24*(MAX('Max rate concentrations'!$R$3:$R$368))/F266)*(inputs!$E$73*3.4/inputs!$E$75)</f>
        <v>7.8546394068543079E-2</v>
      </c>
      <c r="S266" s="59">
        <f>(IF(inputs!$C$17="aerial",((0.025*0.112*inputs!$C$18/3.3)*(3*60*284*((F266/1000)^0.77))*MAX(inputs!$I$14:$I$16))/F266,((0.0083*0.112*inputs!$C$18/1)*(3*60*284*((F266/1000)^0.77))*MAX(inputs!$I$14:$I$16))/F266))*(inputs!E$75*3.4/inputs!$E$73)</f>
        <v>0.43318818904566209</v>
      </c>
      <c r="T266" s="63">
        <f>IF((((inputs!$P$13/(V266/MAX(K266:S266)))^(1/inputs!$O$13))-1)/inputs!$N$13&lt;0, 0, IF((((inputs!$P$13/(V266/MAX(K266:S266)))^(1/inputs!$O$13))-1)/inputs!$N$13&lt;inputs!$I$17, (((inputs!$P$13/(V266/MAX(K266:S266)))^(1/inputs!$O$13))-1)/inputs!$N$13, inputs!$I$17))</f>
        <v>1000</v>
      </c>
      <c r="U266" s="63">
        <f>IF((((inputs!$P$13/(X266/MAX(K266:S266)))^(1/inputs!$O$13))-1)/inputs!$N$13&lt;0, 0, IF((((inputs!$P$13/(X266/MAX(K266:S266)))^(1/inputs!$O$13))-1)/inputs!$N$13&lt;inputs!$I$17, (((inputs!$P$13/(X266/MAX(K266:S266)))^(1/inputs!$O$13))-1)/inputs!$N$13, inputs!$I$17))</f>
        <v>106.09629543870535</v>
      </c>
      <c r="V266" s="21">
        <f>inputs!$E$78*(F266/inputs!$F$78)^(inputs!$E$84-1)</f>
        <v>4.2295620435803684E-2</v>
      </c>
      <c r="W266" s="21">
        <f>inputs!$E$85*(F266/inputs!$F$85)^(inputs!$E$84-1)</f>
        <v>1.9531338363545885</v>
      </c>
      <c r="X266" s="21">
        <f>inputs!$E$80*(F266/inputs!$F$80)^(inputs!$E$84-1)</f>
        <v>7.2933478699316909</v>
      </c>
      <c r="Y266" s="21">
        <f>inputs!$E$82*(F266/inputs!$F$82)^(inputs!$E$84-1)</f>
        <v>3.3613887820033455</v>
      </c>
      <c r="Z266" s="63">
        <f t="shared" si="28"/>
        <v>7175.8884867697952</v>
      </c>
      <c r="AA266" s="63">
        <f t="shared" si="29"/>
        <v>155.39572868828606</v>
      </c>
    </row>
    <row r="267" spans="1:27" x14ac:dyDescent="0.25">
      <c r="A267" s="103" t="s">
        <v>368</v>
      </c>
      <c r="B267" s="20" t="s">
        <v>369</v>
      </c>
      <c r="C267" s="20" t="s">
        <v>73</v>
      </c>
      <c r="D267" s="104" t="s">
        <v>141</v>
      </c>
      <c r="E267" s="15">
        <v>93</v>
      </c>
      <c r="F267" s="15">
        <v>5.0999999999999996</v>
      </c>
      <c r="G267" s="20" t="s">
        <v>142</v>
      </c>
      <c r="H267" s="20">
        <v>0.69</v>
      </c>
      <c r="I267" s="68">
        <f>MAX('Max rate concentrations'!$H$3:$H$368)</f>
        <v>282</v>
      </c>
      <c r="J267" s="68">
        <f>MAX('Max rate concentrations'!AA:AA)</f>
        <v>195</v>
      </c>
      <c r="K267" s="69">
        <f t="shared" si="26"/>
        <v>283.55346594464055</v>
      </c>
      <c r="L267" s="69">
        <f t="shared" si="27"/>
        <v>196.07420517448548</v>
      </c>
      <c r="M267" s="69">
        <f>IF((((1.18*F267^0.874)-(0.301*F267^0.751)/(1-H267)*H267)*(MAX('Max rate concentrations'!$P$3:$P$368)))/F267&gt;0, (((1.18*F267^0.874)-(0.301*F267^0.751)/(1-H267)*H267)*(MAX('Max rate concentrations'!$P$3:$P$368)))/F267, 0)</f>
        <v>0.44803868593637164</v>
      </c>
      <c r="N267" s="69">
        <f>IF((((1.18*F267^0.874)-(0.301*F267^0.751)/(1-H267)*H267)*(MAX('Max rate concentrations'!$Q$3:$Q$368)))/F267&gt;0, (((1.18*F267^0.874)-(0.301*F267^0.751)/(1-H267)*H267)*(MAX('Max rate concentrations'!$Q$3:$Q$368)))/F267, 0)</f>
        <v>1.7061553899193012</v>
      </c>
      <c r="O267" s="69">
        <f>((MAX('Max rate concentrations'!$F$3:$F$368))*0.62*6.01*8*(10*F267^0.667)*0.079*0.1/F267)*inputs!$E$80/(10^(0.84+0.62*LOG10(inputs!$E$80)))</f>
        <v>85.336054045737157</v>
      </c>
      <c r="P267" s="69">
        <f>((MAX('Max rate concentrations'!Y:Y))*0.62*6.01*8*(10*F267^0.667)*0.079*0.1/F267)*inputs!$E$80/(10^(0.84+0.62*LOG10(inputs!$E$80)))</f>
        <v>28.445351348579049</v>
      </c>
      <c r="Q267" s="69">
        <f>(inputs!$C$18*11.2*(10*F267^0.667)*0.5/F267)*inputs!$E$80/(10^(0.84+0.62*LOG10(inputs!$E$80)))</f>
        <v>15.031543425994055</v>
      </c>
      <c r="R267" s="59">
        <f>(60*284*((F267/1000)^0.77)*3*24*(MAX('Max rate concentrations'!$R$3:$R$368))/F267)*(inputs!$E$73*3.4/inputs!$E$75)</f>
        <v>9.4699048389090892E-2</v>
      </c>
      <c r="S267" s="59">
        <f>(IF(inputs!$C$17="aerial",((0.025*0.112*inputs!$C$18/3.3)*(3*60*284*((F267/1000)^0.77))*MAX(inputs!$I$14:$I$16))/F267,((0.0083*0.112*inputs!$C$18/1)*(3*60*284*((F267/1000)^0.77))*MAX(inputs!$I$14:$I$16))/F267))*(inputs!E$75*3.4/inputs!$E$73)</f>
        <v>0.52227107001525408</v>
      </c>
      <c r="T267" s="63">
        <f>IF((((inputs!$P$13/(V267/MAX(K267:S267)))^(1/inputs!$O$13))-1)/inputs!$N$13&lt;0, 0, IF((((inputs!$P$13/(V267/MAX(K267:S267)))^(1/inputs!$O$13))-1)/inputs!$N$13&lt;inputs!$I$17, (((inputs!$P$13/(V267/MAX(K267:S267)))^(1/inputs!$O$13))-1)/inputs!$N$13, inputs!$I$17))</f>
        <v>1000</v>
      </c>
      <c r="U267" s="63">
        <f>IF((((inputs!$P$13/(X267/MAX(K267:S267)))^(1/inputs!$O$13))-1)/inputs!$N$13&lt;0, 0, IF((((inputs!$P$13/(X267/MAX(K267:S267)))^(1/inputs!$O$13))-1)/inputs!$N$13&lt;inputs!$I$17, (((inputs!$P$13/(X267/MAX(K267:S267)))^(1/inputs!$O$13))-1)/inputs!$N$13, inputs!$I$17))</f>
        <v>77.38480905642723</v>
      </c>
      <c r="V267" s="21">
        <f>inputs!$E$78*(F267/inputs!$F$78)^(inputs!$E$84-1)</f>
        <v>5.7141631454811805E-2</v>
      </c>
      <c r="W267" s="21">
        <f>inputs!$E$85*(F267/inputs!$F$85)^(inputs!$E$84-1)</f>
        <v>2.6386952764599139</v>
      </c>
      <c r="X267" s="21">
        <f>inputs!$E$80*(F267/inputs!$F$80)^(inputs!$E$84-1)</f>
        <v>9.8533557791857547</v>
      </c>
      <c r="Y267" s="21">
        <f>inputs!$E$82*(F267/inputs!$F$82)^(inputs!$E$84-1)</f>
        <v>4.5412559735139908</v>
      </c>
      <c r="Z267" s="63">
        <f t="shared" si="28"/>
        <v>4962.2920929178854</v>
      </c>
      <c r="AA267" s="63">
        <f t="shared" si="29"/>
        <v>107.45972393032713</v>
      </c>
    </row>
    <row r="268" spans="1:27" x14ac:dyDescent="0.25">
      <c r="A268" s="103" t="s">
        <v>370</v>
      </c>
      <c r="B268" s="20" t="s">
        <v>371</v>
      </c>
      <c r="C268" s="20" t="s">
        <v>73</v>
      </c>
      <c r="D268" s="104" t="s">
        <v>141</v>
      </c>
      <c r="E268" s="15">
        <v>138</v>
      </c>
      <c r="F268" s="15">
        <v>9</v>
      </c>
      <c r="G268" s="20" t="s">
        <v>142</v>
      </c>
      <c r="H268" s="20">
        <v>0.69</v>
      </c>
      <c r="I268" s="68">
        <f>MAX('Max rate concentrations'!$H$3:$H$368)</f>
        <v>282</v>
      </c>
      <c r="J268" s="68">
        <f>MAX('Max rate concentrations'!AA:AA)</f>
        <v>195</v>
      </c>
      <c r="K268" s="69">
        <f t="shared" si="26"/>
        <v>260.39588097551439</v>
      </c>
      <c r="L268" s="69">
        <f t="shared" si="27"/>
        <v>180.06098152562168</v>
      </c>
      <c r="M268" s="69">
        <f>IF((((1.18*F268^0.874)-(0.301*F268^0.751)/(1-H268)*H268)*(MAX('Max rate concentrations'!$P$3:$P$368)))/F268&gt;0, (((1.18*F268^0.874)-(0.301*F268^0.751)/(1-H268)*H268)*(MAX('Max rate concentrations'!$P$3:$P$368)))/F268, 0)</f>
        <v>0.44152405629895314</v>
      </c>
      <c r="N268" s="69">
        <f>IF((((1.18*F268^0.874)-(0.301*F268^0.751)/(1-H268)*H268)*(MAX('Max rate concentrations'!$Q$3:$Q$368)))/F268&gt;0, (((1.18*F268^0.874)-(0.301*F268^0.751)/(1-H268)*H268)*(MAX('Max rate concentrations'!$Q$3:$Q$368)))/F268, 0)</f>
        <v>1.6813473302179829</v>
      </c>
      <c r="O268" s="69">
        <f>((MAX('Max rate concentrations'!$F$3:$F$368))*0.62*6.01*8*(10*F268^0.667)*0.079*0.1/F268)*inputs!$E$80/(10^(0.84+0.62*LOG10(inputs!$E$80)))</f>
        <v>70.630238073511762</v>
      </c>
      <c r="P268" s="69">
        <f>((MAX('Max rate concentrations'!Y:Y))*0.62*6.01*8*(10*F268^0.667)*0.079*0.1/F268)*inputs!$E$80/(10^(0.84+0.62*LOG10(inputs!$E$80)))</f>
        <v>23.543412691170591</v>
      </c>
      <c r="Q268" s="69">
        <f>(inputs!$C$18*11.2*(10*F268^0.667)*0.5/F268)*inputs!$E$80/(10^(0.84+0.62*LOG10(inputs!$E$80)))</f>
        <v>12.441183303615919</v>
      </c>
      <c r="R268" s="59">
        <f>(60*284*((F268/1000)^0.77)*3*24*(MAX('Max rate concentrations'!$R$3:$R$368))/F268)*(inputs!$E$73*3.4/inputs!$E$75)</f>
        <v>8.3101904752037506E-2</v>
      </c>
      <c r="S268" s="59">
        <f>(IF(inputs!$C$17="aerial",((0.025*0.112*inputs!$C$18/3.3)*(3*60*284*((F268/1000)^0.77))*MAX(inputs!$I$14:$I$16))/F268,((0.0083*0.112*inputs!$C$18/1)*(3*60*284*((F268/1000)^0.77))*MAX(inputs!$I$14:$I$16))/F268))*(inputs!E$75*3.4/inputs!$E$73)</f>
        <v>0.45831211034800778</v>
      </c>
      <c r="T268" s="63">
        <f>IF((((inputs!$P$13/(V268/MAX(K268:S268)))^(1/inputs!$O$13))-1)/inputs!$N$13&lt;0, 0, IF((((inputs!$P$13/(V268/MAX(K268:S268)))^(1/inputs!$O$13))-1)/inputs!$N$13&lt;inputs!$I$17, (((inputs!$P$13/(V268/MAX(K268:S268)))^(1/inputs!$O$13))-1)/inputs!$N$13, inputs!$I$17))</f>
        <v>1000</v>
      </c>
      <c r="U268" s="63">
        <f>IF((((inputs!$P$13/(X268/MAX(K268:S268)))^(1/inputs!$O$13))-1)/inputs!$N$13&lt;0, 0, IF((((inputs!$P$13/(X268/MAX(K268:S268)))^(1/inputs!$O$13))-1)/inputs!$N$13&lt;inputs!$I$17, (((inputs!$P$13/(X268/MAX(K268:S268)))^(1/inputs!$O$13))-1)/inputs!$N$13, inputs!$I$17))</f>
        <v>86.168982503262185</v>
      </c>
      <c r="V268" s="21">
        <f>inputs!$E$78*(F268/inputs!$F$78)^(inputs!$E$84-1)</f>
        <v>4.6310969457897193E-2</v>
      </c>
      <c r="W268" s="21">
        <f>inputs!$E$85*(F268/inputs!$F$85)^(inputs!$E$84-1)</f>
        <v>2.138555257272801</v>
      </c>
      <c r="X268" s="21">
        <f>inputs!$E$80*(F268/inputs!$F$80)^(inputs!$E$84-1)</f>
        <v>7.9857443151326102</v>
      </c>
      <c r="Y268" s="21">
        <f>inputs!$E$82*(F268/inputs!$F$82)^(inputs!$E$84-1)</f>
        <v>3.680503362180251</v>
      </c>
      <c r="Z268" s="63">
        <f t="shared" si="28"/>
        <v>5622.7689470471732</v>
      </c>
      <c r="AA268" s="63">
        <f t="shared" si="29"/>
        <v>121.76252172580521</v>
      </c>
    </row>
    <row r="269" spans="1:27" x14ac:dyDescent="0.25">
      <c r="A269" s="103" t="s">
        <v>162</v>
      </c>
      <c r="B269" s="20" t="s">
        <v>163</v>
      </c>
      <c r="C269" s="20" t="s">
        <v>73</v>
      </c>
      <c r="D269" s="104" t="s">
        <v>141</v>
      </c>
      <c r="E269" s="15">
        <v>85</v>
      </c>
      <c r="F269" s="15">
        <v>19.8</v>
      </c>
      <c r="G269" s="20" t="s">
        <v>142</v>
      </c>
      <c r="H269" s="20">
        <v>0.69</v>
      </c>
      <c r="I269" s="68">
        <f>MAX('Max rate concentrations'!$H$3:$H$368)</f>
        <v>282</v>
      </c>
      <c r="J269" s="68">
        <f>MAX('Max rate concentrations'!AA:AA)</f>
        <v>195</v>
      </c>
      <c r="K269" s="69">
        <f t="shared" si="26"/>
        <v>231.35064147319571</v>
      </c>
      <c r="L269" s="69">
        <f t="shared" si="27"/>
        <v>159.97650740167788</v>
      </c>
      <c r="M269" s="69">
        <f>IF((((1.18*F269^0.874)-(0.301*F269^0.751)/(1-H269)*H269)*(MAX('Max rate concentrations'!$P$3:$P$368)))/F269&gt;0, (((1.18*F269^0.874)-(0.301*F269^0.751)/(1-H269)*H269)*(MAX('Max rate concentrations'!$P$3:$P$368)))/F269, 0)</f>
        <v>0.42802164723970898</v>
      </c>
      <c r="N269" s="69">
        <f>IF((((1.18*F269^0.874)-(0.301*F269^0.751)/(1-H269)*H269)*(MAX('Max rate concentrations'!$Q$3:$Q$368)))/F269&gt;0, (((1.18*F269^0.874)-(0.301*F269^0.751)/(1-H269)*H269)*(MAX('Max rate concentrations'!$Q$3:$Q$368)))/F269, 0)</f>
        <v>1.6299294310131891</v>
      </c>
      <c r="O269" s="69">
        <f>((MAX('Max rate concentrations'!$F$3:$F$368))*0.62*6.01*8*(10*F269^0.667)*0.079*0.1/F269)*inputs!$E$80/(10^(0.84+0.62*LOG10(inputs!$E$80)))</f>
        <v>54.320519838214274</v>
      </c>
      <c r="P269" s="69">
        <f>((MAX('Max rate concentrations'!Y:Y))*0.62*6.01*8*(10*F269^0.667)*0.079*0.1/F269)*inputs!$E$80/(10^(0.84+0.62*LOG10(inputs!$E$80)))</f>
        <v>18.106839946071421</v>
      </c>
      <c r="Q269" s="69">
        <f>(inputs!$C$18*11.2*(10*F269^0.667)*0.5/F269)*inputs!$E$80/(10^(0.84+0.62*LOG10(inputs!$E$80)))</f>
        <v>9.5683033625278995</v>
      </c>
      <c r="R269" s="59">
        <f>(60*284*((F269/1000)^0.77)*3*24*(MAX('Max rate concentrations'!$R$3:$R$368))/F269)*(inputs!$E$73*3.4/inputs!$E$75)</f>
        <v>6.9319235062966431E-2</v>
      </c>
      <c r="S269" s="59">
        <f>(IF(inputs!$C$17="aerial",((0.025*0.112*inputs!$C$18/3.3)*(3*60*284*((F269/1000)^0.77))*MAX(inputs!$I$14:$I$16))/F269,((0.0083*0.112*inputs!$C$18/1)*(3*60*284*((F269/1000)^0.77))*MAX(inputs!$I$14:$I$16))/F269))*(inputs!E$75*3.4/inputs!$E$73)</f>
        <v>0.38229984022885866</v>
      </c>
      <c r="T269" s="63">
        <f>IF((((inputs!$P$13/(V269/MAX(K269:S269)))^(1/inputs!$O$13))-1)/inputs!$N$13&lt;0, 0, IF((((inputs!$P$13/(V269/MAX(K269:S269)))^(1/inputs!$O$13))-1)/inputs!$N$13&lt;inputs!$I$17, (((inputs!$P$13/(V269/MAX(K269:S269)))^(1/inputs!$O$13))-1)/inputs!$N$13, inputs!$I$17))</f>
        <v>1000</v>
      </c>
      <c r="U269" s="63">
        <f>IF((((inputs!$P$13/(X269/MAX(K269:S269)))^(1/inputs!$O$13))-1)/inputs!$N$13&lt;0, 0, IF((((inputs!$P$13/(X269/MAX(K269:S269)))^(1/inputs!$O$13))-1)/inputs!$N$13&lt;inputs!$I$17, (((inputs!$P$13/(X269/MAX(K269:S269)))^(1/inputs!$O$13))-1)/inputs!$N$13, inputs!$I$17))</f>
        <v>99.932084770162504</v>
      </c>
      <c r="V269" s="21">
        <f>inputs!$E$78*(F269/inputs!$F$78)^(inputs!$E$84-1)</f>
        <v>3.4592940554601485E-2</v>
      </c>
      <c r="W269" s="21">
        <f>inputs!$E$85*(F269/inputs!$F$85)^(inputs!$E$84-1)</f>
        <v>1.5974382690223126</v>
      </c>
      <c r="X269" s="21">
        <f>inputs!$E$80*(F269/inputs!$F$80)^(inputs!$E$84-1)</f>
        <v>5.9651175868554702</v>
      </c>
      <c r="Y269" s="21">
        <f>inputs!$E$82*(F269/inputs!$F$82)^(inputs!$E$84-1)</f>
        <v>2.7492284335499075</v>
      </c>
      <c r="Z269" s="63">
        <f t="shared" si="28"/>
        <v>6687.799237767369</v>
      </c>
      <c r="AA269" s="63">
        <f t="shared" si="29"/>
        <v>144.82602924918677</v>
      </c>
    </row>
    <row r="270" spans="1:27" x14ac:dyDescent="0.25">
      <c r="A270" s="103" t="s">
        <v>162</v>
      </c>
      <c r="B270" s="20" t="s">
        <v>163</v>
      </c>
      <c r="C270" s="20" t="s">
        <v>73</v>
      </c>
      <c r="D270" s="104" t="s">
        <v>141</v>
      </c>
      <c r="E270" s="15">
        <v>85</v>
      </c>
      <c r="F270" s="15">
        <v>19.8</v>
      </c>
      <c r="G270" s="20" t="s">
        <v>164</v>
      </c>
      <c r="H270" s="20">
        <v>0.78</v>
      </c>
      <c r="I270" s="68">
        <f>inputs!$C$66*(inputs!$C$62/1000)</f>
        <v>8.2000000000000011</v>
      </c>
      <c r="J270" s="68">
        <f>inputs!$C$66*(inputs!$C$61/1000)</f>
        <v>2.5</v>
      </c>
      <c r="K270" s="69">
        <f t="shared" si="26"/>
        <v>9.4792606483698219</v>
      </c>
      <c r="L270" s="69">
        <f t="shared" si="27"/>
        <v>2.8900184903566526</v>
      </c>
      <c r="M270" s="69">
        <f>IF((((1.18*F270^0.874)-(0.301*F270^0.751)/(1-H270)*H270)*(MAX('Max rate concentrations'!$P$3:$P$368)))/F270&gt;0, (((1.18*F270^0.874)-(0.301*F270^0.751)/(1-H270)*H270)*(MAX('Max rate concentrations'!$P$3:$P$368)))/F270, 0)</f>
        <v>0.26354001881142114</v>
      </c>
      <c r="N270" s="69">
        <f>IF((((1.18*F270^0.874)-(0.301*F270^0.751)/(1-H270)*H270)*(MAX('Max rate concentrations'!$Q$3:$Q$368)))/F270&gt;0, (((1.18*F270^0.874)-(0.301*F270^0.751)/(1-H270)*H270)*(MAX('Max rate concentrations'!$Q$3:$Q$368)))/F270, 0)</f>
        <v>1.0035745520832009</v>
      </c>
      <c r="O270" s="69">
        <f>((MAX('Max rate concentrations'!$F$3:$F$368))*0.62*6.01*8*(10*F270^0.667)*0.079*0.1/F270)*inputs!$E$80/(10^(0.84+0.62*LOG10(inputs!$E$80)))</f>
        <v>54.320519838214274</v>
      </c>
      <c r="P270" s="69">
        <f>((MAX('Max rate concentrations'!Y:Y))*0.62*6.01*8*(10*F270^0.667)*0.079*0.1/F270)*inputs!$E$80/(10^(0.84+0.62*LOG10(inputs!$E$80)))</f>
        <v>18.106839946071421</v>
      </c>
      <c r="Q270" s="69">
        <f>(inputs!$C$18*11.2*(10*F270^0.667)*0.5/F270)*inputs!$E$80/(10^(0.84+0.62*LOG10(inputs!$E$80)))</f>
        <v>9.5683033625278995</v>
      </c>
      <c r="R270" s="59">
        <f>(60*284*((F270/1000)^0.77)*3*24*(MAX('Max rate concentrations'!$R$3:$R$368))/F270)*(inputs!$E$73*3.4/inputs!$E$75)</f>
        <v>6.9319235062966431E-2</v>
      </c>
      <c r="S270" s="59">
        <f>(IF(inputs!$C$17="aerial",((0.025*0.112*inputs!$C$18/3.3)*(3*60*284*((F270/1000)^0.77))*MAX(inputs!$I$14:$I$16))/F270,((0.0083*0.112*inputs!$C$18/1)*(3*60*284*((F270/1000)^0.77))*MAX(inputs!$I$14:$I$16))/F270))*(inputs!E$75*3.4/inputs!$E$73)</f>
        <v>0.38229984022885866</v>
      </c>
      <c r="T270" s="63">
        <f>IF((((inputs!$P$13/(V270/MAX(K270:S270)))^(1/inputs!$O$13))-1)/inputs!$N$13&lt;0, 0, IF((((inputs!$P$13/(V270/MAX(K270:S270)))^(1/inputs!$O$13))-1)/inputs!$N$13&lt;inputs!$I$17, (((inputs!$P$13/(V270/MAX(K270:S270)))^(1/inputs!$O$13))-1)/inputs!$N$13, inputs!$I$17))</f>
        <v>1000</v>
      </c>
      <c r="U270" s="63">
        <f>IF((((inputs!$P$13/(X270/MAX(K270:S270)))^(1/inputs!$O$13))-1)/inputs!$N$13&lt;0, 0, IF((((inputs!$P$13/(X270/MAX(K270:S270)))^(1/inputs!$O$13))-1)/inputs!$N$13&lt;inputs!$I$17, (((inputs!$P$13/(X270/MAX(K270:S270)))^(1/inputs!$O$13))-1)/inputs!$N$13, inputs!$I$17))</f>
        <v>27.352344785993026</v>
      </c>
      <c r="V270" s="21">
        <f>inputs!$E$78*(F270/inputs!$F$78)^(inputs!$E$84-1)</f>
        <v>3.4592940554601485E-2</v>
      </c>
      <c r="W270" s="21">
        <f>inputs!$E$85*(F270/inputs!$F$85)^(inputs!$E$84-1)</f>
        <v>1.5974382690223126</v>
      </c>
      <c r="X270" s="21">
        <f>inputs!$E$80*(F270/inputs!$F$80)^(inputs!$E$84-1)</f>
        <v>5.9651175868554702</v>
      </c>
      <c r="Y270" s="21">
        <f>inputs!$E$82*(F270/inputs!$F$82)^(inputs!$E$84-1)</f>
        <v>2.7492284335499075</v>
      </c>
      <c r="Z270" s="63">
        <f t="shared" si="28"/>
        <v>1570.2776048331243</v>
      </c>
      <c r="AA270" s="63">
        <f t="shared" si="29"/>
        <v>34.004769318228682</v>
      </c>
    </row>
    <row r="271" spans="1:27" x14ac:dyDescent="0.25">
      <c r="A271" s="103" t="s">
        <v>162</v>
      </c>
      <c r="B271" s="20" t="s">
        <v>163</v>
      </c>
      <c r="C271" s="20" t="s">
        <v>73</v>
      </c>
      <c r="D271" s="104" t="s">
        <v>141</v>
      </c>
      <c r="E271" s="15">
        <v>85</v>
      </c>
      <c r="F271" s="15">
        <v>19.8</v>
      </c>
      <c r="G271" s="20" t="s">
        <v>154</v>
      </c>
      <c r="H271" s="20">
        <v>9.2999999999999999E-2</v>
      </c>
      <c r="I271" s="68">
        <f>MAX('Max rate concentrations'!$G$3:$G$368)</f>
        <v>45</v>
      </c>
      <c r="J271" s="68">
        <f>MAX('Max rate concentrations'!Z:Z)</f>
        <v>21</v>
      </c>
      <c r="K271" s="69">
        <f t="shared" si="26"/>
        <v>12.617941810156939</v>
      </c>
      <c r="L271" s="69">
        <f t="shared" si="27"/>
        <v>5.8883728447399042</v>
      </c>
      <c r="M271" s="69">
        <f>IF((((1.18*F271^0.874)-(0.301*F271^0.751)/(1-H271)*H271)*(MAX('Max rate concentrations'!$P$3:$P$368)))/F271&gt;0, (((1.18*F271^0.874)-(0.301*F271^0.751)/(1-H271)*H271)*(MAX('Max rate concentrations'!$P$3:$P$368)))/F271, 0)</f>
        <v>0.69266720742311338</v>
      </c>
      <c r="N271" s="69">
        <f>IF((((1.18*F271^0.874)-(0.301*F271^0.751)/(1-H271)*H271)*(MAX('Max rate concentrations'!$Q$3:$Q$368)))/F271&gt;0, (((1.18*F271^0.874)-(0.301*F271^0.751)/(1-H271)*H271)*(MAX('Max rate concentrations'!$Q$3:$Q$368)))/F271, 0)</f>
        <v>2.6377139440435036</v>
      </c>
      <c r="O271" s="69">
        <f>((MAX('Max rate concentrations'!$F$3:$F$368))*0.62*6.01*8*(10*F271^0.667)*0.079*0.1/F271)*inputs!$E$80/(10^(0.84+0.62*LOG10(inputs!$E$80)))</f>
        <v>54.320519838214274</v>
      </c>
      <c r="P271" s="69">
        <f>((MAX('Max rate concentrations'!Y:Y))*0.62*6.01*8*(10*F271^0.667)*0.079*0.1/F271)*inputs!$E$80/(10^(0.84+0.62*LOG10(inputs!$E$80)))</f>
        <v>18.106839946071421</v>
      </c>
      <c r="Q271" s="69">
        <f>(inputs!$C$18*11.2*(10*F271^0.667)*0.5/F271)*inputs!$E$80/(10^(0.84+0.62*LOG10(inputs!$E$80)))</f>
        <v>9.5683033625278995</v>
      </c>
      <c r="R271" s="59">
        <f>(60*284*((F271/1000)^0.77)*3*24*(MAX('Max rate concentrations'!$R$3:$R$368))/F271)*(inputs!$E$73*3.4/inputs!$E$75)</f>
        <v>6.9319235062966431E-2</v>
      </c>
      <c r="S271" s="59">
        <f>(IF(inputs!$C$17="aerial",((0.025*0.112*inputs!$C$18/3.3)*(3*60*284*((F271/1000)^0.77))*MAX(inputs!$I$14:$I$16))/F271,((0.0083*0.112*inputs!$C$18/1)*(3*60*284*((F271/1000)^0.77))*MAX(inputs!$I$14:$I$16))/F271))*(inputs!E$75*3.4/inputs!$E$73)</f>
        <v>0.38229984022885866</v>
      </c>
      <c r="T271" s="63">
        <f>IF((((inputs!$P$13/(V271/MAX(K271:S271)))^(1/inputs!$O$13))-1)/inputs!$N$13&lt;0, 0, IF((((inputs!$P$13/(V271/MAX(K271:S271)))^(1/inputs!$O$13))-1)/inputs!$N$13&lt;inputs!$I$17, (((inputs!$P$13/(V271/MAX(K271:S271)))^(1/inputs!$O$13))-1)/inputs!$N$13, inputs!$I$17))</f>
        <v>1000</v>
      </c>
      <c r="U271" s="63">
        <f>IF((((inputs!$P$13/(X271/MAX(K271:S271)))^(1/inputs!$O$13))-1)/inputs!$N$13&lt;0, 0, IF((((inputs!$P$13/(X271/MAX(K271:S271)))^(1/inputs!$O$13))-1)/inputs!$N$13&lt;inputs!$I$17, (((inputs!$P$13/(X271/MAX(K271:S271)))^(1/inputs!$O$13))-1)/inputs!$N$13, inputs!$I$17))</f>
        <v>27.352344785993026</v>
      </c>
      <c r="V271" s="21">
        <f>inputs!$E$78*(F271/inputs!$F$78)^(inputs!$E$84-1)</f>
        <v>3.4592940554601485E-2</v>
      </c>
      <c r="W271" s="21">
        <f>inputs!$E$85*(F271/inputs!$F$85)^(inputs!$E$84-1)</f>
        <v>1.5974382690223126</v>
      </c>
      <c r="X271" s="21">
        <f>inputs!$E$80*(F271/inputs!$F$80)^(inputs!$E$84-1)</f>
        <v>5.9651175868554702</v>
      </c>
      <c r="Y271" s="21">
        <f>inputs!$E$82*(F271/inputs!$F$82)^(inputs!$E$84-1)</f>
        <v>2.7492284335499075</v>
      </c>
      <c r="Z271" s="63">
        <f t="shared" si="28"/>
        <v>1570.2776048331243</v>
      </c>
      <c r="AA271" s="63">
        <f t="shared" si="29"/>
        <v>34.004769318228682</v>
      </c>
    </row>
    <row r="272" spans="1:27" x14ac:dyDescent="0.25">
      <c r="A272" s="103" t="s">
        <v>313</v>
      </c>
      <c r="B272" s="20" t="s">
        <v>314</v>
      </c>
      <c r="C272" s="20" t="s">
        <v>73</v>
      </c>
      <c r="D272" s="104" t="s">
        <v>141</v>
      </c>
      <c r="E272" s="15">
        <v>145</v>
      </c>
      <c r="F272" s="15">
        <v>6</v>
      </c>
      <c r="G272" s="20" t="s">
        <v>142</v>
      </c>
      <c r="H272" s="20">
        <v>0.69</v>
      </c>
      <c r="I272" s="68">
        <f>MAX('Max rate concentrations'!$H$3:$H$368)</f>
        <v>282</v>
      </c>
      <c r="J272" s="68">
        <f>MAX('Max rate concentrations'!AA:AA)</f>
        <v>195</v>
      </c>
      <c r="K272" s="69">
        <f t="shared" si="26"/>
        <v>276.72461952758982</v>
      </c>
      <c r="L272" s="69">
        <f t="shared" si="27"/>
        <v>191.35213052439721</v>
      </c>
      <c r="M272" s="69">
        <f>IF((((1.18*F272^0.874)-(0.301*F272^0.751)/(1-H272)*H272)*(MAX('Max rate concentrations'!$P$3:$P$368)))/F272&gt;0, (((1.18*F272^0.874)-(0.301*F272^0.751)/(1-H272)*H272)*(MAX('Max rate concentrations'!$P$3:$P$368)))/F272, 0)</f>
        <v>0.44649805852383279</v>
      </c>
      <c r="N272" s="69">
        <f>IF((((1.18*F272^0.874)-(0.301*F272^0.751)/(1-H272)*H272)*(MAX('Max rate concentrations'!$Q$3:$Q$368)))/F272&gt;0, (((1.18*F272^0.874)-(0.301*F272^0.751)/(1-H272)*H272)*(MAX('Max rate concentrations'!$Q$3:$Q$368)))/F272, 0)</f>
        <v>1.7002885979518461</v>
      </c>
      <c r="O272" s="69">
        <f>((MAX('Max rate concentrations'!$F$3:$F$368))*0.62*6.01*8*(10*F272^0.667)*0.079*0.1/F272)*inputs!$E$80/(10^(0.84+0.62*LOG10(inputs!$E$80)))</f>
        <v>80.84051273688398</v>
      </c>
      <c r="P272" s="69">
        <f>((MAX('Max rate concentrations'!Y:Y))*0.62*6.01*8*(10*F272^0.667)*0.079*0.1/F272)*inputs!$E$80/(10^(0.84+0.62*LOG10(inputs!$E$80)))</f>
        <v>26.946837578961336</v>
      </c>
      <c r="Q272" s="69">
        <f>(inputs!$C$18*11.2*(10*F272^0.667)*0.5/F272)*inputs!$E$80/(10^(0.84+0.62*LOG10(inputs!$E$80)))</f>
        <v>14.239675028011197</v>
      </c>
      <c r="R272" s="59">
        <f>(60*284*((F272/1000)^0.77)*3*24*(MAX('Max rate concentrations'!$R$3:$R$368))/F272)*(inputs!$E$73*3.4/inputs!$E$75)</f>
        <v>9.1224600010715653E-2</v>
      </c>
      <c r="S272" s="59">
        <f>(IF(inputs!$C$17="aerial",((0.025*0.112*inputs!$C$18/3.3)*(3*60*284*((F272/1000)^0.77))*MAX(inputs!$I$14:$I$16))/F272,((0.0083*0.112*inputs!$C$18/1)*(3*60*284*((F272/1000)^0.77))*MAX(inputs!$I$14:$I$16))/F272))*(inputs!E$75*3.4/inputs!$E$73)</f>
        <v>0.50310927374428094</v>
      </c>
      <c r="T272" s="63">
        <f>IF((((inputs!$P$13/(V272/MAX(K272:S272)))^(1/inputs!$O$13))-1)/inputs!$N$13&lt;0, 0, IF((((inputs!$P$13/(V272/MAX(K272:S272)))^(1/inputs!$O$13))-1)/inputs!$N$13&lt;inputs!$I$17, (((inputs!$P$13/(V272/MAX(K272:S272)))^(1/inputs!$O$13))-1)/inputs!$N$13, inputs!$I$17))</f>
        <v>1000</v>
      </c>
      <c r="U272" s="63">
        <f>IF((((inputs!$P$13/(X272/MAX(K272:S272)))^(1/inputs!$O$13))-1)/inputs!$N$13&lt;0, 0, IF((((inputs!$P$13/(X272/MAX(K272:S272)))^(1/inputs!$O$13))-1)/inputs!$N$13&lt;inputs!$I$17, (((inputs!$P$13/(X272/MAX(K272:S272)))^(1/inputs!$O$13))-1)/inputs!$N$13, inputs!$I$17))</f>
        <v>79.808265113432768</v>
      </c>
      <c r="V272" s="21">
        <f>inputs!$E$78*(F272/inputs!$F$78)^(inputs!$E$84-1)</f>
        <v>5.3806858710510753E-2</v>
      </c>
      <c r="W272" s="21">
        <f>inputs!$E$85*(F272/inputs!$F$85)^(inputs!$E$84-1)</f>
        <v>2.4847016143186225</v>
      </c>
      <c r="X272" s="21">
        <f>inputs!$E$80*(F272/inputs!$F$80)^(inputs!$E$84-1)</f>
        <v>9.278316154734096</v>
      </c>
      <c r="Y272" s="21">
        <f>inputs!$E$82*(F272/inputs!$F$82)^(inputs!$E$84-1)</f>
        <v>4.2762292975195386</v>
      </c>
      <c r="Z272" s="63">
        <f t="shared" si="28"/>
        <v>5142.9246411951162</v>
      </c>
      <c r="AA272" s="63">
        <f t="shared" si="29"/>
        <v>111.3713686717573</v>
      </c>
    </row>
    <row r="273" spans="1:476" x14ac:dyDescent="0.25">
      <c r="A273" s="103" t="s">
        <v>313</v>
      </c>
      <c r="B273" s="20" t="s">
        <v>314</v>
      </c>
      <c r="C273" s="20" t="s">
        <v>73</v>
      </c>
      <c r="D273" s="104" t="s">
        <v>141</v>
      </c>
      <c r="E273" s="15">
        <v>145</v>
      </c>
      <c r="F273" s="15">
        <v>6</v>
      </c>
      <c r="G273" s="20" t="s">
        <v>152</v>
      </c>
      <c r="H273" s="20">
        <v>0.77</v>
      </c>
      <c r="I273" s="68">
        <f>MAX('Max rate concentrations'!$G$3:$G$368)</f>
        <v>45</v>
      </c>
      <c r="J273" s="68">
        <f>MAX('Max rate concentrations'!Z:Z)</f>
        <v>21</v>
      </c>
      <c r="K273" s="69">
        <f t="shared" si="26"/>
        <v>59.517552303575066</v>
      </c>
      <c r="L273" s="69">
        <f t="shared" si="27"/>
        <v>27.774857741668367</v>
      </c>
      <c r="M273" s="69">
        <f>IF((((1.18*F273^0.874)-(0.301*F273^0.751)/(1-H273)*H273)*(MAX('Max rate concentrations'!$P$3:$P$368)))/F273&gt;0, (((1.18*F273^0.874)-(0.301*F273^0.751)/(1-H273)*H273)*(MAX('Max rate concentrations'!$P$3:$P$368)))/F273, 0)</f>
        <v>0.25823301440891339</v>
      </c>
      <c r="N273" s="69">
        <f>IF((((1.18*F273^0.874)-(0.301*F273^0.751)/(1-H273)*H273)*(MAX('Max rate concentrations'!$Q$3:$Q$368)))/F273&gt;0, (((1.18*F273^0.874)-(0.301*F273^0.751)/(1-H273)*H273)*(MAX('Max rate concentrations'!$Q$3:$Q$368)))/F273, 0)</f>
        <v>0.98336519416416202</v>
      </c>
      <c r="O273" s="69">
        <f>((MAX('Max rate concentrations'!$F$3:$F$368))*0.62*6.01*8*(10*F273^0.667)*0.079*0.1/F273)*inputs!$E$80/(10^(0.84+0.62*LOG10(inputs!$E$80)))</f>
        <v>80.84051273688398</v>
      </c>
      <c r="P273" s="69">
        <f>((MAX('Max rate concentrations'!Y:Y))*0.62*6.01*8*(10*F273^0.667)*0.079*0.1/F273)*inputs!$E$80/(10^(0.84+0.62*LOG10(inputs!$E$80)))</f>
        <v>26.946837578961336</v>
      </c>
      <c r="Q273" s="69">
        <f>(inputs!$C$18*11.2*(10*F273^0.667)*0.5/F273)*inputs!$E$80/(10^(0.84+0.62*LOG10(inputs!$E$80)))</f>
        <v>14.239675028011197</v>
      </c>
      <c r="R273" s="59">
        <f>(60*284*((F273/1000)^0.77)*3*24*(MAX('Max rate concentrations'!$R$3:$R$368))/F273)*(inputs!$E$73*3.4/inputs!$E$75)</f>
        <v>9.1224600010715653E-2</v>
      </c>
      <c r="S273" s="59">
        <f>(IF(inputs!$C$17="aerial",((0.025*0.112*inputs!$C$18/3.3)*(3*60*284*((F273/1000)^0.77))*MAX(inputs!$I$14:$I$16))/F273,((0.0083*0.112*inputs!$C$18/1)*(3*60*284*((F273/1000)^0.77))*MAX(inputs!$I$14:$I$16))/F273))*(inputs!E$75*3.4/inputs!$E$73)</f>
        <v>0.50310927374428094</v>
      </c>
      <c r="T273" s="63">
        <f>IF((((inputs!$P$13/(V273/MAX(K273:S273)))^(1/inputs!$O$13))-1)/inputs!$N$13&lt;0, 0, IF((((inputs!$P$13/(V273/MAX(K273:S273)))^(1/inputs!$O$13))-1)/inputs!$N$13&lt;inputs!$I$17, (((inputs!$P$13/(V273/MAX(K273:S273)))^(1/inputs!$O$13))-1)/inputs!$N$13, inputs!$I$17))</f>
        <v>1000</v>
      </c>
      <c r="U273" s="63">
        <f>IF((((inputs!$P$13/(X273/MAX(K273:S273)))^(1/inputs!$O$13))-1)/inputs!$N$13&lt;0, 0, IF((((inputs!$P$13/(X273/MAX(K273:S273)))^(1/inputs!$O$13))-1)/inputs!$N$13&lt;inputs!$I$17, (((inputs!$P$13/(X273/MAX(K273:S273)))^(1/inputs!$O$13))-1)/inputs!$N$13, inputs!$I$17))</f>
        <v>26.209039789781837</v>
      </c>
      <c r="V273" s="21">
        <f>inputs!$E$78*(F273/inputs!$F$78)^(inputs!$E$84-1)</f>
        <v>5.3806858710510753E-2</v>
      </c>
      <c r="W273" s="21">
        <f>inputs!$E$85*(F273/inputs!$F$85)^(inputs!$E$84-1)</f>
        <v>2.4847016143186225</v>
      </c>
      <c r="X273" s="21">
        <f>inputs!$E$80*(F273/inputs!$F$80)^(inputs!$E$84-1)</f>
        <v>9.278316154734096</v>
      </c>
      <c r="Y273" s="21">
        <f>inputs!$E$82*(F273/inputs!$F$82)^(inputs!$E$84-1)</f>
        <v>4.2762292975195386</v>
      </c>
      <c r="Z273" s="63">
        <f t="shared" si="28"/>
        <v>1502.4202243773136</v>
      </c>
      <c r="AA273" s="63">
        <f t="shared" si="29"/>
        <v>32.535300122567357</v>
      </c>
    </row>
    <row r="274" spans="1:476" x14ac:dyDescent="0.25">
      <c r="A274" s="103" t="s">
        <v>313</v>
      </c>
      <c r="B274" s="20" t="s">
        <v>314</v>
      </c>
      <c r="C274" s="20" t="s">
        <v>73</v>
      </c>
      <c r="D274" s="104" t="s">
        <v>141</v>
      </c>
      <c r="E274" s="15">
        <v>145</v>
      </c>
      <c r="F274" s="15">
        <v>6</v>
      </c>
      <c r="G274" s="20" t="s">
        <v>154</v>
      </c>
      <c r="H274" s="20">
        <v>9.2999999999999999E-2</v>
      </c>
      <c r="I274" s="68">
        <f>MAX('Max rate concentrations'!$G$3:$G$368)</f>
        <v>45</v>
      </c>
      <c r="J274" s="68">
        <f>MAX('Max rate concentrations'!Z:Z)</f>
        <v>21</v>
      </c>
      <c r="K274" s="69">
        <f t="shared" si="26"/>
        <v>15.092653836628735</v>
      </c>
      <c r="L274" s="69">
        <f t="shared" si="27"/>
        <v>7.0432384570934099</v>
      </c>
      <c r="M274" s="69">
        <f>IF((((1.18*F274^0.874)-(0.301*F274^0.751)/(1-H274)*H274)*(MAX('Max rate concentrations'!$P$3:$P$368)))/F274&gt;0, (((1.18*F274^0.874)-(0.301*F274^0.751)/(1-H274)*H274)*(MAX('Max rate concentrations'!$P$3:$P$368)))/F274, 0)</f>
        <v>0.80276422731406949</v>
      </c>
      <c r="N274" s="69">
        <f>IF((((1.18*F274^0.874)-(0.301*F274^0.751)/(1-H274)*H274)*(MAX('Max rate concentrations'!$Q$3:$Q$368)))/F274&gt;0, (((1.18*F274^0.874)-(0.301*F274^0.751)/(1-H274)*H274)*(MAX('Max rate concentrations'!$Q$3:$Q$368)))/F274, 0)</f>
        <v>3.0569693114866703</v>
      </c>
      <c r="O274" s="69">
        <f>((MAX('Max rate concentrations'!$F$3:$F$368))*0.62*6.01*8*(10*F274^0.667)*0.079*0.1/F274)*inputs!$E$80/(10^(0.84+0.62*LOG10(inputs!$E$80)))</f>
        <v>80.84051273688398</v>
      </c>
      <c r="P274" s="69">
        <f>((MAX('Max rate concentrations'!Y:Y))*0.62*6.01*8*(10*F274^0.667)*0.079*0.1/F274)*inputs!$E$80/(10^(0.84+0.62*LOG10(inputs!$E$80)))</f>
        <v>26.946837578961336</v>
      </c>
      <c r="Q274" s="69">
        <f>(inputs!$C$18*11.2*(10*F274^0.667)*0.5/F274)*inputs!$E$80/(10^(0.84+0.62*LOG10(inputs!$E$80)))</f>
        <v>14.239675028011197</v>
      </c>
      <c r="R274" s="59">
        <f>(60*284*((F274/1000)^0.77)*3*24*(MAX('Max rate concentrations'!$R$3:$R$368))/F274)*(inputs!$E$73*3.4/inputs!$E$75)</f>
        <v>9.1224600010715653E-2</v>
      </c>
      <c r="S274" s="59">
        <f>(IF(inputs!$C$17="aerial",((0.025*0.112*inputs!$C$18/3.3)*(3*60*284*((F274/1000)^0.77))*MAX(inputs!$I$14:$I$16))/F274,((0.0083*0.112*inputs!$C$18/1)*(3*60*284*((F274/1000)^0.77))*MAX(inputs!$I$14:$I$16))/F274))*(inputs!E$75*3.4/inputs!$E$73)</f>
        <v>0.50310927374428094</v>
      </c>
      <c r="T274" s="63">
        <f>IF((((inputs!$P$13/(V274/MAX(K274:S274)))^(1/inputs!$O$13))-1)/inputs!$N$13&lt;0, 0, IF((((inputs!$P$13/(V274/MAX(K274:S274)))^(1/inputs!$O$13))-1)/inputs!$N$13&lt;inputs!$I$17, (((inputs!$P$13/(V274/MAX(K274:S274)))^(1/inputs!$O$13))-1)/inputs!$N$13, inputs!$I$17))</f>
        <v>1000</v>
      </c>
      <c r="U274" s="63">
        <f>IF((((inputs!$P$13/(X274/MAX(K274:S274)))^(1/inputs!$O$13))-1)/inputs!$N$13&lt;0, 0, IF((((inputs!$P$13/(X274/MAX(K274:S274)))^(1/inputs!$O$13))-1)/inputs!$N$13&lt;inputs!$I$17, (((inputs!$P$13/(X274/MAX(K274:S274)))^(1/inputs!$O$13))-1)/inputs!$N$13, inputs!$I$17))</f>
        <v>26.209039789781837</v>
      </c>
      <c r="V274" s="21">
        <f>inputs!$E$78*(F274/inputs!$F$78)^(inputs!$E$84-1)</f>
        <v>5.3806858710510753E-2</v>
      </c>
      <c r="W274" s="21">
        <f>inputs!$E$85*(F274/inputs!$F$85)^(inputs!$E$84-1)</f>
        <v>2.4847016143186225</v>
      </c>
      <c r="X274" s="21">
        <f>inputs!$E$80*(F274/inputs!$F$80)^(inputs!$E$84-1)</f>
        <v>9.278316154734096</v>
      </c>
      <c r="Y274" s="21">
        <f>inputs!$E$82*(F274/inputs!$F$82)^(inputs!$E$84-1)</f>
        <v>4.2762292975195386</v>
      </c>
      <c r="Z274" s="63">
        <f t="shared" si="28"/>
        <v>1502.4202243773136</v>
      </c>
      <c r="AA274" s="63">
        <f t="shared" si="29"/>
        <v>32.535300122567357</v>
      </c>
    </row>
    <row r="275" spans="1:476" x14ac:dyDescent="0.25">
      <c r="A275" s="103" t="s">
        <v>301</v>
      </c>
      <c r="B275" s="20" t="s">
        <v>302</v>
      </c>
      <c r="C275" s="20" t="s">
        <v>73</v>
      </c>
      <c r="D275" s="104" t="s">
        <v>141</v>
      </c>
      <c r="E275" s="15">
        <v>74</v>
      </c>
      <c r="F275" s="15">
        <v>24</v>
      </c>
      <c r="G275" s="20" t="s">
        <v>142</v>
      </c>
      <c r="H275" s="20">
        <v>0.69</v>
      </c>
      <c r="I275" s="68">
        <f>MAX('Max rate concentrations'!$H$3:$H$368)</f>
        <v>282</v>
      </c>
      <c r="J275" s="68">
        <f>MAX('Max rate concentrations'!AA:AA)</f>
        <v>195</v>
      </c>
      <c r="K275" s="69">
        <f t="shared" si="26"/>
        <v>224.77023534205242</v>
      </c>
      <c r="L275" s="69">
        <f t="shared" si="27"/>
        <v>155.42622656631283</v>
      </c>
      <c r="M275" s="69">
        <f>IF((((1.18*F275^0.874)-(0.301*F275^0.751)/(1-H275)*H275)*(MAX('Max rate concentrations'!$P$3:$P$368)))/F275&gt;0, (((1.18*F275^0.874)-(0.301*F275^0.751)/(1-H275)*H275)*(MAX('Max rate concentrations'!$P$3:$P$368)))/F275, 0)</f>
        <v>0.42410358434413947</v>
      </c>
      <c r="N275" s="69">
        <f>IF((((1.18*F275^0.874)-(0.301*F275^0.751)/(1-H275)*H275)*(MAX('Max rate concentrations'!$Q$3:$Q$368)))/F275&gt;0, (((1.18*F275^0.874)-(0.301*F275^0.751)/(1-H275)*H275)*(MAX('Max rate concentrations'!$Q$3:$Q$368)))/F275, 0)</f>
        <v>1.6150092369827389</v>
      </c>
      <c r="O275" s="69">
        <f>((MAX('Max rate concentrations'!$F$3:$F$368))*0.62*6.01*8*(10*F275^0.667)*0.079*0.1/F275)*inputs!$E$80/(10^(0.84+0.62*LOG10(inputs!$E$80)))</f>
        <v>50.949870241074905</v>
      </c>
      <c r="P275" s="69">
        <f>((MAX('Max rate concentrations'!Y:Y))*0.62*6.01*8*(10*F275^0.667)*0.079*0.1/F275)*inputs!$E$80/(10^(0.84+0.62*LOG10(inputs!$E$80)))</f>
        <v>16.983290080358302</v>
      </c>
      <c r="Q275" s="69">
        <f>(inputs!$C$18*11.2*(10*F275^0.667)*0.5/F275)*inputs!$E$80/(10^(0.84+0.62*LOG10(inputs!$E$80)))</f>
        <v>8.9745793339238293</v>
      </c>
      <c r="R275" s="59">
        <f>(60*284*((F275/1000)^0.77)*3*24*(MAX('Max rate concentrations'!$R$3:$R$368))/F275)*(inputs!$E$73*3.4/inputs!$E$75)</f>
        <v>6.6319030659559311E-2</v>
      </c>
      <c r="S275" s="59">
        <f>(IF(inputs!$C$17="aerial",((0.025*0.112*inputs!$C$18/3.3)*(3*60*284*((F275/1000)^0.77))*MAX(inputs!$I$14:$I$16))/F275,((0.0083*0.112*inputs!$C$18/1)*(3*60*284*((F275/1000)^0.77))*MAX(inputs!$I$14:$I$16))/F275))*(inputs!E$75*3.4/inputs!$E$73)</f>
        <v>0.36575352861658261</v>
      </c>
      <c r="T275" s="63">
        <f>IF((((inputs!$P$13/(V275/MAX(K275:S275)))^(1/inputs!$O$13))-1)/inputs!$N$13&lt;0, 0, IF((((inputs!$P$13/(V275/MAX(K275:S275)))^(1/inputs!$O$13))-1)/inputs!$N$13&lt;inputs!$I$17, (((inputs!$P$13/(V275/MAX(K275:S275)))^(1/inputs!$O$13))-1)/inputs!$N$13, inputs!$I$17))</f>
        <v>1000</v>
      </c>
      <c r="U275" s="63">
        <f>IF((((inputs!$P$13/(X275/MAX(K275:S275)))^(1/inputs!$O$13))-1)/inputs!$N$13&lt;0, 0, IF((((inputs!$P$13/(X275/MAX(K275:S275)))^(1/inputs!$O$13))-1)/inputs!$N$13&lt;inputs!$I$17, (((inputs!$P$13/(X275/MAX(K275:S275)))^(1/inputs!$O$13))-1)/inputs!$N$13, inputs!$I$17))</f>
        <v>103.59339380202265</v>
      </c>
      <c r="V275" s="21">
        <f>inputs!$E$78*(F275/inputs!$F$78)^(inputs!$E$84-1)</f>
        <v>3.2216283734138068E-2</v>
      </c>
      <c r="W275" s="21">
        <f>inputs!$E$85*(F275/inputs!$F$85)^(inputs!$E$84-1)</f>
        <v>1.4876886352394121</v>
      </c>
      <c r="X275" s="21">
        <f>inputs!$E$80*(F275/inputs!$F$80)^(inputs!$E$84-1)</f>
        <v>5.5552930050079308</v>
      </c>
      <c r="Y275" s="21">
        <f>inputs!$E$82*(F275/inputs!$F$82)^(inputs!$E$84-1)</f>
        <v>2.5603467599236045</v>
      </c>
      <c r="Z275" s="63">
        <f t="shared" si="28"/>
        <v>6976.9138239825616</v>
      </c>
      <c r="AA275" s="63">
        <f t="shared" si="29"/>
        <v>151.08688069387611</v>
      </c>
    </row>
    <row r="276" spans="1:476" x14ac:dyDescent="0.25">
      <c r="A276" s="103" t="s">
        <v>301</v>
      </c>
      <c r="B276" s="20" t="s">
        <v>302</v>
      </c>
      <c r="C276" s="20" t="s">
        <v>73</v>
      </c>
      <c r="D276" s="104" t="s">
        <v>141</v>
      </c>
      <c r="E276" s="15">
        <v>74</v>
      </c>
      <c r="F276" s="15">
        <v>24</v>
      </c>
      <c r="G276" s="20" t="s">
        <v>153</v>
      </c>
      <c r="H276" s="20">
        <v>0.7</v>
      </c>
      <c r="I276" s="68">
        <f>MAX('Max rate concentrations'!$E$3:$E$368)</f>
        <v>330</v>
      </c>
      <c r="J276" s="68">
        <f>MAX('Max rate concentrations'!X:X)</f>
        <v>108</v>
      </c>
      <c r="K276" s="69">
        <f t="shared" si="26"/>
        <v>271.79663209801373</v>
      </c>
      <c r="L276" s="69">
        <f t="shared" si="27"/>
        <v>88.95162505025904</v>
      </c>
      <c r="M276" s="69">
        <f>IF((((1.18*F276^0.874)-(0.301*F276^0.751)/(1-H276)*H276)*(MAX('Max rate concentrations'!$P$3:$P$368)))/F276&gt;0, (((1.18*F276^0.874)-(0.301*F276^0.751)/(1-H276)*H276)*(MAX('Max rate concentrations'!$P$3:$P$368)))/F276, 0)</f>
        <v>0.41132821846695555</v>
      </c>
      <c r="N276" s="69">
        <f>IF((((1.18*F276^0.874)-(0.301*F276^0.751)/(1-H276)*H276)*(MAX('Max rate concentrations'!$Q$3:$Q$368)))/F276&gt;0, (((1.18*F276^0.874)-(0.301*F276^0.751)/(1-H276)*H276)*(MAX('Max rate concentrations'!$Q$3:$Q$368)))/F276, 0)</f>
        <v>1.5663599572804854</v>
      </c>
      <c r="O276" s="69">
        <f>((MAX('Max rate concentrations'!$F$3:$F$368))*0.62*6.01*8*(10*F276^0.667)*0.079*0.1/F276)*inputs!$E$80/(10^(0.84+0.62*LOG10(inputs!$E$80)))</f>
        <v>50.949870241074905</v>
      </c>
      <c r="P276" s="69">
        <f>((MAX('Max rate concentrations'!Y:Y))*0.62*6.01*8*(10*F276^0.667)*0.079*0.1/F276)*inputs!$E$80/(10^(0.84+0.62*LOG10(inputs!$E$80)))</f>
        <v>16.983290080358302</v>
      </c>
      <c r="Q276" s="69">
        <f>(inputs!$C$18*11.2*(10*F276^0.667)*0.5/F276)*inputs!$E$80/(10^(0.84+0.62*LOG10(inputs!$E$80)))</f>
        <v>8.9745793339238293</v>
      </c>
      <c r="R276" s="59">
        <f>(60*284*((F276/1000)^0.77)*3*24*(MAX('Max rate concentrations'!$R$3:$R$368))/F276)*(inputs!$E$73*3.4/inputs!$E$75)</f>
        <v>6.6319030659559311E-2</v>
      </c>
      <c r="S276" s="59">
        <f>(IF(inputs!$C$17="aerial",((0.025*0.112*inputs!$C$18/3.3)*(3*60*284*((F276/1000)^0.77))*MAX(inputs!$I$14:$I$16))/F276,((0.0083*0.112*inputs!$C$18/1)*(3*60*284*((F276/1000)^0.77))*MAX(inputs!$I$14:$I$16))/F276))*(inputs!E$75*3.4/inputs!$E$73)</f>
        <v>0.36575352861658261</v>
      </c>
      <c r="T276" s="63">
        <f>IF((((inputs!$P$13/(V276/MAX(K276:S276)))^(1/inputs!$O$13))-1)/inputs!$N$13&lt;0, 0, IF((((inputs!$P$13/(V276/MAX(K276:S276)))^(1/inputs!$O$13))-1)/inputs!$N$13&lt;inputs!$I$17, (((inputs!$P$13/(V276/MAX(K276:S276)))^(1/inputs!$O$13))-1)/inputs!$N$13, inputs!$I$17))</f>
        <v>1000</v>
      </c>
      <c r="U276" s="63">
        <f>IF((((inputs!$P$13/(X276/MAX(K276:S276)))^(1/inputs!$O$13))-1)/inputs!$N$13&lt;0, 0, IF((((inputs!$P$13/(X276/MAX(K276:S276)))^(1/inputs!$O$13))-1)/inputs!$N$13&lt;inputs!$I$17, (((inputs!$P$13/(X276/MAX(K276:S276)))^(1/inputs!$O$13))-1)/inputs!$N$13, inputs!$I$17))</f>
        <v>121.66375012702693</v>
      </c>
      <c r="V276" s="21">
        <f>inputs!$E$78*(F276/inputs!$F$78)^(inputs!$E$84-1)</f>
        <v>3.2216283734138068E-2</v>
      </c>
      <c r="W276" s="21">
        <f>inputs!$E$85*(F276/inputs!$F$85)^(inputs!$E$84-1)</f>
        <v>1.4876886352394121</v>
      </c>
      <c r="X276" s="21">
        <f>inputs!$E$80*(F276/inputs!$F$80)^(inputs!$E$84-1)</f>
        <v>5.5552930050079308</v>
      </c>
      <c r="Y276" s="21">
        <f>inputs!$E$82*(F276/inputs!$F$82)^(inputs!$E$84-1)</f>
        <v>2.5603467599236045</v>
      </c>
      <c r="Z276" s="63">
        <f t="shared" si="28"/>
        <v>8436.6227446030261</v>
      </c>
      <c r="AA276" s="63">
        <f t="shared" si="29"/>
        <v>182.69725644188563</v>
      </c>
    </row>
    <row r="277" spans="1:476" x14ac:dyDescent="0.25">
      <c r="A277" s="103" t="s">
        <v>226</v>
      </c>
      <c r="B277" s="20" t="s">
        <v>227</v>
      </c>
      <c r="C277" s="20" t="s">
        <v>73</v>
      </c>
      <c r="D277" s="104" t="s">
        <v>141</v>
      </c>
      <c r="E277" s="15">
        <v>4237</v>
      </c>
      <c r="F277" s="15">
        <v>6.9</v>
      </c>
      <c r="G277" s="20" t="s">
        <v>142</v>
      </c>
      <c r="H277" s="20">
        <v>0.69</v>
      </c>
      <c r="I277" s="68">
        <f>MAX('Max rate concentrations'!$H$3:$H$368)</f>
        <v>282</v>
      </c>
      <c r="J277" s="68">
        <f>MAX('Max rate concentrations'!AA:AA)</f>
        <v>195</v>
      </c>
      <c r="K277" s="69">
        <f t="shared" si="26"/>
        <v>270.98367169130768</v>
      </c>
      <c r="L277" s="69">
        <f t="shared" si="27"/>
        <v>187.38232616952126</v>
      </c>
      <c r="M277" s="69">
        <f>IF((((1.18*F277^0.874)-(0.301*F277^0.751)/(1-H277)*H277)*(MAX('Max rate concentrations'!$P$3:$P$368)))/F277&gt;0, (((1.18*F277^0.874)-(0.301*F277^0.751)/(1-H277)*H277)*(MAX('Max rate concentrations'!$P$3:$P$368)))/F277, 0)</f>
        <v>0.44495830230795103</v>
      </c>
      <c r="N277" s="69">
        <f>IF((((1.18*F277^0.874)-(0.301*F277^0.751)/(1-H277)*H277)*(MAX('Max rate concentrations'!$Q$3:$Q$368)))/F277&gt;0, (((1.18*F277^0.874)-(0.301*F277^0.751)/(1-H277)*H277)*(MAX('Max rate concentrations'!$Q$3:$Q$368)))/F277, 0)</f>
        <v>1.6944251235480723</v>
      </c>
      <c r="O277" s="69">
        <f>((MAX('Max rate concentrations'!$F$3:$F$368))*0.62*6.01*8*(10*F277^0.667)*0.079*0.1/F277)*inputs!$E$80/(10^(0.84+0.62*LOG10(inputs!$E$80)))</f>
        <v>77.164345795217102</v>
      </c>
      <c r="P277" s="69">
        <f>((MAX('Max rate concentrations'!Y:Y))*0.62*6.01*8*(10*F277^0.667)*0.079*0.1/F277)*inputs!$E$80/(10^(0.84+0.62*LOG10(inputs!$E$80)))</f>
        <v>25.721448598405694</v>
      </c>
      <c r="Q277" s="69">
        <f>(inputs!$C$18*11.2*(10*F277^0.667)*0.5/F277)*inputs!$E$80/(10^(0.84+0.62*LOG10(inputs!$E$80)))</f>
        <v>13.592135560165012</v>
      </c>
      <c r="R277" s="59">
        <f>(60*284*((F277/1000)^0.77)*3*24*(MAX('Max rate concentrations'!$R$3:$R$368))/F277)*(inputs!$E$73*3.4/inputs!$E$75)</f>
        <v>8.8338793703693866E-2</v>
      </c>
      <c r="S277" s="59">
        <f>(IF(inputs!$C$17="aerial",((0.025*0.112*inputs!$C$18/3.3)*(3*60*284*((F277/1000)^0.77))*MAX(inputs!$I$14:$I$16))/F277,((0.0083*0.112*inputs!$C$18/1)*(3*60*284*((F277/1000)^0.77))*MAX(inputs!$I$14:$I$16))/F277))*(inputs!E$75*3.4/inputs!$E$73)</f>
        <v>0.48719387466199543</v>
      </c>
      <c r="T277" s="63">
        <f>IF((((inputs!$P$13/(V277/MAX(K277:S277)))^(1/inputs!$O$13))-1)/inputs!$N$13&lt;0, 0, IF((((inputs!$P$13/(V277/MAX(K277:S277)))^(1/inputs!$O$13))-1)/inputs!$N$13&lt;inputs!$I$17, (((inputs!$P$13/(V277/MAX(K277:S277)))^(1/inputs!$O$13))-1)/inputs!$N$13, inputs!$I$17))</f>
        <v>1000</v>
      </c>
      <c r="U277" s="63">
        <f>IF((((inputs!$P$13/(X277/MAX(K277:S277)))^(1/inputs!$O$13))-1)/inputs!$N$13&lt;0, 0, IF((((inputs!$P$13/(X277/MAX(K277:S277)))^(1/inputs!$O$13))-1)/inputs!$N$13&lt;inputs!$I$17, (((inputs!$P$13/(X277/MAX(K277:S277)))^(1/inputs!$O$13))-1)/inputs!$N$13, inputs!$I$17))</f>
        <v>81.949152946275632</v>
      </c>
      <c r="V277" s="21">
        <f>inputs!$E$78*(F277/inputs!$F$78)^(inputs!$E$84-1)</f>
        <v>5.1095121638162447E-2</v>
      </c>
      <c r="W277" s="21">
        <f>inputs!$E$85*(F277/inputs!$F$85)^(inputs!$E$84-1)</f>
        <v>2.3594785917756753</v>
      </c>
      <c r="X277" s="21">
        <f>inputs!$E$80*(F277/inputs!$F$80)^(inputs!$E$84-1)</f>
        <v>8.8107111971370138</v>
      </c>
      <c r="Y277" s="21">
        <f>inputs!$E$82*(F277/inputs!$F$82)^(inputs!$E$84-1)</f>
        <v>4.060717561769752</v>
      </c>
      <c r="Z277" s="63">
        <f t="shared" si="28"/>
        <v>5303.5135841405381</v>
      </c>
      <c r="AA277" s="63">
        <f t="shared" si="29"/>
        <v>114.84896393460099</v>
      </c>
    </row>
    <row r="278" spans="1:476" ht="26.4" x14ac:dyDescent="0.25">
      <c r="A278" s="103" t="s">
        <v>165</v>
      </c>
      <c r="B278" s="20" t="s">
        <v>166</v>
      </c>
      <c r="C278" s="20" t="s">
        <v>73</v>
      </c>
      <c r="D278" s="104" t="s">
        <v>141</v>
      </c>
      <c r="E278" s="15">
        <v>133</v>
      </c>
      <c r="F278" s="15">
        <v>13.4</v>
      </c>
      <c r="G278" s="20" t="s">
        <v>142</v>
      </c>
      <c r="H278" s="20">
        <v>0.69</v>
      </c>
      <c r="I278" s="68">
        <f>MAX('Max rate concentrations'!$H$3:$H$368)</f>
        <v>282</v>
      </c>
      <c r="J278" s="68">
        <f>MAX('Max rate concentrations'!AA:AA)</f>
        <v>195</v>
      </c>
      <c r="K278" s="69">
        <f t="shared" si="26"/>
        <v>245.30407727198505</v>
      </c>
      <c r="L278" s="69">
        <f t="shared" si="27"/>
        <v>169.62515981573432</v>
      </c>
      <c r="M278" s="69">
        <f>IF((((1.18*F278^0.874)-(0.301*F278^0.751)/(1-H278)*H278)*(MAX('Max rate concentrations'!$P$3:$P$368)))/F278&gt;0, (((1.18*F278^0.874)-(0.301*F278^0.751)/(1-H278)*H278)*(MAX('Max rate concentrations'!$P$3:$P$368)))/F278, 0)</f>
        <v>0.4352682432918884</v>
      </c>
      <c r="N278" s="69">
        <f>IF((((1.18*F278^0.874)-(0.301*F278^0.751)/(1-H278)*H278)*(MAX('Max rate concentrations'!$Q$3:$Q$368)))/F278&gt;0, (((1.18*F278^0.874)-(0.301*F278^0.751)/(1-H278)*H278)*(MAX('Max rate concentrations'!$Q$3:$Q$368)))/F278, 0)</f>
        <v>1.6575248581517057</v>
      </c>
      <c r="O278" s="69">
        <f>((MAX('Max rate concentrations'!$F$3:$F$368))*0.62*6.01*8*(10*F278^0.667)*0.079*0.1/F278)*inputs!$E$80/(10^(0.84+0.62*LOG10(inputs!$E$80)))</f>
        <v>61.862508703263401</v>
      </c>
      <c r="P278" s="69">
        <f>((MAX('Max rate concentrations'!Y:Y))*0.62*6.01*8*(10*F278^0.667)*0.079*0.1/F278)*inputs!$E$80/(10^(0.84+0.62*LOG10(inputs!$E$80)))</f>
        <v>20.620836234421137</v>
      </c>
      <c r="Q278" s="69">
        <f>(inputs!$C$18*11.2*(10*F278^0.667)*0.5/F278)*inputs!$E$80/(10^(0.84+0.62*LOG10(inputs!$E$80)))</f>
        <v>10.896789128726892</v>
      </c>
      <c r="R278" s="59">
        <f>(60*284*((F278/1000)^0.77)*3*24*(MAX('Max rate concentrations'!$R$3:$R$368))/F278)*(inputs!$E$73*3.4/inputs!$E$75)</f>
        <v>7.5832024709030624E-2</v>
      </c>
      <c r="S278" s="59">
        <f>(IF(inputs!$C$17="aerial",((0.025*0.112*inputs!$C$18/3.3)*(3*60*284*((F278/1000)^0.77))*MAX(inputs!$I$14:$I$16))/F278,((0.0083*0.112*inputs!$C$18/1)*(3*60*284*((F278/1000)^0.77))*MAX(inputs!$I$14:$I$16))/F278))*(inputs!E$75*3.4/inputs!$E$73)</f>
        <v>0.41821827526168692</v>
      </c>
      <c r="T278" s="63">
        <f>IF((((inputs!$P$13/(V278/MAX(K278:S278)))^(1/inputs!$O$13))-1)/inputs!$N$13&lt;0, 0, IF((((inputs!$P$13/(V278/MAX(K278:S278)))^(1/inputs!$O$13))-1)/inputs!$N$13&lt;inputs!$I$17, (((inputs!$P$13/(V278/MAX(K278:S278)))^(1/inputs!$O$13))-1)/inputs!$N$13, inputs!$I$17))</f>
        <v>1000</v>
      </c>
      <c r="U278" s="63">
        <f>IF((((inputs!$P$13/(X278/MAX(K278:S278)))^(1/inputs!$O$13))-1)/inputs!$N$13&lt;0, 0, IF((((inputs!$P$13/(X278/MAX(K278:S278)))^(1/inputs!$O$13))-1)/inputs!$N$13&lt;inputs!$I$17, (((inputs!$P$13/(X278/MAX(K278:S278)))^(1/inputs!$O$13))-1)/inputs!$N$13, inputs!$I$17))</f>
        <v>92.875635055019984</v>
      </c>
      <c r="V278" s="21">
        <f>inputs!$E$78*(F278/inputs!$F$78)^(inputs!$E$84-1)</f>
        <v>3.9969142000589E-2</v>
      </c>
      <c r="W278" s="21">
        <f>inputs!$E$85*(F278/inputs!$F$85)^(inputs!$E$84-1)</f>
        <v>1.845701347965776</v>
      </c>
      <c r="X278" s="21">
        <f>inputs!$E$80*(F278/inputs!$F$80)^(inputs!$E$84-1)</f>
        <v>6.8921759196190369</v>
      </c>
      <c r="Y278" s="21">
        <f>inputs!$E$82*(F278/inputs!$F$82)^(inputs!$E$84-1)</f>
        <v>3.1764949695204945</v>
      </c>
      <c r="Z278" s="63">
        <f t="shared" si="28"/>
        <v>6137.3365800139054</v>
      </c>
      <c r="AA278" s="63">
        <f t="shared" si="29"/>
        <v>132.90561744582612</v>
      </c>
    </row>
    <row r="279" spans="1:476" ht="26.4" x14ac:dyDescent="0.25">
      <c r="A279" s="103" t="s">
        <v>165</v>
      </c>
      <c r="B279" s="20" t="s">
        <v>166</v>
      </c>
      <c r="C279" s="20" t="s">
        <v>73</v>
      </c>
      <c r="D279" s="104" t="s">
        <v>141</v>
      </c>
      <c r="E279" s="15">
        <v>133</v>
      </c>
      <c r="F279" s="15">
        <v>13.4</v>
      </c>
      <c r="G279" s="20" t="s">
        <v>154</v>
      </c>
      <c r="H279" s="20">
        <v>9.2999999999999999E-2</v>
      </c>
      <c r="I279" s="68">
        <f>MAX('Max rate concentrations'!$G$3:$G$368)</f>
        <v>45</v>
      </c>
      <c r="J279" s="68">
        <f>MAX('Max rate concentrations'!Z:Z)</f>
        <v>21</v>
      </c>
      <c r="K279" s="69">
        <f t="shared" si="26"/>
        <v>13.378966892429224</v>
      </c>
      <c r="L279" s="69">
        <f t="shared" si="27"/>
        <v>6.2435178831336371</v>
      </c>
      <c r="M279" s="69">
        <f>IF((((1.18*F279^0.874)-(0.301*F279^0.751)/(1-H279)*H279)*(MAX('Max rate concentrations'!$P$3:$P$368)))/F279&gt;0, (((1.18*F279^0.874)-(0.301*F279^0.751)/(1-H279)*H279)*(MAX('Max rate concentrations'!$P$3:$P$368)))/F279, 0)</f>
        <v>0.72693380301181199</v>
      </c>
      <c r="N279" s="69">
        <f>IF((((1.18*F279^0.874)-(0.301*F279^0.751)/(1-H279)*H279)*(MAX('Max rate concentrations'!$Q$3:$Q$368)))/F279&gt;0, (((1.18*F279^0.874)-(0.301*F279^0.751)/(1-H279)*H279)*(MAX('Max rate concentrations'!$Q$3:$Q$368)))/F279, 0)</f>
        <v>2.768202981247192</v>
      </c>
      <c r="O279" s="69">
        <f>((MAX('Max rate concentrations'!$F$3:$F$368))*0.62*6.01*8*(10*F279^0.667)*0.079*0.1/F279)*inputs!$E$80/(10^(0.84+0.62*LOG10(inputs!$E$80)))</f>
        <v>61.862508703263401</v>
      </c>
      <c r="P279" s="69">
        <f>((MAX('Max rate concentrations'!Y:Y))*0.62*6.01*8*(10*F279^0.667)*0.079*0.1/F279)*inputs!$E$80/(10^(0.84+0.62*LOG10(inputs!$E$80)))</f>
        <v>20.620836234421137</v>
      </c>
      <c r="Q279" s="69">
        <f>(inputs!$C$18*11.2*(10*F279^0.667)*0.5/F279)*inputs!$E$80/(10^(0.84+0.62*LOG10(inputs!$E$80)))</f>
        <v>10.896789128726892</v>
      </c>
      <c r="R279" s="59">
        <f>(60*284*((F279/1000)^0.77)*3*24*(MAX('Max rate concentrations'!$R$3:$R$368))/F279)*(inputs!$E$73*3.4/inputs!$E$75)</f>
        <v>7.5832024709030624E-2</v>
      </c>
      <c r="S279" s="59">
        <f>(IF(inputs!$C$17="aerial",((0.025*0.112*inputs!$C$18/3.3)*(3*60*284*((F279/1000)^0.77))*MAX(inputs!$I$14:$I$16))/F279,((0.0083*0.112*inputs!$C$18/1)*(3*60*284*((F279/1000)^0.77))*MAX(inputs!$I$14:$I$16))/F279))*(inputs!E$75*3.4/inputs!$E$73)</f>
        <v>0.41821827526168692</v>
      </c>
      <c r="T279" s="63">
        <f>IF((((inputs!$P$13/(V279/MAX(K279:S279)))^(1/inputs!$O$13))-1)/inputs!$N$13&lt;0, 0, IF((((inputs!$P$13/(V279/MAX(K279:S279)))^(1/inputs!$O$13))-1)/inputs!$N$13&lt;inputs!$I$17, (((inputs!$P$13/(V279/MAX(K279:S279)))^(1/inputs!$O$13))-1)/inputs!$N$13, inputs!$I$17))</f>
        <v>1000</v>
      </c>
      <c r="U279" s="63">
        <f>IF((((inputs!$P$13/(X279/MAX(K279:S279)))^(1/inputs!$O$13))-1)/inputs!$N$13&lt;0, 0, IF((((inputs!$P$13/(X279/MAX(K279:S279)))^(1/inputs!$O$13))-1)/inputs!$N$13&lt;inputs!$I$17, (((inputs!$P$13/(X279/MAX(K279:S279)))^(1/inputs!$O$13))-1)/inputs!$N$13, inputs!$I$17))</f>
        <v>26.973966740387045</v>
      </c>
      <c r="V279" s="21">
        <f>inputs!$E$78*(F279/inputs!$F$78)^(inputs!$E$84-1)</f>
        <v>3.9969142000589E-2</v>
      </c>
      <c r="W279" s="21">
        <f>inputs!$E$85*(F279/inputs!$F$85)^(inputs!$E$84-1)</f>
        <v>1.845701347965776</v>
      </c>
      <c r="X279" s="21">
        <f>inputs!$E$80*(F279/inputs!$F$80)^(inputs!$E$84-1)</f>
        <v>6.8921759196190369</v>
      </c>
      <c r="Y279" s="21">
        <f>inputs!$E$82*(F279/inputs!$F$82)^(inputs!$E$84-1)</f>
        <v>3.1764949695204945</v>
      </c>
      <c r="Z279" s="63">
        <f t="shared" si="28"/>
        <v>1547.7567344916179</v>
      </c>
      <c r="AA279" s="63">
        <f t="shared" si="29"/>
        <v>33.517074022536008</v>
      </c>
    </row>
    <row r="280" spans="1:476" x14ac:dyDescent="0.25">
      <c r="A280" s="103" t="s">
        <v>180</v>
      </c>
      <c r="B280" s="20" t="s">
        <v>181</v>
      </c>
      <c r="C280" s="20" t="s">
        <v>73</v>
      </c>
      <c r="D280" s="104" t="s">
        <v>141</v>
      </c>
      <c r="E280" s="15">
        <v>140</v>
      </c>
      <c r="F280" s="15">
        <v>59</v>
      </c>
      <c r="G280" s="20" t="s">
        <v>182</v>
      </c>
      <c r="H280" s="20">
        <v>0.85</v>
      </c>
      <c r="I280" s="68">
        <f>MAX('Max rate concentrations'!$M$3:$M$368)</f>
        <v>17.092910873809167</v>
      </c>
      <c r="J280" s="68">
        <f>MAX('Max rate concentrations'!AE:AE)</f>
        <v>11.81956602976166</v>
      </c>
      <c r="K280" s="69">
        <f t="shared" si="26"/>
        <v>24.602545258295031</v>
      </c>
      <c r="L280" s="69">
        <f t="shared" si="27"/>
        <v>17.01239831690614</v>
      </c>
      <c r="M280" s="69">
        <f>IF((((1.18*F280^0.874)-(0.301*F280^0.751)/(1-H280)*H280)*(MAX('Max rate concentrations'!$P$3:$P$368)))/F280&gt;0, (((1.18*F280^0.874)-(0.301*F280^0.751)/(1-H280)*H280)*(MAX('Max rate concentrations'!$P$3:$P$368)))/F280, 0)</f>
        <v>7.6612497276200675E-2</v>
      </c>
      <c r="N280" s="69">
        <f>IF((((1.18*F280^0.874)-(0.301*F280^0.751)/(1-H280)*H280)*(MAX('Max rate concentrations'!$Q$3:$Q$368)))/F280&gt;0, (((1.18*F280^0.874)-(0.301*F280^0.751)/(1-H280)*H280)*(MAX('Max rate concentrations'!$Q$3:$Q$368)))/F280, 0)</f>
        <v>0.29174450614635261</v>
      </c>
      <c r="O280" s="69">
        <f>((MAX('Max rate concentrations'!$F$3:$F$368))*0.62*6.01*8*(10*F280^0.667)*0.079*0.1/F280)*inputs!$E$80/(10^(0.84+0.62*LOG10(inputs!$E$80)))</f>
        <v>37.762410232921681</v>
      </c>
      <c r="P280" s="69">
        <f>((MAX('Max rate concentrations'!Y:Y))*0.62*6.01*8*(10*F280^0.667)*0.079*0.1/F280)*inputs!$E$80/(10^(0.84+0.62*LOG10(inputs!$E$80)))</f>
        <v>12.587470077640564</v>
      </c>
      <c r="Q280" s="69">
        <f>(inputs!$C$18*11.2*(10*F280^0.667)*0.5/F280)*inputs!$E$80/(10^(0.84+0.62*LOG10(inputs!$E$80)))</f>
        <v>6.6516704531725388</v>
      </c>
      <c r="R280" s="59">
        <f>(60*284*((F280/1000)^0.77)*3*24*(MAX('Max rate concentrations'!$R$3:$R$368))/F280)*(inputs!$E$73*3.4/inputs!$E$75)</f>
        <v>5.3925079335399029E-2</v>
      </c>
      <c r="S280" s="59">
        <f>(IF(inputs!$C$17="aerial",((0.025*0.112*inputs!$C$18/3.3)*(3*60*284*((F280/1000)^0.77))*MAX(inputs!$I$14:$I$16))/F280,((0.0083*0.112*inputs!$C$18/1)*(3*60*284*((F280/1000)^0.77))*MAX(inputs!$I$14:$I$16))/F280))*(inputs!E$75*3.4/inputs!$E$73)</f>
        <v>0.29740012560042467</v>
      </c>
      <c r="T280" s="63">
        <f>IF((((inputs!$P$13/(V280/MAX(K280:S280)))^(1/inputs!$O$13))-1)/inputs!$N$13&lt;0, 0, IF((((inputs!$P$13/(V280/MAX(K280:S280)))^(1/inputs!$O$13))-1)/inputs!$N$13&lt;inputs!$I$17, (((inputs!$P$13/(V280/MAX(K280:S280)))^(1/inputs!$O$13))-1)/inputs!$N$13, inputs!$I$17))</f>
        <v>1000</v>
      </c>
      <c r="U280" s="63">
        <f>IF((((inputs!$P$13/(X280/MAX(K280:S280)))^(1/inputs!$O$13))-1)/inputs!$N$13&lt;0, 0, IF((((inputs!$P$13/(X280/MAX(K280:S280)))^(1/inputs!$O$13))-1)/inputs!$N$13&lt;inputs!$I$17, (((inputs!$P$13/(X280/MAX(K280:S280)))^(1/inputs!$O$13))-1)/inputs!$N$13, inputs!$I$17))</f>
        <v>28.434273236184683</v>
      </c>
      <c r="V280" s="21">
        <f>inputs!$E$78*(F280/inputs!$F$78)^(inputs!$E$84-1)</f>
        <v>2.3096084332340623E-2</v>
      </c>
      <c r="W280" s="21">
        <f>inputs!$E$85*(F280/inputs!$F$85)^(inputs!$E$84-1)</f>
        <v>1.066534627746178</v>
      </c>
      <c r="X280" s="21">
        <f>inputs!$E$80*(F280/inputs!$F$80)^(inputs!$E$84-1)</f>
        <v>3.9826293061407916</v>
      </c>
      <c r="Y280" s="21">
        <f>inputs!$E$82*(F280/inputs!$F$82)^(inputs!$E$84-1)</f>
        <v>1.8355309127281232</v>
      </c>
      <c r="Z280" s="63">
        <f t="shared" si="28"/>
        <v>1635.0135239177459</v>
      </c>
      <c r="AA280" s="63">
        <f t="shared" si="29"/>
        <v>35.406642457284249</v>
      </c>
    </row>
    <row r="281" spans="1:476" x14ac:dyDescent="0.25">
      <c r="A281" s="103" t="s">
        <v>180</v>
      </c>
      <c r="B281" s="20" t="s">
        <v>181</v>
      </c>
      <c r="C281" s="20" t="s">
        <v>73</v>
      </c>
      <c r="D281" s="104" t="s">
        <v>141</v>
      </c>
      <c r="E281" s="15">
        <v>140</v>
      </c>
      <c r="F281" s="15">
        <v>59</v>
      </c>
      <c r="G281" s="20" t="s">
        <v>142</v>
      </c>
      <c r="H281" s="20">
        <v>0.69</v>
      </c>
      <c r="I281" s="68">
        <f>MAX('Max rate concentrations'!$H$3:$H$368)</f>
        <v>282</v>
      </c>
      <c r="J281" s="68">
        <f>MAX('Max rate concentrations'!AA:AA)</f>
        <v>195</v>
      </c>
      <c r="K281" s="69">
        <f t="shared" si="26"/>
        <v>196.40054328972488</v>
      </c>
      <c r="L281" s="69">
        <f t="shared" si="27"/>
        <v>135.80888631736295</v>
      </c>
      <c r="M281" s="69">
        <f>IF((((1.18*F281^0.874)-(0.301*F281^0.751)/(1-H281)*H281)*(MAX('Max rate concentrations'!$P$3:$P$368)))/F281&gt;0, (((1.18*F281^0.874)-(0.301*F281^0.751)/(1-H281)*H281)*(MAX('Max rate concentrations'!$P$3:$P$368)))/F281, 0)</f>
        <v>0.40339122191957821</v>
      </c>
      <c r="N281" s="69">
        <f>IF((((1.18*F281^0.874)-(0.301*F281^0.751)/(1-H281)*H281)*(MAX('Max rate concentrations'!$Q$3:$Q$368)))/F281&gt;0, (((1.18*F281^0.874)-(0.301*F281^0.751)/(1-H281)*H281)*(MAX('Max rate concentrations'!$Q$3:$Q$368)))/F281, 0)</f>
        <v>1.5361354479598732</v>
      </c>
      <c r="O281" s="69">
        <f>((MAX('Max rate concentrations'!$F$3:$F$368))*0.62*6.01*8*(10*F281^0.667)*0.079*0.1/F281)*inputs!$E$80/(10^(0.84+0.62*LOG10(inputs!$E$80)))</f>
        <v>37.762410232921681</v>
      </c>
      <c r="P281" s="69">
        <f>((MAX('Max rate concentrations'!Y:Y))*0.62*6.01*8*(10*F281^0.667)*0.079*0.1/F281)*inputs!$E$80/(10^(0.84+0.62*LOG10(inputs!$E$80)))</f>
        <v>12.587470077640564</v>
      </c>
      <c r="Q281" s="69">
        <f>(inputs!$C$18*11.2*(10*F281^0.667)*0.5/F281)*inputs!$E$80/(10^(0.84+0.62*LOG10(inputs!$E$80)))</f>
        <v>6.6516704531725388</v>
      </c>
      <c r="R281" s="59">
        <f>(60*284*((F281/1000)^0.77)*3*24*(MAX('Max rate concentrations'!$R$3:$R$368))/F281)*(inputs!$E$73*3.4/inputs!$E$75)</f>
        <v>5.3925079335399029E-2</v>
      </c>
      <c r="S281" s="59">
        <f>(IF(inputs!$C$17="aerial",((0.025*0.112*inputs!$C$18/3.3)*(3*60*284*((F281/1000)^0.77))*MAX(inputs!$I$14:$I$16))/F281,((0.0083*0.112*inputs!$C$18/1)*(3*60*284*((F281/1000)^0.77))*MAX(inputs!$I$14:$I$16))/F281))*(inputs!E$75*3.4/inputs!$E$73)</f>
        <v>0.29740012560042467</v>
      </c>
      <c r="T281" s="63">
        <f>IF((((inputs!$P$13/(V281/MAX(K281:S281)))^(1/inputs!$O$13))-1)/inputs!$N$13&lt;0, 0, IF((((inputs!$P$13/(V281/MAX(K281:S281)))^(1/inputs!$O$13))-1)/inputs!$N$13&lt;inputs!$I$17, (((inputs!$P$13/(V281/MAX(K281:S281)))^(1/inputs!$O$13))-1)/inputs!$N$13, inputs!$I$17))</f>
        <v>1000</v>
      </c>
      <c r="U281" s="63">
        <f>IF((((inputs!$P$13/(X281/MAX(K281:S281)))^(1/inputs!$O$13))-1)/inputs!$N$13&lt;0, 0, IF((((inputs!$P$13/(X281/MAX(K281:S281)))^(1/inputs!$O$13))-1)/inputs!$N$13&lt;inputs!$I$17, (((inputs!$P$13/(X281/MAX(K281:S281)))^(1/inputs!$O$13))-1)/inputs!$N$13, inputs!$I$17))</f>
        <v>122.47812194358148</v>
      </c>
      <c r="V281" s="21">
        <f>inputs!$E$78*(F281/inputs!$F$78)^(inputs!$E$84-1)</f>
        <v>2.3096084332340623E-2</v>
      </c>
      <c r="W281" s="21">
        <f>inputs!$E$85*(F281/inputs!$F$85)^(inputs!$E$84-1)</f>
        <v>1.066534627746178</v>
      </c>
      <c r="X281" s="21">
        <f>inputs!$E$80*(F281/inputs!$F$80)^(inputs!$E$84-1)</f>
        <v>3.9826293061407916</v>
      </c>
      <c r="Y281" s="21">
        <f>inputs!$E$82*(F281/inputs!$F$82)^(inputs!$E$84-1)</f>
        <v>1.8355309127281232</v>
      </c>
      <c r="Z281" s="63">
        <f t="shared" si="28"/>
        <v>8503.6294665200985</v>
      </c>
      <c r="AA281" s="63">
        <f t="shared" si="29"/>
        <v>184.14830440598294</v>
      </c>
    </row>
    <row r="282" spans="1:476" x14ac:dyDescent="0.25">
      <c r="A282" s="103" t="s">
        <v>180</v>
      </c>
      <c r="B282" s="20" t="s">
        <v>181</v>
      </c>
      <c r="C282" s="20" t="s">
        <v>73</v>
      </c>
      <c r="D282" s="104" t="s">
        <v>141</v>
      </c>
      <c r="E282" s="15">
        <v>140</v>
      </c>
      <c r="F282" s="15">
        <v>59</v>
      </c>
      <c r="G282" s="20" t="s">
        <v>138</v>
      </c>
      <c r="H282" s="20">
        <v>0.68</v>
      </c>
      <c r="I282" s="68">
        <f>MAX('Max rate concentrations'!$L$3:$L$368)</f>
        <v>350.52744091332482</v>
      </c>
      <c r="J282" s="68">
        <f>MAX('Max rate concentrations'!AD:AD)</f>
        <v>242.38599637623525</v>
      </c>
      <c r="K282" s="69">
        <f t="shared" si="26"/>
        <v>236.49791387780945</v>
      </c>
      <c r="L282" s="69">
        <f t="shared" si="27"/>
        <v>163.53579151125123</v>
      </c>
      <c r="M282" s="69">
        <f>IF((((1.18*F282^0.874)-(0.301*F282^0.751)/(1-H282)*H282)*(MAX('Max rate concentrations'!$P$3:$P$368)))/F282&gt;0, (((1.18*F282^0.874)-(0.301*F282^0.751)/(1-H282)*H282)*(MAX('Max rate concentrations'!$P$3:$P$368)))/F282, 0)</f>
        <v>0.41296481736811458</v>
      </c>
      <c r="N282" s="69">
        <f>IF((((1.18*F282^0.874)-(0.301*F282^0.751)/(1-H282)*H282)*(MAX('Max rate concentrations'!$Q$3:$Q$368)))/F282&gt;0, (((1.18*F282^0.874)-(0.301*F282^0.751)/(1-H282)*H282)*(MAX('Max rate concentrations'!$Q$3:$Q$368)))/F282, 0)</f>
        <v>1.5725922138333159</v>
      </c>
      <c r="O282" s="69">
        <f>((MAX('Max rate concentrations'!$F$3:$F$368))*0.62*6.01*8*(10*F282^0.667)*0.079*0.1/F282)*inputs!$E$80/(10^(0.84+0.62*LOG10(inputs!$E$80)))</f>
        <v>37.762410232921681</v>
      </c>
      <c r="P282" s="69">
        <f>((MAX('Max rate concentrations'!Y:Y))*0.62*6.01*8*(10*F282^0.667)*0.079*0.1/F282)*inputs!$E$80/(10^(0.84+0.62*LOG10(inputs!$E$80)))</f>
        <v>12.587470077640564</v>
      </c>
      <c r="Q282" s="69">
        <f>(inputs!$C$18*11.2*(10*F282^0.667)*0.5/F282)*inputs!$E$80/(10^(0.84+0.62*LOG10(inputs!$E$80)))</f>
        <v>6.6516704531725388</v>
      </c>
      <c r="R282" s="59">
        <f>(60*284*((F282/1000)^0.77)*3*24*(MAX('Max rate concentrations'!$R$3:$R$368))/F282)*(inputs!$E$73*3.4/inputs!$E$75)</f>
        <v>5.3925079335399029E-2</v>
      </c>
      <c r="S282" s="59">
        <f>(IF(inputs!$C$17="aerial",((0.025*0.112*inputs!$C$18/3.3)*(3*60*284*((F282/1000)^0.77))*MAX(inputs!$I$14:$I$16))/F282,((0.0083*0.112*inputs!$C$18/1)*(3*60*284*((F282/1000)^0.77))*MAX(inputs!$I$14:$I$16))/F282))*(inputs!E$75*3.4/inputs!$E$73)</f>
        <v>0.29740012560042467</v>
      </c>
      <c r="T282" s="63">
        <f>IF((((inputs!$P$13/(V282/MAX(K282:S282)))^(1/inputs!$O$13))-1)/inputs!$N$13&lt;0, 0, IF((((inputs!$P$13/(V282/MAX(K282:S282)))^(1/inputs!$O$13))-1)/inputs!$N$13&lt;inputs!$I$17, (((inputs!$P$13/(V282/MAX(K282:S282)))^(1/inputs!$O$13))-1)/inputs!$N$13, inputs!$I$17))</f>
        <v>1000</v>
      </c>
      <c r="U282" s="63">
        <f>IF((((inputs!$P$13/(X282/MAX(K282:S282)))^(1/inputs!$O$13))-1)/inputs!$N$13&lt;0, 0, IF((((inputs!$P$13/(X282/MAX(K282:S282)))^(1/inputs!$O$13))-1)/inputs!$N$13&lt;inputs!$I$17, (((inputs!$P$13/(X282/MAX(K282:S282)))^(1/inputs!$O$13))-1)/inputs!$N$13, inputs!$I$17))</f>
        <v>143.18043358038321</v>
      </c>
      <c r="V282" s="21">
        <f>inputs!$E$78*(F282/inputs!$F$78)^(inputs!$E$84-1)</f>
        <v>2.3096084332340623E-2</v>
      </c>
      <c r="W282" s="21">
        <f>inputs!$E$85*(F282/inputs!$F$85)^(inputs!$E$84-1)</f>
        <v>1.066534627746178</v>
      </c>
      <c r="X282" s="21">
        <f>inputs!$E$80*(F282/inputs!$F$80)^(inputs!$E$84-1)</f>
        <v>3.9826293061407916</v>
      </c>
      <c r="Y282" s="21">
        <f>inputs!$E$82*(F282/inputs!$F$82)^(inputs!$E$84-1)</f>
        <v>1.8355309127281232</v>
      </c>
      <c r="Z282" s="63">
        <f t="shared" si="28"/>
        <v>10239.740662301352</v>
      </c>
      <c r="AA282" s="63">
        <f t="shared" si="29"/>
        <v>221.74424320153722</v>
      </c>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c r="FB282" s="107"/>
      <c r="FC282" s="107"/>
      <c r="FD282" s="107"/>
      <c r="FE282" s="107"/>
      <c r="FF282" s="107"/>
      <c r="FG282" s="107"/>
      <c r="FH282" s="107"/>
      <c r="FI282" s="107"/>
      <c r="FJ282" s="107"/>
      <c r="FK282" s="107"/>
      <c r="FL282" s="107"/>
      <c r="FM282" s="107"/>
      <c r="FN282" s="107"/>
      <c r="FO282" s="107"/>
      <c r="FP282" s="107"/>
      <c r="FQ282" s="107"/>
      <c r="FR282" s="107"/>
      <c r="FS282" s="107"/>
      <c r="FT282" s="107"/>
      <c r="FU282" s="107"/>
      <c r="FV282" s="107"/>
      <c r="FW282" s="107"/>
      <c r="FX282" s="107"/>
      <c r="FY282" s="107"/>
      <c r="FZ282" s="107"/>
      <c r="GA282" s="107"/>
      <c r="GB282" s="107"/>
      <c r="GC282" s="107"/>
      <c r="GD282" s="107"/>
      <c r="GE282" s="107"/>
      <c r="GF282" s="107"/>
      <c r="GG282" s="107"/>
      <c r="GH282" s="107"/>
      <c r="GI282" s="107"/>
      <c r="GJ282" s="107"/>
      <c r="GK282" s="107"/>
      <c r="GL282" s="107"/>
      <c r="GM282" s="107"/>
      <c r="GN282" s="107"/>
      <c r="GO282" s="107"/>
      <c r="GP282" s="107"/>
      <c r="GQ282" s="107"/>
      <c r="GR282" s="107"/>
      <c r="GS282" s="107"/>
      <c r="GT282" s="107"/>
      <c r="GU282" s="107"/>
      <c r="GV282" s="107"/>
      <c r="GW282" s="107"/>
      <c r="GX282" s="107"/>
      <c r="GY282" s="107"/>
      <c r="GZ282" s="107"/>
      <c r="HA282" s="107"/>
      <c r="HB282" s="107"/>
      <c r="HC282" s="107"/>
      <c r="HD282" s="107"/>
      <c r="HE282" s="107"/>
      <c r="HF282" s="107"/>
      <c r="HG282" s="107"/>
      <c r="HH282" s="107"/>
      <c r="HI282" s="107"/>
      <c r="HJ282" s="107"/>
      <c r="HK282" s="107"/>
      <c r="HL282" s="107"/>
      <c r="HM282" s="107"/>
      <c r="HN282" s="107"/>
      <c r="HO282" s="107"/>
      <c r="HP282" s="107"/>
      <c r="HQ282" s="107"/>
      <c r="HR282" s="107"/>
      <c r="HS282" s="107"/>
      <c r="HT282" s="107"/>
      <c r="HU282" s="107"/>
      <c r="HV282" s="107"/>
      <c r="HW282" s="107"/>
      <c r="HX282" s="107"/>
      <c r="HY282" s="107"/>
      <c r="HZ282" s="107"/>
      <c r="IA282" s="107"/>
      <c r="IB282" s="107"/>
      <c r="IC282" s="107"/>
      <c r="ID282" s="107"/>
      <c r="IE282" s="107"/>
      <c r="IF282" s="107"/>
      <c r="IG282" s="107"/>
      <c r="IH282" s="107"/>
      <c r="II282" s="107"/>
      <c r="IJ282" s="107"/>
      <c r="IK282" s="107"/>
      <c r="IL282" s="107"/>
      <c r="IM282" s="107"/>
      <c r="IN282" s="107"/>
      <c r="IO282" s="107"/>
      <c r="IP282" s="107"/>
      <c r="IQ282" s="107"/>
      <c r="IR282" s="107"/>
      <c r="IS282" s="107"/>
      <c r="IT282" s="107"/>
      <c r="IU282" s="107"/>
      <c r="IV282" s="107"/>
      <c r="IW282" s="107"/>
      <c r="IX282" s="107"/>
      <c r="IY282" s="107"/>
      <c r="IZ282" s="107"/>
      <c r="JA282" s="107"/>
      <c r="JB282" s="107"/>
      <c r="JC282" s="107"/>
      <c r="JD282" s="107"/>
      <c r="JE282" s="107"/>
      <c r="JF282" s="107"/>
      <c r="JG282" s="107"/>
      <c r="JH282" s="107"/>
      <c r="JI282" s="107"/>
      <c r="JJ282" s="107"/>
      <c r="JK282" s="107"/>
      <c r="JL282" s="107"/>
      <c r="JM282" s="107"/>
      <c r="JN282" s="107"/>
      <c r="JO282" s="107"/>
      <c r="JP282" s="107"/>
      <c r="JQ282" s="107"/>
      <c r="JR282" s="107"/>
      <c r="JS282" s="107"/>
      <c r="JT282" s="107"/>
      <c r="JU282" s="107"/>
      <c r="JV282" s="107"/>
      <c r="JW282" s="107"/>
      <c r="JX282" s="107"/>
      <c r="JY282" s="107"/>
      <c r="JZ282" s="107"/>
      <c r="KA282" s="107"/>
      <c r="KB282" s="107"/>
      <c r="KC282" s="107"/>
      <c r="KD282" s="107"/>
      <c r="KE282" s="107"/>
      <c r="KF282" s="107"/>
      <c r="KG282" s="107"/>
      <c r="KH282" s="107"/>
      <c r="KI282" s="107"/>
      <c r="KJ282" s="107"/>
      <c r="KK282" s="107"/>
      <c r="KL282" s="107"/>
      <c r="KM282" s="107"/>
      <c r="KN282" s="107"/>
      <c r="KO282" s="107"/>
      <c r="KP282" s="107"/>
      <c r="KQ282" s="107"/>
      <c r="KR282" s="107"/>
      <c r="KS282" s="107"/>
      <c r="KT282" s="107"/>
      <c r="KU282" s="107"/>
      <c r="KV282" s="107"/>
      <c r="KW282" s="107"/>
      <c r="KX282" s="107"/>
      <c r="KY282" s="107"/>
      <c r="KZ282" s="107"/>
      <c r="LA282" s="107"/>
      <c r="LB282" s="107"/>
      <c r="LC282" s="107"/>
      <c r="LD282" s="107"/>
      <c r="LE282" s="107"/>
      <c r="LF282" s="107"/>
      <c r="LG282" s="107"/>
      <c r="LH282" s="107"/>
      <c r="LI282" s="107"/>
      <c r="LJ282" s="107"/>
      <c r="LK282" s="107"/>
      <c r="LL282" s="107"/>
      <c r="LM282" s="107"/>
      <c r="LN282" s="107"/>
      <c r="LO282" s="107"/>
      <c r="LP282" s="107"/>
      <c r="LQ282" s="107"/>
      <c r="LR282" s="107"/>
      <c r="LS282" s="107"/>
      <c r="LT282" s="107"/>
      <c r="LU282" s="107"/>
      <c r="LV282" s="107"/>
      <c r="LW282" s="107"/>
      <c r="LX282" s="107"/>
      <c r="LY282" s="107"/>
      <c r="LZ282" s="107"/>
      <c r="MA282" s="107"/>
      <c r="MB282" s="107"/>
      <c r="MC282" s="107"/>
      <c r="MD282" s="107"/>
      <c r="ME282" s="107"/>
      <c r="MF282" s="107"/>
      <c r="MG282" s="107"/>
      <c r="MH282" s="107"/>
      <c r="MI282" s="107"/>
      <c r="MJ282" s="107"/>
      <c r="MK282" s="107"/>
      <c r="ML282" s="107"/>
      <c r="MM282" s="107"/>
      <c r="MN282" s="107"/>
      <c r="MO282" s="107"/>
      <c r="MP282" s="107"/>
      <c r="MQ282" s="107"/>
      <c r="MR282" s="107"/>
      <c r="MS282" s="107"/>
      <c r="MT282" s="107"/>
      <c r="MU282" s="107"/>
      <c r="MV282" s="107"/>
      <c r="MW282" s="107"/>
      <c r="MX282" s="107"/>
      <c r="MY282" s="107"/>
      <c r="MZ282" s="107"/>
      <c r="NA282" s="107"/>
      <c r="NB282" s="107"/>
      <c r="NC282" s="107"/>
      <c r="ND282" s="107"/>
      <c r="NE282" s="107"/>
      <c r="NF282" s="107"/>
      <c r="NG282" s="107"/>
      <c r="NH282" s="107"/>
      <c r="NI282" s="107"/>
      <c r="NJ282" s="107"/>
      <c r="NK282" s="107"/>
      <c r="NL282" s="107"/>
      <c r="NM282" s="107"/>
      <c r="NN282" s="107"/>
      <c r="NO282" s="107"/>
      <c r="NP282" s="107"/>
      <c r="NQ282" s="107"/>
      <c r="NR282" s="107"/>
      <c r="NS282" s="107"/>
      <c r="NT282" s="107"/>
      <c r="NU282" s="107"/>
      <c r="NV282" s="107"/>
      <c r="NW282" s="107"/>
      <c r="NX282" s="107"/>
      <c r="NY282" s="107"/>
      <c r="NZ282" s="107"/>
      <c r="OA282" s="107"/>
      <c r="OB282" s="107"/>
      <c r="OC282" s="107"/>
      <c r="OD282" s="107"/>
      <c r="OE282" s="107"/>
      <c r="OF282" s="107"/>
      <c r="OG282" s="107"/>
      <c r="OH282" s="107"/>
      <c r="OI282" s="107"/>
      <c r="OJ282" s="107"/>
      <c r="OK282" s="107"/>
      <c r="OL282" s="107"/>
      <c r="OM282" s="107"/>
      <c r="ON282" s="107"/>
      <c r="OO282" s="107"/>
      <c r="OP282" s="107"/>
      <c r="OQ282" s="107"/>
      <c r="OR282" s="107"/>
      <c r="OS282" s="107"/>
      <c r="OT282" s="107"/>
      <c r="OU282" s="107"/>
      <c r="OV282" s="107"/>
      <c r="OW282" s="107"/>
      <c r="OX282" s="107"/>
      <c r="OY282" s="107"/>
      <c r="OZ282" s="107"/>
      <c r="PA282" s="107"/>
      <c r="PB282" s="107"/>
      <c r="PC282" s="107"/>
      <c r="PD282" s="107"/>
      <c r="PE282" s="107"/>
      <c r="PF282" s="107"/>
      <c r="PG282" s="107"/>
      <c r="PH282" s="107"/>
      <c r="PI282" s="107"/>
      <c r="PJ282" s="107"/>
      <c r="PK282" s="107"/>
      <c r="PL282" s="107"/>
      <c r="PM282" s="107"/>
      <c r="PN282" s="107"/>
      <c r="PO282" s="107"/>
      <c r="PP282" s="107"/>
      <c r="PQ282" s="107"/>
      <c r="PR282" s="107"/>
      <c r="PS282" s="107"/>
      <c r="PT282" s="107"/>
      <c r="PU282" s="107"/>
      <c r="PV282" s="107"/>
      <c r="PW282" s="107"/>
      <c r="PX282" s="107"/>
      <c r="PY282" s="107"/>
      <c r="PZ282" s="107"/>
      <c r="QA282" s="107"/>
      <c r="QB282" s="107"/>
      <c r="QC282" s="107"/>
      <c r="QD282" s="107"/>
      <c r="QE282" s="107"/>
      <c r="QF282" s="107"/>
      <c r="QG282" s="107"/>
      <c r="QH282" s="107"/>
      <c r="QI282" s="107"/>
      <c r="QJ282" s="107"/>
      <c r="QK282" s="107"/>
      <c r="QL282" s="107"/>
      <c r="QM282" s="107"/>
      <c r="QN282" s="107"/>
      <c r="QO282" s="107"/>
      <c r="QP282" s="107"/>
      <c r="QQ282" s="107"/>
      <c r="QR282" s="107"/>
      <c r="QS282" s="107"/>
      <c r="QT282" s="107"/>
      <c r="QU282" s="107"/>
      <c r="QV282" s="107"/>
      <c r="QW282" s="107"/>
      <c r="QX282" s="107"/>
      <c r="QY282" s="107"/>
      <c r="QZ282" s="107"/>
      <c r="RA282" s="107"/>
      <c r="RB282" s="107"/>
      <c r="RC282" s="107"/>
      <c r="RD282" s="107"/>
      <c r="RE282" s="107"/>
      <c r="RF282" s="107"/>
      <c r="RG282" s="107"/>
      <c r="RH282" s="107"/>
    </row>
    <row r="283" spans="1:476" x14ac:dyDescent="0.25">
      <c r="A283" s="103" t="s">
        <v>180</v>
      </c>
      <c r="B283" s="20" t="s">
        <v>181</v>
      </c>
      <c r="C283" s="20" t="s">
        <v>73</v>
      </c>
      <c r="D283" s="104" t="s">
        <v>141</v>
      </c>
      <c r="E283" s="15">
        <v>140</v>
      </c>
      <c r="F283" s="15">
        <v>59</v>
      </c>
      <c r="G283" s="20" t="s">
        <v>152</v>
      </c>
      <c r="H283" s="20">
        <v>0.77</v>
      </c>
      <c r="I283" s="68">
        <f>MAX('Max rate concentrations'!$G$3:$G$368)</f>
        <v>45</v>
      </c>
      <c r="J283" s="68">
        <f>MAX('Max rate concentrations'!Z:Z)</f>
        <v>21</v>
      </c>
      <c r="K283" s="69">
        <f t="shared" si="26"/>
        <v>42.241559958243336</v>
      </c>
      <c r="L283" s="69">
        <f t="shared" si="27"/>
        <v>19.712727980513556</v>
      </c>
      <c r="M283" s="69">
        <f>IF((((1.18*F283^0.874)-(0.301*F283^0.751)/(1-H283)*H283)*(MAX('Max rate concentrations'!$P$3:$P$368)))/F283&gt;0, (((1.18*F283^0.874)-(0.301*F283^0.751)/(1-H283)*H283)*(MAX('Max rate concentrations'!$P$3:$P$368)))/F283, 0)</f>
        <v>0.29683294214456368</v>
      </c>
      <c r="N283" s="69">
        <f>IF((((1.18*F283^0.874)-(0.301*F283^0.751)/(1-H283)*H283)*(MAX('Max rate concentrations'!$Q$3:$Q$368)))/F283&gt;0, (((1.18*F283^0.874)-(0.301*F283^0.751)/(1-H283)*H283)*(MAX('Max rate concentrations'!$Q$3:$Q$368)))/F283, 0)</f>
        <v>1.1303557930206811</v>
      </c>
      <c r="O283" s="69">
        <f>((MAX('Max rate concentrations'!$F$3:$F$368))*0.62*6.01*8*(10*F283^0.667)*0.079*0.1/F283)*inputs!$E$80/(10^(0.84+0.62*LOG10(inputs!$E$80)))</f>
        <v>37.762410232921681</v>
      </c>
      <c r="P283" s="69">
        <f>((MAX('Max rate concentrations'!Y:Y))*0.62*6.01*8*(10*F283^0.667)*0.079*0.1/F283)*inputs!$E$80/(10^(0.84+0.62*LOG10(inputs!$E$80)))</f>
        <v>12.587470077640564</v>
      </c>
      <c r="Q283" s="69">
        <f>(inputs!$C$18*11.2*(10*F283^0.667)*0.5/F283)*inputs!$E$80/(10^(0.84+0.62*LOG10(inputs!$E$80)))</f>
        <v>6.6516704531725388</v>
      </c>
      <c r="R283" s="59">
        <f>(60*284*((F283/1000)^0.77)*3*24*(MAX('Max rate concentrations'!$R$3:$R$368))/F283)*(inputs!$E$73*3.4/inputs!$E$75)</f>
        <v>5.3925079335399029E-2</v>
      </c>
      <c r="S283" s="59">
        <f>(IF(inputs!$C$17="aerial",((0.025*0.112*inputs!$C$18/3.3)*(3*60*284*((F283/1000)^0.77))*MAX(inputs!$I$14:$I$16))/F283,((0.0083*0.112*inputs!$C$18/1)*(3*60*284*((F283/1000)^0.77))*MAX(inputs!$I$14:$I$16))/F283))*(inputs!E$75*3.4/inputs!$E$73)</f>
        <v>0.29740012560042467</v>
      </c>
      <c r="T283" s="63">
        <f>IF((((inputs!$P$13/(V283/MAX(K283:S283)))^(1/inputs!$O$13))-1)/inputs!$N$13&lt;0, 0, IF((((inputs!$P$13/(V283/MAX(K283:S283)))^(1/inputs!$O$13))-1)/inputs!$N$13&lt;inputs!$I$17, (((inputs!$P$13/(V283/MAX(K283:S283)))^(1/inputs!$O$13))-1)/inputs!$N$13, inputs!$I$17))</f>
        <v>1000</v>
      </c>
      <c r="U283" s="63">
        <f>IF((((inputs!$P$13/(X283/MAX(K283:S283)))^(1/inputs!$O$13))-1)/inputs!$N$13&lt;0, 0, IF((((inputs!$P$13/(X283/MAX(K283:S283)))^(1/inputs!$O$13))-1)/inputs!$N$13&lt;inputs!$I$17, (((inputs!$P$13/(X283/MAX(K283:S283)))^(1/inputs!$O$13))-1)/inputs!$N$13, inputs!$I$17))</f>
        <v>31.628064557901247</v>
      </c>
      <c r="V283" s="21">
        <f>inputs!$E$78*(F283/inputs!$F$78)^(inputs!$E$84-1)</f>
        <v>2.3096084332340623E-2</v>
      </c>
      <c r="W283" s="21">
        <f>inputs!$E$85*(F283/inputs!$F$85)^(inputs!$E$84-1)</f>
        <v>1.066534627746178</v>
      </c>
      <c r="X283" s="21">
        <f>inputs!$E$80*(F283/inputs!$F$80)^(inputs!$E$84-1)</f>
        <v>3.9826293061407916</v>
      </c>
      <c r="Y283" s="21">
        <f>inputs!$E$82*(F283/inputs!$F$82)^(inputs!$E$84-1)</f>
        <v>1.8355309127281232</v>
      </c>
      <c r="Z283" s="63">
        <f t="shared" si="28"/>
        <v>1828.9489833172277</v>
      </c>
      <c r="AA283" s="63">
        <f t="shared" si="29"/>
        <v>39.606365193701244</v>
      </c>
    </row>
    <row r="284" spans="1:476" x14ac:dyDescent="0.25">
      <c r="A284" s="103" t="s">
        <v>180</v>
      </c>
      <c r="B284" s="20" t="s">
        <v>181</v>
      </c>
      <c r="C284" s="20" t="s">
        <v>73</v>
      </c>
      <c r="D284" s="104" t="s">
        <v>141</v>
      </c>
      <c r="E284" s="15">
        <v>140</v>
      </c>
      <c r="F284" s="15">
        <v>59</v>
      </c>
      <c r="G284" s="21" t="s">
        <v>456</v>
      </c>
      <c r="H284" s="20">
        <v>0.68</v>
      </c>
      <c r="I284" s="68">
        <f>MAX('Max rate concentrations'!$J$3:$J$368)</f>
        <v>686.46486205830786</v>
      </c>
      <c r="J284" s="68">
        <f>MAX('Max rate concentrations'!AB:AB)</f>
        <v>243.122971978984</v>
      </c>
      <c r="K284" s="69">
        <f t="shared" si="26"/>
        <v>463.15206422698253</v>
      </c>
      <c r="L284" s="69">
        <f t="shared" si="27"/>
        <v>164.03302274705629</v>
      </c>
      <c r="M284" s="69">
        <f>IF((((1.18*F284^0.874)-(0.301*F284^0.751)/(1-H284)*H284)*(MAX('Max rate concentrations'!$P$3:$P$368)))/F284&gt;0, (((1.18*F284^0.874)-(0.301*F284^0.751)/(1-H284)*H284)*(MAX('Max rate concentrations'!$P$3:$P$368)))/F284, 0)</f>
        <v>0.41296481736811458</v>
      </c>
      <c r="N284" s="69">
        <f>IF((((1.18*F284^0.874)-(0.301*F284^0.751)/(1-H284)*H284)*(MAX('Max rate concentrations'!$Q$3:$Q$368)))/F284&gt;0, (((1.18*F284^0.874)-(0.301*F284^0.751)/(1-H284)*H284)*(MAX('Max rate concentrations'!$Q$3:$Q$368)))/F284, 0)</f>
        <v>1.5725922138333159</v>
      </c>
      <c r="O284" s="69">
        <f>((MAX('Max rate concentrations'!$F$3:$F$368))*0.62*6.01*8*(10*F284^0.667)*0.079*0.1/F284)*inputs!$E$80/(10^(0.84+0.62*LOG10(inputs!$E$80)))</f>
        <v>37.762410232921681</v>
      </c>
      <c r="P284" s="69">
        <f>((MAX('Max rate concentrations'!Y:Y))*0.62*6.01*8*(10*F284^0.667)*0.079*0.1/F284)*inputs!$E$80/(10^(0.84+0.62*LOG10(inputs!$E$80)))</f>
        <v>12.587470077640564</v>
      </c>
      <c r="Q284" s="69">
        <f>(inputs!$C$18*11.2*(10*F284^0.667)*0.5/F284)*inputs!$E$80/(10^(0.84+0.62*LOG10(inputs!$E$80)))</f>
        <v>6.6516704531725388</v>
      </c>
      <c r="R284" s="59">
        <f>(60*284*((F284/1000)^0.77)*3*24*(MAX('Max rate concentrations'!$R$3:$R$368))/F284)*(inputs!$E$73*3.4/inputs!$E$75)</f>
        <v>5.3925079335399029E-2</v>
      </c>
      <c r="S284" s="59">
        <f>(IF(inputs!$C$17="aerial",((0.025*0.112*inputs!$C$18/3.3)*(3*60*284*((F284/1000)^0.77))*MAX(inputs!$I$14:$I$16))/F284,((0.0083*0.112*inputs!$C$18/1)*(3*60*284*((F284/1000)^0.77))*MAX(inputs!$I$14:$I$16))/F284))*(inputs!E$75*3.4/inputs!$E$73)</f>
        <v>0.29740012560042467</v>
      </c>
      <c r="T284" s="63">
        <f>IF((((inputs!$P$13/(V284/MAX(K284:S284)))^(1/inputs!$O$13))-1)/inputs!$N$13&lt;0, 0, IF((((inputs!$P$13/(V284/MAX(K284:S284)))^(1/inputs!$O$13))-1)/inputs!$N$13&lt;inputs!$I$17, (((inputs!$P$13/(V284/MAX(K284:S284)))^(1/inputs!$O$13))-1)/inputs!$N$13, inputs!$I$17))</f>
        <v>1000</v>
      </c>
      <c r="U284" s="63">
        <f>IF((((inputs!$P$13/(X284/MAX(K284:S284)))^(1/inputs!$O$13))-1)/inputs!$N$13&lt;0, 0, IF((((inputs!$P$13/(X284/MAX(K284:S284)))^(1/inputs!$O$13))-1)/inputs!$N$13&lt;inputs!$I$17, (((inputs!$P$13/(X284/MAX(K284:S284)))^(1/inputs!$O$13))-1)/inputs!$N$13, inputs!$I$17))</f>
        <v>250.33930614176208</v>
      </c>
      <c r="V284" s="21">
        <f>inputs!$E$78*(F284/inputs!$F$78)^(inputs!$E$84-1)</f>
        <v>2.3096084332340623E-2</v>
      </c>
      <c r="W284" s="21">
        <f>inputs!$E$85*(F284/inputs!$F$85)^(inputs!$E$84-1)</f>
        <v>1.066534627746178</v>
      </c>
      <c r="X284" s="21">
        <f>inputs!$E$80*(F284/inputs!$F$80)^(inputs!$E$84-1)</f>
        <v>3.9826293061407916</v>
      </c>
      <c r="Y284" s="21">
        <f>inputs!$E$82*(F284/inputs!$F$82)^(inputs!$E$84-1)</f>
        <v>1.8355309127281232</v>
      </c>
      <c r="Z284" s="63">
        <f t="shared" si="28"/>
        <v>20053.272128836456</v>
      </c>
      <c r="AA284" s="63">
        <f t="shared" si="29"/>
        <v>434.25881558644244</v>
      </c>
    </row>
    <row r="285" spans="1:476" x14ac:dyDescent="0.25">
      <c r="A285" s="103" t="s">
        <v>180</v>
      </c>
      <c r="B285" s="20" t="s">
        <v>181</v>
      </c>
      <c r="C285" s="20" t="s">
        <v>73</v>
      </c>
      <c r="D285" s="104" t="s">
        <v>141</v>
      </c>
      <c r="E285" s="15">
        <v>140</v>
      </c>
      <c r="F285" s="15">
        <v>59</v>
      </c>
      <c r="G285" s="20" t="s">
        <v>145</v>
      </c>
      <c r="H285" s="20">
        <v>0.66</v>
      </c>
      <c r="I285" s="68">
        <f>MAX('Max rate concentrations'!$M$3:$M$368)</f>
        <v>17.092910873809167</v>
      </c>
      <c r="J285" s="68">
        <f>MAX('Max rate concentrations'!AE:AE)</f>
        <v>11.81956602976166</v>
      </c>
      <c r="K285" s="69">
        <f t="shared" si="26"/>
        <v>10.854064084541925</v>
      </c>
      <c r="L285" s="69">
        <f t="shared" si="27"/>
        <v>7.5054698456938853</v>
      </c>
      <c r="M285" s="69">
        <f>IF((((1.18*F285^0.874)-(0.301*F285^0.751)/(1-H285)*H285)*(MAX('Max rate concentrations'!$P$3:$P$368)))/F285&gt;0, (((1.18*F285^0.874)-(0.301*F285^0.751)/(1-H285)*H285)*(MAX('Max rate concentrations'!$P$3:$P$368)))/F285, 0)</f>
        <v>0.43042255024485754</v>
      </c>
      <c r="N285" s="69">
        <f>IF((((1.18*F285^0.874)-(0.301*F285^0.751)/(1-H285)*H285)*(MAX('Max rate concentrations'!$Q$3:$Q$368)))/F285&gt;0, (((1.18*F285^0.874)-(0.301*F285^0.751)/(1-H285)*H285)*(MAX('Max rate concentrations'!$Q$3:$Q$368)))/F285, 0)</f>
        <v>1.6390721986613592</v>
      </c>
      <c r="O285" s="69">
        <f>((MAX('Max rate concentrations'!$F$3:$F$368))*0.62*6.01*8*(10*F285^0.667)*0.079*0.1/F285)*inputs!$E$80/(10^(0.84+0.62*LOG10(inputs!$E$80)))</f>
        <v>37.762410232921681</v>
      </c>
      <c r="P285" s="69">
        <f>((MAX('Max rate concentrations'!Y:Y))*0.62*6.01*8*(10*F285^0.667)*0.079*0.1/F285)*inputs!$E$80/(10^(0.84+0.62*LOG10(inputs!$E$80)))</f>
        <v>12.587470077640564</v>
      </c>
      <c r="Q285" s="69">
        <f>(inputs!$C$18*11.2*(10*F285^0.667)*0.5/F285)*inputs!$E$80/(10^(0.84+0.62*LOG10(inputs!$E$80)))</f>
        <v>6.6516704531725388</v>
      </c>
      <c r="R285" s="59">
        <f>(60*284*((F285/1000)^0.77)*3*24*(MAX('Max rate concentrations'!$R$3:$R$368))/F285)*(inputs!$E$73*3.4/inputs!$E$75)</f>
        <v>5.3925079335399029E-2</v>
      </c>
      <c r="S285" s="59">
        <f>(IF(inputs!$C$17="aerial",((0.025*0.112*inputs!$C$18/3.3)*(3*60*284*((F285/1000)^0.77))*MAX(inputs!$I$14:$I$16))/F285,((0.0083*0.112*inputs!$C$18/1)*(3*60*284*((F285/1000)^0.77))*MAX(inputs!$I$14:$I$16))/F285))*(inputs!E$75*3.4/inputs!$E$73)</f>
        <v>0.29740012560042467</v>
      </c>
      <c r="T285" s="63">
        <f>IF((((inputs!$P$13/(V285/MAX(K285:S285)))^(1/inputs!$O$13))-1)/inputs!$N$13&lt;0, 0, IF((((inputs!$P$13/(V285/MAX(K285:S285)))^(1/inputs!$O$13))-1)/inputs!$N$13&lt;inputs!$I$17, (((inputs!$P$13/(V285/MAX(K285:S285)))^(1/inputs!$O$13))-1)/inputs!$N$13, inputs!$I$17))</f>
        <v>1000</v>
      </c>
      <c r="U285" s="63">
        <f>IF((((inputs!$P$13/(X285/MAX(K285:S285)))^(1/inputs!$O$13))-1)/inputs!$N$13&lt;0, 0, IF((((inputs!$P$13/(X285/MAX(K285:S285)))^(1/inputs!$O$13))-1)/inputs!$N$13&lt;inputs!$I$17, (((inputs!$P$13/(X285/MAX(K285:S285)))^(1/inputs!$O$13))-1)/inputs!$N$13, inputs!$I$17))</f>
        <v>28.434273236184683</v>
      </c>
      <c r="V285" s="21">
        <f>inputs!$E$78*(F285/inputs!$F$78)^(inputs!$E$84-1)</f>
        <v>2.3096084332340623E-2</v>
      </c>
      <c r="W285" s="21">
        <f>inputs!$E$85*(F285/inputs!$F$85)^(inputs!$E$84-1)</f>
        <v>1.066534627746178</v>
      </c>
      <c r="X285" s="21">
        <f>inputs!$E$80*(F285/inputs!$F$80)^(inputs!$E$84-1)</f>
        <v>3.9826293061407916</v>
      </c>
      <c r="Y285" s="21">
        <f>inputs!$E$82*(F285/inputs!$F$82)^(inputs!$E$84-1)</f>
        <v>1.8355309127281232</v>
      </c>
      <c r="Z285" s="63">
        <f t="shared" si="28"/>
        <v>1635.0135239177459</v>
      </c>
      <c r="AA285" s="63">
        <f t="shared" si="29"/>
        <v>35.406642457284249</v>
      </c>
    </row>
    <row r="286" spans="1:476" x14ac:dyDescent="0.25">
      <c r="A286" s="103" t="s">
        <v>180</v>
      </c>
      <c r="B286" s="20" t="s">
        <v>181</v>
      </c>
      <c r="C286" s="20" t="s">
        <v>73</v>
      </c>
      <c r="D286" s="104" t="s">
        <v>141</v>
      </c>
      <c r="E286" s="15">
        <v>140</v>
      </c>
      <c r="F286" s="15">
        <v>59</v>
      </c>
      <c r="G286" s="20" t="s">
        <v>154</v>
      </c>
      <c r="H286" s="20">
        <v>9.2999999999999999E-2</v>
      </c>
      <c r="I286" s="68">
        <f>MAX('Max rate concentrations'!$G$3:$G$368)</f>
        <v>45</v>
      </c>
      <c r="J286" s="68">
        <f>MAX('Max rate concentrations'!Z:Z)</f>
        <v>21</v>
      </c>
      <c r="K286" s="69">
        <f t="shared" si="26"/>
        <v>10.71175169834175</v>
      </c>
      <c r="L286" s="69">
        <f t="shared" si="27"/>
        <v>4.9988174592261503</v>
      </c>
      <c r="M286" s="69">
        <f>IF((((1.18*F286^0.874)-(0.301*F286^0.751)/(1-H286)*H286)*(MAX('Max rate concentrations'!$P$3:$P$368)))/F286&gt;0, (((1.18*F286^0.874)-(0.301*F286^0.751)/(1-H286)*H286)*(MAX('Max rate concentrations'!$P$3:$P$368)))/F286, 0)</f>
        <v>0.60503837456438569</v>
      </c>
      <c r="N286" s="69">
        <f>IF((((1.18*F286^0.874)-(0.301*F286^0.751)/(1-H286)*H286)*(MAX('Max rate concentrations'!$Q$3:$Q$368)))/F286&gt;0, (((1.18*F286^0.874)-(0.301*F286^0.751)/(1-H286)*H286)*(MAX('Max rate concentrations'!$Q$3:$Q$368)))/F286, 0)</f>
        <v>2.3040186400726133</v>
      </c>
      <c r="O286" s="69">
        <f>((MAX('Max rate concentrations'!$F$3:$F$368))*0.62*6.01*8*(10*F286^0.667)*0.079*0.1/F286)*inputs!$E$80/(10^(0.84+0.62*LOG10(inputs!$E$80)))</f>
        <v>37.762410232921681</v>
      </c>
      <c r="P286" s="69">
        <f>((MAX('Max rate concentrations'!Y:Y))*0.62*6.01*8*(10*F286^0.667)*0.079*0.1/F286)*inputs!$E$80/(10^(0.84+0.62*LOG10(inputs!$E$80)))</f>
        <v>12.587470077640564</v>
      </c>
      <c r="Q286" s="69">
        <f>(inputs!$C$18*11.2*(10*F286^0.667)*0.5/F286)*inputs!$E$80/(10^(0.84+0.62*LOG10(inputs!$E$80)))</f>
        <v>6.6516704531725388</v>
      </c>
      <c r="R286" s="59">
        <f>(60*284*((F286/1000)^0.77)*3*24*(MAX('Max rate concentrations'!$R$3:$R$368))/F286)*(inputs!$E$73*3.4/inputs!$E$75)</f>
        <v>5.3925079335399029E-2</v>
      </c>
      <c r="S286" s="59">
        <f>(IF(inputs!$C$17="aerial",((0.025*0.112*inputs!$C$18/3.3)*(3*60*284*((F286/1000)^0.77))*MAX(inputs!$I$14:$I$16))/F286,((0.0083*0.112*inputs!$C$18/1)*(3*60*284*((F286/1000)^0.77))*MAX(inputs!$I$14:$I$16))/F286))*(inputs!E$75*3.4/inputs!$E$73)</f>
        <v>0.29740012560042467</v>
      </c>
      <c r="T286" s="63">
        <f>IF((((inputs!$P$13/(V286/MAX(K286:S286)))^(1/inputs!$O$13))-1)/inputs!$N$13&lt;0, 0, IF((((inputs!$P$13/(V286/MAX(K286:S286)))^(1/inputs!$O$13))-1)/inputs!$N$13&lt;inputs!$I$17, (((inputs!$P$13/(V286/MAX(K286:S286)))^(1/inputs!$O$13))-1)/inputs!$N$13, inputs!$I$17))</f>
        <v>1000</v>
      </c>
      <c r="U286" s="63">
        <f>IF((((inputs!$P$13/(X286/MAX(K286:S286)))^(1/inputs!$O$13))-1)/inputs!$N$13&lt;0, 0, IF((((inputs!$P$13/(X286/MAX(K286:S286)))^(1/inputs!$O$13))-1)/inputs!$N$13&lt;inputs!$I$17, (((inputs!$P$13/(X286/MAX(K286:S286)))^(1/inputs!$O$13))-1)/inputs!$N$13, inputs!$I$17))</f>
        <v>28.434273236184683</v>
      </c>
      <c r="V286" s="21">
        <f>inputs!$E$78*(F286/inputs!$F$78)^(inputs!$E$84-1)</f>
        <v>2.3096084332340623E-2</v>
      </c>
      <c r="W286" s="21">
        <f>inputs!$E$85*(F286/inputs!$F$85)^(inputs!$E$84-1)</f>
        <v>1.066534627746178</v>
      </c>
      <c r="X286" s="21">
        <f>inputs!$E$80*(F286/inputs!$F$80)^(inputs!$E$84-1)</f>
        <v>3.9826293061407916</v>
      </c>
      <c r="Y286" s="21">
        <f>inputs!$E$82*(F286/inputs!$F$82)^(inputs!$E$84-1)</f>
        <v>1.8355309127281232</v>
      </c>
      <c r="Z286" s="63">
        <f t="shared" si="28"/>
        <v>1635.0135239177459</v>
      </c>
      <c r="AA286" s="63">
        <f t="shared" si="29"/>
        <v>35.406642457284249</v>
      </c>
    </row>
    <row r="287" spans="1:476" x14ac:dyDescent="0.25">
      <c r="A287" s="103" t="s">
        <v>228</v>
      </c>
      <c r="B287" s="20" t="s">
        <v>229</v>
      </c>
      <c r="C287" s="20" t="s">
        <v>73</v>
      </c>
      <c r="D287" s="104" t="s">
        <v>141</v>
      </c>
      <c r="E287" s="15">
        <v>139</v>
      </c>
      <c r="F287" s="15">
        <v>9.4</v>
      </c>
      <c r="G287" s="20" t="s">
        <v>142</v>
      </c>
      <c r="H287" s="20">
        <v>0.69</v>
      </c>
      <c r="I287" s="68">
        <f>MAX('Max rate concentrations'!$H$3:$H$368)</f>
        <v>282</v>
      </c>
      <c r="J287" s="68">
        <f>MAX('Max rate concentrations'!AA:AA)</f>
        <v>195</v>
      </c>
      <c r="K287" s="69">
        <f t="shared" si="26"/>
        <v>258.70290681091802</v>
      </c>
      <c r="L287" s="69">
        <f t="shared" si="27"/>
        <v>178.89030790116672</v>
      </c>
      <c r="M287" s="69">
        <f>IF((((1.18*F287^0.874)-(0.301*F287^0.751)/(1-H287)*H287)*(MAX('Max rate concentrations'!$P$3:$P$368)))/F287&gt;0, (((1.18*F287^0.874)-(0.301*F287^0.751)/(1-H287)*H287)*(MAX('Max rate concentrations'!$P$3:$P$368)))/F287, 0)</f>
        <v>0.44090258714920566</v>
      </c>
      <c r="N287" s="69">
        <f>IF((((1.18*F287^0.874)-(0.301*F287^0.751)/(1-H287)*H287)*(MAX('Max rate concentrations'!$Q$3:$Q$368)))/F287&gt;0, (((1.18*F287^0.874)-(0.301*F287^0.751)/(1-H287)*H287)*(MAX('Max rate concentrations'!$Q$3:$Q$368)))/F287, 0)</f>
        <v>1.67898074230316</v>
      </c>
      <c r="O287" s="69">
        <f>((MAX('Max rate concentrations'!$F$3:$F$368))*0.62*6.01*8*(10*F287^0.667)*0.079*0.1/F287)*inputs!$E$80/(10^(0.84+0.62*LOG10(inputs!$E$80)))</f>
        <v>69.614843400656696</v>
      </c>
      <c r="P287" s="69">
        <f>((MAX('Max rate concentrations'!Y:Y))*0.62*6.01*8*(10*F287^0.667)*0.079*0.1/F287)*inputs!$E$80/(10^(0.84+0.62*LOG10(inputs!$E$80)))</f>
        <v>23.2049478002189</v>
      </c>
      <c r="Q287" s="69">
        <f>(inputs!$C$18*11.2*(10*F287^0.667)*0.5/F287)*inputs!$E$80/(10^(0.84+0.62*LOG10(inputs!$E$80)))</f>
        <v>12.262326321180764</v>
      </c>
      <c r="R287" s="59">
        <f>(60*284*((F287/1000)^0.77)*3*24*(MAX('Max rate concentrations'!$R$3:$R$368))/F287)*(inputs!$E$73*3.4/inputs!$E$75)</f>
        <v>8.2274897339539868E-2</v>
      </c>
      <c r="S287" s="59">
        <f>(IF(inputs!$C$17="aerial",((0.025*0.112*inputs!$C$18/3.3)*(3*60*284*((F287/1000)^0.77))*MAX(inputs!$I$14:$I$16))/F287,((0.0083*0.112*inputs!$C$18/1)*(3*60*284*((F287/1000)^0.77))*MAX(inputs!$I$14:$I$16))/F287))*(inputs!E$75*3.4/inputs!$E$73)</f>
        <v>0.45375111365814624</v>
      </c>
      <c r="T287" s="63">
        <f>IF((((inputs!$P$13/(V287/MAX(K287:S287)))^(1/inputs!$O$13))-1)/inputs!$N$13&lt;0, 0, IF((((inputs!$P$13/(V287/MAX(K287:S287)))^(1/inputs!$O$13))-1)/inputs!$N$13&lt;inputs!$I$17, (((inputs!$P$13/(V287/MAX(K287:S287)))^(1/inputs!$O$13))-1)/inputs!$N$13, inputs!$I$17))</f>
        <v>1000</v>
      </c>
      <c r="U287" s="63">
        <f>IF((((inputs!$P$13/(X287/MAX(K287:S287)))^(1/inputs!$O$13))-1)/inputs!$N$13&lt;0, 0, IF((((inputs!$P$13/(X287/MAX(K287:S287)))^(1/inputs!$O$13))-1)/inputs!$N$13&lt;inputs!$I$17, (((inputs!$P$13/(X287/MAX(K287:S287)))^(1/inputs!$O$13))-1)/inputs!$N$13, inputs!$I$17))</f>
        <v>86.878795585572249</v>
      </c>
      <c r="V287" s="21">
        <f>inputs!$E$78*(F287/inputs!$F$78)^(inputs!$E$84-1)</f>
        <v>4.5571811793226592E-2</v>
      </c>
      <c r="W287" s="21">
        <f>inputs!$E$85*(F287/inputs!$F$85)^(inputs!$E$84-1)</f>
        <v>2.1044223179662316</v>
      </c>
      <c r="X287" s="21">
        <f>inputs!$E$80*(F287/inputs!$F$80)^(inputs!$E$84-1)</f>
        <v>7.8582858708865606</v>
      </c>
      <c r="Y287" s="21">
        <f>inputs!$E$82*(F287/inputs!$F$82)^(inputs!$E$84-1)</f>
        <v>3.6217597793564291</v>
      </c>
      <c r="Z287" s="63">
        <f t="shared" si="28"/>
        <v>5676.8185558373925</v>
      </c>
      <c r="AA287" s="63">
        <f t="shared" si="29"/>
        <v>122.93298004030638</v>
      </c>
    </row>
    <row r="288" spans="1:476" x14ac:dyDescent="0.25">
      <c r="A288" s="103" t="s">
        <v>273</v>
      </c>
      <c r="B288" s="20" t="s">
        <v>274</v>
      </c>
      <c r="C288" s="20" t="s">
        <v>73</v>
      </c>
      <c r="D288" s="104" t="s">
        <v>141</v>
      </c>
      <c r="E288" s="15">
        <v>97</v>
      </c>
      <c r="F288" s="15">
        <v>10</v>
      </c>
      <c r="G288" s="20" t="s">
        <v>142</v>
      </c>
      <c r="H288" s="20">
        <v>0.69</v>
      </c>
      <c r="I288" s="68">
        <f>MAX('Max rate concentrations'!$H$3:$H$368)</f>
        <v>282</v>
      </c>
      <c r="J288" s="68">
        <f>MAX('Max rate concentrations'!AA:AA)</f>
        <v>195</v>
      </c>
      <c r="K288" s="69">
        <f t="shared" si="26"/>
        <v>256.31291308431645</v>
      </c>
      <c r="L288" s="69">
        <f t="shared" si="27"/>
        <v>177.23765266468689</v>
      </c>
      <c r="M288" s="69">
        <f>IF((((1.18*F288^0.874)-(0.301*F288^0.751)/(1-H288)*H288)*(MAX('Max rate concentrations'!$P$3:$P$368)))/F288&gt;0, (((1.18*F288^0.874)-(0.301*F288^0.751)/(1-H288)*H288)*(MAX('Max rate concentrations'!$P$3:$P$368)))/F288, 0)</f>
        <v>0.43999096786868774</v>
      </c>
      <c r="N288" s="69">
        <f>IF((((1.18*F288^0.874)-(0.301*F288^0.751)/(1-H288)*H288)*(MAX('Max rate concentrations'!$Q$3:$Q$368)))/F288&gt;0, (((1.18*F288^0.874)-(0.301*F288^0.751)/(1-H288)*H288)*(MAX('Max rate concentrations'!$Q$3:$Q$368)))/F288, 0)</f>
        <v>1.6755092471001074</v>
      </c>
      <c r="O288" s="69">
        <f>((MAX('Max rate concentrations'!$F$3:$F$368))*0.62*6.01*8*(10*F288^0.667)*0.079*0.1/F288)*inputs!$E$80/(10^(0.84+0.62*LOG10(inputs!$E$80)))</f>
        <v>68.195140075128862</v>
      </c>
      <c r="P288" s="69">
        <f>((MAX('Max rate concentrations'!Y:Y))*0.62*6.01*8*(10*F288^0.667)*0.079*0.1/F288)*inputs!$E$80/(10^(0.84+0.62*LOG10(inputs!$E$80)))</f>
        <v>22.731713358376282</v>
      </c>
      <c r="Q288" s="69">
        <f>(inputs!$C$18*11.2*(10*F288^0.667)*0.5/F288)*inputs!$E$80/(10^(0.84+0.62*LOG10(inputs!$E$80)))</f>
        <v>12.01225227653063</v>
      </c>
      <c r="R288" s="59">
        <f>(60*284*((F288/1000)^0.77)*3*24*(MAX('Max rate concentrations'!$R$3:$R$368))/F288)*(inputs!$E$73*3.4/inputs!$E$75)</f>
        <v>8.11123072975274E-2</v>
      </c>
      <c r="S288" s="59">
        <f>(IF(inputs!$C$17="aerial",((0.025*0.112*inputs!$C$18/3.3)*(3*60*284*((F288/1000)^0.77))*MAX(inputs!$I$14:$I$16))/F288,((0.0083*0.112*inputs!$C$18/1)*(3*60*284*((F288/1000)^0.77))*MAX(inputs!$I$14:$I$16))/F288))*(inputs!E$75*3.4/inputs!$E$73)</f>
        <v>0.44733935814888093</v>
      </c>
      <c r="T288" s="63">
        <f>IF((((inputs!$P$13/(V288/MAX(K288:S288)))^(1/inputs!$O$13))-1)/inputs!$N$13&lt;0, 0, IF((((inputs!$P$13/(V288/MAX(K288:S288)))^(1/inputs!$O$13))-1)/inputs!$N$13&lt;inputs!$I$17, (((inputs!$P$13/(V288/MAX(K288:S288)))^(1/inputs!$O$13))-1)/inputs!$N$13, inputs!$I$17))</f>
        <v>1000</v>
      </c>
      <c r="U288" s="63">
        <f>IF((((inputs!$P$13/(X288/MAX(K288:S288)))^(1/inputs!$O$13))-1)/inputs!$N$13&lt;0, 0, IF((((inputs!$P$13/(X288/MAX(K288:S288)))^(1/inputs!$O$13))-1)/inputs!$N$13&lt;inputs!$I$17, (((inputs!$P$13/(X288/MAX(K288:S288)))^(1/inputs!$O$13))-1)/inputs!$N$13, inputs!$I$17))</f>
        <v>87.898308790189972</v>
      </c>
      <c r="V288" s="21">
        <f>inputs!$E$78*(F288/inputs!$F$78)^(inputs!$E$84-1)</f>
        <v>4.4540347491078519E-2</v>
      </c>
      <c r="W288" s="21">
        <f>inputs!$E$85*(F288/inputs!$F$85)^(inputs!$E$84-1)</f>
        <v>2.0567911966170365</v>
      </c>
      <c r="X288" s="21">
        <f>inputs!$E$80*(F288/inputs!$F$80)^(inputs!$E$84-1)</f>
        <v>7.6804228228104519</v>
      </c>
      <c r="Y288" s="21">
        <f>inputs!$E$82*(F288/inputs!$F$82)^(inputs!$E$84-1)</f>
        <v>3.5397855111330823</v>
      </c>
      <c r="Z288" s="63">
        <f t="shared" si="28"/>
        <v>5754.6231119022186</v>
      </c>
      <c r="AA288" s="63">
        <f t="shared" si="29"/>
        <v>124.61785790696408</v>
      </c>
    </row>
    <row r="289" spans="1:27" x14ac:dyDescent="0.25">
      <c r="A289" s="103" t="s">
        <v>273</v>
      </c>
      <c r="B289" s="20" t="s">
        <v>274</v>
      </c>
      <c r="C289" s="20" t="s">
        <v>73</v>
      </c>
      <c r="D289" s="104" t="s">
        <v>141</v>
      </c>
      <c r="E289" s="15">
        <v>97</v>
      </c>
      <c r="F289" s="15">
        <v>10</v>
      </c>
      <c r="G289" s="20" t="s">
        <v>152</v>
      </c>
      <c r="H289" s="20">
        <v>0.77</v>
      </c>
      <c r="I289" s="68">
        <f>MAX('Max rate concentrations'!$G$3:$G$368)</f>
        <v>45</v>
      </c>
      <c r="J289" s="68">
        <f>MAX('Max rate concentrations'!Z:Z)</f>
        <v>21</v>
      </c>
      <c r="K289" s="69">
        <f t="shared" ref="K289:K320" si="30">((0.398*F289^0.85)/(1-H289))*I289/F289</f>
        <v>55.127430427477883</v>
      </c>
      <c r="L289" s="69">
        <f t="shared" si="27"/>
        <v>25.726134199489678</v>
      </c>
      <c r="M289" s="69">
        <f>IF((((1.18*F289^0.874)-(0.301*F289^0.751)/(1-H289)*H289)*(MAX('Max rate concentrations'!$P$3:$P$368)))/F289&gt;0, (((1.18*F289^0.874)-(0.301*F289^0.751)/(1-H289)*H289)*(MAX('Max rate concentrations'!$P$3:$P$368)))/F289, 0)</f>
        <v>0.27421203041181658</v>
      </c>
      <c r="N289" s="69">
        <f>IF((((1.18*F289^0.874)-(0.301*F289^0.751)/(1-H289)*H289)*(MAX('Max rate concentrations'!$Q$3:$Q$368)))/F289&gt;0, (((1.18*F289^0.874)-(0.301*F289^0.751)/(1-H289)*H289)*(MAX('Max rate concentrations'!$Q$3:$Q$368)))/F289, 0)</f>
        <v>1.0442141456826737</v>
      </c>
      <c r="O289" s="69">
        <f>((MAX('Max rate concentrations'!$F$3:$F$368))*0.62*6.01*8*(10*F289^0.667)*0.079*0.1/F289)*inputs!$E$80/(10^(0.84+0.62*LOG10(inputs!$E$80)))</f>
        <v>68.195140075128862</v>
      </c>
      <c r="P289" s="69">
        <f>((MAX('Max rate concentrations'!Y:Y))*0.62*6.01*8*(10*F289^0.667)*0.079*0.1/F289)*inputs!$E$80/(10^(0.84+0.62*LOG10(inputs!$E$80)))</f>
        <v>22.731713358376282</v>
      </c>
      <c r="Q289" s="69">
        <f>(inputs!$C$18*11.2*(10*F289^0.667)*0.5/F289)*inputs!$E$80/(10^(0.84+0.62*LOG10(inputs!$E$80)))</f>
        <v>12.01225227653063</v>
      </c>
      <c r="R289" s="59">
        <f>(60*284*((F289/1000)^0.77)*3*24*(MAX('Max rate concentrations'!$R$3:$R$368))/F289)*(inputs!$E$73*3.4/inputs!$E$75)</f>
        <v>8.11123072975274E-2</v>
      </c>
      <c r="S289" s="59">
        <f>(IF(inputs!$C$17="aerial",((0.025*0.112*inputs!$C$18/3.3)*(3*60*284*((F289/1000)^0.77))*MAX(inputs!$I$14:$I$16))/F289,((0.0083*0.112*inputs!$C$18/1)*(3*60*284*((F289/1000)^0.77))*MAX(inputs!$I$14:$I$16))/F289))*(inputs!E$75*3.4/inputs!$E$73)</f>
        <v>0.44733935814888093</v>
      </c>
      <c r="T289" s="63">
        <f>IF((((inputs!$P$13/(V289/MAX(K289:S289)))^(1/inputs!$O$13))-1)/inputs!$N$13&lt;0, 0, IF((((inputs!$P$13/(V289/MAX(K289:S289)))^(1/inputs!$O$13))-1)/inputs!$N$13&lt;inputs!$I$17, (((inputs!$P$13/(V289/MAX(K289:S289)))^(1/inputs!$O$13))-1)/inputs!$N$13, inputs!$I$17))</f>
        <v>1000</v>
      </c>
      <c r="U289" s="63">
        <f>IF((((inputs!$P$13/(X289/MAX(K289:S289)))^(1/inputs!$O$13))-1)/inputs!$N$13&lt;0, 0, IF((((inputs!$P$13/(X289/MAX(K289:S289)))^(1/inputs!$O$13))-1)/inputs!$N$13&lt;inputs!$I$17, (((inputs!$P$13/(X289/MAX(K289:S289)))^(1/inputs!$O$13))-1)/inputs!$N$13, inputs!$I$17))</f>
        <v>26.693213899402476</v>
      </c>
      <c r="V289" s="21">
        <f>inputs!$E$78*(F289/inputs!$F$78)^(inputs!$E$84-1)</f>
        <v>4.4540347491078519E-2</v>
      </c>
      <c r="W289" s="21">
        <f>inputs!$E$85*(F289/inputs!$F$85)^(inputs!$E$84-1)</f>
        <v>2.0567911966170365</v>
      </c>
      <c r="X289" s="21">
        <f>inputs!$E$80*(F289/inputs!$F$80)^(inputs!$E$84-1)</f>
        <v>7.6804228228104519</v>
      </c>
      <c r="Y289" s="21">
        <f>inputs!$E$82*(F289/inputs!$F$82)^(inputs!$E$84-1)</f>
        <v>3.5397855111330823</v>
      </c>
      <c r="Z289" s="63">
        <f t="shared" si="28"/>
        <v>1531.0868440976672</v>
      </c>
      <c r="AA289" s="63">
        <f t="shared" si="29"/>
        <v>33.156083217049293</v>
      </c>
    </row>
    <row r="290" spans="1:27" x14ac:dyDescent="0.25">
      <c r="A290" s="103" t="s">
        <v>273</v>
      </c>
      <c r="B290" s="20" t="s">
        <v>274</v>
      </c>
      <c r="C290" s="20" t="s">
        <v>73</v>
      </c>
      <c r="D290" s="104" t="s">
        <v>141</v>
      </c>
      <c r="E290" s="15">
        <v>97</v>
      </c>
      <c r="F290" s="15">
        <v>10</v>
      </c>
      <c r="G290" s="20" t="s">
        <v>177</v>
      </c>
      <c r="H290" s="20">
        <v>0.85</v>
      </c>
      <c r="I290" s="68">
        <f>MAX('Max rate concentrations'!$F$3:$F$368)</f>
        <v>405</v>
      </c>
      <c r="J290" s="68">
        <f>MAX('Max rate concentrations'!Y:Y)</f>
        <v>135</v>
      </c>
      <c r="K290" s="69">
        <f t="shared" si="30"/>
        <v>760.7585398991946</v>
      </c>
      <c r="L290" s="69">
        <f t="shared" si="27"/>
        <v>253.58617996639819</v>
      </c>
      <c r="M290" s="69">
        <f>IF((((1.18*F290^0.874)-(0.301*F290^0.751)/(1-H290)*H290)*(MAX('Max rate concentrations'!$P$3:$P$368)))/F290&gt;0, (((1.18*F290^0.874)-(0.301*F290^0.751)/(1-H290)*H290)*(MAX('Max rate concentrations'!$P$3:$P$368)))/F290, 0)</f>
        <v>0</v>
      </c>
      <c r="N290" s="69">
        <f>IF((((1.18*F290^0.874)-(0.301*F290^0.751)/(1-H290)*H290)*(MAX('Max rate concentrations'!$Q$3:$Q$368)))/F290&gt;0, (((1.18*F290^0.874)-(0.301*F290^0.751)/(1-H290)*H290)*(MAX('Max rate concentrations'!$Q$3:$Q$368)))/F290, 0)</f>
        <v>0</v>
      </c>
      <c r="O290" s="69">
        <f>((MAX('Max rate concentrations'!$F$3:$F$368))*0.62*6.01*8*(10*F290^0.667)*0.079*0.1/F290)*inputs!$E$80/(10^(0.84+0.62*LOG10(inputs!$E$80)))</f>
        <v>68.195140075128862</v>
      </c>
      <c r="P290" s="69">
        <f>((MAX('Max rate concentrations'!Y:Y))*0.62*6.01*8*(10*F290^0.667)*0.079*0.1/F290)*inputs!$E$80/(10^(0.84+0.62*LOG10(inputs!$E$80)))</f>
        <v>22.731713358376282</v>
      </c>
      <c r="Q290" s="69">
        <f>(inputs!$C$18*11.2*(10*F290^0.667)*0.5/F290)*inputs!$E$80/(10^(0.84+0.62*LOG10(inputs!$E$80)))</f>
        <v>12.01225227653063</v>
      </c>
      <c r="R290" s="59">
        <f>(60*284*((F290/1000)^0.77)*3*24*(MAX('Max rate concentrations'!$R$3:$R$368))/F290)*(inputs!$E$73*3.4/inputs!$E$75)</f>
        <v>8.11123072975274E-2</v>
      </c>
      <c r="S290" s="59">
        <f>(IF(inputs!$C$17="aerial",((0.025*0.112*inputs!$C$18/3.3)*(3*60*284*((F290/1000)^0.77))*MAX(inputs!$I$14:$I$16))/F290,((0.0083*0.112*inputs!$C$18/1)*(3*60*284*((F290/1000)^0.77))*MAX(inputs!$I$14:$I$16))/F290))*(inputs!E$75*3.4/inputs!$E$73)</f>
        <v>0.44733935814888093</v>
      </c>
      <c r="T290" s="63">
        <f>IF((((inputs!$P$13/(V290/MAX(K290:S290)))^(1/inputs!$O$13))-1)/inputs!$N$13&lt;0, 0, IF((((inputs!$P$13/(V290/MAX(K290:S290)))^(1/inputs!$O$13))-1)/inputs!$N$13&lt;inputs!$I$17, (((inputs!$P$13/(V290/MAX(K290:S290)))^(1/inputs!$O$13))-1)/inputs!$N$13, inputs!$I$17))</f>
        <v>1000</v>
      </c>
      <c r="U290" s="63">
        <f>IF((((inputs!$P$13/(X290/MAX(K290:S290)))^(1/inputs!$O$13))-1)/inputs!$N$13&lt;0, 0, IF((((inputs!$P$13/(X290/MAX(K290:S290)))^(1/inputs!$O$13))-1)/inputs!$N$13&lt;inputs!$I$17, (((inputs!$P$13/(X290/MAX(K290:S290)))^(1/inputs!$O$13))-1)/inputs!$N$13, inputs!$I$17))</f>
        <v>219.23650429635975</v>
      </c>
      <c r="V290" s="21">
        <f>inputs!$E$78*(F290/inputs!$F$78)^(inputs!$E$84-1)</f>
        <v>4.4540347491078519E-2</v>
      </c>
      <c r="W290" s="21">
        <f>inputs!$E$85*(F290/inputs!$F$85)^(inputs!$E$84-1)</f>
        <v>2.0567911966170365</v>
      </c>
      <c r="X290" s="21">
        <f>inputs!$E$80*(F290/inputs!$F$80)^(inputs!$E$84-1)</f>
        <v>7.6804228228104519</v>
      </c>
      <c r="Y290" s="21">
        <f>inputs!$E$82*(F290/inputs!$F$82)^(inputs!$E$84-1)</f>
        <v>3.5397855111330823</v>
      </c>
      <c r="Z290" s="63">
        <f t="shared" si="28"/>
        <v>17080.211151284246</v>
      </c>
      <c r="AA290" s="63">
        <f t="shared" si="29"/>
        <v>369.87640804301037</v>
      </c>
    </row>
    <row r="291" spans="1:27" x14ac:dyDescent="0.25">
      <c r="A291" s="103" t="s">
        <v>273</v>
      </c>
      <c r="B291" s="20" t="s">
        <v>274</v>
      </c>
      <c r="C291" s="20" t="s">
        <v>73</v>
      </c>
      <c r="D291" s="104" t="s">
        <v>141</v>
      </c>
      <c r="E291" s="15">
        <v>97</v>
      </c>
      <c r="F291" s="15">
        <v>10</v>
      </c>
      <c r="G291" s="20" t="s">
        <v>153</v>
      </c>
      <c r="H291" s="20">
        <v>0.7</v>
      </c>
      <c r="I291" s="68">
        <f>MAX('Max rate concentrations'!$E$3:$E$368)</f>
        <v>330</v>
      </c>
      <c r="J291" s="68">
        <f>MAX('Max rate concentrations'!X:X)</f>
        <v>108</v>
      </c>
      <c r="K291" s="69">
        <f t="shared" si="30"/>
        <v>309.93866440337558</v>
      </c>
      <c r="L291" s="69">
        <f t="shared" si="27"/>
        <v>101.43447198655927</v>
      </c>
      <c r="M291" s="69">
        <f>IF((((1.18*F291^0.874)-(0.301*F291^0.751)/(1-H291)*H291)*(MAX('Max rate concentrations'!$P$3:$P$368)))/F291&gt;0, (((1.18*F291^0.874)-(0.301*F291^0.751)/(1-H291)*H291)*(MAX('Max rate concentrations'!$P$3:$P$368)))/F291, 0)</f>
        <v>0.42410381969573752</v>
      </c>
      <c r="N291" s="69">
        <f>IF((((1.18*F291^0.874)-(0.301*F291^0.751)/(1-H291)*H291)*(MAX('Max rate concentrations'!$Q$3:$Q$368)))/F291&gt;0, (((1.18*F291^0.874)-(0.301*F291^0.751)/(1-H291)*H291)*(MAX('Max rate concentrations'!$Q$3:$Q$368)))/F291, 0)</f>
        <v>1.6150101332142701</v>
      </c>
      <c r="O291" s="69">
        <f>((MAX('Max rate concentrations'!$F$3:$F$368))*0.62*6.01*8*(10*F291^0.667)*0.079*0.1/F291)*inputs!$E$80/(10^(0.84+0.62*LOG10(inputs!$E$80)))</f>
        <v>68.195140075128862</v>
      </c>
      <c r="P291" s="69">
        <f>((MAX('Max rate concentrations'!Y:Y))*0.62*6.01*8*(10*F291^0.667)*0.079*0.1/F291)*inputs!$E$80/(10^(0.84+0.62*LOG10(inputs!$E$80)))</f>
        <v>22.731713358376282</v>
      </c>
      <c r="Q291" s="69">
        <f>(inputs!$C$18*11.2*(10*F291^0.667)*0.5/F291)*inputs!$E$80/(10^(0.84+0.62*LOG10(inputs!$E$80)))</f>
        <v>12.01225227653063</v>
      </c>
      <c r="R291" s="59">
        <f>(60*284*((F291/1000)^0.77)*3*24*(MAX('Max rate concentrations'!$R$3:$R$368))/F291)*(inputs!$E$73*3.4/inputs!$E$75)</f>
        <v>8.11123072975274E-2</v>
      </c>
      <c r="S291" s="59">
        <f>(IF(inputs!$C$17="aerial",((0.025*0.112*inputs!$C$18/3.3)*(3*60*284*((F291/1000)^0.77))*MAX(inputs!$I$14:$I$16))/F291,((0.0083*0.112*inputs!$C$18/1)*(3*60*284*((F291/1000)^0.77))*MAX(inputs!$I$14:$I$16))/F291))*(inputs!E$75*3.4/inputs!$E$73)</f>
        <v>0.44733935814888093</v>
      </c>
      <c r="T291" s="63">
        <f>IF((((inputs!$P$13/(V291/MAX(K291:S291)))^(1/inputs!$O$13))-1)/inputs!$N$13&lt;0, 0, IF((((inputs!$P$13/(V291/MAX(K291:S291)))^(1/inputs!$O$13))-1)/inputs!$N$13&lt;inputs!$I$17, (((inputs!$P$13/(V291/MAX(K291:S291)))^(1/inputs!$O$13))-1)/inputs!$N$13, inputs!$I$17))</f>
        <v>1000</v>
      </c>
      <c r="U291" s="63">
        <f>IF((((inputs!$P$13/(X291/MAX(K291:S291)))^(1/inputs!$O$13))-1)/inputs!$N$13&lt;0, 0, IF((((inputs!$P$13/(X291/MAX(K291:S291)))^(1/inputs!$O$13))-1)/inputs!$N$13&lt;inputs!$I$17, (((inputs!$P$13/(X291/MAX(K291:S291)))^(1/inputs!$O$13))-1)/inputs!$N$13, inputs!$I$17))</f>
        <v>103.36240034835338</v>
      </c>
      <c r="V291" s="21">
        <f>inputs!$E$78*(F291/inputs!$F$78)^(inputs!$E$84-1)</f>
        <v>4.4540347491078519E-2</v>
      </c>
      <c r="W291" s="21">
        <f>inputs!$E$85*(F291/inputs!$F$85)^(inputs!$E$84-1)</f>
        <v>2.0567911966170365</v>
      </c>
      <c r="X291" s="21">
        <f>inputs!$E$80*(F291/inputs!$F$80)^(inputs!$E$84-1)</f>
        <v>7.6804228228104519</v>
      </c>
      <c r="Y291" s="21">
        <f>inputs!$E$82*(F291/inputs!$F$82)^(inputs!$E$84-1)</f>
        <v>3.5397855111330823</v>
      </c>
      <c r="Z291" s="63">
        <f t="shared" si="28"/>
        <v>6958.6045431158036</v>
      </c>
      <c r="AA291" s="63">
        <f t="shared" si="29"/>
        <v>150.69038846196719</v>
      </c>
    </row>
    <row r="292" spans="1:27" x14ac:dyDescent="0.25">
      <c r="A292" s="103" t="s">
        <v>299</v>
      </c>
      <c r="B292" s="20" t="s">
        <v>300</v>
      </c>
      <c r="C292" s="20" t="s">
        <v>73</v>
      </c>
      <c r="D292" s="104" t="s">
        <v>141</v>
      </c>
      <c r="E292" s="15">
        <v>112</v>
      </c>
      <c r="F292" s="15">
        <v>13.7</v>
      </c>
      <c r="G292" s="20" t="s">
        <v>142</v>
      </c>
      <c r="H292" s="20">
        <v>0.69</v>
      </c>
      <c r="I292" s="68">
        <f>MAX('Max rate concentrations'!$H$3:$H$368)</f>
        <v>282</v>
      </c>
      <c r="J292" s="68">
        <f>MAX('Max rate concentrations'!AA:AA)</f>
        <v>195</v>
      </c>
      <c r="K292" s="69">
        <f t="shared" si="30"/>
        <v>244.49073237950799</v>
      </c>
      <c r="L292" s="69">
        <f t="shared" si="27"/>
        <v>169.0627404751917</v>
      </c>
      <c r="M292" s="69">
        <f>IF((((1.18*F292^0.874)-(0.301*F292^0.751)/(1-H292)*H292)*(MAX('Max rate concentrations'!$P$3:$P$368)))/F292&gt;0, (((1.18*F292^0.874)-(0.301*F292^0.751)/(1-H292)*H292)*(MAX('Max rate concentrations'!$P$3:$P$368)))/F292, 0)</f>
        <v>0.43488485097863167</v>
      </c>
      <c r="N292" s="69">
        <f>IF((((1.18*F292^0.874)-(0.301*F292^0.751)/(1-H292)*H292)*(MAX('Max rate concentrations'!$Q$3:$Q$368)))/F292&gt;0, (((1.18*F292^0.874)-(0.301*F292^0.751)/(1-H292)*H292)*(MAX('Max rate concentrations'!$Q$3:$Q$368)))/F292, 0)</f>
        <v>1.656064879622509</v>
      </c>
      <c r="O292" s="69">
        <f>((MAX('Max rate concentrations'!$F$3:$F$368))*0.62*6.01*8*(10*F292^0.667)*0.079*0.1/F292)*inputs!$E$80/(10^(0.84+0.62*LOG10(inputs!$E$80)))</f>
        <v>61.408074071775445</v>
      </c>
      <c r="P292" s="69">
        <f>((MAX('Max rate concentrations'!Y:Y))*0.62*6.01*8*(10*F292^0.667)*0.079*0.1/F292)*inputs!$E$80/(10^(0.84+0.62*LOG10(inputs!$E$80)))</f>
        <v>20.469358023925157</v>
      </c>
      <c r="Q292" s="69">
        <f>(inputs!$C$18*11.2*(10*F292^0.667)*0.5/F292)*inputs!$E$80/(10^(0.84+0.62*LOG10(inputs!$E$80)))</f>
        <v>10.816742611766715</v>
      </c>
      <c r="R292" s="59">
        <f>(60*284*((F292/1000)^0.77)*3*24*(MAX('Max rate concentrations'!$R$3:$R$368))/F292)*(inputs!$E$73*3.4/inputs!$E$75)</f>
        <v>7.5446834850175046E-2</v>
      </c>
      <c r="S292" s="59">
        <f>(IF(inputs!$C$17="aerial",((0.025*0.112*inputs!$C$18/3.3)*(3*60*284*((F292/1000)^0.77))*MAX(inputs!$I$14:$I$16))/F292,((0.0083*0.112*inputs!$C$18/1)*(3*60*284*((F292/1000)^0.77))*MAX(inputs!$I$14:$I$16))/F292))*(inputs!E$75*3.4/inputs!$E$73)</f>
        <v>0.41609392952468466</v>
      </c>
      <c r="T292" s="63">
        <f>IF((((inputs!$P$13/(V292/MAX(K292:S292)))^(1/inputs!$O$13))-1)/inputs!$N$13&lt;0, 0, IF((((inputs!$P$13/(V292/MAX(K292:S292)))^(1/inputs!$O$13))-1)/inputs!$N$13&lt;inputs!$I$17, (((inputs!$P$13/(V292/MAX(K292:S292)))^(1/inputs!$O$13))-1)/inputs!$N$13, inputs!$I$17))</f>
        <v>1000</v>
      </c>
      <c r="U292" s="63">
        <f>IF((((inputs!$P$13/(X292/MAX(K292:S292)))^(1/inputs!$O$13))-1)/inputs!$N$13&lt;0, 0, IF((((inputs!$P$13/(X292/MAX(K292:S292)))^(1/inputs!$O$13))-1)/inputs!$N$13&lt;inputs!$I$17, (((inputs!$P$13/(X292/MAX(K292:S292)))^(1/inputs!$O$13))-1)/inputs!$N$13, inputs!$I$17))</f>
        <v>93.262831341622558</v>
      </c>
      <c r="V292" s="21">
        <f>inputs!$E$78*(F292/inputs!$F$78)^(inputs!$E$84-1)</f>
        <v>3.9643043690778076E-2</v>
      </c>
      <c r="W292" s="21">
        <f>inputs!$E$85*(F292/inputs!$F$85)^(inputs!$E$84-1)</f>
        <v>1.8306427287445148</v>
      </c>
      <c r="X292" s="21">
        <f>inputs!$E$80*(F292/inputs!$F$80)^(inputs!$E$84-1)</f>
        <v>6.8359443668307822</v>
      </c>
      <c r="Y292" s="21">
        <f>inputs!$E$82*(F292/inputs!$F$82)^(inputs!$E$84-1)</f>
        <v>3.1505787354249946</v>
      </c>
      <c r="Z292" s="63">
        <f t="shared" si="28"/>
        <v>6167.3047681851531</v>
      </c>
      <c r="AA292" s="63">
        <f t="shared" si="29"/>
        <v>133.55458634311665</v>
      </c>
    </row>
    <row r="293" spans="1:27" x14ac:dyDescent="0.25">
      <c r="A293" s="103" t="s">
        <v>311</v>
      </c>
      <c r="B293" s="20" t="s">
        <v>312</v>
      </c>
      <c r="C293" s="20" t="s">
        <v>73</v>
      </c>
      <c r="D293" s="104" t="s">
        <v>141</v>
      </c>
      <c r="E293" s="15">
        <v>137</v>
      </c>
      <c r="F293" s="15">
        <v>46.3</v>
      </c>
      <c r="G293" s="20" t="s">
        <v>142</v>
      </c>
      <c r="H293" s="20">
        <v>0.69</v>
      </c>
      <c r="I293" s="68">
        <f>MAX('Max rate concentrations'!$H$3:$H$368)</f>
        <v>282</v>
      </c>
      <c r="J293" s="68">
        <f>MAX('Max rate concentrations'!AA:AA)</f>
        <v>195</v>
      </c>
      <c r="K293" s="69">
        <f t="shared" si="30"/>
        <v>203.67294256351369</v>
      </c>
      <c r="L293" s="69">
        <f t="shared" si="27"/>
        <v>140.83767304923819</v>
      </c>
      <c r="M293" s="69">
        <f>IF((((1.18*F293^0.874)-(0.301*F293^0.751)/(1-H293)*H293)*(MAX('Max rate concentrations'!$P$3:$P$368)))/F293&gt;0, (((1.18*F293^0.874)-(0.301*F293^0.751)/(1-H293)*H293)*(MAX('Max rate concentrations'!$P$3:$P$368)))/F293, 0)</f>
        <v>0.40930594213408933</v>
      </c>
      <c r="N293" s="69">
        <f>IF((((1.18*F293^0.874)-(0.301*F293^0.751)/(1-H293)*H293)*(MAX('Max rate concentrations'!$Q$3:$Q$368)))/F293&gt;0, (((1.18*F293^0.874)-(0.301*F293^0.751)/(1-H293)*H293)*(MAX('Max rate concentrations'!$Q$3:$Q$368)))/F293, 0)</f>
        <v>1.558659020344616</v>
      </c>
      <c r="O293" s="69">
        <f>((MAX('Max rate concentrations'!$F$3:$F$368))*0.62*6.01*8*(10*F293^0.667)*0.079*0.1/F293)*inputs!$E$80/(10^(0.84+0.62*LOG10(inputs!$E$80)))</f>
        <v>40.936900349545581</v>
      </c>
      <c r="P293" s="69">
        <f>((MAX('Max rate concentrations'!Y:Y))*0.62*6.01*8*(10*F293^0.667)*0.079*0.1/F293)*inputs!$E$80/(10^(0.84+0.62*LOG10(inputs!$E$80)))</f>
        <v>13.645633449848525</v>
      </c>
      <c r="Q293" s="69">
        <f>(inputs!$C$18*11.2*(10*F293^0.667)*0.5/F293)*inputs!$E$80/(10^(0.84+0.62*LOG10(inputs!$E$80)))</f>
        <v>7.2108419144853135</v>
      </c>
      <c r="R293" s="59">
        <f>(60*284*((F293/1000)^0.77)*3*24*(MAX('Max rate concentrations'!$R$3:$R$368))/F293)*(inputs!$E$73*3.4/inputs!$E$75)</f>
        <v>5.7016837818593354E-2</v>
      </c>
      <c r="S293" s="59">
        <f>(IF(inputs!$C$17="aerial",((0.025*0.112*inputs!$C$18/3.3)*(3*60*284*((F293/1000)^0.77))*MAX(inputs!$I$14:$I$16))/F293,((0.0083*0.112*inputs!$C$18/1)*(3*60*284*((F293/1000)^0.77))*MAX(inputs!$I$14:$I$16))/F293))*(inputs!E$75*3.4/inputs!$E$73)</f>
        <v>0.31445136358765508</v>
      </c>
      <c r="T293" s="63">
        <f>IF((((inputs!$P$13/(V293/MAX(K293:S293)))^(1/inputs!$O$13))-1)/inputs!$N$13&lt;0, 0, IF((((inputs!$P$13/(V293/MAX(K293:S293)))^(1/inputs!$O$13))-1)/inputs!$N$13&lt;inputs!$I$17, (((inputs!$P$13/(V293/MAX(K293:S293)))^(1/inputs!$O$13))-1)/inputs!$N$13, inputs!$I$17))</f>
        <v>1000</v>
      </c>
      <c r="U293" s="63">
        <f>IF((((inputs!$P$13/(X293/MAX(K293:S293)))^(1/inputs!$O$13))-1)/inputs!$N$13&lt;0, 0, IF((((inputs!$P$13/(X293/MAX(K293:S293)))^(1/inputs!$O$13))-1)/inputs!$N$13&lt;inputs!$I$17, (((inputs!$P$13/(X293/MAX(K293:S293)))^(1/inputs!$O$13))-1)/inputs!$N$13, inputs!$I$17))</f>
        <v>117.0880194252745</v>
      </c>
      <c r="V293" s="21">
        <f>inputs!$E$78*(F293/inputs!$F$78)^(inputs!$E$84-1)</f>
        <v>2.526321594050698E-2</v>
      </c>
      <c r="W293" s="21">
        <f>inputs!$E$85*(F293/inputs!$F$85)^(inputs!$E$84-1)</f>
        <v>1.1666087732045156</v>
      </c>
      <c r="X293" s="21">
        <f>inputs!$E$80*(F293/inputs!$F$80)^(inputs!$E$84-1)</f>
        <v>4.3563238999409126</v>
      </c>
      <c r="Y293" s="21">
        <f>inputs!$E$82*(F293/inputs!$F$82)^(inputs!$E$84-1)</f>
        <v>2.0077608457981864</v>
      </c>
      <c r="Z293" s="63">
        <f t="shared" si="28"/>
        <v>8062.0354527764212</v>
      </c>
      <c r="AA293" s="63">
        <f t="shared" si="29"/>
        <v>174.58547136076461</v>
      </c>
    </row>
    <row r="294" spans="1:27" x14ac:dyDescent="0.25">
      <c r="A294" s="103" t="s">
        <v>311</v>
      </c>
      <c r="B294" s="20" t="s">
        <v>312</v>
      </c>
      <c r="C294" s="20" t="s">
        <v>73</v>
      </c>
      <c r="D294" s="104" t="s">
        <v>141</v>
      </c>
      <c r="E294" s="15">
        <v>137</v>
      </c>
      <c r="F294" s="15">
        <v>46.3</v>
      </c>
      <c r="G294" s="20" t="s">
        <v>152</v>
      </c>
      <c r="H294" s="20">
        <v>0.77</v>
      </c>
      <c r="I294" s="68">
        <f>MAX('Max rate concentrations'!$G$3:$G$368)</f>
        <v>45</v>
      </c>
      <c r="J294" s="68">
        <f>MAX('Max rate concentrations'!Z:Z)</f>
        <v>21</v>
      </c>
      <c r="K294" s="69">
        <f t="shared" si="30"/>
        <v>43.805697637388484</v>
      </c>
      <c r="L294" s="69">
        <f t="shared" si="27"/>
        <v>20.442658897447959</v>
      </c>
      <c r="M294" s="69">
        <f>IF((((1.18*F294^0.874)-(0.301*F294^0.751)/(1-H294)*H294)*(MAX('Max rate concentrations'!$P$3:$P$368)))/F294&gt;0, (((1.18*F294^0.874)-(0.301*F294^0.751)/(1-H294)*H294)*(MAX('Max rate concentrations'!$P$3:$P$368)))/F294, 0)</f>
        <v>0.29611812487064187</v>
      </c>
      <c r="N294" s="69">
        <f>IF((((1.18*F294^0.874)-(0.301*F294^0.751)/(1-H294)*H294)*(MAX('Max rate concentrations'!$Q$3:$Q$368)))/F294&gt;0, (((1.18*F294^0.874)-(0.301*F294^0.751)/(1-H294)*H294)*(MAX('Max rate concentrations'!$Q$3:$Q$368)))/F294, 0)</f>
        <v>1.1276337304332504</v>
      </c>
      <c r="O294" s="69">
        <f>((MAX('Max rate concentrations'!$F$3:$F$368))*0.62*6.01*8*(10*F294^0.667)*0.079*0.1/F294)*inputs!$E$80/(10^(0.84+0.62*LOG10(inputs!$E$80)))</f>
        <v>40.936900349545581</v>
      </c>
      <c r="P294" s="69">
        <f>((MAX('Max rate concentrations'!Y:Y))*0.62*6.01*8*(10*F294^0.667)*0.079*0.1/F294)*inputs!$E$80/(10^(0.84+0.62*LOG10(inputs!$E$80)))</f>
        <v>13.645633449848525</v>
      </c>
      <c r="Q294" s="69">
        <f>(inputs!$C$18*11.2*(10*F294^0.667)*0.5/F294)*inputs!$E$80/(10^(0.84+0.62*LOG10(inputs!$E$80)))</f>
        <v>7.2108419144853135</v>
      </c>
      <c r="R294" s="59">
        <f>(60*284*((F294/1000)^0.77)*3*24*(MAX('Max rate concentrations'!$R$3:$R$368))/F294)*(inputs!$E$73*3.4/inputs!$E$75)</f>
        <v>5.7016837818593354E-2</v>
      </c>
      <c r="S294" s="59">
        <f>(IF(inputs!$C$17="aerial",((0.025*0.112*inputs!$C$18/3.3)*(3*60*284*((F294/1000)^0.77))*MAX(inputs!$I$14:$I$16))/F294,((0.0083*0.112*inputs!$C$18/1)*(3*60*284*((F294/1000)^0.77))*MAX(inputs!$I$14:$I$16))/F294))*(inputs!E$75*3.4/inputs!$E$73)</f>
        <v>0.31445136358765508</v>
      </c>
      <c r="T294" s="63">
        <f>IF((((inputs!$P$13/(V294/MAX(K294:S294)))^(1/inputs!$O$13))-1)/inputs!$N$13&lt;0, 0, IF((((inputs!$P$13/(V294/MAX(K294:S294)))^(1/inputs!$O$13))-1)/inputs!$N$13&lt;inputs!$I$17, (((inputs!$P$13/(V294/MAX(K294:S294)))^(1/inputs!$O$13))-1)/inputs!$N$13, inputs!$I$17))</f>
        <v>1000</v>
      </c>
      <c r="U294" s="63">
        <f>IF((((inputs!$P$13/(X294/MAX(K294:S294)))^(1/inputs!$O$13))-1)/inputs!$N$13&lt;0, 0, IF((((inputs!$P$13/(X294/MAX(K294:S294)))^(1/inputs!$O$13))-1)/inputs!$N$13&lt;inputs!$I$17, (((inputs!$P$13/(X294/MAX(K294:S294)))^(1/inputs!$O$13))-1)/inputs!$N$13, inputs!$I$17))</f>
        <v>30.072495958898816</v>
      </c>
      <c r="V294" s="21">
        <f>inputs!$E$78*(F294/inputs!$F$78)^(inputs!$E$84-1)</f>
        <v>2.526321594050698E-2</v>
      </c>
      <c r="W294" s="21">
        <f>inputs!$E$85*(F294/inputs!$F$85)^(inputs!$E$84-1)</f>
        <v>1.1666087732045156</v>
      </c>
      <c r="X294" s="21">
        <f>inputs!$E$80*(F294/inputs!$F$80)^(inputs!$E$84-1)</f>
        <v>4.3563238999409126</v>
      </c>
      <c r="Y294" s="21">
        <f>inputs!$E$82*(F294/inputs!$F$82)^(inputs!$E$84-1)</f>
        <v>2.0077608457981864</v>
      </c>
      <c r="Z294" s="63">
        <f t="shared" si="28"/>
        <v>1733.9715474287868</v>
      </c>
      <c r="AA294" s="63">
        <f t="shared" si="29"/>
        <v>37.549604154836068</v>
      </c>
    </row>
    <row r="295" spans="1:27" x14ac:dyDescent="0.25">
      <c r="A295" s="103" t="s">
        <v>311</v>
      </c>
      <c r="B295" s="20" t="s">
        <v>312</v>
      </c>
      <c r="C295" s="20" t="s">
        <v>73</v>
      </c>
      <c r="D295" s="104" t="s">
        <v>141</v>
      </c>
      <c r="E295" s="15">
        <v>137</v>
      </c>
      <c r="F295" s="15">
        <v>46.3</v>
      </c>
      <c r="G295" s="20" t="s">
        <v>154</v>
      </c>
      <c r="H295" s="20">
        <v>9.2999999999999999E-2</v>
      </c>
      <c r="I295" s="68">
        <f>MAX('Max rate concentrations'!$G$3:$G$368)</f>
        <v>45</v>
      </c>
      <c r="J295" s="68">
        <f>MAX('Max rate concentrations'!Z:Z)</f>
        <v>21</v>
      </c>
      <c r="K295" s="69">
        <f t="shared" si="30"/>
        <v>11.108390801101818</v>
      </c>
      <c r="L295" s="69">
        <f t="shared" si="27"/>
        <v>5.1839157071808488</v>
      </c>
      <c r="M295" s="69">
        <f>IF((((1.18*F295^0.874)-(0.301*F295^0.751)/(1-H295)*H295)*(MAX('Max rate concentrations'!$P$3:$P$368)))/F295&gt;0, (((1.18*F295^0.874)-(0.301*F295^0.751)/(1-H295)*H295)*(MAX('Max rate concentrations'!$P$3:$P$368)))/F295, 0)</f>
        <v>0.62349859908618344</v>
      </c>
      <c r="N295" s="69">
        <f>IF((((1.18*F295^0.874)-(0.301*F295^0.751)/(1-H295)*H295)*(MAX('Max rate concentrations'!$Q$3:$Q$368)))/F295&gt;0, (((1.18*F295^0.874)-(0.301*F295^0.751)/(1-H295)*H295)*(MAX('Max rate concentrations'!$Q$3:$Q$368)))/F295, 0)</f>
        <v>2.3743161669505906</v>
      </c>
      <c r="O295" s="69">
        <f>((MAX('Max rate concentrations'!$F$3:$F$368))*0.62*6.01*8*(10*F295^0.667)*0.079*0.1/F295)*inputs!$E$80/(10^(0.84+0.62*LOG10(inputs!$E$80)))</f>
        <v>40.936900349545581</v>
      </c>
      <c r="P295" s="69">
        <f>((MAX('Max rate concentrations'!Y:Y))*0.62*6.01*8*(10*F295^0.667)*0.079*0.1/F295)*inputs!$E$80/(10^(0.84+0.62*LOG10(inputs!$E$80)))</f>
        <v>13.645633449848525</v>
      </c>
      <c r="Q295" s="69">
        <f>(inputs!$C$18*11.2*(10*F295^0.667)*0.5/F295)*inputs!$E$80/(10^(0.84+0.62*LOG10(inputs!$E$80)))</f>
        <v>7.2108419144853135</v>
      </c>
      <c r="R295" s="59">
        <f>(60*284*((F295/1000)^0.77)*3*24*(MAX('Max rate concentrations'!$R$3:$R$368))/F295)*(inputs!$E$73*3.4/inputs!$E$75)</f>
        <v>5.7016837818593354E-2</v>
      </c>
      <c r="S295" s="59">
        <f>(IF(inputs!$C$17="aerial",((0.025*0.112*inputs!$C$18/3.3)*(3*60*284*((F295/1000)^0.77))*MAX(inputs!$I$14:$I$16))/F295,((0.0083*0.112*inputs!$C$18/1)*(3*60*284*((F295/1000)^0.77))*MAX(inputs!$I$14:$I$16))/F295))*(inputs!E$75*3.4/inputs!$E$73)</f>
        <v>0.31445136358765508</v>
      </c>
      <c r="T295" s="63">
        <f>IF((((inputs!$P$13/(V295/MAX(K295:S295)))^(1/inputs!$O$13))-1)/inputs!$N$13&lt;0, 0, IF((((inputs!$P$13/(V295/MAX(K295:S295)))^(1/inputs!$O$13))-1)/inputs!$N$13&lt;inputs!$I$17, (((inputs!$P$13/(V295/MAX(K295:S295)))^(1/inputs!$O$13))-1)/inputs!$N$13, inputs!$I$17))</f>
        <v>1000</v>
      </c>
      <c r="U295" s="63">
        <f>IF((((inputs!$P$13/(X295/MAX(K295:S295)))^(1/inputs!$O$13))-1)/inputs!$N$13&lt;0, 0, IF((((inputs!$P$13/(X295/MAX(K295:S295)))^(1/inputs!$O$13))-1)/inputs!$N$13&lt;inputs!$I$17, (((inputs!$P$13/(X295/MAX(K295:S295)))^(1/inputs!$O$13))-1)/inputs!$N$13, inputs!$I$17))</f>
        <v>28.191019985508138</v>
      </c>
      <c r="V295" s="21">
        <f>inputs!$E$78*(F295/inputs!$F$78)^(inputs!$E$84-1)</f>
        <v>2.526321594050698E-2</v>
      </c>
      <c r="W295" s="21">
        <f>inputs!$E$85*(F295/inputs!$F$85)^(inputs!$E$84-1)</f>
        <v>1.1666087732045156</v>
      </c>
      <c r="X295" s="21">
        <f>inputs!$E$80*(F295/inputs!$F$80)^(inputs!$E$84-1)</f>
        <v>4.3563238999409126</v>
      </c>
      <c r="Y295" s="21">
        <f>inputs!$E$82*(F295/inputs!$F$82)^(inputs!$E$84-1)</f>
        <v>2.0077608457981864</v>
      </c>
      <c r="Z295" s="63">
        <f t="shared" si="28"/>
        <v>1620.4152490304077</v>
      </c>
      <c r="AA295" s="63">
        <f t="shared" si="29"/>
        <v>35.09051302357129</v>
      </c>
    </row>
    <row r="296" spans="1:27" x14ac:dyDescent="0.25">
      <c r="A296" s="103" t="s">
        <v>281</v>
      </c>
      <c r="B296" s="20" t="s">
        <v>282</v>
      </c>
      <c r="C296" s="20" t="s">
        <v>73</v>
      </c>
      <c r="D296" s="104" t="s">
        <v>141</v>
      </c>
      <c r="E296" s="15">
        <v>77</v>
      </c>
      <c r="F296" s="15">
        <v>38</v>
      </c>
      <c r="G296" s="20" t="s">
        <v>142</v>
      </c>
      <c r="H296" s="20">
        <v>0.69</v>
      </c>
      <c r="I296" s="68">
        <f>MAX('Max rate concentrations'!$H$3:$H$368)</f>
        <v>282</v>
      </c>
      <c r="J296" s="68">
        <f>MAX('Max rate concentrations'!AA:AA)</f>
        <v>195</v>
      </c>
      <c r="K296" s="69">
        <f t="shared" si="30"/>
        <v>209.79877452447761</v>
      </c>
      <c r="L296" s="69">
        <f t="shared" si="27"/>
        <v>145.07362068181962</v>
      </c>
      <c r="M296" s="69">
        <f>IF((((1.18*F296^0.874)-(0.301*F296^0.751)/(1-H296)*H296)*(MAX('Max rate concentrations'!$P$3:$P$368)))/F296&gt;0, (((1.18*F296^0.874)-(0.301*F296^0.751)/(1-H296)*H296)*(MAX('Max rate concentrations'!$P$3:$P$368)))/F296, 0)</f>
        <v>0.41396014077437537</v>
      </c>
      <c r="N296" s="69">
        <f>IF((((1.18*F296^0.874)-(0.301*F296^0.751)/(1-H296)*H296)*(MAX('Max rate concentrations'!$Q$3:$Q$368)))/F296&gt;0, (((1.18*F296^0.874)-(0.301*F296^0.751)/(1-H296)*H296)*(MAX('Max rate concentrations'!$Q$3:$Q$368)))/F296, 0)</f>
        <v>1.576382458844761</v>
      </c>
      <c r="O296" s="69">
        <f>((MAX('Max rate concentrations'!$F$3:$F$368))*0.62*6.01*8*(10*F296^0.667)*0.079*0.1/F296)*inputs!$E$80/(10^(0.84+0.62*LOG10(inputs!$E$80)))</f>
        <v>43.720537054734628</v>
      </c>
      <c r="P296" s="69">
        <f>((MAX('Max rate concentrations'!Y:Y))*0.62*6.01*8*(10*F296^0.667)*0.079*0.1/F296)*inputs!$E$80/(10^(0.84+0.62*LOG10(inputs!$E$80)))</f>
        <v>14.573512351578209</v>
      </c>
      <c r="Q296" s="69">
        <f>(inputs!$C$18*11.2*(10*F296^0.667)*0.5/F296)*inputs!$E$80/(10^(0.84+0.62*LOG10(inputs!$E$80)))</f>
        <v>7.7011663908644801</v>
      </c>
      <c r="R296" s="59">
        <f>(60*284*((F296/1000)^0.77)*3*24*(MAX('Max rate concentrations'!$R$3:$R$368))/F296)*(inputs!$E$73*3.4/inputs!$E$75)</f>
        <v>5.9667319523820803E-2</v>
      </c>
      <c r="S296" s="59">
        <f>(IF(inputs!$C$17="aerial",((0.025*0.112*inputs!$C$18/3.3)*(3*60*284*((F296/1000)^0.77))*MAX(inputs!$I$14:$I$16))/F296,((0.0083*0.112*inputs!$C$18/1)*(3*60*284*((F296/1000)^0.77))*MAX(inputs!$I$14:$I$16))/F296))*(inputs!E$75*3.4/inputs!$E$73)</f>
        <v>0.32906893303309903</v>
      </c>
      <c r="T296" s="63">
        <f>IF((((inputs!$P$13/(V296/MAX(K296:S296)))^(1/inputs!$O$13))-1)/inputs!$N$13&lt;0, 0, IF((((inputs!$P$13/(V296/MAX(K296:S296)))^(1/inputs!$O$13))-1)/inputs!$N$13&lt;inputs!$I$17, (((inputs!$P$13/(V296/MAX(K296:S296)))^(1/inputs!$O$13))-1)/inputs!$N$13, inputs!$I$17))</f>
        <v>1000</v>
      </c>
      <c r="U296" s="63">
        <f>IF((((inputs!$P$13/(X296/MAX(K296:S296)))^(1/inputs!$O$13))-1)/inputs!$N$13&lt;0, 0, IF((((inputs!$P$13/(X296/MAX(K296:S296)))^(1/inputs!$O$13))-1)/inputs!$N$13&lt;inputs!$I$17, (((inputs!$P$13/(X296/MAX(K296:S296)))^(1/inputs!$O$13))-1)/inputs!$N$13, inputs!$I$17))</f>
        <v>112.86371923862789</v>
      </c>
      <c r="V296" s="21">
        <f>inputs!$E$78*(F296/inputs!$F$78)^(inputs!$E$84-1)</f>
        <v>2.717901230110276E-2</v>
      </c>
      <c r="W296" s="21">
        <f>inputs!$E$85*(F296/inputs!$F$85)^(inputs!$E$84-1)</f>
        <v>1.2550767199302031</v>
      </c>
      <c r="X296" s="21">
        <f>inputs!$E$80*(F296/inputs!$F$80)^(inputs!$E$84-1)</f>
        <v>4.6866788908786061</v>
      </c>
      <c r="Y296" s="21">
        <f>inputs!$E$82*(F296/inputs!$F$82)^(inputs!$E$84-1)</f>
        <v>2.1600162407718511</v>
      </c>
      <c r="Z296" s="63">
        <f t="shared" si="28"/>
        <v>7719.1463839900189</v>
      </c>
      <c r="AA296" s="63">
        <f t="shared" si="29"/>
        <v>167.16011953129436</v>
      </c>
    </row>
    <row r="297" spans="1:27" x14ac:dyDescent="0.25">
      <c r="A297" s="103" t="s">
        <v>281</v>
      </c>
      <c r="B297" s="20" t="s">
        <v>282</v>
      </c>
      <c r="C297" s="20" t="s">
        <v>73</v>
      </c>
      <c r="D297" s="104" t="s">
        <v>141</v>
      </c>
      <c r="E297" s="15">
        <v>77</v>
      </c>
      <c r="F297" s="15">
        <v>38</v>
      </c>
      <c r="G297" s="20" t="s">
        <v>152</v>
      </c>
      <c r="H297" s="20">
        <v>0.77</v>
      </c>
      <c r="I297" s="68">
        <f>MAX('Max rate concentrations'!$G$3:$G$368)</f>
        <v>45</v>
      </c>
      <c r="J297" s="68">
        <f>MAX('Max rate concentrations'!Z:Z)</f>
        <v>21</v>
      </c>
      <c r="K297" s="69">
        <f t="shared" si="30"/>
        <v>45.123233188659626</v>
      </c>
      <c r="L297" s="69">
        <f t="shared" si="27"/>
        <v>21.057508821374494</v>
      </c>
      <c r="M297" s="69">
        <f>IF((((1.18*F297^0.874)-(0.301*F297^0.751)/(1-H297)*H297)*(MAX('Max rate concentrations'!$P$3:$P$368)))/F297&gt;0, (((1.18*F297^0.874)-(0.301*F297^0.751)/(1-H297)*H297)*(MAX('Max rate concentrations'!$P$3:$P$368)))/F297, 0)</f>
        <v>0.29506523797075107</v>
      </c>
      <c r="N297" s="69">
        <f>IF((((1.18*F297^0.874)-(0.301*F297^0.751)/(1-H297)*H297)*(MAX('Max rate concentrations'!$Q$3:$Q$368)))/F297&gt;0, (((1.18*F297^0.874)-(0.301*F297^0.751)/(1-H297)*H297)*(MAX('Max rate concentrations'!$Q$3:$Q$368)))/F297, 0)</f>
        <v>1.1236242805450789</v>
      </c>
      <c r="O297" s="69">
        <f>((MAX('Max rate concentrations'!$F$3:$F$368))*0.62*6.01*8*(10*F297^0.667)*0.079*0.1/F297)*inputs!$E$80/(10^(0.84+0.62*LOG10(inputs!$E$80)))</f>
        <v>43.720537054734628</v>
      </c>
      <c r="P297" s="69">
        <f>((MAX('Max rate concentrations'!Y:Y))*0.62*6.01*8*(10*F297^0.667)*0.079*0.1/F297)*inputs!$E$80/(10^(0.84+0.62*LOG10(inputs!$E$80)))</f>
        <v>14.573512351578209</v>
      </c>
      <c r="Q297" s="69">
        <f>(inputs!$C$18*11.2*(10*F297^0.667)*0.5/F297)*inputs!$E$80/(10^(0.84+0.62*LOG10(inputs!$E$80)))</f>
        <v>7.7011663908644801</v>
      </c>
      <c r="R297" s="59">
        <f>(60*284*((F297/1000)^0.77)*3*24*(MAX('Max rate concentrations'!$R$3:$R$368))/F297)*(inputs!$E$73*3.4/inputs!$E$75)</f>
        <v>5.9667319523820803E-2</v>
      </c>
      <c r="S297" s="59">
        <f>(IF(inputs!$C$17="aerial",((0.025*0.112*inputs!$C$18/3.3)*(3*60*284*((F297/1000)^0.77))*MAX(inputs!$I$14:$I$16))/F297,((0.0083*0.112*inputs!$C$18/1)*(3*60*284*((F297/1000)^0.77))*MAX(inputs!$I$14:$I$16))/F297))*(inputs!E$75*3.4/inputs!$E$73)</f>
        <v>0.32906893303309903</v>
      </c>
      <c r="T297" s="63">
        <f>IF((((inputs!$P$13/(V297/MAX(K297:S297)))^(1/inputs!$O$13))-1)/inputs!$N$13&lt;0, 0, IF((((inputs!$P$13/(V297/MAX(K297:S297)))^(1/inputs!$O$13))-1)/inputs!$N$13&lt;inputs!$I$17, (((inputs!$P$13/(V297/MAX(K297:S297)))^(1/inputs!$O$13))-1)/inputs!$N$13, inputs!$I$17))</f>
        <v>1000</v>
      </c>
      <c r="U297" s="63">
        <f>IF((((inputs!$P$13/(X297/MAX(K297:S297)))^(1/inputs!$O$13))-1)/inputs!$N$13&lt;0, 0, IF((((inputs!$P$13/(X297/MAX(K297:S297)))^(1/inputs!$O$13))-1)/inputs!$N$13&lt;inputs!$I$17, (((inputs!$P$13/(X297/MAX(K297:S297)))^(1/inputs!$O$13))-1)/inputs!$N$13, inputs!$I$17))</f>
        <v>28.853374671170254</v>
      </c>
      <c r="V297" s="21">
        <f>inputs!$E$78*(F297/inputs!$F$78)^(inputs!$E$84-1)</f>
        <v>2.717901230110276E-2</v>
      </c>
      <c r="W297" s="21">
        <f>inputs!$E$85*(F297/inputs!$F$85)^(inputs!$E$84-1)</f>
        <v>1.2550767199302031</v>
      </c>
      <c r="X297" s="21">
        <f>inputs!$E$80*(F297/inputs!$F$80)^(inputs!$E$84-1)</f>
        <v>4.6866788908786061</v>
      </c>
      <c r="Y297" s="21">
        <f>inputs!$E$82*(F297/inputs!$F$82)^(inputs!$E$84-1)</f>
        <v>2.1600162407718511</v>
      </c>
      <c r="Z297" s="63">
        <f t="shared" si="28"/>
        <v>1660.2234359645511</v>
      </c>
      <c r="AA297" s="63">
        <f t="shared" si="29"/>
        <v>35.952569649422706</v>
      </c>
    </row>
    <row r="298" spans="1:27" x14ac:dyDescent="0.25">
      <c r="A298" s="103" t="s">
        <v>281</v>
      </c>
      <c r="B298" s="20" t="s">
        <v>282</v>
      </c>
      <c r="C298" s="20" t="s">
        <v>73</v>
      </c>
      <c r="D298" s="104" t="s">
        <v>141</v>
      </c>
      <c r="E298" s="15">
        <v>77</v>
      </c>
      <c r="F298" s="15">
        <v>38</v>
      </c>
      <c r="G298" s="20" t="s">
        <v>153</v>
      </c>
      <c r="H298" s="20">
        <v>0.7</v>
      </c>
      <c r="I298" s="68">
        <f>MAX('Max rate concentrations'!$E$3:$E$368)</f>
        <v>330</v>
      </c>
      <c r="J298" s="68">
        <f>MAX('Max rate concentrations'!X:X)</f>
        <v>108</v>
      </c>
      <c r="K298" s="69">
        <f t="shared" si="30"/>
        <v>253.69284437179741</v>
      </c>
      <c r="L298" s="69">
        <f t="shared" si="27"/>
        <v>83.026749067133693</v>
      </c>
      <c r="M298" s="69">
        <f>IF((((1.18*F298^0.874)-(0.301*F298^0.751)/(1-H298)*H298)*(MAX('Max rate concentrations'!$P$3:$P$368)))/F298&gt;0, (((1.18*F298^0.874)-(0.301*F298^0.751)/(1-H298)*H298)*(MAX('Max rate concentrations'!$P$3:$P$368)))/F298, 0)</f>
        <v>0.40256604592236139</v>
      </c>
      <c r="N298" s="69">
        <f>IF((((1.18*F298^0.874)-(0.301*F298^0.751)/(1-H298)*H298)*(MAX('Max rate concentrations'!$Q$3:$Q$368)))/F298&gt;0, (((1.18*F298^0.874)-(0.301*F298^0.751)/(1-H298)*H298)*(MAX('Max rate concentrations'!$Q$3:$Q$368)))/F298, 0)</f>
        <v>1.5329931334243747</v>
      </c>
      <c r="O298" s="69">
        <f>((MAX('Max rate concentrations'!$F$3:$F$368))*0.62*6.01*8*(10*F298^0.667)*0.079*0.1/F298)*inputs!$E$80/(10^(0.84+0.62*LOG10(inputs!$E$80)))</f>
        <v>43.720537054734628</v>
      </c>
      <c r="P298" s="69">
        <f>((MAX('Max rate concentrations'!Y:Y))*0.62*6.01*8*(10*F298^0.667)*0.079*0.1/F298)*inputs!$E$80/(10^(0.84+0.62*LOG10(inputs!$E$80)))</f>
        <v>14.573512351578209</v>
      </c>
      <c r="Q298" s="69">
        <f>(inputs!$C$18*11.2*(10*F298^0.667)*0.5/F298)*inputs!$E$80/(10^(0.84+0.62*LOG10(inputs!$E$80)))</f>
        <v>7.7011663908644801</v>
      </c>
      <c r="R298" s="59">
        <f>(60*284*((F298/1000)^0.77)*3*24*(MAX('Max rate concentrations'!$R$3:$R$368))/F298)*(inputs!$E$73*3.4/inputs!$E$75)</f>
        <v>5.9667319523820803E-2</v>
      </c>
      <c r="S298" s="59">
        <f>(IF(inputs!$C$17="aerial",((0.025*0.112*inputs!$C$18/3.3)*(3*60*284*((F298/1000)^0.77))*MAX(inputs!$I$14:$I$16))/F298,((0.0083*0.112*inputs!$C$18/1)*(3*60*284*((F298/1000)^0.77))*MAX(inputs!$I$14:$I$16))/F298))*(inputs!E$75*3.4/inputs!$E$73)</f>
        <v>0.32906893303309903</v>
      </c>
      <c r="T298" s="63">
        <f>IF((((inputs!$P$13/(V298/MAX(K298:S298)))^(1/inputs!$O$13))-1)/inputs!$N$13&lt;0, 0, IF((((inputs!$P$13/(V298/MAX(K298:S298)))^(1/inputs!$O$13))-1)/inputs!$N$13&lt;inputs!$I$17, (((inputs!$P$13/(V298/MAX(K298:S298)))^(1/inputs!$O$13))-1)/inputs!$N$13, inputs!$I$17))</f>
        <v>1000</v>
      </c>
      <c r="U298" s="63">
        <f>IF((((inputs!$P$13/(X298/MAX(K298:S298)))^(1/inputs!$O$13))-1)/inputs!$N$13&lt;0, 0, IF((((inputs!$P$13/(X298/MAX(K298:S298)))^(1/inputs!$O$13))-1)/inputs!$N$13&lt;inputs!$I$17, (((inputs!$P$13/(X298/MAX(K298:S298)))^(1/inputs!$O$13))-1)/inputs!$N$13, inputs!$I$17))</f>
        <v>132.47346974622886</v>
      </c>
      <c r="V298" s="21">
        <f>inputs!$E$78*(F298/inputs!$F$78)^(inputs!$E$84-1)</f>
        <v>2.717901230110276E-2</v>
      </c>
      <c r="W298" s="21">
        <f>inputs!$E$85*(F298/inputs!$F$85)^(inputs!$E$84-1)</f>
        <v>1.2550767199302031</v>
      </c>
      <c r="X298" s="21">
        <f>inputs!$E$80*(F298/inputs!$F$80)^(inputs!$E$84-1)</f>
        <v>4.6866788908786061</v>
      </c>
      <c r="Y298" s="21">
        <f>inputs!$E$82*(F298/inputs!$F$82)^(inputs!$E$84-1)</f>
        <v>2.1600162407718511</v>
      </c>
      <c r="Z298" s="63">
        <f t="shared" si="28"/>
        <v>9334.1450955340297</v>
      </c>
      <c r="AA298" s="63">
        <f t="shared" si="29"/>
        <v>202.13333602897654</v>
      </c>
    </row>
    <row r="299" spans="1:27" x14ac:dyDescent="0.25">
      <c r="A299" s="103" t="s">
        <v>281</v>
      </c>
      <c r="B299" s="20" t="s">
        <v>282</v>
      </c>
      <c r="C299" s="20" t="s">
        <v>73</v>
      </c>
      <c r="D299" s="104" t="s">
        <v>141</v>
      </c>
      <c r="E299" s="15">
        <v>77</v>
      </c>
      <c r="F299" s="15">
        <v>38</v>
      </c>
      <c r="G299" s="20" t="s">
        <v>146</v>
      </c>
      <c r="H299" s="20">
        <v>0.84</v>
      </c>
      <c r="I299" s="68">
        <f>MAX('Max rate concentrations'!$I$3:$I$368)</f>
        <v>56.865414300472793</v>
      </c>
      <c r="J299" s="68" t="s">
        <v>13</v>
      </c>
      <c r="K299" s="69">
        <f t="shared" si="30"/>
        <v>81.967890342429698</v>
      </c>
      <c r="L299" s="69" t="s">
        <v>13</v>
      </c>
      <c r="M299" s="69">
        <f>IF((((1.18*F299^0.874)-(0.301*F299^0.751)/(1-H299)*H299)*(MAX('Max rate concentrations'!$P$3:$P$368)))/F299&gt;0, (((1.18*F299^0.874)-(0.301*F299^0.751)/(1-H299)*H299)*(MAX('Max rate concentrations'!$P$3:$P$368)))/F299, 0)</f>
        <v>9.3501223061482272E-2</v>
      </c>
      <c r="N299" s="69">
        <f>IF((((1.18*F299^0.874)-(0.301*F299^0.751)/(1-H299)*H299)*(MAX('Max rate concentrations'!$Q$3:$Q$368)))/F299&gt;0, (((1.18*F299^0.874)-(0.301*F299^0.751)/(1-H299)*H299)*(MAX('Max rate concentrations'!$Q$3:$Q$368)))/F299, 0)</f>
        <v>0.35605768139640104</v>
      </c>
      <c r="O299" s="69">
        <f>((MAX('Max rate concentrations'!$F$3:$F$368))*0.62*6.01*8*(10*F299^0.667)*0.079*0.1/F299)*inputs!$E$80/(10^(0.84+0.62*LOG10(inputs!$E$80)))</f>
        <v>43.720537054734628</v>
      </c>
      <c r="P299" s="69">
        <f>((MAX('Max rate concentrations'!Y:Y))*0.62*6.01*8*(10*F299^0.667)*0.079*0.1/F299)*inputs!$E$80/(10^(0.84+0.62*LOG10(inputs!$E$80)))</f>
        <v>14.573512351578209</v>
      </c>
      <c r="Q299" s="69">
        <f>(inputs!$C$18*11.2*(10*F299^0.667)*0.5/F299)*inputs!$E$80/(10^(0.84+0.62*LOG10(inputs!$E$80)))</f>
        <v>7.7011663908644801</v>
      </c>
      <c r="R299" s="59">
        <f>(60*284*((F299/1000)^0.77)*3*24*(MAX('Max rate concentrations'!$R$3:$R$368))/F299)*(inputs!$E$73*3.4/inputs!$E$75)</f>
        <v>5.9667319523820803E-2</v>
      </c>
      <c r="S299" s="59">
        <f>(IF(inputs!$C$17="aerial",((0.025*0.112*inputs!$C$18/3.3)*(3*60*284*((F299/1000)^0.77))*MAX(inputs!$I$14:$I$16))/F299,((0.0083*0.112*inputs!$C$18/1)*(3*60*284*((F299/1000)^0.77))*MAX(inputs!$I$14:$I$16))/F299))*(inputs!E$75*3.4/inputs!$E$73)</f>
        <v>0.32906893303309903</v>
      </c>
      <c r="T299" s="63">
        <f>IF((((inputs!$P$13/(V299/MAX(K299:S299)))^(1/inputs!$O$13))-1)/inputs!$N$13&lt;0, 0, IF((((inputs!$P$13/(V299/MAX(K299:S299)))^(1/inputs!$O$13))-1)/inputs!$N$13&lt;inputs!$I$17, (((inputs!$P$13/(V299/MAX(K299:S299)))^(1/inputs!$O$13))-1)/inputs!$N$13, inputs!$I$17))</f>
        <v>1000</v>
      </c>
      <c r="U299" s="63">
        <f>IF((((inputs!$P$13/(X299/MAX(K299:S299)))^(1/inputs!$O$13))-1)/inputs!$N$13&lt;0, 0, IF((((inputs!$P$13/(X299/MAX(K299:S299)))^(1/inputs!$O$13))-1)/inputs!$N$13&lt;inputs!$I$17, (((inputs!$P$13/(X299/MAX(K299:S299)))^(1/inputs!$O$13))-1)/inputs!$N$13, inputs!$I$17))</f>
        <v>49.999621148811947</v>
      </c>
      <c r="V299" s="21">
        <f>inputs!$E$78*(F299/inputs!$F$78)^(inputs!$E$84-1)</f>
        <v>2.717901230110276E-2</v>
      </c>
      <c r="W299" s="21">
        <f>inputs!$E$85*(F299/inputs!$F$85)^(inputs!$E$84-1)</f>
        <v>1.2550767199302031</v>
      </c>
      <c r="X299" s="21">
        <f>inputs!$E$80*(F299/inputs!$F$80)^(inputs!$E$84-1)</f>
        <v>4.6866788908786061</v>
      </c>
      <c r="Y299" s="21">
        <f>inputs!$E$82*(F299/inputs!$F$82)^(inputs!$E$84-1)</f>
        <v>2.1600162407718511</v>
      </c>
      <c r="Z299" s="63">
        <f t="shared" si="28"/>
        <v>3015.8524318083455</v>
      </c>
      <c r="AA299" s="63">
        <f t="shared" si="29"/>
        <v>65.309067597866104</v>
      </c>
    </row>
    <row r="300" spans="1:27" x14ac:dyDescent="0.25">
      <c r="A300" s="103" t="s">
        <v>263</v>
      </c>
      <c r="B300" s="20" t="s">
        <v>264</v>
      </c>
      <c r="C300" s="20" t="s">
        <v>73</v>
      </c>
      <c r="D300" s="104" t="s">
        <v>141</v>
      </c>
      <c r="E300" s="15">
        <v>64</v>
      </c>
      <c r="F300" s="15">
        <v>34</v>
      </c>
      <c r="G300" s="20" t="s">
        <v>142</v>
      </c>
      <c r="H300" s="20">
        <v>0.69</v>
      </c>
      <c r="I300" s="68">
        <f>MAX('Max rate concentrations'!$H$3:$H$368)</f>
        <v>282</v>
      </c>
      <c r="J300" s="68">
        <f>MAX('Max rate concentrations'!AA:AA)</f>
        <v>195</v>
      </c>
      <c r="K300" s="69">
        <f t="shared" si="30"/>
        <v>213.32838669528712</v>
      </c>
      <c r="L300" s="69">
        <f t="shared" ref="L300:L307" si="31">((0.398*F300^0.85)/(1-H300))*J300/F300</f>
        <v>147.51430994886877</v>
      </c>
      <c r="M300" s="69">
        <f>IF((((1.18*F300^0.874)-(0.301*F300^0.751)/(1-H300)*H300)*(MAX('Max rate concentrations'!$P$3:$P$368)))/F300&gt;0, (((1.18*F300^0.874)-(0.301*F300^0.751)/(1-H300)*H300)*(MAX('Max rate concentrations'!$P$3:$P$368)))/F300, 0)</f>
        <v>0.41650766196971606</v>
      </c>
      <c r="N300" s="69">
        <f>IF((((1.18*F300^0.874)-(0.301*F300^0.751)/(1-H300)*H300)*(MAX('Max rate concentrations'!$Q$3:$Q$368)))/F300&gt;0, (((1.18*F300^0.874)-(0.301*F300^0.751)/(1-H300)*H300)*(MAX('Max rate concentrations'!$Q$3:$Q$368)))/F300, 0)</f>
        <v>1.5860835564392251</v>
      </c>
      <c r="O300" s="69">
        <f>((MAX('Max rate concentrations'!$F$3:$F$368))*0.62*6.01*8*(10*F300^0.667)*0.079*0.1/F300)*inputs!$E$80/(10^(0.84+0.62*LOG10(inputs!$E$80)))</f>
        <v>45.370226397264176</v>
      </c>
      <c r="P300" s="69">
        <f>((MAX('Max rate concentrations'!Y:Y))*0.62*6.01*8*(10*F300^0.667)*0.079*0.1/F300)*inputs!$E$80/(10^(0.84+0.62*LOG10(inputs!$E$80)))</f>
        <v>15.123408799088054</v>
      </c>
      <c r="Q300" s="69">
        <f>(inputs!$C$18*11.2*(10*F300^0.667)*0.5/F300)*inputs!$E$80/(10^(0.84+0.62*LOG10(inputs!$E$80)))</f>
        <v>7.9917513876624557</v>
      </c>
      <c r="R300" s="59">
        <f>(60*284*((F300/1000)^0.77)*3*24*(MAX('Max rate concentrations'!$R$3:$R$368))/F300)*(inputs!$E$73*3.4/inputs!$E$75)</f>
        <v>6.121341439301578E-2</v>
      </c>
      <c r="S300" s="59">
        <f>(IF(inputs!$C$17="aerial",((0.025*0.112*inputs!$C$18/3.3)*(3*60*284*((F300/1000)^0.77))*MAX(inputs!$I$14:$I$16))/F300,((0.0083*0.112*inputs!$C$18/1)*(3*60*284*((F300/1000)^0.77))*MAX(inputs!$I$14:$I$16))/F300))*(inputs!E$75*3.4/inputs!$E$73)</f>
        <v>0.33759574122616398</v>
      </c>
      <c r="T300" s="63">
        <f>IF((((inputs!$P$13/(V300/MAX(K300:S300)))^(1/inputs!$O$13))-1)/inputs!$N$13&lt;0, 0, IF((((inputs!$P$13/(V300/MAX(K300:S300)))^(1/inputs!$O$13))-1)/inputs!$N$13&lt;inputs!$I$17, (((inputs!$P$13/(V300/MAX(K300:S300)))^(1/inputs!$O$13))-1)/inputs!$N$13, inputs!$I$17))</f>
        <v>1000</v>
      </c>
      <c r="U300" s="63">
        <f>IF((((inputs!$P$13/(X300/MAX(K300:S300)))^(1/inputs!$O$13))-1)/inputs!$N$13&lt;0, 0, IF((((inputs!$P$13/(X300/MAX(K300:S300)))^(1/inputs!$O$13))-1)/inputs!$N$13&lt;inputs!$I$17, (((inputs!$P$13/(X300/MAX(K300:S300)))^(1/inputs!$O$13))-1)/inputs!$N$13, inputs!$I$17))</f>
        <v>110.54991958491922</v>
      </c>
      <c r="V300" s="21">
        <f>inputs!$E$78*(F300/inputs!$F$78)^(inputs!$E$84-1)</f>
        <v>2.832085768556198E-2</v>
      </c>
      <c r="W300" s="21">
        <f>inputs!$E$85*(F300/inputs!$F$85)^(inputs!$E$84-1)</f>
        <v>1.3078050363207285</v>
      </c>
      <c r="X300" s="21">
        <f>inputs!$E$80*(F300/inputs!$F$80)^(inputs!$E$84-1)</f>
        <v>4.883575768539429</v>
      </c>
      <c r="Y300" s="21">
        <f>inputs!$E$82*(F300/inputs!$F$82)^(inputs!$E$84-1)</f>
        <v>2.2507629002736103</v>
      </c>
      <c r="Z300" s="63">
        <f t="shared" si="28"/>
        <v>7532.5538888619985</v>
      </c>
      <c r="AA300" s="63">
        <f t="shared" si="29"/>
        <v>163.11941059307105</v>
      </c>
    </row>
    <row r="301" spans="1:27" x14ac:dyDescent="0.25">
      <c r="A301" s="103" t="s">
        <v>263</v>
      </c>
      <c r="B301" s="20" t="s">
        <v>264</v>
      </c>
      <c r="C301" s="20" t="s">
        <v>73</v>
      </c>
      <c r="D301" s="104" t="s">
        <v>141</v>
      </c>
      <c r="E301" s="15">
        <v>64</v>
      </c>
      <c r="F301" s="15">
        <v>34</v>
      </c>
      <c r="G301" s="20" t="s">
        <v>153</v>
      </c>
      <c r="H301" s="20">
        <v>0.7</v>
      </c>
      <c r="I301" s="68">
        <f>MAX('Max rate concentrations'!$E$3:$E$368)</f>
        <v>330</v>
      </c>
      <c r="J301" s="68">
        <f>MAX('Max rate concentrations'!X:X)</f>
        <v>108</v>
      </c>
      <c r="K301" s="69">
        <f t="shared" si="30"/>
        <v>257.9609215003295</v>
      </c>
      <c r="L301" s="69">
        <f t="shared" si="31"/>
        <v>84.423574309198742</v>
      </c>
      <c r="M301" s="69">
        <f>IF((((1.18*F301^0.874)-(0.301*F301^0.751)/(1-H301)*H301)*(MAX('Max rate concentrations'!$P$3:$P$368)))/F301&gt;0, (((1.18*F301^0.874)-(0.301*F301^0.751)/(1-H301)*H301)*(MAX('Max rate concentrations'!$P$3:$P$368)))/F301, 0)</f>
        <v>0.40479359518529451</v>
      </c>
      <c r="N301" s="69">
        <f>IF((((1.18*F301^0.874)-(0.301*F301^0.751)/(1-H301)*H301)*(MAX('Max rate concentrations'!$Q$3:$Q$368)))/F301&gt;0, (((1.18*F301^0.874)-(0.301*F301^0.751)/(1-H301)*H301)*(MAX('Max rate concentrations'!$Q$3:$Q$368)))/F301, 0)</f>
        <v>1.5414757607076</v>
      </c>
      <c r="O301" s="69">
        <f>((MAX('Max rate concentrations'!$F$3:$F$368))*0.62*6.01*8*(10*F301^0.667)*0.079*0.1/F301)*inputs!$E$80/(10^(0.84+0.62*LOG10(inputs!$E$80)))</f>
        <v>45.370226397264176</v>
      </c>
      <c r="P301" s="69">
        <f>((MAX('Max rate concentrations'!Y:Y))*0.62*6.01*8*(10*F301^0.667)*0.079*0.1/F301)*inputs!$E$80/(10^(0.84+0.62*LOG10(inputs!$E$80)))</f>
        <v>15.123408799088054</v>
      </c>
      <c r="Q301" s="69">
        <f>(inputs!$C$18*11.2*(10*F301^0.667)*0.5/F301)*inputs!$E$80/(10^(0.84+0.62*LOG10(inputs!$E$80)))</f>
        <v>7.9917513876624557</v>
      </c>
      <c r="R301" s="59">
        <f>(60*284*((F301/1000)^0.77)*3*24*(MAX('Max rate concentrations'!$R$3:$R$368))/F301)*(inputs!$E$73*3.4/inputs!$E$75)</f>
        <v>6.121341439301578E-2</v>
      </c>
      <c r="S301" s="59">
        <f>(IF(inputs!$C$17="aerial",((0.025*0.112*inputs!$C$18/3.3)*(3*60*284*((F301/1000)^0.77))*MAX(inputs!$I$14:$I$16))/F301,((0.0083*0.112*inputs!$C$18/1)*(3*60*284*((F301/1000)^0.77))*MAX(inputs!$I$14:$I$16))/F301))*(inputs!E$75*3.4/inputs!$E$73)</f>
        <v>0.33759574122616398</v>
      </c>
      <c r="T301" s="63">
        <f>IF((((inputs!$P$13/(V301/MAX(K301:S301)))^(1/inputs!$O$13))-1)/inputs!$N$13&lt;0, 0, IF((((inputs!$P$13/(V301/MAX(K301:S301)))^(1/inputs!$O$13))-1)/inputs!$N$13&lt;inputs!$I$17, (((inputs!$P$13/(V301/MAX(K301:S301)))^(1/inputs!$O$13))-1)/inputs!$N$13, inputs!$I$17))</f>
        <v>1000</v>
      </c>
      <c r="U301" s="63">
        <f>IF((((inputs!$P$13/(X301/MAX(K301:S301)))^(1/inputs!$O$13))-1)/inputs!$N$13&lt;0, 0, IF((((inputs!$P$13/(X301/MAX(K301:S301)))^(1/inputs!$O$13))-1)/inputs!$N$13&lt;inputs!$I$17, (((inputs!$P$13/(X301/MAX(K301:S301)))^(1/inputs!$O$13))-1)/inputs!$N$13, inputs!$I$17))</f>
        <v>129.77544952216684</v>
      </c>
      <c r="V301" s="21">
        <f>inputs!$E$78*(F301/inputs!$F$78)^(inputs!$E$84-1)</f>
        <v>2.832085768556198E-2</v>
      </c>
      <c r="W301" s="21">
        <f>inputs!$E$85*(F301/inputs!$F$85)^(inputs!$E$84-1)</f>
        <v>1.3078050363207285</v>
      </c>
      <c r="X301" s="21">
        <f>inputs!$E$80*(F301/inputs!$F$80)^(inputs!$E$84-1)</f>
        <v>4.883575768539429</v>
      </c>
      <c r="Y301" s="21">
        <f>inputs!$E$82*(F301/inputs!$F$82)^(inputs!$E$84-1)</f>
        <v>2.2507629002736103</v>
      </c>
      <c r="Z301" s="63">
        <f t="shared" si="28"/>
        <v>9108.5137450423481</v>
      </c>
      <c r="AA301" s="63">
        <f t="shared" si="29"/>
        <v>197.24723053984837</v>
      </c>
    </row>
    <row r="302" spans="1:27" x14ac:dyDescent="0.25">
      <c r="A302" s="103" t="s">
        <v>868</v>
      </c>
      <c r="B302" s="20" t="s">
        <v>870</v>
      </c>
      <c r="C302" s="20" t="s">
        <v>73</v>
      </c>
      <c r="D302" s="104" t="s">
        <v>141</v>
      </c>
      <c r="E302" s="15">
        <v>100</v>
      </c>
      <c r="F302" s="15">
        <v>23</v>
      </c>
      <c r="G302" s="20" t="s">
        <v>142</v>
      </c>
      <c r="H302" s="20">
        <v>0.69</v>
      </c>
      <c r="I302" s="68">
        <f>MAX('Max rate concentrations'!$H$3:$H$368)</f>
        <v>282</v>
      </c>
      <c r="J302" s="68">
        <f>MAX('Max rate concentrations'!AA:AA)</f>
        <v>195</v>
      </c>
      <c r="K302" s="69">
        <f t="shared" si="30"/>
        <v>226.20974551032862</v>
      </c>
      <c r="L302" s="69">
        <f t="shared" si="31"/>
        <v>156.42163253373789</v>
      </c>
      <c r="M302" s="69">
        <f>IF((((1.18*F302^0.874)-(0.301*F302^0.751)/(1-H302)*H302)*(MAX('Max rate concentrations'!$P$3:$P$368)))/F302&gt;0, (((1.18*F302^0.874)-(0.301*F302^0.751)/(1-H302)*H302)*(MAX('Max rate concentrations'!$P$3:$P$368)))/F302, 0)</f>
        <v>0.42498850876966365</v>
      </c>
      <c r="N302" s="69">
        <f>IF((((1.18*F302^0.874)-(0.301*F302^0.751)/(1-H302)*H302)*(MAX('Max rate concentrations'!$Q$3:$Q$368)))/F302&gt;0, (((1.18*F302^0.874)-(0.301*F302^0.751)/(1-H302)*H302)*(MAX('Max rate concentrations'!$Q$3:$Q$368)))/F302, 0)</f>
        <v>1.6183790767436153</v>
      </c>
      <c r="O302" s="69">
        <f>((MAX('Max rate concentrations'!$F$3:$F$368))*0.62*6.01*8*(10*F302^0.667)*0.079*0.1/F302)*inputs!$E$80/(10^(0.84+0.62*LOG10(inputs!$E$80)))</f>
        <v>51.677090756449005</v>
      </c>
      <c r="P302" s="69">
        <f>((MAX('Max rate concentrations'!Y:Y))*0.62*6.01*8*(10*F302^0.667)*0.079*0.1/F302)*inputs!$E$80/(10^(0.84+0.62*LOG10(inputs!$E$80)))</f>
        <v>17.225696918816332</v>
      </c>
      <c r="Q302" s="69">
        <f>(inputs!$C$18*11.2*(10*F302^0.667)*0.5/F302)*inputs!$E$80/(10^(0.84+0.62*LOG10(inputs!$E$80)))</f>
        <v>9.10267579771463</v>
      </c>
      <c r="R302" s="59">
        <f>(60*284*((F302/1000)^0.77)*3*24*(MAX('Max rate concentrations'!$R$3:$R$368))/F302)*(inputs!$E$73*3.4/inputs!$E$75)</f>
        <v>6.6971396205395495E-2</v>
      </c>
      <c r="S302" s="59">
        <f>(IF(inputs!$C$17="aerial",((0.025*0.112*inputs!$C$18/3.3)*(3*60*284*((F302/1000)^0.77))*MAX(inputs!$I$14:$I$16))/F302,((0.0083*0.112*inputs!$C$18/1)*(3*60*284*((F302/1000)^0.77))*MAX(inputs!$I$14:$I$16))/F302))*(inputs!E$75*3.4/inputs!$E$73)</f>
        <v>0.36935136468210511</v>
      </c>
      <c r="T302" s="63">
        <f>IF((((inputs!$P$13/(V302/MAX(K302:S302)))^(1/inputs!$O$13))-1)/inputs!$N$13&lt;0, 0, IF((((inputs!$P$13/(V302/MAX(K302:S302)))^(1/inputs!$O$13))-1)/inputs!$N$13&lt;inputs!$I$17, (((inputs!$P$13/(V302/MAX(K302:S302)))^(1/inputs!$O$13))-1)/inputs!$N$13, inputs!$I$17))</f>
        <v>1000</v>
      </c>
      <c r="U302" s="63">
        <f>IF((((inputs!$P$13/(X302/MAX(K302:S302)))^(1/inputs!$O$13))-1)/inputs!$N$13&lt;0, 0, IF((((inputs!$P$13/(X302/MAX(K302:S302)))^(1/inputs!$O$13))-1)/inputs!$N$13&lt;inputs!$I$17, (((inputs!$P$13/(X302/MAX(K302:S302)))^(1/inputs!$O$13))-1)/inputs!$N$13, inputs!$I$17))</f>
        <v>102.77255126991891</v>
      </c>
      <c r="V302" s="21">
        <f>inputs!$E$78*(F302/inputs!$F$78)^(inputs!$E$84-1)</f>
        <v>3.2727610783302954E-2</v>
      </c>
      <c r="W302" s="21">
        <f>inputs!$E$85*(F302/inputs!$F$85)^(inputs!$E$84-1)</f>
        <v>1.5113007764227557</v>
      </c>
      <c r="X302" s="21">
        <f>inputs!$E$80*(F302/inputs!$F$80)^(inputs!$E$84-1)</f>
        <v>5.6434649246166195</v>
      </c>
      <c r="Y302" s="21">
        <f>inputs!$E$82*(F302/inputs!$F$82)^(inputs!$E$84-1)</f>
        <v>2.6009838043572349</v>
      </c>
      <c r="Z302" s="63">
        <f t="shared" si="28"/>
        <v>6911.8930498200871</v>
      </c>
      <c r="AA302" s="63">
        <f t="shared" si="29"/>
        <v>149.67883894413552</v>
      </c>
    </row>
    <row r="303" spans="1:27" x14ac:dyDescent="0.25">
      <c r="A303" s="103" t="s">
        <v>868</v>
      </c>
      <c r="B303" s="20" t="s">
        <v>870</v>
      </c>
      <c r="C303" s="20" t="s">
        <v>73</v>
      </c>
      <c r="D303" s="104" t="s">
        <v>141</v>
      </c>
      <c r="E303" s="15">
        <v>100</v>
      </c>
      <c r="F303" s="15">
        <v>23</v>
      </c>
      <c r="G303" s="20" t="s">
        <v>153</v>
      </c>
      <c r="H303" s="20">
        <v>0.7</v>
      </c>
      <c r="I303" s="68">
        <f>MAX('Max rate concentrations'!$E$3:$E$368)</f>
        <v>330</v>
      </c>
      <c r="J303" s="68">
        <f>MAX('Max rate concentrations'!X:X)</f>
        <v>108</v>
      </c>
      <c r="K303" s="69">
        <f t="shared" si="30"/>
        <v>273.53731637951086</v>
      </c>
      <c r="L303" s="69">
        <f t="shared" si="31"/>
        <v>89.521303542385382</v>
      </c>
      <c r="M303" s="69">
        <f>IF((((1.18*F303^0.874)-(0.301*F303^0.751)/(1-H303)*H303)*(MAX('Max rate concentrations'!$P$3:$P$368)))/F303&gt;0, (((1.18*F303^0.874)-(0.301*F303^0.751)/(1-H303)*H303)*(MAX('Max rate concentrations'!$P$3:$P$368)))/F303, 0)</f>
        <v>0.41207703804448514</v>
      </c>
      <c r="N303" s="69">
        <f>IF((((1.18*F303^0.874)-(0.301*F303^0.751)/(1-H303)*H303)*(MAX('Max rate concentrations'!$Q$3:$Q$368)))/F303&gt;0, (((1.18*F303^0.874)-(0.301*F303^0.751)/(1-H303)*H303)*(MAX('Max rate concentrations'!$Q$3:$Q$368)))/F303, 0)</f>
        <v>1.5692115024670559</v>
      </c>
      <c r="O303" s="69">
        <f>((MAX('Max rate concentrations'!$F$3:$F$368))*0.62*6.01*8*(10*F303^0.667)*0.079*0.1/F303)*inputs!$E$80/(10^(0.84+0.62*LOG10(inputs!$E$80)))</f>
        <v>51.677090756449005</v>
      </c>
      <c r="P303" s="69">
        <f>((MAX('Max rate concentrations'!Y:Y))*0.62*6.01*8*(10*F303^0.667)*0.079*0.1/F303)*inputs!$E$80/(10^(0.84+0.62*LOG10(inputs!$E$80)))</f>
        <v>17.225696918816332</v>
      </c>
      <c r="Q303" s="69">
        <f>(inputs!$C$18*11.2*(10*F303^0.667)*0.5/F303)*inputs!$E$80/(10^(0.84+0.62*LOG10(inputs!$E$80)))</f>
        <v>9.10267579771463</v>
      </c>
      <c r="R303" s="59">
        <f>(60*284*((F303/1000)^0.77)*3*24*(MAX('Max rate concentrations'!$R$3:$R$368))/F303)*(inputs!$E$73*3.4/inputs!$E$75)</f>
        <v>6.6971396205395495E-2</v>
      </c>
      <c r="S303" s="59">
        <f>(IF(inputs!$C$17="aerial",((0.025*0.112*inputs!$C$18/3.3)*(3*60*284*((F303/1000)^0.77))*MAX(inputs!$I$14:$I$16))/F303,((0.0083*0.112*inputs!$C$18/1)*(3*60*284*((F303/1000)^0.77))*MAX(inputs!$I$14:$I$16))/F303))*(inputs!E$75*3.4/inputs!$E$73)</f>
        <v>0.36935136468210511</v>
      </c>
      <c r="T303" s="63">
        <f>IF((((inputs!$P$13/(V303/MAX(K303:S303)))^(1/inputs!$O$13))-1)/inputs!$N$13&lt;0, 0, IF((((inputs!$P$13/(V303/MAX(K303:S303)))^(1/inputs!$O$13))-1)/inputs!$N$13&lt;inputs!$I$17, (((inputs!$P$13/(V303/MAX(K303:S303)))^(1/inputs!$O$13))-1)/inputs!$N$13, inputs!$I$17))</f>
        <v>1000</v>
      </c>
      <c r="U303" s="63">
        <f>IF((((inputs!$P$13/(X303/MAX(K303:S303)))^(1/inputs!$O$13))-1)/inputs!$N$13&lt;0, 0, IF((((inputs!$P$13/(X303/MAX(K303:S303)))^(1/inputs!$O$13))-1)/inputs!$N$13&lt;inputs!$I$17, (((inputs!$P$13/(X303/MAX(K303:S303)))^(1/inputs!$O$13))-1)/inputs!$N$13, inputs!$I$17))</f>
        <v>120.7066016769283</v>
      </c>
      <c r="V303" s="21">
        <f>inputs!$E$78*(F303/inputs!$F$78)^(inputs!$E$84-1)</f>
        <v>3.2727610783302954E-2</v>
      </c>
      <c r="W303" s="21">
        <f>inputs!$E$85*(F303/inputs!$F$85)^(inputs!$E$84-1)</f>
        <v>1.5113007764227557</v>
      </c>
      <c r="X303" s="21">
        <f>inputs!$E$80*(F303/inputs!$F$80)^(inputs!$E$84-1)</f>
        <v>5.6434649246166195</v>
      </c>
      <c r="Y303" s="21">
        <f>inputs!$E$82*(F303/inputs!$F$82)^(inputs!$E$84-1)</f>
        <v>2.6009838043572349</v>
      </c>
      <c r="Z303" s="63">
        <f t="shared" si="28"/>
        <v>8357.9983332930842</v>
      </c>
      <c r="AA303" s="63">
        <f t="shared" si="29"/>
        <v>180.99462439698658</v>
      </c>
    </row>
    <row r="304" spans="1:27" ht="26.4" x14ac:dyDescent="0.25">
      <c r="A304" s="103" t="s">
        <v>340</v>
      </c>
      <c r="B304" s="20" t="s">
        <v>341</v>
      </c>
      <c r="C304" s="20" t="s">
        <v>73</v>
      </c>
      <c r="D304" s="104" t="s">
        <v>141</v>
      </c>
      <c r="E304" s="15">
        <v>94</v>
      </c>
      <c r="F304" s="15">
        <v>12.3</v>
      </c>
      <c r="G304" s="20" t="s">
        <v>142</v>
      </c>
      <c r="H304" s="20">
        <v>0.69</v>
      </c>
      <c r="I304" s="68">
        <f>MAX('Max rate concentrations'!$H$3:$H$368)</f>
        <v>282</v>
      </c>
      <c r="J304" s="68">
        <f>MAX('Max rate concentrations'!AA:AA)</f>
        <v>195</v>
      </c>
      <c r="K304" s="69">
        <f t="shared" si="30"/>
        <v>248.47615604071072</v>
      </c>
      <c r="L304" s="69">
        <f t="shared" si="31"/>
        <v>171.81861853878934</v>
      </c>
      <c r="M304" s="69">
        <f>IF((((1.18*F304^0.874)-(0.301*F304^0.751)/(1-H304)*H304)*(MAX('Max rate concentrations'!$P$3:$P$368)))/F304&gt;0, (((1.18*F304^0.874)-(0.301*F304^0.751)/(1-H304)*H304)*(MAX('Max rate concentrations'!$P$3:$P$368)))/F304, 0)</f>
        <v>0.43671791585177189</v>
      </c>
      <c r="N304" s="69">
        <f>IF((((1.18*F304^0.874)-(0.301*F304^0.751)/(1-H304)*H304)*(MAX('Max rate concentrations'!$Q$3:$Q$368)))/F304&gt;0, (((1.18*F304^0.874)-(0.301*F304^0.751)/(1-H304)*H304)*(MAX('Max rate concentrations'!$Q$3:$Q$368)))/F304, 0)</f>
        <v>1.6630452891530916</v>
      </c>
      <c r="O304" s="69">
        <f>((MAX('Max rate concentrations'!$F$3:$F$368))*0.62*6.01*8*(10*F304^0.667)*0.079*0.1/F304)*inputs!$E$80/(10^(0.84+0.62*LOG10(inputs!$E$80)))</f>
        <v>63.652435232344509</v>
      </c>
      <c r="P304" s="69">
        <f>((MAX('Max rate concentrations'!Y:Y))*0.62*6.01*8*(10*F304^0.667)*0.079*0.1/F304)*inputs!$E$80/(10^(0.84+0.62*LOG10(inputs!$E$80)))</f>
        <v>21.217478410781503</v>
      </c>
      <c r="Q304" s="69">
        <f>(inputs!$C$18*11.2*(10*F304^0.667)*0.5/F304)*inputs!$E$80/(10^(0.84+0.62*LOG10(inputs!$E$80)))</f>
        <v>11.212076244496284</v>
      </c>
      <c r="R304" s="59">
        <f>(60*284*((F304/1000)^0.77)*3*24*(MAX('Max rate concentrations'!$R$3:$R$368))/F304)*(inputs!$E$73*3.4/inputs!$E$75)</f>
        <v>7.73407857059768E-2</v>
      </c>
      <c r="S304" s="59">
        <f>(IF(inputs!$C$17="aerial",((0.025*0.112*inputs!$C$18/3.3)*(3*60*284*((F304/1000)^0.77))*MAX(inputs!$I$14:$I$16))/F304,((0.0083*0.112*inputs!$C$18/1)*(3*60*284*((F304/1000)^0.77))*MAX(inputs!$I$14:$I$16))/F304))*(inputs!E$75*3.4/inputs!$E$73)</f>
        <v>0.42653918485556963</v>
      </c>
      <c r="T304" s="63">
        <f>IF((((inputs!$P$13/(V304/MAX(K304:S304)))^(1/inputs!$O$13))-1)/inputs!$N$13&lt;0, 0, IF((((inputs!$P$13/(V304/MAX(K304:S304)))^(1/inputs!$O$13))-1)/inputs!$N$13&lt;inputs!$I$17, (((inputs!$P$13/(V304/MAX(K304:S304)))^(1/inputs!$O$13))-1)/inputs!$N$13, inputs!$I$17))</f>
        <v>1000</v>
      </c>
      <c r="U304" s="63">
        <f>IF((((inputs!$P$13/(X304/MAX(K304:S304)))^(1/inputs!$O$13))-1)/inputs!$N$13&lt;0, 0, IF((((inputs!$P$13/(X304/MAX(K304:S304)))^(1/inputs!$O$13))-1)/inputs!$N$13&lt;inputs!$I$17, (((inputs!$P$13/(X304/MAX(K304:S304)))^(1/inputs!$O$13))-1)/inputs!$N$13, inputs!$I$17))</f>
        <v>91.392003796164275</v>
      </c>
      <c r="V304" s="21">
        <f>inputs!$E$78*(F304/inputs!$F$78)^(inputs!$E$84-1)</f>
        <v>4.1256151168588752E-2</v>
      </c>
      <c r="W304" s="21">
        <f>inputs!$E$85*(F304/inputs!$F$85)^(inputs!$E$84-1)</f>
        <v>1.9051330604650447</v>
      </c>
      <c r="X304" s="21">
        <f>inputs!$E$80*(F304/inputs!$F$80)^(inputs!$E$84-1)</f>
        <v>7.1141044662935213</v>
      </c>
      <c r="Y304" s="21">
        <f>inputs!$E$82*(F304/inputs!$F$82)^(inputs!$E$84-1)</f>
        <v>3.2787783297141586</v>
      </c>
      <c r="Z304" s="63">
        <f t="shared" si="28"/>
        <v>6022.7662785445027</v>
      </c>
      <c r="AA304" s="63">
        <f t="shared" si="29"/>
        <v>130.42456781473177</v>
      </c>
    </row>
    <row r="305" spans="1:27" ht="26.4" x14ac:dyDescent="0.25">
      <c r="A305" s="103" t="s">
        <v>340</v>
      </c>
      <c r="B305" s="20" t="s">
        <v>341</v>
      </c>
      <c r="C305" s="20" t="s">
        <v>73</v>
      </c>
      <c r="D305" s="104" t="s">
        <v>141</v>
      </c>
      <c r="E305" s="15">
        <v>94</v>
      </c>
      <c r="F305" s="15">
        <v>12.3</v>
      </c>
      <c r="G305" s="20" t="s">
        <v>152</v>
      </c>
      <c r="H305" s="20">
        <v>0.77</v>
      </c>
      <c r="I305" s="68">
        <f>MAX('Max rate concentrations'!$G$3:$G$368)</f>
        <v>45</v>
      </c>
      <c r="J305" s="68">
        <f>MAX('Max rate concentrations'!Z:Z)</f>
        <v>21</v>
      </c>
      <c r="K305" s="69">
        <f t="shared" si="30"/>
        <v>53.44191145186425</v>
      </c>
      <c r="L305" s="69">
        <f t="shared" si="31"/>
        <v>24.939558677536656</v>
      </c>
      <c r="M305" s="69">
        <f>IF((((1.18*F305^0.874)-(0.301*F305^0.751)/(1-H305)*H305)*(MAX('Max rate concentrations'!$P$3:$P$368)))/F305&gt;0, (((1.18*F305^0.874)-(0.301*F305^0.751)/(1-H305)*H305)*(MAX('Max rate concentrations'!$P$3:$P$368)))/F305, 0)</f>
        <v>0.2792678020055307</v>
      </c>
      <c r="N305" s="69">
        <f>IF((((1.18*F305^0.874)-(0.301*F305^0.751)/(1-H305)*H305)*(MAX('Max rate concentrations'!$Q$3:$Q$368)))/F305&gt;0, (((1.18*F305^0.874)-(0.301*F305^0.751)/(1-H305)*H305)*(MAX('Max rate concentrations'!$Q$3:$Q$368)))/F305, 0)</f>
        <v>1.0634667955666646</v>
      </c>
      <c r="O305" s="69">
        <f>((MAX('Max rate concentrations'!$F$3:$F$368))*0.62*6.01*8*(10*F305^0.667)*0.079*0.1/F305)*inputs!$E$80/(10^(0.84+0.62*LOG10(inputs!$E$80)))</f>
        <v>63.652435232344509</v>
      </c>
      <c r="P305" s="69">
        <f>((MAX('Max rate concentrations'!Y:Y))*0.62*6.01*8*(10*F305^0.667)*0.079*0.1/F305)*inputs!$E$80/(10^(0.84+0.62*LOG10(inputs!$E$80)))</f>
        <v>21.217478410781503</v>
      </c>
      <c r="Q305" s="69">
        <f>(inputs!$C$18*11.2*(10*F305^0.667)*0.5/F305)*inputs!$E$80/(10^(0.84+0.62*LOG10(inputs!$E$80)))</f>
        <v>11.212076244496284</v>
      </c>
      <c r="R305" s="59">
        <f>(60*284*((F305/1000)^0.77)*3*24*(MAX('Max rate concentrations'!$R$3:$R$368))/F305)*(inputs!$E$73*3.4/inputs!$E$75)</f>
        <v>7.73407857059768E-2</v>
      </c>
      <c r="S305" s="59">
        <f>(IF(inputs!$C$17="aerial",((0.025*0.112*inputs!$C$18/3.3)*(3*60*284*((F305/1000)^0.77))*MAX(inputs!$I$14:$I$16))/F305,((0.0083*0.112*inputs!$C$18/1)*(3*60*284*((F305/1000)^0.77))*MAX(inputs!$I$14:$I$16))/F305))*(inputs!E$75*3.4/inputs!$E$73)</f>
        <v>0.42653918485556963</v>
      </c>
      <c r="T305" s="63">
        <f>IF((((inputs!$P$13/(V305/MAX(K305:S305)))^(1/inputs!$O$13))-1)/inputs!$N$13&lt;0, 0, IF((((inputs!$P$13/(V305/MAX(K305:S305)))^(1/inputs!$O$13))-1)/inputs!$N$13&lt;inputs!$I$17, (((inputs!$P$13/(V305/MAX(K305:S305)))^(1/inputs!$O$13))-1)/inputs!$N$13, inputs!$I$17))</f>
        <v>1000</v>
      </c>
      <c r="U305" s="63">
        <f>IF((((inputs!$P$13/(X305/MAX(K305:S305)))^(1/inputs!$O$13))-1)/inputs!$N$13&lt;0, 0, IF((((inputs!$P$13/(X305/MAX(K305:S305)))^(1/inputs!$O$13))-1)/inputs!$N$13&lt;inputs!$I$17, (((inputs!$P$13/(X305/MAX(K305:S305)))^(1/inputs!$O$13))-1)/inputs!$N$13, inputs!$I$17))</f>
        <v>26.891544342735575</v>
      </c>
      <c r="V305" s="21">
        <f>inputs!$E$78*(F305/inputs!$F$78)^(inputs!$E$84-1)</f>
        <v>4.1256151168588752E-2</v>
      </c>
      <c r="W305" s="21">
        <f>inputs!$E$85*(F305/inputs!$F$85)^(inputs!$E$84-1)</f>
        <v>1.9051330604650447</v>
      </c>
      <c r="X305" s="21">
        <f>inputs!$E$80*(F305/inputs!$F$80)^(inputs!$E$84-1)</f>
        <v>7.1141044662935213</v>
      </c>
      <c r="Y305" s="21">
        <f>inputs!$E$82*(F305/inputs!$F$82)^(inputs!$E$84-1)</f>
        <v>3.2787783297141586</v>
      </c>
      <c r="Z305" s="63">
        <f t="shared" si="28"/>
        <v>1542.8592689666032</v>
      </c>
      <c r="AA305" s="63">
        <f t="shared" si="29"/>
        <v>33.41101813476844</v>
      </c>
    </row>
    <row r="306" spans="1:27" x14ac:dyDescent="0.25">
      <c r="A306" s="103" t="s">
        <v>285</v>
      </c>
      <c r="B306" s="20" t="s">
        <v>286</v>
      </c>
      <c r="C306" s="20" t="s">
        <v>73</v>
      </c>
      <c r="D306" s="104" t="s">
        <v>141</v>
      </c>
      <c r="E306" s="15">
        <v>105</v>
      </c>
      <c r="F306" s="15">
        <v>50</v>
      </c>
      <c r="G306" s="20" t="s">
        <v>142</v>
      </c>
      <c r="H306" s="20">
        <v>0.69</v>
      </c>
      <c r="I306" s="68">
        <f>MAX('Max rate concentrations'!$H$3:$H$368)</f>
        <v>282</v>
      </c>
      <c r="J306" s="68">
        <f>MAX('Max rate concentrations'!AA:AA)</f>
        <v>195</v>
      </c>
      <c r="K306" s="69">
        <f t="shared" si="30"/>
        <v>201.33764567021831</v>
      </c>
      <c r="L306" s="69">
        <f t="shared" si="31"/>
        <v>139.22284009110842</v>
      </c>
      <c r="M306" s="69">
        <f>IF((((1.18*F306^0.874)-(0.301*F306^0.751)/(1-H306)*H306)*(MAX('Max rate concentrations'!$P$3:$P$368)))/F306&gt;0, (((1.18*F306^0.874)-(0.301*F306^0.751)/(1-H306)*H306)*(MAX('Max rate concentrations'!$P$3:$P$368)))/F306, 0)</f>
        <v>0.40745305101551893</v>
      </c>
      <c r="N306" s="69">
        <f>IF((((1.18*F306^0.874)-(0.301*F306^0.751)/(1-H306)*H306)*(MAX('Max rate concentrations'!$Q$3:$Q$368)))/F306&gt;0, (((1.18*F306^0.874)-(0.301*F306^0.751)/(1-H306)*H306)*(MAX('Max rate concentrations'!$Q$3:$Q$368)))/F306, 0)</f>
        <v>1.5516031114061375</v>
      </c>
      <c r="O306" s="69">
        <f>((MAX('Max rate concentrations'!$F$3:$F$368))*0.62*6.01*8*(10*F306^0.667)*0.079*0.1/F306)*inputs!$E$80/(10^(0.84+0.62*LOG10(inputs!$E$80)))</f>
        <v>39.902160790277591</v>
      </c>
      <c r="P306" s="69">
        <f>((MAX('Max rate concentrations'!Y:Y))*0.62*6.01*8*(10*F306^0.667)*0.079*0.1/F306)*inputs!$E$80/(10^(0.84+0.62*LOG10(inputs!$E$80)))</f>
        <v>13.300720263425866</v>
      </c>
      <c r="Q306" s="69">
        <f>(inputs!$C$18*11.2*(10*F306^0.667)*0.5/F306)*inputs!$E$80/(10^(0.84+0.62*LOG10(inputs!$E$80)))</f>
        <v>7.0285774215501906</v>
      </c>
      <c r="R306" s="59">
        <f>(60*284*((F306/1000)^0.77)*3*24*(MAX('Max rate concentrations'!$R$3:$R$368))/F306)*(inputs!$E$73*3.4/inputs!$E$75)</f>
        <v>5.6017491172998278E-2</v>
      </c>
      <c r="S306" s="59">
        <f>(IF(inputs!$C$17="aerial",((0.025*0.112*inputs!$C$18/3.3)*(3*60*284*((F306/1000)^0.77))*MAX(inputs!$I$14:$I$16))/F306,((0.0083*0.112*inputs!$C$18/1)*(3*60*284*((F306/1000)^0.77))*MAX(inputs!$I$14:$I$16))/F306))*(inputs!E$75*3.4/inputs!$E$73)</f>
        <v>0.30893990543902988</v>
      </c>
      <c r="T306" s="63">
        <f>IF((((inputs!$P$13/(V306/MAX(K306:S306)))^(1/inputs!$O$13))-1)/inputs!$N$13&lt;0, 0, IF((((inputs!$P$13/(V306/MAX(K306:S306)))^(1/inputs!$O$13))-1)/inputs!$N$13&lt;inputs!$I$17, (((inputs!$P$13/(V306/MAX(K306:S306)))^(1/inputs!$O$13))-1)/inputs!$N$13, inputs!$I$17))</f>
        <v>1000</v>
      </c>
      <c r="U306" s="63">
        <f>IF((((inputs!$P$13/(X306/MAX(K306:S306)))^(1/inputs!$O$13))-1)/inputs!$N$13&lt;0, 0, IF((((inputs!$P$13/(X306/MAX(K306:S306)))^(1/inputs!$O$13))-1)/inputs!$N$13&lt;inputs!$I$17, (((inputs!$P$13/(X306/MAX(K306:S306)))^(1/inputs!$O$13))-1)/inputs!$N$13, inputs!$I$17))</f>
        <v>118.77250520546829</v>
      </c>
      <c r="V306" s="21">
        <f>inputs!$E$78*(F306/inputs!$F$78)^(inputs!$E$84-1)</f>
        <v>2.4554703782112351E-2</v>
      </c>
      <c r="W306" s="21">
        <f>inputs!$E$85*(F306/inputs!$F$85)^(inputs!$E$84-1)</f>
        <v>1.1338909869237934</v>
      </c>
      <c r="X306" s="21">
        <f>inputs!$E$80*(F306/inputs!$F$80)^(inputs!$E$84-1)</f>
        <v>4.2341498878799877</v>
      </c>
      <c r="Y306" s="21">
        <f>inputs!$E$82*(F306/inputs!$F$82)^(inputs!$E$84-1)</f>
        <v>1.9514527742626133</v>
      </c>
      <c r="Z306" s="63">
        <f t="shared" si="28"/>
        <v>8199.5550610913524</v>
      </c>
      <c r="AA306" s="63">
        <f t="shared" si="29"/>
        <v>177.56349419130697</v>
      </c>
    </row>
    <row r="307" spans="1:27" x14ac:dyDescent="0.25">
      <c r="A307" s="103" t="s">
        <v>285</v>
      </c>
      <c r="B307" s="20" t="s">
        <v>286</v>
      </c>
      <c r="C307" s="20" t="s">
        <v>73</v>
      </c>
      <c r="D307" s="104" t="s">
        <v>141</v>
      </c>
      <c r="E307" s="15">
        <v>105</v>
      </c>
      <c r="F307" s="15">
        <v>50</v>
      </c>
      <c r="G307" s="20" t="s">
        <v>152</v>
      </c>
      <c r="H307" s="20">
        <v>0.77</v>
      </c>
      <c r="I307" s="68">
        <f>MAX('Max rate concentrations'!$G$3:$G$368)</f>
        <v>45</v>
      </c>
      <c r="J307" s="68">
        <f>MAX('Max rate concentrations'!Z:Z)</f>
        <v>21</v>
      </c>
      <c r="K307" s="69">
        <f t="shared" si="30"/>
        <v>43.303425178839753</v>
      </c>
      <c r="L307" s="69">
        <f t="shared" si="31"/>
        <v>20.208265083458549</v>
      </c>
      <c r="M307" s="69">
        <f>IF((((1.18*F307^0.874)-(0.301*F307^0.751)/(1-H307)*H307)*(MAX('Max rate concentrations'!$P$3:$P$368)))/F307&gt;0, (((1.18*F307^0.874)-(0.301*F307^0.751)/(1-H307)*H307)*(MAX('Max rate concentrations'!$P$3:$P$368)))/F307, 0)</f>
        <v>0.29641142295379114</v>
      </c>
      <c r="N307" s="69">
        <f>IF((((1.18*F307^0.874)-(0.301*F307^0.751)/(1-H307)*H307)*(MAX('Max rate concentrations'!$Q$3:$Q$368)))/F307&gt;0, (((1.18*F307^0.874)-(0.301*F307^0.751)/(1-H307)*H307)*(MAX('Max rate concentrations'!$Q$3:$Q$368)))/F307, 0)</f>
        <v>1.1287506252932831</v>
      </c>
      <c r="O307" s="69">
        <f>((MAX('Max rate concentrations'!$F$3:$F$368))*0.62*6.01*8*(10*F307^0.667)*0.079*0.1/F307)*inputs!$E$80/(10^(0.84+0.62*LOG10(inputs!$E$80)))</f>
        <v>39.902160790277591</v>
      </c>
      <c r="P307" s="69">
        <f>((MAX('Max rate concentrations'!Y:Y))*0.62*6.01*8*(10*F307^0.667)*0.079*0.1/F307)*inputs!$E$80/(10^(0.84+0.62*LOG10(inputs!$E$80)))</f>
        <v>13.300720263425866</v>
      </c>
      <c r="Q307" s="69">
        <f>(inputs!$C$18*11.2*(10*F307^0.667)*0.5/F307)*inputs!$E$80/(10^(0.84+0.62*LOG10(inputs!$E$80)))</f>
        <v>7.0285774215501906</v>
      </c>
      <c r="R307" s="59">
        <f>(60*284*((F307/1000)^0.77)*3*24*(MAX('Max rate concentrations'!$R$3:$R$368))/F307)*(inputs!$E$73*3.4/inputs!$E$75)</f>
        <v>5.6017491172998278E-2</v>
      </c>
      <c r="S307" s="59">
        <f>(IF(inputs!$C$17="aerial",((0.025*0.112*inputs!$C$18/3.3)*(3*60*284*((F307/1000)^0.77))*MAX(inputs!$I$14:$I$16))/F307,((0.0083*0.112*inputs!$C$18/1)*(3*60*284*((F307/1000)^0.77))*MAX(inputs!$I$14:$I$16))/F307))*(inputs!E$75*3.4/inputs!$E$73)</f>
        <v>0.30893990543902988</v>
      </c>
      <c r="T307" s="63">
        <f>IF((((inputs!$P$13/(V307/MAX(K307:S307)))^(1/inputs!$O$13))-1)/inputs!$N$13&lt;0, 0, IF((((inputs!$P$13/(V307/MAX(K307:S307)))^(1/inputs!$O$13))-1)/inputs!$N$13&lt;inputs!$I$17, (((inputs!$P$13/(V307/MAX(K307:S307)))^(1/inputs!$O$13))-1)/inputs!$N$13, inputs!$I$17))</f>
        <v>1000</v>
      </c>
      <c r="U307" s="63">
        <f>IF((((inputs!$P$13/(X307/MAX(K307:S307)))^(1/inputs!$O$13))-1)/inputs!$N$13&lt;0, 0, IF((((inputs!$P$13/(X307/MAX(K307:S307)))^(1/inputs!$O$13))-1)/inputs!$N$13&lt;inputs!$I$17, (((inputs!$P$13/(X307/MAX(K307:S307)))^(1/inputs!$O$13))-1)/inputs!$N$13, inputs!$I$17))</f>
        <v>30.55863387116224</v>
      </c>
      <c r="V307" s="21">
        <f>inputs!$E$78*(F307/inputs!$F$78)^(inputs!$E$84-1)</f>
        <v>2.4554703782112351E-2</v>
      </c>
      <c r="W307" s="21">
        <f>inputs!$E$85*(F307/inputs!$F$85)^(inputs!$E$84-1)</f>
        <v>1.1338909869237934</v>
      </c>
      <c r="X307" s="21">
        <f>inputs!$E$80*(F307/inputs!$F$80)^(inputs!$E$84-1)</f>
        <v>4.2341498878799877</v>
      </c>
      <c r="Y307" s="21">
        <f>inputs!$E$82*(F307/inputs!$F$82)^(inputs!$E$84-1)</f>
        <v>1.9514527742626133</v>
      </c>
      <c r="Z307" s="63">
        <f t="shared" si="28"/>
        <v>1763.5490765066977</v>
      </c>
      <c r="AA307" s="63">
        <f t="shared" si="29"/>
        <v>38.19011322801007</v>
      </c>
    </row>
    <row r="308" spans="1:27" x14ac:dyDescent="0.25">
      <c r="A308" s="103" t="s">
        <v>285</v>
      </c>
      <c r="B308" s="20" t="s">
        <v>286</v>
      </c>
      <c r="C308" s="20" t="s">
        <v>73</v>
      </c>
      <c r="D308" s="104" t="s">
        <v>141</v>
      </c>
      <c r="E308" s="15">
        <v>105</v>
      </c>
      <c r="F308" s="15">
        <v>50</v>
      </c>
      <c r="G308" s="20" t="s">
        <v>146</v>
      </c>
      <c r="H308" s="20">
        <v>0.84</v>
      </c>
      <c r="I308" s="68">
        <f>MAX('Max rate concentrations'!$I$3:$I$368)</f>
        <v>56.865414300472793</v>
      </c>
      <c r="J308" s="68" t="s">
        <v>13</v>
      </c>
      <c r="K308" s="69">
        <f t="shared" si="30"/>
        <v>78.662147095496778</v>
      </c>
      <c r="L308" s="69" t="s">
        <v>13</v>
      </c>
      <c r="M308" s="69">
        <f>IF((((1.18*F308^0.874)-(0.301*F308^0.751)/(1-H308)*H308)*(MAX('Max rate concentrations'!$P$3:$P$368)))/F308&gt;0, (((1.18*F308^0.874)-(0.301*F308^0.751)/(1-H308)*H308)*(MAX('Max rate concentrations'!$P$3:$P$368)))/F308, 0)</f>
        <v>0.10816116288039375</v>
      </c>
      <c r="N308" s="69">
        <f>IF((((1.18*F308^0.874)-(0.301*F308^0.751)/(1-H308)*H308)*(MAX('Max rate concentrations'!$Q$3:$Q$368)))/F308&gt;0, (((1.18*F308^0.874)-(0.301*F308^0.751)/(1-H308)*H308)*(MAX('Max rate concentrations'!$Q$3:$Q$368)))/F308, 0)</f>
        <v>0.41188351993008637</v>
      </c>
      <c r="O308" s="69">
        <f>((MAX('Max rate concentrations'!$F$3:$F$368))*0.62*6.01*8*(10*F308^0.667)*0.079*0.1/F308)*inputs!$E$80/(10^(0.84+0.62*LOG10(inputs!$E$80)))</f>
        <v>39.902160790277591</v>
      </c>
      <c r="P308" s="69">
        <f>((MAX('Max rate concentrations'!Y:Y))*0.62*6.01*8*(10*F308^0.667)*0.079*0.1/F308)*inputs!$E$80/(10^(0.84+0.62*LOG10(inputs!$E$80)))</f>
        <v>13.300720263425866</v>
      </c>
      <c r="Q308" s="69">
        <f>(inputs!$C$18*11.2*(10*F308^0.667)*0.5/F308)*inputs!$E$80/(10^(0.84+0.62*LOG10(inputs!$E$80)))</f>
        <v>7.0285774215501906</v>
      </c>
      <c r="R308" s="59">
        <f>(60*284*((F308/1000)^0.77)*3*24*(MAX('Max rate concentrations'!$R$3:$R$368))/F308)*(inputs!$E$73*3.4/inputs!$E$75)</f>
        <v>5.6017491172998278E-2</v>
      </c>
      <c r="S308" s="59">
        <f>(IF(inputs!$C$17="aerial",((0.025*0.112*inputs!$C$18/3.3)*(3*60*284*((F308/1000)^0.77))*MAX(inputs!$I$14:$I$16))/F308,((0.0083*0.112*inputs!$C$18/1)*(3*60*284*((F308/1000)^0.77))*MAX(inputs!$I$14:$I$16))/F308))*(inputs!E$75*3.4/inputs!$E$73)</f>
        <v>0.30893990543902988</v>
      </c>
      <c r="T308" s="63">
        <f>IF((((inputs!$P$13/(V308/MAX(K308:S308)))^(1/inputs!$O$13))-1)/inputs!$N$13&lt;0, 0, IF((((inputs!$P$13/(V308/MAX(K308:S308)))^(1/inputs!$O$13))-1)/inputs!$N$13&lt;inputs!$I$17, (((inputs!$P$13/(V308/MAX(K308:S308)))^(1/inputs!$O$13))-1)/inputs!$N$13, inputs!$I$17))</f>
        <v>1000</v>
      </c>
      <c r="U308" s="63">
        <f>IF((((inputs!$P$13/(X308/MAX(K308:S308)))^(1/inputs!$O$13))-1)/inputs!$N$13&lt;0, 0, IF((((inputs!$P$13/(X308/MAX(K308:S308)))^(1/inputs!$O$13))-1)/inputs!$N$13&lt;inputs!$I$17, (((inputs!$P$13/(X308/MAX(K308:S308)))^(1/inputs!$O$13))-1)/inputs!$N$13, inputs!$I$17))</f>
        <v>52.762950203710488</v>
      </c>
      <c r="V308" s="21">
        <f>inputs!$E$78*(F308/inputs!$F$78)^(inputs!$E$84-1)</f>
        <v>2.4554703782112351E-2</v>
      </c>
      <c r="W308" s="21">
        <f>inputs!$E$85*(F308/inputs!$F$85)^(inputs!$E$84-1)</f>
        <v>1.1338909869237934</v>
      </c>
      <c r="X308" s="21">
        <f>inputs!$E$80*(F308/inputs!$F$80)^(inputs!$E$84-1)</f>
        <v>4.2341498878799877</v>
      </c>
      <c r="Y308" s="21">
        <f>inputs!$E$82*(F308/inputs!$F$82)^(inputs!$E$84-1)</f>
        <v>1.9514527742626133</v>
      </c>
      <c r="Z308" s="63">
        <f t="shared" si="28"/>
        <v>3203.5469779440264</v>
      </c>
      <c r="AA308" s="63">
        <f t="shared" si="29"/>
        <v>69.373641736851994</v>
      </c>
    </row>
    <row r="309" spans="1:27" x14ac:dyDescent="0.25">
      <c r="A309" s="103" t="s">
        <v>359</v>
      </c>
      <c r="B309" s="20" t="s">
        <v>360</v>
      </c>
      <c r="C309" s="20" t="s">
        <v>73</v>
      </c>
      <c r="D309" s="104" t="s">
        <v>141</v>
      </c>
      <c r="E309" s="15">
        <v>71</v>
      </c>
      <c r="F309" s="15">
        <v>19</v>
      </c>
      <c r="G309" s="20" t="s">
        <v>142</v>
      </c>
      <c r="H309" s="20">
        <v>0.69</v>
      </c>
      <c r="I309" s="68">
        <f>MAX('Max rate concentrations'!$H$3:$H$368)</f>
        <v>282</v>
      </c>
      <c r="J309" s="68">
        <f>MAX('Max rate concentrations'!AA:AA)</f>
        <v>195</v>
      </c>
      <c r="K309" s="69">
        <f t="shared" si="30"/>
        <v>232.78631548960547</v>
      </c>
      <c r="L309" s="69">
        <f t="shared" ref="L309:L331" si="32">((0.398*F309^0.85)/(1-H309))*J309/F309</f>
        <v>160.96926071089737</v>
      </c>
      <c r="M309" s="69">
        <f>IF((((1.18*F309^0.874)-(0.301*F309^0.751)/(1-H309)*H309)*(MAX('Max rate concentrations'!$P$3:$P$368)))/F309&gt;0, (((1.18*F309^0.874)-(0.301*F309^0.751)/(1-H309)*H309)*(MAX('Max rate concentrations'!$P$3:$P$368)))/F309, 0)</f>
        <v>0.42883342426440257</v>
      </c>
      <c r="N309" s="69">
        <f>IF((((1.18*F309^0.874)-(0.301*F309^0.751)/(1-H309)*H309)*(MAX('Max rate concentrations'!$Q$3:$Q$368)))/F309&gt;0, (((1.18*F309^0.874)-(0.301*F309^0.751)/(1-H309)*H309)*(MAX('Max rate concentrations'!$Q$3:$Q$368)))/F309, 0)</f>
        <v>1.6330207215413697</v>
      </c>
      <c r="O309" s="69">
        <f>((MAX('Max rate concentrations'!$F$3:$F$368))*0.62*6.01*8*(10*F309^0.667)*0.079*0.1/F309)*inputs!$E$80/(10^(0.84+0.62*LOG10(inputs!$E$80)))</f>
        <v>55.071699213544889</v>
      </c>
      <c r="P309" s="69">
        <f>((MAX('Max rate concentrations'!Y:Y))*0.62*6.01*8*(10*F309^0.667)*0.079*0.1/F309)*inputs!$E$80/(10^(0.84+0.62*LOG10(inputs!$E$80)))</f>
        <v>18.357233071181632</v>
      </c>
      <c r="Q309" s="69">
        <f>(inputs!$C$18*11.2*(10*F309^0.667)*0.5/F309)*inputs!$E$80/(10^(0.84+0.62*LOG10(inputs!$E$80)))</f>
        <v>9.7006200664962083</v>
      </c>
      <c r="R309" s="59">
        <f>(60*284*((F309/1000)^0.77)*3*24*(MAX('Max rate concentrations'!$R$3:$R$368))/F309)*(inputs!$E$73*3.4/inputs!$E$75)</f>
        <v>6.9979917664522634E-2</v>
      </c>
      <c r="S309" s="59">
        <f>(IF(inputs!$C$17="aerial",((0.025*0.112*inputs!$C$18/3.3)*(3*60*284*((F309/1000)^0.77))*MAX(inputs!$I$14:$I$16))/F309,((0.0083*0.112*inputs!$C$18/1)*(3*60*284*((F309/1000)^0.77))*MAX(inputs!$I$14:$I$16))/F309))*(inputs!E$75*3.4/inputs!$E$73)</f>
        <v>0.38594354536766318</v>
      </c>
      <c r="T309" s="63">
        <f>IF((((inputs!$P$13/(V309/MAX(K309:S309)))^(1/inputs!$O$13))-1)/inputs!$N$13&lt;0, 0, IF((((inputs!$P$13/(V309/MAX(K309:S309)))^(1/inputs!$O$13))-1)/inputs!$N$13&lt;inputs!$I$17, (((inputs!$P$13/(V309/MAX(K309:S309)))^(1/inputs!$O$13))-1)/inputs!$N$13, inputs!$I$17))</f>
        <v>1000</v>
      </c>
      <c r="U309" s="63">
        <f>IF((((inputs!$P$13/(X309/MAX(K309:S309)))^(1/inputs!$O$13))-1)/inputs!$N$13&lt;0, 0, IF((((inputs!$P$13/(X309/MAX(K309:S309)))^(1/inputs!$O$13))-1)/inputs!$N$13&lt;inputs!$I$17, (((inputs!$P$13/(X309/MAX(K309:S309)))^(1/inputs!$O$13))-1)/inputs!$N$13, inputs!$I$17))</f>
        <v>99.163309616040678</v>
      </c>
      <c r="V309" s="21">
        <f>inputs!$E$78*(F309/inputs!$F$78)^(inputs!$E$84-1)</f>
        <v>3.5124873481261372E-2</v>
      </c>
      <c r="W309" s="21">
        <f>inputs!$E$85*(F309/inputs!$F$85)^(inputs!$E$84-1)</f>
        <v>1.6220019516690172</v>
      </c>
      <c r="X309" s="21">
        <f>inputs!$E$80*(F309/inputs!$F$80)^(inputs!$E$84-1)</f>
        <v>6.0568427309159505</v>
      </c>
      <c r="Y309" s="21">
        <f>inputs!$E$82*(F309/inputs!$F$82)^(inputs!$E$84-1)</f>
        <v>2.7915031029844566</v>
      </c>
      <c r="Z309" s="63">
        <f t="shared" si="28"/>
        <v>6627.3922840973</v>
      </c>
      <c r="AA309" s="63">
        <f t="shared" si="29"/>
        <v>143.51790098037281</v>
      </c>
    </row>
    <row r="310" spans="1:27" x14ac:dyDescent="0.25">
      <c r="A310" s="103" t="s">
        <v>359</v>
      </c>
      <c r="B310" s="20" t="s">
        <v>360</v>
      </c>
      <c r="C310" s="20" t="s">
        <v>73</v>
      </c>
      <c r="D310" s="104" t="s">
        <v>141</v>
      </c>
      <c r="E310" s="15">
        <v>71</v>
      </c>
      <c r="F310" s="15">
        <v>19</v>
      </c>
      <c r="G310" s="20" t="s">
        <v>218</v>
      </c>
      <c r="H310" s="20">
        <v>0.68</v>
      </c>
      <c r="I310" s="68">
        <f>MAX('Max rate concentrations'!$K$3:$K$368)</f>
        <v>110.00035859694511</v>
      </c>
      <c r="J310" s="68">
        <f>MAX('Max rate concentrations'!AC:AC)</f>
        <v>38.958460336418057</v>
      </c>
      <c r="K310" s="69">
        <f t="shared" si="30"/>
        <v>87.965860326891004</v>
      </c>
      <c r="L310" s="69">
        <f t="shared" si="32"/>
        <v>31.154575532440564</v>
      </c>
      <c r="M310" s="69">
        <f>IF((((1.18*F310^0.874)-(0.301*F310^0.751)/(1-H310)*H310)*(MAX('Max rate concentrations'!$P$3:$P$368)))/F310&gt;0, (((1.18*F310^0.874)-(0.301*F310^0.751)/(1-H310)*H310)*(MAX('Max rate concentrations'!$P$3:$P$368)))/F310, 0)</f>
        <v>0.44152768972023015</v>
      </c>
      <c r="N310" s="69">
        <f>IF((((1.18*F310^0.874)-(0.301*F310^0.751)/(1-H310)*H310)*(MAX('Max rate concentrations'!$Q$3:$Q$368)))/F310&gt;0, (((1.18*F310^0.874)-(0.301*F310^0.751)/(1-H310)*H310)*(MAX('Max rate concentrations'!$Q$3:$Q$368)))/F310, 0)</f>
        <v>1.6813611664814356</v>
      </c>
      <c r="O310" s="69">
        <f>((MAX('Max rate concentrations'!$F$3:$F$368))*0.62*6.01*8*(10*F310^0.667)*0.079*0.1/F310)*inputs!$E$80/(10^(0.84+0.62*LOG10(inputs!$E$80)))</f>
        <v>55.071699213544889</v>
      </c>
      <c r="P310" s="69">
        <f>((MAX('Max rate concentrations'!Y:Y))*0.62*6.01*8*(10*F310^0.667)*0.079*0.1/F310)*inputs!$E$80/(10^(0.84+0.62*LOG10(inputs!$E$80)))</f>
        <v>18.357233071181632</v>
      </c>
      <c r="Q310" s="69">
        <f>(inputs!$C$18*11.2*(10*F310^0.667)*0.5/F310)*inputs!$E$80/(10^(0.84+0.62*LOG10(inputs!$E$80)))</f>
        <v>9.7006200664962083</v>
      </c>
      <c r="R310" s="59">
        <f>(60*284*((F310/1000)^0.77)*3*24*(MAX('Max rate concentrations'!$R$3:$R$368))/F310)*(inputs!$E$73*3.4/inputs!$E$75)</f>
        <v>6.9979917664522634E-2</v>
      </c>
      <c r="S310" s="59">
        <f>(IF(inputs!$C$17="aerial",((0.025*0.112*inputs!$C$18/3.3)*(3*60*284*((F310/1000)^0.77))*MAX(inputs!$I$14:$I$16))/F310,((0.0083*0.112*inputs!$C$18/1)*(3*60*284*((F310/1000)^0.77))*MAX(inputs!$I$14:$I$16))/F310))*(inputs!E$75*3.4/inputs!$E$73)</f>
        <v>0.38594354536766318</v>
      </c>
      <c r="T310" s="63">
        <f>IF((((inputs!$P$13/(V310/MAX(K310:S310)))^(1/inputs!$O$13))-1)/inputs!$N$13&lt;0, 0, IF((((inputs!$P$13/(V310/MAX(K310:S310)))^(1/inputs!$O$13))-1)/inputs!$N$13&lt;inputs!$I$17, (((inputs!$P$13/(V310/MAX(K310:S310)))^(1/inputs!$O$13))-1)/inputs!$N$13, inputs!$I$17))</f>
        <v>1000</v>
      </c>
      <c r="U310" s="63">
        <f>IF((((inputs!$P$13/(X310/MAX(K310:S310)))^(1/inputs!$O$13))-1)/inputs!$N$13&lt;0, 0, IF((((inputs!$P$13/(X310/MAX(K310:S310)))^(1/inputs!$O$13))-1)/inputs!$N$13&lt;inputs!$I$17, (((inputs!$P$13/(X310/MAX(K310:S310)))^(1/inputs!$O$13))-1)/inputs!$N$13, inputs!$I$17))</f>
        <v>42.293361669260321</v>
      </c>
      <c r="V310" s="21">
        <f>inputs!$E$78*(F310/inputs!$F$78)^(inputs!$E$84-1)</f>
        <v>3.5124873481261372E-2</v>
      </c>
      <c r="W310" s="21">
        <f>inputs!$E$85*(F310/inputs!$F$85)^(inputs!$E$84-1)</f>
        <v>1.6220019516690172</v>
      </c>
      <c r="X310" s="21">
        <f>inputs!$E$80*(F310/inputs!$F$80)^(inputs!$E$84-1)</f>
        <v>6.0568427309159505</v>
      </c>
      <c r="Y310" s="21">
        <f>inputs!$E$82*(F310/inputs!$F$82)^(inputs!$E$84-1)</f>
        <v>2.7915031029844566</v>
      </c>
      <c r="Z310" s="63">
        <f t="shared" si="28"/>
        <v>2504.3751509544813</v>
      </c>
      <c r="AA310" s="63">
        <f t="shared" si="29"/>
        <v>54.232894255383215</v>
      </c>
    </row>
    <row r="311" spans="1:27" x14ac:dyDescent="0.25">
      <c r="A311" s="103" t="s">
        <v>359</v>
      </c>
      <c r="B311" s="20" t="s">
        <v>360</v>
      </c>
      <c r="C311" s="20" t="s">
        <v>73</v>
      </c>
      <c r="D311" s="104" t="s">
        <v>141</v>
      </c>
      <c r="E311" s="15">
        <v>71</v>
      </c>
      <c r="F311" s="15">
        <v>19</v>
      </c>
      <c r="G311" s="20" t="s">
        <v>169</v>
      </c>
      <c r="H311" s="20">
        <v>0.79</v>
      </c>
      <c r="I311" s="68">
        <f>MAX('Max rate concentrations'!$D$3:$D$368)</f>
        <v>720</v>
      </c>
      <c r="J311" s="68">
        <f>MAX('Max rate concentrations'!W:W)</f>
        <v>255</v>
      </c>
      <c r="K311" s="69">
        <f t="shared" si="30"/>
        <v>877.37091552313325</v>
      </c>
      <c r="L311" s="69">
        <f t="shared" si="32"/>
        <v>310.73553258110968</v>
      </c>
      <c r="M311" s="69">
        <f>IF((((1.18*F311^0.874)-(0.301*F311^0.751)/(1-H311)*H311)*(MAX('Max rate concentrations'!$P$3:$P$368)))/F311&gt;0, (((1.18*F311^0.874)-(0.301*F311^0.751)/(1-H311)*H311)*(MAX('Max rate concentrations'!$P$3:$P$368)))/F311, 0)</f>
        <v>0.23539699827083718</v>
      </c>
      <c r="N311" s="69">
        <f>IF((((1.18*F311^0.874)-(0.301*F311^0.751)/(1-H311)*H311)*(MAX('Max rate concentrations'!$Q$3:$Q$368)))/F311&gt;0, (((1.18*F311^0.874)-(0.301*F311^0.751)/(1-H311)*H311)*(MAX('Max rate concentrations'!$Q$3:$Q$368)))/F311, 0)</f>
        <v>0.89640441769273893</v>
      </c>
      <c r="O311" s="69">
        <f>((MAX('Max rate concentrations'!$F$3:$F$368))*0.62*6.01*8*(10*F311^0.667)*0.079*0.1/F311)*inputs!$E$80/(10^(0.84+0.62*LOG10(inputs!$E$80)))</f>
        <v>55.071699213544889</v>
      </c>
      <c r="P311" s="69">
        <f>((MAX('Max rate concentrations'!Y:Y))*0.62*6.01*8*(10*F311^0.667)*0.079*0.1/F311)*inputs!$E$80/(10^(0.84+0.62*LOG10(inputs!$E$80)))</f>
        <v>18.357233071181632</v>
      </c>
      <c r="Q311" s="69">
        <f>(inputs!$C$18*11.2*(10*F311^0.667)*0.5/F311)*inputs!$E$80/(10^(0.84+0.62*LOG10(inputs!$E$80)))</f>
        <v>9.7006200664962083</v>
      </c>
      <c r="R311" s="59">
        <f>(60*284*((F311/1000)^0.77)*3*24*(MAX('Max rate concentrations'!$R$3:$R$368))/F311)*(inputs!$E$73*3.4/inputs!$E$75)</f>
        <v>6.9979917664522634E-2</v>
      </c>
      <c r="S311" s="59">
        <f>(IF(inputs!$C$17="aerial",((0.025*0.112*inputs!$C$18/3.3)*(3*60*284*((F311/1000)^0.77))*MAX(inputs!$I$14:$I$16))/F311,((0.0083*0.112*inputs!$C$18/1)*(3*60*284*((F311/1000)^0.77))*MAX(inputs!$I$14:$I$16))/F311))*(inputs!E$75*3.4/inputs!$E$73)</f>
        <v>0.38594354536766318</v>
      </c>
      <c r="T311" s="63">
        <f>IF((((inputs!$P$13/(V311/MAX(K311:S311)))^(1/inputs!$O$13))-1)/inputs!$N$13&lt;0, 0, IF((((inputs!$P$13/(V311/MAX(K311:S311)))^(1/inputs!$O$13))-1)/inputs!$N$13&lt;inputs!$I$17, (((inputs!$P$13/(V311/MAX(K311:S311)))^(1/inputs!$O$13))-1)/inputs!$N$13, inputs!$I$17))</f>
        <v>1000</v>
      </c>
      <c r="U311" s="63">
        <f>IF((((inputs!$P$13/(X311/MAX(K311:S311)))^(1/inputs!$O$13))-1)/inputs!$N$13&lt;0, 0, IF((((inputs!$P$13/(X311/MAX(K311:S311)))^(1/inputs!$O$13))-1)/inputs!$N$13&lt;inputs!$I$17, (((inputs!$P$13/(X311/MAX(K311:S311)))^(1/inputs!$O$13))-1)/inputs!$N$13, inputs!$I$17))</f>
        <v>300.00998056245913</v>
      </c>
      <c r="V311" s="21">
        <f>inputs!$E$78*(F311/inputs!$F$78)^(inputs!$E$84-1)</f>
        <v>3.5124873481261372E-2</v>
      </c>
      <c r="W311" s="21">
        <f>inputs!$E$85*(F311/inputs!$F$85)^(inputs!$E$84-1)</f>
        <v>1.6220019516690172</v>
      </c>
      <c r="X311" s="21">
        <f>inputs!$E$80*(F311/inputs!$F$80)^(inputs!$E$84-1)</f>
        <v>6.0568427309159505</v>
      </c>
      <c r="Y311" s="21">
        <f>inputs!$E$82*(F311/inputs!$F$82)^(inputs!$E$84-1)</f>
        <v>2.7915031029844566</v>
      </c>
      <c r="Z311" s="63">
        <f t="shared" si="28"/>
        <v>24978.621374713231</v>
      </c>
      <c r="AA311" s="63">
        <f t="shared" si="29"/>
        <v>540.91853257040225</v>
      </c>
    </row>
    <row r="312" spans="1:27" x14ac:dyDescent="0.25">
      <c r="A312" s="103" t="s">
        <v>359</v>
      </c>
      <c r="B312" s="20" t="s">
        <v>360</v>
      </c>
      <c r="C312" s="20" t="s">
        <v>73</v>
      </c>
      <c r="D312" s="104" t="s">
        <v>141</v>
      </c>
      <c r="E312" s="15">
        <v>71</v>
      </c>
      <c r="F312" s="15">
        <v>19</v>
      </c>
      <c r="G312" s="20" t="s">
        <v>158</v>
      </c>
      <c r="H312" s="20">
        <v>0.85</v>
      </c>
      <c r="I312" s="68">
        <f>MAX('Max rate concentrations'!$F$3:$F$368)</f>
        <v>405</v>
      </c>
      <c r="J312" s="68">
        <f>MAX('Max rate concentrations'!Y:Y)</f>
        <v>135</v>
      </c>
      <c r="K312" s="69">
        <f t="shared" si="30"/>
        <v>690.92959597446736</v>
      </c>
      <c r="L312" s="69">
        <f t="shared" si="32"/>
        <v>230.30986532482243</v>
      </c>
      <c r="M312" s="69">
        <f>IF((((1.18*F312^0.874)-(0.301*F312^0.751)/(1-H312)*H312)*(MAX('Max rate concentrations'!$P$3:$P$368)))/F312&gt;0, (((1.18*F312^0.874)-(0.301*F312^0.751)/(1-H312)*H312)*(MAX('Max rate concentrations'!$P$3:$P$368)))/F312, 0)</f>
        <v>0</v>
      </c>
      <c r="N312" s="69">
        <f>IF((((1.18*F312^0.874)-(0.301*F312^0.751)/(1-H312)*H312)*(MAX('Max rate concentrations'!$Q$3:$Q$368)))/F312&gt;0, (((1.18*F312^0.874)-(0.301*F312^0.751)/(1-H312)*H312)*(MAX('Max rate concentrations'!$Q$3:$Q$368)))/F312, 0)</f>
        <v>0</v>
      </c>
      <c r="O312" s="69">
        <f>((MAX('Max rate concentrations'!$F$3:$F$368))*0.62*6.01*8*(10*F312^0.667)*0.079*0.1/F312)*inputs!$E$80/(10^(0.84+0.62*LOG10(inputs!$E$80)))</f>
        <v>55.071699213544889</v>
      </c>
      <c r="P312" s="69">
        <f>((MAX('Max rate concentrations'!Y:Y))*0.62*6.01*8*(10*F312^0.667)*0.079*0.1/F312)*inputs!$E$80/(10^(0.84+0.62*LOG10(inputs!$E$80)))</f>
        <v>18.357233071181632</v>
      </c>
      <c r="Q312" s="69">
        <f>(inputs!$C$18*11.2*(10*F312^0.667)*0.5/F312)*inputs!$E$80/(10^(0.84+0.62*LOG10(inputs!$E$80)))</f>
        <v>9.7006200664962083</v>
      </c>
      <c r="R312" s="59">
        <f>(60*284*((F312/1000)^0.77)*3*24*(MAX('Max rate concentrations'!$R$3:$R$368))/F312)*(inputs!$E$73*3.4/inputs!$E$75)</f>
        <v>6.9979917664522634E-2</v>
      </c>
      <c r="S312" s="59">
        <f>(IF(inputs!$C$17="aerial",((0.025*0.112*inputs!$C$18/3.3)*(3*60*284*((F312/1000)^0.77))*MAX(inputs!$I$14:$I$16))/F312,((0.0083*0.112*inputs!$C$18/1)*(3*60*284*((F312/1000)^0.77))*MAX(inputs!$I$14:$I$16))/F312))*(inputs!E$75*3.4/inputs!$E$73)</f>
        <v>0.38594354536766318</v>
      </c>
      <c r="T312" s="63">
        <f>IF((((inputs!$P$13/(V312/MAX(K312:S312)))^(1/inputs!$O$13))-1)/inputs!$N$13&lt;0, 0, IF((((inputs!$P$13/(V312/MAX(K312:S312)))^(1/inputs!$O$13))-1)/inputs!$N$13&lt;inputs!$I$17, (((inputs!$P$13/(V312/MAX(K312:S312)))^(1/inputs!$O$13))-1)/inputs!$N$13, inputs!$I$17))</f>
        <v>1000</v>
      </c>
      <c r="U312" s="63">
        <f>IF((((inputs!$P$13/(X312/MAX(K312:S312)))^(1/inputs!$O$13))-1)/inputs!$N$13&lt;0, 0, IF((((inputs!$P$13/(X312/MAX(K312:S312)))^(1/inputs!$O$13))-1)/inputs!$N$13&lt;inputs!$I$17, (((inputs!$P$13/(X312/MAX(K312:S312)))^(1/inputs!$O$13))-1)/inputs!$N$13, inputs!$I$17))</f>
        <v>246.38890114425286</v>
      </c>
      <c r="V312" s="21">
        <f>inputs!$E$78*(F312/inputs!$F$78)^(inputs!$E$84-1)</f>
        <v>3.5124873481261372E-2</v>
      </c>
      <c r="W312" s="21">
        <f>inputs!$E$85*(F312/inputs!$F$85)^(inputs!$E$84-1)</f>
        <v>1.6220019516690172</v>
      </c>
      <c r="X312" s="21">
        <f>inputs!$E$80*(F312/inputs!$F$80)^(inputs!$E$84-1)</f>
        <v>6.0568427309159505</v>
      </c>
      <c r="Y312" s="21">
        <f>inputs!$E$82*(F312/inputs!$F$82)^(inputs!$E$84-1)</f>
        <v>2.7915031029844566</v>
      </c>
      <c r="Z312" s="63">
        <f t="shared" si="28"/>
        <v>19670.664332586668</v>
      </c>
      <c r="AA312" s="63">
        <f t="shared" si="29"/>
        <v>425.97334439919172</v>
      </c>
    </row>
    <row r="313" spans="1:27" x14ac:dyDescent="0.25">
      <c r="A313" s="103" t="s">
        <v>359</v>
      </c>
      <c r="B313" s="20" t="s">
        <v>360</v>
      </c>
      <c r="C313" s="20" t="s">
        <v>73</v>
      </c>
      <c r="D313" s="104" t="s">
        <v>141</v>
      </c>
      <c r="E313" s="15">
        <v>71</v>
      </c>
      <c r="F313" s="15">
        <v>19</v>
      </c>
      <c r="G313" s="20" t="s">
        <v>154</v>
      </c>
      <c r="H313" s="20">
        <v>9.2999999999999999E-2</v>
      </c>
      <c r="I313" s="68">
        <f>MAX('Max rate concentrations'!$G$3:$G$368)</f>
        <v>45</v>
      </c>
      <c r="J313" s="68">
        <f>MAX('Max rate concentrations'!Z:Z)</f>
        <v>21</v>
      </c>
      <c r="K313" s="69">
        <f t="shared" si="30"/>
        <v>12.696243953959343</v>
      </c>
      <c r="L313" s="69">
        <f t="shared" si="32"/>
        <v>5.9249138451810266</v>
      </c>
      <c r="M313" s="69">
        <f>IF((((1.18*F313^0.874)-(0.301*F313^0.751)/(1-H313)*H313)*(MAX('Max rate concentrations'!$P$3:$P$368)))/F313&gt;0, (((1.18*F313^0.874)-(0.301*F313^0.751)/(1-H313)*H313)*(MAX('Max rate concentrations'!$P$3:$P$368)))/F313, 0)</f>
        <v>0.69621076414106497</v>
      </c>
      <c r="N313" s="69">
        <f>IF((((1.18*F313^0.874)-(0.301*F313^0.751)/(1-H313)*H313)*(MAX('Max rate concentrations'!$Q$3:$Q$368)))/F313&gt;0, (((1.18*F313^0.874)-(0.301*F313^0.751)/(1-H313)*H313)*(MAX('Max rate concentrations'!$Q$3:$Q$368)))/F313, 0)</f>
        <v>2.6512079984267372</v>
      </c>
      <c r="O313" s="69">
        <f>((MAX('Max rate concentrations'!$F$3:$F$368))*0.62*6.01*8*(10*F313^0.667)*0.079*0.1/F313)*inputs!$E$80/(10^(0.84+0.62*LOG10(inputs!$E$80)))</f>
        <v>55.071699213544889</v>
      </c>
      <c r="P313" s="69">
        <f>((MAX('Max rate concentrations'!Y:Y))*0.62*6.01*8*(10*F313^0.667)*0.079*0.1/F313)*inputs!$E$80/(10^(0.84+0.62*LOG10(inputs!$E$80)))</f>
        <v>18.357233071181632</v>
      </c>
      <c r="Q313" s="69">
        <f>(inputs!$C$18*11.2*(10*F313^0.667)*0.5/F313)*inputs!$E$80/(10^(0.84+0.62*LOG10(inputs!$E$80)))</f>
        <v>9.7006200664962083</v>
      </c>
      <c r="R313" s="59">
        <f>(60*284*((F313/1000)^0.77)*3*24*(MAX('Max rate concentrations'!$R$3:$R$368))/F313)*(inputs!$E$73*3.4/inputs!$E$75)</f>
        <v>6.9979917664522634E-2</v>
      </c>
      <c r="S313" s="59">
        <f>(IF(inputs!$C$17="aerial",((0.025*0.112*inputs!$C$18/3.3)*(3*60*284*((F313/1000)^0.77))*MAX(inputs!$I$14:$I$16))/F313,((0.0083*0.112*inputs!$C$18/1)*(3*60*284*((F313/1000)^0.77))*MAX(inputs!$I$14:$I$16))/F313))*(inputs!E$75*3.4/inputs!$E$73)</f>
        <v>0.38594354536766318</v>
      </c>
      <c r="T313" s="63">
        <f>IF((((inputs!$P$13/(V313/MAX(K313:S313)))^(1/inputs!$O$13))-1)/inputs!$N$13&lt;0, 0, IF((((inputs!$P$13/(V313/MAX(K313:S313)))^(1/inputs!$O$13))-1)/inputs!$N$13&lt;inputs!$I$17, (((inputs!$P$13/(V313/MAX(K313:S313)))^(1/inputs!$O$13))-1)/inputs!$N$13, inputs!$I$17))</f>
        <v>1000</v>
      </c>
      <c r="U313" s="63">
        <f>IF((((inputs!$P$13/(X313/MAX(K313:S313)))^(1/inputs!$O$13))-1)/inputs!$N$13&lt;0, 0, IF((((inputs!$P$13/(X313/MAX(K313:S313)))^(1/inputs!$O$13))-1)/inputs!$N$13&lt;inputs!$I$17, (((inputs!$P$13/(X313/MAX(K313:S313)))^(1/inputs!$O$13))-1)/inputs!$N$13, inputs!$I$17))</f>
        <v>27.312165527097747</v>
      </c>
      <c r="V313" s="21">
        <f>inputs!$E$78*(F313/inputs!$F$78)^(inputs!$E$84-1)</f>
        <v>3.5124873481261372E-2</v>
      </c>
      <c r="W313" s="21">
        <f>inputs!$E$85*(F313/inputs!$F$85)^(inputs!$E$84-1)</f>
        <v>1.6220019516690172</v>
      </c>
      <c r="X313" s="21">
        <f>inputs!$E$80*(F313/inputs!$F$80)^(inputs!$E$84-1)</f>
        <v>6.0568427309159505</v>
      </c>
      <c r="Y313" s="21">
        <f>inputs!$E$82*(F313/inputs!$F$82)^(inputs!$E$84-1)</f>
        <v>2.7915031029844566</v>
      </c>
      <c r="Z313" s="63">
        <f t="shared" si="28"/>
        <v>1567.8832051288348</v>
      </c>
      <c r="AA313" s="63">
        <f t="shared" si="29"/>
        <v>33.952917970830356</v>
      </c>
    </row>
    <row r="314" spans="1:27" x14ac:dyDescent="0.25">
      <c r="A314" s="103" t="s">
        <v>372</v>
      </c>
      <c r="B314" s="20" t="s">
        <v>373</v>
      </c>
      <c r="C314" s="20" t="s">
        <v>73</v>
      </c>
      <c r="D314" s="104" t="s">
        <v>141</v>
      </c>
      <c r="E314" s="15">
        <v>123</v>
      </c>
      <c r="F314" s="15">
        <v>7.4</v>
      </c>
      <c r="G314" s="20" t="s">
        <v>142</v>
      </c>
      <c r="H314" s="20">
        <v>0.69</v>
      </c>
      <c r="I314" s="68">
        <f>MAX('Max rate concentrations'!$H$3:$H$368)</f>
        <v>282</v>
      </c>
      <c r="J314" s="68">
        <f>MAX('Max rate concentrations'!AA:AA)</f>
        <v>195</v>
      </c>
      <c r="K314" s="69">
        <f t="shared" si="30"/>
        <v>268.15489466248306</v>
      </c>
      <c r="L314" s="69">
        <f t="shared" si="32"/>
        <v>185.4262569474617</v>
      </c>
      <c r="M314" s="69">
        <f>IF((((1.18*F314^0.874)-(0.301*F314^0.751)/(1-H314)*H314)*(MAX('Max rate concentrations'!$P$3:$P$368)))/F314&gt;0, (((1.18*F314^0.874)-(0.301*F314^0.751)/(1-H314)*H314)*(MAX('Max rate concentrations'!$P$3:$P$368)))/F314, 0)</f>
        <v>0.44411665664562278</v>
      </c>
      <c r="N314" s="69">
        <f>IF((((1.18*F314^0.874)-(0.301*F314^0.751)/(1-H314)*H314)*(MAX('Max rate concentrations'!$Q$3:$Q$368)))/F314&gt;0, (((1.18*F314^0.874)-(0.301*F314^0.751)/(1-H314)*H314)*(MAX('Max rate concentrations'!$Q$3:$Q$368)))/F314, 0)</f>
        <v>1.6912200916428866</v>
      </c>
      <c r="O314" s="69">
        <f>((MAX('Max rate concentrations'!$F$3:$F$368))*0.62*6.01*8*(10*F314^0.667)*0.079*0.1/F314)*inputs!$E$80/(10^(0.84+0.62*LOG10(inputs!$E$80)))</f>
        <v>75.387486395179366</v>
      </c>
      <c r="P314" s="69">
        <f>((MAX('Max rate concentrations'!Y:Y))*0.62*6.01*8*(10*F314^0.667)*0.079*0.1/F314)*inputs!$E$80/(10^(0.84+0.62*LOG10(inputs!$E$80)))</f>
        <v>25.129162131726456</v>
      </c>
      <c r="Q314" s="69">
        <f>(inputs!$C$18*11.2*(10*F314^0.667)*0.5/F314)*inputs!$E$80/(10^(0.84+0.62*LOG10(inputs!$E$80)))</f>
        <v>13.27915015754448</v>
      </c>
      <c r="R314" s="59">
        <f>(60*284*((F314/1000)^0.77)*3*24*(MAX('Max rate concentrations'!$R$3:$R$368))/F314)*(inputs!$E$73*3.4/inputs!$E$75)</f>
        <v>8.692875503662259E-2</v>
      </c>
      <c r="S314" s="59">
        <f>(IF(inputs!$C$17="aerial",((0.025*0.112*inputs!$C$18/3.3)*(3*60*284*((F314/1000)^0.77))*MAX(inputs!$I$14:$I$16))/F314,((0.0083*0.112*inputs!$C$18/1)*(3*60*284*((F314/1000)^0.77))*MAX(inputs!$I$14:$I$16))/F314))*(inputs!E$75*3.4/inputs!$E$73)</f>
        <v>0.47941742478270583</v>
      </c>
      <c r="T314" s="63">
        <f>IF((((inputs!$P$13/(V314/MAX(K314:S314)))^(1/inputs!$O$13))-1)/inputs!$N$13&lt;0, 0, IF((((inputs!$P$13/(V314/MAX(K314:S314)))^(1/inputs!$O$13))-1)/inputs!$N$13&lt;inputs!$I$17, (((inputs!$P$13/(V314/MAX(K314:S314)))^(1/inputs!$O$13))-1)/inputs!$N$13, inputs!$I$17))</f>
        <v>1000</v>
      </c>
      <c r="U314" s="63">
        <f>IF((((inputs!$P$13/(X314/MAX(K314:S314)))^(1/inputs!$O$13))-1)/inputs!$N$13&lt;0, 0, IF((((inputs!$P$13/(X314/MAX(K314:S314)))^(1/inputs!$O$13))-1)/inputs!$N$13&lt;inputs!$I$17, (((inputs!$P$13/(X314/MAX(K314:S314)))^(1/inputs!$O$13))-1)/inputs!$N$13, inputs!$I$17))</f>
        <v>83.040944109743691</v>
      </c>
      <c r="V314" s="21">
        <f>inputs!$E$78*(F314/inputs!$F$78)^(inputs!$E$84-1)</f>
        <v>4.9789511425584437E-2</v>
      </c>
      <c r="W314" s="21">
        <f>inputs!$E$85*(F314/inputs!$F$85)^(inputs!$E$84-1)</f>
        <v>2.2991879173039136</v>
      </c>
      <c r="X314" s="21">
        <f>inputs!$E$80*(F314/inputs!$F$80)^(inputs!$E$84-1)</f>
        <v>8.5855751342361319</v>
      </c>
      <c r="Y314" s="21">
        <f>inputs!$E$82*(F314/inputs!$F$82)^(inputs!$E$84-1)</f>
        <v>3.9569559080332892</v>
      </c>
      <c r="Z314" s="63">
        <f t="shared" si="28"/>
        <v>5385.770757426857</v>
      </c>
      <c r="AA314" s="63">
        <f t="shared" si="29"/>
        <v>116.63026438349081</v>
      </c>
    </row>
    <row r="315" spans="1:27" x14ac:dyDescent="0.25">
      <c r="A315" s="103" t="s">
        <v>224</v>
      </c>
      <c r="B315" s="20" t="s">
        <v>225</v>
      </c>
      <c r="C315" s="20" t="s">
        <v>73</v>
      </c>
      <c r="D315" s="104" t="s">
        <v>141</v>
      </c>
      <c r="E315" s="15">
        <v>118</v>
      </c>
      <c r="F315" s="15">
        <v>240</v>
      </c>
      <c r="G315" s="20" t="s">
        <v>142</v>
      </c>
      <c r="H315" s="20">
        <v>0.69</v>
      </c>
      <c r="I315" s="68">
        <f>MAX('Max rate concentrations'!$H$3:$H$368)</f>
        <v>282</v>
      </c>
      <c r="J315" s="68">
        <f>MAX('Max rate concentrations'!AA:AA)</f>
        <v>195</v>
      </c>
      <c r="K315" s="69">
        <f t="shared" si="30"/>
        <v>159.12514056543654</v>
      </c>
      <c r="L315" s="69">
        <f t="shared" si="32"/>
        <v>110.03334188035505</v>
      </c>
      <c r="M315" s="69">
        <f>IF((((1.18*F315^0.874)-(0.301*F315^0.751)/(1-H315)*H315)*(MAX('Max rate concentrations'!$P$3:$P$368)))/F315&gt;0, (((1.18*F315^0.874)-(0.301*F315^0.751)/(1-H315)*H315)*(MAX('Max rate concentrations'!$P$3:$P$368)))/F315, 0)</f>
        <v>0.3661008267829387</v>
      </c>
      <c r="N315" s="69">
        <f>IF((((1.18*F315^0.874)-(0.301*F315^0.751)/(1-H315)*H315)*(MAX('Max rate concentrations'!$Q$3:$Q$368)))/F315&gt;0, (((1.18*F315^0.874)-(0.301*F315^0.751)/(1-H315)*H315)*(MAX('Max rate concentrations'!$Q$3:$Q$368)))/F315, 0)</f>
        <v>1.3941316196037803</v>
      </c>
      <c r="O315" s="69">
        <f>((MAX('Max rate concentrations'!$F$3:$F$368))*0.62*6.01*8*(10*F315^0.667)*0.079*0.1/F315)*inputs!$E$80/(10^(0.84+0.62*LOG10(inputs!$E$80)))</f>
        <v>23.666992997596275</v>
      </c>
      <c r="P315" s="69">
        <f>((MAX('Max rate concentrations'!Y:Y))*0.62*6.01*8*(10*F315^0.667)*0.079*0.1/F315)*inputs!$E$80/(10^(0.84+0.62*LOG10(inputs!$E$80)))</f>
        <v>7.8889976658654275</v>
      </c>
      <c r="Q315" s="69">
        <f>(inputs!$C$18*11.2*(10*F315^0.667)*0.5/F315)*inputs!$E$80/(10^(0.84+0.62*LOG10(inputs!$E$80)))</f>
        <v>4.1688291893060274</v>
      </c>
      <c r="R315" s="59">
        <f>(60*284*((F315/1000)^0.77)*3*24*(MAX('Max rate concentrations'!$R$3:$R$368))/F315)*(inputs!$E$73*3.4/inputs!$E$75)</f>
        <v>3.90515404332143E-2</v>
      </c>
      <c r="S315" s="59">
        <f>(IF(inputs!$C$17="aerial",((0.025*0.112*inputs!$C$18/3.3)*(3*60*284*((F315/1000)^0.77))*MAX(inputs!$I$14:$I$16))/F315,((0.0083*0.112*inputs!$C$18/1)*(3*60*284*((F315/1000)^0.77))*MAX(inputs!$I$14:$I$16))/F315))*(inputs!E$75*3.4/inputs!$E$73)</f>
        <v>0.21537164474979356</v>
      </c>
      <c r="T315" s="63">
        <f>IF((((inputs!$P$13/(V315/MAX(K315:S315)))^(1/inputs!$O$13))-1)/inputs!$N$13&lt;0, 0, IF((((inputs!$P$13/(V315/MAX(K315:S315)))^(1/inputs!$O$13))-1)/inputs!$N$13&lt;inputs!$I$17, (((inputs!$P$13/(V315/MAX(K315:S315)))^(1/inputs!$O$13))-1)/inputs!$N$13, inputs!$I$17))</f>
        <v>1000</v>
      </c>
      <c r="U315" s="63">
        <f>IF((((inputs!$P$13/(X315/MAX(K315:S315)))^(1/inputs!$O$13))-1)/inputs!$N$13&lt;0, 0, IF((((inputs!$P$13/(X315/MAX(K315:S315)))^(1/inputs!$O$13))-1)/inputs!$N$13&lt;inputs!$I$17, (((inputs!$P$13/(X315/MAX(K315:S315)))^(1/inputs!$O$13))-1)/inputs!$N$13, inputs!$I$17))</f>
        <v>158.68773020561216</v>
      </c>
      <c r="V315" s="21">
        <f>inputs!$E$78*(F315/inputs!$F$78)^(inputs!$E$84-1)</f>
        <v>1.3742806812884194E-2</v>
      </c>
      <c r="W315" s="21">
        <f>inputs!$E$85*(F315/inputs!$F$85)^(inputs!$E$84-1)</f>
        <v>0.63461750214702672</v>
      </c>
      <c r="X315" s="21">
        <f>inputs!$E$80*(F315/inputs!$F$80)^(inputs!$E$84-1)</f>
        <v>2.3697742168781373</v>
      </c>
      <c r="Y315" s="21">
        <f>inputs!$E$82*(F315/inputs!$F$82)^(inputs!$E$84-1)</f>
        <v>1.0921914888134281</v>
      </c>
      <c r="Z315" s="63">
        <f t="shared" si="28"/>
        <v>11578.794836601581</v>
      </c>
      <c r="AA315" s="63">
        <f t="shared" si="29"/>
        <v>250.74180908513739</v>
      </c>
    </row>
    <row r="316" spans="1:27" x14ac:dyDescent="0.25">
      <c r="A316" s="103" t="s">
        <v>224</v>
      </c>
      <c r="B316" s="20" t="s">
        <v>225</v>
      </c>
      <c r="C316" s="20" t="s">
        <v>73</v>
      </c>
      <c r="D316" s="104" t="s">
        <v>141</v>
      </c>
      <c r="E316" s="15">
        <v>118</v>
      </c>
      <c r="F316" s="15">
        <v>240</v>
      </c>
      <c r="G316" s="20" t="s">
        <v>152</v>
      </c>
      <c r="H316" s="20">
        <v>0.77</v>
      </c>
      <c r="I316" s="68">
        <f>MAX('Max rate concentrations'!$G$3:$G$368)</f>
        <v>45</v>
      </c>
      <c r="J316" s="68">
        <f>MAX('Max rate concentrations'!Z:Z)</f>
        <v>21</v>
      </c>
      <c r="K316" s="69">
        <f t="shared" si="30"/>
        <v>34.224417374157269</v>
      </c>
      <c r="L316" s="69">
        <f t="shared" si="32"/>
        <v>15.971394774606724</v>
      </c>
      <c r="M316" s="69">
        <f>IF((((1.18*F316^0.874)-(0.301*F316^0.751)/(1-H316)*H316)*(MAX('Max rate concentrations'!$P$3:$P$368)))/F316&gt;0, (((1.18*F316^0.874)-(0.301*F316^0.751)/(1-H316)*H316)*(MAX('Max rate concentrations'!$P$3:$P$368)))/F316, 0)</f>
        <v>0.29096332477944448</v>
      </c>
      <c r="N316" s="69">
        <f>IF((((1.18*F316^0.874)-(0.301*F316^0.751)/(1-H316)*H316)*(MAX('Max rate concentrations'!$Q$3:$Q$368)))/F316&gt;0, (((1.18*F316^0.874)-(0.301*F316^0.751)/(1-H316)*H316)*(MAX('Max rate concentrations'!$Q$3:$Q$368)))/F316, 0)</f>
        <v>1.1080039747098751</v>
      </c>
      <c r="O316" s="69">
        <f>((MAX('Max rate concentrations'!$F$3:$F$368))*0.62*6.01*8*(10*F316^0.667)*0.079*0.1/F316)*inputs!$E$80/(10^(0.84+0.62*LOG10(inputs!$E$80)))</f>
        <v>23.666992997596275</v>
      </c>
      <c r="P316" s="69">
        <f>((MAX('Max rate concentrations'!Y:Y))*0.62*6.01*8*(10*F316^0.667)*0.079*0.1/F316)*inputs!$E$80/(10^(0.84+0.62*LOG10(inputs!$E$80)))</f>
        <v>7.8889976658654275</v>
      </c>
      <c r="Q316" s="69">
        <f>(inputs!$C$18*11.2*(10*F316^0.667)*0.5/F316)*inputs!$E$80/(10^(0.84+0.62*LOG10(inputs!$E$80)))</f>
        <v>4.1688291893060274</v>
      </c>
      <c r="R316" s="59">
        <f>(60*284*((F316/1000)^0.77)*3*24*(MAX('Max rate concentrations'!$R$3:$R$368))/F316)*(inputs!$E$73*3.4/inputs!$E$75)</f>
        <v>3.90515404332143E-2</v>
      </c>
      <c r="S316" s="59">
        <f>(IF(inputs!$C$17="aerial",((0.025*0.112*inputs!$C$18/3.3)*(3*60*284*((F316/1000)^0.77))*MAX(inputs!$I$14:$I$16))/F316,((0.0083*0.112*inputs!$C$18/1)*(3*60*284*((F316/1000)^0.77))*MAX(inputs!$I$14:$I$16))/F316))*(inputs!E$75*3.4/inputs!$E$73)</f>
        <v>0.21537164474979356</v>
      </c>
      <c r="T316" s="63">
        <f>IF((((inputs!$P$13/(V316/MAX(K316:S316)))^(1/inputs!$O$13))-1)/inputs!$N$13&lt;0, 0, IF((((inputs!$P$13/(V316/MAX(K316:S316)))^(1/inputs!$O$13))-1)/inputs!$N$13&lt;inputs!$I$17, (((inputs!$P$13/(V316/MAX(K316:S316)))^(1/inputs!$O$13))-1)/inputs!$N$13, inputs!$I$17))</f>
        <v>1000</v>
      </c>
      <c r="U316" s="63">
        <f>IF((((inputs!$P$13/(X316/MAX(K316:S316)))^(1/inputs!$O$13))-1)/inputs!$N$13&lt;0, 0, IF((((inputs!$P$13/(X316/MAX(K316:S316)))^(1/inputs!$O$13))-1)/inputs!$N$13&lt;inputs!$I$17, (((inputs!$P$13/(X316/MAX(K316:S316)))^(1/inputs!$O$13))-1)/inputs!$N$13, inputs!$I$17))</f>
        <v>42.078056817470589</v>
      </c>
      <c r="V316" s="21">
        <f>inputs!$E$78*(F316/inputs!$F$78)^(inputs!$E$84-1)</f>
        <v>1.3742806812884194E-2</v>
      </c>
      <c r="W316" s="21">
        <f>inputs!$E$85*(F316/inputs!$F$85)^(inputs!$E$84-1)</f>
        <v>0.63461750214702672</v>
      </c>
      <c r="X316" s="21">
        <f>inputs!$E$80*(F316/inputs!$F$80)^(inputs!$E$84-1)</f>
        <v>2.3697742168781373</v>
      </c>
      <c r="Y316" s="21">
        <f>inputs!$E$82*(F316/inputs!$F$82)^(inputs!$E$84-1)</f>
        <v>1.0921914888134281</v>
      </c>
      <c r="Z316" s="63">
        <f t="shared" si="28"/>
        <v>2490.3513408971958</v>
      </c>
      <c r="AA316" s="63">
        <f t="shared" si="29"/>
        <v>53.929205006747885</v>
      </c>
    </row>
    <row r="317" spans="1:27" x14ac:dyDescent="0.25">
      <c r="A317" s="103" t="s">
        <v>224</v>
      </c>
      <c r="B317" s="20" t="s">
        <v>225</v>
      </c>
      <c r="C317" s="20" t="s">
        <v>73</v>
      </c>
      <c r="D317" s="104" t="s">
        <v>141</v>
      </c>
      <c r="E317" s="15">
        <v>118</v>
      </c>
      <c r="F317" s="15">
        <v>240</v>
      </c>
      <c r="G317" s="20" t="s">
        <v>169</v>
      </c>
      <c r="H317" s="20">
        <v>0.79</v>
      </c>
      <c r="I317" s="68">
        <f>MAX('Max rate concentrations'!$D$3:$D$368)</f>
        <v>720</v>
      </c>
      <c r="J317" s="68">
        <f>MAX('Max rate concentrations'!W:W)</f>
        <v>255</v>
      </c>
      <c r="K317" s="69">
        <f t="shared" si="30"/>
        <v>599.74217112808935</v>
      </c>
      <c r="L317" s="69">
        <f t="shared" si="32"/>
        <v>212.40868560786495</v>
      </c>
      <c r="M317" s="69">
        <f>IF((((1.18*F317^0.874)-(0.301*F317^0.751)/(1-H317)*H317)*(MAX('Max rate concentrations'!$P$3:$P$368)))/F317&gt;0, (((1.18*F317^0.874)-(0.301*F317^0.751)/(1-H317)*H317)*(MAX('Max rate concentrations'!$P$3:$P$368)))/F317, 0)</f>
        <v>0.26323400856386919</v>
      </c>
      <c r="N317" s="69">
        <f>IF((((1.18*F317^0.874)-(0.301*F317^0.751)/(1-H317)*H317)*(MAX('Max rate concentrations'!$Q$3:$Q$368)))/F317&gt;0, (((1.18*F317^0.874)-(0.301*F317^0.751)/(1-H317)*H317)*(MAX('Max rate concentrations'!$Q$3:$Q$368)))/F317, 0)</f>
        <v>1.0024092486180769</v>
      </c>
      <c r="O317" s="69">
        <f>((MAX('Max rate concentrations'!$F$3:$F$368))*0.62*6.01*8*(10*F317^0.667)*0.079*0.1/F317)*inputs!$E$80/(10^(0.84+0.62*LOG10(inputs!$E$80)))</f>
        <v>23.666992997596275</v>
      </c>
      <c r="P317" s="69">
        <f>((MAX('Max rate concentrations'!Y:Y))*0.62*6.01*8*(10*F317^0.667)*0.079*0.1/F317)*inputs!$E$80/(10^(0.84+0.62*LOG10(inputs!$E$80)))</f>
        <v>7.8889976658654275</v>
      </c>
      <c r="Q317" s="69">
        <f>(inputs!$C$18*11.2*(10*F317^0.667)*0.5/F317)*inputs!$E$80/(10^(0.84+0.62*LOG10(inputs!$E$80)))</f>
        <v>4.1688291893060274</v>
      </c>
      <c r="R317" s="59">
        <f>(60*284*((F317/1000)^0.77)*3*24*(MAX('Max rate concentrations'!$R$3:$R$368))/F317)*(inputs!$E$73*3.4/inputs!$E$75)</f>
        <v>3.90515404332143E-2</v>
      </c>
      <c r="S317" s="59">
        <f>(IF(inputs!$C$17="aerial",((0.025*0.112*inputs!$C$18/3.3)*(3*60*284*((F317/1000)^0.77))*MAX(inputs!$I$14:$I$16))/F317,((0.0083*0.112*inputs!$C$18/1)*(3*60*284*((F317/1000)^0.77))*MAX(inputs!$I$14:$I$16))/F317))*(inputs!E$75*3.4/inputs!$E$73)</f>
        <v>0.21537164474979356</v>
      </c>
      <c r="T317" s="63">
        <f>IF((((inputs!$P$13/(V317/MAX(K317:S317)))^(1/inputs!$O$13))-1)/inputs!$N$13&lt;0, 0, IF((((inputs!$P$13/(V317/MAX(K317:S317)))^(1/inputs!$O$13))-1)/inputs!$N$13&lt;inputs!$I$17, (((inputs!$P$13/(V317/MAX(K317:S317)))^(1/inputs!$O$13))-1)/inputs!$N$13, inputs!$I$17))</f>
        <v>1000</v>
      </c>
      <c r="U317" s="63">
        <f>IF((((inputs!$P$13/(X317/MAX(K317:S317)))^(1/inputs!$O$13))-1)/inputs!$N$13&lt;0, 0, IF((((inputs!$P$13/(X317/MAX(K317:S317)))^(1/inputs!$O$13))-1)/inputs!$N$13&lt;inputs!$I$17, (((inputs!$P$13/(X317/MAX(K317:S317)))^(1/inputs!$O$13))-1)/inputs!$N$13, inputs!$I$17))</f>
        <v>474.05879445520884</v>
      </c>
      <c r="V317" s="21">
        <f>inputs!$E$78*(F317/inputs!$F$78)^(inputs!$E$84-1)</f>
        <v>1.3742806812884194E-2</v>
      </c>
      <c r="W317" s="21">
        <f>inputs!$E$85*(F317/inputs!$F$85)^(inputs!$E$84-1)</f>
        <v>0.63461750214702672</v>
      </c>
      <c r="X317" s="21">
        <f>inputs!$E$80*(F317/inputs!$F$80)^(inputs!$E$84-1)</f>
        <v>2.3697742168781373</v>
      </c>
      <c r="Y317" s="21">
        <f>inputs!$E$82*(F317/inputs!$F$82)^(inputs!$E$84-1)</f>
        <v>1.0921914888134281</v>
      </c>
      <c r="Z317" s="63">
        <f t="shared" si="28"/>
        <v>43640.4425452461</v>
      </c>
      <c r="AA317" s="63">
        <f t="shared" si="29"/>
        <v>945.04511630872491</v>
      </c>
    </row>
    <row r="318" spans="1:27" x14ac:dyDescent="0.25">
      <c r="A318" s="103" t="s">
        <v>224</v>
      </c>
      <c r="B318" s="20" t="s">
        <v>225</v>
      </c>
      <c r="C318" s="20" t="s">
        <v>73</v>
      </c>
      <c r="D318" s="104" t="s">
        <v>141</v>
      </c>
      <c r="E318" s="15">
        <v>118</v>
      </c>
      <c r="F318" s="15">
        <v>240</v>
      </c>
      <c r="G318" s="20" t="s">
        <v>177</v>
      </c>
      <c r="H318" s="20">
        <v>0.85</v>
      </c>
      <c r="I318" s="68">
        <f>MAX('Max rate concentrations'!$F$3:$F$368)</f>
        <v>405</v>
      </c>
      <c r="J318" s="68">
        <f>MAX('Max rate concentrations'!Y:Y)</f>
        <v>135</v>
      </c>
      <c r="K318" s="69">
        <f t="shared" si="30"/>
        <v>472.29695976337018</v>
      </c>
      <c r="L318" s="69">
        <f t="shared" si="32"/>
        <v>157.43231992112339</v>
      </c>
      <c r="M318" s="69">
        <f>IF((((1.18*F318^0.874)-(0.301*F318^0.751)/(1-H318)*H318)*(MAX('Max rate concentrations'!$P$3:$P$368)))/F318&gt;0, (((1.18*F318^0.874)-(0.301*F318^0.751)/(1-H318)*H318)*(MAX('Max rate concentrations'!$P$3:$P$368)))/F318, 0)</f>
        <v>0.13567915397222322</v>
      </c>
      <c r="N318" s="69">
        <f>IF((((1.18*F318^0.874)-(0.301*F318^0.751)/(1-H318)*H318)*(MAX('Max rate concentrations'!$Q$3:$Q$368)))/F318&gt;0, (((1.18*F318^0.874)-(0.301*F318^0.751)/(1-H318)*H318)*(MAX('Max rate concentrations'!$Q$3:$Q$368)))/F318, 0)</f>
        <v>0.51667350859580574</v>
      </c>
      <c r="O318" s="69">
        <f>((MAX('Max rate concentrations'!$F$3:$F$368))*0.62*6.01*8*(10*F318^0.667)*0.079*0.1/F318)*inputs!$E$80/(10^(0.84+0.62*LOG10(inputs!$E$80)))</f>
        <v>23.666992997596275</v>
      </c>
      <c r="P318" s="69">
        <f>((MAX('Max rate concentrations'!Y:Y))*0.62*6.01*8*(10*F318^0.667)*0.079*0.1/F318)*inputs!$E$80/(10^(0.84+0.62*LOG10(inputs!$E$80)))</f>
        <v>7.8889976658654275</v>
      </c>
      <c r="Q318" s="69">
        <f>(inputs!$C$18*11.2*(10*F318^0.667)*0.5/F318)*inputs!$E$80/(10^(0.84+0.62*LOG10(inputs!$E$80)))</f>
        <v>4.1688291893060274</v>
      </c>
      <c r="R318" s="59">
        <f>(60*284*((F318/1000)^0.77)*3*24*(MAX('Max rate concentrations'!$R$3:$R$368))/F318)*(inputs!$E$73*3.4/inputs!$E$75)</f>
        <v>3.90515404332143E-2</v>
      </c>
      <c r="S318" s="59">
        <f>(IF(inputs!$C$17="aerial",((0.025*0.112*inputs!$C$18/3.3)*(3*60*284*((F318/1000)^0.77))*MAX(inputs!$I$14:$I$16))/F318,((0.0083*0.112*inputs!$C$18/1)*(3*60*284*((F318/1000)^0.77))*MAX(inputs!$I$14:$I$16))/F318))*(inputs!E$75*3.4/inputs!$E$73)</f>
        <v>0.21537164474979356</v>
      </c>
      <c r="T318" s="63">
        <f>IF((((inputs!$P$13/(V318/MAX(K318:S318)))^(1/inputs!$O$13))-1)/inputs!$N$13&lt;0, 0, IF((((inputs!$P$13/(V318/MAX(K318:S318)))^(1/inputs!$O$13))-1)/inputs!$N$13&lt;inputs!$I$17, (((inputs!$P$13/(V318/MAX(K318:S318)))^(1/inputs!$O$13))-1)/inputs!$N$13, inputs!$I$17))</f>
        <v>1000</v>
      </c>
      <c r="U318" s="63">
        <f>IF((((inputs!$P$13/(X318/MAX(K318:S318)))^(1/inputs!$O$13))-1)/inputs!$N$13&lt;0, 0, IF((((inputs!$P$13/(X318/MAX(K318:S318)))^(1/inputs!$O$13))-1)/inputs!$N$13&lt;inputs!$I$17, (((inputs!$P$13/(X318/MAX(K318:S318)))^(1/inputs!$O$13))-1)/inputs!$N$13, inputs!$I$17))</f>
        <v>389.86254264457637</v>
      </c>
      <c r="V318" s="21">
        <f>inputs!$E$78*(F318/inputs!$F$78)^(inputs!$E$84-1)</f>
        <v>1.3742806812884194E-2</v>
      </c>
      <c r="W318" s="21">
        <f>inputs!$E$85*(F318/inputs!$F$85)^(inputs!$E$84-1)</f>
        <v>0.63461750214702672</v>
      </c>
      <c r="X318" s="21">
        <f>inputs!$E$80*(F318/inputs!$F$80)^(inputs!$E$84-1)</f>
        <v>2.3697742168781373</v>
      </c>
      <c r="Y318" s="21">
        <f>inputs!$E$82*(F318/inputs!$F$82)^(inputs!$E$84-1)</f>
        <v>1.0921914888134281</v>
      </c>
      <c r="Z318" s="63">
        <f t="shared" si="28"/>
        <v>34366.848504381291</v>
      </c>
      <c r="AA318" s="63">
        <f t="shared" si="29"/>
        <v>744.22302909312054</v>
      </c>
    </row>
    <row r="319" spans="1:27" x14ac:dyDescent="0.25">
      <c r="A319" s="103" t="s">
        <v>224</v>
      </c>
      <c r="B319" s="20" t="s">
        <v>225</v>
      </c>
      <c r="C319" s="20" t="s">
        <v>73</v>
      </c>
      <c r="D319" s="104" t="s">
        <v>141</v>
      </c>
      <c r="E319" s="15">
        <v>118</v>
      </c>
      <c r="F319" s="15">
        <v>240</v>
      </c>
      <c r="G319" s="21" t="s">
        <v>456</v>
      </c>
      <c r="H319" s="20">
        <v>0.68</v>
      </c>
      <c r="I319" s="68">
        <f>MAX('Max rate concentrations'!$J$3:$J$368)</f>
        <v>686.46486205830786</v>
      </c>
      <c r="J319" s="68">
        <f>MAX('Max rate concentrations'!AB:AB)</f>
        <v>243.122971978984</v>
      </c>
      <c r="K319" s="69">
        <f t="shared" si="30"/>
        <v>375.24915200754651</v>
      </c>
      <c r="L319" s="69">
        <f t="shared" si="32"/>
        <v>132.90074133600604</v>
      </c>
      <c r="M319" s="69">
        <f>IF((((1.18*F319^0.874)-(0.301*F319^0.751)/(1-H319)*H319)*(MAX('Max rate concentrations'!$P$3:$P$368)))/F319&gt;0, (((1.18*F319^0.874)-(0.301*F319^0.751)/(1-H319)*H319)*(MAX('Max rate concentrations'!$P$3:$P$368)))/F319, 0)</f>
        <v>0.37285146172856509</v>
      </c>
      <c r="N319" s="69">
        <f>IF((((1.18*F319^0.874)-(0.301*F319^0.751)/(1-H319)*H319)*(MAX('Max rate concentrations'!$Q$3:$Q$368)))/F319&gt;0, (((1.18*F319^0.874)-(0.301*F319^0.751)/(1-H319)*H319)*(MAX('Max rate concentrations'!$Q$3:$Q$368)))/F319, 0)</f>
        <v>1.4198384001997166</v>
      </c>
      <c r="O319" s="69">
        <f>((MAX('Max rate concentrations'!$F$3:$F$368))*0.62*6.01*8*(10*F319^0.667)*0.079*0.1/F319)*inputs!$E$80/(10^(0.84+0.62*LOG10(inputs!$E$80)))</f>
        <v>23.666992997596275</v>
      </c>
      <c r="P319" s="69">
        <f>((MAX('Max rate concentrations'!Y:Y))*0.62*6.01*8*(10*F319^0.667)*0.079*0.1/F319)*inputs!$E$80/(10^(0.84+0.62*LOG10(inputs!$E$80)))</f>
        <v>7.8889976658654275</v>
      </c>
      <c r="Q319" s="69">
        <f>(inputs!$C$18*11.2*(10*F319^0.667)*0.5/F319)*inputs!$E$80/(10^(0.84+0.62*LOG10(inputs!$E$80)))</f>
        <v>4.1688291893060274</v>
      </c>
      <c r="R319" s="59">
        <f>(60*284*((F319/1000)^0.77)*3*24*(MAX('Max rate concentrations'!$R$3:$R$368))/F319)*(inputs!$E$73*3.4/inputs!$E$75)</f>
        <v>3.90515404332143E-2</v>
      </c>
      <c r="S319" s="59">
        <f>(IF(inputs!$C$17="aerial",((0.025*0.112*inputs!$C$18/3.3)*(3*60*284*((F319/1000)^0.77))*MAX(inputs!$I$14:$I$16))/F319,((0.0083*0.112*inputs!$C$18/1)*(3*60*284*((F319/1000)^0.77))*MAX(inputs!$I$14:$I$16))/F319))*(inputs!E$75*3.4/inputs!$E$73)</f>
        <v>0.21537164474979356</v>
      </c>
      <c r="T319" s="63">
        <f>IF((((inputs!$P$13/(V319/MAX(K319:S319)))^(1/inputs!$O$13))-1)/inputs!$N$13&lt;0, 0, IF((((inputs!$P$13/(V319/MAX(K319:S319)))^(1/inputs!$O$13))-1)/inputs!$N$13&lt;inputs!$I$17, (((inputs!$P$13/(V319/MAX(K319:S319)))^(1/inputs!$O$13))-1)/inputs!$N$13, inputs!$I$17))</f>
        <v>1000</v>
      </c>
      <c r="U319" s="63">
        <f>IF((((inputs!$P$13/(X319/MAX(K319:S319)))^(1/inputs!$O$13))-1)/inputs!$N$13&lt;0, 0, IF((((inputs!$P$13/(X319/MAX(K319:S319)))^(1/inputs!$O$13))-1)/inputs!$N$13&lt;inputs!$I$17, (((inputs!$P$13/(X319/MAX(K319:S319)))^(1/inputs!$O$13))-1)/inputs!$N$13, inputs!$I$17))</f>
        <v>322.80266152673335</v>
      </c>
      <c r="V319" s="21">
        <f>inputs!$E$78*(F319/inputs!$F$78)^(inputs!$E$84-1)</f>
        <v>1.3742806812884194E-2</v>
      </c>
      <c r="W319" s="21">
        <f>inputs!$E$85*(F319/inputs!$F$85)^(inputs!$E$84-1)</f>
        <v>0.63461750214702672</v>
      </c>
      <c r="X319" s="21">
        <f>inputs!$E$80*(F319/inputs!$F$80)^(inputs!$E$84-1)</f>
        <v>2.3697742168781373</v>
      </c>
      <c r="Y319" s="21">
        <f>inputs!$E$82*(F319/inputs!$F$82)^(inputs!$E$84-1)</f>
        <v>1.0921914888134281</v>
      </c>
      <c r="Z319" s="63">
        <f t="shared" si="28"/>
        <v>27305.131849466288</v>
      </c>
      <c r="AA319" s="63">
        <f t="shared" si="29"/>
        <v>591.29972107294589</v>
      </c>
    </row>
    <row r="320" spans="1:27" x14ac:dyDescent="0.25">
      <c r="A320" s="103" t="s">
        <v>224</v>
      </c>
      <c r="B320" s="20" t="s">
        <v>225</v>
      </c>
      <c r="C320" s="20" t="s">
        <v>73</v>
      </c>
      <c r="D320" s="104" t="s">
        <v>141</v>
      </c>
      <c r="E320" s="15">
        <v>118</v>
      </c>
      <c r="F320" s="15">
        <v>240</v>
      </c>
      <c r="G320" s="20" t="s">
        <v>145</v>
      </c>
      <c r="H320" s="20">
        <v>0.66</v>
      </c>
      <c r="I320" s="68">
        <f>MAX('Max rate concentrations'!$M$3:$M$368)</f>
        <v>17.092910873809167</v>
      </c>
      <c r="J320" s="68">
        <f>MAX('Max rate concentrations'!AE:AE)</f>
        <v>11.81956602976166</v>
      </c>
      <c r="K320" s="69">
        <f t="shared" si="30"/>
        <v>8.7940412191790003</v>
      </c>
      <c r="L320" s="69">
        <f t="shared" si="32"/>
        <v>6.0809859494322884</v>
      </c>
      <c r="M320" s="69">
        <f>IF((((1.18*F320^0.874)-(0.301*F320^0.751)/(1-H320)*H320)*(MAX('Max rate concentrations'!$P$3:$P$368)))/F320&gt;0, (((1.18*F320^0.874)-(0.301*F320^0.751)/(1-H320)*H320)*(MAX('Max rate concentrations'!$P$3:$P$368)))/F320, 0)</f>
        <v>0.3851614431000015</v>
      </c>
      <c r="N320" s="69">
        <f>IF((((1.18*F320^0.874)-(0.301*F320^0.751)/(1-H320)*H320)*(MAX('Max rate concentrations'!$Q$3:$Q$368)))/F320&gt;0, (((1.18*F320^0.874)-(0.301*F320^0.751)/(1-H320)*H320)*(MAX('Max rate concentrations'!$Q$3:$Q$368)))/F320, 0)</f>
        <v>1.4667154706981897</v>
      </c>
      <c r="O320" s="69">
        <f>((MAX('Max rate concentrations'!$F$3:$F$368))*0.62*6.01*8*(10*F320^0.667)*0.079*0.1/F320)*inputs!$E$80/(10^(0.84+0.62*LOG10(inputs!$E$80)))</f>
        <v>23.666992997596275</v>
      </c>
      <c r="P320" s="69">
        <f>((MAX('Max rate concentrations'!Y:Y))*0.62*6.01*8*(10*F320^0.667)*0.079*0.1/F320)*inputs!$E$80/(10^(0.84+0.62*LOG10(inputs!$E$80)))</f>
        <v>7.8889976658654275</v>
      </c>
      <c r="Q320" s="69">
        <f>(inputs!$C$18*11.2*(10*F320^0.667)*0.5/F320)*inputs!$E$80/(10^(0.84+0.62*LOG10(inputs!$E$80)))</f>
        <v>4.1688291893060274</v>
      </c>
      <c r="R320" s="59">
        <f>(60*284*((F320/1000)^0.77)*3*24*(MAX('Max rate concentrations'!$R$3:$R$368))/F320)*(inputs!$E$73*3.4/inputs!$E$75)</f>
        <v>3.90515404332143E-2</v>
      </c>
      <c r="S320" s="59">
        <f>(IF(inputs!$C$17="aerial",((0.025*0.112*inputs!$C$18/3.3)*(3*60*284*((F320/1000)^0.77))*MAX(inputs!$I$14:$I$16))/F320,((0.0083*0.112*inputs!$C$18/1)*(3*60*284*((F320/1000)^0.77))*MAX(inputs!$I$14:$I$16))/F320))*(inputs!E$75*3.4/inputs!$E$73)</f>
        <v>0.21537164474979356</v>
      </c>
      <c r="T320" s="63">
        <f>IF((((inputs!$P$13/(V320/MAX(K320:S320)))^(1/inputs!$O$13))-1)/inputs!$N$13&lt;0, 0, IF((((inputs!$P$13/(V320/MAX(K320:S320)))^(1/inputs!$O$13))-1)/inputs!$N$13&lt;inputs!$I$17, (((inputs!$P$13/(V320/MAX(K320:S320)))^(1/inputs!$O$13))-1)/inputs!$N$13, inputs!$I$17))</f>
        <v>1000</v>
      </c>
      <c r="U320" s="63">
        <f>IF((((inputs!$P$13/(X320/MAX(K320:S320)))^(1/inputs!$O$13))-1)/inputs!$N$13&lt;0, 0, IF((((inputs!$P$13/(X320/MAX(K320:S320)))^(1/inputs!$O$13))-1)/inputs!$N$13&lt;inputs!$I$17, (((inputs!$P$13/(X320/MAX(K320:S320)))^(1/inputs!$O$13))-1)/inputs!$N$13, inputs!$I$17))</f>
        <v>29.877535612511483</v>
      </c>
      <c r="V320" s="21">
        <f>inputs!$E$78*(F320/inputs!$F$78)^(inputs!$E$84-1)</f>
        <v>1.3742806812884194E-2</v>
      </c>
      <c r="W320" s="21">
        <f>inputs!$E$85*(F320/inputs!$F$85)^(inputs!$E$84-1)</f>
        <v>0.63461750214702672</v>
      </c>
      <c r="X320" s="21">
        <f>inputs!$E$80*(F320/inputs!$F$80)^(inputs!$E$84-1)</f>
        <v>2.3697742168781373</v>
      </c>
      <c r="Y320" s="21">
        <f>inputs!$E$82*(F320/inputs!$F$82)^(inputs!$E$84-1)</f>
        <v>1.0921914888134281</v>
      </c>
      <c r="Z320" s="63">
        <f t="shared" si="28"/>
        <v>1722.1367745203208</v>
      </c>
      <c r="AA320" s="63">
        <f t="shared" si="29"/>
        <v>37.293319074129727</v>
      </c>
    </row>
    <row r="321" spans="1:27" x14ac:dyDescent="0.25">
      <c r="A321" s="103" t="s">
        <v>224</v>
      </c>
      <c r="B321" s="20" t="s">
        <v>225</v>
      </c>
      <c r="C321" s="20" t="s">
        <v>73</v>
      </c>
      <c r="D321" s="104" t="s">
        <v>141</v>
      </c>
      <c r="E321" s="15">
        <v>118</v>
      </c>
      <c r="F321" s="15">
        <v>240</v>
      </c>
      <c r="G321" s="20" t="s">
        <v>154</v>
      </c>
      <c r="H321" s="20">
        <v>9.2999999999999999E-2</v>
      </c>
      <c r="I321" s="68">
        <f>MAX('Max rate concentrations'!$G$3:$G$368)</f>
        <v>45</v>
      </c>
      <c r="J321" s="68">
        <f>MAX('Max rate concentrations'!Z:Z)</f>
        <v>21</v>
      </c>
      <c r="K321" s="69">
        <f t="shared" ref="K321:K352" si="33">((0.398*F321^0.85)/(1-H321))*I321/F321</f>
        <v>8.6787386946595042</v>
      </c>
      <c r="L321" s="69">
        <f t="shared" si="32"/>
        <v>4.0500780575077693</v>
      </c>
      <c r="M321" s="69">
        <f>IF((((1.18*F321^0.874)-(0.301*F321^0.751)/(1-H321)*H321)*(MAX('Max rate concentrations'!$P$3:$P$368)))/F321&gt;0, (((1.18*F321^0.874)-(0.301*F321^0.751)/(1-H321)*H321)*(MAX('Max rate concentrations'!$P$3:$P$368)))/F321, 0)</f>
        <v>0.50828840120548269</v>
      </c>
      <c r="N321" s="69">
        <f>IF((((1.18*F321^0.874)-(0.301*F321^0.751)/(1-H321)*H321)*(MAX('Max rate concentrations'!$Q$3:$Q$368)))/F321&gt;0, (((1.18*F321^0.874)-(0.301*F321^0.751)/(1-H321)*H321)*(MAX('Max rate concentrations'!$Q$3:$Q$368)))/F321, 0)</f>
        <v>1.9355895429828054</v>
      </c>
      <c r="O321" s="69">
        <f>((MAX('Max rate concentrations'!$F$3:$F$368))*0.62*6.01*8*(10*F321^0.667)*0.079*0.1/F321)*inputs!$E$80/(10^(0.84+0.62*LOG10(inputs!$E$80)))</f>
        <v>23.666992997596275</v>
      </c>
      <c r="P321" s="69">
        <f>((MAX('Max rate concentrations'!Y:Y))*0.62*6.01*8*(10*F321^0.667)*0.079*0.1/F321)*inputs!$E$80/(10^(0.84+0.62*LOG10(inputs!$E$80)))</f>
        <v>7.8889976658654275</v>
      </c>
      <c r="Q321" s="69">
        <f>(inputs!$C$18*11.2*(10*F321^0.667)*0.5/F321)*inputs!$E$80/(10^(0.84+0.62*LOG10(inputs!$E$80)))</f>
        <v>4.1688291893060274</v>
      </c>
      <c r="R321" s="59">
        <f>(60*284*((F321/1000)^0.77)*3*24*(MAX('Max rate concentrations'!$R$3:$R$368))/F321)*(inputs!$E$73*3.4/inputs!$E$75)</f>
        <v>3.90515404332143E-2</v>
      </c>
      <c r="S321" s="59">
        <f>(IF(inputs!$C$17="aerial",((0.025*0.112*inputs!$C$18/3.3)*(3*60*284*((F321/1000)^0.77))*MAX(inputs!$I$14:$I$16))/F321,((0.0083*0.112*inputs!$C$18/1)*(3*60*284*((F321/1000)^0.77))*MAX(inputs!$I$14:$I$16))/F321))*(inputs!E$75*3.4/inputs!$E$73)</f>
        <v>0.21537164474979356</v>
      </c>
      <c r="T321" s="63">
        <f>IF((((inputs!$P$13/(V321/MAX(K321:S321)))^(1/inputs!$O$13))-1)/inputs!$N$13&lt;0, 0, IF((((inputs!$P$13/(V321/MAX(K321:S321)))^(1/inputs!$O$13))-1)/inputs!$N$13&lt;inputs!$I$17, (((inputs!$P$13/(V321/MAX(K321:S321)))^(1/inputs!$O$13))-1)/inputs!$N$13, inputs!$I$17))</f>
        <v>1000</v>
      </c>
      <c r="U321" s="63">
        <f>IF((((inputs!$P$13/(X321/MAX(K321:S321)))^(1/inputs!$O$13))-1)/inputs!$N$13&lt;0, 0, IF((((inputs!$P$13/(X321/MAX(K321:S321)))^(1/inputs!$O$13))-1)/inputs!$N$13&lt;inputs!$I$17, (((inputs!$P$13/(X321/MAX(K321:S321)))^(1/inputs!$O$13))-1)/inputs!$N$13, inputs!$I$17))</f>
        <v>29.877535612511483</v>
      </c>
      <c r="V321" s="21">
        <f>inputs!$E$78*(F321/inputs!$F$78)^(inputs!$E$84-1)</f>
        <v>1.3742806812884194E-2</v>
      </c>
      <c r="W321" s="21">
        <f>inputs!$E$85*(F321/inputs!$F$85)^(inputs!$E$84-1)</f>
        <v>0.63461750214702672</v>
      </c>
      <c r="X321" s="21">
        <f>inputs!$E$80*(F321/inputs!$F$80)^(inputs!$E$84-1)</f>
        <v>2.3697742168781373</v>
      </c>
      <c r="Y321" s="21">
        <f>inputs!$E$82*(F321/inputs!$F$82)^(inputs!$E$84-1)</f>
        <v>1.0921914888134281</v>
      </c>
      <c r="Z321" s="63">
        <f t="shared" si="28"/>
        <v>1722.1367745203208</v>
      </c>
      <c r="AA321" s="63">
        <f t="shared" si="29"/>
        <v>37.293319074129727</v>
      </c>
    </row>
    <row r="322" spans="1:27" x14ac:dyDescent="0.25">
      <c r="A322" s="103" t="s">
        <v>275</v>
      </c>
      <c r="B322" s="20" t="s">
        <v>276</v>
      </c>
      <c r="C322" s="20" t="s">
        <v>73</v>
      </c>
      <c r="D322" s="104" t="s">
        <v>141</v>
      </c>
      <c r="E322" s="15">
        <v>98</v>
      </c>
      <c r="F322" s="15">
        <v>10</v>
      </c>
      <c r="G322" s="20" t="s">
        <v>142</v>
      </c>
      <c r="H322" s="20">
        <v>0.69</v>
      </c>
      <c r="I322" s="68">
        <f>MAX('Max rate concentrations'!$H$3:$H$368)</f>
        <v>282</v>
      </c>
      <c r="J322" s="68">
        <f>MAX('Max rate concentrations'!AA:AA)</f>
        <v>195</v>
      </c>
      <c r="K322" s="69">
        <f t="shared" si="33"/>
        <v>256.31291308431645</v>
      </c>
      <c r="L322" s="69">
        <f t="shared" si="32"/>
        <v>177.23765266468689</v>
      </c>
      <c r="M322" s="69">
        <f>IF((((1.18*F322^0.874)-(0.301*F322^0.751)/(1-H322)*H322)*(MAX('Max rate concentrations'!$P$3:$P$368)))/F322&gt;0, (((1.18*F322^0.874)-(0.301*F322^0.751)/(1-H322)*H322)*(MAX('Max rate concentrations'!$P$3:$P$368)))/F322, 0)</f>
        <v>0.43999096786868774</v>
      </c>
      <c r="N322" s="69">
        <f>IF((((1.18*F322^0.874)-(0.301*F322^0.751)/(1-H322)*H322)*(MAX('Max rate concentrations'!$Q$3:$Q$368)))/F322&gt;0, (((1.18*F322^0.874)-(0.301*F322^0.751)/(1-H322)*H322)*(MAX('Max rate concentrations'!$Q$3:$Q$368)))/F322, 0)</f>
        <v>1.6755092471001074</v>
      </c>
      <c r="O322" s="69">
        <f>((MAX('Max rate concentrations'!$F$3:$F$368))*0.62*6.01*8*(10*F322^0.667)*0.079*0.1/F322)*inputs!$E$80/(10^(0.84+0.62*LOG10(inputs!$E$80)))</f>
        <v>68.195140075128862</v>
      </c>
      <c r="P322" s="69">
        <f>((MAX('Max rate concentrations'!Y:Y))*0.62*6.01*8*(10*F322^0.667)*0.079*0.1/F322)*inputs!$E$80/(10^(0.84+0.62*LOG10(inputs!$E$80)))</f>
        <v>22.731713358376282</v>
      </c>
      <c r="Q322" s="69">
        <f>(inputs!$C$18*11.2*(10*F322^0.667)*0.5/F322)*inputs!$E$80/(10^(0.84+0.62*LOG10(inputs!$E$80)))</f>
        <v>12.01225227653063</v>
      </c>
      <c r="R322" s="59">
        <f>(60*284*((F322/1000)^0.77)*3*24*(MAX('Max rate concentrations'!$R$3:$R$368))/F322)*(inputs!$E$73*3.4/inputs!$E$75)</f>
        <v>8.11123072975274E-2</v>
      </c>
      <c r="S322" s="59">
        <f>(IF(inputs!$C$17="aerial",((0.025*0.112*inputs!$C$18/3.3)*(3*60*284*((F322/1000)^0.77))*MAX(inputs!$I$14:$I$16))/F322,((0.0083*0.112*inputs!$C$18/1)*(3*60*284*((F322/1000)^0.77))*MAX(inputs!$I$14:$I$16))/F322))*(inputs!E$75*3.4/inputs!$E$73)</f>
        <v>0.44733935814888093</v>
      </c>
      <c r="T322" s="63">
        <f>IF((((inputs!$P$13/(V322/MAX(K322:S322)))^(1/inputs!$O$13))-1)/inputs!$N$13&lt;0, 0, IF((((inputs!$P$13/(V322/MAX(K322:S322)))^(1/inputs!$O$13))-1)/inputs!$N$13&lt;inputs!$I$17, (((inputs!$P$13/(V322/MAX(K322:S322)))^(1/inputs!$O$13))-1)/inputs!$N$13, inputs!$I$17))</f>
        <v>1000</v>
      </c>
      <c r="U322" s="63">
        <f>IF((((inputs!$P$13/(X322/MAX(K322:S322)))^(1/inputs!$O$13))-1)/inputs!$N$13&lt;0, 0, IF((((inputs!$P$13/(X322/MAX(K322:S322)))^(1/inputs!$O$13))-1)/inputs!$N$13&lt;inputs!$I$17, (((inputs!$P$13/(X322/MAX(K322:S322)))^(1/inputs!$O$13))-1)/inputs!$N$13, inputs!$I$17))</f>
        <v>87.898308790189972</v>
      </c>
      <c r="V322" s="21">
        <f>inputs!$E$78*(F322/inputs!$F$78)^(inputs!$E$84-1)</f>
        <v>4.4540347491078519E-2</v>
      </c>
      <c r="W322" s="21">
        <f>inputs!$E$85*(F322/inputs!$F$85)^(inputs!$E$84-1)</f>
        <v>2.0567911966170365</v>
      </c>
      <c r="X322" s="21">
        <f>inputs!$E$80*(F322/inputs!$F$80)^(inputs!$E$84-1)</f>
        <v>7.6804228228104519</v>
      </c>
      <c r="Y322" s="21">
        <f>inputs!$E$82*(F322/inputs!$F$82)^(inputs!$E$84-1)</f>
        <v>3.5397855111330823</v>
      </c>
      <c r="Z322" s="63">
        <f t="shared" ref="Z322:Z385" si="34">MAX(K322:S322)/V322</f>
        <v>5754.6231119022186</v>
      </c>
      <c r="AA322" s="63">
        <f t="shared" ref="AA322:AA385" si="35">MAX(K322:S322)/W322</f>
        <v>124.61785790696408</v>
      </c>
    </row>
    <row r="323" spans="1:27" x14ac:dyDescent="0.25">
      <c r="A323" s="103" t="s">
        <v>275</v>
      </c>
      <c r="B323" s="20" t="s">
        <v>276</v>
      </c>
      <c r="C323" s="20" t="s">
        <v>73</v>
      </c>
      <c r="D323" s="104" t="s">
        <v>141</v>
      </c>
      <c r="E323" s="15">
        <v>98</v>
      </c>
      <c r="F323" s="15">
        <v>10</v>
      </c>
      <c r="G323" s="20" t="s">
        <v>153</v>
      </c>
      <c r="H323" s="20">
        <v>0.7</v>
      </c>
      <c r="I323" s="68">
        <f>MAX('Max rate concentrations'!$E$3:$E$368)</f>
        <v>330</v>
      </c>
      <c r="J323" s="68">
        <f>MAX('Max rate concentrations'!X:X)</f>
        <v>108</v>
      </c>
      <c r="K323" s="69">
        <f t="shared" si="33"/>
        <v>309.93866440337558</v>
      </c>
      <c r="L323" s="69">
        <f t="shared" si="32"/>
        <v>101.43447198655927</v>
      </c>
      <c r="M323" s="69">
        <f>IF((((1.18*F323^0.874)-(0.301*F323^0.751)/(1-H323)*H323)*(MAX('Max rate concentrations'!$P$3:$P$368)))/F323&gt;0, (((1.18*F323^0.874)-(0.301*F323^0.751)/(1-H323)*H323)*(MAX('Max rate concentrations'!$P$3:$P$368)))/F323, 0)</f>
        <v>0.42410381969573752</v>
      </c>
      <c r="N323" s="69">
        <f>IF((((1.18*F323^0.874)-(0.301*F323^0.751)/(1-H323)*H323)*(MAX('Max rate concentrations'!$Q$3:$Q$368)))/F323&gt;0, (((1.18*F323^0.874)-(0.301*F323^0.751)/(1-H323)*H323)*(MAX('Max rate concentrations'!$Q$3:$Q$368)))/F323, 0)</f>
        <v>1.6150101332142701</v>
      </c>
      <c r="O323" s="69">
        <f>((MAX('Max rate concentrations'!$F$3:$F$368))*0.62*6.01*8*(10*F323^0.667)*0.079*0.1/F323)*inputs!$E$80/(10^(0.84+0.62*LOG10(inputs!$E$80)))</f>
        <v>68.195140075128862</v>
      </c>
      <c r="P323" s="69">
        <f>((MAX('Max rate concentrations'!Y:Y))*0.62*6.01*8*(10*F323^0.667)*0.079*0.1/F323)*inputs!$E$80/(10^(0.84+0.62*LOG10(inputs!$E$80)))</f>
        <v>22.731713358376282</v>
      </c>
      <c r="Q323" s="69">
        <f>(inputs!$C$18*11.2*(10*F323^0.667)*0.5/F323)*inputs!$E$80/(10^(0.84+0.62*LOG10(inputs!$E$80)))</f>
        <v>12.01225227653063</v>
      </c>
      <c r="R323" s="59">
        <f>(60*284*((F323/1000)^0.77)*3*24*(MAX('Max rate concentrations'!$R$3:$R$368))/F323)*(inputs!$E$73*3.4/inputs!$E$75)</f>
        <v>8.11123072975274E-2</v>
      </c>
      <c r="S323" s="59">
        <f>(IF(inputs!$C$17="aerial",((0.025*0.112*inputs!$C$18/3.3)*(3*60*284*((F323/1000)^0.77))*MAX(inputs!$I$14:$I$16))/F323,((0.0083*0.112*inputs!$C$18/1)*(3*60*284*((F323/1000)^0.77))*MAX(inputs!$I$14:$I$16))/F323))*(inputs!E$75*3.4/inputs!$E$73)</f>
        <v>0.44733935814888093</v>
      </c>
      <c r="T323" s="63">
        <f>IF((((inputs!$P$13/(V323/MAX(K323:S323)))^(1/inputs!$O$13))-1)/inputs!$N$13&lt;0, 0, IF((((inputs!$P$13/(V323/MAX(K323:S323)))^(1/inputs!$O$13))-1)/inputs!$N$13&lt;inputs!$I$17, (((inputs!$P$13/(V323/MAX(K323:S323)))^(1/inputs!$O$13))-1)/inputs!$N$13, inputs!$I$17))</f>
        <v>1000</v>
      </c>
      <c r="U323" s="63">
        <f>IF((((inputs!$P$13/(X323/MAX(K323:S323)))^(1/inputs!$O$13))-1)/inputs!$N$13&lt;0, 0, IF((((inputs!$P$13/(X323/MAX(K323:S323)))^(1/inputs!$O$13))-1)/inputs!$N$13&lt;inputs!$I$17, (((inputs!$P$13/(X323/MAX(K323:S323)))^(1/inputs!$O$13))-1)/inputs!$N$13, inputs!$I$17))</f>
        <v>103.36240034835338</v>
      </c>
      <c r="V323" s="21">
        <f>inputs!$E$78*(F323/inputs!$F$78)^(inputs!$E$84-1)</f>
        <v>4.4540347491078519E-2</v>
      </c>
      <c r="W323" s="21">
        <f>inputs!$E$85*(F323/inputs!$F$85)^(inputs!$E$84-1)</f>
        <v>2.0567911966170365</v>
      </c>
      <c r="X323" s="21">
        <f>inputs!$E$80*(F323/inputs!$F$80)^(inputs!$E$84-1)</f>
        <v>7.6804228228104519</v>
      </c>
      <c r="Y323" s="21">
        <f>inputs!$E$82*(F323/inputs!$F$82)^(inputs!$E$84-1)</f>
        <v>3.5397855111330823</v>
      </c>
      <c r="Z323" s="63">
        <f t="shared" si="34"/>
        <v>6958.6045431158036</v>
      </c>
      <c r="AA323" s="63">
        <f t="shared" si="35"/>
        <v>150.69038846196719</v>
      </c>
    </row>
    <row r="324" spans="1:27" x14ac:dyDescent="0.25">
      <c r="A324" s="103" t="s">
        <v>867</v>
      </c>
      <c r="B324" s="20" t="s">
        <v>869</v>
      </c>
      <c r="C324" s="20" t="s">
        <v>73</v>
      </c>
      <c r="D324" s="104" t="s">
        <v>141</v>
      </c>
      <c r="E324" s="15">
        <v>11333</v>
      </c>
      <c r="F324" s="15">
        <v>23</v>
      </c>
      <c r="G324" s="20" t="s">
        <v>142</v>
      </c>
      <c r="H324" s="20">
        <v>0.69</v>
      </c>
      <c r="I324" s="68">
        <f>MAX('Max rate concentrations'!$H$3:$H$368)</f>
        <v>282</v>
      </c>
      <c r="J324" s="68">
        <f>MAX('Max rate concentrations'!AA:AA)</f>
        <v>195</v>
      </c>
      <c r="K324" s="69">
        <f t="shared" si="33"/>
        <v>226.20974551032862</v>
      </c>
      <c r="L324" s="69">
        <f t="shared" si="32"/>
        <v>156.42163253373789</v>
      </c>
      <c r="M324" s="69">
        <f>IF((((1.18*F324^0.874)-(0.301*F324^0.751)/(1-H324)*H324)*(MAX('Max rate concentrations'!$P$3:$P$368)))/F324&gt;0, (((1.18*F324^0.874)-(0.301*F324^0.751)/(1-H324)*H324)*(MAX('Max rate concentrations'!$P$3:$P$368)))/F324, 0)</f>
        <v>0.42498850876966365</v>
      </c>
      <c r="N324" s="69">
        <f>IF((((1.18*F324^0.874)-(0.301*F324^0.751)/(1-H324)*H324)*(MAX('Max rate concentrations'!$Q$3:$Q$368)))/F324&gt;0, (((1.18*F324^0.874)-(0.301*F324^0.751)/(1-H324)*H324)*(MAX('Max rate concentrations'!$Q$3:$Q$368)))/F324, 0)</f>
        <v>1.6183790767436153</v>
      </c>
      <c r="O324" s="69">
        <f>((MAX('Max rate concentrations'!$F$3:$F$368))*0.62*6.01*8*(10*F324^0.667)*0.079*0.1/F324)*inputs!$E$80/(10^(0.84+0.62*LOG10(inputs!$E$80)))</f>
        <v>51.677090756449005</v>
      </c>
      <c r="P324" s="69">
        <f>((MAX('Max rate concentrations'!Y:Y))*0.62*6.01*8*(10*F324^0.667)*0.079*0.1/F324)*inputs!$E$80/(10^(0.84+0.62*LOG10(inputs!$E$80)))</f>
        <v>17.225696918816332</v>
      </c>
      <c r="Q324" s="69">
        <f>(inputs!$C$18*11.2*(10*F324^0.667)*0.5/F324)*inputs!$E$80/(10^(0.84+0.62*LOG10(inputs!$E$80)))</f>
        <v>9.10267579771463</v>
      </c>
      <c r="R324" s="59">
        <f>(60*284*((F324/1000)^0.77)*3*24*(MAX('Max rate concentrations'!$R$3:$R$368))/F324)*(inputs!$E$73*3.4/inputs!$E$75)</f>
        <v>6.6971396205395495E-2</v>
      </c>
      <c r="S324" s="59">
        <f>(IF(inputs!$C$17="aerial",((0.025*0.112*inputs!$C$18/3.3)*(3*60*284*((F324/1000)^0.77))*MAX(inputs!$I$14:$I$16))/F324,((0.0083*0.112*inputs!$C$18/1)*(3*60*284*((F324/1000)^0.77))*MAX(inputs!$I$14:$I$16))/F324))*(inputs!E$75*3.4/inputs!$E$73)</f>
        <v>0.36935136468210511</v>
      </c>
      <c r="T324" s="63">
        <f>IF((((inputs!$P$13/(V324/MAX(K324:S324)))^(1/inputs!$O$13))-1)/inputs!$N$13&lt;0, 0, IF((((inputs!$P$13/(V324/MAX(K324:S324)))^(1/inputs!$O$13))-1)/inputs!$N$13&lt;inputs!$I$17, (((inputs!$P$13/(V324/MAX(K324:S324)))^(1/inputs!$O$13))-1)/inputs!$N$13, inputs!$I$17))</f>
        <v>1000</v>
      </c>
      <c r="U324" s="63">
        <f>IF((((inputs!$P$13/(X324/MAX(K324:S324)))^(1/inputs!$O$13))-1)/inputs!$N$13&lt;0, 0, IF((((inputs!$P$13/(X324/MAX(K324:S324)))^(1/inputs!$O$13))-1)/inputs!$N$13&lt;inputs!$I$17, (((inputs!$P$13/(X324/MAX(K324:S324)))^(1/inputs!$O$13))-1)/inputs!$N$13, inputs!$I$17))</f>
        <v>102.77255126991891</v>
      </c>
      <c r="V324" s="21">
        <f>inputs!$E$78*(F324/inputs!$F$78)^(inputs!$E$84-1)</f>
        <v>3.2727610783302954E-2</v>
      </c>
      <c r="W324" s="21">
        <f>inputs!$E$85*(F324/inputs!$F$85)^(inputs!$E$84-1)</f>
        <v>1.5113007764227557</v>
      </c>
      <c r="X324" s="21">
        <f>inputs!$E$80*(F324/inputs!$F$80)^(inputs!$E$84-1)</f>
        <v>5.6434649246166195</v>
      </c>
      <c r="Y324" s="21">
        <f>inputs!$E$82*(F324/inputs!$F$82)^(inputs!$E$84-1)</f>
        <v>2.6009838043572349</v>
      </c>
      <c r="Z324" s="63">
        <f t="shared" si="34"/>
        <v>6911.8930498200871</v>
      </c>
      <c r="AA324" s="63">
        <f t="shared" si="35"/>
        <v>149.67883894413552</v>
      </c>
    </row>
    <row r="325" spans="1:27" x14ac:dyDescent="0.25">
      <c r="A325" s="103" t="s">
        <v>867</v>
      </c>
      <c r="B325" s="20" t="s">
        <v>869</v>
      </c>
      <c r="C325" s="20" t="s">
        <v>73</v>
      </c>
      <c r="D325" s="104" t="s">
        <v>141</v>
      </c>
      <c r="E325" s="15">
        <v>11333</v>
      </c>
      <c r="F325" s="15">
        <v>23</v>
      </c>
      <c r="G325" s="20" t="s">
        <v>153</v>
      </c>
      <c r="H325" s="20">
        <v>0.7</v>
      </c>
      <c r="I325" s="68">
        <f>MAX('Max rate concentrations'!$E$3:$E$368)</f>
        <v>330</v>
      </c>
      <c r="J325" s="68">
        <f>MAX('Max rate concentrations'!X:X)</f>
        <v>108</v>
      </c>
      <c r="K325" s="69">
        <f t="shared" si="33"/>
        <v>273.53731637951086</v>
      </c>
      <c r="L325" s="69">
        <f t="shared" si="32"/>
        <v>89.521303542385382</v>
      </c>
      <c r="M325" s="69">
        <f>IF((((1.18*F325^0.874)-(0.301*F325^0.751)/(1-H325)*H325)*(MAX('Max rate concentrations'!$P$3:$P$368)))/F325&gt;0, (((1.18*F325^0.874)-(0.301*F325^0.751)/(1-H325)*H325)*(MAX('Max rate concentrations'!$P$3:$P$368)))/F325, 0)</f>
        <v>0.41207703804448514</v>
      </c>
      <c r="N325" s="69">
        <f>IF((((1.18*F325^0.874)-(0.301*F325^0.751)/(1-H325)*H325)*(MAX('Max rate concentrations'!$Q$3:$Q$368)))/F325&gt;0, (((1.18*F325^0.874)-(0.301*F325^0.751)/(1-H325)*H325)*(MAX('Max rate concentrations'!$Q$3:$Q$368)))/F325, 0)</f>
        <v>1.5692115024670559</v>
      </c>
      <c r="O325" s="69">
        <f>((MAX('Max rate concentrations'!$F$3:$F$368))*0.62*6.01*8*(10*F325^0.667)*0.079*0.1/F325)*inputs!$E$80/(10^(0.84+0.62*LOG10(inputs!$E$80)))</f>
        <v>51.677090756449005</v>
      </c>
      <c r="P325" s="69">
        <f>((MAX('Max rate concentrations'!Y:Y))*0.62*6.01*8*(10*F325^0.667)*0.079*0.1/F325)*inputs!$E$80/(10^(0.84+0.62*LOG10(inputs!$E$80)))</f>
        <v>17.225696918816332</v>
      </c>
      <c r="Q325" s="69">
        <f>(inputs!$C$18*11.2*(10*F325^0.667)*0.5/F325)*inputs!$E$80/(10^(0.84+0.62*LOG10(inputs!$E$80)))</f>
        <v>9.10267579771463</v>
      </c>
      <c r="R325" s="59">
        <f>(60*284*((F325/1000)^0.77)*3*24*(MAX('Max rate concentrations'!$R$3:$R$368))/F325)*(inputs!$E$73*3.4/inputs!$E$75)</f>
        <v>6.6971396205395495E-2</v>
      </c>
      <c r="S325" s="59">
        <f>(IF(inputs!$C$17="aerial",((0.025*0.112*inputs!$C$18/3.3)*(3*60*284*((F325/1000)^0.77))*MAX(inputs!$I$14:$I$16))/F325,((0.0083*0.112*inputs!$C$18/1)*(3*60*284*((F325/1000)^0.77))*MAX(inputs!$I$14:$I$16))/F325))*(inputs!E$75*3.4/inputs!$E$73)</f>
        <v>0.36935136468210511</v>
      </c>
      <c r="T325" s="63">
        <f>IF((((inputs!$P$13/(V325/MAX(K325:S325)))^(1/inputs!$O$13))-1)/inputs!$N$13&lt;0, 0, IF((((inputs!$P$13/(V325/MAX(K325:S325)))^(1/inputs!$O$13))-1)/inputs!$N$13&lt;inputs!$I$17, (((inputs!$P$13/(V325/MAX(K325:S325)))^(1/inputs!$O$13))-1)/inputs!$N$13, inputs!$I$17))</f>
        <v>1000</v>
      </c>
      <c r="U325" s="63">
        <f>IF((((inputs!$P$13/(X325/MAX(K325:S325)))^(1/inputs!$O$13))-1)/inputs!$N$13&lt;0, 0, IF((((inputs!$P$13/(X325/MAX(K325:S325)))^(1/inputs!$O$13))-1)/inputs!$N$13&lt;inputs!$I$17, (((inputs!$P$13/(X325/MAX(K325:S325)))^(1/inputs!$O$13))-1)/inputs!$N$13, inputs!$I$17))</f>
        <v>120.7066016769283</v>
      </c>
      <c r="V325" s="21">
        <f>inputs!$E$78*(F325/inputs!$F$78)^(inputs!$E$84-1)</f>
        <v>3.2727610783302954E-2</v>
      </c>
      <c r="W325" s="21">
        <f>inputs!$E$85*(F325/inputs!$F$85)^(inputs!$E$84-1)</f>
        <v>1.5113007764227557</v>
      </c>
      <c r="X325" s="21">
        <f>inputs!$E$80*(F325/inputs!$F$80)^(inputs!$E$84-1)</f>
        <v>5.6434649246166195</v>
      </c>
      <c r="Y325" s="21">
        <f>inputs!$E$82*(F325/inputs!$F$82)^(inputs!$E$84-1)</f>
        <v>2.6009838043572349</v>
      </c>
      <c r="Z325" s="63">
        <f t="shared" si="34"/>
        <v>8357.9983332930842</v>
      </c>
      <c r="AA325" s="63">
        <f t="shared" si="35"/>
        <v>180.99462439698658</v>
      </c>
    </row>
    <row r="326" spans="1:27" x14ac:dyDescent="0.25">
      <c r="A326" s="103" t="s">
        <v>321</v>
      </c>
      <c r="B326" s="20" t="s">
        <v>322</v>
      </c>
      <c r="C326" s="20" t="s">
        <v>73</v>
      </c>
      <c r="D326" s="104" t="s">
        <v>141</v>
      </c>
      <c r="E326" s="15">
        <v>81</v>
      </c>
      <c r="F326" s="15">
        <v>20</v>
      </c>
      <c r="G326" s="20" t="s">
        <v>142</v>
      </c>
      <c r="H326" s="20">
        <v>0.69</v>
      </c>
      <c r="I326" s="68">
        <f>MAX('Max rate concentrations'!$H$3:$H$368)</f>
        <v>282</v>
      </c>
      <c r="J326" s="68">
        <f>MAX('Max rate concentrations'!AA:AA)</f>
        <v>195</v>
      </c>
      <c r="K326" s="69">
        <f t="shared" si="33"/>
        <v>231.00213149036972</v>
      </c>
      <c r="L326" s="69">
        <f t="shared" si="32"/>
        <v>159.73551645610672</v>
      </c>
      <c r="M326" s="69">
        <f>IF((((1.18*F326^0.874)-(0.301*F326^0.751)/(1-H326)*H326)*(MAX('Max rate concentrations'!$P$3:$P$368)))/F326&gt;0, (((1.18*F326^0.874)-(0.301*F326^0.751)/(1-H326)*H326)*(MAX('Max rate concentrations'!$P$3:$P$368)))/F326, 0)</f>
        <v>0.42782227393758332</v>
      </c>
      <c r="N326" s="69">
        <f>IF((((1.18*F326^0.874)-(0.301*F326^0.751)/(1-H326)*H326)*(MAX('Max rate concentrations'!$Q$3:$Q$368)))/F326&gt;0, (((1.18*F326^0.874)-(0.301*F326^0.751)/(1-H326)*H326)*(MAX('Max rate concentrations'!$Q$3:$Q$368)))/F326, 0)</f>
        <v>1.629170206766031</v>
      </c>
      <c r="O326" s="69">
        <f>((MAX('Max rate concentrations'!$F$3:$F$368))*0.62*6.01*8*(10*F326^0.667)*0.079*0.1/F326)*inputs!$E$80/(10^(0.84+0.62*LOG10(inputs!$E$80)))</f>
        <v>54.139025873277951</v>
      </c>
      <c r="P326" s="69">
        <f>((MAX('Max rate concentrations'!Y:Y))*0.62*6.01*8*(10*F326^0.667)*0.079*0.1/F326)*inputs!$E$80/(10^(0.84+0.62*LOG10(inputs!$E$80)))</f>
        <v>18.046341957759321</v>
      </c>
      <c r="Q326" s="69">
        <f>(inputs!$C$18*11.2*(10*F326^0.667)*0.5/F326)*inputs!$E$80/(10^(0.84+0.62*LOG10(inputs!$E$80)))</f>
        <v>9.5363340566348267</v>
      </c>
      <c r="R326" s="59">
        <f>(60*284*((F326/1000)^0.77)*3*24*(MAX('Max rate concentrations'!$R$3:$R$368))/F326)*(inputs!$E$73*3.4/inputs!$E$75)</f>
        <v>6.9159183353676532E-2</v>
      </c>
      <c r="S326" s="59">
        <f>(IF(inputs!$C$17="aerial",((0.025*0.112*inputs!$C$18/3.3)*(3*60*284*((F326/1000)^0.77))*MAX(inputs!$I$14:$I$16))/F326,((0.0083*0.112*inputs!$C$18/1)*(3*60*284*((F326/1000)^0.77))*MAX(inputs!$I$14:$I$16))/F326))*(inputs!E$75*3.4/inputs!$E$73)</f>
        <v>0.38141714521881848</v>
      </c>
      <c r="T326" s="63">
        <f>IF((((inputs!$P$13/(V326/MAX(K326:S326)))^(1/inputs!$O$13))-1)/inputs!$N$13&lt;0, 0, IF((((inputs!$P$13/(V326/MAX(K326:S326)))^(1/inputs!$O$13))-1)/inputs!$N$13&lt;inputs!$I$17, (((inputs!$P$13/(V326/MAX(K326:S326)))^(1/inputs!$O$13))-1)/inputs!$N$13, inputs!$I$17))</f>
        <v>1000</v>
      </c>
      <c r="U326" s="63">
        <f>IF((((inputs!$P$13/(X326/MAX(K326:S326)))^(1/inputs!$O$13))-1)/inputs!$N$13&lt;0, 0, IF((((inputs!$P$13/(X326/MAX(K326:S326)))^(1/inputs!$O$13))-1)/inputs!$N$13&lt;inputs!$I$17, (((inputs!$P$13/(X326/MAX(K326:S326)))^(1/inputs!$O$13))-1)/inputs!$N$13, inputs!$I$17))</f>
        <v>100.12028092729068</v>
      </c>
      <c r="V326" s="21">
        <f>inputs!$E$78*(F326/inputs!$F$78)^(inputs!$E$84-1)</f>
        <v>3.4464541288703368E-2</v>
      </c>
      <c r="W326" s="21">
        <f>inputs!$E$85*(F326/inputs!$F$85)^(inputs!$E$84-1)</f>
        <v>1.5915090274553441</v>
      </c>
      <c r="X326" s="21">
        <f>inputs!$E$80*(F326/inputs!$F$80)^(inputs!$E$84-1)</f>
        <v>5.9429767480927405</v>
      </c>
      <c r="Y326" s="21">
        <f>inputs!$E$82*(F326/inputs!$F$82)^(inputs!$E$84-1)</f>
        <v>2.739024070839057</v>
      </c>
      <c r="Z326" s="63">
        <f t="shared" si="34"/>
        <v>6702.6028159001371</v>
      </c>
      <c r="AA326" s="63">
        <f t="shared" si="35"/>
        <v>145.14660457799468</v>
      </c>
    </row>
    <row r="327" spans="1:27" x14ac:dyDescent="0.25">
      <c r="A327" s="103" t="s">
        <v>303</v>
      </c>
      <c r="B327" s="20" t="s">
        <v>304</v>
      </c>
      <c r="C327" s="20" t="s">
        <v>73</v>
      </c>
      <c r="D327" s="104" t="s">
        <v>141</v>
      </c>
      <c r="E327" s="15">
        <v>109</v>
      </c>
      <c r="F327" s="15">
        <v>14</v>
      </c>
      <c r="G327" s="20" t="s">
        <v>142</v>
      </c>
      <c r="H327" s="20">
        <v>0.69</v>
      </c>
      <c r="I327" s="68">
        <f>MAX('Max rate concentrations'!$H$3:$H$368)</f>
        <v>282</v>
      </c>
      <c r="J327" s="68">
        <f>MAX('Max rate concentrations'!AA:AA)</f>
        <v>195</v>
      </c>
      <c r="K327" s="69">
        <f t="shared" si="33"/>
        <v>243.69761630151493</v>
      </c>
      <c r="L327" s="69">
        <f t="shared" si="32"/>
        <v>168.51430914466459</v>
      </c>
      <c r="M327" s="69">
        <f>IF((((1.18*F327^0.874)-(0.301*F327^0.751)/(1-H327)*H327)*(MAX('Max rate concentrations'!$P$3:$P$368)))/F327&gt;0, (((1.18*F327^0.874)-(0.301*F327^0.751)/(1-H327)*H327)*(MAX('Max rate concentrations'!$P$3:$P$368)))/F327, 0)</f>
        <v>0.43450638528783081</v>
      </c>
      <c r="N327" s="69">
        <f>IF((((1.18*F327^0.874)-(0.301*F327^0.751)/(1-H327)*H327)*(MAX('Max rate concentrations'!$Q$3:$Q$368)))/F327&gt;0, (((1.18*F327^0.874)-(0.301*F327^0.751)/(1-H327)*H327)*(MAX('Max rate concentrations'!$Q$3:$Q$368)))/F327, 0)</f>
        <v>1.6546236619363399</v>
      </c>
      <c r="O327" s="69">
        <f>((MAX('Max rate concentrations'!$F$3:$F$368))*0.62*6.01*8*(10*F327^0.667)*0.079*0.1/F327)*inputs!$E$80/(10^(0.84+0.62*LOG10(inputs!$E$80)))</f>
        <v>60.966714275022639</v>
      </c>
      <c r="P327" s="69">
        <f>((MAX('Max rate concentrations'!Y:Y))*0.62*6.01*8*(10*F327^0.667)*0.079*0.1/F327)*inputs!$E$80/(10^(0.84+0.62*LOG10(inputs!$E$80)))</f>
        <v>20.322238091674208</v>
      </c>
      <c r="Q327" s="69">
        <f>(inputs!$C$18*11.2*(10*F327^0.667)*0.5/F327)*inputs!$E$80/(10^(0.84+0.62*LOG10(inputs!$E$80)))</f>
        <v>10.738999165276649</v>
      </c>
      <c r="R327" s="59">
        <f>(60*284*((F327/1000)^0.77)*3*24*(MAX('Max rate concentrations'!$R$3:$R$368))/F327)*(inputs!$E$73*3.4/inputs!$E$75)</f>
        <v>7.5071882643588564E-2</v>
      </c>
      <c r="S327" s="59">
        <f>(IF(inputs!$C$17="aerial",((0.025*0.112*inputs!$C$18/3.3)*(3*60*284*((F327/1000)^0.77))*MAX(inputs!$I$14:$I$16))/F327,((0.0083*0.112*inputs!$C$18/1)*(3*60*284*((F327/1000)^0.77))*MAX(inputs!$I$14:$I$16))/F327))*(inputs!E$75*3.4/inputs!$E$73)</f>
        <v>0.41402604506893054</v>
      </c>
      <c r="T327" s="63">
        <f>IF((((inputs!$P$13/(V327/MAX(K327:S327)))^(1/inputs!$O$13))-1)/inputs!$N$13&lt;0, 0, IF((((inputs!$P$13/(V327/MAX(K327:S327)))^(1/inputs!$O$13))-1)/inputs!$N$13&lt;inputs!$I$17, (((inputs!$P$13/(V327/MAX(K327:S327)))^(1/inputs!$O$13))-1)/inputs!$N$13, inputs!$I$17))</f>
        <v>1000</v>
      </c>
      <c r="U327" s="63">
        <f>IF((((inputs!$P$13/(X327/MAX(K327:S327)))^(1/inputs!$O$13))-1)/inputs!$N$13&lt;0, 0, IF((((inputs!$P$13/(X327/MAX(K327:S327)))^(1/inputs!$O$13))-1)/inputs!$N$13&lt;inputs!$I$17, (((inputs!$P$13/(X327/MAX(K327:S327)))^(1/inputs!$O$13))-1)/inputs!$N$13, inputs!$I$17))</f>
        <v>93.643118900909869</v>
      </c>
      <c r="V327" s="21">
        <f>inputs!$E$78*(F327/inputs!$F$78)^(inputs!$E$84-1)</f>
        <v>3.9326584321336476E-2</v>
      </c>
      <c r="W327" s="21">
        <f>inputs!$E$85*(F327/inputs!$F$85)^(inputs!$E$84-1)</f>
        <v>1.8160292180330224</v>
      </c>
      <c r="X327" s="21">
        <f>inputs!$E$80*(F327/inputs!$F$80)^(inputs!$E$84-1)</f>
        <v>6.7813749280979954</v>
      </c>
      <c r="Y327" s="21">
        <f>inputs!$E$82*(F327/inputs!$F$82)^(inputs!$E$84-1)</f>
        <v>3.1254285434325308</v>
      </c>
      <c r="Z327" s="63">
        <f t="shared" si="34"/>
        <v>6196.7653816631564</v>
      </c>
      <c r="AA327" s="63">
        <f t="shared" si="35"/>
        <v>134.19256357861283</v>
      </c>
    </row>
    <row r="328" spans="1:27" x14ac:dyDescent="0.25">
      <c r="A328" s="103" t="s">
        <v>283</v>
      </c>
      <c r="B328" s="20" t="s">
        <v>284</v>
      </c>
      <c r="C328" s="20" t="s">
        <v>73</v>
      </c>
      <c r="D328" s="104" t="s">
        <v>141</v>
      </c>
      <c r="E328" s="15">
        <v>106</v>
      </c>
      <c r="F328" s="15">
        <v>50</v>
      </c>
      <c r="G328" s="20" t="s">
        <v>142</v>
      </c>
      <c r="H328" s="20">
        <v>0.69</v>
      </c>
      <c r="I328" s="68">
        <f>MAX('Max rate concentrations'!$H$3:$H$368)</f>
        <v>282</v>
      </c>
      <c r="J328" s="68">
        <f>MAX('Max rate concentrations'!AA:AA)</f>
        <v>195</v>
      </c>
      <c r="K328" s="69">
        <f t="shared" si="33"/>
        <v>201.33764567021831</v>
      </c>
      <c r="L328" s="69">
        <f t="shared" si="32"/>
        <v>139.22284009110842</v>
      </c>
      <c r="M328" s="69">
        <f>IF((((1.18*F328^0.874)-(0.301*F328^0.751)/(1-H328)*H328)*(MAX('Max rate concentrations'!$P$3:$P$368)))/F328&gt;0, (((1.18*F328^0.874)-(0.301*F328^0.751)/(1-H328)*H328)*(MAX('Max rate concentrations'!$P$3:$P$368)))/F328, 0)</f>
        <v>0.40745305101551893</v>
      </c>
      <c r="N328" s="69">
        <f>IF((((1.18*F328^0.874)-(0.301*F328^0.751)/(1-H328)*H328)*(MAX('Max rate concentrations'!$Q$3:$Q$368)))/F328&gt;0, (((1.18*F328^0.874)-(0.301*F328^0.751)/(1-H328)*H328)*(MAX('Max rate concentrations'!$Q$3:$Q$368)))/F328, 0)</f>
        <v>1.5516031114061375</v>
      </c>
      <c r="O328" s="69">
        <f>((MAX('Max rate concentrations'!$F$3:$F$368))*0.62*6.01*8*(10*F328^0.667)*0.079*0.1/F328)*inputs!$E$80/(10^(0.84+0.62*LOG10(inputs!$E$80)))</f>
        <v>39.902160790277591</v>
      </c>
      <c r="P328" s="69">
        <f>((MAX('Max rate concentrations'!Y:Y))*0.62*6.01*8*(10*F328^0.667)*0.079*0.1/F328)*inputs!$E$80/(10^(0.84+0.62*LOG10(inputs!$E$80)))</f>
        <v>13.300720263425866</v>
      </c>
      <c r="Q328" s="69">
        <f>(inputs!$C$18*11.2*(10*F328^0.667)*0.5/F328)*inputs!$E$80/(10^(0.84+0.62*LOG10(inputs!$E$80)))</f>
        <v>7.0285774215501906</v>
      </c>
      <c r="R328" s="59">
        <f>(60*284*((F328/1000)^0.77)*3*24*(MAX('Max rate concentrations'!$R$3:$R$368))/F328)*(inputs!$E$73*3.4/inputs!$E$75)</f>
        <v>5.6017491172998278E-2</v>
      </c>
      <c r="S328" s="59">
        <f>(IF(inputs!$C$17="aerial",((0.025*0.112*inputs!$C$18/3.3)*(3*60*284*((F328/1000)^0.77))*MAX(inputs!$I$14:$I$16))/F328,((0.0083*0.112*inputs!$C$18/1)*(3*60*284*((F328/1000)^0.77))*MAX(inputs!$I$14:$I$16))/F328))*(inputs!E$75*3.4/inputs!$E$73)</f>
        <v>0.30893990543902988</v>
      </c>
      <c r="T328" s="63">
        <f>IF((((inputs!$P$13/(V328/MAX(K328:S328)))^(1/inputs!$O$13))-1)/inputs!$N$13&lt;0, 0, IF((((inputs!$P$13/(V328/MAX(K328:S328)))^(1/inputs!$O$13))-1)/inputs!$N$13&lt;inputs!$I$17, (((inputs!$P$13/(V328/MAX(K328:S328)))^(1/inputs!$O$13))-1)/inputs!$N$13, inputs!$I$17))</f>
        <v>1000</v>
      </c>
      <c r="U328" s="63">
        <f>IF((((inputs!$P$13/(X328/MAX(K328:S328)))^(1/inputs!$O$13))-1)/inputs!$N$13&lt;0, 0, IF((((inputs!$P$13/(X328/MAX(K328:S328)))^(1/inputs!$O$13))-1)/inputs!$N$13&lt;inputs!$I$17, (((inputs!$P$13/(X328/MAX(K328:S328)))^(1/inputs!$O$13))-1)/inputs!$N$13, inputs!$I$17))</f>
        <v>118.77250520546829</v>
      </c>
      <c r="V328" s="21">
        <f>inputs!$E$78*(F328/inputs!$F$78)^(inputs!$E$84-1)</f>
        <v>2.4554703782112351E-2</v>
      </c>
      <c r="W328" s="21">
        <f>inputs!$E$85*(F328/inputs!$F$85)^(inputs!$E$84-1)</f>
        <v>1.1338909869237934</v>
      </c>
      <c r="X328" s="21">
        <f>inputs!$E$80*(F328/inputs!$F$80)^(inputs!$E$84-1)</f>
        <v>4.2341498878799877</v>
      </c>
      <c r="Y328" s="21">
        <f>inputs!$E$82*(F328/inputs!$F$82)^(inputs!$E$84-1)</f>
        <v>1.9514527742626133</v>
      </c>
      <c r="Z328" s="63">
        <f t="shared" si="34"/>
        <v>8199.5550610913524</v>
      </c>
      <c r="AA328" s="63">
        <f t="shared" si="35"/>
        <v>177.56349419130697</v>
      </c>
    </row>
    <row r="329" spans="1:27" x14ac:dyDescent="0.25">
      <c r="A329" s="103" t="s">
        <v>283</v>
      </c>
      <c r="B329" s="20" t="s">
        <v>284</v>
      </c>
      <c r="C329" s="20" t="s">
        <v>73</v>
      </c>
      <c r="D329" s="104" t="s">
        <v>141</v>
      </c>
      <c r="E329" s="15">
        <v>106</v>
      </c>
      <c r="F329" s="15">
        <v>50</v>
      </c>
      <c r="G329" s="20" t="s">
        <v>152</v>
      </c>
      <c r="H329" s="20">
        <v>0.77</v>
      </c>
      <c r="I329" s="68">
        <f>MAX('Max rate concentrations'!$G$3:$G$368)</f>
        <v>45</v>
      </c>
      <c r="J329" s="68">
        <f>MAX('Max rate concentrations'!Z:Z)</f>
        <v>21</v>
      </c>
      <c r="K329" s="69">
        <f t="shared" si="33"/>
        <v>43.303425178839753</v>
      </c>
      <c r="L329" s="69">
        <f t="shared" si="32"/>
        <v>20.208265083458549</v>
      </c>
      <c r="M329" s="69">
        <f>IF((((1.18*F329^0.874)-(0.301*F329^0.751)/(1-H329)*H329)*(MAX('Max rate concentrations'!$P$3:$P$368)))/F329&gt;0, (((1.18*F329^0.874)-(0.301*F329^0.751)/(1-H329)*H329)*(MAX('Max rate concentrations'!$P$3:$P$368)))/F329, 0)</f>
        <v>0.29641142295379114</v>
      </c>
      <c r="N329" s="69">
        <f>IF((((1.18*F329^0.874)-(0.301*F329^0.751)/(1-H329)*H329)*(MAX('Max rate concentrations'!$Q$3:$Q$368)))/F329&gt;0, (((1.18*F329^0.874)-(0.301*F329^0.751)/(1-H329)*H329)*(MAX('Max rate concentrations'!$Q$3:$Q$368)))/F329, 0)</f>
        <v>1.1287506252932831</v>
      </c>
      <c r="O329" s="69">
        <f>((MAX('Max rate concentrations'!$F$3:$F$368))*0.62*6.01*8*(10*F329^0.667)*0.079*0.1/F329)*inputs!$E$80/(10^(0.84+0.62*LOG10(inputs!$E$80)))</f>
        <v>39.902160790277591</v>
      </c>
      <c r="P329" s="69">
        <f>((MAX('Max rate concentrations'!Y:Y))*0.62*6.01*8*(10*F329^0.667)*0.079*0.1/F329)*inputs!$E$80/(10^(0.84+0.62*LOG10(inputs!$E$80)))</f>
        <v>13.300720263425866</v>
      </c>
      <c r="Q329" s="69">
        <f>(inputs!$C$18*11.2*(10*F329^0.667)*0.5/F329)*inputs!$E$80/(10^(0.84+0.62*LOG10(inputs!$E$80)))</f>
        <v>7.0285774215501906</v>
      </c>
      <c r="R329" s="59">
        <f>(60*284*((F329/1000)^0.77)*3*24*(MAX('Max rate concentrations'!$R$3:$R$368))/F329)*(inputs!$E$73*3.4/inputs!$E$75)</f>
        <v>5.6017491172998278E-2</v>
      </c>
      <c r="S329" s="59">
        <f>(IF(inputs!$C$17="aerial",((0.025*0.112*inputs!$C$18/3.3)*(3*60*284*((F329/1000)^0.77))*MAX(inputs!$I$14:$I$16))/F329,((0.0083*0.112*inputs!$C$18/1)*(3*60*284*((F329/1000)^0.77))*MAX(inputs!$I$14:$I$16))/F329))*(inputs!E$75*3.4/inputs!$E$73)</f>
        <v>0.30893990543902988</v>
      </c>
      <c r="T329" s="63">
        <f>IF((((inputs!$P$13/(V329/MAX(K329:S329)))^(1/inputs!$O$13))-1)/inputs!$N$13&lt;0, 0, IF((((inputs!$P$13/(V329/MAX(K329:S329)))^(1/inputs!$O$13))-1)/inputs!$N$13&lt;inputs!$I$17, (((inputs!$P$13/(V329/MAX(K329:S329)))^(1/inputs!$O$13))-1)/inputs!$N$13, inputs!$I$17))</f>
        <v>1000</v>
      </c>
      <c r="U329" s="63">
        <f>IF((((inputs!$P$13/(X329/MAX(K329:S329)))^(1/inputs!$O$13))-1)/inputs!$N$13&lt;0, 0, IF((((inputs!$P$13/(X329/MAX(K329:S329)))^(1/inputs!$O$13))-1)/inputs!$N$13&lt;inputs!$I$17, (((inputs!$P$13/(X329/MAX(K329:S329)))^(1/inputs!$O$13))-1)/inputs!$N$13, inputs!$I$17))</f>
        <v>30.55863387116224</v>
      </c>
      <c r="V329" s="21">
        <f>inputs!$E$78*(F329/inputs!$F$78)^(inputs!$E$84-1)</f>
        <v>2.4554703782112351E-2</v>
      </c>
      <c r="W329" s="21">
        <f>inputs!$E$85*(F329/inputs!$F$85)^(inputs!$E$84-1)</f>
        <v>1.1338909869237934</v>
      </c>
      <c r="X329" s="21">
        <f>inputs!$E$80*(F329/inputs!$F$80)^(inputs!$E$84-1)</f>
        <v>4.2341498878799877</v>
      </c>
      <c r="Y329" s="21">
        <f>inputs!$E$82*(F329/inputs!$F$82)^(inputs!$E$84-1)</f>
        <v>1.9514527742626133</v>
      </c>
      <c r="Z329" s="63">
        <f t="shared" si="34"/>
        <v>1763.5490765066977</v>
      </c>
      <c r="AA329" s="63">
        <f t="shared" si="35"/>
        <v>38.19011322801007</v>
      </c>
    </row>
    <row r="330" spans="1:27" x14ac:dyDescent="0.25">
      <c r="A330" s="103" t="s">
        <v>143</v>
      </c>
      <c r="B330" s="20" t="s">
        <v>144</v>
      </c>
      <c r="C330" s="20" t="s">
        <v>73</v>
      </c>
      <c r="D330" s="104" t="s">
        <v>141</v>
      </c>
      <c r="E330" s="15">
        <v>1222</v>
      </c>
      <c r="F330" s="15">
        <v>34.4</v>
      </c>
      <c r="G330" s="20" t="s">
        <v>142</v>
      </c>
      <c r="H330" s="20">
        <v>0.69</v>
      </c>
      <c r="I330" s="68">
        <f>MAX('Max rate concentrations'!$H$3:$H$368)</f>
        <v>282</v>
      </c>
      <c r="J330" s="68">
        <f>MAX('Max rate concentrations'!AA:AA)</f>
        <v>195</v>
      </c>
      <c r="K330" s="69">
        <f t="shared" si="33"/>
        <v>212.95445021538453</v>
      </c>
      <c r="L330" s="69">
        <f t="shared" si="32"/>
        <v>147.25573685106374</v>
      </c>
      <c r="M330" s="69">
        <f>IF((((1.18*F330^0.874)-(0.301*F330^0.751)/(1-H330)*H330)*(MAX('Max rate concentrations'!$P$3:$P$368)))/F330&gt;0, (((1.18*F330^0.874)-(0.301*F330^0.751)/(1-H330)*H330)*(MAX('Max rate concentrations'!$P$3:$P$368)))/F330, 0)</f>
        <v>0.41624237869190711</v>
      </c>
      <c r="N330" s="69">
        <f>IF((((1.18*F330^0.874)-(0.301*F330^0.751)/(1-H330)*H330)*(MAX('Max rate concentrations'!$Q$3:$Q$368)))/F330&gt;0, (((1.18*F330^0.874)-(0.301*F330^0.751)/(1-H330)*H330)*(MAX('Max rate concentrations'!$Q$3:$Q$368)))/F330, 0)</f>
        <v>1.5850733434632109</v>
      </c>
      <c r="O330" s="69">
        <f>((MAX('Max rate concentrations'!$F$3:$F$368))*0.62*6.01*8*(10*F330^0.667)*0.079*0.1/F330)*inputs!$E$80/(10^(0.84+0.62*LOG10(inputs!$E$80)))</f>
        <v>45.193862962028028</v>
      </c>
      <c r="P330" s="69">
        <f>((MAX('Max rate concentrations'!Y:Y))*0.62*6.01*8*(10*F330^0.667)*0.079*0.1/F330)*inputs!$E$80/(10^(0.84+0.62*LOG10(inputs!$E$80)))</f>
        <v>15.064620987342677</v>
      </c>
      <c r="Q330" s="69">
        <f>(inputs!$C$18*11.2*(10*F330^0.667)*0.5/F330)*inputs!$E$80/(10^(0.84+0.62*LOG10(inputs!$E$80)))</f>
        <v>7.9606858003775249</v>
      </c>
      <c r="R330" s="59">
        <f>(60*284*((F330/1000)^0.77)*3*24*(MAX('Max rate concentrations'!$R$3:$R$368))/F330)*(inputs!$E$73*3.4/inputs!$E$75)</f>
        <v>6.1048966140795427E-2</v>
      </c>
      <c r="S330" s="59">
        <f>(IF(inputs!$C$17="aerial",((0.025*0.112*inputs!$C$18/3.3)*(3*60*284*((F330/1000)^0.77))*MAX(inputs!$I$14:$I$16))/F330,((0.0083*0.112*inputs!$C$18/1)*(3*60*284*((F330/1000)^0.77))*MAX(inputs!$I$14:$I$16))/F330))*(inputs!E$75*3.4/inputs!$E$73)</f>
        <v>0.33668879901174614</v>
      </c>
      <c r="T330" s="63">
        <f>IF((((inputs!$P$13/(V330/MAX(K330:S330)))^(1/inputs!$O$13))-1)/inputs!$N$13&lt;0, 0, IF((((inputs!$P$13/(V330/MAX(K330:S330)))^(1/inputs!$O$13))-1)/inputs!$N$13&lt;inputs!$I$17, (((inputs!$P$13/(V330/MAX(K330:S330)))^(1/inputs!$O$13))-1)/inputs!$N$13, inputs!$I$17))</f>
        <v>1000</v>
      </c>
      <c r="U330" s="63">
        <f>IF((((inputs!$P$13/(X330/MAX(K330:S330)))^(1/inputs!$O$13))-1)/inputs!$N$13&lt;0, 0, IF((((inputs!$P$13/(X330/MAX(K330:S330)))^(1/inputs!$O$13))-1)/inputs!$N$13&lt;inputs!$I$17, (((inputs!$P$13/(X330/MAX(K330:S330)))^(1/inputs!$O$13))-1)/inputs!$N$13, inputs!$I$17))</f>
        <v>110.79108090592102</v>
      </c>
      <c r="V330" s="21">
        <f>inputs!$E$78*(F330/inputs!$F$78)^(inputs!$E$84-1)</f>
        <v>2.8198562998950707E-2</v>
      </c>
      <c r="W330" s="21">
        <f>inputs!$E$85*(F330/inputs!$F$85)^(inputs!$E$84-1)</f>
        <v>1.3021576929796042</v>
      </c>
      <c r="X330" s="21">
        <f>inputs!$E$80*(F330/inputs!$F$80)^(inputs!$E$84-1)</f>
        <v>4.8624875877086478</v>
      </c>
      <c r="Y330" s="21">
        <f>inputs!$E$82*(F330/inputs!$F$82)^(inputs!$E$84-1)</f>
        <v>2.2410436909692404</v>
      </c>
      <c r="Z330" s="63">
        <f t="shared" si="34"/>
        <v>7551.961077708419</v>
      </c>
      <c r="AA330" s="63">
        <f t="shared" si="35"/>
        <v>163.53967830739535</v>
      </c>
    </row>
    <row r="331" spans="1:27" x14ac:dyDescent="0.25">
      <c r="A331" s="103" t="s">
        <v>143</v>
      </c>
      <c r="B331" s="20" t="s">
        <v>144</v>
      </c>
      <c r="C331" s="20" t="s">
        <v>73</v>
      </c>
      <c r="D331" s="104" t="s">
        <v>141</v>
      </c>
      <c r="E331" s="15">
        <v>1222</v>
      </c>
      <c r="F331" s="15">
        <v>34.4</v>
      </c>
      <c r="G331" s="20" t="s">
        <v>145</v>
      </c>
      <c r="H331" s="20">
        <v>0.66</v>
      </c>
      <c r="I331" s="68">
        <f>MAX('Max rate concentrations'!$M$3:$M$368)</f>
        <v>17.092910873809167</v>
      </c>
      <c r="J331" s="68">
        <f>MAX('Max rate concentrations'!AE:AE)</f>
        <v>11.81956602976166</v>
      </c>
      <c r="K331" s="69">
        <f t="shared" si="33"/>
        <v>11.768914744377408</v>
      </c>
      <c r="L331" s="69">
        <f t="shared" si="32"/>
        <v>8.138079344516294</v>
      </c>
      <c r="M331" s="69">
        <f>IF((((1.18*F331^0.874)-(0.301*F331^0.751)/(1-H331)*H331)*(MAX('Max rate concentrations'!$P$3:$P$368)))/F331&gt;0, (((1.18*F331^0.874)-(0.301*F331^0.751)/(1-H331)*H331)*(MAX('Max rate concentrations'!$P$3:$P$368)))/F331, 0)</f>
        <v>0.44716002938659744</v>
      </c>
      <c r="N331" s="69">
        <f>IF((((1.18*F331^0.874)-(0.301*F331^0.751)/(1-H331)*H331)*(MAX('Max rate concentrations'!$Q$3:$Q$368)))/F331&gt;0, (((1.18*F331^0.874)-(0.301*F331^0.751)/(1-H331)*H331)*(MAX('Max rate concentrations'!$Q$3:$Q$368)))/F331, 0)</f>
        <v>1.7028094185660636</v>
      </c>
      <c r="O331" s="69">
        <f>((MAX('Max rate concentrations'!$F$3:$F$368))*0.62*6.01*8*(10*F331^0.667)*0.079*0.1/F331)*inputs!$E$80/(10^(0.84+0.62*LOG10(inputs!$E$80)))</f>
        <v>45.193862962028028</v>
      </c>
      <c r="P331" s="69">
        <f>((MAX('Max rate concentrations'!Y:Y))*0.62*6.01*8*(10*F331^0.667)*0.079*0.1/F331)*inputs!$E$80/(10^(0.84+0.62*LOG10(inputs!$E$80)))</f>
        <v>15.064620987342677</v>
      </c>
      <c r="Q331" s="69">
        <f>(inputs!$C$18*11.2*(10*F331^0.667)*0.5/F331)*inputs!$E$80/(10^(0.84+0.62*LOG10(inputs!$E$80)))</f>
        <v>7.9606858003775249</v>
      </c>
      <c r="R331" s="59">
        <f>(60*284*((F331/1000)^0.77)*3*24*(MAX('Max rate concentrations'!$R$3:$R$368))/F331)*(inputs!$E$73*3.4/inputs!$E$75)</f>
        <v>6.1048966140795427E-2</v>
      </c>
      <c r="S331" s="59">
        <f>(IF(inputs!$C$17="aerial",((0.025*0.112*inputs!$C$18/3.3)*(3*60*284*((F331/1000)^0.77))*MAX(inputs!$I$14:$I$16))/F331,((0.0083*0.112*inputs!$C$18/1)*(3*60*284*((F331/1000)^0.77))*MAX(inputs!$I$14:$I$16))/F331))*(inputs!E$75*3.4/inputs!$E$73)</f>
        <v>0.33668879901174614</v>
      </c>
      <c r="T331" s="63">
        <f>IF((((inputs!$P$13/(V331/MAX(K331:S331)))^(1/inputs!$O$13))-1)/inputs!$N$13&lt;0, 0, IF((((inputs!$P$13/(V331/MAX(K331:S331)))^(1/inputs!$O$13))-1)/inputs!$N$13&lt;inputs!$I$17, (((inputs!$P$13/(V331/MAX(K331:S331)))^(1/inputs!$O$13))-1)/inputs!$N$13, inputs!$I$17))</f>
        <v>1000</v>
      </c>
      <c r="U331" s="63">
        <f>IF((((inputs!$P$13/(X331/MAX(K331:S331)))^(1/inputs!$O$13))-1)/inputs!$N$13&lt;0, 0, IF((((inputs!$P$13/(X331/MAX(K331:S331)))^(1/inputs!$O$13))-1)/inputs!$N$13&lt;inputs!$I$17, (((inputs!$P$13/(X331/MAX(K331:S331)))^(1/inputs!$O$13))-1)/inputs!$N$13, inputs!$I$17))</f>
        <v>27.895279492075517</v>
      </c>
      <c r="V331" s="21">
        <f>inputs!$E$78*(F331/inputs!$F$78)^(inputs!$E$84-1)</f>
        <v>2.8198562998950707E-2</v>
      </c>
      <c r="W331" s="21">
        <f>inputs!$E$85*(F331/inputs!$F$85)^(inputs!$E$84-1)</f>
        <v>1.3021576929796042</v>
      </c>
      <c r="X331" s="21">
        <f>inputs!$E$80*(F331/inputs!$F$80)^(inputs!$E$84-1)</f>
        <v>4.8624875877086478</v>
      </c>
      <c r="Y331" s="21">
        <f>inputs!$E$82*(F331/inputs!$F$82)^(inputs!$E$84-1)</f>
        <v>2.2410436909692404</v>
      </c>
      <c r="Z331" s="63">
        <f t="shared" si="34"/>
        <v>1602.7009235793232</v>
      </c>
      <c r="AA331" s="63">
        <f t="shared" si="35"/>
        <v>34.706904705692892</v>
      </c>
    </row>
    <row r="332" spans="1:27" x14ac:dyDescent="0.25">
      <c r="A332" s="103" t="s">
        <v>143</v>
      </c>
      <c r="B332" s="20" t="s">
        <v>144</v>
      </c>
      <c r="C332" s="20" t="s">
        <v>73</v>
      </c>
      <c r="D332" s="104" t="s">
        <v>141</v>
      </c>
      <c r="E332" s="15">
        <v>1222</v>
      </c>
      <c r="F332" s="15">
        <v>34.4</v>
      </c>
      <c r="G332" s="20" t="s">
        <v>146</v>
      </c>
      <c r="H332" s="20">
        <v>0.84</v>
      </c>
      <c r="I332" s="68">
        <f>MAX('Max rate concentrations'!$I$3:$I$368)</f>
        <v>56.865414300472793</v>
      </c>
      <c r="J332" s="68" t="s">
        <v>13</v>
      </c>
      <c r="K332" s="69">
        <f t="shared" si="33"/>
        <v>83.200805451561308</v>
      </c>
      <c r="L332" s="69" t="s">
        <v>13</v>
      </c>
      <c r="M332" s="69">
        <f>IF((((1.18*F332^0.874)-(0.301*F332^0.751)/(1-H332)*H332)*(MAX('Max rate concentrations'!$P$3:$P$368)))/F332&gt;0, (((1.18*F332^0.874)-(0.301*F332^0.751)/(1-H332)*H332)*(MAX('Max rate concentrations'!$P$3:$P$368)))/F332, 0)</f>
        <v>8.7742340060821947E-2</v>
      </c>
      <c r="N332" s="69">
        <f>IF((((1.18*F332^0.874)-(0.301*F332^0.751)/(1-H332)*H332)*(MAX('Max rate concentrations'!$Q$3:$Q$368)))/F332&gt;0, (((1.18*F332^0.874)-(0.301*F332^0.751)/(1-H332)*H332)*(MAX('Max rate concentrations'!$Q$3:$Q$368)))/F332, 0)</f>
        <v>0.33412754549539853</v>
      </c>
      <c r="O332" s="69">
        <f>((MAX('Max rate concentrations'!$F$3:$F$368))*0.62*6.01*8*(10*F332^0.667)*0.079*0.1/F332)*inputs!$E$80/(10^(0.84+0.62*LOG10(inputs!$E$80)))</f>
        <v>45.193862962028028</v>
      </c>
      <c r="P332" s="69">
        <f>((MAX('Max rate concentrations'!Y:Y))*0.62*6.01*8*(10*F332^0.667)*0.079*0.1/F332)*inputs!$E$80/(10^(0.84+0.62*LOG10(inputs!$E$80)))</f>
        <v>15.064620987342677</v>
      </c>
      <c r="Q332" s="69">
        <f>(inputs!$C$18*11.2*(10*F332^0.667)*0.5/F332)*inputs!$E$80/(10^(0.84+0.62*LOG10(inputs!$E$80)))</f>
        <v>7.9606858003775249</v>
      </c>
      <c r="R332" s="59">
        <f>(60*284*((F332/1000)^0.77)*3*24*(MAX('Max rate concentrations'!$R$3:$R$368))/F332)*(inputs!$E$73*3.4/inputs!$E$75)</f>
        <v>6.1048966140795427E-2</v>
      </c>
      <c r="S332" s="59">
        <f>(IF(inputs!$C$17="aerial",((0.025*0.112*inputs!$C$18/3.3)*(3*60*284*((F332/1000)^0.77))*MAX(inputs!$I$14:$I$16))/F332,((0.0083*0.112*inputs!$C$18/1)*(3*60*284*((F332/1000)^0.77))*MAX(inputs!$I$14:$I$16))/F332))*(inputs!E$75*3.4/inputs!$E$73)</f>
        <v>0.33668879901174614</v>
      </c>
      <c r="T332" s="63">
        <f>IF((((inputs!$P$13/(V332/MAX(K332:S332)))^(1/inputs!$O$13))-1)/inputs!$N$13&lt;0, 0, IF((((inputs!$P$13/(V332/MAX(K332:S332)))^(1/inputs!$O$13))-1)/inputs!$N$13&lt;inputs!$I$17, (((inputs!$P$13/(V332/MAX(K332:S332)))^(1/inputs!$O$13))-1)/inputs!$N$13, inputs!$I$17))</f>
        <v>1000</v>
      </c>
      <c r="U332" s="63">
        <f>IF((((inputs!$P$13/(X332/MAX(K332:S332)))^(1/inputs!$O$13))-1)/inputs!$N$13&lt;0, 0, IF((((inputs!$P$13/(X332/MAX(K332:S332)))^(1/inputs!$O$13))-1)/inputs!$N$13&lt;inputs!$I$17, (((inputs!$P$13/(X332/MAX(K332:S332)))^(1/inputs!$O$13))-1)/inputs!$N$13, inputs!$I$17))</f>
        <v>49.030321912520918</v>
      </c>
      <c r="V332" s="21">
        <f>inputs!$E$78*(F332/inputs!$F$78)^(inputs!$E$84-1)</f>
        <v>2.8198562998950707E-2</v>
      </c>
      <c r="W332" s="21">
        <f>inputs!$E$85*(F332/inputs!$F$85)^(inputs!$E$84-1)</f>
        <v>1.3021576929796042</v>
      </c>
      <c r="X332" s="21">
        <f>inputs!$E$80*(F332/inputs!$F$80)^(inputs!$E$84-1)</f>
        <v>4.8624875877086478</v>
      </c>
      <c r="Y332" s="21">
        <f>inputs!$E$82*(F332/inputs!$F$82)^(inputs!$E$84-1)</f>
        <v>2.2410436909692404</v>
      </c>
      <c r="Z332" s="63">
        <f t="shared" si="34"/>
        <v>2950.5335238060634</v>
      </c>
      <c r="AA332" s="63">
        <f t="shared" si="35"/>
        <v>63.894569682402121</v>
      </c>
    </row>
    <row r="333" spans="1:27" x14ac:dyDescent="0.25">
      <c r="A333" s="103" t="s">
        <v>361</v>
      </c>
      <c r="B333" s="20" t="s">
        <v>362</v>
      </c>
      <c r="C333" s="20" t="s">
        <v>73</v>
      </c>
      <c r="D333" s="104" t="s">
        <v>141</v>
      </c>
      <c r="E333" s="15">
        <v>72</v>
      </c>
      <c r="F333" s="15">
        <v>19</v>
      </c>
      <c r="G333" s="20" t="s">
        <v>142</v>
      </c>
      <c r="H333" s="20">
        <v>0.69</v>
      </c>
      <c r="I333" s="68">
        <f>MAX('Max rate concentrations'!$H$3:$H$368)</f>
        <v>282</v>
      </c>
      <c r="J333" s="68">
        <f>MAX('Max rate concentrations'!AA:AA)</f>
        <v>195</v>
      </c>
      <c r="K333" s="69">
        <f t="shared" si="33"/>
        <v>232.78631548960547</v>
      </c>
      <c r="L333" s="69">
        <f t="shared" ref="L333:L343" si="36">((0.398*F333^0.85)/(1-H333))*J333/F333</f>
        <v>160.96926071089737</v>
      </c>
      <c r="M333" s="69">
        <f>IF((((1.18*F333^0.874)-(0.301*F333^0.751)/(1-H333)*H333)*(MAX('Max rate concentrations'!$P$3:$P$368)))/F333&gt;0, (((1.18*F333^0.874)-(0.301*F333^0.751)/(1-H333)*H333)*(MAX('Max rate concentrations'!$P$3:$P$368)))/F333, 0)</f>
        <v>0.42883342426440257</v>
      </c>
      <c r="N333" s="69">
        <f>IF((((1.18*F333^0.874)-(0.301*F333^0.751)/(1-H333)*H333)*(MAX('Max rate concentrations'!$Q$3:$Q$368)))/F333&gt;0, (((1.18*F333^0.874)-(0.301*F333^0.751)/(1-H333)*H333)*(MAX('Max rate concentrations'!$Q$3:$Q$368)))/F333, 0)</f>
        <v>1.6330207215413697</v>
      </c>
      <c r="O333" s="69">
        <f>((MAX('Max rate concentrations'!$F$3:$F$368))*0.62*6.01*8*(10*F333^0.667)*0.079*0.1/F333)*inputs!$E$80/(10^(0.84+0.62*LOG10(inputs!$E$80)))</f>
        <v>55.071699213544889</v>
      </c>
      <c r="P333" s="69">
        <f>((MAX('Max rate concentrations'!Y:Y))*0.62*6.01*8*(10*F333^0.667)*0.079*0.1/F333)*inputs!$E$80/(10^(0.84+0.62*LOG10(inputs!$E$80)))</f>
        <v>18.357233071181632</v>
      </c>
      <c r="Q333" s="69">
        <f>(inputs!$C$18*11.2*(10*F333^0.667)*0.5/F333)*inputs!$E$80/(10^(0.84+0.62*LOG10(inputs!$E$80)))</f>
        <v>9.7006200664962083</v>
      </c>
      <c r="R333" s="59">
        <f>(60*284*((F333/1000)^0.77)*3*24*(MAX('Max rate concentrations'!$R$3:$R$368))/F333)*(inputs!$E$73*3.4/inputs!$E$75)</f>
        <v>6.9979917664522634E-2</v>
      </c>
      <c r="S333" s="59">
        <f>(IF(inputs!$C$17="aerial",((0.025*0.112*inputs!$C$18/3.3)*(3*60*284*((F333/1000)^0.77))*MAX(inputs!$I$14:$I$16))/F333,((0.0083*0.112*inputs!$C$18/1)*(3*60*284*((F333/1000)^0.77))*MAX(inputs!$I$14:$I$16))/F333))*(inputs!E$75*3.4/inputs!$E$73)</f>
        <v>0.38594354536766318</v>
      </c>
      <c r="T333" s="63">
        <f>IF((((inputs!$P$13/(V333/MAX(K333:S333)))^(1/inputs!$O$13))-1)/inputs!$N$13&lt;0, 0, IF((((inputs!$P$13/(V333/MAX(K333:S333)))^(1/inputs!$O$13))-1)/inputs!$N$13&lt;inputs!$I$17, (((inputs!$P$13/(V333/MAX(K333:S333)))^(1/inputs!$O$13))-1)/inputs!$N$13, inputs!$I$17))</f>
        <v>1000</v>
      </c>
      <c r="U333" s="63">
        <f>IF((((inputs!$P$13/(X333/MAX(K333:S333)))^(1/inputs!$O$13))-1)/inputs!$N$13&lt;0, 0, IF((((inputs!$P$13/(X333/MAX(K333:S333)))^(1/inputs!$O$13))-1)/inputs!$N$13&lt;inputs!$I$17, (((inputs!$P$13/(X333/MAX(K333:S333)))^(1/inputs!$O$13))-1)/inputs!$N$13, inputs!$I$17))</f>
        <v>99.163309616040678</v>
      </c>
      <c r="V333" s="21">
        <f>inputs!$E$78*(F333/inputs!$F$78)^(inputs!$E$84-1)</f>
        <v>3.5124873481261372E-2</v>
      </c>
      <c r="W333" s="21">
        <f>inputs!$E$85*(F333/inputs!$F$85)^(inputs!$E$84-1)</f>
        <v>1.6220019516690172</v>
      </c>
      <c r="X333" s="21">
        <f>inputs!$E$80*(F333/inputs!$F$80)^(inputs!$E$84-1)</f>
        <v>6.0568427309159505</v>
      </c>
      <c r="Y333" s="21">
        <f>inputs!$E$82*(F333/inputs!$F$82)^(inputs!$E$84-1)</f>
        <v>2.7915031029844566</v>
      </c>
      <c r="Z333" s="63">
        <f t="shared" si="34"/>
        <v>6627.3922840973</v>
      </c>
      <c r="AA333" s="63">
        <f t="shared" si="35"/>
        <v>143.51790098037281</v>
      </c>
    </row>
    <row r="334" spans="1:27" x14ac:dyDescent="0.25">
      <c r="A334" s="103" t="s">
        <v>361</v>
      </c>
      <c r="B334" s="20" t="s">
        <v>362</v>
      </c>
      <c r="C334" s="20" t="s">
        <v>73</v>
      </c>
      <c r="D334" s="104" t="s">
        <v>141</v>
      </c>
      <c r="E334" s="15">
        <v>72</v>
      </c>
      <c r="F334" s="15">
        <v>19</v>
      </c>
      <c r="G334" s="20" t="s">
        <v>363</v>
      </c>
      <c r="H334" s="20">
        <v>0.85</v>
      </c>
      <c r="I334" s="68">
        <f>MAX('Max rate concentrations'!$F$3:$F$368)</f>
        <v>405</v>
      </c>
      <c r="J334" s="68">
        <f>MAX('Max rate concentrations'!Y:Y)</f>
        <v>135</v>
      </c>
      <c r="K334" s="69">
        <f t="shared" si="33"/>
        <v>690.92959597446736</v>
      </c>
      <c r="L334" s="69">
        <f t="shared" si="36"/>
        <v>230.30986532482243</v>
      </c>
      <c r="M334" s="69">
        <f>IF((((1.18*F334^0.874)-(0.301*F334^0.751)/(1-H334)*H334)*(MAX('Max rate concentrations'!$P$3:$P$368)))/F334&gt;0, (((1.18*F334^0.874)-(0.301*F334^0.751)/(1-H334)*H334)*(MAX('Max rate concentrations'!$P$3:$P$368)))/F334, 0)</f>
        <v>0</v>
      </c>
      <c r="N334" s="69">
        <f>IF((((1.18*F334^0.874)-(0.301*F334^0.751)/(1-H334)*H334)*(MAX('Max rate concentrations'!$Q$3:$Q$368)))/F334&gt;0, (((1.18*F334^0.874)-(0.301*F334^0.751)/(1-H334)*H334)*(MAX('Max rate concentrations'!$Q$3:$Q$368)))/F334, 0)</f>
        <v>0</v>
      </c>
      <c r="O334" s="69">
        <f>((MAX('Max rate concentrations'!$F$3:$F$368))*0.62*6.01*8*(10*F334^0.667)*0.079*0.1/F334)*inputs!$E$80/(10^(0.84+0.62*LOG10(inputs!$E$80)))</f>
        <v>55.071699213544889</v>
      </c>
      <c r="P334" s="69">
        <f>((MAX('Max rate concentrations'!Y:Y))*0.62*6.01*8*(10*F334^0.667)*0.079*0.1/F334)*inputs!$E$80/(10^(0.84+0.62*LOG10(inputs!$E$80)))</f>
        <v>18.357233071181632</v>
      </c>
      <c r="Q334" s="69">
        <f>(inputs!$C$18*11.2*(10*F334^0.667)*0.5/F334)*inputs!$E$80/(10^(0.84+0.62*LOG10(inputs!$E$80)))</f>
        <v>9.7006200664962083</v>
      </c>
      <c r="R334" s="59">
        <f>(60*284*((F334/1000)^0.77)*3*24*(MAX('Max rate concentrations'!$R$3:$R$368))/F334)*(inputs!$E$73*3.4/inputs!$E$75)</f>
        <v>6.9979917664522634E-2</v>
      </c>
      <c r="S334" s="59">
        <f>(IF(inputs!$C$17="aerial",((0.025*0.112*inputs!$C$18/3.3)*(3*60*284*((F334/1000)^0.77))*MAX(inputs!$I$14:$I$16))/F334,((0.0083*0.112*inputs!$C$18/1)*(3*60*284*((F334/1000)^0.77))*MAX(inputs!$I$14:$I$16))/F334))*(inputs!E$75*3.4/inputs!$E$73)</f>
        <v>0.38594354536766318</v>
      </c>
      <c r="T334" s="63">
        <f>IF((((inputs!$P$13/(V334/MAX(K334:S334)))^(1/inputs!$O$13))-1)/inputs!$N$13&lt;0, 0, IF((((inputs!$P$13/(V334/MAX(K334:S334)))^(1/inputs!$O$13))-1)/inputs!$N$13&lt;inputs!$I$17, (((inputs!$P$13/(V334/MAX(K334:S334)))^(1/inputs!$O$13))-1)/inputs!$N$13, inputs!$I$17))</f>
        <v>1000</v>
      </c>
      <c r="U334" s="63">
        <f>IF((((inputs!$P$13/(X334/MAX(K334:S334)))^(1/inputs!$O$13))-1)/inputs!$N$13&lt;0, 0, IF((((inputs!$P$13/(X334/MAX(K334:S334)))^(1/inputs!$O$13))-1)/inputs!$N$13&lt;inputs!$I$17, (((inputs!$P$13/(X334/MAX(K334:S334)))^(1/inputs!$O$13))-1)/inputs!$N$13, inputs!$I$17))</f>
        <v>246.38890114425286</v>
      </c>
      <c r="V334" s="21">
        <f>inputs!$E$78*(F334/inputs!$F$78)^(inputs!$E$84-1)</f>
        <v>3.5124873481261372E-2</v>
      </c>
      <c r="W334" s="21">
        <f>inputs!$E$85*(F334/inputs!$F$85)^(inputs!$E$84-1)</f>
        <v>1.6220019516690172</v>
      </c>
      <c r="X334" s="21">
        <f>inputs!$E$80*(F334/inputs!$F$80)^(inputs!$E$84-1)</f>
        <v>6.0568427309159505</v>
      </c>
      <c r="Y334" s="21">
        <f>inputs!$E$82*(F334/inputs!$F$82)^(inputs!$E$84-1)</f>
        <v>2.7915031029844566</v>
      </c>
      <c r="Z334" s="63">
        <f t="shared" si="34"/>
        <v>19670.664332586668</v>
      </c>
      <c r="AA334" s="63">
        <f t="shared" si="35"/>
        <v>425.97334439919172</v>
      </c>
    </row>
    <row r="335" spans="1:27" x14ac:dyDescent="0.25">
      <c r="A335" s="103" t="s">
        <v>361</v>
      </c>
      <c r="B335" s="20" t="s">
        <v>362</v>
      </c>
      <c r="C335" s="20" t="s">
        <v>73</v>
      </c>
      <c r="D335" s="104" t="s">
        <v>141</v>
      </c>
      <c r="E335" s="15">
        <v>72</v>
      </c>
      <c r="F335" s="15">
        <v>19</v>
      </c>
      <c r="G335" s="20" t="s">
        <v>154</v>
      </c>
      <c r="H335" s="20">
        <v>9.2999999999999999E-2</v>
      </c>
      <c r="I335" s="68">
        <f>MAX('Max rate concentrations'!$G$3:$G$368)</f>
        <v>45</v>
      </c>
      <c r="J335" s="68">
        <f>MAX('Max rate concentrations'!Z:Z)</f>
        <v>21</v>
      </c>
      <c r="K335" s="69">
        <f t="shared" si="33"/>
        <v>12.696243953959343</v>
      </c>
      <c r="L335" s="69">
        <f t="shared" si="36"/>
        <v>5.9249138451810266</v>
      </c>
      <c r="M335" s="69">
        <f>IF((((1.18*F335^0.874)-(0.301*F335^0.751)/(1-H335)*H335)*(MAX('Max rate concentrations'!$P$3:$P$368)))/F335&gt;0, (((1.18*F335^0.874)-(0.301*F335^0.751)/(1-H335)*H335)*(MAX('Max rate concentrations'!$P$3:$P$368)))/F335, 0)</f>
        <v>0.69621076414106497</v>
      </c>
      <c r="N335" s="69">
        <f>IF((((1.18*F335^0.874)-(0.301*F335^0.751)/(1-H335)*H335)*(MAX('Max rate concentrations'!$Q$3:$Q$368)))/F335&gt;0, (((1.18*F335^0.874)-(0.301*F335^0.751)/(1-H335)*H335)*(MAX('Max rate concentrations'!$Q$3:$Q$368)))/F335, 0)</f>
        <v>2.6512079984267372</v>
      </c>
      <c r="O335" s="69">
        <f>((MAX('Max rate concentrations'!$F$3:$F$368))*0.62*6.01*8*(10*F335^0.667)*0.079*0.1/F335)*inputs!$E$80/(10^(0.84+0.62*LOG10(inputs!$E$80)))</f>
        <v>55.071699213544889</v>
      </c>
      <c r="P335" s="69">
        <f>((MAX('Max rate concentrations'!Y:Y))*0.62*6.01*8*(10*F335^0.667)*0.079*0.1/F335)*inputs!$E$80/(10^(0.84+0.62*LOG10(inputs!$E$80)))</f>
        <v>18.357233071181632</v>
      </c>
      <c r="Q335" s="69">
        <f>(inputs!$C$18*11.2*(10*F335^0.667)*0.5/F335)*inputs!$E$80/(10^(0.84+0.62*LOG10(inputs!$E$80)))</f>
        <v>9.7006200664962083</v>
      </c>
      <c r="R335" s="59">
        <f>(60*284*((F335/1000)^0.77)*3*24*(MAX('Max rate concentrations'!$R$3:$R$368))/F335)*(inputs!$E$73*3.4/inputs!$E$75)</f>
        <v>6.9979917664522634E-2</v>
      </c>
      <c r="S335" s="59">
        <f>(IF(inputs!$C$17="aerial",((0.025*0.112*inputs!$C$18/3.3)*(3*60*284*((F335/1000)^0.77))*MAX(inputs!$I$14:$I$16))/F335,((0.0083*0.112*inputs!$C$18/1)*(3*60*284*((F335/1000)^0.77))*MAX(inputs!$I$14:$I$16))/F335))*(inputs!E$75*3.4/inputs!$E$73)</f>
        <v>0.38594354536766318</v>
      </c>
      <c r="T335" s="63">
        <f>IF((((inputs!$P$13/(V335/MAX(K335:S335)))^(1/inputs!$O$13))-1)/inputs!$N$13&lt;0, 0, IF((((inputs!$P$13/(V335/MAX(K335:S335)))^(1/inputs!$O$13))-1)/inputs!$N$13&lt;inputs!$I$17, (((inputs!$P$13/(V335/MAX(K335:S335)))^(1/inputs!$O$13))-1)/inputs!$N$13, inputs!$I$17))</f>
        <v>1000</v>
      </c>
      <c r="U335" s="63">
        <f>IF((((inputs!$P$13/(X335/MAX(K335:S335)))^(1/inputs!$O$13))-1)/inputs!$N$13&lt;0, 0, IF((((inputs!$P$13/(X335/MAX(K335:S335)))^(1/inputs!$O$13))-1)/inputs!$N$13&lt;inputs!$I$17, (((inputs!$P$13/(X335/MAX(K335:S335)))^(1/inputs!$O$13))-1)/inputs!$N$13, inputs!$I$17))</f>
        <v>27.312165527097747</v>
      </c>
      <c r="V335" s="21">
        <f>inputs!$E$78*(F335/inputs!$F$78)^(inputs!$E$84-1)</f>
        <v>3.5124873481261372E-2</v>
      </c>
      <c r="W335" s="21">
        <f>inputs!$E$85*(F335/inputs!$F$85)^(inputs!$E$84-1)</f>
        <v>1.6220019516690172</v>
      </c>
      <c r="X335" s="21">
        <f>inputs!$E$80*(F335/inputs!$F$80)^(inputs!$E$84-1)</f>
        <v>6.0568427309159505</v>
      </c>
      <c r="Y335" s="21">
        <f>inputs!$E$82*(F335/inputs!$F$82)^(inputs!$E$84-1)</f>
        <v>2.7915031029844566</v>
      </c>
      <c r="Z335" s="63">
        <f t="shared" si="34"/>
        <v>1567.8832051288348</v>
      </c>
      <c r="AA335" s="63">
        <f t="shared" si="35"/>
        <v>33.952917970830356</v>
      </c>
    </row>
    <row r="336" spans="1:27" x14ac:dyDescent="0.25">
      <c r="A336" s="103" t="s">
        <v>139</v>
      </c>
      <c r="B336" s="20" t="s">
        <v>140</v>
      </c>
      <c r="C336" s="20" t="s">
        <v>73</v>
      </c>
      <c r="D336" s="104" t="s">
        <v>141</v>
      </c>
      <c r="E336" s="15">
        <v>75</v>
      </c>
      <c r="F336" s="15">
        <v>15</v>
      </c>
      <c r="G336" s="20" t="s">
        <v>142</v>
      </c>
      <c r="H336" s="20">
        <v>0.69</v>
      </c>
      <c r="I336" s="68">
        <f>MAX('Max rate concentrations'!$H$3:$H$368)</f>
        <v>282</v>
      </c>
      <c r="J336" s="68">
        <f>MAX('Max rate concentrations'!AA:AA)</f>
        <v>195</v>
      </c>
      <c r="K336" s="69">
        <f t="shared" si="33"/>
        <v>241.18861170332795</v>
      </c>
      <c r="L336" s="69">
        <f t="shared" si="36"/>
        <v>166.77935915655655</v>
      </c>
      <c r="M336" s="69">
        <f>IF((((1.18*F336^0.874)-(0.301*F336^0.751)/(1-H336)*H336)*(MAX('Max rate concentrations'!$P$3:$P$368)))/F336&gt;0, (((1.18*F336^0.874)-(0.301*F336^0.751)/(1-H336)*H336)*(MAX('Max rate concentrations'!$P$3:$P$368)))/F336, 0)</f>
        <v>0.43327905926074683</v>
      </c>
      <c r="N336" s="69">
        <f>IF((((1.18*F336^0.874)-(0.301*F336^0.751)/(1-H336)*H336)*(MAX('Max rate concentrations'!$Q$3:$Q$368)))/F336&gt;0, (((1.18*F336^0.874)-(0.301*F336^0.751)/(1-H336)*H336)*(MAX('Max rate concentrations'!$Q$3:$Q$368)))/F336, 0)</f>
        <v>1.6499499384789085</v>
      </c>
      <c r="O336" s="69">
        <f>((MAX('Max rate concentrations'!$F$3:$F$368))*0.62*6.01*8*(10*F336^0.667)*0.079*0.1/F336)*inputs!$E$80/(10^(0.84+0.62*LOG10(inputs!$E$80)))</f>
        <v>59.581994422027108</v>
      </c>
      <c r="P336" s="69">
        <f>((MAX('Max rate concentrations'!Y:Y))*0.62*6.01*8*(10*F336^0.667)*0.079*0.1/F336)*inputs!$E$80/(10^(0.84+0.62*LOG10(inputs!$E$80)))</f>
        <v>19.860664807342371</v>
      </c>
      <c r="Q336" s="69">
        <f>(inputs!$C$18*11.2*(10*F336^0.667)*0.5/F336)*inputs!$E$80/(10^(0.84+0.62*LOG10(inputs!$E$80)))</f>
        <v>10.495087294310805</v>
      </c>
      <c r="R336" s="59">
        <f>(60*284*((F336/1000)^0.77)*3*24*(MAX('Max rate concentrations'!$R$3:$R$368))/F336)*(inputs!$E$73*3.4/inputs!$E$75)</f>
        <v>7.3890016886512366E-2</v>
      </c>
      <c r="S336" s="59">
        <f>(IF(inputs!$C$17="aerial",((0.025*0.112*inputs!$C$18/3.3)*(3*60*284*((F336/1000)^0.77))*MAX(inputs!$I$14:$I$16))/F336,((0.0083*0.112*inputs!$C$18/1)*(3*60*284*((F336/1000)^0.77))*MAX(inputs!$I$14:$I$16))/F336))*(inputs!E$75*3.4/inputs!$E$73)</f>
        <v>0.40750798280682138</v>
      </c>
      <c r="T336" s="63">
        <f>IF((((inputs!$P$13/(V336/MAX(K336:S336)))^(1/inputs!$O$13))-1)/inputs!$N$13&lt;0, 0, IF((((inputs!$P$13/(V336/MAX(K336:S336)))^(1/inputs!$O$13))-1)/inputs!$N$13&lt;inputs!$I$17, (((inputs!$P$13/(V336/MAX(K336:S336)))^(1/inputs!$O$13))-1)/inputs!$N$13, inputs!$I$17))</f>
        <v>1000</v>
      </c>
      <c r="U336" s="63">
        <f>IF((((inputs!$P$13/(X336/MAX(K336:S336)))^(1/inputs!$O$13))-1)/inputs!$N$13&lt;0, 0, IF((((inputs!$P$13/(X336/MAX(K336:S336)))^(1/inputs!$O$13))-1)/inputs!$N$13&lt;inputs!$I$17, (((inputs!$P$13/(X336/MAX(K336:S336)))^(1/inputs!$O$13))-1)/inputs!$N$13, inputs!$I$17))</f>
        <v>94.864166229846063</v>
      </c>
      <c r="V336" s="21">
        <f>inputs!$E$78*(F336/inputs!$F$78)^(inputs!$E$84-1)</f>
        <v>3.8335385520294862E-2</v>
      </c>
      <c r="W336" s="21">
        <f>inputs!$E$85*(F336/inputs!$F$85)^(inputs!$E$84-1)</f>
        <v>1.7702574833493601</v>
      </c>
      <c r="X336" s="21">
        <f>inputs!$E$80*(F336/inputs!$F$80)^(inputs!$E$84-1)</f>
        <v>6.6104551593425471</v>
      </c>
      <c r="Y336" s="21">
        <f>inputs!$E$82*(F336/inputs!$F$82)^(inputs!$E$84-1)</f>
        <v>3.0466543229286969</v>
      </c>
      <c r="Z336" s="63">
        <f t="shared" si="34"/>
        <v>6291.5400074858253</v>
      </c>
      <c r="AA336" s="63">
        <f t="shared" si="35"/>
        <v>136.244932712836</v>
      </c>
    </row>
    <row r="337" spans="1:27" x14ac:dyDescent="0.25">
      <c r="A337" s="103" t="s">
        <v>305</v>
      </c>
      <c r="B337" s="20" t="s">
        <v>306</v>
      </c>
      <c r="C337" s="20" t="s">
        <v>73</v>
      </c>
      <c r="D337" s="104" t="s">
        <v>141</v>
      </c>
      <c r="E337" s="15">
        <v>99</v>
      </c>
      <c r="F337" s="15">
        <v>14</v>
      </c>
      <c r="G337" s="20" t="s">
        <v>142</v>
      </c>
      <c r="H337" s="20">
        <v>0.69</v>
      </c>
      <c r="I337" s="68">
        <f>MAX('Max rate concentrations'!$H$3:$H$368)</f>
        <v>282</v>
      </c>
      <c r="J337" s="68">
        <f>MAX('Max rate concentrations'!AA:AA)</f>
        <v>195</v>
      </c>
      <c r="K337" s="69">
        <f t="shared" si="33"/>
        <v>243.69761630151493</v>
      </c>
      <c r="L337" s="69">
        <f t="shared" si="36"/>
        <v>168.51430914466459</v>
      </c>
      <c r="M337" s="69">
        <f>IF((((1.18*F337^0.874)-(0.301*F337^0.751)/(1-H337)*H337)*(MAX('Max rate concentrations'!$P$3:$P$368)))/F337&gt;0, (((1.18*F337^0.874)-(0.301*F337^0.751)/(1-H337)*H337)*(MAX('Max rate concentrations'!$P$3:$P$368)))/F337, 0)</f>
        <v>0.43450638528783081</v>
      </c>
      <c r="N337" s="69">
        <f>IF((((1.18*F337^0.874)-(0.301*F337^0.751)/(1-H337)*H337)*(MAX('Max rate concentrations'!$Q$3:$Q$368)))/F337&gt;0, (((1.18*F337^0.874)-(0.301*F337^0.751)/(1-H337)*H337)*(MAX('Max rate concentrations'!$Q$3:$Q$368)))/F337, 0)</f>
        <v>1.6546236619363399</v>
      </c>
      <c r="O337" s="69">
        <f>((MAX('Max rate concentrations'!$F$3:$F$368))*0.62*6.01*8*(10*F337^0.667)*0.079*0.1/F337)*inputs!$E$80/(10^(0.84+0.62*LOG10(inputs!$E$80)))</f>
        <v>60.966714275022639</v>
      </c>
      <c r="P337" s="69">
        <f>((MAX('Max rate concentrations'!Y:Y))*0.62*6.01*8*(10*F337^0.667)*0.079*0.1/F337)*inputs!$E$80/(10^(0.84+0.62*LOG10(inputs!$E$80)))</f>
        <v>20.322238091674208</v>
      </c>
      <c r="Q337" s="69">
        <f>(inputs!$C$18*11.2*(10*F337^0.667)*0.5/F337)*inputs!$E$80/(10^(0.84+0.62*LOG10(inputs!$E$80)))</f>
        <v>10.738999165276649</v>
      </c>
      <c r="R337" s="59">
        <f>(60*284*((F337/1000)^0.77)*3*24*(MAX('Max rate concentrations'!$R$3:$R$368))/F337)*(inputs!$E$73*3.4/inputs!$E$75)</f>
        <v>7.5071882643588564E-2</v>
      </c>
      <c r="S337" s="59">
        <f>(IF(inputs!$C$17="aerial",((0.025*0.112*inputs!$C$18/3.3)*(3*60*284*((F337/1000)^0.77))*MAX(inputs!$I$14:$I$16))/F337,((0.0083*0.112*inputs!$C$18/1)*(3*60*284*((F337/1000)^0.77))*MAX(inputs!$I$14:$I$16))/F337))*(inputs!E$75*3.4/inputs!$E$73)</f>
        <v>0.41402604506893054</v>
      </c>
      <c r="T337" s="63">
        <f>IF((((inputs!$P$13/(V337/MAX(K337:S337)))^(1/inputs!$O$13))-1)/inputs!$N$13&lt;0, 0, IF((((inputs!$P$13/(V337/MAX(K337:S337)))^(1/inputs!$O$13))-1)/inputs!$N$13&lt;inputs!$I$17, (((inputs!$P$13/(V337/MAX(K337:S337)))^(1/inputs!$O$13))-1)/inputs!$N$13, inputs!$I$17))</f>
        <v>1000</v>
      </c>
      <c r="U337" s="63">
        <f>IF((((inputs!$P$13/(X337/MAX(K337:S337)))^(1/inputs!$O$13))-1)/inputs!$N$13&lt;0, 0, IF((((inputs!$P$13/(X337/MAX(K337:S337)))^(1/inputs!$O$13))-1)/inputs!$N$13&lt;inputs!$I$17, (((inputs!$P$13/(X337/MAX(K337:S337)))^(1/inputs!$O$13))-1)/inputs!$N$13, inputs!$I$17))</f>
        <v>93.643118900909869</v>
      </c>
      <c r="V337" s="21">
        <f>inputs!$E$78*(F337/inputs!$F$78)^(inputs!$E$84-1)</f>
        <v>3.9326584321336476E-2</v>
      </c>
      <c r="W337" s="21">
        <f>inputs!$E$85*(F337/inputs!$F$85)^(inputs!$E$84-1)</f>
        <v>1.8160292180330224</v>
      </c>
      <c r="X337" s="21">
        <f>inputs!$E$80*(F337/inputs!$F$80)^(inputs!$E$84-1)</f>
        <v>6.7813749280979954</v>
      </c>
      <c r="Y337" s="21">
        <f>inputs!$E$82*(F337/inputs!$F$82)^(inputs!$E$84-1)</f>
        <v>3.1254285434325308</v>
      </c>
      <c r="Z337" s="63">
        <f t="shared" si="34"/>
        <v>6196.7653816631564</v>
      </c>
      <c r="AA337" s="63">
        <f t="shared" si="35"/>
        <v>134.19256357861283</v>
      </c>
    </row>
    <row r="338" spans="1:27" x14ac:dyDescent="0.25">
      <c r="A338" s="103" t="s">
        <v>213</v>
      </c>
      <c r="B338" s="20" t="s">
        <v>214</v>
      </c>
      <c r="C338" s="20" t="s">
        <v>73</v>
      </c>
      <c r="D338" s="104" t="s">
        <v>141</v>
      </c>
      <c r="E338" s="15">
        <v>150</v>
      </c>
      <c r="F338" s="15">
        <v>12.5</v>
      </c>
      <c r="G338" s="20" t="s">
        <v>142</v>
      </c>
      <c r="H338" s="20">
        <v>0.69</v>
      </c>
      <c r="I338" s="68">
        <f>MAX('Max rate concentrations'!$H$3:$H$368)</f>
        <v>282</v>
      </c>
      <c r="J338" s="68">
        <f>MAX('Max rate concentrations'!AA:AA)</f>
        <v>195</v>
      </c>
      <c r="K338" s="69">
        <f t="shared" si="33"/>
        <v>247.87571766290768</v>
      </c>
      <c r="L338" s="69">
        <f t="shared" si="36"/>
        <v>171.40342178818082</v>
      </c>
      <c r="M338" s="69">
        <f>IF((((1.18*F338^0.874)-(0.301*F338^0.751)/(1-H338)*H338)*(MAX('Max rate concentrations'!$P$3:$P$368)))/F338&gt;0, (((1.18*F338^0.874)-(0.301*F338^0.751)/(1-H338)*H338)*(MAX('Max rate concentrations'!$P$3:$P$368)))/F338, 0)</f>
        <v>0.43644906228549046</v>
      </c>
      <c r="N338" s="69">
        <f>IF((((1.18*F338^0.874)-(0.301*F338^0.751)/(1-H338)*H338)*(MAX('Max rate concentrations'!$Q$3:$Q$368)))/F338&gt;0, (((1.18*F338^0.874)-(0.301*F338^0.751)/(1-H338)*H338)*(MAX('Max rate concentrations'!$Q$3:$Q$368)))/F338, 0)</f>
        <v>1.6620214803267368</v>
      </c>
      <c r="O338" s="69">
        <f>((MAX('Max rate concentrations'!$F$3:$F$368))*0.62*6.01*8*(10*F338^0.667)*0.079*0.1/F338)*inputs!$E$80/(10^(0.84+0.62*LOG10(inputs!$E$80)))</f>
        <v>63.311469142763706</v>
      </c>
      <c r="P338" s="69">
        <f>((MAX('Max rate concentrations'!Y:Y))*0.62*6.01*8*(10*F338^0.667)*0.079*0.1/F338)*inputs!$E$80/(10^(0.84+0.62*LOG10(inputs!$E$80)))</f>
        <v>21.103823047587898</v>
      </c>
      <c r="Q338" s="69">
        <f>(inputs!$C$18*11.2*(10*F338^0.667)*0.5/F338)*inputs!$E$80/(10^(0.84+0.62*LOG10(inputs!$E$80)))</f>
        <v>11.152016676009811</v>
      </c>
      <c r="R338" s="59">
        <f>(60*284*((F338/1000)^0.77)*3*24*(MAX('Max rate concentrations'!$R$3:$R$368))/F338)*(inputs!$E$73*3.4/inputs!$E$75)</f>
        <v>7.7054401655733101E-2</v>
      </c>
      <c r="S338" s="59">
        <f>(IF(inputs!$C$17="aerial",((0.025*0.112*inputs!$C$18/3.3)*(3*60*284*((F338/1000)^0.77))*MAX(inputs!$I$14:$I$16))/F338,((0.0083*0.112*inputs!$C$18/1)*(3*60*284*((F338/1000)^0.77))*MAX(inputs!$I$14:$I$16))/F338))*(inputs!E$75*3.4/inputs!$E$73)</f>
        <v>0.42495975922352369</v>
      </c>
      <c r="T338" s="63">
        <f>IF((((inputs!$P$13/(V338/MAX(K338:S338)))^(1/inputs!$O$13))-1)/inputs!$N$13&lt;0, 0, IF((((inputs!$P$13/(V338/MAX(K338:S338)))^(1/inputs!$O$13))-1)/inputs!$N$13&lt;inputs!$I$17, (((inputs!$P$13/(V338/MAX(K338:S338)))^(1/inputs!$O$13))-1)/inputs!$N$13, inputs!$I$17))</f>
        <v>1000</v>
      </c>
      <c r="U338" s="63">
        <f>IF((((inputs!$P$13/(X338/MAX(K338:S338)))^(1/inputs!$O$13))-1)/inputs!$N$13&lt;0, 0, IF((((inputs!$P$13/(X338/MAX(K338:S338)))^(1/inputs!$O$13))-1)/inputs!$N$13&lt;inputs!$I$17, (((inputs!$P$13/(X338/MAX(K338:S338)))^(1/inputs!$O$13))-1)/inputs!$N$13, inputs!$I$17))</f>
        <v>91.66965447506044</v>
      </c>
      <c r="V338" s="21">
        <f>inputs!$E$78*(F338/inputs!$F$78)^(inputs!$E$84-1)</f>
        <v>4.1010672987168234E-2</v>
      </c>
      <c r="W338" s="21">
        <f>inputs!$E$85*(F338/inputs!$F$85)^(inputs!$E$84-1)</f>
        <v>1.8937973302575419</v>
      </c>
      <c r="X338" s="21">
        <f>inputs!$E$80*(F338/inputs!$F$80)^(inputs!$E$84-1)</f>
        <v>7.0717748408351246</v>
      </c>
      <c r="Y338" s="21">
        <f>inputs!$E$82*(F338/inputs!$F$82)^(inputs!$E$84-1)</f>
        <v>3.2592692742433704</v>
      </c>
      <c r="Z338" s="63">
        <f t="shared" si="34"/>
        <v>6044.1758110252204</v>
      </c>
      <c r="AA338" s="63">
        <f t="shared" si="35"/>
        <v>130.88819680044563</v>
      </c>
    </row>
    <row r="339" spans="1:27" x14ac:dyDescent="0.25">
      <c r="A339" s="103" t="s">
        <v>269</v>
      </c>
      <c r="B339" s="20" t="s">
        <v>270</v>
      </c>
      <c r="C339" s="20" t="s">
        <v>73</v>
      </c>
      <c r="D339" s="104" t="s">
        <v>141</v>
      </c>
      <c r="E339" s="15">
        <v>79</v>
      </c>
      <c r="F339" s="15">
        <v>38</v>
      </c>
      <c r="G339" s="20" t="s">
        <v>142</v>
      </c>
      <c r="H339" s="20">
        <v>0.69</v>
      </c>
      <c r="I339" s="68">
        <f>MAX('Max rate concentrations'!$H$3:$H$368)</f>
        <v>282</v>
      </c>
      <c r="J339" s="68">
        <f>MAX('Max rate concentrations'!AA:AA)</f>
        <v>195</v>
      </c>
      <c r="K339" s="69">
        <f t="shared" si="33"/>
        <v>209.79877452447761</v>
      </c>
      <c r="L339" s="69">
        <f t="shared" si="36"/>
        <v>145.07362068181962</v>
      </c>
      <c r="M339" s="69">
        <f>IF((((1.18*F339^0.874)-(0.301*F339^0.751)/(1-H339)*H339)*(MAX('Max rate concentrations'!$P$3:$P$368)))/F339&gt;0, (((1.18*F339^0.874)-(0.301*F339^0.751)/(1-H339)*H339)*(MAX('Max rate concentrations'!$P$3:$P$368)))/F339, 0)</f>
        <v>0.41396014077437537</v>
      </c>
      <c r="N339" s="69">
        <f>IF((((1.18*F339^0.874)-(0.301*F339^0.751)/(1-H339)*H339)*(MAX('Max rate concentrations'!$Q$3:$Q$368)))/F339&gt;0, (((1.18*F339^0.874)-(0.301*F339^0.751)/(1-H339)*H339)*(MAX('Max rate concentrations'!$Q$3:$Q$368)))/F339, 0)</f>
        <v>1.576382458844761</v>
      </c>
      <c r="O339" s="69">
        <f>((MAX('Max rate concentrations'!$F$3:$F$368))*0.62*6.01*8*(10*F339^0.667)*0.079*0.1/F339)*inputs!$E$80/(10^(0.84+0.62*LOG10(inputs!$E$80)))</f>
        <v>43.720537054734628</v>
      </c>
      <c r="P339" s="69">
        <f>((MAX('Max rate concentrations'!Y:Y))*0.62*6.01*8*(10*F339^0.667)*0.079*0.1/F339)*inputs!$E$80/(10^(0.84+0.62*LOG10(inputs!$E$80)))</f>
        <v>14.573512351578209</v>
      </c>
      <c r="Q339" s="69">
        <f>(inputs!$C$18*11.2*(10*F339^0.667)*0.5/F339)*inputs!$E$80/(10^(0.84+0.62*LOG10(inputs!$E$80)))</f>
        <v>7.7011663908644801</v>
      </c>
      <c r="R339" s="59">
        <f>(60*284*((F339/1000)^0.77)*3*24*(MAX('Max rate concentrations'!$R$3:$R$368))/F339)*(inputs!$E$73*3.4/inputs!$E$75)</f>
        <v>5.9667319523820803E-2</v>
      </c>
      <c r="S339" s="59">
        <f>(IF(inputs!$C$17="aerial",((0.025*0.112*inputs!$C$18/3.3)*(3*60*284*((F339/1000)^0.77))*MAX(inputs!$I$14:$I$16))/F339,((0.0083*0.112*inputs!$C$18/1)*(3*60*284*((F339/1000)^0.77))*MAX(inputs!$I$14:$I$16))/F339))*(inputs!E$75*3.4/inputs!$E$73)</f>
        <v>0.32906893303309903</v>
      </c>
      <c r="T339" s="63">
        <f>IF((((inputs!$P$13/(V339/MAX(K339:S339)))^(1/inputs!$O$13))-1)/inputs!$N$13&lt;0, 0, IF((((inputs!$P$13/(V339/MAX(K339:S339)))^(1/inputs!$O$13))-1)/inputs!$N$13&lt;inputs!$I$17, (((inputs!$P$13/(V339/MAX(K339:S339)))^(1/inputs!$O$13))-1)/inputs!$N$13, inputs!$I$17))</f>
        <v>1000</v>
      </c>
      <c r="U339" s="63">
        <f>IF((((inputs!$P$13/(X339/MAX(K339:S339)))^(1/inputs!$O$13))-1)/inputs!$N$13&lt;0, 0, IF((((inputs!$P$13/(X339/MAX(K339:S339)))^(1/inputs!$O$13))-1)/inputs!$N$13&lt;inputs!$I$17, (((inputs!$P$13/(X339/MAX(K339:S339)))^(1/inputs!$O$13))-1)/inputs!$N$13, inputs!$I$17))</f>
        <v>112.86371923862789</v>
      </c>
      <c r="V339" s="21">
        <f>inputs!$E$78*(F339/inputs!$F$78)^(inputs!$E$84-1)</f>
        <v>2.717901230110276E-2</v>
      </c>
      <c r="W339" s="21">
        <f>inputs!$E$85*(F339/inputs!$F$85)^(inputs!$E$84-1)</f>
        <v>1.2550767199302031</v>
      </c>
      <c r="X339" s="21">
        <f>inputs!$E$80*(F339/inputs!$F$80)^(inputs!$E$84-1)</f>
        <v>4.6866788908786061</v>
      </c>
      <c r="Y339" s="21">
        <f>inputs!$E$82*(F339/inputs!$F$82)^(inputs!$E$84-1)</f>
        <v>2.1600162407718511</v>
      </c>
      <c r="Z339" s="63">
        <f t="shared" si="34"/>
        <v>7719.1463839900189</v>
      </c>
      <c r="AA339" s="63">
        <f t="shared" si="35"/>
        <v>167.16011953129436</v>
      </c>
    </row>
    <row r="340" spans="1:27" x14ac:dyDescent="0.25">
      <c r="A340" s="103" t="s">
        <v>269</v>
      </c>
      <c r="B340" s="20" t="s">
        <v>270</v>
      </c>
      <c r="C340" s="20" t="s">
        <v>73</v>
      </c>
      <c r="D340" s="104" t="s">
        <v>141</v>
      </c>
      <c r="E340" s="15">
        <v>79</v>
      </c>
      <c r="F340" s="15">
        <v>38</v>
      </c>
      <c r="G340" s="20" t="s">
        <v>152</v>
      </c>
      <c r="H340" s="20">
        <v>0.77</v>
      </c>
      <c r="I340" s="68">
        <f>MAX('Max rate concentrations'!$G$3:$G$368)</f>
        <v>45</v>
      </c>
      <c r="J340" s="68">
        <f>MAX('Max rate concentrations'!Z:Z)</f>
        <v>21</v>
      </c>
      <c r="K340" s="69">
        <f t="shared" si="33"/>
        <v>45.123233188659626</v>
      </c>
      <c r="L340" s="69">
        <f t="shared" si="36"/>
        <v>21.057508821374494</v>
      </c>
      <c r="M340" s="69">
        <f>IF((((1.18*F340^0.874)-(0.301*F340^0.751)/(1-H340)*H340)*(MAX('Max rate concentrations'!$P$3:$P$368)))/F340&gt;0, (((1.18*F340^0.874)-(0.301*F340^0.751)/(1-H340)*H340)*(MAX('Max rate concentrations'!$P$3:$P$368)))/F340, 0)</f>
        <v>0.29506523797075107</v>
      </c>
      <c r="N340" s="69">
        <f>IF((((1.18*F340^0.874)-(0.301*F340^0.751)/(1-H340)*H340)*(MAX('Max rate concentrations'!$Q$3:$Q$368)))/F340&gt;0, (((1.18*F340^0.874)-(0.301*F340^0.751)/(1-H340)*H340)*(MAX('Max rate concentrations'!$Q$3:$Q$368)))/F340, 0)</f>
        <v>1.1236242805450789</v>
      </c>
      <c r="O340" s="69">
        <f>((MAX('Max rate concentrations'!$F$3:$F$368))*0.62*6.01*8*(10*F340^0.667)*0.079*0.1/F340)*inputs!$E$80/(10^(0.84+0.62*LOG10(inputs!$E$80)))</f>
        <v>43.720537054734628</v>
      </c>
      <c r="P340" s="69">
        <f>((MAX('Max rate concentrations'!Y:Y))*0.62*6.01*8*(10*F340^0.667)*0.079*0.1/F340)*inputs!$E$80/(10^(0.84+0.62*LOG10(inputs!$E$80)))</f>
        <v>14.573512351578209</v>
      </c>
      <c r="Q340" s="69">
        <f>(inputs!$C$18*11.2*(10*F340^0.667)*0.5/F340)*inputs!$E$80/(10^(0.84+0.62*LOG10(inputs!$E$80)))</f>
        <v>7.7011663908644801</v>
      </c>
      <c r="R340" s="59">
        <f>(60*284*((F340/1000)^0.77)*3*24*(MAX('Max rate concentrations'!$R$3:$R$368))/F340)*(inputs!$E$73*3.4/inputs!$E$75)</f>
        <v>5.9667319523820803E-2</v>
      </c>
      <c r="S340" s="59">
        <f>(IF(inputs!$C$17="aerial",((0.025*0.112*inputs!$C$18/3.3)*(3*60*284*((F340/1000)^0.77))*MAX(inputs!$I$14:$I$16))/F340,((0.0083*0.112*inputs!$C$18/1)*(3*60*284*((F340/1000)^0.77))*MAX(inputs!$I$14:$I$16))/F340))*(inputs!E$75*3.4/inputs!$E$73)</f>
        <v>0.32906893303309903</v>
      </c>
      <c r="T340" s="63">
        <f>IF((((inputs!$P$13/(V340/MAX(K340:S340)))^(1/inputs!$O$13))-1)/inputs!$N$13&lt;0, 0, IF((((inputs!$P$13/(V340/MAX(K340:S340)))^(1/inputs!$O$13))-1)/inputs!$N$13&lt;inputs!$I$17, (((inputs!$P$13/(V340/MAX(K340:S340)))^(1/inputs!$O$13))-1)/inputs!$N$13, inputs!$I$17))</f>
        <v>1000</v>
      </c>
      <c r="U340" s="63">
        <f>IF((((inputs!$P$13/(X340/MAX(K340:S340)))^(1/inputs!$O$13))-1)/inputs!$N$13&lt;0, 0, IF((((inputs!$P$13/(X340/MAX(K340:S340)))^(1/inputs!$O$13))-1)/inputs!$N$13&lt;inputs!$I$17, (((inputs!$P$13/(X340/MAX(K340:S340)))^(1/inputs!$O$13))-1)/inputs!$N$13, inputs!$I$17))</f>
        <v>28.853374671170254</v>
      </c>
      <c r="V340" s="21">
        <f>inputs!$E$78*(F340/inputs!$F$78)^(inputs!$E$84-1)</f>
        <v>2.717901230110276E-2</v>
      </c>
      <c r="W340" s="21">
        <f>inputs!$E$85*(F340/inputs!$F$85)^(inputs!$E$84-1)</f>
        <v>1.2550767199302031</v>
      </c>
      <c r="X340" s="21">
        <f>inputs!$E$80*(F340/inputs!$F$80)^(inputs!$E$84-1)</f>
        <v>4.6866788908786061</v>
      </c>
      <c r="Y340" s="21">
        <f>inputs!$E$82*(F340/inputs!$F$82)^(inputs!$E$84-1)</f>
        <v>2.1600162407718511</v>
      </c>
      <c r="Z340" s="63">
        <f t="shared" si="34"/>
        <v>1660.2234359645511</v>
      </c>
      <c r="AA340" s="63">
        <f t="shared" si="35"/>
        <v>35.952569649422706</v>
      </c>
    </row>
    <row r="341" spans="1:27" x14ac:dyDescent="0.25">
      <c r="A341" s="103" t="s">
        <v>269</v>
      </c>
      <c r="B341" s="20" t="s">
        <v>270</v>
      </c>
      <c r="C341" s="20" t="s">
        <v>73</v>
      </c>
      <c r="D341" s="104" t="s">
        <v>141</v>
      </c>
      <c r="E341" s="15">
        <v>79</v>
      </c>
      <c r="F341" s="15">
        <v>38</v>
      </c>
      <c r="G341" s="20" t="s">
        <v>158</v>
      </c>
      <c r="H341" s="20">
        <v>0.85</v>
      </c>
      <c r="I341" s="68">
        <f>MAX('Max rate concentrations'!$F$3:$F$368)</f>
        <v>405</v>
      </c>
      <c r="J341" s="68">
        <f>MAX('Max rate concentrations'!Y:Y)</f>
        <v>135</v>
      </c>
      <c r="K341" s="69">
        <f t="shared" si="33"/>
        <v>622.70061800350265</v>
      </c>
      <c r="L341" s="69">
        <f t="shared" si="36"/>
        <v>207.56687266783422</v>
      </c>
      <c r="M341" s="69">
        <f>IF((((1.18*F341^0.874)-(0.301*F341^0.751)/(1-H341)*H341)*(MAX('Max rate concentrations'!$P$3:$P$368)))/F341&gt;0, (((1.18*F341^0.874)-(0.301*F341^0.751)/(1-H341)*H341)*(MAX('Max rate concentrations'!$P$3:$P$368)))/F341, 0)</f>
        <v>4.9349105509928014E-2</v>
      </c>
      <c r="N341" s="69">
        <f>IF((((1.18*F341^0.874)-(0.301*F341^0.751)/(1-H341)*H341)*(MAX('Max rate concentrations'!$Q$3:$Q$368)))/F341&gt;0, (((1.18*F341^0.874)-(0.301*F341^0.751)/(1-H341)*H341)*(MAX('Max rate concentrations'!$Q$3:$Q$368)))/F341, 0)</f>
        <v>0.18792404539240448</v>
      </c>
      <c r="O341" s="69">
        <f>((MAX('Max rate concentrations'!$F$3:$F$368))*0.62*6.01*8*(10*F341^0.667)*0.079*0.1/F341)*inputs!$E$80/(10^(0.84+0.62*LOG10(inputs!$E$80)))</f>
        <v>43.720537054734628</v>
      </c>
      <c r="P341" s="69">
        <f>((MAX('Max rate concentrations'!Y:Y))*0.62*6.01*8*(10*F341^0.667)*0.079*0.1/F341)*inputs!$E$80/(10^(0.84+0.62*LOG10(inputs!$E$80)))</f>
        <v>14.573512351578209</v>
      </c>
      <c r="Q341" s="69">
        <f>(inputs!$C$18*11.2*(10*F341^0.667)*0.5/F341)*inputs!$E$80/(10^(0.84+0.62*LOG10(inputs!$E$80)))</f>
        <v>7.7011663908644801</v>
      </c>
      <c r="R341" s="59">
        <f>(60*284*((F341/1000)^0.77)*3*24*(MAX('Max rate concentrations'!$R$3:$R$368))/F341)*(inputs!$E$73*3.4/inputs!$E$75)</f>
        <v>5.9667319523820803E-2</v>
      </c>
      <c r="S341" s="59">
        <f>(IF(inputs!$C$17="aerial",((0.025*0.112*inputs!$C$18/3.3)*(3*60*284*((F341/1000)^0.77))*MAX(inputs!$I$14:$I$16))/F341,((0.0083*0.112*inputs!$C$18/1)*(3*60*284*((F341/1000)^0.77))*MAX(inputs!$I$14:$I$16))/F341))*(inputs!E$75*3.4/inputs!$E$73)</f>
        <v>0.32906893303309903</v>
      </c>
      <c r="T341" s="63">
        <f>IF((((inputs!$P$13/(V341/MAX(K341:S341)))^(1/inputs!$O$13))-1)/inputs!$N$13&lt;0, 0, IF((((inputs!$P$13/(V341/MAX(K341:S341)))^(1/inputs!$O$13))-1)/inputs!$N$13&lt;inputs!$I$17, (((inputs!$P$13/(V341/MAX(K341:S341)))^(1/inputs!$O$13))-1)/inputs!$N$13, inputs!$I$17))</f>
        <v>1000</v>
      </c>
      <c r="U341" s="63">
        <f>IF((((inputs!$P$13/(X341/MAX(K341:S341)))^(1/inputs!$O$13))-1)/inputs!$N$13&lt;0, 0, IF((((inputs!$P$13/(X341/MAX(K341:S341)))^(1/inputs!$O$13))-1)/inputs!$N$13&lt;inputs!$I$17, (((inputs!$P$13/(X341/MAX(K341:S341)))^(1/inputs!$O$13))-1)/inputs!$N$13, inputs!$I$17))</f>
        <v>279.41144280244163</v>
      </c>
      <c r="V341" s="21">
        <f>inputs!$E$78*(F341/inputs!$F$78)^(inputs!$E$84-1)</f>
        <v>2.717901230110276E-2</v>
      </c>
      <c r="W341" s="21">
        <f>inputs!$E$85*(F341/inputs!$F$85)^(inputs!$E$84-1)</f>
        <v>1.2550767199302031</v>
      </c>
      <c r="X341" s="21">
        <f>inputs!$E$80*(F341/inputs!$F$80)^(inputs!$E$84-1)</f>
        <v>4.6866788908786061</v>
      </c>
      <c r="Y341" s="21">
        <f>inputs!$E$82*(F341/inputs!$F$82)^(inputs!$E$84-1)</f>
        <v>2.1600162407718511</v>
      </c>
      <c r="Z341" s="63">
        <f t="shared" si="34"/>
        <v>22911.083416310801</v>
      </c>
      <c r="AA341" s="63">
        <f t="shared" si="35"/>
        <v>496.14546116203326</v>
      </c>
    </row>
    <row r="342" spans="1:27" x14ac:dyDescent="0.25">
      <c r="A342" s="103" t="s">
        <v>269</v>
      </c>
      <c r="B342" s="20" t="s">
        <v>270</v>
      </c>
      <c r="C342" s="20" t="s">
        <v>73</v>
      </c>
      <c r="D342" s="104" t="s">
        <v>141</v>
      </c>
      <c r="E342" s="15">
        <v>79</v>
      </c>
      <c r="F342" s="15">
        <v>38</v>
      </c>
      <c r="G342" s="20" t="s">
        <v>154</v>
      </c>
      <c r="H342" s="20">
        <v>9.2999999999999999E-2</v>
      </c>
      <c r="I342" s="68">
        <f>MAX('Max rate concentrations'!$G$3:$G$368)</f>
        <v>45</v>
      </c>
      <c r="J342" s="68">
        <f>MAX('Max rate concentrations'!Z:Z)</f>
        <v>21</v>
      </c>
      <c r="K342" s="69">
        <f t="shared" si="33"/>
        <v>11.442495736925812</v>
      </c>
      <c r="L342" s="69">
        <f t="shared" si="36"/>
        <v>5.3398313438987124</v>
      </c>
      <c r="M342" s="69">
        <f>IF((((1.18*F342^0.874)-(0.301*F342^0.751)/(1-H342)*H342)*(MAX('Max rate concentrations'!$P$3:$P$368)))/F342&gt;0, (((1.18*F342^0.874)-(0.301*F342^0.751)/(1-H342)*H342)*(MAX('Max rate concentrations'!$P$3:$P$368)))/F342, 0)</f>
        <v>0.63895268630863145</v>
      </c>
      <c r="N342" s="69">
        <f>IF((((1.18*F342^0.874)-(0.301*F342^0.751)/(1-H342)*H342)*(MAX('Max rate concentrations'!$Q$3:$Q$368)))/F342&gt;0, (((1.18*F342^0.874)-(0.301*F342^0.751)/(1-H342)*H342)*(MAX('Max rate concentrations'!$Q$3:$Q$368)))/F342, 0)</f>
        <v>2.4331661614678208</v>
      </c>
      <c r="O342" s="69">
        <f>((MAX('Max rate concentrations'!$F$3:$F$368))*0.62*6.01*8*(10*F342^0.667)*0.079*0.1/F342)*inputs!$E$80/(10^(0.84+0.62*LOG10(inputs!$E$80)))</f>
        <v>43.720537054734628</v>
      </c>
      <c r="P342" s="69">
        <f>((MAX('Max rate concentrations'!Y:Y))*0.62*6.01*8*(10*F342^0.667)*0.079*0.1/F342)*inputs!$E$80/(10^(0.84+0.62*LOG10(inputs!$E$80)))</f>
        <v>14.573512351578209</v>
      </c>
      <c r="Q342" s="69">
        <f>(inputs!$C$18*11.2*(10*F342^0.667)*0.5/F342)*inputs!$E$80/(10^(0.84+0.62*LOG10(inputs!$E$80)))</f>
        <v>7.7011663908644801</v>
      </c>
      <c r="R342" s="59">
        <f>(60*284*((F342/1000)^0.77)*3*24*(MAX('Max rate concentrations'!$R$3:$R$368))/F342)*(inputs!$E$73*3.4/inputs!$E$75)</f>
        <v>5.9667319523820803E-2</v>
      </c>
      <c r="S342" s="59">
        <f>(IF(inputs!$C$17="aerial",((0.025*0.112*inputs!$C$18/3.3)*(3*60*284*((F342/1000)^0.77))*MAX(inputs!$I$14:$I$16))/F342,((0.0083*0.112*inputs!$C$18/1)*(3*60*284*((F342/1000)^0.77))*MAX(inputs!$I$14:$I$16))/F342))*(inputs!E$75*3.4/inputs!$E$73)</f>
        <v>0.32906893303309903</v>
      </c>
      <c r="T342" s="63">
        <f>IF((((inputs!$P$13/(V342/MAX(K342:S342)))^(1/inputs!$O$13))-1)/inputs!$N$13&lt;0, 0, IF((((inputs!$P$13/(V342/MAX(K342:S342)))^(1/inputs!$O$13))-1)/inputs!$N$13&lt;inputs!$I$17, (((inputs!$P$13/(V342/MAX(K342:S342)))^(1/inputs!$O$13))-1)/inputs!$N$13, inputs!$I$17))</f>
        <v>1000</v>
      </c>
      <c r="U342" s="63">
        <f>IF((((inputs!$P$13/(X342/MAX(K342:S342)))^(1/inputs!$O$13))-1)/inputs!$N$13&lt;0, 0, IF((((inputs!$P$13/(X342/MAX(K342:S342)))^(1/inputs!$O$13))-1)/inputs!$N$13&lt;inputs!$I$17, (((inputs!$P$13/(X342/MAX(K342:S342)))^(1/inputs!$O$13))-1)/inputs!$N$13, inputs!$I$17))</f>
        <v>27.994065832349541</v>
      </c>
      <c r="V342" s="21">
        <f>inputs!$E$78*(F342/inputs!$F$78)^(inputs!$E$84-1)</f>
        <v>2.717901230110276E-2</v>
      </c>
      <c r="W342" s="21">
        <f>inputs!$E$85*(F342/inputs!$F$85)^(inputs!$E$84-1)</f>
        <v>1.2550767199302031</v>
      </c>
      <c r="X342" s="21">
        <f>inputs!$E$80*(F342/inputs!$F$80)^(inputs!$E$84-1)</f>
        <v>4.6866788908786061</v>
      </c>
      <c r="Y342" s="21">
        <f>inputs!$E$82*(F342/inputs!$F$82)^(inputs!$E$84-1)</f>
        <v>2.1600162407718511</v>
      </c>
      <c r="Z342" s="63">
        <f t="shared" si="34"/>
        <v>1608.6139029033338</v>
      </c>
      <c r="AA342" s="63">
        <f t="shared" si="35"/>
        <v>34.834951808496612</v>
      </c>
    </row>
    <row r="343" spans="1:27" x14ac:dyDescent="0.25">
      <c r="A343" s="103" t="s">
        <v>279</v>
      </c>
      <c r="B343" s="20" t="s">
        <v>280</v>
      </c>
      <c r="C343" s="20" t="s">
        <v>73</v>
      </c>
      <c r="D343" s="104" t="s">
        <v>141</v>
      </c>
      <c r="E343" s="15">
        <v>113</v>
      </c>
      <c r="F343" s="15">
        <v>26</v>
      </c>
      <c r="G343" s="20" t="s">
        <v>142</v>
      </c>
      <c r="H343" s="20">
        <v>0.69</v>
      </c>
      <c r="I343" s="68">
        <f>MAX('Max rate concentrations'!$H$3:$H$368)</f>
        <v>282</v>
      </c>
      <c r="J343" s="68">
        <f>MAX('Max rate concentrations'!AA:AA)</f>
        <v>195</v>
      </c>
      <c r="K343" s="69">
        <f t="shared" si="33"/>
        <v>222.08768870296794</v>
      </c>
      <c r="L343" s="69">
        <f t="shared" si="36"/>
        <v>153.57127410311611</v>
      </c>
      <c r="M343" s="69">
        <f>IF((((1.18*F343^0.874)-(0.301*F343^0.751)/(1-H343)*H343)*(MAX('Max rate concentrations'!$P$3:$P$368)))/F343&gt;0, (((1.18*F343^0.874)-(0.301*F343^0.751)/(1-H343)*H343)*(MAX('Max rate concentrations'!$P$3:$P$368)))/F343, 0)</f>
        <v>0.42241264003196455</v>
      </c>
      <c r="N343" s="69">
        <f>IF((((1.18*F343^0.874)-(0.301*F343^0.751)/(1-H343)*H343)*(MAX('Max rate concentrations'!$Q$3:$Q$368)))/F343&gt;0, (((1.18*F343^0.874)-(0.301*F343^0.751)/(1-H343)*H343)*(MAX('Max rate concentrations'!$Q$3:$Q$368)))/F343, 0)</f>
        <v>1.6085700301846892</v>
      </c>
      <c r="O343" s="69">
        <f>((MAX('Max rate concentrations'!$F$3:$F$368))*0.62*6.01*8*(10*F343^0.667)*0.079*0.1/F343)*inputs!$E$80/(10^(0.84+0.62*LOG10(inputs!$E$80)))</f>
        <v>49.609779975561096</v>
      </c>
      <c r="P343" s="69">
        <f>((MAX('Max rate concentrations'!Y:Y))*0.62*6.01*8*(10*F343^0.667)*0.079*0.1/F343)*inputs!$E$80/(10^(0.84+0.62*LOG10(inputs!$E$80)))</f>
        <v>16.536593325187035</v>
      </c>
      <c r="Q343" s="69">
        <f>(inputs!$C$18*11.2*(10*F343^0.667)*0.5/F343)*inputs!$E$80/(10^(0.84+0.62*LOG10(inputs!$E$80)))</f>
        <v>8.7385287542939523</v>
      </c>
      <c r="R343" s="59">
        <f>(60*284*((F343/1000)^0.77)*3*24*(MAX('Max rate concentrations'!$R$3:$R$368))/F343)*(inputs!$E$73*3.4/inputs!$E$75)</f>
        <v>6.5109278884448993E-2</v>
      </c>
      <c r="S343" s="59">
        <f>(IF(inputs!$C$17="aerial",((0.025*0.112*inputs!$C$18/3.3)*(3*60*284*((F343/1000)^0.77))*MAX(inputs!$I$14:$I$16))/F343,((0.0083*0.112*inputs!$C$18/1)*(3*60*284*((F343/1000)^0.77))*MAX(inputs!$I$14:$I$16))/F343))*(inputs!E$75*3.4/inputs!$E$73)</f>
        <v>0.35908167325174545</v>
      </c>
      <c r="T343" s="63">
        <f>IF((((inputs!$P$13/(V343/MAX(K343:S343)))^(1/inputs!$O$13))-1)/inputs!$N$13&lt;0, 0, IF((((inputs!$P$13/(V343/MAX(K343:S343)))^(1/inputs!$O$13))-1)/inputs!$N$13&lt;inputs!$I$17, (((inputs!$P$13/(V343/MAX(K343:S343)))^(1/inputs!$O$13))-1)/inputs!$N$13, inputs!$I$17))</f>
        <v>1000</v>
      </c>
      <c r="U343" s="63">
        <f>IF((((inputs!$P$13/(X343/MAX(K343:S343)))^(1/inputs!$O$13))-1)/inputs!$N$13&lt;0, 0, IF((((inputs!$P$13/(X343/MAX(K343:S343)))^(1/inputs!$O$13))-1)/inputs!$N$13&lt;inputs!$I$17, (((inputs!$P$13/(X343/MAX(K343:S343)))^(1/inputs!$O$13))-1)/inputs!$N$13, inputs!$I$17))</f>
        <v>105.1541064476784</v>
      </c>
      <c r="V343" s="21">
        <f>inputs!$E$78*(F343/inputs!$F$78)^(inputs!$E$84-1)</f>
        <v>3.1276162593456898E-2</v>
      </c>
      <c r="W343" s="21">
        <f>inputs!$E$85*(F343/inputs!$F$85)^(inputs!$E$84-1)</f>
        <v>1.444275572817888</v>
      </c>
      <c r="X343" s="21">
        <f>inputs!$E$80*(F343/inputs!$F$80)^(inputs!$E$84-1)</f>
        <v>5.3931809364718601</v>
      </c>
      <c r="Y343" s="21">
        <f>inputs!$E$82*(F343/inputs!$F$82)^(inputs!$E$84-1)</f>
        <v>2.4856318692694694</v>
      </c>
      <c r="Z343" s="63">
        <f t="shared" si="34"/>
        <v>7100.8611762822075</v>
      </c>
      <c r="AA343" s="63">
        <f t="shared" si="35"/>
        <v>153.77099279582671</v>
      </c>
    </row>
    <row r="344" spans="1:27" x14ac:dyDescent="0.25">
      <c r="A344" s="103" t="s">
        <v>279</v>
      </c>
      <c r="B344" s="20" t="s">
        <v>280</v>
      </c>
      <c r="C344" s="20" t="s">
        <v>73</v>
      </c>
      <c r="D344" s="104" t="s">
        <v>141</v>
      </c>
      <c r="E344" s="15">
        <v>113</v>
      </c>
      <c r="F344" s="15">
        <v>26</v>
      </c>
      <c r="G344" s="20" t="s">
        <v>146</v>
      </c>
      <c r="H344" s="20">
        <v>0.84</v>
      </c>
      <c r="I344" s="68">
        <f>MAX('Max rate concentrations'!$I$3:$I$368)</f>
        <v>56.865414300472793</v>
      </c>
      <c r="J344" s="68" t="s">
        <v>13</v>
      </c>
      <c r="K344" s="69">
        <f t="shared" si="33"/>
        <v>86.76914035970519</v>
      </c>
      <c r="L344" s="69" t="s">
        <v>13</v>
      </c>
      <c r="M344" s="69">
        <f>IF((((1.18*F344^0.874)-(0.301*F344^0.751)/(1-H344)*H344)*(MAX('Max rate concentrations'!$P$3:$P$368)))/F344&gt;0, (((1.18*F344^0.874)-(0.301*F344^0.751)/(1-H344)*H344)*(MAX('Max rate concentrations'!$P$3:$P$368)))/F344, 0)</f>
        <v>7.0195802347810407E-2</v>
      </c>
      <c r="N344" s="69">
        <f>IF((((1.18*F344^0.874)-(0.301*F344^0.751)/(1-H344)*H344)*(MAX('Max rate concentrations'!$Q$3:$Q$368)))/F344&gt;0, (((1.18*F344^0.874)-(0.301*F344^0.751)/(1-H344)*H344)*(MAX('Max rate concentrations'!$Q$3:$Q$368)))/F344, 0)</f>
        <v>0.26730938707921104</v>
      </c>
      <c r="O344" s="69">
        <f>((MAX('Max rate concentrations'!$F$3:$F$368))*0.62*6.01*8*(10*F344^0.667)*0.079*0.1/F344)*inputs!$E$80/(10^(0.84+0.62*LOG10(inputs!$E$80)))</f>
        <v>49.609779975561096</v>
      </c>
      <c r="P344" s="69">
        <f>((MAX('Max rate concentrations'!Y:Y))*0.62*6.01*8*(10*F344^0.667)*0.079*0.1/F344)*inputs!$E$80/(10^(0.84+0.62*LOG10(inputs!$E$80)))</f>
        <v>16.536593325187035</v>
      </c>
      <c r="Q344" s="69">
        <f>(inputs!$C$18*11.2*(10*F344^0.667)*0.5/F344)*inputs!$E$80/(10^(0.84+0.62*LOG10(inputs!$E$80)))</f>
        <v>8.7385287542939523</v>
      </c>
      <c r="R344" s="59">
        <f>(60*284*((F344/1000)^0.77)*3*24*(MAX('Max rate concentrations'!$R$3:$R$368))/F344)*(inputs!$E$73*3.4/inputs!$E$75)</f>
        <v>6.5109278884448993E-2</v>
      </c>
      <c r="S344" s="59">
        <f>(IF(inputs!$C$17="aerial",((0.025*0.112*inputs!$C$18/3.3)*(3*60*284*((F344/1000)^0.77))*MAX(inputs!$I$14:$I$16))/F344,((0.0083*0.112*inputs!$C$18/1)*(3*60*284*((F344/1000)^0.77))*MAX(inputs!$I$14:$I$16))/F344))*(inputs!E$75*3.4/inputs!$E$73)</f>
        <v>0.35908167325174545</v>
      </c>
      <c r="T344" s="63">
        <f>IF((((inputs!$P$13/(V344/MAX(K344:S344)))^(1/inputs!$O$13))-1)/inputs!$N$13&lt;0, 0, IF((((inputs!$P$13/(V344/MAX(K344:S344)))^(1/inputs!$O$13))-1)/inputs!$N$13&lt;inputs!$I$17, (((inputs!$P$13/(V344/MAX(K344:S344)))^(1/inputs!$O$13))-1)/inputs!$N$13, inputs!$I$17))</f>
        <v>1000</v>
      </c>
      <c r="U344" s="63">
        <f>IF((((inputs!$P$13/(X344/MAX(K344:S344)))^(1/inputs!$O$13))-1)/inputs!$N$13&lt;0, 0, IF((((inputs!$P$13/(X344/MAX(K344:S344)))^(1/inputs!$O$13))-1)/inputs!$N$13&lt;inputs!$I$17, (((inputs!$P$13/(X344/MAX(K344:S344)))^(1/inputs!$O$13))-1)/inputs!$N$13, inputs!$I$17))</f>
        <v>46.394109433409525</v>
      </c>
      <c r="V344" s="21">
        <f>inputs!$E$78*(F344/inputs!$F$78)^(inputs!$E$84-1)</f>
        <v>3.1276162593456898E-2</v>
      </c>
      <c r="W344" s="21">
        <f>inputs!$E$85*(F344/inputs!$F$85)^(inputs!$E$84-1)</f>
        <v>1.444275572817888</v>
      </c>
      <c r="X344" s="21">
        <f>inputs!$E$80*(F344/inputs!$F$80)^(inputs!$E$84-1)</f>
        <v>5.3931809364718601</v>
      </c>
      <c r="Y344" s="21">
        <f>inputs!$E$82*(F344/inputs!$F$82)^(inputs!$E$84-1)</f>
        <v>2.4856318692694694</v>
      </c>
      <c r="Z344" s="63">
        <f t="shared" si="34"/>
        <v>2774.2898477531785</v>
      </c>
      <c r="AA344" s="63">
        <f t="shared" si="35"/>
        <v>60.077967108736878</v>
      </c>
    </row>
    <row r="345" spans="1:27" x14ac:dyDescent="0.25">
      <c r="A345" s="103" t="s">
        <v>374</v>
      </c>
      <c r="B345" s="20" t="s">
        <v>375</v>
      </c>
      <c r="C345" s="20" t="s">
        <v>73</v>
      </c>
      <c r="D345" s="104" t="s">
        <v>141</v>
      </c>
      <c r="E345" s="15">
        <v>1241</v>
      </c>
      <c r="F345" s="15">
        <v>9.1999999999999993</v>
      </c>
      <c r="G345" s="20" t="s">
        <v>142</v>
      </c>
      <c r="H345" s="20">
        <v>0.69</v>
      </c>
      <c r="I345" s="68">
        <f>MAX('Max rate concentrations'!$H$3:$H$368)</f>
        <v>282</v>
      </c>
      <c r="J345" s="68">
        <f>MAX('Max rate concentrations'!AA:AA)</f>
        <v>195</v>
      </c>
      <c r="K345" s="69">
        <f t="shared" si="33"/>
        <v>259.5388120429854</v>
      </c>
      <c r="L345" s="69">
        <f t="shared" ref="L345:L359" si="37">((0.398*F345^0.85)/(1-H345))*J345/F345</f>
        <v>179.46832747653247</v>
      </c>
      <c r="M345" s="69">
        <f>IF((((1.18*F345^0.874)-(0.301*F345^0.751)/(1-H345)*H345)*(MAX('Max rate concentrations'!$P$3:$P$368)))/F345&gt;0, (((1.18*F345^0.874)-(0.301*F345^0.751)/(1-H345)*H345)*(MAX('Max rate concentrations'!$P$3:$P$368)))/F345, 0)</f>
        <v>0.44121194879568892</v>
      </c>
      <c r="N345" s="69">
        <f>IF((((1.18*F345^0.874)-(0.301*F345^0.751)/(1-H345)*H345)*(MAX('Max rate concentrations'!$Q$3:$Q$368)))/F345&gt;0, (((1.18*F345^0.874)-(0.301*F345^0.751)/(1-H345)*H345)*(MAX('Max rate concentrations'!$Q$3:$Q$368)))/F345, 0)</f>
        <v>1.6801588080754908</v>
      </c>
      <c r="O345" s="69">
        <f>((MAX('Max rate concentrations'!$F$3:$F$368))*0.62*6.01*8*(10*F345^0.667)*0.079*0.1/F345)*inputs!$E$80/(10^(0.84+0.62*LOG10(inputs!$E$80)))</f>
        <v>70.11518419325337</v>
      </c>
      <c r="P345" s="69">
        <f>((MAX('Max rate concentrations'!Y:Y))*0.62*6.01*8*(10*F345^0.667)*0.079*0.1/F345)*inputs!$E$80/(10^(0.84+0.62*LOG10(inputs!$E$80)))</f>
        <v>23.371728064417791</v>
      </c>
      <c r="Q345" s="69">
        <f>(inputs!$C$18*11.2*(10*F345^0.667)*0.5/F345)*inputs!$E$80/(10^(0.84+0.62*LOG10(inputs!$E$80)))</f>
        <v>12.350458991900251</v>
      </c>
      <c r="R345" s="59">
        <f>(60*284*((F345/1000)^0.77)*3*24*(MAX('Max rate concentrations'!$R$3:$R$368))/F345)*(inputs!$E$73*3.4/inputs!$E$75)</f>
        <v>8.2682872307091926E-2</v>
      </c>
      <c r="S345" s="59">
        <f>(IF(inputs!$C$17="aerial",((0.025*0.112*inputs!$C$18/3.3)*(3*60*284*((F345/1000)^0.77))*MAX(inputs!$I$14:$I$16))/F345,((0.0083*0.112*inputs!$C$18/1)*(3*60*284*((F345/1000)^0.77))*MAX(inputs!$I$14:$I$16))/F345))*(inputs!E$75*3.4/inputs!$E$73)</f>
        <v>0.45600112066948822</v>
      </c>
      <c r="T345" s="63">
        <f>IF((((inputs!$P$13/(V345/MAX(K345:S345)))^(1/inputs!$O$13))-1)/inputs!$N$13&lt;0, 0, IF((((inputs!$P$13/(V345/MAX(K345:S345)))^(1/inputs!$O$13))-1)/inputs!$N$13&lt;inputs!$I$17, (((inputs!$P$13/(V345/MAX(K345:S345)))^(1/inputs!$O$13))-1)/inputs!$N$13, inputs!$I$17))</f>
        <v>1000</v>
      </c>
      <c r="U345" s="63">
        <f>IF((((inputs!$P$13/(X345/MAX(K345:S345)))^(1/inputs!$O$13))-1)/inputs!$N$13&lt;0, 0, IF((((inputs!$P$13/(X345/MAX(K345:S345)))^(1/inputs!$O$13))-1)/inputs!$N$13&lt;inputs!$I$17, (((inputs!$P$13/(X345/MAX(K345:S345)))^(1/inputs!$O$13))-1)/inputs!$N$13, inputs!$I$17))</f>
        <v>86.52706068345654</v>
      </c>
      <c r="V345" s="21">
        <f>inputs!$E$78*(F345/inputs!$F$78)^(inputs!$E$84-1)</f>
        <v>4.5935886791004306E-2</v>
      </c>
      <c r="W345" s="21">
        <f>inputs!$E$85*(F345/inputs!$F$85)^(inputs!$E$84-1)</f>
        <v>2.1212346306785999</v>
      </c>
      <c r="X345" s="21">
        <f>inputs!$E$80*(F345/inputs!$F$80)^(inputs!$E$84-1)</f>
        <v>7.9210660259517338</v>
      </c>
      <c r="Y345" s="21">
        <f>inputs!$E$82*(F345/inputs!$F$82)^(inputs!$E$84-1)</f>
        <v>3.6506941607587633</v>
      </c>
      <c r="Z345" s="63">
        <f t="shared" si="34"/>
        <v>5650.0228943835536</v>
      </c>
      <c r="AA345" s="63">
        <f t="shared" si="35"/>
        <v>122.35271303295518</v>
      </c>
    </row>
    <row r="346" spans="1:27" x14ac:dyDescent="0.25">
      <c r="A346" s="103" t="s">
        <v>374</v>
      </c>
      <c r="B346" s="20" t="s">
        <v>375</v>
      </c>
      <c r="C346" s="20" t="s">
        <v>73</v>
      </c>
      <c r="D346" s="104" t="s">
        <v>141</v>
      </c>
      <c r="E346" s="15">
        <v>1241</v>
      </c>
      <c r="F346" s="15">
        <v>9.1999999999999993</v>
      </c>
      <c r="G346" s="20" t="s">
        <v>152</v>
      </c>
      <c r="H346" s="20">
        <v>0.77</v>
      </c>
      <c r="I346" s="68">
        <f>MAX('Max rate concentrations'!$G$3:$G$368)</f>
        <v>45</v>
      </c>
      <c r="J346" s="68">
        <f>MAX('Max rate concentrations'!Z:Z)</f>
        <v>21</v>
      </c>
      <c r="K346" s="69">
        <f t="shared" si="33"/>
        <v>55.821252358921484</v>
      </c>
      <c r="L346" s="69">
        <f t="shared" si="37"/>
        <v>26.049917767496691</v>
      </c>
      <c r="M346" s="69">
        <f>IF((((1.18*F346^0.874)-(0.301*F346^0.751)/(1-H346)*H346)*(MAX('Max rate concentrations'!$P$3:$P$368)))/F346&gt;0, (((1.18*F346^0.874)-(0.301*F346^0.751)/(1-H346)*H346)*(MAX('Max rate concentrations'!$P$3:$P$368)))/F346, 0)</f>
        <v>0.27195512659355719</v>
      </c>
      <c r="N346" s="69">
        <f>IF((((1.18*F346^0.874)-(0.301*F346^0.751)/(1-H346)*H346)*(MAX('Max rate concentrations'!$Q$3:$Q$368)))/F346&gt;0, (((1.18*F346^0.874)-(0.301*F346^0.751)/(1-H346)*H346)*(MAX('Max rate concentrations'!$Q$3:$Q$368)))/F346, 0)</f>
        <v>1.0356197346754967</v>
      </c>
      <c r="O346" s="69">
        <f>((MAX('Max rate concentrations'!$F$3:$F$368))*0.62*6.01*8*(10*F346^0.667)*0.079*0.1/F346)*inputs!$E$80/(10^(0.84+0.62*LOG10(inputs!$E$80)))</f>
        <v>70.11518419325337</v>
      </c>
      <c r="P346" s="69">
        <f>((MAX('Max rate concentrations'!Y:Y))*0.62*6.01*8*(10*F346^0.667)*0.079*0.1/F346)*inputs!$E$80/(10^(0.84+0.62*LOG10(inputs!$E$80)))</f>
        <v>23.371728064417791</v>
      </c>
      <c r="Q346" s="69">
        <f>(inputs!$C$18*11.2*(10*F346^0.667)*0.5/F346)*inputs!$E$80/(10^(0.84+0.62*LOG10(inputs!$E$80)))</f>
        <v>12.350458991900251</v>
      </c>
      <c r="R346" s="59">
        <f>(60*284*((F346/1000)^0.77)*3*24*(MAX('Max rate concentrations'!$R$3:$R$368))/F346)*(inputs!$E$73*3.4/inputs!$E$75)</f>
        <v>8.2682872307091926E-2</v>
      </c>
      <c r="S346" s="59">
        <f>(IF(inputs!$C$17="aerial",((0.025*0.112*inputs!$C$18/3.3)*(3*60*284*((F346/1000)^0.77))*MAX(inputs!$I$14:$I$16))/F346,((0.0083*0.112*inputs!$C$18/1)*(3*60*284*((F346/1000)^0.77))*MAX(inputs!$I$14:$I$16))/F346))*(inputs!E$75*3.4/inputs!$E$73)</f>
        <v>0.45600112066948822</v>
      </c>
      <c r="T346" s="63">
        <f>IF((((inputs!$P$13/(V346/MAX(K346:S346)))^(1/inputs!$O$13))-1)/inputs!$N$13&lt;0, 0, IF((((inputs!$P$13/(V346/MAX(K346:S346)))^(1/inputs!$O$13))-1)/inputs!$N$13&lt;inputs!$I$17, (((inputs!$P$13/(V346/MAX(K346:S346)))^(1/inputs!$O$13))-1)/inputs!$N$13, inputs!$I$17))</f>
        <v>1000</v>
      </c>
      <c r="U346" s="63">
        <f>IF((((inputs!$P$13/(X346/MAX(K346:S346)))^(1/inputs!$O$13))-1)/inputs!$N$13&lt;0, 0, IF((((inputs!$P$13/(X346/MAX(K346:S346)))^(1/inputs!$O$13))-1)/inputs!$N$13&lt;inputs!$I$17, (((inputs!$P$13/(X346/MAX(K346:S346)))^(1/inputs!$O$13))-1)/inputs!$N$13, inputs!$I$17))</f>
        <v>26.613676344170383</v>
      </c>
      <c r="V346" s="21">
        <f>inputs!$E$78*(F346/inputs!$F$78)^(inputs!$E$84-1)</f>
        <v>4.5935886791004306E-2</v>
      </c>
      <c r="W346" s="21">
        <f>inputs!$E$85*(F346/inputs!$F$85)^(inputs!$E$84-1)</f>
        <v>2.1212346306785999</v>
      </c>
      <c r="X346" s="21">
        <f>inputs!$E$80*(F346/inputs!$F$80)^(inputs!$E$84-1)</f>
        <v>7.9210660259517338</v>
      </c>
      <c r="Y346" s="21">
        <f>inputs!$E$82*(F346/inputs!$F$82)^(inputs!$E$84-1)</f>
        <v>3.6506941607587633</v>
      </c>
      <c r="Z346" s="63">
        <f t="shared" si="34"/>
        <v>1526.3705370978955</v>
      </c>
      <c r="AA346" s="63">
        <f t="shared" si="35"/>
        <v>33.053950364190953</v>
      </c>
    </row>
    <row r="347" spans="1:27" x14ac:dyDescent="0.25">
      <c r="A347" s="103" t="s">
        <v>374</v>
      </c>
      <c r="B347" s="20" t="s">
        <v>375</v>
      </c>
      <c r="C347" s="20" t="s">
        <v>73</v>
      </c>
      <c r="D347" s="104" t="s">
        <v>141</v>
      </c>
      <c r="E347" s="15">
        <v>1241</v>
      </c>
      <c r="F347" s="15">
        <v>9.1999999999999993</v>
      </c>
      <c r="G347" s="20" t="s">
        <v>153</v>
      </c>
      <c r="H347" s="20">
        <v>0.7</v>
      </c>
      <c r="I347" s="68">
        <f>MAX('Max rate concentrations'!$E$3:$E$368)</f>
        <v>330</v>
      </c>
      <c r="J347" s="68">
        <f>MAX('Max rate concentrations'!X:X)</f>
        <v>108</v>
      </c>
      <c r="K347" s="69">
        <f t="shared" si="33"/>
        <v>313.83948548460296</v>
      </c>
      <c r="L347" s="69">
        <f t="shared" si="37"/>
        <v>102.71110434041552</v>
      </c>
      <c r="M347" s="69">
        <f>IF((((1.18*F347^0.874)-(0.301*F347^0.751)/(1-H347)*H347)*(MAX('Max rate concentrations'!$P$3:$P$368)))/F347&gt;0, (((1.18*F347^0.874)-(0.301*F347^0.751)/(1-H347)*H347)*(MAX('Max rate concentrations'!$P$3:$P$368)))/F347, 0)</f>
        <v>0.4249915033346513</v>
      </c>
      <c r="N347" s="69">
        <f>IF((((1.18*F347^0.874)-(0.301*F347^0.751)/(1-H347)*H347)*(MAX('Max rate concentrations'!$Q$3:$Q$368)))/F347&gt;0, (((1.18*F347^0.874)-(0.301*F347^0.751)/(1-H347)*H347)*(MAX('Max rate concentrations'!$Q$3:$Q$368)))/F347, 0)</f>
        <v>1.6183904802079914</v>
      </c>
      <c r="O347" s="69">
        <f>((MAX('Max rate concentrations'!$F$3:$F$368))*0.62*6.01*8*(10*F347^0.667)*0.079*0.1/F347)*inputs!$E$80/(10^(0.84+0.62*LOG10(inputs!$E$80)))</f>
        <v>70.11518419325337</v>
      </c>
      <c r="P347" s="69">
        <f>((MAX('Max rate concentrations'!Y:Y))*0.62*6.01*8*(10*F347^0.667)*0.079*0.1/F347)*inputs!$E$80/(10^(0.84+0.62*LOG10(inputs!$E$80)))</f>
        <v>23.371728064417791</v>
      </c>
      <c r="Q347" s="69">
        <f>(inputs!$C$18*11.2*(10*F347^0.667)*0.5/F347)*inputs!$E$80/(10^(0.84+0.62*LOG10(inputs!$E$80)))</f>
        <v>12.350458991900251</v>
      </c>
      <c r="R347" s="59">
        <f>(60*284*((F347/1000)^0.77)*3*24*(MAX('Max rate concentrations'!$R$3:$R$368))/F347)*(inputs!$E$73*3.4/inputs!$E$75)</f>
        <v>8.2682872307091926E-2</v>
      </c>
      <c r="S347" s="59">
        <f>(IF(inputs!$C$17="aerial",((0.025*0.112*inputs!$C$18/3.3)*(3*60*284*((F347/1000)^0.77))*MAX(inputs!$I$14:$I$16))/F347,((0.0083*0.112*inputs!$C$18/1)*(3*60*284*((F347/1000)^0.77))*MAX(inputs!$I$14:$I$16))/F347))*(inputs!E$75*3.4/inputs!$E$73)</f>
        <v>0.45600112066948822</v>
      </c>
      <c r="T347" s="63">
        <f>IF((((inputs!$P$13/(V347/MAX(K347:S347)))^(1/inputs!$O$13))-1)/inputs!$N$13&lt;0, 0, IF((((inputs!$P$13/(V347/MAX(K347:S347)))^(1/inputs!$O$13))-1)/inputs!$N$13&lt;inputs!$I$17, (((inputs!$P$13/(V347/MAX(K347:S347)))^(1/inputs!$O$13))-1)/inputs!$N$13, inputs!$I$17))</f>
        <v>1000</v>
      </c>
      <c r="U347" s="63">
        <f>IF((((inputs!$P$13/(X347/MAX(K347:S347)))^(1/inputs!$O$13))-1)/inputs!$N$13&lt;0, 0, IF((((inputs!$P$13/(X347/MAX(K347:S347)))^(1/inputs!$O$13))-1)/inputs!$N$13&lt;inputs!$I$17, (((inputs!$P$13/(X347/MAX(K347:S347)))^(1/inputs!$O$13))-1)/inputs!$N$13, inputs!$I$17))</f>
        <v>101.76344811485144</v>
      </c>
      <c r="V347" s="21">
        <f>inputs!$E$78*(F347/inputs!$F$78)^(inputs!$E$84-1)</f>
        <v>4.5935886791004306E-2</v>
      </c>
      <c r="W347" s="21">
        <f>inputs!$E$85*(F347/inputs!$F$85)^(inputs!$E$84-1)</f>
        <v>2.1212346306785999</v>
      </c>
      <c r="X347" s="21">
        <f>inputs!$E$80*(F347/inputs!$F$80)^(inputs!$E$84-1)</f>
        <v>7.9210660259517338</v>
      </c>
      <c r="Y347" s="21">
        <f>inputs!$E$82*(F347/inputs!$F$82)^(inputs!$E$84-1)</f>
        <v>3.6506941607587633</v>
      </c>
      <c r="Z347" s="63">
        <f t="shared" si="34"/>
        <v>6832.1198829247951</v>
      </c>
      <c r="AA347" s="63">
        <f t="shared" si="35"/>
        <v>147.95133029871533</v>
      </c>
    </row>
    <row r="348" spans="1:27" x14ac:dyDescent="0.25">
      <c r="A348" s="103" t="s">
        <v>374</v>
      </c>
      <c r="B348" s="20" t="s">
        <v>375</v>
      </c>
      <c r="C348" s="20" t="s">
        <v>73</v>
      </c>
      <c r="D348" s="104" t="s">
        <v>141</v>
      </c>
      <c r="E348" s="15">
        <v>1241</v>
      </c>
      <c r="F348" s="15">
        <v>9.1999999999999993</v>
      </c>
      <c r="G348" s="20" t="s">
        <v>154</v>
      </c>
      <c r="H348" s="20">
        <v>9.2999999999999999E-2</v>
      </c>
      <c r="I348" s="68">
        <f>MAX('Max rate concentrations'!$G$3:$G$368)</f>
        <v>45</v>
      </c>
      <c r="J348" s="68">
        <f>MAX('Max rate concentrations'!Z:Z)</f>
        <v>21</v>
      </c>
      <c r="K348" s="69">
        <f t="shared" si="33"/>
        <v>14.155334115272261</v>
      </c>
      <c r="L348" s="69">
        <f t="shared" si="37"/>
        <v>6.6058225871270553</v>
      </c>
      <c r="M348" s="69">
        <f>IF((((1.18*F348^0.874)-(0.301*F348^0.751)/(1-H348)*H348)*(MAX('Max rate concentrations'!$P$3:$P$368)))/F348&gt;0, (((1.18*F348^0.874)-(0.301*F348^0.751)/(1-H348)*H348)*(MAX('Max rate concentrations'!$P$3:$P$368)))/F348, 0)</f>
        <v>0.76150762487858148</v>
      </c>
      <c r="N348" s="69">
        <f>IF((((1.18*F348^0.874)-(0.301*F348^0.751)/(1-H348)*H348)*(MAX('Max rate concentrations'!$Q$3:$Q$368)))/F348&gt;0, (((1.18*F348^0.874)-(0.301*F348^0.751)/(1-H348)*H348)*(MAX('Max rate concentrations'!$Q$3:$Q$368)))/F348, 0)</f>
        <v>2.8998619526255607</v>
      </c>
      <c r="O348" s="69">
        <f>((MAX('Max rate concentrations'!$F$3:$F$368))*0.62*6.01*8*(10*F348^0.667)*0.079*0.1/F348)*inputs!$E$80/(10^(0.84+0.62*LOG10(inputs!$E$80)))</f>
        <v>70.11518419325337</v>
      </c>
      <c r="P348" s="69">
        <f>((MAX('Max rate concentrations'!Y:Y))*0.62*6.01*8*(10*F348^0.667)*0.079*0.1/F348)*inputs!$E$80/(10^(0.84+0.62*LOG10(inputs!$E$80)))</f>
        <v>23.371728064417791</v>
      </c>
      <c r="Q348" s="69">
        <f>(inputs!$C$18*11.2*(10*F348^0.667)*0.5/F348)*inputs!$E$80/(10^(0.84+0.62*LOG10(inputs!$E$80)))</f>
        <v>12.350458991900251</v>
      </c>
      <c r="R348" s="59">
        <f>(60*284*((F348/1000)^0.77)*3*24*(MAX('Max rate concentrations'!$R$3:$R$368))/F348)*(inputs!$E$73*3.4/inputs!$E$75)</f>
        <v>8.2682872307091926E-2</v>
      </c>
      <c r="S348" s="59">
        <f>(IF(inputs!$C$17="aerial",((0.025*0.112*inputs!$C$18/3.3)*(3*60*284*((F348/1000)^0.77))*MAX(inputs!$I$14:$I$16))/F348,((0.0083*0.112*inputs!$C$18/1)*(3*60*284*((F348/1000)^0.77))*MAX(inputs!$I$14:$I$16))/F348))*(inputs!E$75*3.4/inputs!$E$73)</f>
        <v>0.45600112066948822</v>
      </c>
      <c r="T348" s="63">
        <f>IF((((inputs!$P$13/(V348/MAX(K348:S348)))^(1/inputs!$O$13))-1)/inputs!$N$13&lt;0, 0, IF((((inputs!$P$13/(V348/MAX(K348:S348)))^(1/inputs!$O$13))-1)/inputs!$N$13&lt;inputs!$I$17, (((inputs!$P$13/(V348/MAX(K348:S348)))^(1/inputs!$O$13))-1)/inputs!$N$13, inputs!$I$17))</f>
        <v>1000</v>
      </c>
      <c r="U348" s="63">
        <f>IF((((inputs!$P$13/(X348/MAX(K348:S348)))^(1/inputs!$O$13))-1)/inputs!$N$13&lt;0, 0, IF((((inputs!$P$13/(X348/MAX(K348:S348)))^(1/inputs!$O$13))-1)/inputs!$N$13&lt;inputs!$I$17, (((inputs!$P$13/(X348/MAX(K348:S348)))^(1/inputs!$O$13))-1)/inputs!$N$13, inputs!$I$17))</f>
        <v>26.613676344170383</v>
      </c>
      <c r="V348" s="21">
        <f>inputs!$E$78*(F348/inputs!$F$78)^(inputs!$E$84-1)</f>
        <v>4.5935886791004306E-2</v>
      </c>
      <c r="W348" s="21">
        <f>inputs!$E$85*(F348/inputs!$F$85)^(inputs!$E$84-1)</f>
        <v>2.1212346306785999</v>
      </c>
      <c r="X348" s="21">
        <f>inputs!$E$80*(F348/inputs!$F$80)^(inputs!$E$84-1)</f>
        <v>7.9210660259517338</v>
      </c>
      <c r="Y348" s="21">
        <f>inputs!$E$82*(F348/inputs!$F$82)^(inputs!$E$84-1)</f>
        <v>3.6506941607587633</v>
      </c>
      <c r="Z348" s="63">
        <f t="shared" si="34"/>
        <v>1526.3705370978955</v>
      </c>
      <c r="AA348" s="63">
        <f t="shared" si="35"/>
        <v>33.053950364190953</v>
      </c>
    </row>
    <row r="349" spans="1:27" x14ac:dyDescent="0.25">
      <c r="A349" s="103" t="s">
        <v>267</v>
      </c>
      <c r="B349" s="20" t="s">
        <v>268</v>
      </c>
      <c r="C349" s="20" t="s">
        <v>73</v>
      </c>
      <c r="D349" s="104" t="s">
        <v>141</v>
      </c>
      <c r="E349" s="15">
        <v>115</v>
      </c>
      <c r="F349" s="15">
        <v>45</v>
      </c>
      <c r="G349" s="20" t="s">
        <v>142</v>
      </c>
      <c r="H349" s="20">
        <v>0.69</v>
      </c>
      <c r="I349" s="68">
        <f>MAX('Max rate concentrations'!$H$3:$H$368)</f>
        <v>282</v>
      </c>
      <c r="J349" s="68">
        <f>MAX('Max rate concentrations'!AA:AA)</f>
        <v>195</v>
      </c>
      <c r="K349" s="69">
        <f t="shared" si="33"/>
        <v>204.54487831670812</v>
      </c>
      <c r="L349" s="69">
        <f t="shared" si="37"/>
        <v>141.44060734665987</v>
      </c>
      <c r="M349" s="69">
        <f>IF((((1.18*F349^0.874)-(0.301*F349^0.751)/(1-H349)*H349)*(MAX('Max rate concentrations'!$P$3:$P$368)))/F349&gt;0, (((1.18*F349^0.874)-(0.301*F349^0.751)/(1-H349)*H349)*(MAX('Max rate concentrations'!$P$3:$P$368)))/F349, 0)</f>
        <v>0.40998658260349108</v>
      </c>
      <c r="N349" s="69">
        <f>IF((((1.18*F349^0.874)-(0.301*F349^0.751)/(1-H349)*H349)*(MAX('Max rate concentrations'!$Q$3:$Q$368)))/F349&gt;0, (((1.18*F349^0.874)-(0.301*F349^0.751)/(1-H349)*H349)*(MAX('Max rate concentrations'!$Q$3:$Q$368)))/F349, 0)</f>
        <v>1.5612509358240572</v>
      </c>
      <c r="O349" s="69">
        <f>((MAX('Max rate concentrations'!$F$3:$F$368))*0.62*6.01*8*(10*F349^0.667)*0.079*0.1/F349)*inputs!$E$80/(10^(0.84+0.62*LOG10(inputs!$E$80)))</f>
        <v>41.326978919025656</v>
      </c>
      <c r="P349" s="69">
        <f>((MAX('Max rate concentrations'!Y:Y))*0.62*6.01*8*(10*F349^0.667)*0.079*0.1/F349)*inputs!$E$80/(10^(0.84+0.62*LOG10(inputs!$E$80)))</f>
        <v>13.775659639675224</v>
      </c>
      <c r="Q349" s="69">
        <f>(inputs!$C$18*11.2*(10*F349^0.667)*0.5/F349)*inputs!$E$80/(10^(0.84+0.62*LOG10(inputs!$E$80)))</f>
        <v>7.2795524146631987</v>
      </c>
      <c r="R349" s="59">
        <f>(60*284*((F349/1000)^0.77)*3*24*(MAX('Max rate concentrations'!$R$3:$R$368))/F349)*(inputs!$E$73*3.4/inputs!$E$75)</f>
        <v>5.7391539841556323E-2</v>
      </c>
      <c r="S349" s="59">
        <f>(IF(inputs!$C$17="aerial",((0.025*0.112*inputs!$C$18/3.3)*(3*60*284*((F349/1000)^0.77))*MAX(inputs!$I$14:$I$16))/F349,((0.0083*0.112*inputs!$C$18/1)*(3*60*284*((F349/1000)^0.77))*MAX(inputs!$I$14:$I$16))/F349))*(inputs!E$75*3.4/inputs!$E$73)</f>
        <v>0.31651786826535461</v>
      </c>
      <c r="T349" s="63">
        <f>IF((((inputs!$P$13/(V349/MAX(K349:S349)))^(1/inputs!$O$13))-1)/inputs!$N$13&lt;0, 0, IF((((inputs!$P$13/(V349/MAX(K349:S349)))^(1/inputs!$O$13))-1)/inputs!$N$13&lt;inputs!$I$17, (((inputs!$P$13/(V349/MAX(K349:S349)))^(1/inputs!$O$13))-1)/inputs!$N$13, inputs!$I$17))</f>
        <v>1000</v>
      </c>
      <c r="U349" s="63">
        <f>IF((((inputs!$P$13/(X349/MAX(K349:S349)))^(1/inputs!$O$13))-1)/inputs!$N$13&lt;0, 0, IF((((inputs!$P$13/(X349/MAX(K349:S349)))^(1/inputs!$O$13))-1)/inputs!$N$13&lt;inputs!$I$17, (((inputs!$P$13/(X349/MAX(K349:S349)))^(1/inputs!$O$13))-1)/inputs!$N$13, inputs!$I$17))</f>
        <v>116.46985104810081</v>
      </c>
      <c r="V349" s="21">
        <f>inputs!$E$78*(F349/inputs!$F$78)^(inputs!$E$84-1)</f>
        <v>2.5530832177025353E-2</v>
      </c>
      <c r="W349" s="21">
        <f>inputs!$E$85*(F349/inputs!$F$85)^(inputs!$E$84-1)</f>
        <v>1.1789667980145604</v>
      </c>
      <c r="X349" s="21">
        <f>inputs!$E$80*(F349/inputs!$F$80)^(inputs!$E$84-1)</f>
        <v>4.4024709546113323</v>
      </c>
      <c r="Y349" s="21">
        <f>inputs!$E$82*(F349/inputs!$F$82)^(inputs!$E$84-1)</f>
        <v>2.0290292940688568</v>
      </c>
      <c r="Z349" s="63">
        <f t="shared" si="34"/>
        <v>8011.680813944391</v>
      </c>
      <c r="AA349" s="63">
        <f t="shared" si="35"/>
        <v>173.49502858025519</v>
      </c>
    </row>
    <row r="350" spans="1:27" x14ac:dyDescent="0.25">
      <c r="A350" s="103" t="s">
        <v>267</v>
      </c>
      <c r="B350" s="20" t="s">
        <v>268</v>
      </c>
      <c r="C350" s="20" t="s">
        <v>73</v>
      </c>
      <c r="D350" s="104" t="s">
        <v>141</v>
      </c>
      <c r="E350" s="15">
        <v>115</v>
      </c>
      <c r="F350" s="15">
        <v>45</v>
      </c>
      <c r="G350" s="20" t="s">
        <v>138</v>
      </c>
      <c r="H350" s="20">
        <v>0.68</v>
      </c>
      <c r="I350" s="68">
        <f>MAX('Max rate concentrations'!$L$3:$L$368)</f>
        <v>350.52744091332482</v>
      </c>
      <c r="J350" s="68">
        <f>MAX('Max rate concentrations'!AD:AD)</f>
        <v>242.38599637623525</v>
      </c>
      <c r="K350" s="69">
        <f t="shared" si="33"/>
        <v>246.30500611666417</v>
      </c>
      <c r="L350" s="69">
        <f t="shared" si="37"/>
        <v>170.31729146365078</v>
      </c>
      <c r="M350" s="69">
        <f>IF((((1.18*F350^0.874)-(0.301*F350^0.751)/(1-H350)*H350)*(MAX('Max rate concentrations'!$P$3:$P$368)))/F350&gt;0, (((1.18*F350^0.874)-(0.301*F350^0.751)/(1-H350)*H350)*(MAX('Max rate concentrations'!$P$3:$P$368)))/F350, 0)</f>
        <v>0.42022817073382124</v>
      </c>
      <c r="N350" s="69">
        <f>IF((((1.18*F350^0.874)-(0.301*F350^0.751)/(1-H350)*H350)*(MAX('Max rate concentrations'!$Q$3:$Q$368)))/F350&gt;0, (((1.18*F350^0.874)-(0.301*F350^0.751)/(1-H350)*H350)*(MAX('Max rate concentrations'!$Q$3:$Q$368)))/F350, 0)</f>
        <v>1.6002514537221431</v>
      </c>
      <c r="O350" s="69">
        <f>((MAX('Max rate concentrations'!$F$3:$F$368))*0.62*6.01*8*(10*F350^0.667)*0.079*0.1/F350)*inputs!$E$80/(10^(0.84+0.62*LOG10(inputs!$E$80)))</f>
        <v>41.326978919025656</v>
      </c>
      <c r="P350" s="69">
        <f>((MAX('Max rate concentrations'!Y:Y))*0.62*6.01*8*(10*F350^0.667)*0.079*0.1/F350)*inputs!$E$80/(10^(0.84+0.62*LOG10(inputs!$E$80)))</f>
        <v>13.775659639675224</v>
      </c>
      <c r="Q350" s="69">
        <f>(inputs!$C$18*11.2*(10*F350^0.667)*0.5/F350)*inputs!$E$80/(10^(0.84+0.62*LOG10(inputs!$E$80)))</f>
        <v>7.2795524146631987</v>
      </c>
      <c r="R350" s="59">
        <f>(60*284*((F350/1000)^0.77)*3*24*(MAX('Max rate concentrations'!$R$3:$R$368))/F350)*(inputs!$E$73*3.4/inputs!$E$75)</f>
        <v>5.7391539841556323E-2</v>
      </c>
      <c r="S350" s="59">
        <f>(IF(inputs!$C$17="aerial",((0.025*0.112*inputs!$C$18/3.3)*(3*60*284*((F350/1000)^0.77))*MAX(inputs!$I$14:$I$16))/F350,((0.0083*0.112*inputs!$C$18/1)*(3*60*284*((F350/1000)^0.77))*MAX(inputs!$I$14:$I$16))/F350))*(inputs!E$75*3.4/inputs!$E$73)</f>
        <v>0.31651786826535461</v>
      </c>
      <c r="T350" s="63">
        <f>IF((((inputs!$P$13/(V350/MAX(K350:S350)))^(1/inputs!$O$13))-1)/inputs!$N$13&lt;0, 0, IF((((inputs!$P$13/(V350/MAX(K350:S350)))^(1/inputs!$O$13))-1)/inputs!$N$13&lt;inputs!$I$17, (((inputs!$P$13/(V350/MAX(K350:S350)))^(1/inputs!$O$13))-1)/inputs!$N$13, inputs!$I$17))</f>
        <v>1000</v>
      </c>
      <c r="U350" s="63">
        <f>IF((((inputs!$P$13/(X350/MAX(K350:S350)))^(1/inputs!$O$13))-1)/inputs!$N$13&lt;0, 0, IF((((inputs!$P$13/(X350/MAX(K350:S350)))^(1/inputs!$O$13))-1)/inputs!$N$13&lt;inputs!$I$17, (((inputs!$P$13/(X350/MAX(K350:S350)))^(1/inputs!$O$13))-1)/inputs!$N$13, inputs!$I$17))</f>
        <v>136.19816326160662</v>
      </c>
      <c r="V350" s="21">
        <f>inputs!$E$78*(F350/inputs!$F$78)^(inputs!$E$84-1)</f>
        <v>2.5530832177025353E-2</v>
      </c>
      <c r="W350" s="21">
        <f>inputs!$E$85*(F350/inputs!$F$85)^(inputs!$E$84-1)</f>
        <v>1.1789667980145604</v>
      </c>
      <c r="X350" s="21">
        <f>inputs!$E$80*(F350/inputs!$F$80)^(inputs!$E$84-1)</f>
        <v>4.4024709546113323</v>
      </c>
      <c r="Y350" s="21">
        <f>inputs!$E$82*(F350/inputs!$F$82)^(inputs!$E$84-1)</f>
        <v>2.0290292940688568</v>
      </c>
      <c r="Z350" s="63">
        <f t="shared" si="34"/>
        <v>9647.3551825039522</v>
      </c>
      <c r="AA350" s="63">
        <f t="shared" si="35"/>
        <v>208.91598179987278</v>
      </c>
    </row>
    <row r="351" spans="1:27" x14ac:dyDescent="0.25">
      <c r="A351" s="103" t="s">
        <v>267</v>
      </c>
      <c r="B351" s="20" t="s">
        <v>268</v>
      </c>
      <c r="C351" s="20" t="s">
        <v>73</v>
      </c>
      <c r="D351" s="104" t="s">
        <v>141</v>
      </c>
      <c r="E351" s="15">
        <v>115</v>
      </c>
      <c r="F351" s="15">
        <v>45</v>
      </c>
      <c r="G351" s="21" t="s">
        <v>456</v>
      </c>
      <c r="H351" s="20">
        <v>0.68</v>
      </c>
      <c r="I351" s="68">
        <f>MAX('Max rate concentrations'!$J$3:$J$368)</f>
        <v>686.46486205830786</v>
      </c>
      <c r="J351" s="68">
        <f>MAX('Max rate concentrations'!AB:AB)</f>
        <v>243.122971978984</v>
      </c>
      <c r="K351" s="69">
        <f t="shared" si="33"/>
        <v>482.35804765412081</v>
      </c>
      <c r="L351" s="69">
        <f t="shared" si="37"/>
        <v>170.83514187750109</v>
      </c>
      <c r="M351" s="69">
        <f>IF((((1.18*F351^0.874)-(0.301*F351^0.751)/(1-H351)*H351)*(MAX('Max rate concentrations'!$P$3:$P$368)))/F351&gt;0, (((1.18*F351^0.874)-(0.301*F351^0.751)/(1-H351)*H351)*(MAX('Max rate concentrations'!$P$3:$P$368)))/F351, 0)</f>
        <v>0.42022817073382124</v>
      </c>
      <c r="N351" s="69">
        <f>IF((((1.18*F351^0.874)-(0.301*F351^0.751)/(1-H351)*H351)*(MAX('Max rate concentrations'!$Q$3:$Q$368)))/F351&gt;0, (((1.18*F351^0.874)-(0.301*F351^0.751)/(1-H351)*H351)*(MAX('Max rate concentrations'!$Q$3:$Q$368)))/F351, 0)</f>
        <v>1.6002514537221431</v>
      </c>
      <c r="O351" s="69">
        <f>((MAX('Max rate concentrations'!$F$3:$F$368))*0.62*6.01*8*(10*F351^0.667)*0.079*0.1/F351)*inputs!$E$80/(10^(0.84+0.62*LOG10(inputs!$E$80)))</f>
        <v>41.326978919025656</v>
      </c>
      <c r="P351" s="69">
        <f>((MAX('Max rate concentrations'!Y:Y))*0.62*6.01*8*(10*F351^0.667)*0.079*0.1/F351)*inputs!$E$80/(10^(0.84+0.62*LOG10(inputs!$E$80)))</f>
        <v>13.775659639675224</v>
      </c>
      <c r="Q351" s="69">
        <f>(inputs!$C$18*11.2*(10*F351^0.667)*0.5/F351)*inputs!$E$80/(10^(0.84+0.62*LOG10(inputs!$E$80)))</f>
        <v>7.2795524146631987</v>
      </c>
      <c r="R351" s="59">
        <f>(60*284*((F351/1000)^0.77)*3*24*(MAX('Max rate concentrations'!$R$3:$R$368))/F351)*(inputs!$E$73*3.4/inputs!$E$75)</f>
        <v>5.7391539841556323E-2</v>
      </c>
      <c r="S351" s="59">
        <f>(IF(inputs!$C$17="aerial",((0.025*0.112*inputs!$C$18/3.3)*(3*60*284*((F351/1000)^0.77))*MAX(inputs!$I$14:$I$16))/F351,((0.0083*0.112*inputs!$C$18/1)*(3*60*284*((F351/1000)^0.77))*MAX(inputs!$I$14:$I$16))/F351))*(inputs!E$75*3.4/inputs!$E$73)</f>
        <v>0.31651786826535461</v>
      </c>
      <c r="T351" s="63">
        <f>IF((((inputs!$P$13/(V351/MAX(K351:S351)))^(1/inputs!$O$13))-1)/inputs!$N$13&lt;0, 0, IF((((inputs!$P$13/(V351/MAX(K351:S351)))^(1/inputs!$O$13))-1)/inputs!$N$13&lt;inputs!$I$17, (((inputs!$P$13/(V351/MAX(K351:S351)))^(1/inputs!$O$13))-1)/inputs!$N$13, inputs!$I$17))</f>
        <v>1000</v>
      </c>
      <c r="U351" s="63">
        <f>IF((((inputs!$P$13/(X351/MAX(K351:S351)))^(1/inputs!$O$13))-1)/inputs!$N$13&lt;0, 0, IF((((inputs!$P$13/(X351/MAX(K351:S351)))^(1/inputs!$O$13))-1)/inputs!$N$13&lt;inputs!$I$17, (((inputs!$P$13/(X351/MAX(K351:S351)))^(1/inputs!$O$13))-1)/inputs!$N$13, inputs!$I$17))</f>
        <v>238.31544037669275</v>
      </c>
      <c r="V351" s="21">
        <f>inputs!$E$78*(F351/inputs!$F$78)^(inputs!$E$84-1)</f>
        <v>2.5530832177025353E-2</v>
      </c>
      <c r="W351" s="21">
        <f>inputs!$E$85*(F351/inputs!$F$85)^(inputs!$E$84-1)</f>
        <v>1.1789667980145604</v>
      </c>
      <c r="X351" s="21">
        <f>inputs!$E$80*(F351/inputs!$F$80)^(inputs!$E$84-1)</f>
        <v>4.4024709546113323</v>
      </c>
      <c r="Y351" s="21">
        <f>inputs!$E$82*(F351/inputs!$F$82)^(inputs!$E$84-1)</f>
        <v>2.0290292940688568</v>
      </c>
      <c r="Z351" s="63">
        <f t="shared" si="34"/>
        <v>18893.15805726789</v>
      </c>
      <c r="AA351" s="63">
        <f t="shared" si="35"/>
        <v>409.13624409647167</v>
      </c>
    </row>
    <row r="352" spans="1:27" x14ac:dyDescent="0.25">
      <c r="A352" s="103" t="s">
        <v>267</v>
      </c>
      <c r="B352" s="20" t="s">
        <v>268</v>
      </c>
      <c r="C352" s="20" t="s">
        <v>73</v>
      </c>
      <c r="D352" s="104" t="s">
        <v>141</v>
      </c>
      <c r="E352" s="15">
        <v>115</v>
      </c>
      <c r="F352" s="15">
        <v>45</v>
      </c>
      <c r="G352" s="20" t="s">
        <v>145</v>
      </c>
      <c r="H352" s="20">
        <v>0.66</v>
      </c>
      <c r="I352" s="68">
        <f>MAX('Max rate concentrations'!$M$3:$M$368)</f>
        <v>17.092910873809167</v>
      </c>
      <c r="J352" s="68">
        <f>MAX('Max rate concentrations'!AE:AE)</f>
        <v>11.81956602976166</v>
      </c>
      <c r="K352" s="69">
        <f t="shared" si="33"/>
        <v>11.304160264665274</v>
      </c>
      <c r="L352" s="69">
        <f t="shared" si="37"/>
        <v>7.8167065659919457</v>
      </c>
      <c r="M352" s="69">
        <f>IF((((1.18*F352^0.874)-(0.301*F352^0.751)/(1-H352)*H352)*(MAX('Max rate concentrations'!$P$3:$P$368)))/F352&gt;0, (((1.18*F352^0.874)-(0.301*F352^0.751)/(1-H352)*H352)*(MAX('Max rate concentrations'!$P$3:$P$368)))/F352, 0)</f>
        <v>0.43890400791265882</v>
      </c>
      <c r="N352" s="69">
        <f>IF((((1.18*F352^0.874)-(0.301*F352^0.751)/(1-H352)*H352)*(MAX('Max rate concentrations'!$Q$3:$Q$368)))/F352&gt;0, (((1.18*F352^0.874)-(0.301*F352^0.751)/(1-H352)*H352)*(MAX('Max rate concentrations'!$Q$3:$Q$368)))/F352, 0)</f>
        <v>1.6713700451833593</v>
      </c>
      <c r="O352" s="69">
        <f>((MAX('Max rate concentrations'!$F$3:$F$368))*0.62*6.01*8*(10*F352^0.667)*0.079*0.1/F352)*inputs!$E$80/(10^(0.84+0.62*LOG10(inputs!$E$80)))</f>
        <v>41.326978919025656</v>
      </c>
      <c r="P352" s="69">
        <f>((MAX('Max rate concentrations'!Y:Y))*0.62*6.01*8*(10*F352^0.667)*0.079*0.1/F352)*inputs!$E$80/(10^(0.84+0.62*LOG10(inputs!$E$80)))</f>
        <v>13.775659639675224</v>
      </c>
      <c r="Q352" s="69">
        <f>(inputs!$C$18*11.2*(10*F352^0.667)*0.5/F352)*inputs!$E$80/(10^(0.84+0.62*LOG10(inputs!$E$80)))</f>
        <v>7.2795524146631987</v>
      </c>
      <c r="R352" s="59">
        <f>(60*284*((F352/1000)^0.77)*3*24*(MAX('Max rate concentrations'!$R$3:$R$368))/F352)*(inputs!$E$73*3.4/inputs!$E$75)</f>
        <v>5.7391539841556323E-2</v>
      </c>
      <c r="S352" s="59">
        <f>(IF(inputs!$C$17="aerial",((0.025*0.112*inputs!$C$18/3.3)*(3*60*284*((F352/1000)^0.77))*MAX(inputs!$I$14:$I$16))/F352,((0.0083*0.112*inputs!$C$18/1)*(3*60*284*((F352/1000)^0.77))*MAX(inputs!$I$14:$I$16))/F352))*(inputs!E$75*3.4/inputs!$E$73)</f>
        <v>0.31651786826535461</v>
      </c>
      <c r="T352" s="63">
        <f>IF((((inputs!$P$13/(V352/MAX(K352:S352)))^(1/inputs!$O$13))-1)/inputs!$N$13&lt;0, 0, IF((((inputs!$P$13/(V352/MAX(K352:S352)))^(1/inputs!$O$13))-1)/inputs!$N$13&lt;inputs!$I$17, (((inputs!$P$13/(V352/MAX(K352:S352)))^(1/inputs!$O$13))-1)/inputs!$N$13, inputs!$I$17))</f>
        <v>1000</v>
      </c>
      <c r="U352" s="63">
        <f>IF((((inputs!$P$13/(X352/MAX(K352:S352)))^(1/inputs!$O$13))-1)/inputs!$N$13&lt;0, 0, IF((((inputs!$P$13/(X352/MAX(K352:S352)))^(1/inputs!$O$13))-1)/inputs!$N$13&lt;inputs!$I$17, (((inputs!$P$13/(X352/MAX(K352:S352)))^(1/inputs!$O$13))-1)/inputs!$N$13, inputs!$I$17))</f>
        <v>28.162555379057917</v>
      </c>
      <c r="V352" s="21">
        <f>inputs!$E$78*(F352/inputs!$F$78)^(inputs!$E$84-1)</f>
        <v>2.5530832177025353E-2</v>
      </c>
      <c r="W352" s="21">
        <f>inputs!$E$85*(F352/inputs!$F$85)^(inputs!$E$84-1)</f>
        <v>1.1789667980145604</v>
      </c>
      <c r="X352" s="21">
        <f>inputs!$E$80*(F352/inputs!$F$80)^(inputs!$E$84-1)</f>
        <v>4.4024709546113323</v>
      </c>
      <c r="Y352" s="21">
        <f>inputs!$E$82*(F352/inputs!$F$82)^(inputs!$E$84-1)</f>
        <v>2.0290292940688568</v>
      </c>
      <c r="Z352" s="63">
        <f t="shared" si="34"/>
        <v>1618.708651268129</v>
      </c>
      <c r="AA352" s="63">
        <f t="shared" si="35"/>
        <v>35.053556205842582</v>
      </c>
    </row>
    <row r="353" spans="1:27" x14ac:dyDescent="0.25">
      <c r="A353" s="103" t="s">
        <v>167</v>
      </c>
      <c r="B353" s="20" t="s">
        <v>168</v>
      </c>
      <c r="C353" s="20" t="s">
        <v>73</v>
      </c>
      <c r="D353" s="104" t="s">
        <v>141</v>
      </c>
      <c r="E353" s="15">
        <v>116</v>
      </c>
      <c r="F353" s="15">
        <v>16.8</v>
      </c>
      <c r="G353" s="20" t="s">
        <v>142</v>
      </c>
      <c r="H353" s="20">
        <v>0.69</v>
      </c>
      <c r="I353" s="68">
        <f>MAX('Max rate concentrations'!$H$3:$H$368)</f>
        <v>282</v>
      </c>
      <c r="J353" s="68">
        <f>MAX('Max rate concentrations'!AA:AA)</f>
        <v>195</v>
      </c>
      <c r="K353" s="69">
        <f t="shared" ref="K353:K369" si="38">((0.398*F353^0.85)/(1-H353))*I353/F353</f>
        <v>237.12322572518022</v>
      </c>
      <c r="L353" s="69">
        <f t="shared" si="37"/>
        <v>163.96818800145439</v>
      </c>
      <c r="M353" s="69">
        <f>IF((((1.18*F353^0.874)-(0.301*F353^0.751)/(1-H353)*H353)*(MAX('Max rate concentrations'!$P$3:$P$368)))/F353&gt;0, (((1.18*F353^0.874)-(0.301*F353^0.751)/(1-H353)*H353)*(MAX('Max rate concentrations'!$P$3:$P$368)))/F353, 0)</f>
        <v>0.43119290839627678</v>
      </c>
      <c r="N353" s="69">
        <f>IF((((1.18*F353^0.874)-(0.301*F353^0.751)/(1-H353)*H353)*(MAX('Max rate concentrations'!$Q$3:$Q$368)))/F353&gt;0, (((1.18*F353^0.874)-(0.301*F353^0.751)/(1-H353)*H353)*(MAX('Max rate concentrations'!$Q$3:$Q$368)))/F353, 0)</f>
        <v>1.6420057638946053</v>
      </c>
      <c r="O353" s="69">
        <f>((MAX('Max rate concentrations'!$F$3:$F$368))*0.62*6.01*8*(10*F353^0.667)*0.079*0.1/F353)*inputs!$E$80/(10^(0.84+0.62*LOG10(inputs!$E$80)))</f>
        <v>57.375361511081024</v>
      </c>
      <c r="P353" s="69">
        <f>((MAX('Max rate concentrations'!Y:Y))*0.62*6.01*8*(10*F353^0.667)*0.079*0.1/F353)*inputs!$E$80/(10^(0.84+0.62*LOG10(inputs!$E$80)))</f>
        <v>19.12512050369368</v>
      </c>
      <c r="Q353" s="69">
        <f>(inputs!$C$18*11.2*(10*F353^0.667)*0.5/F353)*inputs!$E$80/(10^(0.84+0.62*LOG10(inputs!$E$80)))</f>
        <v>10.106399314804086</v>
      </c>
      <c r="R353" s="59">
        <f>(60*284*((F353/1000)^0.77)*3*24*(MAX('Max rate concentrations'!$R$3:$R$368))/F353)*(inputs!$E$73*3.4/inputs!$E$75)</f>
        <v>7.1988913767969204E-2</v>
      </c>
      <c r="S353" s="59">
        <f>(IF(inputs!$C$17="aerial",((0.025*0.112*inputs!$C$18/3.3)*(3*60*284*((F353/1000)^0.77))*MAX(inputs!$I$14:$I$16))/F353,((0.0083*0.112*inputs!$C$18/1)*(3*60*284*((F353/1000)^0.77))*MAX(inputs!$I$14:$I$16))/F353))*(inputs!E$75*3.4/inputs!$E$73)</f>
        <v>0.39702328230749484</v>
      </c>
      <c r="T353" s="63">
        <f>IF((((inputs!$P$13/(V353/MAX(K353:S353)))^(1/inputs!$O$13))-1)/inputs!$N$13&lt;0, 0, IF((((inputs!$P$13/(V353/MAX(K353:S353)))^(1/inputs!$O$13))-1)/inputs!$N$13&lt;inputs!$I$17, (((inputs!$P$13/(V353/MAX(K353:S353)))^(1/inputs!$O$13))-1)/inputs!$N$13, inputs!$I$17))</f>
        <v>1000</v>
      </c>
      <c r="U353" s="63">
        <f>IF((((inputs!$P$13/(X353/MAX(K353:S353)))^(1/inputs!$O$13))-1)/inputs!$N$13&lt;0, 0, IF((((inputs!$P$13/(X353/MAX(K353:S353)))^(1/inputs!$O$13))-1)/inputs!$N$13&lt;inputs!$I$17, (((inputs!$P$13/(X353/MAX(K353:S353)))^(1/inputs!$O$13))-1)/inputs!$N$13, inputs!$I$17))</f>
        <v>96.902692033372531</v>
      </c>
      <c r="V353" s="21">
        <f>inputs!$E$78*(F353/inputs!$F$78)^(inputs!$E$84-1)</f>
        <v>3.6761156580544962E-2</v>
      </c>
      <c r="W353" s="21">
        <f>inputs!$E$85*(F353/inputs!$F$85)^(inputs!$E$84-1)</f>
        <v>1.6975624908959248</v>
      </c>
      <c r="X353" s="21">
        <f>inputs!$E$80*(F353/inputs!$F$80)^(inputs!$E$84-1)</f>
        <v>6.3389991748645285</v>
      </c>
      <c r="Y353" s="21">
        <f>inputs!$E$82*(F353/inputs!$F$82)^(inputs!$E$84-1)</f>
        <v>2.921544549295942</v>
      </c>
      <c r="Z353" s="63">
        <f t="shared" si="34"/>
        <v>6450.3744653853601</v>
      </c>
      <c r="AA353" s="63">
        <f t="shared" si="35"/>
        <v>139.68453414638856</v>
      </c>
    </row>
    <row r="354" spans="1:27" x14ac:dyDescent="0.25">
      <c r="A354" s="103" t="s">
        <v>167</v>
      </c>
      <c r="B354" s="20" t="s">
        <v>168</v>
      </c>
      <c r="C354" s="20" t="s">
        <v>73</v>
      </c>
      <c r="D354" s="104" t="s">
        <v>141</v>
      </c>
      <c r="E354" s="15">
        <v>116</v>
      </c>
      <c r="F354" s="15">
        <v>16.8</v>
      </c>
      <c r="G354" s="20" t="s">
        <v>152</v>
      </c>
      <c r="H354" s="20">
        <v>0.77</v>
      </c>
      <c r="I354" s="68">
        <f>MAX('Max rate concentrations'!$G$3:$G$368)</f>
        <v>45</v>
      </c>
      <c r="J354" s="68">
        <f>MAX('Max rate concentrations'!Z:Z)</f>
        <v>21</v>
      </c>
      <c r="K354" s="69">
        <f t="shared" si="38"/>
        <v>51.000138742927305</v>
      </c>
      <c r="L354" s="69">
        <f t="shared" si="37"/>
        <v>23.800064746699409</v>
      </c>
      <c r="M354" s="69">
        <f>IF((((1.18*F354^0.874)-(0.301*F354^0.751)/(1-H354)*H354)*(MAX('Max rate concentrations'!$P$3:$P$368)))/F354&gt;0, (((1.18*F354^0.874)-(0.301*F354^0.751)/(1-H354)*H354)*(MAX('Max rate concentrations'!$P$3:$P$368)))/F354, 0)</f>
        <v>0.28550371441522943</v>
      </c>
      <c r="N354" s="69">
        <f>IF((((1.18*F354^0.874)-(0.301*F354^0.751)/(1-H354)*H354)*(MAX('Max rate concentrations'!$Q$3:$Q$368)))/F354&gt;0, (((1.18*F354^0.874)-(0.301*F354^0.751)/(1-H354)*H354)*(MAX('Max rate concentrations'!$Q$3:$Q$368)))/F354, 0)</f>
        <v>1.0872134850888795</v>
      </c>
      <c r="O354" s="69">
        <f>((MAX('Max rate concentrations'!$F$3:$F$368))*0.62*6.01*8*(10*F354^0.667)*0.079*0.1/F354)*inputs!$E$80/(10^(0.84+0.62*LOG10(inputs!$E$80)))</f>
        <v>57.375361511081024</v>
      </c>
      <c r="P354" s="69">
        <f>((MAX('Max rate concentrations'!Y:Y))*0.62*6.01*8*(10*F354^0.667)*0.079*0.1/F354)*inputs!$E$80/(10^(0.84+0.62*LOG10(inputs!$E$80)))</f>
        <v>19.12512050369368</v>
      </c>
      <c r="Q354" s="69">
        <f>(inputs!$C$18*11.2*(10*F354^0.667)*0.5/F354)*inputs!$E$80/(10^(0.84+0.62*LOG10(inputs!$E$80)))</f>
        <v>10.106399314804086</v>
      </c>
      <c r="R354" s="59">
        <f>(60*284*((F354/1000)^0.77)*3*24*(MAX('Max rate concentrations'!$R$3:$R$368))/F354)*(inputs!$E$73*3.4/inputs!$E$75)</f>
        <v>7.1988913767969204E-2</v>
      </c>
      <c r="S354" s="59">
        <f>(IF(inputs!$C$17="aerial",((0.025*0.112*inputs!$C$18/3.3)*(3*60*284*((F354/1000)^0.77))*MAX(inputs!$I$14:$I$16))/F354,((0.0083*0.112*inputs!$C$18/1)*(3*60*284*((F354/1000)^0.77))*MAX(inputs!$I$14:$I$16))/F354))*(inputs!E$75*3.4/inputs!$E$73)</f>
        <v>0.39702328230749484</v>
      </c>
      <c r="T354" s="63">
        <f>IF((((inputs!$P$13/(V354/MAX(K354:S354)))^(1/inputs!$O$13))-1)/inputs!$N$13&lt;0, 0, IF((((inputs!$P$13/(V354/MAX(K354:S354)))^(1/inputs!$O$13))-1)/inputs!$N$13&lt;inputs!$I$17, (((inputs!$P$13/(V354/MAX(K354:S354)))^(1/inputs!$O$13))-1)/inputs!$N$13, inputs!$I$17))</f>
        <v>1000</v>
      </c>
      <c r="U354" s="63">
        <f>IF((((inputs!$P$13/(X354/MAX(K354:S354)))^(1/inputs!$O$13))-1)/inputs!$N$13&lt;0, 0, IF((((inputs!$P$13/(X354/MAX(K354:S354)))^(1/inputs!$O$13))-1)/inputs!$N$13&lt;inputs!$I$17, (((inputs!$P$13/(X354/MAX(K354:S354)))^(1/inputs!$O$13))-1)/inputs!$N$13, inputs!$I$17))</f>
        <v>27.192573547408887</v>
      </c>
      <c r="V354" s="21">
        <f>inputs!$E$78*(F354/inputs!$F$78)^(inputs!$E$84-1)</f>
        <v>3.6761156580544962E-2</v>
      </c>
      <c r="W354" s="21">
        <f>inputs!$E$85*(F354/inputs!$F$85)^(inputs!$E$84-1)</f>
        <v>1.6975624908959248</v>
      </c>
      <c r="X354" s="21">
        <f>inputs!$E$80*(F354/inputs!$F$80)^(inputs!$E$84-1)</f>
        <v>6.3389991748645285</v>
      </c>
      <c r="Y354" s="21">
        <f>inputs!$E$82*(F354/inputs!$F$82)^(inputs!$E$84-1)</f>
        <v>2.921544549295942</v>
      </c>
      <c r="Z354" s="63">
        <f t="shared" si="34"/>
        <v>1560.7605104961708</v>
      </c>
      <c r="AA354" s="63">
        <f t="shared" si="35"/>
        <v>33.798674168866654</v>
      </c>
    </row>
    <row r="355" spans="1:27" x14ac:dyDescent="0.25">
      <c r="A355" s="103" t="s">
        <v>167</v>
      </c>
      <c r="B355" s="20" t="s">
        <v>168</v>
      </c>
      <c r="C355" s="20" t="s">
        <v>73</v>
      </c>
      <c r="D355" s="104" t="s">
        <v>141</v>
      </c>
      <c r="E355" s="15">
        <v>116</v>
      </c>
      <c r="F355" s="15">
        <v>16.8</v>
      </c>
      <c r="G355" s="20" t="s">
        <v>169</v>
      </c>
      <c r="H355" s="20">
        <v>0.79</v>
      </c>
      <c r="I355" s="68">
        <f>MAX('Max rate concentrations'!$D$3:$D$368)</f>
        <v>720</v>
      </c>
      <c r="J355" s="68">
        <f>MAX('Max rate concentrations'!W:W)</f>
        <v>255</v>
      </c>
      <c r="K355" s="69">
        <f t="shared" si="38"/>
        <v>893.7167170189166</v>
      </c>
      <c r="L355" s="69">
        <f t="shared" si="37"/>
        <v>316.52467061086628</v>
      </c>
      <c r="M355" s="69">
        <f>IF((((1.18*F355^0.874)-(0.301*F355^0.751)/(1-H355)*H355)*(MAX('Max rate concentrations'!$P$3:$P$368)))/F355&gt;0, (((1.18*F355^0.874)-(0.301*F355^0.751)/(1-H355)*H355)*(MAX('Max rate concentrations'!$P$3:$P$368)))/F355, 0)</f>
        <v>0.23173746425555716</v>
      </c>
      <c r="N355" s="69">
        <f>IF((((1.18*F355^0.874)-(0.301*F355^0.751)/(1-H355)*H355)*(MAX('Max rate concentrations'!$Q$3:$Q$368)))/F355&gt;0, (((1.18*F355^0.874)-(0.301*F355^0.751)/(1-H355)*H355)*(MAX('Max rate concentrations'!$Q$3:$Q$368)))/F355, 0)</f>
        <v>0.88246871552962336</v>
      </c>
      <c r="O355" s="69">
        <f>((MAX('Max rate concentrations'!$F$3:$F$368))*0.62*6.01*8*(10*F355^0.667)*0.079*0.1/F355)*inputs!$E$80/(10^(0.84+0.62*LOG10(inputs!$E$80)))</f>
        <v>57.375361511081024</v>
      </c>
      <c r="P355" s="69">
        <f>((MAX('Max rate concentrations'!Y:Y))*0.62*6.01*8*(10*F355^0.667)*0.079*0.1/F355)*inputs!$E$80/(10^(0.84+0.62*LOG10(inputs!$E$80)))</f>
        <v>19.12512050369368</v>
      </c>
      <c r="Q355" s="69">
        <f>(inputs!$C$18*11.2*(10*F355^0.667)*0.5/F355)*inputs!$E$80/(10^(0.84+0.62*LOG10(inputs!$E$80)))</f>
        <v>10.106399314804086</v>
      </c>
      <c r="R355" s="59">
        <f>(60*284*((F355/1000)^0.77)*3*24*(MAX('Max rate concentrations'!$R$3:$R$368))/F355)*(inputs!$E$73*3.4/inputs!$E$75)</f>
        <v>7.1988913767969204E-2</v>
      </c>
      <c r="S355" s="59">
        <f>(IF(inputs!$C$17="aerial",((0.025*0.112*inputs!$C$18/3.3)*(3*60*284*((F355/1000)^0.77))*MAX(inputs!$I$14:$I$16))/F355,((0.0083*0.112*inputs!$C$18/1)*(3*60*284*((F355/1000)^0.77))*MAX(inputs!$I$14:$I$16))/F355))*(inputs!E$75*3.4/inputs!$E$73)</f>
        <v>0.39702328230749484</v>
      </c>
      <c r="T355" s="63">
        <f>IF((((inputs!$P$13/(V355/MAX(K355:S355)))^(1/inputs!$O$13))-1)/inputs!$N$13&lt;0, 0, IF((((inputs!$P$13/(V355/MAX(K355:S355)))^(1/inputs!$O$13))-1)/inputs!$N$13&lt;inputs!$I$17, (((inputs!$P$13/(V355/MAX(K355:S355)))^(1/inputs!$O$13))-1)/inputs!$N$13, inputs!$I$17))</f>
        <v>1000</v>
      </c>
      <c r="U355" s="63">
        <f>IF((((inputs!$P$13/(X355/MAX(K355:S355)))^(1/inputs!$O$13))-1)/inputs!$N$13&lt;0, 0, IF((((inputs!$P$13/(X355/MAX(K355:S355)))^(1/inputs!$O$13))-1)/inputs!$N$13&lt;inputs!$I$17, (((inputs!$P$13/(X355/MAX(K355:S355)))^(1/inputs!$O$13))-1)/inputs!$N$13, inputs!$I$17))</f>
        <v>293.3999572303307</v>
      </c>
      <c r="V355" s="21">
        <f>inputs!$E$78*(F355/inputs!$F$78)^(inputs!$E$84-1)</f>
        <v>3.6761156580544962E-2</v>
      </c>
      <c r="W355" s="21">
        <f>inputs!$E$85*(F355/inputs!$F$85)^(inputs!$E$84-1)</f>
        <v>1.6975624908959248</v>
      </c>
      <c r="X355" s="21">
        <f>inputs!$E$80*(F355/inputs!$F$80)^(inputs!$E$84-1)</f>
        <v>6.3389991748645285</v>
      </c>
      <c r="Y355" s="21">
        <f>inputs!$E$82*(F355/inputs!$F$82)^(inputs!$E$84-1)</f>
        <v>2.921544549295942</v>
      </c>
      <c r="Z355" s="63">
        <f t="shared" si="34"/>
        <v>24311.441754036015</v>
      </c>
      <c r="AA355" s="63">
        <f t="shared" si="35"/>
        <v>526.47058462468647</v>
      </c>
    </row>
    <row r="356" spans="1:27" x14ac:dyDescent="0.25">
      <c r="A356" s="103" t="s">
        <v>167</v>
      </c>
      <c r="B356" s="20" t="s">
        <v>168</v>
      </c>
      <c r="C356" s="20" t="s">
        <v>73</v>
      </c>
      <c r="D356" s="104" t="s">
        <v>141</v>
      </c>
      <c r="E356" s="15">
        <v>116</v>
      </c>
      <c r="F356" s="15">
        <v>16.8</v>
      </c>
      <c r="G356" s="20" t="s">
        <v>158</v>
      </c>
      <c r="H356" s="20">
        <v>0.85</v>
      </c>
      <c r="I356" s="68">
        <f>MAX('Max rate concentrations'!$F$3:$F$368)</f>
        <v>405</v>
      </c>
      <c r="J356" s="68">
        <f>MAX('Max rate concentrations'!Y:Y)</f>
        <v>135</v>
      </c>
      <c r="K356" s="69">
        <f t="shared" si="38"/>
        <v>703.8019146523967</v>
      </c>
      <c r="L356" s="69">
        <f t="shared" si="37"/>
        <v>234.60063821746556</v>
      </c>
      <c r="M356" s="69">
        <f>IF((((1.18*F356^0.874)-(0.301*F356^0.751)/(1-H356)*H356)*(MAX('Max rate concentrations'!$P$3:$P$368)))/F356&gt;0, (((1.18*F356^0.874)-(0.301*F356^0.751)/(1-H356)*H356)*(MAX('Max rate concentrations'!$P$3:$P$368)))/F356, 0)</f>
        <v>0</v>
      </c>
      <c r="N356" s="69">
        <f>IF((((1.18*F356^0.874)-(0.301*F356^0.751)/(1-H356)*H356)*(MAX('Max rate concentrations'!$Q$3:$Q$368)))/F356&gt;0, (((1.18*F356^0.874)-(0.301*F356^0.751)/(1-H356)*H356)*(MAX('Max rate concentrations'!$Q$3:$Q$368)))/F356, 0)</f>
        <v>0</v>
      </c>
      <c r="O356" s="69">
        <f>((MAX('Max rate concentrations'!$F$3:$F$368))*0.62*6.01*8*(10*F356^0.667)*0.079*0.1/F356)*inputs!$E$80/(10^(0.84+0.62*LOG10(inputs!$E$80)))</f>
        <v>57.375361511081024</v>
      </c>
      <c r="P356" s="69">
        <f>((MAX('Max rate concentrations'!Y:Y))*0.62*6.01*8*(10*F356^0.667)*0.079*0.1/F356)*inputs!$E$80/(10^(0.84+0.62*LOG10(inputs!$E$80)))</f>
        <v>19.12512050369368</v>
      </c>
      <c r="Q356" s="69">
        <f>(inputs!$C$18*11.2*(10*F356^0.667)*0.5/F356)*inputs!$E$80/(10^(0.84+0.62*LOG10(inputs!$E$80)))</f>
        <v>10.106399314804086</v>
      </c>
      <c r="R356" s="59">
        <f>(60*284*((F356/1000)^0.77)*3*24*(MAX('Max rate concentrations'!$R$3:$R$368))/F356)*(inputs!$E$73*3.4/inputs!$E$75)</f>
        <v>7.1988913767969204E-2</v>
      </c>
      <c r="S356" s="59">
        <f>(IF(inputs!$C$17="aerial",((0.025*0.112*inputs!$C$18/3.3)*(3*60*284*((F356/1000)^0.77))*MAX(inputs!$I$14:$I$16))/F356,((0.0083*0.112*inputs!$C$18/1)*(3*60*284*((F356/1000)^0.77))*MAX(inputs!$I$14:$I$16))/F356))*(inputs!E$75*3.4/inputs!$E$73)</f>
        <v>0.39702328230749484</v>
      </c>
      <c r="T356" s="63">
        <f>IF((((inputs!$P$13/(V356/MAX(K356:S356)))^(1/inputs!$O$13))-1)/inputs!$N$13&lt;0, 0, IF((((inputs!$P$13/(V356/MAX(K356:S356)))^(1/inputs!$O$13))-1)/inputs!$N$13&lt;inputs!$I$17, (((inputs!$P$13/(V356/MAX(K356:S356)))^(1/inputs!$O$13))-1)/inputs!$N$13, inputs!$I$17))</f>
        <v>1000</v>
      </c>
      <c r="U356" s="63">
        <f>IF((((inputs!$P$13/(X356/MAX(K356:S356)))^(1/inputs!$O$13))-1)/inputs!$N$13&lt;0, 0, IF((((inputs!$P$13/(X356/MAX(K356:S356)))^(1/inputs!$O$13))-1)/inputs!$N$13&lt;inputs!$I$17, (((inputs!$P$13/(X356/MAX(K356:S356)))^(1/inputs!$O$13))-1)/inputs!$N$13, inputs!$I$17))</f>
        <v>240.94006126622335</v>
      </c>
      <c r="V356" s="21">
        <f>inputs!$E$78*(F356/inputs!$F$78)^(inputs!$E$84-1)</f>
        <v>3.6761156580544962E-2</v>
      </c>
      <c r="W356" s="21">
        <f>inputs!$E$85*(F356/inputs!$F$85)^(inputs!$E$84-1)</f>
        <v>1.6975624908959248</v>
      </c>
      <c r="X356" s="21">
        <f>inputs!$E$80*(F356/inputs!$F$80)^(inputs!$E$84-1)</f>
        <v>6.3389991748645285</v>
      </c>
      <c r="Y356" s="21">
        <f>inputs!$E$82*(F356/inputs!$F$82)^(inputs!$E$84-1)</f>
        <v>2.921544549295942</v>
      </c>
      <c r="Z356" s="63">
        <f t="shared" si="34"/>
        <v>19145.260381303357</v>
      </c>
      <c r="AA356" s="63">
        <f t="shared" si="35"/>
        <v>414.59558539194057</v>
      </c>
    </row>
    <row r="357" spans="1:27" x14ac:dyDescent="0.25">
      <c r="A357" s="103" t="s">
        <v>167</v>
      </c>
      <c r="B357" s="20" t="s">
        <v>168</v>
      </c>
      <c r="C357" s="20" t="s">
        <v>73</v>
      </c>
      <c r="D357" s="104" t="s">
        <v>141</v>
      </c>
      <c r="E357" s="15">
        <v>116</v>
      </c>
      <c r="F357" s="15">
        <v>16.8</v>
      </c>
      <c r="G357" s="20" t="s">
        <v>154</v>
      </c>
      <c r="H357" s="20">
        <v>9.2999999999999999E-2</v>
      </c>
      <c r="I357" s="68">
        <f>MAX('Max rate concentrations'!$G$3:$G$368)</f>
        <v>45</v>
      </c>
      <c r="J357" s="68">
        <f>MAX('Max rate concentrations'!Z:Z)</f>
        <v>21</v>
      </c>
      <c r="K357" s="69">
        <f t="shared" si="38"/>
        <v>12.932780497103947</v>
      </c>
      <c r="L357" s="69">
        <f t="shared" si="37"/>
        <v>6.035297565315175</v>
      </c>
      <c r="M357" s="69">
        <f>IF((((1.18*F357^0.874)-(0.301*F357^0.751)/(1-H357)*H357)*(MAX('Max rate concentrations'!$P$3:$P$368)))/F357&gt;0, (((1.18*F357^0.874)-(0.301*F357^0.751)/(1-H357)*H357)*(MAX('Max rate concentrations'!$P$3:$P$368)))/F357, 0)</f>
        <v>0.70689003112970561</v>
      </c>
      <c r="N357" s="69">
        <f>IF((((1.18*F357^0.874)-(0.301*F357^0.751)/(1-H357)*H357)*(MAX('Max rate concentrations'!$Q$3:$Q$368)))/F357&gt;0, (((1.18*F357^0.874)-(0.301*F357^0.751)/(1-H357)*H357)*(MAX('Max rate concentrations'!$Q$3:$Q$368)))/F357, 0)</f>
        <v>2.6918752209344916</v>
      </c>
      <c r="O357" s="69">
        <f>((MAX('Max rate concentrations'!$F$3:$F$368))*0.62*6.01*8*(10*F357^0.667)*0.079*0.1/F357)*inputs!$E$80/(10^(0.84+0.62*LOG10(inputs!$E$80)))</f>
        <v>57.375361511081024</v>
      </c>
      <c r="P357" s="69">
        <f>((MAX('Max rate concentrations'!Y:Y))*0.62*6.01*8*(10*F357^0.667)*0.079*0.1/F357)*inputs!$E$80/(10^(0.84+0.62*LOG10(inputs!$E$80)))</f>
        <v>19.12512050369368</v>
      </c>
      <c r="Q357" s="69">
        <f>(inputs!$C$18*11.2*(10*F357^0.667)*0.5/F357)*inputs!$E$80/(10^(0.84+0.62*LOG10(inputs!$E$80)))</f>
        <v>10.106399314804086</v>
      </c>
      <c r="R357" s="59">
        <f>(60*284*((F357/1000)^0.77)*3*24*(MAX('Max rate concentrations'!$R$3:$R$368))/F357)*(inputs!$E$73*3.4/inputs!$E$75)</f>
        <v>7.1988913767969204E-2</v>
      </c>
      <c r="S357" s="59">
        <f>(IF(inputs!$C$17="aerial",((0.025*0.112*inputs!$C$18/3.3)*(3*60*284*((F357/1000)^0.77))*MAX(inputs!$I$14:$I$16))/F357,((0.0083*0.112*inputs!$C$18/1)*(3*60*284*((F357/1000)^0.77))*MAX(inputs!$I$14:$I$16))/F357))*(inputs!E$75*3.4/inputs!$E$73)</f>
        <v>0.39702328230749484</v>
      </c>
      <c r="T357" s="63">
        <f>IF((((inputs!$P$13/(V357/MAX(K357:S357)))^(1/inputs!$O$13))-1)/inputs!$N$13&lt;0, 0, IF((((inputs!$P$13/(V357/MAX(K357:S357)))^(1/inputs!$O$13))-1)/inputs!$N$13&lt;inputs!$I$17, (((inputs!$P$13/(V357/MAX(K357:S357)))^(1/inputs!$O$13))-1)/inputs!$N$13, inputs!$I$17))</f>
        <v>1000</v>
      </c>
      <c r="U357" s="63">
        <f>IF((((inputs!$P$13/(X357/MAX(K357:S357)))^(1/inputs!$O$13))-1)/inputs!$N$13&lt;0, 0, IF((((inputs!$P$13/(X357/MAX(K357:S357)))^(1/inputs!$O$13))-1)/inputs!$N$13&lt;inputs!$I$17, (((inputs!$P$13/(X357/MAX(K357:S357)))^(1/inputs!$O$13))-1)/inputs!$N$13, inputs!$I$17))</f>
        <v>27.192573547408887</v>
      </c>
      <c r="V357" s="21">
        <f>inputs!$E$78*(F357/inputs!$F$78)^(inputs!$E$84-1)</f>
        <v>3.6761156580544962E-2</v>
      </c>
      <c r="W357" s="21">
        <f>inputs!$E$85*(F357/inputs!$F$85)^(inputs!$E$84-1)</f>
        <v>1.6975624908959248</v>
      </c>
      <c r="X357" s="21">
        <f>inputs!$E$80*(F357/inputs!$F$80)^(inputs!$E$84-1)</f>
        <v>6.3389991748645285</v>
      </c>
      <c r="Y357" s="21">
        <f>inputs!$E$82*(F357/inputs!$F$82)^(inputs!$E$84-1)</f>
        <v>2.921544549295942</v>
      </c>
      <c r="Z357" s="63">
        <f t="shared" si="34"/>
        <v>1560.7605104961708</v>
      </c>
      <c r="AA357" s="63">
        <f t="shared" si="35"/>
        <v>33.798674168866654</v>
      </c>
    </row>
    <row r="358" spans="1:27" x14ac:dyDescent="0.25">
      <c r="A358" s="103" t="s">
        <v>287</v>
      </c>
      <c r="B358" s="20" t="s">
        <v>288</v>
      </c>
      <c r="C358" s="20" t="s">
        <v>73</v>
      </c>
      <c r="D358" s="104" t="s">
        <v>141</v>
      </c>
      <c r="E358" s="15">
        <v>86</v>
      </c>
      <c r="F358" s="15">
        <v>37</v>
      </c>
      <c r="G358" s="20" t="s">
        <v>142</v>
      </c>
      <c r="H358" s="20">
        <v>0.69</v>
      </c>
      <c r="I358" s="68">
        <f>MAX('Max rate concentrations'!$H$3:$H$368)</f>
        <v>282</v>
      </c>
      <c r="J358" s="68">
        <f>MAX('Max rate concentrations'!AA:AA)</f>
        <v>195</v>
      </c>
      <c r="K358" s="69">
        <f t="shared" si="38"/>
        <v>210.63970018759585</v>
      </c>
      <c r="L358" s="69">
        <f t="shared" si="37"/>
        <v>145.65511183184819</v>
      </c>
      <c r="M358" s="69">
        <f>IF((((1.18*F358^0.874)-(0.301*F358^0.751)/(1-H358)*H358)*(MAX('Max rate concentrations'!$P$3:$P$368)))/F358&gt;0, (((1.18*F358^0.874)-(0.301*F358^0.751)/(1-H358)*H358)*(MAX('Max rate concentrations'!$P$3:$P$368)))/F358, 0)</f>
        <v>0.41457593102405521</v>
      </c>
      <c r="N358" s="69">
        <f>IF((((1.18*F358^0.874)-(0.301*F358^0.751)/(1-H358)*H358)*(MAX('Max rate concentrations'!$Q$3:$Q$368)))/F358&gt;0, (((1.18*F358^0.874)-(0.301*F358^0.751)/(1-H358)*H358)*(MAX('Max rate concentrations'!$Q$3:$Q$368)))/F358, 0)</f>
        <v>1.5787274212029896</v>
      </c>
      <c r="O358" s="69">
        <f>((MAX('Max rate concentrations'!$F$3:$F$368))*0.62*6.01*8*(10*F358^0.667)*0.079*0.1/F358)*inputs!$E$80/(10^(0.84+0.62*LOG10(inputs!$E$80)))</f>
        <v>44.110527530280564</v>
      </c>
      <c r="P358" s="69">
        <f>((MAX('Max rate concentrations'!Y:Y))*0.62*6.01*8*(10*F358^0.667)*0.079*0.1/F358)*inputs!$E$80/(10^(0.84+0.62*LOG10(inputs!$E$80)))</f>
        <v>14.703509176760191</v>
      </c>
      <c r="Q358" s="69">
        <f>(inputs!$C$18*11.2*(10*F358^0.667)*0.5/F358)*inputs!$E$80/(10^(0.84+0.62*LOG10(inputs!$E$80)))</f>
        <v>7.7698613737113655</v>
      </c>
      <c r="R358" s="59">
        <f>(60*284*((F358/1000)^0.77)*3*24*(MAX('Max rate concentrations'!$R$3:$R$368))/F358)*(inputs!$E$73*3.4/inputs!$E$75)</f>
        <v>6.0034425479746835E-2</v>
      </c>
      <c r="S358" s="59">
        <f>(IF(inputs!$C$17="aerial",((0.025*0.112*inputs!$C$18/3.3)*(3*60*284*((F358/1000)^0.77))*MAX(inputs!$I$14:$I$16))/F358,((0.0083*0.112*inputs!$C$18/1)*(3*60*284*((F358/1000)^0.77))*MAX(inputs!$I$14:$I$16))/F358))*(inputs!E$75*3.4/inputs!$E$73)</f>
        <v>0.3310935449344003</v>
      </c>
      <c r="T358" s="63">
        <f>IF((((inputs!$P$13/(V358/MAX(K358:S358)))^(1/inputs!$O$13))-1)/inputs!$N$13&lt;0, 0, IF((((inputs!$P$13/(V358/MAX(K358:S358)))^(1/inputs!$O$13))-1)/inputs!$N$13&lt;inputs!$I$17, (((inputs!$P$13/(V358/MAX(K358:S358)))^(1/inputs!$O$13))-1)/inputs!$N$13, inputs!$I$17))</f>
        <v>1000</v>
      </c>
      <c r="U358" s="63">
        <f>IF((((inputs!$P$13/(X358/MAX(K358:S358)))^(1/inputs!$O$13))-1)/inputs!$N$13&lt;0, 0, IF((((inputs!$P$13/(X358/MAX(K358:S358)))^(1/inputs!$O$13))-1)/inputs!$N$13&lt;inputs!$I$17, (((inputs!$P$13/(X358/MAX(K358:S358)))^(1/inputs!$O$13))-1)/inputs!$N$13, inputs!$I$17))</f>
        <v>112.30476626006089</v>
      </c>
      <c r="V358" s="21">
        <f>inputs!$E$78*(F358/inputs!$F$78)^(inputs!$E$84-1)</f>
        <v>2.7448521921752091E-2</v>
      </c>
      <c r="W358" s="21">
        <f>inputs!$E$85*(F358/inputs!$F$85)^(inputs!$E$84-1)</f>
        <v>1.267522177731496</v>
      </c>
      <c r="X358" s="21">
        <f>inputs!$E$80*(F358/inputs!$F$80)^(inputs!$E$84-1)</f>
        <v>4.7331524358328005</v>
      </c>
      <c r="Y358" s="21">
        <f>inputs!$E$82*(F358/inputs!$F$82)^(inputs!$E$84-1)</f>
        <v>2.1814351632550348</v>
      </c>
      <c r="Z358" s="63">
        <f t="shared" si="34"/>
        <v>7673.9906355638959</v>
      </c>
      <c r="AA358" s="63">
        <f t="shared" si="35"/>
        <v>166.1822600726253</v>
      </c>
    </row>
    <row r="359" spans="1:27" x14ac:dyDescent="0.25">
      <c r="A359" s="103" t="s">
        <v>287</v>
      </c>
      <c r="B359" s="20" t="s">
        <v>288</v>
      </c>
      <c r="C359" s="20" t="s">
        <v>73</v>
      </c>
      <c r="D359" s="104" t="s">
        <v>141</v>
      </c>
      <c r="E359" s="15">
        <v>86</v>
      </c>
      <c r="F359" s="15">
        <v>37</v>
      </c>
      <c r="G359" s="20" t="s">
        <v>152</v>
      </c>
      <c r="H359" s="20">
        <v>0.77</v>
      </c>
      <c r="I359" s="68">
        <f>MAX('Max rate concentrations'!$G$3:$G$368)</f>
        <v>45</v>
      </c>
      <c r="J359" s="68">
        <f>MAX('Max rate concentrations'!Z:Z)</f>
        <v>21</v>
      </c>
      <c r="K359" s="69">
        <f t="shared" si="38"/>
        <v>45.304098328969516</v>
      </c>
      <c r="L359" s="69">
        <f t="shared" si="37"/>
        <v>21.141912553519106</v>
      </c>
      <c r="M359" s="69">
        <f>IF((((1.18*F359^0.874)-(0.301*F359^0.751)/(1-H359)*H359)*(MAX('Max rate concentrations'!$P$3:$P$368)))/F359&gt;0, (((1.18*F359^0.874)-(0.301*F359^0.751)/(1-H359)*H359)*(MAX('Max rate concentrations'!$P$3:$P$368)))/F359, 0)</f>
        <v>0.29488889214099223</v>
      </c>
      <c r="N359" s="69">
        <f>IF((((1.18*F359^0.874)-(0.301*F359^0.751)/(1-H359)*H359)*(MAX('Max rate concentrations'!$Q$3:$Q$368)))/F359&gt;0, (((1.18*F359^0.874)-(0.301*F359^0.751)/(1-H359)*H359)*(MAX('Max rate concentrations'!$Q$3:$Q$368)))/F359, 0)</f>
        <v>1.1229527461499986</v>
      </c>
      <c r="O359" s="69">
        <f>((MAX('Max rate concentrations'!$F$3:$F$368))*0.62*6.01*8*(10*F359^0.667)*0.079*0.1/F359)*inputs!$E$80/(10^(0.84+0.62*LOG10(inputs!$E$80)))</f>
        <v>44.110527530280564</v>
      </c>
      <c r="P359" s="69">
        <f>((MAX('Max rate concentrations'!Y:Y))*0.62*6.01*8*(10*F359^0.667)*0.079*0.1/F359)*inputs!$E$80/(10^(0.84+0.62*LOG10(inputs!$E$80)))</f>
        <v>14.703509176760191</v>
      </c>
      <c r="Q359" s="69">
        <f>(inputs!$C$18*11.2*(10*F359^0.667)*0.5/F359)*inputs!$E$80/(10^(0.84+0.62*LOG10(inputs!$E$80)))</f>
        <v>7.7698613737113655</v>
      </c>
      <c r="R359" s="59">
        <f>(60*284*((F359/1000)^0.77)*3*24*(MAX('Max rate concentrations'!$R$3:$R$368))/F359)*(inputs!$E$73*3.4/inputs!$E$75)</f>
        <v>6.0034425479746835E-2</v>
      </c>
      <c r="S359" s="59">
        <f>(IF(inputs!$C$17="aerial",((0.025*0.112*inputs!$C$18/3.3)*(3*60*284*((F359/1000)^0.77))*MAX(inputs!$I$14:$I$16))/F359,((0.0083*0.112*inputs!$C$18/1)*(3*60*284*((F359/1000)^0.77))*MAX(inputs!$I$14:$I$16))/F359))*(inputs!E$75*3.4/inputs!$E$73)</f>
        <v>0.3310935449344003</v>
      </c>
      <c r="T359" s="63">
        <f>IF((((inputs!$P$13/(V359/MAX(K359:S359)))^(1/inputs!$O$13))-1)/inputs!$N$13&lt;0, 0, IF((((inputs!$P$13/(V359/MAX(K359:S359)))^(1/inputs!$O$13))-1)/inputs!$N$13&lt;inputs!$I$17, (((inputs!$P$13/(V359/MAX(K359:S359)))^(1/inputs!$O$13))-1)/inputs!$N$13, inputs!$I$17))</f>
        <v>1000</v>
      </c>
      <c r="U359" s="63">
        <f>IF((((inputs!$P$13/(X359/MAX(K359:S359)))^(1/inputs!$O$13))-1)/inputs!$N$13&lt;0, 0, IF((((inputs!$P$13/(X359/MAX(K359:S359)))^(1/inputs!$O$13))-1)/inputs!$N$13&lt;inputs!$I$17, (((inputs!$P$13/(X359/MAX(K359:S359)))^(1/inputs!$O$13))-1)/inputs!$N$13, inputs!$I$17))</f>
        <v>28.692062395786877</v>
      </c>
      <c r="V359" s="21">
        <f>inputs!$E$78*(F359/inputs!$F$78)^(inputs!$E$84-1)</f>
        <v>2.7448521921752091E-2</v>
      </c>
      <c r="W359" s="21">
        <f>inputs!$E$85*(F359/inputs!$F$85)^(inputs!$E$84-1)</f>
        <v>1.267522177731496</v>
      </c>
      <c r="X359" s="21">
        <f>inputs!$E$80*(F359/inputs!$F$80)^(inputs!$E$84-1)</f>
        <v>4.7331524358328005</v>
      </c>
      <c r="Y359" s="21">
        <f>inputs!$E$82*(F359/inputs!$F$82)^(inputs!$E$84-1)</f>
        <v>2.1814351632550348</v>
      </c>
      <c r="Z359" s="63">
        <f t="shared" si="34"/>
        <v>1650.5113994159169</v>
      </c>
      <c r="AA359" s="63">
        <f t="shared" si="35"/>
        <v>35.742252975842177</v>
      </c>
    </row>
    <row r="360" spans="1:27" x14ac:dyDescent="0.25">
      <c r="A360" s="103" t="s">
        <v>287</v>
      </c>
      <c r="B360" s="20" t="s">
        <v>288</v>
      </c>
      <c r="C360" s="20" t="s">
        <v>73</v>
      </c>
      <c r="D360" s="104" t="s">
        <v>141</v>
      </c>
      <c r="E360" s="15">
        <v>86</v>
      </c>
      <c r="F360" s="15">
        <v>37</v>
      </c>
      <c r="G360" s="20" t="s">
        <v>146</v>
      </c>
      <c r="H360" s="20">
        <v>0.84</v>
      </c>
      <c r="I360" s="68">
        <f>MAX('Max rate concentrations'!$I$3:$I$368)</f>
        <v>56.865414300472793</v>
      </c>
      <c r="J360" s="68" t="s">
        <v>13</v>
      </c>
      <c r="K360" s="69">
        <f t="shared" si="38"/>
        <v>82.296438031503882</v>
      </c>
      <c r="L360" s="69" t="s">
        <v>13</v>
      </c>
      <c r="M360" s="69">
        <f>IF((((1.18*F360^0.874)-(0.301*F360^0.751)/(1-H360)*H360)*(MAX('Max rate concentrations'!$P$3:$P$368)))/F360&gt;0, (((1.18*F360^0.874)-(0.301*F360^0.751)/(1-H360)*H360)*(MAX('Max rate concentrations'!$P$3:$P$368)))/F360, 0)</f>
        <v>9.1981959034549865E-2</v>
      </c>
      <c r="N360" s="69">
        <f>IF((((1.18*F360^0.874)-(0.301*F360^0.751)/(1-H360)*H360)*(MAX('Max rate concentrations'!$Q$3:$Q$368)))/F360&gt;0, (((1.18*F360^0.874)-(0.301*F360^0.751)/(1-H360)*H360)*(MAX('Max rate concentrations'!$Q$3:$Q$368)))/F360, 0)</f>
        <v>0.35027224234922616</v>
      </c>
      <c r="O360" s="69">
        <f>((MAX('Max rate concentrations'!$F$3:$F$368))*0.62*6.01*8*(10*F360^0.667)*0.079*0.1/F360)*inputs!$E$80/(10^(0.84+0.62*LOG10(inputs!$E$80)))</f>
        <v>44.110527530280564</v>
      </c>
      <c r="P360" s="69">
        <f>((MAX('Max rate concentrations'!Y:Y))*0.62*6.01*8*(10*F360^0.667)*0.079*0.1/F360)*inputs!$E$80/(10^(0.84+0.62*LOG10(inputs!$E$80)))</f>
        <v>14.703509176760191</v>
      </c>
      <c r="Q360" s="69">
        <f>(inputs!$C$18*11.2*(10*F360^0.667)*0.5/F360)*inputs!$E$80/(10^(0.84+0.62*LOG10(inputs!$E$80)))</f>
        <v>7.7698613737113655</v>
      </c>
      <c r="R360" s="59">
        <f>(60*284*((F360/1000)^0.77)*3*24*(MAX('Max rate concentrations'!$R$3:$R$368))/F360)*(inputs!$E$73*3.4/inputs!$E$75)</f>
        <v>6.0034425479746835E-2</v>
      </c>
      <c r="S360" s="59">
        <f>(IF(inputs!$C$17="aerial",((0.025*0.112*inputs!$C$18/3.3)*(3*60*284*((F360/1000)^0.77))*MAX(inputs!$I$14:$I$16))/F360,((0.0083*0.112*inputs!$C$18/1)*(3*60*284*((F360/1000)^0.77))*MAX(inputs!$I$14:$I$16))/F360))*(inputs!E$75*3.4/inputs!$E$73)</f>
        <v>0.3310935449344003</v>
      </c>
      <c r="T360" s="63">
        <f>IF((((inputs!$P$13/(V360/MAX(K360:S360)))^(1/inputs!$O$13))-1)/inputs!$N$13&lt;0, 0, IF((((inputs!$P$13/(V360/MAX(K360:S360)))^(1/inputs!$O$13))-1)/inputs!$N$13&lt;inputs!$I$17, (((inputs!$P$13/(V360/MAX(K360:S360)))^(1/inputs!$O$13))-1)/inputs!$N$13, inputs!$I$17))</f>
        <v>1000</v>
      </c>
      <c r="U360" s="63">
        <f>IF((((inputs!$P$13/(X360/MAX(K360:S360)))^(1/inputs!$O$13))-1)/inputs!$N$13&lt;0, 0, IF((((inputs!$P$13/(X360/MAX(K360:S360)))^(1/inputs!$O$13))-1)/inputs!$N$13&lt;inputs!$I$17, (((inputs!$P$13/(X360/MAX(K360:S360)))^(1/inputs!$O$13))-1)/inputs!$N$13, inputs!$I$17))</f>
        <v>49.738218719503408</v>
      </c>
      <c r="V360" s="21">
        <f>inputs!$E$78*(F360/inputs!$F$78)^(inputs!$E$84-1)</f>
        <v>2.7448521921752091E-2</v>
      </c>
      <c r="W360" s="21">
        <f>inputs!$E$85*(F360/inputs!$F$85)^(inputs!$E$84-1)</f>
        <v>1.267522177731496</v>
      </c>
      <c r="X360" s="21">
        <f>inputs!$E$80*(F360/inputs!$F$80)^(inputs!$E$84-1)</f>
        <v>4.7331524358328005</v>
      </c>
      <c r="Y360" s="21">
        <f>inputs!$E$82*(F360/inputs!$F$82)^(inputs!$E$84-1)</f>
        <v>2.1814351632550348</v>
      </c>
      <c r="Z360" s="63">
        <f t="shared" si="34"/>
        <v>2998.2101865487534</v>
      </c>
      <c r="AA360" s="63">
        <f t="shared" si="35"/>
        <v>64.927020195252979</v>
      </c>
    </row>
    <row r="361" spans="1:27" x14ac:dyDescent="0.25">
      <c r="A361" s="103" t="s">
        <v>230</v>
      </c>
      <c r="B361" s="20" t="s">
        <v>231</v>
      </c>
      <c r="C361" s="20" t="s">
        <v>73</v>
      </c>
      <c r="D361" s="104" t="s">
        <v>141</v>
      </c>
      <c r="E361" s="15">
        <v>149</v>
      </c>
      <c r="F361" s="15">
        <v>12</v>
      </c>
      <c r="G361" s="20" t="s">
        <v>142</v>
      </c>
      <c r="H361" s="20">
        <v>0.69</v>
      </c>
      <c r="I361" s="68">
        <f>MAX('Max rate concentrations'!$H$3:$H$368)</f>
        <v>282</v>
      </c>
      <c r="J361" s="68">
        <f>MAX('Max rate concentrations'!AA:AA)</f>
        <v>195</v>
      </c>
      <c r="K361" s="69">
        <f t="shared" si="38"/>
        <v>249.39819136504636</v>
      </c>
      <c r="L361" s="69">
        <f t="shared" ref="L361:L369" si="39">((0.398*F361^0.85)/(1-H361))*J361/F361</f>
        <v>172.45619615668099</v>
      </c>
      <c r="M361" s="69">
        <f>IF((((1.18*F361^0.874)-(0.301*F361^0.751)/(1-H361)*H361)*(MAX('Max rate concentrations'!$P$3:$P$368)))/F361&gt;0, (((1.18*F361^0.874)-(0.301*F361^0.751)/(1-H361)*H361)*(MAX('Max rate concentrations'!$P$3:$P$368)))/F361, 0)</f>
        <v>0.43712573472557259</v>
      </c>
      <c r="N361" s="69">
        <f>IF((((1.18*F361^0.874)-(0.301*F361^0.751)/(1-H361)*H361)*(MAX('Max rate concentrations'!$Q$3:$Q$368)))/F361&gt;0, (((1.18*F361^0.874)-(0.301*F361^0.751)/(1-H361)*H361)*(MAX('Max rate concentrations'!$Q$3:$Q$368)))/F361, 0)</f>
        <v>1.6645982853373198</v>
      </c>
      <c r="O361" s="69">
        <f>((MAX('Max rate concentrations'!$F$3:$F$368))*0.62*6.01*8*(10*F361^0.667)*0.079*0.1/F361)*inputs!$E$80/(10^(0.84+0.62*LOG10(inputs!$E$80)))</f>
        <v>64.177984030087785</v>
      </c>
      <c r="P361" s="69">
        <f>((MAX('Max rate concentrations'!Y:Y))*0.62*6.01*8*(10*F361^0.667)*0.079*0.1/F361)*inputs!$E$80/(10^(0.84+0.62*LOG10(inputs!$E$80)))</f>
        <v>21.392661343362597</v>
      </c>
      <c r="Q361" s="69">
        <f>(inputs!$C$18*11.2*(10*F361^0.667)*0.5/F361)*inputs!$E$80/(10^(0.84+0.62*LOG10(inputs!$E$80)))</f>
        <v>11.304649186426818</v>
      </c>
      <c r="R361" s="59">
        <f>(60*284*((F361/1000)^0.77)*3*24*(MAX('Max rate concentrations'!$R$3:$R$368))/F361)*(inputs!$E$73*3.4/inputs!$E$75)</f>
        <v>7.7781276956711706E-2</v>
      </c>
      <c r="S361" s="59">
        <f>(IF(inputs!$C$17="aerial",((0.025*0.112*inputs!$C$18/3.3)*(3*60*284*((F361/1000)^0.77))*MAX(inputs!$I$14:$I$16))/F361,((0.0083*0.112*inputs!$C$18/1)*(3*60*284*((F361/1000)^0.77))*MAX(inputs!$I$14:$I$16))/F361))*(inputs!E$75*3.4/inputs!$E$73)</f>
        <v>0.42896852116641027</v>
      </c>
      <c r="T361" s="63">
        <f>IF((((inputs!$P$13/(V361/MAX(K361:S361)))^(1/inputs!$O$13))-1)/inputs!$N$13&lt;0, 0, IF((((inputs!$P$13/(V361/MAX(K361:S361)))^(1/inputs!$O$13))-1)/inputs!$N$13&lt;inputs!$I$17, (((inputs!$P$13/(V361/MAX(K361:S361)))^(1/inputs!$O$13))-1)/inputs!$N$13, inputs!$I$17))</f>
        <v>1000</v>
      </c>
      <c r="U361" s="63">
        <f>IF((((inputs!$P$13/(X361/MAX(K361:S361)))^(1/inputs!$O$13))-1)/inputs!$N$13&lt;0, 0, IF((((inputs!$P$13/(X361/MAX(K361:S361)))^(1/inputs!$O$13))-1)/inputs!$N$13&lt;inputs!$I$17, (((inputs!$P$13/(X361/MAX(K361:S361)))^(1/inputs!$O$13))-1)/inputs!$N$13, inputs!$I$17))</f>
        <v>90.968486433481146</v>
      </c>
      <c r="V361" s="21">
        <f>inputs!$E$78*(F361/inputs!$F$78)^(inputs!$E$84-1)</f>
        <v>4.1634805476433931E-2</v>
      </c>
      <c r="W361" s="21">
        <f>inputs!$E$85*(F361/inputs!$F$85)^(inputs!$E$84-1)</f>
        <v>1.9226186188588823</v>
      </c>
      <c r="X361" s="21">
        <f>inputs!$E$80*(F361/inputs!$F$80)^(inputs!$E$84-1)</f>
        <v>7.1793986400426615</v>
      </c>
      <c r="Y361" s="21">
        <f>inputs!$E$82*(F361/inputs!$F$82)^(inputs!$E$84-1)</f>
        <v>3.308871382600802</v>
      </c>
      <c r="Z361" s="63">
        <f t="shared" si="34"/>
        <v>5990.1370622761851</v>
      </c>
      <c r="AA361" s="63">
        <f t="shared" si="35"/>
        <v>129.71797366295652</v>
      </c>
    </row>
    <row r="362" spans="1:27" x14ac:dyDescent="0.25">
      <c r="A362" s="103" t="s">
        <v>178</v>
      </c>
      <c r="B362" s="20" t="s">
        <v>179</v>
      </c>
      <c r="C362" s="20" t="s">
        <v>73</v>
      </c>
      <c r="D362" s="104" t="s">
        <v>141</v>
      </c>
      <c r="E362" s="15">
        <v>9966</v>
      </c>
      <c r="F362" s="15">
        <v>18.2</v>
      </c>
      <c r="G362" s="20" t="s">
        <v>142</v>
      </c>
      <c r="H362" s="20">
        <v>0.69</v>
      </c>
      <c r="I362" s="68">
        <f>MAX('Max rate concentrations'!$H$3:$H$368)</f>
        <v>282</v>
      </c>
      <c r="J362" s="68">
        <f>MAX('Max rate concentrations'!AA:AA)</f>
        <v>195</v>
      </c>
      <c r="K362" s="69">
        <f t="shared" si="38"/>
        <v>234.29325087886681</v>
      </c>
      <c r="L362" s="69">
        <f t="shared" si="39"/>
        <v>162.01129050134409</v>
      </c>
      <c r="M362" s="69">
        <f>IF((((1.18*F362^0.874)-(0.301*F362^0.751)/(1-H362)*H362)*(MAX('Max rate concentrations'!$P$3:$P$368)))/F362&gt;0, (((1.18*F362^0.874)-(0.301*F362^0.751)/(1-H362)*H362)*(MAX('Max rate concentrations'!$P$3:$P$368)))/F362, 0)</f>
        <v>0.42966903181821459</v>
      </c>
      <c r="N362" s="69">
        <f>IF((((1.18*F362^0.874)-(0.301*F362^0.751)/(1-H362)*H362)*(MAX('Max rate concentrations'!$Q$3:$Q$368)))/F362&gt;0, (((1.18*F362^0.874)-(0.301*F362^0.751)/(1-H362)*H362)*(MAX('Max rate concentrations'!$Q$3:$Q$368)))/F362, 0)</f>
        <v>1.6362027600048878</v>
      </c>
      <c r="O362" s="69">
        <f>((MAX('Max rate concentrations'!$F$3:$F$368))*0.62*6.01*8*(10*F362^0.667)*0.079*0.1/F362)*inputs!$E$80/(10^(0.84+0.62*LOG10(inputs!$E$80)))</f>
        <v>55.86626711932832</v>
      </c>
      <c r="P362" s="69">
        <f>((MAX('Max rate concentrations'!Y:Y))*0.62*6.01*8*(10*F362^0.667)*0.079*0.1/F362)*inputs!$E$80/(10^(0.84+0.62*LOG10(inputs!$E$80)))</f>
        <v>18.622089039776103</v>
      </c>
      <c r="Q362" s="69">
        <f>(inputs!$C$18*11.2*(10*F362^0.667)*0.5/F362)*inputs!$E$80/(10^(0.84+0.62*LOG10(inputs!$E$80)))</f>
        <v>9.8405794554583839</v>
      </c>
      <c r="R362" s="59">
        <f>(60*284*((F362/1000)^0.77)*3*24*(MAX('Max rate concentrations'!$R$3:$R$368))/F362)*(inputs!$E$73*3.4/inputs!$E$75)</f>
        <v>7.0675735403434248E-2</v>
      </c>
      <c r="S362" s="59">
        <f>(IF(inputs!$C$17="aerial",((0.025*0.112*inputs!$C$18/3.3)*(3*60*284*((F362/1000)^0.77))*MAX(inputs!$I$14:$I$16))/F362,((0.0083*0.112*inputs!$C$18/1)*(3*60*284*((F362/1000)^0.77))*MAX(inputs!$I$14:$I$16))/F362))*(inputs!E$75*3.4/inputs!$E$73)</f>
        <v>0.38978102294762595</v>
      </c>
      <c r="T362" s="63">
        <f>IF((((inputs!$P$13/(V362/MAX(K362:S362)))^(1/inputs!$O$13))-1)/inputs!$N$13&lt;0, 0, IF((((inputs!$P$13/(V362/MAX(K362:S362)))^(1/inputs!$O$13))-1)/inputs!$N$13&lt;inputs!$I$17, (((inputs!$P$13/(V362/MAX(K362:S362)))^(1/inputs!$O$13))-1)/inputs!$N$13, inputs!$I$17))</f>
        <v>1000</v>
      </c>
      <c r="U362" s="63">
        <f>IF((((inputs!$P$13/(X362/MAX(K362:S362)))^(1/inputs!$O$13))-1)/inputs!$N$13&lt;0, 0, IF((((inputs!$P$13/(X362/MAX(K362:S362)))^(1/inputs!$O$13))-1)/inputs!$N$13&lt;inputs!$I$17, (((inputs!$P$13/(X362/MAX(K362:S362)))^(1/inputs!$O$13))-1)/inputs!$N$13, inputs!$I$17))</f>
        <v>98.367446330385363</v>
      </c>
      <c r="V362" s="21">
        <f>inputs!$E$78*(F362/inputs!$F$78)^(inputs!$E$84-1)</f>
        <v>3.5688408999152169E-2</v>
      </c>
      <c r="W362" s="21">
        <f>inputs!$E$85*(F362/inputs!$F$85)^(inputs!$E$84-1)</f>
        <v>1.6480249837616827</v>
      </c>
      <c r="X362" s="21">
        <f>inputs!$E$80*(F362/inputs!$F$80)^(inputs!$E$84-1)</f>
        <v>6.1540173444265367</v>
      </c>
      <c r="Y362" s="21">
        <f>inputs!$E$82*(F362/inputs!$F$82)^(inputs!$E$84-1)</f>
        <v>2.8362893467747248</v>
      </c>
      <c r="Z362" s="63">
        <f t="shared" si="34"/>
        <v>6564.9676589514766</v>
      </c>
      <c r="AA362" s="63">
        <f t="shared" si="35"/>
        <v>142.16607951178213</v>
      </c>
    </row>
    <row r="363" spans="1:27" x14ac:dyDescent="0.25">
      <c r="A363" s="103" t="s">
        <v>178</v>
      </c>
      <c r="B363" s="20" t="s">
        <v>179</v>
      </c>
      <c r="C363" s="20" t="s">
        <v>73</v>
      </c>
      <c r="D363" s="104" t="s">
        <v>141</v>
      </c>
      <c r="E363" s="15">
        <v>9966</v>
      </c>
      <c r="F363" s="15">
        <v>18.2</v>
      </c>
      <c r="G363" s="20" t="s">
        <v>154</v>
      </c>
      <c r="H363" s="20">
        <v>9.2999999999999999E-2</v>
      </c>
      <c r="I363" s="68">
        <f>MAX('Max rate concentrations'!$G$3:$G$368)</f>
        <v>45</v>
      </c>
      <c r="J363" s="68">
        <f>MAX('Max rate concentrations'!Z:Z)</f>
        <v>21</v>
      </c>
      <c r="K363" s="69">
        <f t="shared" si="38"/>
        <v>12.778432717008739</v>
      </c>
      <c r="L363" s="69">
        <f t="shared" si="39"/>
        <v>5.9632686012707437</v>
      </c>
      <c r="M363" s="69">
        <f>IF((((1.18*F363^0.874)-(0.301*F363^0.751)/(1-H363)*H363)*(MAX('Max rate concentrations'!$P$3:$P$368)))/F363&gt;0, (((1.18*F363^0.874)-(0.301*F363^0.751)/(1-H363)*H363)*(MAX('Max rate concentrations'!$P$3:$P$368)))/F363, 0)</f>
        <v>0.69992573167513739</v>
      </c>
      <c r="N363" s="69">
        <f>IF((((1.18*F363^0.874)-(0.301*F363^0.751)/(1-H363)*H363)*(MAX('Max rate concentrations'!$Q$3:$Q$368)))/F363&gt;0, (((1.18*F363^0.874)-(0.301*F363^0.751)/(1-H363)*H363)*(MAX('Max rate concentrations'!$Q$3:$Q$368)))/F363, 0)</f>
        <v>2.6653547944079503</v>
      </c>
      <c r="O363" s="69">
        <f>((MAX('Max rate concentrations'!$F$3:$F$368))*0.62*6.01*8*(10*F363^0.667)*0.079*0.1/F363)*inputs!$E$80/(10^(0.84+0.62*LOG10(inputs!$E$80)))</f>
        <v>55.86626711932832</v>
      </c>
      <c r="P363" s="69">
        <f>((MAX('Max rate concentrations'!Y:Y))*0.62*6.01*8*(10*F363^0.667)*0.079*0.1/F363)*inputs!$E$80/(10^(0.84+0.62*LOG10(inputs!$E$80)))</f>
        <v>18.622089039776103</v>
      </c>
      <c r="Q363" s="69">
        <f>(inputs!$C$18*11.2*(10*F363^0.667)*0.5/F363)*inputs!$E$80/(10^(0.84+0.62*LOG10(inputs!$E$80)))</f>
        <v>9.8405794554583839</v>
      </c>
      <c r="R363" s="59">
        <f>(60*284*((F363/1000)^0.77)*3*24*(MAX('Max rate concentrations'!$R$3:$R$368))/F363)*(inputs!$E$73*3.4/inputs!$E$75)</f>
        <v>7.0675735403434248E-2</v>
      </c>
      <c r="S363" s="59">
        <f>(IF(inputs!$C$17="aerial",((0.025*0.112*inputs!$C$18/3.3)*(3*60*284*((F363/1000)^0.77))*MAX(inputs!$I$14:$I$16))/F363,((0.0083*0.112*inputs!$C$18/1)*(3*60*284*((F363/1000)^0.77))*MAX(inputs!$I$14:$I$16))/F363))*(inputs!E$75*3.4/inputs!$E$73)</f>
        <v>0.38978102294762595</v>
      </c>
      <c r="T363" s="63">
        <f>IF((((inputs!$P$13/(V363/MAX(K363:S363)))^(1/inputs!$O$13))-1)/inputs!$N$13&lt;0, 0, IF((((inputs!$P$13/(V363/MAX(K363:S363)))^(1/inputs!$O$13))-1)/inputs!$N$13&lt;inputs!$I$17, (((inputs!$P$13/(V363/MAX(K363:S363)))^(1/inputs!$O$13))-1)/inputs!$N$13, inputs!$I$17))</f>
        <v>1000</v>
      </c>
      <c r="U363" s="63">
        <f>IF((((inputs!$P$13/(X363/MAX(K363:S363)))^(1/inputs!$O$13))-1)/inputs!$N$13&lt;0, 0, IF((((inputs!$P$13/(X363/MAX(K363:S363)))^(1/inputs!$O$13))-1)/inputs!$N$13&lt;inputs!$I$17, (((inputs!$P$13/(X363/MAX(K363:S363)))^(1/inputs!$O$13))-1)/inputs!$N$13, inputs!$I$17))</f>
        <v>27.270310400194909</v>
      </c>
      <c r="V363" s="21">
        <f>inputs!$E$78*(F363/inputs!$F$78)^(inputs!$E$84-1)</f>
        <v>3.5688408999152169E-2</v>
      </c>
      <c r="W363" s="21">
        <f>inputs!$E$85*(F363/inputs!$F$85)^(inputs!$E$84-1)</f>
        <v>1.6480249837616827</v>
      </c>
      <c r="X363" s="21">
        <f>inputs!$E$80*(F363/inputs!$F$80)^(inputs!$E$84-1)</f>
        <v>6.1540173444265367</v>
      </c>
      <c r="Y363" s="21">
        <f>inputs!$E$82*(F363/inputs!$F$82)^(inputs!$E$84-1)</f>
        <v>2.8362893467747248</v>
      </c>
      <c r="Z363" s="63">
        <f t="shared" si="34"/>
        <v>1565.3896793397405</v>
      </c>
      <c r="AA363" s="63">
        <f t="shared" si="35"/>
        <v>33.89892002232353</v>
      </c>
    </row>
    <row r="364" spans="1:27" x14ac:dyDescent="0.25">
      <c r="A364" s="103" t="s">
        <v>232</v>
      </c>
      <c r="B364" s="20" t="s">
        <v>233</v>
      </c>
      <c r="C364" s="20" t="s">
        <v>73</v>
      </c>
      <c r="D364" s="104" t="s">
        <v>141</v>
      </c>
      <c r="E364" s="15">
        <v>4296</v>
      </c>
      <c r="F364" s="15">
        <v>30.8</v>
      </c>
      <c r="G364" s="20" t="s">
        <v>142</v>
      </c>
      <c r="H364" s="20">
        <v>0.69</v>
      </c>
      <c r="I364" s="68">
        <f>MAX('Max rate concentrations'!$H$3:$H$368)</f>
        <v>282</v>
      </c>
      <c r="J364" s="68">
        <f>MAX('Max rate concentrations'!AA:AA)</f>
        <v>195</v>
      </c>
      <c r="K364" s="69">
        <f t="shared" si="38"/>
        <v>216.51494503534678</v>
      </c>
      <c r="L364" s="69">
        <f t="shared" si="39"/>
        <v>149.71778114146321</v>
      </c>
      <c r="M364" s="69">
        <f>IF((((1.18*F364^0.874)-(0.301*F364^0.751)/(1-H364)*H364)*(MAX('Max rate concentrations'!$P$3:$P$368)))/F364&gt;0, (((1.18*F364^0.874)-(0.301*F364^0.751)/(1-H364)*H364)*(MAX('Max rate concentrations'!$P$3:$P$368)))/F364, 0)</f>
        <v>0.4187242639566533</v>
      </c>
      <c r="N364" s="69">
        <f>IF((((1.18*F364^0.874)-(0.301*F364^0.751)/(1-H364)*H364)*(MAX('Max rate concentrations'!$Q$3:$Q$368)))/F364&gt;0, (((1.18*F364^0.874)-(0.301*F364^0.751)/(1-H364)*H364)*(MAX('Max rate concentrations'!$Q$3:$Q$368)))/F364, 0)</f>
        <v>1.594524495907242</v>
      </c>
      <c r="O364" s="69">
        <f>((MAX('Max rate concentrations'!$F$3:$F$368))*0.62*6.01*8*(10*F364^0.667)*0.079*0.1/F364)*inputs!$E$80/(10^(0.84+0.62*LOG10(inputs!$E$80)))</f>
        <v>46.88846735586894</v>
      </c>
      <c r="P364" s="69">
        <f>((MAX('Max rate concentrations'!Y:Y))*0.62*6.01*8*(10*F364^0.667)*0.079*0.1/F364)*inputs!$E$80/(10^(0.84+0.62*LOG10(inputs!$E$80)))</f>
        <v>15.629489118622981</v>
      </c>
      <c r="Q364" s="69">
        <f>(inputs!$C$18*11.2*(10*F364^0.667)*0.5/F364)*inputs!$E$80/(10^(0.84+0.62*LOG10(inputs!$E$80)))</f>
        <v>8.2591823716186514</v>
      </c>
      <c r="R364" s="59">
        <f>(60*284*((F364/1000)^0.77)*3*24*(MAX('Max rate concentrations'!$R$3:$R$368))/F364)*(inputs!$E$73*3.4/inputs!$E$75)</f>
        <v>6.2621013262187039E-2</v>
      </c>
      <c r="S364" s="59">
        <f>(IF(inputs!$C$17="aerial",((0.025*0.112*inputs!$C$18/3.3)*(3*60*284*((F364/1000)^0.77))*MAX(inputs!$I$14:$I$16))/F364,((0.0083*0.112*inputs!$C$18/1)*(3*60*284*((F364/1000)^0.77))*MAX(inputs!$I$14:$I$16))/F364))*(inputs!E$75*3.4/inputs!$E$73)</f>
        <v>0.34535873547013807</v>
      </c>
      <c r="T364" s="63">
        <f>IF((((inputs!$P$13/(V364/MAX(K364:S364)))^(1/inputs!$O$13))-1)/inputs!$N$13&lt;0, 0, IF((((inputs!$P$13/(V364/MAX(K364:S364)))^(1/inputs!$O$13))-1)/inputs!$N$13&lt;inputs!$I$17, (((inputs!$P$13/(V364/MAX(K364:S364)))^(1/inputs!$O$13))-1)/inputs!$N$13, inputs!$I$17))</f>
        <v>1000</v>
      </c>
      <c r="U364" s="63">
        <f>IF((((inputs!$P$13/(X364/MAX(K364:S364)))^(1/inputs!$O$13))-1)/inputs!$N$13&lt;0, 0, IF((((inputs!$P$13/(X364/MAX(K364:S364)))^(1/inputs!$O$13))-1)/inputs!$N$13&lt;inputs!$I$17, (((inputs!$P$13/(X364/MAX(K364:S364)))^(1/inputs!$O$13))-1)/inputs!$N$13, inputs!$I$17))</f>
        <v>108.53172865849379</v>
      </c>
      <c r="V364" s="21">
        <f>inputs!$E$78*(F364/inputs!$F$78)^(inputs!$E$84-1)</f>
        <v>2.9375809005257807E-2</v>
      </c>
      <c r="W364" s="21">
        <f>inputs!$E$85*(F364/inputs!$F$85)^(inputs!$E$84-1)</f>
        <v>1.3565207448733958</v>
      </c>
      <c r="X364" s="21">
        <f>inputs!$E$80*(F364/inputs!$F$80)^(inputs!$E$84-1)</f>
        <v>5.0654888574386288</v>
      </c>
      <c r="Y364" s="21">
        <f>inputs!$E$82*(F364/inputs!$F$82)^(inputs!$E$84-1)</f>
        <v>2.3346037683125944</v>
      </c>
      <c r="Z364" s="63">
        <f t="shared" si="34"/>
        <v>7370.518544581837</v>
      </c>
      <c r="AA364" s="63">
        <f t="shared" si="35"/>
        <v>159.61049313370739</v>
      </c>
    </row>
    <row r="365" spans="1:27" x14ac:dyDescent="0.25">
      <c r="A365" s="103" t="s">
        <v>232</v>
      </c>
      <c r="B365" s="20" t="s">
        <v>233</v>
      </c>
      <c r="C365" s="20" t="s">
        <v>73</v>
      </c>
      <c r="D365" s="104" t="s">
        <v>141</v>
      </c>
      <c r="E365" s="15">
        <v>4296</v>
      </c>
      <c r="F365" s="15">
        <v>30.8</v>
      </c>
      <c r="G365" s="20" t="s">
        <v>154</v>
      </c>
      <c r="H365" s="20">
        <v>9.2999999999999999E-2</v>
      </c>
      <c r="I365" s="68">
        <f>MAX('Max rate concentrations'!$G$3:$G$368)</f>
        <v>45</v>
      </c>
      <c r="J365" s="68">
        <f>MAX('Max rate concentrations'!Z:Z)</f>
        <v>21</v>
      </c>
      <c r="K365" s="69">
        <f t="shared" si="38"/>
        <v>11.808797935846052</v>
      </c>
      <c r="L365" s="69">
        <f t="shared" si="39"/>
        <v>5.510772370061491</v>
      </c>
      <c r="M365" s="69">
        <f>IF((((1.18*F365^0.874)-(0.301*F365^0.751)/(1-H365)*H365)*(MAX('Max rate concentrations'!$P$3:$P$368)))/F365&gt;0, (((1.18*F365^0.874)-(0.301*F365^0.751)/(1-H365)*H365)*(MAX('Max rate concentrations'!$P$3:$P$368)))/F365, 0)</f>
        <v>0.65579891306075755</v>
      </c>
      <c r="N365" s="69">
        <f>IF((((1.18*F365^0.874)-(0.301*F365^0.751)/(1-H365)*H365)*(MAX('Max rate concentrations'!$Q$3:$Q$368)))/F365&gt;0, (((1.18*F365^0.874)-(0.301*F365^0.751)/(1-H365)*H365)*(MAX('Max rate concentrations'!$Q$3:$Q$368)))/F365, 0)</f>
        <v>2.4973174981160682</v>
      </c>
      <c r="O365" s="69">
        <f>((MAX('Max rate concentrations'!$F$3:$F$368))*0.62*6.01*8*(10*F365^0.667)*0.079*0.1/F365)*inputs!$E$80/(10^(0.84+0.62*LOG10(inputs!$E$80)))</f>
        <v>46.88846735586894</v>
      </c>
      <c r="P365" s="69">
        <f>((MAX('Max rate concentrations'!Y:Y))*0.62*6.01*8*(10*F365^0.667)*0.079*0.1/F365)*inputs!$E$80/(10^(0.84+0.62*LOG10(inputs!$E$80)))</f>
        <v>15.629489118622981</v>
      </c>
      <c r="Q365" s="69">
        <f>(inputs!$C$18*11.2*(10*F365^0.667)*0.5/F365)*inputs!$E$80/(10^(0.84+0.62*LOG10(inputs!$E$80)))</f>
        <v>8.2591823716186514</v>
      </c>
      <c r="R365" s="59">
        <f>(60*284*((F365/1000)^0.77)*3*24*(MAX('Max rate concentrations'!$R$3:$R$368))/F365)*(inputs!$E$73*3.4/inputs!$E$75)</f>
        <v>6.2621013262187039E-2</v>
      </c>
      <c r="S365" s="59">
        <f>(IF(inputs!$C$17="aerial",((0.025*0.112*inputs!$C$18/3.3)*(3*60*284*((F365/1000)^0.77))*MAX(inputs!$I$14:$I$16))/F365,((0.0083*0.112*inputs!$C$18/1)*(3*60*284*((F365/1000)^0.77))*MAX(inputs!$I$14:$I$16))/F365))*(inputs!E$75*3.4/inputs!$E$73)</f>
        <v>0.34535873547013807</v>
      </c>
      <c r="T365" s="63">
        <f>IF((((inputs!$P$13/(V365/MAX(K365:S365)))^(1/inputs!$O$13))-1)/inputs!$N$13&lt;0, 0, IF((((inputs!$P$13/(V365/MAX(K365:S365)))^(1/inputs!$O$13))-1)/inputs!$N$13&lt;inputs!$I$17, (((inputs!$P$13/(V365/MAX(K365:S365)))^(1/inputs!$O$13))-1)/inputs!$N$13, inputs!$I$17))</f>
        <v>1000</v>
      </c>
      <c r="U365" s="63">
        <f>IF((((inputs!$P$13/(X365/MAX(K365:S365)))^(1/inputs!$O$13))-1)/inputs!$N$13&lt;0, 0, IF((((inputs!$P$13/(X365/MAX(K365:S365)))^(1/inputs!$O$13))-1)/inputs!$N$13&lt;inputs!$I$17, (((inputs!$P$13/(X365/MAX(K365:S365)))^(1/inputs!$O$13))-1)/inputs!$N$13, inputs!$I$17))</f>
        <v>27.785907369161201</v>
      </c>
      <c r="V365" s="21">
        <f>inputs!$E$78*(F365/inputs!$F$78)^(inputs!$E$84-1)</f>
        <v>2.9375809005257807E-2</v>
      </c>
      <c r="W365" s="21">
        <f>inputs!$E$85*(F365/inputs!$F$85)^(inputs!$E$84-1)</f>
        <v>1.3565207448733958</v>
      </c>
      <c r="X365" s="21">
        <f>inputs!$E$80*(F365/inputs!$F$80)^(inputs!$E$84-1)</f>
        <v>5.0654888574386288</v>
      </c>
      <c r="Y365" s="21">
        <f>inputs!$E$82*(F365/inputs!$F$82)^(inputs!$E$84-1)</f>
        <v>2.3346037683125944</v>
      </c>
      <c r="Z365" s="63">
        <f t="shared" si="34"/>
        <v>1596.1591848407186</v>
      </c>
      <c r="AA365" s="63">
        <f t="shared" si="35"/>
        <v>34.565241654483543</v>
      </c>
    </row>
    <row r="366" spans="1:27" x14ac:dyDescent="0.25">
      <c r="A366" s="103" t="s">
        <v>150</v>
      </c>
      <c r="B366" s="20" t="s">
        <v>151</v>
      </c>
      <c r="C366" s="20" t="s">
        <v>73</v>
      </c>
      <c r="D366" s="104" t="s">
        <v>141</v>
      </c>
      <c r="E366" s="15">
        <v>117</v>
      </c>
      <c r="F366" s="15">
        <v>35.5</v>
      </c>
      <c r="G366" s="20" t="s">
        <v>142</v>
      </c>
      <c r="H366" s="20">
        <v>0.69</v>
      </c>
      <c r="I366" s="68">
        <f>MAX('Max rate concentrations'!$H$3:$H$368)</f>
        <v>282</v>
      </c>
      <c r="J366" s="68">
        <f>MAX('Max rate concentrations'!AA:AA)</f>
        <v>195</v>
      </c>
      <c r="K366" s="69">
        <f t="shared" si="38"/>
        <v>211.95137269279297</v>
      </c>
      <c r="L366" s="69">
        <f t="shared" si="39"/>
        <v>146.5621194152292</v>
      </c>
      <c r="M366" s="69">
        <f>IF((((1.18*F366^0.874)-(0.301*F366^0.751)/(1-H366)*H366)*(MAX('Max rate concentrations'!$P$3:$P$368)))/F366&gt;0, (((1.18*F366^0.874)-(0.301*F366^0.751)/(1-H366)*H366)*(MAX('Max rate concentrations'!$P$3:$P$368)))/F366, 0)</f>
        <v>0.41552537762875641</v>
      </c>
      <c r="N366" s="69">
        <f>IF((((1.18*F366^0.874)-(0.301*F366^0.751)/(1-H366)*H366)*(MAX('Max rate concentrations'!$Q$3:$Q$368)))/F366&gt;0, (((1.18*F366^0.874)-(0.301*F366^0.751)/(1-H366)*H366)*(MAX('Max rate concentrations'!$Q$3:$Q$368)))/F366, 0)</f>
        <v>1.5823429648890579</v>
      </c>
      <c r="O366" s="69">
        <f>((MAX('Max rate concentrations'!$F$3:$F$368))*0.62*6.01*8*(10*F366^0.667)*0.079*0.1/F366)*inputs!$E$80/(10^(0.84+0.62*LOG10(inputs!$E$80)))</f>
        <v>44.722635051882278</v>
      </c>
      <c r="P366" s="69">
        <f>((MAX('Max rate concentrations'!Y:Y))*0.62*6.01*8*(10*F366^0.667)*0.079*0.1/F366)*inputs!$E$80/(10^(0.84+0.62*LOG10(inputs!$E$80)))</f>
        <v>14.907545017294096</v>
      </c>
      <c r="Q366" s="69">
        <f>(inputs!$C$18*11.2*(10*F366^0.667)*0.5/F366)*inputs!$E$80/(10^(0.84+0.62*LOG10(inputs!$E$80)))</f>
        <v>7.8776812265885843</v>
      </c>
      <c r="R366" s="59">
        <f>(60*284*((F366/1000)^0.77)*3*24*(MAX('Max rate concentrations'!$R$3:$R$368))/F366)*(inputs!$E$73*3.4/inputs!$E$75)</f>
        <v>6.060859746664117E-2</v>
      </c>
      <c r="S366" s="59">
        <f>(IF(inputs!$C$17="aerial",((0.025*0.112*inputs!$C$18/3.3)*(3*60*284*((F366/1000)^0.77))*MAX(inputs!$I$14:$I$16))/F366,((0.0083*0.112*inputs!$C$18/1)*(3*60*284*((F366/1000)^0.77))*MAX(inputs!$I$14:$I$16))/F366))*(inputs!E$75*3.4/inputs!$E$73)</f>
        <v>0.33426013871827859</v>
      </c>
      <c r="T366" s="63">
        <f>IF((((inputs!$P$13/(V366/MAX(K366:S366)))^(1/inputs!$O$13))-1)/inputs!$N$13&lt;0, 0, IF((((inputs!$P$13/(V366/MAX(K366:S366)))^(1/inputs!$O$13))-1)/inputs!$N$13&lt;inputs!$I$17, (((inputs!$P$13/(V366/MAX(K366:S366)))^(1/inputs!$O$13))-1)/inputs!$N$13, inputs!$I$17))</f>
        <v>1000</v>
      </c>
      <c r="U366" s="63">
        <f>IF((((inputs!$P$13/(X366/MAX(K366:S366)))^(1/inputs!$O$13))-1)/inputs!$N$13&lt;0, 0, IF((((inputs!$P$13/(X366/MAX(K366:S366)))^(1/inputs!$O$13))-1)/inputs!$N$13&lt;inputs!$I$17, (((inputs!$P$13/(X366/MAX(K366:S366)))^(1/inputs!$O$13))-1)/inputs!$N$13, inputs!$I$17))</f>
        <v>111.44258702035295</v>
      </c>
      <c r="V366" s="21">
        <f>inputs!$E$78*(F366/inputs!$F$78)^(inputs!$E$84-1)</f>
        <v>2.7872062701307335E-2</v>
      </c>
      <c r="W366" s="21">
        <f>inputs!$E$85*(F366/inputs!$F$85)^(inputs!$E$84-1)</f>
        <v>1.2870805107007672</v>
      </c>
      <c r="X366" s="21">
        <f>inputs!$E$80*(F366/inputs!$F$80)^(inputs!$E$84-1)</f>
        <v>4.80618671717375</v>
      </c>
      <c r="Y366" s="21">
        <f>inputs!$E$82*(F366/inputs!$F$82)^(inputs!$E$84-1)</f>
        <v>2.215095509419688</v>
      </c>
      <c r="Z366" s="63">
        <f t="shared" si="34"/>
        <v>7604.4379981554584</v>
      </c>
      <c r="AA366" s="63">
        <f t="shared" si="35"/>
        <v>164.67607964741333</v>
      </c>
    </row>
    <row r="367" spans="1:27" x14ac:dyDescent="0.25">
      <c r="A367" s="103" t="s">
        <v>150</v>
      </c>
      <c r="B367" s="20" t="s">
        <v>151</v>
      </c>
      <c r="C367" s="20" t="s">
        <v>73</v>
      </c>
      <c r="D367" s="104" t="s">
        <v>141</v>
      </c>
      <c r="E367" s="15">
        <v>117</v>
      </c>
      <c r="F367" s="15">
        <v>35.5</v>
      </c>
      <c r="G367" s="20" t="s">
        <v>152</v>
      </c>
      <c r="H367" s="20">
        <v>0.77</v>
      </c>
      <c r="I367" s="68">
        <f>MAX('Max rate concentrations'!$G$3:$G$368)</f>
        <v>45</v>
      </c>
      <c r="J367" s="68">
        <f>MAX('Max rate concentrations'!Z:Z)</f>
        <v>21</v>
      </c>
      <c r="K367" s="69">
        <f t="shared" si="38"/>
        <v>45.586211055572967</v>
      </c>
      <c r="L367" s="69">
        <f t="shared" si="39"/>
        <v>21.273565159267385</v>
      </c>
      <c r="M367" s="69">
        <f>IF((((1.18*F367^0.874)-(0.301*F367^0.751)/(1-H367)*H367)*(MAX('Max rate concentrations'!$P$3:$P$368)))/F367&gt;0, (((1.18*F367^0.874)-(0.301*F367^0.751)/(1-H367)*H367)*(MAX('Max rate concentrations'!$P$3:$P$368)))/F367, 0)</f>
        <v>0.29459859677627703</v>
      </c>
      <c r="N367" s="69">
        <f>IF((((1.18*F367^0.874)-(0.301*F367^0.751)/(1-H367)*H367)*(MAX('Max rate concentrations'!$Q$3:$Q$368)))/F367&gt;0, (((1.18*F367^0.874)-(0.301*F367^0.751)/(1-H367)*H367)*(MAX('Max rate concentrations'!$Q$3:$Q$368)))/F367, 0)</f>
        <v>1.1218472858031041</v>
      </c>
      <c r="O367" s="69">
        <f>((MAX('Max rate concentrations'!$F$3:$F$368))*0.62*6.01*8*(10*F367^0.667)*0.079*0.1/F367)*inputs!$E$80/(10^(0.84+0.62*LOG10(inputs!$E$80)))</f>
        <v>44.722635051882278</v>
      </c>
      <c r="P367" s="69">
        <f>((MAX('Max rate concentrations'!Y:Y))*0.62*6.01*8*(10*F367^0.667)*0.079*0.1/F367)*inputs!$E$80/(10^(0.84+0.62*LOG10(inputs!$E$80)))</f>
        <v>14.907545017294096</v>
      </c>
      <c r="Q367" s="69">
        <f>(inputs!$C$18*11.2*(10*F367^0.667)*0.5/F367)*inputs!$E$80/(10^(0.84+0.62*LOG10(inputs!$E$80)))</f>
        <v>7.8776812265885843</v>
      </c>
      <c r="R367" s="59">
        <f>(60*284*((F367/1000)^0.77)*3*24*(MAX('Max rate concentrations'!$R$3:$R$368))/F367)*(inputs!$E$73*3.4/inputs!$E$75)</f>
        <v>6.060859746664117E-2</v>
      </c>
      <c r="S367" s="59">
        <f>(IF(inputs!$C$17="aerial",((0.025*0.112*inputs!$C$18/3.3)*(3*60*284*((F367/1000)^0.77))*MAX(inputs!$I$14:$I$16))/F367,((0.0083*0.112*inputs!$C$18/1)*(3*60*284*((F367/1000)^0.77))*MAX(inputs!$I$14:$I$16))/F367))*(inputs!E$75*3.4/inputs!$E$73)</f>
        <v>0.33426013871827859</v>
      </c>
      <c r="T367" s="63">
        <f>IF((((inputs!$P$13/(V367/MAX(K367:S367)))^(1/inputs!$O$13))-1)/inputs!$N$13&lt;0, 0, IF((((inputs!$P$13/(V367/MAX(K367:S367)))^(1/inputs!$O$13))-1)/inputs!$N$13&lt;inputs!$I$17, (((inputs!$P$13/(V367/MAX(K367:S367)))^(1/inputs!$O$13))-1)/inputs!$N$13, inputs!$I$17))</f>
        <v>1000</v>
      </c>
      <c r="U367" s="63">
        <f>IF((((inputs!$P$13/(X367/MAX(K367:S367)))^(1/inputs!$O$13))-1)/inputs!$N$13&lt;0, 0, IF((((inputs!$P$13/(X367/MAX(K367:S367)))^(1/inputs!$O$13))-1)/inputs!$N$13&lt;inputs!$I$17, (((inputs!$P$13/(X367/MAX(K367:S367)))^(1/inputs!$O$13))-1)/inputs!$N$13, inputs!$I$17))</f>
        <v>28.443239864592659</v>
      </c>
      <c r="V367" s="21">
        <f>inputs!$E$78*(F367/inputs!$F$78)^(inputs!$E$84-1)</f>
        <v>2.7872062701307335E-2</v>
      </c>
      <c r="W367" s="21">
        <f>inputs!$E$85*(F367/inputs!$F$85)^(inputs!$E$84-1)</f>
        <v>1.2870805107007672</v>
      </c>
      <c r="X367" s="21">
        <f>inputs!$E$80*(F367/inputs!$F$80)^(inputs!$E$84-1)</f>
        <v>4.80618671717375</v>
      </c>
      <c r="Y367" s="21">
        <f>inputs!$E$82*(F367/inputs!$F$82)^(inputs!$E$84-1)</f>
        <v>2.215095509419688</v>
      </c>
      <c r="Z367" s="63">
        <f t="shared" si="34"/>
        <v>1635.5521133868126</v>
      </c>
      <c r="AA367" s="63">
        <f t="shared" si="35"/>
        <v>35.418305752103244</v>
      </c>
    </row>
    <row r="368" spans="1:27" x14ac:dyDescent="0.25">
      <c r="A368" s="103" t="s">
        <v>150</v>
      </c>
      <c r="B368" s="20" t="s">
        <v>151</v>
      </c>
      <c r="C368" s="20" t="s">
        <v>73</v>
      </c>
      <c r="D368" s="104" t="s">
        <v>141</v>
      </c>
      <c r="E368" s="15">
        <v>117</v>
      </c>
      <c r="F368" s="15">
        <v>35.5</v>
      </c>
      <c r="G368" s="20" t="s">
        <v>153</v>
      </c>
      <c r="H368" s="20">
        <v>0.7</v>
      </c>
      <c r="I368" s="68">
        <f>MAX('Max rate concentrations'!$E$3:$E$368)</f>
        <v>330</v>
      </c>
      <c r="J368" s="68">
        <f>MAX('Max rate concentrations'!X:X)</f>
        <v>108</v>
      </c>
      <c r="K368" s="69">
        <f t="shared" si="38"/>
        <v>256.29580882355464</v>
      </c>
      <c r="L368" s="69">
        <f t="shared" si="39"/>
        <v>83.878628342254245</v>
      </c>
      <c r="M368" s="69">
        <f>IF((((1.18*F368^0.874)-(0.301*F368^0.751)/(1-H368)*H368)*(MAX('Max rate concentrations'!$P$3:$P$368)))/F368&gt;0, (((1.18*F368^0.874)-(0.301*F368^0.751)/(1-H368)*H368)*(MAX('Max rate concentrations'!$P$3:$P$368)))/F368, 0)</f>
        <v>0.40393656113039383</v>
      </c>
      <c r="N368" s="69">
        <f>IF((((1.18*F368^0.874)-(0.301*F368^0.751)/(1-H368)*H368)*(MAX('Max rate concentrations'!$Q$3:$Q$368)))/F368&gt;0, (((1.18*F368^0.874)-(0.301*F368^0.751)/(1-H368)*H368)*(MAX('Max rate concentrations'!$Q$3:$Q$368)))/F368, 0)</f>
        <v>1.5382121289766542</v>
      </c>
      <c r="O368" s="69">
        <f>((MAX('Max rate concentrations'!$F$3:$F$368))*0.62*6.01*8*(10*F368^0.667)*0.079*0.1/F368)*inputs!$E$80/(10^(0.84+0.62*LOG10(inputs!$E$80)))</f>
        <v>44.722635051882278</v>
      </c>
      <c r="P368" s="69">
        <f>((MAX('Max rate concentrations'!Y:Y))*0.62*6.01*8*(10*F368^0.667)*0.079*0.1/F368)*inputs!$E$80/(10^(0.84+0.62*LOG10(inputs!$E$80)))</f>
        <v>14.907545017294096</v>
      </c>
      <c r="Q368" s="69">
        <f>(inputs!$C$18*11.2*(10*F368^0.667)*0.5/F368)*inputs!$E$80/(10^(0.84+0.62*LOG10(inputs!$E$80)))</f>
        <v>7.8776812265885843</v>
      </c>
      <c r="R368" s="59">
        <f>(60*284*((F368/1000)^0.77)*3*24*(MAX('Max rate concentrations'!$R$3:$R$368))/F368)*(inputs!$E$73*3.4/inputs!$E$75)</f>
        <v>6.060859746664117E-2</v>
      </c>
      <c r="S368" s="59">
        <f>(IF(inputs!$C$17="aerial",((0.025*0.112*inputs!$C$18/3.3)*(3*60*284*((F368/1000)^0.77))*MAX(inputs!$I$14:$I$16))/F368,((0.0083*0.112*inputs!$C$18/1)*(3*60*284*((F368/1000)^0.77))*MAX(inputs!$I$14:$I$16))/F368))*(inputs!E$75*3.4/inputs!$E$73)</f>
        <v>0.33426013871827859</v>
      </c>
      <c r="T368" s="63">
        <f>IF((((inputs!$P$13/(V368/MAX(K368:S368)))^(1/inputs!$O$13))-1)/inputs!$N$13&lt;0, 0, IF((((inputs!$P$13/(V368/MAX(K368:S368)))^(1/inputs!$O$13))-1)/inputs!$N$13&lt;inputs!$I$17, (((inputs!$P$13/(V368/MAX(K368:S368)))^(1/inputs!$O$13))-1)/inputs!$N$13, inputs!$I$17))</f>
        <v>1000</v>
      </c>
      <c r="U368" s="63">
        <f>IF((((inputs!$P$13/(X368/MAX(K368:S368)))^(1/inputs!$O$13))-1)/inputs!$N$13&lt;0, 0, IF((((inputs!$P$13/(X368/MAX(K368:S368)))^(1/inputs!$O$13))-1)/inputs!$N$13&lt;inputs!$I$17, (((inputs!$P$13/(X368/MAX(K368:S368)))^(1/inputs!$O$13))-1)/inputs!$N$13, inputs!$I$17))</f>
        <v>130.81634983966021</v>
      </c>
      <c r="V368" s="21">
        <f>inputs!$E$78*(F368/inputs!$F$78)^(inputs!$E$84-1)</f>
        <v>2.7872062701307335E-2</v>
      </c>
      <c r="W368" s="21">
        <f>inputs!$E$85*(F368/inputs!$F$85)^(inputs!$E$84-1)</f>
        <v>1.2870805107007672</v>
      </c>
      <c r="X368" s="21">
        <f>inputs!$E$80*(F368/inputs!$F$80)^(inputs!$E$84-1)</f>
        <v>4.80618671717375</v>
      </c>
      <c r="Y368" s="21">
        <f>inputs!$E$82*(F368/inputs!$F$82)^(inputs!$E$84-1)</f>
        <v>2.215095509419688</v>
      </c>
      <c r="Z368" s="63">
        <f t="shared" si="34"/>
        <v>9195.4374374858562</v>
      </c>
      <c r="AA368" s="63">
        <f t="shared" si="35"/>
        <v>199.129585672936</v>
      </c>
    </row>
    <row r="369" spans="1:27" x14ac:dyDescent="0.25">
      <c r="A369" s="103" t="s">
        <v>150</v>
      </c>
      <c r="B369" s="20" t="s">
        <v>151</v>
      </c>
      <c r="C369" s="20" t="s">
        <v>73</v>
      </c>
      <c r="D369" s="104" t="s">
        <v>141</v>
      </c>
      <c r="E369" s="15">
        <v>117</v>
      </c>
      <c r="F369" s="15">
        <v>35.5</v>
      </c>
      <c r="G369" s="20" t="s">
        <v>154</v>
      </c>
      <c r="H369" s="20">
        <v>9.2999999999999999E-2</v>
      </c>
      <c r="I369" s="68">
        <f>MAX('Max rate concentrations'!$G$3:$G$368)</f>
        <v>45</v>
      </c>
      <c r="J369" s="68">
        <f>MAX('Max rate concentrations'!Z:Z)</f>
        <v>21</v>
      </c>
      <c r="K369" s="69">
        <f t="shared" si="38"/>
        <v>11.559899165139781</v>
      </c>
      <c r="L369" s="69">
        <f t="shared" si="39"/>
        <v>5.3946196103985642</v>
      </c>
      <c r="M369" s="69">
        <f>IF((((1.18*F369^0.874)-(0.301*F369^0.751)/(1-H369)*H369)*(MAX('Max rate concentrations'!$P$3:$P$368)))/F369&gt;0, (((1.18*F369^0.874)-(0.301*F369^0.751)/(1-H369)*H369)*(MAX('Max rate concentrations'!$P$3:$P$368)))/F369, 0)</f>
        <v>0.64436297794372221</v>
      </c>
      <c r="N369" s="69">
        <f>IF((((1.18*F369^0.874)-(0.301*F369^0.751)/(1-H369)*H369)*(MAX('Max rate concentrations'!$Q$3:$Q$368)))/F369&gt;0, (((1.18*F369^0.874)-(0.301*F369^0.751)/(1-H369)*H369)*(MAX('Max rate concentrations'!$Q$3:$Q$368)))/F369, 0)</f>
        <v>2.4537688427183326</v>
      </c>
      <c r="O369" s="69">
        <f>((MAX('Max rate concentrations'!$F$3:$F$368))*0.62*6.01*8*(10*F369^0.667)*0.079*0.1/F369)*inputs!$E$80/(10^(0.84+0.62*LOG10(inputs!$E$80)))</f>
        <v>44.722635051882278</v>
      </c>
      <c r="P369" s="69">
        <f>((MAX('Max rate concentrations'!Y:Y))*0.62*6.01*8*(10*F369^0.667)*0.079*0.1/F369)*inputs!$E$80/(10^(0.84+0.62*LOG10(inputs!$E$80)))</f>
        <v>14.907545017294096</v>
      </c>
      <c r="Q369" s="69">
        <f>(inputs!$C$18*11.2*(10*F369^0.667)*0.5/F369)*inputs!$E$80/(10^(0.84+0.62*LOG10(inputs!$E$80)))</f>
        <v>7.8776812265885843</v>
      </c>
      <c r="R369" s="59">
        <f>(60*284*((F369/1000)^0.77)*3*24*(MAX('Max rate concentrations'!$R$3:$R$368))/F369)*(inputs!$E$73*3.4/inputs!$E$75)</f>
        <v>6.060859746664117E-2</v>
      </c>
      <c r="S369" s="59">
        <f>(IF(inputs!$C$17="aerial",((0.025*0.112*inputs!$C$18/3.3)*(3*60*284*((F369/1000)^0.77))*MAX(inputs!$I$14:$I$16))/F369,((0.0083*0.112*inputs!$C$18/1)*(3*60*284*((F369/1000)^0.77))*MAX(inputs!$I$14:$I$16))/F369))*(inputs!E$75*3.4/inputs!$E$73)</f>
        <v>0.33426013871827859</v>
      </c>
      <c r="T369" s="63">
        <f>IF((((inputs!$P$13/(V369/MAX(K369:S369)))^(1/inputs!$O$13))-1)/inputs!$N$13&lt;0, 0, IF((((inputs!$P$13/(V369/MAX(K369:S369)))^(1/inputs!$O$13))-1)/inputs!$N$13&lt;inputs!$I$17, (((inputs!$P$13/(V369/MAX(K369:S369)))^(1/inputs!$O$13))-1)/inputs!$N$13, inputs!$I$17))</f>
        <v>1000</v>
      </c>
      <c r="U369" s="63">
        <f>IF((((inputs!$P$13/(X369/MAX(K369:S369)))^(1/inputs!$O$13))-1)/inputs!$N$13&lt;0, 0, IF((((inputs!$P$13/(X369/MAX(K369:S369)))^(1/inputs!$O$13))-1)/inputs!$N$13&lt;inputs!$I$17, (((inputs!$P$13/(X369/MAX(K369:S369)))^(1/inputs!$O$13))-1)/inputs!$N$13, inputs!$I$17))</f>
        <v>27.926488769623351</v>
      </c>
      <c r="V369" s="21">
        <f>inputs!$E$78*(F369/inputs!$F$78)^(inputs!$E$84-1)</f>
        <v>2.7872062701307335E-2</v>
      </c>
      <c r="W369" s="21">
        <f>inputs!$E$85*(F369/inputs!$F$85)^(inputs!$E$84-1)</f>
        <v>1.2870805107007672</v>
      </c>
      <c r="X369" s="21">
        <f>inputs!$E$80*(F369/inputs!$F$80)^(inputs!$E$84-1)</f>
        <v>4.80618671717375</v>
      </c>
      <c r="Y369" s="21">
        <f>inputs!$E$82*(F369/inputs!$F$82)^(inputs!$E$84-1)</f>
        <v>2.215095509419688</v>
      </c>
      <c r="Z369" s="63">
        <f t="shared" si="34"/>
        <v>1604.5685434607094</v>
      </c>
      <c r="AA369" s="63">
        <f t="shared" si="35"/>
        <v>34.747348499226732</v>
      </c>
    </row>
    <row r="370" spans="1:27" x14ac:dyDescent="0.25">
      <c r="A370" s="103" t="s">
        <v>196</v>
      </c>
      <c r="B370" s="20" t="s">
        <v>197</v>
      </c>
      <c r="C370" s="20" t="s">
        <v>73</v>
      </c>
      <c r="D370" s="104" t="s">
        <v>198</v>
      </c>
      <c r="E370" s="15">
        <v>95</v>
      </c>
      <c r="F370" s="15">
        <v>454</v>
      </c>
      <c r="G370" s="20" t="s">
        <v>142</v>
      </c>
      <c r="H370" s="20">
        <v>0.69</v>
      </c>
      <c r="I370" s="68">
        <f>MAX('Max rate concentrations'!$H$3:$H$368)</f>
        <v>282</v>
      </c>
      <c r="J370" s="68">
        <f>MAX('Max rate concentrations'!AA:AA)</f>
        <v>195</v>
      </c>
      <c r="K370" s="69">
        <f t="shared" ref="K370:K395" si="40">((0.301*F370^0.751)/(1-H370))*I370/F370</f>
        <v>59.682499450737929</v>
      </c>
      <c r="L370" s="69">
        <f t="shared" ref="L370:L395" si="41">((0.301*F370^0.751)/(1-H370))*J370/F370</f>
        <v>41.269813449978358</v>
      </c>
      <c r="M370" s="69">
        <f>IF((((1.18*F370^0.874)/3.7-(0.301*F370^0.751)/(1-H370)*H370)*(MAX('Max rate concentrations'!$P$3:$P$368)))/F370&gt;0, (((1.18*F370^0.874)/3.7-(0.301*F370^0.751)/(1-H370)*H370)*(MAX('Max rate concentrations'!$P$3:$P$368)))/F370, 0)</f>
        <v>1.3081231134082006E-3</v>
      </c>
      <c r="N370" s="69">
        <f>IF((((1.18*F370^0.874)/3.7-(0.301*F370^0.751)/(1-H370)*H370)*(MAX('Max rate concentrations'!$Q$3:$Q$368)))/F370&gt;0, (((1.18*F370^0.874)/3.7-(0.301*F370^0.751)/(1-H370)*H370)*(MAX('Max rate concentrations'!$Q$3:$Q$368)))/F370, 0)</f>
        <v>4.9814031035176655E-3</v>
      </c>
      <c r="O370" s="69">
        <f>((MAX('Max rate concentrations'!$F$3:$F$368))*0.62*6.01*8*(10*F370^0.667)*0.079*0.1/F370)*inputs!$E$80/(10^(0.84+0.62*LOG10(inputs!$E$80)))</f>
        <v>19.14052416391079</v>
      </c>
      <c r="P370" s="69">
        <f>((MAX('Max rate concentrations'!Y:Y))*0.62*6.01*8*(10*F370^0.667)*0.079*0.1/F370)*inputs!$E$80/(10^(0.84+0.62*LOG10(inputs!$E$80)))</f>
        <v>6.3801747213035949</v>
      </c>
      <c r="Q370" s="69">
        <f>(inputs!$C$18*11.2*(10*F370^0.667)*0.5/F370)*inputs!$E$80/(10^(0.84+0.62*LOG10(inputs!$E$80)))</f>
        <v>3.3715130536960398</v>
      </c>
      <c r="R370" s="59">
        <f>(60*284*((F370/1000)^0.77)*3*24*(MAX('Max rate concentrations'!$R$3:$R$368))/F370)*(inputs!$E$73*3.4/inputs!$E$75)</f>
        <v>3.3725928055515997E-2</v>
      </c>
      <c r="S370" s="59">
        <f>(IF(inputs!$C$17="aerial",((0.025*0.112*inputs!$C$18/3.3)*(3*60*284*((F370/1000)^0.77))*MAX(inputs!$I$14:$I$16))/F370,((0.0083*0.112*inputs!$C$18/1)*(3*60*284*((F370/1000)^0.77))*MAX(inputs!$I$14:$I$16))/F370))*(inputs!E$75*3.4/inputs!$E$73)</f>
        <v>0.18600056529016737</v>
      </c>
      <c r="T370" s="63">
        <f>IF((((inputs!$P$13/(V370/MAX(K370:S370)))^(1/inputs!$O$13))-1)/inputs!$N$13&lt;0, 0, IF((((inputs!$P$13/(V370/MAX(K370:S370)))^(1/inputs!$O$13))-1)/inputs!$N$13&lt;inputs!$I$17, (((inputs!$P$13/(V370/MAX(K370:S370)))^(1/inputs!$O$13))-1)/inputs!$N$13, inputs!$I$17))</f>
        <v>1000</v>
      </c>
      <c r="U370" s="63">
        <f>IF((((inputs!$P$13/(X370/MAX(K370:S370)))^(1/inputs!$O$13))-1)/inputs!$N$13&lt;0, 0, IF((((inputs!$P$13/(X370/MAX(K370:S370)))^(1/inputs!$O$13))-1)/inputs!$N$13&lt;inputs!$I$17, (((inputs!$P$13/(X370/MAX(K370:S370)))^(1/inputs!$O$13))-1)/inputs!$N$13, inputs!$I$17))</f>
        <v>84.525312390690615</v>
      </c>
      <c r="V370" s="21">
        <f>inputs!$E$78*(F370/inputs!$F$78)^(inputs!$E$84-1)</f>
        <v>1.0855327623785738E-2</v>
      </c>
      <c r="W370" s="21">
        <f>inputs!$E$85*(F370/inputs!$F$85)^(inputs!$E$84-1)</f>
        <v>0.50127903239794858</v>
      </c>
      <c r="X370" s="21">
        <f>inputs!$E$80*(F370/inputs!$F$80)^(inputs!$E$84-1)</f>
        <v>1.8718647412328457</v>
      </c>
      <c r="Y370" s="21">
        <f>inputs!$E$82*(F370/inputs!$F$82)^(inputs!$E$84-1)</f>
        <v>0.86271287957455089</v>
      </c>
      <c r="Z370" s="63">
        <f t="shared" si="34"/>
        <v>5497.9915410350341</v>
      </c>
      <c r="AA370" s="63">
        <f t="shared" si="35"/>
        <v>119.06043459515378</v>
      </c>
    </row>
    <row r="371" spans="1:27" x14ac:dyDescent="0.25">
      <c r="A371" s="103" t="s">
        <v>196</v>
      </c>
      <c r="B371" s="20" t="s">
        <v>197</v>
      </c>
      <c r="C371" s="20" t="s">
        <v>73</v>
      </c>
      <c r="D371" s="104" t="s">
        <v>198</v>
      </c>
      <c r="E371" s="15">
        <v>95</v>
      </c>
      <c r="F371" s="15">
        <v>454</v>
      </c>
      <c r="G371" s="20" t="s">
        <v>152</v>
      </c>
      <c r="H371" s="20">
        <v>0.77</v>
      </c>
      <c r="I371" s="68">
        <f>MAX('Max rate concentrations'!$G$3:$G$368)</f>
        <v>45</v>
      </c>
      <c r="J371" s="68">
        <f>MAX('Max rate concentrations'!Z:Z)</f>
        <v>21</v>
      </c>
      <c r="K371" s="69">
        <f t="shared" si="40"/>
        <v>12.83643027039461</v>
      </c>
      <c r="L371" s="69">
        <f t="shared" si="41"/>
        <v>5.9903341261841518</v>
      </c>
      <c r="M371" s="69">
        <f>IF((((1.18*F371^0.874)/3.7-(0.301*F371^0.751)/(1-H371)*H371)*(MAX('Max rate concentrations'!$P$3:$P$368)))/F371&gt;0, (((1.18*F371^0.874)/3.7-(0.301*F371^0.751)/(1-H371)*H371)*(MAX('Max rate concentrations'!$P$3:$P$368)))/F371, 0)</f>
        <v>0</v>
      </c>
      <c r="N371" s="69">
        <f>IF((((1.18*F371^0.874)/3.7-(0.301*F371^0.751)/(1-H371)*H371)*(MAX('Max rate concentrations'!$Q$3:$Q$368)))/F371&gt;0, (((1.18*F371^0.874)/3.7-(0.301*F371^0.751)/(1-H371)*H371)*(MAX('Max rate concentrations'!$Q$3:$Q$368)))/F371, 0)</f>
        <v>0</v>
      </c>
      <c r="O371" s="69">
        <f>((MAX('Max rate concentrations'!$F$3:$F$368))*0.62*6.01*8*(10*F371^0.667)*0.079*0.1/F371)*inputs!$E$80/(10^(0.84+0.62*LOG10(inputs!$E$80)))</f>
        <v>19.14052416391079</v>
      </c>
      <c r="P371" s="69">
        <f>((MAX('Max rate concentrations'!Y:Y))*0.62*6.01*8*(10*F371^0.667)*0.079*0.1/F371)*inputs!$E$80/(10^(0.84+0.62*LOG10(inputs!$E$80)))</f>
        <v>6.3801747213035949</v>
      </c>
      <c r="Q371" s="69">
        <f>(inputs!$C$18*11.2*(10*F371^0.667)*0.5/F371)*inputs!$E$80/(10^(0.84+0.62*LOG10(inputs!$E$80)))</f>
        <v>3.3715130536960398</v>
      </c>
      <c r="R371" s="59">
        <f>(60*284*((F371/1000)^0.77)*3*24*(MAX('Max rate concentrations'!$R$3:$R$368))/F371)*(inputs!$E$73*3.4/inputs!$E$75)</f>
        <v>3.3725928055515997E-2</v>
      </c>
      <c r="S371" s="59">
        <f>(IF(inputs!$C$17="aerial",((0.025*0.112*inputs!$C$18/3.3)*(3*60*284*((F371/1000)^0.77))*MAX(inputs!$I$14:$I$16))/F371,((0.0083*0.112*inputs!$C$18/1)*(3*60*284*((F371/1000)^0.77))*MAX(inputs!$I$14:$I$16))/F371))*(inputs!E$75*3.4/inputs!$E$73)</f>
        <v>0.18600056529016737</v>
      </c>
      <c r="T371" s="63">
        <f>IF((((inputs!$P$13/(V371/MAX(K371:S371)))^(1/inputs!$O$13))-1)/inputs!$N$13&lt;0, 0, IF((((inputs!$P$13/(V371/MAX(K371:S371)))^(1/inputs!$O$13))-1)/inputs!$N$13&lt;inputs!$I$17, (((inputs!$P$13/(V371/MAX(K371:S371)))^(1/inputs!$O$13))-1)/inputs!$N$13, inputs!$I$17))</f>
        <v>1000</v>
      </c>
      <c r="U371" s="63">
        <f>IF((((inputs!$P$13/(X371/MAX(K371:S371)))^(1/inputs!$O$13))-1)/inputs!$N$13&lt;0, 0, IF((((inputs!$P$13/(X371/MAX(K371:S371)))^(1/inputs!$O$13))-1)/inputs!$N$13&lt;inputs!$I$17, (((inputs!$P$13/(X371/MAX(K371:S371)))^(1/inputs!$O$13))-1)/inputs!$N$13, inputs!$I$17))</f>
        <v>30.553526128826761</v>
      </c>
      <c r="V371" s="21">
        <f>inputs!$E$78*(F371/inputs!$F$78)^(inputs!$E$84-1)</f>
        <v>1.0855327623785738E-2</v>
      </c>
      <c r="W371" s="21">
        <f>inputs!$E$85*(F371/inputs!$F$85)^(inputs!$E$84-1)</f>
        <v>0.50127903239794858</v>
      </c>
      <c r="X371" s="21">
        <f>inputs!$E$80*(F371/inputs!$F$80)^(inputs!$E$84-1)</f>
        <v>1.8718647412328457</v>
      </c>
      <c r="Y371" s="21">
        <f>inputs!$E$82*(F371/inputs!$F$82)^(inputs!$E$84-1)</f>
        <v>0.86271287957455089</v>
      </c>
      <c r="Z371" s="63">
        <f t="shared" si="34"/>
        <v>1763.2378153166817</v>
      </c>
      <c r="AA371" s="63">
        <f t="shared" si="35"/>
        <v>38.183372786108819</v>
      </c>
    </row>
    <row r="372" spans="1:27" x14ac:dyDescent="0.25">
      <c r="A372" s="103" t="s">
        <v>196</v>
      </c>
      <c r="B372" s="20" t="s">
        <v>197</v>
      </c>
      <c r="C372" s="20" t="s">
        <v>73</v>
      </c>
      <c r="D372" s="104" t="s">
        <v>198</v>
      </c>
      <c r="E372" s="15">
        <v>95</v>
      </c>
      <c r="F372" s="15">
        <v>454</v>
      </c>
      <c r="G372" s="20" t="s">
        <v>154</v>
      </c>
      <c r="H372" s="20">
        <v>9.2999999999999999E-2</v>
      </c>
      <c r="I372" s="68">
        <f>MAX('Max rate concentrations'!$G$3:$G$368)</f>
        <v>45</v>
      </c>
      <c r="J372" s="68">
        <f>MAX('Max rate concentrations'!Z:Z)</f>
        <v>21</v>
      </c>
      <c r="K372" s="69">
        <f t="shared" si="40"/>
        <v>3.2551035966822046</v>
      </c>
      <c r="L372" s="69">
        <f t="shared" si="41"/>
        <v>1.5190483451183623</v>
      </c>
      <c r="M372" s="69">
        <f>IF((((1.18*F372^0.874)/3.7-(0.301*F372^0.751)/(1-H372)*H372)*(MAX('Max rate concentrations'!$P$3:$P$368)))/F372&gt;0, (((1.18*F372^0.874)/3.7-(0.301*F372^0.751)/(1-H372)*H372)*(MAX('Max rate concentrations'!$P$3:$P$368)))/F372, 0)</f>
        <v>0.12262670844988885</v>
      </c>
      <c r="N372" s="69">
        <f>IF((((1.18*F372^0.874)/3.7-(0.301*F372^0.751)/(1-H372)*H372)*(MAX('Max rate concentrations'!$Q$3:$Q$368)))/F372&gt;0, (((1.18*F372^0.874)/3.7-(0.301*F372^0.751)/(1-H372)*H372)*(MAX('Max rate concentrations'!$Q$3:$Q$368)))/F372, 0)</f>
        <v>0.46696909471686343</v>
      </c>
      <c r="O372" s="69">
        <f>((MAX('Max rate concentrations'!$F$3:$F$368))*0.62*6.01*8*(10*F372^0.667)*0.079*0.1/F372)*inputs!$E$80/(10^(0.84+0.62*LOG10(inputs!$E$80)))</f>
        <v>19.14052416391079</v>
      </c>
      <c r="P372" s="69">
        <f>((MAX('Max rate concentrations'!Y:Y))*0.62*6.01*8*(10*F372^0.667)*0.079*0.1/F372)*inputs!$E$80/(10^(0.84+0.62*LOG10(inputs!$E$80)))</f>
        <v>6.3801747213035949</v>
      </c>
      <c r="Q372" s="69">
        <f>(inputs!$C$18*11.2*(10*F372^0.667)*0.5/F372)*inputs!$E$80/(10^(0.84+0.62*LOG10(inputs!$E$80)))</f>
        <v>3.3715130536960398</v>
      </c>
      <c r="R372" s="59">
        <f>(60*284*((F372/1000)^0.77)*3*24*(MAX('Max rate concentrations'!$R$3:$R$368))/F372)*(inputs!$E$73*3.4/inputs!$E$75)</f>
        <v>3.3725928055515997E-2</v>
      </c>
      <c r="S372" s="59">
        <f>(IF(inputs!$C$17="aerial",((0.025*0.112*inputs!$C$18/3.3)*(3*60*284*((F372/1000)^0.77))*MAX(inputs!$I$14:$I$16))/F372,((0.0083*0.112*inputs!$C$18/1)*(3*60*284*((F372/1000)^0.77))*MAX(inputs!$I$14:$I$16))/F372))*(inputs!E$75*3.4/inputs!$E$73)</f>
        <v>0.18600056529016737</v>
      </c>
      <c r="T372" s="63">
        <f>IF((((inputs!$P$13/(V372/MAX(K372:S372)))^(1/inputs!$O$13))-1)/inputs!$N$13&lt;0, 0, IF((((inputs!$P$13/(V372/MAX(K372:S372)))^(1/inputs!$O$13))-1)/inputs!$N$13&lt;inputs!$I$17, (((inputs!$P$13/(V372/MAX(K372:S372)))^(1/inputs!$O$13))-1)/inputs!$N$13, inputs!$I$17))</f>
        <v>1000</v>
      </c>
      <c r="U372" s="63">
        <f>IF((((inputs!$P$13/(X372/MAX(K372:S372)))^(1/inputs!$O$13))-1)/inputs!$N$13&lt;0, 0, IF((((inputs!$P$13/(X372/MAX(K372:S372)))^(1/inputs!$O$13))-1)/inputs!$N$13&lt;inputs!$I$17, (((inputs!$P$13/(X372/MAX(K372:S372)))^(1/inputs!$O$13))-1)/inputs!$N$13, inputs!$I$17))</f>
        <v>30.553526128826761</v>
      </c>
      <c r="V372" s="21">
        <f>inputs!$E$78*(F372/inputs!$F$78)^(inputs!$E$84-1)</f>
        <v>1.0855327623785738E-2</v>
      </c>
      <c r="W372" s="21">
        <f>inputs!$E$85*(F372/inputs!$F$85)^(inputs!$E$84-1)</f>
        <v>0.50127903239794858</v>
      </c>
      <c r="X372" s="21">
        <f>inputs!$E$80*(F372/inputs!$F$80)^(inputs!$E$84-1)</f>
        <v>1.8718647412328457</v>
      </c>
      <c r="Y372" s="21">
        <f>inputs!$E$82*(F372/inputs!$F$82)^(inputs!$E$84-1)</f>
        <v>0.86271287957455089</v>
      </c>
      <c r="Z372" s="63">
        <f t="shared" si="34"/>
        <v>1763.2378153166817</v>
      </c>
      <c r="AA372" s="63">
        <f t="shared" si="35"/>
        <v>38.183372786108819</v>
      </c>
    </row>
    <row r="373" spans="1:27" x14ac:dyDescent="0.25">
      <c r="A373" s="103" t="s">
        <v>309</v>
      </c>
      <c r="B373" s="20" t="s">
        <v>310</v>
      </c>
      <c r="C373" s="20" t="s">
        <v>73</v>
      </c>
      <c r="D373" s="104" t="s">
        <v>198</v>
      </c>
      <c r="E373" s="15">
        <v>107</v>
      </c>
      <c r="F373" s="15">
        <v>40</v>
      </c>
      <c r="G373" s="20" t="s">
        <v>142</v>
      </c>
      <c r="H373" s="20">
        <v>0.69</v>
      </c>
      <c r="I373" s="68">
        <f>MAX('Max rate concentrations'!$H$3:$H$368)</f>
        <v>282</v>
      </c>
      <c r="J373" s="68">
        <f>MAX('Max rate concentrations'!AA:AA)</f>
        <v>195</v>
      </c>
      <c r="K373" s="69">
        <f t="shared" si="40"/>
        <v>109.28007194024399</v>
      </c>
      <c r="L373" s="69">
        <f t="shared" si="41"/>
        <v>75.566007192721898</v>
      </c>
      <c r="M373" s="69">
        <f>IF((((1.18*F373^0.874)/3.7-(0.301*F373^0.751)/(1-H373)*H373)*(MAX('Max rate concentrations'!$P$3:$P$368)))/F373&gt;0, (((1.18*F373^0.874)/3.7-(0.301*F373^0.751)/(1-H373)*H373)*(MAX('Max rate concentrations'!$P$3:$P$368)))/F373, 0)</f>
        <v>0</v>
      </c>
      <c r="N373" s="69">
        <f>IF((((1.18*F373^0.874)/3.7-(0.301*F373^0.751)/(1-H373)*H373)*(MAX('Max rate concentrations'!$Q$3:$Q$368)))/F373&gt;0, (((1.18*F373^0.874)/3.7-(0.301*F373^0.751)/(1-H373)*H373)*(MAX('Max rate concentrations'!$Q$3:$Q$368)))/F373, 0)</f>
        <v>0</v>
      </c>
      <c r="O373" s="69">
        <f>((MAX('Max rate concentrations'!$F$3:$F$368))*0.62*6.01*8*(10*F373^0.667)*0.079*0.1/F373)*inputs!$E$80/(10^(0.84+0.62*LOG10(inputs!$E$80)))</f>
        <v>42.980102677088347</v>
      </c>
      <c r="P373" s="69">
        <f>((MAX('Max rate concentrations'!Y:Y))*0.62*6.01*8*(10*F373^0.667)*0.079*0.1/F373)*inputs!$E$80/(10^(0.84+0.62*LOG10(inputs!$E$80)))</f>
        <v>14.326700892362783</v>
      </c>
      <c r="Q373" s="69">
        <f>(inputs!$C$18*11.2*(10*F373^0.667)*0.5/F373)*inputs!$E$80/(10^(0.84+0.62*LOG10(inputs!$E$80)))</f>
        <v>7.5707423675586494</v>
      </c>
      <c r="R373" s="59">
        <f>(60*284*((F373/1000)^0.77)*3*24*(MAX('Max rate concentrations'!$R$3:$R$368))/F373)*(inputs!$E$73*3.4/inputs!$E$75)</f>
        <v>5.8967532813522246E-2</v>
      </c>
      <c r="S373" s="59">
        <f>(IF(inputs!$C$17="aerial",((0.025*0.112*inputs!$C$18/3.3)*(3*60*284*((F373/1000)^0.77))*MAX(inputs!$I$14:$I$16))/F373,((0.0083*0.112*inputs!$C$18/1)*(3*60*284*((F373/1000)^0.77))*MAX(inputs!$I$14:$I$16))/F373))*(inputs!E$75*3.4/inputs!$E$73)</f>
        <v>0.32520956633209019</v>
      </c>
      <c r="T373" s="63">
        <f>IF((((inputs!$P$13/(V373/MAX(K373:S373)))^(1/inputs!$O$13))-1)/inputs!$N$13&lt;0, 0, IF((((inputs!$P$13/(V373/MAX(K373:S373)))^(1/inputs!$O$13))-1)/inputs!$N$13&lt;inputs!$I$17, (((inputs!$P$13/(V373/MAX(K373:S373)))^(1/inputs!$O$13))-1)/inputs!$N$13, inputs!$I$17))</f>
        <v>1000</v>
      </c>
      <c r="U373" s="63">
        <f>IF((((inputs!$P$13/(X373/MAX(K373:S373)))^(1/inputs!$O$13))-1)/inputs!$N$13&lt;0, 0, IF((((inputs!$P$13/(X373/MAX(K373:S373)))^(1/inputs!$O$13))-1)/inputs!$N$13&lt;inputs!$I$17, (((inputs!$P$13/(X373/MAX(K373:S373)))^(1/inputs!$O$13))-1)/inputs!$N$13, inputs!$I$17))</f>
        <v>65.537413380912994</v>
      </c>
      <c r="V373" s="21">
        <f>inputs!$E$78*(F373/inputs!$F$78)^(inputs!$E$84-1)</f>
        <v>2.6668058808446828E-2</v>
      </c>
      <c r="W373" s="21">
        <f>inputs!$E$85*(F373/inputs!$F$85)^(inputs!$E$84-1)</f>
        <v>1.2314818288982921</v>
      </c>
      <c r="X373" s="21">
        <f>inputs!$E$80*(F373/inputs!$F$80)^(inputs!$E$84-1)</f>
        <v>4.5985713863923561</v>
      </c>
      <c r="Y373" s="21">
        <f>inputs!$E$82*(F373/inputs!$F$82)^(inputs!$E$84-1)</f>
        <v>2.1194088842502481</v>
      </c>
      <c r="Z373" s="63">
        <f t="shared" si="34"/>
        <v>4097.7887713983391</v>
      </c>
      <c r="AA373" s="63">
        <f t="shared" si="35"/>
        <v>88.738679999856828</v>
      </c>
    </row>
    <row r="374" spans="1:27" x14ac:dyDescent="0.25">
      <c r="A374" s="103" t="s">
        <v>309</v>
      </c>
      <c r="B374" s="20" t="s">
        <v>310</v>
      </c>
      <c r="C374" s="20" t="s">
        <v>73</v>
      </c>
      <c r="D374" s="104" t="s">
        <v>198</v>
      </c>
      <c r="E374" s="15">
        <v>107</v>
      </c>
      <c r="F374" s="15">
        <v>40</v>
      </c>
      <c r="G374" s="20" t="s">
        <v>152</v>
      </c>
      <c r="H374" s="20">
        <v>0.77</v>
      </c>
      <c r="I374" s="68">
        <f>MAX('Max rate concentrations'!$G$3:$G$368)</f>
        <v>45</v>
      </c>
      <c r="J374" s="68">
        <f>MAX('Max rate concentrations'!Z:Z)</f>
        <v>21</v>
      </c>
      <c r="K374" s="69">
        <f t="shared" si="40"/>
        <v>23.503808257268023</v>
      </c>
      <c r="L374" s="69">
        <f t="shared" si="41"/>
        <v>10.968443853391744</v>
      </c>
      <c r="M374" s="69">
        <f>IF((((1.18*F374^0.874)/3.7-(0.301*F374^0.751)/(1-H374)*H374)*(MAX('Max rate concentrations'!$P$3:$P$368)))/F374&gt;0, (((1.18*F374^0.874)/3.7-(0.301*F374^0.751)/(1-H374)*H374)*(MAX('Max rate concentrations'!$P$3:$P$368)))/F374, 0)</f>
        <v>0</v>
      </c>
      <c r="N374" s="69">
        <f>IF((((1.18*F374^0.874)/3.7-(0.301*F374^0.751)/(1-H374)*H374)*(MAX('Max rate concentrations'!$Q$3:$Q$368)))/F374&gt;0, (((1.18*F374^0.874)/3.7-(0.301*F374^0.751)/(1-H374)*H374)*(MAX('Max rate concentrations'!$Q$3:$Q$368)))/F374, 0)</f>
        <v>0</v>
      </c>
      <c r="O374" s="69">
        <f>((MAX('Max rate concentrations'!$F$3:$F$368))*0.62*6.01*8*(10*F374^0.667)*0.079*0.1/F374)*inputs!$E$80/(10^(0.84+0.62*LOG10(inputs!$E$80)))</f>
        <v>42.980102677088347</v>
      </c>
      <c r="P374" s="69">
        <f>((MAX('Max rate concentrations'!Y:Y))*0.62*6.01*8*(10*F374^0.667)*0.079*0.1/F374)*inputs!$E$80/(10^(0.84+0.62*LOG10(inputs!$E$80)))</f>
        <v>14.326700892362783</v>
      </c>
      <c r="Q374" s="69">
        <f>(inputs!$C$18*11.2*(10*F374^0.667)*0.5/F374)*inputs!$E$80/(10^(0.84+0.62*LOG10(inputs!$E$80)))</f>
        <v>7.5707423675586494</v>
      </c>
      <c r="R374" s="59">
        <f>(60*284*((F374/1000)^0.77)*3*24*(MAX('Max rate concentrations'!$R$3:$R$368))/F374)*(inputs!$E$73*3.4/inputs!$E$75)</f>
        <v>5.8967532813522246E-2</v>
      </c>
      <c r="S374" s="59">
        <f>(IF(inputs!$C$17="aerial",((0.025*0.112*inputs!$C$18/3.3)*(3*60*284*((F374/1000)^0.77))*MAX(inputs!$I$14:$I$16))/F374,((0.0083*0.112*inputs!$C$18/1)*(3*60*284*((F374/1000)^0.77))*MAX(inputs!$I$14:$I$16))/F374))*(inputs!E$75*3.4/inputs!$E$73)</f>
        <v>0.32520956633209019</v>
      </c>
      <c r="T374" s="63">
        <f>IF((((inputs!$P$13/(V374/MAX(K374:S374)))^(1/inputs!$O$13))-1)/inputs!$N$13&lt;0, 0, IF((((inputs!$P$13/(V374/MAX(K374:S374)))^(1/inputs!$O$13))-1)/inputs!$N$13&lt;inputs!$I$17, (((inputs!$P$13/(V374/MAX(K374:S374)))^(1/inputs!$O$13))-1)/inputs!$N$13, inputs!$I$17))</f>
        <v>1000</v>
      </c>
      <c r="U374" s="63">
        <f>IF((((inputs!$P$13/(X374/MAX(K374:S374)))^(1/inputs!$O$13))-1)/inputs!$N$13&lt;0, 0, IF((((inputs!$P$13/(X374/MAX(K374:S374)))^(1/inputs!$O$13))-1)/inputs!$N$13&lt;inputs!$I$17, (((inputs!$P$13/(X374/MAX(K374:S374)))^(1/inputs!$O$13))-1)/inputs!$N$13, inputs!$I$17))</f>
        <v>28.045091072939961</v>
      </c>
      <c r="V374" s="21">
        <f>inputs!$E$78*(F374/inputs!$F$78)^(inputs!$E$84-1)</f>
        <v>2.6668058808446828E-2</v>
      </c>
      <c r="W374" s="21">
        <f>inputs!$E$85*(F374/inputs!$F$85)^(inputs!$E$84-1)</f>
        <v>1.2314818288982921</v>
      </c>
      <c r="X374" s="21">
        <f>inputs!$E$80*(F374/inputs!$F$80)^(inputs!$E$84-1)</f>
        <v>4.5985713863923561</v>
      </c>
      <c r="Y374" s="21">
        <f>inputs!$E$82*(F374/inputs!$F$82)^(inputs!$E$84-1)</f>
        <v>2.1194088842502481</v>
      </c>
      <c r="Z374" s="63">
        <f t="shared" si="34"/>
        <v>1611.6697126629572</v>
      </c>
      <c r="AA374" s="63">
        <f t="shared" si="35"/>
        <v>34.901126162404843</v>
      </c>
    </row>
    <row r="375" spans="1:27" x14ac:dyDescent="0.25">
      <c r="A375" s="103" t="s">
        <v>309</v>
      </c>
      <c r="B375" s="20" t="s">
        <v>310</v>
      </c>
      <c r="C375" s="20" t="s">
        <v>73</v>
      </c>
      <c r="D375" s="104" t="s">
        <v>198</v>
      </c>
      <c r="E375" s="15">
        <v>107</v>
      </c>
      <c r="F375" s="15">
        <v>40</v>
      </c>
      <c r="G375" s="20" t="s">
        <v>154</v>
      </c>
      <c r="H375" s="20">
        <v>9.2999999999999999E-2</v>
      </c>
      <c r="I375" s="68">
        <f>MAX('Max rate concentrations'!$G$3:$G$368)</f>
        <v>45</v>
      </c>
      <c r="J375" s="68">
        <f>MAX('Max rate concentrations'!Z:Z)</f>
        <v>21</v>
      </c>
      <c r="K375" s="69">
        <f t="shared" si="40"/>
        <v>5.9601718844229818</v>
      </c>
      <c r="L375" s="69">
        <f t="shared" si="41"/>
        <v>2.7814135460640577</v>
      </c>
      <c r="M375" s="69">
        <f>IF((((1.18*F375^0.874)/3.7-(0.301*F375^0.751)/(1-H375)*H375)*(MAX('Max rate concentrations'!$P$3:$P$368)))/F375&gt;0, (((1.18*F375^0.874)/3.7-(0.301*F375^0.751)/(1-H375)*H375)*(MAX('Max rate concentrations'!$P$3:$P$368)))/F375, 0)</f>
        <v>0.16376772527818143</v>
      </c>
      <c r="N375" s="69">
        <f>IF((((1.18*F375^0.874)/3.7-(0.301*F375^0.751)/(1-H375)*H375)*(MAX('Max rate concentrations'!$Q$3:$Q$368)))/F375&gt;0, (((1.18*F375^0.874)/3.7-(0.301*F375^0.751)/(1-H375)*H375)*(MAX('Max rate concentrations'!$Q$3:$Q$368)))/F375, 0)</f>
        <v>0.62363629737516368</v>
      </c>
      <c r="O375" s="69">
        <f>((MAX('Max rate concentrations'!$F$3:$F$368))*0.62*6.01*8*(10*F375^0.667)*0.079*0.1/F375)*inputs!$E$80/(10^(0.84+0.62*LOG10(inputs!$E$80)))</f>
        <v>42.980102677088347</v>
      </c>
      <c r="P375" s="69">
        <f>((MAX('Max rate concentrations'!Y:Y))*0.62*6.01*8*(10*F375^0.667)*0.079*0.1/F375)*inputs!$E$80/(10^(0.84+0.62*LOG10(inputs!$E$80)))</f>
        <v>14.326700892362783</v>
      </c>
      <c r="Q375" s="69">
        <f>(inputs!$C$18*11.2*(10*F375^0.667)*0.5/F375)*inputs!$E$80/(10^(0.84+0.62*LOG10(inputs!$E$80)))</f>
        <v>7.5707423675586494</v>
      </c>
      <c r="R375" s="59">
        <f>(60*284*((F375/1000)^0.77)*3*24*(MAX('Max rate concentrations'!$R$3:$R$368))/F375)*(inputs!$E$73*3.4/inputs!$E$75)</f>
        <v>5.8967532813522246E-2</v>
      </c>
      <c r="S375" s="59">
        <f>(IF(inputs!$C$17="aerial",((0.025*0.112*inputs!$C$18/3.3)*(3*60*284*((F375/1000)^0.77))*MAX(inputs!$I$14:$I$16))/F375,((0.0083*0.112*inputs!$C$18/1)*(3*60*284*((F375/1000)^0.77))*MAX(inputs!$I$14:$I$16))/F375))*(inputs!E$75*3.4/inputs!$E$73)</f>
        <v>0.32520956633209019</v>
      </c>
      <c r="T375" s="63">
        <f>IF((((inputs!$P$13/(V375/MAX(K375:S375)))^(1/inputs!$O$13))-1)/inputs!$N$13&lt;0, 0, IF((((inputs!$P$13/(V375/MAX(K375:S375)))^(1/inputs!$O$13))-1)/inputs!$N$13&lt;inputs!$I$17, (((inputs!$P$13/(V375/MAX(K375:S375)))^(1/inputs!$O$13))-1)/inputs!$N$13, inputs!$I$17))</f>
        <v>1000</v>
      </c>
      <c r="U375" s="63">
        <f>IF((((inputs!$P$13/(X375/MAX(K375:S375)))^(1/inputs!$O$13))-1)/inputs!$N$13&lt;0, 0, IF((((inputs!$P$13/(X375/MAX(K375:S375)))^(1/inputs!$O$13))-1)/inputs!$N$13&lt;inputs!$I$17, (((inputs!$P$13/(X375/MAX(K375:S375)))^(1/inputs!$O$13))-1)/inputs!$N$13, inputs!$I$17))</f>
        <v>28.045091072939961</v>
      </c>
      <c r="V375" s="21">
        <f>inputs!$E$78*(F375/inputs!$F$78)^(inputs!$E$84-1)</f>
        <v>2.6668058808446828E-2</v>
      </c>
      <c r="W375" s="21">
        <f>inputs!$E$85*(F375/inputs!$F$85)^(inputs!$E$84-1)</f>
        <v>1.2314818288982921</v>
      </c>
      <c r="X375" s="21">
        <f>inputs!$E$80*(F375/inputs!$F$80)^(inputs!$E$84-1)</f>
        <v>4.5985713863923561</v>
      </c>
      <c r="Y375" s="21">
        <f>inputs!$E$82*(F375/inputs!$F$82)^(inputs!$E$84-1)</f>
        <v>2.1194088842502481</v>
      </c>
      <c r="Z375" s="63">
        <f t="shared" si="34"/>
        <v>1611.6697126629572</v>
      </c>
      <c r="AA375" s="63">
        <f t="shared" si="35"/>
        <v>34.901126162404843</v>
      </c>
    </row>
    <row r="376" spans="1:27" x14ac:dyDescent="0.25">
      <c r="A376" s="112" t="s">
        <v>294</v>
      </c>
      <c r="B376" s="113" t="s">
        <v>295</v>
      </c>
      <c r="C376" s="20" t="s">
        <v>73</v>
      </c>
      <c r="D376" s="48" t="s">
        <v>296</v>
      </c>
      <c r="E376" s="15">
        <v>2859</v>
      </c>
      <c r="F376" s="15">
        <v>31.5</v>
      </c>
      <c r="G376" s="20" t="s">
        <v>164</v>
      </c>
      <c r="H376" s="20">
        <v>0.78</v>
      </c>
      <c r="I376" s="68">
        <f>inputs!$C$66*(inputs!$C$62/1000)</f>
        <v>8.2000000000000011</v>
      </c>
      <c r="J376" s="68">
        <f>inputs!$C$66*(inputs!$C$61/1000)</f>
        <v>2.5</v>
      </c>
      <c r="K376" s="69">
        <f t="shared" si="40"/>
        <v>4.7520208693772004</v>
      </c>
      <c r="L376" s="69">
        <f t="shared" si="41"/>
        <v>1.4487868504198782</v>
      </c>
      <c r="M376" s="69">
        <f>IF((((1.18*F376^0.874)/3.7-(0.301*F376^0.751)/(1-H376)*H376)*(MAX('Max rate concentrations'!$P$3:$P$368)))/F376&gt;0, (((1.18*F376^0.874)/3.7-(0.301*F376^0.751)/(1-H376)*H376)*(MAX('Max rate concentrations'!$P$3:$P$368)))/F376, 0)</f>
        <v>0</v>
      </c>
      <c r="N376" s="69">
        <f>IF((((1.18*F376^0.874)/3.7-(0.301*F376^0.751)/(1-H376)*H376)*(MAX('Max rate concentrations'!$Q$3:$Q$368)))/F376&gt;0, (((1.18*F376^0.874)/3.7-(0.301*F376^0.751)/(1-H376)*H376)*(MAX('Max rate concentrations'!$Q$3:$Q$368)))/F376, 0)</f>
        <v>0</v>
      </c>
      <c r="O376" s="69">
        <f>((MAX('Max rate concentrations'!$F$3:$F$368))*0.62*6.01*8*(10*F376^0.667)*0.079*0.1/F376)*inputs!$E$80/(10^(0.84+0.62*LOG10(inputs!$E$80)))</f>
        <v>46.538888998550213</v>
      </c>
      <c r="P376" s="69">
        <f>((MAX('Max rate concentrations'!Y:Y))*0.62*6.01*8*(10*F376^0.667)*0.079*0.1/F376)*inputs!$E$80/(10^(0.84+0.62*LOG10(inputs!$E$80)))</f>
        <v>15.51296299951674</v>
      </c>
      <c r="Q376" s="69">
        <f>(inputs!$C$18*11.2*(10*F376^0.667)*0.5/F376)*inputs!$E$80/(10^(0.84+0.62*LOG10(inputs!$E$80)))</f>
        <v>8.1976057927905757</v>
      </c>
      <c r="R376" s="59">
        <f>(60*284*((F376/1000)^0.77)*3*24*(MAX('Max rate concentrations'!$R$3:$R$368))/F376)*(inputs!$E$73*3.4/inputs!$E$75)</f>
        <v>6.2298175524814293E-2</v>
      </c>
      <c r="S376" s="59">
        <f>(IF(inputs!$C$17="aerial",((0.025*0.112*inputs!$C$18/3.3)*(3*60*284*((F376/1000)^0.77))*MAX(inputs!$I$14:$I$16))/F376,((0.0083*0.112*inputs!$C$18/1)*(3*60*284*((F376/1000)^0.77))*MAX(inputs!$I$14:$I$16))/F376))*(inputs!E$75*3.4/inputs!$E$73)</f>
        <v>0.34357826551392268</v>
      </c>
      <c r="T376" s="63">
        <f>IF((((inputs!$P$13/(V376/MAX(K376:S376)))^(1/inputs!$O$13))-1)/inputs!$N$13&lt;0, 0, IF((((inputs!$P$13/(V376/MAX(K376:S376)))^(1/inputs!$O$13))-1)/inputs!$N$13&lt;inputs!$I$17, (((inputs!$P$13/(V376/MAX(K376:S376)))^(1/inputs!$O$13))-1)/inputs!$N$13, inputs!$I$17))</f>
        <v>1000</v>
      </c>
      <c r="U376" s="63">
        <f>IF((((inputs!$P$13/(X376/MAX(K376:S376)))^(1/inputs!$O$13))-1)/inputs!$N$13&lt;0, 0, IF((((inputs!$P$13/(X376/MAX(K376:S376)))^(1/inputs!$O$13))-1)/inputs!$N$13&lt;inputs!$I$17, (((inputs!$P$13/(X376/MAX(K376:S376)))^(1/inputs!$O$13))-1)/inputs!$N$13, inputs!$I$17))</f>
        <v>27.808113131684891</v>
      </c>
      <c r="V376" s="21">
        <f>inputs!$E$78*(F376/inputs!$F$78)^(inputs!$E$84-1)</f>
        <v>2.9132563117350352E-2</v>
      </c>
      <c r="W376" s="21">
        <f>inputs!$E$85*(F376/inputs!$F$85)^(inputs!$E$84-1)</f>
        <v>1.3452880978680808</v>
      </c>
      <c r="X376" s="21">
        <f>inputs!$E$80*(F376/inputs!$F$80)^(inputs!$E$84-1)</f>
        <v>5.0235441629251119</v>
      </c>
      <c r="Y376" s="21">
        <f>inputs!$E$82*(F376/inputs!$F$82)^(inputs!$E$84-1)</f>
        <v>2.3152721214315282</v>
      </c>
      <c r="Z376" s="63">
        <f t="shared" si="34"/>
        <v>1597.4869362192594</v>
      </c>
      <c r="AA376" s="63">
        <f t="shared" si="35"/>
        <v>34.593994455389755</v>
      </c>
    </row>
    <row r="377" spans="1:27" x14ac:dyDescent="0.25">
      <c r="A377" s="112" t="s">
        <v>294</v>
      </c>
      <c r="B377" s="113" t="s">
        <v>295</v>
      </c>
      <c r="C377" s="20" t="s">
        <v>73</v>
      </c>
      <c r="D377" s="48" t="s">
        <v>296</v>
      </c>
      <c r="E377" s="15">
        <v>2859</v>
      </c>
      <c r="F377" s="15">
        <v>31.5</v>
      </c>
      <c r="G377" s="49" t="s">
        <v>186</v>
      </c>
      <c r="H377" s="49">
        <v>0.75</v>
      </c>
      <c r="I377" s="68">
        <f>inputs!$C$66*inputs!$C$64/1000</f>
        <v>21.3</v>
      </c>
      <c r="J377" s="68">
        <f>inputs!$C$66*inputs!$C$63/1000</f>
        <v>8.8000000000000007</v>
      </c>
      <c r="K377" s="69">
        <f t="shared" si="40"/>
        <v>10.862424289708077</v>
      </c>
      <c r="L377" s="69">
        <f t="shared" si="41"/>
        <v>4.4877621478606144</v>
      </c>
      <c r="M377" s="69">
        <f>IF((((1.18*F377^0.874)/3.7-(0.301*F377^0.751)/(1-H377)*H377)*(MAX('Max rate concentrations'!$P$3:$P$368)))/F377&gt;0, (((1.18*F377^0.874)/3.7-(0.301*F377^0.751)/(1-H377)*H377)*(MAX('Max rate concentrations'!$P$3:$P$368)))/F377, 0)</f>
        <v>0</v>
      </c>
      <c r="N377" s="69">
        <f>IF((((1.18*F377^0.874)/3.7-(0.301*F377^0.751)/(1-H377)*H377)*(MAX('Max rate concentrations'!$Q$3:$Q$368)))/F377&gt;0, (((1.18*F377^0.874)/3.7-(0.301*F377^0.751)/(1-H377)*H377)*(MAX('Max rate concentrations'!$Q$3:$Q$368)))/F377, 0)</f>
        <v>0</v>
      </c>
      <c r="O377" s="69">
        <f>((MAX('Max rate concentrations'!$F$3:$F$368))*0.62*6.01*8*(10*F377^0.667)*0.079*0.1/F377)*inputs!$E$80/(10^(0.84+0.62*LOG10(inputs!$E$80)))</f>
        <v>46.538888998550213</v>
      </c>
      <c r="P377" s="69">
        <f>((MAX('Max rate concentrations'!Y:Y))*0.62*6.01*8*(10*F377^0.667)*0.079*0.1/F377)*inputs!$E$80/(10^(0.84+0.62*LOG10(inputs!$E$80)))</f>
        <v>15.51296299951674</v>
      </c>
      <c r="Q377" s="69">
        <f>(inputs!$C$18*11.2*(10*F377^0.667)*0.5/F377)*inputs!$E$80/(10^(0.84+0.62*LOG10(inputs!$E$80)))</f>
        <v>8.1976057927905757</v>
      </c>
      <c r="R377" s="59">
        <f>(60*284*((F377/1000)^0.77)*3*24*(MAX('Max rate concentrations'!$R$3:$R$368))/F377)*(inputs!$E$73*3.4/inputs!$E$75)</f>
        <v>6.2298175524814293E-2</v>
      </c>
      <c r="S377" s="59">
        <f>(IF(inputs!$C$17="aerial",((0.025*0.112*inputs!$C$18/3.3)*(3*60*284*((F377/1000)^0.77))*MAX(inputs!$I$14:$I$16))/F377,((0.0083*0.112*inputs!$C$18/1)*(3*60*284*((F377/1000)^0.77))*MAX(inputs!$I$14:$I$16))/F377))*(inputs!E$75*3.4/inputs!$E$73)</f>
        <v>0.34357826551392268</v>
      </c>
      <c r="T377" s="63">
        <f>IF((((inputs!$P$13/(V377/MAX(K377:S377)))^(1/inputs!$O$13))-1)/inputs!$N$13&lt;0, 0, IF((((inputs!$P$13/(V377/MAX(K377:S377)))^(1/inputs!$O$13))-1)/inputs!$N$13&lt;inputs!$I$17, (((inputs!$P$13/(V377/MAX(K377:S377)))^(1/inputs!$O$13))-1)/inputs!$N$13, inputs!$I$17))</f>
        <v>1000</v>
      </c>
      <c r="U377" s="63">
        <f>IF((((inputs!$P$13/(X377/MAX(K377:S377)))^(1/inputs!$O$13))-1)/inputs!$N$13&lt;0, 0, IF((((inputs!$P$13/(X377/MAX(K377:S377)))^(1/inputs!$O$13))-1)/inputs!$N$13&lt;inputs!$I$17, (((inputs!$P$13/(X377/MAX(K377:S377)))^(1/inputs!$O$13))-1)/inputs!$N$13, inputs!$I$17))</f>
        <v>27.808113131684891</v>
      </c>
      <c r="V377" s="21">
        <f>inputs!$E$78*(F377/inputs!$F$78)^(inputs!$E$84-1)</f>
        <v>2.9132563117350352E-2</v>
      </c>
      <c r="W377" s="21">
        <f>inputs!$E$85*(F377/inputs!$F$85)^(inputs!$E$84-1)</f>
        <v>1.3452880978680808</v>
      </c>
      <c r="X377" s="21">
        <f>inputs!$E$80*(F377/inputs!$F$80)^(inputs!$E$84-1)</f>
        <v>5.0235441629251119</v>
      </c>
      <c r="Y377" s="21">
        <f>inputs!$E$82*(F377/inputs!$F$82)^(inputs!$E$84-1)</f>
        <v>2.3152721214315282</v>
      </c>
      <c r="Z377" s="63">
        <f t="shared" si="34"/>
        <v>1597.4869362192594</v>
      </c>
      <c r="AA377" s="63">
        <f t="shared" si="35"/>
        <v>34.593994455389755</v>
      </c>
    </row>
    <row r="378" spans="1:27" x14ac:dyDescent="0.25">
      <c r="A378" s="114" t="s">
        <v>325</v>
      </c>
      <c r="B378" s="48" t="s">
        <v>326</v>
      </c>
      <c r="C378" s="20" t="s">
        <v>73</v>
      </c>
      <c r="D378" s="48" t="s">
        <v>296</v>
      </c>
      <c r="E378" s="15">
        <v>82</v>
      </c>
      <c r="F378" s="15">
        <v>434</v>
      </c>
      <c r="G378" s="20" t="s">
        <v>164</v>
      </c>
      <c r="H378" s="20">
        <v>0.78</v>
      </c>
      <c r="I378" s="68">
        <f>inputs!$C$66*(inputs!$C$62/1000)</f>
        <v>8.2000000000000011</v>
      </c>
      <c r="J378" s="68">
        <f>inputs!$C$66*(inputs!$C$61/1000)</f>
        <v>2.5</v>
      </c>
      <c r="K378" s="69">
        <f t="shared" si="40"/>
        <v>2.4729920743851226</v>
      </c>
      <c r="L378" s="69">
        <f t="shared" si="41"/>
        <v>0.753960998288147</v>
      </c>
      <c r="M378" s="69">
        <f>IF((((1.18*F378^0.874)/3.7-(0.301*F378^0.751)/(1-H378)*H378)*(MAX('Max rate concentrations'!$P$3:$P$368)))/F378&gt;0, (((1.18*F378^0.874)/3.7-(0.301*F378^0.751)/(1-H378)*H378)*(MAX('Max rate concentrations'!$P$3:$P$368)))/F378, 0)</f>
        <v>0</v>
      </c>
      <c r="N378" s="69">
        <f>IF((((1.18*F378^0.874)/3.7-(0.301*F378^0.751)/(1-H378)*H378)*(MAX('Max rate concentrations'!$Q$3:$Q$368)))/F378&gt;0, (((1.18*F378^0.874)/3.7-(0.301*F378^0.751)/(1-H378)*H378)*(MAX('Max rate concentrations'!$Q$3:$Q$368)))/F378, 0)</f>
        <v>0</v>
      </c>
      <c r="O378" s="69">
        <f>((MAX('Max rate concentrations'!$F$3:$F$368))*0.62*6.01*8*(10*F378^0.667)*0.079*0.1/F378)*inputs!$E$80/(10^(0.84+0.62*LOG10(inputs!$E$80)))</f>
        <v>19.429845437628074</v>
      </c>
      <c r="P378" s="69">
        <f>((MAX('Max rate concentrations'!Y:Y))*0.62*6.01*8*(10*F378^0.667)*0.079*0.1/F378)*inputs!$E$80/(10^(0.84+0.62*LOG10(inputs!$E$80)))</f>
        <v>6.4766151458760257</v>
      </c>
      <c r="Q378" s="69">
        <f>(inputs!$C$18*11.2*(10*F378^0.667)*0.5/F378)*inputs!$E$80/(10^(0.84+0.62*LOG10(inputs!$E$80)))</f>
        <v>3.4224756314549607</v>
      </c>
      <c r="R378" s="59">
        <f>(60*284*((F378/1000)^0.77)*3*24*(MAX('Max rate concentrations'!$R$3:$R$368))/F378)*(inputs!$E$73*3.4/inputs!$E$75)</f>
        <v>3.407721682682658E-2</v>
      </c>
      <c r="S378" s="59">
        <f>(IF(inputs!$C$17="aerial",((0.025*0.112*inputs!$C$18/3.3)*(3*60*284*((F378/1000)^0.77))*MAX(inputs!$I$14:$I$16))/F378,((0.0083*0.112*inputs!$C$18/1)*(3*60*284*((F378/1000)^0.77))*MAX(inputs!$I$14:$I$16))/F378))*(inputs!E$75*3.4/inputs!$E$73)</f>
        <v>0.18793794444653339</v>
      </c>
      <c r="T378" s="63">
        <f>IF((((inputs!$P$13/(V378/MAX(K378:S378)))^(1/inputs!$O$13))-1)/inputs!$N$13&lt;0, 0, IF((((inputs!$P$13/(V378/MAX(K378:S378)))^(1/inputs!$O$13))-1)/inputs!$N$13&lt;inputs!$I$17, (((inputs!$P$13/(V378/MAX(K378:S378)))^(1/inputs!$O$13))-1)/inputs!$N$13, inputs!$I$17))</f>
        <v>1000</v>
      </c>
      <c r="U378" s="63">
        <f>IF((((inputs!$P$13/(X378/MAX(K378:S378)))^(1/inputs!$O$13))-1)/inputs!$N$13&lt;0, 0, IF((((inputs!$P$13/(X378/MAX(K378:S378)))^(1/inputs!$O$13))-1)/inputs!$N$13&lt;inputs!$I$17, (((inputs!$P$13/(X378/MAX(K378:S378)))^(1/inputs!$O$13))-1)/inputs!$N$13, inputs!$I$17))</f>
        <v>30.505325606058136</v>
      </c>
      <c r="V378" s="21">
        <f>inputs!$E$78*(F378/inputs!$F$78)^(inputs!$E$84-1)</f>
        <v>1.1037796961693947E-2</v>
      </c>
      <c r="W378" s="21">
        <f>inputs!$E$85*(F378/inputs!$F$85)^(inputs!$E$84-1)</f>
        <v>0.50970513028452913</v>
      </c>
      <c r="X378" s="21">
        <f>inputs!$E$80*(F378/inputs!$F$80)^(inputs!$E$84-1)</f>
        <v>1.9033292839738745</v>
      </c>
      <c r="Y378" s="21">
        <f>inputs!$E$82*(F378/inputs!$F$82)^(inputs!$E$84-1)</f>
        <v>0.87721439011357161</v>
      </c>
      <c r="Z378" s="63">
        <f t="shared" si="34"/>
        <v>1760.3010369785075</v>
      </c>
      <c r="AA378" s="63">
        <f t="shared" si="35"/>
        <v>38.119776088543368</v>
      </c>
    </row>
    <row r="379" spans="1:27" x14ac:dyDescent="0.25">
      <c r="A379" s="114" t="s">
        <v>325</v>
      </c>
      <c r="B379" s="48" t="s">
        <v>326</v>
      </c>
      <c r="C379" s="20" t="s">
        <v>73</v>
      </c>
      <c r="D379" s="48" t="s">
        <v>296</v>
      </c>
      <c r="E379" s="15">
        <v>82</v>
      </c>
      <c r="F379" s="15">
        <v>434</v>
      </c>
      <c r="G379" s="20" t="s">
        <v>186</v>
      </c>
      <c r="H379" s="49">
        <v>0.75</v>
      </c>
      <c r="I379" s="68">
        <f>inputs!$C$66*inputs!$C$64/1000</f>
        <v>21.3</v>
      </c>
      <c r="J379" s="68">
        <f>inputs!$C$66*inputs!$C$63/1000</f>
        <v>8.8000000000000007</v>
      </c>
      <c r="K379" s="69">
        <f t="shared" si="40"/>
        <v>5.6528979807652107</v>
      </c>
      <c r="L379" s="69">
        <f t="shared" si="41"/>
        <v>2.335469588297364</v>
      </c>
      <c r="M379" s="69">
        <f>IF((((1.18*F379^0.874)/3.7-(0.301*F379^0.751)/(1-H379)*H379)*(MAX('Max rate concentrations'!$P$3:$P$368)))/F379&gt;0, (((1.18*F379^0.874)/3.7-(0.301*F379^0.751)/(1-H379)*H379)*(MAX('Max rate concentrations'!$P$3:$P$368)))/F379, 0)</f>
        <v>0</v>
      </c>
      <c r="N379" s="69">
        <f>IF((((1.18*F379^0.874)/3.7-(0.301*F379^0.751)/(1-H379)*H379)*(MAX('Max rate concentrations'!$Q$3:$Q$368)))/F379&gt;0, (((1.18*F379^0.874)/3.7-(0.301*F379^0.751)/(1-H379)*H379)*(MAX('Max rate concentrations'!$Q$3:$Q$368)))/F379, 0)</f>
        <v>0</v>
      </c>
      <c r="O379" s="69">
        <f>((MAX('Max rate concentrations'!$F$3:$F$368))*0.62*6.01*8*(10*F379^0.667)*0.079*0.1/F379)*inputs!$E$80/(10^(0.84+0.62*LOG10(inputs!$E$80)))</f>
        <v>19.429845437628074</v>
      </c>
      <c r="P379" s="69">
        <f>((MAX('Max rate concentrations'!Y:Y))*0.62*6.01*8*(10*F379^0.667)*0.079*0.1/F379)*inputs!$E$80/(10^(0.84+0.62*LOG10(inputs!$E$80)))</f>
        <v>6.4766151458760257</v>
      </c>
      <c r="Q379" s="69">
        <f>(inputs!$C$18*11.2*(10*F379^0.667)*0.5/F379)*inputs!$E$80/(10^(0.84+0.62*LOG10(inputs!$E$80)))</f>
        <v>3.4224756314549607</v>
      </c>
      <c r="R379" s="59">
        <f>(60*284*((F379/1000)^0.77)*3*24*(MAX('Max rate concentrations'!$R$3:$R$368))/F379)*(inputs!$E$73*3.4/inputs!$E$75)</f>
        <v>3.407721682682658E-2</v>
      </c>
      <c r="S379" s="59">
        <f>(IF(inputs!$C$17="aerial",((0.025*0.112*inputs!$C$18/3.3)*(3*60*284*((F379/1000)^0.77))*MAX(inputs!$I$14:$I$16))/F379,((0.0083*0.112*inputs!$C$18/1)*(3*60*284*((F379/1000)^0.77))*MAX(inputs!$I$14:$I$16))/F379))*(inputs!E$75*3.4/inputs!$E$73)</f>
        <v>0.18793794444653339</v>
      </c>
      <c r="T379" s="63">
        <f>IF((((inputs!$P$13/(V379/MAX(K379:S379)))^(1/inputs!$O$13))-1)/inputs!$N$13&lt;0, 0, IF((((inputs!$P$13/(V379/MAX(K379:S379)))^(1/inputs!$O$13))-1)/inputs!$N$13&lt;inputs!$I$17, (((inputs!$P$13/(V379/MAX(K379:S379)))^(1/inputs!$O$13))-1)/inputs!$N$13, inputs!$I$17))</f>
        <v>1000</v>
      </c>
      <c r="U379" s="63">
        <f>IF((((inputs!$P$13/(X379/MAX(K379:S379)))^(1/inputs!$O$13))-1)/inputs!$N$13&lt;0, 0, IF((((inputs!$P$13/(X379/MAX(K379:S379)))^(1/inputs!$O$13))-1)/inputs!$N$13&lt;inputs!$I$17, (((inputs!$P$13/(X379/MAX(K379:S379)))^(1/inputs!$O$13))-1)/inputs!$N$13, inputs!$I$17))</f>
        <v>30.505325606058136</v>
      </c>
      <c r="V379" s="21">
        <f>inputs!$E$78*(F379/inputs!$F$78)^(inputs!$E$84-1)</f>
        <v>1.1037796961693947E-2</v>
      </c>
      <c r="W379" s="21">
        <f>inputs!$E$85*(F379/inputs!$F$85)^(inputs!$E$84-1)</f>
        <v>0.50970513028452913</v>
      </c>
      <c r="X379" s="21">
        <f>inputs!$E$80*(F379/inputs!$F$80)^(inputs!$E$84-1)</f>
        <v>1.9033292839738745</v>
      </c>
      <c r="Y379" s="21">
        <f>inputs!$E$82*(F379/inputs!$F$82)^(inputs!$E$84-1)</f>
        <v>0.87721439011357161</v>
      </c>
      <c r="Z379" s="63">
        <f t="shared" si="34"/>
        <v>1760.3010369785075</v>
      </c>
      <c r="AA379" s="63">
        <f t="shared" si="35"/>
        <v>38.119776088543368</v>
      </c>
    </row>
    <row r="380" spans="1:27" x14ac:dyDescent="0.25">
      <c r="A380" s="114" t="s">
        <v>327</v>
      </c>
      <c r="B380" s="48" t="s">
        <v>328</v>
      </c>
      <c r="C380" s="20" t="s">
        <v>73</v>
      </c>
      <c r="D380" s="48" t="s">
        <v>296</v>
      </c>
      <c r="E380" s="15">
        <v>114</v>
      </c>
      <c r="F380" s="15">
        <v>454</v>
      </c>
      <c r="G380" s="20" t="s">
        <v>186</v>
      </c>
      <c r="H380" s="49">
        <v>0.75</v>
      </c>
      <c r="I380" s="68">
        <f>inputs!$C$66*inputs!$C$64/1000</f>
        <v>21.3</v>
      </c>
      <c r="J380" s="68">
        <f>inputs!$C$66*inputs!$C$63/1000</f>
        <v>8.8000000000000007</v>
      </c>
      <c r="K380" s="69">
        <f t="shared" si="40"/>
        <v>5.589837501747839</v>
      </c>
      <c r="L380" s="69">
        <f t="shared" si="41"/>
        <v>2.3094164326469948</v>
      </c>
      <c r="M380" s="69">
        <f>IF((((1.18*F380^0.874)/3.7-(0.301*F380^0.751)/(1-H380)*H380)*(MAX('Max rate concentrations'!$P$3:$P$368)))/F380&gt;0, (((1.18*F380^0.874)/3.7-(0.301*F380^0.751)/(1-H380)*H380)*(MAX('Max rate concentrations'!$P$3:$P$368)))/F380, 0)</f>
        <v>0</v>
      </c>
      <c r="N380" s="69">
        <f>IF((((1.18*F380^0.874)/3.7-(0.301*F380^0.751)/(1-H380)*H380)*(MAX('Max rate concentrations'!$Q$3:$Q$368)))/F380&gt;0, (((1.18*F380^0.874)/3.7-(0.301*F380^0.751)/(1-H380)*H380)*(MAX('Max rate concentrations'!$Q$3:$Q$368)))/F380, 0)</f>
        <v>0</v>
      </c>
      <c r="O380" s="69">
        <f>((MAX('Max rate concentrations'!$F$3:$F$368))*0.62*6.01*8*(10*F380^0.667)*0.079*0.1/F380)*inputs!$E$80/(10^(0.84+0.62*LOG10(inputs!$E$80)))</f>
        <v>19.14052416391079</v>
      </c>
      <c r="P380" s="69">
        <f>((MAX('Max rate concentrations'!Y:Y))*0.62*6.01*8*(10*F380^0.667)*0.079*0.1/F380)*inputs!$E$80/(10^(0.84+0.62*LOG10(inputs!$E$80)))</f>
        <v>6.3801747213035949</v>
      </c>
      <c r="Q380" s="69">
        <f>(inputs!$C$18*11.2*(10*F380^0.667)*0.5/F380)*inputs!$E$80/(10^(0.84+0.62*LOG10(inputs!$E$80)))</f>
        <v>3.3715130536960398</v>
      </c>
      <c r="R380" s="59">
        <f>(60*284*((F380/1000)^0.77)*3*24*(MAX('Max rate concentrations'!$R$3:$R$368))/F380)*(inputs!$E$73*3.4/inputs!$E$75)</f>
        <v>3.3725928055515997E-2</v>
      </c>
      <c r="S380" s="59">
        <f>(IF(inputs!$C$17="aerial",((0.025*0.112*inputs!$C$18/3.3)*(3*60*284*((F380/1000)^0.77))*MAX(inputs!$I$14:$I$16))/F380,((0.0083*0.112*inputs!$C$18/1)*(3*60*284*((F380/1000)^0.77))*MAX(inputs!$I$14:$I$16))/F380))*(inputs!E$75*3.4/inputs!$E$73)</f>
        <v>0.18600056529016737</v>
      </c>
      <c r="T380" s="63">
        <f>IF((((inputs!$P$13/(V380/MAX(K380:S380)))^(1/inputs!$O$13))-1)/inputs!$N$13&lt;0, 0, IF((((inputs!$P$13/(V380/MAX(K380:S380)))^(1/inputs!$O$13))-1)/inputs!$N$13&lt;inputs!$I$17, (((inputs!$P$13/(V380/MAX(K380:S380)))^(1/inputs!$O$13))-1)/inputs!$N$13, inputs!$I$17))</f>
        <v>1000</v>
      </c>
      <c r="U380" s="63">
        <f>IF((((inputs!$P$13/(X380/MAX(K380:S380)))^(1/inputs!$O$13))-1)/inputs!$N$13&lt;0, 0, IF((((inputs!$P$13/(X380/MAX(K380:S380)))^(1/inputs!$O$13))-1)/inputs!$N$13&lt;inputs!$I$17, (((inputs!$P$13/(X380/MAX(K380:S380)))^(1/inputs!$O$13))-1)/inputs!$N$13, inputs!$I$17))</f>
        <v>30.553526128826761</v>
      </c>
      <c r="V380" s="21">
        <f>inputs!$E$78*(F380/inputs!$F$78)^(inputs!$E$84-1)</f>
        <v>1.0855327623785738E-2</v>
      </c>
      <c r="W380" s="21">
        <f>inputs!$E$85*(F380/inputs!$F$85)^(inputs!$E$84-1)</f>
        <v>0.50127903239794858</v>
      </c>
      <c r="X380" s="21">
        <f>inputs!$E$80*(F380/inputs!$F$80)^(inputs!$E$84-1)</f>
        <v>1.8718647412328457</v>
      </c>
      <c r="Y380" s="21">
        <f>inputs!$E$82*(F380/inputs!$F$82)^(inputs!$E$84-1)</f>
        <v>0.86271287957455089</v>
      </c>
      <c r="Z380" s="63">
        <f t="shared" si="34"/>
        <v>1763.2378153166817</v>
      </c>
      <c r="AA380" s="63">
        <f t="shared" si="35"/>
        <v>38.183372786108819</v>
      </c>
    </row>
    <row r="381" spans="1:27" x14ac:dyDescent="0.25">
      <c r="A381" s="114" t="s">
        <v>307</v>
      </c>
      <c r="B381" s="48" t="s">
        <v>308</v>
      </c>
      <c r="C381" s="20" t="s">
        <v>73</v>
      </c>
      <c r="D381" s="48" t="s">
        <v>296</v>
      </c>
      <c r="E381" s="15">
        <v>88</v>
      </c>
      <c r="F381" s="15">
        <v>4309</v>
      </c>
      <c r="G381" s="20" t="s">
        <v>164</v>
      </c>
      <c r="H381" s="20">
        <v>0.78</v>
      </c>
      <c r="I381" s="68">
        <f>inputs!$C$66*(inputs!$C$62/1000)</f>
        <v>8.2000000000000011</v>
      </c>
      <c r="J381" s="68">
        <f>inputs!$C$66*(inputs!$C$61/1000)</f>
        <v>2.5</v>
      </c>
      <c r="K381" s="69">
        <f t="shared" si="40"/>
        <v>1.3963616737469127</v>
      </c>
      <c r="L381" s="69">
        <f t="shared" si="41"/>
        <v>0.42572002248381485</v>
      </c>
      <c r="M381" s="69">
        <f>IF((((1.18*F381^0.874)/3.7-(0.301*F381^0.751)/(1-H381)*H381)*(MAX('Max rate concentrations'!$P$3:$P$368)))/F381&gt;0, (((1.18*F381^0.874)/3.7-(0.301*F381^0.751)/(1-H381)*H381)*(MAX('Max rate concentrations'!$P$3:$P$368)))/F381, 0)</f>
        <v>0</v>
      </c>
      <c r="N381" s="69">
        <f>IF((((1.18*F381^0.874)/3.7-(0.301*F381^0.751)/(1-H381)*H381)*(MAX('Max rate concentrations'!$Q$3:$Q$368)))/F381&gt;0, (((1.18*F381^0.874)/3.7-(0.301*F381^0.751)/(1-H381)*H381)*(MAX('Max rate concentrations'!$Q$3:$Q$368)))/F381, 0)</f>
        <v>0</v>
      </c>
      <c r="O381" s="69">
        <f>((MAX('Max rate concentrations'!$F$3:$F$368))*0.62*6.01*8*(10*F381^0.667)*0.079*0.1/F381)*inputs!$E$80/(10^(0.84+0.62*LOG10(inputs!$E$80)))</f>
        <v>9.0470304749809998</v>
      </c>
      <c r="P381" s="69">
        <f>((MAX('Max rate concentrations'!Y:Y))*0.62*6.01*8*(10*F381^0.667)*0.079*0.1/F381)*inputs!$E$80/(10^(0.84+0.62*LOG10(inputs!$E$80)))</f>
        <v>3.0156768249936663</v>
      </c>
      <c r="Q381" s="69">
        <f>(inputs!$C$18*11.2*(10*F381^0.667)*0.5/F381)*inputs!$E$80/(10^(0.84+0.62*LOG10(inputs!$E$80)))</f>
        <v>1.5935917471422121</v>
      </c>
      <c r="R381" s="59">
        <f>(60*284*((F381/1000)^0.77)*3*24*(MAX('Max rate concentrations'!$R$3:$R$368))/F381)*(inputs!$E$73*3.4/inputs!$E$75)</f>
        <v>2.0099264330814447E-2</v>
      </c>
      <c r="S381" s="59">
        <f>(IF(inputs!$C$17="aerial",((0.025*0.112*inputs!$C$18/3.3)*(3*60*284*((F381/1000)^0.77))*MAX(inputs!$I$14:$I$16))/F381,((0.0083*0.112*inputs!$C$18/1)*(3*60*284*((F381/1000)^0.77))*MAX(inputs!$I$14:$I$16))/F381))*(inputs!E$75*3.4/inputs!$E$73)</f>
        <v>0.11084867764925874</v>
      </c>
      <c r="T381" s="63">
        <f>IF((((inputs!$P$13/(V381/MAX(K381:S381)))^(1/inputs!$O$13))-1)/inputs!$N$13&lt;0, 0, IF((((inputs!$P$13/(V381/MAX(K381:S381)))^(1/inputs!$O$13))-1)/inputs!$N$13&lt;inputs!$I$17, (((inputs!$P$13/(V381/MAX(K381:S381)))^(1/inputs!$O$13))-1)/inputs!$N$13, inputs!$I$17))</f>
        <v>1000</v>
      </c>
      <c r="U381" s="63">
        <f>IF((((inputs!$P$13/(X381/MAX(K381:S381)))^(1/inputs!$O$13))-1)/inputs!$N$13&lt;0, 0, IF((((inputs!$P$13/(X381/MAX(K381:S381)))^(1/inputs!$O$13))-1)/inputs!$N$13&lt;inputs!$I$17, (((inputs!$P$13/(X381/MAX(K381:S381)))^(1/inputs!$O$13))-1)/inputs!$N$13, inputs!$I$17))</f>
        <v>33.045708596409483</v>
      </c>
      <c r="V381" s="21">
        <f>inputs!$E$78*(F381/inputs!$F$78)^(inputs!$E$84-1)</f>
        <v>4.7210032362467241E-3</v>
      </c>
      <c r="W381" s="21">
        <f>inputs!$E$85*(F381/inputs!$F$85)^(inputs!$E$84-1)</f>
        <v>0.21800723259866231</v>
      </c>
      <c r="X381" s="21">
        <f>inputs!$E$80*(F381/inputs!$F$80)^(inputs!$E$84-1)</f>
        <v>0.81407764071652378</v>
      </c>
      <c r="Y381" s="21">
        <f>inputs!$E$82*(F381/inputs!$F$82)^(inputs!$E$84-1)</f>
        <v>0.37519552035434489</v>
      </c>
      <c r="Z381" s="63">
        <f t="shared" si="34"/>
        <v>1916.3364272915726</v>
      </c>
      <c r="AA381" s="63">
        <f t="shared" si="35"/>
        <v>41.498762986620804</v>
      </c>
    </row>
    <row r="382" spans="1:27" x14ac:dyDescent="0.25">
      <c r="A382" s="114" t="s">
        <v>307</v>
      </c>
      <c r="B382" s="48" t="s">
        <v>308</v>
      </c>
      <c r="C382" s="20" t="s">
        <v>73</v>
      </c>
      <c r="D382" s="48" t="s">
        <v>296</v>
      </c>
      <c r="E382" s="15">
        <v>88</v>
      </c>
      <c r="F382" s="15">
        <v>4309</v>
      </c>
      <c r="G382" s="20" t="s">
        <v>186</v>
      </c>
      <c r="H382" s="49">
        <v>0.75</v>
      </c>
      <c r="I382" s="68">
        <f>inputs!$C$66*inputs!$C$64/1000</f>
        <v>21.3</v>
      </c>
      <c r="J382" s="68">
        <f>inputs!$C$66*inputs!$C$63/1000</f>
        <v>8.8000000000000007</v>
      </c>
      <c r="K382" s="69">
        <f t="shared" si="40"/>
        <v>3.1918784405746496</v>
      </c>
      <c r="L382" s="69">
        <f t="shared" si="41"/>
        <v>1.3187103416458648</v>
      </c>
      <c r="M382" s="69">
        <f>IF((((1.18*F382^0.874)/3.7-(0.301*F382^0.751)/(1-H382)*H382)*(MAX('Max rate concentrations'!$P$3:$P$368)))/F382&gt;0, (((1.18*F382^0.874)/3.7-(0.301*F382^0.751)/(1-H382)*H382)*(MAX('Max rate concentrations'!$P$3:$P$368)))/F382, 0)</f>
        <v>0</v>
      </c>
      <c r="N382" s="69">
        <f>IF((((1.18*F382^0.874)/3.7-(0.301*F382^0.751)/(1-H382)*H382)*(MAX('Max rate concentrations'!$Q$3:$Q$368)))/F382&gt;0, (((1.18*F382^0.874)/3.7-(0.301*F382^0.751)/(1-H382)*H382)*(MAX('Max rate concentrations'!$Q$3:$Q$368)))/F382, 0)</f>
        <v>0</v>
      </c>
      <c r="O382" s="69">
        <f>((MAX('Max rate concentrations'!$F$3:$F$368))*0.62*6.01*8*(10*F382^0.667)*0.079*0.1/F382)*inputs!$E$80/(10^(0.84+0.62*LOG10(inputs!$E$80)))</f>
        <v>9.0470304749809998</v>
      </c>
      <c r="P382" s="69">
        <f>((MAX('Max rate concentrations'!Y:Y))*0.62*6.01*8*(10*F382^0.667)*0.079*0.1/F382)*inputs!$E$80/(10^(0.84+0.62*LOG10(inputs!$E$80)))</f>
        <v>3.0156768249936663</v>
      </c>
      <c r="Q382" s="69">
        <f>(inputs!$C$18*11.2*(10*F382^0.667)*0.5/F382)*inputs!$E$80/(10^(0.84+0.62*LOG10(inputs!$E$80)))</f>
        <v>1.5935917471422121</v>
      </c>
      <c r="R382" s="59">
        <f>(60*284*((F382/1000)^0.77)*3*24*(MAX('Max rate concentrations'!$R$3:$R$368))/F382)*(inputs!$E$73*3.4/inputs!$E$75)</f>
        <v>2.0099264330814447E-2</v>
      </c>
      <c r="S382" s="59">
        <f>(IF(inputs!$C$17="aerial",((0.025*0.112*inputs!$C$18/3.3)*(3*60*284*((F382/1000)^0.77))*MAX(inputs!$I$14:$I$16))/F382,((0.0083*0.112*inputs!$C$18/1)*(3*60*284*((F382/1000)^0.77))*MAX(inputs!$I$14:$I$16))/F382))*(inputs!E$75*3.4/inputs!$E$73)</f>
        <v>0.11084867764925874</v>
      </c>
      <c r="T382" s="63">
        <f>IF((((inputs!$P$13/(V382/MAX(K382:S382)))^(1/inputs!$O$13))-1)/inputs!$N$13&lt;0, 0, IF((((inputs!$P$13/(V382/MAX(K382:S382)))^(1/inputs!$O$13))-1)/inputs!$N$13&lt;inputs!$I$17, (((inputs!$P$13/(V382/MAX(K382:S382)))^(1/inputs!$O$13))-1)/inputs!$N$13, inputs!$I$17))</f>
        <v>1000</v>
      </c>
      <c r="U382" s="63">
        <f>IF((((inputs!$P$13/(X382/MAX(K382:S382)))^(1/inputs!$O$13))-1)/inputs!$N$13&lt;0, 0, IF((((inputs!$P$13/(X382/MAX(K382:S382)))^(1/inputs!$O$13))-1)/inputs!$N$13&lt;inputs!$I$17, (((inputs!$P$13/(X382/MAX(K382:S382)))^(1/inputs!$O$13))-1)/inputs!$N$13, inputs!$I$17))</f>
        <v>33.045708596409483</v>
      </c>
      <c r="V382" s="21">
        <f>inputs!$E$78*(F382/inputs!$F$78)^(inputs!$E$84-1)</f>
        <v>4.7210032362467241E-3</v>
      </c>
      <c r="W382" s="21">
        <f>inputs!$E$85*(F382/inputs!$F$85)^(inputs!$E$84-1)</f>
        <v>0.21800723259866231</v>
      </c>
      <c r="X382" s="21">
        <f>inputs!$E$80*(F382/inputs!$F$80)^(inputs!$E$84-1)</f>
        <v>0.81407764071652378</v>
      </c>
      <c r="Y382" s="21">
        <f>inputs!$E$82*(F382/inputs!$F$82)^(inputs!$E$84-1)</f>
        <v>0.37519552035434489</v>
      </c>
      <c r="Z382" s="63">
        <f t="shared" si="34"/>
        <v>1916.3364272915726</v>
      </c>
      <c r="AA382" s="63">
        <f t="shared" si="35"/>
        <v>41.498762986620804</v>
      </c>
    </row>
    <row r="383" spans="1:27" x14ac:dyDescent="0.25">
      <c r="A383" s="103" t="s">
        <v>159</v>
      </c>
      <c r="B383" s="20" t="s">
        <v>160</v>
      </c>
      <c r="C383" s="20" t="s">
        <v>73</v>
      </c>
      <c r="D383" s="104" t="s">
        <v>157</v>
      </c>
      <c r="E383" s="15">
        <v>80</v>
      </c>
      <c r="F383" s="15">
        <v>270</v>
      </c>
      <c r="G383" s="20" t="s">
        <v>152</v>
      </c>
      <c r="H383" s="20">
        <v>0.77</v>
      </c>
      <c r="I383" s="68">
        <f>MAX('Max rate concentrations'!$G$3:$G$368)</f>
        <v>45</v>
      </c>
      <c r="J383" s="68">
        <f>MAX('Max rate concentrations'!Z:Z)</f>
        <v>21</v>
      </c>
      <c r="K383" s="69">
        <f t="shared" si="40"/>
        <v>14.609710024222984</v>
      </c>
      <c r="L383" s="69">
        <f t="shared" si="41"/>
        <v>6.8178646779707259</v>
      </c>
      <c r="M383" s="69">
        <f>IF((((1.18*F383^0.874)/3.7-(0.301*F383^0.751)/(1-H383)*H383)*(MAX('Max rate concentrations'!$P$3:$P$368)))/F383&gt;0, (((1.18*F383^0.874)/3.7-(0.301*F383^0.751)/(1-H383)*H383)*(MAX('Max rate concentrations'!$P$3:$P$368)))/F383, 0)</f>
        <v>0</v>
      </c>
      <c r="N383" s="69">
        <f>IF((((1.18*F383^0.874)/3.7-(0.301*F383^0.751)/(1-H383)*H383)*(MAX('Max rate concentrations'!$Q$3:$Q$368)))/F383&gt;0, (((1.18*F383^0.874)/3.7-(0.301*F383^0.751)/(1-H383)*H383)*(MAX('Max rate concentrations'!$Q$3:$Q$368)))/F383, 0)</f>
        <v>0</v>
      </c>
      <c r="O383" s="69">
        <f>((MAX('Max rate concentrations'!$F$3:$F$368))*0.62*6.01*8*(10*F383^0.667)*0.079*0.1/F383)*inputs!$E$80/(10^(0.84+0.62*LOG10(inputs!$E$80)))</f>
        <v>22.756700421048166</v>
      </c>
      <c r="P383" s="69">
        <f>((MAX('Max rate concentrations'!Y:Y))*0.62*6.01*8*(10*F383^0.667)*0.079*0.1/F383)*inputs!$E$80/(10^(0.84+0.62*LOG10(inputs!$E$80)))</f>
        <v>7.5855668070160549</v>
      </c>
      <c r="Q383" s="69">
        <f>(inputs!$C$18*11.2*(10*F383^0.667)*0.5/F383)*inputs!$E$80/(10^(0.84+0.62*LOG10(inputs!$E$80)))</f>
        <v>4.008485445413096</v>
      </c>
      <c r="R383" s="59">
        <f>(60*284*((F383/1000)^0.77)*3*24*(MAX('Max rate concentrations'!$R$3:$R$368))/F383)*(inputs!$E$73*3.4/inputs!$E$75)</f>
        <v>3.8007831288017109E-2</v>
      </c>
      <c r="S383" s="59">
        <f>(IF(inputs!$C$17="aerial",((0.025*0.112*inputs!$C$18/3.3)*(3*60*284*((F383/1000)^0.77))*MAX(inputs!$I$14:$I$16))/F383,((0.0083*0.112*inputs!$C$18/1)*(3*60*284*((F383/1000)^0.77))*MAX(inputs!$I$14:$I$16))/F383))*(inputs!E$75*3.4/inputs!$E$73)</f>
        <v>0.20961552469030581</v>
      </c>
      <c r="T383" s="63">
        <f>IF((((inputs!$P$13/(V383/MAX(K383:S383)))^(1/inputs!$O$13))-1)/inputs!$N$13&lt;0, 0, IF((((inputs!$P$13/(V383/MAX(K383:S383)))^(1/inputs!$O$13))-1)/inputs!$N$13&lt;inputs!$I$17, (((inputs!$P$13/(V383/MAX(K383:S383)))^(1/inputs!$O$13))-1)/inputs!$N$13, inputs!$I$17))</f>
        <v>1000</v>
      </c>
      <c r="U383" s="63">
        <f>IF((((inputs!$P$13/(X383/MAX(K383:S383)))^(1/inputs!$O$13))-1)/inputs!$N$13&lt;0, 0, IF((((inputs!$P$13/(X383/MAX(K383:S383)))^(1/inputs!$O$13))-1)/inputs!$N$13&lt;inputs!$I$17, (((inputs!$P$13/(X383/MAX(K383:S383)))^(1/inputs!$O$13))-1)/inputs!$N$13, inputs!$I$17))</f>
        <v>30.001469133112153</v>
      </c>
      <c r="V383" s="21">
        <f>inputs!$E$78*(F383/inputs!$F$78)^(inputs!$E$84-1)</f>
        <v>1.3156761686377191E-2</v>
      </c>
      <c r="W383" s="21">
        <f>inputs!$E$85*(F383/inputs!$F$85)^(inputs!$E$84-1)</f>
        <v>0.60755501779480292</v>
      </c>
      <c r="X383" s="21">
        <f>inputs!$E$80*(F383/inputs!$F$80)^(inputs!$E$84-1)</f>
        <v>2.2687181044236309</v>
      </c>
      <c r="Y383" s="21">
        <f>inputs!$E$82*(F383/inputs!$F$82)^(inputs!$E$84-1)</f>
        <v>1.0456163234962925</v>
      </c>
      <c r="Z383" s="63">
        <f t="shared" si="34"/>
        <v>1729.6581760396989</v>
      </c>
      <c r="AA383" s="63">
        <f t="shared" si="35"/>
        <v>37.456196977265471</v>
      </c>
    </row>
    <row r="384" spans="1:27" x14ac:dyDescent="0.25">
      <c r="A384" s="103" t="s">
        <v>159</v>
      </c>
      <c r="B384" s="20" t="s">
        <v>160</v>
      </c>
      <c r="C384" s="20" t="s">
        <v>73</v>
      </c>
      <c r="D384" s="104" t="s">
        <v>157</v>
      </c>
      <c r="E384" s="15">
        <v>80</v>
      </c>
      <c r="F384" s="15">
        <v>270</v>
      </c>
      <c r="G384" s="20" t="s">
        <v>161</v>
      </c>
      <c r="H384" s="20">
        <v>0.85</v>
      </c>
      <c r="I384" s="68">
        <f>MAX('Max rate concentrations'!$F$3:$F$368)</f>
        <v>405</v>
      </c>
      <c r="J384" s="68">
        <f>MAX('Max rate concentrations'!Y:Y)</f>
        <v>135</v>
      </c>
      <c r="K384" s="69">
        <f t="shared" si="40"/>
        <v>201.61399833427714</v>
      </c>
      <c r="L384" s="69">
        <f t="shared" si="41"/>
        <v>67.204666111425709</v>
      </c>
      <c r="M384" s="69">
        <f>IF((((1.18*F384^0.874)/3.7-(0.301*F384^0.751)/(1-H384)*H384)*(MAX('Max rate concentrations'!$P$3:$P$368)))/F384&gt;0, (((1.18*F384^0.874)/3.7-(0.301*F384^0.751)/(1-H384)*H384)*(MAX('Max rate concentrations'!$P$3:$P$368)))/F384, 0)</f>
        <v>0</v>
      </c>
      <c r="N384" s="69">
        <f>IF((((1.18*F384^0.874)/3.7-(0.301*F384^0.751)/(1-H384)*H384)*(MAX('Max rate concentrations'!$Q$3:$Q$368)))/F384&gt;0, (((1.18*F384^0.874)/3.7-(0.301*F384^0.751)/(1-H384)*H384)*(MAX('Max rate concentrations'!$Q$3:$Q$368)))/F384, 0)</f>
        <v>0</v>
      </c>
      <c r="O384" s="69">
        <f>((MAX('Max rate concentrations'!$F$3:$F$368))*0.62*6.01*8*(10*F384^0.667)*0.079*0.1/F384)*inputs!$E$80/(10^(0.84+0.62*LOG10(inputs!$E$80)))</f>
        <v>22.756700421048166</v>
      </c>
      <c r="P384" s="69">
        <f>((MAX('Max rate concentrations'!Y:Y))*0.62*6.01*8*(10*F384^0.667)*0.079*0.1/F384)*inputs!$E$80/(10^(0.84+0.62*LOG10(inputs!$E$80)))</f>
        <v>7.5855668070160549</v>
      </c>
      <c r="Q384" s="69">
        <f>(inputs!$C$18*11.2*(10*F384^0.667)*0.5/F384)*inputs!$E$80/(10^(0.84+0.62*LOG10(inputs!$E$80)))</f>
        <v>4.008485445413096</v>
      </c>
      <c r="R384" s="59">
        <f>(60*284*((F384/1000)^0.77)*3*24*(MAX('Max rate concentrations'!$R$3:$R$368))/F384)*(inputs!$E$73*3.4/inputs!$E$75)</f>
        <v>3.8007831288017109E-2</v>
      </c>
      <c r="S384" s="59">
        <f>(IF(inputs!$C$17="aerial",((0.025*0.112*inputs!$C$18/3.3)*(3*60*284*((F384/1000)^0.77))*MAX(inputs!$I$14:$I$16))/F384,((0.0083*0.112*inputs!$C$18/1)*(3*60*284*((F384/1000)^0.77))*MAX(inputs!$I$14:$I$16))/F384))*(inputs!E$75*3.4/inputs!$E$73)</f>
        <v>0.20961552469030581</v>
      </c>
      <c r="T384" s="63">
        <f>IF((((inputs!$P$13/(V384/MAX(K384:S384)))^(1/inputs!$O$13))-1)/inputs!$N$13&lt;0, 0, IF((((inputs!$P$13/(V384/MAX(K384:S384)))^(1/inputs!$O$13))-1)/inputs!$N$13&lt;inputs!$I$17, (((inputs!$P$13/(V384/MAX(K384:S384)))^(1/inputs!$O$13))-1)/inputs!$N$13, inputs!$I$17))</f>
        <v>1000</v>
      </c>
      <c r="U384" s="63">
        <f>IF((((inputs!$P$13/(X384/MAX(K384:S384)))^(1/inputs!$O$13))-1)/inputs!$N$13&lt;0, 0, IF((((inputs!$P$13/(X384/MAX(K384:S384)))^(1/inputs!$O$13))-1)/inputs!$N$13&lt;inputs!$I$17, (((inputs!$P$13/(X384/MAX(K384:S384)))^(1/inputs!$O$13))-1)/inputs!$N$13, inputs!$I$17))</f>
        <v>200.38096133560373</v>
      </c>
      <c r="V384" s="21">
        <f>inputs!$E$78*(F384/inputs!$F$78)^(inputs!$E$84-1)</f>
        <v>1.3156761686377191E-2</v>
      </c>
      <c r="W384" s="21">
        <f>inputs!$E$85*(F384/inputs!$F$85)^(inputs!$E$84-1)</f>
        <v>0.60755501779480292</v>
      </c>
      <c r="X384" s="21">
        <f>inputs!$E$80*(F384/inputs!$F$80)^(inputs!$E$84-1)</f>
        <v>2.2687181044236309</v>
      </c>
      <c r="Y384" s="21">
        <f>inputs!$E$82*(F384/inputs!$F$82)^(inputs!$E$84-1)</f>
        <v>1.0456163234962925</v>
      </c>
      <c r="Z384" s="63">
        <f t="shared" si="34"/>
        <v>15323.983449744541</v>
      </c>
      <c r="AA384" s="63">
        <f t="shared" si="35"/>
        <v>331.84484109119933</v>
      </c>
    </row>
    <row r="385" spans="1:27" x14ac:dyDescent="0.25">
      <c r="A385" s="103" t="s">
        <v>159</v>
      </c>
      <c r="B385" s="20" t="s">
        <v>160</v>
      </c>
      <c r="C385" s="20" t="s">
        <v>73</v>
      </c>
      <c r="D385" s="104" t="s">
        <v>157</v>
      </c>
      <c r="E385" s="15">
        <v>80</v>
      </c>
      <c r="F385" s="15">
        <v>270</v>
      </c>
      <c r="G385" s="20" t="s">
        <v>154</v>
      </c>
      <c r="H385" s="20">
        <v>9.2999999999999999E-2</v>
      </c>
      <c r="I385" s="68">
        <f>MAX('Max rate concentrations'!$G$3:$G$368)</f>
        <v>45</v>
      </c>
      <c r="J385" s="68">
        <f>MAX('Max rate concentrations'!Z:Z)</f>
        <v>21</v>
      </c>
      <c r="K385" s="69">
        <f t="shared" si="40"/>
        <v>3.7047776246651445</v>
      </c>
      <c r="L385" s="69">
        <f t="shared" si="41"/>
        <v>1.7288962248437341</v>
      </c>
      <c r="M385" s="69">
        <f>IF((((1.18*F385^0.874)/3.7-(0.301*F385^0.751)/(1-H385)*H385)*(MAX('Max rate concentrations'!$P$3:$P$368)))/F385&gt;0, (((1.18*F385^0.874)/3.7-(0.301*F385^0.751)/(1-H385)*H385)*(MAX('Max rate concentrations'!$P$3:$P$368)))/F385, 0)</f>
        <v>0.1305120250186608</v>
      </c>
      <c r="N385" s="69">
        <f>IF((((1.18*F385^0.874)/3.7-(0.301*F385^0.751)/(1-H385)*H385)*(MAX('Max rate concentrations'!$Q$3:$Q$368)))/F385&gt;0, (((1.18*F385^0.874)/3.7-(0.301*F385^0.751)/(1-H385)*H385)*(MAX('Max rate concentrations'!$Q$3:$Q$368)))/F385, 0)</f>
        <v>0.49699680390209405</v>
      </c>
      <c r="O385" s="69">
        <f>((MAX('Max rate concentrations'!$F$3:$F$368))*0.62*6.01*8*(10*F385^0.667)*0.079*0.1/F385)*inputs!$E$80/(10^(0.84+0.62*LOG10(inputs!$E$80)))</f>
        <v>22.756700421048166</v>
      </c>
      <c r="P385" s="69">
        <f>((MAX('Max rate concentrations'!Y:Y))*0.62*6.01*8*(10*F385^0.667)*0.079*0.1/F385)*inputs!$E$80/(10^(0.84+0.62*LOG10(inputs!$E$80)))</f>
        <v>7.5855668070160549</v>
      </c>
      <c r="Q385" s="69">
        <f>(inputs!$C$18*11.2*(10*F385^0.667)*0.5/F385)*inputs!$E$80/(10^(0.84+0.62*LOG10(inputs!$E$80)))</f>
        <v>4.008485445413096</v>
      </c>
      <c r="R385" s="59">
        <f>(60*284*((F385/1000)^0.77)*3*24*(MAX('Max rate concentrations'!$R$3:$R$368))/F385)*(inputs!$E$73*3.4/inputs!$E$75)</f>
        <v>3.8007831288017109E-2</v>
      </c>
      <c r="S385" s="59">
        <f>(IF(inputs!$C$17="aerial",((0.025*0.112*inputs!$C$18/3.3)*(3*60*284*((F385/1000)^0.77))*MAX(inputs!$I$14:$I$16))/F385,((0.0083*0.112*inputs!$C$18/1)*(3*60*284*((F385/1000)^0.77))*MAX(inputs!$I$14:$I$16))/F385))*(inputs!E$75*3.4/inputs!$E$73)</f>
        <v>0.20961552469030581</v>
      </c>
      <c r="T385" s="63">
        <f>IF((((inputs!$P$13/(V385/MAX(K385:S385)))^(1/inputs!$O$13))-1)/inputs!$N$13&lt;0, 0, IF((((inputs!$P$13/(V385/MAX(K385:S385)))^(1/inputs!$O$13))-1)/inputs!$N$13&lt;inputs!$I$17, (((inputs!$P$13/(V385/MAX(K385:S385)))^(1/inputs!$O$13))-1)/inputs!$N$13, inputs!$I$17))</f>
        <v>1000</v>
      </c>
      <c r="U385" s="63">
        <f>IF((((inputs!$P$13/(X385/MAX(K385:S385)))^(1/inputs!$O$13))-1)/inputs!$N$13&lt;0, 0, IF((((inputs!$P$13/(X385/MAX(K385:S385)))^(1/inputs!$O$13))-1)/inputs!$N$13&lt;inputs!$I$17, (((inputs!$P$13/(X385/MAX(K385:S385)))^(1/inputs!$O$13))-1)/inputs!$N$13, inputs!$I$17))</f>
        <v>30.001469133112153</v>
      </c>
      <c r="V385" s="21">
        <f>inputs!$E$78*(F385/inputs!$F$78)^(inputs!$E$84-1)</f>
        <v>1.3156761686377191E-2</v>
      </c>
      <c r="W385" s="21">
        <f>inputs!$E$85*(F385/inputs!$F$85)^(inputs!$E$84-1)</f>
        <v>0.60755501779480292</v>
      </c>
      <c r="X385" s="21">
        <f>inputs!$E$80*(F385/inputs!$F$80)^(inputs!$E$84-1)</f>
        <v>2.2687181044236309</v>
      </c>
      <c r="Y385" s="21">
        <f>inputs!$E$82*(F385/inputs!$F$82)^(inputs!$E$84-1)</f>
        <v>1.0456163234962925</v>
      </c>
      <c r="Z385" s="63">
        <f t="shared" si="34"/>
        <v>1729.6581760396989</v>
      </c>
      <c r="AA385" s="63">
        <f t="shared" si="35"/>
        <v>37.456196977265471</v>
      </c>
    </row>
    <row r="386" spans="1:27" x14ac:dyDescent="0.25">
      <c r="A386" s="103" t="s">
        <v>155</v>
      </c>
      <c r="B386" s="20" t="s">
        <v>156</v>
      </c>
      <c r="C386" s="20" t="s">
        <v>73</v>
      </c>
      <c r="D386" s="104" t="s">
        <v>157</v>
      </c>
      <c r="E386" s="15">
        <v>10021</v>
      </c>
      <c r="F386" s="15">
        <v>293</v>
      </c>
      <c r="G386" s="20" t="s">
        <v>152</v>
      </c>
      <c r="H386" s="20">
        <v>0.77</v>
      </c>
      <c r="I386" s="68">
        <f>MAX('Max rate concentrations'!$G$3:$G$368)</f>
        <v>45</v>
      </c>
      <c r="J386" s="68">
        <f>MAX('Max rate concentrations'!Z:Z)</f>
        <v>21</v>
      </c>
      <c r="K386" s="69">
        <f t="shared" si="40"/>
        <v>14.315322483372963</v>
      </c>
      <c r="L386" s="69">
        <f t="shared" si="41"/>
        <v>6.6804838255740497</v>
      </c>
      <c r="M386" s="69">
        <f>IF((((1.18*F386^0.874)/3.7-(0.301*F386^0.751)/(1-H386)*H386)*(MAX('Max rate concentrations'!$P$3:$P$368)))/F386&gt;0, (((1.18*F386^0.874)/3.7-(0.301*F386^0.751)/(1-H386)*H386)*(MAX('Max rate concentrations'!$P$3:$P$368)))/F386, 0)</f>
        <v>0</v>
      </c>
      <c r="N386" s="69">
        <f>IF((((1.18*F386^0.874)/3.7-(0.301*F386^0.751)/(1-H386)*H386)*(MAX('Max rate concentrations'!$Q$3:$Q$368)))/F386&gt;0, (((1.18*F386^0.874)/3.7-(0.301*F386^0.751)/(1-H386)*H386)*(MAX('Max rate concentrations'!$Q$3:$Q$368)))/F386, 0)</f>
        <v>0</v>
      </c>
      <c r="O386" s="69">
        <f>((MAX('Max rate concentrations'!$F$3:$F$368))*0.62*6.01*8*(10*F386^0.667)*0.079*0.1/F386)*inputs!$E$80/(10^(0.84+0.62*LOG10(inputs!$E$80)))</f>
        <v>22.145551909085178</v>
      </c>
      <c r="P386" s="69">
        <f>((MAX('Max rate concentrations'!Y:Y))*0.62*6.01*8*(10*F386^0.667)*0.079*0.1/F386)*inputs!$E$80/(10^(0.84+0.62*LOG10(inputs!$E$80)))</f>
        <v>7.381850636361726</v>
      </c>
      <c r="Q386" s="69">
        <f>(inputs!$C$18*11.2*(10*F386^0.667)*0.5/F386)*inputs!$E$80/(10^(0.84+0.62*LOG10(inputs!$E$80)))</f>
        <v>3.900834517560495</v>
      </c>
      <c r="R386" s="59">
        <f>(60*284*((F386/1000)^0.77)*3*24*(MAX('Max rate concentrations'!$R$3:$R$368))/F386)*(inputs!$E$73*3.4/inputs!$E$75)</f>
        <v>3.7299860082970628E-2</v>
      </c>
      <c r="S386" s="59">
        <f>(IF(inputs!$C$17="aerial",((0.025*0.112*inputs!$C$18/3.3)*(3*60*284*((F386/1000)^0.77))*MAX(inputs!$I$14:$I$16))/F386,((0.0083*0.112*inputs!$C$18/1)*(3*60*284*((F386/1000)^0.77))*MAX(inputs!$I$14:$I$16))/F386))*(inputs!E$75*3.4/inputs!$E$73)</f>
        <v>0.20571101999792069</v>
      </c>
      <c r="T386" s="63">
        <f>IF((((inputs!$P$13/(V386/MAX(K386:S386)))^(1/inputs!$O$13))-1)/inputs!$N$13&lt;0, 0, IF((((inputs!$P$13/(V386/MAX(K386:S386)))^(1/inputs!$O$13))-1)/inputs!$N$13&lt;inputs!$I$17, (((inputs!$P$13/(V386/MAX(K386:S386)))^(1/inputs!$O$13))-1)/inputs!$N$13, inputs!$I$17))</f>
        <v>1000</v>
      </c>
      <c r="U386" s="63">
        <f>IF((((inputs!$P$13/(X386/MAX(K386:S386)))^(1/inputs!$O$13))-1)/inputs!$N$13&lt;0, 0, IF((((inputs!$P$13/(X386/MAX(K386:S386)))^(1/inputs!$O$13))-1)/inputs!$N$13&lt;inputs!$I$17, (((inputs!$P$13/(X386/MAX(K386:S386)))^(1/inputs!$O$13))-1)/inputs!$N$13, inputs!$I$17))</f>
        <v>30.087745838715811</v>
      </c>
      <c r="V386" s="21">
        <f>inputs!$E$78*(F386/inputs!$F$78)^(inputs!$E$84-1)</f>
        <v>1.2764757875167079E-2</v>
      </c>
      <c r="W386" s="21">
        <f>inputs!$E$85*(F386/inputs!$F$85)^(inputs!$E$84-1)</f>
        <v>0.58945300392751587</v>
      </c>
      <c r="X386" s="21">
        <f>inputs!$E$80*(F386/inputs!$F$80)^(inputs!$E$84-1)</f>
        <v>2.2011219766913568</v>
      </c>
      <c r="Y386" s="21">
        <f>inputs!$E$82*(F386/inputs!$F$82)^(inputs!$E$84-1)</f>
        <v>1.0144623363948573</v>
      </c>
      <c r="Z386" s="63">
        <f t="shared" ref="Z386:Z451" si="42">MAX(K386:S386)/V386</f>
        <v>1734.8979217355748</v>
      </c>
      <c r="AA386" s="63">
        <f t="shared" ref="AA386:AA451" si="43">MAX(K386:S386)/W386</f>
        <v>37.569665031019817</v>
      </c>
    </row>
    <row r="387" spans="1:27" x14ac:dyDescent="0.25">
      <c r="A387" s="103" t="s">
        <v>155</v>
      </c>
      <c r="B387" s="20" t="s">
        <v>156</v>
      </c>
      <c r="C387" s="20" t="s">
        <v>73</v>
      </c>
      <c r="D387" s="104" t="s">
        <v>157</v>
      </c>
      <c r="E387" s="15">
        <v>10021</v>
      </c>
      <c r="F387" s="15">
        <v>293</v>
      </c>
      <c r="G387" s="20" t="s">
        <v>158</v>
      </c>
      <c r="H387" s="20">
        <v>0.85</v>
      </c>
      <c r="I387" s="68">
        <f>MAX('Max rate concentrations'!$F$3:$F$368)</f>
        <v>405</v>
      </c>
      <c r="J387" s="68">
        <f>MAX('Max rate concentrations'!Y:Y)</f>
        <v>135</v>
      </c>
      <c r="K387" s="69">
        <f t="shared" si="40"/>
        <v>197.55145027054687</v>
      </c>
      <c r="L387" s="69">
        <f t="shared" si="41"/>
        <v>65.850483423515627</v>
      </c>
      <c r="M387" s="69">
        <f>IF((((1.18*F387^0.874)/3.7-(0.301*F387^0.751)/(1-H387)*H387)*(MAX('Max rate concentrations'!$P$3:$P$368)))/F387&gt;0, (((1.18*F387^0.874)/3.7-(0.301*F387^0.751)/(1-H387)*H387)*(MAX('Max rate concentrations'!$P$3:$P$368)))/F387, 0)</f>
        <v>0</v>
      </c>
      <c r="N387" s="69">
        <f>IF((((1.18*F387^0.874)/3.7-(0.301*F387^0.751)/(1-H387)*H387)*(MAX('Max rate concentrations'!$Q$3:$Q$368)))/F387&gt;0, (((1.18*F387^0.874)/3.7-(0.301*F387^0.751)/(1-H387)*H387)*(MAX('Max rate concentrations'!$Q$3:$Q$368)))/F387, 0)</f>
        <v>0</v>
      </c>
      <c r="O387" s="69">
        <f>((MAX('Max rate concentrations'!$F$3:$F$368))*0.62*6.01*8*(10*F387^0.667)*0.079*0.1/F387)*inputs!$E$80/(10^(0.84+0.62*LOG10(inputs!$E$80)))</f>
        <v>22.145551909085178</v>
      </c>
      <c r="P387" s="69">
        <f>((MAX('Max rate concentrations'!Y:Y))*0.62*6.01*8*(10*F387^0.667)*0.079*0.1/F387)*inputs!$E$80/(10^(0.84+0.62*LOG10(inputs!$E$80)))</f>
        <v>7.381850636361726</v>
      </c>
      <c r="Q387" s="69">
        <f>(inputs!$C$18*11.2*(10*F387^0.667)*0.5/F387)*inputs!$E$80/(10^(0.84+0.62*LOG10(inputs!$E$80)))</f>
        <v>3.900834517560495</v>
      </c>
      <c r="R387" s="59">
        <f>(60*284*((F387/1000)^0.77)*3*24*(MAX('Max rate concentrations'!$R$3:$R$368))/F387)*(inputs!$E$73*3.4/inputs!$E$75)</f>
        <v>3.7299860082970628E-2</v>
      </c>
      <c r="S387" s="59">
        <f>(IF(inputs!$C$17="aerial",((0.025*0.112*inputs!$C$18/3.3)*(3*60*284*((F387/1000)^0.77))*MAX(inputs!$I$14:$I$16))/F387,((0.0083*0.112*inputs!$C$18/1)*(3*60*284*((F387/1000)^0.77))*MAX(inputs!$I$14:$I$16))/F387))*(inputs!E$75*3.4/inputs!$E$73)</f>
        <v>0.20571101999792069</v>
      </c>
      <c r="T387" s="63">
        <f>IF((((inputs!$P$13/(V387/MAX(K387:S387)))^(1/inputs!$O$13))-1)/inputs!$N$13&lt;0, 0, IF((((inputs!$P$13/(V387/MAX(K387:S387)))^(1/inputs!$O$13))-1)/inputs!$N$13&lt;inputs!$I$17, (((inputs!$P$13/(V387/MAX(K387:S387)))^(1/inputs!$O$13))-1)/inputs!$N$13, inputs!$I$17))</f>
        <v>1000</v>
      </c>
      <c r="U387" s="63">
        <f>IF((((inputs!$P$13/(X387/MAX(K387:S387)))^(1/inputs!$O$13))-1)/inputs!$N$13&lt;0, 0, IF((((inputs!$P$13/(X387/MAX(K387:S387)))^(1/inputs!$O$13))-1)/inputs!$N$13&lt;inputs!$I$17, (((inputs!$P$13/(X387/MAX(K387:S387)))^(1/inputs!$O$13))-1)/inputs!$N$13, inputs!$I$17))</f>
        <v>202.03226240396586</v>
      </c>
      <c r="V387" s="21">
        <f>inputs!$E$78*(F387/inputs!$F$78)^(inputs!$E$84-1)</f>
        <v>1.2764757875167079E-2</v>
      </c>
      <c r="W387" s="21">
        <f>inputs!$E$85*(F387/inputs!$F$85)^(inputs!$E$84-1)</f>
        <v>0.58945300392751587</v>
      </c>
      <c r="X387" s="21">
        <f>inputs!$E$80*(F387/inputs!$F$80)^(inputs!$E$84-1)</f>
        <v>2.2011219766913568</v>
      </c>
      <c r="Y387" s="21">
        <f>inputs!$E$82*(F387/inputs!$F$82)^(inputs!$E$84-1)</f>
        <v>1.0144623363948573</v>
      </c>
      <c r="Z387" s="63">
        <f t="shared" si="42"/>
        <v>15476.31785910088</v>
      </c>
      <c r="AA387" s="63">
        <f t="shared" si="43"/>
        <v>335.14368228555071</v>
      </c>
    </row>
    <row r="388" spans="1:27" x14ac:dyDescent="0.25">
      <c r="A388" s="103" t="s">
        <v>155</v>
      </c>
      <c r="B388" s="20" t="s">
        <v>156</v>
      </c>
      <c r="C388" s="20" t="s">
        <v>73</v>
      </c>
      <c r="D388" s="104" t="s">
        <v>157</v>
      </c>
      <c r="E388" s="15">
        <v>10021</v>
      </c>
      <c r="F388" s="15">
        <v>293</v>
      </c>
      <c r="G388" s="20" t="s">
        <v>154</v>
      </c>
      <c r="H388" s="20">
        <v>9.2999999999999999E-2</v>
      </c>
      <c r="I388" s="68">
        <f>MAX('Max rate concentrations'!$G$3:$G$368)</f>
        <v>45</v>
      </c>
      <c r="J388" s="68">
        <f>MAX('Max rate concentrations'!Z:Z)</f>
        <v>21</v>
      </c>
      <c r="K388" s="69">
        <f t="shared" si="40"/>
        <v>3.6301258778123278</v>
      </c>
      <c r="L388" s="69">
        <f t="shared" si="41"/>
        <v>1.6940587429790863</v>
      </c>
      <c r="M388" s="69">
        <f>IF((((1.18*F388^0.874)/3.7-(0.301*F388^0.751)/(1-H388)*H388)*(MAX('Max rate concentrations'!$P$3:$P$368)))/F388&gt;0, (((1.18*F388^0.874)/3.7-(0.301*F388^0.751)/(1-H388)*H388)*(MAX('Max rate concentrations'!$P$3:$P$368)))/F388, 0)</f>
        <v>0.12924060451554728</v>
      </c>
      <c r="N388" s="69">
        <f>IF((((1.18*F388^0.874)/3.7-(0.301*F388^0.751)/(1-H388)*H388)*(MAX('Max rate concentrations'!$Q$3:$Q$368)))/F388&gt;0, (((1.18*F388^0.874)/3.7-(0.301*F388^0.751)/(1-H388)*H388)*(MAX('Max rate concentrations'!$Q$3:$Q$368)))/F388, 0)</f>
        <v>0.49215516631067152</v>
      </c>
      <c r="O388" s="69">
        <f>((MAX('Max rate concentrations'!$F$3:$F$368))*0.62*6.01*8*(10*F388^0.667)*0.079*0.1/F388)*inputs!$E$80/(10^(0.84+0.62*LOG10(inputs!$E$80)))</f>
        <v>22.145551909085178</v>
      </c>
      <c r="P388" s="69">
        <f>((MAX('Max rate concentrations'!Y:Y))*0.62*6.01*8*(10*F388^0.667)*0.079*0.1/F388)*inputs!$E$80/(10^(0.84+0.62*LOG10(inputs!$E$80)))</f>
        <v>7.381850636361726</v>
      </c>
      <c r="Q388" s="69">
        <f>(inputs!$C$18*11.2*(10*F388^0.667)*0.5/F388)*inputs!$E$80/(10^(0.84+0.62*LOG10(inputs!$E$80)))</f>
        <v>3.900834517560495</v>
      </c>
      <c r="R388" s="59">
        <f>(60*284*((F388/1000)^0.77)*3*24*(MAX('Max rate concentrations'!$R$3:$R$368))/F388)*(inputs!$E$73*3.4/inputs!$E$75)</f>
        <v>3.7299860082970628E-2</v>
      </c>
      <c r="S388" s="59">
        <f>(IF(inputs!$C$17="aerial",((0.025*0.112*inputs!$C$18/3.3)*(3*60*284*((F388/1000)^0.77))*MAX(inputs!$I$14:$I$16))/F388,((0.0083*0.112*inputs!$C$18/1)*(3*60*284*((F388/1000)^0.77))*MAX(inputs!$I$14:$I$16))/F388))*(inputs!E$75*3.4/inputs!$E$73)</f>
        <v>0.20571101999792069</v>
      </c>
      <c r="T388" s="63">
        <f>IF((((inputs!$P$13/(V388/MAX(K388:S388)))^(1/inputs!$O$13))-1)/inputs!$N$13&lt;0, 0, IF((((inputs!$P$13/(V388/MAX(K388:S388)))^(1/inputs!$O$13))-1)/inputs!$N$13&lt;inputs!$I$17, (((inputs!$P$13/(V388/MAX(K388:S388)))^(1/inputs!$O$13))-1)/inputs!$N$13, inputs!$I$17))</f>
        <v>1000</v>
      </c>
      <c r="U388" s="63">
        <f>IF((((inputs!$P$13/(X388/MAX(K388:S388)))^(1/inputs!$O$13))-1)/inputs!$N$13&lt;0, 0, IF((((inputs!$P$13/(X388/MAX(K388:S388)))^(1/inputs!$O$13))-1)/inputs!$N$13&lt;inputs!$I$17, (((inputs!$P$13/(X388/MAX(K388:S388)))^(1/inputs!$O$13))-1)/inputs!$N$13, inputs!$I$17))</f>
        <v>30.087745838715811</v>
      </c>
      <c r="V388" s="21">
        <f>inputs!$E$78*(F388/inputs!$F$78)^(inputs!$E$84-1)</f>
        <v>1.2764757875167079E-2</v>
      </c>
      <c r="W388" s="21">
        <f>inputs!$E$85*(F388/inputs!$F$85)^(inputs!$E$84-1)</f>
        <v>0.58945300392751587</v>
      </c>
      <c r="X388" s="21">
        <f>inputs!$E$80*(F388/inputs!$F$80)^(inputs!$E$84-1)</f>
        <v>2.2011219766913568</v>
      </c>
      <c r="Y388" s="21">
        <f>inputs!$E$82*(F388/inputs!$F$82)^(inputs!$E$84-1)</f>
        <v>1.0144623363948573</v>
      </c>
      <c r="Z388" s="63">
        <f t="shared" si="42"/>
        <v>1734.8979217355748</v>
      </c>
      <c r="AA388" s="63">
        <f t="shared" si="43"/>
        <v>37.569665031019817</v>
      </c>
    </row>
    <row r="389" spans="1:27" x14ac:dyDescent="0.25">
      <c r="A389" s="103" t="s">
        <v>355</v>
      </c>
      <c r="B389" s="20" t="s">
        <v>356</v>
      </c>
      <c r="C389" s="20" t="s">
        <v>73</v>
      </c>
      <c r="D389" s="104" t="s">
        <v>354</v>
      </c>
      <c r="E389" s="15">
        <v>129</v>
      </c>
      <c r="F389" s="15">
        <v>518</v>
      </c>
      <c r="G389" s="20" t="s">
        <v>142</v>
      </c>
      <c r="H389" s="20">
        <v>0.69</v>
      </c>
      <c r="I389" s="68">
        <f>MAX('Max rate concentrations'!$H$3:$H$368)</f>
        <v>282</v>
      </c>
      <c r="J389" s="68">
        <f>MAX('Max rate concentrations'!AA:AA)</f>
        <v>195</v>
      </c>
      <c r="K389" s="69">
        <f t="shared" si="40"/>
        <v>57.754496213680248</v>
      </c>
      <c r="L389" s="69">
        <f t="shared" si="41"/>
        <v>39.936619722225707</v>
      </c>
      <c r="M389" s="69">
        <f>IF((((1.18*F389^0.874)/3.7-(0.301*F389^0.751)/(1-H389)*H389)*(MAX('Max rate concentrations'!$P$3:$P$368)))/F389&gt;0, (((1.18*F389^0.874)/3.7-(0.301*F389^0.751)/(1-H389)*H389)*(MAX('Max rate concentrations'!$P$3:$P$368)))/F389, 0)</f>
        <v>3.2991449259142948E-3</v>
      </c>
      <c r="N389" s="69">
        <f>IF((((1.18*F389^0.874)/3.7-(0.301*F389^0.751)/(1-H389)*H389)*(MAX('Max rate concentrations'!$Q$3:$Q$368)))/F389&gt;0, (((1.18*F389^0.874)/3.7-(0.301*F389^0.751)/(1-H389)*H389)*(MAX('Max rate concentrations'!$Q$3:$Q$368)))/F389, 0)</f>
        <v>1.2563321146497984E-2</v>
      </c>
      <c r="O389" s="69">
        <f>((MAX('Max rate concentrations'!$F$3:$F$368))*0.62*6.01*8*(10*F389^0.667)*0.079*0.1/F389)*inputs!$E$80/(10^(0.84+0.62*LOG10(inputs!$E$80)))</f>
        <v>18.318150203245249</v>
      </c>
      <c r="P389" s="69">
        <f>((MAX('Max rate concentrations'!Y:Y))*0.62*6.01*8*(10*F389^0.667)*0.079*0.1/F389)*inputs!$E$80/(10^(0.84+0.62*LOG10(inputs!$E$80)))</f>
        <v>6.1060500677484164</v>
      </c>
      <c r="Q389" s="69">
        <f>(inputs!$C$18*11.2*(10*F389^0.667)*0.5/F389)*inputs!$E$80/(10^(0.84+0.62*LOG10(inputs!$E$80)))</f>
        <v>3.2266557593158076</v>
      </c>
      <c r="R389" s="59">
        <f>(60*284*((F389/1000)^0.77)*3*24*(MAX('Max rate concentrations'!$R$3:$R$368))/F389)*(inputs!$E$73*3.4/inputs!$E$75)</f>
        <v>3.2718313593658753E-2</v>
      </c>
      <c r="S389" s="59">
        <f>(IF(inputs!$C$17="aerial",((0.025*0.112*inputs!$C$18/3.3)*(3*60*284*((F389/1000)^0.77))*MAX(inputs!$I$14:$I$16))/F389,((0.0083*0.112*inputs!$C$18/1)*(3*60*284*((F389/1000)^0.77))*MAX(inputs!$I$14:$I$16))/F389))*(inputs!E$75*3.4/inputs!$E$73)</f>
        <v>0.18044350962689581</v>
      </c>
      <c r="T389" s="63">
        <f>IF((((inputs!$P$13/(V389/MAX(K389:S389)))^(1/inputs!$O$13))-1)/inputs!$N$13&lt;0, 0, IF((((inputs!$P$13/(V389/MAX(K389:S389)))^(1/inputs!$O$13))-1)/inputs!$N$13&lt;inputs!$I$17, (((inputs!$P$13/(V389/MAX(K389:S389)))^(1/inputs!$O$13))-1)/inputs!$N$13, inputs!$I$17))</f>
        <v>1000</v>
      </c>
      <c r="U389" s="63">
        <f>IF((((inputs!$P$13/(X389/MAX(K389:S389)))^(1/inputs!$O$13))-1)/inputs!$N$13&lt;0, 0, IF((((inputs!$P$13/(X389/MAX(K389:S389)))^(1/inputs!$O$13))-1)/inputs!$N$13&lt;inputs!$I$17, (((inputs!$P$13/(X389/MAX(K389:S389)))^(1/inputs!$O$13))-1)/inputs!$N$13, inputs!$I$17))</f>
        <v>85.690997572930513</v>
      </c>
      <c r="V389" s="21">
        <f>inputs!$E$78*(F389/inputs!$F$78)^(inputs!$E$84-1)</f>
        <v>1.033835854431058E-2</v>
      </c>
      <c r="W389" s="21">
        <f>inputs!$E$85*(F389/inputs!$F$85)^(inputs!$E$84-1)</f>
        <v>0.47740635264840908</v>
      </c>
      <c r="X389" s="21">
        <f>inputs!$E$80*(F389/inputs!$F$80)^(inputs!$E$84-1)</f>
        <v>1.7827199244465908</v>
      </c>
      <c r="Y389" s="21">
        <f>inputs!$E$82*(F389/inputs!$F$82)^(inputs!$E$84-1)</f>
        <v>0.82162744220573558</v>
      </c>
      <c r="Z389" s="63">
        <f t="shared" si="42"/>
        <v>5586.4280549124296</v>
      </c>
      <c r="AA389" s="63">
        <f t="shared" si="43"/>
        <v>120.975550269257</v>
      </c>
    </row>
    <row r="390" spans="1:27" x14ac:dyDescent="0.25">
      <c r="A390" s="103" t="s">
        <v>355</v>
      </c>
      <c r="B390" s="20" t="s">
        <v>356</v>
      </c>
      <c r="C390" s="20" t="s">
        <v>73</v>
      </c>
      <c r="D390" s="104" t="s">
        <v>354</v>
      </c>
      <c r="E390" s="15">
        <v>129</v>
      </c>
      <c r="F390" s="15">
        <v>518</v>
      </c>
      <c r="G390" s="20" t="s">
        <v>138</v>
      </c>
      <c r="H390" s="20">
        <v>0.68</v>
      </c>
      <c r="I390" s="68">
        <f>MAX('Max rate concentrations'!$L$3:$L$368)</f>
        <v>350.52744091332482</v>
      </c>
      <c r="J390" s="68">
        <f>MAX('Max rate concentrations'!AD:AD)</f>
        <v>242.38599637623525</v>
      </c>
      <c r="K390" s="69">
        <f t="shared" si="40"/>
        <v>69.545723462944281</v>
      </c>
      <c r="L390" s="69">
        <f t="shared" si="41"/>
        <v>48.090127926504024</v>
      </c>
      <c r="M390" s="69">
        <f>IF((((1.18*F390^0.874)/3.7-(0.301*F390^0.751)/(1-H390)*H390)*(MAX('Max rate concentrations'!$P$3:$P$368)))/F390&gt;0, (((1.18*F390^0.874)/3.7-(0.301*F390^0.751)/(1-H390)*H390)*(MAX('Max rate concentrations'!$P$3:$P$368)))/F390, 0)</f>
        <v>8.8729158058296811E-3</v>
      </c>
      <c r="N390" s="69">
        <f>IF((((1.18*F390^0.874)/3.7-(0.301*F390^0.751)/(1-H390)*H390)*(MAX('Max rate concentrations'!$Q$3:$Q$368)))/F390&gt;0, (((1.18*F390^0.874)/3.7-(0.301*F390^0.751)/(1-H390)*H390)*(MAX('Max rate concentrations'!$Q$3:$Q$368)))/F390, 0)</f>
        <v>3.3788540145317666E-2</v>
      </c>
      <c r="O390" s="69">
        <f>((MAX('Max rate concentrations'!$F$3:$F$368))*0.62*6.01*8*(10*F390^0.667)*0.079*0.1/F390)*inputs!$E$80/(10^(0.84+0.62*LOG10(inputs!$E$80)))</f>
        <v>18.318150203245249</v>
      </c>
      <c r="P390" s="69">
        <f>((MAX('Max rate concentrations'!Y:Y))*0.62*6.01*8*(10*F390^0.667)*0.079*0.1/F390)*inputs!$E$80/(10^(0.84+0.62*LOG10(inputs!$E$80)))</f>
        <v>6.1060500677484164</v>
      </c>
      <c r="Q390" s="69">
        <f>(inputs!$C$18*11.2*(10*F390^0.667)*0.5/F390)*inputs!$E$80/(10^(0.84+0.62*LOG10(inputs!$E$80)))</f>
        <v>3.2266557593158076</v>
      </c>
      <c r="R390" s="59">
        <f>(60*284*((F390/1000)^0.77)*3*24*(MAX('Max rate concentrations'!$R$3:$R$368))/F390)*(inputs!$E$73*3.4/inputs!$E$75)</f>
        <v>3.2718313593658753E-2</v>
      </c>
      <c r="S390" s="59">
        <f>(IF(inputs!$C$17="aerial",((0.025*0.112*inputs!$C$18/3.3)*(3*60*284*((F390/1000)^0.77))*MAX(inputs!$I$14:$I$16))/F390,((0.0083*0.112*inputs!$C$18/1)*(3*60*284*((F390/1000)^0.77))*MAX(inputs!$I$14:$I$16))/F390))*(inputs!E$75*3.4/inputs!$E$73)</f>
        <v>0.18044350962689581</v>
      </c>
      <c r="T390" s="63">
        <f>IF((((inputs!$P$13/(V390/MAX(K390:S390)))^(1/inputs!$O$13))-1)/inputs!$N$13&lt;0, 0, IF((((inputs!$P$13/(V390/MAX(K390:S390)))^(1/inputs!$O$13))-1)/inputs!$N$13&lt;inputs!$I$17, (((inputs!$P$13/(V390/MAX(K390:S390)))^(1/inputs!$O$13))-1)/inputs!$N$13, inputs!$I$17))</f>
        <v>1000</v>
      </c>
      <c r="U390" s="63">
        <f>IF((((inputs!$P$13/(X390/MAX(K390:S390)))^(1/inputs!$O$13))-1)/inputs!$N$13&lt;0, 0, IF((((inputs!$P$13/(X390/MAX(K390:S390)))^(1/inputs!$O$13))-1)/inputs!$N$13&lt;inputs!$I$17, (((inputs!$P$13/(X390/MAX(K390:S390)))^(1/inputs!$O$13))-1)/inputs!$N$13, inputs!$I$17))</f>
        <v>100.42975687578506</v>
      </c>
      <c r="V390" s="21">
        <f>inputs!$E$78*(F390/inputs!$F$78)^(inputs!$E$84-1)</f>
        <v>1.033835854431058E-2</v>
      </c>
      <c r="W390" s="21">
        <f>inputs!$E$85*(F390/inputs!$F$85)^(inputs!$E$84-1)</f>
        <v>0.47740635264840908</v>
      </c>
      <c r="X390" s="21">
        <f>inputs!$E$80*(F390/inputs!$F$80)^(inputs!$E$84-1)</f>
        <v>1.7827199244465908</v>
      </c>
      <c r="Y390" s="21">
        <f>inputs!$E$82*(F390/inputs!$F$82)^(inputs!$E$84-1)</f>
        <v>0.82162744220573558</v>
      </c>
      <c r="Z390" s="63">
        <f t="shared" si="42"/>
        <v>6726.9599100155783</v>
      </c>
      <c r="AA390" s="63">
        <f t="shared" si="43"/>
        <v>145.67406377636109</v>
      </c>
    </row>
    <row r="391" spans="1:27" x14ac:dyDescent="0.25">
      <c r="A391" s="103" t="s">
        <v>355</v>
      </c>
      <c r="B391" s="20" t="s">
        <v>356</v>
      </c>
      <c r="C391" s="20" t="s">
        <v>73</v>
      </c>
      <c r="D391" s="104" t="s">
        <v>354</v>
      </c>
      <c r="E391" s="15">
        <v>129</v>
      </c>
      <c r="F391" s="15">
        <v>518</v>
      </c>
      <c r="G391" s="21" t="s">
        <v>456</v>
      </c>
      <c r="H391" s="20">
        <v>0.68</v>
      </c>
      <c r="I391" s="68">
        <f>MAX('Max rate concentrations'!$J$3:$J$368)</f>
        <v>686.46486205830786</v>
      </c>
      <c r="J391" s="68">
        <f>MAX('Max rate concentrations'!AB:AB)</f>
        <v>243.122971978984</v>
      </c>
      <c r="K391" s="69">
        <f t="shared" si="40"/>
        <v>136.19674208485191</v>
      </c>
      <c r="L391" s="69">
        <f t="shared" si="41"/>
        <v>48.236346155051713</v>
      </c>
      <c r="M391" s="69">
        <f>IF((((1.18*F391^0.874)/3.7-(0.301*F391^0.751)/(1-H391)*H391)*(MAX('Max rate concentrations'!$P$3:$P$368)))/F391&gt;0, (((1.18*F391^0.874)/3.7-(0.301*F391^0.751)/(1-H391)*H391)*(MAX('Max rate concentrations'!$P$3:$P$368)))/F391, 0)</f>
        <v>8.8729158058296811E-3</v>
      </c>
      <c r="N391" s="69">
        <f>IF((((1.18*F391^0.874)/3.7-(0.301*F391^0.751)/(1-H391)*H391)*(MAX('Max rate concentrations'!$Q$3:$Q$368)))/F391&gt;0, (((1.18*F391^0.874)/3.7-(0.301*F391^0.751)/(1-H391)*H391)*(MAX('Max rate concentrations'!$Q$3:$Q$368)))/F391, 0)</f>
        <v>3.3788540145317666E-2</v>
      </c>
      <c r="O391" s="69">
        <f>((MAX('Max rate concentrations'!$F$3:$F$368))*0.62*6.01*8*(10*F391^0.667)*0.079*0.1/F391)*inputs!$E$80/(10^(0.84+0.62*LOG10(inputs!$E$80)))</f>
        <v>18.318150203245249</v>
      </c>
      <c r="P391" s="69">
        <f>((MAX('Max rate concentrations'!Y:Y))*0.62*6.01*8*(10*F391^0.667)*0.079*0.1/F391)*inputs!$E$80/(10^(0.84+0.62*LOG10(inputs!$E$80)))</f>
        <v>6.1060500677484164</v>
      </c>
      <c r="Q391" s="69">
        <f>(inputs!$C$18*11.2*(10*F391^0.667)*0.5/F391)*inputs!$E$80/(10^(0.84+0.62*LOG10(inputs!$E$80)))</f>
        <v>3.2266557593158076</v>
      </c>
      <c r="R391" s="59">
        <f>(60*284*((F391/1000)^0.77)*3*24*(MAX('Max rate concentrations'!$R$3:$R$368))/F391)*(inputs!$E$73*3.4/inputs!$E$75)</f>
        <v>3.2718313593658753E-2</v>
      </c>
      <c r="S391" s="59">
        <f>(IF(inputs!$C$17="aerial",((0.025*0.112*inputs!$C$18/3.3)*(3*60*284*((F391/1000)^0.77))*MAX(inputs!$I$14:$I$16))/F391,((0.0083*0.112*inputs!$C$18/1)*(3*60*284*((F391/1000)^0.77))*MAX(inputs!$I$14:$I$16))/F391))*(inputs!E$75*3.4/inputs!$E$73)</f>
        <v>0.18044350962689581</v>
      </c>
      <c r="T391" s="63">
        <f>IF((((inputs!$P$13/(V391/MAX(K391:S391)))^(1/inputs!$O$13))-1)/inputs!$N$13&lt;0, 0, IF((((inputs!$P$13/(V391/MAX(K391:S391)))^(1/inputs!$O$13))-1)/inputs!$N$13&lt;inputs!$I$17, (((inputs!$P$13/(V391/MAX(K391:S391)))^(1/inputs!$O$13))-1)/inputs!$N$13, inputs!$I$17))</f>
        <v>1000</v>
      </c>
      <c r="U391" s="63">
        <f>IF((((inputs!$P$13/(X391/MAX(K391:S391)))^(1/inputs!$O$13))-1)/inputs!$N$13&lt;0, 0, IF((((inputs!$P$13/(X391/MAX(K391:S391)))^(1/inputs!$O$13))-1)/inputs!$N$13&lt;inputs!$I$17, (((inputs!$P$13/(X391/MAX(K391:S391)))^(1/inputs!$O$13))-1)/inputs!$N$13, inputs!$I$17))</f>
        <v>176.72021455780549</v>
      </c>
      <c r="V391" s="21">
        <f>inputs!$E$78*(F391/inputs!$F$78)^(inputs!$E$84-1)</f>
        <v>1.033835854431058E-2</v>
      </c>
      <c r="W391" s="21">
        <f>inputs!$E$85*(F391/inputs!$F$85)^(inputs!$E$84-1)</f>
        <v>0.47740635264840908</v>
      </c>
      <c r="X391" s="21">
        <f>inputs!$E$80*(F391/inputs!$F$80)^(inputs!$E$84-1)</f>
        <v>1.7827199244465908</v>
      </c>
      <c r="Y391" s="21">
        <f>inputs!$E$82*(F391/inputs!$F$82)^(inputs!$E$84-1)</f>
        <v>0.82162744220573558</v>
      </c>
      <c r="Z391" s="63">
        <f t="shared" si="42"/>
        <v>13173.923258814029</v>
      </c>
      <c r="AA391" s="63">
        <f t="shared" si="43"/>
        <v>285.28472930722694</v>
      </c>
    </row>
    <row r="392" spans="1:27" x14ac:dyDescent="0.25">
      <c r="A392" s="103" t="s">
        <v>355</v>
      </c>
      <c r="B392" s="20" t="s">
        <v>356</v>
      </c>
      <c r="C392" s="20" t="s">
        <v>73</v>
      </c>
      <c r="D392" s="104" t="s">
        <v>354</v>
      </c>
      <c r="E392" s="15">
        <v>129</v>
      </c>
      <c r="F392" s="15">
        <v>518</v>
      </c>
      <c r="G392" s="20" t="s">
        <v>145</v>
      </c>
      <c r="H392" s="20">
        <v>0.66</v>
      </c>
      <c r="I392" s="68">
        <f>MAX('Max rate concentrations'!$M$3:$M$368)</f>
        <v>17.092910873809167</v>
      </c>
      <c r="J392" s="68">
        <f>MAX('Max rate concentrations'!AE:AE)</f>
        <v>11.81956602976166</v>
      </c>
      <c r="K392" s="69">
        <f t="shared" si="40"/>
        <v>3.1917987220074844</v>
      </c>
      <c r="L392" s="69">
        <f t="shared" si="41"/>
        <v>2.2070948609626226</v>
      </c>
      <c r="M392" s="69">
        <f>IF((((1.18*F392^0.874)/3.7-(0.301*F392^0.751)/(1-H392)*H392)*(MAX('Max rate concentrations'!$P$3:$P$368)))/F392&gt;0, (((1.18*F392^0.874)/3.7-(0.301*F392^0.751)/(1-H392)*H392)*(MAX('Max rate concentrations'!$P$3:$P$368)))/F392, 0)</f>
        <v>1.9036850939793161E-2</v>
      </c>
      <c r="N392" s="69">
        <f>IF((((1.18*F392^0.874)/3.7-(0.301*F392^0.751)/(1-H392)*H392)*(MAX('Max rate concentrations'!$Q$3:$Q$368)))/F392&gt;0, (((1.18*F392^0.874)/3.7-(0.301*F392^0.751)/(1-H392)*H392)*(MAX('Max rate concentrations'!$Q$3:$Q$368)))/F392, 0)</f>
        <v>7.2493351260812869E-2</v>
      </c>
      <c r="O392" s="69">
        <f>((MAX('Max rate concentrations'!$F$3:$F$368))*0.62*6.01*8*(10*F392^0.667)*0.079*0.1/F392)*inputs!$E$80/(10^(0.84+0.62*LOG10(inputs!$E$80)))</f>
        <v>18.318150203245249</v>
      </c>
      <c r="P392" s="69">
        <f>((MAX('Max rate concentrations'!Y:Y))*0.62*6.01*8*(10*F392^0.667)*0.079*0.1/F392)*inputs!$E$80/(10^(0.84+0.62*LOG10(inputs!$E$80)))</f>
        <v>6.1060500677484164</v>
      </c>
      <c r="Q392" s="69">
        <f>(inputs!$C$18*11.2*(10*F392^0.667)*0.5/F392)*inputs!$E$80/(10^(0.84+0.62*LOG10(inputs!$E$80)))</f>
        <v>3.2266557593158076</v>
      </c>
      <c r="R392" s="59">
        <f>(60*284*((F392/1000)^0.77)*3*24*(MAX('Max rate concentrations'!$R$3:$R$368))/F392)*(inputs!$E$73*3.4/inputs!$E$75)</f>
        <v>3.2718313593658753E-2</v>
      </c>
      <c r="S392" s="59">
        <f>(IF(inputs!$C$17="aerial",((0.025*0.112*inputs!$C$18/3.3)*(3*60*284*((F392/1000)^0.77))*MAX(inputs!$I$14:$I$16))/F392,((0.0083*0.112*inputs!$C$18/1)*(3*60*284*((F392/1000)^0.77))*MAX(inputs!$I$14:$I$16))/F392))*(inputs!E$75*3.4/inputs!$E$73)</f>
        <v>0.18044350962689581</v>
      </c>
      <c r="T392" s="63">
        <f>IF((((inputs!$P$13/(V392/MAX(K392:S392)))^(1/inputs!$O$13))-1)/inputs!$N$13&lt;0, 0, IF((((inputs!$P$13/(V392/MAX(K392:S392)))^(1/inputs!$O$13))-1)/inputs!$N$13&lt;inputs!$I$17, (((inputs!$P$13/(V392/MAX(K392:S392)))^(1/inputs!$O$13))-1)/inputs!$N$13, inputs!$I$17))</f>
        <v>1000</v>
      </c>
      <c r="U392" s="63">
        <f>IF((((inputs!$P$13/(X392/MAX(K392:S392)))^(1/inputs!$O$13))-1)/inputs!$N$13&lt;0, 0, IF((((inputs!$P$13/(X392/MAX(K392:S392)))^(1/inputs!$O$13))-1)/inputs!$N$13&lt;inputs!$I$17, (((inputs!$P$13/(X392/MAX(K392:S392)))^(1/inputs!$O$13))-1)/inputs!$N$13, inputs!$I$17))</f>
        <v>30.694992617862425</v>
      </c>
      <c r="V392" s="21">
        <f>inputs!$E$78*(F392/inputs!$F$78)^(inputs!$E$84-1)</f>
        <v>1.033835854431058E-2</v>
      </c>
      <c r="W392" s="21">
        <f>inputs!$E$85*(F392/inputs!$F$85)^(inputs!$E$84-1)</f>
        <v>0.47740635264840908</v>
      </c>
      <c r="X392" s="21">
        <f>inputs!$E$80*(F392/inputs!$F$80)^(inputs!$E$84-1)</f>
        <v>1.7827199244465908</v>
      </c>
      <c r="Y392" s="21">
        <f>inputs!$E$82*(F392/inputs!$F$82)^(inputs!$E$84-1)</f>
        <v>0.82162744220573558</v>
      </c>
      <c r="Z392" s="63">
        <f t="shared" si="42"/>
        <v>1771.8625374359956</v>
      </c>
      <c r="AA392" s="63">
        <f t="shared" si="43"/>
        <v>38.370143383357622</v>
      </c>
    </row>
    <row r="393" spans="1:27" x14ac:dyDescent="0.25">
      <c r="A393" s="103" t="s">
        <v>352</v>
      </c>
      <c r="B393" s="20" t="s">
        <v>353</v>
      </c>
      <c r="C393" s="20" t="s">
        <v>73</v>
      </c>
      <c r="D393" s="104" t="s">
        <v>354</v>
      </c>
      <c r="E393" s="15">
        <v>142</v>
      </c>
      <c r="F393" s="15">
        <v>430</v>
      </c>
      <c r="G393" s="20" t="s">
        <v>142</v>
      </c>
      <c r="H393" s="20">
        <v>0.69</v>
      </c>
      <c r="I393" s="68">
        <f>MAX('Max rate concentrations'!$H$3:$H$368)</f>
        <v>282</v>
      </c>
      <c r="J393" s="68">
        <f>MAX('Max rate concentrations'!AA:AA)</f>
        <v>195</v>
      </c>
      <c r="K393" s="69">
        <f t="shared" si="40"/>
        <v>60.495109148271247</v>
      </c>
      <c r="L393" s="69">
        <f t="shared" si="41"/>
        <v>41.831724411038628</v>
      </c>
      <c r="M393" s="69">
        <f>IF((((1.18*F393^0.874)/3.7-(0.301*F393^0.751)/(1-H393)*H393)*(MAX('Max rate concentrations'!$P$3:$P$368)))/F393&gt;0, (((1.18*F393^0.874)/3.7-(0.301*F393^0.751)/(1-H393)*H393)*(MAX('Max rate concentrations'!$P$3:$P$368)))/F393, 0)</f>
        <v>4.588165007819139E-4</v>
      </c>
      <c r="N393" s="69">
        <f>IF((((1.18*F393^0.874)/3.7-(0.301*F393^0.751)/(1-H393)*H393)*(MAX('Max rate concentrations'!$Q$3:$Q$368)))/F393&gt;0, (((1.18*F393^0.874)/3.7-(0.301*F393^0.751)/(1-H393)*H393)*(MAX('Max rate concentrations'!$Q$3:$Q$368)))/F393, 0)</f>
        <v>1.7471978879612796E-3</v>
      </c>
      <c r="O393" s="69">
        <f>((MAX('Max rate concentrations'!$F$3:$F$368))*0.62*6.01*8*(10*F393^0.667)*0.079*0.1/F393)*inputs!$E$80/(10^(0.84+0.62*LOG10(inputs!$E$80)))</f>
        <v>19.489847011300302</v>
      </c>
      <c r="P393" s="69">
        <f>((MAX('Max rate concentrations'!Y:Y))*0.62*6.01*8*(10*F393^0.667)*0.079*0.1/F393)*inputs!$E$80/(10^(0.84+0.62*LOG10(inputs!$E$80)))</f>
        <v>6.4966156704334361</v>
      </c>
      <c r="Q393" s="69">
        <f>(inputs!$C$18*11.2*(10*F393^0.667)*0.5/F393)*inputs!$E$80/(10^(0.84+0.62*LOG10(inputs!$E$80)))</f>
        <v>3.4330446256552158</v>
      </c>
      <c r="R393" s="59">
        <f>(60*284*((F393/1000)^0.77)*3*24*(MAX('Max rate concentrations'!$R$3:$R$368))/F393)*(inputs!$E$73*3.4/inputs!$E$75)</f>
        <v>3.4149866527544273E-2</v>
      </c>
      <c r="S393" s="59">
        <f>(IF(inputs!$C$17="aerial",((0.025*0.112*inputs!$C$18/3.3)*(3*60*284*((F393/1000)^0.77))*MAX(inputs!$I$14:$I$16))/F393,((0.0083*0.112*inputs!$C$18/1)*(3*60*284*((F393/1000)^0.77))*MAX(inputs!$I$14:$I$16))/F393))*(inputs!E$75*3.4/inputs!$E$73)</f>
        <v>0.18833861200946628</v>
      </c>
      <c r="T393" s="63">
        <f>IF((((inputs!$P$13/(V393/MAX(K393:S393)))^(1/inputs!$O$13))-1)/inputs!$N$13&lt;0, 0, IF((((inputs!$P$13/(V393/MAX(K393:S393)))^(1/inputs!$O$13))-1)/inputs!$N$13&lt;inputs!$I$17, (((inputs!$P$13/(V393/MAX(K393:S393)))^(1/inputs!$O$13))-1)/inputs!$N$13, inputs!$I$17))</f>
        <v>1000</v>
      </c>
      <c r="U393" s="63">
        <f>IF((((inputs!$P$13/(X393/MAX(K393:S393)))^(1/inputs!$O$13))-1)/inputs!$N$13&lt;0, 0, IF((((inputs!$P$13/(X393/MAX(K393:S393)))^(1/inputs!$O$13))-1)/inputs!$N$13&lt;inputs!$I$17, (((inputs!$P$13/(X393/MAX(K393:S393)))^(1/inputs!$O$13))-1)/inputs!$N$13, inputs!$I$17))</f>
        <v>84.049598437417004</v>
      </c>
      <c r="V393" s="21">
        <f>inputs!$E$78*(F393/inputs!$F$78)^(inputs!$E$84-1)</f>
        <v>1.1075676756739695E-2</v>
      </c>
      <c r="W393" s="21">
        <f>inputs!$E$85*(F393/inputs!$F$85)^(inputs!$E$84-1)</f>
        <v>0.51145434943903523</v>
      </c>
      <c r="X393" s="21">
        <f>inputs!$E$80*(F393/inputs!$F$80)^(inputs!$E$84-1)</f>
        <v>1.9098611782850048</v>
      </c>
      <c r="Y393" s="21">
        <f>inputs!$E$82*(F393/inputs!$F$82)^(inputs!$E$84-1)</f>
        <v>0.88022483698299681</v>
      </c>
      <c r="Z393" s="63">
        <f t="shared" si="42"/>
        <v>5461.978574939827</v>
      </c>
      <c r="AA393" s="63">
        <f t="shared" si="43"/>
        <v>118.28056446215088</v>
      </c>
    </row>
    <row r="394" spans="1:27" x14ac:dyDescent="0.25">
      <c r="A394" s="103" t="s">
        <v>352</v>
      </c>
      <c r="B394" s="20" t="s">
        <v>353</v>
      </c>
      <c r="C394" s="20" t="s">
        <v>73</v>
      </c>
      <c r="D394" s="104" t="s">
        <v>354</v>
      </c>
      <c r="E394" s="15">
        <v>142</v>
      </c>
      <c r="F394" s="15">
        <v>430</v>
      </c>
      <c r="G394" s="20" t="s">
        <v>138</v>
      </c>
      <c r="H394" s="20">
        <v>0.68</v>
      </c>
      <c r="I394" s="68">
        <f>MAX('Max rate concentrations'!$L$3:$L$368)</f>
        <v>350.52744091332482</v>
      </c>
      <c r="J394" s="68">
        <f>MAX('Max rate concentrations'!AD:AD)</f>
        <v>242.38599637623525</v>
      </c>
      <c r="K394" s="69">
        <f t="shared" si="40"/>
        <v>72.845863222849019</v>
      </c>
      <c r="L394" s="69">
        <f t="shared" si="41"/>
        <v>50.372139462608359</v>
      </c>
      <c r="M394" s="69">
        <f>IF((((1.18*F394^0.874)/3.7-(0.301*F394^0.751)/(1-H394)*H394)*(MAX('Max rate concentrations'!$P$3:$P$368)))/F394&gt;0, (((1.18*F394^0.874)/3.7-(0.301*F394^0.751)/(1-H394)*H394)*(MAX('Max rate concentrations'!$P$3:$P$368)))/F394, 0)</f>
        <v>6.2970784518587043E-3</v>
      </c>
      <c r="N394" s="69">
        <f>IF((((1.18*F394^0.874)/3.7-(0.301*F394^0.751)/(1-H394)*H394)*(MAX('Max rate concentrations'!$Q$3:$Q$368)))/F394&gt;0, (((1.18*F394^0.874)/3.7-(0.301*F394^0.751)/(1-H394)*H394)*(MAX('Max rate concentrations'!$Q$3:$Q$368)))/F394, 0)</f>
        <v>2.3979613097314546E-2</v>
      </c>
      <c r="O394" s="69">
        <f>((MAX('Max rate concentrations'!$F$3:$F$368))*0.62*6.01*8*(10*F394^0.667)*0.079*0.1/F394)*inputs!$E$80/(10^(0.84+0.62*LOG10(inputs!$E$80)))</f>
        <v>19.489847011300302</v>
      </c>
      <c r="P394" s="69">
        <f>((MAX('Max rate concentrations'!Y:Y))*0.62*6.01*8*(10*F394^0.667)*0.079*0.1/F394)*inputs!$E$80/(10^(0.84+0.62*LOG10(inputs!$E$80)))</f>
        <v>6.4966156704334361</v>
      </c>
      <c r="Q394" s="69">
        <f>(inputs!$C$18*11.2*(10*F394^0.667)*0.5/F394)*inputs!$E$80/(10^(0.84+0.62*LOG10(inputs!$E$80)))</f>
        <v>3.4330446256552158</v>
      </c>
      <c r="R394" s="59">
        <f>(60*284*((F394/1000)^0.77)*3*24*(MAX('Max rate concentrations'!$R$3:$R$368))/F394)*(inputs!$E$73*3.4/inputs!$E$75)</f>
        <v>3.4149866527544273E-2</v>
      </c>
      <c r="S394" s="59">
        <f>(IF(inputs!$C$17="aerial",((0.025*0.112*inputs!$C$18/3.3)*(3*60*284*((F394/1000)^0.77))*MAX(inputs!$I$14:$I$16))/F394,((0.0083*0.112*inputs!$C$18/1)*(3*60*284*((F394/1000)^0.77))*MAX(inputs!$I$14:$I$16))/F394))*(inputs!E$75*3.4/inputs!$E$73)</f>
        <v>0.18833861200946628</v>
      </c>
      <c r="T394" s="63">
        <f>IF((((inputs!$P$13/(V394/MAX(K394:S394)))^(1/inputs!$O$13))-1)/inputs!$N$13&lt;0, 0, IF((((inputs!$P$13/(V394/MAX(K394:S394)))^(1/inputs!$O$13))-1)/inputs!$N$13&lt;inputs!$I$17, (((inputs!$P$13/(V394/MAX(K394:S394)))^(1/inputs!$O$13))-1)/inputs!$N$13, inputs!$I$17))</f>
        <v>1000</v>
      </c>
      <c r="U394" s="63">
        <f>IF((((inputs!$P$13/(X394/MAX(K394:S394)))^(1/inputs!$O$13))-1)/inputs!$N$13&lt;0, 0, IF((((inputs!$P$13/(X394/MAX(K394:S394)))^(1/inputs!$O$13))-1)/inputs!$N$13&lt;inputs!$I$17, (((inputs!$P$13/(X394/MAX(K394:S394)))^(1/inputs!$O$13))-1)/inputs!$N$13, inputs!$I$17))</f>
        <v>98.52227090111262</v>
      </c>
      <c r="V394" s="21">
        <f>inputs!$E$78*(F394/inputs!$F$78)^(inputs!$E$84-1)</f>
        <v>1.1075676756739695E-2</v>
      </c>
      <c r="W394" s="21">
        <f>inputs!$E$85*(F394/inputs!$F$85)^(inputs!$E$84-1)</f>
        <v>0.51145434943903523</v>
      </c>
      <c r="X394" s="21">
        <f>inputs!$E$80*(F394/inputs!$F$80)^(inputs!$E$84-1)</f>
        <v>1.9098611782850048</v>
      </c>
      <c r="Y394" s="21">
        <f>inputs!$E$82*(F394/inputs!$F$82)^(inputs!$E$84-1)</f>
        <v>0.88022483698299681</v>
      </c>
      <c r="Z394" s="63">
        <f t="shared" si="42"/>
        <v>6577.1026748791091</v>
      </c>
      <c r="AA394" s="63">
        <f t="shared" si="43"/>
        <v>142.42886643303865</v>
      </c>
    </row>
    <row r="395" spans="1:27" x14ac:dyDescent="0.25">
      <c r="A395" s="103" t="s">
        <v>352</v>
      </c>
      <c r="B395" s="20" t="s">
        <v>353</v>
      </c>
      <c r="C395" s="20" t="s">
        <v>73</v>
      </c>
      <c r="D395" s="104" t="s">
        <v>354</v>
      </c>
      <c r="E395" s="15">
        <v>142</v>
      </c>
      <c r="F395" s="15">
        <v>430</v>
      </c>
      <c r="G395" s="21" t="s">
        <v>456</v>
      </c>
      <c r="H395" s="20">
        <v>0.68</v>
      </c>
      <c r="I395" s="68">
        <f>MAX('Max rate concentrations'!$J$3:$J$368)</f>
        <v>686.46486205830786</v>
      </c>
      <c r="J395" s="68">
        <f>MAX('Max rate concentrations'!AB:AB)</f>
        <v>243.122971978984</v>
      </c>
      <c r="K395" s="69">
        <f t="shared" si="40"/>
        <v>142.65965973590198</v>
      </c>
      <c r="L395" s="69">
        <f t="shared" si="41"/>
        <v>50.525296156465281</v>
      </c>
      <c r="M395" s="69">
        <f>IF((((1.18*F395^0.874)/3.7-(0.301*F395^0.751)/(1-H395)*H395)*(MAX('Max rate concentrations'!$P$3:$P$368)))/F395&gt;0, (((1.18*F395^0.874)/3.7-(0.301*F395^0.751)/(1-H395)*H395)*(MAX('Max rate concentrations'!$P$3:$P$368)))/F395, 0)</f>
        <v>6.2970784518587043E-3</v>
      </c>
      <c r="N395" s="69">
        <f>IF((((1.18*F395^0.874)/3.7-(0.301*F395^0.751)/(1-H395)*H395)*(MAX('Max rate concentrations'!$Q$3:$Q$368)))/F395&gt;0, (((1.18*F395^0.874)/3.7-(0.301*F395^0.751)/(1-H395)*H395)*(MAX('Max rate concentrations'!$Q$3:$Q$368)))/F395, 0)</f>
        <v>2.3979613097314546E-2</v>
      </c>
      <c r="O395" s="69">
        <f>((MAX('Max rate concentrations'!$F$3:$F$368))*0.62*6.01*8*(10*F395^0.667)*0.079*0.1/F395)*inputs!$E$80/(10^(0.84+0.62*LOG10(inputs!$E$80)))</f>
        <v>19.489847011300302</v>
      </c>
      <c r="P395" s="69">
        <f>((MAX('Max rate concentrations'!Y:Y))*0.62*6.01*8*(10*F395^0.667)*0.079*0.1/F395)*inputs!$E$80/(10^(0.84+0.62*LOG10(inputs!$E$80)))</f>
        <v>6.4966156704334361</v>
      </c>
      <c r="Q395" s="69">
        <f>(inputs!$C$18*11.2*(10*F395^0.667)*0.5/F395)*inputs!$E$80/(10^(0.84+0.62*LOG10(inputs!$E$80)))</f>
        <v>3.4330446256552158</v>
      </c>
      <c r="R395" s="59">
        <f>(60*284*((F395/1000)^0.77)*3*24*(MAX('Max rate concentrations'!$R$3:$R$368))/F395)*(inputs!$E$73*3.4/inputs!$E$75)</f>
        <v>3.4149866527544273E-2</v>
      </c>
      <c r="S395" s="59">
        <f>(IF(inputs!$C$17="aerial",((0.025*0.112*inputs!$C$18/3.3)*(3*60*284*((F395/1000)^0.77))*MAX(inputs!$I$14:$I$16))/F395,((0.0083*0.112*inputs!$C$18/1)*(3*60*284*((F395/1000)^0.77))*MAX(inputs!$I$14:$I$16))/F395))*(inputs!E$75*3.4/inputs!$E$73)</f>
        <v>0.18833861200946628</v>
      </c>
      <c r="T395" s="63">
        <f>IF((((inputs!$P$13/(V395/MAX(K395:S395)))^(1/inputs!$O$13))-1)/inputs!$N$13&lt;0, 0, IF((((inputs!$P$13/(V395/MAX(K395:S395)))^(1/inputs!$O$13))-1)/inputs!$N$13&lt;inputs!$I$17, (((inputs!$P$13/(V395/MAX(K395:S395)))^(1/inputs!$O$13))-1)/inputs!$N$13, inputs!$I$17))</f>
        <v>1000</v>
      </c>
      <c r="U395" s="63">
        <f>IF((((inputs!$P$13/(X395/MAX(K395:S395)))^(1/inputs!$O$13))-1)/inputs!$N$13&lt;0, 0, IF((((inputs!$P$13/(X395/MAX(K395:S395)))^(1/inputs!$O$13))-1)/inputs!$N$13&lt;inputs!$I$17, (((inputs!$P$13/(X395/MAX(K395:S395)))^(1/inputs!$O$13))-1)/inputs!$N$13, inputs!$I$17))</f>
        <v>173.43541545076783</v>
      </c>
      <c r="V395" s="21">
        <f>inputs!$E$78*(F395/inputs!$F$78)^(inputs!$E$84-1)</f>
        <v>1.1075676756739695E-2</v>
      </c>
      <c r="W395" s="21">
        <f>inputs!$E$85*(F395/inputs!$F$85)^(inputs!$E$84-1)</f>
        <v>0.51145434943903523</v>
      </c>
      <c r="X395" s="21">
        <f>inputs!$E$80*(F395/inputs!$F$80)^(inputs!$E$84-1)</f>
        <v>1.9098611782850048</v>
      </c>
      <c r="Y395" s="21">
        <f>inputs!$E$82*(F395/inputs!$F$82)^(inputs!$E$84-1)</f>
        <v>0.88022483698299681</v>
      </c>
      <c r="Z395" s="63">
        <f t="shared" si="42"/>
        <v>12880.446303120187</v>
      </c>
      <c r="AA395" s="63">
        <f t="shared" si="43"/>
        <v>278.92940961861319</v>
      </c>
    </row>
    <row r="396" spans="1:27" ht="26.4" x14ac:dyDescent="0.25">
      <c r="A396" s="55" t="s">
        <v>528</v>
      </c>
      <c r="B396" s="49" t="s">
        <v>529</v>
      </c>
      <c r="C396" s="21" t="s">
        <v>61</v>
      </c>
      <c r="D396" s="20" t="s">
        <v>440</v>
      </c>
      <c r="E396" s="20">
        <v>3</v>
      </c>
      <c r="F396" s="21">
        <v>45000</v>
      </c>
      <c r="G396" s="21" t="s">
        <v>169</v>
      </c>
      <c r="H396" s="21">
        <v>0.79</v>
      </c>
      <c r="I396" s="68">
        <f>MAX('Max rate concentrations'!$D$3:$D$368)</f>
        <v>720</v>
      </c>
      <c r="J396" s="68">
        <f>MAX('Max rate concentrations'!W:W)</f>
        <v>255</v>
      </c>
      <c r="K396" s="70">
        <f t="shared" ref="K396:K429" si="44">(((0.235*F396^0.822)/(1-H396)))*I396/F396</f>
        <v>119.64904498676232</v>
      </c>
      <c r="L396" s="70">
        <f t="shared" ref="L396:L429" si="45">(((0.235*F396^0.822)/(1-H396)))*J396/F396</f>
        <v>42.375703432811655</v>
      </c>
      <c r="M396" s="70">
        <f>IF((((0.326*F396^0.818)-(0.398*F396^0.85)/(1-H396)*H396)*(MAX('Max rate concentrations'!$P$3:$P$368)))/F396&gt;0, (((0.326*F396^0.818)-(0.398*F396^0.85)/(1-H396)*H396)*(MAX('Max rate concentrations'!$P$3:$P$368)))/F396, 0)</f>
        <v>0</v>
      </c>
      <c r="N396" s="70">
        <f>IF((((0.326*F396^0.818)-(0.398*F396^0.85)/(1-H396)*H396)*(MAX('Max rate concentrations'!$Q$3:$Q$368)))/F396&gt; 0, (((0.326*F396^0.818)-(0.398*F396^0.85)/(1-H396)*H396)*(MAX('Max rate concentrations'!$Q$3:$Q$368)))/F396, 0)</f>
        <v>0</v>
      </c>
      <c r="O396" s="70">
        <f>((MAX('Max rate concentrations'!$F$3:$F$368))*0.62*6.01*8*(12.3*F396^0.65)*0.079*0.1/F396)*inputs!$E$73/inputs!$E$74</f>
        <v>6.3664436145247416</v>
      </c>
      <c r="P396" s="70">
        <f>((MAX('Max rate concentrations'!Y:Y))*0.62*6.01*8*(12.3*F396^0.65)*0.079*0.1/F396)*inputs!$E$73/inputs!$E$74</f>
        <v>2.1221478715082478</v>
      </c>
      <c r="Q396" s="70">
        <f>(inputs!$C$18*11.2*(12.3*F396^0.65)*0.5/F396)*inputs!$E$73/inputs!$E$74</f>
        <v>1.1214190148700889</v>
      </c>
      <c r="R396" s="60">
        <f>(60*379*((F396/1000)^0.8)*3*24*(MAX('Max rate concentrations'!$R$3:$R$368))/F396)*(inputs!$E$73/inputs!$E$75)</f>
        <v>5.1556829863424391E-3</v>
      </c>
      <c r="S396" s="60">
        <f>(IF(inputs!$C$17="aerial",((0.025*0.112*inputs!$C$18/3.3)*(3*60*379*((F396/1000)^0.8))*MAX(inputs!$I$14:$I$16))/F396,((0.0083*0.112*inputs!$C$18/1)*(3*60*379*((F396/1000)^0.8))*MAX(inputs!$I$14:$I$16))/F396))*(inputs!E$75/inputs!$E$73)</f>
        <v>2.8433908426124116E-2</v>
      </c>
      <c r="T396" s="63">
        <f>IF((((inputs!$P$13/(V396/MAX(K396:S396)))^(1/inputs!$O$13))-1)/inputs!$N$13&lt;0, 0, IF((((inputs!$P$13/(V396/MAX(K396:S396)))^(1/inputs!$O$13))-1)/inputs!$N$13&lt;inputs!$I$17, (((inputs!$P$13/(V396/MAX(K396:S396)))^(1/inputs!$O$13))-1)/inputs!$N$13, inputs!$I$17))</f>
        <v>612.32123838443192</v>
      </c>
      <c r="U396" s="63">
        <f>IF((((inputs!$P$13/(X396/MAX(K396:S396)))^(1/inputs!$O$13))-1)/inputs!$N$13&lt;0, 0, IF((((inputs!$P$13/(X396/MAX(K396:S396)))^(1/inputs!$O$13))-1)/inputs!$N$13&lt;inputs!$I$17, (((inputs!$P$13/(X396/MAX(K396:S396)))^(1/inputs!$O$13))-1)/inputs!$N$13, inputs!$I$17))</f>
        <v>23.661059636630469</v>
      </c>
      <c r="V396" s="54">
        <f>inputs!$E$70*(inputs!$F$70/F396)^(0.25)</f>
        <v>0.34556625585896705</v>
      </c>
      <c r="W396" s="54">
        <f>inputs!$E$76*(inputs!$F$76/F396)^(0.25)</f>
        <v>0.10393981200762492</v>
      </c>
      <c r="X396" s="54">
        <f>inputs!$E$72*(inputs!$F$72/F396)^(0.25)</f>
        <v>15.245570111425018</v>
      </c>
      <c r="Y396" s="54" t="s">
        <v>13</v>
      </c>
      <c r="Z396" s="106">
        <f t="shared" si="42"/>
        <v>346.24053407458177</v>
      </c>
      <c r="AA396" s="106">
        <f t="shared" si="43"/>
        <v>1151.137785182688</v>
      </c>
    </row>
    <row r="397" spans="1:27" ht="26.4" x14ac:dyDescent="0.25">
      <c r="A397" s="55" t="s">
        <v>528</v>
      </c>
      <c r="B397" s="49" t="s">
        <v>529</v>
      </c>
      <c r="C397" s="21" t="s">
        <v>61</v>
      </c>
      <c r="D397" s="20" t="s">
        <v>440</v>
      </c>
      <c r="E397" s="20">
        <v>3</v>
      </c>
      <c r="F397" s="21">
        <v>45000</v>
      </c>
      <c r="G397" s="21" t="s">
        <v>177</v>
      </c>
      <c r="H397" s="21">
        <v>0.85</v>
      </c>
      <c r="I397" s="68">
        <f>MAX('Max rate concentrations'!$F$3:$F$368)</f>
        <v>405</v>
      </c>
      <c r="J397" s="68">
        <f>MAX('Max rate concentrations'!Y:Y)</f>
        <v>135</v>
      </c>
      <c r="K397" s="70">
        <f t="shared" si="44"/>
        <v>94.223622927075297</v>
      </c>
      <c r="L397" s="70">
        <f t="shared" si="45"/>
        <v>31.407874309025093</v>
      </c>
      <c r="M397" s="70">
        <f>IF((((0.326*F397^0.818)-(0.398*F397^0.85)/(1-H397)*H397)*(MAX('Max rate concentrations'!$P$3:$P$368)))/F397&gt;0, (((0.326*F397^0.818)-(0.398*F397^0.85)/(1-H397)*H397)*(MAX('Max rate concentrations'!$P$3:$P$368)))/F397, 0)</f>
        <v>0</v>
      </c>
      <c r="N397" s="70">
        <f>IF((((0.326*F397^0.818)-(0.398*F397^0.85)/(1-H397)*H397)*(MAX('Max rate concentrations'!$Q$3:$Q$368)))/F397&gt; 0, (((0.326*F397^0.818)-(0.398*F397^0.85)/(1-H397)*H397)*(MAX('Max rate concentrations'!$Q$3:$Q$368)))/F397, 0)</f>
        <v>0</v>
      </c>
      <c r="O397" s="70">
        <f>((MAX('Max rate concentrations'!$F$3:$F$368))*0.62*6.01*8*(12.3*F397^0.65)*0.079*0.1/F397)*inputs!$E$73/inputs!$E$74</f>
        <v>6.3664436145247416</v>
      </c>
      <c r="P397" s="70">
        <f>((MAX('Max rate concentrations'!Y:Y))*0.62*6.01*8*(12.3*F397^0.65)*0.079*0.1/F397)*inputs!$E$73/inputs!$E$74</f>
        <v>2.1221478715082478</v>
      </c>
      <c r="Q397" s="70">
        <f>(inputs!$C$18*11.2*(12.3*F397^0.65)*0.5/F397)*inputs!$E$73/inputs!$E$74</f>
        <v>1.1214190148700889</v>
      </c>
      <c r="R397" s="60">
        <f>(60*379*((F397/1000)^0.8)*3*24*(MAX('Max rate concentrations'!$R$3:$R$368))/F397)*(inputs!$E$73/inputs!$E$75)</f>
        <v>5.1556829863424391E-3</v>
      </c>
      <c r="S397" s="60">
        <f>(IF(inputs!$C$17="aerial",((0.025*0.112*inputs!$C$18/3.3)*(3*60*379*((F397/1000)^0.8))*MAX(inputs!$I$14:$I$16))/F397,((0.0083*0.112*inputs!$C$18/1)*(3*60*379*((F397/1000)^0.8))*MAX(inputs!$I$14:$I$16))/F397))*(inputs!E$75/inputs!$E$73)</f>
        <v>2.8433908426124116E-2</v>
      </c>
      <c r="T397" s="63">
        <f>IF((((inputs!$P$13/(V397/MAX(K397:S397)))^(1/inputs!$O$13))-1)/inputs!$N$13&lt;0, 0, IF((((inputs!$P$13/(V397/MAX(K397:S397)))^(1/inputs!$O$13))-1)/inputs!$N$13&lt;inputs!$I$17, (((inputs!$P$13/(V397/MAX(K397:S397)))^(1/inputs!$O$13))-1)/inputs!$N$13, inputs!$I$17))</f>
        <v>503.83640934086895</v>
      </c>
      <c r="U397" s="63">
        <f>IF((((inputs!$P$13/(X397/MAX(K397:S397)))^(1/inputs!$O$13))-1)/inputs!$N$13&lt;0, 0, IF((((inputs!$P$13/(X397/MAX(K397:S397)))^(1/inputs!$O$13))-1)/inputs!$N$13&lt;inputs!$I$17, (((inputs!$P$13/(X397/MAX(K397:S397)))^(1/inputs!$O$13))-1)/inputs!$N$13, inputs!$I$17))</f>
        <v>18.586222555787788</v>
      </c>
      <c r="V397" s="54">
        <f>inputs!$E$70*(inputs!$F$70/F397)^(0.25)</f>
        <v>0.34556625585896705</v>
      </c>
      <c r="W397" s="54">
        <f>inputs!$E$76*(inputs!$F$76/F397)^(0.25)</f>
        <v>0.10393981200762492</v>
      </c>
      <c r="X397" s="54">
        <f>inputs!$E$72*(inputs!$F$72/F397)^(0.25)</f>
        <v>15.245570111425018</v>
      </c>
      <c r="Y397" s="54" t="s">
        <v>13</v>
      </c>
      <c r="Z397" s="106">
        <f t="shared" si="42"/>
        <v>272.66442058373303</v>
      </c>
      <c r="AA397" s="106">
        <f t="shared" si="43"/>
        <v>906.52100583136655</v>
      </c>
    </row>
    <row r="398" spans="1:27" x14ac:dyDescent="0.25">
      <c r="A398" s="55" t="s">
        <v>526</v>
      </c>
      <c r="B398" s="49" t="s">
        <v>527</v>
      </c>
      <c r="C398" s="21" t="s">
        <v>61</v>
      </c>
      <c r="D398" s="20" t="s">
        <v>440</v>
      </c>
      <c r="E398" s="20">
        <v>4</v>
      </c>
      <c r="F398" s="21">
        <v>28000</v>
      </c>
      <c r="G398" s="21" t="s">
        <v>169</v>
      </c>
      <c r="H398" s="21">
        <v>0.79</v>
      </c>
      <c r="I398" s="68">
        <f>MAX('Max rate concentrations'!$D$3:$D$368)</f>
        <v>720</v>
      </c>
      <c r="J398" s="68">
        <f>MAX('Max rate concentrations'!W:W)</f>
        <v>255</v>
      </c>
      <c r="K398" s="70">
        <f t="shared" si="44"/>
        <v>130.19279013927078</v>
      </c>
      <c r="L398" s="70">
        <f t="shared" si="45"/>
        <v>46.109946507658407</v>
      </c>
      <c r="M398" s="70">
        <f>IF((((0.326*F398^0.818)-(0.398*F398^0.85)/(1-H398)*H398)*(MAX('Max rate concentrations'!$P$3:$P$368)))/F398&gt;0, (((0.326*F398^0.818)-(0.398*F398^0.85)/(1-H398)*H398)*(MAX('Max rate concentrations'!$P$3:$P$368)))/F398, 0)</f>
        <v>0</v>
      </c>
      <c r="N398" s="70">
        <f>IF((((0.326*F398^0.818)-(0.398*F398^0.85)/(1-H398)*H398)*(MAX('Max rate concentrations'!$Q$3:$Q$368)))/F398&gt; 0, (((0.326*F398^0.818)-(0.398*F398^0.85)/(1-H398)*H398)*(MAX('Max rate concentrations'!$Q$3:$Q$368)))/F398, 0)</f>
        <v>0</v>
      </c>
      <c r="O398" s="70">
        <f>((MAX('Max rate concentrations'!$F$3:$F$368))*0.62*6.01*8*(12.3*F398^0.65)*0.079*0.1/F398)*inputs!$E$73/inputs!$E$74</f>
        <v>7.516505262870643</v>
      </c>
      <c r="P398" s="70">
        <f>((MAX('Max rate concentrations'!Y:Y))*0.62*6.01*8*(12.3*F398^0.65)*0.079*0.1/F398)*inputs!$E$73/inputs!$E$74</f>
        <v>2.5055017542902145</v>
      </c>
      <c r="Q398" s="70">
        <f>(inputs!$C$18*11.2*(12.3*F398^0.65)*0.5/F398)*inputs!$E$73/inputs!$E$74</f>
        <v>1.3239969498706499</v>
      </c>
      <c r="R398" s="60">
        <f>(60*379*((F398/1000)^0.8)*3*24*(MAX('Max rate concentrations'!$R$3:$R$368))/F398)*(inputs!$E$73/inputs!$E$75)</f>
        <v>5.6688778873469495E-3</v>
      </c>
      <c r="S398" s="60">
        <f>(IF(inputs!$C$17="aerial",((0.025*0.112*inputs!$C$18/3.3)*(3*60*379*((F398/1000)^0.8))*MAX(inputs!$I$14:$I$16))/F398,((0.0083*0.112*inputs!$C$18/1)*(3*60*379*((F398/1000)^0.8))*MAX(inputs!$I$14:$I$16))/F398))*(inputs!E$75/inputs!$E$73)</f>
        <v>3.1264209834991008E-2</v>
      </c>
      <c r="T398" s="63">
        <f>IF((((inputs!$P$13/(V398/MAX(K398:S398)))^(1/inputs!$O$13))-1)/inputs!$N$13&lt;0, 0, IF((((inputs!$P$13/(V398/MAX(K398:S398)))^(1/inputs!$O$13))-1)/inputs!$N$13&lt;inputs!$I$17, (((inputs!$P$13/(V398/MAX(K398:S398)))^(1/inputs!$O$13))-1)/inputs!$N$13, inputs!$I$17))</f>
        <v>595.49498958086031</v>
      </c>
      <c r="U398" s="63">
        <f>IF((((inputs!$P$13/(X398/MAX(K398:S398)))^(1/inputs!$O$13))-1)/inputs!$N$13&lt;0, 0, IF((((inputs!$P$13/(X398/MAX(K398:S398)))^(1/inputs!$O$13))-1)/inputs!$N$13&lt;inputs!$I$17, (((inputs!$P$13/(X398/MAX(K398:S398)))^(1/inputs!$O$13))-1)/inputs!$N$13, inputs!$I$17))</f>
        <v>22.873940625496079</v>
      </c>
      <c r="V398" s="54">
        <f>inputs!$E$70*(inputs!$F$70/F398)^(0.25)</f>
        <v>0.38908541204840058</v>
      </c>
      <c r="W398" s="54">
        <f>inputs!$E$76*(inputs!$F$76/F398)^(0.25)</f>
        <v>0.11702955337087387</v>
      </c>
      <c r="X398" s="54">
        <f>inputs!$E$72*(inputs!$F$72/F398)^(0.25)</f>
        <v>17.165532884488261</v>
      </c>
      <c r="Y398" s="54" t="s">
        <v>13</v>
      </c>
      <c r="Z398" s="106">
        <f t="shared" si="42"/>
        <v>334.61236558279228</v>
      </c>
      <c r="AA398" s="106">
        <f t="shared" si="43"/>
        <v>1112.4778860488495</v>
      </c>
    </row>
    <row r="399" spans="1:27" x14ac:dyDescent="0.25">
      <c r="A399" s="55" t="s">
        <v>526</v>
      </c>
      <c r="B399" s="49" t="s">
        <v>527</v>
      </c>
      <c r="C399" s="21" t="s">
        <v>61</v>
      </c>
      <c r="D399" s="20" t="s">
        <v>440</v>
      </c>
      <c r="E399" s="20">
        <v>4</v>
      </c>
      <c r="F399" s="21">
        <v>28000</v>
      </c>
      <c r="G399" s="21" t="s">
        <v>158</v>
      </c>
      <c r="H399" s="21">
        <v>0.85</v>
      </c>
      <c r="I399" s="68">
        <f>MAX('Max rate concentrations'!$F$3:$F$368)</f>
        <v>405</v>
      </c>
      <c r="J399" s="68">
        <f>MAX('Max rate concentrations'!Y:Y)</f>
        <v>135</v>
      </c>
      <c r="K399" s="70">
        <f t="shared" si="44"/>
        <v>102.52682223467572</v>
      </c>
      <c r="L399" s="70">
        <f t="shared" si="45"/>
        <v>34.175607411558573</v>
      </c>
      <c r="M399" s="70">
        <f>IF((((0.326*F399^0.818)-(0.398*F399^0.85)/(1-H399)*H399)*(MAX('Max rate concentrations'!$P$3:$P$368)))/F399&gt;0, (((0.326*F399^0.818)-(0.398*F399^0.85)/(1-H399)*H399)*(MAX('Max rate concentrations'!$P$3:$P$368)))/F399, 0)</f>
        <v>0</v>
      </c>
      <c r="N399" s="70">
        <f>IF((((0.326*F399^0.818)-(0.398*F399^0.85)/(1-H399)*H399)*(MAX('Max rate concentrations'!$Q$3:$Q$368)))/F399&gt; 0, (((0.326*F399^0.818)-(0.398*F399^0.85)/(1-H399)*H399)*(MAX('Max rate concentrations'!$Q$3:$Q$368)))/F399, 0)</f>
        <v>0</v>
      </c>
      <c r="O399" s="70">
        <f>((MAX('Max rate concentrations'!$F$3:$F$368))*0.62*6.01*8*(12.3*F399^0.65)*0.079*0.1/F399)*inputs!$E$73/inputs!$E$74</f>
        <v>7.516505262870643</v>
      </c>
      <c r="P399" s="70">
        <f>((MAX('Max rate concentrations'!Y:Y))*0.62*6.01*8*(12.3*F399^0.65)*0.079*0.1/F399)*inputs!$E$73/inputs!$E$74</f>
        <v>2.5055017542902145</v>
      </c>
      <c r="Q399" s="70">
        <f>(inputs!$C$18*11.2*(12.3*F399^0.65)*0.5/F399)*inputs!$E$73/inputs!$E$74</f>
        <v>1.3239969498706499</v>
      </c>
      <c r="R399" s="60">
        <f>(60*379*((F399/1000)^0.8)*3*24*(MAX('Max rate concentrations'!$R$3:$R$368))/F399)*(inputs!$E$73/inputs!$E$75)</f>
        <v>5.6688778873469495E-3</v>
      </c>
      <c r="S399" s="60">
        <f>(IF(inputs!$C$17="aerial",((0.025*0.112*inputs!$C$18/3.3)*(3*60*379*((F399/1000)^0.8))*MAX(inputs!$I$14:$I$16))/F399,((0.0083*0.112*inputs!$C$18/1)*(3*60*379*((F399/1000)^0.8))*MAX(inputs!$I$14:$I$16))/F399))*(inputs!E$75/inputs!$E$73)</f>
        <v>3.1264209834991008E-2</v>
      </c>
      <c r="T399" s="63">
        <f>IF((((inputs!$P$13/(V399/MAX(K399:S399)))^(1/inputs!$O$13))-1)/inputs!$N$13&lt;0, 0, IF((((inputs!$P$13/(V399/MAX(K399:S399)))^(1/inputs!$O$13))-1)/inputs!$N$13&lt;inputs!$I$17, (((inputs!$P$13/(V399/MAX(K399:S399)))^(1/inputs!$O$13))-1)/inputs!$N$13, inputs!$I$17))</f>
        <v>489.96602933284066</v>
      </c>
      <c r="U399" s="63">
        <f>IF((((inputs!$P$13/(X399/MAX(K399:S399)))^(1/inputs!$O$13))-1)/inputs!$N$13&lt;0, 0, IF((((inputs!$P$13/(X399/MAX(K399:S399)))^(1/inputs!$O$13))-1)/inputs!$N$13&lt;inputs!$I$17, (((inputs!$P$13/(X399/MAX(K399:S399)))^(1/inputs!$O$13))-1)/inputs!$N$13, inputs!$I$17))</f>
        <v>17.937376819377469</v>
      </c>
      <c r="V399" s="54">
        <f>inputs!$E$70*(inputs!$F$70/F399)^(0.25)</f>
        <v>0.38908541204840058</v>
      </c>
      <c r="W399" s="54">
        <f>inputs!$E$76*(inputs!$F$76/F399)^(0.25)</f>
        <v>0.11702955337087387</v>
      </c>
      <c r="X399" s="54">
        <f>inputs!$E$72*(inputs!$F$72/F399)^(0.25)</f>
        <v>17.165532884488261</v>
      </c>
      <c r="Y399" s="54" t="s">
        <v>13</v>
      </c>
      <c r="Z399" s="106">
        <f t="shared" si="42"/>
        <v>263.50723789644883</v>
      </c>
      <c r="AA399" s="106">
        <f t="shared" si="43"/>
        <v>876.07633526346888</v>
      </c>
    </row>
    <row r="400" spans="1:27" ht="26.4" x14ac:dyDescent="0.25">
      <c r="A400" s="55" t="s">
        <v>532</v>
      </c>
      <c r="B400" s="49" t="s">
        <v>533</v>
      </c>
      <c r="C400" s="21" t="s">
        <v>61</v>
      </c>
      <c r="D400" s="20" t="s">
        <v>440</v>
      </c>
      <c r="E400" s="20">
        <v>56</v>
      </c>
      <c r="F400" s="21">
        <v>48000</v>
      </c>
      <c r="G400" s="21" t="s">
        <v>169</v>
      </c>
      <c r="H400" s="21">
        <v>0.79</v>
      </c>
      <c r="I400" s="68">
        <f>MAX('Max rate concentrations'!$D$3:$D$368)</f>
        <v>720</v>
      </c>
      <c r="J400" s="68">
        <f>MAX('Max rate concentrations'!W:W)</f>
        <v>255</v>
      </c>
      <c r="K400" s="70">
        <f t="shared" si="44"/>
        <v>118.28239884351035</v>
      </c>
      <c r="L400" s="70">
        <f t="shared" si="45"/>
        <v>41.891682923743247</v>
      </c>
      <c r="M400" s="70">
        <f>IF((((0.326*F400^0.818)-(0.398*F400^0.85)/(1-H400)*H400)*(MAX('Max rate concentrations'!$P$3:$P$368)))/F400&gt;0, (((0.326*F400^0.818)-(0.398*F400^0.85)/(1-H400)*H400)*(MAX('Max rate concentrations'!$P$3:$P$368)))/F400, 0)</f>
        <v>0</v>
      </c>
      <c r="N400" s="70">
        <f>IF((((0.326*F400^0.818)-(0.398*F400^0.85)/(1-H400)*H400)*(MAX('Max rate concentrations'!$Q$3:$Q$368)))/F400&gt; 0, (((0.326*F400^0.818)-(0.398*F400^0.85)/(1-H400)*H400)*(MAX('Max rate concentrations'!$Q$3:$Q$368)))/F400, 0)</f>
        <v>0</v>
      </c>
      <c r="O400" s="70">
        <f>((MAX('Max rate concentrations'!$F$3:$F$368))*0.62*6.01*8*(12.3*F400^0.65)*0.079*0.1/F400)*inputs!$E$73/inputs!$E$74</f>
        <v>6.2242473599241439</v>
      </c>
      <c r="P400" s="70">
        <f>((MAX('Max rate concentrations'!Y:Y))*0.62*6.01*8*(12.3*F400^0.65)*0.079*0.1/F400)*inputs!$E$73/inputs!$E$74</f>
        <v>2.0747491199747148</v>
      </c>
      <c r="Q400" s="70">
        <f>(inputs!$C$18*11.2*(12.3*F400^0.65)*0.5/F400)*inputs!$E$73/inputs!$E$74</f>
        <v>1.0963718153019322</v>
      </c>
      <c r="R400" s="60">
        <f>(60*379*((F400/1000)^0.8)*3*24*(MAX('Max rate concentrations'!$R$3:$R$368))/F400)*(inputs!$E$73/inputs!$E$75)</f>
        <v>5.0895626044477572E-3</v>
      </c>
      <c r="S400" s="60">
        <f>(IF(inputs!$C$17="aerial",((0.025*0.112*inputs!$C$18/3.3)*(3*60*379*((F400/1000)^0.8))*MAX(inputs!$I$14:$I$16))/F400,((0.0083*0.112*inputs!$C$18/1)*(3*60*379*((F400/1000)^0.8))*MAX(inputs!$I$14:$I$16))/F400))*(inputs!E$75/inputs!$E$73)</f>
        <v>2.8069250457650467E-2</v>
      </c>
      <c r="T400" s="63">
        <f>IF((((inputs!$P$13/(V400/MAX(K400:S400)))^(1/inputs!$O$13))-1)/inputs!$N$13&lt;0, 0, IF((((inputs!$P$13/(V400/MAX(K400:S400)))^(1/inputs!$O$13))-1)/inputs!$N$13&lt;inputs!$I$17, (((inputs!$P$13/(V400/MAX(K400:S400)))^(1/inputs!$O$13))-1)/inputs!$N$13, inputs!$I$17))</f>
        <v>614.64616717932483</v>
      </c>
      <c r="U400" s="63">
        <f>IF((((inputs!$P$13/(X400/MAX(K400:S400)))^(1/inputs!$O$13))-1)/inputs!$N$13&lt;0, 0, IF((((inputs!$P$13/(X400/MAX(K400:S400)))^(1/inputs!$O$13))-1)/inputs!$N$13&lt;inputs!$I$17, (((inputs!$P$13/(X400/MAX(K400:S400)))^(1/inputs!$O$13))-1)/inputs!$N$13, inputs!$I$17))</f>
        <v>23.769818022136175</v>
      </c>
      <c r="V400" s="54">
        <f>inputs!$E$70*(inputs!$F$70/F400)^(0.25)</f>
        <v>0.34003541113415708</v>
      </c>
      <c r="W400" s="54">
        <f>inputs!$E$76*(inputs!$F$76/F400)^(0.25)</f>
        <v>0.1022762382321382</v>
      </c>
      <c r="X400" s="54">
        <f>inputs!$E$72*(inputs!$F$72/F400)^(0.25)</f>
        <v>15.001562255918696</v>
      </c>
      <c r="Y400" s="54" t="s">
        <v>13</v>
      </c>
      <c r="Z400" s="106">
        <f t="shared" si="42"/>
        <v>347.85317931738405</v>
      </c>
      <c r="AA400" s="106">
        <f t="shared" si="43"/>
        <v>1156.4993090090259</v>
      </c>
    </row>
    <row r="401" spans="1:27" ht="26.4" x14ac:dyDescent="0.25">
      <c r="A401" s="55" t="s">
        <v>532</v>
      </c>
      <c r="B401" s="49" t="s">
        <v>533</v>
      </c>
      <c r="C401" s="21" t="s">
        <v>61</v>
      </c>
      <c r="D401" s="20" t="s">
        <v>440</v>
      </c>
      <c r="E401" s="20">
        <v>56</v>
      </c>
      <c r="F401" s="21">
        <v>48000</v>
      </c>
      <c r="G401" s="21" t="s">
        <v>177</v>
      </c>
      <c r="H401" s="21">
        <v>0.85</v>
      </c>
      <c r="I401" s="68">
        <f>MAX('Max rate concentrations'!$F$3:$F$368)</f>
        <v>405</v>
      </c>
      <c r="J401" s="68">
        <f>MAX('Max rate concentrations'!Y:Y)</f>
        <v>135</v>
      </c>
      <c r="K401" s="70">
        <f t="shared" si="44"/>
        <v>93.147389089264365</v>
      </c>
      <c r="L401" s="70">
        <f t="shared" si="45"/>
        <v>31.049129696421456</v>
      </c>
      <c r="M401" s="70">
        <f>IF((((0.326*F401^0.818)-(0.398*F401^0.85)/(1-H401)*H401)*(MAX('Max rate concentrations'!$P$3:$P$368)))/F401&gt;0, (((0.326*F401^0.818)-(0.398*F401^0.85)/(1-H401)*H401)*(MAX('Max rate concentrations'!$P$3:$P$368)))/F401, 0)</f>
        <v>0</v>
      </c>
      <c r="N401" s="70">
        <f>IF((((0.326*F401^0.818)-(0.398*F401^0.85)/(1-H401)*H401)*(MAX('Max rate concentrations'!$Q$3:$Q$368)))/F401&gt; 0, (((0.326*F401^0.818)-(0.398*F401^0.85)/(1-H401)*H401)*(MAX('Max rate concentrations'!$Q$3:$Q$368)))/F401, 0)</f>
        <v>0</v>
      </c>
      <c r="O401" s="70">
        <f>((MAX('Max rate concentrations'!$F$3:$F$368))*0.62*6.01*8*(12.3*F401^0.65)*0.079*0.1/F401)*inputs!$E$73/inputs!$E$74</f>
        <v>6.2242473599241439</v>
      </c>
      <c r="P401" s="70">
        <f>((MAX('Max rate concentrations'!Y:Y))*0.62*6.01*8*(12.3*F401^0.65)*0.079*0.1/F401)*inputs!$E$73/inputs!$E$74</f>
        <v>2.0747491199747148</v>
      </c>
      <c r="Q401" s="70">
        <f>(inputs!$C$18*11.2*(12.3*F401^0.65)*0.5/F401)*inputs!$E$73/inputs!$E$74</f>
        <v>1.0963718153019322</v>
      </c>
      <c r="R401" s="60">
        <f>(60*379*((F401/1000)^0.8)*3*24*(MAX('Max rate concentrations'!$R$3:$R$368))/F401)*(inputs!$E$73/inputs!$E$75)</f>
        <v>5.0895626044477572E-3</v>
      </c>
      <c r="S401" s="60">
        <f>(IF(inputs!$C$17="aerial",((0.025*0.112*inputs!$C$18/3.3)*(3*60*379*((F401/1000)^0.8))*MAX(inputs!$I$14:$I$16))/F401,((0.0083*0.112*inputs!$C$18/1)*(3*60*379*((F401/1000)^0.8))*MAX(inputs!$I$14:$I$16))/F401))*(inputs!E$75/inputs!$E$73)</f>
        <v>2.8069250457650467E-2</v>
      </c>
      <c r="T401" s="63">
        <f>IF((((inputs!$P$13/(V401/MAX(K401:S401)))^(1/inputs!$O$13))-1)/inputs!$N$13&lt;0, 0, IF((((inputs!$P$13/(V401/MAX(K401:S401)))^(1/inputs!$O$13))-1)/inputs!$N$13&lt;inputs!$I$17, (((inputs!$P$13/(V401/MAX(K401:S401)))^(1/inputs!$O$13))-1)/inputs!$N$13, inputs!$I$17))</f>
        <v>505.75291766385999</v>
      </c>
      <c r="U401" s="63">
        <f>IF((((inputs!$P$13/(X401/MAX(K401:S401)))^(1/inputs!$O$13))-1)/inputs!$N$13&lt;0, 0, IF((((inputs!$P$13/(X401/MAX(K401:S401)))^(1/inputs!$O$13))-1)/inputs!$N$13&lt;inputs!$I$17, (((inputs!$P$13/(X401/MAX(K401:S401)))^(1/inputs!$O$13))-1)/inputs!$N$13, inputs!$I$17))</f>
        <v>18.675875344928969</v>
      </c>
      <c r="V401" s="54">
        <f>inputs!$E$70*(inputs!$F$70/F401)^(0.25)</f>
        <v>0.34003541113415708</v>
      </c>
      <c r="W401" s="54">
        <f>inputs!$E$76*(inputs!$F$76/F401)^(0.25)</f>
        <v>0.1022762382321382</v>
      </c>
      <c r="X401" s="54">
        <f>inputs!$E$72*(inputs!$F$72/F401)^(0.25)</f>
        <v>15.001562255918696</v>
      </c>
      <c r="Y401" s="54" t="s">
        <v>13</v>
      </c>
      <c r="Z401" s="106">
        <f t="shared" si="42"/>
        <v>273.93437871243981</v>
      </c>
      <c r="AA401" s="106">
        <f t="shared" si="43"/>
        <v>910.74320584460759</v>
      </c>
    </row>
    <row r="402" spans="1:27" x14ac:dyDescent="0.25">
      <c r="A402" s="55" t="s">
        <v>534</v>
      </c>
      <c r="B402" s="49" t="s">
        <v>535</v>
      </c>
      <c r="C402" s="21" t="s">
        <v>61</v>
      </c>
      <c r="D402" s="20" t="s">
        <v>440</v>
      </c>
      <c r="E402" s="20">
        <v>57</v>
      </c>
      <c r="F402" s="21">
        <v>61000</v>
      </c>
      <c r="G402" s="21" t="s">
        <v>169</v>
      </c>
      <c r="H402" s="21">
        <v>0.79</v>
      </c>
      <c r="I402" s="68">
        <f>MAX('Max rate concentrations'!$D$3:$D$368)</f>
        <v>720</v>
      </c>
      <c r="J402" s="68">
        <f>MAX('Max rate concentrations'!W:W)</f>
        <v>255</v>
      </c>
      <c r="K402" s="70">
        <f t="shared" si="44"/>
        <v>113.34238664972293</v>
      </c>
      <c r="L402" s="70">
        <f t="shared" si="45"/>
        <v>40.142095271776867</v>
      </c>
      <c r="M402" s="70">
        <f>IF((((0.326*F402^0.818)-(0.398*F402^0.85)/(1-H402)*H402)*(MAX('Max rate concentrations'!$P$3:$P$368)))/F402&gt;0, (((0.326*F402^0.818)-(0.398*F402^0.85)/(1-H402)*H402)*(MAX('Max rate concentrations'!$P$3:$P$368)))/F402, 0)</f>
        <v>0</v>
      </c>
      <c r="N402" s="70">
        <f>IF((((0.326*F402^0.818)-(0.398*F402^0.85)/(1-H402)*H402)*(MAX('Max rate concentrations'!$Q$3:$Q$368)))/F402&gt; 0, (((0.326*F402^0.818)-(0.398*F402^0.85)/(1-H402)*H402)*(MAX('Max rate concentrations'!$Q$3:$Q$368)))/F402, 0)</f>
        <v>0</v>
      </c>
      <c r="O402" s="70">
        <f>((MAX('Max rate concentrations'!$F$3:$F$368))*0.62*6.01*8*(12.3*F402^0.65)*0.079*0.1/F402)*inputs!$E$73/inputs!$E$74</f>
        <v>5.7234228705505679</v>
      </c>
      <c r="P402" s="70">
        <f>((MAX('Max rate concentrations'!Y:Y))*0.62*6.01*8*(12.3*F402^0.65)*0.079*0.1/F402)*inputs!$E$73/inputs!$E$74</f>
        <v>1.9078076235168562</v>
      </c>
      <c r="Q402" s="70">
        <f>(inputs!$C$18*11.2*(12.3*F402^0.65)*0.5/F402)*inputs!$E$73/inputs!$E$74</f>
        <v>1.0081539436765887</v>
      </c>
      <c r="R402" s="60">
        <f>(60*379*((F402/1000)^0.8)*3*24*(MAX('Max rate concentrations'!$R$3:$R$368))/F402)*(inputs!$E$73/inputs!$E$75)</f>
        <v>4.8513514901209068E-3</v>
      </c>
      <c r="S402" s="60">
        <f>(IF(inputs!$C$17="aerial",((0.025*0.112*inputs!$C$18/3.3)*(3*60*379*((F402/1000)^0.8))*MAX(inputs!$I$14:$I$16))/F402,((0.0083*0.112*inputs!$C$18/1)*(3*60*379*((F402/1000)^0.8))*MAX(inputs!$I$14:$I$16))/F402))*(inputs!E$75/inputs!$E$73)</f>
        <v>2.675550152684979E-2</v>
      </c>
      <c r="T402" s="63">
        <f>IF((((inputs!$P$13/(V402/MAX(K402:S402)))^(1/inputs!$O$13))-1)/inputs!$N$13&lt;0, 0, IF((((inputs!$P$13/(V402/MAX(K402:S402)))^(1/inputs!$O$13))-1)/inputs!$N$13&lt;inputs!$I$17, (((inputs!$P$13/(V402/MAX(K402:S402)))^(1/inputs!$O$13))-1)/inputs!$N$13, inputs!$I$17))</f>
        <v>623.3569858130254</v>
      </c>
      <c r="U402" s="63">
        <f>IF((((inputs!$P$13/(X402/MAX(K402:S402)))^(1/inputs!$O$13))-1)/inputs!$N$13&lt;0, 0, IF((((inputs!$P$13/(X402/MAX(K402:S402)))^(1/inputs!$O$13))-1)/inputs!$N$13&lt;inputs!$I$17, (((inputs!$P$13/(X402/MAX(K402:S402)))^(1/inputs!$O$13))-1)/inputs!$N$13, inputs!$I$17))</f>
        <v>24.177303435502566</v>
      </c>
      <c r="V402" s="54">
        <f>inputs!$E$70*(inputs!$F$70/F402)^(0.25)</f>
        <v>0.32025948225875905</v>
      </c>
      <c r="W402" s="54">
        <f>inputs!$E$76*(inputs!$F$76/F402)^(0.25)</f>
        <v>9.6328011821906936E-2</v>
      </c>
      <c r="X402" s="54">
        <f>inputs!$E$72*(inputs!$F$72/F402)^(0.25)</f>
        <v>14.129094805533487</v>
      </c>
      <c r="Y402" s="54" t="s">
        <v>13</v>
      </c>
      <c r="Z402" s="106">
        <f t="shared" si="42"/>
        <v>353.90798064847314</v>
      </c>
      <c r="AA402" s="106">
        <f t="shared" si="43"/>
        <v>1176.629565024891</v>
      </c>
    </row>
    <row r="403" spans="1:27" x14ac:dyDescent="0.25">
      <c r="A403" s="55" t="s">
        <v>438</v>
      </c>
      <c r="B403" s="49" t="s">
        <v>439</v>
      </c>
      <c r="C403" s="21" t="s">
        <v>61</v>
      </c>
      <c r="D403" s="20" t="s">
        <v>440</v>
      </c>
      <c r="E403" s="20">
        <v>9</v>
      </c>
      <c r="F403" s="21">
        <v>47630</v>
      </c>
      <c r="G403" s="21" t="s">
        <v>152</v>
      </c>
      <c r="H403" s="21">
        <v>0.77</v>
      </c>
      <c r="I403" s="68">
        <f>MAX('Max rate concentrations'!$G$3:$G$368)</f>
        <v>45</v>
      </c>
      <c r="J403" s="68">
        <f>MAX('Max rate concentrations'!Z:Z)</f>
        <v>21</v>
      </c>
      <c r="K403" s="70">
        <f t="shared" si="44"/>
        <v>6.7591143914842</v>
      </c>
      <c r="L403" s="70">
        <f t="shared" si="45"/>
        <v>3.1542533826926267</v>
      </c>
      <c r="M403" s="70">
        <f>IF((((0.326*F403^0.818)-(0.398*F403^0.85)/(1-H403)*H403)*(MAX('Max rate concentrations'!$P$3:$P$368)))/F403&gt;0, (((0.326*F403^0.818)-(0.398*F403^0.85)/(1-H403)*H403)*(MAX('Max rate concentrations'!$P$3:$P$368)))/F403, 0)</f>
        <v>0</v>
      </c>
      <c r="N403" s="70">
        <f>IF((((0.326*F403^0.818)-(0.398*F403^0.85)/(1-H403)*H403)*(MAX('Max rate concentrations'!$Q$3:$Q$368)))/F403&gt; 0, (((0.326*F403^0.818)-(0.398*F403^0.85)/(1-H403)*H403)*(MAX('Max rate concentrations'!$Q$3:$Q$368)))/F403, 0)</f>
        <v>0</v>
      </c>
      <c r="O403" s="70">
        <f>((MAX('Max rate concentrations'!$F$3:$F$368))*0.62*6.01*8*(12.3*F403^0.65)*0.079*0.1/F403)*inputs!$E$73/inputs!$E$74</f>
        <v>6.2411277651010533</v>
      </c>
      <c r="P403" s="70">
        <f>((MAX('Max rate concentrations'!Y:Y))*0.62*6.01*8*(12.3*F403^0.65)*0.079*0.1/F403)*inputs!$E$73/inputs!$E$74</f>
        <v>2.0803759217003512</v>
      </c>
      <c r="Q403" s="70">
        <f>(inputs!$C$18*11.2*(12.3*F403^0.65)*0.5/F403)*inputs!$E$73/inputs!$E$74</f>
        <v>1.0993452190560955</v>
      </c>
      <c r="R403" s="60">
        <f>(60*379*((F403/1000)^0.8)*3*24*(MAX('Max rate concentrations'!$R$3:$R$368))/F403)*(inputs!$E$73/inputs!$E$75)</f>
        <v>5.0974455095151808E-3</v>
      </c>
      <c r="S403" s="60">
        <f>(IF(inputs!$C$17="aerial",((0.025*0.112*inputs!$C$18/3.3)*(3*60*379*((F403/1000)^0.8))*MAX(inputs!$I$14:$I$16))/F403,((0.0083*0.112*inputs!$C$18/1)*(3*60*379*((F403/1000)^0.8))*MAX(inputs!$I$14:$I$16))/F403))*(inputs!E$75/inputs!$E$73)</f>
        <v>2.8112725163409669E-2</v>
      </c>
      <c r="T403" s="63">
        <f>IF((((inputs!$P$13/(V403/MAX(K403:S403)))^(1/inputs!$O$13))-1)/inputs!$N$13&lt;0, 0, IF((((inputs!$P$13/(V403/MAX(K403:S403)))^(1/inputs!$O$13))-1)/inputs!$N$13&lt;inputs!$I$17, (((inputs!$P$13/(V403/MAX(K403:S403)))^(1/inputs!$O$13))-1)/inputs!$N$13, inputs!$I$17))</f>
        <v>55.926442631049404</v>
      </c>
      <c r="U403" s="63">
        <f>IF((((inputs!$P$13/(X403/MAX(K403:S403)))^(1/inputs!$O$13))-1)/inputs!$N$13&lt;0, 0, IF((((inputs!$P$13/(X403/MAX(K403:S403)))^(1/inputs!$O$13))-1)/inputs!$N$13&lt;inputs!$I$17, (((inputs!$P$13/(X403/MAX(K403:S403)))^(1/inputs!$O$13))-1)/inputs!$N$13, inputs!$I$17))</f>
        <v>0</v>
      </c>
      <c r="V403" s="54">
        <f>inputs!$E$70*(inputs!$F$70/F403)^(0.25)</f>
        <v>0.34069386300517612</v>
      </c>
      <c r="W403" s="54">
        <f>inputs!$E$76*(inputs!$F$76/F403)^(0.25)</f>
        <v>0.10247428813582357</v>
      </c>
      <c r="X403" s="54">
        <f>inputs!$E$72*(inputs!$F$72/F403)^(0.25)</f>
        <v>15.030611603169534</v>
      </c>
      <c r="Y403" s="54" t="s">
        <v>13</v>
      </c>
      <c r="Z403" s="106">
        <f t="shared" si="42"/>
        <v>19.839260771719594</v>
      </c>
      <c r="AA403" s="106">
        <f t="shared" si="43"/>
        <v>65.959125107806514</v>
      </c>
    </row>
    <row r="404" spans="1:27" x14ac:dyDescent="0.25">
      <c r="A404" s="55" t="s">
        <v>438</v>
      </c>
      <c r="B404" s="49" t="s">
        <v>439</v>
      </c>
      <c r="C404" s="21" t="s">
        <v>61</v>
      </c>
      <c r="D404" s="20" t="s">
        <v>440</v>
      </c>
      <c r="E404" s="20">
        <v>9</v>
      </c>
      <c r="F404" s="21">
        <v>47630</v>
      </c>
      <c r="G404" s="21" t="s">
        <v>161</v>
      </c>
      <c r="H404" s="21">
        <v>0.85</v>
      </c>
      <c r="I404" s="68">
        <f>MAX('Max rate concentrations'!$F$3:$F$368)</f>
        <v>405</v>
      </c>
      <c r="J404" s="68">
        <f>MAX('Max rate concentrations'!Y:Y)</f>
        <v>135</v>
      </c>
      <c r="K404" s="70">
        <f t="shared" si="44"/>
        <v>93.275778602481935</v>
      </c>
      <c r="L404" s="70">
        <f t="shared" si="45"/>
        <v>31.091926200827317</v>
      </c>
      <c r="M404" s="70">
        <f>IF((((0.326*F404^0.818)-(0.398*F404^0.85)/(1-H404)*H404)*(MAX('Max rate concentrations'!$P$3:$P$368)))/F404&gt;0, (((0.326*F404^0.818)-(0.398*F404^0.85)/(1-H404)*H404)*(MAX('Max rate concentrations'!$P$3:$P$368)))/F404, 0)</f>
        <v>0</v>
      </c>
      <c r="N404" s="70">
        <f>IF((((0.326*F404^0.818)-(0.398*F404^0.85)/(1-H404)*H404)*(MAX('Max rate concentrations'!$Q$3:$Q$368)))/F404&gt; 0, (((0.326*F404^0.818)-(0.398*F404^0.85)/(1-H404)*H404)*(MAX('Max rate concentrations'!$Q$3:$Q$368)))/F404, 0)</f>
        <v>0</v>
      </c>
      <c r="O404" s="70">
        <f>((MAX('Max rate concentrations'!$F$3:$F$368))*0.62*6.01*8*(12.3*F404^0.65)*0.079*0.1/F404)*inputs!$E$73/inputs!$E$74</f>
        <v>6.2411277651010533</v>
      </c>
      <c r="P404" s="70">
        <f>((MAX('Max rate concentrations'!Y:Y))*0.62*6.01*8*(12.3*F404^0.65)*0.079*0.1/F404)*inputs!$E$73/inputs!$E$74</f>
        <v>2.0803759217003512</v>
      </c>
      <c r="Q404" s="70">
        <f>(inputs!$C$18*11.2*(12.3*F404^0.65)*0.5/F404)*inputs!$E$73/inputs!$E$74</f>
        <v>1.0993452190560955</v>
      </c>
      <c r="R404" s="60">
        <f>(60*379*((F404/1000)^0.8)*3*24*(MAX('Max rate concentrations'!$R$3:$R$368))/F404)*(inputs!$E$73/inputs!$E$75)</f>
        <v>5.0974455095151808E-3</v>
      </c>
      <c r="S404" s="60">
        <f>(IF(inputs!$C$17="aerial",((0.025*0.112*inputs!$C$18/3.3)*(3*60*379*((F404/1000)^0.8))*MAX(inputs!$I$14:$I$16))/F404,((0.0083*0.112*inputs!$C$18/1)*(3*60*379*((F404/1000)^0.8))*MAX(inputs!$I$14:$I$16))/F404))*(inputs!E$75/inputs!$E$73)</f>
        <v>2.8112725163409669E-2</v>
      </c>
      <c r="T404" s="63">
        <f>IF((((inputs!$P$13/(V404/MAX(K404:S404)))^(1/inputs!$O$13))-1)/inputs!$N$13&lt;0, 0, IF((((inputs!$P$13/(V404/MAX(K404:S404)))^(1/inputs!$O$13))-1)/inputs!$N$13&lt;inputs!$I$17, (((inputs!$P$13/(V404/MAX(K404:S404)))^(1/inputs!$O$13))-1)/inputs!$N$13, inputs!$I$17))</f>
        <v>505.52274734567078</v>
      </c>
      <c r="U404" s="63">
        <f>IF((((inputs!$P$13/(X404/MAX(K404:S404)))^(1/inputs!$O$13))-1)/inputs!$N$13&lt;0, 0, IF((((inputs!$P$13/(X404/MAX(K404:S404)))^(1/inputs!$O$13))-1)/inputs!$N$13&lt;inputs!$I$17, (((inputs!$P$13/(X404/MAX(K404:S404)))^(1/inputs!$O$13))-1)/inputs!$N$13, inputs!$I$17))</f>
        <v>18.665108154014312</v>
      </c>
      <c r="V404" s="54">
        <f>inputs!$E$70*(inputs!$F$70/F404)^(0.25)</f>
        <v>0.34069386300517612</v>
      </c>
      <c r="W404" s="54">
        <f>inputs!$E$76*(inputs!$F$76/F404)^(0.25)</f>
        <v>0.10247428813582357</v>
      </c>
      <c r="X404" s="54">
        <f>inputs!$E$72*(inputs!$F$72/F404)^(0.25)</f>
        <v>15.030611603169534</v>
      </c>
      <c r="Y404" s="54" t="s">
        <v>13</v>
      </c>
      <c r="Z404" s="106">
        <f t="shared" si="42"/>
        <v>273.78179864973032</v>
      </c>
      <c r="AA404" s="106">
        <f t="shared" si="43"/>
        <v>910.23592648772967</v>
      </c>
    </row>
    <row r="405" spans="1:27" x14ac:dyDescent="0.25">
      <c r="A405" s="55" t="s">
        <v>438</v>
      </c>
      <c r="B405" s="49" t="s">
        <v>439</v>
      </c>
      <c r="C405" s="21" t="s">
        <v>61</v>
      </c>
      <c r="D405" s="20" t="s">
        <v>440</v>
      </c>
      <c r="E405" s="20">
        <v>10141</v>
      </c>
      <c r="F405" s="21">
        <v>47630</v>
      </c>
      <c r="G405" s="21" t="s">
        <v>152</v>
      </c>
      <c r="H405" s="21">
        <v>0.77</v>
      </c>
      <c r="I405" s="68">
        <f>MAX('Max rate concentrations'!$G$3:$G$368)</f>
        <v>45</v>
      </c>
      <c r="J405" s="68">
        <f>MAX('Max rate concentrations'!Z:Z)</f>
        <v>21</v>
      </c>
      <c r="K405" s="70">
        <f t="shared" si="44"/>
        <v>6.7591143914842</v>
      </c>
      <c r="L405" s="70">
        <f t="shared" si="45"/>
        <v>3.1542533826926267</v>
      </c>
      <c r="M405" s="70">
        <f>IF((((0.326*F405^0.818)-(0.398*F405^0.85)/(1-H405)*H405)*(MAX('Max rate concentrations'!$P$3:$P$368)))/F405&gt;0, (((0.326*F405^0.818)-(0.398*F405^0.85)/(1-H405)*H405)*(MAX('Max rate concentrations'!$P$3:$P$368)))/F405, 0)</f>
        <v>0</v>
      </c>
      <c r="N405" s="70">
        <f>IF((((0.326*F405^0.818)-(0.398*F405^0.85)/(1-H405)*H405)*(MAX('Max rate concentrations'!$Q$3:$Q$368)))/F405&gt; 0, (((0.326*F405^0.818)-(0.398*F405^0.85)/(1-H405)*H405)*(MAX('Max rate concentrations'!$Q$3:$Q$368)))/F405, 0)</f>
        <v>0</v>
      </c>
      <c r="O405" s="70">
        <f>((MAX('Max rate concentrations'!$F$3:$F$368))*0.62*6.01*8*(12.3*F405^0.65)*0.079*0.1/F405)*inputs!$E$73/inputs!$E$74</f>
        <v>6.2411277651010533</v>
      </c>
      <c r="P405" s="70">
        <f>((MAX('Max rate concentrations'!Y:Y))*0.62*6.01*8*(12.3*F405^0.65)*0.079*0.1/F405)*inputs!$E$73/inputs!$E$74</f>
        <v>2.0803759217003512</v>
      </c>
      <c r="Q405" s="70">
        <f>(inputs!$C$18*11.2*(12.3*F405^0.65)*0.5/F405)*inputs!$E$73/inputs!$E$74</f>
        <v>1.0993452190560955</v>
      </c>
      <c r="R405" s="60">
        <f>(60*379*((F405/1000)^0.8)*3*24*(MAX('Max rate concentrations'!$R$3:$R$368))/F405)*(inputs!$E$73/inputs!$E$75)</f>
        <v>5.0974455095151808E-3</v>
      </c>
      <c r="S405" s="60">
        <f>(IF(inputs!$C$17="aerial",((0.025*0.112*inputs!$C$18/3.3)*(3*60*379*((F405/1000)^0.8))*MAX(inputs!$I$14:$I$16))/F405,((0.0083*0.112*inputs!$C$18/1)*(3*60*379*((F405/1000)^0.8))*MAX(inputs!$I$14:$I$16))/F405))*(inputs!E$75/inputs!$E$73)</f>
        <v>2.8112725163409669E-2</v>
      </c>
      <c r="T405" s="63">
        <f>IF((((inputs!$P$13/(V405/MAX(K405:S405)))^(1/inputs!$O$13))-1)/inputs!$N$13&lt;0, 0, IF((((inputs!$P$13/(V405/MAX(K405:S405)))^(1/inputs!$O$13))-1)/inputs!$N$13&lt;inputs!$I$17, (((inputs!$P$13/(V405/MAX(K405:S405)))^(1/inputs!$O$13))-1)/inputs!$N$13, inputs!$I$17))</f>
        <v>55.926442631049404</v>
      </c>
      <c r="U405" s="63">
        <f>IF((((inputs!$P$13/(X405/MAX(K405:S405)))^(1/inputs!$O$13))-1)/inputs!$N$13&lt;0, 0, IF((((inputs!$P$13/(X405/MAX(K405:S405)))^(1/inputs!$O$13))-1)/inputs!$N$13&lt;inputs!$I$17, (((inputs!$P$13/(X405/MAX(K405:S405)))^(1/inputs!$O$13))-1)/inputs!$N$13, inputs!$I$17))</f>
        <v>0</v>
      </c>
      <c r="V405" s="54">
        <f>inputs!$E$70*(inputs!$F$70/F405)^(0.25)</f>
        <v>0.34069386300517612</v>
      </c>
      <c r="W405" s="54">
        <f>inputs!$E$76*(inputs!$F$76/F405)^(0.25)</f>
        <v>0.10247428813582357</v>
      </c>
      <c r="X405" s="54">
        <f>inputs!$E$72*(inputs!$F$72/F405)^(0.25)</f>
        <v>15.030611603169534</v>
      </c>
      <c r="Y405" s="54" t="s">
        <v>13</v>
      </c>
      <c r="Z405" s="106">
        <f t="shared" si="42"/>
        <v>19.839260771719594</v>
      </c>
      <c r="AA405" s="106">
        <f t="shared" si="43"/>
        <v>65.959125107806514</v>
      </c>
    </row>
    <row r="406" spans="1:27" x14ac:dyDescent="0.25">
      <c r="A406" s="55" t="s">
        <v>438</v>
      </c>
      <c r="B406" s="49" t="s">
        <v>439</v>
      </c>
      <c r="C406" s="21" t="s">
        <v>61</v>
      </c>
      <c r="D406" s="20" t="s">
        <v>440</v>
      </c>
      <c r="E406" s="20">
        <v>10141</v>
      </c>
      <c r="F406" s="21">
        <v>47630</v>
      </c>
      <c r="G406" s="21" t="s">
        <v>161</v>
      </c>
      <c r="H406" s="21">
        <v>0.85</v>
      </c>
      <c r="I406" s="68">
        <f>MAX('Max rate concentrations'!$F$3:$F$368)</f>
        <v>405</v>
      </c>
      <c r="J406" s="68">
        <f>MAX('Max rate concentrations'!Y:Y)</f>
        <v>135</v>
      </c>
      <c r="K406" s="70">
        <f t="shared" si="44"/>
        <v>93.275778602481935</v>
      </c>
      <c r="L406" s="70">
        <f t="shared" si="45"/>
        <v>31.091926200827317</v>
      </c>
      <c r="M406" s="70">
        <f>IF((((0.326*F406^0.818)-(0.398*F406^0.85)/(1-H406)*H406)*(MAX('Max rate concentrations'!$P$3:$P$368)))/F406&gt;0, (((0.326*F406^0.818)-(0.398*F406^0.85)/(1-H406)*H406)*(MAX('Max rate concentrations'!$P$3:$P$368)))/F406, 0)</f>
        <v>0</v>
      </c>
      <c r="N406" s="70">
        <f>IF((((0.326*F406^0.818)-(0.398*F406^0.85)/(1-H406)*H406)*(MAX('Max rate concentrations'!$Q$3:$Q$368)))/F406&gt; 0, (((0.326*F406^0.818)-(0.398*F406^0.85)/(1-H406)*H406)*(MAX('Max rate concentrations'!$Q$3:$Q$368)))/F406, 0)</f>
        <v>0</v>
      </c>
      <c r="O406" s="70">
        <f>((MAX('Max rate concentrations'!$F$3:$F$368))*0.62*6.01*8*(12.3*F406^0.65)*0.079*0.1/F406)*inputs!$E$73/inputs!$E$74</f>
        <v>6.2411277651010533</v>
      </c>
      <c r="P406" s="70">
        <f>((MAX('Max rate concentrations'!Y:Y))*0.62*6.01*8*(12.3*F406^0.65)*0.079*0.1/F406)*inputs!$E$73/inputs!$E$74</f>
        <v>2.0803759217003512</v>
      </c>
      <c r="Q406" s="70">
        <f>(inputs!$C$18*11.2*(12.3*F406^0.65)*0.5/F406)*inputs!$E$73/inputs!$E$74</f>
        <v>1.0993452190560955</v>
      </c>
      <c r="R406" s="60">
        <f>(60*379*((F406/1000)^0.8)*3*24*(MAX('Max rate concentrations'!$R$3:$R$368))/F406)*(inputs!$E$73/inputs!$E$75)</f>
        <v>5.0974455095151808E-3</v>
      </c>
      <c r="S406" s="60">
        <f>(IF(inputs!$C$17="aerial",((0.025*0.112*inputs!$C$18/3.3)*(3*60*379*((F406/1000)^0.8))*MAX(inputs!$I$14:$I$16))/F406,((0.0083*0.112*inputs!$C$18/1)*(3*60*379*((F406/1000)^0.8))*MAX(inputs!$I$14:$I$16))/F406))*(inputs!E$75/inputs!$E$73)</f>
        <v>2.8112725163409669E-2</v>
      </c>
      <c r="T406" s="63">
        <f>IF((((inputs!$P$13/(V406/MAX(K406:S406)))^(1/inputs!$O$13))-1)/inputs!$N$13&lt;0, 0, IF((((inputs!$P$13/(V406/MAX(K406:S406)))^(1/inputs!$O$13))-1)/inputs!$N$13&lt;inputs!$I$17, (((inputs!$P$13/(V406/MAX(K406:S406)))^(1/inputs!$O$13))-1)/inputs!$N$13, inputs!$I$17))</f>
        <v>505.52274734567078</v>
      </c>
      <c r="U406" s="63">
        <f>IF((((inputs!$P$13/(X406/MAX(K406:S406)))^(1/inputs!$O$13))-1)/inputs!$N$13&lt;0, 0, IF((((inputs!$P$13/(X406/MAX(K406:S406)))^(1/inputs!$O$13))-1)/inputs!$N$13&lt;inputs!$I$17, (((inputs!$P$13/(X406/MAX(K406:S406)))^(1/inputs!$O$13))-1)/inputs!$N$13, inputs!$I$17))</f>
        <v>18.665108154014312</v>
      </c>
      <c r="V406" s="54">
        <f>inputs!$E$70*(inputs!$F$70/F406)^(0.25)</f>
        <v>0.34069386300517612</v>
      </c>
      <c r="W406" s="54">
        <f>inputs!$E$76*(inputs!$F$76/F406)^(0.25)</f>
        <v>0.10247428813582357</v>
      </c>
      <c r="X406" s="54">
        <f>inputs!$E$72*(inputs!$F$72/F406)^(0.25)</f>
        <v>15.030611603169534</v>
      </c>
      <c r="Y406" s="54" t="s">
        <v>13</v>
      </c>
      <c r="Z406" s="106">
        <f t="shared" si="42"/>
        <v>273.78179864973032</v>
      </c>
      <c r="AA406" s="106">
        <f t="shared" si="43"/>
        <v>910.23592648772967</v>
      </c>
    </row>
    <row r="407" spans="1:27" x14ac:dyDescent="0.25">
      <c r="A407" s="55" t="s">
        <v>447</v>
      </c>
      <c r="B407" s="49" t="s">
        <v>448</v>
      </c>
      <c r="C407" s="21" t="s">
        <v>61</v>
      </c>
      <c r="D407" s="20" t="s">
        <v>440</v>
      </c>
      <c r="E407" s="20">
        <v>6654</v>
      </c>
      <c r="F407" s="21">
        <v>350000</v>
      </c>
      <c r="G407" s="21" t="s">
        <v>169</v>
      </c>
      <c r="H407" s="21">
        <v>0.79</v>
      </c>
      <c r="I407" s="68">
        <f>MAX('Max rate concentrations'!$D$3:$D$368)</f>
        <v>720</v>
      </c>
      <c r="J407" s="68">
        <f>MAX('Max rate concentrations'!W:W)</f>
        <v>255</v>
      </c>
      <c r="K407" s="70">
        <f t="shared" si="44"/>
        <v>83.049486604808678</v>
      </c>
      <c r="L407" s="70">
        <f t="shared" si="45"/>
        <v>29.413359839203071</v>
      </c>
      <c r="M407" s="70">
        <f>IF((((0.326*F407^0.818)-(0.398*F407^0.85)/(1-H407)*H407)*(MAX('Max rate concentrations'!$P$3:$P$368)))/F407&gt;0, (((0.326*F407^0.818)-(0.398*F407^0.85)/(1-H407)*H407)*(MAX('Max rate concentrations'!$P$3:$P$368)))/F407, 0)</f>
        <v>0</v>
      </c>
      <c r="N407" s="70">
        <f>IF((((0.326*F407^0.818)-(0.398*F407^0.85)/(1-H407)*H407)*(MAX('Max rate concentrations'!$Q$3:$Q$368)))/F407&gt; 0, (((0.326*F407^0.818)-(0.398*F407^0.85)/(1-H407)*H407)*(MAX('Max rate concentrations'!$Q$3:$Q$368)))/F407, 0)</f>
        <v>0</v>
      </c>
      <c r="O407" s="70">
        <f>((MAX('Max rate concentrations'!$F$3:$F$368))*0.62*6.01*8*(12.3*F407^0.65)*0.079*0.1/F407)*inputs!$E$73/inputs!$E$74</f>
        <v>3.105256369840486</v>
      </c>
      <c r="P407" s="70">
        <f>((MAX('Max rate concentrations'!Y:Y))*0.62*6.01*8*(12.3*F407^0.65)*0.079*0.1/F407)*inputs!$E$73/inputs!$E$74</f>
        <v>1.0350854566134957</v>
      </c>
      <c r="Q407" s="70">
        <f>(inputs!$C$18*11.2*(12.3*F407^0.65)*0.5/F407)*inputs!$E$73/inputs!$E$74</f>
        <v>0.54697626336325322</v>
      </c>
      <c r="R407" s="60">
        <f>(60*379*((F407/1000)^0.8)*3*24*(MAX('Max rate concentrations'!$R$3:$R$368))/F407)*(inputs!$E$73/inputs!$E$75)</f>
        <v>3.4207008802593095E-3</v>
      </c>
      <c r="S407" s="60">
        <f>(IF(inputs!$C$17="aerial",((0.025*0.112*inputs!$C$18/3.3)*(3*60*379*((F407/1000)^0.8))*MAX(inputs!$I$14:$I$16))/F407,((0.0083*0.112*inputs!$C$18/1)*(3*60*379*((F407/1000)^0.8))*MAX(inputs!$I$14:$I$16))/F407))*(inputs!E$75/inputs!$E$73)</f>
        <v>1.8865375516708516E-2</v>
      </c>
      <c r="T407" s="63">
        <f>IF((((inputs!$P$13/(V407/MAX(K407:S407)))^(1/inputs!$O$13))-1)/inputs!$N$13&lt;0, 0, IF((((inputs!$P$13/(V407/MAX(K407:S407)))^(1/inputs!$O$13))-1)/inputs!$N$13&lt;inputs!$I$17, (((inputs!$P$13/(V407/MAX(K407:S407)))^(1/inputs!$O$13))-1)/inputs!$N$13, inputs!$I$17))</f>
        <v>690.66242338327675</v>
      </c>
      <c r="U407" s="63">
        <f>IF((((inputs!$P$13/(X407/MAX(K407:S407)))^(1/inputs!$O$13))-1)/inputs!$N$13&lt;0, 0, IF((((inputs!$P$13/(X407/MAX(K407:S407)))^(1/inputs!$O$13))-1)/inputs!$N$13&lt;inputs!$I$17, (((inputs!$P$13/(X407/MAX(K407:S407)))^(1/inputs!$O$13))-1)/inputs!$N$13, inputs!$I$17))</f>
        <v>27.325800173112722</v>
      </c>
      <c r="V407" s="54">
        <f>inputs!$E$70*(inputs!$F$70/F407)^(0.25)</f>
        <v>0.20692713504581586</v>
      </c>
      <c r="W407" s="54">
        <f>inputs!$E$76*(inputs!$F$76/F407)^(0.25)</f>
        <v>6.2239779351362295E-2</v>
      </c>
      <c r="X407" s="54">
        <f>inputs!$E$72*(inputs!$F$72/F407)^(0.25)</f>
        <v>9.1291383108448176</v>
      </c>
      <c r="Y407" s="54" t="s">
        <v>13</v>
      </c>
      <c r="Z407" s="106">
        <f t="shared" si="42"/>
        <v>401.3465251254778</v>
      </c>
      <c r="AA407" s="106">
        <f t="shared" si="43"/>
        <v>1334.347381535036</v>
      </c>
    </row>
    <row r="408" spans="1:27" x14ac:dyDescent="0.25">
      <c r="A408" s="55" t="s">
        <v>447</v>
      </c>
      <c r="B408" s="49" t="s">
        <v>448</v>
      </c>
      <c r="C408" s="21" t="s">
        <v>61</v>
      </c>
      <c r="D408" s="20" t="s">
        <v>440</v>
      </c>
      <c r="E408" s="20">
        <v>6654</v>
      </c>
      <c r="F408" s="21">
        <v>350000</v>
      </c>
      <c r="G408" s="21" t="s">
        <v>177</v>
      </c>
      <c r="H408" s="21">
        <v>0.85</v>
      </c>
      <c r="I408" s="68">
        <f>MAX('Max rate concentrations'!$F$3:$F$368)</f>
        <v>405</v>
      </c>
      <c r="J408" s="68">
        <f>MAX('Max rate concentrations'!Y:Y)</f>
        <v>135</v>
      </c>
      <c r="K408" s="70">
        <f t="shared" si="44"/>
        <v>65.401470701286812</v>
      </c>
      <c r="L408" s="70">
        <f t="shared" si="45"/>
        <v>21.800490233762272</v>
      </c>
      <c r="M408" s="70">
        <f>IF((((0.326*F408^0.818)-(0.398*F408^0.85)/(1-H408)*H408)*(MAX('Max rate concentrations'!$P$3:$P$368)))/F408&gt;0, (((0.326*F408^0.818)-(0.398*F408^0.85)/(1-H408)*H408)*(MAX('Max rate concentrations'!$P$3:$P$368)))/F408, 0)</f>
        <v>0</v>
      </c>
      <c r="N408" s="70">
        <f>IF((((0.326*F408^0.818)-(0.398*F408^0.85)/(1-H408)*H408)*(MAX('Max rate concentrations'!$Q$3:$Q$368)))/F408&gt; 0, (((0.326*F408^0.818)-(0.398*F408^0.85)/(1-H408)*H408)*(MAX('Max rate concentrations'!$Q$3:$Q$368)))/F408, 0)</f>
        <v>0</v>
      </c>
      <c r="O408" s="70">
        <f>((MAX('Max rate concentrations'!$F$3:$F$368))*0.62*6.01*8*(12.3*F408^0.65)*0.079*0.1/F408)*inputs!$E$73/inputs!$E$74</f>
        <v>3.105256369840486</v>
      </c>
      <c r="P408" s="70">
        <f>((MAX('Max rate concentrations'!Y:Y))*0.62*6.01*8*(12.3*F408^0.65)*0.079*0.1/F408)*inputs!$E$73/inputs!$E$74</f>
        <v>1.0350854566134957</v>
      </c>
      <c r="Q408" s="70">
        <f>(inputs!$C$18*11.2*(12.3*F408^0.65)*0.5/F408)*inputs!$E$73/inputs!$E$74</f>
        <v>0.54697626336325322</v>
      </c>
      <c r="R408" s="60">
        <f>(60*379*((F408/1000)^0.8)*3*24*(MAX('Max rate concentrations'!$R$3:$R$368))/F408)*(inputs!$E$73/inputs!$E$75)</f>
        <v>3.4207008802593095E-3</v>
      </c>
      <c r="S408" s="60">
        <f>(IF(inputs!$C$17="aerial",((0.025*0.112*inputs!$C$18/3.3)*(3*60*379*((F408/1000)^0.8))*MAX(inputs!$I$14:$I$16))/F408,((0.0083*0.112*inputs!$C$18/1)*(3*60*379*((F408/1000)^0.8))*MAX(inputs!$I$14:$I$16))/F408))*(inputs!E$75/inputs!$E$73)</f>
        <v>1.8865375516708516E-2</v>
      </c>
      <c r="T408" s="63">
        <f>IF((((inputs!$P$13/(V408/MAX(K408:S408)))^(1/inputs!$O$13))-1)/inputs!$N$13&lt;0, 0, IF((((inputs!$P$13/(V408/MAX(K408:S408)))^(1/inputs!$O$13))-1)/inputs!$N$13&lt;inputs!$I$17, (((inputs!$P$13/(V408/MAX(K408:S408)))^(1/inputs!$O$13))-1)/inputs!$N$13, inputs!$I$17))</f>
        <v>568.41539060391244</v>
      </c>
      <c r="U408" s="63">
        <f>IF((((inputs!$P$13/(X408/MAX(K408:S408)))^(1/inputs!$O$13))-1)/inputs!$N$13&lt;0, 0, IF((((inputs!$P$13/(X408/MAX(K408:S408)))^(1/inputs!$O$13))-1)/inputs!$N$13&lt;inputs!$I$17, (((inputs!$P$13/(X408/MAX(K408:S408)))^(1/inputs!$O$13))-1)/inputs!$N$13, inputs!$I$17))</f>
        <v>21.60717775888936</v>
      </c>
      <c r="V408" s="54">
        <f>inputs!$E$70*(inputs!$F$70/F408)^(0.25)</f>
        <v>0.20692713504581586</v>
      </c>
      <c r="W408" s="54">
        <f>inputs!$E$76*(inputs!$F$76/F408)^(0.25)</f>
        <v>6.2239779351362295E-2</v>
      </c>
      <c r="X408" s="54">
        <f>inputs!$E$72*(inputs!$F$72/F408)^(0.25)</f>
        <v>9.1291383108448176</v>
      </c>
      <c r="Y408" s="54" t="s">
        <v>13</v>
      </c>
      <c r="Z408" s="106">
        <f t="shared" si="42"/>
        <v>316.06038853631367</v>
      </c>
      <c r="AA408" s="106">
        <f t="shared" si="43"/>
        <v>1050.7985629588404</v>
      </c>
    </row>
    <row r="409" spans="1:27" ht="26.4" x14ac:dyDescent="0.25">
      <c r="A409" s="55" t="s">
        <v>447</v>
      </c>
      <c r="B409" s="49" t="s">
        <v>877</v>
      </c>
      <c r="C409" s="21" t="s">
        <v>61</v>
      </c>
      <c r="D409" s="20" t="s">
        <v>440</v>
      </c>
      <c r="E409" s="197" t="s">
        <v>878</v>
      </c>
      <c r="F409" s="21">
        <v>350000</v>
      </c>
      <c r="G409" s="21" t="s">
        <v>169</v>
      </c>
      <c r="H409" s="21">
        <v>0.79</v>
      </c>
      <c r="I409" s="68">
        <f>MAX('Max rate concentrations'!$D$3:$D$368)</f>
        <v>720</v>
      </c>
      <c r="J409" s="68">
        <f>MAX('Max rate concentrations'!W:W)</f>
        <v>255</v>
      </c>
      <c r="K409" s="70">
        <f t="shared" ref="K409:K410" si="46">(((0.235*F409^0.822)/(1-H409)))*I409/F409</f>
        <v>83.049486604808678</v>
      </c>
      <c r="L409" s="70">
        <f t="shared" ref="L409:L410" si="47">(((0.235*F409^0.822)/(1-H409)))*J409/F409</f>
        <v>29.413359839203071</v>
      </c>
      <c r="M409" s="70">
        <f>IF((((0.326*F409^0.818)-(0.398*F409^0.85)/(1-H409)*H409)*(MAX('Max rate concentrations'!$P$3:$P$368)))/F409&gt;0, (((0.326*F409^0.818)-(0.398*F409^0.85)/(1-H409)*H409)*(MAX('Max rate concentrations'!$P$3:$P$368)))/F409, 0)</f>
        <v>0</v>
      </c>
      <c r="N409" s="70">
        <f>IF((((0.326*F409^0.818)-(0.398*F409^0.85)/(1-H409)*H409)*(MAX('Max rate concentrations'!$Q$3:$Q$368)))/F409&gt; 0, (((0.326*F409^0.818)-(0.398*F409^0.85)/(1-H409)*H409)*(MAX('Max rate concentrations'!$Q$3:$Q$368)))/F409, 0)</f>
        <v>0</v>
      </c>
      <c r="O409" s="70">
        <f>((MAX('Max rate concentrations'!$F$3:$F$368))*0.62*6.01*8*(12.3*F409^0.65)*0.079*0.1/F409)*inputs!$E$73/inputs!$E$74</f>
        <v>3.105256369840486</v>
      </c>
      <c r="P409" s="70">
        <f>((MAX('Max rate concentrations'!Y:Y))*0.62*6.01*8*(12.3*F409^0.65)*0.079*0.1/F409)*inputs!$E$73/inputs!$E$74</f>
        <v>1.0350854566134957</v>
      </c>
      <c r="Q409" s="70">
        <f>(inputs!$C$18*11.2*(12.3*F409^0.65)*0.5/F409)*inputs!$E$73/inputs!$E$74</f>
        <v>0.54697626336325322</v>
      </c>
      <c r="R409" s="60">
        <f>(60*379*((F409/1000)^0.8)*3*24*(MAX('Max rate concentrations'!$R$3:$R$368))/F409)*(inputs!$E$73/inputs!$E$75)</f>
        <v>3.4207008802593095E-3</v>
      </c>
      <c r="S409" s="60">
        <f>(IF(inputs!$C$17="aerial",((0.025*0.112*inputs!$C$18/3.3)*(3*60*379*((F409/1000)^0.8))*MAX(inputs!$I$14:$I$16))/F409,((0.0083*0.112*inputs!$C$18/1)*(3*60*379*((F409/1000)^0.8))*MAX(inputs!$I$14:$I$16))/F409))*(inputs!E$75/inputs!$E$73)</f>
        <v>1.8865375516708516E-2</v>
      </c>
      <c r="T409" s="63">
        <f>IF((((inputs!$P$13/(V409/MAX(K409:S409)))^(1/inputs!$O$13))-1)/inputs!$N$13&lt;0, 0, IF((((inputs!$P$13/(V409/MAX(K409:S409)))^(1/inputs!$O$13))-1)/inputs!$N$13&lt;inputs!$I$17, (((inputs!$P$13/(V409/MAX(K409:S409)))^(1/inputs!$O$13))-1)/inputs!$N$13, inputs!$I$17))</f>
        <v>690.66242338327675</v>
      </c>
      <c r="U409" s="63">
        <f>IF((((inputs!$P$13/(X409/MAX(K409:S409)))^(1/inputs!$O$13))-1)/inputs!$N$13&lt;0, 0, IF((((inputs!$P$13/(X409/MAX(K409:S409)))^(1/inputs!$O$13))-1)/inputs!$N$13&lt;inputs!$I$17, (((inputs!$P$13/(X409/MAX(K409:S409)))^(1/inputs!$O$13))-1)/inputs!$N$13, inputs!$I$17))</f>
        <v>27.325800173112722</v>
      </c>
      <c r="V409" s="54">
        <f>inputs!$E$70*(inputs!$F$70/F409)^(0.25)</f>
        <v>0.20692713504581586</v>
      </c>
      <c r="W409" s="54">
        <f>inputs!$E$76*(inputs!$F$76/F409)^(0.25)</f>
        <v>6.2239779351362295E-2</v>
      </c>
      <c r="X409" s="54">
        <f>inputs!$E$72*(inputs!$F$72/F409)^(0.25)</f>
        <v>9.1291383108448176</v>
      </c>
      <c r="Y409" s="54" t="s">
        <v>13</v>
      </c>
      <c r="Z409" s="106">
        <f t="shared" ref="Z409:Z410" si="48">MAX(K409:S409)/V409</f>
        <v>401.3465251254778</v>
      </c>
      <c r="AA409" s="106">
        <f t="shared" ref="AA409:AA410" si="49">MAX(K409:S409)/W409</f>
        <v>1334.347381535036</v>
      </c>
    </row>
    <row r="410" spans="1:27" ht="26.4" x14ac:dyDescent="0.25">
      <c r="A410" s="55" t="s">
        <v>447</v>
      </c>
      <c r="B410" s="49" t="s">
        <v>877</v>
      </c>
      <c r="C410" s="21" t="s">
        <v>61</v>
      </c>
      <c r="D410" s="20" t="s">
        <v>440</v>
      </c>
      <c r="E410" s="197" t="s">
        <v>878</v>
      </c>
      <c r="F410" s="21">
        <v>350000</v>
      </c>
      <c r="G410" s="21" t="s">
        <v>177</v>
      </c>
      <c r="H410" s="21">
        <v>0.85</v>
      </c>
      <c r="I410" s="68">
        <f>MAX('Max rate concentrations'!$F$3:$F$368)</f>
        <v>405</v>
      </c>
      <c r="J410" s="68">
        <f>MAX('Max rate concentrations'!Y:Y)</f>
        <v>135</v>
      </c>
      <c r="K410" s="70">
        <f t="shared" si="46"/>
        <v>65.401470701286812</v>
      </c>
      <c r="L410" s="70">
        <f t="shared" si="47"/>
        <v>21.800490233762272</v>
      </c>
      <c r="M410" s="70">
        <f>IF((((0.326*F410^0.818)-(0.398*F410^0.85)/(1-H410)*H410)*(MAX('Max rate concentrations'!$P$3:$P$368)))/F410&gt;0, (((0.326*F410^0.818)-(0.398*F410^0.85)/(1-H410)*H410)*(MAX('Max rate concentrations'!$P$3:$P$368)))/F410, 0)</f>
        <v>0</v>
      </c>
      <c r="N410" s="70">
        <f>IF((((0.326*F410^0.818)-(0.398*F410^0.85)/(1-H410)*H410)*(MAX('Max rate concentrations'!$Q$3:$Q$368)))/F410&gt; 0, (((0.326*F410^0.818)-(0.398*F410^0.85)/(1-H410)*H410)*(MAX('Max rate concentrations'!$Q$3:$Q$368)))/F410, 0)</f>
        <v>0</v>
      </c>
      <c r="O410" s="70">
        <f>((MAX('Max rate concentrations'!$F$3:$F$368))*0.62*6.01*8*(12.3*F410^0.65)*0.079*0.1/F410)*inputs!$E$73/inputs!$E$74</f>
        <v>3.105256369840486</v>
      </c>
      <c r="P410" s="70">
        <f>((MAX('Max rate concentrations'!Y:Y))*0.62*6.01*8*(12.3*F410^0.65)*0.079*0.1/F410)*inputs!$E$73/inputs!$E$74</f>
        <v>1.0350854566134957</v>
      </c>
      <c r="Q410" s="70">
        <f>(inputs!$C$18*11.2*(12.3*F410^0.65)*0.5/F410)*inputs!$E$73/inputs!$E$74</f>
        <v>0.54697626336325322</v>
      </c>
      <c r="R410" s="60">
        <f>(60*379*((F410/1000)^0.8)*3*24*(MAX('Max rate concentrations'!$R$3:$R$368))/F410)*(inputs!$E$73/inputs!$E$75)</f>
        <v>3.4207008802593095E-3</v>
      </c>
      <c r="S410" s="60">
        <f>(IF(inputs!$C$17="aerial",((0.025*0.112*inputs!$C$18/3.3)*(3*60*379*((F410/1000)^0.8))*MAX(inputs!$I$14:$I$16))/F410,((0.0083*0.112*inputs!$C$18/1)*(3*60*379*((F410/1000)^0.8))*MAX(inputs!$I$14:$I$16))/F410))*(inputs!E$75/inputs!$E$73)</f>
        <v>1.8865375516708516E-2</v>
      </c>
      <c r="T410" s="63">
        <f>IF((((inputs!$P$13/(V410/MAX(K410:S410)))^(1/inputs!$O$13))-1)/inputs!$N$13&lt;0, 0, IF((((inputs!$P$13/(V410/MAX(K410:S410)))^(1/inputs!$O$13))-1)/inputs!$N$13&lt;inputs!$I$17, (((inputs!$P$13/(V410/MAX(K410:S410)))^(1/inputs!$O$13))-1)/inputs!$N$13, inputs!$I$17))</f>
        <v>568.41539060391244</v>
      </c>
      <c r="U410" s="63">
        <f>IF((((inputs!$P$13/(X410/MAX(K410:S410)))^(1/inputs!$O$13))-1)/inputs!$N$13&lt;0, 0, IF((((inputs!$P$13/(X410/MAX(K410:S410)))^(1/inputs!$O$13))-1)/inputs!$N$13&lt;inputs!$I$17, (((inputs!$P$13/(X410/MAX(K410:S410)))^(1/inputs!$O$13))-1)/inputs!$N$13, inputs!$I$17))</f>
        <v>21.60717775888936</v>
      </c>
      <c r="V410" s="54">
        <f>inputs!$E$70*(inputs!$F$70/F410)^(0.25)</f>
        <v>0.20692713504581586</v>
      </c>
      <c r="W410" s="54">
        <f>inputs!$E$76*(inputs!$F$76/F410)^(0.25)</f>
        <v>6.2239779351362295E-2</v>
      </c>
      <c r="X410" s="54">
        <f>inputs!$E$72*(inputs!$F$72/F410)^(0.25)</f>
        <v>9.1291383108448176</v>
      </c>
      <c r="Y410" s="54" t="s">
        <v>13</v>
      </c>
      <c r="Z410" s="106">
        <f t="shared" si="48"/>
        <v>316.06038853631367</v>
      </c>
      <c r="AA410" s="106">
        <f t="shared" si="49"/>
        <v>1050.7985629588404</v>
      </c>
    </row>
    <row r="411" spans="1:27" ht="26.4" x14ac:dyDescent="0.25">
      <c r="A411" s="55" t="s">
        <v>559</v>
      </c>
      <c r="B411" s="49" t="s">
        <v>560</v>
      </c>
      <c r="C411" s="21" t="s">
        <v>61</v>
      </c>
      <c r="D411" s="20" t="s">
        <v>440</v>
      </c>
      <c r="E411" s="20">
        <v>33</v>
      </c>
      <c r="F411" s="21">
        <v>135000</v>
      </c>
      <c r="G411" s="21" t="s">
        <v>177</v>
      </c>
      <c r="H411" s="21">
        <v>0.85</v>
      </c>
      <c r="I411" s="68">
        <f>MAX('Max rate concentrations'!$F$3:$F$368)</f>
        <v>405</v>
      </c>
      <c r="J411" s="68">
        <f>MAX('Max rate concentrations'!Y:Y)</f>
        <v>135</v>
      </c>
      <c r="K411" s="70">
        <f t="shared" si="44"/>
        <v>77.487601036446748</v>
      </c>
      <c r="L411" s="70">
        <f t="shared" si="45"/>
        <v>25.829200345482249</v>
      </c>
      <c r="M411" s="70">
        <f>IF((((0.326*F411^0.818)-(0.398*F411^0.85)/(1-H411)*H411)*(MAX('Max rate concentrations'!$P$3:$P$368)))/F411&gt;0, (((0.326*F411^0.818)-(0.398*F411^0.85)/(1-H411)*H411)*(MAX('Max rate concentrations'!$P$3:$P$368)))/F411, 0)</f>
        <v>0</v>
      </c>
      <c r="N411" s="70">
        <f>IF((((0.326*F411^0.818)-(0.398*F411^0.85)/(1-H411)*H411)*(MAX('Max rate concentrations'!$Q$3:$Q$368)))/F411&gt; 0, (((0.326*F411^0.818)-(0.398*F411^0.85)/(1-H411)*H411)*(MAX('Max rate concentrations'!$Q$3:$Q$368)))/F411, 0)</f>
        <v>0</v>
      </c>
      <c r="O411" s="70">
        <f>((MAX('Max rate concentrations'!$F$3:$F$368))*0.62*6.01*8*(12.3*F411^0.65)*0.079*0.1/F411)*inputs!$E$73/inputs!$E$74</f>
        <v>4.3341551914212531</v>
      </c>
      <c r="P411" s="70">
        <f>((MAX('Max rate concentrations'!Y:Y))*0.62*6.01*8*(12.3*F411^0.65)*0.079*0.1/F411)*inputs!$E$73/inputs!$E$74</f>
        <v>1.4447183971404174</v>
      </c>
      <c r="Q411" s="70">
        <f>(inputs!$C$18*11.2*(12.3*F411^0.65)*0.5/F411)*inputs!$E$73/inputs!$E$74</f>
        <v>0.76344099458745207</v>
      </c>
      <c r="R411" s="60">
        <f>(60*379*((F411/1000)^0.8)*3*24*(MAX('Max rate concentrations'!$R$3:$R$368))/F411)*(inputs!$E$73/inputs!$E$75)</f>
        <v>4.1386810123971796E-3</v>
      </c>
      <c r="S411" s="60">
        <f>(IF(inputs!$C$17="aerial",((0.025*0.112*inputs!$C$18/3.3)*(3*60*379*((F411/1000)^0.8))*MAX(inputs!$I$14:$I$16))/F411,((0.0083*0.112*inputs!$C$18/1)*(3*60*379*((F411/1000)^0.8))*MAX(inputs!$I$14:$I$16))/F411))*(inputs!E$75/inputs!$E$73)</f>
        <v>2.2825080056934254E-2</v>
      </c>
      <c r="T411" s="63">
        <f>IF((((inputs!$P$13/(V411/MAX(K411:S411)))^(1/inputs!$O$13))-1)/inputs!$N$13&lt;0, 0, IF((((inputs!$P$13/(V411/MAX(K411:S411)))^(1/inputs!$O$13))-1)/inputs!$N$13&lt;inputs!$I$17, (((inputs!$P$13/(V411/MAX(K411:S411)))^(1/inputs!$O$13))-1)/inputs!$N$13, inputs!$I$17))</f>
        <v>537.46308641976646</v>
      </c>
      <c r="U411" s="63">
        <f>IF((((inputs!$P$13/(X411/MAX(K411:S411)))^(1/inputs!$O$13))-1)/inputs!$N$13&lt;0, 0, IF((((inputs!$P$13/(X411/MAX(K411:S411)))^(1/inputs!$O$13))-1)/inputs!$N$13&lt;inputs!$I$17, (((inputs!$P$13/(X411/MAX(K411:S411)))^(1/inputs!$O$13))-1)/inputs!$N$13, inputs!$I$17))</f>
        <v>20.159252713552849</v>
      </c>
      <c r="V411" s="54">
        <f>inputs!$E$70*(inputs!$F$70/F411)^(0.25)</f>
        <v>0.26257357295865197</v>
      </c>
      <c r="W411" s="54">
        <f>inputs!$E$76*(inputs!$F$76/F411)^(0.25)</f>
        <v>7.8977178323311303E-2</v>
      </c>
      <c r="X411" s="54">
        <f>inputs!$E$72*(inputs!$F$72/F411)^(0.25)</f>
        <v>11.584128218764057</v>
      </c>
      <c r="Y411" s="54" t="s">
        <v>13</v>
      </c>
      <c r="Z411" s="106">
        <f t="shared" si="42"/>
        <v>295.10814878787852</v>
      </c>
      <c r="AA411" s="106">
        <f t="shared" si="43"/>
        <v>981.13914274365914</v>
      </c>
    </row>
    <row r="412" spans="1:27" x14ac:dyDescent="0.25">
      <c r="A412" s="55" t="s">
        <v>513</v>
      </c>
      <c r="B412" s="49" t="s">
        <v>514</v>
      </c>
      <c r="C412" s="21" t="s">
        <v>61</v>
      </c>
      <c r="D412" s="20" t="s">
        <v>454</v>
      </c>
      <c r="E412" s="20">
        <v>5</v>
      </c>
      <c r="F412" s="21">
        <v>645</v>
      </c>
      <c r="G412" s="21" t="s">
        <v>142</v>
      </c>
      <c r="H412" s="21">
        <v>0.69</v>
      </c>
      <c r="I412" s="68">
        <f>MAX('Max rate concentrations'!$H$3:$H$368)</f>
        <v>282</v>
      </c>
      <c r="J412" s="68">
        <f>MAX('Max rate concentrations'!AA:AA)</f>
        <v>195</v>
      </c>
      <c r="K412" s="70">
        <f t="shared" si="44"/>
        <v>67.585518127360444</v>
      </c>
      <c r="L412" s="70">
        <f t="shared" si="45"/>
        <v>46.734666790196059</v>
      </c>
      <c r="M412" s="70">
        <f>IF((((0.326*F412^0.818)-(0.398*F412^0.85)/(1-H412)*H412)*(MAX('Max rate concentrations'!$P$3:$P$368)))/F412&gt;0, (((0.326*F412^0.818)-(0.398*F412^0.85)/(1-H412)*H412)*(MAX('Max rate concentrations'!$P$3:$P$368)))/F412, 0)</f>
        <v>0</v>
      </c>
      <c r="N412" s="70">
        <f>IF((((0.326*F412^0.818)-(0.398*F412^0.85)/(1-H412)*H412)*(MAX('Max rate concentrations'!$Q$3:$Q$368)))/F412&gt; 0, (((0.326*F412^0.818)-(0.398*F412^0.85)/(1-H412)*H412)*(MAX('Max rate concentrations'!$Q$3:$Q$368)))/F412, 0)</f>
        <v>0</v>
      </c>
      <c r="O412" s="70">
        <f>((MAX('Max rate concentrations'!$F$3:$F$368))*0.62*6.01*8*(12.3*F412^0.65)*0.079*0.1/F412)*inputs!$E$73/inputs!$E$74</f>
        <v>28.130365610404819</v>
      </c>
      <c r="P412" s="70">
        <f>((MAX('Max rate concentrations'!Y:Y))*0.62*6.01*8*(12.3*F412^0.65)*0.079*0.1/F412)*inputs!$E$73/inputs!$E$74</f>
        <v>9.3767885368016071</v>
      </c>
      <c r="Q412" s="70">
        <f>(inputs!$C$18*11.2*(12.3*F412^0.65)*0.5/F412)*inputs!$E$73/inputs!$E$74</f>
        <v>4.9550312232067908</v>
      </c>
      <c r="R412" s="60">
        <f>(60*379*((F412/1000)^0.8)*3*24*(MAX('Max rate concentrations'!$R$3:$R$368))/F412)*(inputs!$E$73/inputs!$E$75)</f>
        <v>1.2050824600358513E-2</v>
      </c>
      <c r="S412" s="60">
        <f>(IF(inputs!$C$17="aerial",((0.025*0.112*inputs!$C$18/3.3)*(3*60*379*((F412/1000)^0.8))*MAX(inputs!$I$14:$I$16))/F412,((0.0083*0.112*inputs!$C$18/1)*(3*60*379*((F412/1000)^0.8))*MAX(inputs!$I$14:$I$16))/F412))*(inputs!E$75/inputs!$E$73)</f>
        <v>6.6461038053265351E-2</v>
      </c>
      <c r="T412" s="63">
        <f>IF((((inputs!$P$13/(V412/MAX(K412:S412)))^(1/inputs!$O$13))-1)/inputs!$N$13&lt;0, 0, IF((((inputs!$P$13/(V412/MAX(K412:S412)))^(1/inputs!$O$13))-1)/inputs!$N$13&lt;inputs!$I$17, (((inputs!$P$13/(V412/MAX(K412:S412)))^(1/inputs!$O$13))-1)/inputs!$N$13, inputs!$I$17))</f>
        <v>159.72177675391407</v>
      </c>
      <c r="U412" s="63">
        <f>IF((((inputs!$P$13/(X412/MAX(K412:S412)))^(1/inputs!$O$13))-1)/inputs!$N$13&lt;0, 0, IF((((inputs!$P$13/(X412/MAX(K412:S412)))^(1/inputs!$O$13))-1)/inputs!$N$13&lt;inputs!$I$17, (((inputs!$P$13/(X412/MAX(K412:S412)))^(1/inputs!$O$13))-1)/inputs!$N$13, inputs!$I$17))</f>
        <v>2.4888040235469999</v>
      </c>
      <c r="V412" s="54">
        <f>inputs!$E$70*(inputs!$F$70/F412)^(0.25)</f>
        <v>0.99872179447440346</v>
      </c>
      <c r="W412" s="54">
        <f>inputs!$E$76*(inputs!$F$76/F412)^(0.25)</f>
        <v>0.30039667880058618</v>
      </c>
      <c r="X412" s="54">
        <f>inputs!$E$72*(inputs!$F$72/F412)^(0.25)</f>
        <v>44.061255638576625</v>
      </c>
      <c r="Y412" s="54" t="s">
        <v>13</v>
      </c>
      <c r="Z412" s="106">
        <f t="shared" si="42"/>
        <v>67.672016873256098</v>
      </c>
      <c r="AA412" s="106">
        <f t="shared" si="43"/>
        <v>224.98756776277835</v>
      </c>
    </row>
    <row r="413" spans="1:27" x14ac:dyDescent="0.25">
      <c r="A413" s="55" t="s">
        <v>513</v>
      </c>
      <c r="B413" s="49" t="s">
        <v>514</v>
      </c>
      <c r="C413" s="21" t="s">
        <v>61</v>
      </c>
      <c r="D413" s="20" t="s">
        <v>454</v>
      </c>
      <c r="E413" s="20">
        <v>5</v>
      </c>
      <c r="F413" s="21">
        <v>645</v>
      </c>
      <c r="G413" s="21" t="s">
        <v>138</v>
      </c>
      <c r="H413" s="21">
        <v>0.68</v>
      </c>
      <c r="I413" s="68">
        <f>MAX('Max rate concentrations'!$L$3:$L$368)</f>
        <v>350.52744091332482</v>
      </c>
      <c r="J413" s="68">
        <f>MAX('Max rate concentrations'!AD:AD)</f>
        <v>242.38599637623525</v>
      </c>
      <c r="K413" s="70">
        <f t="shared" si="44"/>
        <v>81.383858607217277</v>
      </c>
      <c r="L413" s="70">
        <f t="shared" si="45"/>
        <v>56.276072441160885</v>
      </c>
      <c r="M413" s="70">
        <f>IF((((0.326*F413^0.818)-(0.398*F413^0.85)/(1-H413)*H413)*(MAX('Max rate concentrations'!$P$3:$P$368)))/F413&gt;0, (((0.326*F413^0.818)-(0.398*F413^0.85)/(1-H413)*H413)*(MAX('Max rate concentrations'!$P$3:$P$368)))/F413, 0)</f>
        <v>0</v>
      </c>
      <c r="N413" s="70">
        <f>IF((((0.326*F413^0.818)-(0.398*F413^0.85)/(1-H413)*H413)*(MAX('Max rate concentrations'!$Q$3:$Q$368)))/F413&gt; 0, (((0.326*F413^0.818)-(0.398*F413^0.85)/(1-H413)*H413)*(MAX('Max rate concentrations'!$Q$3:$Q$368)))/F413, 0)</f>
        <v>0</v>
      </c>
      <c r="O413" s="70">
        <f>((MAX('Max rate concentrations'!$F$3:$F$368))*0.62*6.01*8*(12.3*F413^0.65)*0.079*0.1/F413)*inputs!$E$73/inputs!$E$74</f>
        <v>28.130365610404819</v>
      </c>
      <c r="P413" s="70">
        <f>((MAX('Max rate concentrations'!Y:Y))*0.62*6.01*8*(12.3*F413^0.65)*0.079*0.1/F413)*inputs!$E$73/inputs!$E$74</f>
        <v>9.3767885368016071</v>
      </c>
      <c r="Q413" s="70">
        <f>(inputs!$C$18*11.2*(12.3*F413^0.65)*0.5/F413)*inputs!$E$73/inputs!$E$74</f>
        <v>4.9550312232067908</v>
      </c>
      <c r="R413" s="60">
        <f>(60*379*((F413/1000)^0.8)*3*24*(MAX('Max rate concentrations'!$R$3:$R$368))/F413)*(inputs!$E$73/inputs!$E$75)</f>
        <v>1.2050824600358513E-2</v>
      </c>
      <c r="S413" s="60">
        <f>(IF(inputs!$C$17="aerial",((0.025*0.112*inputs!$C$18/3.3)*(3*60*379*((F413/1000)^0.8))*MAX(inputs!$I$14:$I$16))/F413,((0.0083*0.112*inputs!$C$18/1)*(3*60*379*((F413/1000)^0.8))*MAX(inputs!$I$14:$I$16))/F413))*(inputs!E$75/inputs!$E$73)</f>
        <v>6.6461038053265351E-2</v>
      </c>
      <c r="T413" s="63">
        <f>IF((((inputs!$P$13/(V413/MAX(K413:S413)))^(1/inputs!$O$13))-1)/inputs!$N$13&lt;0, 0, IF((((inputs!$P$13/(V413/MAX(K413:S413)))^(1/inputs!$O$13))-1)/inputs!$N$13&lt;inputs!$I$17, (((inputs!$P$13/(V413/MAX(K413:S413)))^(1/inputs!$O$13))-1)/inputs!$N$13, inputs!$I$17))</f>
        <v>186.461648770023</v>
      </c>
      <c r="U413" s="63">
        <f>IF((((inputs!$P$13/(X413/MAX(K413:S413)))^(1/inputs!$O$13))-1)/inputs!$N$13&lt;0, 0, IF((((inputs!$P$13/(X413/MAX(K413:S413)))^(1/inputs!$O$13))-1)/inputs!$N$13&lt;inputs!$I$17, (((inputs!$P$13/(X413/MAX(K413:S413)))^(1/inputs!$O$13))-1)/inputs!$N$13, inputs!$I$17))</f>
        <v>3.7396747235399403</v>
      </c>
      <c r="V413" s="54">
        <f>inputs!$E$70*(inputs!$F$70/F413)^(0.25)</f>
        <v>0.99872179447440346</v>
      </c>
      <c r="W413" s="54">
        <f>inputs!$E$76*(inputs!$F$76/F413)^(0.25)</f>
        <v>0.30039667880058618</v>
      </c>
      <c r="X413" s="54">
        <f>inputs!$E$72*(inputs!$F$72/F413)^(0.25)</f>
        <v>44.061255638576625</v>
      </c>
      <c r="Y413" s="54" t="s">
        <v>13</v>
      </c>
      <c r="Z413" s="106">
        <f t="shared" si="42"/>
        <v>81.488017040868826</v>
      </c>
      <c r="AA413" s="106">
        <f t="shared" si="43"/>
        <v>270.92129957016846</v>
      </c>
    </row>
    <row r="414" spans="1:27" x14ac:dyDescent="0.25">
      <c r="A414" s="55" t="s">
        <v>513</v>
      </c>
      <c r="B414" s="49" t="s">
        <v>514</v>
      </c>
      <c r="C414" s="21" t="s">
        <v>61</v>
      </c>
      <c r="D414" s="20" t="s">
        <v>454</v>
      </c>
      <c r="E414" s="20">
        <v>5</v>
      </c>
      <c r="F414" s="21">
        <v>645</v>
      </c>
      <c r="G414" s="21" t="s">
        <v>456</v>
      </c>
      <c r="H414" s="21">
        <v>0.68</v>
      </c>
      <c r="I414" s="68">
        <f>MAX('Max rate concentrations'!$J$3:$J$368)</f>
        <v>686.46486205830786</v>
      </c>
      <c r="J414" s="68">
        <f>MAX('Max rate concentrations'!AB:AB)</f>
        <v>243.122971978984</v>
      </c>
      <c r="K414" s="70">
        <f t="shared" si="44"/>
        <v>159.3802731307149</v>
      </c>
      <c r="L414" s="70">
        <f t="shared" si="45"/>
        <v>56.44718006712818</v>
      </c>
      <c r="M414" s="70">
        <f>IF((((0.326*F414^0.818)-(0.398*F414^0.85)/(1-H414)*H414)*(MAX('Max rate concentrations'!$P$3:$P$368)))/F414&gt;0, (((0.326*F414^0.818)-(0.398*F414^0.85)/(1-H414)*H414)*(MAX('Max rate concentrations'!$P$3:$P$368)))/F414, 0)</f>
        <v>0</v>
      </c>
      <c r="N414" s="70">
        <f>IF((((0.326*F414^0.818)-(0.398*F414^0.85)/(1-H414)*H414)*(MAX('Max rate concentrations'!$Q$3:$Q$368)))/F414&gt; 0, (((0.326*F414^0.818)-(0.398*F414^0.85)/(1-H414)*H414)*(MAX('Max rate concentrations'!$Q$3:$Q$368)))/F414, 0)</f>
        <v>0</v>
      </c>
      <c r="O414" s="70">
        <f>((MAX('Max rate concentrations'!$F$3:$F$368))*0.62*6.01*8*(12.3*F414^0.65)*0.079*0.1/F414)*inputs!$E$73/inputs!$E$74</f>
        <v>28.130365610404819</v>
      </c>
      <c r="P414" s="70">
        <f>((MAX('Max rate concentrations'!Y:Y))*0.62*6.01*8*(12.3*F414^0.65)*0.079*0.1/F414)*inputs!$E$73/inputs!$E$74</f>
        <v>9.3767885368016071</v>
      </c>
      <c r="Q414" s="70">
        <f>(inputs!$C$18*11.2*(12.3*F414^0.65)*0.5/F414)*inputs!$E$73/inputs!$E$74</f>
        <v>4.9550312232067908</v>
      </c>
      <c r="R414" s="60">
        <f>(60*379*((F414/1000)^0.8)*3*24*(MAX('Max rate concentrations'!$R$3:$R$368))/F414)*(inputs!$E$73/inputs!$E$75)</f>
        <v>1.2050824600358513E-2</v>
      </c>
      <c r="S414" s="60">
        <f>(IF(inputs!$C$17="aerial",((0.025*0.112*inputs!$C$18/3.3)*(3*60*379*((F414/1000)^0.8))*MAX(inputs!$I$14:$I$16))/F414,((0.0083*0.112*inputs!$C$18/1)*(3*60*379*((F414/1000)^0.8))*MAX(inputs!$I$14:$I$16))/F414))*(inputs!E$75/inputs!$E$73)</f>
        <v>6.6461038053265351E-2</v>
      </c>
      <c r="T414" s="63">
        <f>IF((((inputs!$P$13/(V414/MAX(K414:S414)))^(1/inputs!$O$13))-1)/inputs!$N$13&lt;0, 0, IF((((inputs!$P$13/(V414/MAX(K414:S414)))^(1/inputs!$O$13))-1)/inputs!$N$13&lt;inputs!$I$17, (((inputs!$P$13/(V414/MAX(K414:S414)))^(1/inputs!$O$13))-1)/inputs!$N$13, inputs!$I$17))</f>
        <v>324.87201510747275</v>
      </c>
      <c r="U414" s="63">
        <f>IF((((inputs!$P$13/(X414/MAX(K414:S414)))^(1/inputs!$O$13))-1)/inputs!$N$13&lt;0, 0, IF((((inputs!$P$13/(X414/MAX(K414:S414)))^(1/inputs!$O$13))-1)/inputs!$N$13&lt;inputs!$I$17, (((inputs!$P$13/(X414/MAX(K414:S414)))^(1/inputs!$O$13))-1)/inputs!$N$13, inputs!$I$17))</f>
        <v>10.214405482255051</v>
      </c>
      <c r="V414" s="54">
        <f>inputs!$E$70*(inputs!$F$70/F414)^(0.25)</f>
        <v>0.99872179447440346</v>
      </c>
      <c r="W414" s="54">
        <f>inputs!$E$76*(inputs!$F$76/F414)^(0.25)</f>
        <v>0.30039667880058618</v>
      </c>
      <c r="X414" s="54">
        <f>inputs!$E$72*(inputs!$F$72/F414)^(0.25)</f>
        <v>44.061255638576625</v>
      </c>
      <c r="Y414" s="54" t="s">
        <v>13</v>
      </c>
      <c r="Z414" s="106">
        <f t="shared" si="42"/>
        <v>159.58425460675144</v>
      </c>
      <c r="AA414" s="106">
        <f t="shared" si="43"/>
        <v>530.56602944840506</v>
      </c>
    </row>
    <row r="415" spans="1:27" x14ac:dyDescent="0.25">
      <c r="A415" s="55" t="s">
        <v>513</v>
      </c>
      <c r="B415" s="49" t="s">
        <v>514</v>
      </c>
      <c r="C415" s="21" t="s">
        <v>61</v>
      </c>
      <c r="D415" s="20" t="s">
        <v>454</v>
      </c>
      <c r="E415" s="20">
        <v>7572</v>
      </c>
      <c r="F415" s="21">
        <v>645</v>
      </c>
      <c r="G415" s="21" t="s">
        <v>142</v>
      </c>
      <c r="H415" s="21">
        <v>0.69</v>
      </c>
      <c r="I415" s="68">
        <f>MAX('Max rate concentrations'!$H$3:$H$368)</f>
        <v>282</v>
      </c>
      <c r="J415" s="68">
        <f>MAX('Max rate concentrations'!AA:AA)</f>
        <v>195</v>
      </c>
      <c r="K415" s="70">
        <f t="shared" si="44"/>
        <v>67.585518127360444</v>
      </c>
      <c r="L415" s="70">
        <f t="shared" si="45"/>
        <v>46.734666790196059</v>
      </c>
      <c r="M415" s="70">
        <f>IF((((0.326*F415^0.818)-(0.398*F415^0.85)/(1-H415)*H415)*(MAX('Max rate concentrations'!$P$3:$P$368)))/F415&gt;0, (((0.326*F415^0.818)-(0.398*F415^0.85)/(1-H415)*H415)*(MAX('Max rate concentrations'!$P$3:$P$368)))/F415, 0)</f>
        <v>0</v>
      </c>
      <c r="N415" s="70">
        <f>IF((((0.326*F415^0.818)-(0.398*F415^0.85)/(1-H415)*H415)*(MAX('Max rate concentrations'!$Q$3:$Q$368)))/F415&gt; 0, (((0.326*F415^0.818)-(0.398*F415^0.85)/(1-H415)*H415)*(MAX('Max rate concentrations'!$Q$3:$Q$368)))/F415, 0)</f>
        <v>0</v>
      </c>
      <c r="O415" s="70">
        <f>((MAX('Max rate concentrations'!$F$3:$F$368))*0.62*6.01*8*(12.3*F415^0.65)*0.079*0.1/F415)*inputs!$E$73/inputs!$E$74</f>
        <v>28.130365610404819</v>
      </c>
      <c r="P415" s="70">
        <f>((MAX('Max rate concentrations'!Y:Y))*0.62*6.01*8*(12.3*F415^0.65)*0.079*0.1/F415)*inputs!$E$73/inputs!$E$74</f>
        <v>9.3767885368016071</v>
      </c>
      <c r="Q415" s="70">
        <f>(inputs!$C$18*11.2*(12.3*F415^0.65)*0.5/F415)*inputs!$E$73/inputs!$E$74</f>
        <v>4.9550312232067908</v>
      </c>
      <c r="R415" s="60">
        <f>(60*379*((F415/1000)^0.8)*3*24*(MAX('Max rate concentrations'!$R$3:$R$368))/F415)*(inputs!$E$73/inputs!$E$75)</f>
        <v>1.2050824600358513E-2</v>
      </c>
      <c r="S415" s="60">
        <f>(IF(inputs!$C$17="aerial",((0.025*0.112*inputs!$C$18/3.3)*(3*60*379*((F415/1000)^0.8))*MAX(inputs!$I$14:$I$16))/F415,((0.0083*0.112*inputs!$C$18/1)*(3*60*379*((F415/1000)^0.8))*MAX(inputs!$I$14:$I$16))/F415))*(inputs!E$75/inputs!$E$73)</f>
        <v>6.6461038053265351E-2</v>
      </c>
      <c r="T415" s="63">
        <f>IF((((inputs!$P$13/(V415/MAX(K415:S415)))^(1/inputs!$O$13))-1)/inputs!$N$13&lt;0, 0, IF((((inputs!$P$13/(V415/MAX(K415:S415)))^(1/inputs!$O$13))-1)/inputs!$N$13&lt;inputs!$I$17, (((inputs!$P$13/(V415/MAX(K415:S415)))^(1/inputs!$O$13))-1)/inputs!$N$13, inputs!$I$17))</f>
        <v>159.72177675391407</v>
      </c>
      <c r="U415" s="63">
        <f>IF((((inputs!$P$13/(X415/MAX(K415:S415)))^(1/inputs!$O$13))-1)/inputs!$N$13&lt;0, 0, IF((((inputs!$P$13/(X415/MAX(K415:S415)))^(1/inputs!$O$13))-1)/inputs!$N$13&lt;inputs!$I$17, (((inputs!$P$13/(X415/MAX(K415:S415)))^(1/inputs!$O$13))-1)/inputs!$N$13, inputs!$I$17))</f>
        <v>2.4888040235469999</v>
      </c>
      <c r="V415" s="54">
        <f>inputs!$E$70*(inputs!$F$70/F415)^(0.25)</f>
        <v>0.99872179447440346</v>
      </c>
      <c r="W415" s="54">
        <f>inputs!$E$76*(inputs!$F$76/F415)^(0.25)</f>
        <v>0.30039667880058618</v>
      </c>
      <c r="X415" s="54">
        <f>inputs!$E$72*(inputs!$F$72/F415)^(0.25)</f>
        <v>44.061255638576625</v>
      </c>
      <c r="Y415" s="54" t="s">
        <v>13</v>
      </c>
      <c r="Z415" s="106">
        <f t="shared" si="42"/>
        <v>67.672016873256098</v>
      </c>
      <c r="AA415" s="106">
        <f t="shared" si="43"/>
        <v>224.98756776277835</v>
      </c>
    </row>
    <row r="416" spans="1:27" x14ac:dyDescent="0.25">
      <c r="A416" s="55" t="s">
        <v>513</v>
      </c>
      <c r="B416" s="49" t="s">
        <v>514</v>
      </c>
      <c r="C416" s="21" t="s">
        <v>61</v>
      </c>
      <c r="D416" s="20" t="s">
        <v>454</v>
      </c>
      <c r="E416" s="20">
        <v>7572</v>
      </c>
      <c r="F416" s="21">
        <v>645</v>
      </c>
      <c r="G416" s="21" t="s">
        <v>138</v>
      </c>
      <c r="H416" s="21">
        <v>0.68</v>
      </c>
      <c r="I416" s="68">
        <f>MAX('Max rate concentrations'!$L$3:$L$368)</f>
        <v>350.52744091332482</v>
      </c>
      <c r="J416" s="68">
        <f>MAX('Max rate concentrations'!AD:AD)</f>
        <v>242.38599637623525</v>
      </c>
      <c r="K416" s="70">
        <f t="shared" si="44"/>
        <v>81.383858607217277</v>
      </c>
      <c r="L416" s="70">
        <f t="shared" si="45"/>
        <v>56.276072441160885</v>
      </c>
      <c r="M416" s="70">
        <f>IF((((0.326*F416^0.818)-(0.398*F416^0.85)/(1-H416)*H416)*(MAX('Max rate concentrations'!$P$3:$P$368)))/F416&gt;0, (((0.326*F416^0.818)-(0.398*F416^0.85)/(1-H416)*H416)*(MAX('Max rate concentrations'!$P$3:$P$368)))/F416, 0)</f>
        <v>0</v>
      </c>
      <c r="N416" s="70">
        <f>IF((((0.326*F416^0.818)-(0.398*F416^0.85)/(1-H416)*H416)*(MAX('Max rate concentrations'!$Q$3:$Q$368)))/F416&gt; 0, (((0.326*F416^0.818)-(0.398*F416^0.85)/(1-H416)*H416)*(MAX('Max rate concentrations'!$Q$3:$Q$368)))/F416, 0)</f>
        <v>0</v>
      </c>
      <c r="O416" s="70">
        <f>((MAX('Max rate concentrations'!$F$3:$F$368))*0.62*6.01*8*(12.3*F416^0.65)*0.079*0.1/F416)*inputs!$E$73/inputs!$E$74</f>
        <v>28.130365610404819</v>
      </c>
      <c r="P416" s="70">
        <f>((MAX('Max rate concentrations'!Y:Y))*0.62*6.01*8*(12.3*F416^0.65)*0.079*0.1/F416)*inputs!$E$73/inputs!$E$74</f>
        <v>9.3767885368016071</v>
      </c>
      <c r="Q416" s="70">
        <f>(inputs!$C$18*11.2*(12.3*F416^0.65)*0.5/F416)*inputs!$E$73/inputs!$E$74</f>
        <v>4.9550312232067908</v>
      </c>
      <c r="R416" s="60">
        <f>(60*379*((F416/1000)^0.8)*3*24*(MAX('Max rate concentrations'!$R$3:$R$368))/F416)*(inputs!$E$73/inputs!$E$75)</f>
        <v>1.2050824600358513E-2</v>
      </c>
      <c r="S416" s="60">
        <f>(IF(inputs!$C$17="aerial",((0.025*0.112*inputs!$C$18/3.3)*(3*60*379*((F416/1000)^0.8))*MAX(inputs!$I$14:$I$16))/F416,((0.0083*0.112*inputs!$C$18/1)*(3*60*379*((F416/1000)^0.8))*MAX(inputs!$I$14:$I$16))/F416))*(inputs!E$75/inputs!$E$73)</f>
        <v>6.6461038053265351E-2</v>
      </c>
      <c r="T416" s="63">
        <f>IF((((inputs!$P$13/(V416/MAX(K416:S416)))^(1/inputs!$O$13))-1)/inputs!$N$13&lt;0, 0, IF((((inputs!$P$13/(V416/MAX(K416:S416)))^(1/inputs!$O$13))-1)/inputs!$N$13&lt;inputs!$I$17, (((inputs!$P$13/(V416/MAX(K416:S416)))^(1/inputs!$O$13))-1)/inputs!$N$13, inputs!$I$17))</f>
        <v>186.461648770023</v>
      </c>
      <c r="U416" s="63">
        <f>IF((((inputs!$P$13/(X416/MAX(K416:S416)))^(1/inputs!$O$13))-1)/inputs!$N$13&lt;0, 0, IF((((inputs!$P$13/(X416/MAX(K416:S416)))^(1/inputs!$O$13))-1)/inputs!$N$13&lt;inputs!$I$17, (((inputs!$P$13/(X416/MAX(K416:S416)))^(1/inputs!$O$13))-1)/inputs!$N$13, inputs!$I$17))</f>
        <v>3.7396747235399403</v>
      </c>
      <c r="V416" s="54">
        <f>inputs!$E$70*(inputs!$F$70/F416)^(0.25)</f>
        <v>0.99872179447440346</v>
      </c>
      <c r="W416" s="54">
        <f>inputs!$E$76*(inputs!$F$76/F416)^(0.25)</f>
        <v>0.30039667880058618</v>
      </c>
      <c r="X416" s="54">
        <f>inputs!$E$72*(inputs!$F$72/F416)^(0.25)</f>
        <v>44.061255638576625</v>
      </c>
      <c r="Y416" s="54" t="s">
        <v>13</v>
      </c>
      <c r="Z416" s="106">
        <f t="shared" si="42"/>
        <v>81.488017040868826</v>
      </c>
      <c r="AA416" s="106">
        <f t="shared" si="43"/>
        <v>270.92129957016846</v>
      </c>
    </row>
    <row r="417" spans="1:27" x14ac:dyDescent="0.25">
      <c r="A417" s="55" t="s">
        <v>513</v>
      </c>
      <c r="B417" s="49" t="s">
        <v>514</v>
      </c>
      <c r="C417" s="21" t="s">
        <v>61</v>
      </c>
      <c r="D417" s="20" t="s">
        <v>454</v>
      </c>
      <c r="E417" s="20">
        <v>7572</v>
      </c>
      <c r="F417" s="21">
        <v>645</v>
      </c>
      <c r="G417" s="21" t="s">
        <v>456</v>
      </c>
      <c r="H417" s="21">
        <v>0.68</v>
      </c>
      <c r="I417" s="68">
        <f>MAX('Max rate concentrations'!$J$3:$J$368)</f>
        <v>686.46486205830786</v>
      </c>
      <c r="J417" s="68">
        <f>MAX('Max rate concentrations'!AB:AB)</f>
        <v>243.122971978984</v>
      </c>
      <c r="K417" s="70">
        <f t="shared" si="44"/>
        <v>159.3802731307149</v>
      </c>
      <c r="L417" s="70">
        <f t="shared" si="45"/>
        <v>56.44718006712818</v>
      </c>
      <c r="M417" s="70">
        <f>IF((((0.326*F417^0.818)-(0.398*F417^0.85)/(1-H417)*H417)*(MAX('Max rate concentrations'!$P$3:$P$368)))/F417&gt;0, (((0.326*F417^0.818)-(0.398*F417^0.85)/(1-H417)*H417)*(MAX('Max rate concentrations'!$P$3:$P$368)))/F417, 0)</f>
        <v>0</v>
      </c>
      <c r="N417" s="70">
        <f>IF((((0.326*F417^0.818)-(0.398*F417^0.85)/(1-H417)*H417)*(MAX('Max rate concentrations'!$Q$3:$Q$368)))/F417&gt; 0, (((0.326*F417^0.818)-(0.398*F417^0.85)/(1-H417)*H417)*(MAX('Max rate concentrations'!$Q$3:$Q$368)))/F417, 0)</f>
        <v>0</v>
      </c>
      <c r="O417" s="70">
        <f>((MAX('Max rate concentrations'!$F$3:$F$368))*0.62*6.01*8*(12.3*F417^0.65)*0.079*0.1/F417)*inputs!$E$73/inputs!$E$74</f>
        <v>28.130365610404819</v>
      </c>
      <c r="P417" s="70">
        <f>((MAX('Max rate concentrations'!Y:Y))*0.62*6.01*8*(12.3*F417^0.65)*0.079*0.1/F417)*inputs!$E$73/inputs!$E$74</f>
        <v>9.3767885368016071</v>
      </c>
      <c r="Q417" s="70">
        <f>(inputs!$C$18*11.2*(12.3*F417^0.65)*0.5/F417)*inputs!$E$73/inputs!$E$74</f>
        <v>4.9550312232067908</v>
      </c>
      <c r="R417" s="60">
        <f>(60*379*((F417/1000)^0.8)*3*24*(MAX('Max rate concentrations'!$R$3:$R$368))/F417)*(inputs!$E$73/inputs!$E$75)</f>
        <v>1.2050824600358513E-2</v>
      </c>
      <c r="S417" s="60">
        <f>(IF(inputs!$C$17="aerial",((0.025*0.112*inputs!$C$18/3.3)*(3*60*379*((F417/1000)^0.8))*MAX(inputs!$I$14:$I$16))/F417,((0.0083*0.112*inputs!$C$18/1)*(3*60*379*((F417/1000)^0.8))*MAX(inputs!$I$14:$I$16))/F417))*(inputs!E$75/inputs!$E$73)</f>
        <v>6.6461038053265351E-2</v>
      </c>
      <c r="T417" s="63">
        <f>IF((((inputs!$P$13/(V417/MAX(K417:S417)))^(1/inputs!$O$13))-1)/inputs!$N$13&lt;0, 0, IF((((inputs!$P$13/(V417/MAX(K417:S417)))^(1/inputs!$O$13))-1)/inputs!$N$13&lt;inputs!$I$17, (((inputs!$P$13/(V417/MAX(K417:S417)))^(1/inputs!$O$13))-1)/inputs!$N$13, inputs!$I$17))</f>
        <v>324.87201510747275</v>
      </c>
      <c r="U417" s="63">
        <f>IF((((inputs!$P$13/(X417/MAX(K417:S417)))^(1/inputs!$O$13))-1)/inputs!$N$13&lt;0, 0, IF((((inputs!$P$13/(X417/MAX(K417:S417)))^(1/inputs!$O$13))-1)/inputs!$N$13&lt;inputs!$I$17, (((inputs!$P$13/(X417/MAX(K417:S417)))^(1/inputs!$O$13))-1)/inputs!$N$13, inputs!$I$17))</f>
        <v>10.214405482255051</v>
      </c>
      <c r="V417" s="54">
        <f>inputs!$E$70*(inputs!$F$70/F417)^(0.25)</f>
        <v>0.99872179447440346</v>
      </c>
      <c r="W417" s="54">
        <f>inputs!$E$76*(inputs!$F$76/F417)^(0.25)</f>
        <v>0.30039667880058618</v>
      </c>
      <c r="X417" s="54">
        <f>inputs!$E$72*(inputs!$F$72/F417)^(0.25)</f>
        <v>44.061255638576625</v>
      </c>
      <c r="Y417" s="54" t="s">
        <v>13</v>
      </c>
      <c r="Z417" s="106">
        <f t="shared" si="42"/>
        <v>159.58425460675144</v>
      </c>
      <c r="AA417" s="106">
        <f t="shared" si="43"/>
        <v>530.56602944840506</v>
      </c>
    </row>
    <row r="418" spans="1:27" x14ac:dyDescent="0.25">
      <c r="A418" s="55" t="s">
        <v>503</v>
      </c>
      <c r="B418" s="49" t="s">
        <v>504</v>
      </c>
      <c r="C418" s="21" t="s">
        <v>61</v>
      </c>
      <c r="D418" s="20" t="s">
        <v>454</v>
      </c>
      <c r="E418" s="20">
        <v>24</v>
      </c>
      <c r="F418" s="21">
        <v>8000</v>
      </c>
      <c r="G418" s="21" t="s">
        <v>138</v>
      </c>
      <c r="H418" s="21">
        <v>0.68</v>
      </c>
      <c r="I418" s="68">
        <f>MAX('Max rate concentrations'!$L$3:$L$368)</f>
        <v>350.52744091332482</v>
      </c>
      <c r="J418" s="68">
        <f>MAX('Max rate concentrations'!AD:AD)</f>
        <v>242.38599637623525</v>
      </c>
      <c r="K418" s="70">
        <f t="shared" si="44"/>
        <v>51.986417287323569</v>
      </c>
      <c r="L418" s="70">
        <f t="shared" si="45"/>
        <v>35.948054507191827</v>
      </c>
      <c r="M418" s="70">
        <f>IF((((0.326*F418^0.818)-(0.398*F418^0.85)/(1-H418)*H418)*(MAX('Max rate concentrations'!$P$3:$P$368)))/F418&gt;0, (((0.326*F418^0.818)-(0.398*F418^0.85)/(1-H418)*H418)*(MAX('Max rate concentrations'!$P$3:$P$368)))/F418, 0)</f>
        <v>0</v>
      </c>
      <c r="N418" s="70">
        <f>IF((((0.326*F418^0.818)-(0.398*F418^0.85)/(1-H418)*H418)*(MAX('Max rate concentrations'!$Q$3:$Q$368)))/F418&gt; 0, (((0.326*F418^0.818)-(0.398*F418^0.85)/(1-H418)*H418)*(MAX('Max rate concentrations'!$Q$3:$Q$368)))/F418, 0)</f>
        <v>0</v>
      </c>
      <c r="O418" s="70">
        <f>((MAX('Max rate concentrations'!$F$3:$F$368))*0.62*6.01*8*(12.3*F418^0.65)*0.079*0.1/F418)*inputs!$E$73/inputs!$E$74</f>
        <v>11.653054601931151</v>
      </c>
      <c r="P418" s="70">
        <f>((MAX('Max rate concentrations'!Y:Y))*0.62*6.01*8*(12.3*F418^0.65)*0.079*0.1/F418)*inputs!$E$73/inputs!$E$74</f>
        <v>3.8843515339770507</v>
      </c>
      <c r="Q418" s="70">
        <f>(inputs!$C$18*11.2*(12.3*F418^0.65)*0.5/F418)*inputs!$E$73/inputs!$E$74</f>
        <v>2.0526306055881895</v>
      </c>
      <c r="R418" s="60">
        <f>(60*379*((F418/1000)^0.8)*3*24*(MAX('Max rate concentrations'!$R$3:$R$368))/F418)*(inputs!$E$73/inputs!$E$75)</f>
        <v>7.2830067233142746E-3</v>
      </c>
      <c r="S418" s="60">
        <f>(IF(inputs!$C$17="aerial",((0.025*0.112*inputs!$C$18/3.3)*(3*60*379*((F418/1000)^0.8))*MAX(inputs!$I$14:$I$16))/F418,((0.0083*0.112*inputs!$C$18/1)*(3*60*379*((F418/1000)^0.8))*MAX(inputs!$I$14:$I$16))/F418))*(inputs!E$75/inputs!$E$73)</f>
        <v>4.0166229534697347E-2</v>
      </c>
      <c r="T418" s="63">
        <f>IF((((inputs!$P$13/(V418/MAX(K418:S418)))^(1/inputs!$O$13))-1)/inputs!$N$13&lt;0, 0, IF((((inputs!$P$13/(V418/MAX(K418:S418)))^(1/inputs!$O$13))-1)/inputs!$N$13&lt;inputs!$I$17, (((inputs!$P$13/(V418/MAX(K418:S418)))^(1/inputs!$O$13))-1)/inputs!$N$13, inputs!$I$17))</f>
        <v>216.7287507490947</v>
      </c>
      <c r="U418" s="63">
        <f>IF((((inputs!$P$13/(X418/MAX(K418:S418)))^(1/inputs!$O$13))-1)/inputs!$N$13&lt;0, 0, IF((((inputs!$P$13/(X418/MAX(K418:S418)))^(1/inputs!$O$13))-1)/inputs!$N$13&lt;inputs!$I$17, (((inputs!$P$13/(X418/MAX(K418:S418)))^(1/inputs!$O$13))-1)/inputs!$N$13, inputs!$I$17))</f>
        <v>5.1555465353612986</v>
      </c>
      <c r="V418" s="54">
        <f>inputs!$E$70*(inputs!$F$70/F418)^(0.25)</f>
        <v>0.53218417864494993</v>
      </c>
      <c r="W418" s="54">
        <f>inputs!$E$76*(inputs!$F$76/F418)^(0.25)</f>
        <v>0.16007096336502152</v>
      </c>
      <c r="X418" s="54">
        <f>inputs!$E$72*(inputs!$F$72/F418)^(0.25)</f>
        <v>23.478713763747795</v>
      </c>
      <c r="Y418" s="54" t="s">
        <v>13</v>
      </c>
      <c r="Z418" s="106">
        <f t="shared" si="42"/>
        <v>97.685010891702291</v>
      </c>
      <c r="AA418" s="106">
        <f t="shared" si="43"/>
        <v>324.77106524794971</v>
      </c>
    </row>
    <row r="419" spans="1:27" x14ac:dyDescent="0.25">
      <c r="A419" s="55" t="s">
        <v>503</v>
      </c>
      <c r="B419" s="49" t="s">
        <v>504</v>
      </c>
      <c r="C419" s="21" t="s">
        <v>61</v>
      </c>
      <c r="D419" s="20" t="s">
        <v>454</v>
      </c>
      <c r="E419" s="20">
        <v>24</v>
      </c>
      <c r="F419" s="21">
        <v>8000</v>
      </c>
      <c r="G419" s="21" t="s">
        <v>218</v>
      </c>
      <c r="H419" s="21">
        <v>0.68</v>
      </c>
      <c r="I419" s="68">
        <f>MAX('Max rate concentrations'!$K$3:$K$368)</f>
        <v>110.00035859694511</v>
      </c>
      <c r="J419" s="68">
        <f>MAX('Max rate concentrations'!AC:AC)</f>
        <v>38.958460336418057</v>
      </c>
      <c r="K419" s="70">
        <f t="shared" si="44"/>
        <v>16.314056693752665</v>
      </c>
      <c r="L419" s="70">
        <f t="shared" si="45"/>
        <v>5.7778950790374015</v>
      </c>
      <c r="M419" s="70">
        <f>IF((((0.326*F419^0.818)-(0.398*F419^0.85)/(1-H419)*H419)*(MAX('Max rate concentrations'!$P$3:$P$368)))/F419&gt;0, (((0.326*F419^0.818)-(0.398*F419^0.85)/(1-H419)*H419)*(MAX('Max rate concentrations'!$P$3:$P$368)))/F419, 0)</f>
        <v>0</v>
      </c>
      <c r="N419" s="70">
        <f>IF((((0.326*F419^0.818)-(0.398*F419^0.85)/(1-H419)*H419)*(MAX('Max rate concentrations'!$Q$3:$Q$368)))/F419&gt; 0, (((0.326*F419^0.818)-(0.398*F419^0.85)/(1-H419)*H419)*(MAX('Max rate concentrations'!$Q$3:$Q$368)))/F419, 0)</f>
        <v>0</v>
      </c>
      <c r="O419" s="70">
        <f>((MAX('Max rate concentrations'!$F$3:$F$368))*0.62*6.01*8*(12.3*F419^0.65)*0.079*0.1/F419)*inputs!$E$73/inputs!$E$74</f>
        <v>11.653054601931151</v>
      </c>
      <c r="P419" s="70">
        <f>((MAX('Max rate concentrations'!Y:Y))*0.62*6.01*8*(12.3*F419^0.65)*0.079*0.1/F419)*inputs!$E$73/inputs!$E$74</f>
        <v>3.8843515339770507</v>
      </c>
      <c r="Q419" s="70">
        <f>(inputs!$C$18*11.2*(12.3*F419^0.65)*0.5/F419)*inputs!$E$73/inputs!$E$74</f>
        <v>2.0526306055881895</v>
      </c>
      <c r="R419" s="60">
        <f>(60*379*((F419/1000)^0.8)*3*24*(MAX('Max rate concentrations'!$R$3:$R$368))/F419)*(inputs!$E$73/inputs!$E$75)</f>
        <v>7.2830067233142746E-3</v>
      </c>
      <c r="S419" s="60">
        <f>(IF(inputs!$C$17="aerial",((0.025*0.112*inputs!$C$18/3.3)*(3*60*379*((F419/1000)^0.8))*MAX(inputs!$I$14:$I$16))/F419,((0.0083*0.112*inputs!$C$18/1)*(3*60*379*((F419/1000)^0.8))*MAX(inputs!$I$14:$I$16))/F419))*(inputs!E$75/inputs!$E$73)</f>
        <v>4.0166229534697347E-2</v>
      </c>
      <c r="T419" s="63">
        <f>IF((((inputs!$P$13/(V419/MAX(K419:S419)))^(1/inputs!$O$13))-1)/inputs!$N$13&lt;0, 0, IF((((inputs!$P$13/(V419/MAX(K419:S419)))^(1/inputs!$O$13))-1)/inputs!$N$13&lt;inputs!$I$17, (((inputs!$P$13/(V419/MAX(K419:S419)))^(1/inputs!$O$13))-1)/inputs!$N$13, inputs!$I$17))</f>
        <v>81.716988678210427</v>
      </c>
      <c r="U419" s="63">
        <f>IF((((inputs!$P$13/(X419/MAX(K419:S419)))^(1/inputs!$O$13))-1)/inputs!$N$13&lt;0, 0, IF((((inputs!$P$13/(X419/MAX(K419:S419)))^(1/inputs!$O$13))-1)/inputs!$N$13&lt;inputs!$I$17, (((inputs!$P$13/(X419/MAX(K419:S419)))^(1/inputs!$O$13))-1)/inputs!$N$13, inputs!$I$17))</f>
        <v>0</v>
      </c>
      <c r="V419" s="54">
        <f>inputs!$E$70*(inputs!$F$70/F419)^(0.25)</f>
        <v>0.53218417864494993</v>
      </c>
      <c r="W419" s="54">
        <f>inputs!$E$76*(inputs!$F$76/F419)^(0.25)</f>
        <v>0.16007096336502152</v>
      </c>
      <c r="X419" s="54">
        <f>inputs!$E$72*(inputs!$F$72/F419)^(0.25)</f>
        <v>23.478713763747795</v>
      </c>
      <c r="Y419" s="54" t="s">
        <v>13</v>
      </c>
      <c r="Z419" s="106">
        <f t="shared" si="42"/>
        <v>30.654907357996997</v>
      </c>
      <c r="AA419" s="106">
        <f t="shared" si="43"/>
        <v>101.9176517139497</v>
      </c>
    </row>
    <row r="420" spans="1:27" x14ac:dyDescent="0.25">
      <c r="A420" s="55" t="s">
        <v>503</v>
      </c>
      <c r="B420" s="49" t="s">
        <v>504</v>
      </c>
      <c r="C420" s="21" t="s">
        <v>61</v>
      </c>
      <c r="D420" s="20" t="s">
        <v>454</v>
      </c>
      <c r="E420" s="20">
        <v>24</v>
      </c>
      <c r="F420" s="21">
        <v>8000</v>
      </c>
      <c r="G420" s="21" t="s">
        <v>186</v>
      </c>
      <c r="H420" s="21">
        <v>0.75</v>
      </c>
      <c r="I420" s="68">
        <f>inputs!$C$66*inputs!$C$64/1000</f>
        <v>21.3</v>
      </c>
      <c r="J420" s="68">
        <f>inputs!$C$66*inputs!$C$63/1000</f>
        <v>8.8000000000000007</v>
      </c>
      <c r="K420" s="70">
        <f t="shared" si="44"/>
        <v>4.0434999246522914</v>
      </c>
      <c r="L420" s="70">
        <f t="shared" si="45"/>
        <v>1.670553959480759</v>
      </c>
      <c r="M420" s="70">
        <f>IF((((0.326*F420^0.818)-(0.398*F420^0.85)/(1-H420)*H420)*(MAX('Max rate concentrations'!$P$3:$P$368)))/F420&gt;0, (((0.326*F420^0.818)-(0.398*F420^0.85)/(1-H420)*H420)*(MAX('Max rate concentrations'!$P$3:$P$368)))/F420, 0)</f>
        <v>0</v>
      </c>
      <c r="N420" s="70">
        <f>IF((((0.326*F420^0.818)-(0.398*F420^0.85)/(1-H420)*H420)*(MAX('Max rate concentrations'!$Q$3:$Q$368)))/F420&gt; 0, (((0.326*F420^0.818)-(0.398*F420^0.85)/(1-H420)*H420)*(MAX('Max rate concentrations'!$Q$3:$Q$368)))/F420, 0)</f>
        <v>0</v>
      </c>
      <c r="O420" s="70">
        <f>((MAX('Max rate concentrations'!$F$3:$F$368))*0.62*6.01*8*(12.3*F420^0.65)*0.079*0.1/F420)*inputs!$E$73/inputs!$E$74</f>
        <v>11.653054601931151</v>
      </c>
      <c r="P420" s="70">
        <f>((MAX('Max rate concentrations'!Y:Y))*0.62*6.01*8*(12.3*F420^0.65)*0.079*0.1/F420)*inputs!$E$73/inputs!$E$74</f>
        <v>3.8843515339770507</v>
      </c>
      <c r="Q420" s="70">
        <f>(inputs!$C$18*11.2*(12.3*F420^0.65)*0.5/F420)*inputs!$E$73/inputs!$E$74</f>
        <v>2.0526306055881895</v>
      </c>
      <c r="R420" s="60">
        <f>(60*379*((F420/1000)^0.8)*3*24*(MAX('Max rate concentrations'!$R$3:$R$368))/F420)*(inputs!$E$73/inputs!$E$75)</f>
        <v>7.2830067233142746E-3</v>
      </c>
      <c r="S420" s="60">
        <f>(IF(inputs!$C$17="aerial",((0.025*0.112*inputs!$C$18/3.3)*(3*60*379*((F420/1000)^0.8))*MAX(inputs!$I$14:$I$16))/F420,((0.0083*0.112*inputs!$C$18/1)*(3*60*379*((F420/1000)^0.8))*MAX(inputs!$I$14:$I$16))/F420))*(inputs!E$75/inputs!$E$73)</f>
        <v>4.0166229534697347E-2</v>
      </c>
      <c r="T420" s="63">
        <f>IF((((inputs!$P$13/(V420/MAX(K420:S420)))^(1/inputs!$O$13))-1)/inputs!$N$13&lt;0, 0, IF((((inputs!$P$13/(V420/MAX(K420:S420)))^(1/inputs!$O$13))-1)/inputs!$N$13&lt;inputs!$I$17, (((inputs!$P$13/(V420/MAX(K420:S420)))^(1/inputs!$O$13))-1)/inputs!$N$13, inputs!$I$17))</f>
        <v>61.006007646700873</v>
      </c>
      <c r="U420" s="63">
        <f>IF((((inputs!$P$13/(X420/MAX(K420:S420)))^(1/inputs!$O$13))-1)/inputs!$N$13&lt;0, 0, IF((((inputs!$P$13/(X420/MAX(K420:S420)))^(1/inputs!$O$13))-1)/inputs!$N$13&lt;inputs!$I$17, (((inputs!$P$13/(X420/MAX(K420:S420)))^(1/inputs!$O$13))-1)/inputs!$N$13, inputs!$I$17))</f>
        <v>0</v>
      </c>
      <c r="V420" s="54">
        <f>inputs!$E$70*(inputs!$F$70/F420)^(0.25)</f>
        <v>0.53218417864494993</v>
      </c>
      <c r="W420" s="54">
        <f>inputs!$E$76*(inputs!$F$76/F420)^(0.25)</f>
        <v>0.16007096336502152</v>
      </c>
      <c r="X420" s="54">
        <f>inputs!$E$72*(inputs!$F$72/F420)^(0.25)</f>
        <v>23.478713763747795</v>
      </c>
      <c r="Y420" s="54" t="s">
        <v>13</v>
      </c>
      <c r="Z420" s="106">
        <f t="shared" si="42"/>
        <v>21.89665734070152</v>
      </c>
      <c r="AA420" s="106">
        <f t="shared" si="43"/>
        <v>72.799303240012605</v>
      </c>
    </row>
    <row r="421" spans="1:27" x14ac:dyDescent="0.25">
      <c r="A421" s="55" t="s">
        <v>503</v>
      </c>
      <c r="B421" s="49" t="s">
        <v>504</v>
      </c>
      <c r="C421" s="21" t="s">
        <v>61</v>
      </c>
      <c r="D421" s="20" t="s">
        <v>454</v>
      </c>
      <c r="E421" s="20">
        <v>24</v>
      </c>
      <c r="F421" s="21">
        <v>8000</v>
      </c>
      <c r="G421" s="21" t="s">
        <v>455</v>
      </c>
      <c r="H421" s="21">
        <v>0.68</v>
      </c>
      <c r="I421" s="71">
        <f>MAX('Max rate concentrations'!$K$3:$K$368)</f>
        <v>110.00035859694511</v>
      </c>
      <c r="J421" s="71">
        <f>MAX('Max rate concentrations'!AC:AC)</f>
        <v>38.958460336418057</v>
      </c>
      <c r="K421" s="70">
        <f t="shared" si="44"/>
        <v>16.314056693752665</v>
      </c>
      <c r="L421" s="70">
        <f t="shared" si="45"/>
        <v>5.7778950790374015</v>
      </c>
      <c r="M421" s="70">
        <f>IF((((0.326*F421^0.818)-(0.398*F421^0.85)/(1-H421)*H421)*(MAX('Max rate concentrations'!$P$3:$P$368)))/F421&gt;0, (((0.326*F421^0.818)-(0.398*F421^0.85)/(1-H421)*H421)*(MAX('Max rate concentrations'!$P$3:$P$368)))/F421, 0)</f>
        <v>0</v>
      </c>
      <c r="N421" s="70">
        <f>IF((((0.326*F421^0.818)-(0.398*F421^0.85)/(1-H421)*H421)*(MAX('Max rate concentrations'!$Q$3:$Q$368)))/F421&gt; 0, (((0.326*F421^0.818)-(0.398*F421^0.85)/(1-H421)*H421)*(MAX('Max rate concentrations'!$Q$3:$Q$368)))/F421, 0)</f>
        <v>0</v>
      </c>
      <c r="O421" s="70">
        <f>((MAX('Max rate concentrations'!$F$3:$F$368))*0.62*6.01*8*(12.3*F421^0.65)*0.079*0.1/F421)*inputs!$E$73/inputs!$E$74</f>
        <v>11.653054601931151</v>
      </c>
      <c r="P421" s="70">
        <f>((MAX('Max rate concentrations'!Y:Y))*0.62*6.01*8*(12.3*F421^0.65)*0.079*0.1/F421)*inputs!$E$73/inputs!$E$74</f>
        <v>3.8843515339770507</v>
      </c>
      <c r="Q421" s="70">
        <f>(inputs!$C$18*11.2*(12.3*F421^0.65)*0.5/F421)*inputs!$E$73/inputs!$E$74</f>
        <v>2.0526306055881895</v>
      </c>
      <c r="R421" s="60">
        <f>(60*379*((F421/1000)^0.8)*3*24*(MAX('Max rate concentrations'!$R$3:$R$368))/F421)*(inputs!$E$73/inputs!$E$75)</f>
        <v>7.2830067233142746E-3</v>
      </c>
      <c r="S421" s="60">
        <f>(IF(inputs!$C$17="aerial",((0.025*0.112*inputs!$C$18/3.3)*(3*60*379*((F421/1000)^0.8))*MAX(inputs!$I$14:$I$16))/F421,((0.0083*0.112*inputs!$C$18/1)*(3*60*379*((F421/1000)^0.8))*MAX(inputs!$I$14:$I$16))/F421))*(inputs!E$75/inputs!$E$73)</f>
        <v>4.0166229534697347E-2</v>
      </c>
      <c r="T421" s="63">
        <f>IF((((inputs!$P$13/(V421/MAX(K421:S421)))^(1/inputs!$O$13))-1)/inputs!$N$13&lt;0, 0, IF((((inputs!$P$13/(V421/MAX(K421:S421)))^(1/inputs!$O$13))-1)/inputs!$N$13&lt;inputs!$I$17, (((inputs!$P$13/(V421/MAX(K421:S421)))^(1/inputs!$O$13))-1)/inputs!$N$13, inputs!$I$17))</f>
        <v>81.716988678210427</v>
      </c>
      <c r="U421" s="63">
        <f>IF((((inputs!$P$13/(X421/MAX(K421:S421)))^(1/inputs!$O$13))-1)/inputs!$N$13&lt;0, 0, IF((((inputs!$P$13/(X421/MAX(K421:S421)))^(1/inputs!$O$13))-1)/inputs!$N$13&lt;inputs!$I$17, (((inputs!$P$13/(X421/MAX(K421:S421)))^(1/inputs!$O$13))-1)/inputs!$N$13, inputs!$I$17))</f>
        <v>0</v>
      </c>
      <c r="V421" s="54">
        <f>inputs!$E$70*(inputs!$F$70/F421)^(0.25)</f>
        <v>0.53218417864494993</v>
      </c>
      <c r="W421" s="54">
        <f>inputs!$E$76*(inputs!$F$76/F421)^(0.25)</f>
        <v>0.16007096336502152</v>
      </c>
      <c r="X421" s="54">
        <f>inputs!$E$72*(inputs!$F$72/F421)^(0.25)</f>
        <v>23.478713763747795</v>
      </c>
      <c r="Y421" s="54" t="s">
        <v>13</v>
      </c>
      <c r="Z421" s="106">
        <f t="shared" si="42"/>
        <v>30.654907357996997</v>
      </c>
      <c r="AA421" s="106">
        <f t="shared" si="43"/>
        <v>101.9176517139497</v>
      </c>
    </row>
    <row r="422" spans="1:27" x14ac:dyDescent="0.25">
      <c r="A422" s="55" t="s">
        <v>503</v>
      </c>
      <c r="B422" s="49" t="s">
        <v>504</v>
      </c>
      <c r="C422" s="21" t="s">
        <v>61</v>
      </c>
      <c r="D422" s="20" t="s">
        <v>454</v>
      </c>
      <c r="E422" s="20">
        <v>24</v>
      </c>
      <c r="F422" s="21">
        <v>8000</v>
      </c>
      <c r="G422" s="21" t="s">
        <v>456</v>
      </c>
      <c r="H422" s="21">
        <v>0.68</v>
      </c>
      <c r="I422" s="68">
        <f>MAX('Max rate concentrations'!$J$3:$J$368)</f>
        <v>686.46486205830786</v>
      </c>
      <c r="J422" s="68">
        <f>MAX('Max rate concentrations'!AB:AB)</f>
        <v>243.122971978984</v>
      </c>
      <c r="K422" s="70">
        <f t="shared" si="44"/>
        <v>101.80900154083091</v>
      </c>
      <c r="L422" s="70">
        <f t="shared" si="45"/>
        <v>36.057354712377609</v>
      </c>
      <c r="M422" s="70">
        <f>IF((((0.326*F422^0.818)-(0.398*F422^0.85)/(1-H422)*H422)*(MAX('Max rate concentrations'!$P$3:$P$368)))/F422&gt;0, (((0.326*F422^0.818)-(0.398*F422^0.85)/(1-H422)*H422)*(MAX('Max rate concentrations'!$P$3:$P$368)))/F422, 0)</f>
        <v>0</v>
      </c>
      <c r="N422" s="70">
        <f>IF((((0.326*F422^0.818)-(0.398*F422^0.85)/(1-H422)*H422)*(MAX('Max rate concentrations'!$Q$3:$Q$368)))/F422&gt; 0, (((0.326*F422^0.818)-(0.398*F422^0.85)/(1-H422)*H422)*(MAX('Max rate concentrations'!$Q$3:$Q$368)))/F422, 0)</f>
        <v>0</v>
      </c>
      <c r="O422" s="70">
        <f>((MAX('Max rate concentrations'!$F$3:$F$368))*0.62*6.01*8*(12.3*F422^0.65)*0.079*0.1/F422)*inputs!$E$73/inputs!$E$74</f>
        <v>11.653054601931151</v>
      </c>
      <c r="P422" s="70">
        <f>((MAX('Max rate concentrations'!Y:Y))*0.62*6.01*8*(12.3*F422^0.65)*0.079*0.1/F422)*inputs!$E$73/inputs!$E$74</f>
        <v>3.8843515339770507</v>
      </c>
      <c r="Q422" s="70">
        <f>(inputs!$C$18*11.2*(12.3*F422^0.65)*0.5/F422)*inputs!$E$73/inputs!$E$74</f>
        <v>2.0526306055881895</v>
      </c>
      <c r="R422" s="60">
        <f>(60*379*((F422/1000)^0.8)*3*24*(MAX('Max rate concentrations'!$R$3:$R$368))/F422)*(inputs!$E$73/inputs!$E$75)</f>
        <v>7.2830067233142746E-3</v>
      </c>
      <c r="S422" s="60">
        <f>(IF(inputs!$C$17="aerial",((0.025*0.112*inputs!$C$18/3.3)*(3*60*379*((F422/1000)^0.8))*MAX(inputs!$I$14:$I$16))/F422,((0.0083*0.112*inputs!$C$18/1)*(3*60*379*((F422/1000)^0.8))*MAX(inputs!$I$14:$I$16))/F422))*(inputs!E$75/inputs!$E$73)</f>
        <v>4.0166229534697347E-2</v>
      </c>
      <c r="T422" s="63">
        <f>IF((((inputs!$P$13/(V422/MAX(K422:S422)))^(1/inputs!$O$13))-1)/inputs!$N$13&lt;0, 0, IF((((inputs!$P$13/(V422/MAX(K422:S422)))^(1/inputs!$O$13))-1)/inputs!$N$13&lt;inputs!$I$17, (((inputs!$P$13/(V422/MAX(K422:S422)))^(1/inputs!$O$13))-1)/inputs!$N$13, inputs!$I$17))</f>
        <v>376.99368251346704</v>
      </c>
      <c r="U422" s="63">
        <f>IF((((inputs!$P$13/(X422/MAX(K422:S422)))^(1/inputs!$O$13))-1)/inputs!$N$13&lt;0, 0, IF((((inputs!$P$13/(X422/MAX(K422:S422)))^(1/inputs!$O$13))-1)/inputs!$N$13&lt;inputs!$I$17, (((inputs!$P$13/(X422/MAX(K422:S422)))^(1/inputs!$O$13))-1)/inputs!$N$13, inputs!$I$17))</f>
        <v>12.652617099485603</v>
      </c>
      <c r="V422" s="54">
        <f>inputs!$E$70*(inputs!$F$70/F422)^(0.25)</f>
        <v>0.53218417864494993</v>
      </c>
      <c r="W422" s="54">
        <f>inputs!$E$76*(inputs!$F$76/F422)^(0.25)</f>
        <v>0.16007096336502152</v>
      </c>
      <c r="X422" s="54">
        <f>inputs!$E$72*(inputs!$F$72/F422)^(0.25)</f>
        <v>23.478713763747795</v>
      </c>
      <c r="Y422" s="54" t="s">
        <v>13</v>
      </c>
      <c r="Z422" s="106">
        <f t="shared" si="42"/>
        <v>191.30407408964601</v>
      </c>
      <c r="AA422" s="106">
        <f t="shared" si="43"/>
        <v>636.02416953453576</v>
      </c>
    </row>
    <row r="423" spans="1:27" x14ac:dyDescent="0.25">
      <c r="A423" s="55" t="s">
        <v>505</v>
      </c>
      <c r="B423" s="49" t="s">
        <v>506</v>
      </c>
      <c r="C423" s="21" t="s">
        <v>61</v>
      </c>
      <c r="D423" s="20" t="s">
        <v>454</v>
      </c>
      <c r="E423" s="20">
        <v>4648</v>
      </c>
      <c r="F423" s="21">
        <v>1500</v>
      </c>
      <c r="G423" s="21" t="s">
        <v>142</v>
      </c>
      <c r="H423" s="21">
        <v>0.69</v>
      </c>
      <c r="I423" s="68">
        <f>MAX('Max rate concentrations'!$H$3:$H$368)</f>
        <v>282</v>
      </c>
      <c r="J423" s="68">
        <f>MAX('Max rate concentrations'!AA:AA)</f>
        <v>195</v>
      </c>
      <c r="K423" s="70">
        <f t="shared" si="44"/>
        <v>58.158210181209746</v>
      </c>
      <c r="L423" s="70">
        <f t="shared" si="45"/>
        <v>40.215783635942906</v>
      </c>
      <c r="M423" s="70">
        <f>IF((((0.326*F423^0.818)-(0.398*F423^0.85)/(1-H423)*H423)*(MAX('Max rate concentrations'!$P$3:$P$368)))/F423&gt;0, (((0.326*F423^0.818)-(0.398*F423^0.85)/(1-H423)*H423)*(MAX('Max rate concentrations'!$P$3:$P$368)))/F423, 0)</f>
        <v>0</v>
      </c>
      <c r="N423" s="70">
        <f>IF((((0.326*F423^0.818)-(0.398*F423^0.85)/(1-H423)*H423)*(MAX('Max rate concentrations'!$Q$3:$Q$368)))/F423&gt; 0, (((0.326*F423^0.818)-(0.398*F423^0.85)/(1-H423)*H423)*(MAX('Max rate concentrations'!$Q$3:$Q$368)))/F423, 0)</f>
        <v>0</v>
      </c>
      <c r="O423" s="70">
        <f>((MAX('Max rate concentrations'!$F$3:$F$368))*0.62*6.01*8*(12.3*F423^0.65)*0.079*0.1/F423)*inputs!$E$73/inputs!$E$74</f>
        <v>20.935789170450438</v>
      </c>
      <c r="P423" s="70">
        <f>((MAX('Max rate concentrations'!Y:Y))*0.62*6.01*8*(12.3*F423^0.65)*0.079*0.1/F423)*inputs!$E$73/inputs!$E$74</f>
        <v>6.9785963901501464</v>
      </c>
      <c r="Q423" s="70">
        <f>(inputs!$C$18*11.2*(12.3*F423^0.65)*0.5/F423)*inputs!$E$73/inputs!$E$74</f>
        <v>3.6877405170904094</v>
      </c>
      <c r="R423" s="60">
        <f>(60*379*((F423/1000)^0.8)*3*24*(MAX('Max rate concentrations'!$R$3:$R$368))/F423)*(inputs!$E$73/inputs!$E$75)</f>
        <v>1.0179125208895511E-2</v>
      </c>
      <c r="S423" s="60">
        <f>(IF(inputs!$C$17="aerial",((0.025*0.112*inputs!$C$18/3.3)*(3*60*379*((F423/1000)^0.8))*MAX(inputs!$I$14:$I$16))/F423,((0.0083*0.112*inputs!$C$18/1)*(3*60*379*((F423/1000)^0.8))*MAX(inputs!$I$14:$I$16))/F423))*(inputs!E$75/inputs!$E$73)</f>
        <v>5.6138500915300898E-2</v>
      </c>
      <c r="T423" s="63">
        <f>IF((((inputs!$P$13/(V423/MAX(K423:S423)))^(1/inputs!$O$13))-1)/inputs!$N$13&lt;0, 0, IF((((inputs!$P$13/(V423/MAX(K423:S423)))^(1/inputs!$O$13))-1)/inputs!$N$13&lt;inputs!$I$17, (((inputs!$P$13/(V423/MAX(K423:S423)))^(1/inputs!$O$13))-1)/inputs!$N$13, inputs!$I$17))</f>
        <v>168.02974102897215</v>
      </c>
      <c r="U423" s="63">
        <f>IF((((inputs!$P$13/(X423/MAX(K423:S423)))^(1/inputs!$O$13))-1)/inputs!$N$13&lt;0, 0, IF((((inputs!$P$13/(X423/MAX(K423:S423)))^(1/inputs!$O$13))-1)/inputs!$N$13&lt;inputs!$I$17, (((inputs!$P$13/(X423/MAX(K423:S423)))^(1/inputs!$O$13))-1)/inputs!$N$13, inputs!$I$17))</f>
        <v>2.8774442190572036</v>
      </c>
      <c r="V423" s="54">
        <f>inputs!$E$70*(inputs!$F$70/F423)^(0.25)</f>
        <v>0.80874506054723039</v>
      </c>
      <c r="W423" s="54">
        <f>inputs!$E$76*(inputs!$F$76/F423)^(0.25)</f>
        <v>0.24325526040274417</v>
      </c>
      <c r="X423" s="54">
        <f>inputs!$E$72*(inputs!$F$72/F423)^(0.25)</f>
        <v>35.679929141789579</v>
      </c>
      <c r="Y423" s="54" t="s">
        <v>13</v>
      </c>
      <c r="Z423" s="106">
        <f t="shared" si="42"/>
        <v>71.911672810536231</v>
      </c>
      <c r="AA423" s="106">
        <f t="shared" si="43"/>
        <v>239.08305244836407</v>
      </c>
    </row>
    <row r="424" spans="1:27" x14ac:dyDescent="0.25">
      <c r="A424" s="55" t="s">
        <v>505</v>
      </c>
      <c r="B424" s="49" t="s">
        <v>506</v>
      </c>
      <c r="C424" s="21" t="s">
        <v>61</v>
      </c>
      <c r="D424" s="20" t="s">
        <v>454</v>
      </c>
      <c r="E424" s="20">
        <v>4648</v>
      </c>
      <c r="F424" s="21">
        <v>1500</v>
      </c>
      <c r="G424" s="21" t="s">
        <v>138</v>
      </c>
      <c r="H424" s="21">
        <v>0.68</v>
      </c>
      <c r="I424" s="68">
        <f>MAX('Max rate concentrations'!$L$3:$L$368)</f>
        <v>350.52744091332482</v>
      </c>
      <c r="J424" s="68">
        <f>MAX('Max rate concentrations'!AD:AD)</f>
        <v>242.38599637623525</v>
      </c>
      <c r="K424" s="70">
        <f t="shared" si="44"/>
        <v>70.031860158519578</v>
      </c>
      <c r="L424" s="70">
        <f t="shared" si="45"/>
        <v>48.426286279827366</v>
      </c>
      <c r="M424" s="70">
        <f>IF((((0.326*F424^0.818)-(0.398*F424^0.85)/(1-H424)*H424)*(MAX('Max rate concentrations'!$P$3:$P$368)))/F424&gt;0, (((0.326*F424^0.818)-(0.398*F424^0.85)/(1-H424)*H424)*(MAX('Max rate concentrations'!$P$3:$P$368)))/F424, 0)</f>
        <v>0</v>
      </c>
      <c r="N424" s="70">
        <f>IF((((0.326*F424^0.818)-(0.398*F424^0.85)/(1-H424)*H424)*(MAX('Max rate concentrations'!$Q$3:$Q$368)))/F424&gt; 0, (((0.326*F424^0.818)-(0.398*F424^0.85)/(1-H424)*H424)*(MAX('Max rate concentrations'!$Q$3:$Q$368)))/F424, 0)</f>
        <v>0</v>
      </c>
      <c r="O424" s="70">
        <f>((MAX('Max rate concentrations'!$F$3:$F$368))*0.62*6.01*8*(12.3*F424^0.65)*0.079*0.1/F424)*inputs!$E$73/inputs!$E$74</f>
        <v>20.935789170450438</v>
      </c>
      <c r="P424" s="70">
        <f>((MAX('Max rate concentrations'!Y:Y))*0.62*6.01*8*(12.3*F424^0.65)*0.079*0.1/F424)*inputs!$E$73/inputs!$E$74</f>
        <v>6.9785963901501464</v>
      </c>
      <c r="Q424" s="70">
        <f>(inputs!$C$18*11.2*(12.3*F424^0.65)*0.5/F424)*inputs!$E$73/inputs!$E$74</f>
        <v>3.6877405170904094</v>
      </c>
      <c r="R424" s="60">
        <f>(60*379*((F424/1000)^0.8)*3*24*(MAX('Max rate concentrations'!$R$3:$R$368))/F424)*(inputs!$E$73/inputs!$E$75)</f>
        <v>1.0179125208895511E-2</v>
      </c>
      <c r="S424" s="60">
        <f>(IF(inputs!$C$17="aerial",((0.025*0.112*inputs!$C$18/3.3)*(3*60*379*((F424/1000)^0.8))*MAX(inputs!$I$14:$I$16))/F424,((0.0083*0.112*inputs!$C$18/1)*(3*60*379*((F424/1000)^0.8))*MAX(inputs!$I$14:$I$16))/F424))*(inputs!E$75/inputs!$E$73)</f>
        <v>5.6138500915300898E-2</v>
      </c>
      <c r="T424" s="63">
        <f>IF((((inputs!$P$13/(V424/MAX(K424:S424)))^(1/inputs!$O$13))-1)/inputs!$N$13&lt;0, 0, IF((((inputs!$P$13/(V424/MAX(K424:S424)))^(1/inputs!$O$13))-1)/inputs!$N$13&lt;inputs!$I$17, (((inputs!$P$13/(V424/MAX(K424:S424)))^(1/inputs!$O$13))-1)/inputs!$N$13, inputs!$I$17))</f>
        <v>196.11641523716537</v>
      </c>
      <c r="U424" s="63">
        <f>IF((((inputs!$P$13/(X424/MAX(K424:S424)))^(1/inputs!$O$13))-1)/inputs!$N$13&lt;0, 0, IF((((inputs!$P$13/(X424/MAX(K424:S424)))^(1/inputs!$O$13))-1)/inputs!$N$13&lt;inputs!$I$17, (((inputs!$P$13/(X424/MAX(K424:S424)))^(1/inputs!$O$13))-1)/inputs!$N$13, inputs!$I$17))</f>
        <v>4.1913172924253637</v>
      </c>
      <c r="V424" s="54">
        <f>inputs!$E$70*(inputs!$F$70/F424)^(0.25)</f>
        <v>0.80874506054723039</v>
      </c>
      <c r="W424" s="54">
        <f>inputs!$E$76*(inputs!$F$76/F424)^(0.25)</f>
        <v>0.24325526040274417</v>
      </c>
      <c r="X424" s="54">
        <f>inputs!$E$72*(inputs!$F$72/F424)^(0.25)</f>
        <v>35.679929141789579</v>
      </c>
      <c r="Y424" s="54" t="s">
        <v>13</v>
      </c>
      <c r="Z424" s="106">
        <f t="shared" si="42"/>
        <v>86.593246221662383</v>
      </c>
      <c r="AA424" s="106">
        <f t="shared" si="43"/>
        <v>287.89453532298432</v>
      </c>
    </row>
    <row r="425" spans="1:27" x14ac:dyDescent="0.25">
      <c r="A425" s="55" t="s">
        <v>505</v>
      </c>
      <c r="B425" s="49" t="s">
        <v>506</v>
      </c>
      <c r="C425" s="21" t="s">
        <v>61</v>
      </c>
      <c r="D425" s="20" t="s">
        <v>454</v>
      </c>
      <c r="E425" s="20">
        <v>4648</v>
      </c>
      <c r="F425" s="21">
        <v>1500</v>
      </c>
      <c r="G425" s="21" t="s">
        <v>456</v>
      </c>
      <c r="H425" s="21">
        <v>0.68</v>
      </c>
      <c r="I425" s="68">
        <f>MAX('Max rate concentrations'!$J$3:$J$368)</f>
        <v>686.46486205830786</v>
      </c>
      <c r="J425" s="68">
        <f>MAX('Max rate concentrations'!AB:AB)</f>
        <v>243.122971978984</v>
      </c>
      <c r="K425" s="70">
        <f t="shared" si="44"/>
        <v>137.14878098600059</v>
      </c>
      <c r="L425" s="70">
        <f t="shared" si="45"/>
        <v>48.573526599208535</v>
      </c>
      <c r="M425" s="70">
        <f>IF((((0.326*F425^0.818)-(0.398*F425^0.85)/(1-H425)*H425)*(MAX('Max rate concentrations'!$P$3:$P$368)))/F425&gt;0, (((0.326*F425^0.818)-(0.398*F425^0.85)/(1-H425)*H425)*(MAX('Max rate concentrations'!$P$3:$P$368)))/F425, 0)</f>
        <v>0</v>
      </c>
      <c r="N425" s="70">
        <f>IF((((0.326*F425^0.818)-(0.398*F425^0.85)/(1-H425)*H425)*(MAX('Max rate concentrations'!$Q$3:$Q$368)))/F425&gt; 0, (((0.326*F425^0.818)-(0.398*F425^0.85)/(1-H425)*H425)*(MAX('Max rate concentrations'!$Q$3:$Q$368)))/F425, 0)</f>
        <v>0</v>
      </c>
      <c r="O425" s="70">
        <f>((MAX('Max rate concentrations'!$F$3:$F$368))*0.62*6.01*8*(12.3*F425^0.65)*0.079*0.1/F425)*inputs!$E$73/inputs!$E$74</f>
        <v>20.935789170450438</v>
      </c>
      <c r="P425" s="70">
        <f>((MAX('Max rate concentrations'!Y:Y))*0.62*6.01*8*(12.3*F425^0.65)*0.079*0.1/F425)*inputs!$E$73/inputs!$E$74</f>
        <v>6.9785963901501464</v>
      </c>
      <c r="Q425" s="70">
        <f>(inputs!$C$18*11.2*(12.3*F425^0.65)*0.5/F425)*inputs!$E$73/inputs!$E$74</f>
        <v>3.6877405170904094</v>
      </c>
      <c r="R425" s="60">
        <f>(60*379*((F425/1000)^0.8)*3*24*(MAX('Max rate concentrations'!$R$3:$R$368))/F425)*(inputs!$E$73/inputs!$E$75)</f>
        <v>1.0179125208895511E-2</v>
      </c>
      <c r="S425" s="60">
        <f>(IF(inputs!$C$17="aerial",((0.025*0.112*inputs!$C$18/3.3)*(3*60*379*((F425/1000)^0.8))*MAX(inputs!$I$14:$I$16))/F425,((0.0083*0.112*inputs!$C$18/1)*(3*60*379*((F425/1000)^0.8))*MAX(inputs!$I$14:$I$16))/F425))*(inputs!E$75/inputs!$E$73)</f>
        <v>5.6138500915300898E-2</v>
      </c>
      <c r="T425" s="63">
        <f>IF((((inputs!$P$13/(V425/MAX(K425:S425)))^(1/inputs!$O$13))-1)/inputs!$N$13&lt;0, 0, IF((((inputs!$P$13/(V425/MAX(K425:S425)))^(1/inputs!$O$13))-1)/inputs!$N$13&lt;inputs!$I$17, (((inputs!$P$13/(V425/MAX(K425:S425)))^(1/inputs!$O$13))-1)/inputs!$N$13, inputs!$I$17))</f>
        <v>341.49807091654571</v>
      </c>
      <c r="U425" s="63">
        <f>IF((((inputs!$P$13/(X425/MAX(K425:S425)))^(1/inputs!$O$13))-1)/inputs!$N$13&lt;0, 0, IF((((inputs!$P$13/(X425/MAX(K425:S425)))^(1/inputs!$O$13))-1)/inputs!$N$13&lt;inputs!$I$17, (((inputs!$P$13/(X425/MAX(K425:S425)))^(1/inputs!$O$13))-1)/inputs!$N$13, inputs!$I$17))</f>
        <v>10.992159618680528</v>
      </c>
      <c r="V425" s="54">
        <f>inputs!$E$70*(inputs!$F$70/F425)^(0.25)</f>
        <v>0.80874506054723039</v>
      </c>
      <c r="W425" s="54">
        <f>inputs!$E$76*(inputs!$F$76/F425)^(0.25)</f>
        <v>0.24325526040274417</v>
      </c>
      <c r="X425" s="54">
        <f>inputs!$E$72*(inputs!$F$72/F425)^(0.25)</f>
        <v>35.679929141789579</v>
      </c>
      <c r="Y425" s="54" t="s">
        <v>13</v>
      </c>
      <c r="Z425" s="106">
        <f t="shared" si="42"/>
        <v>169.58221777972906</v>
      </c>
      <c r="AA425" s="106">
        <f t="shared" si="43"/>
        <v>563.80602318293552</v>
      </c>
    </row>
    <row r="426" spans="1:27" x14ac:dyDescent="0.25">
      <c r="A426" s="55" t="s">
        <v>505</v>
      </c>
      <c r="B426" s="49" t="s">
        <v>506</v>
      </c>
      <c r="C426" s="21" t="s">
        <v>61</v>
      </c>
      <c r="D426" s="20" t="s">
        <v>454</v>
      </c>
      <c r="E426" s="20">
        <v>4648</v>
      </c>
      <c r="F426" s="21">
        <v>1500</v>
      </c>
      <c r="G426" s="21" t="s">
        <v>145</v>
      </c>
      <c r="H426" s="21">
        <v>0.66</v>
      </c>
      <c r="I426" s="68">
        <f>MAX('Max rate concentrations'!$M$3:$M$368)</f>
        <v>17.092910873809167</v>
      </c>
      <c r="J426" s="68">
        <f>MAX('Max rate concentrations'!AE:AE)</f>
        <v>11.81956602976166</v>
      </c>
      <c r="K426" s="70">
        <f t="shared" si="44"/>
        <v>3.214109949878813</v>
      </c>
      <c r="L426" s="70">
        <f t="shared" si="45"/>
        <v>2.222522837682158</v>
      </c>
      <c r="M426" s="70">
        <f>IF((((0.326*F426^0.818)-(0.398*F426^0.85)/(1-H426)*H426)*(MAX('Max rate concentrations'!$P$3:$P$368)))/F426&gt;0, (((0.326*F426^0.818)-(0.398*F426^0.85)/(1-H426)*H426)*(MAX('Max rate concentrations'!$P$3:$P$368)))/F426, 0)</f>
        <v>0</v>
      </c>
      <c r="N426" s="70">
        <f>IF((((0.326*F426^0.818)-(0.398*F426^0.85)/(1-H426)*H426)*(MAX('Max rate concentrations'!$Q$3:$Q$368)))/F426&gt; 0, (((0.326*F426^0.818)-(0.398*F426^0.85)/(1-H426)*H426)*(MAX('Max rate concentrations'!$Q$3:$Q$368)))/F426, 0)</f>
        <v>0</v>
      </c>
      <c r="O426" s="70">
        <f>((MAX('Max rate concentrations'!$F$3:$F$368))*0.62*6.01*8*(12.3*F426^0.65)*0.079*0.1/F426)*inputs!$E$73/inputs!$E$74</f>
        <v>20.935789170450438</v>
      </c>
      <c r="P426" s="70">
        <f>((MAX('Max rate concentrations'!Y:Y))*0.62*6.01*8*(12.3*F426^0.65)*0.079*0.1/F426)*inputs!$E$73/inputs!$E$74</f>
        <v>6.9785963901501464</v>
      </c>
      <c r="Q426" s="70">
        <f>(inputs!$C$18*11.2*(12.3*F426^0.65)*0.5/F426)*inputs!$E$73/inputs!$E$74</f>
        <v>3.6877405170904094</v>
      </c>
      <c r="R426" s="60">
        <f>(60*379*((F426/1000)^0.8)*3*24*(MAX('Max rate concentrations'!$R$3:$R$368))/F426)*(inputs!$E$73/inputs!$E$75)</f>
        <v>1.0179125208895511E-2</v>
      </c>
      <c r="S426" s="60">
        <f>(IF(inputs!$C$17="aerial",((0.025*0.112*inputs!$C$18/3.3)*(3*60*379*((F426/1000)^0.8))*MAX(inputs!$I$14:$I$16))/F426,((0.0083*0.112*inputs!$C$18/1)*(3*60*379*((F426/1000)^0.8))*MAX(inputs!$I$14:$I$16))/F426))*(inputs!E$75/inputs!$E$73)</f>
        <v>5.6138500915300898E-2</v>
      </c>
      <c r="T426" s="63">
        <f>IF((((inputs!$P$13/(V426/MAX(K426:S426)))^(1/inputs!$O$13))-1)/inputs!$N$13&lt;0, 0, IF((((inputs!$P$13/(V426/MAX(K426:S426)))^(1/inputs!$O$13))-1)/inputs!$N$13&lt;inputs!$I$17, (((inputs!$P$13/(V426/MAX(K426:S426)))^(1/inputs!$O$13))-1)/inputs!$N$13, inputs!$I$17))</f>
        <v>70.607168688686698</v>
      </c>
      <c r="U426" s="63">
        <f>IF((((inputs!$P$13/(X426/MAX(K426:S426)))^(1/inputs!$O$13))-1)/inputs!$N$13&lt;0, 0, IF((((inputs!$P$13/(X426/MAX(K426:S426)))^(1/inputs!$O$13))-1)/inputs!$N$13&lt;inputs!$I$17, (((inputs!$P$13/(X426/MAX(K426:S426)))^(1/inputs!$O$13))-1)/inputs!$N$13, inputs!$I$17))</f>
        <v>0</v>
      </c>
      <c r="V426" s="54">
        <f>inputs!$E$70*(inputs!$F$70/F426)^(0.25)</f>
        <v>0.80874506054723039</v>
      </c>
      <c r="W426" s="54">
        <f>inputs!$E$76*(inputs!$F$76/F426)^(0.25)</f>
        <v>0.24325526040274417</v>
      </c>
      <c r="X426" s="54">
        <f>inputs!$E$72*(inputs!$F$72/F426)^(0.25)</f>
        <v>35.679929141789579</v>
      </c>
      <c r="Y426" s="54" t="s">
        <v>13</v>
      </c>
      <c r="Z426" s="106">
        <f t="shared" si="42"/>
        <v>25.886759860127512</v>
      </c>
      <c r="AA426" s="106">
        <f t="shared" si="43"/>
        <v>86.065103528648137</v>
      </c>
    </row>
    <row r="427" spans="1:27" x14ac:dyDescent="0.25">
      <c r="A427" s="55" t="s">
        <v>557</v>
      </c>
      <c r="B427" s="49" t="s">
        <v>558</v>
      </c>
      <c r="C427" s="21" t="s">
        <v>61</v>
      </c>
      <c r="D427" s="20" t="s">
        <v>454</v>
      </c>
      <c r="E427" s="20">
        <v>8</v>
      </c>
      <c r="F427" s="21">
        <v>34000</v>
      </c>
      <c r="G427" s="21" t="s">
        <v>455</v>
      </c>
      <c r="H427" s="21">
        <v>0.68</v>
      </c>
      <c r="I427" s="71">
        <f>MAX('Max rate concentrations'!$K$3:$K$368)</f>
        <v>110.00035859694511</v>
      </c>
      <c r="J427" s="71">
        <f>MAX('Max rate concentrations'!AC:AC)</f>
        <v>38.958460336418057</v>
      </c>
      <c r="K427" s="70">
        <f t="shared" si="44"/>
        <v>12.60981565692251</v>
      </c>
      <c r="L427" s="70">
        <f t="shared" si="45"/>
        <v>4.465976378493389</v>
      </c>
      <c r="M427" s="70">
        <f>IF((((0.326*F427^0.818)-(0.398*F427^0.85)/(1-H427)*H427)*(MAX('Max rate concentrations'!$P$3:$P$368)))/F427&gt;0, (((0.326*F427^0.818)-(0.398*F427^0.85)/(1-H427)*H427)*(MAX('Max rate concentrations'!$P$3:$P$368)))/F427, 0)</f>
        <v>0</v>
      </c>
      <c r="N427" s="70">
        <f>IF((((0.326*F427^0.818)-(0.398*F427^0.85)/(1-H427)*H427)*(MAX('Max rate concentrations'!$Q$3:$Q$368)))/F427&gt; 0, (((0.326*F427^0.818)-(0.398*F427^0.85)/(1-H427)*H427)*(MAX('Max rate concentrations'!$Q$3:$Q$368)))/F427, 0)</f>
        <v>0</v>
      </c>
      <c r="O427" s="70">
        <f>((MAX('Max rate concentrations'!$F$3:$F$368))*0.62*6.01*8*(12.3*F427^0.65)*0.079*0.1/F427)*inputs!$E$73/inputs!$E$74</f>
        <v>7.022692554046337</v>
      </c>
      <c r="P427" s="70">
        <f>((MAX('Max rate concentrations'!Y:Y))*0.62*6.01*8*(12.3*F427^0.65)*0.079*0.1/F427)*inputs!$E$73/inputs!$E$74</f>
        <v>2.3408975180154452</v>
      </c>
      <c r="Q427" s="70">
        <f>(inputs!$C$18*11.2*(12.3*F427^0.65)*0.5/F427)*inputs!$E$73/inputs!$E$74</f>
        <v>1.23701417031745</v>
      </c>
      <c r="R427" s="60">
        <f>(60*379*((F427/1000)^0.8)*3*24*(MAX('Max rate concentrations'!$R$3:$R$368))/F427)*(inputs!$E$73/inputs!$E$75)</f>
        <v>5.4529676957380379E-3</v>
      </c>
      <c r="S427" s="60">
        <f>(IF(inputs!$C$17="aerial",((0.025*0.112*inputs!$C$18/3.3)*(3*60*379*((F427/1000)^0.8))*MAX(inputs!$I$14:$I$16))/F427,((0.0083*0.112*inputs!$C$18/1)*(3*60*379*((F427/1000)^0.8))*MAX(inputs!$I$14:$I$16))/F427))*(inputs!E$75/inputs!$E$73)</f>
        <v>3.0073451863110744E-2</v>
      </c>
      <c r="T427" s="63">
        <f>IF((((inputs!$P$13/(V427/MAX(K427:S427)))^(1/inputs!$O$13))-1)/inputs!$N$13&lt;0, 0, IF((((inputs!$P$13/(V427/MAX(K427:S427)))^(1/inputs!$O$13))-1)/inputs!$N$13&lt;inputs!$I$17, (((inputs!$P$13/(V427/MAX(K427:S427)))^(1/inputs!$O$13))-1)/inputs!$N$13, inputs!$I$17))</f>
        <v>89.359060539916157</v>
      </c>
      <c r="U427" s="63">
        <f>IF((((inputs!$P$13/(X427/MAX(K427:S427)))^(1/inputs!$O$13))-1)/inputs!$N$13&lt;0, 0, IF((((inputs!$P$13/(X427/MAX(K427:S427)))^(1/inputs!$O$13))-1)/inputs!$N$13&lt;inputs!$I$17, (((inputs!$P$13/(X427/MAX(K427:S427)))^(1/inputs!$O$13))-1)/inputs!$N$13, inputs!$I$17))</f>
        <v>0</v>
      </c>
      <c r="V427" s="54">
        <f>inputs!$E$70*(inputs!$F$70/F427)^(0.25)</f>
        <v>0.37065061641063052</v>
      </c>
      <c r="W427" s="54">
        <f>inputs!$E$76*(inputs!$F$76/F427)^(0.25)</f>
        <v>0.11148471454329224</v>
      </c>
      <c r="X427" s="54">
        <f>inputs!$E$72*(inputs!$F$72/F427)^(0.25)</f>
        <v>16.352233076939584</v>
      </c>
      <c r="Y427" s="54" t="s">
        <v>13</v>
      </c>
      <c r="Z427" s="106">
        <f t="shared" si="42"/>
        <v>34.020759978859843</v>
      </c>
      <c r="AA427" s="106">
        <f t="shared" si="43"/>
        <v>113.10802300189602</v>
      </c>
    </row>
    <row r="428" spans="1:27" x14ac:dyDescent="0.25">
      <c r="A428" s="55" t="s">
        <v>557</v>
      </c>
      <c r="B428" s="49" t="s">
        <v>558</v>
      </c>
      <c r="C428" s="21" t="s">
        <v>61</v>
      </c>
      <c r="D428" s="20" t="s">
        <v>454</v>
      </c>
      <c r="E428" s="20">
        <v>8</v>
      </c>
      <c r="F428" s="21">
        <v>34000</v>
      </c>
      <c r="G428" s="21" t="s">
        <v>145</v>
      </c>
      <c r="H428" s="21">
        <v>0.66</v>
      </c>
      <c r="I428" s="68">
        <f>MAX('Max rate concentrations'!$M$3:$M$368)</f>
        <v>17.092910873809167</v>
      </c>
      <c r="J428" s="68">
        <f>MAX('Max rate concentrations'!AE:AE)</f>
        <v>11.81956602976166</v>
      </c>
      <c r="K428" s="70">
        <f t="shared" si="44"/>
        <v>1.844173283523872</v>
      </c>
      <c r="L428" s="70">
        <f t="shared" si="45"/>
        <v>1.2752262066920395</v>
      </c>
      <c r="M428" s="70">
        <f>IF((((0.326*F428^0.818)-(0.398*F428^0.85)/(1-H428)*H428)*(MAX('Max rate concentrations'!$P$3:$P$368)))/F428&gt;0, (((0.326*F428^0.818)-(0.398*F428^0.85)/(1-H428)*H428)*(MAX('Max rate concentrations'!$P$3:$P$368)))/F428, 0)</f>
        <v>0</v>
      </c>
      <c r="N428" s="70">
        <f>IF((((0.326*F428^0.818)-(0.398*F428^0.85)/(1-H428)*H428)*(MAX('Max rate concentrations'!$Q$3:$Q$368)))/F428&gt; 0, (((0.326*F428^0.818)-(0.398*F428^0.85)/(1-H428)*H428)*(MAX('Max rate concentrations'!$Q$3:$Q$368)))/F428, 0)</f>
        <v>0</v>
      </c>
      <c r="O428" s="70">
        <f>((MAX('Max rate concentrations'!$F$3:$F$368))*0.62*6.01*8*(12.3*F428^0.65)*0.079*0.1/F428)*inputs!$E$73/inputs!$E$74</f>
        <v>7.022692554046337</v>
      </c>
      <c r="P428" s="70">
        <f>((MAX('Max rate concentrations'!Y:Y))*0.62*6.01*8*(12.3*F428^0.65)*0.079*0.1/F428)*inputs!$E$73/inputs!$E$74</f>
        <v>2.3408975180154452</v>
      </c>
      <c r="Q428" s="70">
        <f>(inputs!$C$18*11.2*(12.3*F428^0.65)*0.5/F428)*inputs!$E$73/inputs!$E$74</f>
        <v>1.23701417031745</v>
      </c>
      <c r="R428" s="60">
        <f>(60*379*((F428/1000)^0.8)*3*24*(MAX('Max rate concentrations'!$R$3:$R$368))/F428)*(inputs!$E$73/inputs!$E$75)</f>
        <v>5.4529676957380379E-3</v>
      </c>
      <c r="S428" s="60">
        <f>(IF(inputs!$C$17="aerial",((0.025*0.112*inputs!$C$18/3.3)*(3*60*379*((F428/1000)^0.8))*MAX(inputs!$I$14:$I$16))/F428,((0.0083*0.112*inputs!$C$18/1)*(3*60*379*((F428/1000)^0.8))*MAX(inputs!$I$14:$I$16))/F428))*(inputs!E$75/inputs!$E$73)</f>
        <v>3.0073451863110744E-2</v>
      </c>
      <c r="T428" s="63">
        <f>IF((((inputs!$P$13/(V428/MAX(K428:S428)))^(1/inputs!$O$13))-1)/inputs!$N$13&lt;0, 0, IF((((inputs!$P$13/(V428/MAX(K428:S428)))^(1/inputs!$O$13))-1)/inputs!$N$13&lt;inputs!$I$17, (((inputs!$P$13/(V428/MAX(K428:S428)))^(1/inputs!$O$13))-1)/inputs!$N$13, inputs!$I$17))</f>
        <v>53.692397577738042</v>
      </c>
      <c r="U428" s="63">
        <f>IF((((inputs!$P$13/(X428/MAX(K428:S428)))^(1/inputs!$O$13))-1)/inputs!$N$13&lt;0, 0, IF((((inputs!$P$13/(X428/MAX(K428:S428)))^(1/inputs!$O$13))-1)/inputs!$N$13&lt;inputs!$I$17, (((inputs!$P$13/(X428/MAX(K428:S428)))^(1/inputs!$O$13))-1)/inputs!$N$13, inputs!$I$17))</f>
        <v>0</v>
      </c>
      <c r="V428" s="54">
        <f>inputs!$E$70*(inputs!$F$70/F428)^(0.25)</f>
        <v>0.37065061641063052</v>
      </c>
      <c r="W428" s="54">
        <f>inputs!$E$76*(inputs!$F$76/F428)^(0.25)</f>
        <v>0.11148471454329224</v>
      </c>
      <c r="X428" s="54">
        <f>inputs!$E$72*(inputs!$F$72/F428)^(0.25)</f>
        <v>16.352233076939584</v>
      </c>
      <c r="Y428" s="54" t="s">
        <v>13</v>
      </c>
      <c r="Z428" s="106">
        <f t="shared" si="42"/>
        <v>18.946933427641053</v>
      </c>
      <c r="AA428" s="106">
        <f t="shared" si="43"/>
        <v>62.992425309742828</v>
      </c>
    </row>
    <row r="429" spans="1:27" x14ac:dyDescent="0.25">
      <c r="A429" s="55" t="s">
        <v>452</v>
      </c>
      <c r="B429" s="49" t="s">
        <v>453</v>
      </c>
      <c r="C429" s="21" t="s">
        <v>61</v>
      </c>
      <c r="D429" s="20" t="s">
        <v>454</v>
      </c>
      <c r="E429" s="20">
        <v>11</v>
      </c>
      <c r="F429" s="21">
        <v>17700</v>
      </c>
      <c r="G429" s="21" t="s">
        <v>138</v>
      </c>
      <c r="H429" s="21">
        <v>0.68</v>
      </c>
      <c r="I429" s="68">
        <f>MAX('Max rate concentrations'!$L$3:$L$368)</f>
        <v>350.52744091332482</v>
      </c>
      <c r="J429" s="68">
        <f>MAX('Max rate concentrations'!AD:AD)</f>
        <v>242.38599637623525</v>
      </c>
      <c r="K429" s="70">
        <f t="shared" si="44"/>
        <v>45.133671618499527</v>
      </c>
      <c r="L429" s="70">
        <f t="shared" si="45"/>
        <v>31.209453778749669</v>
      </c>
      <c r="M429" s="70">
        <f>IF((((0.326*F429^0.818)-(0.398*F429^0.85)/(1-H429)*H429)*(MAX('Max rate concentrations'!$P$3:$P$368)))/F429&gt;0, (((0.326*F429^0.818)-(0.398*F429^0.85)/(1-H429)*H429)*(MAX('Max rate concentrations'!$P$3:$P$368)))/F429, 0)</f>
        <v>0</v>
      </c>
      <c r="N429" s="70">
        <f>IF((((0.326*F429^0.818)-(0.398*F429^0.85)/(1-H429)*H429)*(MAX('Max rate concentrations'!$Q$3:$Q$368)))/F429&gt; 0, (((0.326*F429^0.818)-(0.398*F429^0.85)/(1-H429)*H429)*(MAX('Max rate concentrations'!$Q$3:$Q$368)))/F429, 0)</f>
        <v>0</v>
      </c>
      <c r="O429" s="70">
        <f>((MAX('Max rate concentrations'!$F$3:$F$368))*0.62*6.01*8*(12.3*F429^0.65)*0.079*0.1/F429)*inputs!$E$73/inputs!$E$74</f>
        <v>8.8253234964549137</v>
      </c>
      <c r="P429" s="70">
        <f>((MAX('Max rate concentrations'!Y:Y))*0.62*6.01*8*(12.3*F429^0.65)*0.079*0.1/F429)*inputs!$E$73/inputs!$E$74</f>
        <v>2.9417744988183046</v>
      </c>
      <c r="Q429" s="70">
        <f>(inputs!$C$18*11.2*(12.3*F429^0.65)*0.5/F429)*inputs!$E$73/inputs!$E$74</f>
        <v>1.5545391085731188</v>
      </c>
      <c r="R429" s="60">
        <f>(60*379*((F429/1000)^0.8)*3*24*(MAX('Max rate concentrations'!$R$3:$R$368))/F429)*(inputs!$E$73/inputs!$E$75)</f>
        <v>6.2134678423824584E-3</v>
      </c>
      <c r="S429" s="60">
        <f>(IF(inputs!$C$17="aerial",((0.025*0.112*inputs!$C$18/3.3)*(3*60*379*((F429/1000)^0.8))*MAX(inputs!$I$14:$I$16))/F429,((0.0083*0.112*inputs!$C$18/1)*(3*60*379*((F429/1000)^0.8))*MAX(inputs!$I$14:$I$16))/F429))*(inputs!E$75/inputs!$E$73)</f>
        <v>3.4267656895697891E-2</v>
      </c>
      <c r="T429" s="63">
        <f>IF((((inputs!$P$13/(V429/MAX(K429:S429)))^(1/inputs!$O$13))-1)/inputs!$N$13&lt;0, 0, IF((((inputs!$P$13/(V429/MAX(K429:S429)))^(1/inputs!$O$13))-1)/inputs!$N$13&lt;inputs!$I$17, (((inputs!$P$13/(V429/MAX(K429:S429)))^(1/inputs!$O$13))-1)/inputs!$N$13, inputs!$I$17))</f>
        <v>227.23232732254178</v>
      </c>
      <c r="U429" s="63">
        <f>IF((((inputs!$P$13/(X429/MAX(K429:S429)))^(1/inputs!$O$13))-1)/inputs!$N$13&lt;0, 0, IF((((inputs!$P$13/(X429/MAX(K429:S429)))^(1/inputs!$O$13))-1)/inputs!$N$13&lt;inputs!$I$17, (((inputs!$P$13/(X429/MAX(K429:S429)))^(1/inputs!$O$13))-1)/inputs!$N$13, inputs!$I$17))</f>
        <v>5.6468957898731365</v>
      </c>
      <c r="V429" s="54">
        <f>inputs!$E$70*(inputs!$F$70/F429)^(0.25)</f>
        <v>0.43635618827415074</v>
      </c>
      <c r="W429" s="54">
        <f>inputs!$E$76*(inputs!$F$76/F429)^(0.25)</f>
        <v>0.13124771128141996</v>
      </c>
      <c r="X429" s="54">
        <f>inputs!$E$72*(inputs!$F$72/F429)^(0.25)</f>
        <v>19.251008306212533</v>
      </c>
      <c r="Y429" s="54" t="s">
        <v>13</v>
      </c>
      <c r="Z429" s="106">
        <f t="shared" si="42"/>
        <v>103.4330962441703</v>
      </c>
      <c r="AA429" s="106">
        <f t="shared" si="43"/>
        <v>343.88158984139835</v>
      </c>
    </row>
    <row r="430" spans="1:27" x14ac:dyDescent="0.25">
      <c r="A430" s="55" t="s">
        <v>452</v>
      </c>
      <c r="B430" s="49" t="s">
        <v>453</v>
      </c>
      <c r="C430" s="21" t="s">
        <v>61</v>
      </c>
      <c r="D430" s="20" t="s">
        <v>454</v>
      </c>
      <c r="E430" s="20">
        <v>11</v>
      </c>
      <c r="F430" s="21">
        <v>17700</v>
      </c>
      <c r="G430" s="21" t="s">
        <v>186</v>
      </c>
      <c r="H430" s="21">
        <v>0.75</v>
      </c>
      <c r="I430" s="68">
        <f>inputs!$C$66*inputs!$C$64/1000</f>
        <v>21.3</v>
      </c>
      <c r="J430" s="68">
        <f>inputs!$C$66*inputs!$C$63/1000</f>
        <v>8.8000000000000007</v>
      </c>
      <c r="K430" s="70">
        <f t="shared" ref="K430:K461" si="50">(((0.235*F430^0.822)/(1-H430)))*I430/F430</f>
        <v>3.5104938426519463</v>
      </c>
      <c r="L430" s="70">
        <f t="shared" ref="L430:L461" si="51">(((0.235*F430^0.822)/(1-H430)))*J430/F430</f>
        <v>1.4503448739594897</v>
      </c>
      <c r="M430" s="70">
        <f>IF((((0.326*F430^0.818)-(0.398*F430^0.85)/(1-H430)*H430)*(MAX('Max rate concentrations'!$P$3:$P$368)))/F430&gt;0, (((0.326*F430^0.818)-(0.398*F430^0.85)/(1-H430)*H430)*(MAX('Max rate concentrations'!$P$3:$P$368)))/F430, 0)</f>
        <v>0</v>
      </c>
      <c r="N430" s="70">
        <f>IF((((0.326*F430^0.818)-(0.398*F430^0.85)/(1-H430)*H430)*(MAX('Max rate concentrations'!$Q$3:$Q$368)))/F430&gt; 0, (((0.326*F430^0.818)-(0.398*F430^0.85)/(1-H430)*H430)*(MAX('Max rate concentrations'!$Q$3:$Q$368)))/F430, 0)</f>
        <v>0</v>
      </c>
      <c r="O430" s="70">
        <f>((MAX('Max rate concentrations'!$F$3:$F$368))*0.62*6.01*8*(12.3*F430^0.65)*0.079*0.1/F430)*inputs!$E$73/inputs!$E$74</f>
        <v>8.8253234964549137</v>
      </c>
      <c r="P430" s="70">
        <f>((MAX('Max rate concentrations'!Y:Y))*0.62*6.01*8*(12.3*F430^0.65)*0.079*0.1/F430)*inputs!$E$73/inputs!$E$74</f>
        <v>2.9417744988183046</v>
      </c>
      <c r="Q430" s="70">
        <f>(inputs!$C$18*11.2*(12.3*F430^0.65)*0.5/F430)*inputs!$E$73/inputs!$E$74</f>
        <v>1.5545391085731188</v>
      </c>
      <c r="R430" s="60">
        <f>(60*379*((F430/1000)^0.8)*3*24*(MAX('Max rate concentrations'!$R$3:$R$368))/F430)*(inputs!$E$73/inputs!$E$75)</f>
        <v>6.2134678423824584E-3</v>
      </c>
      <c r="S430" s="60">
        <f>(IF(inputs!$C$17="aerial",((0.025*0.112*inputs!$C$18/3.3)*(3*60*379*((F430/1000)^0.8))*MAX(inputs!$I$14:$I$16))/F430,((0.0083*0.112*inputs!$C$18/1)*(3*60*379*((F430/1000)^0.8))*MAX(inputs!$I$14:$I$16))/F430))*(inputs!E$75/inputs!$E$73)</f>
        <v>3.4267656895697891E-2</v>
      </c>
      <c r="T430" s="63">
        <f>IF((((inputs!$P$13/(V430/MAX(K430:S430)))^(1/inputs!$O$13))-1)/inputs!$N$13&lt;0, 0, IF((((inputs!$P$13/(V430/MAX(K430:S430)))^(1/inputs!$O$13))-1)/inputs!$N$13&lt;inputs!$I$17, (((inputs!$P$13/(V430/MAX(K430:S430)))^(1/inputs!$O$13))-1)/inputs!$N$13, inputs!$I$17))</f>
        <v>56.886309141696863</v>
      </c>
      <c r="U430" s="63">
        <f>IF((((inputs!$P$13/(X430/MAX(K430:S430)))^(1/inputs!$O$13))-1)/inputs!$N$13&lt;0, 0, IF((((inputs!$P$13/(X430/MAX(K430:S430)))^(1/inputs!$O$13))-1)/inputs!$N$13&lt;inputs!$I$17, (((inputs!$P$13/(X430/MAX(K430:S430)))^(1/inputs!$O$13))-1)/inputs!$N$13, inputs!$I$17))</f>
        <v>0</v>
      </c>
      <c r="V430" s="54">
        <f>inputs!$E$70*(inputs!$F$70/F430)^(0.25)</f>
        <v>0.43635618827415074</v>
      </c>
      <c r="W430" s="54">
        <f>inputs!$E$76*(inputs!$F$76/F430)^(0.25)</f>
        <v>0.13124771128141996</v>
      </c>
      <c r="X430" s="54">
        <f>inputs!$E$72*(inputs!$F$72/F430)^(0.25)</f>
        <v>19.251008306212533</v>
      </c>
      <c r="Y430" s="54" t="s">
        <v>13</v>
      </c>
      <c r="Z430" s="106">
        <f t="shared" si="42"/>
        <v>20.225044891331304</v>
      </c>
      <c r="AA430" s="106">
        <f t="shared" si="43"/>
        <v>67.241732524628546</v>
      </c>
    </row>
    <row r="431" spans="1:27" x14ac:dyDescent="0.25">
      <c r="A431" s="55" t="s">
        <v>452</v>
      </c>
      <c r="B431" s="49" t="s">
        <v>453</v>
      </c>
      <c r="C431" s="21" t="s">
        <v>61</v>
      </c>
      <c r="D431" s="20" t="s">
        <v>454</v>
      </c>
      <c r="E431" s="20">
        <v>11</v>
      </c>
      <c r="F431" s="21">
        <v>17700</v>
      </c>
      <c r="G431" s="21" t="s">
        <v>152</v>
      </c>
      <c r="H431" s="21">
        <v>0.77</v>
      </c>
      <c r="I431" s="68">
        <f>MAX('Max rate concentrations'!$G$3:$G$368)</f>
        <v>45</v>
      </c>
      <c r="J431" s="68">
        <f>MAX('Max rate concentrations'!Z:Z)</f>
        <v>21</v>
      </c>
      <c r="K431" s="70">
        <f t="shared" si="50"/>
        <v>8.0614524861878749</v>
      </c>
      <c r="L431" s="70">
        <f t="shared" si="51"/>
        <v>3.7620111602210082</v>
      </c>
      <c r="M431" s="70">
        <f>IF((((0.326*F431^0.818)-(0.398*F431^0.85)/(1-H431)*H431)*(MAX('Max rate concentrations'!$P$3:$P$368)))/F431&gt;0, (((0.326*F431^0.818)-(0.398*F431^0.85)/(1-H431)*H431)*(MAX('Max rate concentrations'!$P$3:$P$368)))/F431, 0)</f>
        <v>0</v>
      </c>
      <c r="N431" s="70">
        <f>IF((((0.326*F431^0.818)-(0.398*F431^0.85)/(1-H431)*H431)*(MAX('Max rate concentrations'!$Q$3:$Q$368)))/F431&gt; 0, (((0.326*F431^0.818)-(0.398*F431^0.85)/(1-H431)*H431)*(MAX('Max rate concentrations'!$Q$3:$Q$368)))/F431, 0)</f>
        <v>0</v>
      </c>
      <c r="O431" s="70">
        <f>((MAX('Max rate concentrations'!$F$3:$F$368))*0.62*6.01*8*(12.3*F431^0.65)*0.079*0.1/F431)*inputs!$E$73/inputs!$E$74</f>
        <v>8.8253234964549137</v>
      </c>
      <c r="P431" s="70">
        <f>((MAX('Max rate concentrations'!Y:Y))*0.62*6.01*8*(12.3*F431^0.65)*0.079*0.1/F431)*inputs!$E$73/inputs!$E$74</f>
        <v>2.9417744988183046</v>
      </c>
      <c r="Q431" s="70">
        <f>(inputs!$C$18*11.2*(12.3*F431^0.65)*0.5/F431)*inputs!$E$73/inputs!$E$74</f>
        <v>1.5545391085731188</v>
      </c>
      <c r="R431" s="60">
        <f>(60*379*((F431/1000)^0.8)*3*24*(MAX('Max rate concentrations'!$R$3:$R$368))/F431)*(inputs!$E$73/inputs!$E$75)</f>
        <v>6.2134678423824584E-3</v>
      </c>
      <c r="S431" s="60">
        <f>(IF(inputs!$C$17="aerial",((0.025*0.112*inputs!$C$18/3.3)*(3*60*379*((F431/1000)^0.8))*MAX(inputs!$I$14:$I$16))/F431,((0.0083*0.112*inputs!$C$18/1)*(3*60*379*((F431/1000)^0.8))*MAX(inputs!$I$14:$I$16))/F431))*(inputs!E$75/inputs!$E$73)</f>
        <v>3.4267656895697891E-2</v>
      </c>
      <c r="T431" s="63">
        <f>IF((((inputs!$P$13/(V431/MAX(K431:S431)))^(1/inputs!$O$13))-1)/inputs!$N$13&lt;0, 0, IF((((inputs!$P$13/(V431/MAX(K431:S431)))^(1/inputs!$O$13))-1)/inputs!$N$13&lt;inputs!$I$17, (((inputs!$P$13/(V431/MAX(K431:S431)))^(1/inputs!$O$13))-1)/inputs!$N$13, inputs!$I$17))</f>
        <v>56.886309141696863</v>
      </c>
      <c r="U431" s="63">
        <f>IF((((inputs!$P$13/(X431/MAX(K431:S431)))^(1/inputs!$O$13))-1)/inputs!$N$13&lt;0, 0, IF((((inputs!$P$13/(X431/MAX(K431:S431)))^(1/inputs!$O$13))-1)/inputs!$N$13&lt;inputs!$I$17, (((inputs!$P$13/(X431/MAX(K431:S431)))^(1/inputs!$O$13))-1)/inputs!$N$13, inputs!$I$17))</f>
        <v>0</v>
      </c>
      <c r="V431" s="54">
        <f>inputs!$E$70*(inputs!$F$70/F431)^(0.25)</f>
        <v>0.43635618827415074</v>
      </c>
      <c r="W431" s="54">
        <f>inputs!$E$76*(inputs!$F$76/F431)^(0.25)</f>
        <v>0.13124771128141996</v>
      </c>
      <c r="X431" s="54">
        <f>inputs!$E$72*(inputs!$F$72/F431)^(0.25)</f>
        <v>19.251008306212533</v>
      </c>
      <c r="Y431" s="54" t="s">
        <v>13</v>
      </c>
      <c r="Z431" s="106">
        <f t="shared" si="42"/>
        <v>20.225044891331304</v>
      </c>
      <c r="AA431" s="106">
        <f t="shared" si="43"/>
        <v>67.241732524628546</v>
      </c>
    </row>
    <row r="432" spans="1:27" x14ac:dyDescent="0.25">
      <c r="A432" s="55" t="s">
        <v>452</v>
      </c>
      <c r="B432" s="49" t="s">
        <v>453</v>
      </c>
      <c r="C432" s="21" t="s">
        <v>61</v>
      </c>
      <c r="D432" s="20" t="s">
        <v>454</v>
      </c>
      <c r="E432" s="20">
        <v>11</v>
      </c>
      <c r="F432" s="21">
        <v>17700</v>
      </c>
      <c r="G432" s="21" t="s">
        <v>455</v>
      </c>
      <c r="H432" s="20">
        <v>0.68</v>
      </c>
      <c r="I432" s="71">
        <f>MAX('Max rate concentrations'!$K$3:$K$368)</f>
        <v>110.00035859694511</v>
      </c>
      <c r="J432" s="71">
        <f>MAX('Max rate concentrations'!AC:AC)</f>
        <v>38.958460336418057</v>
      </c>
      <c r="K432" s="70">
        <f t="shared" si="50"/>
        <v>14.163570332456059</v>
      </c>
      <c r="L432" s="70">
        <f t="shared" si="51"/>
        <v>5.0162644927448534</v>
      </c>
      <c r="M432" s="70">
        <f>IF((((0.326*F432^0.818)-(0.398*F432^0.85)/(1-H432)*H432)*(MAX('Max rate concentrations'!$P$3:$P$368)))/F432&gt;0, (((0.326*F432^0.818)-(0.398*F432^0.85)/(1-H432)*H432)*(MAX('Max rate concentrations'!$P$3:$P$368)))/F432, 0)</f>
        <v>0</v>
      </c>
      <c r="N432" s="70">
        <f>IF((((0.326*F432^0.818)-(0.398*F432^0.85)/(1-H432)*H432)*(MAX('Max rate concentrations'!$Q$3:$Q$368)))/F432&gt; 0, (((0.326*F432^0.818)-(0.398*F432^0.85)/(1-H432)*H432)*(MAX('Max rate concentrations'!$Q$3:$Q$368)))/F432, 0)</f>
        <v>0</v>
      </c>
      <c r="O432" s="70">
        <f>((MAX('Max rate concentrations'!$F$3:$F$368))*0.62*6.01*8*(12.3*F432^0.65)*0.079*0.1/F432)*inputs!$E$73/inputs!$E$74</f>
        <v>8.8253234964549137</v>
      </c>
      <c r="P432" s="70">
        <f>((MAX('Max rate concentrations'!Y:Y))*0.62*6.01*8*(12.3*F432^0.65)*0.079*0.1/F432)*inputs!$E$73/inputs!$E$74</f>
        <v>2.9417744988183046</v>
      </c>
      <c r="Q432" s="70">
        <f>(inputs!$C$18*11.2*(12.3*F432^0.65)*0.5/F432)*inputs!$E$73/inputs!$E$74</f>
        <v>1.5545391085731188</v>
      </c>
      <c r="R432" s="60">
        <f>(60*379*((F432/1000)^0.8)*3*24*(MAX('Max rate concentrations'!$R$3:$R$368))/F432)*(inputs!$E$73/inputs!$E$75)</f>
        <v>6.2134678423824584E-3</v>
      </c>
      <c r="S432" s="60">
        <f>(IF(inputs!$C$17="aerial",((0.025*0.112*inputs!$C$18/3.3)*(3*60*379*((F432/1000)^0.8))*MAX(inputs!$I$14:$I$16))/F432,((0.0083*0.112*inputs!$C$18/1)*(3*60*379*((F432/1000)^0.8))*MAX(inputs!$I$14:$I$16))/F432))*(inputs!E$75/inputs!$E$73)</f>
        <v>3.4267656895697891E-2</v>
      </c>
      <c r="T432" s="63">
        <f>IF((((inputs!$P$13/(V432/MAX(K432:S432)))^(1/inputs!$O$13))-1)/inputs!$N$13&lt;0, 0, IF((((inputs!$P$13/(V432/MAX(K432:S432)))^(1/inputs!$O$13))-1)/inputs!$N$13&lt;inputs!$I$17, (((inputs!$P$13/(V432/MAX(K432:S432)))^(1/inputs!$O$13))-1)/inputs!$N$13, inputs!$I$17))</f>
        <v>85.831436450554065</v>
      </c>
      <c r="U432" s="63">
        <f>IF((((inputs!$P$13/(X432/MAX(K432:S432)))^(1/inputs!$O$13))-1)/inputs!$N$13&lt;0, 0, IF((((inputs!$P$13/(X432/MAX(K432:S432)))^(1/inputs!$O$13))-1)/inputs!$N$13&lt;inputs!$I$17, (((inputs!$P$13/(X432/MAX(K432:S432)))^(1/inputs!$O$13))-1)/inputs!$N$13, inputs!$I$17))</f>
        <v>0</v>
      </c>
      <c r="V432" s="54">
        <f>inputs!$E$70*(inputs!$F$70/F432)^(0.25)</f>
        <v>0.43635618827415074</v>
      </c>
      <c r="W432" s="54">
        <f>inputs!$E$76*(inputs!$F$76/F432)^(0.25)</f>
        <v>0.13124771128141996</v>
      </c>
      <c r="X432" s="54">
        <f>inputs!$E$72*(inputs!$F$72/F432)^(0.25)</f>
        <v>19.251008306212533</v>
      </c>
      <c r="Y432" s="54" t="s">
        <v>13</v>
      </c>
      <c r="Z432" s="106">
        <f t="shared" si="42"/>
        <v>32.458736035061044</v>
      </c>
      <c r="AA432" s="106">
        <f t="shared" si="43"/>
        <v>107.91479862141504</v>
      </c>
    </row>
    <row r="433" spans="1:27" x14ac:dyDescent="0.25">
      <c r="A433" s="55" t="s">
        <v>452</v>
      </c>
      <c r="B433" s="49" t="s">
        <v>453</v>
      </c>
      <c r="C433" s="21" t="s">
        <v>61</v>
      </c>
      <c r="D433" s="20" t="s">
        <v>454</v>
      </c>
      <c r="E433" s="20">
        <v>11</v>
      </c>
      <c r="F433" s="21">
        <v>17700</v>
      </c>
      <c r="G433" s="21" t="s">
        <v>456</v>
      </c>
      <c r="H433" s="21">
        <v>0.68</v>
      </c>
      <c r="I433" s="68">
        <f>MAX('Max rate concentrations'!$J$3:$J$368)</f>
        <v>686.46486205830786</v>
      </c>
      <c r="J433" s="68">
        <f>MAX('Max rate concentrations'!AB:AB)</f>
        <v>243.122971978984</v>
      </c>
      <c r="K433" s="70">
        <f t="shared" si="50"/>
        <v>88.388742350814553</v>
      </c>
      <c r="L433" s="70">
        <f t="shared" si="51"/>
        <v>31.304346249246816</v>
      </c>
      <c r="M433" s="70">
        <f>IF((((0.326*F433^0.818)-(0.398*F433^0.85)/(1-H433)*H433)*(MAX('Max rate concentrations'!$P$3:$P$368)))/F433&gt;0, (((0.326*F433^0.818)-(0.398*F433^0.85)/(1-H433)*H433)*(MAX('Max rate concentrations'!$P$3:$P$368)))/F433, 0)</f>
        <v>0</v>
      </c>
      <c r="N433" s="70">
        <f>IF((((0.326*F433^0.818)-(0.398*F433^0.85)/(1-H433)*H433)*(MAX('Max rate concentrations'!$Q$3:$Q$368)))/F433&gt; 0, (((0.326*F433^0.818)-(0.398*F433^0.85)/(1-H433)*H433)*(MAX('Max rate concentrations'!$Q$3:$Q$368)))/F433, 0)</f>
        <v>0</v>
      </c>
      <c r="O433" s="70">
        <f>((MAX('Max rate concentrations'!$F$3:$F$368))*0.62*6.01*8*(12.3*F433^0.65)*0.079*0.1/F433)*inputs!$E$73/inputs!$E$74</f>
        <v>8.8253234964549137</v>
      </c>
      <c r="P433" s="70">
        <f>((MAX('Max rate concentrations'!Y:Y))*0.62*6.01*8*(12.3*F433^0.65)*0.079*0.1/F433)*inputs!$E$73/inputs!$E$74</f>
        <v>2.9417744988183046</v>
      </c>
      <c r="Q433" s="70">
        <f>(inputs!$C$18*11.2*(12.3*F433^0.65)*0.5/F433)*inputs!$E$73/inputs!$E$74</f>
        <v>1.5545391085731188</v>
      </c>
      <c r="R433" s="60">
        <f>(60*379*((F433/1000)^0.8)*3*24*(MAX('Max rate concentrations'!$R$3:$R$368))/F433)*(inputs!$E$73/inputs!$E$75)</f>
        <v>6.2134678423824584E-3</v>
      </c>
      <c r="S433" s="60">
        <f>(IF(inputs!$C$17="aerial",((0.025*0.112*inputs!$C$18/3.3)*(3*60*379*((F433/1000)^0.8))*MAX(inputs!$I$14:$I$16))/F433,((0.0083*0.112*inputs!$C$18/1)*(3*60*379*((F433/1000)^0.8))*MAX(inputs!$I$14:$I$16))/F433))*(inputs!E$75/inputs!$E$73)</f>
        <v>3.4267656895697891E-2</v>
      </c>
      <c r="T433" s="63">
        <f>IF((((inputs!$P$13/(V433/MAX(K433:S433)))^(1/inputs!$O$13))-1)/inputs!$N$13&lt;0, 0, IF((((inputs!$P$13/(V433/MAX(K433:S433)))^(1/inputs!$O$13))-1)/inputs!$N$13&lt;inputs!$I$17, (((inputs!$P$13/(V433/MAX(K433:S433)))^(1/inputs!$O$13))-1)/inputs!$N$13, inputs!$I$17))</f>
        <v>395.08143749949534</v>
      </c>
      <c r="U433" s="63">
        <f>IF((((inputs!$P$13/(X433/MAX(K433:S433)))^(1/inputs!$O$13))-1)/inputs!$N$13&lt;0, 0, IF((((inputs!$P$13/(X433/MAX(K433:S433)))^(1/inputs!$O$13))-1)/inputs!$N$13&lt;inputs!$I$17, (((inputs!$P$13/(X433/MAX(K433:S433)))^(1/inputs!$O$13))-1)/inputs!$N$13, inputs!$I$17))</f>
        <v>13.498748402097833</v>
      </c>
      <c r="V433" s="54">
        <f>inputs!$E$70*(inputs!$F$70/F433)^(0.25)</f>
        <v>0.43635618827415074</v>
      </c>
      <c r="W433" s="54">
        <f>inputs!$E$76*(inputs!$F$76/F433)^(0.25)</f>
        <v>0.13124771128141996</v>
      </c>
      <c r="X433" s="54">
        <f>inputs!$E$72*(inputs!$F$72/F433)^(0.25)</f>
        <v>19.251008306212533</v>
      </c>
      <c r="Y433" s="54" t="s">
        <v>13</v>
      </c>
      <c r="Z433" s="106">
        <f t="shared" si="42"/>
        <v>202.56099197402079</v>
      </c>
      <c r="AA433" s="106">
        <f t="shared" si="43"/>
        <v>673.44978047877987</v>
      </c>
    </row>
    <row r="434" spans="1:27" x14ac:dyDescent="0.25">
      <c r="A434" s="55" t="s">
        <v>452</v>
      </c>
      <c r="B434" s="49" t="s">
        <v>457</v>
      </c>
      <c r="C434" s="21" t="s">
        <v>61</v>
      </c>
      <c r="D434" s="20" t="s">
        <v>454</v>
      </c>
      <c r="E434" s="20">
        <v>12</v>
      </c>
      <c r="F434" s="21">
        <v>17700</v>
      </c>
      <c r="G434" s="21" t="s">
        <v>138</v>
      </c>
      <c r="H434" s="21">
        <v>0.68</v>
      </c>
      <c r="I434" s="68">
        <f>MAX('Max rate concentrations'!$L$3:$L$368)</f>
        <v>350.52744091332482</v>
      </c>
      <c r="J434" s="68">
        <f>MAX('Max rate concentrations'!AD:AD)</f>
        <v>242.38599637623525</v>
      </c>
      <c r="K434" s="70">
        <f t="shared" si="50"/>
        <v>45.133671618499527</v>
      </c>
      <c r="L434" s="70">
        <f t="shared" si="51"/>
        <v>31.209453778749669</v>
      </c>
      <c r="M434" s="70">
        <f>IF((((0.326*F434^0.818)-(0.398*F434^0.85)/(1-H434)*H434)*(MAX('Max rate concentrations'!$P$3:$P$368)))/F434&gt;0, (((0.326*F434^0.818)-(0.398*F434^0.85)/(1-H434)*H434)*(MAX('Max rate concentrations'!$P$3:$P$368)))/F434, 0)</f>
        <v>0</v>
      </c>
      <c r="N434" s="70">
        <f>IF((((0.326*F434^0.818)-(0.398*F434^0.85)/(1-H434)*H434)*(MAX('Max rate concentrations'!$Q$3:$Q$368)))/F434&gt; 0, (((0.326*F434^0.818)-(0.398*F434^0.85)/(1-H434)*H434)*(MAX('Max rate concentrations'!$Q$3:$Q$368)))/F434, 0)</f>
        <v>0</v>
      </c>
      <c r="O434" s="70">
        <f>((MAX('Max rate concentrations'!$F$3:$F$368))*0.62*6.01*8*(12.3*F434^0.65)*0.079*0.1/F434)*inputs!$E$73/inputs!$E$74</f>
        <v>8.8253234964549137</v>
      </c>
      <c r="P434" s="70">
        <f>((MAX('Max rate concentrations'!Y:Y))*0.62*6.01*8*(12.3*F434^0.65)*0.079*0.1/F434)*inputs!$E$73/inputs!$E$74</f>
        <v>2.9417744988183046</v>
      </c>
      <c r="Q434" s="70">
        <f>(inputs!$C$18*11.2*(12.3*F434^0.65)*0.5/F434)*inputs!$E$73/inputs!$E$74</f>
        <v>1.5545391085731188</v>
      </c>
      <c r="R434" s="60">
        <f>(60*379*((F434/1000)^0.8)*3*24*(MAX('Max rate concentrations'!$R$3:$R$368))/F434)*(inputs!$E$73/inputs!$E$75)</f>
        <v>6.2134678423824584E-3</v>
      </c>
      <c r="S434" s="60">
        <f>(IF(inputs!$C$17="aerial",((0.025*0.112*inputs!$C$18/3.3)*(3*60*379*((F434/1000)^0.8))*MAX(inputs!$I$14:$I$16))/F434,((0.0083*0.112*inputs!$C$18/1)*(3*60*379*((F434/1000)^0.8))*MAX(inputs!$I$14:$I$16))/F434))*(inputs!E$75/inputs!$E$73)</f>
        <v>3.4267656895697891E-2</v>
      </c>
      <c r="T434" s="63">
        <f>IF((((inputs!$P$13/(V434/MAX(K434:S434)))^(1/inputs!$O$13))-1)/inputs!$N$13&lt;0, 0, IF((((inputs!$P$13/(V434/MAX(K434:S434)))^(1/inputs!$O$13))-1)/inputs!$N$13&lt;inputs!$I$17, (((inputs!$P$13/(V434/MAX(K434:S434)))^(1/inputs!$O$13))-1)/inputs!$N$13, inputs!$I$17))</f>
        <v>227.23232732254178</v>
      </c>
      <c r="U434" s="63">
        <f>IF((((inputs!$P$13/(X434/MAX(K434:S434)))^(1/inputs!$O$13))-1)/inputs!$N$13&lt;0, 0, IF((((inputs!$P$13/(X434/MAX(K434:S434)))^(1/inputs!$O$13))-1)/inputs!$N$13&lt;inputs!$I$17, (((inputs!$P$13/(X434/MAX(K434:S434)))^(1/inputs!$O$13))-1)/inputs!$N$13, inputs!$I$17))</f>
        <v>5.6468957898731365</v>
      </c>
      <c r="V434" s="54">
        <f>inputs!$E$70*(inputs!$F$70/F434)^(0.25)</f>
        <v>0.43635618827415074</v>
      </c>
      <c r="W434" s="54">
        <f>inputs!$E$76*(inputs!$F$76/F434)^(0.25)</f>
        <v>0.13124771128141996</v>
      </c>
      <c r="X434" s="54">
        <f>inputs!$E$72*(inputs!$F$72/F434)^(0.25)</f>
        <v>19.251008306212533</v>
      </c>
      <c r="Y434" s="54" t="s">
        <v>13</v>
      </c>
      <c r="Z434" s="106">
        <f t="shared" si="42"/>
        <v>103.4330962441703</v>
      </c>
      <c r="AA434" s="106">
        <f t="shared" si="43"/>
        <v>343.88158984139835</v>
      </c>
    </row>
    <row r="435" spans="1:27" x14ac:dyDescent="0.25">
      <c r="A435" s="55" t="s">
        <v>452</v>
      </c>
      <c r="B435" s="49" t="s">
        <v>457</v>
      </c>
      <c r="C435" s="21" t="s">
        <v>61</v>
      </c>
      <c r="D435" s="20" t="s">
        <v>454</v>
      </c>
      <c r="E435" s="20">
        <v>12</v>
      </c>
      <c r="F435" s="21">
        <v>17700</v>
      </c>
      <c r="G435" s="21" t="s">
        <v>186</v>
      </c>
      <c r="H435" s="21">
        <v>0.75</v>
      </c>
      <c r="I435" s="68">
        <f>inputs!$C$66*inputs!$C$64/1000</f>
        <v>21.3</v>
      </c>
      <c r="J435" s="68">
        <f>inputs!$C$66*inputs!$C$63/1000</f>
        <v>8.8000000000000007</v>
      </c>
      <c r="K435" s="70">
        <f t="shared" si="50"/>
        <v>3.5104938426519463</v>
      </c>
      <c r="L435" s="70">
        <f t="shared" si="51"/>
        <v>1.4503448739594897</v>
      </c>
      <c r="M435" s="70">
        <f>IF((((0.326*F435^0.818)-(0.398*F435^0.85)/(1-H435)*H435)*(MAX('Max rate concentrations'!$P$3:$P$368)))/F435&gt;0, (((0.326*F435^0.818)-(0.398*F435^0.85)/(1-H435)*H435)*(MAX('Max rate concentrations'!$P$3:$P$368)))/F435, 0)</f>
        <v>0</v>
      </c>
      <c r="N435" s="70">
        <f>IF((((0.326*F435^0.818)-(0.398*F435^0.85)/(1-H435)*H435)*(MAX('Max rate concentrations'!$Q$3:$Q$368)))/F435&gt; 0, (((0.326*F435^0.818)-(0.398*F435^0.85)/(1-H435)*H435)*(MAX('Max rate concentrations'!$Q$3:$Q$368)))/F435, 0)</f>
        <v>0</v>
      </c>
      <c r="O435" s="70">
        <f>((MAX('Max rate concentrations'!$F$3:$F$368))*0.62*6.01*8*(12.3*F435^0.65)*0.079*0.1/F435)*inputs!$E$73/inputs!$E$74</f>
        <v>8.8253234964549137</v>
      </c>
      <c r="P435" s="70">
        <f>((MAX('Max rate concentrations'!Y:Y))*0.62*6.01*8*(12.3*F435^0.65)*0.079*0.1/F435)*inputs!$E$73/inputs!$E$74</f>
        <v>2.9417744988183046</v>
      </c>
      <c r="Q435" s="70">
        <f>(inputs!$C$18*11.2*(12.3*F435^0.65)*0.5/F435)*inputs!$E$73/inputs!$E$74</f>
        <v>1.5545391085731188</v>
      </c>
      <c r="R435" s="60">
        <f>(60*379*((F435/1000)^0.8)*3*24*(MAX('Max rate concentrations'!$R$3:$R$368))/F435)*(inputs!$E$73/inputs!$E$75)</f>
        <v>6.2134678423824584E-3</v>
      </c>
      <c r="S435" s="60">
        <f>(IF(inputs!$C$17="aerial",((0.025*0.112*inputs!$C$18/3.3)*(3*60*379*((F435/1000)^0.8))*MAX(inputs!$I$14:$I$16))/F435,((0.0083*0.112*inputs!$C$18/1)*(3*60*379*((F435/1000)^0.8))*MAX(inputs!$I$14:$I$16))/F435))*(inputs!E$75/inputs!$E$73)</f>
        <v>3.4267656895697891E-2</v>
      </c>
      <c r="T435" s="63">
        <f>IF((((inputs!$P$13/(V435/MAX(K435:S435)))^(1/inputs!$O$13))-1)/inputs!$N$13&lt;0, 0, IF((((inputs!$P$13/(V435/MAX(K435:S435)))^(1/inputs!$O$13))-1)/inputs!$N$13&lt;inputs!$I$17, (((inputs!$P$13/(V435/MAX(K435:S435)))^(1/inputs!$O$13))-1)/inputs!$N$13, inputs!$I$17))</f>
        <v>56.886309141696863</v>
      </c>
      <c r="U435" s="63">
        <f>IF((((inputs!$P$13/(X435/MAX(K435:S435)))^(1/inputs!$O$13))-1)/inputs!$N$13&lt;0, 0, IF((((inputs!$P$13/(X435/MAX(K435:S435)))^(1/inputs!$O$13))-1)/inputs!$N$13&lt;inputs!$I$17, (((inputs!$P$13/(X435/MAX(K435:S435)))^(1/inputs!$O$13))-1)/inputs!$N$13, inputs!$I$17))</f>
        <v>0</v>
      </c>
      <c r="V435" s="54">
        <f>inputs!$E$70*(inputs!$F$70/F435)^(0.25)</f>
        <v>0.43635618827415074</v>
      </c>
      <c r="W435" s="54">
        <f>inputs!$E$76*(inputs!$F$76/F435)^(0.25)</f>
        <v>0.13124771128141996</v>
      </c>
      <c r="X435" s="54">
        <f>inputs!$E$72*(inputs!$F$72/F435)^(0.25)</f>
        <v>19.251008306212533</v>
      </c>
      <c r="Y435" s="54" t="s">
        <v>13</v>
      </c>
      <c r="Z435" s="106">
        <f t="shared" si="42"/>
        <v>20.225044891331304</v>
      </c>
      <c r="AA435" s="106">
        <f t="shared" si="43"/>
        <v>67.241732524628546</v>
      </c>
    </row>
    <row r="436" spans="1:27" x14ac:dyDescent="0.25">
      <c r="A436" s="55" t="s">
        <v>452</v>
      </c>
      <c r="B436" s="49" t="s">
        <v>457</v>
      </c>
      <c r="C436" s="21" t="s">
        <v>61</v>
      </c>
      <c r="D436" s="20" t="s">
        <v>454</v>
      </c>
      <c r="E436" s="20">
        <v>12</v>
      </c>
      <c r="F436" s="21">
        <v>17700</v>
      </c>
      <c r="G436" s="21" t="s">
        <v>152</v>
      </c>
      <c r="H436" s="21">
        <v>0.77</v>
      </c>
      <c r="I436" s="68">
        <f>MAX('Max rate concentrations'!$G$3:$G$368)</f>
        <v>45</v>
      </c>
      <c r="J436" s="68">
        <f>MAX('Max rate concentrations'!Z:Z)</f>
        <v>21</v>
      </c>
      <c r="K436" s="70">
        <f t="shared" si="50"/>
        <v>8.0614524861878749</v>
      </c>
      <c r="L436" s="70">
        <f t="shared" si="51"/>
        <v>3.7620111602210082</v>
      </c>
      <c r="M436" s="70">
        <f>IF((((0.326*F436^0.818)-(0.398*F436^0.85)/(1-H436)*H436)*(MAX('Max rate concentrations'!$P$3:$P$368)))/F436&gt;0, (((0.326*F436^0.818)-(0.398*F436^0.85)/(1-H436)*H436)*(MAX('Max rate concentrations'!$P$3:$P$368)))/F436, 0)</f>
        <v>0</v>
      </c>
      <c r="N436" s="70">
        <f>IF((((0.326*F436^0.818)-(0.398*F436^0.85)/(1-H436)*H436)*(MAX('Max rate concentrations'!$Q$3:$Q$368)))/F436&gt; 0, (((0.326*F436^0.818)-(0.398*F436^0.85)/(1-H436)*H436)*(MAX('Max rate concentrations'!$Q$3:$Q$368)))/F436, 0)</f>
        <v>0</v>
      </c>
      <c r="O436" s="70">
        <f>((MAX('Max rate concentrations'!$F$3:$F$368))*0.62*6.01*8*(12.3*F436^0.65)*0.079*0.1/F436)*inputs!$E$73/inputs!$E$74</f>
        <v>8.8253234964549137</v>
      </c>
      <c r="P436" s="70">
        <f>((MAX('Max rate concentrations'!Y:Y))*0.62*6.01*8*(12.3*F436^0.65)*0.079*0.1/F436)*inputs!$E$73/inputs!$E$74</f>
        <v>2.9417744988183046</v>
      </c>
      <c r="Q436" s="70">
        <f>(inputs!$C$18*11.2*(12.3*F436^0.65)*0.5/F436)*inputs!$E$73/inputs!$E$74</f>
        <v>1.5545391085731188</v>
      </c>
      <c r="R436" s="60">
        <f>(60*379*((F436/1000)^0.8)*3*24*(MAX('Max rate concentrations'!$R$3:$R$368))/F436)*(inputs!$E$73/inputs!$E$75)</f>
        <v>6.2134678423824584E-3</v>
      </c>
      <c r="S436" s="60">
        <f>(IF(inputs!$C$17="aerial",((0.025*0.112*inputs!$C$18/3.3)*(3*60*379*((F436/1000)^0.8))*MAX(inputs!$I$14:$I$16))/F436,((0.0083*0.112*inputs!$C$18/1)*(3*60*379*((F436/1000)^0.8))*MAX(inputs!$I$14:$I$16))/F436))*(inputs!E$75/inputs!$E$73)</f>
        <v>3.4267656895697891E-2</v>
      </c>
      <c r="T436" s="63">
        <f>IF((((inputs!$P$13/(V436/MAX(K436:S436)))^(1/inputs!$O$13))-1)/inputs!$N$13&lt;0, 0, IF((((inputs!$P$13/(V436/MAX(K436:S436)))^(1/inputs!$O$13))-1)/inputs!$N$13&lt;inputs!$I$17, (((inputs!$P$13/(V436/MAX(K436:S436)))^(1/inputs!$O$13))-1)/inputs!$N$13, inputs!$I$17))</f>
        <v>56.886309141696863</v>
      </c>
      <c r="U436" s="63">
        <f>IF((((inputs!$P$13/(X436/MAX(K436:S436)))^(1/inputs!$O$13))-1)/inputs!$N$13&lt;0, 0, IF((((inputs!$P$13/(X436/MAX(K436:S436)))^(1/inputs!$O$13))-1)/inputs!$N$13&lt;inputs!$I$17, (((inputs!$P$13/(X436/MAX(K436:S436)))^(1/inputs!$O$13))-1)/inputs!$N$13, inputs!$I$17))</f>
        <v>0</v>
      </c>
      <c r="V436" s="54">
        <f>inputs!$E$70*(inputs!$F$70/F436)^(0.25)</f>
        <v>0.43635618827415074</v>
      </c>
      <c r="W436" s="54">
        <f>inputs!$E$76*(inputs!$F$76/F436)^(0.25)</f>
        <v>0.13124771128141996</v>
      </c>
      <c r="X436" s="54">
        <f>inputs!$E$72*(inputs!$F$72/F436)^(0.25)</f>
        <v>19.251008306212533</v>
      </c>
      <c r="Y436" s="54" t="s">
        <v>13</v>
      </c>
      <c r="Z436" s="106">
        <f t="shared" si="42"/>
        <v>20.225044891331304</v>
      </c>
      <c r="AA436" s="106">
        <f t="shared" si="43"/>
        <v>67.241732524628546</v>
      </c>
    </row>
    <row r="437" spans="1:27" x14ac:dyDescent="0.25">
      <c r="A437" s="55" t="s">
        <v>452</v>
      </c>
      <c r="B437" s="49" t="s">
        <v>457</v>
      </c>
      <c r="C437" s="21" t="s">
        <v>61</v>
      </c>
      <c r="D437" s="20" t="s">
        <v>454</v>
      </c>
      <c r="E437" s="20">
        <v>12</v>
      </c>
      <c r="F437" s="21">
        <v>17700</v>
      </c>
      <c r="G437" s="21" t="s">
        <v>455</v>
      </c>
      <c r="H437" s="21">
        <v>0.68</v>
      </c>
      <c r="I437" s="71">
        <f>MAX('Max rate concentrations'!$K$3:$K$368)</f>
        <v>110.00035859694511</v>
      </c>
      <c r="J437" s="71">
        <f>MAX('Max rate concentrations'!AC:AC)</f>
        <v>38.958460336418057</v>
      </c>
      <c r="K437" s="70">
        <f t="shared" si="50"/>
        <v>14.163570332456059</v>
      </c>
      <c r="L437" s="70">
        <f t="shared" si="51"/>
        <v>5.0162644927448534</v>
      </c>
      <c r="M437" s="70">
        <f>IF((((0.326*F437^0.818)-(0.398*F437^0.85)/(1-H437)*H437)*(MAX('Max rate concentrations'!$P$3:$P$368)))/F437&gt;0, (((0.326*F437^0.818)-(0.398*F437^0.85)/(1-H437)*H437)*(MAX('Max rate concentrations'!$P$3:$P$368)))/F437, 0)</f>
        <v>0</v>
      </c>
      <c r="N437" s="70">
        <f>IF((((0.326*F437^0.818)-(0.398*F437^0.85)/(1-H437)*H437)*(MAX('Max rate concentrations'!$Q$3:$Q$368)))/F437&gt; 0, (((0.326*F437^0.818)-(0.398*F437^0.85)/(1-H437)*H437)*(MAX('Max rate concentrations'!$Q$3:$Q$368)))/F437, 0)</f>
        <v>0</v>
      </c>
      <c r="O437" s="70">
        <f>((MAX('Max rate concentrations'!$F$3:$F$368))*0.62*6.01*8*(12.3*F437^0.65)*0.079*0.1/F437)*inputs!$E$73/inputs!$E$74</f>
        <v>8.8253234964549137</v>
      </c>
      <c r="P437" s="70">
        <f>((MAX('Max rate concentrations'!Y:Y))*0.62*6.01*8*(12.3*F437^0.65)*0.079*0.1/F437)*inputs!$E$73/inputs!$E$74</f>
        <v>2.9417744988183046</v>
      </c>
      <c r="Q437" s="70">
        <f>(inputs!$C$18*11.2*(12.3*F437^0.65)*0.5/F437)*inputs!$E$73/inputs!$E$74</f>
        <v>1.5545391085731188</v>
      </c>
      <c r="R437" s="60">
        <f>(60*379*((F437/1000)^0.8)*3*24*(MAX('Max rate concentrations'!$R$3:$R$368))/F437)*(inputs!$E$73/inputs!$E$75)</f>
        <v>6.2134678423824584E-3</v>
      </c>
      <c r="S437" s="60">
        <f>(IF(inputs!$C$17="aerial",((0.025*0.112*inputs!$C$18/3.3)*(3*60*379*((F437/1000)^0.8))*MAX(inputs!$I$14:$I$16))/F437,((0.0083*0.112*inputs!$C$18/1)*(3*60*379*((F437/1000)^0.8))*MAX(inputs!$I$14:$I$16))/F437))*(inputs!E$75/inputs!$E$73)</f>
        <v>3.4267656895697891E-2</v>
      </c>
      <c r="T437" s="63">
        <f>IF((((inputs!$P$13/(V437/MAX(K437:S437)))^(1/inputs!$O$13))-1)/inputs!$N$13&lt;0, 0, IF((((inputs!$P$13/(V437/MAX(K437:S437)))^(1/inputs!$O$13))-1)/inputs!$N$13&lt;inputs!$I$17, (((inputs!$P$13/(V437/MAX(K437:S437)))^(1/inputs!$O$13))-1)/inputs!$N$13, inputs!$I$17))</f>
        <v>85.831436450554065</v>
      </c>
      <c r="U437" s="63">
        <f>IF((((inputs!$P$13/(X437/MAX(K437:S437)))^(1/inputs!$O$13))-1)/inputs!$N$13&lt;0, 0, IF((((inputs!$P$13/(X437/MAX(K437:S437)))^(1/inputs!$O$13))-1)/inputs!$N$13&lt;inputs!$I$17, (((inputs!$P$13/(X437/MAX(K437:S437)))^(1/inputs!$O$13))-1)/inputs!$N$13, inputs!$I$17))</f>
        <v>0</v>
      </c>
      <c r="V437" s="54">
        <f>inputs!$E$70*(inputs!$F$70/F437)^(0.25)</f>
        <v>0.43635618827415074</v>
      </c>
      <c r="W437" s="54">
        <f>inputs!$E$76*(inputs!$F$76/F437)^(0.25)</f>
        <v>0.13124771128141996</v>
      </c>
      <c r="X437" s="54">
        <f>inputs!$E$72*(inputs!$F$72/F437)^(0.25)</f>
        <v>19.251008306212533</v>
      </c>
      <c r="Y437" s="54" t="s">
        <v>13</v>
      </c>
      <c r="Z437" s="106">
        <f t="shared" si="42"/>
        <v>32.458736035061044</v>
      </c>
      <c r="AA437" s="106">
        <f t="shared" si="43"/>
        <v>107.91479862141504</v>
      </c>
    </row>
    <row r="438" spans="1:27" x14ac:dyDescent="0.25">
      <c r="A438" s="55" t="s">
        <v>452</v>
      </c>
      <c r="B438" s="49" t="s">
        <v>457</v>
      </c>
      <c r="C438" s="21" t="s">
        <v>61</v>
      </c>
      <c r="D438" s="20" t="s">
        <v>454</v>
      </c>
      <c r="E438" s="20">
        <v>12</v>
      </c>
      <c r="F438" s="21">
        <v>17700</v>
      </c>
      <c r="G438" s="21" t="s">
        <v>456</v>
      </c>
      <c r="H438" s="21">
        <v>0.68</v>
      </c>
      <c r="I438" s="68">
        <f>MAX('Max rate concentrations'!$J$3:$J$368)</f>
        <v>686.46486205830786</v>
      </c>
      <c r="J438" s="68">
        <f>MAX('Max rate concentrations'!AB:AB)</f>
        <v>243.122971978984</v>
      </c>
      <c r="K438" s="70">
        <f t="shared" si="50"/>
        <v>88.388742350814553</v>
      </c>
      <c r="L438" s="70">
        <f t="shared" si="51"/>
        <v>31.304346249246816</v>
      </c>
      <c r="M438" s="70">
        <f>IF((((0.326*F438^0.818)-(0.398*F438^0.85)/(1-H438)*H438)*(MAX('Max rate concentrations'!$P$3:$P$368)))/F438&gt;0, (((0.326*F438^0.818)-(0.398*F438^0.85)/(1-H438)*H438)*(MAX('Max rate concentrations'!$P$3:$P$368)))/F438, 0)</f>
        <v>0</v>
      </c>
      <c r="N438" s="70">
        <f>IF((((0.326*F438^0.818)-(0.398*F438^0.85)/(1-H438)*H438)*(MAX('Max rate concentrations'!$Q$3:$Q$368)))/F438&gt; 0, (((0.326*F438^0.818)-(0.398*F438^0.85)/(1-H438)*H438)*(MAX('Max rate concentrations'!$Q$3:$Q$368)))/F438, 0)</f>
        <v>0</v>
      </c>
      <c r="O438" s="70">
        <f>((MAX('Max rate concentrations'!$F$3:$F$368))*0.62*6.01*8*(12.3*F438^0.65)*0.079*0.1/F438)*inputs!$E$73/inputs!$E$74</f>
        <v>8.8253234964549137</v>
      </c>
      <c r="P438" s="70">
        <f>((MAX('Max rate concentrations'!Y:Y))*0.62*6.01*8*(12.3*F438^0.65)*0.079*0.1/F438)*inputs!$E$73/inputs!$E$74</f>
        <v>2.9417744988183046</v>
      </c>
      <c r="Q438" s="70">
        <f>(inputs!$C$18*11.2*(12.3*F438^0.65)*0.5/F438)*inputs!$E$73/inputs!$E$74</f>
        <v>1.5545391085731188</v>
      </c>
      <c r="R438" s="60">
        <f>(60*379*((F438/1000)^0.8)*3*24*(MAX('Max rate concentrations'!$R$3:$R$368))/F438)*(inputs!$E$73/inputs!$E$75)</f>
        <v>6.2134678423824584E-3</v>
      </c>
      <c r="S438" s="60">
        <f>(IF(inputs!$C$17="aerial",((0.025*0.112*inputs!$C$18/3.3)*(3*60*379*((F438/1000)^0.8))*MAX(inputs!$I$14:$I$16))/F438,((0.0083*0.112*inputs!$C$18/1)*(3*60*379*((F438/1000)^0.8))*MAX(inputs!$I$14:$I$16))/F438))*(inputs!E$75/inputs!$E$73)</f>
        <v>3.4267656895697891E-2</v>
      </c>
      <c r="T438" s="63">
        <f>IF((((inputs!$P$13/(V438/MAX(K438:S438)))^(1/inputs!$O$13))-1)/inputs!$N$13&lt;0, 0, IF((((inputs!$P$13/(V438/MAX(K438:S438)))^(1/inputs!$O$13))-1)/inputs!$N$13&lt;inputs!$I$17, (((inputs!$P$13/(V438/MAX(K438:S438)))^(1/inputs!$O$13))-1)/inputs!$N$13, inputs!$I$17))</f>
        <v>395.08143749949534</v>
      </c>
      <c r="U438" s="63">
        <f>IF((((inputs!$P$13/(X438/MAX(K438:S438)))^(1/inputs!$O$13))-1)/inputs!$N$13&lt;0, 0, IF((((inputs!$P$13/(X438/MAX(K438:S438)))^(1/inputs!$O$13))-1)/inputs!$N$13&lt;inputs!$I$17, (((inputs!$P$13/(X438/MAX(K438:S438)))^(1/inputs!$O$13))-1)/inputs!$N$13, inputs!$I$17))</f>
        <v>13.498748402097833</v>
      </c>
      <c r="V438" s="54">
        <f>inputs!$E$70*(inputs!$F$70/F438)^(0.25)</f>
        <v>0.43635618827415074</v>
      </c>
      <c r="W438" s="54">
        <f>inputs!$E$76*(inputs!$F$76/F438)^(0.25)</f>
        <v>0.13124771128141996</v>
      </c>
      <c r="X438" s="54">
        <f>inputs!$E$72*(inputs!$F$72/F438)^(0.25)</f>
        <v>19.251008306212533</v>
      </c>
      <c r="Y438" s="54" t="s">
        <v>13</v>
      </c>
      <c r="Z438" s="106">
        <f t="shared" si="42"/>
        <v>202.56099197402079</v>
      </c>
      <c r="AA438" s="106">
        <f t="shared" si="43"/>
        <v>673.44978047877987</v>
      </c>
    </row>
    <row r="439" spans="1:27" x14ac:dyDescent="0.25">
      <c r="A439" s="55" t="s">
        <v>452</v>
      </c>
      <c r="B439" s="49" t="s">
        <v>458</v>
      </c>
      <c r="C439" s="21" t="s">
        <v>61</v>
      </c>
      <c r="D439" s="20" t="s">
        <v>454</v>
      </c>
      <c r="E439" s="20">
        <v>10010</v>
      </c>
      <c r="F439" s="21">
        <v>17700</v>
      </c>
      <c r="G439" s="21" t="s">
        <v>138</v>
      </c>
      <c r="H439" s="21">
        <v>0.68</v>
      </c>
      <c r="I439" s="68">
        <f>MAX('Max rate concentrations'!$L$3:$L$368)</f>
        <v>350.52744091332482</v>
      </c>
      <c r="J439" s="68">
        <f>MAX('Max rate concentrations'!AD:AD)</f>
        <v>242.38599637623525</v>
      </c>
      <c r="K439" s="70">
        <f t="shared" si="50"/>
        <v>45.133671618499527</v>
      </c>
      <c r="L439" s="70">
        <f t="shared" si="51"/>
        <v>31.209453778749669</v>
      </c>
      <c r="M439" s="70">
        <f>IF((((0.326*F439^0.818)-(0.398*F439^0.85)/(1-H439)*H439)*(MAX('Max rate concentrations'!$P$3:$P$368)))/F439&gt;0, (((0.326*F439^0.818)-(0.398*F439^0.85)/(1-H439)*H439)*(MAX('Max rate concentrations'!$P$3:$P$368)))/F439, 0)</f>
        <v>0</v>
      </c>
      <c r="N439" s="70">
        <f>IF((((0.326*F439^0.818)-(0.398*F439^0.85)/(1-H439)*H439)*(MAX('Max rate concentrations'!$Q$3:$Q$368)))/F439&gt; 0, (((0.326*F439^0.818)-(0.398*F439^0.85)/(1-H439)*H439)*(MAX('Max rate concentrations'!$Q$3:$Q$368)))/F439, 0)</f>
        <v>0</v>
      </c>
      <c r="O439" s="70">
        <f>((MAX('Max rate concentrations'!$F$3:$F$368))*0.62*6.01*8*(12.3*F439^0.65)*0.079*0.1/F439)*inputs!$E$73/inputs!$E$74</f>
        <v>8.8253234964549137</v>
      </c>
      <c r="P439" s="70">
        <f>((MAX('Max rate concentrations'!Y:Y))*0.62*6.01*8*(12.3*F439^0.65)*0.079*0.1/F439)*inputs!$E$73/inputs!$E$74</f>
        <v>2.9417744988183046</v>
      </c>
      <c r="Q439" s="70">
        <f>(inputs!$C$18*11.2*(12.3*F439^0.65)*0.5/F439)*inputs!$E$73/inputs!$E$74</f>
        <v>1.5545391085731188</v>
      </c>
      <c r="R439" s="60">
        <f>(60*379*((F439/1000)^0.8)*3*24*(MAX('Max rate concentrations'!$R$3:$R$368))/F439)*(inputs!$E$73/inputs!$E$75)</f>
        <v>6.2134678423824584E-3</v>
      </c>
      <c r="S439" s="60">
        <f>(IF(inputs!$C$17="aerial",((0.025*0.112*inputs!$C$18/3.3)*(3*60*379*((F439/1000)^0.8))*MAX(inputs!$I$14:$I$16))/F439,((0.0083*0.112*inputs!$C$18/1)*(3*60*379*((F439/1000)^0.8))*MAX(inputs!$I$14:$I$16))/F439))*(inputs!E$75/inputs!$E$73)</f>
        <v>3.4267656895697891E-2</v>
      </c>
      <c r="T439" s="63">
        <f>IF((((inputs!$P$13/(V439/MAX(K439:S439)))^(1/inputs!$O$13))-1)/inputs!$N$13&lt;0, 0, IF((((inputs!$P$13/(V439/MAX(K439:S439)))^(1/inputs!$O$13))-1)/inputs!$N$13&lt;inputs!$I$17, (((inputs!$P$13/(V439/MAX(K439:S439)))^(1/inputs!$O$13))-1)/inputs!$N$13, inputs!$I$17))</f>
        <v>227.23232732254178</v>
      </c>
      <c r="U439" s="63">
        <f>IF((((inputs!$P$13/(X439/MAX(K439:S439)))^(1/inputs!$O$13))-1)/inputs!$N$13&lt;0, 0, IF((((inputs!$P$13/(X439/MAX(K439:S439)))^(1/inputs!$O$13))-1)/inputs!$N$13&lt;inputs!$I$17, (((inputs!$P$13/(X439/MAX(K439:S439)))^(1/inputs!$O$13))-1)/inputs!$N$13, inputs!$I$17))</f>
        <v>5.6468957898731365</v>
      </c>
      <c r="V439" s="54">
        <f>inputs!$E$70*(inputs!$F$70/F439)^(0.25)</f>
        <v>0.43635618827415074</v>
      </c>
      <c r="W439" s="54">
        <f>inputs!$E$76*(inputs!$F$76/F439)^(0.25)</f>
        <v>0.13124771128141996</v>
      </c>
      <c r="X439" s="54">
        <f>inputs!$E$72*(inputs!$F$72/F439)^(0.25)</f>
        <v>19.251008306212533</v>
      </c>
      <c r="Y439" s="54" t="s">
        <v>13</v>
      </c>
      <c r="Z439" s="106">
        <f t="shared" si="42"/>
        <v>103.4330962441703</v>
      </c>
      <c r="AA439" s="106">
        <f t="shared" si="43"/>
        <v>343.88158984139835</v>
      </c>
    </row>
    <row r="440" spans="1:27" x14ac:dyDescent="0.25">
      <c r="A440" s="55" t="s">
        <v>452</v>
      </c>
      <c r="B440" s="49" t="s">
        <v>458</v>
      </c>
      <c r="C440" s="21" t="s">
        <v>61</v>
      </c>
      <c r="D440" s="20" t="s">
        <v>454</v>
      </c>
      <c r="E440" s="20">
        <v>10010</v>
      </c>
      <c r="F440" s="21">
        <v>17700</v>
      </c>
      <c r="G440" s="21" t="s">
        <v>186</v>
      </c>
      <c r="H440" s="21">
        <v>0.75</v>
      </c>
      <c r="I440" s="68">
        <f>inputs!$C$66*inputs!$C$64/1000</f>
        <v>21.3</v>
      </c>
      <c r="J440" s="68">
        <f>inputs!$C$66*inputs!$C$63/1000</f>
        <v>8.8000000000000007</v>
      </c>
      <c r="K440" s="70">
        <f t="shared" si="50"/>
        <v>3.5104938426519463</v>
      </c>
      <c r="L440" s="70">
        <f t="shared" si="51"/>
        <v>1.4503448739594897</v>
      </c>
      <c r="M440" s="70">
        <f>IF((((0.326*F440^0.818)-(0.398*F440^0.85)/(1-H440)*H440)*(MAX('Max rate concentrations'!$P$3:$P$368)))/F440&gt;0, (((0.326*F440^0.818)-(0.398*F440^0.85)/(1-H440)*H440)*(MAX('Max rate concentrations'!$P$3:$P$368)))/F440, 0)</f>
        <v>0</v>
      </c>
      <c r="N440" s="70">
        <f>IF((((0.326*F440^0.818)-(0.398*F440^0.85)/(1-H440)*H440)*(MAX('Max rate concentrations'!$Q$3:$Q$368)))/F440&gt; 0, (((0.326*F440^0.818)-(0.398*F440^0.85)/(1-H440)*H440)*(MAX('Max rate concentrations'!$Q$3:$Q$368)))/F440, 0)</f>
        <v>0</v>
      </c>
      <c r="O440" s="70">
        <f>((MAX('Max rate concentrations'!$F$3:$F$368))*0.62*6.01*8*(12.3*F440^0.65)*0.079*0.1/F440)*inputs!$E$73/inputs!$E$74</f>
        <v>8.8253234964549137</v>
      </c>
      <c r="P440" s="70">
        <f>((MAX('Max rate concentrations'!Y:Y))*0.62*6.01*8*(12.3*F440^0.65)*0.079*0.1/F440)*inputs!$E$73/inputs!$E$74</f>
        <v>2.9417744988183046</v>
      </c>
      <c r="Q440" s="70">
        <f>(inputs!$C$18*11.2*(12.3*F440^0.65)*0.5/F440)*inputs!$E$73/inputs!$E$74</f>
        <v>1.5545391085731188</v>
      </c>
      <c r="R440" s="60">
        <f>(60*379*((F440/1000)^0.8)*3*24*(MAX('Max rate concentrations'!$R$3:$R$368))/F440)*(inputs!$E$73/inputs!$E$75)</f>
        <v>6.2134678423824584E-3</v>
      </c>
      <c r="S440" s="60">
        <f>(IF(inputs!$C$17="aerial",((0.025*0.112*inputs!$C$18/3.3)*(3*60*379*((F440/1000)^0.8))*MAX(inputs!$I$14:$I$16))/F440,((0.0083*0.112*inputs!$C$18/1)*(3*60*379*((F440/1000)^0.8))*MAX(inputs!$I$14:$I$16))/F440))*(inputs!E$75/inputs!$E$73)</f>
        <v>3.4267656895697891E-2</v>
      </c>
      <c r="T440" s="63">
        <f>IF((((inputs!$P$13/(V440/MAX(K440:S440)))^(1/inputs!$O$13))-1)/inputs!$N$13&lt;0, 0, IF((((inputs!$P$13/(V440/MAX(K440:S440)))^(1/inputs!$O$13))-1)/inputs!$N$13&lt;inputs!$I$17, (((inputs!$P$13/(V440/MAX(K440:S440)))^(1/inputs!$O$13))-1)/inputs!$N$13, inputs!$I$17))</f>
        <v>56.886309141696863</v>
      </c>
      <c r="U440" s="63">
        <f>IF((((inputs!$P$13/(X440/MAX(K440:S440)))^(1/inputs!$O$13))-1)/inputs!$N$13&lt;0, 0, IF((((inputs!$P$13/(X440/MAX(K440:S440)))^(1/inputs!$O$13))-1)/inputs!$N$13&lt;inputs!$I$17, (((inputs!$P$13/(X440/MAX(K440:S440)))^(1/inputs!$O$13))-1)/inputs!$N$13, inputs!$I$17))</f>
        <v>0</v>
      </c>
      <c r="V440" s="54">
        <f>inputs!$E$70*(inputs!$F$70/F440)^(0.25)</f>
        <v>0.43635618827415074</v>
      </c>
      <c r="W440" s="54">
        <f>inputs!$E$76*(inputs!$F$76/F440)^(0.25)</f>
        <v>0.13124771128141996</v>
      </c>
      <c r="X440" s="54">
        <f>inputs!$E$72*(inputs!$F$72/F440)^(0.25)</f>
        <v>19.251008306212533</v>
      </c>
      <c r="Y440" s="54" t="s">
        <v>13</v>
      </c>
      <c r="Z440" s="106">
        <f t="shared" si="42"/>
        <v>20.225044891331304</v>
      </c>
      <c r="AA440" s="106">
        <f t="shared" si="43"/>
        <v>67.241732524628546</v>
      </c>
    </row>
    <row r="441" spans="1:27" x14ac:dyDescent="0.25">
      <c r="A441" s="55" t="s">
        <v>452</v>
      </c>
      <c r="B441" s="49" t="s">
        <v>458</v>
      </c>
      <c r="C441" s="21" t="s">
        <v>61</v>
      </c>
      <c r="D441" s="20" t="s">
        <v>454</v>
      </c>
      <c r="E441" s="20">
        <v>10010</v>
      </c>
      <c r="F441" s="21">
        <v>17700</v>
      </c>
      <c r="G441" s="21" t="s">
        <v>152</v>
      </c>
      <c r="H441" s="21">
        <v>0.77</v>
      </c>
      <c r="I441" s="68">
        <f>MAX('Max rate concentrations'!$G$3:$G$368)</f>
        <v>45</v>
      </c>
      <c r="J441" s="68">
        <f>MAX('Max rate concentrations'!Z:Z)</f>
        <v>21</v>
      </c>
      <c r="K441" s="70">
        <f t="shared" si="50"/>
        <v>8.0614524861878749</v>
      </c>
      <c r="L441" s="70">
        <f t="shared" si="51"/>
        <v>3.7620111602210082</v>
      </c>
      <c r="M441" s="70">
        <f>IF((((0.326*F441^0.818)-(0.398*F441^0.85)/(1-H441)*H441)*(MAX('Max rate concentrations'!$P$3:$P$368)))/F441&gt;0, (((0.326*F441^0.818)-(0.398*F441^0.85)/(1-H441)*H441)*(MAX('Max rate concentrations'!$P$3:$P$368)))/F441, 0)</f>
        <v>0</v>
      </c>
      <c r="N441" s="70">
        <f>IF((((0.326*F441^0.818)-(0.398*F441^0.85)/(1-H441)*H441)*(MAX('Max rate concentrations'!$Q$3:$Q$368)))/F441&gt; 0, (((0.326*F441^0.818)-(0.398*F441^0.85)/(1-H441)*H441)*(MAX('Max rate concentrations'!$Q$3:$Q$368)))/F441, 0)</f>
        <v>0</v>
      </c>
      <c r="O441" s="70">
        <f>((MAX('Max rate concentrations'!$F$3:$F$368))*0.62*6.01*8*(12.3*F441^0.65)*0.079*0.1/F441)*inputs!$E$73/inputs!$E$74</f>
        <v>8.8253234964549137</v>
      </c>
      <c r="P441" s="70">
        <f>((MAX('Max rate concentrations'!Y:Y))*0.62*6.01*8*(12.3*F441^0.65)*0.079*0.1/F441)*inputs!$E$73/inputs!$E$74</f>
        <v>2.9417744988183046</v>
      </c>
      <c r="Q441" s="70">
        <f>(inputs!$C$18*11.2*(12.3*F441^0.65)*0.5/F441)*inputs!$E$73/inputs!$E$74</f>
        <v>1.5545391085731188</v>
      </c>
      <c r="R441" s="60">
        <f>(60*379*((F441/1000)^0.8)*3*24*(MAX('Max rate concentrations'!$R$3:$R$368))/F441)*(inputs!$E$73/inputs!$E$75)</f>
        <v>6.2134678423824584E-3</v>
      </c>
      <c r="S441" s="60">
        <f>(IF(inputs!$C$17="aerial",((0.025*0.112*inputs!$C$18/3.3)*(3*60*379*((F441/1000)^0.8))*MAX(inputs!$I$14:$I$16))/F441,((0.0083*0.112*inputs!$C$18/1)*(3*60*379*((F441/1000)^0.8))*MAX(inputs!$I$14:$I$16))/F441))*(inputs!E$75/inputs!$E$73)</f>
        <v>3.4267656895697891E-2</v>
      </c>
      <c r="T441" s="63">
        <f>IF((((inputs!$P$13/(V441/MAX(K441:S441)))^(1/inputs!$O$13))-1)/inputs!$N$13&lt;0, 0, IF((((inputs!$P$13/(V441/MAX(K441:S441)))^(1/inputs!$O$13))-1)/inputs!$N$13&lt;inputs!$I$17, (((inputs!$P$13/(V441/MAX(K441:S441)))^(1/inputs!$O$13))-1)/inputs!$N$13, inputs!$I$17))</f>
        <v>56.886309141696863</v>
      </c>
      <c r="U441" s="63">
        <f>IF((((inputs!$P$13/(X441/MAX(K441:S441)))^(1/inputs!$O$13))-1)/inputs!$N$13&lt;0, 0, IF((((inputs!$P$13/(X441/MAX(K441:S441)))^(1/inputs!$O$13))-1)/inputs!$N$13&lt;inputs!$I$17, (((inputs!$P$13/(X441/MAX(K441:S441)))^(1/inputs!$O$13))-1)/inputs!$N$13, inputs!$I$17))</f>
        <v>0</v>
      </c>
      <c r="V441" s="54">
        <f>inputs!$E$70*(inputs!$F$70/F441)^(0.25)</f>
        <v>0.43635618827415074</v>
      </c>
      <c r="W441" s="54">
        <f>inputs!$E$76*(inputs!$F$76/F441)^(0.25)</f>
        <v>0.13124771128141996</v>
      </c>
      <c r="X441" s="54">
        <f>inputs!$E$72*(inputs!$F$72/F441)^(0.25)</f>
        <v>19.251008306212533</v>
      </c>
      <c r="Y441" s="54" t="s">
        <v>13</v>
      </c>
      <c r="Z441" s="106">
        <f t="shared" si="42"/>
        <v>20.225044891331304</v>
      </c>
      <c r="AA441" s="106">
        <f t="shared" si="43"/>
        <v>67.241732524628546</v>
      </c>
    </row>
    <row r="442" spans="1:27" x14ac:dyDescent="0.25">
      <c r="A442" s="55" t="s">
        <v>452</v>
      </c>
      <c r="B442" s="49" t="s">
        <v>458</v>
      </c>
      <c r="C442" s="21" t="s">
        <v>61</v>
      </c>
      <c r="D442" s="20" t="s">
        <v>454</v>
      </c>
      <c r="E442" s="20">
        <v>10010</v>
      </c>
      <c r="F442" s="21">
        <v>17700</v>
      </c>
      <c r="G442" s="21" t="s">
        <v>455</v>
      </c>
      <c r="H442" s="21">
        <v>0.68</v>
      </c>
      <c r="I442" s="71">
        <f>MAX('Max rate concentrations'!$K$3:$K$368)</f>
        <v>110.00035859694511</v>
      </c>
      <c r="J442" s="71">
        <f>MAX('Max rate concentrations'!AC:AC)</f>
        <v>38.958460336418057</v>
      </c>
      <c r="K442" s="70">
        <f t="shared" si="50"/>
        <v>14.163570332456059</v>
      </c>
      <c r="L442" s="70">
        <f t="shared" si="51"/>
        <v>5.0162644927448534</v>
      </c>
      <c r="M442" s="70">
        <f>IF((((0.326*F442^0.818)-(0.398*F442^0.85)/(1-H442)*H442)*(MAX('Max rate concentrations'!$P$3:$P$368)))/F442&gt;0, (((0.326*F442^0.818)-(0.398*F442^0.85)/(1-H442)*H442)*(MAX('Max rate concentrations'!$P$3:$P$368)))/F442, 0)</f>
        <v>0</v>
      </c>
      <c r="N442" s="70">
        <f>IF((((0.326*F442^0.818)-(0.398*F442^0.85)/(1-H442)*H442)*(MAX('Max rate concentrations'!$Q$3:$Q$368)))/F442&gt; 0, (((0.326*F442^0.818)-(0.398*F442^0.85)/(1-H442)*H442)*(MAX('Max rate concentrations'!$Q$3:$Q$368)))/F442, 0)</f>
        <v>0</v>
      </c>
      <c r="O442" s="70">
        <f>((MAX('Max rate concentrations'!$F$3:$F$368))*0.62*6.01*8*(12.3*F442^0.65)*0.079*0.1/F442)*inputs!$E$73/inputs!$E$74</f>
        <v>8.8253234964549137</v>
      </c>
      <c r="P442" s="70">
        <f>((MAX('Max rate concentrations'!Y:Y))*0.62*6.01*8*(12.3*F442^0.65)*0.079*0.1/F442)*inputs!$E$73/inputs!$E$74</f>
        <v>2.9417744988183046</v>
      </c>
      <c r="Q442" s="70">
        <f>(inputs!$C$18*11.2*(12.3*F442^0.65)*0.5/F442)*inputs!$E$73/inputs!$E$74</f>
        <v>1.5545391085731188</v>
      </c>
      <c r="R442" s="60">
        <f>(60*379*((F442/1000)^0.8)*3*24*(MAX('Max rate concentrations'!$R$3:$R$368))/F442)*(inputs!$E$73/inputs!$E$75)</f>
        <v>6.2134678423824584E-3</v>
      </c>
      <c r="S442" s="60">
        <f>(IF(inputs!$C$17="aerial",((0.025*0.112*inputs!$C$18/3.3)*(3*60*379*((F442/1000)^0.8))*MAX(inputs!$I$14:$I$16))/F442,((0.0083*0.112*inputs!$C$18/1)*(3*60*379*((F442/1000)^0.8))*MAX(inputs!$I$14:$I$16))/F442))*(inputs!E$75/inputs!$E$73)</f>
        <v>3.4267656895697891E-2</v>
      </c>
      <c r="T442" s="63">
        <f>IF((((inputs!$P$13/(V442/MAX(K442:S442)))^(1/inputs!$O$13))-1)/inputs!$N$13&lt;0, 0, IF((((inputs!$P$13/(V442/MAX(K442:S442)))^(1/inputs!$O$13))-1)/inputs!$N$13&lt;inputs!$I$17, (((inputs!$P$13/(V442/MAX(K442:S442)))^(1/inputs!$O$13))-1)/inputs!$N$13, inputs!$I$17))</f>
        <v>85.831436450554065</v>
      </c>
      <c r="U442" s="63">
        <f>IF((((inputs!$P$13/(X442/MAX(K442:S442)))^(1/inputs!$O$13))-1)/inputs!$N$13&lt;0, 0, IF((((inputs!$P$13/(X442/MAX(K442:S442)))^(1/inputs!$O$13))-1)/inputs!$N$13&lt;inputs!$I$17, (((inputs!$P$13/(X442/MAX(K442:S442)))^(1/inputs!$O$13))-1)/inputs!$N$13, inputs!$I$17))</f>
        <v>0</v>
      </c>
      <c r="V442" s="54">
        <f>inputs!$E$70*(inputs!$F$70/F442)^(0.25)</f>
        <v>0.43635618827415074</v>
      </c>
      <c r="W442" s="54">
        <f>inputs!$E$76*(inputs!$F$76/F442)^(0.25)</f>
        <v>0.13124771128141996</v>
      </c>
      <c r="X442" s="54">
        <f>inputs!$E$72*(inputs!$F$72/F442)^(0.25)</f>
        <v>19.251008306212533</v>
      </c>
      <c r="Y442" s="54" t="s">
        <v>13</v>
      </c>
      <c r="Z442" s="106">
        <f t="shared" si="42"/>
        <v>32.458736035061044</v>
      </c>
      <c r="AA442" s="106">
        <f t="shared" si="43"/>
        <v>107.91479862141504</v>
      </c>
    </row>
    <row r="443" spans="1:27" x14ac:dyDescent="0.25">
      <c r="A443" s="55" t="s">
        <v>452</v>
      </c>
      <c r="B443" s="49" t="s">
        <v>458</v>
      </c>
      <c r="C443" s="21" t="s">
        <v>61</v>
      </c>
      <c r="D443" s="20" t="s">
        <v>454</v>
      </c>
      <c r="E443" s="20">
        <v>10010</v>
      </c>
      <c r="F443" s="21">
        <v>17700</v>
      </c>
      <c r="G443" s="21" t="s">
        <v>456</v>
      </c>
      <c r="H443" s="21">
        <v>0.68</v>
      </c>
      <c r="I443" s="68">
        <f>MAX('Max rate concentrations'!$J$3:$J$368)</f>
        <v>686.46486205830786</v>
      </c>
      <c r="J443" s="68">
        <f>MAX('Max rate concentrations'!AB:AB)</f>
        <v>243.122971978984</v>
      </c>
      <c r="K443" s="70">
        <f t="shared" si="50"/>
        <v>88.388742350814553</v>
      </c>
      <c r="L443" s="70">
        <f t="shared" si="51"/>
        <v>31.304346249246816</v>
      </c>
      <c r="M443" s="70">
        <f>IF((((0.326*F443^0.818)-(0.398*F443^0.85)/(1-H443)*H443)*(MAX('Max rate concentrations'!$P$3:$P$368)))/F443&gt;0, (((0.326*F443^0.818)-(0.398*F443^0.85)/(1-H443)*H443)*(MAX('Max rate concentrations'!$P$3:$P$368)))/F443, 0)</f>
        <v>0</v>
      </c>
      <c r="N443" s="70">
        <f>IF((((0.326*F443^0.818)-(0.398*F443^0.85)/(1-H443)*H443)*(MAX('Max rate concentrations'!$Q$3:$Q$368)))/F443&gt; 0, (((0.326*F443^0.818)-(0.398*F443^0.85)/(1-H443)*H443)*(MAX('Max rate concentrations'!$Q$3:$Q$368)))/F443, 0)</f>
        <v>0</v>
      </c>
      <c r="O443" s="70">
        <f>((MAX('Max rate concentrations'!$F$3:$F$368))*0.62*6.01*8*(12.3*F443^0.65)*0.079*0.1/F443)*inputs!$E$73/inputs!$E$74</f>
        <v>8.8253234964549137</v>
      </c>
      <c r="P443" s="70">
        <f>((MAX('Max rate concentrations'!Y:Y))*0.62*6.01*8*(12.3*F443^0.65)*0.079*0.1/F443)*inputs!$E$73/inputs!$E$74</f>
        <v>2.9417744988183046</v>
      </c>
      <c r="Q443" s="70">
        <f>(inputs!$C$18*11.2*(12.3*F443^0.65)*0.5/F443)*inputs!$E$73/inputs!$E$74</f>
        <v>1.5545391085731188</v>
      </c>
      <c r="R443" s="60">
        <f>(60*379*((F443/1000)^0.8)*3*24*(MAX('Max rate concentrations'!$R$3:$R$368))/F443)*(inputs!$E$73/inputs!$E$75)</f>
        <v>6.2134678423824584E-3</v>
      </c>
      <c r="S443" s="60">
        <f>(IF(inputs!$C$17="aerial",((0.025*0.112*inputs!$C$18/3.3)*(3*60*379*((F443/1000)^0.8))*MAX(inputs!$I$14:$I$16))/F443,((0.0083*0.112*inputs!$C$18/1)*(3*60*379*((F443/1000)^0.8))*MAX(inputs!$I$14:$I$16))/F443))*(inputs!E$75/inputs!$E$73)</f>
        <v>3.4267656895697891E-2</v>
      </c>
      <c r="T443" s="63">
        <f>IF((((inputs!$P$13/(V443/MAX(K443:S443)))^(1/inputs!$O$13))-1)/inputs!$N$13&lt;0, 0, IF((((inputs!$P$13/(V443/MAX(K443:S443)))^(1/inputs!$O$13))-1)/inputs!$N$13&lt;inputs!$I$17, (((inputs!$P$13/(V443/MAX(K443:S443)))^(1/inputs!$O$13))-1)/inputs!$N$13, inputs!$I$17))</f>
        <v>395.08143749949534</v>
      </c>
      <c r="U443" s="63">
        <f>IF((((inputs!$P$13/(X443/MAX(K443:S443)))^(1/inputs!$O$13))-1)/inputs!$N$13&lt;0, 0, IF((((inputs!$P$13/(X443/MAX(K443:S443)))^(1/inputs!$O$13))-1)/inputs!$N$13&lt;inputs!$I$17, (((inputs!$P$13/(X443/MAX(K443:S443)))^(1/inputs!$O$13))-1)/inputs!$N$13, inputs!$I$17))</f>
        <v>13.498748402097833</v>
      </c>
      <c r="V443" s="54">
        <f>inputs!$E$70*(inputs!$F$70/F443)^(0.25)</f>
        <v>0.43635618827415074</v>
      </c>
      <c r="W443" s="54">
        <f>inputs!$E$76*(inputs!$F$76/F443)^(0.25)</f>
        <v>0.13124771128141996</v>
      </c>
      <c r="X443" s="54">
        <f>inputs!$E$72*(inputs!$F$72/F443)^(0.25)</f>
        <v>19.251008306212533</v>
      </c>
      <c r="Y443" s="54" t="s">
        <v>13</v>
      </c>
      <c r="Z443" s="106">
        <f t="shared" si="42"/>
        <v>202.56099197402079</v>
      </c>
      <c r="AA443" s="106">
        <f t="shared" si="43"/>
        <v>673.44978047877987</v>
      </c>
    </row>
    <row r="444" spans="1:27" ht="26.4" x14ac:dyDescent="0.25">
      <c r="A444" s="55" t="s">
        <v>604</v>
      </c>
      <c r="B444" s="49" t="s">
        <v>607</v>
      </c>
      <c r="C444" s="21" t="s">
        <v>61</v>
      </c>
      <c r="D444" s="20" t="s">
        <v>454</v>
      </c>
      <c r="E444" s="20">
        <v>7753</v>
      </c>
      <c r="F444" s="21">
        <v>113000</v>
      </c>
      <c r="G444" s="21" t="s">
        <v>142</v>
      </c>
      <c r="H444" s="21">
        <v>0.69</v>
      </c>
      <c r="I444" s="68">
        <f>MAX('Max rate concentrations'!$H$3:$H$368)</f>
        <v>282</v>
      </c>
      <c r="J444" s="68">
        <f>MAX('Max rate concentrations'!AA:AA)</f>
        <v>195</v>
      </c>
      <c r="K444" s="70">
        <f t="shared" si="50"/>
        <v>26.946807122387018</v>
      </c>
      <c r="L444" s="70">
        <f t="shared" si="51"/>
        <v>18.633430456969748</v>
      </c>
      <c r="M444" s="70">
        <f>IF((((0.326*F444^0.818)-(0.398*F444^0.85)/(1-H444)*H444)*(MAX('Max rate concentrations'!$P$3:$P$368)))/F444&gt;0, (((0.326*F444^0.818)-(0.398*F444^0.85)/(1-H444)*H444)*(MAX('Max rate concentrations'!$P$3:$P$368)))/F444, 0)</f>
        <v>0</v>
      </c>
      <c r="N444" s="70">
        <f>IF((((0.326*F444^0.818)-(0.398*F444^0.85)/(1-H444)*H444)*(MAX('Max rate concentrations'!$Q$3:$Q$368)))/F444&gt; 0, (((0.326*F444^0.818)-(0.398*F444^0.85)/(1-H444)*H444)*(MAX('Max rate concentrations'!$Q$3:$Q$368)))/F444, 0)</f>
        <v>0</v>
      </c>
      <c r="O444" s="70">
        <f>((MAX('Max rate concentrations'!$F$3:$F$368))*0.62*6.01*8*(12.3*F444^0.65)*0.079*0.1/F444)*inputs!$E$73/inputs!$E$74</f>
        <v>4.6125790446588066</v>
      </c>
      <c r="P444" s="70">
        <f>((MAX('Max rate concentrations'!Y:Y))*0.62*6.01*8*(12.3*F444^0.65)*0.079*0.1/F444)*inputs!$E$73/inputs!$E$74</f>
        <v>1.5375263482196024</v>
      </c>
      <c r="Q444" s="70">
        <f>(inputs!$C$18*11.2*(12.3*F444^0.65)*0.5/F444)*inputs!$E$73/inputs!$E$74</f>
        <v>0.81248404312740241</v>
      </c>
      <c r="R444" s="60">
        <f>(60*379*((F444/1000)^0.8)*3*24*(MAX('Max rate concentrations'!$R$3:$R$368))/F444)*(inputs!$E$73/inputs!$E$75)</f>
        <v>4.2885750988636978E-3</v>
      </c>
      <c r="S444" s="60">
        <f>(IF(inputs!$C$17="aerial",((0.025*0.112*inputs!$C$18/3.3)*(3*60*379*((F444/1000)^0.8))*MAX(inputs!$I$14:$I$16))/F444,((0.0083*0.112*inputs!$C$18/1)*(3*60*379*((F444/1000)^0.8))*MAX(inputs!$I$14:$I$16))/F444))*(inputs!E$75/inputs!$E$73)</f>
        <v>2.3651755153036337E-2</v>
      </c>
      <c r="T444" s="63">
        <f>IF((((inputs!$P$13/(V444/MAX(K444:S444)))^(1/inputs!$O$13))-1)/inputs!$N$13&lt;0, 0, IF((((inputs!$P$13/(V444/MAX(K444:S444)))^(1/inputs!$O$13))-1)/inputs!$N$13&lt;inputs!$I$17, (((inputs!$P$13/(V444/MAX(K444:S444)))^(1/inputs!$O$13))-1)/inputs!$N$13, inputs!$I$17))</f>
        <v>217.60438888714182</v>
      </c>
      <c r="U444" s="63">
        <f>IF((((inputs!$P$13/(X444/MAX(K444:S444)))^(1/inputs!$O$13))-1)/inputs!$N$13&lt;0, 0, IF((((inputs!$P$13/(X444/MAX(K444:S444)))^(1/inputs!$O$13))-1)/inputs!$N$13&lt;inputs!$I$17, (((inputs!$P$13/(X444/MAX(K444:S444)))^(1/inputs!$O$13))-1)/inputs!$N$13, inputs!$I$17))</f>
        <v>5.1965082157320781</v>
      </c>
      <c r="V444" s="54">
        <f>inputs!$E$70*(inputs!$F$70/F444)^(0.25)</f>
        <v>0.27451421938065973</v>
      </c>
      <c r="W444" s="54">
        <f>inputs!$E$76*(inputs!$F$76/F444)^(0.25)</f>
        <v>8.2568699553496286E-2</v>
      </c>
      <c r="X444" s="54">
        <f>inputs!$E$72*(inputs!$F$72/F444)^(0.25)</f>
        <v>12.110921443264401</v>
      </c>
      <c r="Y444" s="54" t="s">
        <v>13</v>
      </c>
      <c r="Z444" s="106">
        <f t="shared" si="42"/>
        <v>98.161789881713844</v>
      </c>
      <c r="AA444" s="106">
        <f t="shared" si="43"/>
        <v>326.35620117679309</v>
      </c>
    </row>
    <row r="445" spans="1:27" ht="26.4" x14ac:dyDescent="0.25">
      <c r="A445" s="55" t="s">
        <v>604</v>
      </c>
      <c r="B445" s="49" t="s">
        <v>607</v>
      </c>
      <c r="C445" s="21" t="s">
        <v>61</v>
      </c>
      <c r="D445" s="20" t="s">
        <v>454</v>
      </c>
      <c r="E445" s="20">
        <v>7753</v>
      </c>
      <c r="F445" s="21">
        <v>113000</v>
      </c>
      <c r="G445" s="21" t="s">
        <v>218</v>
      </c>
      <c r="H445" s="21">
        <v>0.68</v>
      </c>
      <c r="I445" s="68">
        <f>MAX('Max rate concentrations'!$K$3:$K$368)</f>
        <v>110.00035859694511</v>
      </c>
      <c r="J445" s="68">
        <f>MAX('Max rate concentrations'!AC:AC)</f>
        <v>38.958460336418057</v>
      </c>
      <c r="K445" s="70">
        <f t="shared" si="50"/>
        <v>10.182725159758855</v>
      </c>
      <c r="L445" s="70">
        <f t="shared" si="51"/>
        <v>3.606381827414594</v>
      </c>
      <c r="M445" s="70">
        <f>IF((((0.326*F445^0.818)-(0.398*F445^0.85)/(1-H445)*H445)*(MAX('Max rate concentrations'!$P$3:$P$368)))/F445&gt;0, (((0.326*F445^0.818)-(0.398*F445^0.85)/(1-H445)*H445)*(MAX('Max rate concentrations'!$P$3:$P$368)))/F445, 0)</f>
        <v>0</v>
      </c>
      <c r="N445" s="70">
        <f>IF((((0.326*F445^0.818)-(0.398*F445^0.85)/(1-H445)*H445)*(MAX('Max rate concentrations'!$Q$3:$Q$368)))/F445&gt; 0, (((0.326*F445^0.818)-(0.398*F445^0.85)/(1-H445)*H445)*(MAX('Max rate concentrations'!$Q$3:$Q$368)))/F445, 0)</f>
        <v>0</v>
      </c>
      <c r="O445" s="70">
        <f>((MAX('Max rate concentrations'!$F$3:$F$368))*0.62*6.01*8*(12.3*F445^0.65)*0.079*0.1/F445)*inputs!$E$73/inputs!$E$74</f>
        <v>4.6125790446588066</v>
      </c>
      <c r="P445" s="70">
        <f>((MAX('Max rate concentrations'!Y:Y))*0.62*6.01*8*(12.3*F445^0.65)*0.079*0.1/F445)*inputs!$E$73/inputs!$E$74</f>
        <v>1.5375263482196024</v>
      </c>
      <c r="Q445" s="70">
        <f>(inputs!$C$18*11.2*(12.3*F445^0.65)*0.5/F445)*inputs!$E$73/inputs!$E$74</f>
        <v>0.81248404312740241</v>
      </c>
      <c r="R445" s="60">
        <f>(60*379*((F445/1000)^0.8)*3*24*(MAX('Max rate concentrations'!$R$3:$R$368))/F445)*(inputs!$E$73/inputs!$E$75)</f>
        <v>4.2885750988636978E-3</v>
      </c>
      <c r="S445" s="60">
        <f>(IF(inputs!$C$17="aerial",((0.025*0.112*inputs!$C$18/3.3)*(3*60*379*((F445/1000)^0.8))*MAX(inputs!$I$14:$I$16))/F445,((0.0083*0.112*inputs!$C$18/1)*(3*60*379*((F445/1000)^0.8))*MAX(inputs!$I$14:$I$16))/F445))*(inputs!E$75/inputs!$E$73)</f>
        <v>2.3651755153036337E-2</v>
      </c>
      <c r="T445" s="63">
        <f>IF((((inputs!$P$13/(V445/MAX(K445:S445)))^(1/inputs!$O$13))-1)/inputs!$N$13&lt;0, 0, IF((((inputs!$P$13/(V445/MAX(K445:S445)))^(1/inputs!$O$13))-1)/inputs!$N$13&lt;inputs!$I$17, (((inputs!$P$13/(V445/MAX(K445:S445)))^(1/inputs!$O$13))-1)/inputs!$N$13, inputs!$I$17))</f>
        <v>96.210130452400122</v>
      </c>
      <c r="U445" s="63">
        <f>IF((((inputs!$P$13/(X445/MAX(K445:S445)))^(1/inputs!$O$13))-1)/inputs!$N$13&lt;0, 0, IF((((inputs!$P$13/(X445/MAX(K445:S445)))^(1/inputs!$O$13))-1)/inputs!$N$13&lt;inputs!$I$17, (((inputs!$P$13/(X445/MAX(K445:S445)))^(1/inputs!$O$13))-1)/inputs!$N$13, inputs!$I$17))</f>
        <v>0</v>
      </c>
      <c r="V445" s="54">
        <f>inputs!$E$70*(inputs!$F$70/F445)^(0.25)</f>
        <v>0.27451421938065973</v>
      </c>
      <c r="W445" s="54">
        <f>inputs!$E$76*(inputs!$F$76/F445)^(0.25)</f>
        <v>8.2568699553496286E-2</v>
      </c>
      <c r="X445" s="54">
        <f>inputs!$E$72*(inputs!$F$72/F445)^(0.25)</f>
        <v>12.110921443264401</v>
      </c>
      <c r="Y445" s="54" t="s">
        <v>13</v>
      </c>
      <c r="Z445" s="106">
        <f t="shared" si="42"/>
        <v>37.093616435361433</v>
      </c>
      <c r="AA445" s="106">
        <f t="shared" si="43"/>
        <v>123.32427681220126</v>
      </c>
    </row>
    <row r="446" spans="1:27" ht="26.4" x14ac:dyDescent="0.25">
      <c r="A446" s="55" t="s">
        <v>604</v>
      </c>
      <c r="B446" s="49" t="s">
        <v>607</v>
      </c>
      <c r="C446" s="21" t="s">
        <v>61</v>
      </c>
      <c r="D446" s="20" t="s">
        <v>454</v>
      </c>
      <c r="E446" s="20">
        <v>7753</v>
      </c>
      <c r="F446" s="21">
        <v>113000</v>
      </c>
      <c r="G446" s="21" t="s">
        <v>186</v>
      </c>
      <c r="H446" s="21">
        <v>0.75</v>
      </c>
      <c r="I446" s="68">
        <f>inputs!$C$66*inputs!$C$64/1000</f>
        <v>21.3</v>
      </c>
      <c r="J446" s="68">
        <f>inputs!$C$66*inputs!$C$63/1000</f>
        <v>8.8000000000000007</v>
      </c>
      <c r="K446" s="70">
        <f t="shared" si="50"/>
        <v>2.5238264883563333</v>
      </c>
      <c r="L446" s="70">
        <f t="shared" si="51"/>
        <v>1.0427076571613021</v>
      </c>
      <c r="M446" s="70">
        <f>IF((((0.326*F446^0.818)-(0.398*F446^0.85)/(1-H446)*H446)*(MAX('Max rate concentrations'!$P$3:$P$368)))/F446&gt;0, (((0.326*F446^0.818)-(0.398*F446^0.85)/(1-H446)*H446)*(MAX('Max rate concentrations'!$P$3:$P$368)))/F446, 0)</f>
        <v>0</v>
      </c>
      <c r="N446" s="70">
        <f>IF((((0.326*F446^0.818)-(0.398*F446^0.85)/(1-H446)*H446)*(MAX('Max rate concentrations'!$Q$3:$Q$368)))/F446&gt; 0, (((0.326*F446^0.818)-(0.398*F446^0.85)/(1-H446)*H446)*(MAX('Max rate concentrations'!$Q$3:$Q$368)))/F446, 0)</f>
        <v>0</v>
      </c>
      <c r="O446" s="70">
        <f>((MAX('Max rate concentrations'!$F$3:$F$368))*0.62*6.01*8*(12.3*F446^0.65)*0.079*0.1/F446)*inputs!$E$73/inputs!$E$74</f>
        <v>4.6125790446588066</v>
      </c>
      <c r="P446" s="70">
        <f>((MAX('Max rate concentrations'!Y:Y))*0.62*6.01*8*(12.3*F446^0.65)*0.079*0.1/F446)*inputs!$E$73/inputs!$E$74</f>
        <v>1.5375263482196024</v>
      </c>
      <c r="Q446" s="70">
        <f>(inputs!$C$18*11.2*(12.3*F446^0.65)*0.5/F446)*inputs!$E$73/inputs!$E$74</f>
        <v>0.81248404312740241</v>
      </c>
      <c r="R446" s="60">
        <f>(60*379*((F446/1000)^0.8)*3*24*(MAX('Max rate concentrations'!$R$3:$R$368))/F446)*(inputs!$E$73/inputs!$E$75)</f>
        <v>4.2885750988636978E-3</v>
      </c>
      <c r="S446" s="60">
        <f>(IF(inputs!$C$17="aerial",((0.025*0.112*inputs!$C$18/3.3)*(3*60*379*((F446/1000)^0.8))*MAX(inputs!$I$14:$I$16))/F446,((0.0083*0.112*inputs!$C$18/1)*(3*60*379*((F446/1000)^0.8))*MAX(inputs!$I$14:$I$16))/F446))*(inputs!E$75/inputs!$E$73)</f>
        <v>2.3651755153036337E-2</v>
      </c>
      <c r="T446" s="63">
        <f>IF((((inputs!$P$13/(V446/MAX(K446:S446)))^(1/inputs!$O$13))-1)/inputs!$N$13&lt;0, 0, IF((((inputs!$P$13/(V446/MAX(K446:S446)))^(1/inputs!$O$13))-1)/inputs!$N$13&lt;inputs!$I$17, (((inputs!$P$13/(V446/MAX(K446:S446)))^(1/inputs!$O$13))-1)/inputs!$N$13, inputs!$I$17))</f>
        <v>48.239021690718445</v>
      </c>
      <c r="U446" s="63">
        <f>IF((((inputs!$P$13/(X446/MAX(K446:S446)))^(1/inputs!$O$13))-1)/inputs!$N$13&lt;0, 0, IF((((inputs!$P$13/(X446/MAX(K446:S446)))^(1/inputs!$O$13))-1)/inputs!$N$13&lt;inputs!$I$17, (((inputs!$P$13/(X446/MAX(K446:S446)))^(1/inputs!$O$13))-1)/inputs!$N$13, inputs!$I$17))</f>
        <v>0</v>
      </c>
      <c r="V446" s="54">
        <f>inputs!$E$70*(inputs!$F$70/F446)^(0.25)</f>
        <v>0.27451421938065973</v>
      </c>
      <c r="W446" s="54">
        <f>inputs!$E$76*(inputs!$F$76/F446)^(0.25)</f>
        <v>8.2568699553496286E-2</v>
      </c>
      <c r="X446" s="54">
        <f>inputs!$E$72*(inputs!$F$72/F446)^(0.25)</f>
        <v>12.110921443264401</v>
      </c>
      <c r="Y446" s="54" t="s">
        <v>13</v>
      </c>
      <c r="Z446" s="106">
        <f t="shared" si="42"/>
        <v>16.802696250363251</v>
      </c>
      <c r="AA446" s="106">
        <f t="shared" si="43"/>
        <v>55.86353024332562</v>
      </c>
    </row>
    <row r="447" spans="1:27" ht="26.4" x14ac:dyDescent="0.25">
      <c r="A447" s="55" t="s">
        <v>604</v>
      </c>
      <c r="B447" s="49" t="s">
        <v>607</v>
      </c>
      <c r="C447" s="21" t="s">
        <v>61</v>
      </c>
      <c r="D447" s="20" t="s">
        <v>454</v>
      </c>
      <c r="E447" s="20">
        <v>7753</v>
      </c>
      <c r="F447" s="21">
        <v>113000</v>
      </c>
      <c r="G447" s="21" t="s">
        <v>152</v>
      </c>
      <c r="H447" s="21">
        <v>0.77</v>
      </c>
      <c r="I447" s="68">
        <f>MAX('Max rate concentrations'!$G$3:$G$368)</f>
        <v>45</v>
      </c>
      <c r="J447" s="68">
        <f>MAX('Max rate concentrations'!Z:Z)</f>
        <v>21</v>
      </c>
      <c r="K447" s="70">
        <f t="shared" si="50"/>
        <v>5.7956823829370787</v>
      </c>
      <c r="L447" s="70">
        <f t="shared" si="51"/>
        <v>2.7046517787039703</v>
      </c>
      <c r="M447" s="70">
        <f>IF((((0.326*F447^0.818)-(0.398*F447^0.85)/(1-H447)*H447)*(MAX('Max rate concentrations'!$P$3:$P$368)))/F447&gt;0, (((0.326*F447^0.818)-(0.398*F447^0.85)/(1-H447)*H447)*(MAX('Max rate concentrations'!$P$3:$P$368)))/F447, 0)</f>
        <v>0</v>
      </c>
      <c r="N447" s="70">
        <f>IF((((0.326*F447^0.818)-(0.398*F447^0.85)/(1-H447)*H447)*(MAX('Max rate concentrations'!$Q$3:$Q$368)))/F447&gt; 0, (((0.326*F447^0.818)-(0.398*F447^0.85)/(1-H447)*H447)*(MAX('Max rate concentrations'!$Q$3:$Q$368)))/F447, 0)</f>
        <v>0</v>
      </c>
      <c r="O447" s="70">
        <f>((MAX('Max rate concentrations'!$F$3:$F$368))*0.62*6.01*8*(12.3*F447^0.65)*0.079*0.1/F447)*inputs!$E$73/inputs!$E$74</f>
        <v>4.6125790446588066</v>
      </c>
      <c r="P447" s="70">
        <f>((MAX('Max rate concentrations'!Y:Y))*0.62*6.01*8*(12.3*F447^0.65)*0.079*0.1/F447)*inputs!$E$73/inputs!$E$74</f>
        <v>1.5375263482196024</v>
      </c>
      <c r="Q447" s="70">
        <f>(inputs!$C$18*11.2*(12.3*F447^0.65)*0.5/F447)*inputs!$E$73/inputs!$E$74</f>
        <v>0.81248404312740241</v>
      </c>
      <c r="R447" s="60">
        <f>(60*379*((F447/1000)^0.8)*3*24*(MAX('Max rate concentrations'!$R$3:$R$368))/F447)*(inputs!$E$73/inputs!$E$75)</f>
        <v>4.2885750988636978E-3</v>
      </c>
      <c r="S447" s="60">
        <f>(IF(inputs!$C$17="aerial",((0.025*0.112*inputs!$C$18/3.3)*(3*60*379*((F447/1000)^0.8))*MAX(inputs!$I$14:$I$16))/F447,((0.0083*0.112*inputs!$C$18/1)*(3*60*379*((F447/1000)^0.8))*MAX(inputs!$I$14:$I$16))/F447))*(inputs!E$75/inputs!$E$73)</f>
        <v>2.3651755153036337E-2</v>
      </c>
      <c r="T447" s="63">
        <f>IF((((inputs!$P$13/(V447/MAX(K447:S447)))^(1/inputs!$O$13))-1)/inputs!$N$13&lt;0, 0, IF((((inputs!$P$13/(V447/MAX(K447:S447)))^(1/inputs!$O$13))-1)/inputs!$N$13&lt;inputs!$I$17, (((inputs!$P$13/(V447/MAX(K447:S447)))^(1/inputs!$O$13))-1)/inputs!$N$13, inputs!$I$17))</f>
        <v>59.08124068862206</v>
      </c>
      <c r="U447" s="63">
        <f>IF((((inputs!$P$13/(X447/MAX(K447:S447)))^(1/inputs!$O$13))-1)/inputs!$N$13&lt;0, 0, IF((((inputs!$P$13/(X447/MAX(K447:S447)))^(1/inputs!$O$13))-1)/inputs!$N$13&lt;inputs!$I$17, (((inputs!$P$13/(X447/MAX(K447:S447)))^(1/inputs!$O$13))-1)/inputs!$N$13, inputs!$I$17))</f>
        <v>0</v>
      </c>
      <c r="V447" s="54">
        <f>inputs!$E$70*(inputs!$F$70/F447)^(0.25)</f>
        <v>0.27451421938065973</v>
      </c>
      <c r="W447" s="54">
        <f>inputs!$E$76*(inputs!$F$76/F447)^(0.25)</f>
        <v>8.2568699553496286E-2</v>
      </c>
      <c r="X447" s="54">
        <f>inputs!$E$72*(inputs!$F$72/F447)^(0.25)</f>
        <v>12.110921443264401</v>
      </c>
      <c r="Y447" s="54" t="s">
        <v>13</v>
      </c>
      <c r="Z447" s="106">
        <f t="shared" si="42"/>
        <v>21.112503374189149</v>
      </c>
      <c r="AA447" s="106">
        <f t="shared" si="43"/>
        <v>70.192244933954115</v>
      </c>
    </row>
    <row r="448" spans="1:27" ht="26.4" x14ac:dyDescent="0.25">
      <c r="A448" s="55" t="s">
        <v>604</v>
      </c>
      <c r="B448" s="49" t="s">
        <v>607</v>
      </c>
      <c r="C448" s="21" t="s">
        <v>61</v>
      </c>
      <c r="D448" s="20" t="s">
        <v>454</v>
      </c>
      <c r="E448" s="20">
        <v>7753</v>
      </c>
      <c r="F448" s="21">
        <v>113000</v>
      </c>
      <c r="G448" s="21" t="s">
        <v>169</v>
      </c>
      <c r="H448" s="21">
        <v>0.79</v>
      </c>
      <c r="I448" s="68">
        <f>MAX('Max rate concentrations'!$D$3:$D$368)</f>
        <v>720</v>
      </c>
      <c r="J448" s="68">
        <f>MAX('Max rate concentrations'!W:W)</f>
        <v>255</v>
      </c>
      <c r="K448" s="70">
        <f t="shared" si="50"/>
        <v>101.56243413908788</v>
      </c>
      <c r="L448" s="70">
        <f t="shared" si="51"/>
        <v>35.970028757593624</v>
      </c>
      <c r="M448" s="70">
        <f>IF((((0.326*F448^0.818)-(0.398*F448^0.85)/(1-H448)*H448)*(MAX('Max rate concentrations'!$P$3:$P$368)))/F448&gt;0, (((0.326*F448^0.818)-(0.398*F448^0.85)/(1-H448)*H448)*(MAX('Max rate concentrations'!$P$3:$P$368)))/F448, 0)</f>
        <v>0</v>
      </c>
      <c r="N448" s="70">
        <f>IF((((0.326*F448^0.818)-(0.398*F448^0.85)/(1-H448)*H448)*(MAX('Max rate concentrations'!$Q$3:$Q$368)))/F448&gt; 0, (((0.326*F448^0.818)-(0.398*F448^0.85)/(1-H448)*H448)*(MAX('Max rate concentrations'!$Q$3:$Q$368)))/F448, 0)</f>
        <v>0</v>
      </c>
      <c r="O448" s="70">
        <f>((MAX('Max rate concentrations'!$F$3:$F$368))*0.62*6.01*8*(12.3*F448^0.65)*0.079*0.1/F448)*inputs!$E$73/inputs!$E$74</f>
        <v>4.6125790446588066</v>
      </c>
      <c r="P448" s="70">
        <f>((MAX('Max rate concentrations'!Y:Y))*0.62*6.01*8*(12.3*F448^0.65)*0.079*0.1/F448)*inputs!$E$73/inputs!$E$74</f>
        <v>1.5375263482196024</v>
      </c>
      <c r="Q448" s="70">
        <f>(inputs!$C$18*11.2*(12.3*F448^0.65)*0.5/F448)*inputs!$E$73/inputs!$E$74</f>
        <v>0.81248404312740241</v>
      </c>
      <c r="R448" s="60">
        <f>(60*379*((F448/1000)^0.8)*3*24*(MAX('Max rate concentrations'!$R$3:$R$368))/F448)*(inputs!$E$73/inputs!$E$75)</f>
        <v>4.2885750988636978E-3</v>
      </c>
      <c r="S448" s="60">
        <f>(IF(inputs!$C$17="aerial",((0.025*0.112*inputs!$C$18/3.3)*(3*60*379*((F448/1000)^0.8))*MAX(inputs!$I$14:$I$16))/F448,((0.0083*0.112*inputs!$C$18/1)*(3*60*379*((F448/1000)^0.8))*MAX(inputs!$I$14:$I$16))/F448))*(inputs!E$75/inputs!$E$73)</f>
        <v>2.3651755153036337E-2</v>
      </c>
      <c r="T448" s="63">
        <f>IF((((inputs!$P$13/(V448/MAX(K448:S448)))^(1/inputs!$O$13))-1)/inputs!$N$13&lt;0, 0, IF((((inputs!$P$13/(V448/MAX(K448:S448)))^(1/inputs!$O$13))-1)/inputs!$N$13&lt;inputs!$I$17, (((inputs!$P$13/(V448/MAX(K448:S448)))^(1/inputs!$O$13))-1)/inputs!$N$13, inputs!$I$17))</f>
        <v>646.3305185724314</v>
      </c>
      <c r="U448" s="63">
        <f>IF((((inputs!$P$13/(X448/MAX(K448:S448)))^(1/inputs!$O$13))-1)/inputs!$N$13&lt;0, 0, IF((((inputs!$P$13/(X448/MAX(K448:S448)))^(1/inputs!$O$13))-1)/inputs!$N$13&lt;inputs!$I$17, (((inputs!$P$13/(X448/MAX(K448:S448)))^(1/inputs!$O$13))-1)/inputs!$N$13, inputs!$I$17))</f>
        <v>25.251987674333527</v>
      </c>
      <c r="V448" s="54">
        <f>inputs!$E$70*(inputs!$F$70/F448)^(0.25)</f>
        <v>0.27451421938065973</v>
      </c>
      <c r="W448" s="54">
        <f>inputs!$E$76*(inputs!$F$76/F448)^(0.25)</f>
        <v>8.2568699553496286E-2</v>
      </c>
      <c r="X448" s="54">
        <f>inputs!$E$72*(inputs!$F$72/F448)^(0.25)</f>
        <v>12.110921443264401</v>
      </c>
      <c r="Y448" s="54" t="s">
        <v>13</v>
      </c>
      <c r="Z448" s="106">
        <f t="shared" si="42"/>
        <v>369.97148770007664</v>
      </c>
      <c r="AA448" s="106">
        <f t="shared" si="43"/>
        <v>1230.0355302711962</v>
      </c>
    </row>
    <row r="449" spans="1:27" ht="26.4" x14ac:dyDescent="0.25">
      <c r="A449" s="55" t="s">
        <v>604</v>
      </c>
      <c r="B449" s="49" t="s">
        <v>607</v>
      </c>
      <c r="C449" s="21" t="s">
        <v>61</v>
      </c>
      <c r="D449" s="20" t="s">
        <v>454</v>
      </c>
      <c r="E449" s="20">
        <v>7753</v>
      </c>
      <c r="F449" s="21">
        <v>113000</v>
      </c>
      <c r="G449" s="21" t="s">
        <v>580</v>
      </c>
      <c r="H449" s="21">
        <v>0.85</v>
      </c>
      <c r="I449" s="68">
        <f>MAX('Max rate concentrations'!$F$3:$F$368)</f>
        <v>405</v>
      </c>
      <c r="J449" s="68">
        <f>MAX('Max rate concentrations'!Y:Y)</f>
        <v>135</v>
      </c>
      <c r="K449" s="70">
        <f t="shared" si="50"/>
        <v>79.980416884531692</v>
      </c>
      <c r="L449" s="70">
        <f t="shared" si="51"/>
        <v>26.660138961510558</v>
      </c>
      <c r="M449" s="70">
        <f>IF((((0.326*F449^0.818)-(0.398*F449^0.85)/(1-H449)*H449)*(MAX('Max rate concentrations'!$P$3:$P$368)))/F449&gt;0, (((0.326*F449^0.818)-(0.398*F449^0.85)/(1-H449)*H449)*(MAX('Max rate concentrations'!$P$3:$P$368)))/F449, 0)</f>
        <v>0</v>
      </c>
      <c r="N449" s="70">
        <f>IF((((0.326*F449^0.818)-(0.398*F449^0.85)/(1-H449)*H449)*(MAX('Max rate concentrations'!$Q$3:$Q$368)))/F449&gt; 0, (((0.326*F449^0.818)-(0.398*F449^0.85)/(1-H449)*H449)*(MAX('Max rate concentrations'!$Q$3:$Q$368)))/F449, 0)</f>
        <v>0</v>
      </c>
      <c r="O449" s="70">
        <f>((MAX('Max rate concentrations'!$F$3:$F$368))*0.62*6.01*8*(12.3*F449^0.65)*0.079*0.1/F449)*inputs!$E$73/inputs!$E$74</f>
        <v>4.6125790446588066</v>
      </c>
      <c r="P449" s="70">
        <f>((MAX('Max rate concentrations'!Y:Y))*0.62*6.01*8*(12.3*F449^0.65)*0.079*0.1/F449)*inputs!$E$73/inputs!$E$74</f>
        <v>1.5375263482196024</v>
      </c>
      <c r="Q449" s="70">
        <f>(inputs!$C$18*11.2*(12.3*F449^0.65)*0.5/F449)*inputs!$E$73/inputs!$E$74</f>
        <v>0.81248404312740241</v>
      </c>
      <c r="R449" s="60">
        <f>(60*379*((F449/1000)^0.8)*3*24*(MAX('Max rate concentrations'!$R$3:$R$368))/F449)*(inputs!$E$73/inputs!$E$75)</f>
        <v>4.2885750988636978E-3</v>
      </c>
      <c r="S449" s="60">
        <f>(IF(inputs!$C$17="aerial",((0.025*0.112*inputs!$C$18/3.3)*(3*60*379*((F449/1000)^0.8))*MAX(inputs!$I$14:$I$16))/F449,((0.0083*0.112*inputs!$C$18/1)*(3*60*379*((F449/1000)^0.8))*MAX(inputs!$I$14:$I$16))/F449))*(inputs!E$75/inputs!$E$73)</f>
        <v>2.3651755153036337E-2</v>
      </c>
      <c r="T449" s="63">
        <f>IF((((inputs!$P$13/(V449/MAX(K449:S449)))^(1/inputs!$O$13))-1)/inputs!$N$13&lt;0, 0, IF((((inputs!$P$13/(V449/MAX(K449:S449)))^(1/inputs!$O$13))-1)/inputs!$N$13&lt;inputs!$I$17, (((inputs!$P$13/(V449/MAX(K449:S449)))^(1/inputs!$O$13))-1)/inputs!$N$13, inputs!$I$17))</f>
        <v>531.87127590642785</v>
      </c>
      <c r="U449" s="63">
        <f>IF((((inputs!$P$13/(X449/MAX(K449:S449)))^(1/inputs!$O$13))-1)/inputs!$N$13&lt;0, 0, IF((((inputs!$P$13/(X449/MAX(K449:S449)))^(1/inputs!$O$13))-1)/inputs!$N$13&lt;inputs!$I$17, (((inputs!$P$13/(X449/MAX(K449:S449)))^(1/inputs!$O$13))-1)/inputs!$N$13, inputs!$I$17))</f>
        <v>19.897672107376664</v>
      </c>
      <c r="V449" s="54">
        <f>inputs!$E$70*(inputs!$F$70/F449)^(0.25)</f>
        <v>0.27451421938065973</v>
      </c>
      <c r="W449" s="54">
        <f>inputs!$E$76*(inputs!$F$76/F449)^(0.25)</f>
        <v>8.2568699553496286E-2</v>
      </c>
      <c r="X449" s="54">
        <f>inputs!$E$72*(inputs!$F$72/F449)^(0.25)</f>
        <v>12.110921443264401</v>
      </c>
      <c r="Y449" s="54" t="s">
        <v>13</v>
      </c>
      <c r="Z449" s="106">
        <f t="shared" si="42"/>
        <v>291.35254656381028</v>
      </c>
      <c r="AA449" s="106">
        <f t="shared" si="43"/>
        <v>968.65298008856678</v>
      </c>
    </row>
    <row r="450" spans="1:27" ht="26.4" x14ac:dyDescent="0.25">
      <c r="A450" s="55" t="s">
        <v>604</v>
      </c>
      <c r="B450" s="49" t="s">
        <v>607</v>
      </c>
      <c r="C450" s="21" t="s">
        <v>61</v>
      </c>
      <c r="D450" s="20" t="s">
        <v>454</v>
      </c>
      <c r="E450" s="20">
        <v>7753</v>
      </c>
      <c r="F450" s="21">
        <v>113000</v>
      </c>
      <c r="G450" s="21" t="s">
        <v>455</v>
      </c>
      <c r="H450" s="21">
        <v>0.68</v>
      </c>
      <c r="I450" s="71">
        <f>MAX('Max rate concentrations'!$K$3:$K$368)</f>
        <v>110.00035859694511</v>
      </c>
      <c r="J450" s="71">
        <f>MAX('Max rate concentrations'!AC:AC)</f>
        <v>38.958460336418057</v>
      </c>
      <c r="K450" s="70">
        <f t="shared" si="50"/>
        <v>10.182725159758855</v>
      </c>
      <c r="L450" s="70">
        <f t="shared" si="51"/>
        <v>3.606381827414594</v>
      </c>
      <c r="M450" s="70">
        <f>IF((((0.326*F450^0.818)-(0.398*F450^0.85)/(1-H450)*H450)*(MAX('Max rate concentrations'!$P$3:$P$368)))/F450&gt;0, (((0.326*F450^0.818)-(0.398*F450^0.85)/(1-H450)*H450)*(MAX('Max rate concentrations'!$P$3:$P$368)))/F450, 0)</f>
        <v>0</v>
      </c>
      <c r="N450" s="70">
        <f>IF((((0.326*F450^0.818)-(0.398*F450^0.85)/(1-H450)*H450)*(MAX('Max rate concentrations'!$Q$3:$Q$368)))/F450&gt; 0, (((0.326*F450^0.818)-(0.398*F450^0.85)/(1-H450)*H450)*(MAX('Max rate concentrations'!$Q$3:$Q$368)))/F450, 0)</f>
        <v>0</v>
      </c>
      <c r="O450" s="70">
        <f>((MAX('Max rate concentrations'!$F$3:$F$368))*0.62*6.01*8*(12.3*F450^0.65)*0.079*0.1/F450)*inputs!$E$73/inputs!$E$74</f>
        <v>4.6125790446588066</v>
      </c>
      <c r="P450" s="70">
        <f>((MAX('Max rate concentrations'!Y:Y))*0.62*6.01*8*(12.3*F450^0.65)*0.079*0.1/F450)*inputs!$E$73/inputs!$E$74</f>
        <v>1.5375263482196024</v>
      </c>
      <c r="Q450" s="70">
        <f>(inputs!$C$18*11.2*(12.3*F450^0.65)*0.5/F450)*inputs!$E$73/inputs!$E$74</f>
        <v>0.81248404312740241</v>
      </c>
      <c r="R450" s="60">
        <f>(60*379*((F450/1000)^0.8)*3*24*(MAX('Max rate concentrations'!$R$3:$R$368))/F450)*(inputs!$E$73/inputs!$E$75)</f>
        <v>4.2885750988636978E-3</v>
      </c>
      <c r="S450" s="60">
        <f>(IF(inputs!$C$17="aerial",((0.025*0.112*inputs!$C$18/3.3)*(3*60*379*((F450/1000)^0.8))*MAX(inputs!$I$14:$I$16))/F450,((0.0083*0.112*inputs!$C$18/1)*(3*60*379*((F450/1000)^0.8))*MAX(inputs!$I$14:$I$16))/F450))*(inputs!E$75/inputs!$E$73)</f>
        <v>2.3651755153036337E-2</v>
      </c>
      <c r="T450" s="63">
        <f>IF((((inputs!$P$13/(V450/MAX(K450:S450)))^(1/inputs!$O$13))-1)/inputs!$N$13&lt;0, 0, IF((((inputs!$P$13/(V450/MAX(K450:S450)))^(1/inputs!$O$13))-1)/inputs!$N$13&lt;inputs!$I$17, (((inputs!$P$13/(V450/MAX(K450:S450)))^(1/inputs!$O$13))-1)/inputs!$N$13, inputs!$I$17))</f>
        <v>96.210130452400122</v>
      </c>
      <c r="U450" s="63">
        <f>IF((((inputs!$P$13/(X450/MAX(K450:S450)))^(1/inputs!$O$13))-1)/inputs!$N$13&lt;0, 0, IF((((inputs!$P$13/(X450/MAX(K450:S450)))^(1/inputs!$O$13))-1)/inputs!$N$13&lt;inputs!$I$17, (((inputs!$P$13/(X450/MAX(K450:S450)))^(1/inputs!$O$13))-1)/inputs!$N$13, inputs!$I$17))</f>
        <v>0</v>
      </c>
      <c r="V450" s="54">
        <f>inputs!$E$70*(inputs!$F$70/F450)^(0.25)</f>
        <v>0.27451421938065973</v>
      </c>
      <c r="W450" s="54">
        <f>inputs!$E$76*(inputs!$F$76/F450)^(0.25)</f>
        <v>8.2568699553496286E-2</v>
      </c>
      <c r="X450" s="54">
        <f>inputs!$E$72*(inputs!$F$72/F450)^(0.25)</f>
        <v>12.110921443264401</v>
      </c>
      <c r="Y450" s="54" t="s">
        <v>13</v>
      </c>
      <c r="Z450" s="106">
        <f t="shared" si="42"/>
        <v>37.093616435361433</v>
      </c>
      <c r="AA450" s="106">
        <f t="shared" si="43"/>
        <v>123.32427681220126</v>
      </c>
    </row>
    <row r="451" spans="1:27" ht="26.4" x14ac:dyDescent="0.25">
      <c r="A451" s="55" t="s">
        <v>604</v>
      </c>
      <c r="B451" s="49" t="s">
        <v>607</v>
      </c>
      <c r="C451" s="21" t="s">
        <v>61</v>
      </c>
      <c r="D451" s="20" t="s">
        <v>454</v>
      </c>
      <c r="E451" s="20">
        <v>7753</v>
      </c>
      <c r="F451" s="21">
        <v>113000</v>
      </c>
      <c r="G451" s="21" t="s">
        <v>456</v>
      </c>
      <c r="H451" s="21">
        <v>0.68</v>
      </c>
      <c r="I451" s="68">
        <f>MAX('Max rate concentrations'!$J$3:$J$368)</f>
        <v>686.46486205830786</v>
      </c>
      <c r="J451" s="68">
        <f>MAX('Max rate concentrations'!AB:AB)</f>
        <v>243.122971978984</v>
      </c>
      <c r="K451" s="70">
        <f t="shared" si="50"/>
        <v>63.546002134266217</v>
      </c>
      <c r="L451" s="70">
        <f t="shared" si="51"/>
        <v>22.505875755885949</v>
      </c>
      <c r="M451" s="70">
        <f>IF((((0.326*F451^0.818)-(0.398*F451^0.85)/(1-H451)*H451)*(MAX('Max rate concentrations'!$P$3:$P$368)))/F451&gt;0, (((0.326*F451^0.818)-(0.398*F451^0.85)/(1-H451)*H451)*(MAX('Max rate concentrations'!$P$3:$P$368)))/F451, 0)</f>
        <v>0</v>
      </c>
      <c r="N451" s="70">
        <f>IF((((0.326*F451^0.818)-(0.398*F451^0.85)/(1-H451)*H451)*(MAX('Max rate concentrations'!$Q$3:$Q$368)))/F451&gt; 0, (((0.326*F451^0.818)-(0.398*F451^0.85)/(1-H451)*H451)*(MAX('Max rate concentrations'!$Q$3:$Q$368)))/F451, 0)</f>
        <v>0</v>
      </c>
      <c r="O451" s="70">
        <f>((MAX('Max rate concentrations'!$F$3:$F$368))*0.62*6.01*8*(12.3*F451^0.65)*0.079*0.1/F451)*inputs!$E$73/inputs!$E$74</f>
        <v>4.6125790446588066</v>
      </c>
      <c r="P451" s="70">
        <f>((MAX('Max rate concentrations'!Y:Y))*0.62*6.01*8*(12.3*F451^0.65)*0.079*0.1/F451)*inputs!$E$73/inputs!$E$74</f>
        <v>1.5375263482196024</v>
      </c>
      <c r="Q451" s="70">
        <f>(inputs!$C$18*11.2*(12.3*F451^0.65)*0.5/F451)*inputs!$E$73/inputs!$E$74</f>
        <v>0.81248404312740241</v>
      </c>
      <c r="R451" s="60">
        <f>(60*379*((F451/1000)^0.8)*3*24*(MAX('Max rate concentrations'!$R$3:$R$368))/F451)*(inputs!$E$73/inputs!$E$75)</f>
        <v>4.2885750988636978E-3</v>
      </c>
      <c r="S451" s="60">
        <f>(IF(inputs!$C$17="aerial",((0.025*0.112*inputs!$C$18/3.3)*(3*60*379*((F451/1000)^0.8))*MAX(inputs!$I$14:$I$16))/F451,((0.0083*0.112*inputs!$C$18/1)*(3*60*379*((F451/1000)^0.8))*MAX(inputs!$I$14:$I$16))/F451))*(inputs!E$75/inputs!$E$73)</f>
        <v>2.3651755153036337E-2</v>
      </c>
      <c r="T451" s="63">
        <f>IF((((inputs!$P$13/(V451/MAX(K451:S451)))^(1/inputs!$O$13))-1)/inputs!$N$13&lt;0, 0, IF((((inputs!$P$13/(V451/MAX(K451:S451)))^(1/inputs!$O$13))-1)/inputs!$N$13&lt;inputs!$I$17, (((inputs!$P$13/(V451/MAX(K451:S451)))^(1/inputs!$O$13))-1)/inputs!$N$13, inputs!$I$17))</f>
        <v>440.70779723656995</v>
      </c>
      <c r="U451" s="63">
        <f>IF((((inputs!$P$13/(X451/MAX(K451:S451)))^(1/inputs!$O$13))-1)/inputs!$N$13&lt;0, 0, IF((((inputs!$P$13/(X451/MAX(K451:S451)))^(1/inputs!$O$13))-1)/inputs!$N$13&lt;inputs!$I$17, (((inputs!$P$13/(X451/MAX(K451:S451)))^(1/inputs!$O$13))-1)/inputs!$N$13, inputs!$I$17))</f>
        <v>15.633114509312625</v>
      </c>
      <c r="V451" s="54">
        <f>inputs!$E$70*(inputs!$F$70/F451)^(0.25)</f>
        <v>0.27451421938065973</v>
      </c>
      <c r="W451" s="54">
        <f>inputs!$E$76*(inputs!$F$76/F451)^(0.25)</f>
        <v>8.2568699553496286E-2</v>
      </c>
      <c r="X451" s="54">
        <f>inputs!$E$72*(inputs!$F$72/F451)^(0.25)</f>
        <v>12.110921443264401</v>
      </c>
      <c r="Y451" s="54" t="s">
        <v>13</v>
      </c>
      <c r="Z451" s="106">
        <f t="shared" si="42"/>
        <v>231.48528436025782</v>
      </c>
      <c r="AA451" s="106">
        <f t="shared" si="43"/>
        <v>769.61369717461446</v>
      </c>
    </row>
    <row r="452" spans="1:27" x14ac:dyDescent="0.25">
      <c r="A452" s="55" t="s">
        <v>604</v>
      </c>
      <c r="B452" s="49" t="s">
        <v>608</v>
      </c>
      <c r="C452" s="21" t="s">
        <v>61</v>
      </c>
      <c r="D452" s="20" t="s">
        <v>454</v>
      </c>
      <c r="E452" s="20">
        <v>1302</v>
      </c>
      <c r="F452" s="21">
        <v>113000</v>
      </c>
      <c r="G452" s="21" t="s">
        <v>142</v>
      </c>
      <c r="H452" s="21">
        <v>0.69</v>
      </c>
      <c r="I452" s="68">
        <f>MAX('Max rate concentrations'!$H$3:$H$368)</f>
        <v>282</v>
      </c>
      <c r="J452" s="68">
        <f>MAX('Max rate concentrations'!AA:AA)</f>
        <v>195</v>
      </c>
      <c r="K452" s="70">
        <f t="shared" si="50"/>
        <v>26.946807122387018</v>
      </c>
      <c r="L452" s="70">
        <f t="shared" si="51"/>
        <v>18.633430456969748</v>
      </c>
      <c r="M452" s="70">
        <f>IF((((0.326*F452^0.818)-(0.398*F452^0.85)/(1-H452)*H452)*(MAX('Max rate concentrations'!$P$3:$P$368)))/F452&gt;0, (((0.326*F452^0.818)-(0.398*F452^0.85)/(1-H452)*H452)*(MAX('Max rate concentrations'!$P$3:$P$368)))/F452, 0)</f>
        <v>0</v>
      </c>
      <c r="N452" s="70">
        <f>IF((((0.326*F452^0.818)-(0.398*F452^0.85)/(1-H452)*H452)*(MAX('Max rate concentrations'!$Q$3:$Q$368)))/F452&gt; 0, (((0.326*F452^0.818)-(0.398*F452^0.85)/(1-H452)*H452)*(MAX('Max rate concentrations'!$Q$3:$Q$368)))/F452, 0)</f>
        <v>0</v>
      </c>
      <c r="O452" s="70">
        <f>((MAX('Max rate concentrations'!$F$3:$F$368))*0.62*6.01*8*(12.3*F452^0.65)*0.079*0.1/F452)*inputs!$E$73/inputs!$E$74</f>
        <v>4.6125790446588066</v>
      </c>
      <c r="P452" s="70">
        <f>((MAX('Max rate concentrations'!Y:Y))*0.62*6.01*8*(12.3*F452^0.65)*0.079*0.1/F452)*inputs!$E$73/inputs!$E$74</f>
        <v>1.5375263482196024</v>
      </c>
      <c r="Q452" s="70">
        <f>(inputs!$C$18*11.2*(12.3*F452^0.65)*0.5/F452)*inputs!$E$73/inputs!$E$74</f>
        <v>0.81248404312740241</v>
      </c>
      <c r="R452" s="60">
        <f>(60*379*((F452/1000)^0.8)*3*24*(MAX('Max rate concentrations'!$R$3:$R$368))/F452)*(inputs!$E$73/inputs!$E$75)</f>
        <v>4.2885750988636978E-3</v>
      </c>
      <c r="S452" s="60">
        <f>(IF(inputs!$C$17="aerial",((0.025*0.112*inputs!$C$18/3.3)*(3*60*379*((F452/1000)^0.8))*MAX(inputs!$I$14:$I$16))/F452,((0.0083*0.112*inputs!$C$18/1)*(3*60*379*((F452/1000)^0.8))*MAX(inputs!$I$14:$I$16))/F452))*(inputs!E$75/inputs!$E$73)</f>
        <v>2.3651755153036337E-2</v>
      </c>
      <c r="T452" s="63">
        <f>IF((((inputs!$P$13/(V452/MAX(K452:S452)))^(1/inputs!$O$13))-1)/inputs!$N$13&lt;0, 0, IF((((inputs!$P$13/(V452/MAX(K452:S452)))^(1/inputs!$O$13))-1)/inputs!$N$13&lt;inputs!$I$17, (((inputs!$P$13/(V452/MAX(K452:S452)))^(1/inputs!$O$13))-1)/inputs!$N$13, inputs!$I$17))</f>
        <v>217.60438888714182</v>
      </c>
      <c r="U452" s="63">
        <f>IF((((inputs!$P$13/(X452/MAX(K452:S452)))^(1/inputs!$O$13))-1)/inputs!$N$13&lt;0, 0, IF((((inputs!$P$13/(X452/MAX(K452:S452)))^(1/inputs!$O$13))-1)/inputs!$N$13&lt;inputs!$I$17, (((inputs!$P$13/(X452/MAX(K452:S452)))^(1/inputs!$O$13))-1)/inputs!$N$13, inputs!$I$17))</f>
        <v>5.1965082157320781</v>
      </c>
      <c r="V452" s="54">
        <f>inputs!$E$70*(inputs!$F$70/F452)^(0.25)</f>
        <v>0.27451421938065973</v>
      </c>
      <c r="W452" s="54">
        <f>inputs!$E$76*(inputs!$F$76/F452)^(0.25)</f>
        <v>8.2568699553496286E-2</v>
      </c>
      <c r="X452" s="54">
        <f>inputs!$E$72*(inputs!$F$72/F452)^(0.25)</f>
        <v>12.110921443264401</v>
      </c>
      <c r="Y452" s="54" t="s">
        <v>13</v>
      </c>
      <c r="Z452" s="106">
        <f t="shared" ref="Z452:Z515" si="52">MAX(K452:S452)/V452</f>
        <v>98.161789881713844</v>
      </c>
      <c r="AA452" s="106">
        <f t="shared" ref="AA452:AA515" si="53">MAX(K452:S452)/W452</f>
        <v>326.35620117679309</v>
      </c>
    </row>
    <row r="453" spans="1:27" x14ac:dyDescent="0.25">
      <c r="A453" s="55" t="s">
        <v>604</v>
      </c>
      <c r="B453" s="49" t="s">
        <v>608</v>
      </c>
      <c r="C453" s="21" t="s">
        <v>61</v>
      </c>
      <c r="D453" s="20" t="s">
        <v>454</v>
      </c>
      <c r="E453" s="20">
        <v>1302</v>
      </c>
      <c r="F453" s="21">
        <v>113000</v>
      </c>
      <c r="G453" s="21" t="s">
        <v>218</v>
      </c>
      <c r="H453" s="21">
        <v>0.68</v>
      </c>
      <c r="I453" s="68">
        <f>MAX('Max rate concentrations'!$K$3:$K$368)</f>
        <v>110.00035859694511</v>
      </c>
      <c r="J453" s="68">
        <f>MAX('Max rate concentrations'!AC:AC)</f>
        <v>38.958460336418057</v>
      </c>
      <c r="K453" s="70">
        <f t="shared" si="50"/>
        <v>10.182725159758855</v>
      </c>
      <c r="L453" s="70">
        <f t="shared" si="51"/>
        <v>3.606381827414594</v>
      </c>
      <c r="M453" s="70">
        <f>IF((((0.326*F453^0.818)-(0.398*F453^0.85)/(1-H453)*H453)*(MAX('Max rate concentrations'!$P$3:$P$368)))/F453&gt;0, (((0.326*F453^0.818)-(0.398*F453^0.85)/(1-H453)*H453)*(MAX('Max rate concentrations'!$P$3:$P$368)))/F453, 0)</f>
        <v>0</v>
      </c>
      <c r="N453" s="70">
        <f>IF((((0.326*F453^0.818)-(0.398*F453^0.85)/(1-H453)*H453)*(MAX('Max rate concentrations'!$Q$3:$Q$368)))/F453&gt; 0, (((0.326*F453^0.818)-(0.398*F453^0.85)/(1-H453)*H453)*(MAX('Max rate concentrations'!$Q$3:$Q$368)))/F453, 0)</f>
        <v>0</v>
      </c>
      <c r="O453" s="70">
        <f>((MAX('Max rate concentrations'!$F$3:$F$368))*0.62*6.01*8*(12.3*F453^0.65)*0.079*0.1/F453)*inputs!$E$73/inputs!$E$74</f>
        <v>4.6125790446588066</v>
      </c>
      <c r="P453" s="70">
        <f>((MAX('Max rate concentrations'!Y:Y))*0.62*6.01*8*(12.3*F453^0.65)*0.079*0.1/F453)*inputs!$E$73/inputs!$E$74</f>
        <v>1.5375263482196024</v>
      </c>
      <c r="Q453" s="70">
        <f>(inputs!$C$18*11.2*(12.3*F453^0.65)*0.5/F453)*inputs!$E$73/inputs!$E$74</f>
        <v>0.81248404312740241</v>
      </c>
      <c r="R453" s="60">
        <f>(60*379*((F453/1000)^0.8)*3*24*(MAX('Max rate concentrations'!$R$3:$R$368))/F453)*(inputs!$E$73/inputs!$E$75)</f>
        <v>4.2885750988636978E-3</v>
      </c>
      <c r="S453" s="60">
        <f>(IF(inputs!$C$17="aerial",((0.025*0.112*inputs!$C$18/3.3)*(3*60*379*((F453/1000)^0.8))*MAX(inputs!$I$14:$I$16))/F453,((0.0083*0.112*inputs!$C$18/1)*(3*60*379*((F453/1000)^0.8))*MAX(inputs!$I$14:$I$16))/F453))*(inputs!E$75/inputs!$E$73)</f>
        <v>2.3651755153036337E-2</v>
      </c>
      <c r="T453" s="63">
        <f>IF((((inputs!$P$13/(V453/MAX(K453:S453)))^(1/inputs!$O$13))-1)/inputs!$N$13&lt;0, 0, IF((((inputs!$P$13/(V453/MAX(K453:S453)))^(1/inputs!$O$13))-1)/inputs!$N$13&lt;inputs!$I$17, (((inputs!$P$13/(V453/MAX(K453:S453)))^(1/inputs!$O$13))-1)/inputs!$N$13, inputs!$I$17))</f>
        <v>96.210130452400122</v>
      </c>
      <c r="U453" s="63">
        <f>IF((((inputs!$P$13/(X453/MAX(K453:S453)))^(1/inputs!$O$13))-1)/inputs!$N$13&lt;0, 0, IF((((inputs!$P$13/(X453/MAX(K453:S453)))^(1/inputs!$O$13))-1)/inputs!$N$13&lt;inputs!$I$17, (((inputs!$P$13/(X453/MAX(K453:S453)))^(1/inputs!$O$13))-1)/inputs!$N$13, inputs!$I$17))</f>
        <v>0</v>
      </c>
      <c r="V453" s="54">
        <f>inputs!$E$70*(inputs!$F$70/F453)^(0.25)</f>
        <v>0.27451421938065973</v>
      </c>
      <c r="W453" s="54">
        <f>inputs!$E$76*(inputs!$F$76/F453)^(0.25)</f>
        <v>8.2568699553496286E-2</v>
      </c>
      <c r="X453" s="54">
        <f>inputs!$E$72*(inputs!$F$72/F453)^(0.25)</f>
        <v>12.110921443264401</v>
      </c>
      <c r="Y453" s="54" t="s">
        <v>13</v>
      </c>
      <c r="Z453" s="106">
        <f t="shared" si="52"/>
        <v>37.093616435361433</v>
      </c>
      <c r="AA453" s="106">
        <f t="shared" si="53"/>
        <v>123.32427681220126</v>
      </c>
    </row>
    <row r="454" spans="1:27" x14ac:dyDescent="0.25">
      <c r="A454" s="55" t="s">
        <v>604</v>
      </c>
      <c r="B454" s="49" t="s">
        <v>608</v>
      </c>
      <c r="C454" s="21" t="s">
        <v>61</v>
      </c>
      <c r="D454" s="20" t="s">
        <v>454</v>
      </c>
      <c r="E454" s="20">
        <v>1302</v>
      </c>
      <c r="F454" s="21">
        <v>113000</v>
      </c>
      <c r="G454" s="21" t="s">
        <v>186</v>
      </c>
      <c r="H454" s="21">
        <v>0.75</v>
      </c>
      <c r="I454" s="68">
        <f>inputs!$C$66*inputs!$C$64/1000</f>
        <v>21.3</v>
      </c>
      <c r="J454" s="68">
        <f>inputs!$C$66*inputs!$C$63/1000</f>
        <v>8.8000000000000007</v>
      </c>
      <c r="K454" s="70">
        <f t="shared" si="50"/>
        <v>2.5238264883563333</v>
      </c>
      <c r="L454" s="70">
        <f t="shared" si="51"/>
        <v>1.0427076571613021</v>
      </c>
      <c r="M454" s="70">
        <f>IF((((0.326*F454^0.818)-(0.398*F454^0.85)/(1-H454)*H454)*(MAX('Max rate concentrations'!$P$3:$P$368)))/F454&gt;0, (((0.326*F454^0.818)-(0.398*F454^0.85)/(1-H454)*H454)*(MAX('Max rate concentrations'!$P$3:$P$368)))/F454, 0)</f>
        <v>0</v>
      </c>
      <c r="N454" s="70">
        <f>IF((((0.326*F454^0.818)-(0.398*F454^0.85)/(1-H454)*H454)*(MAX('Max rate concentrations'!$Q$3:$Q$368)))/F454&gt; 0, (((0.326*F454^0.818)-(0.398*F454^0.85)/(1-H454)*H454)*(MAX('Max rate concentrations'!$Q$3:$Q$368)))/F454, 0)</f>
        <v>0</v>
      </c>
      <c r="O454" s="70">
        <f>((MAX('Max rate concentrations'!$F$3:$F$368))*0.62*6.01*8*(12.3*F454^0.65)*0.079*0.1/F454)*inputs!$E$73/inputs!$E$74</f>
        <v>4.6125790446588066</v>
      </c>
      <c r="P454" s="70">
        <f>((MAX('Max rate concentrations'!Y:Y))*0.62*6.01*8*(12.3*F454^0.65)*0.079*0.1/F454)*inputs!$E$73/inputs!$E$74</f>
        <v>1.5375263482196024</v>
      </c>
      <c r="Q454" s="70">
        <f>(inputs!$C$18*11.2*(12.3*F454^0.65)*0.5/F454)*inputs!$E$73/inputs!$E$74</f>
        <v>0.81248404312740241</v>
      </c>
      <c r="R454" s="60">
        <f>(60*379*((F454/1000)^0.8)*3*24*(MAX('Max rate concentrations'!$R$3:$R$368))/F454)*(inputs!$E$73/inputs!$E$75)</f>
        <v>4.2885750988636978E-3</v>
      </c>
      <c r="S454" s="60">
        <f>(IF(inputs!$C$17="aerial",((0.025*0.112*inputs!$C$18/3.3)*(3*60*379*((F454/1000)^0.8))*MAX(inputs!$I$14:$I$16))/F454,((0.0083*0.112*inputs!$C$18/1)*(3*60*379*((F454/1000)^0.8))*MAX(inputs!$I$14:$I$16))/F454))*(inputs!E$75/inputs!$E$73)</f>
        <v>2.3651755153036337E-2</v>
      </c>
      <c r="T454" s="63">
        <f>IF((((inputs!$P$13/(V454/MAX(K454:S454)))^(1/inputs!$O$13))-1)/inputs!$N$13&lt;0, 0, IF((((inputs!$P$13/(V454/MAX(K454:S454)))^(1/inputs!$O$13))-1)/inputs!$N$13&lt;inputs!$I$17, (((inputs!$P$13/(V454/MAX(K454:S454)))^(1/inputs!$O$13))-1)/inputs!$N$13, inputs!$I$17))</f>
        <v>48.239021690718445</v>
      </c>
      <c r="U454" s="63">
        <f>IF((((inputs!$P$13/(X454/MAX(K454:S454)))^(1/inputs!$O$13))-1)/inputs!$N$13&lt;0, 0, IF((((inputs!$P$13/(X454/MAX(K454:S454)))^(1/inputs!$O$13))-1)/inputs!$N$13&lt;inputs!$I$17, (((inputs!$P$13/(X454/MAX(K454:S454)))^(1/inputs!$O$13))-1)/inputs!$N$13, inputs!$I$17))</f>
        <v>0</v>
      </c>
      <c r="V454" s="54">
        <f>inputs!$E$70*(inputs!$F$70/F454)^(0.25)</f>
        <v>0.27451421938065973</v>
      </c>
      <c r="W454" s="54">
        <f>inputs!$E$76*(inputs!$F$76/F454)^(0.25)</f>
        <v>8.2568699553496286E-2</v>
      </c>
      <c r="X454" s="54">
        <f>inputs!$E$72*(inputs!$F$72/F454)^(0.25)</f>
        <v>12.110921443264401</v>
      </c>
      <c r="Y454" s="54" t="s">
        <v>13</v>
      </c>
      <c r="Z454" s="106">
        <f t="shared" si="52"/>
        <v>16.802696250363251</v>
      </c>
      <c r="AA454" s="106">
        <f t="shared" si="53"/>
        <v>55.86353024332562</v>
      </c>
    </row>
    <row r="455" spans="1:27" x14ac:dyDescent="0.25">
      <c r="A455" s="55" t="s">
        <v>604</v>
      </c>
      <c r="B455" s="49" t="s">
        <v>608</v>
      </c>
      <c r="C455" s="21" t="s">
        <v>61</v>
      </c>
      <c r="D455" s="20" t="s">
        <v>454</v>
      </c>
      <c r="E455" s="20">
        <v>1302</v>
      </c>
      <c r="F455" s="21">
        <v>113000</v>
      </c>
      <c r="G455" s="21" t="s">
        <v>152</v>
      </c>
      <c r="H455" s="21">
        <v>0.77</v>
      </c>
      <c r="I455" s="68">
        <f>MAX('Max rate concentrations'!$G$3:$G$368)</f>
        <v>45</v>
      </c>
      <c r="J455" s="68">
        <f>MAX('Max rate concentrations'!Z:Z)</f>
        <v>21</v>
      </c>
      <c r="K455" s="70">
        <f t="shared" si="50"/>
        <v>5.7956823829370787</v>
      </c>
      <c r="L455" s="70">
        <f t="shared" si="51"/>
        <v>2.7046517787039703</v>
      </c>
      <c r="M455" s="70">
        <f>IF((((0.326*F455^0.818)-(0.398*F455^0.85)/(1-H455)*H455)*(MAX('Max rate concentrations'!$P$3:$P$368)))/F455&gt;0, (((0.326*F455^0.818)-(0.398*F455^0.85)/(1-H455)*H455)*(MAX('Max rate concentrations'!$P$3:$P$368)))/F455, 0)</f>
        <v>0</v>
      </c>
      <c r="N455" s="70">
        <f>IF((((0.326*F455^0.818)-(0.398*F455^0.85)/(1-H455)*H455)*(MAX('Max rate concentrations'!$Q$3:$Q$368)))/F455&gt; 0, (((0.326*F455^0.818)-(0.398*F455^0.85)/(1-H455)*H455)*(MAX('Max rate concentrations'!$Q$3:$Q$368)))/F455, 0)</f>
        <v>0</v>
      </c>
      <c r="O455" s="70">
        <f>((MAX('Max rate concentrations'!$F$3:$F$368))*0.62*6.01*8*(12.3*F455^0.65)*0.079*0.1/F455)*inputs!$E$73/inputs!$E$74</f>
        <v>4.6125790446588066</v>
      </c>
      <c r="P455" s="70">
        <f>((MAX('Max rate concentrations'!Y:Y))*0.62*6.01*8*(12.3*F455^0.65)*0.079*0.1/F455)*inputs!$E$73/inputs!$E$74</f>
        <v>1.5375263482196024</v>
      </c>
      <c r="Q455" s="70">
        <f>(inputs!$C$18*11.2*(12.3*F455^0.65)*0.5/F455)*inputs!$E$73/inputs!$E$74</f>
        <v>0.81248404312740241</v>
      </c>
      <c r="R455" s="60">
        <f>(60*379*((F455/1000)^0.8)*3*24*(MAX('Max rate concentrations'!$R$3:$R$368))/F455)*(inputs!$E$73/inputs!$E$75)</f>
        <v>4.2885750988636978E-3</v>
      </c>
      <c r="S455" s="60">
        <f>(IF(inputs!$C$17="aerial",((0.025*0.112*inputs!$C$18/3.3)*(3*60*379*((F455/1000)^0.8))*MAX(inputs!$I$14:$I$16))/F455,((0.0083*0.112*inputs!$C$18/1)*(3*60*379*((F455/1000)^0.8))*MAX(inputs!$I$14:$I$16))/F455))*(inputs!E$75/inputs!$E$73)</f>
        <v>2.3651755153036337E-2</v>
      </c>
      <c r="T455" s="63">
        <f>IF((((inputs!$P$13/(V455/MAX(K455:S455)))^(1/inputs!$O$13))-1)/inputs!$N$13&lt;0, 0, IF((((inputs!$P$13/(V455/MAX(K455:S455)))^(1/inputs!$O$13))-1)/inputs!$N$13&lt;inputs!$I$17, (((inputs!$P$13/(V455/MAX(K455:S455)))^(1/inputs!$O$13))-1)/inputs!$N$13, inputs!$I$17))</f>
        <v>59.08124068862206</v>
      </c>
      <c r="U455" s="63">
        <f>IF((((inputs!$P$13/(X455/MAX(K455:S455)))^(1/inputs!$O$13))-1)/inputs!$N$13&lt;0, 0, IF((((inputs!$P$13/(X455/MAX(K455:S455)))^(1/inputs!$O$13))-1)/inputs!$N$13&lt;inputs!$I$17, (((inputs!$P$13/(X455/MAX(K455:S455)))^(1/inputs!$O$13))-1)/inputs!$N$13, inputs!$I$17))</f>
        <v>0</v>
      </c>
      <c r="V455" s="54">
        <f>inputs!$E$70*(inputs!$F$70/F455)^(0.25)</f>
        <v>0.27451421938065973</v>
      </c>
      <c r="W455" s="54">
        <f>inputs!$E$76*(inputs!$F$76/F455)^(0.25)</f>
        <v>8.2568699553496286E-2</v>
      </c>
      <c r="X455" s="54">
        <f>inputs!$E$72*(inputs!$F$72/F455)^(0.25)</f>
        <v>12.110921443264401</v>
      </c>
      <c r="Y455" s="54" t="s">
        <v>13</v>
      </c>
      <c r="Z455" s="106">
        <f t="shared" si="52"/>
        <v>21.112503374189149</v>
      </c>
      <c r="AA455" s="106">
        <f t="shared" si="53"/>
        <v>70.192244933954115</v>
      </c>
    </row>
    <row r="456" spans="1:27" x14ac:dyDescent="0.25">
      <c r="A456" s="55" t="s">
        <v>604</v>
      </c>
      <c r="B456" s="49" t="s">
        <v>608</v>
      </c>
      <c r="C456" s="21" t="s">
        <v>61</v>
      </c>
      <c r="D456" s="20" t="s">
        <v>454</v>
      </c>
      <c r="E456" s="20">
        <v>1302</v>
      </c>
      <c r="F456" s="21">
        <v>113000</v>
      </c>
      <c r="G456" s="21" t="s">
        <v>169</v>
      </c>
      <c r="H456" s="21">
        <v>0.79</v>
      </c>
      <c r="I456" s="68">
        <f>MAX('Max rate concentrations'!$D$3:$D$368)</f>
        <v>720</v>
      </c>
      <c r="J456" s="68">
        <f>MAX('Max rate concentrations'!W:W)</f>
        <v>255</v>
      </c>
      <c r="K456" s="70">
        <f t="shared" si="50"/>
        <v>101.56243413908788</v>
      </c>
      <c r="L456" s="70">
        <f t="shared" si="51"/>
        <v>35.970028757593624</v>
      </c>
      <c r="M456" s="70">
        <f>IF((((0.326*F456^0.818)-(0.398*F456^0.85)/(1-H456)*H456)*(MAX('Max rate concentrations'!$P$3:$P$368)))/F456&gt;0, (((0.326*F456^0.818)-(0.398*F456^0.85)/(1-H456)*H456)*(MAX('Max rate concentrations'!$P$3:$P$368)))/F456, 0)</f>
        <v>0</v>
      </c>
      <c r="N456" s="70">
        <f>IF((((0.326*F456^0.818)-(0.398*F456^0.85)/(1-H456)*H456)*(MAX('Max rate concentrations'!$Q$3:$Q$368)))/F456&gt; 0, (((0.326*F456^0.818)-(0.398*F456^0.85)/(1-H456)*H456)*(MAX('Max rate concentrations'!$Q$3:$Q$368)))/F456, 0)</f>
        <v>0</v>
      </c>
      <c r="O456" s="70">
        <f>((MAX('Max rate concentrations'!$F$3:$F$368))*0.62*6.01*8*(12.3*F456^0.65)*0.079*0.1/F456)*inputs!$E$73/inputs!$E$74</f>
        <v>4.6125790446588066</v>
      </c>
      <c r="P456" s="70">
        <f>((MAX('Max rate concentrations'!Y:Y))*0.62*6.01*8*(12.3*F456^0.65)*0.079*0.1/F456)*inputs!$E$73/inputs!$E$74</f>
        <v>1.5375263482196024</v>
      </c>
      <c r="Q456" s="70">
        <f>(inputs!$C$18*11.2*(12.3*F456^0.65)*0.5/F456)*inputs!$E$73/inputs!$E$74</f>
        <v>0.81248404312740241</v>
      </c>
      <c r="R456" s="60">
        <f>(60*379*((F456/1000)^0.8)*3*24*(MAX('Max rate concentrations'!$R$3:$R$368))/F456)*(inputs!$E$73/inputs!$E$75)</f>
        <v>4.2885750988636978E-3</v>
      </c>
      <c r="S456" s="60">
        <f>(IF(inputs!$C$17="aerial",((0.025*0.112*inputs!$C$18/3.3)*(3*60*379*((F456/1000)^0.8))*MAX(inputs!$I$14:$I$16))/F456,((0.0083*0.112*inputs!$C$18/1)*(3*60*379*((F456/1000)^0.8))*MAX(inputs!$I$14:$I$16))/F456))*(inputs!E$75/inputs!$E$73)</f>
        <v>2.3651755153036337E-2</v>
      </c>
      <c r="T456" s="63">
        <f>IF((((inputs!$P$13/(V456/MAX(K456:S456)))^(1/inputs!$O$13))-1)/inputs!$N$13&lt;0, 0, IF((((inputs!$P$13/(V456/MAX(K456:S456)))^(1/inputs!$O$13))-1)/inputs!$N$13&lt;inputs!$I$17, (((inputs!$P$13/(V456/MAX(K456:S456)))^(1/inputs!$O$13))-1)/inputs!$N$13, inputs!$I$17))</f>
        <v>646.3305185724314</v>
      </c>
      <c r="U456" s="63">
        <f>IF((((inputs!$P$13/(X456/MAX(K456:S456)))^(1/inputs!$O$13))-1)/inputs!$N$13&lt;0, 0, IF((((inputs!$P$13/(X456/MAX(K456:S456)))^(1/inputs!$O$13))-1)/inputs!$N$13&lt;inputs!$I$17, (((inputs!$P$13/(X456/MAX(K456:S456)))^(1/inputs!$O$13))-1)/inputs!$N$13, inputs!$I$17))</f>
        <v>25.251987674333527</v>
      </c>
      <c r="V456" s="54">
        <f>inputs!$E$70*(inputs!$F$70/F456)^(0.25)</f>
        <v>0.27451421938065973</v>
      </c>
      <c r="W456" s="54">
        <f>inputs!$E$76*(inputs!$F$76/F456)^(0.25)</f>
        <v>8.2568699553496286E-2</v>
      </c>
      <c r="X456" s="54">
        <f>inputs!$E$72*(inputs!$F$72/F456)^(0.25)</f>
        <v>12.110921443264401</v>
      </c>
      <c r="Y456" s="54" t="s">
        <v>13</v>
      </c>
      <c r="Z456" s="106">
        <f t="shared" si="52"/>
        <v>369.97148770007664</v>
      </c>
      <c r="AA456" s="106">
        <f t="shared" si="53"/>
        <v>1230.0355302711962</v>
      </c>
    </row>
    <row r="457" spans="1:27" ht="26.4" x14ac:dyDescent="0.25">
      <c r="A457" s="55" t="s">
        <v>604</v>
      </c>
      <c r="B457" s="49" t="s">
        <v>608</v>
      </c>
      <c r="C457" s="21" t="s">
        <v>61</v>
      </c>
      <c r="D457" s="20" t="s">
        <v>454</v>
      </c>
      <c r="E457" s="20">
        <v>1302</v>
      </c>
      <c r="F457" s="21">
        <v>113000</v>
      </c>
      <c r="G457" s="21" t="s">
        <v>580</v>
      </c>
      <c r="H457" s="21">
        <v>0.85</v>
      </c>
      <c r="I457" s="68">
        <f>MAX('Max rate concentrations'!$F$3:$F$368)</f>
        <v>405</v>
      </c>
      <c r="J457" s="68">
        <f>MAX('Max rate concentrations'!Y:Y)</f>
        <v>135</v>
      </c>
      <c r="K457" s="70">
        <f t="shared" si="50"/>
        <v>79.980416884531692</v>
      </c>
      <c r="L457" s="70">
        <f t="shared" si="51"/>
        <v>26.660138961510558</v>
      </c>
      <c r="M457" s="70">
        <f>IF((((0.326*F457^0.818)-(0.398*F457^0.85)/(1-H457)*H457)*(MAX('Max rate concentrations'!$P$3:$P$368)))/F457&gt;0, (((0.326*F457^0.818)-(0.398*F457^0.85)/(1-H457)*H457)*(MAX('Max rate concentrations'!$P$3:$P$368)))/F457, 0)</f>
        <v>0</v>
      </c>
      <c r="N457" s="70">
        <f>IF((((0.326*F457^0.818)-(0.398*F457^0.85)/(1-H457)*H457)*(MAX('Max rate concentrations'!$Q$3:$Q$368)))/F457&gt; 0, (((0.326*F457^0.818)-(0.398*F457^0.85)/(1-H457)*H457)*(MAX('Max rate concentrations'!$Q$3:$Q$368)))/F457, 0)</f>
        <v>0</v>
      </c>
      <c r="O457" s="70">
        <f>((MAX('Max rate concentrations'!$F$3:$F$368))*0.62*6.01*8*(12.3*F457^0.65)*0.079*0.1/F457)*inputs!$E$73/inputs!$E$74</f>
        <v>4.6125790446588066</v>
      </c>
      <c r="P457" s="70">
        <f>((MAX('Max rate concentrations'!Y:Y))*0.62*6.01*8*(12.3*F457^0.65)*0.079*0.1/F457)*inputs!$E$73/inputs!$E$74</f>
        <v>1.5375263482196024</v>
      </c>
      <c r="Q457" s="70">
        <f>(inputs!$C$18*11.2*(12.3*F457^0.65)*0.5/F457)*inputs!$E$73/inputs!$E$74</f>
        <v>0.81248404312740241</v>
      </c>
      <c r="R457" s="60">
        <f>(60*379*((F457/1000)^0.8)*3*24*(MAX('Max rate concentrations'!$R$3:$R$368))/F457)*(inputs!$E$73/inputs!$E$75)</f>
        <v>4.2885750988636978E-3</v>
      </c>
      <c r="S457" s="60">
        <f>(IF(inputs!$C$17="aerial",((0.025*0.112*inputs!$C$18/3.3)*(3*60*379*((F457/1000)^0.8))*MAX(inputs!$I$14:$I$16))/F457,((0.0083*0.112*inputs!$C$18/1)*(3*60*379*((F457/1000)^0.8))*MAX(inputs!$I$14:$I$16))/F457))*(inputs!E$75/inputs!$E$73)</f>
        <v>2.3651755153036337E-2</v>
      </c>
      <c r="T457" s="63">
        <f>IF((((inputs!$P$13/(V457/MAX(K457:S457)))^(1/inputs!$O$13))-1)/inputs!$N$13&lt;0, 0, IF((((inputs!$P$13/(V457/MAX(K457:S457)))^(1/inputs!$O$13))-1)/inputs!$N$13&lt;inputs!$I$17, (((inputs!$P$13/(V457/MAX(K457:S457)))^(1/inputs!$O$13))-1)/inputs!$N$13, inputs!$I$17))</f>
        <v>531.87127590642785</v>
      </c>
      <c r="U457" s="63">
        <f>IF((((inputs!$P$13/(X457/MAX(K457:S457)))^(1/inputs!$O$13))-1)/inputs!$N$13&lt;0, 0, IF((((inputs!$P$13/(X457/MAX(K457:S457)))^(1/inputs!$O$13))-1)/inputs!$N$13&lt;inputs!$I$17, (((inputs!$P$13/(X457/MAX(K457:S457)))^(1/inputs!$O$13))-1)/inputs!$N$13, inputs!$I$17))</f>
        <v>19.897672107376664</v>
      </c>
      <c r="V457" s="54">
        <f>inputs!$E$70*(inputs!$F$70/F457)^(0.25)</f>
        <v>0.27451421938065973</v>
      </c>
      <c r="W457" s="54">
        <f>inputs!$E$76*(inputs!$F$76/F457)^(0.25)</f>
        <v>8.2568699553496286E-2</v>
      </c>
      <c r="X457" s="54">
        <f>inputs!$E$72*(inputs!$F$72/F457)^(0.25)</f>
        <v>12.110921443264401</v>
      </c>
      <c r="Y457" s="54" t="s">
        <v>13</v>
      </c>
      <c r="Z457" s="106">
        <f t="shared" si="52"/>
        <v>291.35254656381028</v>
      </c>
      <c r="AA457" s="106">
        <f t="shared" si="53"/>
        <v>968.65298008856678</v>
      </c>
    </row>
    <row r="458" spans="1:27" x14ac:dyDescent="0.25">
      <c r="A458" s="55" t="s">
        <v>604</v>
      </c>
      <c r="B458" s="49" t="s">
        <v>608</v>
      </c>
      <c r="C458" s="21" t="s">
        <v>61</v>
      </c>
      <c r="D458" s="20" t="s">
        <v>454</v>
      </c>
      <c r="E458" s="20">
        <v>1302</v>
      </c>
      <c r="F458" s="21">
        <v>113000</v>
      </c>
      <c r="G458" s="21" t="s">
        <v>455</v>
      </c>
      <c r="H458" s="21">
        <v>0.68</v>
      </c>
      <c r="I458" s="71">
        <f>MAX('Max rate concentrations'!$K$3:$K$368)</f>
        <v>110.00035859694511</v>
      </c>
      <c r="J458" s="71">
        <f>MAX('Max rate concentrations'!AC:AC)</f>
        <v>38.958460336418057</v>
      </c>
      <c r="K458" s="70">
        <f t="shared" si="50"/>
        <v>10.182725159758855</v>
      </c>
      <c r="L458" s="70">
        <f t="shared" si="51"/>
        <v>3.606381827414594</v>
      </c>
      <c r="M458" s="70">
        <f>IF((((0.326*F458^0.818)-(0.398*F458^0.85)/(1-H458)*H458)*(MAX('Max rate concentrations'!$P$3:$P$368)))/F458&gt;0, (((0.326*F458^0.818)-(0.398*F458^0.85)/(1-H458)*H458)*(MAX('Max rate concentrations'!$P$3:$P$368)))/F458, 0)</f>
        <v>0</v>
      </c>
      <c r="N458" s="70">
        <f>IF((((0.326*F458^0.818)-(0.398*F458^0.85)/(1-H458)*H458)*(MAX('Max rate concentrations'!$Q$3:$Q$368)))/F458&gt; 0, (((0.326*F458^0.818)-(0.398*F458^0.85)/(1-H458)*H458)*(MAX('Max rate concentrations'!$Q$3:$Q$368)))/F458, 0)</f>
        <v>0</v>
      </c>
      <c r="O458" s="70">
        <f>((MAX('Max rate concentrations'!$F$3:$F$368))*0.62*6.01*8*(12.3*F458^0.65)*0.079*0.1/F458)*inputs!$E$73/inputs!$E$74</f>
        <v>4.6125790446588066</v>
      </c>
      <c r="P458" s="70">
        <f>((MAX('Max rate concentrations'!Y:Y))*0.62*6.01*8*(12.3*F458^0.65)*0.079*0.1/F458)*inputs!$E$73/inputs!$E$74</f>
        <v>1.5375263482196024</v>
      </c>
      <c r="Q458" s="70">
        <f>(inputs!$C$18*11.2*(12.3*F458^0.65)*0.5/F458)*inputs!$E$73/inputs!$E$74</f>
        <v>0.81248404312740241</v>
      </c>
      <c r="R458" s="60">
        <f>(60*379*((F458/1000)^0.8)*3*24*(MAX('Max rate concentrations'!$R$3:$R$368))/F458)*(inputs!$E$73/inputs!$E$75)</f>
        <v>4.2885750988636978E-3</v>
      </c>
      <c r="S458" s="60">
        <f>(IF(inputs!$C$17="aerial",((0.025*0.112*inputs!$C$18/3.3)*(3*60*379*((F458/1000)^0.8))*MAX(inputs!$I$14:$I$16))/F458,((0.0083*0.112*inputs!$C$18/1)*(3*60*379*((F458/1000)^0.8))*MAX(inputs!$I$14:$I$16))/F458))*(inputs!E$75/inputs!$E$73)</f>
        <v>2.3651755153036337E-2</v>
      </c>
      <c r="T458" s="63">
        <f>IF((((inputs!$P$13/(V458/MAX(K458:S458)))^(1/inputs!$O$13))-1)/inputs!$N$13&lt;0, 0, IF((((inputs!$P$13/(V458/MAX(K458:S458)))^(1/inputs!$O$13))-1)/inputs!$N$13&lt;inputs!$I$17, (((inputs!$P$13/(V458/MAX(K458:S458)))^(1/inputs!$O$13))-1)/inputs!$N$13, inputs!$I$17))</f>
        <v>96.210130452400122</v>
      </c>
      <c r="U458" s="63">
        <f>IF((((inputs!$P$13/(X458/MAX(K458:S458)))^(1/inputs!$O$13))-1)/inputs!$N$13&lt;0, 0, IF((((inputs!$P$13/(X458/MAX(K458:S458)))^(1/inputs!$O$13))-1)/inputs!$N$13&lt;inputs!$I$17, (((inputs!$P$13/(X458/MAX(K458:S458)))^(1/inputs!$O$13))-1)/inputs!$N$13, inputs!$I$17))</f>
        <v>0</v>
      </c>
      <c r="V458" s="54">
        <f>inputs!$E$70*(inputs!$F$70/F458)^(0.25)</f>
        <v>0.27451421938065973</v>
      </c>
      <c r="W458" s="54">
        <f>inputs!$E$76*(inputs!$F$76/F458)^(0.25)</f>
        <v>8.2568699553496286E-2</v>
      </c>
      <c r="X458" s="54">
        <f>inputs!$E$72*(inputs!$F$72/F458)^(0.25)</f>
        <v>12.110921443264401</v>
      </c>
      <c r="Y458" s="54" t="s">
        <v>13</v>
      </c>
      <c r="Z458" s="106">
        <f t="shared" si="52"/>
        <v>37.093616435361433</v>
      </c>
      <c r="AA458" s="106">
        <f t="shared" si="53"/>
        <v>123.32427681220126</v>
      </c>
    </row>
    <row r="459" spans="1:27" x14ac:dyDescent="0.25">
      <c r="A459" s="55" t="s">
        <v>604</v>
      </c>
      <c r="B459" s="49" t="s">
        <v>608</v>
      </c>
      <c r="C459" s="21" t="s">
        <v>61</v>
      </c>
      <c r="D459" s="20" t="s">
        <v>454</v>
      </c>
      <c r="E459" s="20">
        <v>1302</v>
      </c>
      <c r="F459" s="21">
        <v>113000</v>
      </c>
      <c r="G459" s="21" t="s">
        <v>456</v>
      </c>
      <c r="H459" s="21">
        <v>0.68</v>
      </c>
      <c r="I459" s="68">
        <f>MAX('Max rate concentrations'!$J$3:$J$368)</f>
        <v>686.46486205830786</v>
      </c>
      <c r="J459" s="68">
        <f>MAX('Max rate concentrations'!AB:AB)</f>
        <v>243.122971978984</v>
      </c>
      <c r="K459" s="70">
        <f t="shared" si="50"/>
        <v>63.546002134266217</v>
      </c>
      <c r="L459" s="70">
        <f t="shared" si="51"/>
        <v>22.505875755885949</v>
      </c>
      <c r="M459" s="70">
        <f>IF((((0.326*F459^0.818)-(0.398*F459^0.85)/(1-H459)*H459)*(MAX('Max rate concentrations'!$P$3:$P$368)))/F459&gt;0, (((0.326*F459^0.818)-(0.398*F459^0.85)/(1-H459)*H459)*(MAX('Max rate concentrations'!$P$3:$P$368)))/F459, 0)</f>
        <v>0</v>
      </c>
      <c r="N459" s="70">
        <f>IF((((0.326*F459^0.818)-(0.398*F459^0.85)/(1-H459)*H459)*(MAX('Max rate concentrations'!$Q$3:$Q$368)))/F459&gt; 0, (((0.326*F459^0.818)-(0.398*F459^0.85)/(1-H459)*H459)*(MAX('Max rate concentrations'!$Q$3:$Q$368)))/F459, 0)</f>
        <v>0</v>
      </c>
      <c r="O459" s="70">
        <f>((MAX('Max rate concentrations'!$F$3:$F$368))*0.62*6.01*8*(12.3*F459^0.65)*0.079*0.1/F459)*inputs!$E$73/inputs!$E$74</f>
        <v>4.6125790446588066</v>
      </c>
      <c r="P459" s="70">
        <f>((MAX('Max rate concentrations'!Y:Y))*0.62*6.01*8*(12.3*F459^0.65)*0.079*0.1/F459)*inputs!$E$73/inputs!$E$74</f>
        <v>1.5375263482196024</v>
      </c>
      <c r="Q459" s="70">
        <f>(inputs!$C$18*11.2*(12.3*F459^0.65)*0.5/F459)*inputs!$E$73/inputs!$E$74</f>
        <v>0.81248404312740241</v>
      </c>
      <c r="R459" s="60">
        <f>(60*379*((F459/1000)^0.8)*3*24*(MAX('Max rate concentrations'!$R$3:$R$368))/F459)*(inputs!$E$73/inputs!$E$75)</f>
        <v>4.2885750988636978E-3</v>
      </c>
      <c r="S459" s="60">
        <f>(IF(inputs!$C$17="aerial",((0.025*0.112*inputs!$C$18/3.3)*(3*60*379*((F459/1000)^0.8))*MAX(inputs!$I$14:$I$16))/F459,((0.0083*0.112*inputs!$C$18/1)*(3*60*379*((F459/1000)^0.8))*MAX(inputs!$I$14:$I$16))/F459))*(inputs!E$75/inputs!$E$73)</f>
        <v>2.3651755153036337E-2</v>
      </c>
      <c r="T459" s="63">
        <f>IF((((inputs!$P$13/(V459/MAX(K459:S459)))^(1/inputs!$O$13))-1)/inputs!$N$13&lt;0, 0, IF((((inputs!$P$13/(V459/MAX(K459:S459)))^(1/inputs!$O$13))-1)/inputs!$N$13&lt;inputs!$I$17, (((inputs!$P$13/(V459/MAX(K459:S459)))^(1/inputs!$O$13))-1)/inputs!$N$13, inputs!$I$17))</f>
        <v>440.70779723656995</v>
      </c>
      <c r="U459" s="63">
        <f>IF((((inputs!$P$13/(X459/MAX(K459:S459)))^(1/inputs!$O$13))-1)/inputs!$N$13&lt;0, 0, IF((((inputs!$P$13/(X459/MAX(K459:S459)))^(1/inputs!$O$13))-1)/inputs!$N$13&lt;inputs!$I$17, (((inputs!$P$13/(X459/MAX(K459:S459)))^(1/inputs!$O$13))-1)/inputs!$N$13, inputs!$I$17))</f>
        <v>15.633114509312625</v>
      </c>
      <c r="V459" s="54">
        <f>inputs!$E$70*(inputs!$F$70/F459)^(0.25)</f>
        <v>0.27451421938065973</v>
      </c>
      <c r="W459" s="54">
        <f>inputs!$E$76*(inputs!$F$76/F459)^(0.25)</f>
        <v>8.2568699553496286E-2</v>
      </c>
      <c r="X459" s="54">
        <f>inputs!$E$72*(inputs!$F$72/F459)^(0.25)</f>
        <v>12.110921443264401</v>
      </c>
      <c r="Y459" s="54" t="s">
        <v>13</v>
      </c>
      <c r="Z459" s="106">
        <f t="shared" si="52"/>
        <v>231.48528436025782</v>
      </c>
      <c r="AA459" s="106">
        <f t="shared" si="53"/>
        <v>769.61369717461446</v>
      </c>
    </row>
    <row r="460" spans="1:27" x14ac:dyDescent="0.25">
      <c r="A460" s="55" t="s">
        <v>604</v>
      </c>
      <c r="B460" s="49" t="s">
        <v>605</v>
      </c>
      <c r="C460" s="21" t="s">
        <v>61</v>
      </c>
      <c r="D460" s="20" t="s">
        <v>454</v>
      </c>
      <c r="E460" s="20">
        <v>2</v>
      </c>
      <c r="F460" s="21">
        <v>113000</v>
      </c>
      <c r="G460" s="21" t="s">
        <v>142</v>
      </c>
      <c r="H460" s="21">
        <v>0.69</v>
      </c>
      <c r="I460" s="68">
        <f>MAX('Max rate concentrations'!$H$3:$H$368)</f>
        <v>282</v>
      </c>
      <c r="J460" s="68">
        <f>MAX('Max rate concentrations'!AA:AA)</f>
        <v>195</v>
      </c>
      <c r="K460" s="70">
        <f t="shared" si="50"/>
        <v>26.946807122387018</v>
      </c>
      <c r="L460" s="70">
        <f t="shared" si="51"/>
        <v>18.633430456969748</v>
      </c>
      <c r="M460" s="70">
        <f>IF((((0.326*F460^0.818)-(0.398*F460^0.85)/(1-H460)*H460)*(MAX('Max rate concentrations'!$P$3:$P$368)))/F460&gt;0, (((0.326*F460^0.818)-(0.398*F460^0.85)/(1-H460)*H460)*(MAX('Max rate concentrations'!$P$3:$P$368)))/F460, 0)</f>
        <v>0</v>
      </c>
      <c r="N460" s="70">
        <f>IF((((0.326*F460^0.818)-(0.398*F460^0.85)/(1-H460)*H460)*(MAX('Max rate concentrations'!$Q$3:$Q$368)))/F460&gt; 0, (((0.326*F460^0.818)-(0.398*F460^0.85)/(1-H460)*H460)*(MAX('Max rate concentrations'!$Q$3:$Q$368)))/F460, 0)</f>
        <v>0</v>
      </c>
      <c r="O460" s="70">
        <f>((MAX('Max rate concentrations'!$F$3:$F$368))*0.62*6.01*8*(12.3*F460^0.65)*0.079*0.1/F460)*inputs!$E$73/inputs!$E$74</f>
        <v>4.6125790446588066</v>
      </c>
      <c r="P460" s="70">
        <f>((MAX('Max rate concentrations'!Y:Y))*0.62*6.01*8*(12.3*F460^0.65)*0.079*0.1/F460)*inputs!$E$73/inputs!$E$74</f>
        <v>1.5375263482196024</v>
      </c>
      <c r="Q460" s="70">
        <f>(inputs!$C$18*11.2*(12.3*F460^0.65)*0.5/F460)*inputs!$E$73/inputs!$E$74</f>
        <v>0.81248404312740241</v>
      </c>
      <c r="R460" s="60">
        <f>(60*379*((F460/1000)^0.8)*3*24*(MAX('Max rate concentrations'!$R$3:$R$368))/F460)*(inputs!$E$73/inputs!$E$75)</f>
        <v>4.2885750988636978E-3</v>
      </c>
      <c r="S460" s="60">
        <f>(IF(inputs!$C$17="aerial",((0.025*0.112*inputs!$C$18/3.3)*(3*60*379*((F460/1000)^0.8))*MAX(inputs!$I$14:$I$16))/F460,((0.0083*0.112*inputs!$C$18/1)*(3*60*379*((F460/1000)^0.8))*MAX(inputs!$I$14:$I$16))/F460))*(inputs!E$75/inputs!$E$73)</f>
        <v>2.3651755153036337E-2</v>
      </c>
      <c r="T460" s="63">
        <f>IF((((inputs!$P$13/(V460/MAX(K460:S460)))^(1/inputs!$O$13))-1)/inputs!$N$13&lt;0, 0, IF((((inputs!$P$13/(V460/MAX(K460:S460)))^(1/inputs!$O$13))-1)/inputs!$N$13&lt;inputs!$I$17, (((inputs!$P$13/(V460/MAX(K460:S460)))^(1/inputs!$O$13))-1)/inputs!$N$13, inputs!$I$17))</f>
        <v>217.60438888714182</v>
      </c>
      <c r="U460" s="63">
        <f>IF((((inputs!$P$13/(X460/MAX(K460:S460)))^(1/inputs!$O$13))-1)/inputs!$N$13&lt;0, 0, IF((((inputs!$P$13/(X460/MAX(K460:S460)))^(1/inputs!$O$13))-1)/inputs!$N$13&lt;inputs!$I$17, (((inputs!$P$13/(X460/MAX(K460:S460)))^(1/inputs!$O$13))-1)/inputs!$N$13, inputs!$I$17))</f>
        <v>5.1965082157320781</v>
      </c>
      <c r="V460" s="54">
        <f>inputs!$E$70*(inputs!$F$70/F460)^(0.25)</f>
        <v>0.27451421938065973</v>
      </c>
      <c r="W460" s="54">
        <f>inputs!$E$76*(inputs!$F$76/F460)^(0.25)</f>
        <v>8.2568699553496286E-2</v>
      </c>
      <c r="X460" s="54">
        <f>inputs!$E$72*(inputs!$F$72/F460)^(0.25)</f>
        <v>12.110921443264401</v>
      </c>
      <c r="Y460" s="54" t="s">
        <v>13</v>
      </c>
      <c r="Z460" s="106">
        <f t="shared" si="52"/>
        <v>98.161789881713844</v>
      </c>
      <c r="AA460" s="106">
        <f t="shared" si="53"/>
        <v>326.35620117679309</v>
      </c>
    </row>
    <row r="461" spans="1:27" x14ac:dyDescent="0.25">
      <c r="A461" s="55" t="s">
        <v>604</v>
      </c>
      <c r="B461" s="49" t="s">
        <v>605</v>
      </c>
      <c r="C461" s="21" t="s">
        <v>61</v>
      </c>
      <c r="D461" s="20" t="s">
        <v>454</v>
      </c>
      <c r="E461" s="20">
        <v>2</v>
      </c>
      <c r="F461" s="21">
        <v>113000</v>
      </c>
      <c r="G461" s="21" t="s">
        <v>218</v>
      </c>
      <c r="H461" s="21">
        <v>0.68</v>
      </c>
      <c r="I461" s="68">
        <f>MAX('Max rate concentrations'!$K$3:$K$368)</f>
        <v>110.00035859694511</v>
      </c>
      <c r="J461" s="68">
        <f>MAX('Max rate concentrations'!AC:AC)</f>
        <v>38.958460336418057</v>
      </c>
      <c r="K461" s="70">
        <f t="shared" si="50"/>
        <v>10.182725159758855</v>
      </c>
      <c r="L461" s="70">
        <f t="shared" si="51"/>
        <v>3.606381827414594</v>
      </c>
      <c r="M461" s="70">
        <f>IF((((0.326*F461^0.818)-(0.398*F461^0.85)/(1-H461)*H461)*(MAX('Max rate concentrations'!$P$3:$P$368)))/F461&gt;0, (((0.326*F461^0.818)-(0.398*F461^0.85)/(1-H461)*H461)*(MAX('Max rate concentrations'!$P$3:$P$368)))/F461, 0)</f>
        <v>0</v>
      </c>
      <c r="N461" s="70">
        <f>IF((((0.326*F461^0.818)-(0.398*F461^0.85)/(1-H461)*H461)*(MAX('Max rate concentrations'!$Q$3:$Q$368)))/F461&gt; 0, (((0.326*F461^0.818)-(0.398*F461^0.85)/(1-H461)*H461)*(MAX('Max rate concentrations'!$Q$3:$Q$368)))/F461, 0)</f>
        <v>0</v>
      </c>
      <c r="O461" s="70">
        <f>((MAX('Max rate concentrations'!$F$3:$F$368))*0.62*6.01*8*(12.3*F461^0.65)*0.079*0.1/F461)*inputs!$E$73/inputs!$E$74</f>
        <v>4.6125790446588066</v>
      </c>
      <c r="P461" s="70">
        <f>((MAX('Max rate concentrations'!Y:Y))*0.62*6.01*8*(12.3*F461^0.65)*0.079*0.1/F461)*inputs!$E$73/inputs!$E$74</f>
        <v>1.5375263482196024</v>
      </c>
      <c r="Q461" s="70">
        <f>(inputs!$C$18*11.2*(12.3*F461^0.65)*0.5/F461)*inputs!$E$73/inputs!$E$74</f>
        <v>0.81248404312740241</v>
      </c>
      <c r="R461" s="60">
        <f>(60*379*((F461/1000)^0.8)*3*24*(MAX('Max rate concentrations'!$R$3:$R$368))/F461)*(inputs!$E$73/inputs!$E$75)</f>
        <v>4.2885750988636978E-3</v>
      </c>
      <c r="S461" s="60">
        <f>(IF(inputs!$C$17="aerial",((0.025*0.112*inputs!$C$18/3.3)*(3*60*379*((F461/1000)^0.8))*MAX(inputs!$I$14:$I$16))/F461,((0.0083*0.112*inputs!$C$18/1)*(3*60*379*((F461/1000)^0.8))*MAX(inputs!$I$14:$I$16))/F461))*(inputs!E$75/inputs!$E$73)</f>
        <v>2.3651755153036337E-2</v>
      </c>
      <c r="T461" s="63">
        <f>IF((((inputs!$P$13/(V461/MAX(K461:S461)))^(1/inputs!$O$13))-1)/inputs!$N$13&lt;0, 0, IF((((inputs!$P$13/(V461/MAX(K461:S461)))^(1/inputs!$O$13))-1)/inputs!$N$13&lt;inputs!$I$17, (((inputs!$P$13/(V461/MAX(K461:S461)))^(1/inputs!$O$13))-1)/inputs!$N$13, inputs!$I$17))</f>
        <v>96.210130452400122</v>
      </c>
      <c r="U461" s="63">
        <f>IF((((inputs!$P$13/(X461/MAX(K461:S461)))^(1/inputs!$O$13))-1)/inputs!$N$13&lt;0, 0, IF((((inputs!$P$13/(X461/MAX(K461:S461)))^(1/inputs!$O$13))-1)/inputs!$N$13&lt;inputs!$I$17, (((inputs!$P$13/(X461/MAX(K461:S461)))^(1/inputs!$O$13))-1)/inputs!$N$13, inputs!$I$17))</f>
        <v>0</v>
      </c>
      <c r="V461" s="54">
        <f>inputs!$E$70*(inputs!$F$70/F461)^(0.25)</f>
        <v>0.27451421938065973</v>
      </c>
      <c r="W461" s="54">
        <f>inputs!$E$76*(inputs!$F$76/F461)^(0.25)</f>
        <v>8.2568699553496286E-2</v>
      </c>
      <c r="X461" s="54">
        <f>inputs!$E$72*(inputs!$F$72/F461)^(0.25)</f>
        <v>12.110921443264401</v>
      </c>
      <c r="Y461" s="54" t="s">
        <v>13</v>
      </c>
      <c r="Z461" s="106">
        <f t="shared" si="52"/>
        <v>37.093616435361433</v>
      </c>
      <c r="AA461" s="106">
        <f t="shared" si="53"/>
        <v>123.32427681220126</v>
      </c>
    </row>
    <row r="462" spans="1:27" x14ac:dyDescent="0.25">
      <c r="A462" s="55" t="s">
        <v>604</v>
      </c>
      <c r="B462" s="49" t="s">
        <v>605</v>
      </c>
      <c r="C462" s="21" t="s">
        <v>61</v>
      </c>
      <c r="D462" s="20" t="s">
        <v>454</v>
      </c>
      <c r="E462" s="20">
        <v>2</v>
      </c>
      <c r="F462" s="21">
        <v>113000</v>
      </c>
      <c r="G462" s="21" t="s">
        <v>186</v>
      </c>
      <c r="H462" s="21">
        <v>0.75</v>
      </c>
      <c r="I462" s="68">
        <f>inputs!$C$66*inputs!$C$64/1000</f>
        <v>21.3</v>
      </c>
      <c r="J462" s="68">
        <f>inputs!$C$66*inputs!$C$63/1000</f>
        <v>8.8000000000000007</v>
      </c>
      <c r="K462" s="70">
        <f t="shared" ref="K462:K493" si="54">(((0.235*F462^0.822)/(1-H462)))*I462/F462</f>
        <v>2.5238264883563333</v>
      </c>
      <c r="L462" s="70">
        <f t="shared" ref="L462:L493" si="55">(((0.235*F462^0.822)/(1-H462)))*J462/F462</f>
        <v>1.0427076571613021</v>
      </c>
      <c r="M462" s="70">
        <f>IF((((0.326*F462^0.818)-(0.398*F462^0.85)/(1-H462)*H462)*(MAX('Max rate concentrations'!$P$3:$P$368)))/F462&gt;0, (((0.326*F462^0.818)-(0.398*F462^0.85)/(1-H462)*H462)*(MAX('Max rate concentrations'!$P$3:$P$368)))/F462, 0)</f>
        <v>0</v>
      </c>
      <c r="N462" s="70">
        <f>IF((((0.326*F462^0.818)-(0.398*F462^0.85)/(1-H462)*H462)*(MAX('Max rate concentrations'!$Q$3:$Q$368)))/F462&gt; 0, (((0.326*F462^0.818)-(0.398*F462^0.85)/(1-H462)*H462)*(MAX('Max rate concentrations'!$Q$3:$Q$368)))/F462, 0)</f>
        <v>0</v>
      </c>
      <c r="O462" s="70">
        <f>((MAX('Max rate concentrations'!$F$3:$F$368))*0.62*6.01*8*(12.3*F462^0.65)*0.079*0.1/F462)*inputs!$E$73/inputs!$E$74</f>
        <v>4.6125790446588066</v>
      </c>
      <c r="P462" s="70">
        <f>((MAX('Max rate concentrations'!Y:Y))*0.62*6.01*8*(12.3*F462^0.65)*0.079*0.1/F462)*inputs!$E$73/inputs!$E$74</f>
        <v>1.5375263482196024</v>
      </c>
      <c r="Q462" s="70">
        <f>(inputs!$C$18*11.2*(12.3*F462^0.65)*0.5/F462)*inputs!$E$73/inputs!$E$74</f>
        <v>0.81248404312740241</v>
      </c>
      <c r="R462" s="60">
        <f>(60*379*((F462/1000)^0.8)*3*24*(MAX('Max rate concentrations'!$R$3:$R$368))/F462)*(inputs!$E$73/inputs!$E$75)</f>
        <v>4.2885750988636978E-3</v>
      </c>
      <c r="S462" s="60">
        <f>(IF(inputs!$C$17="aerial",((0.025*0.112*inputs!$C$18/3.3)*(3*60*379*((F462/1000)^0.8))*MAX(inputs!$I$14:$I$16))/F462,((0.0083*0.112*inputs!$C$18/1)*(3*60*379*((F462/1000)^0.8))*MAX(inputs!$I$14:$I$16))/F462))*(inputs!E$75/inputs!$E$73)</f>
        <v>2.3651755153036337E-2</v>
      </c>
      <c r="T462" s="63">
        <f>IF((((inputs!$P$13/(V462/MAX(K462:S462)))^(1/inputs!$O$13))-1)/inputs!$N$13&lt;0, 0, IF((((inputs!$P$13/(V462/MAX(K462:S462)))^(1/inputs!$O$13))-1)/inputs!$N$13&lt;inputs!$I$17, (((inputs!$P$13/(V462/MAX(K462:S462)))^(1/inputs!$O$13))-1)/inputs!$N$13, inputs!$I$17))</f>
        <v>48.239021690718445</v>
      </c>
      <c r="U462" s="63">
        <f>IF((((inputs!$P$13/(X462/MAX(K462:S462)))^(1/inputs!$O$13))-1)/inputs!$N$13&lt;0, 0, IF((((inputs!$P$13/(X462/MAX(K462:S462)))^(1/inputs!$O$13))-1)/inputs!$N$13&lt;inputs!$I$17, (((inputs!$P$13/(X462/MAX(K462:S462)))^(1/inputs!$O$13))-1)/inputs!$N$13, inputs!$I$17))</f>
        <v>0</v>
      </c>
      <c r="V462" s="54">
        <f>inputs!$E$70*(inputs!$F$70/F462)^(0.25)</f>
        <v>0.27451421938065973</v>
      </c>
      <c r="W462" s="54">
        <f>inputs!$E$76*(inputs!$F$76/F462)^(0.25)</f>
        <v>8.2568699553496286E-2</v>
      </c>
      <c r="X462" s="54">
        <f>inputs!$E$72*(inputs!$F$72/F462)^(0.25)</f>
        <v>12.110921443264401</v>
      </c>
      <c r="Y462" s="54" t="s">
        <v>13</v>
      </c>
      <c r="Z462" s="106">
        <f t="shared" si="52"/>
        <v>16.802696250363251</v>
      </c>
      <c r="AA462" s="106">
        <f t="shared" si="53"/>
        <v>55.86353024332562</v>
      </c>
    </row>
    <row r="463" spans="1:27" x14ac:dyDescent="0.25">
      <c r="A463" s="55" t="s">
        <v>604</v>
      </c>
      <c r="B463" s="49" t="s">
        <v>605</v>
      </c>
      <c r="C463" s="21" t="s">
        <v>61</v>
      </c>
      <c r="D463" s="20" t="s">
        <v>454</v>
      </c>
      <c r="E463" s="20">
        <v>2</v>
      </c>
      <c r="F463" s="21">
        <v>113000</v>
      </c>
      <c r="G463" s="21" t="s">
        <v>152</v>
      </c>
      <c r="H463" s="21">
        <v>0.77</v>
      </c>
      <c r="I463" s="68">
        <f>MAX('Max rate concentrations'!$G$3:$G$368)</f>
        <v>45</v>
      </c>
      <c r="J463" s="68">
        <f>MAX('Max rate concentrations'!Z:Z)</f>
        <v>21</v>
      </c>
      <c r="K463" s="70">
        <f t="shared" si="54"/>
        <v>5.7956823829370787</v>
      </c>
      <c r="L463" s="70">
        <f t="shared" si="55"/>
        <v>2.7046517787039703</v>
      </c>
      <c r="M463" s="70">
        <f>IF((((0.326*F463^0.818)-(0.398*F463^0.85)/(1-H463)*H463)*(MAX('Max rate concentrations'!$P$3:$P$368)))/F463&gt;0, (((0.326*F463^0.818)-(0.398*F463^0.85)/(1-H463)*H463)*(MAX('Max rate concentrations'!$P$3:$P$368)))/F463, 0)</f>
        <v>0</v>
      </c>
      <c r="N463" s="70">
        <f>IF((((0.326*F463^0.818)-(0.398*F463^0.85)/(1-H463)*H463)*(MAX('Max rate concentrations'!$Q$3:$Q$368)))/F463&gt; 0, (((0.326*F463^0.818)-(0.398*F463^0.85)/(1-H463)*H463)*(MAX('Max rate concentrations'!$Q$3:$Q$368)))/F463, 0)</f>
        <v>0</v>
      </c>
      <c r="O463" s="70">
        <f>((MAX('Max rate concentrations'!$F$3:$F$368))*0.62*6.01*8*(12.3*F463^0.65)*0.079*0.1/F463)*inputs!$E$73/inputs!$E$74</f>
        <v>4.6125790446588066</v>
      </c>
      <c r="P463" s="70">
        <f>((MAX('Max rate concentrations'!Y:Y))*0.62*6.01*8*(12.3*F463^0.65)*0.079*0.1/F463)*inputs!$E$73/inputs!$E$74</f>
        <v>1.5375263482196024</v>
      </c>
      <c r="Q463" s="70">
        <f>(inputs!$C$18*11.2*(12.3*F463^0.65)*0.5/F463)*inputs!$E$73/inputs!$E$74</f>
        <v>0.81248404312740241</v>
      </c>
      <c r="R463" s="60">
        <f>(60*379*((F463/1000)^0.8)*3*24*(MAX('Max rate concentrations'!$R$3:$R$368))/F463)*(inputs!$E$73/inputs!$E$75)</f>
        <v>4.2885750988636978E-3</v>
      </c>
      <c r="S463" s="60">
        <f>(IF(inputs!$C$17="aerial",((0.025*0.112*inputs!$C$18/3.3)*(3*60*379*((F463/1000)^0.8))*MAX(inputs!$I$14:$I$16))/F463,((0.0083*0.112*inputs!$C$18/1)*(3*60*379*((F463/1000)^0.8))*MAX(inputs!$I$14:$I$16))/F463))*(inputs!E$75/inputs!$E$73)</f>
        <v>2.3651755153036337E-2</v>
      </c>
      <c r="T463" s="63">
        <f>IF((((inputs!$P$13/(V463/MAX(K463:S463)))^(1/inputs!$O$13))-1)/inputs!$N$13&lt;0, 0, IF((((inputs!$P$13/(V463/MAX(K463:S463)))^(1/inputs!$O$13))-1)/inputs!$N$13&lt;inputs!$I$17, (((inputs!$P$13/(V463/MAX(K463:S463)))^(1/inputs!$O$13))-1)/inputs!$N$13, inputs!$I$17))</f>
        <v>59.08124068862206</v>
      </c>
      <c r="U463" s="63">
        <f>IF((((inputs!$P$13/(X463/MAX(K463:S463)))^(1/inputs!$O$13))-1)/inputs!$N$13&lt;0, 0, IF((((inputs!$P$13/(X463/MAX(K463:S463)))^(1/inputs!$O$13))-1)/inputs!$N$13&lt;inputs!$I$17, (((inputs!$P$13/(X463/MAX(K463:S463)))^(1/inputs!$O$13))-1)/inputs!$N$13, inputs!$I$17))</f>
        <v>0</v>
      </c>
      <c r="V463" s="54">
        <f>inputs!$E$70*(inputs!$F$70/F463)^(0.25)</f>
        <v>0.27451421938065973</v>
      </c>
      <c r="W463" s="54">
        <f>inputs!$E$76*(inputs!$F$76/F463)^(0.25)</f>
        <v>8.2568699553496286E-2</v>
      </c>
      <c r="X463" s="54">
        <f>inputs!$E$72*(inputs!$F$72/F463)^(0.25)</f>
        <v>12.110921443264401</v>
      </c>
      <c r="Y463" s="54" t="s">
        <v>13</v>
      </c>
      <c r="Z463" s="106">
        <f t="shared" si="52"/>
        <v>21.112503374189149</v>
      </c>
      <c r="AA463" s="106">
        <f t="shared" si="53"/>
        <v>70.192244933954115</v>
      </c>
    </row>
    <row r="464" spans="1:27" x14ac:dyDescent="0.25">
      <c r="A464" s="55" t="s">
        <v>604</v>
      </c>
      <c r="B464" s="49" t="s">
        <v>605</v>
      </c>
      <c r="C464" s="21" t="s">
        <v>61</v>
      </c>
      <c r="D464" s="20" t="s">
        <v>454</v>
      </c>
      <c r="E464" s="20">
        <v>2</v>
      </c>
      <c r="F464" s="21">
        <v>113000</v>
      </c>
      <c r="G464" s="21" t="s">
        <v>169</v>
      </c>
      <c r="H464" s="21">
        <v>0.79</v>
      </c>
      <c r="I464" s="68">
        <f>MAX('Max rate concentrations'!$D$3:$D$368)</f>
        <v>720</v>
      </c>
      <c r="J464" s="68">
        <f>MAX('Max rate concentrations'!W:W)</f>
        <v>255</v>
      </c>
      <c r="K464" s="70">
        <f t="shared" si="54"/>
        <v>101.56243413908788</v>
      </c>
      <c r="L464" s="70">
        <f t="shared" si="55"/>
        <v>35.970028757593624</v>
      </c>
      <c r="M464" s="70">
        <f>IF((((0.326*F464^0.818)-(0.398*F464^0.85)/(1-H464)*H464)*(MAX('Max rate concentrations'!$P$3:$P$368)))/F464&gt;0, (((0.326*F464^0.818)-(0.398*F464^0.85)/(1-H464)*H464)*(MAX('Max rate concentrations'!$P$3:$P$368)))/F464, 0)</f>
        <v>0</v>
      </c>
      <c r="N464" s="70">
        <f>IF((((0.326*F464^0.818)-(0.398*F464^0.85)/(1-H464)*H464)*(MAX('Max rate concentrations'!$Q$3:$Q$368)))/F464&gt; 0, (((0.326*F464^0.818)-(0.398*F464^0.85)/(1-H464)*H464)*(MAX('Max rate concentrations'!$Q$3:$Q$368)))/F464, 0)</f>
        <v>0</v>
      </c>
      <c r="O464" s="70">
        <f>((MAX('Max rate concentrations'!$F$3:$F$368))*0.62*6.01*8*(12.3*F464^0.65)*0.079*0.1/F464)*inputs!$E$73/inputs!$E$74</f>
        <v>4.6125790446588066</v>
      </c>
      <c r="P464" s="70">
        <f>((MAX('Max rate concentrations'!Y:Y))*0.62*6.01*8*(12.3*F464^0.65)*0.079*0.1/F464)*inputs!$E$73/inputs!$E$74</f>
        <v>1.5375263482196024</v>
      </c>
      <c r="Q464" s="70">
        <f>(inputs!$C$18*11.2*(12.3*F464^0.65)*0.5/F464)*inputs!$E$73/inputs!$E$74</f>
        <v>0.81248404312740241</v>
      </c>
      <c r="R464" s="60">
        <f>(60*379*((F464/1000)^0.8)*3*24*(MAX('Max rate concentrations'!$R$3:$R$368))/F464)*(inputs!$E$73/inputs!$E$75)</f>
        <v>4.2885750988636978E-3</v>
      </c>
      <c r="S464" s="60">
        <f>(IF(inputs!$C$17="aerial",((0.025*0.112*inputs!$C$18/3.3)*(3*60*379*((F464/1000)^0.8))*MAX(inputs!$I$14:$I$16))/F464,((0.0083*0.112*inputs!$C$18/1)*(3*60*379*((F464/1000)^0.8))*MAX(inputs!$I$14:$I$16))/F464))*(inputs!E$75/inputs!$E$73)</f>
        <v>2.3651755153036337E-2</v>
      </c>
      <c r="T464" s="63">
        <f>IF((((inputs!$P$13/(V464/MAX(K464:S464)))^(1/inputs!$O$13))-1)/inputs!$N$13&lt;0, 0, IF((((inputs!$P$13/(V464/MAX(K464:S464)))^(1/inputs!$O$13))-1)/inputs!$N$13&lt;inputs!$I$17, (((inputs!$P$13/(V464/MAX(K464:S464)))^(1/inputs!$O$13))-1)/inputs!$N$13, inputs!$I$17))</f>
        <v>646.3305185724314</v>
      </c>
      <c r="U464" s="63">
        <f>IF((((inputs!$P$13/(X464/MAX(K464:S464)))^(1/inputs!$O$13))-1)/inputs!$N$13&lt;0, 0, IF((((inputs!$P$13/(X464/MAX(K464:S464)))^(1/inputs!$O$13))-1)/inputs!$N$13&lt;inputs!$I$17, (((inputs!$P$13/(X464/MAX(K464:S464)))^(1/inputs!$O$13))-1)/inputs!$N$13, inputs!$I$17))</f>
        <v>25.251987674333527</v>
      </c>
      <c r="V464" s="54">
        <f>inputs!$E$70*(inputs!$F$70/F464)^(0.25)</f>
        <v>0.27451421938065973</v>
      </c>
      <c r="W464" s="54">
        <f>inputs!$E$76*(inputs!$F$76/F464)^(0.25)</f>
        <v>8.2568699553496286E-2</v>
      </c>
      <c r="X464" s="54">
        <f>inputs!$E$72*(inputs!$F$72/F464)^(0.25)</f>
        <v>12.110921443264401</v>
      </c>
      <c r="Y464" s="54" t="s">
        <v>13</v>
      </c>
      <c r="Z464" s="106">
        <f t="shared" si="52"/>
        <v>369.97148770007664</v>
      </c>
      <c r="AA464" s="106">
        <f t="shared" si="53"/>
        <v>1230.0355302711962</v>
      </c>
    </row>
    <row r="465" spans="1:27" ht="26.4" x14ac:dyDescent="0.25">
      <c r="A465" s="55" t="s">
        <v>604</v>
      </c>
      <c r="B465" s="49" t="s">
        <v>605</v>
      </c>
      <c r="C465" s="21" t="s">
        <v>61</v>
      </c>
      <c r="D465" s="20" t="s">
        <v>454</v>
      </c>
      <c r="E465" s="20">
        <v>2</v>
      </c>
      <c r="F465" s="21">
        <v>113000</v>
      </c>
      <c r="G465" s="21" t="s">
        <v>580</v>
      </c>
      <c r="H465" s="21">
        <v>0.85</v>
      </c>
      <c r="I465" s="68">
        <f>MAX('Max rate concentrations'!$F$3:$F$368)</f>
        <v>405</v>
      </c>
      <c r="J465" s="68">
        <f>MAX('Max rate concentrations'!Y:Y)</f>
        <v>135</v>
      </c>
      <c r="K465" s="70">
        <f t="shared" si="54"/>
        <v>79.980416884531692</v>
      </c>
      <c r="L465" s="70">
        <f t="shared" si="55"/>
        <v>26.660138961510558</v>
      </c>
      <c r="M465" s="70">
        <f>IF((((0.326*F465^0.818)-(0.398*F465^0.85)/(1-H465)*H465)*(MAX('Max rate concentrations'!$P$3:$P$368)))/F465&gt;0, (((0.326*F465^0.818)-(0.398*F465^0.85)/(1-H465)*H465)*(MAX('Max rate concentrations'!$P$3:$P$368)))/F465, 0)</f>
        <v>0</v>
      </c>
      <c r="N465" s="70">
        <f>IF((((0.326*F465^0.818)-(0.398*F465^0.85)/(1-H465)*H465)*(MAX('Max rate concentrations'!$Q$3:$Q$368)))/F465&gt; 0, (((0.326*F465^0.818)-(0.398*F465^0.85)/(1-H465)*H465)*(MAX('Max rate concentrations'!$Q$3:$Q$368)))/F465, 0)</f>
        <v>0</v>
      </c>
      <c r="O465" s="70">
        <f>((MAX('Max rate concentrations'!$F$3:$F$368))*0.62*6.01*8*(12.3*F465^0.65)*0.079*0.1/F465)*inputs!$E$73/inputs!$E$74</f>
        <v>4.6125790446588066</v>
      </c>
      <c r="P465" s="70">
        <f>((MAX('Max rate concentrations'!Y:Y))*0.62*6.01*8*(12.3*F465^0.65)*0.079*0.1/F465)*inputs!$E$73/inputs!$E$74</f>
        <v>1.5375263482196024</v>
      </c>
      <c r="Q465" s="70">
        <f>(inputs!$C$18*11.2*(12.3*F465^0.65)*0.5/F465)*inputs!$E$73/inputs!$E$74</f>
        <v>0.81248404312740241</v>
      </c>
      <c r="R465" s="60">
        <f>(60*379*((F465/1000)^0.8)*3*24*(MAX('Max rate concentrations'!$R$3:$R$368))/F465)*(inputs!$E$73/inputs!$E$75)</f>
        <v>4.2885750988636978E-3</v>
      </c>
      <c r="S465" s="60">
        <f>(IF(inputs!$C$17="aerial",((0.025*0.112*inputs!$C$18/3.3)*(3*60*379*((F465/1000)^0.8))*MAX(inputs!$I$14:$I$16))/F465,((0.0083*0.112*inputs!$C$18/1)*(3*60*379*((F465/1000)^0.8))*MAX(inputs!$I$14:$I$16))/F465))*(inputs!E$75/inputs!$E$73)</f>
        <v>2.3651755153036337E-2</v>
      </c>
      <c r="T465" s="63">
        <f>IF((((inputs!$P$13/(V465/MAX(K465:S465)))^(1/inputs!$O$13))-1)/inputs!$N$13&lt;0, 0, IF((((inputs!$P$13/(V465/MAX(K465:S465)))^(1/inputs!$O$13))-1)/inputs!$N$13&lt;inputs!$I$17, (((inputs!$P$13/(V465/MAX(K465:S465)))^(1/inputs!$O$13))-1)/inputs!$N$13, inputs!$I$17))</f>
        <v>531.87127590642785</v>
      </c>
      <c r="U465" s="63">
        <f>IF((((inputs!$P$13/(X465/MAX(K465:S465)))^(1/inputs!$O$13))-1)/inputs!$N$13&lt;0, 0, IF((((inputs!$P$13/(X465/MAX(K465:S465)))^(1/inputs!$O$13))-1)/inputs!$N$13&lt;inputs!$I$17, (((inputs!$P$13/(X465/MAX(K465:S465)))^(1/inputs!$O$13))-1)/inputs!$N$13, inputs!$I$17))</f>
        <v>19.897672107376664</v>
      </c>
      <c r="V465" s="54">
        <f>inputs!$E$70*(inputs!$F$70/F465)^(0.25)</f>
        <v>0.27451421938065973</v>
      </c>
      <c r="W465" s="54">
        <f>inputs!$E$76*(inputs!$F$76/F465)^(0.25)</f>
        <v>8.2568699553496286E-2</v>
      </c>
      <c r="X465" s="54">
        <f>inputs!$E$72*(inputs!$F$72/F465)^(0.25)</f>
        <v>12.110921443264401</v>
      </c>
      <c r="Y465" s="54" t="s">
        <v>13</v>
      </c>
      <c r="Z465" s="106">
        <f t="shared" si="52"/>
        <v>291.35254656381028</v>
      </c>
      <c r="AA465" s="106">
        <f t="shared" si="53"/>
        <v>968.65298008856678</v>
      </c>
    </row>
    <row r="466" spans="1:27" x14ac:dyDescent="0.25">
      <c r="A466" s="55" t="s">
        <v>604</v>
      </c>
      <c r="B466" s="49" t="s">
        <v>605</v>
      </c>
      <c r="C466" s="21" t="s">
        <v>61</v>
      </c>
      <c r="D466" s="20" t="s">
        <v>454</v>
      </c>
      <c r="E466" s="20">
        <v>2</v>
      </c>
      <c r="F466" s="21">
        <v>113000</v>
      </c>
      <c r="G466" s="21" t="s">
        <v>455</v>
      </c>
      <c r="H466" s="21">
        <v>0.68</v>
      </c>
      <c r="I466" s="71">
        <f>MAX('Max rate concentrations'!$K$3:$K$368)</f>
        <v>110.00035859694511</v>
      </c>
      <c r="J466" s="71">
        <f>MAX('Max rate concentrations'!AC:AC)</f>
        <v>38.958460336418057</v>
      </c>
      <c r="K466" s="70">
        <f t="shared" si="54"/>
        <v>10.182725159758855</v>
      </c>
      <c r="L466" s="70">
        <f t="shared" si="55"/>
        <v>3.606381827414594</v>
      </c>
      <c r="M466" s="70">
        <f>IF((((0.326*F466^0.818)-(0.398*F466^0.85)/(1-H466)*H466)*(MAX('Max rate concentrations'!$P$3:$P$368)))/F466&gt;0, (((0.326*F466^0.818)-(0.398*F466^0.85)/(1-H466)*H466)*(MAX('Max rate concentrations'!$P$3:$P$368)))/F466, 0)</f>
        <v>0</v>
      </c>
      <c r="N466" s="70">
        <f>IF((((0.326*F466^0.818)-(0.398*F466^0.85)/(1-H466)*H466)*(MAX('Max rate concentrations'!$Q$3:$Q$368)))/F466&gt; 0, (((0.326*F466^0.818)-(0.398*F466^0.85)/(1-H466)*H466)*(MAX('Max rate concentrations'!$Q$3:$Q$368)))/F466, 0)</f>
        <v>0</v>
      </c>
      <c r="O466" s="70">
        <f>((MAX('Max rate concentrations'!$F$3:$F$368))*0.62*6.01*8*(12.3*F466^0.65)*0.079*0.1/F466)*inputs!$E$73/inputs!$E$74</f>
        <v>4.6125790446588066</v>
      </c>
      <c r="P466" s="70">
        <f>((MAX('Max rate concentrations'!Y:Y))*0.62*6.01*8*(12.3*F466^0.65)*0.079*0.1/F466)*inputs!$E$73/inputs!$E$74</f>
        <v>1.5375263482196024</v>
      </c>
      <c r="Q466" s="70">
        <f>(inputs!$C$18*11.2*(12.3*F466^0.65)*0.5/F466)*inputs!$E$73/inputs!$E$74</f>
        <v>0.81248404312740241</v>
      </c>
      <c r="R466" s="60">
        <f>(60*379*((F466/1000)^0.8)*3*24*(MAX('Max rate concentrations'!$R$3:$R$368))/F466)*(inputs!$E$73/inputs!$E$75)</f>
        <v>4.2885750988636978E-3</v>
      </c>
      <c r="S466" s="60">
        <f>(IF(inputs!$C$17="aerial",((0.025*0.112*inputs!$C$18/3.3)*(3*60*379*((F466/1000)^0.8))*MAX(inputs!$I$14:$I$16))/F466,((0.0083*0.112*inputs!$C$18/1)*(3*60*379*((F466/1000)^0.8))*MAX(inputs!$I$14:$I$16))/F466))*(inputs!E$75/inputs!$E$73)</f>
        <v>2.3651755153036337E-2</v>
      </c>
      <c r="T466" s="63">
        <f>IF((((inputs!$P$13/(V466/MAX(K466:S466)))^(1/inputs!$O$13))-1)/inputs!$N$13&lt;0, 0, IF((((inputs!$P$13/(V466/MAX(K466:S466)))^(1/inputs!$O$13))-1)/inputs!$N$13&lt;inputs!$I$17, (((inputs!$P$13/(V466/MAX(K466:S466)))^(1/inputs!$O$13))-1)/inputs!$N$13, inputs!$I$17))</f>
        <v>96.210130452400122</v>
      </c>
      <c r="U466" s="63">
        <f>IF((((inputs!$P$13/(X466/MAX(K466:S466)))^(1/inputs!$O$13))-1)/inputs!$N$13&lt;0, 0, IF((((inputs!$P$13/(X466/MAX(K466:S466)))^(1/inputs!$O$13))-1)/inputs!$N$13&lt;inputs!$I$17, (((inputs!$P$13/(X466/MAX(K466:S466)))^(1/inputs!$O$13))-1)/inputs!$N$13, inputs!$I$17))</f>
        <v>0</v>
      </c>
      <c r="V466" s="54">
        <f>inputs!$E$70*(inputs!$F$70/F466)^(0.25)</f>
        <v>0.27451421938065973</v>
      </c>
      <c r="W466" s="54">
        <f>inputs!$E$76*(inputs!$F$76/F466)^(0.25)</f>
        <v>8.2568699553496286E-2</v>
      </c>
      <c r="X466" s="54">
        <f>inputs!$E$72*(inputs!$F$72/F466)^(0.25)</f>
        <v>12.110921443264401</v>
      </c>
      <c r="Y466" s="54" t="s">
        <v>13</v>
      </c>
      <c r="Z466" s="106">
        <f t="shared" si="52"/>
        <v>37.093616435361433</v>
      </c>
      <c r="AA466" s="106">
        <f t="shared" si="53"/>
        <v>123.32427681220126</v>
      </c>
    </row>
    <row r="467" spans="1:27" x14ac:dyDescent="0.25">
      <c r="A467" s="55" t="s">
        <v>604</v>
      </c>
      <c r="B467" s="49" t="s">
        <v>605</v>
      </c>
      <c r="C467" s="21" t="s">
        <v>61</v>
      </c>
      <c r="D467" s="20" t="s">
        <v>454</v>
      </c>
      <c r="E467" s="20">
        <v>2</v>
      </c>
      <c r="F467" s="21">
        <v>113000</v>
      </c>
      <c r="G467" s="21" t="s">
        <v>456</v>
      </c>
      <c r="H467" s="21">
        <v>0.68</v>
      </c>
      <c r="I467" s="68">
        <f>MAX('Max rate concentrations'!$J$3:$J$368)</f>
        <v>686.46486205830786</v>
      </c>
      <c r="J467" s="68">
        <f>MAX('Max rate concentrations'!AB:AB)</f>
        <v>243.122971978984</v>
      </c>
      <c r="K467" s="70">
        <f t="shared" si="54"/>
        <v>63.546002134266217</v>
      </c>
      <c r="L467" s="70">
        <f t="shared" si="55"/>
        <v>22.505875755885949</v>
      </c>
      <c r="M467" s="70">
        <f>IF((((0.326*F467^0.818)-(0.398*F467^0.85)/(1-H467)*H467)*(MAX('Max rate concentrations'!$P$3:$P$368)))/F467&gt;0, (((0.326*F467^0.818)-(0.398*F467^0.85)/(1-H467)*H467)*(MAX('Max rate concentrations'!$P$3:$P$368)))/F467, 0)</f>
        <v>0</v>
      </c>
      <c r="N467" s="70">
        <f>IF((((0.326*F467^0.818)-(0.398*F467^0.85)/(1-H467)*H467)*(MAX('Max rate concentrations'!$Q$3:$Q$368)))/F467&gt; 0, (((0.326*F467^0.818)-(0.398*F467^0.85)/(1-H467)*H467)*(MAX('Max rate concentrations'!$Q$3:$Q$368)))/F467, 0)</f>
        <v>0</v>
      </c>
      <c r="O467" s="70">
        <f>((MAX('Max rate concentrations'!$F$3:$F$368))*0.62*6.01*8*(12.3*F467^0.65)*0.079*0.1/F467)*inputs!$E$73/inputs!$E$74</f>
        <v>4.6125790446588066</v>
      </c>
      <c r="P467" s="70">
        <f>((MAX('Max rate concentrations'!Y:Y))*0.62*6.01*8*(12.3*F467^0.65)*0.079*0.1/F467)*inputs!$E$73/inputs!$E$74</f>
        <v>1.5375263482196024</v>
      </c>
      <c r="Q467" s="70">
        <f>(inputs!$C$18*11.2*(12.3*F467^0.65)*0.5/F467)*inputs!$E$73/inputs!$E$74</f>
        <v>0.81248404312740241</v>
      </c>
      <c r="R467" s="60">
        <f>(60*379*((F467/1000)^0.8)*3*24*(MAX('Max rate concentrations'!$R$3:$R$368))/F467)*(inputs!$E$73/inputs!$E$75)</f>
        <v>4.2885750988636978E-3</v>
      </c>
      <c r="S467" s="60">
        <f>(IF(inputs!$C$17="aerial",((0.025*0.112*inputs!$C$18/3.3)*(3*60*379*((F467/1000)^0.8))*MAX(inputs!$I$14:$I$16))/F467,((0.0083*0.112*inputs!$C$18/1)*(3*60*379*((F467/1000)^0.8))*MAX(inputs!$I$14:$I$16))/F467))*(inputs!E$75/inputs!$E$73)</f>
        <v>2.3651755153036337E-2</v>
      </c>
      <c r="T467" s="63">
        <f>IF((((inputs!$P$13/(V467/MAX(K467:S467)))^(1/inputs!$O$13))-1)/inputs!$N$13&lt;0, 0, IF((((inputs!$P$13/(V467/MAX(K467:S467)))^(1/inputs!$O$13))-1)/inputs!$N$13&lt;inputs!$I$17, (((inputs!$P$13/(V467/MAX(K467:S467)))^(1/inputs!$O$13))-1)/inputs!$N$13, inputs!$I$17))</f>
        <v>440.70779723656995</v>
      </c>
      <c r="U467" s="63">
        <f>IF((((inputs!$P$13/(X467/MAX(K467:S467)))^(1/inputs!$O$13))-1)/inputs!$N$13&lt;0, 0, IF((((inputs!$P$13/(X467/MAX(K467:S467)))^(1/inputs!$O$13))-1)/inputs!$N$13&lt;inputs!$I$17, (((inputs!$P$13/(X467/MAX(K467:S467)))^(1/inputs!$O$13))-1)/inputs!$N$13, inputs!$I$17))</f>
        <v>15.633114509312625</v>
      </c>
      <c r="V467" s="54">
        <f>inputs!$E$70*(inputs!$F$70/F467)^(0.25)</f>
        <v>0.27451421938065973</v>
      </c>
      <c r="W467" s="54">
        <f>inputs!$E$76*(inputs!$F$76/F467)^(0.25)</f>
        <v>8.2568699553496286E-2</v>
      </c>
      <c r="X467" s="54">
        <f>inputs!$E$72*(inputs!$F$72/F467)^(0.25)</f>
        <v>12.110921443264401</v>
      </c>
      <c r="Y467" s="54" t="s">
        <v>13</v>
      </c>
      <c r="Z467" s="106">
        <f t="shared" si="52"/>
        <v>231.48528436025782</v>
      </c>
      <c r="AA467" s="106">
        <f t="shared" si="53"/>
        <v>769.61369717461446</v>
      </c>
    </row>
    <row r="468" spans="1:27" ht="26.4" x14ac:dyDescent="0.25">
      <c r="A468" s="55" t="s">
        <v>604</v>
      </c>
      <c r="B468" s="49" t="s">
        <v>606</v>
      </c>
      <c r="C468" s="21" t="s">
        <v>61</v>
      </c>
      <c r="D468" s="20" t="s">
        <v>454</v>
      </c>
      <c r="E468" s="20">
        <v>4110</v>
      </c>
      <c r="F468" s="21">
        <v>113000</v>
      </c>
      <c r="G468" s="21" t="s">
        <v>142</v>
      </c>
      <c r="H468" s="21">
        <v>0.69</v>
      </c>
      <c r="I468" s="68">
        <f>MAX('Max rate concentrations'!$H$3:$H$368)</f>
        <v>282</v>
      </c>
      <c r="J468" s="68">
        <f>MAX('Max rate concentrations'!AA:AA)</f>
        <v>195</v>
      </c>
      <c r="K468" s="70">
        <f t="shared" si="54"/>
        <v>26.946807122387018</v>
      </c>
      <c r="L468" s="70">
        <f t="shared" si="55"/>
        <v>18.633430456969748</v>
      </c>
      <c r="M468" s="70">
        <f>IF((((0.326*F468^0.818)-(0.398*F468^0.85)/(1-H468)*H468)*(MAX('Max rate concentrations'!$P$3:$P$368)))/F468&gt;0, (((0.326*F468^0.818)-(0.398*F468^0.85)/(1-H468)*H468)*(MAX('Max rate concentrations'!$P$3:$P$368)))/F468, 0)</f>
        <v>0</v>
      </c>
      <c r="N468" s="70">
        <f>IF((((0.326*F468^0.818)-(0.398*F468^0.85)/(1-H468)*H468)*(MAX('Max rate concentrations'!$Q$3:$Q$368)))/F468&gt; 0, (((0.326*F468^0.818)-(0.398*F468^0.85)/(1-H468)*H468)*(MAX('Max rate concentrations'!$Q$3:$Q$368)))/F468, 0)</f>
        <v>0</v>
      </c>
      <c r="O468" s="70">
        <f>((MAX('Max rate concentrations'!$F$3:$F$368))*0.62*6.01*8*(12.3*F468^0.65)*0.079*0.1/F468)*inputs!$E$73/inputs!$E$74</f>
        <v>4.6125790446588066</v>
      </c>
      <c r="P468" s="70">
        <f>((MAX('Max rate concentrations'!Y:Y))*0.62*6.01*8*(12.3*F468^0.65)*0.079*0.1/F468)*inputs!$E$73/inputs!$E$74</f>
        <v>1.5375263482196024</v>
      </c>
      <c r="Q468" s="70">
        <f>(inputs!$C$18*11.2*(12.3*F468^0.65)*0.5/F468)*inputs!$E$73/inputs!$E$74</f>
        <v>0.81248404312740241</v>
      </c>
      <c r="R468" s="60">
        <f>(60*379*((F468/1000)^0.8)*3*24*(MAX('Max rate concentrations'!$R$3:$R$368))/F468)*(inputs!$E$73/inputs!$E$75)</f>
        <v>4.2885750988636978E-3</v>
      </c>
      <c r="S468" s="60">
        <f>(IF(inputs!$C$17="aerial",((0.025*0.112*inputs!$C$18/3.3)*(3*60*379*((F468/1000)^0.8))*MAX(inputs!$I$14:$I$16))/F468,((0.0083*0.112*inputs!$C$18/1)*(3*60*379*((F468/1000)^0.8))*MAX(inputs!$I$14:$I$16))/F468))*(inputs!E$75/inputs!$E$73)</f>
        <v>2.3651755153036337E-2</v>
      </c>
      <c r="T468" s="63">
        <f>IF((((inputs!$P$13/(V468/MAX(K468:S468)))^(1/inputs!$O$13))-1)/inputs!$N$13&lt;0, 0, IF((((inputs!$P$13/(V468/MAX(K468:S468)))^(1/inputs!$O$13))-1)/inputs!$N$13&lt;inputs!$I$17, (((inputs!$P$13/(V468/MAX(K468:S468)))^(1/inputs!$O$13))-1)/inputs!$N$13, inputs!$I$17))</f>
        <v>217.60438888714182</v>
      </c>
      <c r="U468" s="63">
        <f>IF((((inputs!$P$13/(X468/MAX(K468:S468)))^(1/inputs!$O$13))-1)/inputs!$N$13&lt;0, 0, IF((((inputs!$P$13/(X468/MAX(K468:S468)))^(1/inputs!$O$13))-1)/inputs!$N$13&lt;inputs!$I$17, (((inputs!$P$13/(X468/MAX(K468:S468)))^(1/inputs!$O$13))-1)/inputs!$N$13, inputs!$I$17))</f>
        <v>5.1965082157320781</v>
      </c>
      <c r="V468" s="54">
        <f>inputs!$E$70*(inputs!$F$70/F468)^(0.25)</f>
        <v>0.27451421938065973</v>
      </c>
      <c r="W468" s="54">
        <f>inputs!$E$76*(inputs!$F$76/F468)^(0.25)</f>
        <v>8.2568699553496286E-2</v>
      </c>
      <c r="X468" s="54">
        <f>inputs!$E$72*(inputs!$F$72/F468)^(0.25)</f>
        <v>12.110921443264401</v>
      </c>
      <c r="Y468" s="54" t="s">
        <v>13</v>
      </c>
      <c r="Z468" s="106">
        <f t="shared" si="52"/>
        <v>98.161789881713844</v>
      </c>
      <c r="AA468" s="106">
        <f t="shared" si="53"/>
        <v>326.35620117679309</v>
      </c>
    </row>
    <row r="469" spans="1:27" ht="26.4" x14ac:dyDescent="0.25">
      <c r="A469" s="55" t="s">
        <v>604</v>
      </c>
      <c r="B469" s="49" t="s">
        <v>606</v>
      </c>
      <c r="C469" s="21" t="s">
        <v>61</v>
      </c>
      <c r="D469" s="20" t="s">
        <v>454</v>
      </c>
      <c r="E469" s="20">
        <v>4110</v>
      </c>
      <c r="F469" s="21">
        <v>113000</v>
      </c>
      <c r="G469" s="21" t="s">
        <v>218</v>
      </c>
      <c r="H469" s="21">
        <v>0.68</v>
      </c>
      <c r="I469" s="68">
        <f>MAX('Max rate concentrations'!$K$3:$K$368)</f>
        <v>110.00035859694511</v>
      </c>
      <c r="J469" s="68">
        <f>MAX('Max rate concentrations'!AC:AC)</f>
        <v>38.958460336418057</v>
      </c>
      <c r="K469" s="70">
        <f t="shared" si="54"/>
        <v>10.182725159758855</v>
      </c>
      <c r="L469" s="70">
        <f t="shared" si="55"/>
        <v>3.606381827414594</v>
      </c>
      <c r="M469" s="70">
        <f>IF((((0.326*F469^0.818)-(0.398*F469^0.85)/(1-H469)*H469)*(MAX('Max rate concentrations'!$P$3:$P$368)))/F469&gt;0, (((0.326*F469^0.818)-(0.398*F469^0.85)/(1-H469)*H469)*(MAX('Max rate concentrations'!$P$3:$P$368)))/F469, 0)</f>
        <v>0</v>
      </c>
      <c r="N469" s="70">
        <f>IF((((0.326*F469^0.818)-(0.398*F469^0.85)/(1-H469)*H469)*(MAX('Max rate concentrations'!$Q$3:$Q$368)))/F469&gt; 0, (((0.326*F469^0.818)-(0.398*F469^0.85)/(1-H469)*H469)*(MAX('Max rate concentrations'!$Q$3:$Q$368)))/F469, 0)</f>
        <v>0</v>
      </c>
      <c r="O469" s="70">
        <f>((MAX('Max rate concentrations'!$F$3:$F$368))*0.62*6.01*8*(12.3*F469^0.65)*0.079*0.1/F469)*inputs!$E$73/inputs!$E$74</f>
        <v>4.6125790446588066</v>
      </c>
      <c r="P469" s="70">
        <f>((MAX('Max rate concentrations'!Y:Y))*0.62*6.01*8*(12.3*F469^0.65)*0.079*0.1/F469)*inputs!$E$73/inputs!$E$74</f>
        <v>1.5375263482196024</v>
      </c>
      <c r="Q469" s="70">
        <f>(inputs!$C$18*11.2*(12.3*F469^0.65)*0.5/F469)*inputs!$E$73/inputs!$E$74</f>
        <v>0.81248404312740241</v>
      </c>
      <c r="R469" s="60">
        <f>(60*379*((F469/1000)^0.8)*3*24*(MAX('Max rate concentrations'!$R$3:$R$368))/F469)*(inputs!$E$73/inputs!$E$75)</f>
        <v>4.2885750988636978E-3</v>
      </c>
      <c r="S469" s="60">
        <f>(IF(inputs!$C$17="aerial",((0.025*0.112*inputs!$C$18/3.3)*(3*60*379*((F469/1000)^0.8))*MAX(inputs!$I$14:$I$16))/F469,((0.0083*0.112*inputs!$C$18/1)*(3*60*379*((F469/1000)^0.8))*MAX(inputs!$I$14:$I$16))/F469))*(inputs!E$75/inputs!$E$73)</f>
        <v>2.3651755153036337E-2</v>
      </c>
      <c r="T469" s="63">
        <f>IF((((inputs!$P$13/(V469/MAX(K469:S469)))^(1/inputs!$O$13))-1)/inputs!$N$13&lt;0, 0, IF((((inputs!$P$13/(V469/MAX(K469:S469)))^(1/inputs!$O$13))-1)/inputs!$N$13&lt;inputs!$I$17, (((inputs!$P$13/(V469/MAX(K469:S469)))^(1/inputs!$O$13))-1)/inputs!$N$13, inputs!$I$17))</f>
        <v>96.210130452400122</v>
      </c>
      <c r="U469" s="63">
        <f>IF((((inputs!$P$13/(X469/MAX(K469:S469)))^(1/inputs!$O$13))-1)/inputs!$N$13&lt;0, 0, IF((((inputs!$P$13/(X469/MAX(K469:S469)))^(1/inputs!$O$13))-1)/inputs!$N$13&lt;inputs!$I$17, (((inputs!$P$13/(X469/MAX(K469:S469)))^(1/inputs!$O$13))-1)/inputs!$N$13, inputs!$I$17))</f>
        <v>0</v>
      </c>
      <c r="V469" s="54">
        <f>inputs!$E$70*(inputs!$F$70/F469)^(0.25)</f>
        <v>0.27451421938065973</v>
      </c>
      <c r="W469" s="54">
        <f>inputs!$E$76*(inputs!$F$76/F469)^(0.25)</f>
        <v>8.2568699553496286E-2</v>
      </c>
      <c r="X469" s="54">
        <f>inputs!$E$72*(inputs!$F$72/F469)^(0.25)</f>
        <v>12.110921443264401</v>
      </c>
      <c r="Y469" s="54" t="s">
        <v>13</v>
      </c>
      <c r="Z469" s="106">
        <f t="shared" si="52"/>
        <v>37.093616435361433</v>
      </c>
      <c r="AA469" s="106">
        <f t="shared" si="53"/>
        <v>123.32427681220126</v>
      </c>
    </row>
    <row r="470" spans="1:27" ht="26.4" x14ac:dyDescent="0.25">
      <c r="A470" s="55" t="s">
        <v>604</v>
      </c>
      <c r="B470" s="49" t="s">
        <v>606</v>
      </c>
      <c r="C470" s="21" t="s">
        <v>61</v>
      </c>
      <c r="D470" s="20" t="s">
        <v>454</v>
      </c>
      <c r="E470" s="20">
        <v>4110</v>
      </c>
      <c r="F470" s="21">
        <v>113000</v>
      </c>
      <c r="G470" s="21" t="s">
        <v>186</v>
      </c>
      <c r="H470" s="21">
        <v>0.75</v>
      </c>
      <c r="I470" s="68">
        <f>inputs!$C$66*inputs!$C$64/1000</f>
        <v>21.3</v>
      </c>
      <c r="J470" s="68">
        <f>inputs!$C$66*inputs!$C$63/1000</f>
        <v>8.8000000000000007</v>
      </c>
      <c r="K470" s="70">
        <f t="shared" si="54"/>
        <v>2.5238264883563333</v>
      </c>
      <c r="L470" s="70">
        <f t="shared" si="55"/>
        <v>1.0427076571613021</v>
      </c>
      <c r="M470" s="70">
        <f>IF((((0.326*F470^0.818)-(0.398*F470^0.85)/(1-H470)*H470)*(MAX('Max rate concentrations'!$P$3:$P$368)))/F470&gt;0, (((0.326*F470^0.818)-(0.398*F470^0.85)/(1-H470)*H470)*(MAX('Max rate concentrations'!$P$3:$P$368)))/F470, 0)</f>
        <v>0</v>
      </c>
      <c r="N470" s="70">
        <f>IF((((0.326*F470^0.818)-(0.398*F470^0.85)/(1-H470)*H470)*(MAX('Max rate concentrations'!$Q$3:$Q$368)))/F470&gt; 0, (((0.326*F470^0.818)-(0.398*F470^0.85)/(1-H470)*H470)*(MAX('Max rate concentrations'!$Q$3:$Q$368)))/F470, 0)</f>
        <v>0</v>
      </c>
      <c r="O470" s="70">
        <f>((MAX('Max rate concentrations'!$F$3:$F$368))*0.62*6.01*8*(12.3*F470^0.65)*0.079*0.1/F470)*inputs!$E$73/inputs!$E$74</f>
        <v>4.6125790446588066</v>
      </c>
      <c r="P470" s="70">
        <f>((MAX('Max rate concentrations'!Y:Y))*0.62*6.01*8*(12.3*F470^0.65)*0.079*0.1/F470)*inputs!$E$73/inputs!$E$74</f>
        <v>1.5375263482196024</v>
      </c>
      <c r="Q470" s="70">
        <f>(inputs!$C$18*11.2*(12.3*F470^0.65)*0.5/F470)*inputs!$E$73/inputs!$E$74</f>
        <v>0.81248404312740241</v>
      </c>
      <c r="R470" s="60">
        <f>(60*379*((F470/1000)^0.8)*3*24*(MAX('Max rate concentrations'!$R$3:$R$368))/F470)*(inputs!$E$73/inputs!$E$75)</f>
        <v>4.2885750988636978E-3</v>
      </c>
      <c r="S470" s="60">
        <f>(IF(inputs!$C$17="aerial",((0.025*0.112*inputs!$C$18/3.3)*(3*60*379*((F470/1000)^0.8))*MAX(inputs!$I$14:$I$16))/F470,((0.0083*0.112*inputs!$C$18/1)*(3*60*379*((F470/1000)^0.8))*MAX(inputs!$I$14:$I$16))/F470))*(inputs!E$75/inputs!$E$73)</f>
        <v>2.3651755153036337E-2</v>
      </c>
      <c r="T470" s="63">
        <f>IF((((inputs!$P$13/(V470/MAX(K470:S470)))^(1/inputs!$O$13))-1)/inputs!$N$13&lt;0, 0, IF((((inputs!$P$13/(V470/MAX(K470:S470)))^(1/inputs!$O$13))-1)/inputs!$N$13&lt;inputs!$I$17, (((inputs!$P$13/(V470/MAX(K470:S470)))^(1/inputs!$O$13))-1)/inputs!$N$13, inputs!$I$17))</f>
        <v>48.239021690718445</v>
      </c>
      <c r="U470" s="63">
        <f>IF((((inputs!$P$13/(X470/MAX(K470:S470)))^(1/inputs!$O$13))-1)/inputs!$N$13&lt;0, 0, IF((((inputs!$P$13/(X470/MAX(K470:S470)))^(1/inputs!$O$13))-1)/inputs!$N$13&lt;inputs!$I$17, (((inputs!$P$13/(X470/MAX(K470:S470)))^(1/inputs!$O$13))-1)/inputs!$N$13, inputs!$I$17))</f>
        <v>0</v>
      </c>
      <c r="V470" s="54">
        <f>inputs!$E$70*(inputs!$F$70/F470)^(0.25)</f>
        <v>0.27451421938065973</v>
      </c>
      <c r="W470" s="54">
        <f>inputs!$E$76*(inputs!$F$76/F470)^(0.25)</f>
        <v>8.2568699553496286E-2</v>
      </c>
      <c r="X470" s="54">
        <f>inputs!$E$72*(inputs!$F$72/F470)^(0.25)</f>
        <v>12.110921443264401</v>
      </c>
      <c r="Y470" s="54" t="s">
        <v>13</v>
      </c>
      <c r="Z470" s="106">
        <f t="shared" si="52"/>
        <v>16.802696250363251</v>
      </c>
      <c r="AA470" s="106">
        <f t="shared" si="53"/>
        <v>55.86353024332562</v>
      </c>
    </row>
    <row r="471" spans="1:27" ht="26.4" x14ac:dyDescent="0.25">
      <c r="A471" s="55" t="s">
        <v>604</v>
      </c>
      <c r="B471" s="49" t="s">
        <v>606</v>
      </c>
      <c r="C471" s="21" t="s">
        <v>61</v>
      </c>
      <c r="D471" s="20" t="s">
        <v>454</v>
      </c>
      <c r="E471" s="20">
        <v>4110</v>
      </c>
      <c r="F471" s="21">
        <v>113000</v>
      </c>
      <c r="G471" s="21" t="s">
        <v>152</v>
      </c>
      <c r="H471" s="21">
        <v>0.77</v>
      </c>
      <c r="I471" s="68">
        <f>MAX('Max rate concentrations'!$G$3:$G$368)</f>
        <v>45</v>
      </c>
      <c r="J471" s="68">
        <f>MAX('Max rate concentrations'!Z:Z)</f>
        <v>21</v>
      </c>
      <c r="K471" s="70">
        <f t="shared" si="54"/>
        <v>5.7956823829370787</v>
      </c>
      <c r="L471" s="70">
        <f t="shared" si="55"/>
        <v>2.7046517787039703</v>
      </c>
      <c r="M471" s="70">
        <f>IF((((0.326*F471^0.818)-(0.398*F471^0.85)/(1-H471)*H471)*(MAX('Max rate concentrations'!$P$3:$P$368)))/F471&gt;0, (((0.326*F471^0.818)-(0.398*F471^0.85)/(1-H471)*H471)*(MAX('Max rate concentrations'!$P$3:$P$368)))/F471, 0)</f>
        <v>0</v>
      </c>
      <c r="N471" s="70">
        <f>IF((((0.326*F471^0.818)-(0.398*F471^0.85)/(1-H471)*H471)*(MAX('Max rate concentrations'!$Q$3:$Q$368)))/F471&gt; 0, (((0.326*F471^0.818)-(0.398*F471^0.85)/(1-H471)*H471)*(MAX('Max rate concentrations'!$Q$3:$Q$368)))/F471, 0)</f>
        <v>0</v>
      </c>
      <c r="O471" s="70">
        <f>((MAX('Max rate concentrations'!$F$3:$F$368))*0.62*6.01*8*(12.3*F471^0.65)*0.079*0.1/F471)*inputs!$E$73/inputs!$E$74</f>
        <v>4.6125790446588066</v>
      </c>
      <c r="P471" s="70">
        <f>((MAX('Max rate concentrations'!Y:Y))*0.62*6.01*8*(12.3*F471^0.65)*0.079*0.1/F471)*inputs!$E$73/inputs!$E$74</f>
        <v>1.5375263482196024</v>
      </c>
      <c r="Q471" s="70">
        <f>(inputs!$C$18*11.2*(12.3*F471^0.65)*0.5/F471)*inputs!$E$73/inputs!$E$74</f>
        <v>0.81248404312740241</v>
      </c>
      <c r="R471" s="60">
        <f>(60*379*((F471/1000)^0.8)*3*24*(MAX('Max rate concentrations'!$R$3:$R$368))/F471)*(inputs!$E$73/inputs!$E$75)</f>
        <v>4.2885750988636978E-3</v>
      </c>
      <c r="S471" s="60">
        <f>(IF(inputs!$C$17="aerial",((0.025*0.112*inputs!$C$18/3.3)*(3*60*379*((F471/1000)^0.8))*MAX(inputs!$I$14:$I$16))/F471,((0.0083*0.112*inputs!$C$18/1)*(3*60*379*((F471/1000)^0.8))*MAX(inputs!$I$14:$I$16))/F471))*(inputs!E$75/inputs!$E$73)</f>
        <v>2.3651755153036337E-2</v>
      </c>
      <c r="T471" s="63">
        <f>IF((((inputs!$P$13/(V471/MAX(K471:S471)))^(1/inputs!$O$13))-1)/inputs!$N$13&lt;0, 0, IF((((inputs!$P$13/(V471/MAX(K471:S471)))^(1/inputs!$O$13))-1)/inputs!$N$13&lt;inputs!$I$17, (((inputs!$P$13/(V471/MAX(K471:S471)))^(1/inputs!$O$13))-1)/inputs!$N$13, inputs!$I$17))</f>
        <v>59.08124068862206</v>
      </c>
      <c r="U471" s="63">
        <f>IF((((inputs!$P$13/(X471/MAX(K471:S471)))^(1/inputs!$O$13))-1)/inputs!$N$13&lt;0, 0, IF((((inputs!$P$13/(X471/MAX(K471:S471)))^(1/inputs!$O$13))-1)/inputs!$N$13&lt;inputs!$I$17, (((inputs!$P$13/(X471/MAX(K471:S471)))^(1/inputs!$O$13))-1)/inputs!$N$13, inputs!$I$17))</f>
        <v>0</v>
      </c>
      <c r="V471" s="54">
        <f>inputs!$E$70*(inputs!$F$70/F471)^(0.25)</f>
        <v>0.27451421938065973</v>
      </c>
      <c r="W471" s="54">
        <f>inputs!$E$76*(inputs!$F$76/F471)^(0.25)</f>
        <v>8.2568699553496286E-2</v>
      </c>
      <c r="X471" s="54">
        <f>inputs!$E$72*(inputs!$F$72/F471)^(0.25)</f>
        <v>12.110921443264401</v>
      </c>
      <c r="Y471" s="54" t="s">
        <v>13</v>
      </c>
      <c r="Z471" s="106">
        <f t="shared" si="52"/>
        <v>21.112503374189149</v>
      </c>
      <c r="AA471" s="106">
        <f t="shared" si="53"/>
        <v>70.192244933954115</v>
      </c>
    </row>
    <row r="472" spans="1:27" ht="26.4" x14ac:dyDescent="0.25">
      <c r="A472" s="55" t="s">
        <v>604</v>
      </c>
      <c r="B472" s="49" t="s">
        <v>606</v>
      </c>
      <c r="C472" s="21" t="s">
        <v>61</v>
      </c>
      <c r="D472" s="20" t="s">
        <v>454</v>
      </c>
      <c r="E472" s="20">
        <v>4110</v>
      </c>
      <c r="F472" s="21">
        <v>113000</v>
      </c>
      <c r="G472" s="21" t="s">
        <v>169</v>
      </c>
      <c r="H472" s="21">
        <v>0.79</v>
      </c>
      <c r="I472" s="68">
        <f>MAX('Max rate concentrations'!$D$3:$D$368)</f>
        <v>720</v>
      </c>
      <c r="J472" s="68">
        <f>MAX('Max rate concentrations'!W:W)</f>
        <v>255</v>
      </c>
      <c r="K472" s="70">
        <f t="shared" si="54"/>
        <v>101.56243413908788</v>
      </c>
      <c r="L472" s="70">
        <f t="shared" si="55"/>
        <v>35.970028757593624</v>
      </c>
      <c r="M472" s="70">
        <f>IF((((0.326*F472^0.818)-(0.398*F472^0.85)/(1-H472)*H472)*(MAX('Max rate concentrations'!$P$3:$P$368)))/F472&gt;0, (((0.326*F472^0.818)-(0.398*F472^0.85)/(1-H472)*H472)*(MAX('Max rate concentrations'!$P$3:$P$368)))/F472, 0)</f>
        <v>0</v>
      </c>
      <c r="N472" s="70">
        <f>IF((((0.326*F472^0.818)-(0.398*F472^0.85)/(1-H472)*H472)*(MAX('Max rate concentrations'!$Q$3:$Q$368)))/F472&gt; 0, (((0.326*F472^0.818)-(0.398*F472^0.85)/(1-H472)*H472)*(MAX('Max rate concentrations'!$Q$3:$Q$368)))/F472, 0)</f>
        <v>0</v>
      </c>
      <c r="O472" s="70">
        <f>((MAX('Max rate concentrations'!$F$3:$F$368))*0.62*6.01*8*(12.3*F472^0.65)*0.079*0.1/F472)*inputs!$E$73/inputs!$E$74</f>
        <v>4.6125790446588066</v>
      </c>
      <c r="P472" s="70">
        <f>((MAX('Max rate concentrations'!Y:Y))*0.62*6.01*8*(12.3*F472^0.65)*0.079*0.1/F472)*inputs!$E$73/inputs!$E$74</f>
        <v>1.5375263482196024</v>
      </c>
      <c r="Q472" s="70">
        <f>(inputs!$C$18*11.2*(12.3*F472^0.65)*0.5/F472)*inputs!$E$73/inputs!$E$74</f>
        <v>0.81248404312740241</v>
      </c>
      <c r="R472" s="60">
        <f>(60*379*((F472/1000)^0.8)*3*24*(MAX('Max rate concentrations'!$R$3:$R$368))/F472)*(inputs!$E$73/inputs!$E$75)</f>
        <v>4.2885750988636978E-3</v>
      </c>
      <c r="S472" s="60">
        <f>(IF(inputs!$C$17="aerial",((0.025*0.112*inputs!$C$18/3.3)*(3*60*379*((F472/1000)^0.8))*MAX(inputs!$I$14:$I$16))/F472,((0.0083*0.112*inputs!$C$18/1)*(3*60*379*((F472/1000)^0.8))*MAX(inputs!$I$14:$I$16))/F472))*(inputs!E$75/inputs!$E$73)</f>
        <v>2.3651755153036337E-2</v>
      </c>
      <c r="T472" s="63">
        <f>IF((((inputs!$P$13/(V472/MAX(K472:S472)))^(1/inputs!$O$13))-1)/inputs!$N$13&lt;0, 0, IF((((inputs!$P$13/(V472/MAX(K472:S472)))^(1/inputs!$O$13))-1)/inputs!$N$13&lt;inputs!$I$17, (((inputs!$P$13/(V472/MAX(K472:S472)))^(1/inputs!$O$13))-1)/inputs!$N$13, inputs!$I$17))</f>
        <v>646.3305185724314</v>
      </c>
      <c r="U472" s="63">
        <f>IF((((inputs!$P$13/(X472/MAX(K472:S472)))^(1/inputs!$O$13))-1)/inputs!$N$13&lt;0, 0, IF((((inputs!$P$13/(X472/MAX(K472:S472)))^(1/inputs!$O$13))-1)/inputs!$N$13&lt;inputs!$I$17, (((inputs!$P$13/(X472/MAX(K472:S472)))^(1/inputs!$O$13))-1)/inputs!$N$13, inputs!$I$17))</f>
        <v>25.251987674333527</v>
      </c>
      <c r="V472" s="54">
        <f>inputs!$E$70*(inputs!$F$70/F472)^(0.25)</f>
        <v>0.27451421938065973</v>
      </c>
      <c r="W472" s="54">
        <f>inputs!$E$76*(inputs!$F$76/F472)^(0.25)</f>
        <v>8.2568699553496286E-2</v>
      </c>
      <c r="X472" s="54">
        <f>inputs!$E$72*(inputs!$F$72/F472)^(0.25)</f>
        <v>12.110921443264401</v>
      </c>
      <c r="Y472" s="54" t="s">
        <v>13</v>
      </c>
      <c r="Z472" s="106">
        <f t="shared" si="52"/>
        <v>369.97148770007664</v>
      </c>
      <c r="AA472" s="106">
        <f t="shared" si="53"/>
        <v>1230.0355302711962</v>
      </c>
    </row>
    <row r="473" spans="1:27" ht="26.4" x14ac:dyDescent="0.25">
      <c r="A473" s="55" t="s">
        <v>604</v>
      </c>
      <c r="B473" s="49" t="s">
        <v>606</v>
      </c>
      <c r="C473" s="21" t="s">
        <v>61</v>
      </c>
      <c r="D473" s="20" t="s">
        <v>454</v>
      </c>
      <c r="E473" s="20">
        <v>4110</v>
      </c>
      <c r="F473" s="21">
        <v>113000</v>
      </c>
      <c r="G473" s="21" t="s">
        <v>580</v>
      </c>
      <c r="H473" s="21">
        <v>0.85</v>
      </c>
      <c r="I473" s="68">
        <f>MAX('Max rate concentrations'!$F$3:$F$368)</f>
        <v>405</v>
      </c>
      <c r="J473" s="68">
        <f>MAX('Max rate concentrations'!Y:Y)</f>
        <v>135</v>
      </c>
      <c r="K473" s="70">
        <f t="shared" si="54"/>
        <v>79.980416884531692</v>
      </c>
      <c r="L473" s="70">
        <f t="shared" si="55"/>
        <v>26.660138961510558</v>
      </c>
      <c r="M473" s="70">
        <f>IF((((0.326*F473^0.818)-(0.398*F473^0.85)/(1-H473)*H473)*(MAX('Max rate concentrations'!$P$3:$P$368)))/F473&gt;0, (((0.326*F473^0.818)-(0.398*F473^0.85)/(1-H473)*H473)*(MAX('Max rate concentrations'!$P$3:$P$368)))/F473, 0)</f>
        <v>0</v>
      </c>
      <c r="N473" s="70">
        <f>IF((((0.326*F473^0.818)-(0.398*F473^0.85)/(1-H473)*H473)*(MAX('Max rate concentrations'!$Q$3:$Q$368)))/F473&gt; 0, (((0.326*F473^0.818)-(0.398*F473^0.85)/(1-H473)*H473)*(MAX('Max rate concentrations'!$Q$3:$Q$368)))/F473, 0)</f>
        <v>0</v>
      </c>
      <c r="O473" s="70">
        <f>((MAX('Max rate concentrations'!$F$3:$F$368))*0.62*6.01*8*(12.3*F473^0.65)*0.079*0.1/F473)*inputs!$E$73/inputs!$E$74</f>
        <v>4.6125790446588066</v>
      </c>
      <c r="P473" s="70">
        <f>((MAX('Max rate concentrations'!Y:Y))*0.62*6.01*8*(12.3*F473^0.65)*0.079*0.1/F473)*inputs!$E$73/inputs!$E$74</f>
        <v>1.5375263482196024</v>
      </c>
      <c r="Q473" s="70">
        <f>(inputs!$C$18*11.2*(12.3*F473^0.65)*0.5/F473)*inputs!$E$73/inputs!$E$74</f>
        <v>0.81248404312740241</v>
      </c>
      <c r="R473" s="60">
        <f>(60*379*((F473/1000)^0.8)*3*24*(MAX('Max rate concentrations'!$R$3:$R$368))/F473)*(inputs!$E$73/inputs!$E$75)</f>
        <v>4.2885750988636978E-3</v>
      </c>
      <c r="S473" s="60">
        <f>(IF(inputs!$C$17="aerial",((0.025*0.112*inputs!$C$18/3.3)*(3*60*379*((F473/1000)^0.8))*MAX(inputs!$I$14:$I$16))/F473,((0.0083*0.112*inputs!$C$18/1)*(3*60*379*((F473/1000)^0.8))*MAX(inputs!$I$14:$I$16))/F473))*(inputs!E$75/inputs!$E$73)</f>
        <v>2.3651755153036337E-2</v>
      </c>
      <c r="T473" s="63">
        <f>IF((((inputs!$P$13/(V473/MAX(K473:S473)))^(1/inputs!$O$13))-1)/inputs!$N$13&lt;0, 0, IF((((inputs!$P$13/(V473/MAX(K473:S473)))^(1/inputs!$O$13))-1)/inputs!$N$13&lt;inputs!$I$17, (((inputs!$P$13/(V473/MAX(K473:S473)))^(1/inputs!$O$13))-1)/inputs!$N$13, inputs!$I$17))</f>
        <v>531.87127590642785</v>
      </c>
      <c r="U473" s="63">
        <f>IF((((inputs!$P$13/(X473/MAX(K473:S473)))^(1/inputs!$O$13))-1)/inputs!$N$13&lt;0, 0, IF((((inputs!$P$13/(X473/MAX(K473:S473)))^(1/inputs!$O$13))-1)/inputs!$N$13&lt;inputs!$I$17, (((inputs!$P$13/(X473/MAX(K473:S473)))^(1/inputs!$O$13))-1)/inputs!$N$13, inputs!$I$17))</f>
        <v>19.897672107376664</v>
      </c>
      <c r="V473" s="54">
        <f>inputs!$E$70*(inputs!$F$70/F473)^(0.25)</f>
        <v>0.27451421938065973</v>
      </c>
      <c r="W473" s="54">
        <f>inputs!$E$76*(inputs!$F$76/F473)^(0.25)</f>
        <v>8.2568699553496286E-2</v>
      </c>
      <c r="X473" s="54">
        <f>inputs!$E$72*(inputs!$F$72/F473)^(0.25)</f>
        <v>12.110921443264401</v>
      </c>
      <c r="Y473" s="54" t="s">
        <v>13</v>
      </c>
      <c r="Z473" s="106">
        <f t="shared" si="52"/>
        <v>291.35254656381028</v>
      </c>
      <c r="AA473" s="106">
        <f t="shared" si="53"/>
        <v>968.65298008856678</v>
      </c>
    </row>
    <row r="474" spans="1:27" ht="26.4" x14ac:dyDescent="0.25">
      <c r="A474" s="55" t="s">
        <v>604</v>
      </c>
      <c r="B474" s="49" t="s">
        <v>606</v>
      </c>
      <c r="C474" s="21" t="s">
        <v>61</v>
      </c>
      <c r="D474" s="20" t="s">
        <v>454</v>
      </c>
      <c r="E474" s="20">
        <v>4110</v>
      </c>
      <c r="F474" s="21">
        <v>113000</v>
      </c>
      <c r="G474" s="21" t="s">
        <v>455</v>
      </c>
      <c r="H474" s="21">
        <v>0.68</v>
      </c>
      <c r="I474" s="71">
        <f>MAX('Max rate concentrations'!$K$3:$K$368)</f>
        <v>110.00035859694511</v>
      </c>
      <c r="J474" s="71">
        <f>MAX('Max rate concentrations'!AC:AC)</f>
        <v>38.958460336418057</v>
      </c>
      <c r="K474" s="70">
        <f t="shared" si="54"/>
        <v>10.182725159758855</v>
      </c>
      <c r="L474" s="70">
        <f t="shared" si="55"/>
        <v>3.606381827414594</v>
      </c>
      <c r="M474" s="70">
        <f>IF((((0.326*F474^0.818)-(0.398*F474^0.85)/(1-H474)*H474)*(MAX('Max rate concentrations'!$P$3:$P$368)))/F474&gt;0, (((0.326*F474^0.818)-(0.398*F474^0.85)/(1-H474)*H474)*(MAX('Max rate concentrations'!$P$3:$P$368)))/F474, 0)</f>
        <v>0</v>
      </c>
      <c r="N474" s="70">
        <f>IF((((0.326*F474^0.818)-(0.398*F474^0.85)/(1-H474)*H474)*(MAX('Max rate concentrations'!$Q$3:$Q$368)))/F474&gt; 0, (((0.326*F474^0.818)-(0.398*F474^0.85)/(1-H474)*H474)*(MAX('Max rate concentrations'!$Q$3:$Q$368)))/F474, 0)</f>
        <v>0</v>
      </c>
      <c r="O474" s="70">
        <f>((MAX('Max rate concentrations'!$F$3:$F$368))*0.62*6.01*8*(12.3*F474^0.65)*0.079*0.1/F474)*inputs!$E$73/inputs!$E$74</f>
        <v>4.6125790446588066</v>
      </c>
      <c r="P474" s="70">
        <f>((MAX('Max rate concentrations'!Y:Y))*0.62*6.01*8*(12.3*F474^0.65)*0.079*0.1/F474)*inputs!$E$73/inputs!$E$74</f>
        <v>1.5375263482196024</v>
      </c>
      <c r="Q474" s="70">
        <f>(inputs!$C$18*11.2*(12.3*F474^0.65)*0.5/F474)*inputs!$E$73/inputs!$E$74</f>
        <v>0.81248404312740241</v>
      </c>
      <c r="R474" s="60">
        <f>(60*379*((F474/1000)^0.8)*3*24*(MAX('Max rate concentrations'!$R$3:$R$368))/F474)*(inputs!$E$73/inputs!$E$75)</f>
        <v>4.2885750988636978E-3</v>
      </c>
      <c r="S474" s="60">
        <f>(IF(inputs!$C$17="aerial",((0.025*0.112*inputs!$C$18/3.3)*(3*60*379*((F474/1000)^0.8))*MAX(inputs!$I$14:$I$16))/F474,((0.0083*0.112*inputs!$C$18/1)*(3*60*379*((F474/1000)^0.8))*MAX(inputs!$I$14:$I$16))/F474))*(inputs!E$75/inputs!$E$73)</f>
        <v>2.3651755153036337E-2</v>
      </c>
      <c r="T474" s="63">
        <f>IF((((inputs!$P$13/(V474/MAX(K474:S474)))^(1/inputs!$O$13))-1)/inputs!$N$13&lt;0, 0, IF((((inputs!$P$13/(V474/MAX(K474:S474)))^(1/inputs!$O$13))-1)/inputs!$N$13&lt;inputs!$I$17, (((inputs!$P$13/(V474/MAX(K474:S474)))^(1/inputs!$O$13))-1)/inputs!$N$13, inputs!$I$17))</f>
        <v>96.210130452400122</v>
      </c>
      <c r="U474" s="63">
        <f>IF((((inputs!$P$13/(X474/MAX(K474:S474)))^(1/inputs!$O$13))-1)/inputs!$N$13&lt;0, 0, IF((((inputs!$P$13/(X474/MAX(K474:S474)))^(1/inputs!$O$13))-1)/inputs!$N$13&lt;inputs!$I$17, (((inputs!$P$13/(X474/MAX(K474:S474)))^(1/inputs!$O$13))-1)/inputs!$N$13, inputs!$I$17))</f>
        <v>0</v>
      </c>
      <c r="V474" s="54">
        <f>inputs!$E$70*(inputs!$F$70/F474)^(0.25)</f>
        <v>0.27451421938065973</v>
      </c>
      <c r="W474" s="54">
        <f>inputs!$E$76*(inputs!$F$76/F474)^(0.25)</f>
        <v>8.2568699553496286E-2</v>
      </c>
      <c r="X474" s="54">
        <f>inputs!$E$72*(inputs!$F$72/F474)^(0.25)</f>
        <v>12.110921443264401</v>
      </c>
      <c r="Y474" s="54" t="s">
        <v>13</v>
      </c>
      <c r="Z474" s="106">
        <f t="shared" si="52"/>
        <v>37.093616435361433</v>
      </c>
      <c r="AA474" s="106">
        <f t="shared" si="53"/>
        <v>123.32427681220126</v>
      </c>
    </row>
    <row r="475" spans="1:27" ht="26.4" x14ac:dyDescent="0.25">
      <c r="A475" s="55" t="s">
        <v>604</v>
      </c>
      <c r="B475" s="49" t="s">
        <v>606</v>
      </c>
      <c r="C475" s="21" t="s">
        <v>61</v>
      </c>
      <c r="D475" s="20" t="s">
        <v>454</v>
      </c>
      <c r="E475" s="20">
        <v>4110</v>
      </c>
      <c r="F475" s="21">
        <v>113000</v>
      </c>
      <c r="G475" s="21" t="s">
        <v>456</v>
      </c>
      <c r="H475" s="21">
        <v>0.68</v>
      </c>
      <c r="I475" s="68">
        <f>MAX('Max rate concentrations'!$J$3:$J$368)</f>
        <v>686.46486205830786</v>
      </c>
      <c r="J475" s="68">
        <f>MAX('Max rate concentrations'!AB:AB)</f>
        <v>243.122971978984</v>
      </c>
      <c r="K475" s="70">
        <f t="shared" si="54"/>
        <v>63.546002134266217</v>
      </c>
      <c r="L475" s="70">
        <f t="shared" si="55"/>
        <v>22.505875755885949</v>
      </c>
      <c r="M475" s="70">
        <f>IF((((0.326*F475^0.818)-(0.398*F475^0.85)/(1-H475)*H475)*(MAX('Max rate concentrations'!$P$3:$P$368)))/F475&gt;0, (((0.326*F475^0.818)-(0.398*F475^0.85)/(1-H475)*H475)*(MAX('Max rate concentrations'!$P$3:$P$368)))/F475, 0)</f>
        <v>0</v>
      </c>
      <c r="N475" s="70">
        <f>IF((((0.326*F475^0.818)-(0.398*F475^0.85)/(1-H475)*H475)*(MAX('Max rate concentrations'!$Q$3:$Q$368)))/F475&gt; 0, (((0.326*F475^0.818)-(0.398*F475^0.85)/(1-H475)*H475)*(MAX('Max rate concentrations'!$Q$3:$Q$368)))/F475, 0)</f>
        <v>0</v>
      </c>
      <c r="O475" s="70">
        <f>((MAX('Max rate concentrations'!$F$3:$F$368))*0.62*6.01*8*(12.3*F475^0.65)*0.079*0.1/F475)*inputs!$E$73/inputs!$E$74</f>
        <v>4.6125790446588066</v>
      </c>
      <c r="P475" s="70">
        <f>((MAX('Max rate concentrations'!Y:Y))*0.62*6.01*8*(12.3*F475^0.65)*0.079*0.1/F475)*inputs!$E$73/inputs!$E$74</f>
        <v>1.5375263482196024</v>
      </c>
      <c r="Q475" s="70">
        <f>(inputs!$C$18*11.2*(12.3*F475^0.65)*0.5/F475)*inputs!$E$73/inputs!$E$74</f>
        <v>0.81248404312740241</v>
      </c>
      <c r="R475" s="60">
        <f>(60*379*((F475/1000)^0.8)*3*24*(MAX('Max rate concentrations'!$R$3:$R$368))/F475)*(inputs!$E$73/inputs!$E$75)</f>
        <v>4.2885750988636978E-3</v>
      </c>
      <c r="S475" s="60">
        <f>(IF(inputs!$C$17="aerial",((0.025*0.112*inputs!$C$18/3.3)*(3*60*379*((F475/1000)^0.8))*MAX(inputs!$I$14:$I$16))/F475,((0.0083*0.112*inputs!$C$18/1)*(3*60*379*((F475/1000)^0.8))*MAX(inputs!$I$14:$I$16))/F475))*(inputs!E$75/inputs!$E$73)</f>
        <v>2.3651755153036337E-2</v>
      </c>
      <c r="T475" s="63">
        <f>IF((((inputs!$P$13/(V475/MAX(K475:S475)))^(1/inputs!$O$13))-1)/inputs!$N$13&lt;0, 0, IF((((inputs!$P$13/(V475/MAX(K475:S475)))^(1/inputs!$O$13))-1)/inputs!$N$13&lt;inputs!$I$17, (((inputs!$P$13/(V475/MAX(K475:S475)))^(1/inputs!$O$13))-1)/inputs!$N$13, inputs!$I$17))</f>
        <v>440.70779723656995</v>
      </c>
      <c r="U475" s="63">
        <f>IF((((inputs!$P$13/(X475/MAX(K475:S475)))^(1/inputs!$O$13))-1)/inputs!$N$13&lt;0, 0, IF((((inputs!$P$13/(X475/MAX(K475:S475)))^(1/inputs!$O$13))-1)/inputs!$N$13&lt;inputs!$I$17, (((inputs!$P$13/(X475/MAX(K475:S475)))^(1/inputs!$O$13))-1)/inputs!$N$13, inputs!$I$17))</f>
        <v>15.633114509312625</v>
      </c>
      <c r="V475" s="54">
        <f>inputs!$E$70*(inputs!$F$70/F475)^(0.25)</f>
        <v>0.27451421938065973</v>
      </c>
      <c r="W475" s="54">
        <f>inputs!$E$76*(inputs!$F$76/F475)^(0.25)</f>
        <v>8.2568699553496286E-2</v>
      </c>
      <c r="X475" s="54">
        <f>inputs!$E$72*(inputs!$F$72/F475)^(0.25)</f>
        <v>12.110921443264401</v>
      </c>
      <c r="Y475" s="54" t="s">
        <v>13</v>
      </c>
      <c r="Z475" s="106">
        <f t="shared" si="52"/>
        <v>231.48528436025782</v>
      </c>
      <c r="AA475" s="106">
        <f t="shared" si="53"/>
        <v>769.61369717461446</v>
      </c>
    </row>
    <row r="476" spans="1:27" ht="26.4" x14ac:dyDescent="0.25">
      <c r="A476" s="55" t="s">
        <v>493</v>
      </c>
      <c r="B476" s="49" t="s">
        <v>494</v>
      </c>
      <c r="C476" s="21" t="s">
        <v>61</v>
      </c>
      <c r="D476" s="20" t="s">
        <v>454</v>
      </c>
      <c r="E476" s="20">
        <v>22</v>
      </c>
      <c r="F476" s="21">
        <v>9100</v>
      </c>
      <c r="G476" s="21" t="s">
        <v>138</v>
      </c>
      <c r="H476" s="21">
        <v>0.68</v>
      </c>
      <c r="I476" s="68">
        <f>MAX('Max rate concentrations'!$L$3:$L$368)</f>
        <v>350.52744091332482</v>
      </c>
      <c r="J476" s="68">
        <f>MAX('Max rate concentrations'!AD:AD)</f>
        <v>242.38599637623525</v>
      </c>
      <c r="K476" s="70">
        <f t="shared" si="54"/>
        <v>50.807817333347252</v>
      </c>
      <c r="L476" s="70">
        <f t="shared" si="55"/>
        <v>35.133065177314592</v>
      </c>
      <c r="M476" s="70">
        <f>IF((((0.326*F476^0.818)-(0.398*F476^0.85)/(1-H476)*H476)*(MAX('Max rate concentrations'!$P$3:$P$368)))/F476&gt;0, (((0.326*F476^0.818)-(0.398*F476^0.85)/(1-H476)*H476)*(MAX('Max rate concentrations'!$P$3:$P$368)))/F476, 0)</f>
        <v>0</v>
      </c>
      <c r="N476" s="70">
        <f>IF((((0.326*F476^0.818)-(0.398*F476^0.85)/(1-H476)*H476)*(MAX('Max rate concentrations'!$Q$3:$Q$368)))/F476&gt; 0, (((0.326*F476^0.818)-(0.398*F476^0.85)/(1-H476)*H476)*(MAX('Max rate concentrations'!$Q$3:$Q$368)))/F476, 0)</f>
        <v>0</v>
      </c>
      <c r="O476" s="70">
        <f>((MAX('Max rate concentrations'!$F$3:$F$368))*0.62*6.01*8*(12.3*F476^0.65)*0.079*0.1/F476)*inputs!$E$73/inputs!$E$74</f>
        <v>11.139271507817783</v>
      </c>
      <c r="P476" s="70">
        <f>((MAX('Max rate concentrations'!Y:Y))*0.62*6.01*8*(12.3*F476^0.65)*0.079*0.1/F476)*inputs!$E$73/inputs!$E$74</f>
        <v>3.7130905026059287</v>
      </c>
      <c r="Q476" s="70">
        <f>(inputs!$C$18*11.2*(12.3*F476^0.65)*0.5/F476)*inputs!$E$73/inputs!$E$74</f>
        <v>1.9621301368582038</v>
      </c>
      <c r="R476" s="60">
        <f>(60*379*((F476/1000)^0.8)*3*24*(MAX('Max rate concentrations'!$R$3:$R$368))/F476)*(inputs!$E$73/inputs!$E$75)</f>
        <v>7.0977456107780426E-3</v>
      </c>
      <c r="S476" s="60">
        <f>(IF(inputs!$C$17="aerial",((0.025*0.112*inputs!$C$18/3.3)*(3*60*379*((F476/1000)^0.8))*MAX(inputs!$I$14:$I$16))/F476,((0.0083*0.112*inputs!$C$18/1)*(3*60*379*((F476/1000)^0.8))*MAX(inputs!$I$14:$I$16))/F476))*(inputs!E$75/inputs!$E$73)</f>
        <v>3.9144503116930511E-2</v>
      </c>
      <c r="T476" s="63">
        <f>IF((((inputs!$P$13/(V476/MAX(K476:S476)))^(1/inputs!$O$13))-1)/inputs!$N$13&lt;0, 0, IF((((inputs!$P$13/(V476/MAX(K476:S476)))^(1/inputs!$O$13))-1)/inputs!$N$13&lt;inputs!$I$17, (((inputs!$P$13/(V476/MAX(K476:S476)))^(1/inputs!$O$13))-1)/inputs!$N$13, inputs!$I$17))</f>
        <v>218.39994522001848</v>
      </c>
      <c r="U476" s="63">
        <f>IF((((inputs!$P$13/(X476/MAX(K476:S476)))^(1/inputs!$O$13))-1)/inputs!$N$13&lt;0, 0, IF((((inputs!$P$13/(X476/MAX(K476:S476)))^(1/inputs!$O$13))-1)/inputs!$N$13&lt;inputs!$I$17, (((inputs!$P$13/(X476/MAX(K476:S476)))^(1/inputs!$O$13))-1)/inputs!$N$13, inputs!$I$17))</f>
        <v>5.2337237306900333</v>
      </c>
      <c r="V476" s="54">
        <f>inputs!$E$70*(inputs!$F$70/F476)^(0.25)</f>
        <v>0.51531657055910918</v>
      </c>
      <c r="W476" s="54">
        <f>inputs!$E$76*(inputs!$F$76/F476)^(0.25)</f>
        <v>0.15499750499420156</v>
      </c>
      <c r="X476" s="54">
        <f>inputs!$E$72*(inputs!$F$72/F476)^(0.25)</f>
        <v>22.734554583490112</v>
      </c>
      <c r="Y476" s="54" t="s">
        <v>13</v>
      </c>
      <c r="Z476" s="106">
        <f t="shared" si="52"/>
        <v>98.595349414480665</v>
      </c>
      <c r="AA476" s="106">
        <f t="shared" si="53"/>
        <v>327.79764638952071</v>
      </c>
    </row>
    <row r="477" spans="1:27" ht="26.4" x14ac:dyDescent="0.25">
      <c r="A477" s="55" t="s">
        <v>493</v>
      </c>
      <c r="B477" s="49" t="s">
        <v>494</v>
      </c>
      <c r="C477" s="21" t="s">
        <v>61</v>
      </c>
      <c r="D477" s="20" t="s">
        <v>454</v>
      </c>
      <c r="E477" s="20">
        <v>22</v>
      </c>
      <c r="F477" s="21">
        <v>9100</v>
      </c>
      <c r="G477" s="21" t="s">
        <v>456</v>
      </c>
      <c r="H477" s="21">
        <v>0.68</v>
      </c>
      <c r="I477" s="68">
        <f>MAX('Max rate concentrations'!$J$3:$J$368)</f>
        <v>686.46486205830786</v>
      </c>
      <c r="J477" s="68">
        <f>MAX('Max rate concentrations'!AB:AB)</f>
        <v>243.122971978984</v>
      </c>
      <c r="K477" s="70">
        <f t="shared" si="54"/>
        <v>99.50085855288053</v>
      </c>
      <c r="L477" s="70">
        <f t="shared" si="55"/>
        <v>35.239887404145186</v>
      </c>
      <c r="M477" s="70">
        <f>IF((((0.326*F477^0.818)-(0.398*F477^0.85)/(1-H477)*H477)*(MAX('Max rate concentrations'!$P$3:$P$368)))/F477&gt;0, (((0.326*F477^0.818)-(0.398*F477^0.85)/(1-H477)*H477)*(MAX('Max rate concentrations'!$P$3:$P$368)))/F477, 0)</f>
        <v>0</v>
      </c>
      <c r="N477" s="70">
        <f>IF((((0.326*F477^0.818)-(0.398*F477^0.85)/(1-H477)*H477)*(MAX('Max rate concentrations'!$Q$3:$Q$368)))/F477&gt; 0, (((0.326*F477^0.818)-(0.398*F477^0.85)/(1-H477)*H477)*(MAX('Max rate concentrations'!$Q$3:$Q$368)))/F477, 0)</f>
        <v>0</v>
      </c>
      <c r="O477" s="70">
        <f>((MAX('Max rate concentrations'!$F$3:$F$368))*0.62*6.01*8*(12.3*F477^0.65)*0.079*0.1/F477)*inputs!$E$73/inputs!$E$74</f>
        <v>11.139271507817783</v>
      </c>
      <c r="P477" s="70">
        <f>((MAX('Max rate concentrations'!Y:Y))*0.62*6.01*8*(12.3*F477^0.65)*0.079*0.1/F477)*inputs!$E$73/inputs!$E$74</f>
        <v>3.7130905026059287</v>
      </c>
      <c r="Q477" s="70">
        <f>(inputs!$C$18*11.2*(12.3*F477^0.65)*0.5/F477)*inputs!$E$73/inputs!$E$74</f>
        <v>1.9621301368582038</v>
      </c>
      <c r="R477" s="60">
        <f>(60*379*((F477/1000)^0.8)*3*24*(MAX('Max rate concentrations'!$R$3:$R$368))/F477)*(inputs!$E$73/inputs!$E$75)</f>
        <v>7.0977456107780426E-3</v>
      </c>
      <c r="S477" s="60">
        <f>(IF(inputs!$C$17="aerial",((0.025*0.112*inputs!$C$18/3.3)*(3*60*379*((F477/1000)^0.8))*MAX(inputs!$I$14:$I$16))/F477,((0.0083*0.112*inputs!$C$18/1)*(3*60*379*((F477/1000)^0.8))*MAX(inputs!$I$14:$I$16))/F477))*(inputs!E$75/inputs!$E$73)</f>
        <v>3.9144503116930511E-2</v>
      </c>
      <c r="T477" s="63">
        <f>IF((((inputs!$P$13/(V477/MAX(K477:S477)))^(1/inputs!$O$13))-1)/inputs!$N$13&lt;0, 0, IF((((inputs!$P$13/(V477/MAX(K477:S477)))^(1/inputs!$O$13))-1)/inputs!$N$13&lt;inputs!$I$17, (((inputs!$P$13/(V477/MAX(K477:S477)))^(1/inputs!$O$13))-1)/inputs!$N$13, inputs!$I$17))</f>
        <v>379.87157424041351</v>
      </c>
      <c r="U477" s="63">
        <f>IF((((inputs!$P$13/(X477/MAX(K477:S477)))^(1/inputs!$O$13))-1)/inputs!$N$13&lt;0, 0, IF((((inputs!$P$13/(X477/MAX(K477:S477)))^(1/inputs!$O$13))-1)/inputs!$N$13&lt;inputs!$I$17, (((inputs!$P$13/(X477/MAX(K477:S477)))^(1/inputs!$O$13))-1)/inputs!$N$13, inputs!$I$17))</f>
        <v>12.787242666759118</v>
      </c>
      <c r="V477" s="54">
        <f>inputs!$E$70*(inputs!$F$70/F477)^(0.25)</f>
        <v>0.51531657055910918</v>
      </c>
      <c r="W477" s="54">
        <f>inputs!$E$76*(inputs!$F$76/F477)^(0.25)</f>
        <v>0.15499750499420156</v>
      </c>
      <c r="X477" s="54">
        <f>inputs!$E$72*(inputs!$F$72/F477)^(0.25)</f>
        <v>22.734554583490112</v>
      </c>
      <c r="Y477" s="54" t="s">
        <v>13</v>
      </c>
      <c r="Z477" s="106">
        <f t="shared" si="52"/>
        <v>193.08686007306906</v>
      </c>
      <c r="AA477" s="106">
        <f t="shared" si="53"/>
        <v>641.95135629185029</v>
      </c>
    </row>
    <row r="478" spans="1:27" ht="26.4" x14ac:dyDescent="0.25">
      <c r="A478" s="55" t="s">
        <v>493</v>
      </c>
      <c r="B478" s="49" t="s">
        <v>494</v>
      </c>
      <c r="C478" s="21" t="s">
        <v>61</v>
      </c>
      <c r="D478" s="20" t="s">
        <v>454</v>
      </c>
      <c r="E478" s="20">
        <v>22</v>
      </c>
      <c r="F478" s="21">
        <v>9100</v>
      </c>
      <c r="G478" s="21" t="s">
        <v>145</v>
      </c>
      <c r="H478" s="21">
        <v>0.66</v>
      </c>
      <c r="I478" s="68">
        <f>MAX('Max rate concentrations'!$M$3:$M$368)</f>
        <v>17.092910873809167</v>
      </c>
      <c r="J478" s="68">
        <f>MAX('Max rate concentrations'!AE:AE)</f>
        <v>11.81956602976166</v>
      </c>
      <c r="K478" s="70">
        <f t="shared" si="54"/>
        <v>2.3318231281176449</v>
      </c>
      <c r="L478" s="70">
        <f t="shared" si="55"/>
        <v>1.6124308864643293</v>
      </c>
      <c r="M478" s="70">
        <f>IF((((0.326*F478^0.818)-(0.398*F478^0.85)/(1-H478)*H478)*(MAX('Max rate concentrations'!$P$3:$P$368)))/F478&gt;0, (((0.326*F478^0.818)-(0.398*F478^0.85)/(1-H478)*H478)*(MAX('Max rate concentrations'!$P$3:$P$368)))/F478, 0)</f>
        <v>0</v>
      </c>
      <c r="N478" s="70">
        <f>IF((((0.326*F478^0.818)-(0.398*F478^0.85)/(1-H478)*H478)*(MAX('Max rate concentrations'!$Q$3:$Q$368)))/F478&gt; 0, (((0.326*F478^0.818)-(0.398*F478^0.85)/(1-H478)*H478)*(MAX('Max rate concentrations'!$Q$3:$Q$368)))/F478, 0)</f>
        <v>0</v>
      </c>
      <c r="O478" s="70">
        <f>((MAX('Max rate concentrations'!$F$3:$F$368))*0.62*6.01*8*(12.3*F478^0.65)*0.079*0.1/F478)*inputs!$E$73/inputs!$E$74</f>
        <v>11.139271507817783</v>
      </c>
      <c r="P478" s="70">
        <f>((MAX('Max rate concentrations'!Y:Y))*0.62*6.01*8*(12.3*F478^0.65)*0.079*0.1/F478)*inputs!$E$73/inputs!$E$74</f>
        <v>3.7130905026059287</v>
      </c>
      <c r="Q478" s="70">
        <f>(inputs!$C$18*11.2*(12.3*F478^0.65)*0.5/F478)*inputs!$E$73/inputs!$E$74</f>
        <v>1.9621301368582038</v>
      </c>
      <c r="R478" s="60">
        <f>(60*379*((F478/1000)^0.8)*3*24*(MAX('Max rate concentrations'!$R$3:$R$368))/F478)*(inputs!$E$73/inputs!$E$75)</f>
        <v>7.0977456107780426E-3</v>
      </c>
      <c r="S478" s="60">
        <f>(IF(inputs!$C$17="aerial",((0.025*0.112*inputs!$C$18/3.3)*(3*60*379*((F478/1000)^0.8))*MAX(inputs!$I$14:$I$16))/F478,((0.0083*0.112*inputs!$C$18/1)*(3*60*379*((F478/1000)^0.8))*MAX(inputs!$I$14:$I$16))/F478))*(inputs!E$75/inputs!$E$73)</f>
        <v>3.9144503116930511E-2</v>
      </c>
      <c r="T478" s="63">
        <f>IF((((inputs!$P$13/(V478/MAX(K478:S478)))^(1/inputs!$O$13))-1)/inputs!$N$13&lt;0, 0, IF((((inputs!$P$13/(V478/MAX(K478:S478)))^(1/inputs!$O$13))-1)/inputs!$N$13&lt;inputs!$I$17, (((inputs!$P$13/(V478/MAX(K478:S478)))^(1/inputs!$O$13))-1)/inputs!$N$13, inputs!$I$17))</f>
        <v>60.319549369891369</v>
      </c>
      <c r="U478" s="63">
        <f>IF((((inputs!$P$13/(X478/MAX(K478:S478)))^(1/inputs!$O$13))-1)/inputs!$N$13&lt;0, 0, IF((((inputs!$P$13/(X478/MAX(K478:S478)))^(1/inputs!$O$13))-1)/inputs!$N$13&lt;inputs!$I$17, (((inputs!$P$13/(X478/MAX(K478:S478)))^(1/inputs!$O$13))-1)/inputs!$N$13, inputs!$I$17))</f>
        <v>0</v>
      </c>
      <c r="V478" s="54">
        <f>inputs!$E$70*(inputs!$F$70/F478)^(0.25)</f>
        <v>0.51531657055910918</v>
      </c>
      <c r="W478" s="54">
        <f>inputs!$E$76*(inputs!$F$76/F478)^(0.25)</f>
        <v>0.15499750499420156</v>
      </c>
      <c r="X478" s="54">
        <f>inputs!$E$72*(inputs!$F$72/F478)^(0.25)</f>
        <v>22.734554583490112</v>
      </c>
      <c r="Y478" s="54" t="s">
        <v>13</v>
      </c>
      <c r="Z478" s="106">
        <f t="shared" si="52"/>
        <v>21.616365830681275</v>
      </c>
      <c r="AA478" s="106">
        <f t="shared" si="53"/>
        <v>71.867424628767424</v>
      </c>
    </row>
    <row r="479" spans="1:27" x14ac:dyDescent="0.25">
      <c r="A479" s="55" t="s">
        <v>536</v>
      </c>
      <c r="B479" s="49" t="s">
        <v>537</v>
      </c>
      <c r="C479" s="21" t="s">
        <v>61</v>
      </c>
      <c r="D479" s="20" t="s">
        <v>454</v>
      </c>
      <c r="E479" s="20">
        <v>18</v>
      </c>
      <c r="F479" s="21">
        <v>45000</v>
      </c>
      <c r="G479" s="21" t="s">
        <v>138</v>
      </c>
      <c r="H479" s="21">
        <v>0.68</v>
      </c>
      <c r="I479" s="68">
        <f>MAX('Max rate concentrations'!$L$3:$L$368)</f>
        <v>350.52744091332482</v>
      </c>
      <c r="J479" s="68">
        <f>MAX('Max rate concentrations'!AD:AD)</f>
        <v>242.38599637623525</v>
      </c>
      <c r="K479" s="70">
        <f t="shared" si="54"/>
        <v>38.226811826631703</v>
      </c>
      <c r="L479" s="70">
        <f t="shared" si="55"/>
        <v>26.433433709904904</v>
      </c>
      <c r="M479" s="70">
        <f>IF((((0.326*F479^0.818)-(0.398*F479^0.85)/(1-H479)*H479)*(MAX('Max rate concentrations'!$P$3:$P$368)))/F479&gt;0, (((0.326*F479^0.818)-(0.398*F479^0.85)/(1-H479)*H479)*(MAX('Max rate concentrations'!$P$3:$P$368)))/F479, 0)</f>
        <v>0</v>
      </c>
      <c r="N479" s="70">
        <f>IF((((0.326*F479^0.818)-(0.398*F479^0.85)/(1-H479)*H479)*(MAX('Max rate concentrations'!$Q$3:$Q$368)))/F479&gt; 0, (((0.326*F479^0.818)-(0.398*F479^0.85)/(1-H479)*H479)*(MAX('Max rate concentrations'!$Q$3:$Q$368)))/F479, 0)</f>
        <v>0</v>
      </c>
      <c r="O479" s="70">
        <f>((MAX('Max rate concentrations'!$F$3:$F$368))*0.62*6.01*8*(12.3*F479^0.65)*0.079*0.1/F479)*inputs!$E$73/inputs!$E$74</f>
        <v>6.3664436145247416</v>
      </c>
      <c r="P479" s="70">
        <f>((MAX('Max rate concentrations'!Y:Y))*0.62*6.01*8*(12.3*F479^0.65)*0.079*0.1/F479)*inputs!$E$73/inputs!$E$74</f>
        <v>2.1221478715082478</v>
      </c>
      <c r="Q479" s="70">
        <f>(inputs!$C$18*11.2*(12.3*F479^0.65)*0.5/F479)*inputs!$E$73/inputs!$E$74</f>
        <v>1.1214190148700889</v>
      </c>
      <c r="R479" s="60">
        <f>(60*379*((F479/1000)^0.8)*3*24*(MAX('Max rate concentrations'!$R$3:$R$368))/F479)*(inputs!$E$73/inputs!$E$75)</f>
        <v>5.1556829863424391E-3</v>
      </c>
      <c r="S479" s="60">
        <f>(IF(inputs!$C$17="aerial",((0.025*0.112*inputs!$C$18/3.3)*(3*60*379*((F479/1000)^0.8))*MAX(inputs!$I$14:$I$16))/F479,((0.0083*0.112*inputs!$C$18/1)*(3*60*379*((F479/1000)^0.8))*MAX(inputs!$I$14:$I$16))/F479))*(inputs!E$75/inputs!$E$73)</f>
        <v>2.8433908426124116E-2</v>
      </c>
      <c r="T479" s="63">
        <f>IF((((inputs!$P$13/(V479/MAX(K479:S479)))^(1/inputs!$O$13))-1)/inputs!$N$13&lt;0, 0, IF((((inputs!$P$13/(V479/MAX(K479:S479)))^(1/inputs!$O$13))-1)/inputs!$N$13&lt;inputs!$I$17, (((inputs!$P$13/(V479/MAX(K479:S479)))^(1/inputs!$O$13))-1)/inputs!$N$13, inputs!$I$17))</f>
        <v>240.2109593499701</v>
      </c>
      <c r="U479" s="63">
        <f>IF((((inputs!$P$13/(X479/MAX(K479:S479)))^(1/inputs!$O$13))-1)/inputs!$N$13&lt;0, 0, IF((((inputs!$P$13/(X479/MAX(K479:S479)))^(1/inputs!$O$13))-1)/inputs!$N$13&lt;inputs!$I$17, (((inputs!$P$13/(X479/MAX(K479:S479)))^(1/inputs!$O$13))-1)/inputs!$N$13, inputs!$I$17))</f>
        <v>6.2540262398363975</v>
      </c>
      <c r="V479" s="54">
        <f>inputs!$E$70*(inputs!$F$70/F479)^(0.25)</f>
        <v>0.34556625585896705</v>
      </c>
      <c r="W479" s="54">
        <f>inputs!$E$76*(inputs!$F$76/F479)^(0.25)</f>
        <v>0.10393981200762492</v>
      </c>
      <c r="X479" s="54">
        <f>inputs!$E$72*(inputs!$F$72/F479)^(0.25)</f>
        <v>15.245570111425018</v>
      </c>
      <c r="Y479" s="54" t="s">
        <v>13</v>
      </c>
      <c r="Z479" s="106">
        <f t="shared" si="52"/>
        <v>110.62078886033618</v>
      </c>
      <c r="AA479" s="106">
        <f t="shared" si="53"/>
        <v>367.7783429493544</v>
      </c>
    </row>
    <row r="480" spans="1:27" x14ac:dyDescent="0.25">
      <c r="A480" s="55" t="s">
        <v>536</v>
      </c>
      <c r="B480" s="49" t="s">
        <v>537</v>
      </c>
      <c r="C480" s="21" t="s">
        <v>61</v>
      </c>
      <c r="D480" s="20" t="s">
        <v>454</v>
      </c>
      <c r="E480" s="20">
        <v>18</v>
      </c>
      <c r="F480" s="21">
        <v>45000</v>
      </c>
      <c r="G480" s="21" t="s">
        <v>186</v>
      </c>
      <c r="H480" s="21">
        <v>0.75</v>
      </c>
      <c r="I480" s="68">
        <f>inputs!$C$66*inputs!$C$64/1000</f>
        <v>21.3</v>
      </c>
      <c r="J480" s="68">
        <f>inputs!$C$66*inputs!$C$63/1000</f>
        <v>8.8000000000000007</v>
      </c>
      <c r="K480" s="70">
        <f t="shared" si="54"/>
        <v>2.9732787679210428</v>
      </c>
      <c r="L480" s="70">
        <f t="shared" si="55"/>
        <v>1.228396861864093</v>
      </c>
      <c r="M480" s="70">
        <f>IF((((0.326*F480^0.818)-(0.398*F480^0.85)/(1-H480)*H480)*(MAX('Max rate concentrations'!$P$3:$P$368)))/F480&gt;0, (((0.326*F480^0.818)-(0.398*F480^0.85)/(1-H480)*H480)*(MAX('Max rate concentrations'!$P$3:$P$368)))/F480, 0)</f>
        <v>0</v>
      </c>
      <c r="N480" s="70">
        <f>IF((((0.326*F480^0.818)-(0.398*F480^0.85)/(1-H480)*H480)*(MAX('Max rate concentrations'!$Q$3:$Q$368)))/F480&gt; 0, (((0.326*F480^0.818)-(0.398*F480^0.85)/(1-H480)*H480)*(MAX('Max rate concentrations'!$Q$3:$Q$368)))/F480, 0)</f>
        <v>0</v>
      </c>
      <c r="O480" s="70">
        <f>((MAX('Max rate concentrations'!$F$3:$F$368))*0.62*6.01*8*(12.3*F480^0.65)*0.079*0.1/F480)*inputs!$E$73/inputs!$E$74</f>
        <v>6.3664436145247416</v>
      </c>
      <c r="P480" s="70">
        <f>((MAX('Max rate concentrations'!Y:Y))*0.62*6.01*8*(12.3*F480^0.65)*0.079*0.1/F480)*inputs!$E$73/inputs!$E$74</f>
        <v>2.1221478715082478</v>
      </c>
      <c r="Q480" s="70">
        <f>(inputs!$C$18*11.2*(12.3*F480^0.65)*0.5/F480)*inputs!$E$73/inputs!$E$74</f>
        <v>1.1214190148700889</v>
      </c>
      <c r="R480" s="60">
        <f>(60*379*((F480/1000)^0.8)*3*24*(MAX('Max rate concentrations'!$R$3:$R$368))/F480)*(inputs!$E$73/inputs!$E$75)</f>
        <v>5.1556829863424391E-3</v>
      </c>
      <c r="S480" s="60">
        <f>(IF(inputs!$C$17="aerial",((0.025*0.112*inputs!$C$18/3.3)*(3*60*379*((F480/1000)^0.8))*MAX(inputs!$I$14:$I$16))/F480,((0.0083*0.112*inputs!$C$18/1)*(3*60*379*((F480/1000)^0.8))*MAX(inputs!$I$14:$I$16))/F480))*(inputs!E$75/inputs!$E$73)</f>
        <v>2.8433908426124116E-2</v>
      </c>
      <c r="T480" s="63">
        <f>IF((((inputs!$P$13/(V480/MAX(K480:S480)))^(1/inputs!$O$13))-1)/inputs!$N$13&lt;0, 0, IF((((inputs!$P$13/(V480/MAX(K480:S480)))^(1/inputs!$O$13))-1)/inputs!$N$13&lt;inputs!$I$17, (((inputs!$P$13/(V480/MAX(K480:S480)))^(1/inputs!$O$13))-1)/inputs!$N$13, inputs!$I$17))</f>
        <v>52.371876697579061</v>
      </c>
      <c r="U480" s="63">
        <f>IF((((inputs!$P$13/(X480/MAX(K480:S480)))^(1/inputs!$O$13))-1)/inputs!$N$13&lt;0, 0, IF((((inputs!$P$13/(X480/MAX(K480:S480)))^(1/inputs!$O$13))-1)/inputs!$N$13&lt;inputs!$I$17, (((inputs!$P$13/(X480/MAX(K480:S480)))^(1/inputs!$O$13))-1)/inputs!$N$13, inputs!$I$17))</f>
        <v>0</v>
      </c>
      <c r="V480" s="54">
        <f>inputs!$E$70*(inputs!$F$70/F480)^(0.25)</f>
        <v>0.34556625585896705</v>
      </c>
      <c r="W480" s="54">
        <f>inputs!$E$76*(inputs!$F$76/F480)^(0.25)</f>
        <v>0.10393981200762492</v>
      </c>
      <c r="X480" s="54">
        <f>inputs!$E$72*(inputs!$F$72/F480)^(0.25)</f>
        <v>15.245570111425018</v>
      </c>
      <c r="Y480" s="54" t="s">
        <v>13</v>
      </c>
      <c r="Z480" s="106">
        <f t="shared" si="52"/>
        <v>18.423221326109523</v>
      </c>
      <c r="AA480" s="106">
        <f t="shared" si="53"/>
        <v>61.251251965490425</v>
      </c>
    </row>
    <row r="481" spans="1:27" x14ac:dyDescent="0.25">
      <c r="A481" s="55" t="s">
        <v>536</v>
      </c>
      <c r="B481" s="49" t="s">
        <v>537</v>
      </c>
      <c r="C481" s="21" t="s">
        <v>61</v>
      </c>
      <c r="D481" s="20" t="s">
        <v>454</v>
      </c>
      <c r="E481" s="20">
        <v>18</v>
      </c>
      <c r="F481" s="21">
        <v>45000</v>
      </c>
      <c r="G481" s="21" t="s">
        <v>456</v>
      </c>
      <c r="H481" s="21">
        <v>0.68</v>
      </c>
      <c r="I481" s="68">
        <f>MAX('Max rate concentrations'!$J$3:$J$368)</f>
        <v>686.46486205830786</v>
      </c>
      <c r="J481" s="68">
        <f>MAX('Max rate concentrations'!AB:AB)</f>
        <v>243.122971978984</v>
      </c>
      <c r="K481" s="70">
        <f t="shared" si="54"/>
        <v>74.862507309338852</v>
      </c>
      <c r="L481" s="70">
        <f t="shared" si="55"/>
        <v>26.513804672057507</v>
      </c>
      <c r="M481" s="70">
        <f>IF((((0.326*F481^0.818)-(0.398*F481^0.85)/(1-H481)*H481)*(MAX('Max rate concentrations'!$P$3:$P$368)))/F481&gt;0, (((0.326*F481^0.818)-(0.398*F481^0.85)/(1-H481)*H481)*(MAX('Max rate concentrations'!$P$3:$P$368)))/F481, 0)</f>
        <v>0</v>
      </c>
      <c r="N481" s="70">
        <f>IF((((0.326*F481^0.818)-(0.398*F481^0.85)/(1-H481)*H481)*(MAX('Max rate concentrations'!$Q$3:$Q$368)))/F481&gt; 0, (((0.326*F481^0.818)-(0.398*F481^0.85)/(1-H481)*H481)*(MAX('Max rate concentrations'!$Q$3:$Q$368)))/F481, 0)</f>
        <v>0</v>
      </c>
      <c r="O481" s="70">
        <f>((MAX('Max rate concentrations'!$F$3:$F$368))*0.62*6.01*8*(12.3*F481^0.65)*0.079*0.1/F481)*inputs!$E$73/inputs!$E$74</f>
        <v>6.3664436145247416</v>
      </c>
      <c r="P481" s="70">
        <f>((MAX('Max rate concentrations'!Y:Y))*0.62*6.01*8*(12.3*F481^0.65)*0.079*0.1/F481)*inputs!$E$73/inputs!$E$74</f>
        <v>2.1221478715082478</v>
      </c>
      <c r="Q481" s="70">
        <f>(inputs!$C$18*11.2*(12.3*F481^0.65)*0.5/F481)*inputs!$E$73/inputs!$E$74</f>
        <v>1.1214190148700889</v>
      </c>
      <c r="R481" s="60">
        <f>(60*379*((F481/1000)^0.8)*3*24*(MAX('Max rate concentrations'!$R$3:$R$368))/F481)*(inputs!$E$73/inputs!$E$75)</f>
        <v>5.1556829863424391E-3</v>
      </c>
      <c r="S481" s="60">
        <f>(IF(inputs!$C$17="aerial",((0.025*0.112*inputs!$C$18/3.3)*(3*60*379*((F481/1000)^0.8))*MAX(inputs!$I$14:$I$16))/F481,((0.0083*0.112*inputs!$C$18/1)*(3*60*379*((F481/1000)^0.8))*MAX(inputs!$I$14:$I$16))/F481))*(inputs!E$75/inputs!$E$73)</f>
        <v>2.8433908426124116E-2</v>
      </c>
      <c r="T481" s="63">
        <f>IF((((inputs!$P$13/(V481/MAX(K481:S481)))^(1/inputs!$O$13))-1)/inputs!$N$13&lt;0, 0, IF((((inputs!$P$13/(V481/MAX(K481:S481)))^(1/inputs!$O$13))-1)/inputs!$N$13&lt;inputs!$I$17, (((inputs!$P$13/(V481/MAX(K481:S481)))^(1/inputs!$O$13))-1)/inputs!$N$13, inputs!$I$17))</f>
        <v>417.43137844812497</v>
      </c>
      <c r="U481" s="63">
        <f>IF((((inputs!$P$13/(X481/MAX(K481:S481)))^(1/inputs!$O$13))-1)/inputs!$N$13&lt;0, 0, IF((((inputs!$P$13/(X481/MAX(K481:S481)))^(1/inputs!$O$13))-1)/inputs!$N$13&lt;inputs!$I$17, (((inputs!$P$13/(X481/MAX(K481:S481)))^(1/inputs!$O$13))-1)/inputs!$N$13, inputs!$I$17))</f>
        <v>14.544261494395768</v>
      </c>
      <c r="V481" s="54">
        <f>inputs!$E$70*(inputs!$F$70/F481)^(0.25)</f>
        <v>0.34556625585896705</v>
      </c>
      <c r="W481" s="54">
        <f>inputs!$E$76*(inputs!$F$76/F481)^(0.25)</f>
        <v>0.10393981200762492</v>
      </c>
      <c r="X481" s="54">
        <f>inputs!$E$72*(inputs!$F$72/F481)^(0.25)</f>
        <v>15.245570111425018</v>
      </c>
      <c r="Y481" s="54" t="s">
        <v>13</v>
      </c>
      <c r="Z481" s="106">
        <f t="shared" si="52"/>
        <v>216.63720354655183</v>
      </c>
      <c r="AA481" s="106">
        <f t="shared" si="53"/>
        <v>720.24863104280973</v>
      </c>
    </row>
    <row r="482" spans="1:27" x14ac:dyDescent="0.25">
      <c r="A482" s="55" t="s">
        <v>536</v>
      </c>
      <c r="B482" s="49" t="s">
        <v>537</v>
      </c>
      <c r="C482" s="21" t="s">
        <v>61</v>
      </c>
      <c r="D482" s="20" t="s">
        <v>454</v>
      </c>
      <c r="E482" s="20">
        <v>18</v>
      </c>
      <c r="F482" s="21">
        <v>45000</v>
      </c>
      <c r="G482" s="21" t="s">
        <v>145</v>
      </c>
      <c r="H482" s="21">
        <v>0.66</v>
      </c>
      <c r="I482" s="68">
        <f>MAX('Max rate concentrations'!$M$3:$M$368)</f>
        <v>17.092910873809167</v>
      </c>
      <c r="J482" s="68">
        <f>MAX('Max rate concentrations'!AE:AE)</f>
        <v>11.81956602976166</v>
      </c>
      <c r="K482" s="70">
        <f t="shared" si="54"/>
        <v>1.754418288561983</v>
      </c>
      <c r="L482" s="70">
        <f t="shared" si="55"/>
        <v>1.2131615825162652</v>
      </c>
      <c r="M482" s="70">
        <f>IF((((0.326*F482^0.818)-(0.398*F482^0.85)/(1-H482)*H482)*(MAX('Max rate concentrations'!$P$3:$P$368)))/F482&gt;0, (((0.326*F482^0.818)-(0.398*F482^0.85)/(1-H482)*H482)*(MAX('Max rate concentrations'!$P$3:$P$368)))/F482, 0)</f>
        <v>0</v>
      </c>
      <c r="N482" s="70">
        <f>IF((((0.326*F482^0.818)-(0.398*F482^0.85)/(1-H482)*H482)*(MAX('Max rate concentrations'!$Q$3:$Q$368)))/F482&gt; 0, (((0.326*F482^0.818)-(0.398*F482^0.85)/(1-H482)*H482)*(MAX('Max rate concentrations'!$Q$3:$Q$368)))/F482, 0)</f>
        <v>0</v>
      </c>
      <c r="O482" s="70">
        <f>((MAX('Max rate concentrations'!$F$3:$F$368))*0.62*6.01*8*(12.3*F482^0.65)*0.079*0.1/F482)*inputs!$E$73/inputs!$E$74</f>
        <v>6.3664436145247416</v>
      </c>
      <c r="P482" s="70">
        <f>((MAX('Max rate concentrations'!Y:Y))*0.62*6.01*8*(12.3*F482^0.65)*0.079*0.1/F482)*inputs!$E$73/inputs!$E$74</f>
        <v>2.1221478715082478</v>
      </c>
      <c r="Q482" s="70">
        <f>(inputs!$C$18*11.2*(12.3*F482^0.65)*0.5/F482)*inputs!$E$73/inputs!$E$74</f>
        <v>1.1214190148700889</v>
      </c>
      <c r="R482" s="60">
        <f>(60*379*((F482/1000)^0.8)*3*24*(MAX('Max rate concentrations'!$R$3:$R$368))/F482)*(inputs!$E$73/inputs!$E$75)</f>
        <v>5.1556829863424391E-3</v>
      </c>
      <c r="S482" s="60">
        <f>(IF(inputs!$C$17="aerial",((0.025*0.112*inputs!$C$18/3.3)*(3*60*379*((F482/1000)^0.8))*MAX(inputs!$I$14:$I$16))/F482,((0.0083*0.112*inputs!$C$18/1)*(3*60*379*((F482/1000)^0.8))*MAX(inputs!$I$14:$I$16))/F482))*(inputs!E$75/inputs!$E$73)</f>
        <v>2.8433908426124116E-2</v>
      </c>
      <c r="T482" s="63">
        <f>IF((((inputs!$P$13/(V482/MAX(K482:S482)))^(1/inputs!$O$13))-1)/inputs!$N$13&lt;0, 0, IF((((inputs!$P$13/(V482/MAX(K482:S482)))^(1/inputs!$O$13))-1)/inputs!$N$13&lt;inputs!$I$17, (((inputs!$P$13/(V482/MAX(K482:S482)))^(1/inputs!$O$13))-1)/inputs!$N$13, inputs!$I$17))</f>
        <v>52.371876697579061</v>
      </c>
      <c r="U482" s="63">
        <f>IF((((inputs!$P$13/(X482/MAX(K482:S482)))^(1/inputs!$O$13))-1)/inputs!$N$13&lt;0, 0, IF((((inputs!$P$13/(X482/MAX(K482:S482)))^(1/inputs!$O$13))-1)/inputs!$N$13&lt;inputs!$I$17, (((inputs!$P$13/(X482/MAX(K482:S482)))^(1/inputs!$O$13))-1)/inputs!$N$13, inputs!$I$17))</f>
        <v>0</v>
      </c>
      <c r="V482" s="54">
        <f>inputs!$E$70*(inputs!$F$70/F482)^(0.25)</f>
        <v>0.34556625585896705</v>
      </c>
      <c r="W482" s="54">
        <f>inputs!$E$76*(inputs!$F$76/F482)^(0.25)</f>
        <v>0.10393981200762492</v>
      </c>
      <c r="X482" s="54">
        <f>inputs!$E$72*(inputs!$F$72/F482)^(0.25)</f>
        <v>15.245570111425018</v>
      </c>
      <c r="Y482" s="54" t="s">
        <v>13</v>
      </c>
      <c r="Z482" s="106">
        <f t="shared" si="52"/>
        <v>18.423221326109523</v>
      </c>
      <c r="AA482" s="106">
        <f t="shared" si="53"/>
        <v>61.251251965490425</v>
      </c>
    </row>
    <row r="483" spans="1:27" x14ac:dyDescent="0.25">
      <c r="A483" s="55" t="s">
        <v>602</v>
      </c>
      <c r="B483" s="49" t="s">
        <v>603</v>
      </c>
      <c r="C483" s="21" t="s">
        <v>61</v>
      </c>
      <c r="D483" s="20" t="s">
        <v>454</v>
      </c>
      <c r="E483" s="20">
        <v>36</v>
      </c>
      <c r="F483" s="21">
        <v>92000</v>
      </c>
      <c r="G483" s="21" t="s">
        <v>142</v>
      </c>
      <c r="H483" s="21">
        <v>0.69</v>
      </c>
      <c r="I483" s="68">
        <f>MAX('Max rate concentrations'!$H$3:$H$368)</f>
        <v>282</v>
      </c>
      <c r="J483" s="68">
        <f>MAX('Max rate concentrations'!AA:AA)</f>
        <v>195</v>
      </c>
      <c r="K483" s="70">
        <f t="shared" si="54"/>
        <v>27.951237698917858</v>
      </c>
      <c r="L483" s="70">
        <f t="shared" si="55"/>
        <v>19.327983515209159</v>
      </c>
      <c r="M483" s="70">
        <f>IF((((0.326*F483^0.818)-(0.398*F483^0.85)/(1-H483)*H483)*(MAX('Max rate concentrations'!$P$3:$P$368)))/F483&gt;0, (((0.326*F483^0.818)-(0.398*F483^0.85)/(1-H483)*H483)*(MAX('Max rate concentrations'!$P$3:$P$368)))/F483, 0)</f>
        <v>0</v>
      </c>
      <c r="N483" s="70">
        <f>IF((((0.326*F483^0.818)-(0.398*F483^0.85)/(1-H483)*H483)*(MAX('Max rate concentrations'!$Q$3:$Q$368)))/F483&gt; 0, (((0.326*F483^0.818)-(0.398*F483^0.85)/(1-H483)*H483)*(MAX('Max rate concentrations'!$Q$3:$Q$368)))/F483, 0)</f>
        <v>0</v>
      </c>
      <c r="O483" s="70">
        <f>((MAX('Max rate concentrations'!$F$3:$F$368))*0.62*6.01*8*(12.3*F483^0.65)*0.079*0.1/F483)*inputs!$E$73/inputs!$E$74</f>
        <v>4.956733131310429</v>
      </c>
      <c r="P483" s="70">
        <f>((MAX('Max rate concentrations'!Y:Y))*0.62*6.01*8*(12.3*F483^0.65)*0.079*0.1/F483)*inputs!$E$73/inputs!$E$74</f>
        <v>1.6522443771034763</v>
      </c>
      <c r="Q483" s="70">
        <f>(inputs!$C$18*11.2*(12.3*F483^0.65)*0.5/F483)*inputs!$E$73/inputs!$E$74</f>
        <v>0.87310516226146173</v>
      </c>
      <c r="R483" s="60">
        <f>(60*379*((F483/1000)^0.8)*3*24*(MAX('Max rate concentrations'!$R$3:$R$368))/F483)*(inputs!$E$73/inputs!$E$75)</f>
        <v>4.4685965182917715E-3</v>
      </c>
      <c r="S483" s="60">
        <f>(IF(inputs!$C$17="aerial",((0.025*0.112*inputs!$C$18/3.3)*(3*60*379*((F483/1000)^0.8))*MAX(inputs!$I$14:$I$16))/F483,((0.0083*0.112*inputs!$C$18/1)*(3*60*379*((F483/1000)^0.8))*MAX(inputs!$I$14:$I$16))/F483))*(inputs!E$75/inputs!$E$73)</f>
        <v>2.4644584341393789E-2</v>
      </c>
      <c r="T483" s="63">
        <f>IF((((inputs!$P$13/(V483/MAX(K483:S483)))^(1/inputs!$O$13))-1)/inputs!$N$13&lt;0, 0, IF((((inputs!$P$13/(V483/MAX(K483:S483)))^(1/inputs!$O$13))-1)/inputs!$N$13&lt;inputs!$I$17, (((inputs!$P$13/(V483/MAX(K483:S483)))^(1/inputs!$O$13))-1)/inputs!$N$13, inputs!$I$17))</f>
        <v>214.95280695885128</v>
      </c>
      <c r="U483" s="63">
        <f>IF((((inputs!$P$13/(X483/MAX(K483:S483)))^(1/inputs!$O$13))-1)/inputs!$N$13&lt;0, 0, IF((((inputs!$P$13/(X483/MAX(K483:S483)))^(1/inputs!$O$13))-1)/inputs!$N$13&lt;inputs!$I$17, (((inputs!$P$13/(X483/MAX(K483:S483)))^(1/inputs!$O$13))-1)/inputs!$N$13, inputs!$I$17))</f>
        <v>5.0724692472309902</v>
      </c>
      <c r="V483" s="54">
        <f>inputs!$E$70*(inputs!$F$70/F483)^(0.25)</f>
        <v>0.2889931169498331</v>
      </c>
      <c r="W483" s="54">
        <f>inputs!$E$76*(inputs!$F$76/F483)^(0.25)</f>
        <v>8.6923678854576344E-2</v>
      </c>
      <c r="X483" s="54">
        <f>inputs!$E$72*(inputs!$F$72/F483)^(0.25)</f>
        <v>12.749696336022048</v>
      </c>
      <c r="Y483" s="54" t="s">
        <v>13</v>
      </c>
      <c r="Z483" s="106">
        <f t="shared" si="52"/>
        <v>96.719389008043294</v>
      </c>
      <c r="AA483" s="106">
        <f t="shared" si="53"/>
        <v>321.5606848127124</v>
      </c>
    </row>
    <row r="484" spans="1:27" x14ac:dyDescent="0.25">
      <c r="A484" s="55" t="s">
        <v>602</v>
      </c>
      <c r="B484" s="49" t="s">
        <v>603</v>
      </c>
      <c r="C484" s="21" t="s">
        <v>61</v>
      </c>
      <c r="D484" s="20" t="s">
        <v>454</v>
      </c>
      <c r="E484" s="20">
        <v>36</v>
      </c>
      <c r="F484" s="21">
        <v>92000</v>
      </c>
      <c r="G484" s="21" t="s">
        <v>218</v>
      </c>
      <c r="H484" s="21">
        <v>0.68</v>
      </c>
      <c r="I484" s="68">
        <f>MAX('Max rate concentrations'!$K$3:$K$368)</f>
        <v>110.00035859694511</v>
      </c>
      <c r="J484" s="68">
        <f>MAX('Max rate concentrations'!AC:AC)</f>
        <v>38.958460336418057</v>
      </c>
      <c r="K484" s="70">
        <f t="shared" si="54"/>
        <v>10.562281834374103</v>
      </c>
      <c r="L484" s="70">
        <f t="shared" si="55"/>
        <v>3.7408081496741605</v>
      </c>
      <c r="M484" s="70">
        <f>IF((((0.326*F484^0.818)-(0.398*F484^0.85)/(1-H484)*H484)*(MAX('Max rate concentrations'!$P$3:$P$368)))/F484&gt;0, (((0.326*F484^0.818)-(0.398*F484^0.85)/(1-H484)*H484)*(MAX('Max rate concentrations'!$P$3:$P$368)))/F484, 0)</f>
        <v>0</v>
      </c>
      <c r="N484" s="70">
        <f>IF((((0.326*F484^0.818)-(0.398*F484^0.85)/(1-H484)*H484)*(MAX('Max rate concentrations'!$Q$3:$Q$368)))/F484&gt; 0, (((0.326*F484^0.818)-(0.398*F484^0.85)/(1-H484)*H484)*(MAX('Max rate concentrations'!$Q$3:$Q$368)))/F484, 0)</f>
        <v>0</v>
      </c>
      <c r="O484" s="70">
        <f>((MAX('Max rate concentrations'!$F$3:$F$368))*0.62*6.01*8*(12.3*F484^0.65)*0.079*0.1/F484)*inputs!$E$73/inputs!$E$74</f>
        <v>4.956733131310429</v>
      </c>
      <c r="P484" s="70">
        <f>((MAX('Max rate concentrations'!Y:Y))*0.62*6.01*8*(12.3*F484^0.65)*0.079*0.1/F484)*inputs!$E$73/inputs!$E$74</f>
        <v>1.6522443771034763</v>
      </c>
      <c r="Q484" s="70">
        <f>(inputs!$C$18*11.2*(12.3*F484^0.65)*0.5/F484)*inputs!$E$73/inputs!$E$74</f>
        <v>0.87310516226146173</v>
      </c>
      <c r="R484" s="60">
        <f>(60*379*((F484/1000)^0.8)*3*24*(MAX('Max rate concentrations'!$R$3:$R$368))/F484)*(inputs!$E$73/inputs!$E$75)</f>
        <v>4.4685965182917715E-3</v>
      </c>
      <c r="S484" s="60">
        <f>(IF(inputs!$C$17="aerial",((0.025*0.112*inputs!$C$18/3.3)*(3*60*379*((F484/1000)^0.8))*MAX(inputs!$I$14:$I$16))/F484,((0.0083*0.112*inputs!$C$18/1)*(3*60*379*((F484/1000)^0.8))*MAX(inputs!$I$14:$I$16))/F484))*(inputs!E$75/inputs!$E$73)</f>
        <v>2.4644584341393789E-2</v>
      </c>
      <c r="T484" s="63">
        <f>IF((((inputs!$P$13/(V484/MAX(K484:S484)))^(1/inputs!$O$13))-1)/inputs!$N$13&lt;0, 0, IF((((inputs!$P$13/(V484/MAX(K484:S484)))^(1/inputs!$O$13))-1)/inputs!$N$13&lt;inputs!$I$17, (((inputs!$P$13/(V484/MAX(K484:S484)))^(1/inputs!$O$13))-1)/inputs!$N$13, inputs!$I$17))</f>
        <v>95.003076864092719</v>
      </c>
      <c r="U484" s="63">
        <f>IF((((inputs!$P$13/(X484/MAX(K484:S484)))^(1/inputs!$O$13))-1)/inputs!$N$13&lt;0, 0, IF((((inputs!$P$13/(X484/MAX(K484:S484)))^(1/inputs!$O$13))-1)/inputs!$N$13&lt;inputs!$I$17, (((inputs!$P$13/(X484/MAX(K484:S484)))^(1/inputs!$O$13))-1)/inputs!$N$13, inputs!$I$17))</f>
        <v>0</v>
      </c>
      <c r="V484" s="54">
        <f>inputs!$E$70*(inputs!$F$70/F484)^(0.25)</f>
        <v>0.2889931169498331</v>
      </c>
      <c r="W484" s="54">
        <f>inputs!$E$76*(inputs!$F$76/F484)^(0.25)</f>
        <v>8.6923678854576344E-2</v>
      </c>
      <c r="X484" s="54">
        <f>inputs!$E$72*(inputs!$F$72/F484)^(0.25)</f>
        <v>12.749696336022048</v>
      </c>
      <c r="Y484" s="54" t="s">
        <v>13</v>
      </c>
      <c r="Z484" s="106">
        <f t="shared" si="52"/>
        <v>36.548558477285916</v>
      </c>
      <c r="AA484" s="106">
        <f t="shared" si="53"/>
        <v>121.5121353992028</v>
      </c>
    </row>
    <row r="485" spans="1:27" x14ac:dyDescent="0.25">
      <c r="A485" s="55" t="s">
        <v>602</v>
      </c>
      <c r="B485" s="49" t="s">
        <v>603</v>
      </c>
      <c r="C485" s="21" t="s">
        <v>61</v>
      </c>
      <c r="D485" s="20" t="s">
        <v>454</v>
      </c>
      <c r="E485" s="20">
        <v>36</v>
      </c>
      <c r="F485" s="21">
        <v>92000</v>
      </c>
      <c r="G485" s="21" t="s">
        <v>152</v>
      </c>
      <c r="H485" s="21">
        <v>0.77</v>
      </c>
      <c r="I485" s="68">
        <f>MAX('Max rate concentrations'!$G$3:$G$368)</f>
        <v>45</v>
      </c>
      <c r="J485" s="68">
        <f>MAX('Max rate concentrations'!Z:Z)</f>
        <v>21</v>
      </c>
      <c r="K485" s="70">
        <f t="shared" si="54"/>
        <v>6.0117139361687375</v>
      </c>
      <c r="L485" s="70">
        <f t="shared" si="55"/>
        <v>2.8054665035454103</v>
      </c>
      <c r="M485" s="70">
        <f>IF((((0.326*F485^0.818)-(0.398*F485^0.85)/(1-H485)*H485)*(MAX('Max rate concentrations'!$P$3:$P$368)))/F485&gt;0, (((0.326*F485^0.818)-(0.398*F485^0.85)/(1-H485)*H485)*(MAX('Max rate concentrations'!$P$3:$P$368)))/F485, 0)</f>
        <v>0</v>
      </c>
      <c r="N485" s="70">
        <f>IF((((0.326*F485^0.818)-(0.398*F485^0.85)/(1-H485)*H485)*(MAX('Max rate concentrations'!$Q$3:$Q$368)))/F485&gt; 0, (((0.326*F485^0.818)-(0.398*F485^0.85)/(1-H485)*H485)*(MAX('Max rate concentrations'!$Q$3:$Q$368)))/F485, 0)</f>
        <v>0</v>
      </c>
      <c r="O485" s="70">
        <f>((MAX('Max rate concentrations'!$F$3:$F$368))*0.62*6.01*8*(12.3*F485^0.65)*0.079*0.1/F485)*inputs!$E$73/inputs!$E$74</f>
        <v>4.956733131310429</v>
      </c>
      <c r="P485" s="70">
        <f>((MAX('Max rate concentrations'!Y:Y))*0.62*6.01*8*(12.3*F485^0.65)*0.079*0.1/F485)*inputs!$E$73/inputs!$E$74</f>
        <v>1.6522443771034763</v>
      </c>
      <c r="Q485" s="70">
        <f>(inputs!$C$18*11.2*(12.3*F485^0.65)*0.5/F485)*inputs!$E$73/inputs!$E$74</f>
        <v>0.87310516226146173</v>
      </c>
      <c r="R485" s="60">
        <f>(60*379*((F485/1000)^0.8)*3*24*(MAX('Max rate concentrations'!$R$3:$R$368))/F485)*(inputs!$E$73/inputs!$E$75)</f>
        <v>4.4685965182917715E-3</v>
      </c>
      <c r="S485" s="60">
        <f>(IF(inputs!$C$17="aerial",((0.025*0.112*inputs!$C$18/3.3)*(3*60*379*((F485/1000)^0.8))*MAX(inputs!$I$14:$I$16))/F485,((0.0083*0.112*inputs!$C$18/1)*(3*60*379*((F485/1000)^0.8))*MAX(inputs!$I$14:$I$16))/F485))*(inputs!E$75/inputs!$E$73)</f>
        <v>2.4644584341393789E-2</v>
      </c>
      <c r="T485" s="63">
        <f>IF((((inputs!$P$13/(V485/MAX(K485:S485)))^(1/inputs!$O$13))-1)/inputs!$N$13&lt;0, 0, IF((((inputs!$P$13/(V485/MAX(K485:S485)))^(1/inputs!$O$13))-1)/inputs!$N$13&lt;inputs!$I$17, (((inputs!$P$13/(V485/MAX(K485:S485)))^(1/inputs!$O$13))-1)/inputs!$N$13, inputs!$I$17))</f>
        <v>58.316001517136634</v>
      </c>
      <c r="U485" s="63">
        <f>IF((((inputs!$P$13/(X485/MAX(K485:S485)))^(1/inputs!$O$13))-1)/inputs!$N$13&lt;0, 0, IF((((inputs!$P$13/(X485/MAX(K485:S485)))^(1/inputs!$O$13))-1)/inputs!$N$13&lt;inputs!$I$17, (((inputs!$P$13/(X485/MAX(K485:S485)))^(1/inputs!$O$13))-1)/inputs!$N$13, inputs!$I$17))</f>
        <v>0</v>
      </c>
      <c r="V485" s="54">
        <f>inputs!$E$70*(inputs!$F$70/F485)^(0.25)</f>
        <v>0.2889931169498331</v>
      </c>
      <c r="W485" s="54">
        <f>inputs!$E$76*(inputs!$F$76/F485)^(0.25)</f>
        <v>8.6923678854576344E-2</v>
      </c>
      <c r="X485" s="54">
        <f>inputs!$E$72*(inputs!$F$72/F485)^(0.25)</f>
        <v>12.749696336022048</v>
      </c>
      <c r="Y485" s="54" t="s">
        <v>13</v>
      </c>
      <c r="Z485" s="106">
        <f t="shared" si="52"/>
        <v>20.802273769075004</v>
      </c>
      <c r="AA485" s="106">
        <f t="shared" si="53"/>
        <v>69.160831839921997</v>
      </c>
    </row>
    <row r="486" spans="1:27" x14ac:dyDescent="0.25">
      <c r="A486" s="55" t="s">
        <v>602</v>
      </c>
      <c r="B486" s="49" t="s">
        <v>603</v>
      </c>
      <c r="C486" s="21" t="s">
        <v>61</v>
      </c>
      <c r="D486" s="20" t="s">
        <v>454</v>
      </c>
      <c r="E486" s="20">
        <v>36</v>
      </c>
      <c r="F486" s="21">
        <v>92000</v>
      </c>
      <c r="G486" s="21" t="s">
        <v>169</v>
      </c>
      <c r="H486" s="21">
        <v>0.79</v>
      </c>
      <c r="I486" s="68">
        <f>MAX('Max rate concentrations'!$D$3:$D$368)</f>
        <v>720</v>
      </c>
      <c r="J486" s="68">
        <f>MAX('Max rate concentrations'!W:W)</f>
        <v>255</v>
      </c>
      <c r="K486" s="70">
        <f t="shared" si="54"/>
        <v>105.34812992905216</v>
      </c>
      <c r="L486" s="70">
        <f t="shared" si="55"/>
        <v>37.310796016539307</v>
      </c>
      <c r="M486" s="70">
        <f>IF((((0.326*F486^0.818)-(0.398*F486^0.85)/(1-H486)*H486)*(MAX('Max rate concentrations'!$P$3:$P$368)))/F486&gt;0, (((0.326*F486^0.818)-(0.398*F486^0.85)/(1-H486)*H486)*(MAX('Max rate concentrations'!$P$3:$P$368)))/F486, 0)</f>
        <v>0</v>
      </c>
      <c r="N486" s="70">
        <f>IF((((0.326*F486^0.818)-(0.398*F486^0.85)/(1-H486)*H486)*(MAX('Max rate concentrations'!$Q$3:$Q$368)))/F486&gt; 0, (((0.326*F486^0.818)-(0.398*F486^0.85)/(1-H486)*H486)*(MAX('Max rate concentrations'!$Q$3:$Q$368)))/F486, 0)</f>
        <v>0</v>
      </c>
      <c r="O486" s="70">
        <f>((MAX('Max rate concentrations'!$F$3:$F$368))*0.62*6.01*8*(12.3*F486^0.65)*0.079*0.1/F486)*inputs!$E$73/inputs!$E$74</f>
        <v>4.956733131310429</v>
      </c>
      <c r="P486" s="70">
        <f>((MAX('Max rate concentrations'!Y:Y))*0.62*6.01*8*(12.3*F486^0.65)*0.079*0.1/F486)*inputs!$E$73/inputs!$E$74</f>
        <v>1.6522443771034763</v>
      </c>
      <c r="Q486" s="70">
        <f>(inputs!$C$18*11.2*(12.3*F486^0.65)*0.5/F486)*inputs!$E$73/inputs!$E$74</f>
        <v>0.87310516226146173</v>
      </c>
      <c r="R486" s="60">
        <f>(60*379*((F486/1000)^0.8)*3*24*(MAX('Max rate concentrations'!$R$3:$R$368))/F486)*(inputs!$E$73/inputs!$E$75)</f>
        <v>4.4685965182917715E-3</v>
      </c>
      <c r="S486" s="60">
        <f>(IF(inputs!$C$17="aerial",((0.025*0.112*inputs!$C$18/3.3)*(3*60*379*((F486/1000)^0.8))*MAX(inputs!$I$14:$I$16))/F486,((0.0083*0.112*inputs!$C$18/1)*(3*60*379*((F486/1000)^0.8))*MAX(inputs!$I$14:$I$16))/F486))*(inputs!E$75/inputs!$E$73)</f>
        <v>2.4644584341393789E-2</v>
      </c>
      <c r="T486" s="63">
        <f>IF((((inputs!$P$13/(V486/MAX(K486:S486)))^(1/inputs!$O$13))-1)/inputs!$N$13&lt;0, 0, IF((((inputs!$P$13/(V486/MAX(K486:S486)))^(1/inputs!$O$13))-1)/inputs!$N$13&lt;inputs!$I$17, (((inputs!$P$13/(V486/MAX(K486:S486)))^(1/inputs!$O$13))-1)/inputs!$N$13, inputs!$I$17))</f>
        <v>638.57731938145503</v>
      </c>
      <c r="U486" s="63">
        <f>IF((((inputs!$P$13/(X486/MAX(K486:S486)))^(1/inputs!$O$13))-1)/inputs!$N$13&lt;0, 0, IF((((inputs!$P$13/(X486/MAX(K486:S486)))^(1/inputs!$O$13))-1)/inputs!$N$13&lt;inputs!$I$17, (((inputs!$P$13/(X486/MAX(K486:S486)))^(1/inputs!$O$13))-1)/inputs!$N$13, inputs!$I$17))</f>
        <v>24.889298963880503</v>
      </c>
      <c r="V486" s="54">
        <f>inputs!$E$70*(inputs!$F$70/F486)^(0.25)</f>
        <v>0.2889931169498331</v>
      </c>
      <c r="W486" s="54">
        <f>inputs!$E$76*(inputs!$F$76/F486)^(0.25)</f>
        <v>8.6923678854576344E-2</v>
      </c>
      <c r="X486" s="54">
        <f>inputs!$E$72*(inputs!$F$72/F486)^(0.25)</f>
        <v>12.749696336022048</v>
      </c>
      <c r="Y486" s="54" t="s">
        <v>13</v>
      </c>
      <c r="Z486" s="106">
        <f t="shared" si="52"/>
        <v>364.53508319140957</v>
      </c>
      <c r="AA486" s="106">
        <f t="shared" si="53"/>
        <v>1211.961243671014</v>
      </c>
    </row>
    <row r="487" spans="1:27" x14ac:dyDescent="0.25">
      <c r="A487" s="55" t="s">
        <v>602</v>
      </c>
      <c r="B487" s="49" t="s">
        <v>603</v>
      </c>
      <c r="C487" s="21" t="s">
        <v>61</v>
      </c>
      <c r="D487" s="20" t="s">
        <v>454</v>
      </c>
      <c r="E487" s="20">
        <v>36</v>
      </c>
      <c r="F487" s="21">
        <v>92000</v>
      </c>
      <c r="G487" s="21" t="s">
        <v>154</v>
      </c>
      <c r="H487" s="21">
        <v>9.2999999999999999E-2</v>
      </c>
      <c r="I487" s="68">
        <f>MAX('Max rate concentrations'!$G$3:$G$368)</f>
        <v>45</v>
      </c>
      <c r="J487" s="68">
        <f>MAX('Max rate concentrations'!Z:Z)</f>
        <v>21</v>
      </c>
      <c r="K487" s="70">
        <f t="shared" si="54"/>
        <v>1.5244699066359528</v>
      </c>
      <c r="L487" s="70">
        <f t="shared" si="55"/>
        <v>0.71141928976344471</v>
      </c>
      <c r="M487" s="70">
        <f>IF((((0.326*F487^0.818)-(0.398*F487^0.85)/(1-H487)*H487)*(MAX('Max rate concentrations'!$P$3:$P$368)))/F487&gt;0, (((0.326*F487^0.818)-(0.398*F487^0.85)/(1-H487)*H487)*(MAX('Max rate concentrations'!$P$3:$P$368)))/F487, 0)</f>
        <v>2.9063001453987845E-2</v>
      </c>
      <c r="N487" s="70">
        <f>IF((((0.326*F487^0.818)-(0.398*F487^0.85)/(1-H487)*H487)*(MAX('Max rate concentrations'!$Q$3:$Q$368)))/F487&gt; 0, (((0.326*F487^0.818)-(0.398*F487^0.85)/(1-H487)*H487)*(MAX('Max rate concentrations'!$Q$3:$Q$368)))/F487, 0)</f>
        <v>0.11067347114082869</v>
      </c>
      <c r="O487" s="70">
        <f>((MAX('Max rate concentrations'!$F$3:$F$368))*0.62*6.01*8*(12.3*F487^0.65)*0.079*0.1/F487)*inputs!$E$73/inputs!$E$74</f>
        <v>4.956733131310429</v>
      </c>
      <c r="P487" s="70">
        <f>((MAX('Max rate concentrations'!Y:Y))*0.62*6.01*8*(12.3*F487^0.65)*0.079*0.1/F487)*inputs!$E$73/inputs!$E$74</f>
        <v>1.6522443771034763</v>
      </c>
      <c r="Q487" s="70">
        <f>(inputs!$C$18*11.2*(12.3*F487^0.65)*0.5/F487)*inputs!$E$73/inputs!$E$74</f>
        <v>0.87310516226146173</v>
      </c>
      <c r="R487" s="60">
        <f>(60*379*((F487/1000)^0.8)*3*24*(MAX('Max rate concentrations'!$R$3:$R$368))/F487)*(inputs!$E$73/inputs!$E$75)</f>
        <v>4.4685965182917715E-3</v>
      </c>
      <c r="S487" s="60">
        <f>(IF(inputs!$C$17="aerial",((0.025*0.112*inputs!$C$18/3.3)*(3*60*379*((F487/1000)^0.8))*MAX(inputs!$I$14:$I$16))/F487,((0.0083*0.112*inputs!$C$18/1)*(3*60*379*((F487/1000)^0.8))*MAX(inputs!$I$14:$I$16))/F487))*(inputs!E$75/inputs!$E$73)</f>
        <v>2.4644584341393789E-2</v>
      </c>
      <c r="T487" s="63">
        <f>IF((((inputs!$P$13/(V487/MAX(K487:S487)))^(1/inputs!$O$13))-1)/inputs!$N$13&lt;0, 0, IF((((inputs!$P$13/(V487/MAX(K487:S487)))^(1/inputs!$O$13))-1)/inputs!$N$13&lt;inputs!$I$17, (((inputs!$P$13/(V487/MAX(K487:S487)))^(1/inputs!$O$13))-1)/inputs!$N$13, inputs!$I$17))</f>
        <v>49.135394442765701</v>
      </c>
      <c r="U487" s="63">
        <f>IF((((inputs!$P$13/(X487/MAX(K487:S487)))^(1/inputs!$O$13))-1)/inputs!$N$13&lt;0, 0, IF((((inputs!$P$13/(X487/MAX(K487:S487)))^(1/inputs!$O$13))-1)/inputs!$N$13&lt;inputs!$I$17, (((inputs!$P$13/(X487/MAX(K487:S487)))^(1/inputs!$O$13))-1)/inputs!$N$13, inputs!$I$17))</f>
        <v>0</v>
      </c>
      <c r="V487" s="54">
        <f>inputs!$E$70*(inputs!$F$70/F487)^(0.25)</f>
        <v>0.2889931169498331</v>
      </c>
      <c r="W487" s="54">
        <f>inputs!$E$76*(inputs!$F$76/F487)^(0.25)</f>
        <v>8.6923678854576344E-2</v>
      </c>
      <c r="X487" s="54">
        <f>inputs!$E$72*(inputs!$F$72/F487)^(0.25)</f>
        <v>12.749696336022048</v>
      </c>
      <c r="Y487" s="54" t="s">
        <v>13</v>
      </c>
      <c r="Z487" s="106">
        <f t="shared" si="52"/>
        <v>17.151734213001614</v>
      </c>
      <c r="AA487" s="106">
        <f t="shared" si="53"/>
        <v>57.023968573661762</v>
      </c>
    </row>
    <row r="488" spans="1:27" x14ac:dyDescent="0.25">
      <c r="A488" s="55" t="s">
        <v>459</v>
      </c>
      <c r="B488" s="49" t="s">
        <v>460</v>
      </c>
      <c r="C488" s="21" t="s">
        <v>61</v>
      </c>
      <c r="D488" s="20" t="s">
        <v>454</v>
      </c>
      <c r="E488" s="20">
        <v>13</v>
      </c>
      <c r="F488" s="21">
        <v>23000</v>
      </c>
      <c r="G488" s="21" t="s">
        <v>138</v>
      </c>
      <c r="H488" s="21">
        <v>0.68</v>
      </c>
      <c r="I488" s="68">
        <f>MAX('Max rate concentrations'!$L$3:$L$368)</f>
        <v>350.52744091332482</v>
      </c>
      <c r="J488" s="68">
        <f>MAX('Max rate concentrations'!AD:AD)</f>
        <v>242.38599637623525</v>
      </c>
      <c r="K488" s="70">
        <f t="shared" si="54"/>
        <v>43.07768451841612</v>
      </c>
      <c r="L488" s="70">
        <f t="shared" si="55"/>
        <v>29.78776057124519</v>
      </c>
      <c r="M488" s="70">
        <f>IF((((0.326*F488^0.818)-(0.398*F488^0.85)/(1-H488)*H488)*(MAX('Max rate concentrations'!$P$3:$P$368)))/F488&gt;0, (((0.326*F488^0.818)-(0.398*F488^0.85)/(1-H488)*H488)*(MAX('Max rate concentrations'!$P$3:$P$368)))/F488, 0)</f>
        <v>0</v>
      </c>
      <c r="N488" s="70">
        <f>IF((((0.326*F488^0.818)-(0.398*F488^0.85)/(1-H488)*H488)*(MAX('Max rate concentrations'!$Q$3:$Q$368)))/F488&gt; 0, (((0.326*F488^0.818)-(0.398*F488^0.85)/(1-H488)*H488)*(MAX('Max rate concentrations'!$Q$3:$Q$368)))/F488, 0)</f>
        <v>0</v>
      </c>
      <c r="O488" s="70">
        <f>((MAX('Max rate concentrations'!$F$3:$F$368))*0.62*6.01*8*(12.3*F488^0.65)*0.079*0.1/F488)*inputs!$E$73/inputs!$E$74</f>
        <v>8.0522367280104827</v>
      </c>
      <c r="P488" s="70">
        <f>((MAX('Max rate concentrations'!Y:Y))*0.62*6.01*8*(12.3*F488^0.65)*0.079*0.1/F488)*inputs!$E$73/inputs!$E$74</f>
        <v>2.6840789093368276</v>
      </c>
      <c r="Q488" s="70">
        <f>(inputs!$C$18*11.2*(12.3*F488^0.65)*0.5/F488)*inputs!$E$73/inputs!$E$74</f>
        <v>1.4183635206357439</v>
      </c>
      <c r="R488" s="60">
        <f>(60*379*((F488/1000)^0.8)*3*24*(MAX('Max rate concentrations'!$R$3:$R$368))/F488)*(inputs!$E$73/inputs!$E$75)</f>
        <v>5.8963484559382022E-3</v>
      </c>
      <c r="S488" s="60">
        <f>(IF(inputs!$C$17="aerial",((0.025*0.112*inputs!$C$18/3.3)*(3*60*379*((F488/1000)^0.8))*MAX(inputs!$I$14:$I$16))/F488,((0.0083*0.112*inputs!$C$18/1)*(3*60*379*((F488/1000)^0.8))*MAX(inputs!$I$14:$I$16))/F488))*(inputs!E$75/inputs!$E$73)</f>
        <v>3.2518723996178896E-2</v>
      </c>
      <c r="T488" s="63">
        <f>IF((((inputs!$P$13/(V488/MAX(K488:S488)))^(1/inputs!$O$13))-1)/inputs!$N$13&lt;0, 0, IF((((inputs!$P$13/(V488/MAX(K488:S488)))^(1/inputs!$O$13))-1)/inputs!$N$13&lt;inputs!$I$17, (((inputs!$P$13/(V488/MAX(K488:S488)))^(1/inputs!$O$13))-1)/inputs!$N$13, inputs!$I$17))</f>
        <v>230.80465545727066</v>
      </c>
      <c r="U488" s="63">
        <f>IF((((inputs!$P$13/(X488/MAX(K488:S488)))^(1/inputs!$O$13))-1)/inputs!$N$13&lt;0, 0, IF((((inputs!$P$13/(X488/MAX(K488:S488)))^(1/inputs!$O$13))-1)/inputs!$N$13&lt;inputs!$I$17, (((inputs!$P$13/(X488/MAX(K488:S488)))^(1/inputs!$O$13))-1)/inputs!$N$13, inputs!$I$17))</f>
        <v>5.814006559580668</v>
      </c>
      <c r="V488" s="54">
        <f>inputs!$E$70*(inputs!$F$70/F488)^(0.25)</f>
        <v>0.4086979854229279</v>
      </c>
      <c r="W488" s="54">
        <f>inputs!$E$76*(inputs!$F$76/F488)^(0.25)</f>
        <v>0.12292864552750529</v>
      </c>
      <c r="X488" s="54">
        <f>inputs!$E$72*(inputs!$F$72/F488)^(0.25)</f>
        <v>18.030793474540939</v>
      </c>
      <c r="Y488" s="54" t="s">
        <v>13</v>
      </c>
      <c r="Z488" s="106">
        <f t="shared" si="52"/>
        <v>105.40224335541701</v>
      </c>
      <c r="AA488" s="106">
        <f t="shared" si="53"/>
        <v>350.4283670706962</v>
      </c>
    </row>
    <row r="489" spans="1:27" x14ac:dyDescent="0.25">
      <c r="A489" s="55" t="s">
        <v>459</v>
      </c>
      <c r="B489" s="49" t="s">
        <v>460</v>
      </c>
      <c r="C489" s="21" t="s">
        <v>61</v>
      </c>
      <c r="D489" s="20" t="s">
        <v>454</v>
      </c>
      <c r="E489" s="20">
        <v>13</v>
      </c>
      <c r="F489" s="21">
        <v>23000</v>
      </c>
      <c r="G489" s="21" t="s">
        <v>455</v>
      </c>
      <c r="H489" s="21">
        <v>0.68</v>
      </c>
      <c r="I489" s="71">
        <f>MAX('Max rate concentrations'!$K$3:$K$368)</f>
        <v>110.00035859694511</v>
      </c>
      <c r="J489" s="71">
        <f>MAX('Max rate concentrations'!AC:AC)</f>
        <v>38.958460336418057</v>
      </c>
      <c r="K489" s="70">
        <f t="shared" si="54"/>
        <v>13.518373147064258</v>
      </c>
      <c r="L489" s="70">
        <f t="shared" si="55"/>
        <v>4.7877571562519243</v>
      </c>
      <c r="M489" s="70">
        <f>IF((((0.326*F489^0.818)-(0.398*F489^0.85)/(1-H489)*H489)*(MAX('Max rate concentrations'!$P$3:$P$368)))/F489&gt;0, (((0.326*F489^0.818)-(0.398*F489^0.85)/(1-H489)*H489)*(MAX('Max rate concentrations'!$P$3:$P$368)))/F489, 0)</f>
        <v>0</v>
      </c>
      <c r="N489" s="70">
        <f>IF((((0.326*F489^0.818)-(0.398*F489^0.85)/(1-H489)*H489)*(MAX('Max rate concentrations'!$Q$3:$Q$368)))/F489&gt; 0, (((0.326*F489^0.818)-(0.398*F489^0.85)/(1-H489)*H489)*(MAX('Max rate concentrations'!$Q$3:$Q$368)))/F489, 0)</f>
        <v>0</v>
      </c>
      <c r="O489" s="70">
        <f>((MAX('Max rate concentrations'!$F$3:$F$368))*0.62*6.01*8*(12.3*F489^0.65)*0.079*0.1/F489)*inputs!$E$73/inputs!$E$74</f>
        <v>8.0522367280104827</v>
      </c>
      <c r="P489" s="70">
        <f>((MAX('Max rate concentrations'!Y:Y))*0.62*6.01*8*(12.3*F489^0.65)*0.079*0.1/F489)*inputs!$E$73/inputs!$E$74</f>
        <v>2.6840789093368276</v>
      </c>
      <c r="Q489" s="70">
        <f>(inputs!$C$18*11.2*(12.3*F489^0.65)*0.5/F489)*inputs!$E$73/inputs!$E$74</f>
        <v>1.4183635206357439</v>
      </c>
      <c r="R489" s="60">
        <f>(60*379*((F489/1000)^0.8)*3*24*(MAX('Max rate concentrations'!$R$3:$R$368))/F489)*(inputs!$E$73/inputs!$E$75)</f>
        <v>5.8963484559382022E-3</v>
      </c>
      <c r="S489" s="60">
        <f>(IF(inputs!$C$17="aerial",((0.025*0.112*inputs!$C$18/3.3)*(3*60*379*((F489/1000)^0.8))*MAX(inputs!$I$14:$I$16))/F489,((0.0083*0.112*inputs!$C$18/1)*(3*60*379*((F489/1000)^0.8))*MAX(inputs!$I$14:$I$16))/F489))*(inputs!E$75/inputs!$E$73)</f>
        <v>3.2518723996178896E-2</v>
      </c>
      <c r="T489" s="63">
        <f>IF((((inputs!$P$13/(V489/MAX(K489:S489)))^(1/inputs!$O$13))-1)/inputs!$N$13&lt;0, 0, IF((((inputs!$P$13/(V489/MAX(K489:S489)))^(1/inputs!$O$13))-1)/inputs!$N$13&lt;inputs!$I$17, (((inputs!$P$13/(V489/MAX(K489:S489)))^(1/inputs!$O$13))-1)/inputs!$N$13, inputs!$I$17))</f>
        <v>87.230784323465585</v>
      </c>
      <c r="U489" s="63">
        <f>IF((((inputs!$P$13/(X489/MAX(K489:S489)))^(1/inputs!$O$13))-1)/inputs!$N$13&lt;0, 0, IF((((inputs!$P$13/(X489/MAX(K489:S489)))^(1/inputs!$O$13))-1)/inputs!$N$13&lt;inputs!$I$17, (((inputs!$P$13/(X489/MAX(K489:S489)))^(1/inputs!$O$13))-1)/inputs!$N$13, inputs!$I$17))</f>
        <v>0</v>
      </c>
      <c r="V489" s="54">
        <f>inputs!$E$70*(inputs!$F$70/F489)^(0.25)</f>
        <v>0.4086979854229279</v>
      </c>
      <c r="W489" s="54">
        <f>inputs!$E$76*(inputs!$F$76/F489)^(0.25)</f>
        <v>0.12292864552750529</v>
      </c>
      <c r="X489" s="54">
        <f>inputs!$E$72*(inputs!$F$72/F489)^(0.25)</f>
        <v>18.030793474540939</v>
      </c>
      <c r="Y489" s="54" t="s">
        <v>13</v>
      </c>
      <c r="Z489" s="106">
        <f t="shared" si="52"/>
        <v>33.076681630997534</v>
      </c>
      <c r="AA489" s="106">
        <f t="shared" si="53"/>
        <v>109.96926785498114</v>
      </c>
    </row>
    <row r="490" spans="1:27" x14ac:dyDescent="0.25">
      <c r="A490" s="55" t="s">
        <v>459</v>
      </c>
      <c r="B490" s="49" t="s">
        <v>460</v>
      </c>
      <c r="C490" s="21" t="s">
        <v>61</v>
      </c>
      <c r="D490" s="20" t="s">
        <v>454</v>
      </c>
      <c r="E490" s="20">
        <v>13</v>
      </c>
      <c r="F490" s="21">
        <v>23000</v>
      </c>
      <c r="G490" s="21" t="s">
        <v>456</v>
      </c>
      <c r="H490" s="21">
        <v>0.68</v>
      </c>
      <c r="I490" s="68">
        <f>MAX('Max rate concentrations'!$J$3:$J$368)</f>
        <v>686.46486205830786</v>
      </c>
      <c r="J490" s="68">
        <f>MAX('Max rate concentrations'!AB:AB)</f>
        <v>243.122971978984</v>
      </c>
      <c r="K490" s="70">
        <f t="shared" si="54"/>
        <v>84.362344596119499</v>
      </c>
      <c r="L490" s="70">
        <f t="shared" si="55"/>
        <v>29.878330377792317</v>
      </c>
      <c r="M490" s="70">
        <f>IF((((0.326*F490^0.818)-(0.398*F490^0.85)/(1-H490)*H490)*(MAX('Max rate concentrations'!$P$3:$P$368)))/F490&gt;0, (((0.326*F490^0.818)-(0.398*F490^0.85)/(1-H490)*H490)*(MAX('Max rate concentrations'!$P$3:$P$368)))/F490, 0)</f>
        <v>0</v>
      </c>
      <c r="N490" s="70">
        <f>IF((((0.326*F490^0.818)-(0.398*F490^0.85)/(1-H490)*H490)*(MAX('Max rate concentrations'!$Q$3:$Q$368)))/F490&gt; 0, (((0.326*F490^0.818)-(0.398*F490^0.85)/(1-H490)*H490)*(MAX('Max rate concentrations'!$Q$3:$Q$368)))/F490, 0)</f>
        <v>0</v>
      </c>
      <c r="O490" s="70">
        <f>((MAX('Max rate concentrations'!$F$3:$F$368))*0.62*6.01*8*(12.3*F490^0.65)*0.079*0.1/F490)*inputs!$E$73/inputs!$E$74</f>
        <v>8.0522367280104827</v>
      </c>
      <c r="P490" s="70">
        <f>((MAX('Max rate concentrations'!Y:Y))*0.62*6.01*8*(12.3*F490^0.65)*0.079*0.1/F490)*inputs!$E$73/inputs!$E$74</f>
        <v>2.6840789093368276</v>
      </c>
      <c r="Q490" s="70">
        <f>(inputs!$C$18*11.2*(12.3*F490^0.65)*0.5/F490)*inputs!$E$73/inputs!$E$74</f>
        <v>1.4183635206357439</v>
      </c>
      <c r="R490" s="60">
        <f>(60*379*((F490/1000)^0.8)*3*24*(MAX('Max rate concentrations'!$R$3:$R$368))/F490)*(inputs!$E$73/inputs!$E$75)</f>
        <v>5.8963484559382022E-3</v>
      </c>
      <c r="S490" s="60">
        <f>(IF(inputs!$C$17="aerial",((0.025*0.112*inputs!$C$18/3.3)*(3*60*379*((F490/1000)^0.8))*MAX(inputs!$I$14:$I$16))/F490,((0.0083*0.112*inputs!$C$18/1)*(3*60*379*((F490/1000)^0.8))*MAX(inputs!$I$14:$I$16))/F490))*(inputs!E$75/inputs!$E$73)</f>
        <v>3.2518723996178896E-2</v>
      </c>
      <c r="T490" s="63">
        <f>IF((((inputs!$P$13/(V490/MAX(K490:S490)))^(1/inputs!$O$13))-1)/inputs!$N$13&lt;0, 0, IF((((inputs!$P$13/(V490/MAX(K490:S490)))^(1/inputs!$O$13))-1)/inputs!$N$13&lt;inputs!$I$17, (((inputs!$P$13/(V490/MAX(K490:S490)))^(1/inputs!$O$13))-1)/inputs!$N$13, inputs!$I$17))</f>
        <v>401.23318929364359</v>
      </c>
      <c r="U490" s="63">
        <f>IF((((inputs!$P$13/(X490/MAX(K490:S490)))^(1/inputs!$O$13))-1)/inputs!$N$13&lt;0, 0, IF((((inputs!$P$13/(X490/MAX(K490:S490)))^(1/inputs!$O$13))-1)/inputs!$N$13&lt;inputs!$I$17, (((inputs!$P$13/(X490/MAX(K490:S490)))^(1/inputs!$O$13))-1)/inputs!$N$13, inputs!$I$17))</f>
        <v>13.786522631843324</v>
      </c>
      <c r="V490" s="54">
        <f>inputs!$E$70*(inputs!$F$70/F490)^(0.25)</f>
        <v>0.4086979854229279</v>
      </c>
      <c r="W490" s="54">
        <f>inputs!$E$76*(inputs!$F$76/F490)^(0.25)</f>
        <v>0.12292864552750529</v>
      </c>
      <c r="X490" s="54">
        <f>inputs!$E$72*(inputs!$F$72/F490)^(0.25)</f>
        <v>18.030793474540939</v>
      </c>
      <c r="Y490" s="54" t="s">
        <v>13</v>
      </c>
      <c r="Z490" s="106">
        <f t="shared" si="52"/>
        <v>206.41732429588527</v>
      </c>
      <c r="AA490" s="106">
        <f t="shared" si="53"/>
        <v>686.27083812815147</v>
      </c>
    </row>
    <row r="491" spans="1:27" x14ac:dyDescent="0.25">
      <c r="A491" s="55" t="s">
        <v>459</v>
      </c>
      <c r="B491" s="49" t="s">
        <v>461</v>
      </c>
      <c r="C491" s="21" t="s">
        <v>61</v>
      </c>
      <c r="D491" s="20" t="s">
        <v>454</v>
      </c>
      <c r="E491" s="20">
        <v>10484</v>
      </c>
      <c r="F491" s="21">
        <v>23000</v>
      </c>
      <c r="G491" s="21" t="s">
        <v>138</v>
      </c>
      <c r="H491" s="21">
        <v>0.68</v>
      </c>
      <c r="I491" s="68">
        <f>MAX('Max rate concentrations'!$L$3:$L$368)</f>
        <v>350.52744091332482</v>
      </c>
      <c r="J491" s="68">
        <f>MAX('Max rate concentrations'!AD:AD)</f>
        <v>242.38599637623525</v>
      </c>
      <c r="K491" s="70">
        <f t="shared" si="54"/>
        <v>43.07768451841612</v>
      </c>
      <c r="L491" s="70">
        <f t="shared" si="55"/>
        <v>29.78776057124519</v>
      </c>
      <c r="M491" s="70">
        <f>IF((((0.326*F491^0.818)-(0.398*F491^0.85)/(1-H491)*H491)*(MAX('Max rate concentrations'!$P$3:$P$368)))/F491&gt;0, (((0.326*F491^0.818)-(0.398*F491^0.85)/(1-H491)*H491)*(MAX('Max rate concentrations'!$P$3:$P$368)))/F491, 0)</f>
        <v>0</v>
      </c>
      <c r="N491" s="70">
        <f>IF((((0.326*F491^0.818)-(0.398*F491^0.85)/(1-H491)*H491)*(MAX('Max rate concentrations'!$Q$3:$Q$368)))/F491&gt; 0, (((0.326*F491^0.818)-(0.398*F491^0.85)/(1-H491)*H491)*(MAX('Max rate concentrations'!$Q$3:$Q$368)))/F491, 0)</f>
        <v>0</v>
      </c>
      <c r="O491" s="70">
        <f>((MAX('Max rate concentrations'!$F$3:$F$368))*0.62*6.01*8*(12.3*F491^0.65)*0.079*0.1/F491)*inputs!$E$73/inputs!$E$74</f>
        <v>8.0522367280104827</v>
      </c>
      <c r="P491" s="70">
        <f>((MAX('Max rate concentrations'!Y:Y))*0.62*6.01*8*(12.3*F491^0.65)*0.079*0.1/F491)*inputs!$E$73/inputs!$E$74</f>
        <v>2.6840789093368276</v>
      </c>
      <c r="Q491" s="70">
        <f>(inputs!$C$18*11.2*(12.3*F491^0.65)*0.5/F491)*inputs!$E$73/inputs!$E$74</f>
        <v>1.4183635206357439</v>
      </c>
      <c r="R491" s="60">
        <f>(60*379*((F491/1000)^0.8)*3*24*(MAX('Max rate concentrations'!$R$3:$R$368))/F491)*(inputs!$E$73/inputs!$E$75)</f>
        <v>5.8963484559382022E-3</v>
      </c>
      <c r="S491" s="60">
        <f>(IF(inputs!$C$17="aerial",((0.025*0.112*inputs!$C$18/3.3)*(3*60*379*((F491/1000)^0.8))*MAX(inputs!$I$14:$I$16))/F491,((0.0083*0.112*inputs!$C$18/1)*(3*60*379*((F491/1000)^0.8))*MAX(inputs!$I$14:$I$16))/F491))*(inputs!E$75/inputs!$E$73)</f>
        <v>3.2518723996178896E-2</v>
      </c>
      <c r="T491" s="63">
        <f>IF((((inputs!$P$13/(V491/MAX(K491:S491)))^(1/inputs!$O$13))-1)/inputs!$N$13&lt;0, 0, IF((((inputs!$P$13/(V491/MAX(K491:S491)))^(1/inputs!$O$13))-1)/inputs!$N$13&lt;inputs!$I$17, (((inputs!$P$13/(V491/MAX(K491:S491)))^(1/inputs!$O$13))-1)/inputs!$N$13, inputs!$I$17))</f>
        <v>230.80465545727066</v>
      </c>
      <c r="U491" s="63">
        <f>IF((((inputs!$P$13/(X491/MAX(K491:S491)))^(1/inputs!$O$13))-1)/inputs!$N$13&lt;0, 0, IF((((inputs!$P$13/(X491/MAX(K491:S491)))^(1/inputs!$O$13))-1)/inputs!$N$13&lt;inputs!$I$17, (((inputs!$P$13/(X491/MAX(K491:S491)))^(1/inputs!$O$13))-1)/inputs!$N$13, inputs!$I$17))</f>
        <v>5.814006559580668</v>
      </c>
      <c r="V491" s="54">
        <f>inputs!$E$70*(inputs!$F$70/F491)^(0.25)</f>
        <v>0.4086979854229279</v>
      </c>
      <c r="W491" s="54">
        <f>inputs!$E$76*(inputs!$F$76/F491)^(0.25)</f>
        <v>0.12292864552750529</v>
      </c>
      <c r="X491" s="54">
        <f>inputs!$E$72*(inputs!$F$72/F491)^(0.25)</f>
        <v>18.030793474540939</v>
      </c>
      <c r="Y491" s="54" t="s">
        <v>13</v>
      </c>
      <c r="Z491" s="106">
        <f t="shared" si="52"/>
        <v>105.40224335541701</v>
      </c>
      <c r="AA491" s="106">
        <f t="shared" si="53"/>
        <v>350.4283670706962</v>
      </c>
    </row>
    <row r="492" spans="1:27" x14ac:dyDescent="0.25">
      <c r="A492" s="55" t="s">
        <v>459</v>
      </c>
      <c r="B492" s="49" t="s">
        <v>461</v>
      </c>
      <c r="C492" s="21" t="s">
        <v>61</v>
      </c>
      <c r="D492" s="20" t="s">
        <v>454</v>
      </c>
      <c r="E492" s="20">
        <v>10484</v>
      </c>
      <c r="F492" s="21">
        <v>23000</v>
      </c>
      <c r="G492" s="21" t="s">
        <v>455</v>
      </c>
      <c r="H492" s="21">
        <v>0.68</v>
      </c>
      <c r="I492" s="71">
        <f>MAX('Max rate concentrations'!$K$3:$K$368)</f>
        <v>110.00035859694511</v>
      </c>
      <c r="J492" s="71">
        <f>MAX('Max rate concentrations'!AC:AC)</f>
        <v>38.958460336418057</v>
      </c>
      <c r="K492" s="70">
        <f t="shared" si="54"/>
        <v>13.518373147064258</v>
      </c>
      <c r="L492" s="70">
        <f t="shared" si="55"/>
        <v>4.7877571562519243</v>
      </c>
      <c r="M492" s="70">
        <f>IF((((0.326*F492^0.818)-(0.398*F492^0.85)/(1-H492)*H492)*(MAX('Max rate concentrations'!$P$3:$P$368)))/F492&gt;0, (((0.326*F492^0.818)-(0.398*F492^0.85)/(1-H492)*H492)*(MAX('Max rate concentrations'!$P$3:$P$368)))/F492, 0)</f>
        <v>0</v>
      </c>
      <c r="N492" s="70">
        <f>IF((((0.326*F492^0.818)-(0.398*F492^0.85)/(1-H492)*H492)*(MAX('Max rate concentrations'!$Q$3:$Q$368)))/F492&gt; 0, (((0.326*F492^0.818)-(0.398*F492^0.85)/(1-H492)*H492)*(MAX('Max rate concentrations'!$Q$3:$Q$368)))/F492, 0)</f>
        <v>0</v>
      </c>
      <c r="O492" s="70">
        <f>((MAX('Max rate concentrations'!$F$3:$F$368))*0.62*6.01*8*(12.3*F492^0.65)*0.079*0.1/F492)*inputs!$E$73/inputs!$E$74</f>
        <v>8.0522367280104827</v>
      </c>
      <c r="P492" s="70">
        <f>((MAX('Max rate concentrations'!Y:Y))*0.62*6.01*8*(12.3*F492^0.65)*0.079*0.1/F492)*inputs!$E$73/inputs!$E$74</f>
        <v>2.6840789093368276</v>
      </c>
      <c r="Q492" s="70">
        <f>(inputs!$C$18*11.2*(12.3*F492^0.65)*0.5/F492)*inputs!$E$73/inputs!$E$74</f>
        <v>1.4183635206357439</v>
      </c>
      <c r="R492" s="60">
        <f>(60*379*((F492/1000)^0.8)*3*24*(MAX('Max rate concentrations'!$R$3:$R$368))/F492)*(inputs!$E$73/inputs!$E$75)</f>
        <v>5.8963484559382022E-3</v>
      </c>
      <c r="S492" s="60">
        <f>(IF(inputs!$C$17="aerial",((0.025*0.112*inputs!$C$18/3.3)*(3*60*379*((F492/1000)^0.8))*MAX(inputs!$I$14:$I$16))/F492,((0.0083*0.112*inputs!$C$18/1)*(3*60*379*((F492/1000)^0.8))*MAX(inputs!$I$14:$I$16))/F492))*(inputs!E$75/inputs!$E$73)</f>
        <v>3.2518723996178896E-2</v>
      </c>
      <c r="T492" s="63">
        <f>IF((((inputs!$P$13/(V492/MAX(K492:S492)))^(1/inputs!$O$13))-1)/inputs!$N$13&lt;0, 0, IF((((inputs!$P$13/(V492/MAX(K492:S492)))^(1/inputs!$O$13))-1)/inputs!$N$13&lt;inputs!$I$17, (((inputs!$P$13/(V492/MAX(K492:S492)))^(1/inputs!$O$13))-1)/inputs!$N$13, inputs!$I$17))</f>
        <v>87.230784323465585</v>
      </c>
      <c r="U492" s="63">
        <f>IF((((inputs!$P$13/(X492/MAX(K492:S492)))^(1/inputs!$O$13))-1)/inputs!$N$13&lt;0, 0, IF((((inputs!$P$13/(X492/MAX(K492:S492)))^(1/inputs!$O$13))-1)/inputs!$N$13&lt;inputs!$I$17, (((inputs!$P$13/(X492/MAX(K492:S492)))^(1/inputs!$O$13))-1)/inputs!$N$13, inputs!$I$17))</f>
        <v>0</v>
      </c>
      <c r="V492" s="54">
        <f>inputs!$E$70*(inputs!$F$70/F492)^(0.25)</f>
        <v>0.4086979854229279</v>
      </c>
      <c r="W492" s="54">
        <f>inputs!$E$76*(inputs!$F$76/F492)^(0.25)</f>
        <v>0.12292864552750529</v>
      </c>
      <c r="X492" s="54">
        <f>inputs!$E$72*(inputs!$F$72/F492)^(0.25)</f>
        <v>18.030793474540939</v>
      </c>
      <c r="Y492" s="54" t="s">
        <v>13</v>
      </c>
      <c r="Z492" s="106">
        <f t="shared" si="52"/>
        <v>33.076681630997534</v>
      </c>
      <c r="AA492" s="106">
        <f t="shared" si="53"/>
        <v>109.96926785498114</v>
      </c>
    </row>
    <row r="493" spans="1:27" x14ac:dyDescent="0.25">
      <c r="A493" s="55" t="s">
        <v>459</v>
      </c>
      <c r="B493" s="49" t="s">
        <v>461</v>
      </c>
      <c r="C493" s="21" t="s">
        <v>61</v>
      </c>
      <c r="D493" s="20" t="s">
        <v>454</v>
      </c>
      <c r="E493" s="20">
        <v>10484</v>
      </c>
      <c r="F493" s="21">
        <v>23000</v>
      </c>
      <c r="G493" s="21" t="s">
        <v>456</v>
      </c>
      <c r="H493" s="21">
        <v>0.68</v>
      </c>
      <c r="I493" s="68">
        <f>MAX('Max rate concentrations'!$J$3:$J$368)</f>
        <v>686.46486205830786</v>
      </c>
      <c r="J493" s="68">
        <f>MAX('Max rate concentrations'!AB:AB)</f>
        <v>243.122971978984</v>
      </c>
      <c r="K493" s="70">
        <f t="shared" si="54"/>
        <v>84.362344596119499</v>
      </c>
      <c r="L493" s="70">
        <f t="shared" si="55"/>
        <v>29.878330377792317</v>
      </c>
      <c r="M493" s="70">
        <f>IF((((0.326*F493^0.818)-(0.398*F493^0.85)/(1-H493)*H493)*(MAX('Max rate concentrations'!$P$3:$P$368)))/F493&gt;0, (((0.326*F493^0.818)-(0.398*F493^0.85)/(1-H493)*H493)*(MAX('Max rate concentrations'!$P$3:$P$368)))/F493, 0)</f>
        <v>0</v>
      </c>
      <c r="N493" s="70">
        <f>IF((((0.326*F493^0.818)-(0.398*F493^0.85)/(1-H493)*H493)*(MAX('Max rate concentrations'!$Q$3:$Q$368)))/F493&gt; 0, (((0.326*F493^0.818)-(0.398*F493^0.85)/(1-H493)*H493)*(MAX('Max rate concentrations'!$Q$3:$Q$368)))/F493, 0)</f>
        <v>0</v>
      </c>
      <c r="O493" s="70">
        <f>((MAX('Max rate concentrations'!$F$3:$F$368))*0.62*6.01*8*(12.3*F493^0.65)*0.079*0.1/F493)*inputs!$E$73/inputs!$E$74</f>
        <v>8.0522367280104827</v>
      </c>
      <c r="P493" s="70">
        <f>((MAX('Max rate concentrations'!Y:Y))*0.62*6.01*8*(12.3*F493^0.65)*0.079*0.1/F493)*inputs!$E$73/inputs!$E$74</f>
        <v>2.6840789093368276</v>
      </c>
      <c r="Q493" s="70">
        <f>(inputs!$C$18*11.2*(12.3*F493^0.65)*0.5/F493)*inputs!$E$73/inputs!$E$74</f>
        <v>1.4183635206357439</v>
      </c>
      <c r="R493" s="60">
        <f>(60*379*((F493/1000)^0.8)*3*24*(MAX('Max rate concentrations'!$R$3:$R$368))/F493)*(inputs!$E$73/inputs!$E$75)</f>
        <v>5.8963484559382022E-3</v>
      </c>
      <c r="S493" s="60">
        <f>(IF(inputs!$C$17="aerial",((0.025*0.112*inputs!$C$18/3.3)*(3*60*379*((F493/1000)^0.8))*MAX(inputs!$I$14:$I$16))/F493,((0.0083*0.112*inputs!$C$18/1)*(3*60*379*((F493/1000)^0.8))*MAX(inputs!$I$14:$I$16))/F493))*(inputs!E$75/inputs!$E$73)</f>
        <v>3.2518723996178896E-2</v>
      </c>
      <c r="T493" s="63">
        <f>IF((((inputs!$P$13/(V493/MAX(K493:S493)))^(1/inputs!$O$13))-1)/inputs!$N$13&lt;0, 0, IF((((inputs!$P$13/(V493/MAX(K493:S493)))^(1/inputs!$O$13))-1)/inputs!$N$13&lt;inputs!$I$17, (((inputs!$P$13/(V493/MAX(K493:S493)))^(1/inputs!$O$13))-1)/inputs!$N$13, inputs!$I$17))</f>
        <v>401.23318929364359</v>
      </c>
      <c r="U493" s="63">
        <f>IF((((inputs!$P$13/(X493/MAX(K493:S493)))^(1/inputs!$O$13))-1)/inputs!$N$13&lt;0, 0, IF((((inputs!$P$13/(X493/MAX(K493:S493)))^(1/inputs!$O$13))-1)/inputs!$N$13&lt;inputs!$I$17, (((inputs!$P$13/(X493/MAX(K493:S493)))^(1/inputs!$O$13))-1)/inputs!$N$13, inputs!$I$17))</f>
        <v>13.786522631843324</v>
      </c>
      <c r="V493" s="54">
        <f>inputs!$E$70*(inputs!$F$70/F493)^(0.25)</f>
        <v>0.4086979854229279</v>
      </c>
      <c r="W493" s="54">
        <f>inputs!$E$76*(inputs!$F$76/F493)^(0.25)</f>
        <v>0.12292864552750529</v>
      </c>
      <c r="X493" s="54">
        <f>inputs!$E$72*(inputs!$F$72/F493)^(0.25)</f>
        <v>18.030793474540939</v>
      </c>
      <c r="Y493" s="54" t="s">
        <v>13</v>
      </c>
      <c r="Z493" s="106">
        <f t="shared" si="52"/>
        <v>206.41732429588527</v>
      </c>
      <c r="AA493" s="106">
        <f t="shared" si="53"/>
        <v>686.27083812815147</v>
      </c>
    </row>
    <row r="494" spans="1:27" x14ac:dyDescent="0.25">
      <c r="A494" s="55" t="s">
        <v>497</v>
      </c>
      <c r="B494" s="49" t="s">
        <v>498</v>
      </c>
      <c r="C494" s="21" t="s">
        <v>61</v>
      </c>
      <c r="D494" s="20" t="s">
        <v>454</v>
      </c>
      <c r="E494" s="20">
        <v>30</v>
      </c>
      <c r="F494" s="21">
        <v>7000</v>
      </c>
      <c r="G494" s="21" t="s">
        <v>138</v>
      </c>
      <c r="H494" s="21">
        <v>0.68</v>
      </c>
      <c r="I494" s="68">
        <f>MAX('Max rate concentrations'!$L$3:$L$368)</f>
        <v>350.52744091332482</v>
      </c>
      <c r="J494" s="68">
        <f>MAX('Max rate concentrations'!AD:AD)</f>
        <v>242.38599637623525</v>
      </c>
      <c r="K494" s="70">
        <f t="shared" ref="K494:K525" si="56">(((0.235*F494^0.822)/(1-H494)))*I494/F494</f>
        <v>53.236862808755227</v>
      </c>
      <c r="L494" s="70">
        <f t="shared" ref="L494:L525" si="57">(((0.235*F494^0.822)/(1-H494)))*J494/F494</f>
        <v>36.812724282649889</v>
      </c>
      <c r="M494" s="70">
        <f>IF((((0.326*F494^0.818)-(0.398*F494^0.85)/(1-H494)*H494)*(MAX('Max rate concentrations'!$P$3:$P$368)))/F494&gt;0, (((0.326*F494^0.818)-(0.398*F494^0.85)/(1-H494)*H494)*(MAX('Max rate concentrations'!$P$3:$P$368)))/F494, 0)</f>
        <v>0</v>
      </c>
      <c r="N494" s="70">
        <f>IF((((0.326*F494^0.818)-(0.398*F494^0.85)/(1-H494)*H494)*(MAX('Max rate concentrations'!$Q$3:$Q$368)))/F494&gt; 0, (((0.326*F494^0.818)-(0.398*F494^0.85)/(1-H494)*H494)*(MAX('Max rate concentrations'!$Q$3:$Q$368)))/F494, 0)</f>
        <v>0</v>
      </c>
      <c r="O494" s="70">
        <f>((MAX('Max rate concentrations'!$F$3:$F$368))*0.62*6.01*8*(12.3*F494^0.65)*0.079*0.1/F494)*inputs!$E$73/inputs!$E$74</f>
        <v>12.210598823981867</v>
      </c>
      <c r="P494" s="70">
        <f>((MAX('Max rate concentrations'!Y:Y))*0.62*6.01*8*(12.3*F494^0.65)*0.079*0.1/F494)*inputs!$E$73/inputs!$E$74</f>
        <v>4.0701996079939562</v>
      </c>
      <c r="Q494" s="70">
        <f>(inputs!$C$18*11.2*(12.3*F494^0.65)*0.5/F494)*inputs!$E$73/inputs!$E$74</f>
        <v>2.1508393906015635</v>
      </c>
      <c r="R494" s="60">
        <f>(60*379*((F494/1000)^0.8)*3*24*(MAX('Max rate concentrations'!$R$3:$R$368))/F494)*(inputs!$E$73/inputs!$E$75)</f>
        <v>7.4801292175598333E-3</v>
      </c>
      <c r="S494" s="60">
        <f>(IF(inputs!$C$17="aerial",((0.025*0.112*inputs!$C$18/3.3)*(3*60*379*((F494/1000)^0.8))*MAX(inputs!$I$14:$I$16))/F494,((0.0083*0.112*inputs!$C$18/1)*(3*60*379*((F494/1000)^0.8))*MAX(inputs!$I$14:$I$16))/F494))*(inputs!E$75/inputs!$E$73)</f>
        <v>4.1253372201334362E-2</v>
      </c>
      <c r="T494" s="63">
        <f>IF((((inputs!$P$13/(V494/MAX(K494:S494)))^(1/inputs!$O$13))-1)/inputs!$N$13&lt;0, 0, IF((((inputs!$P$13/(V494/MAX(K494:S494)))^(1/inputs!$O$13))-1)/inputs!$N$13&lt;inputs!$I$17, (((inputs!$P$13/(V494/MAX(K494:S494)))^(1/inputs!$O$13))-1)/inputs!$N$13, inputs!$I$17))</f>
        <v>215.00978735594362</v>
      </c>
      <c r="U494" s="63">
        <f>IF((((inputs!$P$13/(X494/MAX(K494:S494)))^(1/inputs!$O$13))-1)/inputs!$N$13&lt;0, 0, IF((((inputs!$P$13/(X494/MAX(K494:S494)))^(1/inputs!$O$13))-1)/inputs!$N$13&lt;inputs!$I$17, (((inputs!$P$13/(X494/MAX(K494:S494)))^(1/inputs!$O$13))-1)/inputs!$N$13, inputs!$I$17))</f>
        <v>5.0751347464956718</v>
      </c>
      <c r="V494" s="54">
        <f>inputs!$E$70*(inputs!$F$70/F494)^(0.25)</f>
        <v>0.55024986664037223</v>
      </c>
      <c r="W494" s="54">
        <f>inputs!$E$76*(inputs!$F$76/F494)^(0.25)</f>
        <v>0.16550478157555576</v>
      </c>
      <c r="X494" s="54">
        <f>inputs!$E$72*(inputs!$F$72/F494)^(0.25)</f>
        <v>24.275729410604654</v>
      </c>
      <c r="Y494" s="54" t="s">
        <v>13</v>
      </c>
      <c r="Z494" s="106">
        <f t="shared" si="52"/>
        <v>96.750342046969251</v>
      </c>
      <c r="AA494" s="106">
        <f t="shared" si="53"/>
        <v>321.66359365545998</v>
      </c>
    </row>
    <row r="495" spans="1:27" x14ac:dyDescent="0.25">
      <c r="A495" s="55" t="s">
        <v>497</v>
      </c>
      <c r="B495" s="49" t="s">
        <v>498</v>
      </c>
      <c r="C495" s="21" t="s">
        <v>61</v>
      </c>
      <c r="D495" s="20" t="s">
        <v>454</v>
      </c>
      <c r="E495" s="20">
        <v>30</v>
      </c>
      <c r="F495" s="21">
        <v>7000</v>
      </c>
      <c r="G495" s="21" t="s">
        <v>456</v>
      </c>
      <c r="H495" s="21">
        <v>0.68</v>
      </c>
      <c r="I495" s="68">
        <f>MAX('Max rate concentrations'!$J$3:$J$368)</f>
        <v>686.46486205830786</v>
      </c>
      <c r="J495" s="68">
        <f>MAX('Max rate concentrations'!AB:AB)</f>
        <v>243.122971978984</v>
      </c>
      <c r="K495" s="70">
        <f t="shared" si="56"/>
        <v>104.25784523233884</v>
      </c>
      <c r="L495" s="70">
        <f t="shared" si="57"/>
        <v>36.924653519786666</v>
      </c>
      <c r="M495" s="70">
        <f>IF((((0.326*F495^0.818)-(0.398*F495^0.85)/(1-H495)*H495)*(MAX('Max rate concentrations'!$P$3:$P$368)))/F495&gt;0, (((0.326*F495^0.818)-(0.398*F495^0.85)/(1-H495)*H495)*(MAX('Max rate concentrations'!$P$3:$P$368)))/F495, 0)</f>
        <v>0</v>
      </c>
      <c r="N495" s="70">
        <f>IF((((0.326*F495^0.818)-(0.398*F495^0.85)/(1-H495)*H495)*(MAX('Max rate concentrations'!$Q$3:$Q$368)))/F495&gt; 0, (((0.326*F495^0.818)-(0.398*F495^0.85)/(1-H495)*H495)*(MAX('Max rate concentrations'!$Q$3:$Q$368)))/F495, 0)</f>
        <v>0</v>
      </c>
      <c r="O495" s="70">
        <f>((MAX('Max rate concentrations'!$F$3:$F$368))*0.62*6.01*8*(12.3*F495^0.65)*0.079*0.1/F495)*inputs!$E$73/inputs!$E$74</f>
        <v>12.210598823981867</v>
      </c>
      <c r="P495" s="70">
        <f>((MAX('Max rate concentrations'!Y:Y))*0.62*6.01*8*(12.3*F495^0.65)*0.079*0.1/F495)*inputs!$E$73/inputs!$E$74</f>
        <v>4.0701996079939562</v>
      </c>
      <c r="Q495" s="70">
        <f>(inputs!$C$18*11.2*(12.3*F495^0.65)*0.5/F495)*inputs!$E$73/inputs!$E$74</f>
        <v>2.1508393906015635</v>
      </c>
      <c r="R495" s="60">
        <f>(60*379*((F495/1000)^0.8)*3*24*(MAX('Max rate concentrations'!$R$3:$R$368))/F495)*(inputs!$E$73/inputs!$E$75)</f>
        <v>7.4801292175598333E-3</v>
      </c>
      <c r="S495" s="60">
        <f>(IF(inputs!$C$17="aerial",((0.025*0.112*inputs!$C$18/3.3)*(3*60*379*((F495/1000)^0.8))*MAX(inputs!$I$14:$I$16))/F495,((0.0083*0.112*inputs!$C$18/1)*(3*60*379*((F495/1000)^0.8))*MAX(inputs!$I$14:$I$16))/F495))*(inputs!E$75/inputs!$E$73)</f>
        <v>4.1253372201334362E-2</v>
      </c>
      <c r="T495" s="63">
        <f>IF((((inputs!$P$13/(V495/MAX(K495:S495)))^(1/inputs!$O$13))-1)/inputs!$N$13&lt;0, 0, IF((((inputs!$P$13/(V495/MAX(K495:S495)))^(1/inputs!$O$13))-1)/inputs!$N$13&lt;inputs!$I$17, (((inputs!$P$13/(V495/MAX(K495:S495)))^(1/inputs!$O$13))-1)/inputs!$N$13, inputs!$I$17))</f>
        <v>374.0335299913371</v>
      </c>
      <c r="U495" s="63">
        <f>IF((((inputs!$P$13/(X495/MAX(K495:S495)))^(1/inputs!$O$13))-1)/inputs!$N$13&lt;0, 0, IF((((inputs!$P$13/(X495/MAX(K495:S495)))^(1/inputs!$O$13))-1)/inputs!$N$13&lt;inputs!$I$17, (((inputs!$P$13/(X495/MAX(K495:S495)))^(1/inputs!$O$13))-1)/inputs!$N$13, inputs!$I$17))</f>
        <v>12.514143435318049</v>
      </c>
      <c r="V495" s="54">
        <f>inputs!$E$70*(inputs!$F$70/F495)^(0.25)</f>
        <v>0.55024986664037223</v>
      </c>
      <c r="W495" s="54">
        <f>inputs!$E$76*(inputs!$F$76/F495)^(0.25)</f>
        <v>0.16550478157555576</v>
      </c>
      <c r="X495" s="54">
        <f>inputs!$E$72*(inputs!$F$72/F495)^(0.25)</f>
        <v>24.275729410604654</v>
      </c>
      <c r="Y495" s="54" t="s">
        <v>13</v>
      </c>
      <c r="Z495" s="106">
        <f t="shared" si="52"/>
        <v>189.47364016442157</v>
      </c>
      <c r="AA495" s="106">
        <f t="shared" si="53"/>
        <v>629.93856878233669</v>
      </c>
    </row>
    <row r="496" spans="1:27" x14ac:dyDescent="0.25">
      <c r="A496" s="55" t="s">
        <v>497</v>
      </c>
      <c r="B496" s="49" t="s">
        <v>498</v>
      </c>
      <c r="C496" s="21" t="s">
        <v>61</v>
      </c>
      <c r="D496" s="20" t="s">
        <v>454</v>
      </c>
      <c r="E496" s="20">
        <v>30</v>
      </c>
      <c r="F496" s="21">
        <v>7000</v>
      </c>
      <c r="G496" s="21" t="s">
        <v>145</v>
      </c>
      <c r="H496" s="21">
        <v>0.66</v>
      </c>
      <c r="I496" s="68">
        <f>MAX('Max rate concentrations'!$M$3:$M$368)</f>
        <v>17.092910873809167</v>
      </c>
      <c r="J496" s="68">
        <f>MAX('Max rate concentrations'!AE:AE)</f>
        <v>11.81956602976166</v>
      </c>
      <c r="K496" s="70">
        <f t="shared" si="56"/>
        <v>2.4433040914041406</v>
      </c>
      <c r="L496" s="70">
        <f t="shared" si="57"/>
        <v>1.6895187866092463</v>
      </c>
      <c r="M496" s="70">
        <f>IF((((0.326*F496^0.818)-(0.398*F496^0.85)/(1-H496)*H496)*(MAX('Max rate concentrations'!$P$3:$P$368)))/F496&gt;0, (((0.326*F496^0.818)-(0.398*F496^0.85)/(1-H496)*H496)*(MAX('Max rate concentrations'!$P$3:$P$368)))/F496, 0)</f>
        <v>0</v>
      </c>
      <c r="N496" s="70">
        <f>IF((((0.326*F496^0.818)-(0.398*F496^0.85)/(1-H496)*H496)*(MAX('Max rate concentrations'!$Q$3:$Q$368)))/F496&gt; 0, (((0.326*F496^0.818)-(0.398*F496^0.85)/(1-H496)*H496)*(MAX('Max rate concentrations'!$Q$3:$Q$368)))/F496, 0)</f>
        <v>0</v>
      </c>
      <c r="O496" s="70">
        <f>((MAX('Max rate concentrations'!$F$3:$F$368))*0.62*6.01*8*(12.3*F496^0.65)*0.079*0.1/F496)*inputs!$E$73/inputs!$E$74</f>
        <v>12.210598823981867</v>
      </c>
      <c r="P496" s="70">
        <f>((MAX('Max rate concentrations'!Y:Y))*0.62*6.01*8*(12.3*F496^0.65)*0.079*0.1/F496)*inputs!$E$73/inputs!$E$74</f>
        <v>4.0701996079939562</v>
      </c>
      <c r="Q496" s="70">
        <f>(inputs!$C$18*11.2*(12.3*F496^0.65)*0.5/F496)*inputs!$E$73/inputs!$E$74</f>
        <v>2.1508393906015635</v>
      </c>
      <c r="R496" s="60">
        <f>(60*379*((F496/1000)^0.8)*3*24*(MAX('Max rate concentrations'!$R$3:$R$368))/F496)*(inputs!$E$73/inputs!$E$75)</f>
        <v>7.4801292175598333E-3</v>
      </c>
      <c r="S496" s="60">
        <f>(IF(inputs!$C$17="aerial",((0.025*0.112*inputs!$C$18/3.3)*(3*60*379*((F496/1000)^0.8))*MAX(inputs!$I$14:$I$16))/F496,((0.0083*0.112*inputs!$C$18/1)*(3*60*379*((F496/1000)^0.8))*MAX(inputs!$I$14:$I$16))/F496))*(inputs!E$75/inputs!$E$73)</f>
        <v>4.1253372201334362E-2</v>
      </c>
      <c r="T496" s="63">
        <f>IF((((inputs!$P$13/(V496/MAX(K496:S496)))^(1/inputs!$O$13))-1)/inputs!$N$13&lt;0, 0, IF((((inputs!$P$13/(V496/MAX(K496:S496)))^(1/inputs!$O$13))-1)/inputs!$N$13&lt;inputs!$I$17, (((inputs!$P$13/(V496/MAX(K496:S496)))^(1/inputs!$O$13))-1)/inputs!$N$13, inputs!$I$17))</f>
        <v>61.725089128378883</v>
      </c>
      <c r="U496" s="63">
        <f>IF((((inputs!$P$13/(X496/MAX(K496:S496)))^(1/inputs!$O$13))-1)/inputs!$N$13&lt;0, 0, IF((((inputs!$P$13/(X496/MAX(K496:S496)))^(1/inputs!$O$13))-1)/inputs!$N$13&lt;inputs!$I$17, (((inputs!$P$13/(X496/MAX(K496:S496)))^(1/inputs!$O$13))-1)/inputs!$N$13, inputs!$I$17))</f>
        <v>0</v>
      </c>
      <c r="V496" s="54">
        <f>inputs!$E$70*(inputs!$F$70/F496)^(0.25)</f>
        <v>0.55024986664037223</v>
      </c>
      <c r="W496" s="54">
        <f>inputs!$E$76*(inputs!$F$76/F496)^(0.25)</f>
        <v>0.16550478157555576</v>
      </c>
      <c r="X496" s="54">
        <f>inputs!$E$72*(inputs!$F$72/F496)^(0.25)</f>
        <v>24.275729410604654</v>
      </c>
      <c r="Y496" s="54" t="s">
        <v>13</v>
      </c>
      <c r="Z496" s="106">
        <f t="shared" si="52"/>
        <v>22.191007330061506</v>
      </c>
      <c r="AA496" s="106">
        <f t="shared" si="53"/>
        <v>73.777921747883283</v>
      </c>
    </row>
    <row r="497" spans="1:27" x14ac:dyDescent="0.25">
      <c r="A497" s="55" t="s">
        <v>462</v>
      </c>
      <c r="B497" s="49" t="s">
        <v>463</v>
      </c>
      <c r="C497" s="21" t="s">
        <v>61</v>
      </c>
      <c r="D497" s="20" t="s">
        <v>454</v>
      </c>
      <c r="E497" s="20">
        <v>14</v>
      </c>
      <c r="F497" s="21">
        <v>19000</v>
      </c>
      <c r="G497" s="21" t="s">
        <v>455</v>
      </c>
      <c r="H497" s="21">
        <v>0.68</v>
      </c>
      <c r="I497" s="71">
        <f>MAX('Max rate concentrations'!$K$3:$K$368)</f>
        <v>110.00035859694511</v>
      </c>
      <c r="J497" s="71">
        <f>MAX('Max rate concentrations'!AC:AC)</f>
        <v>38.958460336418057</v>
      </c>
      <c r="K497" s="70">
        <f t="shared" si="56"/>
        <v>13.986010305973837</v>
      </c>
      <c r="L497" s="70">
        <f t="shared" si="57"/>
        <v>4.9533786500324002</v>
      </c>
      <c r="M497" s="70">
        <f>IF((((0.326*F497^0.818)-(0.398*F497^0.85)/(1-H497)*H497)*(MAX('Max rate concentrations'!$P$3:$P$368)))/F497&gt;0, (((0.326*F497^0.818)-(0.398*F497^0.85)/(1-H497)*H497)*(MAX('Max rate concentrations'!$P$3:$P$368)))/F497, 0)</f>
        <v>0</v>
      </c>
      <c r="N497" s="70">
        <f>IF((((0.326*F497^0.818)-(0.398*F497^0.85)/(1-H497)*H497)*(MAX('Max rate concentrations'!$Q$3:$Q$368)))/F497&gt; 0, (((0.326*F497^0.818)-(0.398*F497^0.85)/(1-H497)*H497)*(MAX('Max rate concentrations'!$Q$3:$Q$368)))/F497, 0)</f>
        <v>0</v>
      </c>
      <c r="O497" s="70">
        <f>((MAX('Max rate concentrations'!$F$3:$F$368))*0.62*6.01*8*(12.3*F497^0.65)*0.079*0.1/F497)*inputs!$E$73/inputs!$E$74</f>
        <v>8.6090953231503882</v>
      </c>
      <c r="P497" s="70">
        <f>((MAX('Max rate concentrations'!Y:Y))*0.62*6.01*8*(12.3*F497^0.65)*0.079*0.1/F497)*inputs!$E$73/inputs!$E$74</f>
        <v>2.8696984410501298</v>
      </c>
      <c r="Q497" s="70">
        <f>(inputs!$C$18*11.2*(12.3*F497^0.65)*0.5/F497)*inputs!$E$73/inputs!$E$74</f>
        <v>1.5164515357025912</v>
      </c>
      <c r="R497" s="60">
        <f>(60*379*((F497/1000)^0.8)*3*24*(MAX('Max rate concentrations'!$R$3:$R$368))/F497)*(inputs!$E$73/inputs!$E$75)</f>
        <v>6.1260140437437282E-3</v>
      </c>
      <c r="S497" s="60">
        <f>(IF(inputs!$C$17="aerial",((0.025*0.112*inputs!$C$18/3.3)*(3*60*379*((F497/1000)^0.8))*MAX(inputs!$I$14:$I$16))/F497,((0.0083*0.112*inputs!$C$18/1)*(3*60*379*((F497/1000)^0.8))*MAX(inputs!$I$14:$I$16))/F497))*(inputs!E$75/inputs!$E$73)</f>
        <v>3.3785343823191767E-2</v>
      </c>
      <c r="T497" s="63">
        <f>IF((((inputs!$P$13/(V497/MAX(K497:S497)))^(1/inputs!$O$13))-1)/inputs!$N$13&lt;0, 0, IF((((inputs!$P$13/(V497/MAX(K497:S497)))^(1/inputs!$O$13))-1)/inputs!$N$13&lt;inputs!$I$17, (((inputs!$P$13/(V497/MAX(K497:S497)))^(1/inputs!$O$13))-1)/inputs!$N$13, inputs!$I$17))</f>
        <v>86.207976108157794</v>
      </c>
      <c r="U497" s="63">
        <f>IF((((inputs!$P$13/(X497/MAX(K497:S497)))^(1/inputs!$O$13))-1)/inputs!$N$13&lt;0, 0, IF((((inputs!$P$13/(X497/MAX(K497:S497)))^(1/inputs!$O$13))-1)/inputs!$N$13&lt;inputs!$I$17, (((inputs!$P$13/(X497/MAX(K497:S497)))^(1/inputs!$O$13))-1)/inputs!$N$13, inputs!$I$17))</f>
        <v>0</v>
      </c>
      <c r="V497" s="54">
        <f>inputs!$E$70*(inputs!$F$70/F497)^(0.25)</f>
        <v>0.42869266796927868</v>
      </c>
      <c r="W497" s="54">
        <f>inputs!$E$76*(inputs!$F$76/F497)^(0.25)</f>
        <v>0.12894266891602738</v>
      </c>
      <c r="X497" s="54">
        <f>inputs!$E$72*(inputs!$F$72/F497)^(0.25)</f>
        <v>18.91291182217406</v>
      </c>
      <c r="Y497" s="54" t="s">
        <v>13</v>
      </c>
      <c r="Z497" s="106">
        <f t="shared" si="52"/>
        <v>32.624794756172768</v>
      </c>
      <c r="AA497" s="106">
        <f t="shared" si="53"/>
        <v>108.46689015784284</v>
      </c>
    </row>
    <row r="498" spans="1:27" x14ac:dyDescent="0.25">
      <c r="A498" s="55" t="s">
        <v>462</v>
      </c>
      <c r="B498" s="49" t="s">
        <v>463</v>
      </c>
      <c r="C498" s="21" t="s">
        <v>61</v>
      </c>
      <c r="D498" s="20" t="s">
        <v>454</v>
      </c>
      <c r="E498" s="20">
        <v>14</v>
      </c>
      <c r="F498" s="21">
        <v>19000</v>
      </c>
      <c r="G498" s="21" t="s">
        <v>456</v>
      </c>
      <c r="H498" s="21">
        <v>0.68</v>
      </c>
      <c r="I498" s="68">
        <f>MAX('Max rate concentrations'!$J$3:$J$368)</f>
        <v>686.46486205830786</v>
      </c>
      <c r="J498" s="68">
        <f>MAX('Max rate concentrations'!AB:AB)</f>
        <v>243.122971978984</v>
      </c>
      <c r="K498" s="70">
        <f t="shared" si="56"/>
        <v>87.28066669869051</v>
      </c>
      <c r="L498" s="70">
        <f t="shared" si="57"/>
        <v>30.911902789119559</v>
      </c>
      <c r="M498" s="70">
        <f>IF((((0.326*F498^0.818)-(0.398*F498^0.85)/(1-H498)*H498)*(MAX('Max rate concentrations'!$P$3:$P$368)))/F498&gt;0, (((0.326*F498^0.818)-(0.398*F498^0.85)/(1-H498)*H498)*(MAX('Max rate concentrations'!$P$3:$P$368)))/F498, 0)</f>
        <v>0</v>
      </c>
      <c r="N498" s="70">
        <f>IF((((0.326*F498^0.818)-(0.398*F498^0.85)/(1-H498)*H498)*(MAX('Max rate concentrations'!$Q$3:$Q$368)))/F498&gt; 0, (((0.326*F498^0.818)-(0.398*F498^0.85)/(1-H498)*H498)*(MAX('Max rate concentrations'!$Q$3:$Q$368)))/F498, 0)</f>
        <v>0</v>
      </c>
      <c r="O498" s="70">
        <f>((MAX('Max rate concentrations'!$F$3:$F$368))*0.62*6.01*8*(12.3*F498^0.65)*0.079*0.1/F498)*inputs!$E$73/inputs!$E$74</f>
        <v>8.6090953231503882</v>
      </c>
      <c r="P498" s="70">
        <f>((MAX('Max rate concentrations'!Y:Y))*0.62*6.01*8*(12.3*F498^0.65)*0.079*0.1/F498)*inputs!$E$73/inputs!$E$74</f>
        <v>2.8696984410501298</v>
      </c>
      <c r="Q498" s="70">
        <f>(inputs!$C$18*11.2*(12.3*F498^0.65)*0.5/F498)*inputs!$E$73/inputs!$E$74</f>
        <v>1.5164515357025912</v>
      </c>
      <c r="R498" s="60">
        <f>(60*379*((F498/1000)^0.8)*3*24*(MAX('Max rate concentrations'!$R$3:$R$368))/F498)*(inputs!$E$73/inputs!$E$75)</f>
        <v>6.1260140437437282E-3</v>
      </c>
      <c r="S498" s="60">
        <f>(IF(inputs!$C$17="aerial",((0.025*0.112*inputs!$C$18/3.3)*(3*60*379*((F498/1000)^0.8))*MAX(inputs!$I$14:$I$16))/F498,((0.0083*0.112*inputs!$C$18/1)*(3*60*379*((F498/1000)^0.8))*MAX(inputs!$I$14:$I$16))/F498))*(inputs!E$75/inputs!$E$73)</f>
        <v>3.3785343823191767E-2</v>
      </c>
      <c r="T498" s="63">
        <f>IF((((inputs!$P$13/(V498/MAX(K498:S498)))^(1/inputs!$O$13))-1)/inputs!$N$13&lt;0, 0, IF((((inputs!$P$13/(V498/MAX(K498:S498)))^(1/inputs!$O$13))-1)/inputs!$N$13&lt;inputs!$I$17, (((inputs!$P$13/(V498/MAX(K498:S498)))^(1/inputs!$O$13))-1)/inputs!$N$13, inputs!$I$17))</f>
        <v>396.73676464085287</v>
      </c>
      <c r="U498" s="63">
        <f>IF((((inputs!$P$13/(X498/MAX(K498:S498)))^(1/inputs!$O$13))-1)/inputs!$N$13&lt;0, 0, IF((((inputs!$P$13/(X498/MAX(K498:S498)))^(1/inputs!$O$13))-1)/inputs!$N$13&lt;inputs!$I$17, (((inputs!$P$13/(X498/MAX(K498:S498)))^(1/inputs!$O$13))-1)/inputs!$N$13, inputs!$I$17))</f>
        <v>13.576183335921744</v>
      </c>
      <c r="V498" s="54">
        <f>inputs!$E$70*(inputs!$F$70/F498)^(0.25)</f>
        <v>0.42869266796927868</v>
      </c>
      <c r="W498" s="54">
        <f>inputs!$E$76*(inputs!$F$76/F498)^(0.25)</f>
        <v>0.12894266891602738</v>
      </c>
      <c r="X498" s="54">
        <f>inputs!$E$72*(inputs!$F$72/F498)^(0.25)</f>
        <v>18.91291182217406</v>
      </c>
      <c r="Y498" s="54" t="s">
        <v>13</v>
      </c>
      <c r="Z498" s="106">
        <f t="shared" si="52"/>
        <v>203.59729293281333</v>
      </c>
      <c r="AA498" s="106">
        <f t="shared" si="53"/>
        <v>676.89514597787002</v>
      </c>
    </row>
    <row r="499" spans="1:27" x14ac:dyDescent="0.25">
      <c r="A499" s="55" t="s">
        <v>462</v>
      </c>
      <c r="B499" s="49" t="s">
        <v>464</v>
      </c>
      <c r="C499" s="21" t="s">
        <v>61</v>
      </c>
      <c r="D499" s="20" t="s">
        <v>454</v>
      </c>
      <c r="E499" s="20">
        <v>4369</v>
      </c>
      <c r="F499" s="21">
        <v>19000</v>
      </c>
      <c r="G499" s="21" t="s">
        <v>455</v>
      </c>
      <c r="H499" s="21">
        <v>0.68</v>
      </c>
      <c r="I499" s="71">
        <f>MAX('Max rate concentrations'!$K$3:$K$368)</f>
        <v>110.00035859694511</v>
      </c>
      <c r="J499" s="71">
        <f>MAX('Max rate concentrations'!AC:AC)</f>
        <v>38.958460336418057</v>
      </c>
      <c r="K499" s="70">
        <f t="shared" si="56"/>
        <v>13.986010305973837</v>
      </c>
      <c r="L499" s="70">
        <f t="shared" si="57"/>
        <v>4.9533786500324002</v>
      </c>
      <c r="M499" s="70">
        <f>IF((((0.326*F499^0.818)-(0.398*F499^0.85)/(1-H499)*H499)*(MAX('Max rate concentrations'!$P$3:$P$368)))/F499&gt;0, (((0.326*F499^0.818)-(0.398*F499^0.85)/(1-H499)*H499)*(MAX('Max rate concentrations'!$P$3:$P$368)))/F499, 0)</f>
        <v>0</v>
      </c>
      <c r="N499" s="70">
        <f>IF((((0.326*F499^0.818)-(0.398*F499^0.85)/(1-H499)*H499)*(MAX('Max rate concentrations'!$Q$3:$Q$368)))/F499&gt; 0, (((0.326*F499^0.818)-(0.398*F499^0.85)/(1-H499)*H499)*(MAX('Max rate concentrations'!$Q$3:$Q$368)))/F499, 0)</f>
        <v>0</v>
      </c>
      <c r="O499" s="70">
        <f>((MAX('Max rate concentrations'!$F$3:$F$368))*0.62*6.01*8*(12.3*F499^0.65)*0.079*0.1/F499)*inputs!$E$73/inputs!$E$74</f>
        <v>8.6090953231503882</v>
      </c>
      <c r="P499" s="70">
        <f>((MAX('Max rate concentrations'!Y:Y))*0.62*6.01*8*(12.3*F499^0.65)*0.079*0.1/F499)*inputs!$E$73/inputs!$E$74</f>
        <v>2.8696984410501298</v>
      </c>
      <c r="Q499" s="70">
        <f>(inputs!$C$18*11.2*(12.3*F499^0.65)*0.5/F499)*inputs!$E$73/inputs!$E$74</f>
        <v>1.5164515357025912</v>
      </c>
      <c r="R499" s="60">
        <f>(60*379*((F499/1000)^0.8)*3*24*(MAX('Max rate concentrations'!$R$3:$R$368))/F499)*(inputs!$E$73/inputs!$E$75)</f>
        <v>6.1260140437437282E-3</v>
      </c>
      <c r="S499" s="60">
        <f>(IF(inputs!$C$17="aerial",((0.025*0.112*inputs!$C$18/3.3)*(3*60*379*((F499/1000)^0.8))*MAX(inputs!$I$14:$I$16))/F499,((0.0083*0.112*inputs!$C$18/1)*(3*60*379*((F499/1000)^0.8))*MAX(inputs!$I$14:$I$16))/F499))*(inputs!E$75/inputs!$E$73)</f>
        <v>3.3785343823191767E-2</v>
      </c>
      <c r="T499" s="63">
        <f>IF((((inputs!$P$13/(V499/MAX(K499:S499)))^(1/inputs!$O$13))-1)/inputs!$N$13&lt;0, 0, IF((((inputs!$P$13/(V499/MAX(K499:S499)))^(1/inputs!$O$13))-1)/inputs!$N$13&lt;inputs!$I$17, (((inputs!$P$13/(V499/MAX(K499:S499)))^(1/inputs!$O$13))-1)/inputs!$N$13, inputs!$I$17))</f>
        <v>86.207976108157794</v>
      </c>
      <c r="U499" s="63">
        <f>IF((((inputs!$P$13/(X499/MAX(K499:S499)))^(1/inputs!$O$13))-1)/inputs!$N$13&lt;0, 0, IF((((inputs!$P$13/(X499/MAX(K499:S499)))^(1/inputs!$O$13))-1)/inputs!$N$13&lt;inputs!$I$17, (((inputs!$P$13/(X499/MAX(K499:S499)))^(1/inputs!$O$13))-1)/inputs!$N$13, inputs!$I$17))</f>
        <v>0</v>
      </c>
      <c r="V499" s="54">
        <f>inputs!$E$70*(inputs!$F$70/F499)^(0.25)</f>
        <v>0.42869266796927868</v>
      </c>
      <c r="W499" s="54">
        <f>inputs!$E$76*(inputs!$F$76/F499)^(0.25)</f>
        <v>0.12894266891602738</v>
      </c>
      <c r="X499" s="54">
        <f>inputs!$E$72*(inputs!$F$72/F499)^(0.25)</f>
        <v>18.91291182217406</v>
      </c>
      <c r="Y499" s="54" t="s">
        <v>13</v>
      </c>
      <c r="Z499" s="106">
        <f t="shared" si="52"/>
        <v>32.624794756172768</v>
      </c>
      <c r="AA499" s="106">
        <f t="shared" si="53"/>
        <v>108.46689015784284</v>
      </c>
    </row>
    <row r="500" spans="1:27" x14ac:dyDescent="0.25">
      <c r="A500" s="55" t="s">
        <v>462</v>
      </c>
      <c r="B500" s="49" t="s">
        <v>464</v>
      </c>
      <c r="C500" s="21" t="s">
        <v>61</v>
      </c>
      <c r="D500" s="20" t="s">
        <v>454</v>
      </c>
      <c r="E500" s="20">
        <v>4369</v>
      </c>
      <c r="F500" s="21">
        <v>19000</v>
      </c>
      <c r="G500" s="21" t="s">
        <v>456</v>
      </c>
      <c r="H500" s="21">
        <v>0.68</v>
      </c>
      <c r="I500" s="68">
        <f>MAX('Max rate concentrations'!$J$3:$J$368)</f>
        <v>686.46486205830786</v>
      </c>
      <c r="J500" s="68">
        <f>MAX('Max rate concentrations'!AB:AB)</f>
        <v>243.122971978984</v>
      </c>
      <c r="K500" s="70">
        <f t="shared" si="56"/>
        <v>87.28066669869051</v>
      </c>
      <c r="L500" s="70">
        <f t="shared" si="57"/>
        <v>30.911902789119559</v>
      </c>
      <c r="M500" s="70">
        <f>IF((((0.326*F500^0.818)-(0.398*F500^0.85)/(1-H500)*H500)*(MAX('Max rate concentrations'!$P$3:$P$368)))/F500&gt;0, (((0.326*F500^0.818)-(0.398*F500^0.85)/(1-H500)*H500)*(MAX('Max rate concentrations'!$P$3:$P$368)))/F500, 0)</f>
        <v>0</v>
      </c>
      <c r="N500" s="70">
        <f>IF((((0.326*F500^0.818)-(0.398*F500^0.85)/(1-H500)*H500)*(MAX('Max rate concentrations'!$Q$3:$Q$368)))/F500&gt; 0, (((0.326*F500^0.818)-(0.398*F500^0.85)/(1-H500)*H500)*(MAX('Max rate concentrations'!$Q$3:$Q$368)))/F500, 0)</f>
        <v>0</v>
      </c>
      <c r="O500" s="70">
        <f>((MAX('Max rate concentrations'!$F$3:$F$368))*0.62*6.01*8*(12.3*F500^0.65)*0.079*0.1/F500)*inputs!$E$73/inputs!$E$74</f>
        <v>8.6090953231503882</v>
      </c>
      <c r="P500" s="70">
        <f>((MAX('Max rate concentrations'!Y:Y))*0.62*6.01*8*(12.3*F500^0.65)*0.079*0.1/F500)*inputs!$E$73/inputs!$E$74</f>
        <v>2.8696984410501298</v>
      </c>
      <c r="Q500" s="70">
        <f>(inputs!$C$18*11.2*(12.3*F500^0.65)*0.5/F500)*inputs!$E$73/inputs!$E$74</f>
        <v>1.5164515357025912</v>
      </c>
      <c r="R500" s="60">
        <f>(60*379*((F500/1000)^0.8)*3*24*(MAX('Max rate concentrations'!$R$3:$R$368))/F500)*(inputs!$E$73/inputs!$E$75)</f>
        <v>6.1260140437437282E-3</v>
      </c>
      <c r="S500" s="60">
        <f>(IF(inputs!$C$17="aerial",((0.025*0.112*inputs!$C$18/3.3)*(3*60*379*((F500/1000)^0.8))*MAX(inputs!$I$14:$I$16))/F500,((0.0083*0.112*inputs!$C$18/1)*(3*60*379*((F500/1000)^0.8))*MAX(inputs!$I$14:$I$16))/F500))*(inputs!E$75/inputs!$E$73)</f>
        <v>3.3785343823191767E-2</v>
      </c>
      <c r="T500" s="63">
        <f>IF((((inputs!$P$13/(V500/MAX(K500:S500)))^(1/inputs!$O$13))-1)/inputs!$N$13&lt;0, 0, IF((((inputs!$P$13/(V500/MAX(K500:S500)))^(1/inputs!$O$13))-1)/inputs!$N$13&lt;inputs!$I$17, (((inputs!$P$13/(V500/MAX(K500:S500)))^(1/inputs!$O$13))-1)/inputs!$N$13, inputs!$I$17))</f>
        <v>396.73676464085287</v>
      </c>
      <c r="U500" s="63">
        <f>IF((((inputs!$P$13/(X500/MAX(K500:S500)))^(1/inputs!$O$13))-1)/inputs!$N$13&lt;0, 0, IF((((inputs!$P$13/(X500/MAX(K500:S500)))^(1/inputs!$O$13))-1)/inputs!$N$13&lt;inputs!$I$17, (((inputs!$P$13/(X500/MAX(K500:S500)))^(1/inputs!$O$13))-1)/inputs!$N$13, inputs!$I$17))</f>
        <v>13.576183335921744</v>
      </c>
      <c r="V500" s="54">
        <f>inputs!$E$70*(inputs!$F$70/F500)^(0.25)</f>
        <v>0.42869266796927868</v>
      </c>
      <c r="W500" s="54">
        <f>inputs!$E$76*(inputs!$F$76/F500)^(0.25)</f>
        <v>0.12894266891602738</v>
      </c>
      <c r="X500" s="54">
        <f>inputs!$E$72*(inputs!$F$72/F500)^(0.25)</f>
        <v>18.91291182217406</v>
      </c>
      <c r="Y500" s="54" t="s">
        <v>13</v>
      </c>
      <c r="Z500" s="106">
        <f t="shared" si="52"/>
        <v>203.59729293281333</v>
      </c>
      <c r="AA500" s="106">
        <f t="shared" si="53"/>
        <v>676.89514597787002</v>
      </c>
    </row>
    <row r="501" spans="1:27" x14ac:dyDescent="0.25">
      <c r="A501" s="55" t="s">
        <v>609</v>
      </c>
      <c r="B501" s="49" t="s">
        <v>610</v>
      </c>
      <c r="C501" s="21" t="s">
        <v>61</v>
      </c>
      <c r="D501" s="20" t="s">
        <v>454</v>
      </c>
      <c r="E501" s="20">
        <v>6</v>
      </c>
      <c r="F501" s="21">
        <v>2100</v>
      </c>
      <c r="G501" s="21" t="s">
        <v>142</v>
      </c>
      <c r="H501" s="21">
        <v>0.69</v>
      </c>
      <c r="I501" s="68">
        <f>MAX('Max rate concentrations'!$H$3:$H$368)</f>
        <v>282</v>
      </c>
      <c r="J501" s="68">
        <f>MAX('Max rate concentrations'!AA:AA)</f>
        <v>195</v>
      </c>
      <c r="K501" s="70">
        <f t="shared" si="56"/>
        <v>54.777252125949673</v>
      </c>
      <c r="L501" s="70">
        <f t="shared" si="57"/>
        <v>37.877887108369457</v>
      </c>
      <c r="M501" s="70">
        <f>IF((((0.326*F501^0.818)-(0.398*F501^0.85)/(1-H501)*H501)*(MAX('Max rate concentrations'!$P$3:$P$368)))/F501&gt;0, (((0.326*F501^0.818)-(0.398*F501^0.85)/(1-H501)*H501)*(MAX('Max rate concentrations'!$P$3:$P$368)))/F501, 0)</f>
        <v>0</v>
      </c>
      <c r="N501" s="70">
        <f>IF((((0.326*F501^0.818)-(0.398*F501^0.85)/(1-H501)*H501)*(MAX('Max rate concentrations'!$Q$3:$Q$368)))/F501&gt; 0, (((0.326*F501^0.818)-(0.398*F501^0.85)/(1-H501)*H501)*(MAX('Max rate concentrations'!$Q$3:$Q$368)))/F501, 0)</f>
        <v>0</v>
      </c>
      <c r="O501" s="70">
        <f>((MAX('Max rate concentrations'!$F$3:$F$368))*0.62*6.01*8*(12.3*F501^0.65)*0.079*0.1/F501)*inputs!$E$73/inputs!$E$74</f>
        <v>18.609920749727259</v>
      </c>
      <c r="P501" s="70">
        <f>((MAX('Max rate concentrations'!Y:Y))*0.62*6.01*8*(12.3*F501^0.65)*0.079*0.1/F501)*inputs!$E$73/inputs!$E$74</f>
        <v>6.2033069165757535</v>
      </c>
      <c r="Q501" s="70">
        <f>(inputs!$C$18*11.2*(12.3*F501^0.65)*0.5/F501)*inputs!$E$73/inputs!$E$74</f>
        <v>3.2780497649200475</v>
      </c>
      <c r="R501" s="60">
        <f>(60*379*((F501/1000)^0.8)*3*24*(MAX('Max rate concentrations'!$R$3:$R$368))/F501)*(inputs!$E$73/inputs!$E$75)</f>
        <v>9.5166664796003594E-3</v>
      </c>
      <c r="S501" s="60">
        <f>(IF(inputs!$C$17="aerial",((0.025*0.112*inputs!$C$18/3.3)*(3*60*379*((F501/1000)^0.8))*MAX(inputs!$I$14:$I$16))/F501,((0.0083*0.112*inputs!$C$18/1)*(3*60*379*((F501/1000)^0.8))*MAX(inputs!$I$14:$I$16))/F501))*(inputs!E$75/inputs!$E$73)</f>
        <v>5.2485000322893917E-2</v>
      </c>
      <c r="T501" s="63">
        <f>IF((((inputs!$P$13/(V501/MAX(K501:S501)))^(1/inputs!$O$13))-1)/inputs!$N$13&lt;0, 0, IF((((inputs!$P$13/(V501/MAX(K501:S501)))^(1/inputs!$O$13))-1)/inputs!$N$13&lt;inputs!$I$17, (((inputs!$P$13/(V501/MAX(K501:S501)))^(1/inputs!$O$13))-1)/inputs!$N$13, inputs!$I$17))</f>
        <v>171.45745558007977</v>
      </c>
      <c r="U501" s="63">
        <f>IF((((inputs!$P$13/(X501/MAX(K501:S501)))^(1/inputs!$O$13))-1)/inputs!$N$13&lt;0, 0, IF((((inputs!$P$13/(X501/MAX(K501:S501)))^(1/inputs!$O$13))-1)/inputs!$N$13&lt;inputs!$I$17, (((inputs!$P$13/(X501/MAX(K501:S501)))^(1/inputs!$O$13))-1)/inputs!$N$13, inputs!$I$17))</f>
        <v>3.0377900762601406</v>
      </c>
      <c r="V501" s="54">
        <f>inputs!$E$70*(inputs!$F$70/F501)^(0.25)</f>
        <v>0.74349770498702084</v>
      </c>
      <c r="W501" s="54">
        <f>inputs!$E$76*(inputs!$F$76/F501)^(0.25)</f>
        <v>0.22363008648619534</v>
      </c>
      <c r="X501" s="54">
        <f>inputs!$E$72*(inputs!$F$72/F501)^(0.25)</f>
        <v>32.801369337662685</v>
      </c>
      <c r="Y501" s="54" t="s">
        <v>13</v>
      </c>
      <c r="Z501" s="106">
        <f t="shared" si="52"/>
        <v>73.675078965988078</v>
      </c>
      <c r="AA501" s="106">
        <f t="shared" si="53"/>
        <v>244.94580754603012</v>
      </c>
    </row>
    <row r="502" spans="1:27" x14ac:dyDescent="0.25">
      <c r="A502" s="55" t="s">
        <v>609</v>
      </c>
      <c r="B502" s="49" t="s">
        <v>610</v>
      </c>
      <c r="C502" s="21" t="s">
        <v>61</v>
      </c>
      <c r="D502" s="20" t="s">
        <v>454</v>
      </c>
      <c r="E502" s="20">
        <v>6</v>
      </c>
      <c r="F502" s="21">
        <v>2100</v>
      </c>
      <c r="G502" s="21" t="s">
        <v>138</v>
      </c>
      <c r="H502" s="21">
        <v>0.68</v>
      </c>
      <c r="I502" s="68">
        <f>MAX('Max rate concentrations'!$L$3:$L$368)</f>
        <v>350.52744091332482</v>
      </c>
      <c r="J502" s="68">
        <f>MAX('Max rate concentrations'!AD:AD)</f>
        <v>242.38599637623525</v>
      </c>
      <c r="K502" s="70">
        <f t="shared" si="56"/>
        <v>65.960641649730391</v>
      </c>
      <c r="L502" s="70">
        <f t="shared" si="57"/>
        <v>45.611081991834837</v>
      </c>
      <c r="M502" s="70">
        <f>IF((((0.326*F502^0.818)-(0.398*F502^0.85)/(1-H502)*H502)*(MAX('Max rate concentrations'!$P$3:$P$368)))/F502&gt;0, (((0.326*F502^0.818)-(0.398*F502^0.85)/(1-H502)*H502)*(MAX('Max rate concentrations'!$P$3:$P$368)))/F502, 0)</f>
        <v>0</v>
      </c>
      <c r="N502" s="70">
        <f>IF((((0.326*F502^0.818)-(0.398*F502^0.85)/(1-H502)*H502)*(MAX('Max rate concentrations'!$Q$3:$Q$368)))/F502&gt; 0, (((0.326*F502^0.818)-(0.398*F502^0.85)/(1-H502)*H502)*(MAX('Max rate concentrations'!$Q$3:$Q$368)))/F502, 0)</f>
        <v>0</v>
      </c>
      <c r="O502" s="70">
        <f>((MAX('Max rate concentrations'!$F$3:$F$368))*0.62*6.01*8*(12.3*F502^0.65)*0.079*0.1/F502)*inputs!$E$73/inputs!$E$74</f>
        <v>18.609920749727259</v>
      </c>
      <c r="P502" s="70">
        <f>((MAX('Max rate concentrations'!Y:Y))*0.62*6.01*8*(12.3*F502^0.65)*0.079*0.1/F502)*inputs!$E$73/inputs!$E$74</f>
        <v>6.2033069165757535</v>
      </c>
      <c r="Q502" s="70">
        <f>(inputs!$C$18*11.2*(12.3*F502^0.65)*0.5/F502)*inputs!$E$73/inputs!$E$74</f>
        <v>3.2780497649200475</v>
      </c>
      <c r="R502" s="60">
        <f>(60*379*((F502/1000)^0.8)*3*24*(MAX('Max rate concentrations'!$R$3:$R$368))/F502)*(inputs!$E$73/inputs!$E$75)</f>
        <v>9.5166664796003594E-3</v>
      </c>
      <c r="S502" s="60">
        <f>(IF(inputs!$C$17="aerial",((0.025*0.112*inputs!$C$18/3.3)*(3*60*379*((F502/1000)^0.8))*MAX(inputs!$I$14:$I$16))/F502,((0.0083*0.112*inputs!$C$18/1)*(3*60*379*((F502/1000)^0.8))*MAX(inputs!$I$14:$I$16))/F502))*(inputs!E$75/inputs!$E$73)</f>
        <v>5.2485000322893917E-2</v>
      </c>
      <c r="T502" s="63">
        <f>IF((((inputs!$P$13/(V502/MAX(K502:S502)))^(1/inputs!$O$13))-1)/inputs!$N$13&lt;0, 0, IF((((inputs!$P$13/(V502/MAX(K502:S502)))^(1/inputs!$O$13))-1)/inputs!$N$13&lt;inputs!$I$17, (((inputs!$P$13/(V502/MAX(K502:S502)))^(1/inputs!$O$13))-1)/inputs!$N$13, inputs!$I$17))</f>
        <v>200.09979581167298</v>
      </c>
      <c r="U502" s="63">
        <f>IF((((inputs!$P$13/(X502/MAX(K502:S502)))^(1/inputs!$O$13))-1)/inputs!$N$13&lt;0, 0, IF((((inputs!$P$13/(X502/MAX(K502:S502)))^(1/inputs!$O$13))-1)/inputs!$N$13&lt;inputs!$I$17, (((inputs!$P$13/(X502/MAX(K502:S502)))^(1/inputs!$O$13))-1)/inputs!$N$13, inputs!$I$17))</f>
        <v>4.3776567799356583</v>
      </c>
      <c r="V502" s="54">
        <f>inputs!$E$70*(inputs!$F$70/F502)^(0.25)</f>
        <v>0.74349770498702084</v>
      </c>
      <c r="W502" s="54">
        <f>inputs!$E$76*(inputs!$F$76/F502)^(0.25)</f>
        <v>0.22363008648619534</v>
      </c>
      <c r="X502" s="54">
        <f>inputs!$E$72*(inputs!$F$72/F502)^(0.25)</f>
        <v>32.801369337662685</v>
      </c>
      <c r="Y502" s="54" t="s">
        <v>13</v>
      </c>
      <c r="Z502" s="106">
        <f t="shared" si="52"/>
        <v>88.716671493803545</v>
      </c>
      <c r="AA502" s="106">
        <f t="shared" si="53"/>
        <v>294.95423753637965</v>
      </c>
    </row>
    <row r="503" spans="1:27" x14ac:dyDescent="0.25">
      <c r="A503" s="55" t="s">
        <v>609</v>
      </c>
      <c r="B503" s="49" t="s">
        <v>610</v>
      </c>
      <c r="C503" s="21" t="s">
        <v>61</v>
      </c>
      <c r="D503" s="20" t="s">
        <v>454</v>
      </c>
      <c r="E503" s="20">
        <v>6</v>
      </c>
      <c r="F503" s="21">
        <v>2100</v>
      </c>
      <c r="G503" s="21" t="s">
        <v>169</v>
      </c>
      <c r="H503" s="21">
        <v>0.79</v>
      </c>
      <c r="I503" s="68">
        <f>MAX('Max rate concentrations'!$D$3:$D$368)</f>
        <v>720</v>
      </c>
      <c r="J503" s="68">
        <f>MAX('Max rate concentrations'!W:W)</f>
        <v>255</v>
      </c>
      <c r="K503" s="70">
        <f t="shared" si="56"/>
        <v>206.45529676649733</v>
      </c>
      <c r="L503" s="70">
        <f t="shared" si="57"/>
        <v>73.119584271467815</v>
      </c>
      <c r="M503" s="70">
        <f>IF((((0.326*F503^0.818)-(0.398*F503^0.85)/(1-H503)*H503)*(MAX('Max rate concentrations'!$P$3:$P$368)))/F503&gt;0, (((0.326*F503^0.818)-(0.398*F503^0.85)/(1-H503)*H503)*(MAX('Max rate concentrations'!$P$3:$P$368)))/F503, 0)</f>
        <v>0</v>
      </c>
      <c r="N503" s="70">
        <f>IF((((0.326*F503^0.818)-(0.398*F503^0.85)/(1-H503)*H503)*(MAX('Max rate concentrations'!$Q$3:$Q$368)))/F503&gt; 0, (((0.326*F503^0.818)-(0.398*F503^0.85)/(1-H503)*H503)*(MAX('Max rate concentrations'!$Q$3:$Q$368)))/F503, 0)</f>
        <v>0</v>
      </c>
      <c r="O503" s="70">
        <f>((MAX('Max rate concentrations'!$F$3:$F$368))*0.62*6.01*8*(12.3*F503^0.65)*0.079*0.1/F503)*inputs!$E$73/inputs!$E$74</f>
        <v>18.609920749727259</v>
      </c>
      <c r="P503" s="70">
        <f>((MAX('Max rate concentrations'!Y:Y))*0.62*6.01*8*(12.3*F503^0.65)*0.079*0.1/F503)*inputs!$E$73/inputs!$E$74</f>
        <v>6.2033069165757535</v>
      </c>
      <c r="Q503" s="70">
        <f>(inputs!$C$18*11.2*(12.3*F503^0.65)*0.5/F503)*inputs!$E$73/inputs!$E$74</f>
        <v>3.2780497649200475</v>
      </c>
      <c r="R503" s="60">
        <f>(60*379*((F503/1000)^0.8)*3*24*(MAX('Max rate concentrations'!$R$3:$R$368))/F503)*(inputs!$E$73/inputs!$E$75)</f>
        <v>9.5166664796003594E-3</v>
      </c>
      <c r="S503" s="60">
        <f>(IF(inputs!$C$17="aerial",((0.025*0.112*inputs!$C$18/3.3)*(3*60*379*((F503/1000)^0.8))*MAX(inputs!$I$14:$I$16))/F503,((0.0083*0.112*inputs!$C$18/1)*(3*60*379*((F503/1000)^0.8))*MAX(inputs!$I$14:$I$16))/F503))*(inputs!E$75/inputs!$E$73)</f>
        <v>5.2485000322893917E-2</v>
      </c>
      <c r="T503" s="63">
        <f>IF((((inputs!$P$13/(V503/MAX(K503:S503)))^(1/inputs!$O$13))-1)/inputs!$N$13&lt;0, 0, IF((((inputs!$P$13/(V503/MAX(K503:S503)))^(1/inputs!$O$13))-1)/inputs!$N$13&lt;inputs!$I$17, (((inputs!$P$13/(V503/MAX(K503:S503)))^(1/inputs!$O$13))-1)/inputs!$N$13, inputs!$I$17))</f>
        <v>511.39734446793454</v>
      </c>
      <c r="U503" s="63">
        <f>IF((((inputs!$P$13/(X503/MAX(K503:S503)))^(1/inputs!$O$13))-1)/inputs!$N$13&lt;0, 0, IF((((inputs!$P$13/(X503/MAX(K503:S503)))^(1/inputs!$O$13))-1)/inputs!$N$13&lt;inputs!$I$17, (((inputs!$P$13/(X503/MAX(K503:S503)))^(1/inputs!$O$13))-1)/inputs!$N$13, inputs!$I$17))</f>
        <v>18.93991730082233</v>
      </c>
      <c r="V503" s="54">
        <f>inputs!$E$70*(inputs!$F$70/F503)^(0.25)</f>
        <v>0.74349770498702084</v>
      </c>
      <c r="W503" s="54">
        <f>inputs!$E$76*(inputs!$F$76/F503)^(0.25)</f>
        <v>0.22363008648619534</v>
      </c>
      <c r="X503" s="54">
        <f>inputs!$E$72*(inputs!$F$72/F503)^(0.25)</f>
        <v>32.801369337662685</v>
      </c>
      <c r="Y503" s="54" t="s">
        <v>13</v>
      </c>
      <c r="Z503" s="106">
        <f t="shared" si="52"/>
        <v>277.68114868639896</v>
      </c>
      <c r="AA503" s="106">
        <f t="shared" si="53"/>
        <v>923.20000412485547</v>
      </c>
    </row>
    <row r="504" spans="1:27" x14ac:dyDescent="0.25">
      <c r="A504" s="55" t="s">
        <v>609</v>
      </c>
      <c r="B504" s="49" t="s">
        <v>610</v>
      </c>
      <c r="C504" s="21" t="s">
        <v>61</v>
      </c>
      <c r="D504" s="20" t="s">
        <v>454</v>
      </c>
      <c r="E504" s="20">
        <v>6</v>
      </c>
      <c r="F504" s="21">
        <v>2100</v>
      </c>
      <c r="G504" s="21" t="s">
        <v>177</v>
      </c>
      <c r="H504" s="21">
        <v>0.85</v>
      </c>
      <c r="I504" s="68">
        <f>MAX('Max rate concentrations'!$F$3:$F$368)</f>
        <v>405</v>
      </c>
      <c r="J504" s="68">
        <f>MAX('Max rate concentrations'!Y:Y)</f>
        <v>135</v>
      </c>
      <c r="K504" s="70">
        <f t="shared" si="56"/>
        <v>162.58354620361658</v>
      </c>
      <c r="L504" s="70">
        <f t="shared" si="57"/>
        <v>54.194515401205528</v>
      </c>
      <c r="M504" s="70">
        <f>IF((((0.326*F504^0.818)-(0.398*F504^0.85)/(1-H504)*H504)*(MAX('Max rate concentrations'!$P$3:$P$368)))/F504&gt;0, (((0.326*F504^0.818)-(0.398*F504^0.85)/(1-H504)*H504)*(MAX('Max rate concentrations'!$P$3:$P$368)))/F504, 0)</f>
        <v>0</v>
      </c>
      <c r="N504" s="70">
        <f>IF((((0.326*F504^0.818)-(0.398*F504^0.85)/(1-H504)*H504)*(MAX('Max rate concentrations'!$Q$3:$Q$368)))/F504&gt; 0, (((0.326*F504^0.818)-(0.398*F504^0.85)/(1-H504)*H504)*(MAX('Max rate concentrations'!$Q$3:$Q$368)))/F504, 0)</f>
        <v>0</v>
      </c>
      <c r="O504" s="70">
        <f>((MAX('Max rate concentrations'!$F$3:$F$368))*0.62*6.01*8*(12.3*F504^0.65)*0.079*0.1/F504)*inputs!$E$73/inputs!$E$74</f>
        <v>18.609920749727259</v>
      </c>
      <c r="P504" s="70">
        <f>((MAX('Max rate concentrations'!Y:Y))*0.62*6.01*8*(12.3*F504^0.65)*0.079*0.1/F504)*inputs!$E$73/inputs!$E$74</f>
        <v>6.2033069165757535</v>
      </c>
      <c r="Q504" s="70">
        <f>(inputs!$C$18*11.2*(12.3*F504^0.65)*0.5/F504)*inputs!$E$73/inputs!$E$74</f>
        <v>3.2780497649200475</v>
      </c>
      <c r="R504" s="60">
        <f>(60*379*((F504/1000)^0.8)*3*24*(MAX('Max rate concentrations'!$R$3:$R$368))/F504)*(inputs!$E$73/inputs!$E$75)</f>
        <v>9.5166664796003594E-3</v>
      </c>
      <c r="S504" s="60">
        <f>(IF(inputs!$C$17="aerial",((0.025*0.112*inputs!$C$18/3.3)*(3*60*379*((F504/1000)^0.8))*MAX(inputs!$I$14:$I$16))/F504,((0.0083*0.112*inputs!$C$18/1)*(3*60*379*((F504/1000)^0.8))*MAX(inputs!$I$14:$I$16))/F504))*(inputs!E$75/inputs!$E$73)</f>
        <v>5.2485000322893917E-2</v>
      </c>
      <c r="T504" s="63">
        <f>IF((((inputs!$P$13/(V504/MAX(K504:S504)))^(1/inputs!$O$13))-1)/inputs!$N$13&lt;0, 0, IF((((inputs!$P$13/(V504/MAX(K504:S504)))^(1/inputs!$O$13))-1)/inputs!$N$13&lt;inputs!$I$17, (((inputs!$P$13/(V504/MAX(K504:S504)))^(1/inputs!$O$13))-1)/inputs!$N$13, inputs!$I$17))</f>
        <v>420.64182587467525</v>
      </c>
      <c r="U504" s="63">
        <f>IF((((inputs!$P$13/(X504/MAX(K504:S504)))^(1/inputs!$O$13))-1)/inputs!$N$13&lt;0, 0, IF((((inputs!$P$13/(X504/MAX(K504:S504)))^(1/inputs!$O$13))-1)/inputs!$N$13&lt;inputs!$I$17, (((inputs!$P$13/(X504/MAX(K504:S504)))^(1/inputs!$O$13))-1)/inputs!$N$13, inputs!$I$17))</f>
        <v>14.694443762183752</v>
      </c>
      <c r="V504" s="54">
        <f>inputs!$E$70*(inputs!$F$70/F504)^(0.25)</f>
        <v>0.74349770498702084</v>
      </c>
      <c r="W504" s="54">
        <f>inputs!$E$76*(inputs!$F$76/F504)^(0.25)</f>
        <v>0.22363008648619534</v>
      </c>
      <c r="X504" s="54">
        <f>inputs!$E$72*(inputs!$F$72/F504)^(0.25)</f>
        <v>32.801369337662685</v>
      </c>
      <c r="Y504" s="54" t="s">
        <v>13</v>
      </c>
      <c r="Z504" s="106">
        <f t="shared" si="52"/>
        <v>218.67390459053911</v>
      </c>
      <c r="AA504" s="106">
        <f t="shared" si="53"/>
        <v>727.02000324832341</v>
      </c>
    </row>
    <row r="505" spans="1:27" x14ac:dyDescent="0.25">
      <c r="A505" s="55" t="s">
        <v>609</v>
      </c>
      <c r="B505" s="49" t="s">
        <v>610</v>
      </c>
      <c r="C505" s="21" t="s">
        <v>61</v>
      </c>
      <c r="D505" s="20" t="s">
        <v>454</v>
      </c>
      <c r="E505" s="20">
        <v>6</v>
      </c>
      <c r="F505" s="21">
        <v>2100</v>
      </c>
      <c r="G505" s="21" t="s">
        <v>456</v>
      </c>
      <c r="H505" s="21">
        <v>0.68</v>
      </c>
      <c r="I505" s="68">
        <f>MAX('Max rate concentrations'!$J$3:$J$368)</f>
        <v>686.46486205830786</v>
      </c>
      <c r="J505" s="68">
        <f>MAX('Max rate concentrations'!AB:AB)</f>
        <v>243.122971978984</v>
      </c>
      <c r="K505" s="70">
        <f t="shared" si="56"/>
        <v>129.17580048335211</v>
      </c>
      <c r="L505" s="70">
        <f t="shared" si="57"/>
        <v>45.749762671187199</v>
      </c>
      <c r="M505" s="70">
        <f>IF((((0.326*F505^0.818)-(0.398*F505^0.85)/(1-H505)*H505)*(MAX('Max rate concentrations'!$P$3:$P$368)))/F505&gt;0, (((0.326*F505^0.818)-(0.398*F505^0.85)/(1-H505)*H505)*(MAX('Max rate concentrations'!$P$3:$P$368)))/F505, 0)</f>
        <v>0</v>
      </c>
      <c r="N505" s="70">
        <f>IF((((0.326*F505^0.818)-(0.398*F505^0.85)/(1-H505)*H505)*(MAX('Max rate concentrations'!$Q$3:$Q$368)))/F505&gt; 0, (((0.326*F505^0.818)-(0.398*F505^0.85)/(1-H505)*H505)*(MAX('Max rate concentrations'!$Q$3:$Q$368)))/F505, 0)</f>
        <v>0</v>
      </c>
      <c r="O505" s="70">
        <f>((MAX('Max rate concentrations'!$F$3:$F$368))*0.62*6.01*8*(12.3*F505^0.65)*0.079*0.1/F505)*inputs!$E$73/inputs!$E$74</f>
        <v>18.609920749727259</v>
      </c>
      <c r="P505" s="70">
        <f>((MAX('Max rate concentrations'!Y:Y))*0.62*6.01*8*(12.3*F505^0.65)*0.079*0.1/F505)*inputs!$E$73/inputs!$E$74</f>
        <v>6.2033069165757535</v>
      </c>
      <c r="Q505" s="70">
        <f>(inputs!$C$18*11.2*(12.3*F505^0.65)*0.5/F505)*inputs!$E$73/inputs!$E$74</f>
        <v>3.2780497649200475</v>
      </c>
      <c r="R505" s="60">
        <f>(60*379*((F505/1000)^0.8)*3*24*(MAX('Max rate concentrations'!$R$3:$R$368))/F505)*(inputs!$E$73/inputs!$E$75)</f>
        <v>9.5166664796003594E-3</v>
      </c>
      <c r="S505" s="60">
        <f>(IF(inputs!$C$17="aerial",((0.025*0.112*inputs!$C$18/3.3)*(3*60*379*((F505/1000)^0.8))*MAX(inputs!$I$14:$I$16))/F505,((0.0083*0.112*inputs!$C$18/1)*(3*60*379*((F505/1000)^0.8))*MAX(inputs!$I$14:$I$16))/F505))*(inputs!E$75/inputs!$E$73)</f>
        <v>5.2485000322893917E-2</v>
      </c>
      <c r="T505" s="63">
        <f>IF((((inputs!$P$13/(V505/MAX(K505:S505)))^(1/inputs!$O$13))-1)/inputs!$N$13&lt;0, 0, IF((((inputs!$P$13/(V505/MAX(K505:S505)))^(1/inputs!$O$13))-1)/inputs!$N$13&lt;inputs!$I$17, (((inputs!$P$13/(V505/MAX(K505:S505)))^(1/inputs!$O$13))-1)/inputs!$N$13, inputs!$I$17))</f>
        <v>348.35767834111959</v>
      </c>
      <c r="U505" s="63">
        <f>IF((((inputs!$P$13/(X505/MAX(K505:S505)))^(1/inputs!$O$13))-1)/inputs!$N$13&lt;0, 0, IF((((inputs!$P$13/(X505/MAX(K505:S505)))^(1/inputs!$O$13))-1)/inputs!$N$13&lt;inputs!$I$17, (((inputs!$P$13/(X505/MAX(K505:S505)))^(1/inputs!$O$13))-1)/inputs!$N$13, inputs!$I$17))</f>
        <v>11.313046791801042</v>
      </c>
      <c r="V505" s="54">
        <f>inputs!$E$70*(inputs!$F$70/F505)^(0.25)</f>
        <v>0.74349770498702084</v>
      </c>
      <c r="W505" s="54">
        <f>inputs!$E$76*(inputs!$F$76/F505)^(0.25)</f>
        <v>0.22363008648619534</v>
      </c>
      <c r="X505" s="54">
        <f>inputs!$E$72*(inputs!$F$72/F505)^(0.25)</f>
        <v>32.801369337662685</v>
      </c>
      <c r="Y505" s="54" t="s">
        <v>13</v>
      </c>
      <c r="Z505" s="106">
        <f t="shared" si="52"/>
        <v>173.74068489640746</v>
      </c>
      <c r="AA505" s="106">
        <f t="shared" si="53"/>
        <v>577.63158130033685</v>
      </c>
    </row>
    <row r="506" spans="1:27" x14ac:dyDescent="0.25">
      <c r="A506" s="55" t="s">
        <v>596</v>
      </c>
      <c r="B506" s="49" t="s">
        <v>597</v>
      </c>
      <c r="C506" s="21" t="s">
        <v>61</v>
      </c>
      <c r="D506" s="20" t="s">
        <v>454</v>
      </c>
      <c r="E506" s="20">
        <v>1236</v>
      </c>
      <c r="F506" s="21">
        <v>1400</v>
      </c>
      <c r="G506" s="21" t="s">
        <v>182</v>
      </c>
      <c r="H506" s="21">
        <v>0.85</v>
      </c>
      <c r="I506" s="68">
        <f>MAX('Max rate concentrations'!$M$3:$M$368)</f>
        <v>17.092910873809167</v>
      </c>
      <c r="J506" s="68">
        <f>MAX('Max rate concentrations'!AE:AE)</f>
        <v>11.81956602976166</v>
      </c>
      <c r="K506" s="70">
        <f t="shared" si="56"/>
        <v>7.3753365201714898</v>
      </c>
      <c r="L506" s="70">
        <f t="shared" si="57"/>
        <v>5.099966742671775</v>
      </c>
      <c r="M506" s="70">
        <f>IF((((0.326*F506^0.818)-(0.398*F506^0.85)/(1-H506)*H506)*(MAX('Max rate concentrations'!$P$3:$P$368)))/F506&gt;0, (((0.326*F506^0.818)-(0.398*F506^0.85)/(1-H506)*H506)*(MAX('Max rate concentrations'!$P$3:$P$368)))/F506, 0)</f>
        <v>0</v>
      </c>
      <c r="N506" s="70">
        <f>IF((((0.326*F506^0.818)-(0.398*F506^0.85)/(1-H506)*H506)*(MAX('Max rate concentrations'!$Q$3:$Q$368)))/F506&gt; 0, (((0.326*F506^0.818)-(0.398*F506^0.85)/(1-H506)*H506)*(MAX('Max rate concentrations'!$Q$3:$Q$368)))/F506, 0)</f>
        <v>0</v>
      </c>
      <c r="O506" s="70">
        <f>((MAX('Max rate concentrations'!$F$3:$F$368))*0.62*6.01*8*(12.3*F506^0.65)*0.079*0.1/F506)*inputs!$E$73/inputs!$E$74</f>
        <v>21.447489523759263</v>
      </c>
      <c r="P506" s="70">
        <f>((MAX('Max rate concentrations'!Y:Y))*0.62*6.01*8*(12.3*F506^0.65)*0.079*0.1/F506)*inputs!$E$73/inputs!$E$74</f>
        <v>7.1491631745864215</v>
      </c>
      <c r="Q506" s="70">
        <f>(inputs!$C$18*11.2*(12.3*F506^0.65)*0.5/F506)*inputs!$E$73/inputs!$E$74</f>
        <v>3.7778741208510853</v>
      </c>
      <c r="R506" s="60">
        <f>(60*379*((F506/1000)^0.8)*3*24*(MAX('Max rate concentrations'!$R$3:$R$368))/F506)*(inputs!$E$73/inputs!$E$75)</f>
        <v>1.0320556153029972E-2</v>
      </c>
      <c r="S506" s="60">
        <f>(IF(inputs!$C$17="aerial",((0.025*0.112*inputs!$C$18/3.3)*(3*60*379*((F506/1000)^0.8))*MAX(inputs!$I$14:$I$16))/F506,((0.0083*0.112*inputs!$C$18/1)*(3*60*379*((F506/1000)^0.8))*MAX(inputs!$I$14:$I$16))/F506))*(inputs!E$75/inputs!$E$73)</f>
        <v>5.6918501261480535E-2</v>
      </c>
      <c r="T506" s="63">
        <f>IF((((inputs!$P$13/(V506/MAX(K506:S506)))^(1/inputs!$O$13))-1)/inputs!$N$13&lt;0, 0, IF((((inputs!$P$13/(V506/MAX(K506:S506)))^(1/inputs!$O$13))-1)/inputs!$N$13&lt;inputs!$I$17, (((inputs!$P$13/(V506/MAX(K506:S506)))^(1/inputs!$O$13))-1)/inputs!$N$13, inputs!$I$17))</f>
        <v>71.031450320726151</v>
      </c>
      <c r="U506" s="63">
        <f>IF((((inputs!$P$13/(X506/MAX(K506:S506)))^(1/inputs!$O$13))-1)/inputs!$N$13&lt;0, 0, IF((((inputs!$P$13/(X506/MAX(K506:S506)))^(1/inputs!$O$13))-1)/inputs!$N$13&lt;inputs!$I$17, (((inputs!$P$13/(X506/MAX(K506:S506)))^(1/inputs!$O$13))-1)/inputs!$N$13, inputs!$I$17))</f>
        <v>0</v>
      </c>
      <c r="V506" s="54">
        <f>inputs!$E$70*(inputs!$F$70/F506)^(0.25)</f>
        <v>0.82281546744781953</v>
      </c>
      <c r="W506" s="54">
        <f>inputs!$E$76*(inputs!$F$76/F506)^(0.25)</f>
        <v>0.24748737341529164</v>
      </c>
      <c r="X506" s="54">
        <f>inputs!$E$72*(inputs!$F$72/F506)^(0.25)</f>
        <v>36.300682387403803</v>
      </c>
      <c r="Y506" s="54" t="s">
        <v>13</v>
      </c>
      <c r="Z506" s="106">
        <f t="shared" si="52"/>
        <v>26.065977576095332</v>
      </c>
      <c r="AA506" s="106">
        <f t="shared" si="53"/>
        <v>86.660944466729205</v>
      </c>
    </row>
    <row r="507" spans="1:27" x14ac:dyDescent="0.25">
      <c r="A507" s="55" t="s">
        <v>596</v>
      </c>
      <c r="B507" s="49" t="s">
        <v>597</v>
      </c>
      <c r="C507" s="21" t="s">
        <v>61</v>
      </c>
      <c r="D507" s="20" t="s">
        <v>454</v>
      </c>
      <c r="E507" s="20">
        <v>1236</v>
      </c>
      <c r="F507" s="21">
        <v>1400</v>
      </c>
      <c r="G507" s="21" t="s">
        <v>142</v>
      </c>
      <c r="H507" s="21">
        <v>0.69</v>
      </c>
      <c r="I507" s="68">
        <f>MAX('Max rate concentrations'!$H$3:$H$368)</f>
        <v>282</v>
      </c>
      <c r="J507" s="68">
        <f>MAX('Max rate concentrations'!AA:AA)</f>
        <v>195</v>
      </c>
      <c r="K507" s="70">
        <f t="shared" si="56"/>
        <v>58.876839135895686</v>
      </c>
      <c r="L507" s="70">
        <f t="shared" si="57"/>
        <v>40.71270791311936</v>
      </c>
      <c r="M507" s="70">
        <f>IF((((0.326*F507^0.818)-(0.398*F507^0.85)/(1-H507)*H507)*(MAX('Max rate concentrations'!$P$3:$P$368)))/F507&gt;0, (((0.326*F507^0.818)-(0.398*F507^0.85)/(1-H507)*H507)*(MAX('Max rate concentrations'!$P$3:$P$368)))/F507, 0)</f>
        <v>0</v>
      </c>
      <c r="N507" s="70">
        <f>IF((((0.326*F507^0.818)-(0.398*F507^0.85)/(1-H507)*H507)*(MAX('Max rate concentrations'!$Q$3:$Q$368)))/F507&gt; 0, (((0.326*F507^0.818)-(0.398*F507^0.85)/(1-H507)*H507)*(MAX('Max rate concentrations'!$Q$3:$Q$368)))/F507, 0)</f>
        <v>0</v>
      </c>
      <c r="O507" s="70">
        <f>((MAX('Max rate concentrations'!$F$3:$F$368))*0.62*6.01*8*(12.3*F507^0.65)*0.079*0.1/F507)*inputs!$E$73/inputs!$E$74</f>
        <v>21.447489523759263</v>
      </c>
      <c r="P507" s="70">
        <f>((MAX('Max rate concentrations'!Y:Y))*0.62*6.01*8*(12.3*F507^0.65)*0.079*0.1/F507)*inputs!$E$73/inputs!$E$74</f>
        <v>7.1491631745864215</v>
      </c>
      <c r="Q507" s="70">
        <f>(inputs!$C$18*11.2*(12.3*F507^0.65)*0.5/F507)*inputs!$E$73/inputs!$E$74</f>
        <v>3.7778741208510853</v>
      </c>
      <c r="R507" s="60">
        <f>(60*379*((F507/1000)^0.8)*3*24*(MAX('Max rate concentrations'!$R$3:$R$368))/F507)*(inputs!$E$73/inputs!$E$75)</f>
        <v>1.0320556153029972E-2</v>
      </c>
      <c r="S507" s="60">
        <f>(IF(inputs!$C$17="aerial",((0.025*0.112*inputs!$C$18/3.3)*(3*60*379*((F507/1000)^0.8))*MAX(inputs!$I$14:$I$16))/F507,((0.0083*0.112*inputs!$C$18/1)*(3*60*379*((F507/1000)^0.8))*MAX(inputs!$I$14:$I$16))/F507))*(inputs!E$75/inputs!$E$73)</f>
        <v>5.6918501261480535E-2</v>
      </c>
      <c r="T507" s="63">
        <f>IF((((inputs!$P$13/(V507/MAX(K507:S507)))^(1/inputs!$O$13))-1)/inputs!$N$13&lt;0, 0, IF((((inputs!$P$13/(V507/MAX(K507:S507)))^(1/inputs!$O$13))-1)/inputs!$N$13&lt;inputs!$I$17, (((inputs!$P$13/(V507/MAX(K507:S507)))^(1/inputs!$O$13))-1)/inputs!$N$13, inputs!$I$17))</f>
        <v>167.33515411391383</v>
      </c>
      <c r="U507" s="63">
        <f>IF((((inputs!$P$13/(X507/MAX(K507:S507)))^(1/inputs!$O$13))-1)/inputs!$N$13&lt;0, 0, IF((((inputs!$P$13/(X507/MAX(K507:S507)))^(1/inputs!$O$13))-1)/inputs!$N$13&lt;inputs!$I$17, (((inputs!$P$13/(X507/MAX(K507:S507)))^(1/inputs!$O$13))-1)/inputs!$N$13, inputs!$I$17))</f>
        <v>2.8449519760082627</v>
      </c>
      <c r="V507" s="54">
        <f>inputs!$E$70*(inputs!$F$70/F507)^(0.25)</f>
        <v>0.82281546744781953</v>
      </c>
      <c r="W507" s="54">
        <f>inputs!$E$76*(inputs!$F$76/F507)^(0.25)</f>
        <v>0.24748737341529164</v>
      </c>
      <c r="X507" s="54">
        <f>inputs!$E$72*(inputs!$F$72/F507)^(0.25)</f>
        <v>36.300682387403803</v>
      </c>
      <c r="Y507" s="54" t="s">
        <v>13</v>
      </c>
      <c r="Z507" s="106">
        <f t="shared" si="52"/>
        <v>71.555338305097521</v>
      </c>
      <c r="AA507" s="106">
        <f t="shared" si="53"/>
        <v>237.89835547326484</v>
      </c>
    </row>
    <row r="508" spans="1:27" x14ac:dyDescent="0.25">
      <c r="A508" s="55" t="s">
        <v>596</v>
      </c>
      <c r="B508" s="49" t="s">
        <v>597</v>
      </c>
      <c r="C508" s="21" t="s">
        <v>61</v>
      </c>
      <c r="D508" s="20" t="s">
        <v>454</v>
      </c>
      <c r="E508" s="20">
        <v>1236</v>
      </c>
      <c r="F508" s="21">
        <v>1400</v>
      </c>
      <c r="G508" s="21" t="s">
        <v>164</v>
      </c>
      <c r="H508" s="21">
        <v>0.78</v>
      </c>
      <c r="I508" s="68">
        <f>inputs!$C$66*(inputs!$C$62/1000)</f>
        <v>8.2000000000000011</v>
      </c>
      <c r="J508" s="68">
        <f>inputs!$C$66*(inputs!$C$61/1000)</f>
        <v>2.5</v>
      </c>
      <c r="K508" s="70">
        <f t="shared" si="56"/>
        <v>2.4123940213321546</v>
      </c>
      <c r="L508" s="70">
        <f t="shared" si="57"/>
        <v>0.73548598211346172</v>
      </c>
      <c r="M508" s="70">
        <f>IF((((0.326*F508^0.818)-(0.398*F508^0.85)/(1-H508)*H508)*(MAX('Max rate concentrations'!$P$3:$P$368)))/F508&gt;0, (((0.326*F508^0.818)-(0.398*F508^0.85)/(1-H508)*H508)*(MAX('Max rate concentrations'!$P$3:$P$368)))/F508, 0)</f>
        <v>0</v>
      </c>
      <c r="N508" s="70">
        <f>IF((((0.326*F508^0.818)-(0.398*F508^0.85)/(1-H508)*H508)*(MAX('Max rate concentrations'!$Q$3:$Q$368)))/F508&gt; 0, (((0.326*F508^0.818)-(0.398*F508^0.85)/(1-H508)*H508)*(MAX('Max rate concentrations'!$Q$3:$Q$368)))/F508, 0)</f>
        <v>0</v>
      </c>
      <c r="O508" s="70">
        <f>((MAX('Max rate concentrations'!$F$3:$F$368))*0.62*6.01*8*(12.3*F508^0.65)*0.079*0.1/F508)*inputs!$E$73/inputs!$E$74</f>
        <v>21.447489523759263</v>
      </c>
      <c r="P508" s="70">
        <f>((MAX('Max rate concentrations'!Y:Y))*0.62*6.01*8*(12.3*F508^0.65)*0.079*0.1/F508)*inputs!$E$73/inputs!$E$74</f>
        <v>7.1491631745864215</v>
      </c>
      <c r="Q508" s="70">
        <f>(inputs!$C$18*11.2*(12.3*F508^0.65)*0.5/F508)*inputs!$E$73/inputs!$E$74</f>
        <v>3.7778741208510853</v>
      </c>
      <c r="R508" s="60">
        <f>(60*379*((F508/1000)^0.8)*3*24*(MAX('Max rate concentrations'!$R$3:$R$368))/F508)*(inputs!$E$73/inputs!$E$75)</f>
        <v>1.0320556153029972E-2</v>
      </c>
      <c r="S508" s="60">
        <f>(IF(inputs!$C$17="aerial",((0.025*0.112*inputs!$C$18/3.3)*(3*60*379*((F508/1000)^0.8))*MAX(inputs!$I$14:$I$16))/F508,((0.0083*0.112*inputs!$C$18/1)*(3*60*379*((F508/1000)^0.8))*MAX(inputs!$I$14:$I$16))/F508))*(inputs!E$75/inputs!$E$73)</f>
        <v>5.6918501261480535E-2</v>
      </c>
      <c r="T508" s="63">
        <f>IF((((inputs!$P$13/(V508/MAX(K508:S508)))^(1/inputs!$O$13))-1)/inputs!$N$13&lt;0, 0, IF((((inputs!$P$13/(V508/MAX(K508:S508)))^(1/inputs!$O$13))-1)/inputs!$N$13&lt;inputs!$I$17, (((inputs!$P$13/(V508/MAX(K508:S508)))^(1/inputs!$O$13))-1)/inputs!$N$13, inputs!$I$17))</f>
        <v>71.031450320726151</v>
      </c>
      <c r="U508" s="63">
        <f>IF((((inputs!$P$13/(X508/MAX(K508:S508)))^(1/inputs!$O$13))-1)/inputs!$N$13&lt;0, 0, IF((((inputs!$P$13/(X508/MAX(K508:S508)))^(1/inputs!$O$13))-1)/inputs!$N$13&lt;inputs!$I$17, (((inputs!$P$13/(X508/MAX(K508:S508)))^(1/inputs!$O$13))-1)/inputs!$N$13, inputs!$I$17))</f>
        <v>0</v>
      </c>
      <c r="V508" s="54">
        <f>inputs!$E$70*(inputs!$F$70/F508)^(0.25)</f>
        <v>0.82281546744781953</v>
      </c>
      <c r="W508" s="54">
        <f>inputs!$E$76*(inputs!$F$76/F508)^(0.25)</f>
        <v>0.24748737341529164</v>
      </c>
      <c r="X508" s="54">
        <f>inputs!$E$72*(inputs!$F$72/F508)^(0.25)</f>
        <v>36.300682387403803</v>
      </c>
      <c r="Y508" s="54" t="s">
        <v>13</v>
      </c>
      <c r="Z508" s="106">
        <f t="shared" si="52"/>
        <v>26.065977576095332</v>
      </c>
      <c r="AA508" s="106">
        <f t="shared" si="53"/>
        <v>86.660944466729205</v>
      </c>
    </row>
    <row r="509" spans="1:27" x14ac:dyDescent="0.25">
      <c r="A509" s="55" t="s">
        <v>596</v>
      </c>
      <c r="B509" s="49" t="s">
        <v>597</v>
      </c>
      <c r="C509" s="21" t="s">
        <v>61</v>
      </c>
      <c r="D509" s="20" t="s">
        <v>454</v>
      </c>
      <c r="E509" s="20">
        <v>1236</v>
      </c>
      <c r="F509" s="21">
        <v>1400</v>
      </c>
      <c r="G509" s="21" t="s">
        <v>138</v>
      </c>
      <c r="H509" s="21">
        <v>0.68</v>
      </c>
      <c r="I509" s="68">
        <f>MAX('Max rate concentrations'!$L$3:$L$368)</f>
        <v>350.52744091332482</v>
      </c>
      <c r="J509" s="68">
        <f>MAX('Max rate concentrations'!AD:AD)</f>
        <v>242.38599637623525</v>
      </c>
      <c r="K509" s="70">
        <f t="shared" si="56"/>
        <v>70.897205262910163</v>
      </c>
      <c r="L509" s="70">
        <f t="shared" si="57"/>
        <v>49.024663213714476</v>
      </c>
      <c r="M509" s="70">
        <f>IF((((0.326*F509^0.818)-(0.398*F509^0.85)/(1-H509)*H509)*(MAX('Max rate concentrations'!$P$3:$P$368)))/F509&gt;0, (((0.326*F509^0.818)-(0.398*F509^0.85)/(1-H509)*H509)*(MAX('Max rate concentrations'!$P$3:$P$368)))/F509, 0)</f>
        <v>0</v>
      </c>
      <c r="N509" s="70">
        <f>IF((((0.326*F509^0.818)-(0.398*F509^0.85)/(1-H509)*H509)*(MAX('Max rate concentrations'!$Q$3:$Q$368)))/F509&gt; 0, (((0.326*F509^0.818)-(0.398*F509^0.85)/(1-H509)*H509)*(MAX('Max rate concentrations'!$Q$3:$Q$368)))/F509, 0)</f>
        <v>0</v>
      </c>
      <c r="O509" s="70">
        <f>((MAX('Max rate concentrations'!$F$3:$F$368))*0.62*6.01*8*(12.3*F509^0.65)*0.079*0.1/F509)*inputs!$E$73/inputs!$E$74</f>
        <v>21.447489523759263</v>
      </c>
      <c r="P509" s="70">
        <f>((MAX('Max rate concentrations'!Y:Y))*0.62*6.01*8*(12.3*F509^0.65)*0.079*0.1/F509)*inputs!$E$73/inputs!$E$74</f>
        <v>7.1491631745864215</v>
      </c>
      <c r="Q509" s="70">
        <f>(inputs!$C$18*11.2*(12.3*F509^0.65)*0.5/F509)*inputs!$E$73/inputs!$E$74</f>
        <v>3.7778741208510853</v>
      </c>
      <c r="R509" s="60">
        <f>(60*379*((F509/1000)^0.8)*3*24*(MAX('Max rate concentrations'!$R$3:$R$368))/F509)*(inputs!$E$73/inputs!$E$75)</f>
        <v>1.0320556153029972E-2</v>
      </c>
      <c r="S509" s="60">
        <f>(IF(inputs!$C$17="aerial",((0.025*0.112*inputs!$C$18/3.3)*(3*60*379*((F509/1000)^0.8))*MAX(inputs!$I$14:$I$16))/F509,((0.0083*0.112*inputs!$C$18/1)*(3*60*379*((F509/1000)^0.8))*MAX(inputs!$I$14:$I$16))/F509))*(inputs!E$75/inputs!$E$73)</f>
        <v>5.6918501261480535E-2</v>
      </c>
      <c r="T509" s="63">
        <f>IF((((inputs!$P$13/(V509/MAX(K509:S509)))^(1/inputs!$O$13))-1)/inputs!$N$13&lt;0, 0, IF((((inputs!$P$13/(V509/MAX(K509:S509)))^(1/inputs!$O$13))-1)/inputs!$N$13&lt;inputs!$I$17, (((inputs!$P$13/(V509/MAX(K509:S509)))^(1/inputs!$O$13))-1)/inputs!$N$13, inputs!$I$17))</f>
        <v>195.30922899586741</v>
      </c>
      <c r="U509" s="63">
        <f>IF((((inputs!$P$13/(X509/MAX(K509:S509)))^(1/inputs!$O$13))-1)/inputs!$N$13&lt;0, 0, IF((((inputs!$P$13/(X509/MAX(K509:S509)))^(1/inputs!$O$13))-1)/inputs!$N$13&lt;inputs!$I$17, (((inputs!$P$13/(X509/MAX(K509:S509)))^(1/inputs!$O$13))-1)/inputs!$N$13, inputs!$I$17))</f>
        <v>4.1535577392731007</v>
      </c>
      <c r="V509" s="54">
        <f>inputs!$E$70*(inputs!$F$70/F509)^(0.25)</f>
        <v>0.82281546744781953</v>
      </c>
      <c r="W509" s="54">
        <f>inputs!$E$76*(inputs!$F$76/F509)^(0.25)</f>
        <v>0.24748737341529164</v>
      </c>
      <c r="X509" s="54">
        <f>inputs!$E$72*(inputs!$F$72/F509)^(0.25)</f>
        <v>36.300682387403803</v>
      </c>
      <c r="Y509" s="54" t="s">
        <v>13</v>
      </c>
      <c r="Z509" s="106">
        <f t="shared" si="52"/>
        <v>86.164162036011135</v>
      </c>
      <c r="AA509" s="106">
        <f t="shared" si="53"/>
        <v>286.46796919187636</v>
      </c>
    </row>
    <row r="510" spans="1:27" x14ac:dyDescent="0.25">
      <c r="A510" s="55" t="s">
        <v>596</v>
      </c>
      <c r="B510" s="49" t="s">
        <v>597</v>
      </c>
      <c r="C510" s="21" t="s">
        <v>61</v>
      </c>
      <c r="D510" s="20" t="s">
        <v>454</v>
      </c>
      <c r="E510" s="20">
        <v>1236</v>
      </c>
      <c r="F510" s="21">
        <v>1400</v>
      </c>
      <c r="G510" s="21" t="s">
        <v>152</v>
      </c>
      <c r="H510" s="21">
        <v>0.77</v>
      </c>
      <c r="I510" s="68">
        <f>MAX('Max rate concentrations'!$G$3:$G$368)</f>
        <v>45</v>
      </c>
      <c r="J510" s="68">
        <f>MAX('Max rate concentrations'!Z:Z)</f>
        <v>21</v>
      </c>
      <c r="K510" s="70">
        <f t="shared" si="56"/>
        <v>12.663149952910036</v>
      </c>
      <c r="L510" s="70">
        <f t="shared" si="57"/>
        <v>5.909469978024684</v>
      </c>
      <c r="M510" s="70">
        <f>IF((((0.326*F510^0.818)-(0.398*F510^0.85)/(1-H510)*H510)*(MAX('Max rate concentrations'!$P$3:$P$368)))/F510&gt;0, (((0.326*F510^0.818)-(0.398*F510^0.85)/(1-H510)*H510)*(MAX('Max rate concentrations'!$P$3:$P$368)))/F510, 0)</f>
        <v>0</v>
      </c>
      <c r="N510" s="70">
        <f>IF((((0.326*F510^0.818)-(0.398*F510^0.85)/(1-H510)*H510)*(MAX('Max rate concentrations'!$Q$3:$Q$368)))/F510&gt; 0, (((0.326*F510^0.818)-(0.398*F510^0.85)/(1-H510)*H510)*(MAX('Max rate concentrations'!$Q$3:$Q$368)))/F510, 0)</f>
        <v>0</v>
      </c>
      <c r="O510" s="70">
        <f>((MAX('Max rate concentrations'!$F$3:$F$368))*0.62*6.01*8*(12.3*F510^0.65)*0.079*0.1/F510)*inputs!$E$73/inputs!$E$74</f>
        <v>21.447489523759263</v>
      </c>
      <c r="P510" s="70">
        <f>((MAX('Max rate concentrations'!Y:Y))*0.62*6.01*8*(12.3*F510^0.65)*0.079*0.1/F510)*inputs!$E$73/inputs!$E$74</f>
        <v>7.1491631745864215</v>
      </c>
      <c r="Q510" s="70">
        <f>(inputs!$C$18*11.2*(12.3*F510^0.65)*0.5/F510)*inputs!$E$73/inputs!$E$74</f>
        <v>3.7778741208510853</v>
      </c>
      <c r="R510" s="60">
        <f>(60*379*((F510/1000)^0.8)*3*24*(MAX('Max rate concentrations'!$R$3:$R$368))/F510)*(inputs!$E$73/inputs!$E$75)</f>
        <v>1.0320556153029972E-2</v>
      </c>
      <c r="S510" s="60">
        <f>(IF(inputs!$C$17="aerial",((0.025*0.112*inputs!$C$18/3.3)*(3*60*379*((F510/1000)^0.8))*MAX(inputs!$I$14:$I$16))/F510,((0.0083*0.112*inputs!$C$18/1)*(3*60*379*((F510/1000)^0.8))*MAX(inputs!$I$14:$I$16))/F510))*(inputs!E$75/inputs!$E$73)</f>
        <v>5.6918501261480535E-2</v>
      </c>
      <c r="T510" s="63">
        <f>IF((((inputs!$P$13/(V510/MAX(K510:S510)))^(1/inputs!$O$13))-1)/inputs!$N$13&lt;0, 0, IF((((inputs!$P$13/(V510/MAX(K510:S510)))^(1/inputs!$O$13))-1)/inputs!$N$13&lt;inputs!$I$17, (((inputs!$P$13/(V510/MAX(K510:S510)))^(1/inputs!$O$13))-1)/inputs!$N$13, inputs!$I$17))</f>
        <v>71.031450320726151</v>
      </c>
      <c r="U510" s="63">
        <f>IF((((inputs!$P$13/(X510/MAX(K510:S510)))^(1/inputs!$O$13))-1)/inputs!$N$13&lt;0, 0, IF((((inputs!$P$13/(X510/MAX(K510:S510)))^(1/inputs!$O$13))-1)/inputs!$N$13&lt;inputs!$I$17, (((inputs!$P$13/(X510/MAX(K510:S510)))^(1/inputs!$O$13))-1)/inputs!$N$13, inputs!$I$17))</f>
        <v>0</v>
      </c>
      <c r="V510" s="54">
        <f>inputs!$E$70*(inputs!$F$70/F510)^(0.25)</f>
        <v>0.82281546744781953</v>
      </c>
      <c r="W510" s="54">
        <f>inputs!$E$76*(inputs!$F$76/F510)^(0.25)</f>
        <v>0.24748737341529164</v>
      </c>
      <c r="X510" s="54">
        <f>inputs!$E$72*(inputs!$F$72/F510)^(0.25)</f>
        <v>36.300682387403803</v>
      </c>
      <c r="Y510" s="54" t="s">
        <v>13</v>
      </c>
      <c r="Z510" s="106">
        <f t="shared" si="52"/>
        <v>26.065977576095332</v>
      </c>
      <c r="AA510" s="106">
        <f t="shared" si="53"/>
        <v>86.660944466729205</v>
      </c>
    </row>
    <row r="511" spans="1:27" x14ac:dyDescent="0.25">
      <c r="A511" s="55" t="s">
        <v>596</v>
      </c>
      <c r="B511" s="49" t="s">
        <v>597</v>
      </c>
      <c r="C511" s="21" t="s">
        <v>61</v>
      </c>
      <c r="D511" s="20" t="s">
        <v>454</v>
      </c>
      <c r="E511" s="20">
        <v>1236</v>
      </c>
      <c r="F511" s="21">
        <v>1400</v>
      </c>
      <c r="G511" s="21" t="s">
        <v>169</v>
      </c>
      <c r="H511" s="21">
        <v>0.79</v>
      </c>
      <c r="I511" s="68">
        <f>MAX('Max rate concentrations'!$D$3:$D$368)</f>
        <v>720</v>
      </c>
      <c r="J511" s="68">
        <f>MAX('Max rate concentrations'!W:W)</f>
        <v>255</v>
      </c>
      <c r="K511" s="70">
        <f t="shared" si="56"/>
        <v>221.90662774623306</v>
      </c>
      <c r="L511" s="70">
        <f t="shared" si="57"/>
        <v>78.591930660124206</v>
      </c>
      <c r="M511" s="70">
        <f>IF((((0.326*F511^0.818)-(0.398*F511^0.85)/(1-H511)*H511)*(MAX('Max rate concentrations'!$P$3:$P$368)))/F511&gt;0, (((0.326*F511^0.818)-(0.398*F511^0.85)/(1-H511)*H511)*(MAX('Max rate concentrations'!$P$3:$P$368)))/F511, 0)</f>
        <v>0</v>
      </c>
      <c r="N511" s="70">
        <f>IF((((0.326*F511^0.818)-(0.398*F511^0.85)/(1-H511)*H511)*(MAX('Max rate concentrations'!$Q$3:$Q$368)))/F511&gt; 0, (((0.326*F511^0.818)-(0.398*F511^0.85)/(1-H511)*H511)*(MAX('Max rate concentrations'!$Q$3:$Q$368)))/F511, 0)</f>
        <v>0</v>
      </c>
      <c r="O511" s="70">
        <f>((MAX('Max rate concentrations'!$F$3:$F$368))*0.62*6.01*8*(12.3*F511^0.65)*0.079*0.1/F511)*inputs!$E$73/inputs!$E$74</f>
        <v>21.447489523759263</v>
      </c>
      <c r="P511" s="70">
        <f>((MAX('Max rate concentrations'!Y:Y))*0.62*6.01*8*(12.3*F511^0.65)*0.079*0.1/F511)*inputs!$E$73/inputs!$E$74</f>
        <v>7.1491631745864215</v>
      </c>
      <c r="Q511" s="70">
        <f>(inputs!$C$18*11.2*(12.3*F511^0.65)*0.5/F511)*inputs!$E$73/inputs!$E$74</f>
        <v>3.7778741208510853</v>
      </c>
      <c r="R511" s="60">
        <f>(60*379*((F511/1000)^0.8)*3*24*(MAX('Max rate concentrations'!$R$3:$R$368))/F511)*(inputs!$E$73/inputs!$E$75)</f>
        <v>1.0320556153029972E-2</v>
      </c>
      <c r="S511" s="60">
        <f>(IF(inputs!$C$17="aerial",((0.025*0.112*inputs!$C$18/3.3)*(3*60*379*((F511/1000)^0.8))*MAX(inputs!$I$14:$I$16))/F511,((0.0083*0.112*inputs!$C$18/1)*(3*60*379*((F511/1000)^0.8))*MAX(inputs!$I$14:$I$16))/F511))*(inputs!E$75/inputs!$E$73)</f>
        <v>5.6918501261480535E-2</v>
      </c>
      <c r="T511" s="63">
        <f>IF((((inputs!$P$13/(V511/MAX(K511:S511)))^(1/inputs!$O$13))-1)/inputs!$N$13&lt;0, 0, IF((((inputs!$P$13/(V511/MAX(K511:S511)))^(1/inputs!$O$13))-1)/inputs!$N$13&lt;inputs!$I$17, (((inputs!$P$13/(V511/MAX(K511:S511)))^(1/inputs!$O$13))-1)/inputs!$N$13, inputs!$I$17))</f>
        <v>499.34377597305297</v>
      </c>
      <c r="U511" s="63">
        <f>IF((((inputs!$P$13/(X511/MAX(K511:S511)))^(1/inputs!$O$13))-1)/inputs!$N$13&lt;0, 0, IF((((inputs!$P$13/(X511/MAX(K511:S511)))^(1/inputs!$O$13))-1)/inputs!$N$13&lt;inputs!$I$17, (((inputs!$P$13/(X511/MAX(K511:S511)))^(1/inputs!$O$13))-1)/inputs!$N$13, inputs!$I$17))</f>
        <v>18.376060613268933</v>
      </c>
      <c r="V511" s="54">
        <f>inputs!$E$70*(inputs!$F$70/F511)^(0.25)</f>
        <v>0.82281546744781953</v>
      </c>
      <c r="W511" s="54">
        <f>inputs!$E$76*(inputs!$F$76/F511)^(0.25)</f>
        <v>0.24748737341529164</v>
      </c>
      <c r="X511" s="54">
        <f>inputs!$E$72*(inputs!$F$72/F511)^(0.25)</f>
        <v>36.300682387403803</v>
      </c>
      <c r="Y511" s="54" t="s">
        <v>13</v>
      </c>
      <c r="Z511" s="106">
        <f t="shared" si="52"/>
        <v>269.69185257848318</v>
      </c>
      <c r="AA511" s="106">
        <f t="shared" si="53"/>
        <v>896.63817868343006</v>
      </c>
    </row>
    <row r="512" spans="1:27" x14ac:dyDescent="0.25">
      <c r="A512" s="55" t="s">
        <v>596</v>
      </c>
      <c r="B512" s="49" t="s">
        <v>597</v>
      </c>
      <c r="C512" s="21" t="s">
        <v>61</v>
      </c>
      <c r="D512" s="20" t="s">
        <v>454</v>
      </c>
      <c r="E512" s="20">
        <v>1236</v>
      </c>
      <c r="F512" s="21">
        <v>1400</v>
      </c>
      <c r="G512" s="21" t="s">
        <v>456</v>
      </c>
      <c r="H512" s="21">
        <v>0.68</v>
      </c>
      <c r="I512" s="68">
        <f>MAX('Max rate concentrations'!$J$3:$J$368)</f>
        <v>686.46486205830786</v>
      </c>
      <c r="J512" s="68">
        <f>MAX('Max rate concentrations'!AB:AB)</f>
        <v>243.122971978984</v>
      </c>
      <c r="K512" s="70">
        <f t="shared" si="56"/>
        <v>138.84345289576757</v>
      </c>
      <c r="L512" s="70">
        <f t="shared" si="57"/>
        <v>49.173722900584345</v>
      </c>
      <c r="M512" s="70">
        <f>IF((((0.326*F512^0.818)-(0.398*F512^0.85)/(1-H512)*H512)*(MAX('Max rate concentrations'!$P$3:$P$368)))/F512&gt;0, (((0.326*F512^0.818)-(0.398*F512^0.85)/(1-H512)*H512)*(MAX('Max rate concentrations'!$P$3:$P$368)))/F512, 0)</f>
        <v>0</v>
      </c>
      <c r="N512" s="70">
        <f>IF((((0.326*F512^0.818)-(0.398*F512^0.85)/(1-H512)*H512)*(MAX('Max rate concentrations'!$Q$3:$Q$368)))/F512&gt; 0, (((0.326*F512^0.818)-(0.398*F512^0.85)/(1-H512)*H512)*(MAX('Max rate concentrations'!$Q$3:$Q$368)))/F512, 0)</f>
        <v>0</v>
      </c>
      <c r="O512" s="70">
        <f>((MAX('Max rate concentrations'!$F$3:$F$368))*0.62*6.01*8*(12.3*F512^0.65)*0.079*0.1/F512)*inputs!$E$73/inputs!$E$74</f>
        <v>21.447489523759263</v>
      </c>
      <c r="P512" s="70">
        <f>((MAX('Max rate concentrations'!Y:Y))*0.62*6.01*8*(12.3*F512^0.65)*0.079*0.1/F512)*inputs!$E$73/inputs!$E$74</f>
        <v>7.1491631745864215</v>
      </c>
      <c r="Q512" s="70">
        <f>(inputs!$C$18*11.2*(12.3*F512^0.65)*0.5/F512)*inputs!$E$73/inputs!$E$74</f>
        <v>3.7778741208510853</v>
      </c>
      <c r="R512" s="60">
        <f>(60*379*((F512/1000)^0.8)*3*24*(MAX('Max rate concentrations'!$R$3:$R$368))/F512)*(inputs!$E$73/inputs!$E$75)</f>
        <v>1.0320556153029972E-2</v>
      </c>
      <c r="S512" s="60">
        <f>(IF(inputs!$C$17="aerial",((0.025*0.112*inputs!$C$18/3.3)*(3*60*379*((F512/1000)^0.8))*MAX(inputs!$I$14:$I$16))/F512,((0.0083*0.112*inputs!$C$18/1)*(3*60*379*((F512/1000)^0.8))*MAX(inputs!$I$14:$I$16))/F512))*(inputs!E$75/inputs!$E$73)</f>
        <v>5.6918501261480535E-2</v>
      </c>
      <c r="T512" s="63">
        <f>IF((((inputs!$P$13/(V512/MAX(K512:S512)))^(1/inputs!$O$13))-1)/inputs!$N$13&lt;0, 0, IF((((inputs!$P$13/(V512/MAX(K512:S512)))^(1/inputs!$O$13))-1)/inputs!$N$13&lt;inputs!$I$17, (((inputs!$P$13/(V512/MAX(K512:S512)))^(1/inputs!$O$13))-1)/inputs!$N$13, inputs!$I$17))</f>
        <v>340.10805039747788</v>
      </c>
      <c r="U512" s="63">
        <f>IF((((inputs!$P$13/(X512/MAX(K512:S512)))^(1/inputs!$O$13))-1)/inputs!$N$13&lt;0, 0, IF((((inputs!$P$13/(X512/MAX(K512:S512)))^(1/inputs!$O$13))-1)/inputs!$N$13&lt;inputs!$I$17, (((inputs!$P$13/(X512/MAX(K512:S512)))^(1/inputs!$O$13))-1)/inputs!$N$13, inputs!$I$17))</f>
        <v>10.927135525123035</v>
      </c>
      <c r="V512" s="54">
        <f>inputs!$E$70*(inputs!$F$70/F512)^(0.25)</f>
        <v>0.82281546744781953</v>
      </c>
      <c r="W512" s="54">
        <f>inputs!$E$76*(inputs!$F$76/F512)^(0.25)</f>
        <v>0.24748737341529164</v>
      </c>
      <c r="X512" s="54">
        <f>inputs!$E$72*(inputs!$F$72/F512)^(0.25)</f>
        <v>36.300682387403803</v>
      </c>
      <c r="Y512" s="54" t="s">
        <v>13</v>
      </c>
      <c r="Z512" s="106">
        <f t="shared" si="52"/>
        <v>168.74190919918823</v>
      </c>
      <c r="AA512" s="106">
        <f t="shared" si="53"/>
        <v>561.01226894829847</v>
      </c>
    </row>
    <row r="513" spans="1:27" x14ac:dyDescent="0.25">
      <c r="A513" s="55" t="s">
        <v>596</v>
      </c>
      <c r="B513" s="49" t="s">
        <v>597</v>
      </c>
      <c r="C513" s="21" t="s">
        <v>61</v>
      </c>
      <c r="D513" s="20" t="s">
        <v>454</v>
      </c>
      <c r="E513" s="20">
        <v>1236</v>
      </c>
      <c r="F513" s="21">
        <v>1400</v>
      </c>
      <c r="G513" s="21" t="s">
        <v>145</v>
      </c>
      <c r="H513" s="21">
        <v>0.66</v>
      </c>
      <c r="I513" s="68">
        <f>MAX('Max rate concentrations'!$M$3:$M$368)</f>
        <v>17.092910873809167</v>
      </c>
      <c r="J513" s="68">
        <f>MAX('Max rate concentrations'!AE:AE)</f>
        <v>11.81956602976166</v>
      </c>
      <c r="K513" s="70">
        <f t="shared" si="56"/>
        <v>3.2538249353697757</v>
      </c>
      <c r="L513" s="70">
        <f t="shared" si="57"/>
        <v>2.2499853276493131</v>
      </c>
      <c r="M513" s="70">
        <f>IF((((0.326*F513^0.818)-(0.398*F513^0.85)/(1-H513)*H513)*(MAX('Max rate concentrations'!$P$3:$P$368)))/F513&gt;0, (((0.326*F513^0.818)-(0.398*F513^0.85)/(1-H513)*H513)*(MAX('Max rate concentrations'!$P$3:$P$368)))/F513, 0)</f>
        <v>0</v>
      </c>
      <c r="N513" s="70">
        <f>IF((((0.326*F513^0.818)-(0.398*F513^0.85)/(1-H513)*H513)*(MAX('Max rate concentrations'!$Q$3:$Q$368)))/F513&gt; 0, (((0.326*F513^0.818)-(0.398*F513^0.85)/(1-H513)*H513)*(MAX('Max rate concentrations'!$Q$3:$Q$368)))/F513, 0)</f>
        <v>0</v>
      </c>
      <c r="O513" s="70">
        <f>((MAX('Max rate concentrations'!$F$3:$F$368))*0.62*6.01*8*(12.3*F513^0.65)*0.079*0.1/F513)*inputs!$E$73/inputs!$E$74</f>
        <v>21.447489523759263</v>
      </c>
      <c r="P513" s="70">
        <f>((MAX('Max rate concentrations'!Y:Y))*0.62*6.01*8*(12.3*F513^0.65)*0.079*0.1/F513)*inputs!$E$73/inputs!$E$74</f>
        <v>7.1491631745864215</v>
      </c>
      <c r="Q513" s="70">
        <f>(inputs!$C$18*11.2*(12.3*F513^0.65)*0.5/F513)*inputs!$E$73/inputs!$E$74</f>
        <v>3.7778741208510853</v>
      </c>
      <c r="R513" s="60">
        <f>(60*379*((F513/1000)^0.8)*3*24*(MAX('Max rate concentrations'!$R$3:$R$368))/F513)*(inputs!$E$73/inputs!$E$75)</f>
        <v>1.0320556153029972E-2</v>
      </c>
      <c r="S513" s="60">
        <f>(IF(inputs!$C$17="aerial",((0.025*0.112*inputs!$C$18/3.3)*(3*60*379*((F513/1000)^0.8))*MAX(inputs!$I$14:$I$16))/F513,((0.0083*0.112*inputs!$C$18/1)*(3*60*379*((F513/1000)^0.8))*MAX(inputs!$I$14:$I$16))/F513))*(inputs!E$75/inputs!$E$73)</f>
        <v>5.6918501261480535E-2</v>
      </c>
      <c r="T513" s="63">
        <f>IF((((inputs!$P$13/(V513/MAX(K513:S513)))^(1/inputs!$O$13))-1)/inputs!$N$13&lt;0, 0, IF((((inputs!$P$13/(V513/MAX(K513:S513)))^(1/inputs!$O$13))-1)/inputs!$N$13&lt;inputs!$I$17, (((inputs!$P$13/(V513/MAX(K513:S513)))^(1/inputs!$O$13))-1)/inputs!$N$13, inputs!$I$17))</f>
        <v>71.031450320726151</v>
      </c>
      <c r="U513" s="63">
        <f>IF((((inputs!$P$13/(X513/MAX(K513:S513)))^(1/inputs!$O$13))-1)/inputs!$N$13&lt;0, 0, IF((((inputs!$P$13/(X513/MAX(K513:S513)))^(1/inputs!$O$13))-1)/inputs!$N$13&lt;inputs!$I$17, (((inputs!$P$13/(X513/MAX(K513:S513)))^(1/inputs!$O$13))-1)/inputs!$N$13, inputs!$I$17))</f>
        <v>0</v>
      </c>
      <c r="V513" s="54">
        <f>inputs!$E$70*(inputs!$F$70/F513)^(0.25)</f>
        <v>0.82281546744781953</v>
      </c>
      <c r="W513" s="54">
        <f>inputs!$E$76*(inputs!$F$76/F513)^(0.25)</f>
        <v>0.24748737341529164</v>
      </c>
      <c r="X513" s="54">
        <f>inputs!$E$72*(inputs!$F$72/F513)^(0.25)</f>
        <v>36.300682387403803</v>
      </c>
      <c r="Y513" s="54" t="s">
        <v>13</v>
      </c>
      <c r="Z513" s="106">
        <f t="shared" si="52"/>
        <v>26.065977576095332</v>
      </c>
      <c r="AA513" s="106">
        <f t="shared" si="53"/>
        <v>86.660944466729205</v>
      </c>
    </row>
    <row r="514" spans="1:27" x14ac:dyDescent="0.25">
      <c r="A514" s="55" t="s">
        <v>594</v>
      </c>
      <c r="B514" s="49" t="s">
        <v>595</v>
      </c>
      <c r="C514" s="21" t="s">
        <v>61</v>
      </c>
      <c r="D514" s="20" t="s">
        <v>454</v>
      </c>
      <c r="E514" s="20">
        <v>1237</v>
      </c>
      <c r="F514" s="21">
        <v>1400</v>
      </c>
      <c r="G514" s="21" t="s">
        <v>182</v>
      </c>
      <c r="H514" s="21">
        <v>0.85</v>
      </c>
      <c r="I514" s="68">
        <f>MAX('Max rate concentrations'!$M$3:$M$368)</f>
        <v>17.092910873809167</v>
      </c>
      <c r="J514" s="68">
        <f>MAX('Max rate concentrations'!AE:AE)</f>
        <v>11.81956602976166</v>
      </c>
      <c r="K514" s="70">
        <f t="shared" si="56"/>
        <v>7.3753365201714898</v>
      </c>
      <c r="L514" s="70">
        <f t="shared" si="57"/>
        <v>5.099966742671775</v>
      </c>
      <c r="M514" s="70">
        <f>IF((((0.326*F514^0.818)-(0.398*F514^0.85)/(1-H514)*H514)*(MAX('Max rate concentrations'!$P$3:$P$368)))/F514&gt;0, (((0.326*F514^0.818)-(0.398*F514^0.85)/(1-H514)*H514)*(MAX('Max rate concentrations'!$P$3:$P$368)))/F514, 0)</f>
        <v>0</v>
      </c>
      <c r="N514" s="70">
        <f>IF((((0.326*F514^0.818)-(0.398*F514^0.85)/(1-H514)*H514)*(MAX('Max rate concentrations'!$Q$3:$Q$368)))/F514&gt; 0, (((0.326*F514^0.818)-(0.398*F514^0.85)/(1-H514)*H514)*(MAX('Max rate concentrations'!$Q$3:$Q$368)))/F514, 0)</f>
        <v>0</v>
      </c>
      <c r="O514" s="70">
        <f>((MAX('Max rate concentrations'!$F$3:$F$368))*0.62*6.01*8*(12.3*F514^0.65)*0.079*0.1/F514)*inputs!$E$73/inputs!$E$74</f>
        <v>21.447489523759263</v>
      </c>
      <c r="P514" s="70">
        <f>((MAX('Max rate concentrations'!Y:Y))*0.62*6.01*8*(12.3*F514^0.65)*0.079*0.1/F514)*inputs!$E$73/inputs!$E$74</f>
        <v>7.1491631745864215</v>
      </c>
      <c r="Q514" s="70">
        <f>(inputs!$C$18*11.2*(12.3*F514^0.65)*0.5/F514)*inputs!$E$73/inputs!$E$74</f>
        <v>3.7778741208510853</v>
      </c>
      <c r="R514" s="60">
        <f>(60*379*((F514/1000)^0.8)*3*24*(MAX('Max rate concentrations'!$R$3:$R$368))/F514)*(inputs!$E$73/inputs!$E$75)</f>
        <v>1.0320556153029972E-2</v>
      </c>
      <c r="S514" s="60">
        <f>(IF(inputs!$C$17="aerial",((0.025*0.112*inputs!$C$18/3.3)*(3*60*379*((F514/1000)^0.8))*MAX(inputs!$I$14:$I$16))/F514,((0.0083*0.112*inputs!$C$18/1)*(3*60*379*((F514/1000)^0.8))*MAX(inputs!$I$14:$I$16))/F514))*(inputs!E$75/inputs!$E$73)</f>
        <v>5.6918501261480535E-2</v>
      </c>
      <c r="T514" s="63">
        <f>IF((((inputs!$P$13/(V514/MAX(K514:S514)))^(1/inputs!$O$13))-1)/inputs!$N$13&lt;0, 0, IF((((inputs!$P$13/(V514/MAX(K514:S514)))^(1/inputs!$O$13))-1)/inputs!$N$13&lt;inputs!$I$17, (((inputs!$P$13/(V514/MAX(K514:S514)))^(1/inputs!$O$13))-1)/inputs!$N$13, inputs!$I$17))</f>
        <v>71.031450320726151</v>
      </c>
      <c r="U514" s="63">
        <f>IF((((inputs!$P$13/(X514/MAX(K514:S514)))^(1/inputs!$O$13))-1)/inputs!$N$13&lt;0, 0, IF((((inputs!$P$13/(X514/MAX(K514:S514)))^(1/inputs!$O$13))-1)/inputs!$N$13&lt;inputs!$I$17, (((inputs!$P$13/(X514/MAX(K514:S514)))^(1/inputs!$O$13))-1)/inputs!$N$13, inputs!$I$17))</f>
        <v>0</v>
      </c>
      <c r="V514" s="54">
        <f>inputs!$E$70*(inputs!$F$70/F514)^(0.25)</f>
        <v>0.82281546744781953</v>
      </c>
      <c r="W514" s="54">
        <f>inputs!$E$76*(inputs!$F$76/F514)^(0.25)</f>
        <v>0.24748737341529164</v>
      </c>
      <c r="X514" s="54">
        <f>inputs!$E$72*(inputs!$F$72/F514)^(0.25)</f>
        <v>36.300682387403803</v>
      </c>
      <c r="Y514" s="54" t="s">
        <v>13</v>
      </c>
      <c r="Z514" s="106">
        <f t="shared" si="52"/>
        <v>26.065977576095332</v>
      </c>
      <c r="AA514" s="106">
        <f t="shared" si="53"/>
        <v>86.660944466729205</v>
      </c>
    </row>
    <row r="515" spans="1:27" x14ac:dyDescent="0.25">
      <c r="A515" s="55" t="s">
        <v>594</v>
      </c>
      <c r="B515" s="49" t="s">
        <v>595</v>
      </c>
      <c r="C515" s="21" t="s">
        <v>61</v>
      </c>
      <c r="D515" s="20" t="s">
        <v>454</v>
      </c>
      <c r="E515" s="20">
        <v>1237</v>
      </c>
      <c r="F515" s="21">
        <v>1400</v>
      </c>
      <c r="G515" s="21" t="s">
        <v>142</v>
      </c>
      <c r="H515" s="21">
        <v>0.69</v>
      </c>
      <c r="I515" s="68">
        <f>MAX('Max rate concentrations'!$H$3:$H$368)</f>
        <v>282</v>
      </c>
      <c r="J515" s="68">
        <f>MAX('Max rate concentrations'!AA:AA)</f>
        <v>195</v>
      </c>
      <c r="K515" s="70">
        <f t="shared" si="56"/>
        <v>58.876839135895686</v>
      </c>
      <c r="L515" s="70">
        <f t="shared" si="57"/>
        <v>40.71270791311936</v>
      </c>
      <c r="M515" s="70">
        <f>IF((((0.326*F515^0.818)-(0.398*F515^0.85)/(1-H515)*H515)*(MAX('Max rate concentrations'!$P$3:$P$368)))/F515&gt;0, (((0.326*F515^0.818)-(0.398*F515^0.85)/(1-H515)*H515)*(MAX('Max rate concentrations'!$P$3:$P$368)))/F515, 0)</f>
        <v>0</v>
      </c>
      <c r="N515" s="70">
        <f>IF((((0.326*F515^0.818)-(0.398*F515^0.85)/(1-H515)*H515)*(MAX('Max rate concentrations'!$Q$3:$Q$368)))/F515&gt; 0, (((0.326*F515^0.818)-(0.398*F515^0.85)/(1-H515)*H515)*(MAX('Max rate concentrations'!$Q$3:$Q$368)))/F515, 0)</f>
        <v>0</v>
      </c>
      <c r="O515" s="70">
        <f>((MAX('Max rate concentrations'!$F$3:$F$368))*0.62*6.01*8*(12.3*F515^0.65)*0.079*0.1/F515)*inputs!$E$73/inputs!$E$74</f>
        <v>21.447489523759263</v>
      </c>
      <c r="P515" s="70">
        <f>((MAX('Max rate concentrations'!Y:Y))*0.62*6.01*8*(12.3*F515^0.65)*0.079*0.1/F515)*inputs!$E$73/inputs!$E$74</f>
        <v>7.1491631745864215</v>
      </c>
      <c r="Q515" s="70">
        <f>(inputs!$C$18*11.2*(12.3*F515^0.65)*0.5/F515)*inputs!$E$73/inputs!$E$74</f>
        <v>3.7778741208510853</v>
      </c>
      <c r="R515" s="60">
        <f>(60*379*((F515/1000)^0.8)*3*24*(MAX('Max rate concentrations'!$R$3:$R$368))/F515)*(inputs!$E$73/inputs!$E$75)</f>
        <v>1.0320556153029972E-2</v>
      </c>
      <c r="S515" s="60">
        <f>(IF(inputs!$C$17="aerial",((0.025*0.112*inputs!$C$18/3.3)*(3*60*379*((F515/1000)^0.8))*MAX(inputs!$I$14:$I$16))/F515,((0.0083*0.112*inputs!$C$18/1)*(3*60*379*((F515/1000)^0.8))*MAX(inputs!$I$14:$I$16))/F515))*(inputs!E$75/inputs!$E$73)</f>
        <v>5.6918501261480535E-2</v>
      </c>
      <c r="T515" s="63">
        <f>IF((((inputs!$P$13/(V515/MAX(K515:S515)))^(1/inputs!$O$13))-1)/inputs!$N$13&lt;0, 0, IF((((inputs!$P$13/(V515/MAX(K515:S515)))^(1/inputs!$O$13))-1)/inputs!$N$13&lt;inputs!$I$17, (((inputs!$P$13/(V515/MAX(K515:S515)))^(1/inputs!$O$13))-1)/inputs!$N$13, inputs!$I$17))</f>
        <v>167.33515411391383</v>
      </c>
      <c r="U515" s="63">
        <f>IF((((inputs!$P$13/(X515/MAX(K515:S515)))^(1/inputs!$O$13))-1)/inputs!$N$13&lt;0, 0, IF((((inputs!$P$13/(X515/MAX(K515:S515)))^(1/inputs!$O$13))-1)/inputs!$N$13&lt;inputs!$I$17, (((inputs!$P$13/(X515/MAX(K515:S515)))^(1/inputs!$O$13))-1)/inputs!$N$13, inputs!$I$17))</f>
        <v>2.8449519760082627</v>
      </c>
      <c r="V515" s="54">
        <f>inputs!$E$70*(inputs!$F$70/F515)^(0.25)</f>
        <v>0.82281546744781953</v>
      </c>
      <c r="W515" s="54">
        <f>inputs!$E$76*(inputs!$F$76/F515)^(0.25)</f>
        <v>0.24748737341529164</v>
      </c>
      <c r="X515" s="54">
        <f>inputs!$E$72*(inputs!$F$72/F515)^(0.25)</f>
        <v>36.300682387403803</v>
      </c>
      <c r="Y515" s="54" t="s">
        <v>13</v>
      </c>
      <c r="Z515" s="106">
        <f t="shared" si="52"/>
        <v>71.555338305097521</v>
      </c>
      <c r="AA515" s="106">
        <f t="shared" si="53"/>
        <v>237.89835547326484</v>
      </c>
    </row>
    <row r="516" spans="1:27" x14ac:dyDescent="0.25">
      <c r="A516" s="55" t="s">
        <v>594</v>
      </c>
      <c r="B516" s="49" t="s">
        <v>595</v>
      </c>
      <c r="C516" s="21" t="s">
        <v>61</v>
      </c>
      <c r="D516" s="20" t="s">
        <v>454</v>
      </c>
      <c r="E516" s="20">
        <v>1237</v>
      </c>
      <c r="F516" s="21">
        <v>1400</v>
      </c>
      <c r="G516" s="21" t="s">
        <v>164</v>
      </c>
      <c r="H516" s="21">
        <v>0.78</v>
      </c>
      <c r="I516" s="68">
        <f>inputs!$C$66*(inputs!$C$62/1000)</f>
        <v>8.2000000000000011</v>
      </c>
      <c r="J516" s="68">
        <f>inputs!$C$66*(inputs!$C$61/1000)</f>
        <v>2.5</v>
      </c>
      <c r="K516" s="70">
        <f t="shared" si="56"/>
        <v>2.4123940213321546</v>
      </c>
      <c r="L516" s="70">
        <f t="shared" si="57"/>
        <v>0.73548598211346172</v>
      </c>
      <c r="M516" s="70">
        <f>IF((((0.326*F516^0.818)-(0.398*F516^0.85)/(1-H516)*H516)*(MAX('Max rate concentrations'!$P$3:$P$368)))/F516&gt;0, (((0.326*F516^0.818)-(0.398*F516^0.85)/(1-H516)*H516)*(MAX('Max rate concentrations'!$P$3:$P$368)))/F516, 0)</f>
        <v>0</v>
      </c>
      <c r="N516" s="70">
        <f>IF((((0.326*F516^0.818)-(0.398*F516^0.85)/(1-H516)*H516)*(MAX('Max rate concentrations'!$Q$3:$Q$368)))/F516&gt; 0, (((0.326*F516^0.818)-(0.398*F516^0.85)/(1-H516)*H516)*(MAX('Max rate concentrations'!$Q$3:$Q$368)))/F516, 0)</f>
        <v>0</v>
      </c>
      <c r="O516" s="70">
        <f>((MAX('Max rate concentrations'!$F$3:$F$368))*0.62*6.01*8*(12.3*F516^0.65)*0.079*0.1/F516)*inputs!$E$73/inputs!$E$74</f>
        <v>21.447489523759263</v>
      </c>
      <c r="P516" s="70">
        <f>((MAX('Max rate concentrations'!Y:Y))*0.62*6.01*8*(12.3*F516^0.65)*0.079*0.1/F516)*inputs!$E$73/inputs!$E$74</f>
        <v>7.1491631745864215</v>
      </c>
      <c r="Q516" s="70">
        <f>(inputs!$C$18*11.2*(12.3*F516^0.65)*0.5/F516)*inputs!$E$73/inputs!$E$74</f>
        <v>3.7778741208510853</v>
      </c>
      <c r="R516" s="60">
        <f>(60*379*((F516/1000)^0.8)*3*24*(MAX('Max rate concentrations'!$R$3:$R$368))/F516)*(inputs!$E$73/inputs!$E$75)</f>
        <v>1.0320556153029972E-2</v>
      </c>
      <c r="S516" s="60">
        <f>(IF(inputs!$C$17="aerial",((0.025*0.112*inputs!$C$18/3.3)*(3*60*379*((F516/1000)^0.8))*MAX(inputs!$I$14:$I$16))/F516,((0.0083*0.112*inputs!$C$18/1)*(3*60*379*((F516/1000)^0.8))*MAX(inputs!$I$14:$I$16))/F516))*(inputs!E$75/inputs!$E$73)</f>
        <v>5.6918501261480535E-2</v>
      </c>
      <c r="T516" s="63">
        <f>IF((((inputs!$P$13/(V516/MAX(K516:S516)))^(1/inputs!$O$13))-1)/inputs!$N$13&lt;0, 0, IF((((inputs!$P$13/(V516/MAX(K516:S516)))^(1/inputs!$O$13))-1)/inputs!$N$13&lt;inputs!$I$17, (((inputs!$P$13/(V516/MAX(K516:S516)))^(1/inputs!$O$13))-1)/inputs!$N$13, inputs!$I$17))</f>
        <v>71.031450320726151</v>
      </c>
      <c r="U516" s="63">
        <f>IF((((inputs!$P$13/(X516/MAX(K516:S516)))^(1/inputs!$O$13))-1)/inputs!$N$13&lt;0, 0, IF((((inputs!$P$13/(X516/MAX(K516:S516)))^(1/inputs!$O$13))-1)/inputs!$N$13&lt;inputs!$I$17, (((inputs!$P$13/(X516/MAX(K516:S516)))^(1/inputs!$O$13))-1)/inputs!$N$13, inputs!$I$17))</f>
        <v>0</v>
      </c>
      <c r="V516" s="54">
        <f>inputs!$E$70*(inputs!$F$70/F516)^(0.25)</f>
        <v>0.82281546744781953</v>
      </c>
      <c r="W516" s="54">
        <f>inputs!$E$76*(inputs!$F$76/F516)^(0.25)</f>
        <v>0.24748737341529164</v>
      </c>
      <c r="X516" s="54">
        <f>inputs!$E$72*(inputs!$F$72/F516)^(0.25)</f>
        <v>36.300682387403803</v>
      </c>
      <c r="Y516" s="54" t="s">
        <v>13</v>
      </c>
      <c r="Z516" s="106">
        <f t="shared" ref="Z516:Z579" si="58">MAX(K516:S516)/V516</f>
        <v>26.065977576095332</v>
      </c>
      <c r="AA516" s="106">
        <f t="shared" ref="AA516:AA579" si="59">MAX(K516:S516)/W516</f>
        <v>86.660944466729205</v>
      </c>
    </row>
    <row r="517" spans="1:27" x14ac:dyDescent="0.25">
      <c r="A517" s="55" t="s">
        <v>594</v>
      </c>
      <c r="B517" s="49" t="s">
        <v>595</v>
      </c>
      <c r="C517" s="21" t="s">
        <v>61</v>
      </c>
      <c r="D517" s="20" t="s">
        <v>454</v>
      </c>
      <c r="E517" s="20">
        <v>1237</v>
      </c>
      <c r="F517" s="21">
        <v>1400</v>
      </c>
      <c r="G517" s="21" t="s">
        <v>138</v>
      </c>
      <c r="H517" s="21">
        <v>0.68</v>
      </c>
      <c r="I517" s="68">
        <f>MAX('Max rate concentrations'!$L$3:$L$368)</f>
        <v>350.52744091332482</v>
      </c>
      <c r="J517" s="68">
        <f>MAX('Max rate concentrations'!AD:AD)</f>
        <v>242.38599637623525</v>
      </c>
      <c r="K517" s="70">
        <f t="shared" si="56"/>
        <v>70.897205262910163</v>
      </c>
      <c r="L517" s="70">
        <f t="shared" si="57"/>
        <v>49.024663213714476</v>
      </c>
      <c r="M517" s="70">
        <f>IF((((0.326*F517^0.818)-(0.398*F517^0.85)/(1-H517)*H517)*(MAX('Max rate concentrations'!$P$3:$P$368)))/F517&gt;0, (((0.326*F517^0.818)-(0.398*F517^0.85)/(1-H517)*H517)*(MAX('Max rate concentrations'!$P$3:$P$368)))/F517, 0)</f>
        <v>0</v>
      </c>
      <c r="N517" s="70">
        <f>IF((((0.326*F517^0.818)-(0.398*F517^0.85)/(1-H517)*H517)*(MAX('Max rate concentrations'!$Q$3:$Q$368)))/F517&gt; 0, (((0.326*F517^0.818)-(0.398*F517^0.85)/(1-H517)*H517)*(MAX('Max rate concentrations'!$Q$3:$Q$368)))/F517, 0)</f>
        <v>0</v>
      </c>
      <c r="O517" s="70">
        <f>((MAX('Max rate concentrations'!$F$3:$F$368))*0.62*6.01*8*(12.3*F517^0.65)*0.079*0.1/F517)*inputs!$E$73/inputs!$E$74</f>
        <v>21.447489523759263</v>
      </c>
      <c r="P517" s="70">
        <f>((MAX('Max rate concentrations'!Y:Y))*0.62*6.01*8*(12.3*F517^0.65)*0.079*0.1/F517)*inputs!$E$73/inputs!$E$74</f>
        <v>7.1491631745864215</v>
      </c>
      <c r="Q517" s="70">
        <f>(inputs!$C$18*11.2*(12.3*F517^0.65)*0.5/F517)*inputs!$E$73/inputs!$E$74</f>
        <v>3.7778741208510853</v>
      </c>
      <c r="R517" s="60">
        <f>(60*379*((F517/1000)^0.8)*3*24*(MAX('Max rate concentrations'!$R$3:$R$368))/F517)*(inputs!$E$73/inputs!$E$75)</f>
        <v>1.0320556153029972E-2</v>
      </c>
      <c r="S517" s="60">
        <f>(IF(inputs!$C$17="aerial",((0.025*0.112*inputs!$C$18/3.3)*(3*60*379*((F517/1000)^0.8))*MAX(inputs!$I$14:$I$16))/F517,((0.0083*0.112*inputs!$C$18/1)*(3*60*379*((F517/1000)^0.8))*MAX(inputs!$I$14:$I$16))/F517))*(inputs!E$75/inputs!$E$73)</f>
        <v>5.6918501261480535E-2</v>
      </c>
      <c r="T517" s="63">
        <f>IF((((inputs!$P$13/(V517/MAX(K517:S517)))^(1/inputs!$O$13))-1)/inputs!$N$13&lt;0, 0, IF((((inputs!$P$13/(V517/MAX(K517:S517)))^(1/inputs!$O$13))-1)/inputs!$N$13&lt;inputs!$I$17, (((inputs!$P$13/(V517/MAX(K517:S517)))^(1/inputs!$O$13))-1)/inputs!$N$13, inputs!$I$17))</f>
        <v>195.30922899586741</v>
      </c>
      <c r="U517" s="63">
        <f>IF((((inputs!$P$13/(X517/MAX(K517:S517)))^(1/inputs!$O$13))-1)/inputs!$N$13&lt;0, 0, IF((((inputs!$P$13/(X517/MAX(K517:S517)))^(1/inputs!$O$13))-1)/inputs!$N$13&lt;inputs!$I$17, (((inputs!$P$13/(X517/MAX(K517:S517)))^(1/inputs!$O$13))-1)/inputs!$N$13, inputs!$I$17))</f>
        <v>4.1535577392731007</v>
      </c>
      <c r="V517" s="54">
        <f>inputs!$E$70*(inputs!$F$70/F517)^(0.25)</f>
        <v>0.82281546744781953</v>
      </c>
      <c r="W517" s="54">
        <f>inputs!$E$76*(inputs!$F$76/F517)^(0.25)</f>
        <v>0.24748737341529164</v>
      </c>
      <c r="X517" s="54">
        <f>inputs!$E$72*(inputs!$F$72/F517)^(0.25)</f>
        <v>36.300682387403803</v>
      </c>
      <c r="Y517" s="54" t="s">
        <v>13</v>
      </c>
      <c r="Z517" s="106">
        <f t="shared" si="58"/>
        <v>86.164162036011135</v>
      </c>
      <c r="AA517" s="106">
        <f t="shared" si="59"/>
        <v>286.46796919187636</v>
      </c>
    </row>
    <row r="518" spans="1:27" x14ac:dyDescent="0.25">
      <c r="A518" s="55" t="s">
        <v>594</v>
      </c>
      <c r="B518" s="49" t="s">
        <v>595</v>
      </c>
      <c r="C518" s="21" t="s">
        <v>61</v>
      </c>
      <c r="D518" s="20" t="s">
        <v>454</v>
      </c>
      <c r="E518" s="20">
        <v>1237</v>
      </c>
      <c r="F518" s="21">
        <v>1400</v>
      </c>
      <c r="G518" s="21" t="s">
        <v>152</v>
      </c>
      <c r="H518" s="21">
        <v>0.77</v>
      </c>
      <c r="I518" s="68">
        <f>MAX('Max rate concentrations'!$G$3:$G$368)</f>
        <v>45</v>
      </c>
      <c r="J518" s="68">
        <f>MAX('Max rate concentrations'!Z:Z)</f>
        <v>21</v>
      </c>
      <c r="K518" s="70">
        <f t="shared" si="56"/>
        <v>12.663149952910036</v>
      </c>
      <c r="L518" s="70">
        <f t="shared" si="57"/>
        <v>5.909469978024684</v>
      </c>
      <c r="M518" s="70">
        <f>IF((((0.326*F518^0.818)-(0.398*F518^0.85)/(1-H518)*H518)*(MAX('Max rate concentrations'!$P$3:$P$368)))/F518&gt;0, (((0.326*F518^0.818)-(0.398*F518^0.85)/(1-H518)*H518)*(MAX('Max rate concentrations'!$P$3:$P$368)))/F518, 0)</f>
        <v>0</v>
      </c>
      <c r="N518" s="70">
        <f>IF((((0.326*F518^0.818)-(0.398*F518^0.85)/(1-H518)*H518)*(MAX('Max rate concentrations'!$Q$3:$Q$368)))/F518&gt; 0, (((0.326*F518^0.818)-(0.398*F518^0.85)/(1-H518)*H518)*(MAX('Max rate concentrations'!$Q$3:$Q$368)))/F518, 0)</f>
        <v>0</v>
      </c>
      <c r="O518" s="70">
        <f>((MAX('Max rate concentrations'!$F$3:$F$368))*0.62*6.01*8*(12.3*F518^0.65)*0.079*0.1/F518)*inputs!$E$73/inputs!$E$74</f>
        <v>21.447489523759263</v>
      </c>
      <c r="P518" s="70">
        <f>((MAX('Max rate concentrations'!Y:Y))*0.62*6.01*8*(12.3*F518^0.65)*0.079*0.1/F518)*inputs!$E$73/inputs!$E$74</f>
        <v>7.1491631745864215</v>
      </c>
      <c r="Q518" s="70">
        <f>(inputs!$C$18*11.2*(12.3*F518^0.65)*0.5/F518)*inputs!$E$73/inputs!$E$74</f>
        <v>3.7778741208510853</v>
      </c>
      <c r="R518" s="60">
        <f>(60*379*((F518/1000)^0.8)*3*24*(MAX('Max rate concentrations'!$R$3:$R$368))/F518)*(inputs!$E$73/inputs!$E$75)</f>
        <v>1.0320556153029972E-2</v>
      </c>
      <c r="S518" s="60">
        <f>(IF(inputs!$C$17="aerial",((0.025*0.112*inputs!$C$18/3.3)*(3*60*379*((F518/1000)^0.8))*MAX(inputs!$I$14:$I$16))/F518,((0.0083*0.112*inputs!$C$18/1)*(3*60*379*((F518/1000)^0.8))*MAX(inputs!$I$14:$I$16))/F518))*(inputs!E$75/inputs!$E$73)</f>
        <v>5.6918501261480535E-2</v>
      </c>
      <c r="T518" s="63">
        <f>IF((((inputs!$P$13/(V518/MAX(K518:S518)))^(1/inputs!$O$13))-1)/inputs!$N$13&lt;0, 0, IF((((inputs!$P$13/(V518/MAX(K518:S518)))^(1/inputs!$O$13))-1)/inputs!$N$13&lt;inputs!$I$17, (((inputs!$P$13/(V518/MAX(K518:S518)))^(1/inputs!$O$13))-1)/inputs!$N$13, inputs!$I$17))</f>
        <v>71.031450320726151</v>
      </c>
      <c r="U518" s="63">
        <f>IF((((inputs!$P$13/(X518/MAX(K518:S518)))^(1/inputs!$O$13))-1)/inputs!$N$13&lt;0, 0, IF((((inputs!$P$13/(X518/MAX(K518:S518)))^(1/inputs!$O$13))-1)/inputs!$N$13&lt;inputs!$I$17, (((inputs!$P$13/(X518/MAX(K518:S518)))^(1/inputs!$O$13))-1)/inputs!$N$13, inputs!$I$17))</f>
        <v>0</v>
      </c>
      <c r="V518" s="54">
        <f>inputs!$E$70*(inputs!$F$70/F518)^(0.25)</f>
        <v>0.82281546744781953</v>
      </c>
      <c r="W518" s="54">
        <f>inputs!$E$76*(inputs!$F$76/F518)^(0.25)</f>
        <v>0.24748737341529164</v>
      </c>
      <c r="X518" s="54">
        <f>inputs!$E$72*(inputs!$F$72/F518)^(0.25)</f>
        <v>36.300682387403803</v>
      </c>
      <c r="Y518" s="54" t="s">
        <v>13</v>
      </c>
      <c r="Z518" s="106">
        <f t="shared" si="58"/>
        <v>26.065977576095332</v>
      </c>
      <c r="AA518" s="106">
        <f t="shared" si="59"/>
        <v>86.660944466729205</v>
      </c>
    </row>
    <row r="519" spans="1:27" x14ac:dyDescent="0.25">
      <c r="A519" s="55" t="s">
        <v>594</v>
      </c>
      <c r="B519" s="49" t="s">
        <v>595</v>
      </c>
      <c r="C519" s="21" t="s">
        <v>61</v>
      </c>
      <c r="D519" s="20" t="s">
        <v>454</v>
      </c>
      <c r="E519" s="20">
        <v>1237</v>
      </c>
      <c r="F519" s="21">
        <v>1400</v>
      </c>
      <c r="G519" s="21" t="s">
        <v>169</v>
      </c>
      <c r="H519" s="21">
        <v>0.79</v>
      </c>
      <c r="I519" s="68">
        <f>MAX('Max rate concentrations'!$D$3:$D$368)</f>
        <v>720</v>
      </c>
      <c r="J519" s="68">
        <f>MAX('Max rate concentrations'!W:W)</f>
        <v>255</v>
      </c>
      <c r="K519" s="70">
        <f t="shared" si="56"/>
        <v>221.90662774623306</v>
      </c>
      <c r="L519" s="70">
        <f t="shared" si="57"/>
        <v>78.591930660124206</v>
      </c>
      <c r="M519" s="70">
        <f>IF((((0.326*F519^0.818)-(0.398*F519^0.85)/(1-H519)*H519)*(MAX('Max rate concentrations'!$P$3:$P$368)))/F519&gt;0, (((0.326*F519^0.818)-(0.398*F519^0.85)/(1-H519)*H519)*(MAX('Max rate concentrations'!$P$3:$P$368)))/F519, 0)</f>
        <v>0</v>
      </c>
      <c r="N519" s="70">
        <f>IF((((0.326*F519^0.818)-(0.398*F519^0.85)/(1-H519)*H519)*(MAX('Max rate concentrations'!$Q$3:$Q$368)))/F519&gt; 0, (((0.326*F519^0.818)-(0.398*F519^0.85)/(1-H519)*H519)*(MAX('Max rate concentrations'!$Q$3:$Q$368)))/F519, 0)</f>
        <v>0</v>
      </c>
      <c r="O519" s="70">
        <f>((MAX('Max rate concentrations'!$F$3:$F$368))*0.62*6.01*8*(12.3*F519^0.65)*0.079*0.1/F519)*inputs!$E$73/inputs!$E$74</f>
        <v>21.447489523759263</v>
      </c>
      <c r="P519" s="70">
        <f>((MAX('Max rate concentrations'!Y:Y))*0.62*6.01*8*(12.3*F519^0.65)*0.079*0.1/F519)*inputs!$E$73/inputs!$E$74</f>
        <v>7.1491631745864215</v>
      </c>
      <c r="Q519" s="70">
        <f>(inputs!$C$18*11.2*(12.3*F519^0.65)*0.5/F519)*inputs!$E$73/inputs!$E$74</f>
        <v>3.7778741208510853</v>
      </c>
      <c r="R519" s="60">
        <f>(60*379*((F519/1000)^0.8)*3*24*(MAX('Max rate concentrations'!$R$3:$R$368))/F519)*(inputs!$E$73/inputs!$E$75)</f>
        <v>1.0320556153029972E-2</v>
      </c>
      <c r="S519" s="60">
        <f>(IF(inputs!$C$17="aerial",((0.025*0.112*inputs!$C$18/3.3)*(3*60*379*((F519/1000)^0.8))*MAX(inputs!$I$14:$I$16))/F519,((0.0083*0.112*inputs!$C$18/1)*(3*60*379*((F519/1000)^0.8))*MAX(inputs!$I$14:$I$16))/F519))*(inputs!E$75/inputs!$E$73)</f>
        <v>5.6918501261480535E-2</v>
      </c>
      <c r="T519" s="63">
        <f>IF((((inputs!$P$13/(V519/MAX(K519:S519)))^(1/inputs!$O$13))-1)/inputs!$N$13&lt;0, 0, IF((((inputs!$P$13/(V519/MAX(K519:S519)))^(1/inputs!$O$13))-1)/inputs!$N$13&lt;inputs!$I$17, (((inputs!$P$13/(V519/MAX(K519:S519)))^(1/inputs!$O$13))-1)/inputs!$N$13, inputs!$I$17))</f>
        <v>499.34377597305297</v>
      </c>
      <c r="U519" s="63">
        <f>IF((((inputs!$P$13/(X519/MAX(K519:S519)))^(1/inputs!$O$13))-1)/inputs!$N$13&lt;0, 0, IF((((inputs!$P$13/(X519/MAX(K519:S519)))^(1/inputs!$O$13))-1)/inputs!$N$13&lt;inputs!$I$17, (((inputs!$P$13/(X519/MAX(K519:S519)))^(1/inputs!$O$13))-1)/inputs!$N$13, inputs!$I$17))</f>
        <v>18.376060613268933</v>
      </c>
      <c r="V519" s="54">
        <f>inputs!$E$70*(inputs!$F$70/F519)^(0.25)</f>
        <v>0.82281546744781953</v>
      </c>
      <c r="W519" s="54">
        <f>inputs!$E$76*(inputs!$F$76/F519)^(0.25)</f>
        <v>0.24748737341529164</v>
      </c>
      <c r="X519" s="54">
        <f>inputs!$E$72*(inputs!$F$72/F519)^(0.25)</f>
        <v>36.300682387403803</v>
      </c>
      <c r="Y519" s="54" t="s">
        <v>13</v>
      </c>
      <c r="Z519" s="106">
        <f t="shared" si="58"/>
        <v>269.69185257848318</v>
      </c>
      <c r="AA519" s="106">
        <f t="shared" si="59"/>
        <v>896.63817868343006</v>
      </c>
    </row>
    <row r="520" spans="1:27" x14ac:dyDescent="0.25">
      <c r="A520" s="55" t="s">
        <v>594</v>
      </c>
      <c r="B520" s="49" t="s">
        <v>595</v>
      </c>
      <c r="C520" s="21" t="s">
        <v>61</v>
      </c>
      <c r="D520" s="20" t="s">
        <v>454</v>
      </c>
      <c r="E520" s="20">
        <v>1237</v>
      </c>
      <c r="F520" s="21">
        <v>1400</v>
      </c>
      <c r="G520" s="21" t="s">
        <v>456</v>
      </c>
      <c r="H520" s="21">
        <v>0.68</v>
      </c>
      <c r="I520" s="68">
        <f>MAX('Max rate concentrations'!$J$3:$J$368)</f>
        <v>686.46486205830786</v>
      </c>
      <c r="J520" s="68">
        <f>MAX('Max rate concentrations'!AB:AB)</f>
        <v>243.122971978984</v>
      </c>
      <c r="K520" s="70">
        <f t="shared" si="56"/>
        <v>138.84345289576757</v>
      </c>
      <c r="L520" s="70">
        <f t="shared" si="57"/>
        <v>49.173722900584345</v>
      </c>
      <c r="M520" s="70">
        <f>IF((((0.326*F520^0.818)-(0.398*F520^0.85)/(1-H520)*H520)*(MAX('Max rate concentrations'!$P$3:$P$368)))/F520&gt;0, (((0.326*F520^0.818)-(0.398*F520^0.85)/(1-H520)*H520)*(MAX('Max rate concentrations'!$P$3:$P$368)))/F520, 0)</f>
        <v>0</v>
      </c>
      <c r="N520" s="70">
        <f>IF((((0.326*F520^0.818)-(0.398*F520^0.85)/(1-H520)*H520)*(MAX('Max rate concentrations'!$Q$3:$Q$368)))/F520&gt; 0, (((0.326*F520^0.818)-(0.398*F520^0.85)/(1-H520)*H520)*(MAX('Max rate concentrations'!$Q$3:$Q$368)))/F520, 0)</f>
        <v>0</v>
      </c>
      <c r="O520" s="70">
        <f>((MAX('Max rate concentrations'!$F$3:$F$368))*0.62*6.01*8*(12.3*F520^0.65)*0.079*0.1/F520)*inputs!$E$73/inputs!$E$74</f>
        <v>21.447489523759263</v>
      </c>
      <c r="P520" s="70">
        <f>((MAX('Max rate concentrations'!Y:Y))*0.62*6.01*8*(12.3*F520^0.65)*0.079*0.1/F520)*inputs!$E$73/inputs!$E$74</f>
        <v>7.1491631745864215</v>
      </c>
      <c r="Q520" s="70">
        <f>(inputs!$C$18*11.2*(12.3*F520^0.65)*0.5/F520)*inputs!$E$73/inputs!$E$74</f>
        <v>3.7778741208510853</v>
      </c>
      <c r="R520" s="60">
        <f>(60*379*((F520/1000)^0.8)*3*24*(MAX('Max rate concentrations'!$R$3:$R$368))/F520)*(inputs!$E$73/inputs!$E$75)</f>
        <v>1.0320556153029972E-2</v>
      </c>
      <c r="S520" s="60">
        <f>(IF(inputs!$C$17="aerial",((0.025*0.112*inputs!$C$18/3.3)*(3*60*379*((F520/1000)^0.8))*MAX(inputs!$I$14:$I$16))/F520,((0.0083*0.112*inputs!$C$18/1)*(3*60*379*((F520/1000)^0.8))*MAX(inputs!$I$14:$I$16))/F520))*(inputs!E$75/inputs!$E$73)</f>
        <v>5.6918501261480535E-2</v>
      </c>
      <c r="T520" s="63">
        <f>IF((((inputs!$P$13/(V520/MAX(K520:S520)))^(1/inputs!$O$13))-1)/inputs!$N$13&lt;0, 0, IF((((inputs!$P$13/(V520/MAX(K520:S520)))^(1/inputs!$O$13))-1)/inputs!$N$13&lt;inputs!$I$17, (((inputs!$P$13/(V520/MAX(K520:S520)))^(1/inputs!$O$13))-1)/inputs!$N$13, inputs!$I$17))</f>
        <v>340.10805039747788</v>
      </c>
      <c r="U520" s="63">
        <f>IF((((inputs!$P$13/(X520/MAX(K520:S520)))^(1/inputs!$O$13))-1)/inputs!$N$13&lt;0, 0, IF((((inputs!$P$13/(X520/MAX(K520:S520)))^(1/inputs!$O$13))-1)/inputs!$N$13&lt;inputs!$I$17, (((inputs!$P$13/(X520/MAX(K520:S520)))^(1/inputs!$O$13))-1)/inputs!$N$13, inputs!$I$17))</f>
        <v>10.927135525123035</v>
      </c>
      <c r="V520" s="54">
        <f>inputs!$E$70*(inputs!$F$70/F520)^(0.25)</f>
        <v>0.82281546744781953</v>
      </c>
      <c r="W520" s="54">
        <f>inputs!$E$76*(inputs!$F$76/F520)^(0.25)</f>
        <v>0.24748737341529164</v>
      </c>
      <c r="X520" s="54">
        <f>inputs!$E$72*(inputs!$F$72/F520)^(0.25)</f>
        <v>36.300682387403803</v>
      </c>
      <c r="Y520" s="54" t="s">
        <v>13</v>
      </c>
      <c r="Z520" s="106">
        <f t="shared" si="58"/>
        <v>168.74190919918823</v>
      </c>
      <c r="AA520" s="106">
        <f t="shared" si="59"/>
        <v>561.01226894829847</v>
      </c>
    </row>
    <row r="521" spans="1:27" x14ac:dyDescent="0.25">
      <c r="A521" s="55" t="s">
        <v>594</v>
      </c>
      <c r="B521" s="49" t="s">
        <v>595</v>
      </c>
      <c r="C521" s="21" t="s">
        <v>61</v>
      </c>
      <c r="D521" s="20" t="s">
        <v>454</v>
      </c>
      <c r="E521" s="20">
        <v>1237</v>
      </c>
      <c r="F521" s="21">
        <v>1400</v>
      </c>
      <c r="G521" s="21" t="s">
        <v>145</v>
      </c>
      <c r="H521" s="21">
        <v>0.66</v>
      </c>
      <c r="I521" s="68">
        <f>MAX('Max rate concentrations'!$M$3:$M$368)</f>
        <v>17.092910873809167</v>
      </c>
      <c r="J521" s="68">
        <f>MAX('Max rate concentrations'!AE:AE)</f>
        <v>11.81956602976166</v>
      </c>
      <c r="K521" s="70">
        <f t="shared" si="56"/>
        <v>3.2538249353697757</v>
      </c>
      <c r="L521" s="70">
        <f t="shared" si="57"/>
        <v>2.2499853276493131</v>
      </c>
      <c r="M521" s="70">
        <f>IF((((0.326*F521^0.818)-(0.398*F521^0.85)/(1-H521)*H521)*(MAX('Max rate concentrations'!$P$3:$P$368)))/F521&gt;0, (((0.326*F521^0.818)-(0.398*F521^0.85)/(1-H521)*H521)*(MAX('Max rate concentrations'!$P$3:$P$368)))/F521, 0)</f>
        <v>0</v>
      </c>
      <c r="N521" s="70">
        <f>IF((((0.326*F521^0.818)-(0.398*F521^0.85)/(1-H521)*H521)*(MAX('Max rate concentrations'!$Q$3:$Q$368)))/F521&gt; 0, (((0.326*F521^0.818)-(0.398*F521^0.85)/(1-H521)*H521)*(MAX('Max rate concentrations'!$Q$3:$Q$368)))/F521, 0)</f>
        <v>0</v>
      </c>
      <c r="O521" s="70">
        <f>((MAX('Max rate concentrations'!$F$3:$F$368))*0.62*6.01*8*(12.3*F521^0.65)*0.079*0.1/F521)*inputs!$E$73/inputs!$E$74</f>
        <v>21.447489523759263</v>
      </c>
      <c r="P521" s="70">
        <f>((MAX('Max rate concentrations'!Y:Y))*0.62*6.01*8*(12.3*F521^0.65)*0.079*0.1/F521)*inputs!$E$73/inputs!$E$74</f>
        <v>7.1491631745864215</v>
      </c>
      <c r="Q521" s="70">
        <f>(inputs!$C$18*11.2*(12.3*F521^0.65)*0.5/F521)*inputs!$E$73/inputs!$E$74</f>
        <v>3.7778741208510853</v>
      </c>
      <c r="R521" s="60">
        <f>(60*379*((F521/1000)^0.8)*3*24*(MAX('Max rate concentrations'!$R$3:$R$368))/F521)*(inputs!$E$73/inputs!$E$75)</f>
        <v>1.0320556153029972E-2</v>
      </c>
      <c r="S521" s="60">
        <f>(IF(inputs!$C$17="aerial",((0.025*0.112*inputs!$C$18/3.3)*(3*60*379*((F521/1000)^0.8))*MAX(inputs!$I$14:$I$16))/F521,((0.0083*0.112*inputs!$C$18/1)*(3*60*379*((F521/1000)^0.8))*MAX(inputs!$I$14:$I$16))/F521))*(inputs!E$75/inputs!$E$73)</f>
        <v>5.6918501261480535E-2</v>
      </c>
      <c r="T521" s="63">
        <f>IF((((inputs!$P$13/(V521/MAX(K521:S521)))^(1/inputs!$O$13))-1)/inputs!$N$13&lt;0, 0, IF((((inputs!$P$13/(V521/MAX(K521:S521)))^(1/inputs!$O$13))-1)/inputs!$N$13&lt;inputs!$I$17, (((inputs!$P$13/(V521/MAX(K521:S521)))^(1/inputs!$O$13))-1)/inputs!$N$13, inputs!$I$17))</f>
        <v>71.031450320726151</v>
      </c>
      <c r="U521" s="63">
        <f>IF((((inputs!$P$13/(X521/MAX(K521:S521)))^(1/inputs!$O$13))-1)/inputs!$N$13&lt;0, 0, IF((((inputs!$P$13/(X521/MAX(K521:S521)))^(1/inputs!$O$13))-1)/inputs!$N$13&lt;inputs!$I$17, (((inputs!$P$13/(X521/MAX(K521:S521)))^(1/inputs!$O$13))-1)/inputs!$N$13, inputs!$I$17))</f>
        <v>0</v>
      </c>
      <c r="V521" s="54">
        <f>inputs!$E$70*(inputs!$F$70/F521)^(0.25)</f>
        <v>0.82281546744781953</v>
      </c>
      <c r="W521" s="54">
        <f>inputs!$E$76*(inputs!$F$76/F521)^(0.25)</f>
        <v>0.24748737341529164</v>
      </c>
      <c r="X521" s="54">
        <f>inputs!$E$72*(inputs!$F$72/F521)^(0.25)</f>
        <v>36.300682387403803</v>
      </c>
      <c r="Y521" s="54" t="s">
        <v>13</v>
      </c>
      <c r="Z521" s="106">
        <f t="shared" si="58"/>
        <v>26.065977576095332</v>
      </c>
      <c r="AA521" s="106">
        <f t="shared" si="59"/>
        <v>86.660944466729205</v>
      </c>
    </row>
    <row r="522" spans="1:27" x14ac:dyDescent="0.25">
      <c r="A522" s="55" t="s">
        <v>598</v>
      </c>
      <c r="B522" s="49" t="s">
        <v>599</v>
      </c>
      <c r="C522" s="21" t="s">
        <v>61</v>
      </c>
      <c r="D522" s="20" t="s">
        <v>454</v>
      </c>
      <c r="E522" s="20">
        <v>1238</v>
      </c>
      <c r="F522" s="21">
        <v>1400</v>
      </c>
      <c r="G522" s="21" t="s">
        <v>182</v>
      </c>
      <c r="H522" s="21">
        <v>0.85</v>
      </c>
      <c r="I522" s="68">
        <f>MAX('Max rate concentrations'!$M$3:$M$368)</f>
        <v>17.092910873809167</v>
      </c>
      <c r="J522" s="68">
        <f>MAX('Max rate concentrations'!AE:AE)</f>
        <v>11.81956602976166</v>
      </c>
      <c r="K522" s="70">
        <f t="shared" si="56"/>
        <v>7.3753365201714898</v>
      </c>
      <c r="L522" s="70">
        <f t="shared" si="57"/>
        <v>5.099966742671775</v>
      </c>
      <c r="M522" s="70">
        <f>IF((((0.326*F522^0.818)-(0.398*F522^0.85)/(1-H522)*H522)*(MAX('Max rate concentrations'!$P$3:$P$368)))/F522&gt;0, (((0.326*F522^0.818)-(0.398*F522^0.85)/(1-H522)*H522)*(MAX('Max rate concentrations'!$P$3:$P$368)))/F522, 0)</f>
        <v>0</v>
      </c>
      <c r="N522" s="70">
        <f>IF((((0.326*F522^0.818)-(0.398*F522^0.85)/(1-H522)*H522)*(MAX('Max rate concentrations'!$Q$3:$Q$368)))/F522&gt; 0, (((0.326*F522^0.818)-(0.398*F522^0.85)/(1-H522)*H522)*(MAX('Max rate concentrations'!$Q$3:$Q$368)))/F522, 0)</f>
        <v>0</v>
      </c>
      <c r="O522" s="70">
        <f>((MAX('Max rate concentrations'!$F$3:$F$368))*0.62*6.01*8*(12.3*F522^0.65)*0.079*0.1/F522)*inputs!$E$73/inputs!$E$74</f>
        <v>21.447489523759263</v>
      </c>
      <c r="P522" s="70">
        <f>((MAX('Max rate concentrations'!Y:Y))*0.62*6.01*8*(12.3*F522^0.65)*0.079*0.1/F522)*inputs!$E$73/inputs!$E$74</f>
        <v>7.1491631745864215</v>
      </c>
      <c r="Q522" s="70">
        <f>(inputs!$C$18*11.2*(12.3*F522^0.65)*0.5/F522)*inputs!$E$73/inputs!$E$74</f>
        <v>3.7778741208510853</v>
      </c>
      <c r="R522" s="60">
        <f>(60*379*((F522/1000)^0.8)*3*24*(MAX('Max rate concentrations'!$R$3:$R$368))/F522)*(inputs!$E$73/inputs!$E$75)</f>
        <v>1.0320556153029972E-2</v>
      </c>
      <c r="S522" s="60">
        <f>(IF(inputs!$C$17="aerial",((0.025*0.112*inputs!$C$18/3.3)*(3*60*379*((F522/1000)^0.8))*MAX(inputs!$I$14:$I$16))/F522,((0.0083*0.112*inputs!$C$18/1)*(3*60*379*((F522/1000)^0.8))*MAX(inputs!$I$14:$I$16))/F522))*(inputs!E$75/inputs!$E$73)</f>
        <v>5.6918501261480535E-2</v>
      </c>
      <c r="T522" s="63">
        <f>IF((((inputs!$P$13/(V522/MAX(K522:S522)))^(1/inputs!$O$13))-1)/inputs!$N$13&lt;0, 0, IF((((inputs!$P$13/(V522/MAX(K522:S522)))^(1/inputs!$O$13))-1)/inputs!$N$13&lt;inputs!$I$17, (((inputs!$P$13/(V522/MAX(K522:S522)))^(1/inputs!$O$13))-1)/inputs!$N$13, inputs!$I$17))</f>
        <v>71.031450320726151</v>
      </c>
      <c r="U522" s="63">
        <f>IF((((inputs!$P$13/(X522/MAX(K522:S522)))^(1/inputs!$O$13))-1)/inputs!$N$13&lt;0, 0, IF((((inputs!$P$13/(X522/MAX(K522:S522)))^(1/inputs!$O$13))-1)/inputs!$N$13&lt;inputs!$I$17, (((inputs!$P$13/(X522/MAX(K522:S522)))^(1/inputs!$O$13))-1)/inputs!$N$13, inputs!$I$17))</f>
        <v>0</v>
      </c>
      <c r="V522" s="54">
        <f>inputs!$E$70*(inputs!$F$70/F522)^(0.25)</f>
        <v>0.82281546744781953</v>
      </c>
      <c r="W522" s="54">
        <f>inputs!$E$76*(inputs!$F$76/F522)^(0.25)</f>
        <v>0.24748737341529164</v>
      </c>
      <c r="X522" s="54">
        <f>inputs!$E$72*(inputs!$F$72/F522)^(0.25)</f>
        <v>36.300682387403803</v>
      </c>
      <c r="Y522" s="54" t="s">
        <v>13</v>
      </c>
      <c r="Z522" s="106">
        <f t="shared" si="58"/>
        <v>26.065977576095332</v>
      </c>
      <c r="AA522" s="106">
        <f t="shared" si="59"/>
        <v>86.660944466729205</v>
      </c>
    </row>
    <row r="523" spans="1:27" x14ac:dyDescent="0.25">
      <c r="A523" s="55" t="s">
        <v>598</v>
      </c>
      <c r="B523" s="49" t="s">
        <v>599</v>
      </c>
      <c r="C523" s="21" t="s">
        <v>61</v>
      </c>
      <c r="D523" s="20" t="s">
        <v>454</v>
      </c>
      <c r="E523" s="20">
        <v>1238</v>
      </c>
      <c r="F523" s="21">
        <v>1400</v>
      </c>
      <c r="G523" s="21" t="s">
        <v>142</v>
      </c>
      <c r="H523" s="21">
        <v>0.69</v>
      </c>
      <c r="I523" s="68">
        <f>MAX('Max rate concentrations'!$H$3:$H$368)</f>
        <v>282</v>
      </c>
      <c r="J523" s="68">
        <f>MAX('Max rate concentrations'!AA:AA)</f>
        <v>195</v>
      </c>
      <c r="K523" s="70">
        <f t="shared" si="56"/>
        <v>58.876839135895686</v>
      </c>
      <c r="L523" s="70">
        <f t="shared" si="57"/>
        <v>40.71270791311936</v>
      </c>
      <c r="M523" s="70">
        <f>IF((((0.326*F523^0.818)-(0.398*F523^0.85)/(1-H523)*H523)*(MAX('Max rate concentrations'!$P$3:$P$368)))/F523&gt;0, (((0.326*F523^0.818)-(0.398*F523^0.85)/(1-H523)*H523)*(MAX('Max rate concentrations'!$P$3:$P$368)))/F523, 0)</f>
        <v>0</v>
      </c>
      <c r="N523" s="70">
        <f>IF((((0.326*F523^0.818)-(0.398*F523^0.85)/(1-H523)*H523)*(MAX('Max rate concentrations'!$Q$3:$Q$368)))/F523&gt; 0, (((0.326*F523^0.818)-(0.398*F523^0.85)/(1-H523)*H523)*(MAX('Max rate concentrations'!$Q$3:$Q$368)))/F523, 0)</f>
        <v>0</v>
      </c>
      <c r="O523" s="70">
        <f>((MAX('Max rate concentrations'!$F$3:$F$368))*0.62*6.01*8*(12.3*F523^0.65)*0.079*0.1/F523)*inputs!$E$73/inputs!$E$74</f>
        <v>21.447489523759263</v>
      </c>
      <c r="P523" s="70">
        <f>((MAX('Max rate concentrations'!Y:Y))*0.62*6.01*8*(12.3*F523^0.65)*0.079*0.1/F523)*inputs!$E$73/inputs!$E$74</f>
        <v>7.1491631745864215</v>
      </c>
      <c r="Q523" s="70">
        <f>(inputs!$C$18*11.2*(12.3*F523^0.65)*0.5/F523)*inputs!$E$73/inputs!$E$74</f>
        <v>3.7778741208510853</v>
      </c>
      <c r="R523" s="60">
        <f>(60*379*((F523/1000)^0.8)*3*24*(MAX('Max rate concentrations'!$R$3:$R$368))/F523)*(inputs!$E$73/inputs!$E$75)</f>
        <v>1.0320556153029972E-2</v>
      </c>
      <c r="S523" s="60">
        <f>(IF(inputs!$C$17="aerial",((0.025*0.112*inputs!$C$18/3.3)*(3*60*379*((F523/1000)^0.8))*MAX(inputs!$I$14:$I$16))/F523,((0.0083*0.112*inputs!$C$18/1)*(3*60*379*((F523/1000)^0.8))*MAX(inputs!$I$14:$I$16))/F523))*(inputs!E$75/inputs!$E$73)</f>
        <v>5.6918501261480535E-2</v>
      </c>
      <c r="T523" s="63">
        <f>IF((((inputs!$P$13/(V523/MAX(K523:S523)))^(1/inputs!$O$13))-1)/inputs!$N$13&lt;0, 0, IF((((inputs!$P$13/(V523/MAX(K523:S523)))^(1/inputs!$O$13))-1)/inputs!$N$13&lt;inputs!$I$17, (((inputs!$P$13/(V523/MAX(K523:S523)))^(1/inputs!$O$13))-1)/inputs!$N$13, inputs!$I$17))</f>
        <v>167.33515411391383</v>
      </c>
      <c r="U523" s="63">
        <f>IF((((inputs!$P$13/(X523/MAX(K523:S523)))^(1/inputs!$O$13))-1)/inputs!$N$13&lt;0, 0, IF((((inputs!$P$13/(X523/MAX(K523:S523)))^(1/inputs!$O$13))-1)/inputs!$N$13&lt;inputs!$I$17, (((inputs!$P$13/(X523/MAX(K523:S523)))^(1/inputs!$O$13))-1)/inputs!$N$13, inputs!$I$17))</f>
        <v>2.8449519760082627</v>
      </c>
      <c r="V523" s="54">
        <f>inputs!$E$70*(inputs!$F$70/F523)^(0.25)</f>
        <v>0.82281546744781953</v>
      </c>
      <c r="W523" s="54">
        <f>inputs!$E$76*(inputs!$F$76/F523)^(0.25)</f>
        <v>0.24748737341529164</v>
      </c>
      <c r="X523" s="54">
        <f>inputs!$E$72*(inputs!$F$72/F523)^(0.25)</f>
        <v>36.300682387403803</v>
      </c>
      <c r="Y523" s="54" t="s">
        <v>13</v>
      </c>
      <c r="Z523" s="106">
        <f t="shared" si="58"/>
        <v>71.555338305097521</v>
      </c>
      <c r="AA523" s="106">
        <f t="shared" si="59"/>
        <v>237.89835547326484</v>
      </c>
    </row>
    <row r="524" spans="1:27" x14ac:dyDescent="0.25">
      <c r="A524" s="55" t="s">
        <v>598</v>
      </c>
      <c r="B524" s="49" t="s">
        <v>599</v>
      </c>
      <c r="C524" s="21" t="s">
        <v>61</v>
      </c>
      <c r="D524" s="20" t="s">
        <v>454</v>
      </c>
      <c r="E524" s="20">
        <v>1238</v>
      </c>
      <c r="F524" s="21">
        <v>1400</v>
      </c>
      <c r="G524" s="21" t="s">
        <v>164</v>
      </c>
      <c r="H524" s="21">
        <v>0.78</v>
      </c>
      <c r="I524" s="68">
        <f>inputs!$C$66*(inputs!$C$62/1000)</f>
        <v>8.2000000000000011</v>
      </c>
      <c r="J524" s="68">
        <f>inputs!$C$66*(inputs!$C$61/1000)</f>
        <v>2.5</v>
      </c>
      <c r="K524" s="70">
        <f t="shared" si="56"/>
        <v>2.4123940213321546</v>
      </c>
      <c r="L524" s="70">
        <f t="shared" si="57"/>
        <v>0.73548598211346172</v>
      </c>
      <c r="M524" s="70">
        <f>IF((((0.326*F524^0.818)-(0.398*F524^0.85)/(1-H524)*H524)*(MAX('Max rate concentrations'!$P$3:$P$368)))/F524&gt;0, (((0.326*F524^0.818)-(0.398*F524^0.85)/(1-H524)*H524)*(MAX('Max rate concentrations'!$P$3:$P$368)))/F524, 0)</f>
        <v>0</v>
      </c>
      <c r="N524" s="70">
        <f>IF((((0.326*F524^0.818)-(0.398*F524^0.85)/(1-H524)*H524)*(MAX('Max rate concentrations'!$Q$3:$Q$368)))/F524&gt; 0, (((0.326*F524^0.818)-(0.398*F524^0.85)/(1-H524)*H524)*(MAX('Max rate concentrations'!$Q$3:$Q$368)))/F524, 0)</f>
        <v>0</v>
      </c>
      <c r="O524" s="70">
        <f>((MAX('Max rate concentrations'!$F$3:$F$368))*0.62*6.01*8*(12.3*F524^0.65)*0.079*0.1/F524)*inputs!$E$73/inputs!$E$74</f>
        <v>21.447489523759263</v>
      </c>
      <c r="P524" s="70">
        <f>((MAX('Max rate concentrations'!Y:Y))*0.62*6.01*8*(12.3*F524^0.65)*0.079*0.1/F524)*inputs!$E$73/inputs!$E$74</f>
        <v>7.1491631745864215</v>
      </c>
      <c r="Q524" s="70">
        <f>(inputs!$C$18*11.2*(12.3*F524^0.65)*0.5/F524)*inputs!$E$73/inputs!$E$74</f>
        <v>3.7778741208510853</v>
      </c>
      <c r="R524" s="60">
        <f>(60*379*((F524/1000)^0.8)*3*24*(MAX('Max rate concentrations'!$R$3:$R$368))/F524)*(inputs!$E$73/inputs!$E$75)</f>
        <v>1.0320556153029972E-2</v>
      </c>
      <c r="S524" s="60">
        <f>(IF(inputs!$C$17="aerial",((0.025*0.112*inputs!$C$18/3.3)*(3*60*379*((F524/1000)^0.8))*MAX(inputs!$I$14:$I$16))/F524,((0.0083*0.112*inputs!$C$18/1)*(3*60*379*((F524/1000)^0.8))*MAX(inputs!$I$14:$I$16))/F524))*(inputs!E$75/inputs!$E$73)</f>
        <v>5.6918501261480535E-2</v>
      </c>
      <c r="T524" s="63">
        <f>IF((((inputs!$P$13/(V524/MAX(K524:S524)))^(1/inputs!$O$13))-1)/inputs!$N$13&lt;0, 0, IF((((inputs!$P$13/(V524/MAX(K524:S524)))^(1/inputs!$O$13))-1)/inputs!$N$13&lt;inputs!$I$17, (((inputs!$P$13/(V524/MAX(K524:S524)))^(1/inputs!$O$13))-1)/inputs!$N$13, inputs!$I$17))</f>
        <v>71.031450320726151</v>
      </c>
      <c r="U524" s="63">
        <f>IF((((inputs!$P$13/(X524/MAX(K524:S524)))^(1/inputs!$O$13))-1)/inputs!$N$13&lt;0, 0, IF((((inputs!$P$13/(X524/MAX(K524:S524)))^(1/inputs!$O$13))-1)/inputs!$N$13&lt;inputs!$I$17, (((inputs!$P$13/(X524/MAX(K524:S524)))^(1/inputs!$O$13))-1)/inputs!$N$13, inputs!$I$17))</f>
        <v>0</v>
      </c>
      <c r="V524" s="54">
        <f>inputs!$E$70*(inputs!$F$70/F524)^(0.25)</f>
        <v>0.82281546744781953</v>
      </c>
      <c r="W524" s="54">
        <f>inputs!$E$76*(inputs!$F$76/F524)^(0.25)</f>
        <v>0.24748737341529164</v>
      </c>
      <c r="X524" s="54">
        <f>inputs!$E$72*(inputs!$F$72/F524)^(0.25)</f>
        <v>36.300682387403803</v>
      </c>
      <c r="Y524" s="54" t="s">
        <v>13</v>
      </c>
      <c r="Z524" s="106">
        <f t="shared" si="58"/>
        <v>26.065977576095332</v>
      </c>
      <c r="AA524" s="106">
        <f t="shared" si="59"/>
        <v>86.660944466729205</v>
      </c>
    </row>
    <row r="525" spans="1:27" x14ac:dyDescent="0.25">
      <c r="A525" s="55" t="s">
        <v>598</v>
      </c>
      <c r="B525" s="49" t="s">
        <v>599</v>
      </c>
      <c r="C525" s="21" t="s">
        <v>61</v>
      </c>
      <c r="D525" s="20" t="s">
        <v>454</v>
      </c>
      <c r="E525" s="20">
        <v>1238</v>
      </c>
      <c r="F525" s="21">
        <v>1400</v>
      </c>
      <c r="G525" s="21" t="s">
        <v>138</v>
      </c>
      <c r="H525" s="21">
        <v>0.68</v>
      </c>
      <c r="I525" s="68">
        <f>MAX('Max rate concentrations'!$L$3:$L$368)</f>
        <v>350.52744091332482</v>
      </c>
      <c r="J525" s="68">
        <f>MAX('Max rate concentrations'!AD:AD)</f>
        <v>242.38599637623525</v>
      </c>
      <c r="K525" s="70">
        <f t="shared" si="56"/>
        <v>70.897205262910163</v>
      </c>
      <c r="L525" s="70">
        <f t="shared" si="57"/>
        <v>49.024663213714476</v>
      </c>
      <c r="M525" s="70">
        <f>IF((((0.326*F525^0.818)-(0.398*F525^0.85)/(1-H525)*H525)*(MAX('Max rate concentrations'!$P$3:$P$368)))/F525&gt;0, (((0.326*F525^0.818)-(0.398*F525^0.85)/(1-H525)*H525)*(MAX('Max rate concentrations'!$P$3:$P$368)))/F525, 0)</f>
        <v>0</v>
      </c>
      <c r="N525" s="70">
        <f>IF((((0.326*F525^0.818)-(0.398*F525^0.85)/(1-H525)*H525)*(MAX('Max rate concentrations'!$Q$3:$Q$368)))/F525&gt; 0, (((0.326*F525^0.818)-(0.398*F525^0.85)/(1-H525)*H525)*(MAX('Max rate concentrations'!$Q$3:$Q$368)))/F525, 0)</f>
        <v>0</v>
      </c>
      <c r="O525" s="70">
        <f>((MAX('Max rate concentrations'!$F$3:$F$368))*0.62*6.01*8*(12.3*F525^0.65)*0.079*0.1/F525)*inputs!$E$73/inputs!$E$74</f>
        <v>21.447489523759263</v>
      </c>
      <c r="P525" s="70">
        <f>((MAX('Max rate concentrations'!Y:Y))*0.62*6.01*8*(12.3*F525^0.65)*0.079*0.1/F525)*inputs!$E$73/inputs!$E$74</f>
        <v>7.1491631745864215</v>
      </c>
      <c r="Q525" s="70">
        <f>(inputs!$C$18*11.2*(12.3*F525^0.65)*0.5/F525)*inputs!$E$73/inputs!$E$74</f>
        <v>3.7778741208510853</v>
      </c>
      <c r="R525" s="60">
        <f>(60*379*((F525/1000)^0.8)*3*24*(MAX('Max rate concentrations'!$R$3:$R$368))/F525)*(inputs!$E$73/inputs!$E$75)</f>
        <v>1.0320556153029972E-2</v>
      </c>
      <c r="S525" s="60">
        <f>(IF(inputs!$C$17="aerial",((0.025*0.112*inputs!$C$18/3.3)*(3*60*379*((F525/1000)^0.8))*MAX(inputs!$I$14:$I$16))/F525,((0.0083*0.112*inputs!$C$18/1)*(3*60*379*((F525/1000)^0.8))*MAX(inputs!$I$14:$I$16))/F525))*(inputs!E$75/inputs!$E$73)</f>
        <v>5.6918501261480535E-2</v>
      </c>
      <c r="T525" s="63">
        <f>IF((((inputs!$P$13/(V525/MAX(K525:S525)))^(1/inputs!$O$13))-1)/inputs!$N$13&lt;0, 0, IF((((inputs!$P$13/(V525/MAX(K525:S525)))^(1/inputs!$O$13))-1)/inputs!$N$13&lt;inputs!$I$17, (((inputs!$P$13/(V525/MAX(K525:S525)))^(1/inputs!$O$13))-1)/inputs!$N$13, inputs!$I$17))</f>
        <v>195.30922899586741</v>
      </c>
      <c r="U525" s="63">
        <f>IF((((inputs!$P$13/(X525/MAX(K525:S525)))^(1/inputs!$O$13))-1)/inputs!$N$13&lt;0, 0, IF((((inputs!$P$13/(X525/MAX(K525:S525)))^(1/inputs!$O$13))-1)/inputs!$N$13&lt;inputs!$I$17, (((inputs!$P$13/(X525/MAX(K525:S525)))^(1/inputs!$O$13))-1)/inputs!$N$13, inputs!$I$17))</f>
        <v>4.1535577392731007</v>
      </c>
      <c r="V525" s="54">
        <f>inputs!$E$70*(inputs!$F$70/F525)^(0.25)</f>
        <v>0.82281546744781953</v>
      </c>
      <c r="W525" s="54">
        <f>inputs!$E$76*(inputs!$F$76/F525)^(0.25)</f>
        <v>0.24748737341529164</v>
      </c>
      <c r="X525" s="54">
        <f>inputs!$E$72*(inputs!$F$72/F525)^(0.25)</f>
        <v>36.300682387403803</v>
      </c>
      <c r="Y525" s="54" t="s">
        <v>13</v>
      </c>
      <c r="Z525" s="106">
        <f t="shared" si="58"/>
        <v>86.164162036011135</v>
      </c>
      <c r="AA525" s="106">
        <f t="shared" si="59"/>
        <v>286.46796919187636</v>
      </c>
    </row>
    <row r="526" spans="1:27" x14ac:dyDescent="0.25">
      <c r="A526" s="55" t="s">
        <v>598</v>
      </c>
      <c r="B526" s="49" t="s">
        <v>599</v>
      </c>
      <c r="C526" s="21" t="s">
        <v>61</v>
      </c>
      <c r="D526" s="20" t="s">
        <v>454</v>
      </c>
      <c r="E526" s="20">
        <v>1238</v>
      </c>
      <c r="F526" s="21">
        <v>1400</v>
      </c>
      <c r="G526" s="21" t="s">
        <v>152</v>
      </c>
      <c r="H526" s="21">
        <v>0.77</v>
      </c>
      <c r="I526" s="68">
        <f>MAX('Max rate concentrations'!$G$3:$G$368)</f>
        <v>45</v>
      </c>
      <c r="J526" s="68">
        <f>MAX('Max rate concentrations'!Z:Z)</f>
        <v>21</v>
      </c>
      <c r="K526" s="70">
        <f t="shared" ref="K526:K557" si="60">(((0.235*F526^0.822)/(1-H526)))*I526/F526</f>
        <v>12.663149952910036</v>
      </c>
      <c r="L526" s="70">
        <f t="shared" ref="L526:L562" si="61">(((0.235*F526^0.822)/(1-H526)))*J526/F526</f>
        <v>5.909469978024684</v>
      </c>
      <c r="M526" s="70">
        <f>IF((((0.326*F526^0.818)-(0.398*F526^0.85)/(1-H526)*H526)*(MAX('Max rate concentrations'!$P$3:$P$368)))/F526&gt;0, (((0.326*F526^0.818)-(0.398*F526^0.85)/(1-H526)*H526)*(MAX('Max rate concentrations'!$P$3:$P$368)))/F526, 0)</f>
        <v>0</v>
      </c>
      <c r="N526" s="70">
        <f>IF((((0.326*F526^0.818)-(0.398*F526^0.85)/(1-H526)*H526)*(MAX('Max rate concentrations'!$Q$3:$Q$368)))/F526&gt; 0, (((0.326*F526^0.818)-(0.398*F526^0.85)/(1-H526)*H526)*(MAX('Max rate concentrations'!$Q$3:$Q$368)))/F526, 0)</f>
        <v>0</v>
      </c>
      <c r="O526" s="70">
        <f>((MAX('Max rate concentrations'!$F$3:$F$368))*0.62*6.01*8*(12.3*F526^0.65)*0.079*0.1/F526)*inputs!$E$73/inputs!$E$74</f>
        <v>21.447489523759263</v>
      </c>
      <c r="P526" s="70">
        <f>((MAX('Max rate concentrations'!Y:Y))*0.62*6.01*8*(12.3*F526^0.65)*0.079*0.1/F526)*inputs!$E$73/inputs!$E$74</f>
        <v>7.1491631745864215</v>
      </c>
      <c r="Q526" s="70">
        <f>(inputs!$C$18*11.2*(12.3*F526^0.65)*0.5/F526)*inputs!$E$73/inputs!$E$74</f>
        <v>3.7778741208510853</v>
      </c>
      <c r="R526" s="60">
        <f>(60*379*((F526/1000)^0.8)*3*24*(MAX('Max rate concentrations'!$R$3:$R$368))/F526)*(inputs!$E$73/inputs!$E$75)</f>
        <v>1.0320556153029972E-2</v>
      </c>
      <c r="S526" s="60">
        <f>(IF(inputs!$C$17="aerial",((0.025*0.112*inputs!$C$18/3.3)*(3*60*379*((F526/1000)^0.8))*MAX(inputs!$I$14:$I$16))/F526,((0.0083*0.112*inputs!$C$18/1)*(3*60*379*((F526/1000)^0.8))*MAX(inputs!$I$14:$I$16))/F526))*(inputs!E$75/inputs!$E$73)</f>
        <v>5.6918501261480535E-2</v>
      </c>
      <c r="T526" s="63">
        <f>IF((((inputs!$P$13/(V526/MAX(K526:S526)))^(1/inputs!$O$13))-1)/inputs!$N$13&lt;0, 0, IF((((inputs!$P$13/(V526/MAX(K526:S526)))^(1/inputs!$O$13))-1)/inputs!$N$13&lt;inputs!$I$17, (((inputs!$P$13/(V526/MAX(K526:S526)))^(1/inputs!$O$13))-1)/inputs!$N$13, inputs!$I$17))</f>
        <v>71.031450320726151</v>
      </c>
      <c r="U526" s="63">
        <f>IF((((inputs!$P$13/(X526/MAX(K526:S526)))^(1/inputs!$O$13))-1)/inputs!$N$13&lt;0, 0, IF((((inputs!$P$13/(X526/MAX(K526:S526)))^(1/inputs!$O$13))-1)/inputs!$N$13&lt;inputs!$I$17, (((inputs!$P$13/(X526/MAX(K526:S526)))^(1/inputs!$O$13))-1)/inputs!$N$13, inputs!$I$17))</f>
        <v>0</v>
      </c>
      <c r="V526" s="54">
        <f>inputs!$E$70*(inputs!$F$70/F526)^(0.25)</f>
        <v>0.82281546744781953</v>
      </c>
      <c r="W526" s="54">
        <f>inputs!$E$76*(inputs!$F$76/F526)^(0.25)</f>
        <v>0.24748737341529164</v>
      </c>
      <c r="X526" s="54">
        <f>inputs!$E$72*(inputs!$F$72/F526)^(0.25)</f>
        <v>36.300682387403803</v>
      </c>
      <c r="Y526" s="54" t="s">
        <v>13</v>
      </c>
      <c r="Z526" s="106">
        <f t="shared" si="58"/>
        <v>26.065977576095332</v>
      </c>
      <c r="AA526" s="106">
        <f t="shared" si="59"/>
        <v>86.660944466729205</v>
      </c>
    </row>
    <row r="527" spans="1:27" x14ac:dyDescent="0.25">
      <c r="A527" s="55" t="s">
        <v>598</v>
      </c>
      <c r="B527" s="49" t="s">
        <v>599</v>
      </c>
      <c r="C527" s="21" t="s">
        <v>61</v>
      </c>
      <c r="D527" s="20" t="s">
        <v>454</v>
      </c>
      <c r="E527" s="20">
        <v>1238</v>
      </c>
      <c r="F527" s="21">
        <v>1400</v>
      </c>
      <c r="G527" s="21" t="s">
        <v>169</v>
      </c>
      <c r="H527" s="21">
        <v>0.79</v>
      </c>
      <c r="I527" s="68">
        <f>MAX('Max rate concentrations'!$D$3:$D$368)</f>
        <v>720</v>
      </c>
      <c r="J527" s="68">
        <f>MAX('Max rate concentrations'!W:W)</f>
        <v>255</v>
      </c>
      <c r="K527" s="70">
        <f t="shared" si="60"/>
        <v>221.90662774623306</v>
      </c>
      <c r="L527" s="70">
        <f t="shared" si="61"/>
        <v>78.591930660124206</v>
      </c>
      <c r="M527" s="70">
        <f>IF((((0.326*F527^0.818)-(0.398*F527^0.85)/(1-H527)*H527)*(MAX('Max rate concentrations'!$P$3:$P$368)))/F527&gt;0, (((0.326*F527^0.818)-(0.398*F527^0.85)/(1-H527)*H527)*(MAX('Max rate concentrations'!$P$3:$P$368)))/F527, 0)</f>
        <v>0</v>
      </c>
      <c r="N527" s="70">
        <f>IF((((0.326*F527^0.818)-(0.398*F527^0.85)/(1-H527)*H527)*(MAX('Max rate concentrations'!$Q$3:$Q$368)))/F527&gt; 0, (((0.326*F527^0.818)-(0.398*F527^0.85)/(1-H527)*H527)*(MAX('Max rate concentrations'!$Q$3:$Q$368)))/F527, 0)</f>
        <v>0</v>
      </c>
      <c r="O527" s="70">
        <f>((MAX('Max rate concentrations'!$F$3:$F$368))*0.62*6.01*8*(12.3*F527^0.65)*0.079*0.1/F527)*inputs!$E$73/inputs!$E$74</f>
        <v>21.447489523759263</v>
      </c>
      <c r="P527" s="70">
        <f>((MAX('Max rate concentrations'!Y:Y))*0.62*6.01*8*(12.3*F527^0.65)*0.079*0.1/F527)*inputs!$E$73/inputs!$E$74</f>
        <v>7.1491631745864215</v>
      </c>
      <c r="Q527" s="70">
        <f>(inputs!$C$18*11.2*(12.3*F527^0.65)*0.5/F527)*inputs!$E$73/inputs!$E$74</f>
        <v>3.7778741208510853</v>
      </c>
      <c r="R527" s="60">
        <f>(60*379*((F527/1000)^0.8)*3*24*(MAX('Max rate concentrations'!$R$3:$R$368))/F527)*(inputs!$E$73/inputs!$E$75)</f>
        <v>1.0320556153029972E-2</v>
      </c>
      <c r="S527" s="60">
        <f>(IF(inputs!$C$17="aerial",((0.025*0.112*inputs!$C$18/3.3)*(3*60*379*((F527/1000)^0.8))*MAX(inputs!$I$14:$I$16))/F527,((0.0083*0.112*inputs!$C$18/1)*(3*60*379*((F527/1000)^0.8))*MAX(inputs!$I$14:$I$16))/F527))*(inputs!E$75/inputs!$E$73)</f>
        <v>5.6918501261480535E-2</v>
      </c>
      <c r="T527" s="63">
        <f>IF((((inputs!$P$13/(V527/MAX(K527:S527)))^(1/inputs!$O$13))-1)/inputs!$N$13&lt;0, 0, IF((((inputs!$P$13/(V527/MAX(K527:S527)))^(1/inputs!$O$13))-1)/inputs!$N$13&lt;inputs!$I$17, (((inputs!$P$13/(V527/MAX(K527:S527)))^(1/inputs!$O$13))-1)/inputs!$N$13, inputs!$I$17))</f>
        <v>499.34377597305297</v>
      </c>
      <c r="U527" s="63">
        <f>IF((((inputs!$P$13/(X527/MAX(K527:S527)))^(1/inputs!$O$13))-1)/inputs!$N$13&lt;0, 0, IF((((inputs!$P$13/(X527/MAX(K527:S527)))^(1/inputs!$O$13))-1)/inputs!$N$13&lt;inputs!$I$17, (((inputs!$P$13/(X527/MAX(K527:S527)))^(1/inputs!$O$13))-1)/inputs!$N$13, inputs!$I$17))</f>
        <v>18.376060613268933</v>
      </c>
      <c r="V527" s="54">
        <f>inputs!$E$70*(inputs!$F$70/F527)^(0.25)</f>
        <v>0.82281546744781953</v>
      </c>
      <c r="W527" s="54">
        <f>inputs!$E$76*(inputs!$F$76/F527)^(0.25)</f>
        <v>0.24748737341529164</v>
      </c>
      <c r="X527" s="54">
        <f>inputs!$E$72*(inputs!$F$72/F527)^(0.25)</f>
        <v>36.300682387403803</v>
      </c>
      <c r="Y527" s="54" t="s">
        <v>13</v>
      </c>
      <c r="Z527" s="106">
        <f t="shared" si="58"/>
        <v>269.69185257848318</v>
      </c>
      <c r="AA527" s="106">
        <f t="shared" si="59"/>
        <v>896.63817868343006</v>
      </c>
    </row>
    <row r="528" spans="1:27" x14ac:dyDescent="0.25">
      <c r="A528" s="55" t="s">
        <v>598</v>
      </c>
      <c r="B528" s="49" t="s">
        <v>599</v>
      </c>
      <c r="C528" s="21" t="s">
        <v>61</v>
      </c>
      <c r="D528" s="20" t="s">
        <v>454</v>
      </c>
      <c r="E528" s="20">
        <v>1238</v>
      </c>
      <c r="F528" s="21">
        <v>1400</v>
      </c>
      <c r="G528" s="21" t="s">
        <v>456</v>
      </c>
      <c r="H528" s="21">
        <v>0.68</v>
      </c>
      <c r="I528" s="68">
        <f>MAX('Max rate concentrations'!$J$3:$J$368)</f>
        <v>686.46486205830786</v>
      </c>
      <c r="J528" s="68">
        <f>MAX('Max rate concentrations'!AB:AB)</f>
        <v>243.122971978984</v>
      </c>
      <c r="K528" s="70">
        <f t="shared" si="60"/>
        <v>138.84345289576757</v>
      </c>
      <c r="L528" s="70">
        <f t="shared" si="61"/>
        <v>49.173722900584345</v>
      </c>
      <c r="M528" s="70">
        <f>IF((((0.326*F528^0.818)-(0.398*F528^0.85)/(1-H528)*H528)*(MAX('Max rate concentrations'!$P$3:$P$368)))/F528&gt;0, (((0.326*F528^0.818)-(0.398*F528^0.85)/(1-H528)*H528)*(MAX('Max rate concentrations'!$P$3:$P$368)))/F528, 0)</f>
        <v>0</v>
      </c>
      <c r="N528" s="70">
        <f>IF((((0.326*F528^0.818)-(0.398*F528^0.85)/(1-H528)*H528)*(MAX('Max rate concentrations'!$Q$3:$Q$368)))/F528&gt; 0, (((0.326*F528^0.818)-(0.398*F528^0.85)/(1-H528)*H528)*(MAX('Max rate concentrations'!$Q$3:$Q$368)))/F528, 0)</f>
        <v>0</v>
      </c>
      <c r="O528" s="70">
        <f>((MAX('Max rate concentrations'!$F$3:$F$368))*0.62*6.01*8*(12.3*F528^0.65)*0.079*0.1/F528)*inputs!$E$73/inputs!$E$74</f>
        <v>21.447489523759263</v>
      </c>
      <c r="P528" s="70">
        <f>((MAX('Max rate concentrations'!Y:Y))*0.62*6.01*8*(12.3*F528^0.65)*0.079*0.1/F528)*inputs!$E$73/inputs!$E$74</f>
        <v>7.1491631745864215</v>
      </c>
      <c r="Q528" s="70">
        <f>(inputs!$C$18*11.2*(12.3*F528^0.65)*0.5/F528)*inputs!$E$73/inputs!$E$74</f>
        <v>3.7778741208510853</v>
      </c>
      <c r="R528" s="60">
        <f>(60*379*((F528/1000)^0.8)*3*24*(MAX('Max rate concentrations'!$R$3:$R$368))/F528)*(inputs!$E$73/inputs!$E$75)</f>
        <v>1.0320556153029972E-2</v>
      </c>
      <c r="S528" s="60">
        <f>(IF(inputs!$C$17="aerial",((0.025*0.112*inputs!$C$18/3.3)*(3*60*379*((F528/1000)^0.8))*MAX(inputs!$I$14:$I$16))/F528,((0.0083*0.112*inputs!$C$18/1)*(3*60*379*((F528/1000)^0.8))*MAX(inputs!$I$14:$I$16))/F528))*(inputs!E$75/inputs!$E$73)</f>
        <v>5.6918501261480535E-2</v>
      </c>
      <c r="T528" s="63">
        <f>IF((((inputs!$P$13/(V528/MAX(K528:S528)))^(1/inputs!$O$13))-1)/inputs!$N$13&lt;0, 0, IF((((inputs!$P$13/(V528/MAX(K528:S528)))^(1/inputs!$O$13))-1)/inputs!$N$13&lt;inputs!$I$17, (((inputs!$P$13/(V528/MAX(K528:S528)))^(1/inputs!$O$13))-1)/inputs!$N$13, inputs!$I$17))</f>
        <v>340.10805039747788</v>
      </c>
      <c r="U528" s="63">
        <f>IF((((inputs!$P$13/(X528/MAX(K528:S528)))^(1/inputs!$O$13))-1)/inputs!$N$13&lt;0, 0, IF((((inputs!$P$13/(X528/MAX(K528:S528)))^(1/inputs!$O$13))-1)/inputs!$N$13&lt;inputs!$I$17, (((inputs!$P$13/(X528/MAX(K528:S528)))^(1/inputs!$O$13))-1)/inputs!$N$13, inputs!$I$17))</f>
        <v>10.927135525123035</v>
      </c>
      <c r="V528" s="54">
        <f>inputs!$E$70*(inputs!$F$70/F528)^(0.25)</f>
        <v>0.82281546744781953</v>
      </c>
      <c r="W528" s="54">
        <f>inputs!$E$76*(inputs!$F$76/F528)^(0.25)</f>
        <v>0.24748737341529164</v>
      </c>
      <c r="X528" s="54">
        <f>inputs!$E$72*(inputs!$F$72/F528)^(0.25)</f>
        <v>36.300682387403803</v>
      </c>
      <c r="Y528" s="54" t="s">
        <v>13</v>
      </c>
      <c r="Z528" s="106">
        <f t="shared" si="58"/>
        <v>168.74190919918823</v>
      </c>
      <c r="AA528" s="106">
        <f t="shared" si="59"/>
        <v>561.01226894829847</v>
      </c>
    </row>
    <row r="529" spans="1:27" x14ac:dyDescent="0.25">
      <c r="A529" s="55" t="s">
        <v>598</v>
      </c>
      <c r="B529" s="49" t="s">
        <v>599</v>
      </c>
      <c r="C529" s="21" t="s">
        <v>61</v>
      </c>
      <c r="D529" s="20" t="s">
        <v>454</v>
      </c>
      <c r="E529" s="20">
        <v>1238</v>
      </c>
      <c r="F529" s="21">
        <v>1400</v>
      </c>
      <c r="G529" s="21" t="s">
        <v>145</v>
      </c>
      <c r="H529" s="21">
        <v>0.66</v>
      </c>
      <c r="I529" s="68">
        <f>MAX('Max rate concentrations'!$M$3:$M$368)</f>
        <v>17.092910873809167</v>
      </c>
      <c r="J529" s="68">
        <f>MAX('Max rate concentrations'!AE:AE)</f>
        <v>11.81956602976166</v>
      </c>
      <c r="K529" s="70">
        <f t="shared" si="60"/>
        <v>3.2538249353697757</v>
      </c>
      <c r="L529" s="70">
        <f t="shared" si="61"/>
        <v>2.2499853276493131</v>
      </c>
      <c r="M529" s="70">
        <f>IF((((0.326*F529^0.818)-(0.398*F529^0.85)/(1-H529)*H529)*(MAX('Max rate concentrations'!$P$3:$P$368)))/F529&gt;0, (((0.326*F529^0.818)-(0.398*F529^0.85)/(1-H529)*H529)*(MAX('Max rate concentrations'!$P$3:$P$368)))/F529, 0)</f>
        <v>0</v>
      </c>
      <c r="N529" s="70">
        <f>IF((((0.326*F529^0.818)-(0.398*F529^0.85)/(1-H529)*H529)*(MAX('Max rate concentrations'!$Q$3:$Q$368)))/F529&gt; 0, (((0.326*F529^0.818)-(0.398*F529^0.85)/(1-H529)*H529)*(MAX('Max rate concentrations'!$Q$3:$Q$368)))/F529, 0)</f>
        <v>0</v>
      </c>
      <c r="O529" s="70">
        <f>((MAX('Max rate concentrations'!$F$3:$F$368))*0.62*6.01*8*(12.3*F529^0.65)*0.079*0.1/F529)*inputs!$E$73/inputs!$E$74</f>
        <v>21.447489523759263</v>
      </c>
      <c r="P529" s="70">
        <f>((MAX('Max rate concentrations'!Y:Y))*0.62*6.01*8*(12.3*F529^0.65)*0.079*0.1/F529)*inputs!$E$73/inputs!$E$74</f>
        <v>7.1491631745864215</v>
      </c>
      <c r="Q529" s="70">
        <f>(inputs!$C$18*11.2*(12.3*F529^0.65)*0.5/F529)*inputs!$E$73/inputs!$E$74</f>
        <v>3.7778741208510853</v>
      </c>
      <c r="R529" s="60">
        <f>(60*379*((F529/1000)^0.8)*3*24*(MAX('Max rate concentrations'!$R$3:$R$368))/F529)*(inputs!$E$73/inputs!$E$75)</f>
        <v>1.0320556153029972E-2</v>
      </c>
      <c r="S529" s="60">
        <f>(IF(inputs!$C$17="aerial",((0.025*0.112*inputs!$C$18/3.3)*(3*60*379*((F529/1000)^0.8))*MAX(inputs!$I$14:$I$16))/F529,((0.0083*0.112*inputs!$C$18/1)*(3*60*379*((F529/1000)^0.8))*MAX(inputs!$I$14:$I$16))/F529))*(inputs!E$75/inputs!$E$73)</f>
        <v>5.6918501261480535E-2</v>
      </c>
      <c r="T529" s="63">
        <f>IF((((inputs!$P$13/(V529/MAX(K529:S529)))^(1/inputs!$O$13))-1)/inputs!$N$13&lt;0, 0, IF((((inputs!$P$13/(V529/MAX(K529:S529)))^(1/inputs!$O$13))-1)/inputs!$N$13&lt;inputs!$I$17, (((inputs!$P$13/(V529/MAX(K529:S529)))^(1/inputs!$O$13))-1)/inputs!$N$13, inputs!$I$17))</f>
        <v>71.031450320726151</v>
      </c>
      <c r="U529" s="63">
        <f>IF((((inputs!$P$13/(X529/MAX(K529:S529)))^(1/inputs!$O$13))-1)/inputs!$N$13&lt;0, 0, IF((((inputs!$P$13/(X529/MAX(K529:S529)))^(1/inputs!$O$13))-1)/inputs!$N$13&lt;inputs!$I$17, (((inputs!$P$13/(X529/MAX(K529:S529)))^(1/inputs!$O$13))-1)/inputs!$N$13, inputs!$I$17))</f>
        <v>0</v>
      </c>
      <c r="V529" s="54">
        <f>inputs!$E$70*(inputs!$F$70/F529)^(0.25)</f>
        <v>0.82281546744781953</v>
      </c>
      <c r="W529" s="54">
        <f>inputs!$E$76*(inputs!$F$76/F529)^(0.25)</f>
        <v>0.24748737341529164</v>
      </c>
      <c r="X529" s="54">
        <f>inputs!$E$72*(inputs!$F$72/F529)^(0.25)</f>
        <v>36.300682387403803</v>
      </c>
      <c r="Y529" s="54" t="s">
        <v>13</v>
      </c>
      <c r="Z529" s="106">
        <f t="shared" si="58"/>
        <v>26.065977576095332</v>
      </c>
      <c r="AA529" s="106">
        <f t="shared" si="59"/>
        <v>86.660944466729205</v>
      </c>
    </row>
    <row r="530" spans="1:27" x14ac:dyDescent="0.25">
      <c r="A530" s="55" t="s">
        <v>600</v>
      </c>
      <c r="B530" s="49" t="s">
        <v>601</v>
      </c>
      <c r="C530" s="21" t="s">
        <v>61</v>
      </c>
      <c r="D530" s="20" t="s">
        <v>454</v>
      </c>
      <c r="E530" s="20">
        <v>1239</v>
      </c>
      <c r="F530" s="21">
        <v>1400</v>
      </c>
      <c r="G530" s="21" t="s">
        <v>182</v>
      </c>
      <c r="H530" s="21">
        <v>0.85</v>
      </c>
      <c r="I530" s="68">
        <f>MAX('Max rate concentrations'!$M$3:$M$368)</f>
        <v>17.092910873809167</v>
      </c>
      <c r="J530" s="68">
        <f>MAX('Max rate concentrations'!AE:AE)</f>
        <v>11.81956602976166</v>
      </c>
      <c r="K530" s="70">
        <f t="shared" si="60"/>
        <v>7.3753365201714898</v>
      </c>
      <c r="L530" s="70">
        <f t="shared" si="61"/>
        <v>5.099966742671775</v>
      </c>
      <c r="M530" s="70">
        <f>IF((((0.326*F530^0.818)-(0.398*F530^0.85)/(1-H530)*H530)*(MAX('Max rate concentrations'!$P$3:$P$368)))/F530&gt;0, (((0.326*F530^0.818)-(0.398*F530^0.85)/(1-H530)*H530)*(MAX('Max rate concentrations'!$P$3:$P$368)))/F530, 0)</f>
        <v>0</v>
      </c>
      <c r="N530" s="70">
        <f>IF((((0.326*F530^0.818)-(0.398*F530^0.85)/(1-H530)*H530)*(MAX('Max rate concentrations'!$Q$3:$Q$368)))/F530&gt; 0, (((0.326*F530^0.818)-(0.398*F530^0.85)/(1-H530)*H530)*(MAX('Max rate concentrations'!$Q$3:$Q$368)))/F530, 0)</f>
        <v>0</v>
      </c>
      <c r="O530" s="70">
        <f>((MAX('Max rate concentrations'!$F$3:$F$368))*0.62*6.01*8*(12.3*F530^0.65)*0.079*0.1/F530)*inputs!$E$73/inputs!$E$74</f>
        <v>21.447489523759263</v>
      </c>
      <c r="P530" s="70">
        <f>((MAX('Max rate concentrations'!Y:Y))*0.62*6.01*8*(12.3*F530^0.65)*0.079*0.1/F530)*inputs!$E$73/inputs!$E$74</f>
        <v>7.1491631745864215</v>
      </c>
      <c r="Q530" s="70">
        <f>(inputs!$C$18*11.2*(12.3*F530^0.65)*0.5/F530)*inputs!$E$73/inputs!$E$74</f>
        <v>3.7778741208510853</v>
      </c>
      <c r="R530" s="60">
        <f>(60*379*((F530/1000)^0.8)*3*24*(MAX('Max rate concentrations'!$R$3:$R$368))/F530)*(inputs!$E$73/inputs!$E$75)</f>
        <v>1.0320556153029972E-2</v>
      </c>
      <c r="S530" s="60">
        <f>(IF(inputs!$C$17="aerial",((0.025*0.112*inputs!$C$18/3.3)*(3*60*379*((F530/1000)^0.8))*MAX(inputs!$I$14:$I$16))/F530,((0.0083*0.112*inputs!$C$18/1)*(3*60*379*((F530/1000)^0.8))*MAX(inputs!$I$14:$I$16))/F530))*(inputs!E$75/inputs!$E$73)</f>
        <v>5.6918501261480535E-2</v>
      </c>
      <c r="T530" s="63">
        <f>IF((((inputs!$P$13/(V530/MAX(K530:S530)))^(1/inputs!$O$13))-1)/inputs!$N$13&lt;0, 0, IF((((inputs!$P$13/(V530/MAX(K530:S530)))^(1/inputs!$O$13))-1)/inputs!$N$13&lt;inputs!$I$17, (((inputs!$P$13/(V530/MAX(K530:S530)))^(1/inputs!$O$13))-1)/inputs!$N$13, inputs!$I$17))</f>
        <v>71.031450320726151</v>
      </c>
      <c r="U530" s="63">
        <f>IF((((inputs!$P$13/(X530/MAX(K530:S530)))^(1/inputs!$O$13))-1)/inputs!$N$13&lt;0, 0, IF((((inputs!$P$13/(X530/MAX(K530:S530)))^(1/inputs!$O$13))-1)/inputs!$N$13&lt;inputs!$I$17, (((inputs!$P$13/(X530/MAX(K530:S530)))^(1/inputs!$O$13))-1)/inputs!$N$13, inputs!$I$17))</f>
        <v>0</v>
      </c>
      <c r="V530" s="54">
        <f>inputs!$E$70*(inputs!$F$70/F530)^(0.25)</f>
        <v>0.82281546744781953</v>
      </c>
      <c r="W530" s="54">
        <f>inputs!$E$76*(inputs!$F$76/F530)^(0.25)</f>
        <v>0.24748737341529164</v>
      </c>
      <c r="X530" s="54">
        <f>inputs!$E$72*(inputs!$F$72/F530)^(0.25)</f>
        <v>36.300682387403803</v>
      </c>
      <c r="Y530" s="54" t="s">
        <v>13</v>
      </c>
      <c r="Z530" s="106">
        <f t="shared" si="58"/>
        <v>26.065977576095332</v>
      </c>
      <c r="AA530" s="106">
        <f t="shared" si="59"/>
        <v>86.660944466729205</v>
      </c>
    </row>
    <row r="531" spans="1:27" x14ac:dyDescent="0.25">
      <c r="A531" s="55" t="s">
        <v>600</v>
      </c>
      <c r="B531" s="49" t="s">
        <v>601</v>
      </c>
      <c r="C531" s="21" t="s">
        <v>61</v>
      </c>
      <c r="D531" s="20" t="s">
        <v>454</v>
      </c>
      <c r="E531" s="20">
        <v>1239</v>
      </c>
      <c r="F531" s="21">
        <v>1400</v>
      </c>
      <c r="G531" s="21" t="s">
        <v>142</v>
      </c>
      <c r="H531" s="21">
        <v>0.69</v>
      </c>
      <c r="I531" s="68">
        <f>MAX('Max rate concentrations'!$H$3:$H$368)</f>
        <v>282</v>
      </c>
      <c r="J531" s="68">
        <f>MAX('Max rate concentrations'!AA:AA)</f>
        <v>195</v>
      </c>
      <c r="K531" s="70">
        <f t="shared" si="60"/>
        <v>58.876839135895686</v>
      </c>
      <c r="L531" s="70">
        <f t="shared" si="61"/>
        <v>40.71270791311936</v>
      </c>
      <c r="M531" s="70">
        <f>IF((((0.326*F531^0.818)-(0.398*F531^0.85)/(1-H531)*H531)*(MAX('Max rate concentrations'!$P$3:$P$368)))/F531&gt;0, (((0.326*F531^0.818)-(0.398*F531^0.85)/(1-H531)*H531)*(MAX('Max rate concentrations'!$P$3:$P$368)))/F531, 0)</f>
        <v>0</v>
      </c>
      <c r="N531" s="70">
        <f>IF((((0.326*F531^0.818)-(0.398*F531^0.85)/(1-H531)*H531)*(MAX('Max rate concentrations'!$Q$3:$Q$368)))/F531&gt; 0, (((0.326*F531^0.818)-(0.398*F531^0.85)/(1-H531)*H531)*(MAX('Max rate concentrations'!$Q$3:$Q$368)))/F531, 0)</f>
        <v>0</v>
      </c>
      <c r="O531" s="70">
        <f>((MAX('Max rate concentrations'!$F$3:$F$368))*0.62*6.01*8*(12.3*F531^0.65)*0.079*0.1/F531)*inputs!$E$73/inputs!$E$74</f>
        <v>21.447489523759263</v>
      </c>
      <c r="P531" s="70">
        <f>((MAX('Max rate concentrations'!Y:Y))*0.62*6.01*8*(12.3*F531^0.65)*0.079*0.1/F531)*inputs!$E$73/inputs!$E$74</f>
        <v>7.1491631745864215</v>
      </c>
      <c r="Q531" s="70">
        <f>(inputs!$C$18*11.2*(12.3*F531^0.65)*0.5/F531)*inputs!$E$73/inputs!$E$74</f>
        <v>3.7778741208510853</v>
      </c>
      <c r="R531" s="60">
        <f>(60*379*((F531/1000)^0.8)*3*24*(MAX('Max rate concentrations'!$R$3:$R$368))/F531)*(inputs!$E$73/inputs!$E$75)</f>
        <v>1.0320556153029972E-2</v>
      </c>
      <c r="S531" s="60">
        <f>(IF(inputs!$C$17="aerial",((0.025*0.112*inputs!$C$18/3.3)*(3*60*379*((F531/1000)^0.8))*MAX(inputs!$I$14:$I$16))/F531,((0.0083*0.112*inputs!$C$18/1)*(3*60*379*((F531/1000)^0.8))*MAX(inputs!$I$14:$I$16))/F531))*(inputs!E$75/inputs!$E$73)</f>
        <v>5.6918501261480535E-2</v>
      </c>
      <c r="T531" s="63">
        <f>IF((((inputs!$P$13/(V531/MAX(K531:S531)))^(1/inputs!$O$13))-1)/inputs!$N$13&lt;0, 0, IF((((inputs!$P$13/(V531/MAX(K531:S531)))^(1/inputs!$O$13))-1)/inputs!$N$13&lt;inputs!$I$17, (((inputs!$P$13/(V531/MAX(K531:S531)))^(1/inputs!$O$13))-1)/inputs!$N$13, inputs!$I$17))</f>
        <v>167.33515411391383</v>
      </c>
      <c r="U531" s="63">
        <f>IF((((inputs!$P$13/(X531/MAX(K531:S531)))^(1/inputs!$O$13))-1)/inputs!$N$13&lt;0, 0, IF((((inputs!$P$13/(X531/MAX(K531:S531)))^(1/inputs!$O$13))-1)/inputs!$N$13&lt;inputs!$I$17, (((inputs!$P$13/(X531/MAX(K531:S531)))^(1/inputs!$O$13))-1)/inputs!$N$13, inputs!$I$17))</f>
        <v>2.8449519760082627</v>
      </c>
      <c r="V531" s="54">
        <f>inputs!$E$70*(inputs!$F$70/F531)^(0.25)</f>
        <v>0.82281546744781953</v>
      </c>
      <c r="W531" s="54">
        <f>inputs!$E$76*(inputs!$F$76/F531)^(0.25)</f>
        <v>0.24748737341529164</v>
      </c>
      <c r="X531" s="54">
        <f>inputs!$E$72*(inputs!$F$72/F531)^(0.25)</f>
        <v>36.300682387403803</v>
      </c>
      <c r="Y531" s="54" t="s">
        <v>13</v>
      </c>
      <c r="Z531" s="106">
        <f t="shared" si="58"/>
        <v>71.555338305097521</v>
      </c>
      <c r="AA531" s="106">
        <f t="shared" si="59"/>
        <v>237.89835547326484</v>
      </c>
    </row>
    <row r="532" spans="1:27" x14ac:dyDescent="0.25">
      <c r="A532" s="55" t="s">
        <v>600</v>
      </c>
      <c r="B532" s="49" t="s">
        <v>601</v>
      </c>
      <c r="C532" s="21" t="s">
        <v>61</v>
      </c>
      <c r="D532" s="20" t="s">
        <v>454</v>
      </c>
      <c r="E532" s="20">
        <v>1239</v>
      </c>
      <c r="F532" s="21">
        <v>1400</v>
      </c>
      <c r="G532" s="21" t="s">
        <v>164</v>
      </c>
      <c r="H532" s="21">
        <v>0.78</v>
      </c>
      <c r="I532" s="68">
        <f>inputs!$C$66*(inputs!$C$62/1000)</f>
        <v>8.2000000000000011</v>
      </c>
      <c r="J532" s="68">
        <f>inputs!$C$66*(inputs!$C$61/1000)</f>
        <v>2.5</v>
      </c>
      <c r="K532" s="70">
        <f t="shared" si="60"/>
        <v>2.4123940213321546</v>
      </c>
      <c r="L532" s="70">
        <f t="shared" si="61"/>
        <v>0.73548598211346172</v>
      </c>
      <c r="M532" s="70">
        <f>IF((((0.326*F532^0.818)-(0.398*F532^0.85)/(1-H532)*H532)*(MAX('Max rate concentrations'!$P$3:$P$368)))/F532&gt;0, (((0.326*F532^0.818)-(0.398*F532^0.85)/(1-H532)*H532)*(MAX('Max rate concentrations'!$P$3:$P$368)))/F532, 0)</f>
        <v>0</v>
      </c>
      <c r="N532" s="70">
        <f>IF((((0.326*F532^0.818)-(0.398*F532^0.85)/(1-H532)*H532)*(MAX('Max rate concentrations'!$Q$3:$Q$368)))/F532&gt; 0, (((0.326*F532^0.818)-(0.398*F532^0.85)/(1-H532)*H532)*(MAX('Max rate concentrations'!$Q$3:$Q$368)))/F532, 0)</f>
        <v>0</v>
      </c>
      <c r="O532" s="70">
        <f>((MAX('Max rate concentrations'!$F$3:$F$368))*0.62*6.01*8*(12.3*F532^0.65)*0.079*0.1/F532)*inputs!$E$73/inputs!$E$74</f>
        <v>21.447489523759263</v>
      </c>
      <c r="P532" s="70">
        <f>((MAX('Max rate concentrations'!Y:Y))*0.62*6.01*8*(12.3*F532^0.65)*0.079*0.1/F532)*inputs!$E$73/inputs!$E$74</f>
        <v>7.1491631745864215</v>
      </c>
      <c r="Q532" s="70">
        <f>(inputs!$C$18*11.2*(12.3*F532^0.65)*0.5/F532)*inputs!$E$73/inputs!$E$74</f>
        <v>3.7778741208510853</v>
      </c>
      <c r="R532" s="60">
        <f>(60*379*((F532/1000)^0.8)*3*24*(MAX('Max rate concentrations'!$R$3:$R$368))/F532)*(inputs!$E$73/inputs!$E$75)</f>
        <v>1.0320556153029972E-2</v>
      </c>
      <c r="S532" s="60">
        <f>(IF(inputs!$C$17="aerial",((0.025*0.112*inputs!$C$18/3.3)*(3*60*379*((F532/1000)^0.8))*MAX(inputs!$I$14:$I$16))/F532,((0.0083*0.112*inputs!$C$18/1)*(3*60*379*((F532/1000)^0.8))*MAX(inputs!$I$14:$I$16))/F532))*(inputs!E$75/inputs!$E$73)</f>
        <v>5.6918501261480535E-2</v>
      </c>
      <c r="T532" s="63">
        <f>IF((((inputs!$P$13/(V532/MAX(K532:S532)))^(1/inputs!$O$13))-1)/inputs!$N$13&lt;0, 0, IF((((inputs!$P$13/(V532/MAX(K532:S532)))^(1/inputs!$O$13))-1)/inputs!$N$13&lt;inputs!$I$17, (((inputs!$P$13/(V532/MAX(K532:S532)))^(1/inputs!$O$13))-1)/inputs!$N$13, inputs!$I$17))</f>
        <v>71.031450320726151</v>
      </c>
      <c r="U532" s="63">
        <f>IF((((inputs!$P$13/(X532/MAX(K532:S532)))^(1/inputs!$O$13))-1)/inputs!$N$13&lt;0, 0, IF((((inputs!$P$13/(X532/MAX(K532:S532)))^(1/inputs!$O$13))-1)/inputs!$N$13&lt;inputs!$I$17, (((inputs!$P$13/(X532/MAX(K532:S532)))^(1/inputs!$O$13))-1)/inputs!$N$13, inputs!$I$17))</f>
        <v>0</v>
      </c>
      <c r="V532" s="54">
        <f>inputs!$E$70*(inputs!$F$70/F532)^(0.25)</f>
        <v>0.82281546744781953</v>
      </c>
      <c r="W532" s="54">
        <f>inputs!$E$76*(inputs!$F$76/F532)^(0.25)</f>
        <v>0.24748737341529164</v>
      </c>
      <c r="X532" s="54">
        <f>inputs!$E$72*(inputs!$F$72/F532)^(0.25)</f>
        <v>36.300682387403803</v>
      </c>
      <c r="Y532" s="54" t="s">
        <v>13</v>
      </c>
      <c r="Z532" s="106">
        <f t="shared" si="58"/>
        <v>26.065977576095332</v>
      </c>
      <c r="AA532" s="106">
        <f t="shared" si="59"/>
        <v>86.660944466729205</v>
      </c>
    </row>
    <row r="533" spans="1:27" x14ac:dyDescent="0.25">
      <c r="A533" s="55" t="s">
        <v>600</v>
      </c>
      <c r="B533" s="49" t="s">
        <v>601</v>
      </c>
      <c r="C533" s="21" t="s">
        <v>61</v>
      </c>
      <c r="D533" s="20" t="s">
        <v>454</v>
      </c>
      <c r="E533" s="20">
        <v>1239</v>
      </c>
      <c r="F533" s="21">
        <v>1400</v>
      </c>
      <c r="G533" s="21" t="s">
        <v>138</v>
      </c>
      <c r="H533" s="21">
        <v>0.68</v>
      </c>
      <c r="I533" s="68">
        <f>MAX('Max rate concentrations'!$L$3:$L$368)</f>
        <v>350.52744091332482</v>
      </c>
      <c r="J533" s="68">
        <f>MAX('Max rate concentrations'!AD:AD)</f>
        <v>242.38599637623525</v>
      </c>
      <c r="K533" s="70">
        <f t="shared" si="60"/>
        <v>70.897205262910163</v>
      </c>
      <c r="L533" s="70">
        <f t="shared" si="61"/>
        <v>49.024663213714476</v>
      </c>
      <c r="M533" s="70">
        <f>IF((((0.326*F533^0.818)-(0.398*F533^0.85)/(1-H533)*H533)*(MAX('Max rate concentrations'!$P$3:$P$368)))/F533&gt;0, (((0.326*F533^0.818)-(0.398*F533^0.85)/(1-H533)*H533)*(MAX('Max rate concentrations'!$P$3:$P$368)))/F533, 0)</f>
        <v>0</v>
      </c>
      <c r="N533" s="70">
        <f>IF((((0.326*F533^0.818)-(0.398*F533^0.85)/(1-H533)*H533)*(MAX('Max rate concentrations'!$Q$3:$Q$368)))/F533&gt; 0, (((0.326*F533^0.818)-(0.398*F533^0.85)/(1-H533)*H533)*(MAX('Max rate concentrations'!$Q$3:$Q$368)))/F533, 0)</f>
        <v>0</v>
      </c>
      <c r="O533" s="70">
        <f>((MAX('Max rate concentrations'!$F$3:$F$368))*0.62*6.01*8*(12.3*F533^0.65)*0.079*0.1/F533)*inputs!$E$73/inputs!$E$74</f>
        <v>21.447489523759263</v>
      </c>
      <c r="P533" s="70">
        <f>((MAX('Max rate concentrations'!Y:Y))*0.62*6.01*8*(12.3*F533^0.65)*0.079*0.1/F533)*inputs!$E$73/inputs!$E$74</f>
        <v>7.1491631745864215</v>
      </c>
      <c r="Q533" s="70">
        <f>(inputs!$C$18*11.2*(12.3*F533^0.65)*0.5/F533)*inputs!$E$73/inputs!$E$74</f>
        <v>3.7778741208510853</v>
      </c>
      <c r="R533" s="60">
        <f>(60*379*((F533/1000)^0.8)*3*24*(MAX('Max rate concentrations'!$R$3:$R$368))/F533)*(inputs!$E$73/inputs!$E$75)</f>
        <v>1.0320556153029972E-2</v>
      </c>
      <c r="S533" s="60">
        <f>(IF(inputs!$C$17="aerial",((0.025*0.112*inputs!$C$18/3.3)*(3*60*379*((F533/1000)^0.8))*MAX(inputs!$I$14:$I$16))/F533,((0.0083*0.112*inputs!$C$18/1)*(3*60*379*((F533/1000)^0.8))*MAX(inputs!$I$14:$I$16))/F533))*(inputs!E$75/inputs!$E$73)</f>
        <v>5.6918501261480535E-2</v>
      </c>
      <c r="T533" s="63">
        <f>IF((((inputs!$P$13/(V533/MAX(K533:S533)))^(1/inputs!$O$13))-1)/inputs!$N$13&lt;0, 0, IF((((inputs!$P$13/(V533/MAX(K533:S533)))^(1/inputs!$O$13))-1)/inputs!$N$13&lt;inputs!$I$17, (((inputs!$P$13/(V533/MAX(K533:S533)))^(1/inputs!$O$13))-1)/inputs!$N$13, inputs!$I$17))</f>
        <v>195.30922899586741</v>
      </c>
      <c r="U533" s="63">
        <f>IF((((inputs!$P$13/(X533/MAX(K533:S533)))^(1/inputs!$O$13))-1)/inputs!$N$13&lt;0, 0, IF((((inputs!$P$13/(X533/MAX(K533:S533)))^(1/inputs!$O$13))-1)/inputs!$N$13&lt;inputs!$I$17, (((inputs!$P$13/(X533/MAX(K533:S533)))^(1/inputs!$O$13))-1)/inputs!$N$13, inputs!$I$17))</f>
        <v>4.1535577392731007</v>
      </c>
      <c r="V533" s="54">
        <f>inputs!$E$70*(inputs!$F$70/F533)^(0.25)</f>
        <v>0.82281546744781953</v>
      </c>
      <c r="W533" s="54">
        <f>inputs!$E$76*(inputs!$F$76/F533)^(0.25)</f>
        <v>0.24748737341529164</v>
      </c>
      <c r="X533" s="54">
        <f>inputs!$E$72*(inputs!$F$72/F533)^(0.25)</f>
        <v>36.300682387403803</v>
      </c>
      <c r="Y533" s="54" t="s">
        <v>13</v>
      </c>
      <c r="Z533" s="106">
        <f t="shared" si="58"/>
        <v>86.164162036011135</v>
      </c>
      <c r="AA533" s="106">
        <f t="shared" si="59"/>
        <v>286.46796919187636</v>
      </c>
    </row>
    <row r="534" spans="1:27" x14ac:dyDescent="0.25">
      <c r="A534" s="55" t="s">
        <v>600</v>
      </c>
      <c r="B534" s="49" t="s">
        <v>601</v>
      </c>
      <c r="C534" s="21" t="s">
        <v>61</v>
      </c>
      <c r="D534" s="20" t="s">
        <v>454</v>
      </c>
      <c r="E534" s="20">
        <v>1239</v>
      </c>
      <c r="F534" s="21">
        <v>1400</v>
      </c>
      <c r="G534" s="21" t="s">
        <v>152</v>
      </c>
      <c r="H534" s="21">
        <v>0.77</v>
      </c>
      <c r="I534" s="68">
        <f>MAX('Max rate concentrations'!$G$3:$G$368)</f>
        <v>45</v>
      </c>
      <c r="J534" s="68">
        <f>MAX('Max rate concentrations'!Z:Z)</f>
        <v>21</v>
      </c>
      <c r="K534" s="70">
        <f t="shared" si="60"/>
        <v>12.663149952910036</v>
      </c>
      <c r="L534" s="70">
        <f t="shared" si="61"/>
        <v>5.909469978024684</v>
      </c>
      <c r="M534" s="70">
        <f>IF((((0.326*F534^0.818)-(0.398*F534^0.85)/(1-H534)*H534)*(MAX('Max rate concentrations'!$P$3:$P$368)))/F534&gt;0, (((0.326*F534^0.818)-(0.398*F534^0.85)/(1-H534)*H534)*(MAX('Max rate concentrations'!$P$3:$P$368)))/F534, 0)</f>
        <v>0</v>
      </c>
      <c r="N534" s="70">
        <f>IF((((0.326*F534^0.818)-(0.398*F534^0.85)/(1-H534)*H534)*(MAX('Max rate concentrations'!$Q$3:$Q$368)))/F534&gt; 0, (((0.326*F534^0.818)-(0.398*F534^0.85)/(1-H534)*H534)*(MAX('Max rate concentrations'!$Q$3:$Q$368)))/F534, 0)</f>
        <v>0</v>
      </c>
      <c r="O534" s="70">
        <f>((MAX('Max rate concentrations'!$F$3:$F$368))*0.62*6.01*8*(12.3*F534^0.65)*0.079*0.1/F534)*inputs!$E$73/inputs!$E$74</f>
        <v>21.447489523759263</v>
      </c>
      <c r="P534" s="70">
        <f>((MAX('Max rate concentrations'!Y:Y))*0.62*6.01*8*(12.3*F534^0.65)*0.079*0.1/F534)*inputs!$E$73/inputs!$E$74</f>
        <v>7.1491631745864215</v>
      </c>
      <c r="Q534" s="70">
        <f>(inputs!$C$18*11.2*(12.3*F534^0.65)*0.5/F534)*inputs!$E$73/inputs!$E$74</f>
        <v>3.7778741208510853</v>
      </c>
      <c r="R534" s="60">
        <f>(60*379*((F534/1000)^0.8)*3*24*(MAX('Max rate concentrations'!$R$3:$R$368))/F534)*(inputs!$E$73/inputs!$E$75)</f>
        <v>1.0320556153029972E-2</v>
      </c>
      <c r="S534" s="60">
        <f>(IF(inputs!$C$17="aerial",((0.025*0.112*inputs!$C$18/3.3)*(3*60*379*((F534/1000)^0.8))*MAX(inputs!$I$14:$I$16))/F534,((0.0083*0.112*inputs!$C$18/1)*(3*60*379*((F534/1000)^0.8))*MAX(inputs!$I$14:$I$16))/F534))*(inputs!E$75/inputs!$E$73)</f>
        <v>5.6918501261480535E-2</v>
      </c>
      <c r="T534" s="63">
        <f>IF((((inputs!$P$13/(V534/MAX(K534:S534)))^(1/inputs!$O$13))-1)/inputs!$N$13&lt;0, 0, IF((((inputs!$P$13/(V534/MAX(K534:S534)))^(1/inputs!$O$13))-1)/inputs!$N$13&lt;inputs!$I$17, (((inputs!$P$13/(V534/MAX(K534:S534)))^(1/inputs!$O$13))-1)/inputs!$N$13, inputs!$I$17))</f>
        <v>71.031450320726151</v>
      </c>
      <c r="U534" s="63">
        <f>IF((((inputs!$P$13/(X534/MAX(K534:S534)))^(1/inputs!$O$13))-1)/inputs!$N$13&lt;0, 0, IF((((inputs!$P$13/(X534/MAX(K534:S534)))^(1/inputs!$O$13))-1)/inputs!$N$13&lt;inputs!$I$17, (((inputs!$P$13/(X534/MAX(K534:S534)))^(1/inputs!$O$13))-1)/inputs!$N$13, inputs!$I$17))</f>
        <v>0</v>
      </c>
      <c r="V534" s="54">
        <f>inputs!$E$70*(inputs!$F$70/F534)^(0.25)</f>
        <v>0.82281546744781953</v>
      </c>
      <c r="W534" s="54">
        <f>inputs!$E$76*(inputs!$F$76/F534)^(0.25)</f>
        <v>0.24748737341529164</v>
      </c>
      <c r="X534" s="54">
        <f>inputs!$E$72*(inputs!$F$72/F534)^(0.25)</f>
        <v>36.300682387403803</v>
      </c>
      <c r="Y534" s="54" t="s">
        <v>13</v>
      </c>
      <c r="Z534" s="106">
        <f t="shared" si="58"/>
        <v>26.065977576095332</v>
      </c>
      <c r="AA534" s="106">
        <f t="shared" si="59"/>
        <v>86.660944466729205</v>
      </c>
    </row>
    <row r="535" spans="1:27" x14ac:dyDescent="0.25">
      <c r="A535" s="55" t="s">
        <v>600</v>
      </c>
      <c r="B535" s="49" t="s">
        <v>601</v>
      </c>
      <c r="C535" s="21" t="s">
        <v>61</v>
      </c>
      <c r="D535" s="20" t="s">
        <v>454</v>
      </c>
      <c r="E535" s="20">
        <v>1239</v>
      </c>
      <c r="F535" s="21">
        <v>1400</v>
      </c>
      <c r="G535" s="21" t="s">
        <v>169</v>
      </c>
      <c r="H535" s="21">
        <v>0.79</v>
      </c>
      <c r="I535" s="68">
        <f>MAX('Max rate concentrations'!$D$3:$D$368)</f>
        <v>720</v>
      </c>
      <c r="J535" s="68">
        <f>MAX('Max rate concentrations'!W:W)</f>
        <v>255</v>
      </c>
      <c r="K535" s="70">
        <f t="shared" si="60"/>
        <v>221.90662774623306</v>
      </c>
      <c r="L535" s="70">
        <f t="shared" si="61"/>
        <v>78.591930660124206</v>
      </c>
      <c r="M535" s="70">
        <f>IF((((0.326*F535^0.818)-(0.398*F535^0.85)/(1-H535)*H535)*(MAX('Max rate concentrations'!$P$3:$P$368)))/F535&gt;0, (((0.326*F535^0.818)-(0.398*F535^0.85)/(1-H535)*H535)*(MAX('Max rate concentrations'!$P$3:$P$368)))/F535, 0)</f>
        <v>0</v>
      </c>
      <c r="N535" s="70">
        <f>IF((((0.326*F535^0.818)-(0.398*F535^0.85)/(1-H535)*H535)*(MAX('Max rate concentrations'!$Q$3:$Q$368)))/F535&gt; 0, (((0.326*F535^0.818)-(0.398*F535^0.85)/(1-H535)*H535)*(MAX('Max rate concentrations'!$Q$3:$Q$368)))/F535, 0)</f>
        <v>0</v>
      </c>
      <c r="O535" s="70">
        <f>((MAX('Max rate concentrations'!$F$3:$F$368))*0.62*6.01*8*(12.3*F535^0.65)*0.079*0.1/F535)*inputs!$E$73/inputs!$E$74</f>
        <v>21.447489523759263</v>
      </c>
      <c r="P535" s="70">
        <f>((MAX('Max rate concentrations'!Y:Y))*0.62*6.01*8*(12.3*F535^0.65)*0.079*0.1/F535)*inputs!$E$73/inputs!$E$74</f>
        <v>7.1491631745864215</v>
      </c>
      <c r="Q535" s="70">
        <f>(inputs!$C$18*11.2*(12.3*F535^0.65)*0.5/F535)*inputs!$E$73/inputs!$E$74</f>
        <v>3.7778741208510853</v>
      </c>
      <c r="R535" s="60">
        <f>(60*379*((F535/1000)^0.8)*3*24*(MAX('Max rate concentrations'!$R$3:$R$368))/F535)*(inputs!$E$73/inputs!$E$75)</f>
        <v>1.0320556153029972E-2</v>
      </c>
      <c r="S535" s="60">
        <f>(IF(inputs!$C$17="aerial",((0.025*0.112*inputs!$C$18/3.3)*(3*60*379*((F535/1000)^0.8))*MAX(inputs!$I$14:$I$16))/F535,((0.0083*0.112*inputs!$C$18/1)*(3*60*379*((F535/1000)^0.8))*MAX(inputs!$I$14:$I$16))/F535))*(inputs!E$75/inputs!$E$73)</f>
        <v>5.6918501261480535E-2</v>
      </c>
      <c r="T535" s="63">
        <f>IF((((inputs!$P$13/(V535/MAX(K535:S535)))^(1/inputs!$O$13))-1)/inputs!$N$13&lt;0, 0, IF((((inputs!$P$13/(V535/MAX(K535:S535)))^(1/inputs!$O$13))-1)/inputs!$N$13&lt;inputs!$I$17, (((inputs!$P$13/(V535/MAX(K535:S535)))^(1/inputs!$O$13))-1)/inputs!$N$13, inputs!$I$17))</f>
        <v>499.34377597305297</v>
      </c>
      <c r="U535" s="63">
        <f>IF((((inputs!$P$13/(X535/MAX(K535:S535)))^(1/inputs!$O$13))-1)/inputs!$N$13&lt;0, 0, IF((((inputs!$P$13/(X535/MAX(K535:S535)))^(1/inputs!$O$13))-1)/inputs!$N$13&lt;inputs!$I$17, (((inputs!$P$13/(X535/MAX(K535:S535)))^(1/inputs!$O$13))-1)/inputs!$N$13, inputs!$I$17))</f>
        <v>18.376060613268933</v>
      </c>
      <c r="V535" s="54">
        <f>inputs!$E$70*(inputs!$F$70/F535)^(0.25)</f>
        <v>0.82281546744781953</v>
      </c>
      <c r="W535" s="54">
        <f>inputs!$E$76*(inputs!$F$76/F535)^(0.25)</f>
        <v>0.24748737341529164</v>
      </c>
      <c r="X535" s="54">
        <f>inputs!$E$72*(inputs!$F$72/F535)^(0.25)</f>
        <v>36.300682387403803</v>
      </c>
      <c r="Y535" s="54" t="s">
        <v>13</v>
      </c>
      <c r="Z535" s="106">
        <f t="shared" si="58"/>
        <v>269.69185257848318</v>
      </c>
      <c r="AA535" s="106">
        <f t="shared" si="59"/>
        <v>896.63817868343006</v>
      </c>
    </row>
    <row r="536" spans="1:27" x14ac:dyDescent="0.25">
      <c r="A536" s="55" t="s">
        <v>600</v>
      </c>
      <c r="B536" s="49" t="s">
        <v>601</v>
      </c>
      <c r="C536" s="21" t="s">
        <v>61</v>
      </c>
      <c r="D536" s="20" t="s">
        <v>454</v>
      </c>
      <c r="E536" s="20">
        <v>1239</v>
      </c>
      <c r="F536" s="21">
        <v>1400</v>
      </c>
      <c r="G536" s="21" t="s">
        <v>456</v>
      </c>
      <c r="H536" s="21">
        <v>0.68</v>
      </c>
      <c r="I536" s="68">
        <f>MAX('Max rate concentrations'!$J$3:$J$368)</f>
        <v>686.46486205830786</v>
      </c>
      <c r="J536" s="68">
        <f>MAX('Max rate concentrations'!AB:AB)</f>
        <v>243.122971978984</v>
      </c>
      <c r="K536" s="70">
        <f t="shared" si="60"/>
        <v>138.84345289576757</v>
      </c>
      <c r="L536" s="70">
        <f t="shared" si="61"/>
        <v>49.173722900584345</v>
      </c>
      <c r="M536" s="70">
        <f>IF((((0.326*F536^0.818)-(0.398*F536^0.85)/(1-H536)*H536)*(MAX('Max rate concentrations'!$P$3:$P$368)))/F536&gt;0, (((0.326*F536^0.818)-(0.398*F536^0.85)/(1-H536)*H536)*(MAX('Max rate concentrations'!$P$3:$P$368)))/F536, 0)</f>
        <v>0</v>
      </c>
      <c r="N536" s="70">
        <f>IF((((0.326*F536^0.818)-(0.398*F536^0.85)/(1-H536)*H536)*(MAX('Max rate concentrations'!$Q$3:$Q$368)))/F536&gt; 0, (((0.326*F536^0.818)-(0.398*F536^0.85)/(1-H536)*H536)*(MAX('Max rate concentrations'!$Q$3:$Q$368)))/F536, 0)</f>
        <v>0</v>
      </c>
      <c r="O536" s="70">
        <f>((MAX('Max rate concentrations'!$F$3:$F$368))*0.62*6.01*8*(12.3*F536^0.65)*0.079*0.1/F536)*inputs!$E$73/inputs!$E$74</f>
        <v>21.447489523759263</v>
      </c>
      <c r="P536" s="70">
        <f>((MAX('Max rate concentrations'!Y:Y))*0.62*6.01*8*(12.3*F536^0.65)*0.079*0.1/F536)*inputs!$E$73/inputs!$E$74</f>
        <v>7.1491631745864215</v>
      </c>
      <c r="Q536" s="70">
        <f>(inputs!$C$18*11.2*(12.3*F536^0.65)*0.5/F536)*inputs!$E$73/inputs!$E$74</f>
        <v>3.7778741208510853</v>
      </c>
      <c r="R536" s="60">
        <f>(60*379*((F536/1000)^0.8)*3*24*(MAX('Max rate concentrations'!$R$3:$R$368))/F536)*(inputs!$E$73/inputs!$E$75)</f>
        <v>1.0320556153029972E-2</v>
      </c>
      <c r="S536" s="60">
        <f>(IF(inputs!$C$17="aerial",((0.025*0.112*inputs!$C$18/3.3)*(3*60*379*((F536/1000)^0.8))*MAX(inputs!$I$14:$I$16))/F536,((0.0083*0.112*inputs!$C$18/1)*(3*60*379*((F536/1000)^0.8))*MAX(inputs!$I$14:$I$16))/F536))*(inputs!E$75/inputs!$E$73)</f>
        <v>5.6918501261480535E-2</v>
      </c>
      <c r="T536" s="63">
        <f>IF((((inputs!$P$13/(V536/MAX(K536:S536)))^(1/inputs!$O$13))-1)/inputs!$N$13&lt;0, 0, IF((((inputs!$P$13/(V536/MAX(K536:S536)))^(1/inputs!$O$13))-1)/inputs!$N$13&lt;inputs!$I$17, (((inputs!$P$13/(V536/MAX(K536:S536)))^(1/inputs!$O$13))-1)/inputs!$N$13, inputs!$I$17))</f>
        <v>340.10805039747788</v>
      </c>
      <c r="U536" s="63">
        <f>IF((((inputs!$P$13/(X536/MAX(K536:S536)))^(1/inputs!$O$13))-1)/inputs!$N$13&lt;0, 0, IF((((inputs!$P$13/(X536/MAX(K536:S536)))^(1/inputs!$O$13))-1)/inputs!$N$13&lt;inputs!$I$17, (((inputs!$P$13/(X536/MAX(K536:S536)))^(1/inputs!$O$13))-1)/inputs!$N$13, inputs!$I$17))</f>
        <v>10.927135525123035</v>
      </c>
      <c r="V536" s="54">
        <f>inputs!$E$70*(inputs!$F$70/F536)^(0.25)</f>
        <v>0.82281546744781953</v>
      </c>
      <c r="W536" s="54">
        <f>inputs!$E$76*(inputs!$F$76/F536)^(0.25)</f>
        <v>0.24748737341529164</v>
      </c>
      <c r="X536" s="54">
        <f>inputs!$E$72*(inputs!$F$72/F536)^(0.25)</f>
        <v>36.300682387403803</v>
      </c>
      <c r="Y536" s="54" t="s">
        <v>13</v>
      </c>
      <c r="Z536" s="106">
        <f t="shared" si="58"/>
        <v>168.74190919918823</v>
      </c>
      <c r="AA536" s="106">
        <f t="shared" si="59"/>
        <v>561.01226894829847</v>
      </c>
    </row>
    <row r="537" spans="1:27" x14ac:dyDescent="0.25">
      <c r="A537" s="55" t="s">
        <v>600</v>
      </c>
      <c r="B537" s="49" t="s">
        <v>601</v>
      </c>
      <c r="C537" s="21" t="s">
        <v>61</v>
      </c>
      <c r="D537" s="20" t="s">
        <v>454</v>
      </c>
      <c r="E537" s="20">
        <v>1239</v>
      </c>
      <c r="F537" s="21">
        <v>1400</v>
      </c>
      <c r="G537" s="21" t="s">
        <v>145</v>
      </c>
      <c r="H537" s="21">
        <v>0.66</v>
      </c>
      <c r="I537" s="68">
        <f>MAX('Max rate concentrations'!$M$3:$M$368)</f>
        <v>17.092910873809167</v>
      </c>
      <c r="J537" s="68">
        <f>MAX('Max rate concentrations'!AE:AE)</f>
        <v>11.81956602976166</v>
      </c>
      <c r="K537" s="70">
        <f t="shared" si="60"/>
        <v>3.2538249353697757</v>
      </c>
      <c r="L537" s="70">
        <f t="shared" si="61"/>
        <v>2.2499853276493131</v>
      </c>
      <c r="M537" s="70">
        <f>IF((((0.326*F537^0.818)-(0.398*F537^0.85)/(1-H537)*H537)*(MAX('Max rate concentrations'!$P$3:$P$368)))/F537&gt;0, (((0.326*F537^0.818)-(0.398*F537^0.85)/(1-H537)*H537)*(MAX('Max rate concentrations'!$P$3:$P$368)))/F537, 0)</f>
        <v>0</v>
      </c>
      <c r="N537" s="70">
        <f>IF((((0.326*F537^0.818)-(0.398*F537^0.85)/(1-H537)*H537)*(MAX('Max rate concentrations'!$Q$3:$Q$368)))/F537&gt; 0, (((0.326*F537^0.818)-(0.398*F537^0.85)/(1-H537)*H537)*(MAX('Max rate concentrations'!$Q$3:$Q$368)))/F537, 0)</f>
        <v>0</v>
      </c>
      <c r="O537" s="70">
        <f>((MAX('Max rate concentrations'!$F$3:$F$368))*0.62*6.01*8*(12.3*F537^0.65)*0.079*0.1/F537)*inputs!$E$73/inputs!$E$74</f>
        <v>21.447489523759263</v>
      </c>
      <c r="P537" s="70">
        <f>((MAX('Max rate concentrations'!Y:Y))*0.62*6.01*8*(12.3*F537^0.65)*0.079*0.1/F537)*inputs!$E$73/inputs!$E$74</f>
        <v>7.1491631745864215</v>
      </c>
      <c r="Q537" s="70">
        <f>(inputs!$C$18*11.2*(12.3*F537^0.65)*0.5/F537)*inputs!$E$73/inputs!$E$74</f>
        <v>3.7778741208510853</v>
      </c>
      <c r="R537" s="60">
        <f>(60*379*((F537/1000)^0.8)*3*24*(MAX('Max rate concentrations'!$R$3:$R$368))/F537)*(inputs!$E$73/inputs!$E$75)</f>
        <v>1.0320556153029972E-2</v>
      </c>
      <c r="S537" s="60">
        <f>(IF(inputs!$C$17="aerial",((0.025*0.112*inputs!$C$18/3.3)*(3*60*379*((F537/1000)^0.8))*MAX(inputs!$I$14:$I$16))/F537,((0.0083*0.112*inputs!$C$18/1)*(3*60*379*((F537/1000)^0.8))*MAX(inputs!$I$14:$I$16))/F537))*(inputs!E$75/inputs!$E$73)</f>
        <v>5.6918501261480535E-2</v>
      </c>
      <c r="T537" s="63">
        <f>IF((((inputs!$P$13/(V537/MAX(K537:S537)))^(1/inputs!$O$13))-1)/inputs!$N$13&lt;0, 0, IF((((inputs!$P$13/(V537/MAX(K537:S537)))^(1/inputs!$O$13))-1)/inputs!$N$13&lt;inputs!$I$17, (((inputs!$P$13/(V537/MAX(K537:S537)))^(1/inputs!$O$13))-1)/inputs!$N$13, inputs!$I$17))</f>
        <v>71.031450320726151</v>
      </c>
      <c r="U537" s="63">
        <f>IF((((inputs!$P$13/(X537/MAX(K537:S537)))^(1/inputs!$O$13))-1)/inputs!$N$13&lt;0, 0, IF((((inputs!$P$13/(X537/MAX(K537:S537)))^(1/inputs!$O$13))-1)/inputs!$N$13&lt;inputs!$I$17, (((inputs!$P$13/(X537/MAX(K537:S537)))^(1/inputs!$O$13))-1)/inputs!$N$13, inputs!$I$17))</f>
        <v>0</v>
      </c>
      <c r="V537" s="54">
        <f>inputs!$E$70*(inputs!$F$70/F537)^(0.25)</f>
        <v>0.82281546744781953</v>
      </c>
      <c r="W537" s="54">
        <f>inputs!$E$76*(inputs!$F$76/F537)^(0.25)</f>
        <v>0.24748737341529164</v>
      </c>
      <c r="X537" s="54">
        <f>inputs!$E$72*(inputs!$F$72/F537)^(0.25)</f>
        <v>36.300682387403803</v>
      </c>
      <c r="Y537" s="54" t="s">
        <v>13</v>
      </c>
      <c r="Z537" s="106">
        <f t="shared" si="58"/>
        <v>26.065977576095332</v>
      </c>
      <c r="AA537" s="106">
        <f t="shared" si="59"/>
        <v>86.660944466729205</v>
      </c>
    </row>
    <row r="538" spans="1:27" x14ac:dyDescent="0.25">
      <c r="A538" s="185" t="s">
        <v>872</v>
      </c>
      <c r="B538" s="54" t="s">
        <v>874</v>
      </c>
      <c r="C538" s="21" t="s">
        <v>61</v>
      </c>
      <c r="D538" s="186" t="s">
        <v>454</v>
      </c>
      <c r="E538" s="21">
        <v>11260</v>
      </c>
      <c r="F538" s="21">
        <v>4200</v>
      </c>
      <c r="G538" s="21" t="s">
        <v>456</v>
      </c>
      <c r="H538" s="21">
        <v>0.68</v>
      </c>
      <c r="I538" s="68">
        <f>MAX('Max rate concentrations'!$J$3:$J$368)</f>
        <v>686.46486205830786</v>
      </c>
      <c r="J538" s="68">
        <f>MAX('Max rate concentrations'!AB:AB)</f>
        <v>243.122971978984</v>
      </c>
      <c r="K538" s="70">
        <f t="shared" si="60"/>
        <v>114.18204639442284</v>
      </c>
      <c r="L538" s="70">
        <f t="shared" si="61"/>
        <v>40.439474764691418</v>
      </c>
      <c r="M538" s="70">
        <f>IF((((0.326*F538^0.818)-(0.398*F538^0.85)/(1-H538)*H538)*(MAX('Max rate concentrations'!$P$3:$P$368)))/F538&gt;0, (((0.326*F538^0.818)-(0.398*F538^0.85)/(1-H538)*H538)*(MAX('Max rate concentrations'!$P$3:$P$368)))/F538, 0)</f>
        <v>0</v>
      </c>
      <c r="N538" s="70">
        <f>IF((((0.326*F538^0.818)-(0.398*F538^0.85)/(1-H538)*H538)*(MAX('Max rate concentrations'!$Q$3:$Q$368)))/F538&gt; 0, (((0.326*F538^0.818)-(0.398*F538^0.85)/(1-H538)*H538)*(MAX('Max rate concentrations'!$Q$3:$Q$368)))/F538, 0)</f>
        <v>0</v>
      </c>
      <c r="O538" s="70">
        <f>((MAX('Max rate concentrations'!$F$3:$F$368))*0.62*6.01*8*(12.3*F538^0.65)*0.079*0.1/F538)*inputs!$E$73/inputs!$E$74</f>
        <v>14.601047883354793</v>
      </c>
      <c r="P538" s="70">
        <f>((MAX('Max rate concentrations'!Y:Y))*0.62*6.01*8*(12.3*F538^0.65)*0.079*0.1/F538)*inputs!$E$73/inputs!$E$74</f>
        <v>4.8670159611182635</v>
      </c>
      <c r="Q538" s="70">
        <f>(inputs!$C$18*11.2*(12.3*F538^0.65)*0.5/F538)*inputs!$E$73/inputs!$E$74</f>
        <v>2.571905717670453</v>
      </c>
      <c r="R538" s="60">
        <f>(60*379*((F538/1000)^0.8)*3*24*(MAX('Max rate concentrations'!$R$3:$R$368))/F538)*(inputs!$E$73/inputs!$E$75)</f>
        <v>8.2847393645174346E-3</v>
      </c>
      <c r="S538" s="60">
        <f>(IF(inputs!$C$17="aerial",((0.025*0.112*inputs!$C$18/3.3)*(3*60*379*((F538/1000)^0.8))*MAX(inputs!$I$14:$I$16))/F538,((0.0083*0.112*inputs!$C$18/1)*(3*60*379*((F538/1000)^0.8))*MAX(inputs!$I$14:$I$16))/F538))*(inputs!E$75/inputs!$E$73)</f>
        <v>4.5690846595692558E-2</v>
      </c>
      <c r="T538" s="63">
        <f>IF((((inputs!$P$13/(V538/MAX(K538:S538)))^(1/inputs!$O$13))-1)/inputs!$N$13&lt;0, 0, IF((((inputs!$P$13/(V538/MAX(K538:S538)))^(1/inputs!$O$13))-1)/inputs!$N$13&lt;inputs!$I$17, (((inputs!$P$13/(V538/MAX(K538:S538)))^(1/inputs!$O$13))-1)/inputs!$N$13, inputs!$I$17))</f>
        <v>362.9195002977566</v>
      </c>
      <c r="U538" s="63">
        <f>IF((((inputs!$P$13/(X538/MAX(K538:S538)))^(1/inputs!$O$13))-1)/inputs!$N$13&lt;0, 0, IF((((inputs!$P$13/(X538/MAX(K538:S538)))^(1/inputs!$O$13))-1)/inputs!$N$13&lt;inputs!$I$17, (((inputs!$P$13/(X538/MAX(K538:S538)))^(1/inputs!$O$13))-1)/inputs!$N$13, inputs!$I$17))</f>
        <v>11.994237652142404</v>
      </c>
      <c r="V538" s="54">
        <f>inputs!$E$70*(inputs!$F$70/F538)^(0.25)</f>
        <v>0.62520455487294957</v>
      </c>
      <c r="W538" s="54">
        <f>inputs!$E$76*(inputs!$F$76/F538)^(0.25)</f>
        <v>0.18804973806911984</v>
      </c>
      <c r="X538" s="54">
        <f>inputs!$E$72*(inputs!$F$72/F538)^(0.25)</f>
        <v>27.58255389145366</v>
      </c>
      <c r="Y538" s="54" t="s">
        <v>13</v>
      </c>
      <c r="Z538" s="106">
        <f t="shared" si="58"/>
        <v>182.63150116944726</v>
      </c>
      <c r="AA538" s="106">
        <f t="shared" si="59"/>
        <v>607.19066969640721</v>
      </c>
    </row>
    <row r="539" spans="1:27" x14ac:dyDescent="0.25">
      <c r="A539" s="185" t="s">
        <v>872</v>
      </c>
      <c r="B539" s="54" t="s">
        <v>874</v>
      </c>
      <c r="C539" s="21" t="s">
        <v>61</v>
      </c>
      <c r="D539" s="186" t="s">
        <v>454</v>
      </c>
      <c r="E539" s="21">
        <v>11260</v>
      </c>
      <c r="F539" s="21">
        <v>4200</v>
      </c>
      <c r="G539" s="21" t="s">
        <v>152</v>
      </c>
      <c r="H539" s="21">
        <v>0.77</v>
      </c>
      <c r="I539" s="68">
        <f>MAX('Max rate concentrations'!$G$3:$G$368)</f>
        <v>45</v>
      </c>
      <c r="J539" s="68">
        <f>MAX('Max rate concentrations'!Z:Z)</f>
        <v>21</v>
      </c>
      <c r="K539" s="70">
        <f t="shared" si="60"/>
        <v>10.413918303430378</v>
      </c>
      <c r="L539" s="70">
        <f t="shared" si="61"/>
        <v>4.8598285416008427</v>
      </c>
      <c r="M539" s="70">
        <f>IF((((0.326*F539^0.818)-(0.398*F539^0.85)/(1-H539)*H539)*(MAX('Max rate concentrations'!$P$3:$P$368)))/F539&gt;0, (((0.326*F539^0.818)-(0.398*F539^0.85)/(1-H539)*H539)*(MAX('Max rate concentrations'!$P$3:$P$368)))/F539, 0)</f>
        <v>0</v>
      </c>
      <c r="N539" s="70">
        <f>IF((((0.326*F539^0.818)-(0.398*F539^0.85)/(1-H539)*H539)*(MAX('Max rate concentrations'!$Q$3:$Q$368)))/F539&gt; 0, (((0.326*F539^0.818)-(0.398*F539^0.85)/(1-H539)*H539)*(MAX('Max rate concentrations'!$Q$3:$Q$368)))/F539, 0)</f>
        <v>0</v>
      </c>
      <c r="O539" s="70">
        <f>((MAX('Max rate concentrations'!$F$3:$F$368))*0.62*6.01*8*(12.3*F539^0.65)*0.079*0.1/F539)*inputs!$E$73/inputs!$E$74</f>
        <v>14.601047883354793</v>
      </c>
      <c r="P539" s="70">
        <f>((MAX('Max rate concentrations'!Y:Y))*0.62*6.01*8*(12.3*F539^0.65)*0.079*0.1/F539)*inputs!$E$73/inputs!$E$74</f>
        <v>4.8670159611182635</v>
      </c>
      <c r="Q539" s="70">
        <f>(inputs!$C$18*11.2*(12.3*F539^0.65)*0.5/F539)*inputs!$E$73/inputs!$E$74</f>
        <v>2.571905717670453</v>
      </c>
      <c r="R539" s="60">
        <f>(60*379*((F539/1000)^0.8)*3*24*(MAX('Max rate concentrations'!$R$3:$R$368))/F539)*(inputs!$E$73/inputs!$E$75)</f>
        <v>8.2847393645174346E-3</v>
      </c>
      <c r="S539" s="60">
        <f>(IF(inputs!$C$17="aerial",((0.025*0.112*inputs!$C$18/3.3)*(3*60*379*((F539/1000)^0.8))*MAX(inputs!$I$14:$I$16))/F539,((0.0083*0.112*inputs!$C$18/1)*(3*60*379*((F539/1000)^0.8))*MAX(inputs!$I$14:$I$16))/F539))*(inputs!E$75/inputs!$E$73)</f>
        <v>4.5690846595692558E-2</v>
      </c>
      <c r="T539" s="63">
        <f>IF((((inputs!$P$13/(V539/MAX(K539:S539)))^(1/inputs!$O$13))-1)/inputs!$N$13&lt;0, 0, IF((((inputs!$P$13/(V539/MAX(K539:S539)))^(1/inputs!$O$13))-1)/inputs!$N$13&lt;inputs!$I$17, (((inputs!$P$13/(V539/MAX(K539:S539)))^(1/inputs!$O$13))-1)/inputs!$N$13, inputs!$I$17))</f>
        <v>64.54874061617339</v>
      </c>
      <c r="U539" s="63">
        <f>IF((((inputs!$P$13/(X539/MAX(K539:S539)))^(1/inputs!$O$13))-1)/inputs!$N$13&lt;0, 0, IF((((inputs!$P$13/(X539/MAX(K539:S539)))^(1/inputs!$O$13))-1)/inputs!$N$13&lt;inputs!$I$17, (((inputs!$P$13/(X539/MAX(K539:S539)))^(1/inputs!$O$13))-1)/inputs!$N$13, inputs!$I$17))</f>
        <v>0</v>
      </c>
      <c r="V539" s="54">
        <f>inputs!$E$70*(inputs!$F$70/F539)^(0.25)</f>
        <v>0.62520455487294957</v>
      </c>
      <c r="W539" s="54">
        <f>inputs!$E$76*(inputs!$F$76/F539)^(0.25)</f>
        <v>0.18804973806911984</v>
      </c>
      <c r="X539" s="54">
        <f>inputs!$E$72*(inputs!$F$72/F539)^(0.25)</f>
        <v>27.58255389145366</v>
      </c>
      <c r="Y539" s="54" t="s">
        <v>13</v>
      </c>
      <c r="Z539" s="106">
        <f t="shared" si="58"/>
        <v>23.354033123322228</v>
      </c>
      <c r="AA539" s="106">
        <f t="shared" si="59"/>
        <v>77.644606332756553</v>
      </c>
    </row>
    <row r="540" spans="1:27" x14ac:dyDescent="0.25">
      <c r="A540" s="185" t="s">
        <v>872</v>
      </c>
      <c r="B540" s="54" t="s">
        <v>874</v>
      </c>
      <c r="C540" s="21" t="s">
        <v>61</v>
      </c>
      <c r="D540" s="186" t="s">
        <v>454</v>
      </c>
      <c r="E540" s="21">
        <v>11260</v>
      </c>
      <c r="F540" s="21">
        <v>4200</v>
      </c>
      <c r="G540" s="21" t="s">
        <v>218</v>
      </c>
      <c r="H540" s="21">
        <v>0.68</v>
      </c>
      <c r="I540" s="68">
        <f>MAX('Max rate concentrations'!$K$3:$K$368)</f>
        <v>110.00035859694511</v>
      </c>
      <c r="J540" s="68">
        <f>MAX('Max rate concentrations'!AC:AC)</f>
        <v>38.958460336418057</v>
      </c>
      <c r="K540" s="70">
        <f t="shared" si="60"/>
        <v>18.296735554765647</v>
      </c>
      <c r="L540" s="70">
        <f t="shared" si="61"/>
        <v>6.4800938423128329</v>
      </c>
      <c r="M540" s="70">
        <f>IF((((0.326*F540^0.818)-(0.398*F540^0.85)/(1-H540)*H540)*(MAX('Max rate concentrations'!$P$3:$P$368)))/F540&gt;0, (((0.326*F540^0.818)-(0.398*F540^0.85)/(1-H540)*H540)*(MAX('Max rate concentrations'!$P$3:$P$368)))/F540, 0)</f>
        <v>0</v>
      </c>
      <c r="N540" s="70">
        <f>IF((((0.326*F540^0.818)-(0.398*F540^0.85)/(1-H540)*H540)*(MAX('Max rate concentrations'!$Q$3:$Q$368)))/F540&gt; 0, (((0.326*F540^0.818)-(0.398*F540^0.85)/(1-H540)*H540)*(MAX('Max rate concentrations'!$Q$3:$Q$368)))/F540, 0)</f>
        <v>0</v>
      </c>
      <c r="O540" s="70">
        <f>((MAX('Max rate concentrations'!$F$3:$F$368))*0.62*6.01*8*(12.3*F540^0.65)*0.079*0.1/F540)*inputs!$E$73/inputs!$E$74</f>
        <v>14.601047883354793</v>
      </c>
      <c r="P540" s="70">
        <f>((MAX('Max rate concentrations'!Y:Y))*0.62*6.01*8*(12.3*F540^0.65)*0.079*0.1/F540)*inputs!$E$73/inputs!$E$74</f>
        <v>4.8670159611182635</v>
      </c>
      <c r="Q540" s="70">
        <f>(inputs!$C$18*11.2*(12.3*F540^0.65)*0.5/F540)*inputs!$E$73/inputs!$E$74</f>
        <v>2.571905717670453</v>
      </c>
      <c r="R540" s="60">
        <f>(60*379*((F540/1000)^0.8)*3*24*(MAX('Max rate concentrations'!$R$3:$R$368))/F540)*(inputs!$E$73/inputs!$E$75)</f>
        <v>8.2847393645174346E-3</v>
      </c>
      <c r="S540" s="60">
        <f>(IF(inputs!$C$17="aerial",((0.025*0.112*inputs!$C$18/3.3)*(3*60*379*((F540/1000)^0.8))*MAX(inputs!$I$14:$I$16))/F540,((0.0083*0.112*inputs!$C$18/1)*(3*60*379*((F540/1000)^0.8))*MAX(inputs!$I$14:$I$16))/F540))*(inputs!E$75/inputs!$E$73)</f>
        <v>4.5690846595692558E-2</v>
      </c>
      <c r="T540" s="63">
        <f>IF((((inputs!$P$13/(V540/MAX(K540:S540)))^(1/inputs!$O$13))-1)/inputs!$N$13&lt;0, 0, IF((((inputs!$P$13/(V540/MAX(K540:S540)))^(1/inputs!$O$13))-1)/inputs!$N$13&lt;inputs!$I$17, (((inputs!$P$13/(V540/MAX(K540:S540)))^(1/inputs!$O$13))-1)/inputs!$N$13, inputs!$I$17))</f>
        <v>78.515514105510988</v>
      </c>
      <c r="U540" s="63">
        <f>IF((((inputs!$P$13/(X540/MAX(K540:S540)))^(1/inputs!$O$13))-1)/inputs!$N$13&lt;0, 0, IF((((inputs!$P$13/(X540/MAX(K540:S540)))^(1/inputs!$O$13))-1)/inputs!$N$13&lt;inputs!$I$17, (((inputs!$P$13/(X540/MAX(K540:S540)))^(1/inputs!$O$13))-1)/inputs!$N$13, inputs!$I$17))</f>
        <v>0</v>
      </c>
      <c r="V540" s="54">
        <f>inputs!$E$70*(inputs!$F$70/F540)^(0.25)</f>
        <v>0.62520455487294957</v>
      </c>
      <c r="W540" s="54">
        <f>inputs!$E$76*(inputs!$F$76/F540)^(0.25)</f>
        <v>0.18804973806911984</v>
      </c>
      <c r="X540" s="54">
        <f>inputs!$E$72*(inputs!$F$72/F540)^(0.25)</f>
        <v>27.58255389145366</v>
      </c>
      <c r="Y540" s="54" t="s">
        <v>13</v>
      </c>
      <c r="Z540" s="106">
        <f t="shared" si="58"/>
        <v>29.265198745207162</v>
      </c>
      <c r="AA540" s="106">
        <f t="shared" si="59"/>
        <v>97.29732007412035</v>
      </c>
    </row>
    <row r="541" spans="1:27" x14ac:dyDescent="0.25">
      <c r="A541" s="187" t="s">
        <v>872</v>
      </c>
      <c r="B541" s="188" t="s">
        <v>874</v>
      </c>
      <c r="C541" s="189" t="s">
        <v>61</v>
      </c>
      <c r="D541" s="190" t="s">
        <v>454</v>
      </c>
      <c r="E541" s="189">
        <v>11260</v>
      </c>
      <c r="F541" s="189">
        <v>4200</v>
      </c>
      <c r="G541" s="189" t="s">
        <v>138</v>
      </c>
      <c r="H541" s="189">
        <v>0.68</v>
      </c>
      <c r="I541" s="195">
        <f>MAX('Max rate concentrations'!$L$3:$L$368)</f>
        <v>350.52744091332482</v>
      </c>
      <c r="J541" s="195">
        <f>MAX('Max rate concentrations'!AD:AD)</f>
        <v>242.38599637623525</v>
      </c>
      <c r="K541" s="196">
        <f t="shared" si="60"/>
        <v>58.304427120821757</v>
      </c>
      <c r="L541" s="196">
        <f t="shared" si="61"/>
        <v>40.316891094185252</v>
      </c>
      <c r="M541" s="196">
        <f>IF((((0.326*F541^0.818)-(0.398*F541^0.85)/(1-H541)*H541)*(MAX('Max rate concentrations'!$P$3:$P$368)))/F541&gt;0, (((0.326*F541^0.818)-(0.398*F541^0.85)/(1-H541)*H541)*(MAX('Max rate concentrations'!$P$3:$P$368)))/F541, 0)</f>
        <v>0</v>
      </c>
      <c r="N541" s="196">
        <f>IF((((0.326*F541^0.818)-(0.398*F541^0.85)/(1-H541)*H541)*(MAX('Max rate concentrations'!$Q$3:$Q$368)))/F541&gt; 0, (((0.326*F541^0.818)-(0.398*F541^0.85)/(1-H541)*H541)*(MAX('Max rate concentrations'!$Q$3:$Q$368)))/F541, 0)</f>
        <v>0</v>
      </c>
      <c r="O541" s="196">
        <f>((MAX('Max rate concentrations'!$F$3:$F$368))*0.62*6.01*8*(12.3*F541^0.65)*0.079*0.1/F541)*inputs!$E$73/inputs!$E$74</f>
        <v>14.601047883354793</v>
      </c>
      <c r="P541" s="196">
        <f>((MAX('Max rate concentrations'!Y:Y))*0.62*6.01*8*(12.3*F541^0.65)*0.079*0.1/F541)*inputs!$E$73/inputs!$E$74</f>
        <v>4.8670159611182635</v>
      </c>
      <c r="Q541" s="196">
        <f>(inputs!$C$18*11.2*(12.3*F541^0.65)*0.5/F541)*inputs!$E$73/inputs!$E$74</f>
        <v>2.571905717670453</v>
      </c>
      <c r="R541" s="192">
        <f>(60*379*((F541/1000)^0.8)*3*24*(MAX('Max rate concentrations'!$R$3:$R$368))/F541)*(inputs!$E$73/inputs!$E$75)</f>
        <v>8.2847393645174346E-3</v>
      </c>
      <c r="S541" s="192">
        <f>(IF(inputs!$C$17="aerial",((0.025*0.112*inputs!$C$18/3.3)*(3*60*379*((F541/1000)^0.8))*MAX(inputs!$I$14:$I$16))/F541,((0.0083*0.112*inputs!$C$18/1)*(3*60*379*((F541/1000)^0.8))*MAX(inputs!$I$14:$I$16))/F541))*(inputs!E$75/inputs!$E$73)</f>
        <v>4.5690846595692558E-2</v>
      </c>
      <c r="T541" s="193">
        <f>IF((((inputs!$P$13/(V541/MAX(K541:S541)))^(1/inputs!$O$13))-1)/inputs!$N$13&lt;0, 0, IF((((inputs!$P$13/(V541/MAX(K541:S541)))^(1/inputs!$O$13))-1)/inputs!$N$13&lt;inputs!$I$17, (((inputs!$P$13/(V541/MAX(K541:S541)))^(1/inputs!$O$13))-1)/inputs!$N$13, inputs!$I$17))</f>
        <v>208.55585971173016</v>
      </c>
      <c r="U541" s="193">
        <f>IF((((inputs!$P$13/(X541/MAX(K541:S541)))^(1/inputs!$O$13))-1)/inputs!$N$13&lt;0, 0, IF((((inputs!$P$13/(X541/MAX(K541:S541)))^(1/inputs!$O$13))-1)/inputs!$N$13&lt;inputs!$I$17, (((inputs!$P$13/(X541/MAX(K541:S541)))^(1/inputs!$O$13))-1)/inputs!$N$13, inputs!$I$17))</f>
        <v>4.7732249622918594</v>
      </c>
      <c r="V541" s="188">
        <f>inputs!$E$70*(inputs!$F$70/F541)^(0.25)</f>
        <v>0.62520455487294957</v>
      </c>
      <c r="W541" s="188">
        <f>inputs!$E$76*(inputs!$F$76/F541)^(0.25)</f>
        <v>0.18804973806911984</v>
      </c>
      <c r="X541" s="188">
        <f>inputs!$E$72*(inputs!$F$72/F541)^(0.25)</f>
        <v>27.58255389145366</v>
      </c>
      <c r="Y541" s="188" t="s">
        <v>13</v>
      </c>
      <c r="Z541" s="194">
        <f t="shared" si="58"/>
        <v>93.256561658719903</v>
      </c>
      <c r="AA541" s="194">
        <f t="shared" si="59"/>
        <v>310.04790391886263</v>
      </c>
    </row>
    <row r="542" spans="1:27" x14ac:dyDescent="0.25">
      <c r="A542" s="187" t="s">
        <v>872</v>
      </c>
      <c r="B542" s="188" t="s">
        <v>874</v>
      </c>
      <c r="C542" s="189" t="s">
        <v>61</v>
      </c>
      <c r="D542" s="190" t="s">
        <v>454</v>
      </c>
      <c r="E542" s="189">
        <v>11260</v>
      </c>
      <c r="F542" s="189">
        <v>4200</v>
      </c>
      <c r="G542" s="189" t="s">
        <v>169</v>
      </c>
      <c r="H542" s="189">
        <v>0.79</v>
      </c>
      <c r="I542" s="195">
        <f>MAX('Max rate concentrations'!$D$3:$D$368)</f>
        <v>720</v>
      </c>
      <c r="J542" s="195">
        <f>MAX('Max rate concentrations'!W:W)</f>
        <v>255</v>
      </c>
      <c r="K542" s="196">
        <f t="shared" si="60"/>
        <v>182.49152074582759</v>
      </c>
      <c r="L542" s="196">
        <f t="shared" si="61"/>
        <v>64.632413597480593</v>
      </c>
      <c r="M542" s="196">
        <f>IF((((0.326*F542^0.818)-(0.398*F542^0.85)/(1-H542)*H542)*(MAX('Max rate concentrations'!$P$3:$P$368)))/F542&gt;0, (((0.326*F542^0.818)-(0.398*F542^0.85)/(1-H542)*H542)*(MAX('Max rate concentrations'!$P$3:$P$368)))/F542, 0)</f>
        <v>0</v>
      </c>
      <c r="N542" s="196">
        <f>IF((((0.326*F542^0.818)-(0.398*F542^0.85)/(1-H542)*H542)*(MAX('Max rate concentrations'!$Q$3:$Q$368)))/F542&gt; 0, (((0.326*F542^0.818)-(0.398*F542^0.85)/(1-H542)*H542)*(MAX('Max rate concentrations'!$Q$3:$Q$368)))/F542, 0)</f>
        <v>0</v>
      </c>
      <c r="O542" s="196">
        <f>((MAX('Max rate concentrations'!$F$3:$F$368))*0.62*6.01*8*(12.3*F542^0.65)*0.079*0.1/F542)*inputs!$E$73/inputs!$E$74</f>
        <v>14.601047883354793</v>
      </c>
      <c r="P542" s="196">
        <f>((MAX('Max rate concentrations'!Y:Y))*0.62*6.01*8*(12.3*F542^0.65)*0.079*0.1/F542)*inputs!$E$73/inputs!$E$74</f>
        <v>4.8670159611182635</v>
      </c>
      <c r="Q542" s="196">
        <f>(inputs!$C$18*11.2*(12.3*F542^0.65)*0.5/F542)*inputs!$E$73/inputs!$E$74</f>
        <v>2.571905717670453</v>
      </c>
      <c r="R542" s="192">
        <f>(60*379*((F542/1000)^0.8)*3*24*(MAX('Max rate concentrations'!$R$3:$R$368))/F542)*(inputs!$E$73/inputs!$E$75)</f>
        <v>8.2847393645174346E-3</v>
      </c>
      <c r="S542" s="192">
        <f>(IF(inputs!$C$17="aerial",((0.025*0.112*inputs!$C$18/3.3)*(3*60*379*((F542/1000)^0.8))*MAX(inputs!$I$14:$I$16))/F542,((0.0083*0.112*inputs!$C$18/1)*(3*60*379*((F542/1000)^0.8))*MAX(inputs!$I$14:$I$16))/F542))*(inputs!E$75/inputs!$E$73)</f>
        <v>4.5690846595692558E-2</v>
      </c>
      <c r="T542" s="193">
        <f>IF((((inputs!$P$13/(V542/MAX(K542:S542)))^(1/inputs!$O$13))-1)/inputs!$N$13&lt;0, 0, IF((((inputs!$P$13/(V542/MAX(K542:S542)))^(1/inputs!$O$13))-1)/inputs!$N$13&lt;inputs!$I$17, (((inputs!$P$13/(V542/MAX(K542:S542)))^(1/inputs!$O$13))-1)/inputs!$N$13, inputs!$I$17))</f>
        <v>532.6736880271452</v>
      </c>
      <c r="U542" s="193">
        <f>IF((((inputs!$P$13/(X542/MAX(K542:S542)))^(1/inputs!$O$13))-1)/inputs!$N$13&lt;0, 0, IF((((inputs!$P$13/(X542/MAX(K542:S542)))^(1/inputs!$O$13))-1)/inputs!$N$13&lt;inputs!$I$17, (((inputs!$P$13/(X542/MAX(K542:S542)))^(1/inputs!$O$13))-1)/inputs!$N$13, inputs!$I$17))</f>
        <v>19.935208330830527</v>
      </c>
      <c r="V542" s="188">
        <f>inputs!$E$70*(inputs!$F$70/F542)^(0.25)</f>
        <v>0.62520455487294957</v>
      </c>
      <c r="W542" s="188">
        <f>inputs!$E$76*(inputs!$F$76/F542)^(0.25)</f>
        <v>0.18804973806911984</v>
      </c>
      <c r="X542" s="188">
        <f>inputs!$E$72*(inputs!$F$72/F542)^(0.25)</f>
        <v>27.58255389145366</v>
      </c>
      <c r="Y542" s="188" t="s">
        <v>13</v>
      </c>
      <c r="Z542" s="194">
        <f t="shared" si="58"/>
        <v>291.89090086349813</v>
      </c>
      <c r="AA542" s="194">
        <f t="shared" si="59"/>
        <v>970.44283400570725</v>
      </c>
    </row>
    <row r="543" spans="1:27" x14ac:dyDescent="0.25">
      <c r="A543" s="187" t="s">
        <v>872</v>
      </c>
      <c r="B543" s="188" t="s">
        <v>874</v>
      </c>
      <c r="C543" s="189" t="s">
        <v>61</v>
      </c>
      <c r="D543" s="190" t="s">
        <v>454</v>
      </c>
      <c r="E543" s="189">
        <v>11260</v>
      </c>
      <c r="F543" s="189">
        <v>4200</v>
      </c>
      <c r="G543" s="189" t="s">
        <v>142</v>
      </c>
      <c r="H543" s="189">
        <v>0.69</v>
      </c>
      <c r="I543" s="195">
        <f>MAX('Max rate concentrations'!$H$3:$H$368)</f>
        <v>282</v>
      </c>
      <c r="J543" s="195">
        <f>MAX('Max rate concentrations'!AA:AA)</f>
        <v>195</v>
      </c>
      <c r="K543" s="196">
        <f t="shared" si="60"/>
        <v>48.419121230142949</v>
      </c>
      <c r="L543" s="196">
        <f t="shared" si="61"/>
        <v>33.481307233609478</v>
      </c>
      <c r="M543" s="196">
        <f>IF((((0.326*F543^0.818)-(0.398*F543^0.85)/(1-H543)*H543)*(MAX('Max rate concentrations'!$P$3:$P$368)))/F543&gt;0, (((0.326*F543^0.818)-(0.398*F543^0.85)/(1-H543)*H543)*(MAX('Max rate concentrations'!$P$3:$P$368)))/F543, 0)</f>
        <v>0</v>
      </c>
      <c r="N543" s="196">
        <f>IF((((0.326*F543^0.818)-(0.398*F543^0.85)/(1-H543)*H543)*(MAX('Max rate concentrations'!$Q$3:$Q$368)))/F543&gt; 0, (((0.326*F543^0.818)-(0.398*F543^0.85)/(1-H543)*H543)*(MAX('Max rate concentrations'!$Q$3:$Q$368)))/F543, 0)</f>
        <v>0</v>
      </c>
      <c r="O543" s="196">
        <f>((MAX('Max rate concentrations'!$F$3:$F$368))*0.62*6.01*8*(12.3*F543^0.65)*0.079*0.1/F543)*inputs!$E$73/inputs!$E$74</f>
        <v>14.601047883354793</v>
      </c>
      <c r="P543" s="196">
        <f>((MAX('Max rate concentrations'!Y:Y))*0.62*6.01*8*(12.3*F543^0.65)*0.079*0.1/F543)*inputs!$E$73/inputs!$E$74</f>
        <v>4.8670159611182635</v>
      </c>
      <c r="Q543" s="196">
        <f>(inputs!$C$18*11.2*(12.3*F543^0.65)*0.5/F543)*inputs!$E$73/inputs!$E$74</f>
        <v>2.571905717670453</v>
      </c>
      <c r="R543" s="192">
        <f>(60*379*((F543/1000)^0.8)*3*24*(MAX('Max rate concentrations'!$R$3:$R$368))/F543)*(inputs!$E$73/inputs!$E$75)</f>
        <v>8.2847393645174346E-3</v>
      </c>
      <c r="S543" s="192">
        <f>(IF(inputs!$C$17="aerial",((0.025*0.112*inputs!$C$18/3.3)*(3*60*379*((F543/1000)^0.8))*MAX(inputs!$I$14:$I$16))/F543,((0.0083*0.112*inputs!$C$18/1)*(3*60*379*((F543/1000)^0.8))*MAX(inputs!$I$14:$I$16))/F543))*(inputs!E$75/inputs!$E$73)</f>
        <v>4.5690846595692558E-2</v>
      </c>
      <c r="T543" s="193">
        <f>IF((((inputs!$P$13/(V543/MAX(K543:S543)))^(1/inputs!$O$13))-1)/inputs!$N$13&lt;0, 0, IF((((inputs!$P$13/(V543/MAX(K543:S543)))^(1/inputs!$O$13))-1)/inputs!$N$13&lt;inputs!$I$17, (((inputs!$P$13/(V543/MAX(K543:S543)))^(1/inputs!$O$13))-1)/inputs!$N$13, inputs!$I$17))</f>
        <v>178.73393161172402</v>
      </c>
      <c r="U543" s="193">
        <f>IF((((inputs!$P$13/(X543/MAX(K543:S543)))^(1/inputs!$O$13))-1)/inputs!$N$13&lt;0, 0, IF((((inputs!$P$13/(X543/MAX(K543:S543)))^(1/inputs!$O$13))-1)/inputs!$N$13&lt;inputs!$I$17, (((inputs!$P$13/(X543/MAX(K543:S543)))^(1/inputs!$O$13))-1)/inputs!$N$13, inputs!$I$17))</f>
        <v>3.3781780430275727</v>
      </c>
      <c r="V543" s="188">
        <f>inputs!$E$70*(inputs!$F$70/F543)^(0.25)</f>
        <v>0.62520455487294957</v>
      </c>
      <c r="W543" s="188">
        <f>inputs!$E$76*(inputs!$F$76/F543)^(0.25)</f>
        <v>0.18804973806911984</v>
      </c>
      <c r="X543" s="188">
        <f>inputs!$E$72*(inputs!$F$72/F543)^(0.25)</f>
        <v>27.58255389145366</v>
      </c>
      <c r="Y543" s="188" t="s">
        <v>13</v>
      </c>
      <c r="Z543" s="194">
        <f t="shared" si="58"/>
        <v>77.445247083944224</v>
      </c>
      <c r="AA543" s="194">
        <f t="shared" si="59"/>
        <v>257.48039708699804</v>
      </c>
    </row>
    <row r="544" spans="1:27" x14ac:dyDescent="0.25">
      <c r="A544" s="55" t="s">
        <v>488</v>
      </c>
      <c r="B544" s="49" t="s">
        <v>489</v>
      </c>
      <c r="C544" s="21" t="s">
        <v>61</v>
      </c>
      <c r="D544" s="20" t="s">
        <v>467</v>
      </c>
      <c r="E544" s="20">
        <v>9725</v>
      </c>
      <c r="F544" s="21">
        <v>30</v>
      </c>
      <c r="G544" s="21" t="s">
        <v>142</v>
      </c>
      <c r="H544" s="21">
        <v>0.69</v>
      </c>
      <c r="I544" s="68">
        <f>MAX('Max rate concentrations'!$H$3:$H$368)</f>
        <v>282</v>
      </c>
      <c r="J544" s="68">
        <f>MAX('Max rate concentrations'!AA:AA)</f>
        <v>195</v>
      </c>
      <c r="K544" s="70">
        <f t="shared" si="60"/>
        <v>116.68840227386143</v>
      </c>
      <c r="L544" s="70">
        <f t="shared" si="61"/>
        <v>80.688788806393546</v>
      </c>
      <c r="M544" s="70">
        <f>IF((((0.326*F544^0.818)-(0.398*F544^0.85)/(1-H544)*H544)*(MAX('Max rate concentrations'!$P$3:$P$368)))/F544&gt;0, (((0.326*F544^0.818)-(0.398*F544^0.85)/(1-H544)*H544)*(MAX('Max rate concentrations'!$P$3:$P$368)))/F544, 0)</f>
        <v>0</v>
      </c>
      <c r="N544" s="70">
        <f>IF((((0.326*F544^0.818)-(0.398*F544^0.85)/(1-H544)*H544)*(MAX('Max rate concentrations'!$Q$3:$Q$368)))/F544&gt; 0, (((0.326*F544^0.818)-(0.398*F544^0.85)/(1-H544)*H544)*(MAX('Max rate concentrations'!$Q$3:$Q$368)))/F544, 0)</f>
        <v>0</v>
      </c>
      <c r="O544" s="70">
        <f>((MAX('Max rate concentrations'!$F$3:$F$368))*0.62*6.01*8*(12.3*F544^0.65)*0.079*0.1/F544)*inputs!$E$73/inputs!$E$74</f>
        <v>82.324449957401328</v>
      </c>
      <c r="P544" s="70">
        <f>((MAX('Max rate concentrations'!Y:Y))*0.62*6.01*8*(12.3*F544^0.65)*0.079*0.1/F544)*inputs!$E$73/inputs!$E$74</f>
        <v>27.441483319133773</v>
      </c>
      <c r="Q544" s="70">
        <f>(inputs!$C$18*11.2*(12.3*F544^0.65)*0.5/F544)*inputs!$E$73/inputs!$E$74</f>
        <v>14.501063570299548</v>
      </c>
      <c r="R544" s="60">
        <f>(60*379*((F544/1000)^0.8)*3*24*(MAX('Max rate concentrations'!$R$3:$R$368))/F544)*(inputs!$E$73/inputs!$E$75)</f>
        <v>2.2258938898652596E-2</v>
      </c>
      <c r="S544" s="60">
        <f>(IF(inputs!$C$17="aerial",((0.025*0.112*inputs!$C$18/3.3)*(3*60*379*((F544/1000)^0.8))*MAX(inputs!$I$14:$I$16))/F544,((0.0083*0.112*inputs!$C$18/1)*(3*60*379*((F544/1000)^0.8))*MAX(inputs!$I$14:$I$16))/F544))*(inputs!E$75/inputs!$E$73)</f>
        <v>0.12275941557764004</v>
      </c>
      <c r="T544" s="63">
        <f>IF((((inputs!$P$13/(V544/MAX(K544:S544)))^(1/inputs!$O$13))-1)/inputs!$N$13&lt;0, 0, IF((((inputs!$P$13/(V544/MAX(K544:S544)))^(1/inputs!$O$13))-1)/inputs!$N$13&lt;inputs!$I$17, (((inputs!$P$13/(V544/MAX(K544:S544)))^(1/inputs!$O$13))-1)/inputs!$N$13, inputs!$I$17))</f>
        <v>132.73795494949348</v>
      </c>
      <c r="U544" s="63">
        <f>IF((((inputs!$P$13/(X544/MAX(K544:S544)))^(1/inputs!$O$13))-1)/inputs!$N$13&lt;0, 0, IF((((inputs!$P$13/(X544/MAX(K544:S544)))^(1/inputs!$O$13))-1)/inputs!$N$13&lt;inputs!$I$17, (((inputs!$P$13/(X544/MAX(K544:S544)))^(1/inputs!$O$13))-1)/inputs!$N$13, inputs!$I$17))</f>
        <v>1.2265215395976974</v>
      </c>
      <c r="V544" s="54">
        <f>inputs!$E$70*(inputs!$F$70/F544)^(0.25)</f>
        <v>2.1505727685914304</v>
      </c>
      <c r="W544" s="54">
        <f>inputs!$E$76*(inputs!$F$76/F544)^(0.25)</f>
        <v>0.64685172665509949</v>
      </c>
      <c r="X544" s="54">
        <f>inputs!$E$72*(inputs!$F$72/F544)^(0.25)</f>
        <v>94.878210379033703</v>
      </c>
      <c r="Y544" s="54" t="s">
        <v>13</v>
      </c>
      <c r="Z544" s="106">
        <f t="shared" si="58"/>
        <v>54.259220603025355</v>
      </c>
      <c r="AA544" s="106">
        <f t="shared" si="59"/>
        <v>180.39435849891382</v>
      </c>
    </row>
    <row r="545" spans="1:27" x14ac:dyDescent="0.25">
      <c r="A545" s="55" t="s">
        <v>515</v>
      </c>
      <c r="B545" s="49" t="s">
        <v>516</v>
      </c>
      <c r="C545" s="21" t="s">
        <v>61</v>
      </c>
      <c r="D545" s="20" t="s">
        <v>467</v>
      </c>
      <c r="E545" s="20">
        <v>21</v>
      </c>
      <c r="F545" s="21">
        <v>7</v>
      </c>
      <c r="G545" s="21" t="s">
        <v>142</v>
      </c>
      <c r="H545" s="21">
        <v>0.69</v>
      </c>
      <c r="I545" s="68">
        <f>MAX('Max rate concentrations'!$H$3:$H$368)</f>
        <v>282</v>
      </c>
      <c r="J545" s="68">
        <f>MAX('Max rate concentrations'!AA:AA)</f>
        <v>195</v>
      </c>
      <c r="K545" s="70">
        <f t="shared" si="60"/>
        <v>151.19165660986866</v>
      </c>
      <c r="L545" s="70">
        <f t="shared" si="61"/>
        <v>104.54742212384534</v>
      </c>
      <c r="M545" s="70">
        <f>IF((((0.326*F545^0.818)-(0.398*F545^0.85)/(1-H545)*H545)*(MAX('Max rate concentrations'!$P$3:$P$368)))/F545&gt;0, (((0.326*F545^0.818)-(0.398*F545^0.85)/(1-H545)*H545)*(MAX('Max rate concentrations'!$P$3:$P$368)))/F545, 0)</f>
        <v>0</v>
      </c>
      <c r="N545" s="70">
        <f>IF((((0.326*F545^0.818)-(0.398*F545^0.85)/(1-H545)*H545)*(MAX('Max rate concentrations'!$Q$3:$Q$368)))/F545&gt; 0, (((0.326*F545^0.818)-(0.398*F545^0.85)/(1-H545)*H545)*(MAX('Max rate concentrations'!$Q$3:$Q$368)))/F545, 0)</f>
        <v>0</v>
      </c>
      <c r="O545" s="70">
        <f>((MAX('Max rate concentrations'!$F$3:$F$368))*0.62*6.01*8*(12.3*F545^0.65)*0.079*0.1/F545)*inputs!$E$73/inputs!$E$74</f>
        <v>137.00517218585506</v>
      </c>
      <c r="P545" s="70">
        <f>((MAX('Max rate concentrations'!Y:Y))*0.62*6.01*8*(12.3*F545^0.65)*0.079*0.1/F545)*inputs!$E$73/inputs!$E$74</f>
        <v>45.668390728618363</v>
      </c>
      <c r="Q545" s="70">
        <f>(inputs!$C$18*11.2*(12.3*F545^0.65)*0.5/F545)*inputs!$E$73/inputs!$E$74</f>
        <v>24.132814884945432</v>
      </c>
      <c r="R545" s="60">
        <f>(60*379*((F545/1000)^0.8)*3*24*(MAX('Max rate concentrations'!$R$3:$R$368))/F545)*(inputs!$E$73/inputs!$E$75)</f>
        <v>2.9778930781772905E-2</v>
      </c>
      <c r="S545" s="60">
        <f>(IF(inputs!$C$17="aerial",((0.025*0.112*inputs!$C$18/3.3)*(3*60*379*((F545/1000)^0.8))*MAX(inputs!$I$14:$I$16))/F545,((0.0083*0.112*inputs!$C$18/1)*(3*60*379*((F545/1000)^0.8))*MAX(inputs!$I$14:$I$16))/F545))*(inputs!E$75/inputs!$E$73)</f>
        <v>0.16423263282863526</v>
      </c>
      <c r="T545" s="63">
        <f>IF((((inputs!$P$13/(V545/MAX(K545:S545)))^(1/inputs!$O$13))-1)/inputs!$N$13&lt;0, 0, IF((((inputs!$P$13/(V545/MAX(K545:S545)))^(1/inputs!$O$13))-1)/inputs!$N$13&lt;inputs!$I$17, (((inputs!$P$13/(V545/MAX(K545:S545)))^(1/inputs!$O$13))-1)/inputs!$N$13, inputs!$I$17))</f>
        <v>121.52932862894795</v>
      </c>
      <c r="U545" s="63">
        <f>IF((((inputs!$P$13/(X545/MAX(K545:S545)))^(1/inputs!$O$13))-1)/inputs!$N$13&lt;0, 0, IF((((inputs!$P$13/(X545/MAX(K545:S545)))^(1/inputs!$O$13))-1)/inputs!$N$13&lt;inputs!$I$17, (((inputs!$P$13/(X545/MAX(K545:S545)))^(1/inputs!$O$13))-1)/inputs!$N$13, inputs!$I$17))</f>
        <v>0.70219059878041523</v>
      </c>
      <c r="V545" s="54">
        <f>inputs!$E$70*(inputs!$F$70/F545)^(0.25)</f>
        <v>3.0942823919235973</v>
      </c>
      <c r="W545" s="54">
        <f>inputs!$E$76*(inputs!$F$76/F545)^(0.25)</f>
        <v>0.9307017819653729</v>
      </c>
      <c r="X545" s="54">
        <f>inputs!$E$72*(inputs!$F$72/F545)^(0.25)</f>
        <v>136.51245846721753</v>
      </c>
      <c r="Y545" s="54" t="s">
        <v>13</v>
      </c>
      <c r="Z545" s="106">
        <f t="shared" si="58"/>
        <v>48.861622004667318</v>
      </c>
      <c r="AA545" s="106">
        <f t="shared" si="59"/>
        <v>162.44908899883657</v>
      </c>
    </row>
    <row r="546" spans="1:27" x14ac:dyDescent="0.25">
      <c r="A546" s="55" t="s">
        <v>495</v>
      </c>
      <c r="B546" s="49" t="s">
        <v>496</v>
      </c>
      <c r="C546" s="21" t="s">
        <v>61</v>
      </c>
      <c r="D546" s="20" t="s">
        <v>467</v>
      </c>
      <c r="E546" s="20">
        <v>15</v>
      </c>
      <c r="F546" s="21">
        <v>13</v>
      </c>
      <c r="G546" s="21" t="s">
        <v>142</v>
      </c>
      <c r="H546" s="21">
        <v>0.69</v>
      </c>
      <c r="I546" s="68">
        <f>MAX('Max rate concentrations'!$H$3:$H$368)</f>
        <v>282</v>
      </c>
      <c r="J546" s="68">
        <f>MAX('Max rate concentrations'!AA:AA)</f>
        <v>195</v>
      </c>
      <c r="K546" s="70">
        <f t="shared" si="60"/>
        <v>135.41705355251264</v>
      </c>
      <c r="L546" s="70">
        <f t="shared" si="61"/>
        <v>93.639451924609801</v>
      </c>
      <c r="M546" s="70">
        <f>IF((((0.326*F546^0.818)-(0.398*F546^0.85)/(1-H546)*H546)*(MAX('Max rate concentrations'!$P$3:$P$368)))/F546&gt;0, (((0.326*F546^0.818)-(0.398*F546^0.85)/(1-H546)*H546)*(MAX('Max rate concentrations'!$P$3:$P$368)))/F546, 0)</f>
        <v>0</v>
      </c>
      <c r="N546" s="70">
        <f>IF((((0.326*F546^0.818)-(0.398*F546^0.85)/(1-H546)*H546)*(MAX('Max rate concentrations'!$Q$3:$Q$368)))/F546&gt; 0, (((0.326*F546^0.818)-(0.398*F546^0.85)/(1-H546)*H546)*(MAX('Max rate concentrations'!$Q$3:$Q$368)))/F546, 0)</f>
        <v>0</v>
      </c>
      <c r="O546" s="70">
        <f>((MAX('Max rate concentrations'!$F$3:$F$368))*0.62*6.01*8*(12.3*F546^0.65)*0.079*0.1/F546)*inputs!$E$73/inputs!$E$74</f>
        <v>110.31665976723255</v>
      </c>
      <c r="P546" s="70">
        <f>((MAX('Max rate concentrations'!Y:Y))*0.62*6.01*8*(12.3*F546^0.65)*0.079*0.1/F546)*inputs!$E$73/inputs!$E$74</f>
        <v>36.772219922410862</v>
      </c>
      <c r="Q546" s="70">
        <f>(inputs!$C$18*11.2*(12.3*F546^0.65)*0.5/F546)*inputs!$E$73/inputs!$E$74</f>
        <v>19.431759300857927</v>
      </c>
      <c r="R546" s="60">
        <f>(60*379*((F546/1000)^0.8)*3*24*(MAX('Max rate concentrations'!$R$3:$R$368))/F546)*(inputs!$E$73/inputs!$E$75)</f>
        <v>2.6311162558686412E-2</v>
      </c>
      <c r="S546" s="60">
        <f>(IF(inputs!$C$17="aerial",((0.025*0.112*inputs!$C$18/3.3)*(3*60*379*((F546/1000)^0.8))*MAX(inputs!$I$14:$I$16))/F546,((0.0083*0.112*inputs!$C$18/1)*(3*60*379*((F546/1000)^0.8))*MAX(inputs!$I$14:$I$16))/F546))*(inputs!E$75/inputs!$E$73)</f>
        <v>0.14510767802449684</v>
      </c>
      <c r="T546" s="63">
        <f>IF((((inputs!$P$13/(V546/MAX(K546:S546)))^(1/inputs!$O$13))-1)/inputs!$N$13&lt;0, 0, IF((((inputs!$P$13/(V546/MAX(K546:S546)))^(1/inputs!$O$13))-1)/inputs!$N$13&lt;inputs!$I$17, (((inputs!$P$13/(V546/MAX(K546:S546)))^(1/inputs!$O$13))-1)/inputs!$N$13, inputs!$I$17))</f>
        <v>126.18135918827073</v>
      </c>
      <c r="U546" s="63">
        <f>IF((((inputs!$P$13/(X546/MAX(K546:S546)))^(1/inputs!$O$13))-1)/inputs!$N$13&lt;0, 0, IF((((inputs!$P$13/(X546/MAX(K546:S546)))^(1/inputs!$O$13))-1)/inputs!$N$13&lt;inputs!$I$17, (((inputs!$P$13/(X546/MAX(K546:S546)))^(1/inputs!$O$13))-1)/inputs!$N$13, inputs!$I$17))</f>
        <v>0.91980901963983475</v>
      </c>
      <c r="V546" s="54">
        <f>inputs!$E$70*(inputs!$F$70/F546)^(0.25)</f>
        <v>2.6506270024413325</v>
      </c>
      <c r="W546" s="54">
        <f>inputs!$E$76*(inputs!$F$76/F546)^(0.25)</f>
        <v>0.79725860863141151</v>
      </c>
      <c r="X546" s="54">
        <f>inputs!$E$72*(inputs!$F$72/F546)^(0.25)</f>
        <v>116.93942657829409</v>
      </c>
      <c r="Y546" s="54" t="s">
        <v>13</v>
      </c>
      <c r="Z546" s="106">
        <f t="shared" si="58"/>
        <v>51.088687102254738</v>
      </c>
      <c r="AA546" s="106">
        <f t="shared" si="59"/>
        <v>169.85336010980427</v>
      </c>
    </row>
    <row r="547" spans="1:27" x14ac:dyDescent="0.25">
      <c r="A547" s="55" t="s">
        <v>519</v>
      </c>
      <c r="B547" s="49" t="s">
        <v>520</v>
      </c>
      <c r="C547" s="21" t="s">
        <v>61</v>
      </c>
      <c r="D547" s="20" t="s">
        <v>467</v>
      </c>
      <c r="E547" s="20">
        <v>1</v>
      </c>
      <c r="F547" s="21">
        <v>5.4</v>
      </c>
      <c r="G547" s="21" t="s">
        <v>142</v>
      </c>
      <c r="H547" s="21">
        <v>0.69</v>
      </c>
      <c r="I547" s="68">
        <f>MAX('Max rate concentrations'!$H$3:$H$368)</f>
        <v>282</v>
      </c>
      <c r="J547" s="68">
        <f>MAX('Max rate concentrations'!AA:AA)</f>
        <v>195</v>
      </c>
      <c r="K547" s="70">
        <f t="shared" si="60"/>
        <v>158.33947021492671</v>
      </c>
      <c r="L547" s="70">
        <f t="shared" si="61"/>
        <v>109.49005919117272</v>
      </c>
      <c r="M547" s="70">
        <f>IF((((0.326*F547^0.818)-(0.398*F547^0.85)/(1-H547)*H547)*(MAX('Max rate concentrations'!$P$3:$P$368)))/F547&gt;0, (((0.326*F547^0.818)-(0.398*F547^0.85)/(1-H547)*H547)*(MAX('Max rate concentrations'!$P$3:$P$368)))/F547, 0)</f>
        <v>0</v>
      </c>
      <c r="N547" s="70">
        <f>IF((((0.326*F547^0.818)-(0.398*F547^0.85)/(1-H547)*H547)*(MAX('Max rate concentrations'!$Q$3:$Q$368)))/F547&gt; 0, (((0.326*F547^0.818)-(0.398*F547^0.85)/(1-H547)*H547)*(MAX('Max rate concentrations'!$Q$3:$Q$368)))/F547, 0)</f>
        <v>0</v>
      </c>
      <c r="O547" s="70">
        <f>((MAX('Max rate concentrations'!$F$3:$F$368))*0.62*6.01*8*(12.3*F547^0.65)*0.079*0.1/F547)*inputs!$E$73/inputs!$E$74</f>
        <v>150.03184877373533</v>
      </c>
      <c r="P547" s="70">
        <f>((MAX('Max rate concentrations'!Y:Y))*0.62*6.01*8*(12.3*F547^0.65)*0.079*0.1/F547)*inputs!$E$73/inputs!$E$74</f>
        <v>50.010616257911771</v>
      </c>
      <c r="Q547" s="70">
        <f>(inputs!$C$18*11.2*(12.3*F547^0.65)*0.5/F547)*inputs!$E$73/inputs!$E$74</f>
        <v>26.427402524563199</v>
      </c>
      <c r="R547" s="60">
        <f>(60*379*((F547/1000)^0.8)*3*24*(MAX('Max rate concentrations'!$R$3:$R$368))/F547)*(inputs!$E$73/inputs!$E$75)</f>
        <v>3.1365336869962138E-2</v>
      </c>
      <c r="S547" s="60">
        <f>(IF(inputs!$C$17="aerial",((0.025*0.112*inputs!$C$18/3.3)*(3*60*379*((F547/1000)^0.8))*MAX(inputs!$I$14:$I$16))/F547,((0.0083*0.112*inputs!$C$18/1)*(3*60*379*((F547/1000)^0.8))*MAX(inputs!$I$14:$I$16))/F547))*(inputs!E$75/inputs!$E$73)</f>
        <v>0.17298175987110664</v>
      </c>
      <c r="T547" s="63">
        <f>IF((((inputs!$P$13/(V547/MAX(K547:S547)))^(1/inputs!$O$13))-1)/inputs!$N$13&lt;0, 0, IF((((inputs!$P$13/(V547/MAX(K547:S547)))^(1/inputs!$O$13))-1)/inputs!$N$13&lt;inputs!$I$17, (((inputs!$P$13/(V547/MAX(K547:S547)))^(1/inputs!$O$13))-1)/inputs!$N$13, inputs!$I$17))</f>
        <v>119.62845423266525</v>
      </c>
      <c r="U547" s="63">
        <f>IF((((inputs!$P$13/(X547/MAX(K547:S547)))^(1/inputs!$O$13))-1)/inputs!$N$13&lt;0, 0, IF((((inputs!$P$13/(X547/MAX(K547:S547)))^(1/inputs!$O$13))-1)/inputs!$N$13&lt;inputs!$I$17, (((inputs!$P$13/(X547/MAX(K547:S547)))^(1/inputs!$O$13))-1)/inputs!$N$13, inputs!$I$17))</f>
        <v>0.61326915273742677</v>
      </c>
      <c r="V547" s="54">
        <f>inputs!$E$70*(inputs!$F$70/F547)^(0.25)</f>
        <v>3.3016878838950015</v>
      </c>
      <c r="W547" s="54">
        <f>inputs!$E$76*(inputs!$F$76/F547)^(0.25)</f>
        <v>0.99308544205762128</v>
      </c>
      <c r="X547" s="54">
        <f>inputs!$E$72*(inputs!$F$72/F547)^(0.25)</f>
        <v>145.66270076007359</v>
      </c>
      <c r="Y547" s="54" t="s">
        <v>13</v>
      </c>
      <c r="Z547" s="106">
        <f t="shared" si="58"/>
        <v>47.957128530312083</v>
      </c>
      <c r="AA547" s="106">
        <f t="shared" si="59"/>
        <v>159.44194075270661</v>
      </c>
    </row>
    <row r="548" spans="1:27" ht="26.4" x14ac:dyDescent="0.25">
      <c r="A548" s="55" t="s">
        <v>499</v>
      </c>
      <c r="B548" s="49" t="s">
        <v>500</v>
      </c>
      <c r="C548" s="21" t="s">
        <v>61</v>
      </c>
      <c r="D548" s="20" t="s">
        <v>467</v>
      </c>
      <c r="E548" s="20">
        <v>47</v>
      </c>
      <c r="F548" s="21">
        <v>20</v>
      </c>
      <c r="G548" s="21" t="s">
        <v>152</v>
      </c>
      <c r="H548" s="21">
        <v>0.77</v>
      </c>
      <c r="I548" s="68">
        <f>MAX('Max rate concentrations'!$G$3:$G$368)</f>
        <v>45</v>
      </c>
      <c r="J548" s="68">
        <f>MAX('Max rate concentrations'!Z:Z)</f>
        <v>21</v>
      </c>
      <c r="K548" s="70">
        <f t="shared" si="60"/>
        <v>26.975481215484166</v>
      </c>
      <c r="L548" s="70">
        <f t="shared" si="61"/>
        <v>12.588557900559277</v>
      </c>
      <c r="M548" s="70">
        <f>IF((((0.326*F548^0.818)-(0.398*F548^0.85)/(1-H548)*H548)*(MAX('Max rate concentrations'!$P$3:$P$368)))/F548&gt;0, (((0.326*F548^0.818)-(0.398*F548^0.85)/(1-H548)*H548)*(MAX('Max rate concentrations'!$P$3:$P$368)))/F548, 0)</f>
        <v>0</v>
      </c>
      <c r="N548" s="70">
        <f>IF((((0.326*F548^0.818)-(0.398*F548^0.85)/(1-H548)*H548)*(MAX('Max rate concentrations'!$Q$3:$Q$368)))/F548&gt; 0, (((0.326*F548^0.818)-(0.398*F548^0.85)/(1-H548)*H548)*(MAX('Max rate concentrations'!$Q$3:$Q$368)))/F548, 0)</f>
        <v>0</v>
      </c>
      <c r="O548" s="70">
        <f>((MAX('Max rate concentrations'!$F$3:$F$368))*0.62*6.01*8*(12.3*F548^0.65)*0.079*0.1/F548)*inputs!$E$73/inputs!$E$74</f>
        <v>94.876963838574341</v>
      </c>
      <c r="P548" s="70">
        <f>((MAX('Max rate concentrations'!Y:Y))*0.62*6.01*8*(12.3*F548^0.65)*0.079*0.1/F548)*inputs!$E$73/inputs!$E$74</f>
        <v>31.625654612858121</v>
      </c>
      <c r="Q548" s="70">
        <f>(inputs!$C$18*11.2*(12.3*F548^0.65)*0.5/F548)*inputs!$E$73/inputs!$E$74</f>
        <v>16.71212968555627</v>
      </c>
      <c r="R548" s="60">
        <f>(60*379*((F548/1000)^0.8)*3*24*(MAX('Max rate concentrations'!$R$3:$R$368))/F548)*(inputs!$E$73/inputs!$E$75)</f>
        <v>2.4139190892403128E-2</v>
      </c>
      <c r="S548" s="60">
        <f>(IF(inputs!$C$17="aerial",((0.025*0.112*inputs!$C$18/3.3)*(3*60*379*((F548/1000)^0.8))*MAX(inputs!$I$14:$I$16))/F548,((0.0083*0.112*inputs!$C$18/1)*(3*60*379*((F548/1000)^0.8))*MAX(inputs!$I$14:$I$16))/F548))*(inputs!E$75/inputs!$E$73)</f>
        <v>0.13312912084267761</v>
      </c>
      <c r="T548" s="63">
        <f>IF((((inputs!$P$13/(V548/MAX(K548:S548)))^(1/inputs!$O$13))-1)/inputs!$N$13&lt;0, 0, IF((((inputs!$P$13/(V548/MAX(K548:S548)))^(1/inputs!$O$13))-1)/inputs!$N$13&lt;inputs!$I$17, (((inputs!$P$13/(V548/MAX(K548:S548)))^(1/inputs!$O$13))-1)/inputs!$N$13, inputs!$I$17))</f>
        <v>102.29466225529146</v>
      </c>
      <c r="U548" s="63">
        <f>IF((((inputs!$P$13/(X548/MAX(K548:S548)))^(1/inputs!$O$13))-1)/inputs!$N$13&lt;0, 0, IF((((inputs!$P$13/(X548/MAX(K548:S548)))^(1/inputs!$O$13))-1)/inputs!$N$13&lt;inputs!$I$17, (((inputs!$P$13/(X548/MAX(K548:S548)))^(1/inputs!$O$13))-1)/inputs!$N$13, inputs!$I$17))</f>
        <v>0</v>
      </c>
      <c r="V548" s="54">
        <f>inputs!$E$70*(inputs!$F$70/F548)^(0.25)</f>
        <v>2.38</v>
      </c>
      <c r="W548" s="54">
        <f>inputs!$E$76*(inputs!$F$76/F548)^(0.25)</f>
        <v>0.71585911061613317</v>
      </c>
      <c r="X548" s="54">
        <f>inputs!$E$72*(inputs!$F$72/F548)^(0.25)</f>
        <v>105</v>
      </c>
      <c r="Y548" s="54" t="s">
        <v>13</v>
      </c>
      <c r="Z548" s="106">
        <f t="shared" si="58"/>
        <v>39.864270520409391</v>
      </c>
      <c r="AA548" s="106">
        <f t="shared" si="59"/>
        <v>132.53580548400737</v>
      </c>
    </row>
    <row r="549" spans="1:27" ht="26.4" x14ac:dyDescent="0.25">
      <c r="A549" s="55" t="s">
        <v>499</v>
      </c>
      <c r="B549" s="49" t="s">
        <v>500</v>
      </c>
      <c r="C549" s="21" t="s">
        <v>61</v>
      </c>
      <c r="D549" s="20" t="s">
        <v>467</v>
      </c>
      <c r="E549" s="20">
        <v>47</v>
      </c>
      <c r="F549" s="21">
        <v>20</v>
      </c>
      <c r="G549" s="21" t="s">
        <v>153</v>
      </c>
      <c r="H549" s="21">
        <v>0.7</v>
      </c>
      <c r="I549" s="68">
        <f>MAX('Max rate concentrations'!$E$3:$E$368)</f>
        <v>330</v>
      </c>
      <c r="J549" s="68">
        <f>MAX('Max rate concentrations'!X:X)</f>
        <v>108</v>
      </c>
      <c r="K549" s="70">
        <f t="shared" si="60"/>
        <v>151.66214994483317</v>
      </c>
      <c r="L549" s="70">
        <f t="shared" si="61"/>
        <v>49.634885436490855</v>
      </c>
      <c r="M549" s="70">
        <f>IF((((0.326*F549^0.818)-(0.398*F549^0.85)/(1-H549)*H549)*(MAX('Max rate concentrations'!$P$3:$P$368)))/F549&gt;0, (((0.326*F549^0.818)-(0.398*F549^0.85)/(1-H549)*H549)*(MAX('Max rate concentrations'!$P$3:$P$368)))/F549, 0)</f>
        <v>0</v>
      </c>
      <c r="N549" s="70">
        <f>IF((((0.326*F549^0.818)-(0.398*F549^0.85)/(1-H549)*H549)*(MAX('Max rate concentrations'!$Q$3:$Q$368)))/F549&gt; 0, (((0.326*F549^0.818)-(0.398*F549^0.85)/(1-H549)*H549)*(MAX('Max rate concentrations'!$Q$3:$Q$368)))/F549, 0)</f>
        <v>0</v>
      </c>
      <c r="O549" s="70">
        <f>((MAX('Max rate concentrations'!$F$3:$F$368))*0.62*6.01*8*(12.3*F549^0.65)*0.079*0.1/F549)*inputs!$E$73/inputs!$E$74</f>
        <v>94.876963838574341</v>
      </c>
      <c r="P549" s="70">
        <f>((MAX('Max rate concentrations'!Y:Y))*0.62*6.01*8*(12.3*F549^0.65)*0.079*0.1/F549)*inputs!$E$73/inputs!$E$74</f>
        <v>31.625654612858121</v>
      </c>
      <c r="Q549" s="70">
        <f>(inputs!$C$18*11.2*(12.3*F549^0.65)*0.5/F549)*inputs!$E$73/inputs!$E$74</f>
        <v>16.71212968555627</v>
      </c>
      <c r="R549" s="60">
        <f>(60*379*((F549/1000)^0.8)*3*24*(MAX('Max rate concentrations'!$R$3:$R$368))/F549)*(inputs!$E$73/inputs!$E$75)</f>
        <v>2.4139190892403128E-2</v>
      </c>
      <c r="S549" s="60">
        <f>(IF(inputs!$C$17="aerial",((0.025*0.112*inputs!$C$18/3.3)*(3*60*379*((F549/1000)^0.8))*MAX(inputs!$I$14:$I$16))/F549,((0.0083*0.112*inputs!$C$18/1)*(3*60*379*((F549/1000)^0.8))*MAX(inputs!$I$14:$I$16))/F549))*(inputs!E$75/inputs!$E$73)</f>
        <v>0.13312912084267761</v>
      </c>
      <c r="T549" s="63">
        <f>IF((((inputs!$P$13/(V549/MAX(K549:S549)))^(1/inputs!$O$13))-1)/inputs!$N$13&lt;0, 0, IF((((inputs!$P$13/(V549/MAX(K549:S549)))^(1/inputs!$O$13))-1)/inputs!$N$13&lt;inputs!$I$17, (((inputs!$P$13/(V549/MAX(K549:S549)))^(1/inputs!$O$13))-1)/inputs!$N$13, inputs!$I$17))</f>
        <v>151.89450000957893</v>
      </c>
      <c r="U549" s="63">
        <f>IF((((inputs!$P$13/(X549/MAX(K549:S549)))^(1/inputs!$O$13))-1)/inputs!$N$13&lt;0, 0, IF((((inputs!$P$13/(X549/MAX(K549:S549)))^(1/inputs!$O$13))-1)/inputs!$N$13&lt;inputs!$I$17, (((inputs!$P$13/(X549/MAX(K549:S549)))^(1/inputs!$O$13))-1)/inputs!$N$13, inputs!$I$17))</f>
        <v>2.1226500219748674</v>
      </c>
      <c r="V549" s="54">
        <f>inputs!$E$70*(inputs!$F$70/F549)^(0.25)</f>
        <v>2.38</v>
      </c>
      <c r="W549" s="54">
        <f>inputs!$E$76*(inputs!$F$76/F549)^(0.25)</f>
        <v>0.71585911061613317</v>
      </c>
      <c r="X549" s="54">
        <f>inputs!$E$72*(inputs!$F$72/F549)^(0.25)</f>
        <v>105</v>
      </c>
      <c r="Y549" s="54" t="s">
        <v>13</v>
      </c>
      <c r="Z549" s="106">
        <f t="shared" si="58"/>
        <v>63.723592413795451</v>
      </c>
      <c r="AA549" s="106">
        <f t="shared" si="59"/>
        <v>211.8603335428657</v>
      </c>
    </row>
    <row r="550" spans="1:27" x14ac:dyDescent="0.25">
      <c r="A550" s="55" t="s">
        <v>554</v>
      </c>
      <c r="B550" s="49" t="s">
        <v>555</v>
      </c>
      <c r="C550" s="21" t="s">
        <v>61</v>
      </c>
      <c r="D550" s="20" t="s">
        <v>467</v>
      </c>
      <c r="E550" s="20">
        <v>8962</v>
      </c>
      <c r="F550" s="21">
        <v>350</v>
      </c>
      <c r="G550" s="21" t="s">
        <v>152</v>
      </c>
      <c r="H550" s="21">
        <v>0.77</v>
      </c>
      <c r="I550" s="68">
        <f>MAX('Max rate concentrations'!$G$3:$G$368)</f>
        <v>45</v>
      </c>
      <c r="J550" s="68">
        <f>MAX('Max rate concentrations'!Z:Z)</f>
        <v>21</v>
      </c>
      <c r="K550" s="70">
        <f t="shared" si="60"/>
        <v>16.207216297103404</v>
      </c>
      <c r="L550" s="70">
        <f t="shared" si="61"/>
        <v>7.5633676053149221</v>
      </c>
      <c r="M550" s="70">
        <f>IF((((0.326*F550^0.818)-(0.398*F550^0.85)/(1-H550)*H550)*(MAX('Max rate concentrations'!$P$3:$P$368)))/F550&gt;0, (((0.326*F550^0.818)-(0.398*F550^0.85)/(1-H550)*H550)*(MAX('Max rate concentrations'!$P$3:$P$368)))/F550, 0)</f>
        <v>0</v>
      </c>
      <c r="N550" s="70">
        <f>IF((((0.326*F550^0.818)-(0.398*F550^0.85)/(1-H550)*H550)*(MAX('Max rate concentrations'!$Q$3:$Q$368)))/F550&gt; 0, (((0.326*F550^0.818)-(0.398*F550^0.85)/(1-H550)*H550)*(MAX('Max rate concentrations'!$Q$3:$Q$368)))/F550, 0)</f>
        <v>0</v>
      </c>
      <c r="O550" s="70">
        <f>((MAX('Max rate concentrations'!$F$3:$F$368))*0.62*6.01*8*(12.3*F550^0.65)*0.079*0.1/F550)*inputs!$E$73/inputs!$E$74</f>
        <v>34.84154952299744</v>
      </c>
      <c r="P550" s="70">
        <f>((MAX('Max rate concentrations'!Y:Y))*0.62*6.01*8*(12.3*F550^0.65)*0.079*0.1/F550)*inputs!$E$73/inputs!$E$74</f>
        <v>11.61384984099915</v>
      </c>
      <c r="Q550" s="70">
        <f>(inputs!$C$18*11.2*(12.3*F550^0.65)*0.5/F550)*inputs!$E$73/inputs!$E$74</f>
        <v>6.1371746155870026</v>
      </c>
      <c r="R550" s="60">
        <f>(60*379*((F550/1000)^0.8)*3*24*(MAX('Max rate concentrations'!$R$3:$R$368))/F550)*(inputs!$E$73/inputs!$E$75)</f>
        <v>1.3618055487498908E-2</v>
      </c>
      <c r="S550" s="60">
        <f>(IF(inputs!$C$17="aerial",((0.025*0.112*inputs!$C$18/3.3)*(3*60*379*((F550/1000)^0.8))*MAX(inputs!$I$14:$I$16))/F550,((0.0083*0.112*inputs!$C$18/1)*(3*60*379*((F550/1000)^0.8))*MAX(inputs!$I$14:$I$16))/F550))*(inputs!E$75/inputs!$E$73)</f>
        <v>7.5104412683860519E-2</v>
      </c>
      <c r="T550" s="63">
        <f>IF((((inputs!$P$13/(V550/MAX(K550:S550)))^(1/inputs!$O$13))-1)/inputs!$N$13&lt;0, 0, IF((((inputs!$P$13/(V550/MAX(K550:S550)))^(1/inputs!$O$13))-1)/inputs!$N$13&lt;inputs!$I$17, (((inputs!$P$13/(V550/MAX(K550:S550)))^(1/inputs!$O$13))-1)/inputs!$N$13, inputs!$I$17))</f>
        <v>80.078087538741713</v>
      </c>
      <c r="U550" s="63">
        <f>IF((((inputs!$P$13/(X550/MAX(K550:S550)))^(1/inputs!$O$13))-1)/inputs!$N$13&lt;0, 0, IF((((inputs!$P$13/(X550/MAX(K550:S550)))^(1/inputs!$O$13))-1)/inputs!$N$13&lt;inputs!$I$17, (((inputs!$P$13/(X550/MAX(K550:S550)))^(1/inputs!$O$13))-1)/inputs!$N$13, inputs!$I$17))</f>
        <v>0</v>
      </c>
      <c r="V550" s="54">
        <f>inputs!$E$70*(inputs!$F$70/F550)^(0.25)</f>
        <v>1.1636367933950642</v>
      </c>
      <c r="W550" s="54">
        <f>inputs!$E$76*(inputs!$F$76/F550)^(0.25)</f>
        <v>0.35</v>
      </c>
      <c r="X550" s="54">
        <f>inputs!$E$72*(inputs!$F$72/F550)^(0.25)</f>
        <v>51.336917355664603</v>
      </c>
      <c r="Y550" s="54" t="s">
        <v>13</v>
      </c>
      <c r="Z550" s="106">
        <f t="shared" si="58"/>
        <v>29.941945563050314</v>
      </c>
      <c r="AA550" s="106">
        <f t="shared" si="59"/>
        <v>99.547284351421268</v>
      </c>
    </row>
    <row r="551" spans="1:27" x14ac:dyDescent="0.25">
      <c r="A551" s="55" t="s">
        <v>554</v>
      </c>
      <c r="B551" s="49" t="s">
        <v>555</v>
      </c>
      <c r="C551" s="21" t="s">
        <v>61</v>
      </c>
      <c r="D551" s="20" t="s">
        <v>467</v>
      </c>
      <c r="E551" s="20">
        <v>8962</v>
      </c>
      <c r="F551" s="21">
        <v>350</v>
      </c>
      <c r="G551" s="21" t="s">
        <v>177</v>
      </c>
      <c r="H551" s="21">
        <v>0.85</v>
      </c>
      <c r="I551" s="68">
        <f>MAX('Max rate concentrations'!$F$3:$F$368)</f>
        <v>405</v>
      </c>
      <c r="J551" s="68">
        <f>MAX('Max rate concentrations'!Y:Y)</f>
        <v>135</v>
      </c>
      <c r="K551" s="70">
        <f t="shared" si="60"/>
        <v>223.65958490002697</v>
      </c>
      <c r="L551" s="70">
        <f t="shared" si="61"/>
        <v>74.553194966675662</v>
      </c>
      <c r="M551" s="70">
        <f>IF((((0.326*F551^0.818)-(0.398*F551^0.85)/(1-H551)*H551)*(MAX('Max rate concentrations'!$P$3:$P$368)))/F551&gt;0, (((0.326*F551^0.818)-(0.398*F551^0.85)/(1-H551)*H551)*(MAX('Max rate concentrations'!$P$3:$P$368)))/F551, 0)</f>
        <v>0</v>
      </c>
      <c r="N551" s="70">
        <f>IF((((0.326*F551^0.818)-(0.398*F551^0.85)/(1-H551)*H551)*(MAX('Max rate concentrations'!$Q$3:$Q$368)))/F551&gt; 0, (((0.326*F551^0.818)-(0.398*F551^0.85)/(1-H551)*H551)*(MAX('Max rate concentrations'!$Q$3:$Q$368)))/F551, 0)</f>
        <v>0</v>
      </c>
      <c r="O551" s="70">
        <f>((MAX('Max rate concentrations'!$F$3:$F$368))*0.62*6.01*8*(12.3*F551^0.65)*0.079*0.1/F551)*inputs!$E$73/inputs!$E$74</f>
        <v>34.84154952299744</v>
      </c>
      <c r="P551" s="70">
        <f>((MAX('Max rate concentrations'!Y:Y))*0.62*6.01*8*(12.3*F551^0.65)*0.079*0.1/F551)*inputs!$E$73/inputs!$E$74</f>
        <v>11.61384984099915</v>
      </c>
      <c r="Q551" s="70">
        <f>(inputs!$C$18*11.2*(12.3*F551^0.65)*0.5/F551)*inputs!$E$73/inputs!$E$74</f>
        <v>6.1371746155870026</v>
      </c>
      <c r="R551" s="60">
        <f>(60*379*((F551/1000)^0.8)*3*24*(MAX('Max rate concentrations'!$R$3:$R$368))/F551)*(inputs!$E$73/inputs!$E$75)</f>
        <v>1.3618055487498908E-2</v>
      </c>
      <c r="S551" s="60">
        <f>(IF(inputs!$C$17="aerial",((0.025*0.112*inputs!$C$18/3.3)*(3*60*379*((F551/1000)^0.8))*MAX(inputs!$I$14:$I$16))/F551,((0.0083*0.112*inputs!$C$18/1)*(3*60*379*((F551/1000)^0.8))*MAX(inputs!$I$14:$I$16))/F551))*(inputs!E$75/inputs!$E$73)</f>
        <v>7.5104412683860519E-2</v>
      </c>
      <c r="T551" s="63">
        <f>IF((((inputs!$P$13/(V551/MAX(K551:S551)))^(1/inputs!$O$13))-1)/inputs!$N$13&lt;0, 0, IF((((inputs!$P$13/(V551/MAX(K551:S551)))^(1/inputs!$O$13))-1)/inputs!$N$13&lt;inputs!$I$17, (((inputs!$P$13/(V551/MAX(K551:S551)))^(1/inputs!$O$13))-1)/inputs!$N$13, inputs!$I$17))</f>
        <v>378.45250505101438</v>
      </c>
      <c r="U551" s="63">
        <f>IF((((inputs!$P$13/(X551/MAX(K551:S551)))^(1/inputs!$O$13))-1)/inputs!$N$13&lt;0, 0, IF((((inputs!$P$13/(X551/MAX(K551:S551)))^(1/inputs!$O$13))-1)/inputs!$N$13&lt;inputs!$I$17, (((inputs!$P$13/(X551/MAX(K551:S551)))^(1/inputs!$O$13))-1)/inputs!$N$13, inputs!$I$17))</f>
        <v>12.720859698687587</v>
      </c>
      <c r="V551" s="54">
        <f>inputs!$E$70*(inputs!$F$70/F551)^(0.25)</f>
        <v>1.1636367933950642</v>
      </c>
      <c r="W551" s="54">
        <f>inputs!$E$76*(inputs!$F$76/F551)^(0.25)</f>
        <v>0.35</v>
      </c>
      <c r="X551" s="54">
        <f>inputs!$E$72*(inputs!$F$72/F551)^(0.25)</f>
        <v>51.336917355664603</v>
      </c>
      <c r="Y551" s="54" t="s">
        <v>13</v>
      </c>
      <c r="Z551" s="106">
        <f t="shared" si="58"/>
        <v>192.20738478668292</v>
      </c>
      <c r="AA551" s="106">
        <f t="shared" si="59"/>
        <v>639.02738542864847</v>
      </c>
    </row>
    <row r="552" spans="1:27" x14ac:dyDescent="0.25">
      <c r="A552" s="55" t="s">
        <v>554</v>
      </c>
      <c r="B552" s="49" t="s">
        <v>555</v>
      </c>
      <c r="C552" s="21" t="s">
        <v>61</v>
      </c>
      <c r="D552" s="20" t="s">
        <v>467</v>
      </c>
      <c r="E552" s="20">
        <v>8962</v>
      </c>
      <c r="F552" s="21">
        <v>350</v>
      </c>
      <c r="G552" s="21" t="s">
        <v>556</v>
      </c>
      <c r="H552" s="21">
        <v>0.7</v>
      </c>
      <c r="I552" s="68">
        <f>MAX('Max rate concentrations'!$E$3:$E$368)</f>
        <v>330</v>
      </c>
      <c r="J552" s="68">
        <f>MAX('Max rate concentrations'!X:X)</f>
        <v>108</v>
      </c>
      <c r="K552" s="70">
        <f t="shared" si="60"/>
        <v>91.120571625936904</v>
      </c>
      <c r="L552" s="70">
        <f t="shared" si="61"/>
        <v>29.821277986670264</v>
      </c>
      <c r="M552" s="70">
        <f>IF((((0.326*F552^0.818)-(0.398*F552^0.85)/(1-H552)*H552)*(MAX('Max rate concentrations'!$P$3:$P$368)))/F552&gt;0, (((0.326*F552^0.818)-(0.398*F552^0.85)/(1-H552)*H552)*(MAX('Max rate concentrations'!$P$3:$P$368)))/F552, 0)</f>
        <v>0</v>
      </c>
      <c r="N552" s="70">
        <f>IF((((0.326*F552^0.818)-(0.398*F552^0.85)/(1-H552)*H552)*(MAX('Max rate concentrations'!$Q$3:$Q$368)))/F552&gt; 0, (((0.326*F552^0.818)-(0.398*F552^0.85)/(1-H552)*H552)*(MAX('Max rate concentrations'!$Q$3:$Q$368)))/F552, 0)</f>
        <v>0</v>
      </c>
      <c r="O552" s="70">
        <f>((MAX('Max rate concentrations'!$F$3:$F$368))*0.62*6.01*8*(12.3*F552^0.65)*0.079*0.1/F552)*inputs!$E$73/inputs!$E$74</f>
        <v>34.84154952299744</v>
      </c>
      <c r="P552" s="70">
        <f>((MAX('Max rate concentrations'!Y:Y))*0.62*6.01*8*(12.3*F552^0.65)*0.079*0.1/F552)*inputs!$E$73/inputs!$E$74</f>
        <v>11.61384984099915</v>
      </c>
      <c r="Q552" s="70">
        <f>(inputs!$C$18*11.2*(12.3*F552^0.65)*0.5/F552)*inputs!$E$73/inputs!$E$74</f>
        <v>6.1371746155870026</v>
      </c>
      <c r="R552" s="60">
        <f>(60*379*((F552/1000)^0.8)*3*24*(MAX('Max rate concentrations'!$R$3:$R$368))/F552)*(inputs!$E$73/inputs!$E$75)</f>
        <v>1.3618055487498908E-2</v>
      </c>
      <c r="S552" s="60">
        <f>(IF(inputs!$C$17="aerial",((0.025*0.112*inputs!$C$18/3.3)*(3*60*379*((F552/1000)^0.8))*MAX(inputs!$I$14:$I$16))/F552,((0.0083*0.112*inputs!$C$18/1)*(3*60*379*((F552/1000)^0.8))*MAX(inputs!$I$14:$I$16))/F552))*(inputs!E$75/inputs!$E$73)</f>
        <v>7.5104412683860519E-2</v>
      </c>
      <c r="T552" s="63">
        <f>IF((((inputs!$P$13/(V552/MAX(K552:S552)))^(1/inputs!$O$13))-1)/inputs!$N$13&lt;0, 0, IF((((inputs!$P$13/(V552/MAX(K552:S552)))^(1/inputs!$O$13))-1)/inputs!$N$13&lt;inputs!$I$17, (((inputs!$P$13/(V552/MAX(K552:S552)))^(1/inputs!$O$13))-1)/inputs!$N$13, inputs!$I$17))</f>
        <v>180.38695844993728</v>
      </c>
      <c r="U552" s="63">
        <f>IF((((inputs!$P$13/(X552/MAX(K552:S552)))^(1/inputs!$O$13))-1)/inputs!$N$13&lt;0, 0, IF((((inputs!$P$13/(X552/MAX(K552:S552)))^(1/inputs!$O$13))-1)/inputs!$N$13&lt;inputs!$I$17, (((inputs!$P$13/(X552/MAX(K552:S552)))^(1/inputs!$O$13))-1)/inputs!$N$13, inputs!$I$17))</f>
        <v>3.4555053704350258</v>
      </c>
      <c r="V552" s="54">
        <f>inputs!$E$70*(inputs!$F$70/F552)^(0.25)</f>
        <v>1.1636367933950642</v>
      </c>
      <c r="W552" s="54">
        <f>inputs!$E$76*(inputs!$F$76/F552)^(0.25)</f>
        <v>0.35</v>
      </c>
      <c r="X552" s="54">
        <f>inputs!$E$72*(inputs!$F$72/F552)^(0.25)</f>
        <v>51.336917355664603</v>
      </c>
      <c r="Y552" s="54" t="s">
        <v>13</v>
      </c>
      <c r="Z552" s="106">
        <f t="shared" si="58"/>
        <v>78.306712320500438</v>
      </c>
      <c r="AA552" s="106">
        <f t="shared" si="59"/>
        <v>260.34449035981976</v>
      </c>
    </row>
    <row r="553" spans="1:27" x14ac:dyDescent="0.25">
      <c r="A553" s="55" t="s">
        <v>501</v>
      </c>
      <c r="B553" s="49" t="s">
        <v>502</v>
      </c>
      <c r="C553" s="21" t="s">
        <v>61</v>
      </c>
      <c r="D553" s="20" t="s">
        <v>467</v>
      </c>
      <c r="E553" s="20">
        <v>48</v>
      </c>
      <c r="F553" s="21">
        <v>18</v>
      </c>
      <c r="G553" s="21" t="s">
        <v>142</v>
      </c>
      <c r="H553" s="21">
        <v>0.69</v>
      </c>
      <c r="I553" s="68">
        <f>MAX('Max rate concentrations'!$H$3:$H$368)</f>
        <v>282</v>
      </c>
      <c r="J553" s="68">
        <f>MAX('Max rate concentrations'!AA:AA)</f>
        <v>195</v>
      </c>
      <c r="K553" s="70">
        <f t="shared" si="60"/>
        <v>127.79585586516941</v>
      </c>
      <c r="L553" s="70">
        <f t="shared" si="61"/>
        <v>88.369474800383102</v>
      </c>
      <c r="M553" s="70">
        <f>IF((((0.326*F553^0.818)-(0.398*F553^0.85)/(1-H553)*H553)*(MAX('Max rate concentrations'!$P$3:$P$368)))/F553&gt;0, (((0.326*F553^0.818)-(0.398*F553^0.85)/(1-H553)*H553)*(MAX('Max rate concentrations'!$P$3:$P$368)))/F553, 0)</f>
        <v>0</v>
      </c>
      <c r="N553" s="70">
        <f>IF((((0.326*F553^0.818)-(0.398*F553^0.85)/(1-H553)*H553)*(MAX('Max rate concentrations'!$Q$3:$Q$368)))/F553&gt; 0, (((0.326*F553^0.818)-(0.398*F553^0.85)/(1-H553)*H553)*(MAX('Max rate concentrations'!$Q$3:$Q$368)))/F553, 0)</f>
        <v>0</v>
      </c>
      <c r="O553" s="70">
        <f>((MAX('Max rate concentrations'!$F$3:$F$368))*0.62*6.01*8*(12.3*F553^0.65)*0.079*0.1/F553)*inputs!$E$73/inputs!$E$74</f>
        <v>98.440973544889815</v>
      </c>
      <c r="P553" s="70">
        <f>((MAX('Max rate concentrations'!Y:Y))*0.62*6.01*8*(12.3*F553^0.65)*0.079*0.1/F553)*inputs!$E$73/inputs!$E$74</f>
        <v>32.813657848296607</v>
      </c>
      <c r="Q553" s="70">
        <f>(inputs!$C$18*11.2*(12.3*F553^0.65)*0.5/F553)*inputs!$E$73/inputs!$E$74</f>
        <v>17.339913185393652</v>
      </c>
      <c r="R553" s="60">
        <f>(60*379*((F553/1000)^0.8)*3*24*(MAX('Max rate concentrations'!$R$3:$R$368))/F553)*(inputs!$E$73/inputs!$E$75)</f>
        <v>2.4653251560567767E-2</v>
      </c>
      <c r="S553" s="60">
        <f>(IF(inputs!$C$17="aerial",((0.025*0.112*inputs!$C$18/3.3)*(3*60*379*((F553/1000)^0.8))*MAX(inputs!$I$14:$I$16))/F553,((0.0083*0.112*inputs!$C$18/1)*(3*60*379*((F553/1000)^0.8))*MAX(inputs!$I$14:$I$16))/F553))*(inputs!E$75/inputs!$E$73)</f>
        <v>0.1359641970106239</v>
      </c>
      <c r="T553" s="63">
        <f>IF((((inputs!$P$13/(V553/MAX(K553:S553)))^(1/inputs!$O$13))-1)/inputs!$N$13&lt;0, 0, IF((((inputs!$P$13/(V553/MAX(K553:S553)))^(1/inputs!$O$13))-1)/inputs!$N$13&lt;inputs!$I$17, (((inputs!$P$13/(V553/MAX(K553:S553)))^(1/inputs!$O$13))-1)/inputs!$N$13, inputs!$I$17))</f>
        <v>128.69495744972738</v>
      </c>
      <c r="U553" s="63">
        <f>IF((((inputs!$P$13/(X553/MAX(K553:S553)))^(1/inputs!$O$13))-1)/inputs!$N$13&lt;0, 0, IF((((inputs!$P$13/(X553/MAX(K553:S553)))^(1/inputs!$O$13))-1)/inputs!$N$13&lt;inputs!$I$17, (((inputs!$P$13/(X553/MAX(K553:S553)))^(1/inputs!$O$13))-1)/inputs!$N$13, inputs!$I$17))</f>
        <v>1.0373932180576562</v>
      </c>
      <c r="V553" s="54">
        <f>inputs!$E$70*(inputs!$F$70/F553)^(0.25)</f>
        <v>2.4435224286712112</v>
      </c>
      <c r="W553" s="54">
        <f>inputs!$E$76*(inputs!$F$76/F553)^(0.25)</f>
        <v>0.73496545905846522</v>
      </c>
      <c r="X553" s="54">
        <f>inputs!$E$72*(inputs!$F$72/F553)^(0.25)</f>
        <v>107.80246008843579</v>
      </c>
      <c r="Y553" s="54" t="s">
        <v>13</v>
      </c>
      <c r="Z553" s="106">
        <f t="shared" si="58"/>
        <v>52.299849743824481</v>
      </c>
      <c r="AA553" s="106">
        <f t="shared" si="59"/>
        <v>173.88008414556455</v>
      </c>
    </row>
    <row r="554" spans="1:27" x14ac:dyDescent="0.25">
      <c r="A554" s="55" t="s">
        <v>501</v>
      </c>
      <c r="B554" s="49" t="s">
        <v>502</v>
      </c>
      <c r="C554" s="21" t="s">
        <v>61</v>
      </c>
      <c r="D554" s="20" t="s">
        <v>467</v>
      </c>
      <c r="E554" s="20">
        <v>48</v>
      </c>
      <c r="F554" s="21">
        <v>18</v>
      </c>
      <c r="G554" s="21" t="s">
        <v>152</v>
      </c>
      <c r="H554" s="21">
        <v>0.77</v>
      </c>
      <c r="I554" s="68">
        <f>MAX('Max rate concentrations'!$G$3:$G$368)</f>
        <v>45</v>
      </c>
      <c r="J554" s="68">
        <f>MAX('Max rate concentrations'!Z:Z)</f>
        <v>21</v>
      </c>
      <c r="K554" s="70">
        <f t="shared" si="60"/>
        <v>27.486157713831542</v>
      </c>
      <c r="L554" s="70">
        <f t="shared" si="61"/>
        <v>12.826873599788053</v>
      </c>
      <c r="M554" s="70">
        <f>IF((((0.326*F554^0.818)-(0.398*F554^0.85)/(1-H554)*H554)*(MAX('Max rate concentrations'!$P$3:$P$368)))/F554&gt;0, (((0.326*F554^0.818)-(0.398*F554^0.85)/(1-H554)*H554)*(MAX('Max rate concentrations'!$P$3:$P$368)))/F554, 0)</f>
        <v>0</v>
      </c>
      <c r="N554" s="70">
        <f>IF((((0.326*F554^0.818)-(0.398*F554^0.85)/(1-H554)*H554)*(MAX('Max rate concentrations'!$Q$3:$Q$368)))/F554&gt; 0, (((0.326*F554^0.818)-(0.398*F554^0.85)/(1-H554)*H554)*(MAX('Max rate concentrations'!$Q$3:$Q$368)))/F554, 0)</f>
        <v>0</v>
      </c>
      <c r="O554" s="70">
        <f>((MAX('Max rate concentrations'!$F$3:$F$368))*0.62*6.01*8*(12.3*F554^0.65)*0.079*0.1/F554)*inputs!$E$73/inputs!$E$74</f>
        <v>98.440973544889815</v>
      </c>
      <c r="P554" s="70">
        <f>((MAX('Max rate concentrations'!Y:Y))*0.62*6.01*8*(12.3*F554^0.65)*0.079*0.1/F554)*inputs!$E$73/inputs!$E$74</f>
        <v>32.813657848296607</v>
      </c>
      <c r="Q554" s="70">
        <f>(inputs!$C$18*11.2*(12.3*F554^0.65)*0.5/F554)*inputs!$E$73/inputs!$E$74</f>
        <v>17.339913185393652</v>
      </c>
      <c r="R554" s="60">
        <f>(60*379*((F554/1000)^0.8)*3*24*(MAX('Max rate concentrations'!$R$3:$R$368))/F554)*(inputs!$E$73/inputs!$E$75)</f>
        <v>2.4653251560567767E-2</v>
      </c>
      <c r="S554" s="60">
        <f>(IF(inputs!$C$17="aerial",((0.025*0.112*inputs!$C$18/3.3)*(3*60*379*((F554/1000)^0.8))*MAX(inputs!$I$14:$I$16))/F554,((0.0083*0.112*inputs!$C$18/1)*(3*60*379*((F554/1000)^0.8))*MAX(inputs!$I$14:$I$16))/F554))*(inputs!E$75/inputs!$E$73)</f>
        <v>0.1359641970106239</v>
      </c>
      <c r="T554" s="63">
        <f>IF((((inputs!$P$13/(V554/MAX(K554:S554)))^(1/inputs!$O$13))-1)/inputs!$N$13&lt;0, 0, IF((((inputs!$P$13/(V554/MAX(K554:S554)))^(1/inputs!$O$13))-1)/inputs!$N$13&lt;inputs!$I$17, (((inputs!$P$13/(V554/MAX(K554:S554)))^(1/inputs!$O$13))-1)/inputs!$N$13, inputs!$I$17))</f>
        <v>103.21468304939015</v>
      </c>
      <c r="U554" s="63">
        <f>IF((((inputs!$P$13/(X554/MAX(K554:S554)))^(1/inputs!$O$13))-1)/inputs!$N$13&lt;0, 0, IF((((inputs!$P$13/(X554/MAX(K554:S554)))^(1/inputs!$O$13))-1)/inputs!$N$13&lt;inputs!$I$17, (((inputs!$P$13/(X554/MAX(K554:S554)))^(1/inputs!$O$13))-1)/inputs!$N$13, inputs!$I$17))</f>
        <v>0</v>
      </c>
      <c r="V554" s="54">
        <f>inputs!$E$70*(inputs!$F$70/F554)^(0.25)</f>
        <v>2.4435224286712112</v>
      </c>
      <c r="W554" s="54">
        <f>inputs!$E$76*(inputs!$F$76/F554)^(0.25)</f>
        <v>0.73496545905846522</v>
      </c>
      <c r="X554" s="54">
        <f>inputs!$E$72*(inputs!$F$72/F554)^(0.25)</f>
        <v>107.80246008843579</v>
      </c>
      <c r="Y554" s="54" t="s">
        <v>13</v>
      </c>
      <c r="Z554" s="106">
        <f t="shared" si="58"/>
        <v>40.286502955662279</v>
      </c>
      <c r="AA554" s="106">
        <f t="shared" si="59"/>
        <v>133.93959176122181</v>
      </c>
    </row>
    <row r="555" spans="1:27" x14ac:dyDescent="0.25">
      <c r="A555" s="55" t="s">
        <v>501</v>
      </c>
      <c r="B555" s="49" t="s">
        <v>502</v>
      </c>
      <c r="C555" s="21" t="s">
        <v>61</v>
      </c>
      <c r="D555" s="20" t="s">
        <v>467</v>
      </c>
      <c r="E555" s="20">
        <v>48</v>
      </c>
      <c r="F555" s="21">
        <v>18</v>
      </c>
      <c r="G555" s="21" t="s">
        <v>153</v>
      </c>
      <c r="H555" s="21">
        <v>0.7</v>
      </c>
      <c r="I555" s="68">
        <f>MAX('Max rate concentrations'!$E$3:$E$368)</f>
        <v>330</v>
      </c>
      <c r="J555" s="68">
        <f>MAX('Max rate concentrations'!X:X)</f>
        <v>108</v>
      </c>
      <c r="K555" s="70">
        <f t="shared" si="60"/>
        <v>154.53328670220841</v>
      </c>
      <c r="L555" s="70">
        <f t="shared" si="61"/>
        <v>50.57453019345003</v>
      </c>
      <c r="M555" s="70">
        <f>IF((((0.326*F555^0.818)-(0.398*F555^0.85)/(1-H555)*H555)*(MAX('Max rate concentrations'!$P$3:$P$368)))/F555&gt;0, (((0.326*F555^0.818)-(0.398*F555^0.85)/(1-H555)*H555)*(MAX('Max rate concentrations'!$P$3:$P$368)))/F555, 0)</f>
        <v>0</v>
      </c>
      <c r="N555" s="70">
        <f>IF((((0.326*F555^0.818)-(0.398*F555^0.85)/(1-H555)*H555)*(MAX('Max rate concentrations'!$Q$3:$Q$368)))/F555&gt; 0, (((0.326*F555^0.818)-(0.398*F555^0.85)/(1-H555)*H555)*(MAX('Max rate concentrations'!$Q$3:$Q$368)))/F555, 0)</f>
        <v>0</v>
      </c>
      <c r="O555" s="70">
        <f>((MAX('Max rate concentrations'!$F$3:$F$368))*0.62*6.01*8*(12.3*F555^0.65)*0.079*0.1/F555)*inputs!$E$73/inputs!$E$74</f>
        <v>98.440973544889815</v>
      </c>
      <c r="P555" s="70">
        <f>((MAX('Max rate concentrations'!Y:Y))*0.62*6.01*8*(12.3*F555^0.65)*0.079*0.1/F555)*inputs!$E$73/inputs!$E$74</f>
        <v>32.813657848296607</v>
      </c>
      <c r="Q555" s="70">
        <f>(inputs!$C$18*11.2*(12.3*F555^0.65)*0.5/F555)*inputs!$E$73/inputs!$E$74</f>
        <v>17.339913185393652</v>
      </c>
      <c r="R555" s="60">
        <f>(60*379*((F555/1000)^0.8)*3*24*(MAX('Max rate concentrations'!$R$3:$R$368))/F555)*(inputs!$E$73/inputs!$E$75)</f>
        <v>2.4653251560567767E-2</v>
      </c>
      <c r="S555" s="60">
        <f>(IF(inputs!$C$17="aerial",((0.025*0.112*inputs!$C$18/3.3)*(3*60*379*((F555/1000)^0.8))*MAX(inputs!$I$14:$I$16))/F555,((0.0083*0.112*inputs!$C$18/1)*(3*60*379*((F555/1000)^0.8))*MAX(inputs!$I$14:$I$16))/F555))*(inputs!E$75/inputs!$E$73)</f>
        <v>0.1359641970106239</v>
      </c>
      <c r="T555" s="63">
        <f>IF((((inputs!$P$13/(V555/MAX(K555:S555)))^(1/inputs!$O$13))-1)/inputs!$N$13&lt;0, 0, IF((((inputs!$P$13/(V555/MAX(K555:S555)))^(1/inputs!$O$13))-1)/inputs!$N$13&lt;inputs!$I$17, (((inputs!$P$13/(V555/MAX(K555:S555)))^(1/inputs!$O$13))-1)/inputs!$N$13, inputs!$I$17))</f>
        <v>150.93358179483525</v>
      </c>
      <c r="U555" s="63">
        <f>IF((((inputs!$P$13/(X555/MAX(K555:S555)))^(1/inputs!$O$13))-1)/inputs!$N$13&lt;0, 0, IF((((inputs!$P$13/(X555/MAX(K555:S555)))^(1/inputs!$O$13))-1)/inputs!$N$13&lt;inputs!$I$17, (((inputs!$P$13/(X555/MAX(K555:S555)))^(1/inputs!$O$13))-1)/inputs!$N$13, inputs!$I$17))</f>
        <v>2.0776990050370032</v>
      </c>
      <c r="V555" s="54">
        <f>inputs!$E$70*(inputs!$F$70/F555)^(0.25)</f>
        <v>2.4435224286712112</v>
      </c>
      <c r="W555" s="54">
        <f>inputs!$E$76*(inputs!$F$76/F555)^(0.25)</f>
        <v>0.73496545905846522</v>
      </c>
      <c r="X555" s="54">
        <f>inputs!$E$72*(inputs!$F$72/F555)^(0.25)</f>
        <v>107.80246008843579</v>
      </c>
      <c r="Y555" s="54" t="s">
        <v>13</v>
      </c>
      <c r="Z555" s="106">
        <f t="shared" si="58"/>
        <v>63.24201688880904</v>
      </c>
      <c r="AA555" s="106">
        <f t="shared" si="59"/>
        <v>210.25925068665785</v>
      </c>
    </row>
    <row r="556" spans="1:27" x14ac:dyDescent="0.25">
      <c r="A556" s="55" t="s">
        <v>517</v>
      </c>
      <c r="B556" s="49" t="s">
        <v>518</v>
      </c>
      <c r="C556" s="21" t="s">
        <v>61</v>
      </c>
      <c r="D556" s="20" t="s">
        <v>467</v>
      </c>
      <c r="E556" s="20">
        <v>10043</v>
      </c>
      <c r="F556" s="21">
        <v>5</v>
      </c>
      <c r="G556" s="21" t="s">
        <v>142</v>
      </c>
      <c r="H556" s="21">
        <v>0.69</v>
      </c>
      <c r="I556" s="68">
        <f>MAX('Max rate concentrations'!$H$3:$H$368)</f>
        <v>282</v>
      </c>
      <c r="J556" s="68">
        <f>MAX('Max rate concentrations'!AA:AA)</f>
        <v>195</v>
      </c>
      <c r="K556" s="70">
        <f t="shared" si="60"/>
        <v>160.52349837746783</v>
      </c>
      <c r="L556" s="70">
        <f t="shared" si="61"/>
        <v>111.00029143122774</v>
      </c>
      <c r="M556" s="70">
        <f>IF((((0.326*F556^0.818)-(0.398*F556^0.85)/(1-H556)*H556)*(MAX('Max rate concentrations'!$P$3:$P$368)))/F556&gt;0, (((0.326*F556^0.818)-(0.398*F556^0.85)/(1-H556)*H556)*(MAX('Max rate concentrations'!$P$3:$P$368)))/F556, 0)</f>
        <v>0</v>
      </c>
      <c r="N556" s="70">
        <f>IF((((0.326*F556^0.818)-(0.398*F556^0.85)/(1-H556)*H556)*(MAX('Max rate concentrations'!$Q$3:$Q$368)))/F556&gt; 0, (((0.326*F556^0.818)-(0.398*F556^0.85)/(1-H556)*H556)*(MAX('Max rate concentrations'!$Q$3:$Q$368)))/F556, 0)</f>
        <v>0</v>
      </c>
      <c r="O556" s="70">
        <f>((MAX('Max rate concentrations'!$F$3:$F$368))*0.62*6.01*8*(12.3*F556^0.65)*0.079*0.1/F556)*inputs!$E$73/inputs!$E$74</f>
        <v>154.12808247377183</v>
      </c>
      <c r="P556" s="70">
        <f>((MAX('Max rate concentrations'!Y:Y))*0.62*6.01*8*(12.3*F556^0.65)*0.079*0.1/F556)*inputs!$E$73/inputs!$E$74</f>
        <v>51.37602749125729</v>
      </c>
      <c r="Q556" s="70">
        <f>(inputs!$C$18*11.2*(12.3*F556^0.65)*0.5/F556)*inputs!$E$73/inputs!$E$74</f>
        <v>27.148934770618521</v>
      </c>
      <c r="R556" s="60">
        <f>(60*379*((F556/1000)^0.8)*3*24*(MAX('Max rate concentrations'!$R$3:$R$368))/F556)*(inputs!$E$73/inputs!$E$75)</f>
        <v>3.1851853342182934E-2</v>
      </c>
      <c r="S556" s="60">
        <f>(IF(inputs!$C$17="aerial",((0.025*0.112*inputs!$C$18/3.3)*(3*60*379*((F556/1000)^0.8))*MAX(inputs!$I$14:$I$16))/F556,((0.0083*0.112*inputs!$C$18/1)*(3*60*379*((F556/1000)^0.8))*MAX(inputs!$I$14:$I$16))/F556))*(inputs!E$75/inputs!$E$73)</f>
        <v>0.17566492810615378</v>
      </c>
      <c r="T556" s="63">
        <f>IF((((inputs!$P$13/(V556/MAX(K556:S556)))^(1/inputs!$O$13))-1)/inputs!$N$13&lt;0, 0, IF((((inputs!$P$13/(V556/MAX(K556:S556)))^(1/inputs!$O$13))-1)/inputs!$N$13&lt;inputs!$I$17, (((inputs!$P$13/(V556/MAX(K556:S556)))^(1/inputs!$O$13))-1)/inputs!$N$13, inputs!$I$17))</f>
        <v>119.07022779915035</v>
      </c>
      <c r="U556" s="63">
        <f>IF((((inputs!$P$13/(X556/MAX(K556:S556)))^(1/inputs!$O$13))-1)/inputs!$N$13&lt;0, 0, IF((((inputs!$P$13/(X556/MAX(K556:S556)))^(1/inputs!$O$13))-1)/inputs!$N$13&lt;inputs!$I$17, (((inputs!$P$13/(X556/MAX(K556:S556)))^(1/inputs!$O$13))-1)/inputs!$N$13, inputs!$I$17))</f>
        <v>0.58715574840906448</v>
      </c>
      <c r="V556" s="54">
        <f>inputs!$E$70*(inputs!$F$70/F556)^(0.25)</f>
        <v>3.3658282784479656</v>
      </c>
      <c r="W556" s="54">
        <f>inputs!$E$76*(inputs!$F$76/F556)^(0.25)</f>
        <v>1.0123776629816774</v>
      </c>
      <c r="X556" s="54">
        <f>inputs!$E$72*(inputs!$F$72/F556)^(0.25)</f>
        <v>148.49242404917496</v>
      </c>
      <c r="Y556" s="54" t="s">
        <v>13</v>
      </c>
      <c r="Z556" s="106">
        <f t="shared" si="58"/>
        <v>47.692123631300539</v>
      </c>
      <c r="AA556" s="106">
        <f t="shared" si="59"/>
        <v>158.56088517865004</v>
      </c>
    </row>
    <row r="557" spans="1:27" ht="26.4" x14ac:dyDescent="0.25">
      <c r="A557" s="55" t="s">
        <v>465</v>
      </c>
      <c r="B557" s="49" t="s">
        <v>466</v>
      </c>
      <c r="C557" s="21" t="s">
        <v>61</v>
      </c>
      <c r="D557" s="20" t="s">
        <v>467</v>
      </c>
      <c r="E557" s="20">
        <v>25</v>
      </c>
      <c r="F557" s="21">
        <v>7</v>
      </c>
      <c r="G557" s="21" t="s">
        <v>142</v>
      </c>
      <c r="H557" s="21">
        <v>0.69</v>
      </c>
      <c r="I557" s="68">
        <f>MAX('Max rate concentrations'!$H$3:$H$368)</f>
        <v>282</v>
      </c>
      <c r="J557" s="68">
        <f>MAX('Max rate concentrations'!AA:AA)</f>
        <v>195</v>
      </c>
      <c r="K557" s="70">
        <f t="shared" si="60"/>
        <v>151.19165660986866</v>
      </c>
      <c r="L557" s="70">
        <f t="shared" si="61"/>
        <v>104.54742212384534</v>
      </c>
      <c r="M557" s="70">
        <f>IF((((0.326*F557^0.818)-(0.398*F557^0.85)/(1-H557)*H557)*(MAX('Max rate concentrations'!$P$3:$P$368)))/F557&gt;0, (((0.326*F557^0.818)-(0.398*F557^0.85)/(1-H557)*H557)*(MAX('Max rate concentrations'!$P$3:$P$368)))/F557, 0)</f>
        <v>0</v>
      </c>
      <c r="N557" s="70">
        <f>IF((((0.326*F557^0.818)-(0.398*F557^0.85)/(1-H557)*H557)*(MAX('Max rate concentrations'!$Q$3:$Q$368)))/F557&gt; 0, (((0.326*F557^0.818)-(0.398*F557^0.85)/(1-H557)*H557)*(MAX('Max rate concentrations'!$Q$3:$Q$368)))/F557, 0)</f>
        <v>0</v>
      </c>
      <c r="O557" s="70">
        <f>((MAX('Max rate concentrations'!$F$3:$F$368))*0.62*6.01*8*(12.3*F557^0.65)*0.079*0.1/F557)*inputs!$E$73/inputs!$E$74</f>
        <v>137.00517218585506</v>
      </c>
      <c r="P557" s="70">
        <f>((MAX('Max rate concentrations'!Y:Y))*0.62*6.01*8*(12.3*F557^0.65)*0.079*0.1/F557)*inputs!$E$73/inputs!$E$74</f>
        <v>45.668390728618363</v>
      </c>
      <c r="Q557" s="70">
        <f>(inputs!$C$18*11.2*(12.3*F557^0.65)*0.5/F557)*inputs!$E$73/inputs!$E$74</f>
        <v>24.132814884945432</v>
      </c>
      <c r="R557" s="60">
        <f>(60*379*((F557/1000)^0.8)*3*24*(MAX('Max rate concentrations'!$R$3:$R$368))/F557)*(inputs!$E$73/inputs!$E$75)</f>
        <v>2.9778930781772905E-2</v>
      </c>
      <c r="S557" s="60">
        <f>(IF(inputs!$C$17="aerial",((0.025*0.112*inputs!$C$18/3.3)*(3*60*379*((F557/1000)^0.8))*MAX(inputs!$I$14:$I$16))/F557,((0.0083*0.112*inputs!$C$18/1)*(3*60*379*((F557/1000)^0.8))*MAX(inputs!$I$14:$I$16))/F557))*(inputs!E$75/inputs!$E$73)</f>
        <v>0.16423263282863526</v>
      </c>
      <c r="T557" s="63">
        <f>IF((((inputs!$P$13/(V557/MAX(K557:S557)))^(1/inputs!$O$13))-1)/inputs!$N$13&lt;0, 0, IF((((inputs!$P$13/(V557/MAX(K557:S557)))^(1/inputs!$O$13))-1)/inputs!$N$13&lt;inputs!$I$17, (((inputs!$P$13/(V557/MAX(K557:S557)))^(1/inputs!$O$13))-1)/inputs!$N$13, inputs!$I$17))</f>
        <v>121.52932862894795</v>
      </c>
      <c r="U557" s="63">
        <f>IF((((inputs!$P$13/(X557/MAX(K557:S557)))^(1/inputs!$O$13))-1)/inputs!$N$13&lt;0, 0, IF((((inputs!$P$13/(X557/MAX(K557:S557)))^(1/inputs!$O$13))-1)/inputs!$N$13&lt;inputs!$I$17, (((inputs!$P$13/(X557/MAX(K557:S557)))^(1/inputs!$O$13))-1)/inputs!$N$13, inputs!$I$17))</f>
        <v>0.70219059878041523</v>
      </c>
      <c r="V557" s="54">
        <f>inputs!$E$70*(inputs!$F$70/F557)^(0.25)</f>
        <v>3.0942823919235973</v>
      </c>
      <c r="W557" s="54">
        <f>inputs!$E$76*(inputs!$F$76/F557)^(0.25)</f>
        <v>0.9307017819653729</v>
      </c>
      <c r="X557" s="54">
        <f>inputs!$E$72*(inputs!$F$72/F557)^(0.25)</f>
        <v>136.51245846721753</v>
      </c>
      <c r="Y557" s="54" t="s">
        <v>13</v>
      </c>
      <c r="Z557" s="106">
        <f t="shared" si="58"/>
        <v>48.861622004667318</v>
      </c>
      <c r="AA557" s="106">
        <f t="shared" si="59"/>
        <v>162.44908899883657</v>
      </c>
    </row>
    <row r="558" spans="1:27" x14ac:dyDescent="0.25">
      <c r="A558" s="55" t="s">
        <v>484</v>
      </c>
      <c r="B558" s="49" t="s">
        <v>485</v>
      </c>
      <c r="C558" s="21" t="s">
        <v>61</v>
      </c>
      <c r="D558" s="20" t="s">
        <v>467</v>
      </c>
      <c r="E558" s="20">
        <v>8166</v>
      </c>
      <c r="F558" s="21">
        <v>5.5</v>
      </c>
      <c r="G558" s="21" t="s">
        <v>142</v>
      </c>
      <c r="H558" s="21">
        <v>0.69</v>
      </c>
      <c r="I558" s="68">
        <f>MAX('Max rate concentrations'!$H$3:$H$368)</f>
        <v>282</v>
      </c>
      <c r="J558" s="68">
        <f>MAX('Max rate concentrations'!AA:AA)</f>
        <v>195</v>
      </c>
      <c r="K558" s="70">
        <f t="shared" ref="K558:K573" si="62">(((0.235*F558^0.822)/(1-H558)))*I558/F558</f>
        <v>157.82315392087429</v>
      </c>
      <c r="L558" s="70">
        <f t="shared" si="61"/>
        <v>109.13303196656199</v>
      </c>
      <c r="M558" s="70">
        <f>IF((((0.326*F558^0.818)-(0.398*F558^0.85)/(1-H558)*H558)*(MAX('Max rate concentrations'!$P$3:$P$368)))/F558&gt;0, (((0.326*F558^0.818)-(0.398*F558^0.85)/(1-H558)*H558)*(MAX('Max rate concentrations'!$P$3:$P$368)))/F558, 0)</f>
        <v>0</v>
      </c>
      <c r="N558" s="70">
        <f>IF((((0.326*F558^0.818)-(0.398*F558^0.85)/(1-H558)*H558)*(MAX('Max rate concentrations'!$Q$3:$Q$368)))/F558&gt; 0, (((0.326*F558^0.818)-(0.398*F558^0.85)/(1-H558)*H558)*(MAX('Max rate concentrations'!$Q$3:$Q$368)))/F558, 0)</f>
        <v>0</v>
      </c>
      <c r="O558" s="70">
        <f>((MAX('Max rate concentrations'!$F$3:$F$368))*0.62*6.01*8*(12.3*F558^0.65)*0.079*0.1/F558)*inputs!$E$73/inputs!$E$74</f>
        <v>149.07140184603705</v>
      </c>
      <c r="P558" s="70">
        <f>((MAX('Max rate concentrations'!Y:Y))*0.62*6.01*8*(12.3*F558^0.65)*0.079*0.1/F558)*inputs!$E$73/inputs!$E$74</f>
        <v>49.690467282012364</v>
      </c>
      <c r="Q558" s="70">
        <f>(inputs!$C$18*11.2*(12.3*F558^0.65)*0.5/F558)*inputs!$E$73/inputs!$E$74</f>
        <v>26.258224328272082</v>
      </c>
      <c r="R558" s="60">
        <f>(60*379*((F558/1000)^0.8)*3*24*(MAX('Max rate concentrations'!$R$3:$R$368))/F558)*(inputs!$E$73/inputs!$E$75)</f>
        <v>3.1250442437176097E-2</v>
      </c>
      <c r="S558" s="60">
        <f>(IF(inputs!$C$17="aerial",((0.025*0.112*inputs!$C$18/3.3)*(3*60*379*((F558/1000)^0.8))*MAX(inputs!$I$14:$I$16))/F558,((0.0083*0.112*inputs!$C$18/1)*(3*60*379*((F558/1000)^0.8))*MAX(inputs!$I$14:$I$16))/F558))*(inputs!E$75/inputs!$E$73)</f>
        <v>0.17234811001537192</v>
      </c>
      <c r="T558" s="63">
        <f>IF((((inputs!$P$13/(V558/MAX(K558:S558)))^(1/inputs!$O$13))-1)/inputs!$N$13&lt;0, 0, IF((((inputs!$P$13/(V558/MAX(K558:S558)))^(1/inputs!$O$13))-1)/inputs!$N$13&lt;inputs!$I$17, (((inputs!$P$13/(V558/MAX(K558:S558)))^(1/inputs!$O$13))-1)/inputs!$N$13, inputs!$I$17))</f>
        <v>119.76191690934741</v>
      </c>
      <c r="U558" s="63">
        <f>IF((((inputs!$P$13/(X558/MAX(K558:S558)))^(1/inputs!$O$13))-1)/inputs!$N$13&lt;0, 0, IF((((inputs!$P$13/(X558/MAX(K558:S558)))^(1/inputs!$O$13))-1)/inputs!$N$13&lt;inputs!$I$17, (((inputs!$P$13/(X558/MAX(K558:S558)))^(1/inputs!$O$13))-1)/inputs!$N$13, inputs!$I$17))</f>
        <v>0.61951243436958203</v>
      </c>
      <c r="V558" s="54">
        <f>inputs!$E$70*(inputs!$F$70/F558)^(0.25)</f>
        <v>3.2865767876386922</v>
      </c>
      <c r="W558" s="54">
        <f>inputs!$E$76*(inputs!$F$76/F558)^(0.25)</f>
        <v>0.98854030931540415</v>
      </c>
      <c r="X558" s="54">
        <f>inputs!$E$72*(inputs!$F$72/F558)^(0.25)</f>
        <v>144.99603474876582</v>
      </c>
      <c r="Y558" s="54" t="s">
        <v>13</v>
      </c>
      <c r="Z558" s="106">
        <f t="shared" si="58"/>
        <v>48.02052838517902</v>
      </c>
      <c r="AA558" s="106">
        <f t="shared" si="59"/>
        <v>159.65272476361827</v>
      </c>
    </row>
    <row r="559" spans="1:27" ht="26.4" x14ac:dyDescent="0.25">
      <c r="A559" s="55" t="s">
        <v>486</v>
      </c>
      <c r="B559" s="49" t="s">
        <v>487</v>
      </c>
      <c r="C559" s="21" t="s">
        <v>61</v>
      </c>
      <c r="D559" s="20" t="s">
        <v>467</v>
      </c>
      <c r="E559" s="20">
        <v>4564</v>
      </c>
      <c r="F559" s="21">
        <v>5.5</v>
      </c>
      <c r="G559" s="21" t="s">
        <v>142</v>
      </c>
      <c r="H559" s="21">
        <v>0.69</v>
      </c>
      <c r="I559" s="68">
        <f>MAX('Max rate concentrations'!$H$3:$H$368)</f>
        <v>282</v>
      </c>
      <c r="J559" s="68">
        <f>MAX('Max rate concentrations'!AA:AA)</f>
        <v>195</v>
      </c>
      <c r="K559" s="70">
        <f t="shared" si="62"/>
        <v>157.82315392087429</v>
      </c>
      <c r="L559" s="70">
        <f t="shared" si="61"/>
        <v>109.13303196656199</v>
      </c>
      <c r="M559" s="70">
        <f>IF((((0.326*F559^0.818)-(0.398*F559^0.85)/(1-H559)*H559)*(MAX('Max rate concentrations'!$P$3:$P$368)))/F559&gt;0, (((0.326*F559^0.818)-(0.398*F559^0.85)/(1-H559)*H559)*(MAX('Max rate concentrations'!$P$3:$P$368)))/F559, 0)</f>
        <v>0</v>
      </c>
      <c r="N559" s="70">
        <f>IF((((0.326*F559^0.818)-(0.398*F559^0.85)/(1-H559)*H559)*(MAX('Max rate concentrations'!$Q$3:$Q$368)))/F559&gt; 0, (((0.326*F559^0.818)-(0.398*F559^0.85)/(1-H559)*H559)*(MAX('Max rate concentrations'!$Q$3:$Q$368)))/F559, 0)</f>
        <v>0</v>
      </c>
      <c r="O559" s="70">
        <f>((MAX('Max rate concentrations'!$F$3:$F$368))*0.62*6.01*8*(12.3*F559^0.65)*0.079*0.1/F559)*inputs!$E$73/inputs!$E$74</f>
        <v>149.07140184603705</v>
      </c>
      <c r="P559" s="70">
        <f>((MAX('Max rate concentrations'!Y:Y))*0.62*6.01*8*(12.3*F559^0.65)*0.079*0.1/F559)*inputs!$E$73/inputs!$E$74</f>
        <v>49.690467282012364</v>
      </c>
      <c r="Q559" s="70">
        <f>(inputs!$C$18*11.2*(12.3*F559^0.65)*0.5/F559)*inputs!$E$73/inputs!$E$74</f>
        <v>26.258224328272082</v>
      </c>
      <c r="R559" s="60">
        <f>(60*379*((F559/1000)^0.8)*3*24*(MAX('Max rate concentrations'!$R$3:$R$368))/F559)*(inputs!$E$73/inputs!$E$75)</f>
        <v>3.1250442437176097E-2</v>
      </c>
      <c r="S559" s="60">
        <f>(IF(inputs!$C$17="aerial",((0.025*0.112*inputs!$C$18/3.3)*(3*60*379*((F559/1000)^0.8))*MAX(inputs!$I$14:$I$16))/F559,((0.0083*0.112*inputs!$C$18/1)*(3*60*379*((F559/1000)^0.8))*MAX(inputs!$I$14:$I$16))/F559))*(inputs!E$75/inputs!$E$73)</f>
        <v>0.17234811001537192</v>
      </c>
      <c r="T559" s="63">
        <f>IF((((inputs!$P$13/(V559/MAX(K559:S559)))^(1/inputs!$O$13))-1)/inputs!$N$13&lt;0, 0, IF((((inputs!$P$13/(V559/MAX(K559:S559)))^(1/inputs!$O$13))-1)/inputs!$N$13&lt;inputs!$I$17, (((inputs!$P$13/(V559/MAX(K559:S559)))^(1/inputs!$O$13))-1)/inputs!$N$13, inputs!$I$17))</f>
        <v>119.76191690934741</v>
      </c>
      <c r="U559" s="63">
        <f>IF((((inputs!$P$13/(X559/MAX(K559:S559)))^(1/inputs!$O$13))-1)/inputs!$N$13&lt;0, 0, IF((((inputs!$P$13/(X559/MAX(K559:S559)))^(1/inputs!$O$13))-1)/inputs!$N$13&lt;inputs!$I$17, (((inputs!$P$13/(X559/MAX(K559:S559)))^(1/inputs!$O$13))-1)/inputs!$N$13, inputs!$I$17))</f>
        <v>0.61951243436958203</v>
      </c>
      <c r="V559" s="54">
        <f>inputs!$E$70*(inputs!$F$70/F559)^(0.25)</f>
        <v>3.2865767876386922</v>
      </c>
      <c r="W559" s="54">
        <f>inputs!$E$76*(inputs!$F$76/F559)^(0.25)</f>
        <v>0.98854030931540415</v>
      </c>
      <c r="X559" s="54">
        <f>inputs!$E$72*(inputs!$F$72/F559)^(0.25)</f>
        <v>144.99603474876582</v>
      </c>
      <c r="Y559" s="54" t="s">
        <v>13</v>
      </c>
      <c r="Z559" s="106">
        <f t="shared" si="58"/>
        <v>48.02052838517902</v>
      </c>
      <c r="AA559" s="106">
        <f t="shared" si="59"/>
        <v>159.65272476361827</v>
      </c>
    </row>
    <row r="560" spans="1:27" ht="26.4" x14ac:dyDescent="0.25">
      <c r="A560" s="55" t="s">
        <v>468</v>
      </c>
      <c r="B560" s="49" t="s">
        <v>469</v>
      </c>
      <c r="C560" s="21" t="s">
        <v>61</v>
      </c>
      <c r="D560" s="20" t="s">
        <v>467</v>
      </c>
      <c r="E560" s="20">
        <v>27</v>
      </c>
      <c r="F560" s="21">
        <v>5</v>
      </c>
      <c r="G560" s="21" t="s">
        <v>142</v>
      </c>
      <c r="H560" s="21">
        <v>0.69</v>
      </c>
      <c r="I560" s="68">
        <f>MAX('Max rate concentrations'!$H$3:$H$368)</f>
        <v>282</v>
      </c>
      <c r="J560" s="68">
        <f>MAX('Max rate concentrations'!AA:AA)</f>
        <v>195</v>
      </c>
      <c r="K560" s="70">
        <f t="shared" si="62"/>
        <v>160.52349837746783</v>
      </c>
      <c r="L560" s="70">
        <f t="shared" si="61"/>
        <v>111.00029143122774</v>
      </c>
      <c r="M560" s="70">
        <f>IF((((0.326*F560^0.818)-(0.398*F560^0.85)/(1-H560)*H560)*(MAX('Max rate concentrations'!$P$3:$P$368)))/F560&gt;0, (((0.326*F560^0.818)-(0.398*F560^0.85)/(1-H560)*H560)*(MAX('Max rate concentrations'!$P$3:$P$368)))/F560, 0)</f>
        <v>0</v>
      </c>
      <c r="N560" s="70">
        <f>IF((((0.326*F560^0.818)-(0.398*F560^0.85)/(1-H560)*H560)*(MAX('Max rate concentrations'!$Q$3:$Q$368)))/F560&gt; 0, (((0.326*F560^0.818)-(0.398*F560^0.85)/(1-H560)*H560)*(MAX('Max rate concentrations'!$Q$3:$Q$368)))/F560, 0)</f>
        <v>0</v>
      </c>
      <c r="O560" s="70">
        <f>((MAX('Max rate concentrations'!$F$3:$F$368))*0.62*6.01*8*(12.3*F560^0.65)*0.079*0.1/F560)*inputs!$E$73/inputs!$E$74</f>
        <v>154.12808247377183</v>
      </c>
      <c r="P560" s="70">
        <f>((MAX('Max rate concentrations'!Y:Y))*0.62*6.01*8*(12.3*F560^0.65)*0.079*0.1/F560)*inputs!$E$73/inputs!$E$74</f>
        <v>51.37602749125729</v>
      </c>
      <c r="Q560" s="70">
        <f>(inputs!$C$18*11.2*(12.3*F560^0.65)*0.5/F560)*inputs!$E$73/inputs!$E$74</f>
        <v>27.148934770618521</v>
      </c>
      <c r="R560" s="60">
        <f>(60*379*((F560/1000)^0.8)*3*24*(MAX('Max rate concentrations'!$R$3:$R$368))/F560)*(inputs!$E$73/inputs!$E$75)</f>
        <v>3.1851853342182934E-2</v>
      </c>
      <c r="S560" s="60">
        <f>(IF(inputs!$C$17="aerial",((0.025*0.112*inputs!$C$18/3.3)*(3*60*379*((F560/1000)^0.8))*MAX(inputs!$I$14:$I$16))/F560,((0.0083*0.112*inputs!$C$18/1)*(3*60*379*((F560/1000)^0.8))*MAX(inputs!$I$14:$I$16))/F560))*(inputs!E$75/inputs!$E$73)</f>
        <v>0.17566492810615378</v>
      </c>
      <c r="T560" s="63">
        <f>IF((((inputs!$P$13/(V560/MAX(K560:S560)))^(1/inputs!$O$13))-1)/inputs!$N$13&lt;0, 0, IF((((inputs!$P$13/(V560/MAX(K560:S560)))^(1/inputs!$O$13))-1)/inputs!$N$13&lt;inputs!$I$17, (((inputs!$P$13/(V560/MAX(K560:S560)))^(1/inputs!$O$13))-1)/inputs!$N$13, inputs!$I$17))</f>
        <v>119.07022779915035</v>
      </c>
      <c r="U560" s="63">
        <f>IF((((inputs!$P$13/(X560/MAX(K560:S560)))^(1/inputs!$O$13))-1)/inputs!$N$13&lt;0, 0, IF((((inputs!$P$13/(X560/MAX(K560:S560)))^(1/inputs!$O$13))-1)/inputs!$N$13&lt;inputs!$I$17, (((inputs!$P$13/(X560/MAX(K560:S560)))^(1/inputs!$O$13))-1)/inputs!$N$13, inputs!$I$17))</f>
        <v>0.58715574840906448</v>
      </c>
      <c r="V560" s="54">
        <f>inputs!$E$70*(inputs!$F$70/F560)^(0.25)</f>
        <v>3.3658282784479656</v>
      </c>
      <c r="W560" s="54">
        <f>inputs!$E$76*(inputs!$F$76/F560)^(0.25)</f>
        <v>1.0123776629816774</v>
      </c>
      <c r="X560" s="54">
        <f>inputs!$E$72*(inputs!$F$72/F560)^(0.25)</f>
        <v>148.49242404917496</v>
      </c>
      <c r="Y560" s="54" t="s">
        <v>13</v>
      </c>
      <c r="Z560" s="106">
        <f t="shared" si="58"/>
        <v>47.692123631300539</v>
      </c>
      <c r="AA560" s="106">
        <f t="shared" si="59"/>
        <v>158.56088517865004</v>
      </c>
    </row>
    <row r="561" spans="1:27" x14ac:dyDescent="0.25">
      <c r="A561" s="55" t="s">
        <v>565</v>
      </c>
      <c r="B561" s="49" t="s">
        <v>566</v>
      </c>
      <c r="C561" s="21" t="s">
        <v>61</v>
      </c>
      <c r="D561" s="20" t="s">
        <v>567</v>
      </c>
      <c r="E561" s="20">
        <v>58</v>
      </c>
      <c r="F561" s="21">
        <v>4.0999999999999996</v>
      </c>
      <c r="G561" s="21" t="s">
        <v>142</v>
      </c>
      <c r="H561" s="21">
        <v>0.69</v>
      </c>
      <c r="I561" s="68">
        <f>MAX('Max rate concentrations'!$H$3:$H$368)</f>
        <v>282</v>
      </c>
      <c r="J561" s="68">
        <f>MAX('Max rate concentrations'!AA:AA)</f>
        <v>195</v>
      </c>
      <c r="K561" s="70">
        <f t="shared" si="62"/>
        <v>166.29521396880236</v>
      </c>
      <c r="L561" s="70">
        <f t="shared" si="61"/>
        <v>114.99137136140588</v>
      </c>
      <c r="M561" s="70">
        <f>IF((((0.326*F561^0.818)-(0.398*F561^0.85)/(1-H561)*H561)*(MAX('Max rate concentrations'!$P$3:$P$368)))/F561&gt;0, (((0.326*F561^0.818)-(0.398*F561^0.85)/(1-H561)*H561)*(MAX('Max rate concentrations'!$P$3:$P$368)))/F561, 0)</f>
        <v>0</v>
      </c>
      <c r="N561" s="70">
        <f>IF((((0.326*F561^0.818)-(0.398*F561^0.85)/(1-H561)*H561)*(MAX('Max rate concentrations'!$Q$3:$Q$368)))/F561&gt; 0, (((0.326*F561^0.818)-(0.398*F561^0.85)/(1-H561)*H561)*(MAX('Max rate concentrations'!$Q$3:$Q$368)))/F561, 0)</f>
        <v>0</v>
      </c>
      <c r="O561" s="70">
        <f>((MAX('Max rate concentrations'!$F$3:$F$368))*0.62*6.01*8*(12.3*F561^0.65)*0.079*0.1/F561)*inputs!$E$73/inputs!$E$74</f>
        <v>165.21403079734853</v>
      </c>
      <c r="P561" s="70">
        <f>((MAX('Max rate concentrations'!Y:Y))*0.62*6.01*8*(12.3*F561^0.65)*0.079*0.1/F561)*inputs!$E$73/inputs!$E$74</f>
        <v>55.071343599116176</v>
      </c>
      <c r="Q561" s="70">
        <f>(inputs!$C$18*11.2*(12.3*F561^0.65)*0.5/F561)*inputs!$E$73/inputs!$E$74</f>
        <v>29.101672280075618</v>
      </c>
      <c r="R561" s="60">
        <f>(60*379*((F561/1000)^0.8)*3*24*(MAX('Max rate concentrations'!$R$3:$R$368))/F561)*(inputs!$E$73/inputs!$E$75)</f>
        <v>3.3141482908294009E-2</v>
      </c>
      <c r="S561" s="60">
        <f>(IF(inputs!$C$17="aerial",((0.025*0.112*inputs!$C$18/3.3)*(3*60*379*((F561/1000)^0.8))*MAX(inputs!$I$14:$I$16))/F561,((0.0083*0.112*inputs!$C$18/1)*(3*60*379*((F561/1000)^0.8))*MAX(inputs!$I$14:$I$16))/F561))*(inputs!E$75/inputs!$E$73)</f>
        <v>0.18277731439591641</v>
      </c>
      <c r="T561" s="63">
        <f>IF((((inputs!$P$13/(V561/MAX(K561:S561)))^(1/inputs!$O$13))-1)/inputs!$N$13&lt;0, 0, IF((((inputs!$P$13/(V561/MAX(K561:S561)))^(1/inputs!$O$13))-1)/inputs!$N$13&lt;inputs!$I$17, (((inputs!$P$13/(V561/MAX(K561:S561)))^(1/inputs!$O$13))-1)/inputs!$N$13, inputs!$I$17))</f>
        <v>117.64227918165419</v>
      </c>
      <c r="U561" s="63">
        <f>IF((((inputs!$P$13/(X561/MAX(K561:S561)))^(1/inputs!$O$13))-1)/inputs!$N$13&lt;0, 0, IF((((inputs!$P$13/(X561/MAX(K561:S561)))^(1/inputs!$O$13))-1)/inputs!$N$13&lt;inputs!$I$17, (((inputs!$P$13/(X561/MAX(K561:S561)))^(1/inputs!$O$13))-1)/inputs!$N$13, inputs!$I$17))</f>
        <v>0.52035740750282045</v>
      </c>
      <c r="V561" s="54">
        <f>inputs!$E$70*(inputs!$F$70/F561)^(0.25)</f>
        <v>3.5370279509734179</v>
      </c>
      <c r="W561" s="54">
        <f>inputs!$E$76*(inputs!$F$76/F561)^(0.25)</f>
        <v>1.0638712954656449</v>
      </c>
      <c r="X561" s="54">
        <f>inputs!$E$72*(inputs!$F$72/F561)^(0.25)</f>
        <v>156.04535077823903</v>
      </c>
      <c r="Y561" s="54" t="s">
        <v>13</v>
      </c>
      <c r="Z561" s="106">
        <f t="shared" si="58"/>
        <v>47.015521583038833</v>
      </c>
      <c r="AA561" s="106">
        <f t="shared" si="59"/>
        <v>156.31140221338217</v>
      </c>
    </row>
    <row r="562" spans="1:27" x14ac:dyDescent="0.25">
      <c r="A562" s="55" t="s">
        <v>565</v>
      </c>
      <c r="B562" s="49" t="s">
        <v>566</v>
      </c>
      <c r="C562" s="21" t="s">
        <v>61</v>
      </c>
      <c r="D562" s="20" t="s">
        <v>567</v>
      </c>
      <c r="E562" s="20">
        <v>58</v>
      </c>
      <c r="F562" s="21">
        <v>4.0999999999999996</v>
      </c>
      <c r="G562" s="21" t="s">
        <v>164</v>
      </c>
      <c r="H562" s="21">
        <v>0.78</v>
      </c>
      <c r="I562" s="68">
        <f>inputs!$C$66*(inputs!$C$62/1000)</f>
        <v>8.2000000000000011</v>
      </c>
      <c r="J562" s="68">
        <f>inputs!$C$66*(inputs!$C$61/1000)</f>
        <v>2.5</v>
      </c>
      <c r="K562" s="70">
        <f t="shared" si="62"/>
        <v>6.8137078321840061</v>
      </c>
      <c r="L562" s="70">
        <f t="shared" si="61"/>
        <v>2.077349948836587</v>
      </c>
      <c r="M562" s="70">
        <f>IF((((0.326*F562^0.818)-(0.398*F562^0.85)/(1-H562)*H562)*(MAX('Max rate concentrations'!$P$3:$P$368)))/F562&gt;0, (((0.326*F562^0.818)-(0.398*F562^0.85)/(1-H562)*H562)*(MAX('Max rate concentrations'!$P$3:$P$368)))/F562, 0)</f>
        <v>0</v>
      </c>
      <c r="N562" s="70">
        <f>IF((((0.326*F562^0.818)-(0.398*F562^0.85)/(1-H562)*H562)*(MAX('Max rate concentrations'!$Q$3:$Q$368)))/F562&gt; 0, (((0.326*F562^0.818)-(0.398*F562^0.85)/(1-H562)*H562)*(MAX('Max rate concentrations'!$Q$3:$Q$368)))/F562, 0)</f>
        <v>0</v>
      </c>
      <c r="O562" s="70">
        <f>((MAX('Max rate concentrations'!$F$3:$F$368))*0.62*6.01*8*(12.3*F562^0.65)*0.079*0.1/F562)*inputs!$E$73/inputs!$E$74</f>
        <v>165.21403079734853</v>
      </c>
      <c r="P562" s="70">
        <f>((MAX('Max rate concentrations'!Y:Y))*0.62*6.01*8*(12.3*F562^0.65)*0.079*0.1/F562)*inputs!$E$73/inputs!$E$74</f>
        <v>55.071343599116176</v>
      </c>
      <c r="Q562" s="70">
        <f>(inputs!$C$18*11.2*(12.3*F562^0.65)*0.5/F562)*inputs!$E$73/inputs!$E$74</f>
        <v>29.101672280075618</v>
      </c>
      <c r="R562" s="60">
        <f>(60*379*((F562/1000)^0.8)*3*24*(MAX('Max rate concentrations'!$R$3:$R$368))/F562)*(inputs!$E$73/inputs!$E$75)</f>
        <v>3.3141482908294009E-2</v>
      </c>
      <c r="S562" s="60">
        <f>(IF(inputs!$C$17="aerial",((0.025*0.112*inputs!$C$18/3.3)*(3*60*379*((F562/1000)^0.8))*MAX(inputs!$I$14:$I$16))/F562,((0.0083*0.112*inputs!$C$18/1)*(3*60*379*((F562/1000)^0.8))*MAX(inputs!$I$14:$I$16))/F562))*(inputs!E$75/inputs!$E$73)</f>
        <v>0.18277731439591641</v>
      </c>
      <c r="T562" s="63">
        <f>IF((((inputs!$P$13/(V562/MAX(K562:S562)))^(1/inputs!$O$13))-1)/inputs!$N$13&lt;0, 0, IF((((inputs!$P$13/(V562/MAX(K562:S562)))^(1/inputs!$O$13))-1)/inputs!$N$13&lt;inputs!$I$17, (((inputs!$P$13/(V562/MAX(K562:S562)))^(1/inputs!$O$13))-1)/inputs!$N$13, inputs!$I$17))</f>
        <v>116.99587267940271</v>
      </c>
      <c r="U562" s="63">
        <f>IF((((inputs!$P$13/(X562/MAX(K562:S562)))^(1/inputs!$O$13))-1)/inputs!$N$13&lt;0, 0, IF((((inputs!$P$13/(X562/MAX(K562:S562)))^(1/inputs!$O$13))-1)/inputs!$N$13&lt;inputs!$I$17, (((inputs!$P$13/(X562/MAX(K562:S562)))^(1/inputs!$O$13))-1)/inputs!$N$13, inputs!$I$17))</f>
        <v>0.49011900720441032</v>
      </c>
      <c r="V562" s="54">
        <f>inputs!$E$70*(inputs!$F$70/F562)^(0.25)</f>
        <v>3.5370279509734179</v>
      </c>
      <c r="W562" s="54">
        <f>inputs!$E$76*(inputs!$F$76/F562)^(0.25)</f>
        <v>1.0638712954656449</v>
      </c>
      <c r="X562" s="54">
        <f>inputs!$E$72*(inputs!$F$72/F562)^(0.25)</f>
        <v>156.04535077823903</v>
      </c>
      <c r="Y562" s="54" t="s">
        <v>13</v>
      </c>
      <c r="Z562" s="106">
        <f t="shared" si="58"/>
        <v>46.709845974465743</v>
      </c>
      <c r="AA562" s="106">
        <f t="shared" si="59"/>
        <v>155.29512968487052</v>
      </c>
    </row>
    <row r="563" spans="1:27" x14ac:dyDescent="0.25">
      <c r="A563" s="55" t="s">
        <v>565</v>
      </c>
      <c r="B563" s="49" t="s">
        <v>566</v>
      </c>
      <c r="C563" s="21" t="s">
        <v>61</v>
      </c>
      <c r="D563" s="20" t="s">
        <v>567</v>
      </c>
      <c r="E563" s="20">
        <v>58</v>
      </c>
      <c r="F563" s="21">
        <v>4.0999999999999996</v>
      </c>
      <c r="G563" s="21" t="s">
        <v>146</v>
      </c>
      <c r="H563" s="20">
        <v>0.84</v>
      </c>
      <c r="I563" s="68">
        <f>MAX('Max rate concentrations'!$I$3:$I$368)</f>
        <v>56.865414300472793</v>
      </c>
      <c r="J563" s="68" t="s">
        <v>13</v>
      </c>
      <c r="K563" s="70">
        <f t="shared" si="62"/>
        <v>64.97115101821214</v>
      </c>
      <c r="L563" s="69" t="s">
        <v>13</v>
      </c>
      <c r="M563" s="70">
        <f>IF((((0.326*F563^0.818)-(0.398*F563^0.85)/(1-H563)*H563)*(MAX('Max rate concentrations'!$P$3:$P$368)))/F563&gt;0, (((0.326*F563^0.818)-(0.398*F563^0.85)/(1-H563)*H563)*(MAX('Max rate concentrations'!$P$3:$P$368)))/F563, 0)</f>
        <v>0</v>
      </c>
      <c r="N563" s="70">
        <f>IF((((0.326*F563^0.818)-(0.398*F563^0.85)/(1-H563)*H563)*(MAX('Max rate concentrations'!$Q$3:$Q$368)))/F563&gt; 0, (((0.326*F563^0.818)-(0.398*F563^0.85)/(1-H563)*H563)*(MAX('Max rate concentrations'!$Q$3:$Q$368)))/F563, 0)</f>
        <v>0</v>
      </c>
      <c r="O563" s="70">
        <f>((MAX('Max rate concentrations'!$F$3:$F$368))*0.62*6.01*8*(12.3*F563^0.65)*0.079*0.1/F563)*inputs!$E$73/inputs!$E$74</f>
        <v>165.21403079734853</v>
      </c>
      <c r="P563" s="70">
        <f>((MAX('Max rate concentrations'!Y:Y))*0.62*6.01*8*(12.3*F563^0.65)*0.079*0.1/F563)*inputs!$E$73/inputs!$E$74</f>
        <v>55.071343599116176</v>
      </c>
      <c r="Q563" s="70">
        <f>(inputs!$C$18*11.2*(12.3*F563^0.65)*0.5/F563)*inputs!$E$73/inputs!$E$74</f>
        <v>29.101672280075618</v>
      </c>
      <c r="R563" s="60">
        <f>(60*379*((F563/1000)^0.8)*3*24*(MAX('Max rate concentrations'!$R$3:$R$368))/F563)*(inputs!$E$73/inputs!$E$75)</f>
        <v>3.3141482908294009E-2</v>
      </c>
      <c r="S563" s="60">
        <f>(IF(inputs!$C$17="aerial",((0.025*0.112*inputs!$C$18/3.3)*(3*60*379*((F563/1000)^0.8))*MAX(inputs!$I$14:$I$16))/F563,((0.0083*0.112*inputs!$C$18/1)*(3*60*379*((F563/1000)^0.8))*MAX(inputs!$I$14:$I$16))/F563))*(inputs!E$75/inputs!$E$73)</f>
        <v>0.18277731439591641</v>
      </c>
      <c r="T563" s="63">
        <f>IF((((inputs!$P$13/(V563/MAX(K563:S563)))^(1/inputs!$O$13))-1)/inputs!$N$13&lt;0, 0, IF((((inputs!$P$13/(V563/MAX(K563:S563)))^(1/inputs!$O$13))-1)/inputs!$N$13&lt;inputs!$I$17, (((inputs!$P$13/(V563/MAX(K563:S563)))^(1/inputs!$O$13))-1)/inputs!$N$13, inputs!$I$17))</f>
        <v>116.99587267940271</v>
      </c>
      <c r="U563" s="63">
        <f>IF((((inputs!$P$13/(X563/MAX(K563:S563)))^(1/inputs!$O$13))-1)/inputs!$N$13&lt;0, 0, IF((((inputs!$P$13/(X563/MAX(K563:S563)))^(1/inputs!$O$13))-1)/inputs!$N$13&lt;inputs!$I$17, (((inputs!$P$13/(X563/MAX(K563:S563)))^(1/inputs!$O$13))-1)/inputs!$N$13, inputs!$I$17))</f>
        <v>0.49011900720441032</v>
      </c>
      <c r="V563" s="54">
        <f>inputs!$E$70*(inputs!$F$70/F563)^(0.25)</f>
        <v>3.5370279509734179</v>
      </c>
      <c r="W563" s="54">
        <f>inputs!$E$76*(inputs!$F$76/F563)^(0.25)</f>
        <v>1.0638712954656449</v>
      </c>
      <c r="X563" s="54">
        <f>inputs!$E$72*(inputs!$F$72/F563)^(0.25)</f>
        <v>156.04535077823903</v>
      </c>
      <c r="Y563" s="54" t="s">
        <v>13</v>
      </c>
      <c r="Z563" s="106">
        <f t="shared" si="58"/>
        <v>46.709845974465743</v>
      </c>
      <c r="AA563" s="106">
        <f t="shared" si="59"/>
        <v>155.29512968487052</v>
      </c>
    </row>
    <row r="564" spans="1:27" x14ac:dyDescent="0.25">
      <c r="A564" s="55" t="s">
        <v>572</v>
      </c>
      <c r="B564" s="49" t="s">
        <v>573</v>
      </c>
      <c r="C564" s="21" t="s">
        <v>61</v>
      </c>
      <c r="D564" s="20" t="s">
        <v>451</v>
      </c>
      <c r="E564" s="20">
        <v>46</v>
      </c>
      <c r="F564" s="21">
        <v>1000</v>
      </c>
      <c r="G564" s="21" t="s">
        <v>169</v>
      </c>
      <c r="H564" s="21">
        <v>0.79</v>
      </c>
      <c r="I564" s="68">
        <f>MAX('Max rate concentrations'!$D$3:$D$368)</f>
        <v>720</v>
      </c>
      <c r="J564" s="68">
        <f>MAX('Max rate concentrations'!W:W)</f>
        <v>255</v>
      </c>
      <c r="K564" s="70">
        <f t="shared" si="62"/>
        <v>235.60313444337723</v>
      </c>
      <c r="L564" s="70">
        <f t="shared" ref="L564:L573" si="63">(((0.235*F564^0.822)/(1-H564)))*J564/F564</f>
        <v>83.442776782029441</v>
      </c>
      <c r="M564" s="70">
        <f>IF((((0.326*F564^0.818)-(0.398*F564^0.85)/(1-H564)*H564)*(MAX('Max rate concentrations'!$P$3:$P$368)))/F564&gt;0, (((0.326*F564^0.818)-(0.398*F564^0.85)/(1-H564)*H564)*(MAX('Max rate concentrations'!$P$3:$P$368)))/F564, 0)</f>
        <v>0</v>
      </c>
      <c r="N564" s="70">
        <f>IF((((0.326*F564^0.818)-(0.398*F564^0.85)/(1-H564)*H564)*(MAX('Max rate concentrations'!$Q$3:$Q$368)))/F564&gt; 0, (((0.326*F564^0.818)-(0.398*F564^0.85)/(1-H564)*H564)*(MAX('Max rate concentrations'!$Q$3:$Q$368)))/F564, 0)</f>
        <v>0</v>
      </c>
      <c r="O564" s="70">
        <f>((MAX('Max rate concentrations'!$F$3:$F$368))*0.62*6.01*8*(12.3*F564^0.65)*0.079*0.1/F564)*inputs!$E$73/inputs!$E$74</f>
        <v>24.127997369975315</v>
      </c>
      <c r="P564" s="70">
        <f>((MAX('Max rate concentrations'!Y:Y))*0.62*6.01*8*(12.3*F564^0.65)*0.079*0.1/F564)*inputs!$E$73/inputs!$E$74</f>
        <v>8.0426657899917728</v>
      </c>
      <c r="Q564" s="70">
        <f>(inputs!$C$18*11.2*(12.3*F564^0.65)*0.5/F564)*inputs!$E$73/inputs!$E$74</f>
        <v>4.2500329351374724</v>
      </c>
      <c r="R564" s="60">
        <f>(60*379*((F564/1000)^0.8)*3*24*(MAX('Max rate concentrations'!$R$3:$R$368))/F564)*(inputs!$E$73/inputs!$E$75)</f>
        <v>1.1038973944534057E-2</v>
      </c>
      <c r="S564" s="60">
        <f>(IF(inputs!$C$17="aerial",((0.025*0.112*inputs!$C$18/3.3)*(3*60*379*((F564/1000)^0.8))*MAX(inputs!$I$14:$I$16))/F564,((0.0083*0.112*inputs!$C$18/1)*(3*60*379*((F564/1000)^0.8))*MAX(inputs!$I$14:$I$16))/F564))*(inputs!E$75/inputs!$E$73)</f>
        <v>6.0880619519999998E-2</v>
      </c>
      <c r="T564" s="63">
        <f>IF((((inputs!$P$13/(V564/MAX(K564:S564)))^(1/inputs!$O$13))-1)/inputs!$N$13&lt;0, 0, IF((((inputs!$P$13/(V564/MAX(K564:S564)))^(1/inputs!$O$13))-1)/inputs!$N$13&lt;inputs!$I$17, (((inputs!$P$13/(V564/MAX(K564:S564)))^(1/inputs!$O$13))-1)/inputs!$N$13, inputs!$I$17))</f>
        <v>489.55501388508731</v>
      </c>
      <c r="U564" s="63">
        <f>IF((((inputs!$P$13/(X564/MAX(K564:S564)))^(1/inputs!$O$13))-1)/inputs!$N$13&lt;0, 0, IF((((inputs!$P$13/(X564/MAX(K564:S564)))^(1/inputs!$O$13))-1)/inputs!$N$13&lt;inputs!$I$17, (((inputs!$P$13/(X564/MAX(K564:S564)))^(1/inputs!$O$13))-1)/inputs!$N$13, inputs!$I$17))</f>
        <v>17.918149832033276</v>
      </c>
      <c r="V564" s="54">
        <f>inputs!$E$70*(inputs!$F$70/F564)^(0.25)</f>
        <v>0.89502353615456165</v>
      </c>
      <c r="W564" s="54">
        <f>inputs!$E$76*(inputs!$F$76/F564)^(0.25)</f>
        <v>0.26920619855971051</v>
      </c>
      <c r="X564" s="54">
        <f>inputs!$E$72*(inputs!$F$72/F564)^(0.25)</f>
        <v>39.486332477407132</v>
      </c>
      <c r="Y564" s="54" t="s">
        <v>13</v>
      </c>
      <c r="Z564" s="106">
        <f t="shared" si="58"/>
        <v>263.23680319697303</v>
      </c>
      <c r="AA564" s="106">
        <f t="shared" si="59"/>
        <v>875.177227359124</v>
      </c>
    </row>
    <row r="565" spans="1:27" x14ac:dyDescent="0.25">
      <c r="A565" s="55" t="s">
        <v>572</v>
      </c>
      <c r="B565" s="49" t="s">
        <v>573</v>
      </c>
      <c r="C565" s="21" t="s">
        <v>61</v>
      </c>
      <c r="D565" s="20" t="s">
        <v>451</v>
      </c>
      <c r="E565" s="20">
        <v>46</v>
      </c>
      <c r="F565" s="21">
        <v>1000</v>
      </c>
      <c r="G565" s="21" t="s">
        <v>177</v>
      </c>
      <c r="H565" s="21">
        <v>0.85</v>
      </c>
      <c r="I565" s="68">
        <f>MAX('Max rate concentrations'!$F$3:$F$368)</f>
        <v>405</v>
      </c>
      <c r="J565" s="68">
        <f>MAX('Max rate concentrations'!Y:Y)</f>
        <v>135</v>
      </c>
      <c r="K565" s="70">
        <f t="shared" si="62"/>
        <v>185.53746837415952</v>
      </c>
      <c r="L565" s="70">
        <f t="shared" si="63"/>
        <v>61.845822791386503</v>
      </c>
      <c r="M565" s="70">
        <f>IF((((0.326*F565^0.818)-(0.398*F565^0.85)/(1-H565)*H565)*(MAX('Max rate concentrations'!$P$3:$P$368)))/F565&gt;0, (((0.326*F565^0.818)-(0.398*F565^0.85)/(1-H565)*H565)*(MAX('Max rate concentrations'!$P$3:$P$368)))/F565, 0)</f>
        <v>0</v>
      </c>
      <c r="N565" s="70">
        <f>IF((((0.326*F565^0.818)-(0.398*F565^0.85)/(1-H565)*H565)*(MAX('Max rate concentrations'!$Q$3:$Q$368)))/F565&gt; 0, (((0.326*F565^0.818)-(0.398*F565^0.85)/(1-H565)*H565)*(MAX('Max rate concentrations'!$Q$3:$Q$368)))/F565, 0)</f>
        <v>0</v>
      </c>
      <c r="O565" s="70">
        <f>((MAX('Max rate concentrations'!$F$3:$F$368))*0.62*6.01*8*(12.3*F565^0.65)*0.079*0.1/F565)*inputs!$E$73/inputs!$E$74</f>
        <v>24.127997369975315</v>
      </c>
      <c r="P565" s="70">
        <f>((MAX('Max rate concentrations'!Y:Y))*0.62*6.01*8*(12.3*F565^0.65)*0.079*0.1/F565)*inputs!$E$73/inputs!$E$74</f>
        <v>8.0426657899917728</v>
      </c>
      <c r="Q565" s="70">
        <f>(inputs!$C$18*11.2*(12.3*F565^0.65)*0.5/F565)*inputs!$E$73/inputs!$E$74</f>
        <v>4.2500329351374724</v>
      </c>
      <c r="R565" s="60">
        <f>(60*379*((F565/1000)^0.8)*3*24*(MAX('Max rate concentrations'!$R$3:$R$368))/F565)*(inputs!$E$73/inputs!$E$75)</f>
        <v>1.1038973944534057E-2</v>
      </c>
      <c r="S565" s="60">
        <f>(IF(inputs!$C$17="aerial",((0.025*0.112*inputs!$C$18/3.3)*(3*60*379*((F565/1000)^0.8))*MAX(inputs!$I$14:$I$16))/F565,((0.0083*0.112*inputs!$C$18/1)*(3*60*379*((F565/1000)^0.8))*MAX(inputs!$I$14:$I$16))/F565))*(inputs!E$75/inputs!$E$73)</f>
        <v>6.0880619519999998E-2</v>
      </c>
      <c r="T565" s="63">
        <f>IF((((inputs!$P$13/(V565/MAX(K565:S565)))^(1/inputs!$O$13))-1)/inputs!$N$13&lt;0, 0, IF((((inputs!$P$13/(V565/MAX(K565:S565)))^(1/inputs!$O$13))-1)/inputs!$N$13&lt;inputs!$I$17, (((inputs!$P$13/(V565/MAX(K565:S565)))^(1/inputs!$O$13))-1)/inputs!$N$13, inputs!$I$17))</f>
        <v>402.63653967085241</v>
      </c>
      <c r="U565" s="63">
        <f>IF((((inputs!$P$13/(X565/MAX(K565:S565)))^(1/inputs!$O$13))-1)/inputs!$N$13&lt;0, 0, IF((((inputs!$P$13/(X565/MAX(K565:S565)))^(1/inputs!$O$13))-1)/inputs!$N$13&lt;inputs!$I$17, (((inputs!$P$13/(X565/MAX(K565:S565)))^(1/inputs!$O$13))-1)/inputs!$N$13, inputs!$I$17))</f>
        <v>13.852170285938936</v>
      </c>
      <c r="V565" s="54">
        <f>inputs!$E$70*(inputs!$F$70/F565)^(0.25)</f>
        <v>0.89502353615456165</v>
      </c>
      <c r="W565" s="54">
        <f>inputs!$E$76*(inputs!$F$76/F565)^(0.25)</f>
        <v>0.26920619855971051</v>
      </c>
      <c r="X565" s="54">
        <f>inputs!$E$72*(inputs!$F$72/F565)^(0.25)</f>
        <v>39.486332477407132</v>
      </c>
      <c r="Y565" s="54" t="s">
        <v>13</v>
      </c>
      <c r="Z565" s="106">
        <f t="shared" si="58"/>
        <v>207.29898251761622</v>
      </c>
      <c r="AA565" s="106">
        <f t="shared" si="59"/>
        <v>689.20206654530989</v>
      </c>
    </row>
    <row r="566" spans="1:27" x14ac:dyDescent="0.25">
      <c r="A566" s="55" t="s">
        <v>574</v>
      </c>
      <c r="B566" s="49" t="s">
        <v>575</v>
      </c>
      <c r="C566" s="21" t="s">
        <v>61</v>
      </c>
      <c r="D566" s="20" t="s">
        <v>451</v>
      </c>
      <c r="E566" s="20">
        <v>3778</v>
      </c>
      <c r="F566" s="21">
        <v>756</v>
      </c>
      <c r="G566" s="21" t="s">
        <v>152</v>
      </c>
      <c r="H566" s="21">
        <v>0.77</v>
      </c>
      <c r="I566" s="68">
        <f>MAX('Max rate concentrations'!$G$3:$G$368)</f>
        <v>45</v>
      </c>
      <c r="J566" s="68">
        <f>MAX('Max rate concentrations'!Z:Z)</f>
        <v>21</v>
      </c>
      <c r="K566" s="70">
        <f t="shared" si="62"/>
        <v>14.131089936056664</v>
      </c>
      <c r="L566" s="70">
        <f t="shared" si="63"/>
        <v>6.5945086368264425</v>
      </c>
      <c r="M566" s="70">
        <f>IF((((0.326*F566^0.818)-(0.398*F566^0.85)/(1-H566)*H566)*(MAX('Max rate concentrations'!$P$3:$P$368)))/F566&gt;0, (((0.326*F566^0.818)-(0.398*F566^0.85)/(1-H566)*H566)*(MAX('Max rate concentrations'!$P$3:$P$368)))/F566, 0)</f>
        <v>0</v>
      </c>
      <c r="N566" s="70">
        <f>IF((((0.326*F566^0.818)-(0.398*F566^0.85)/(1-H566)*H566)*(MAX('Max rate concentrations'!$Q$3:$Q$368)))/F566&gt; 0, (((0.326*F566^0.818)-(0.398*F566^0.85)/(1-H566)*H566)*(MAX('Max rate concentrations'!$Q$3:$Q$368)))/F566, 0)</f>
        <v>0</v>
      </c>
      <c r="O566" s="70">
        <f>((MAX('Max rate concentrations'!$F$3:$F$368))*0.62*6.01*8*(12.3*F566^0.65)*0.079*0.1/F566)*inputs!$E$73/inputs!$E$74</f>
        <v>26.609618516820813</v>
      </c>
      <c r="P566" s="70">
        <f>((MAX('Max rate concentrations'!Y:Y))*0.62*6.01*8*(12.3*F566^0.65)*0.079*0.1/F566)*inputs!$E$73/inputs!$E$74</f>
        <v>8.869872838940271</v>
      </c>
      <c r="Q566" s="70">
        <f>(inputs!$C$18*11.2*(12.3*F566^0.65)*0.5/F566)*inputs!$E$73/inputs!$E$74</f>
        <v>4.6871587953943861</v>
      </c>
      <c r="R566" s="60">
        <f>(60*379*((F566/1000)^0.8)*3*24*(MAX('Max rate concentrations'!$R$3:$R$368))/F566)*(inputs!$E$73/inputs!$E$75)</f>
        <v>1.1674125268552462E-2</v>
      </c>
      <c r="S566" s="60">
        <f>(IF(inputs!$C$17="aerial",((0.025*0.112*inputs!$C$18/3.3)*(3*60*379*((F566/1000)^0.8))*MAX(inputs!$I$14:$I$16))/F566,((0.0083*0.112*inputs!$C$18/1)*(3*60*379*((F566/1000)^0.8))*MAX(inputs!$I$14:$I$16))/F566))*(inputs!E$75/inputs!$E$73)</f>
        <v>6.4383518094584966E-2</v>
      </c>
      <c r="T566" s="63">
        <f>IF((((inputs!$P$13/(V566/MAX(K566:S566)))^(1/inputs!$O$13))-1)/inputs!$N$13&lt;0, 0, IF((((inputs!$P$13/(V566/MAX(K566:S566)))^(1/inputs!$O$13))-1)/inputs!$N$13&lt;inputs!$I$17, (((inputs!$P$13/(V566/MAX(K566:S566)))^(1/inputs!$O$13))-1)/inputs!$N$13, inputs!$I$17))</f>
        <v>74.927621774532639</v>
      </c>
      <c r="U566" s="63">
        <f>IF((((inputs!$P$13/(X566/MAX(K566:S566)))^(1/inputs!$O$13))-1)/inputs!$N$13&lt;0, 0, IF((((inputs!$P$13/(X566/MAX(K566:S566)))^(1/inputs!$O$13))-1)/inputs!$N$13&lt;inputs!$I$17, (((inputs!$P$13/(X566/MAX(K566:S566)))^(1/inputs!$O$13))-1)/inputs!$N$13, inputs!$I$17))</f>
        <v>0</v>
      </c>
      <c r="V566" s="54">
        <f>inputs!$E$70*(inputs!$F$70/F566)^(0.25)</f>
        <v>0.95985140978605565</v>
      </c>
      <c r="W566" s="54">
        <f>inputs!$E$76*(inputs!$F$76/F566)^(0.25)</f>
        <v>0.28870520022398632</v>
      </c>
      <c r="X566" s="54">
        <f>inputs!$E$72*(inputs!$F$72/F566)^(0.25)</f>
        <v>42.346385725855399</v>
      </c>
      <c r="Y566" s="54" t="s">
        <v>13</v>
      </c>
      <c r="Z566" s="106">
        <f t="shared" si="58"/>
        <v>27.722643573292157</v>
      </c>
      <c r="AA566" s="106">
        <f t="shared" si="59"/>
        <v>92.168823063028512</v>
      </c>
    </row>
    <row r="567" spans="1:27" x14ac:dyDescent="0.25">
      <c r="A567" s="55" t="s">
        <v>574</v>
      </c>
      <c r="B567" s="49" t="s">
        <v>575</v>
      </c>
      <c r="C567" s="21" t="s">
        <v>61</v>
      </c>
      <c r="D567" s="20" t="s">
        <v>451</v>
      </c>
      <c r="E567" s="20">
        <v>3778</v>
      </c>
      <c r="F567" s="21">
        <v>756</v>
      </c>
      <c r="G567" s="21" t="s">
        <v>169</v>
      </c>
      <c r="H567" s="21">
        <v>0.79</v>
      </c>
      <c r="I567" s="68">
        <f>MAX('Max rate concentrations'!$D$3:$D$368)</f>
        <v>720</v>
      </c>
      <c r="J567" s="68">
        <f>MAX('Max rate concentrations'!W:W)</f>
        <v>255</v>
      </c>
      <c r="K567" s="70">
        <f t="shared" si="62"/>
        <v>247.6305284032787</v>
      </c>
      <c r="L567" s="70">
        <f t="shared" si="63"/>
        <v>87.702478809494536</v>
      </c>
      <c r="M567" s="70">
        <f>IF((((0.326*F567^0.818)-(0.398*F567^0.85)/(1-H567)*H567)*(MAX('Max rate concentrations'!$P$3:$P$368)))/F567&gt;0, (((0.326*F567^0.818)-(0.398*F567^0.85)/(1-H567)*H567)*(MAX('Max rate concentrations'!$P$3:$P$368)))/F567, 0)</f>
        <v>0</v>
      </c>
      <c r="N567" s="70">
        <f>IF((((0.326*F567^0.818)-(0.398*F567^0.85)/(1-H567)*H567)*(MAX('Max rate concentrations'!$Q$3:$Q$368)))/F567&gt; 0, (((0.326*F567^0.818)-(0.398*F567^0.85)/(1-H567)*H567)*(MAX('Max rate concentrations'!$Q$3:$Q$368)))/F567, 0)</f>
        <v>0</v>
      </c>
      <c r="O567" s="70">
        <f>((MAX('Max rate concentrations'!$F$3:$F$368))*0.62*6.01*8*(12.3*F567^0.65)*0.079*0.1/F567)*inputs!$E$73/inputs!$E$74</f>
        <v>26.609618516820813</v>
      </c>
      <c r="P567" s="70">
        <f>((MAX('Max rate concentrations'!Y:Y))*0.62*6.01*8*(12.3*F567^0.65)*0.079*0.1/F567)*inputs!$E$73/inputs!$E$74</f>
        <v>8.869872838940271</v>
      </c>
      <c r="Q567" s="70">
        <f>(inputs!$C$18*11.2*(12.3*F567^0.65)*0.5/F567)*inputs!$E$73/inputs!$E$74</f>
        <v>4.6871587953943861</v>
      </c>
      <c r="R567" s="60">
        <f>(60*379*((F567/1000)^0.8)*3*24*(MAX('Max rate concentrations'!$R$3:$R$368))/F567)*(inputs!$E$73/inputs!$E$75)</f>
        <v>1.1674125268552462E-2</v>
      </c>
      <c r="S567" s="60">
        <f>(IF(inputs!$C$17="aerial",((0.025*0.112*inputs!$C$18/3.3)*(3*60*379*((F567/1000)^0.8))*MAX(inputs!$I$14:$I$16))/F567,((0.0083*0.112*inputs!$C$18/1)*(3*60*379*((F567/1000)^0.8))*MAX(inputs!$I$14:$I$16))/F567))*(inputs!E$75/inputs!$E$73)</f>
        <v>6.4383518094584966E-2</v>
      </c>
      <c r="T567" s="63">
        <f>IF((((inputs!$P$13/(V567/MAX(K567:S567)))^(1/inputs!$O$13))-1)/inputs!$N$13&lt;0, 0, IF((((inputs!$P$13/(V567/MAX(K567:S567)))^(1/inputs!$O$13))-1)/inputs!$N$13&lt;inputs!$I$17, (((inputs!$P$13/(V567/MAX(K567:S567)))^(1/inputs!$O$13))-1)/inputs!$N$13, inputs!$I$17))</f>
        <v>481.56219685988026</v>
      </c>
      <c r="U567" s="63">
        <f>IF((((inputs!$P$13/(X567/MAX(K567:S567)))^(1/inputs!$O$13))-1)/inputs!$N$13&lt;0, 0, IF((((inputs!$P$13/(X567/MAX(K567:S567)))^(1/inputs!$O$13))-1)/inputs!$N$13&lt;inputs!$I$17, (((inputs!$P$13/(X567/MAX(K567:S567)))^(1/inputs!$O$13))-1)/inputs!$N$13, inputs!$I$17))</f>
        <v>17.54425198311262</v>
      </c>
      <c r="V567" s="54">
        <f>inputs!$E$70*(inputs!$F$70/F567)^(0.25)</f>
        <v>0.95985140978605565</v>
      </c>
      <c r="W567" s="54">
        <f>inputs!$E$76*(inputs!$F$76/F567)^(0.25)</f>
        <v>0.28870520022398632</v>
      </c>
      <c r="X567" s="54">
        <f>inputs!$E$72*(inputs!$F$72/F567)^(0.25)</f>
        <v>42.346385725855399</v>
      </c>
      <c r="Y567" s="54" t="s">
        <v>13</v>
      </c>
      <c r="Z567" s="106">
        <f t="shared" si="58"/>
        <v>257.98839891111254</v>
      </c>
      <c r="AA567" s="106">
        <f t="shared" si="59"/>
        <v>857.72798069158216</v>
      </c>
    </row>
    <row r="568" spans="1:27" x14ac:dyDescent="0.25">
      <c r="A568" s="55" t="s">
        <v>574</v>
      </c>
      <c r="B568" s="49" t="s">
        <v>575</v>
      </c>
      <c r="C568" s="21" t="s">
        <v>61</v>
      </c>
      <c r="D568" s="20" t="s">
        <v>451</v>
      </c>
      <c r="E568" s="20">
        <v>3778</v>
      </c>
      <c r="F568" s="21">
        <v>756</v>
      </c>
      <c r="G568" s="21" t="s">
        <v>177</v>
      </c>
      <c r="H568" s="21">
        <v>0.85</v>
      </c>
      <c r="I568" s="68">
        <f>MAX('Max rate concentrations'!$F$3:$F$368)</f>
        <v>405</v>
      </c>
      <c r="J568" s="68">
        <f>MAX('Max rate concentrations'!Y:Y)</f>
        <v>135</v>
      </c>
      <c r="K568" s="70">
        <f t="shared" si="62"/>
        <v>195.00904111758192</v>
      </c>
      <c r="L568" s="70">
        <f t="shared" si="63"/>
        <v>65.003013705860639</v>
      </c>
      <c r="M568" s="70">
        <f>IF((((0.326*F568^0.818)-(0.398*F568^0.85)/(1-H568)*H568)*(MAX('Max rate concentrations'!$P$3:$P$368)))/F568&gt;0, (((0.326*F568^0.818)-(0.398*F568^0.85)/(1-H568)*H568)*(MAX('Max rate concentrations'!$P$3:$P$368)))/F568, 0)</f>
        <v>0</v>
      </c>
      <c r="N568" s="70">
        <f>IF((((0.326*F568^0.818)-(0.398*F568^0.85)/(1-H568)*H568)*(MAX('Max rate concentrations'!$Q$3:$Q$368)))/F568&gt; 0, (((0.326*F568^0.818)-(0.398*F568^0.85)/(1-H568)*H568)*(MAX('Max rate concentrations'!$Q$3:$Q$368)))/F568, 0)</f>
        <v>0</v>
      </c>
      <c r="O568" s="70">
        <f>((MAX('Max rate concentrations'!$F$3:$F$368))*0.62*6.01*8*(12.3*F568^0.65)*0.079*0.1/F568)*inputs!$E$73/inputs!$E$74</f>
        <v>26.609618516820813</v>
      </c>
      <c r="P568" s="70">
        <f>((MAX('Max rate concentrations'!Y:Y))*0.62*6.01*8*(12.3*F568^0.65)*0.079*0.1/F568)*inputs!$E$73/inputs!$E$74</f>
        <v>8.869872838940271</v>
      </c>
      <c r="Q568" s="70">
        <f>(inputs!$C$18*11.2*(12.3*F568^0.65)*0.5/F568)*inputs!$E$73/inputs!$E$74</f>
        <v>4.6871587953943861</v>
      </c>
      <c r="R568" s="60">
        <f>(60*379*((F568/1000)^0.8)*3*24*(MAX('Max rate concentrations'!$R$3:$R$368))/F568)*(inputs!$E$73/inputs!$E$75)</f>
        <v>1.1674125268552462E-2</v>
      </c>
      <c r="S568" s="60">
        <f>(IF(inputs!$C$17="aerial",((0.025*0.112*inputs!$C$18/3.3)*(3*60*379*((F568/1000)^0.8))*MAX(inputs!$I$14:$I$16))/F568,((0.0083*0.112*inputs!$C$18/1)*(3*60*379*((F568/1000)^0.8))*MAX(inputs!$I$14:$I$16))/F568))*(inputs!E$75/inputs!$E$73)</f>
        <v>6.4383518094584966E-2</v>
      </c>
      <c r="T568" s="63">
        <f>IF((((inputs!$P$13/(V568/MAX(K568:S568)))^(1/inputs!$O$13))-1)/inputs!$N$13&lt;0, 0, IF((((inputs!$P$13/(V568/MAX(K568:S568)))^(1/inputs!$O$13))-1)/inputs!$N$13&lt;inputs!$I$17, (((inputs!$P$13/(V568/MAX(K568:S568)))^(1/inputs!$O$13))-1)/inputs!$N$13, inputs!$I$17))</f>
        <v>396.04782160490254</v>
      </c>
      <c r="U568" s="63">
        <f>IF((((inputs!$P$13/(X568/MAX(K568:S568)))^(1/inputs!$O$13))-1)/inputs!$N$13&lt;0, 0, IF((((inputs!$P$13/(X568/MAX(K568:S568)))^(1/inputs!$O$13))-1)/inputs!$N$13&lt;inputs!$I$17, (((inputs!$P$13/(X568/MAX(K568:S568)))^(1/inputs!$O$13))-1)/inputs!$N$13, inputs!$I$17))</f>
        <v>13.543955109207889</v>
      </c>
      <c r="V568" s="54">
        <f>inputs!$E$70*(inputs!$F$70/F568)^(0.25)</f>
        <v>0.95985140978605565</v>
      </c>
      <c r="W568" s="54">
        <f>inputs!$E$76*(inputs!$F$76/F568)^(0.25)</f>
        <v>0.28870520022398632</v>
      </c>
      <c r="X568" s="54">
        <f>inputs!$E$72*(inputs!$F$72/F568)^(0.25)</f>
        <v>42.346385725855399</v>
      </c>
      <c r="Y568" s="54" t="s">
        <v>13</v>
      </c>
      <c r="Z568" s="106">
        <f t="shared" si="58"/>
        <v>203.16586414250108</v>
      </c>
      <c r="AA568" s="106">
        <f t="shared" si="59"/>
        <v>675.46078479462074</v>
      </c>
    </row>
    <row r="569" spans="1:27" x14ac:dyDescent="0.25">
      <c r="A569" s="55" t="s">
        <v>574</v>
      </c>
      <c r="B569" s="49" t="s">
        <v>575</v>
      </c>
      <c r="C569" s="21" t="s">
        <v>61</v>
      </c>
      <c r="D569" s="20" t="s">
        <v>451</v>
      </c>
      <c r="E569" s="20">
        <v>3778</v>
      </c>
      <c r="F569" s="21">
        <v>756</v>
      </c>
      <c r="G569" s="21" t="s">
        <v>154</v>
      </c>
      <c r="H569" s="21">
        <v>9.2999999999999999E-2</v>
      </c>
      <c r="I569" s="68">
        <f>MAX('Max rate concentrations'!$G$3:$G$368)</f>
        <v>45</v>
      </c>
      <c r="J569" s="68">
        <f>MAX('Max rate concentrations'!Z:Z)</f>
        <v>21</v>
      </c>
      <c r="K569" s="70">
        <f t="shared" si="62"/>
        <v>3.5834075912822847</v>
      </c>
      <c r="L569" s="70">
        <f t="shared" si="63"/>
        <v>1.6722568759317329</v>
      </c>
      <c r="M569" s="70">
        <f>IF((((0.326*F569^0.818)-(0.398*F569^0.85)/(1-H569)*H569)*(MAX('Max rate concentrations'!$P$3:$P$368)))/F569&gt;0, (((0.326*F569^0.818)-(0.398*F569^0.85)/(1-H569)*H569)*(MAX('Max rate concentrations'!$P$3:$P$368)))/F569, 0)</f>
        <v>7.1824062999621449E-2</v>
      </c>
      <c r="N569" s="70">
        <f>IF((((0.326*F569^0.818)-(0.398*F569^0.85)/(1-H569)*H569)*(MAX('Max rate concentrations'!$Q$3:$Q$368)))/F569&gt; 0, (((0.326*F569^0.818)-(0.398*F569^0.85)/(1-H569)*H569)*(MAX('Max rate concentrations'!$Q$3:$Q$368)))/F569, 0)</f>
        <v>0.27350989113049617</v>
      </c>
      <c r="O569" s="70">
        <f>((MAX('Max rate concentrations'!$F$3:$F$368))*0.62*6.01*8*(12.3*F569^0.65)*0.079*0.1/F569)*inputs!$E$73/inputs!$E$74</f>
        <v>26.609618516820813</v>
      </c>
      <c r="P569" s="70">
        <f>((MAX('Max rate concentrations'!Y:Y))*0.62*6.01*8*(12.3*F569^0.65)*0.079*0.1/F569)*inputs!$E$73/inputs!$E$74</f>
        <v>8.869872838940271</v>
      </c>
      <c r="Q569" s="70">
        <f>(inputs!$C$18*11.2*(12.3*F569^0.65)*0.5/F569)*inputs!$E$73/inputs!$E$74</f>
        <v>4.6871587953943861</v>
      </c>
      <c r="R569" s="60">
        <f>(60*379*((F569/1000)^0.8)*3*24*(MAX('Max rate concentrations'!$R$3:$R$368))/F569)*(inputs!$E$73/inputs!$E$75)</f>
        <v>1.1674125268552462E-2</v>
      </c>
      <c r="S569" s="60">
        <f>(IF(inputs!$C$17="aerial",((0.025*0.112*inputs!$C$18/3.3)*(3*60*379*((F569/1000)^0.8))*MAX(inputs!$I$14:$I$16))/F569,((0.0083*0.112*inputs!$C$18/1)*(3*60*379*((F569/1000)^0.8))*MAX(inputs!$I$14:$I$16))/F569))*(inputs!E$75/inputs!$E$73)</f>
        <v>6.4383518094584966E-2</v>
      </c>
      <c r="T569" s="63">
        <f>IF((((inputs!$P$13/(V569/MAX(K569:S569)))^(1/inputs!$O$13))-1)/inputs!$N$13&lt;0, 0, IF((((inputs!$P$13/(V569/MAX(K569:S569)))^(1/inputs!$O$13))-1)/inputs!$N$13&lt;inputs!$I$17, (((inputs!$P$13/(V569/MAX(K569:S569)))^(1/inputs!$O$13))-1)/inputs!$N$13, inputs!$I$17))</f>
        <v>74.927621774532639</v>
      </c>
      <c r="U569" s="63">
        <f>IF((((inputs!$P$13/(X569/MAX(K569:S569)))^(1/inputs!$O$13))-1)/inputs!$N$13&lt;0, 0, IF((((inputs!$P$13/(X569/MAX(K569:S569)))^(1/inputs!$O$13))-1)/inputs!$N$13&lt;inputs!$I$17, (((inputs!$P$13/(X569/MAX(K569:S569)))^(1/inputs!$O$13))-1)/inputs!$N$13, inputs!$I$17))</f>
        <v>0</v>
      </c>
      <c r="V569" s="54">
        <f>inputs!$E$70*(inputs!$F$70/F569)^(0.25)</f>
        <v>0.95985140978605565</v>
      </c>
      <c r="W569" s="54">
        <f>inputs!$E$76*(inputs!$F$76/F569)^(0.25)</f>
        <v>0.28870520022398632</v>
      </c>
      <c r="X569" s="54">
        <f>inputs!$E$72*(inputs!$F$72/F569)^(0.25)</f>
        <v>42.346385725855399</v>
      </c>
      <c r="Y569" s="54" t="s">
        <v>13</v>
      </c>
      <c r="Z569" s="106">
        <f t="shared" si="58"/>
        <v>27.722643573292157</v>
      </c>
      <c r="AA569" s="106">
        <f t="shared" si="59"/>
        <v>92.168823063028512</v>
      </c>
    </row>
    <row r="570" spans="1:27" x14ac:dyDescent="0.25">
      <c r="A570" s="55" t="s">
        <v>449</v>
      </c>
      <c r="B570" s="49" t="s">
        <v>450</v>
      </c>
      <c r="C570" s="21" t="s">
        <v>61</v>
      </c>
      <c r="D570" s="20" t="s">
        <v>451</v>
      </c>
      <c r="E570" s="20">
        <v>1240</v>
      </c>
      <c r="F570" s="21">
        <v>375</v>
      </c>
      <c r="G570" s="21" t="s">
        <v>169</v>
      </c>
      <c r="H570" s="21">
        <v>0.79</v>
      </c>
      <c r="I570" s="68">
        <f>MAX('Max rate concentrations'!$D$3:$D$368)</f>
        <v>720</v>
      </c>
      <c r="J570" s="68">
        <f>MAX('Max rate concentrations'!W:W)</f>
        <v>255</v>
      </c>
      <c r="K570" s="70">
        <f t="shared" si="62"/>
        <v>280.54562362725522</v>
      </c>
      <c r="L570" s="70">
        <f t="shared" si="63"/>
        <v>99.359908367986222</v>
      </c>
      <c r="M570" s="70">
        <f>IF((((0.326*F570^0.818)-(0.398*F570^0.85)/(1-H570)*H570)*(MAX('Max rate concentrations'!$P$3:$P$368)))/F570&gt;0, (((0.326*F570^0.818)-(0.398*F570^0.85)/(1-H570)*H570)*(MAX('Max rate concentrations'!$P$3:$P$368)))/F570, 0)</f>
        <v>0</v>
      </c>
      <c r="N570" s="70">
        <f>IF((((0.326*F570^0.818)-(0.398*F570^0.85)/(1-H570)*H570)*(MAX('Max rate concentrations'!$Q$3:$Q$368)))/F570&gt; 0, (((0.326*F570^0.818)-(0.398*F570^0.85)/(1-H570)*H570)*(MAX('Max rate concentrations'!$Q$3:$Q$368)))/F570, 0)</f>
        <v>0</v>
      </c>
      <c r="O570" s="70">
        <f>((MAX('Max rate concentrations'!$F$3:$F$368))*0.62*6.01*8*(12.3*F570^0.65)*0.079*0.1/F570)*inputs!$E$73/inputs!$E$74</f>
        <v>34.010289846614583</v>
      </c>
      <c r="P570" s="70">
        <f>((MAX('Max rate concentrations'!Y:Y))*0.62*6.01*8*(12.3*F570^0.65)*0.079*0.1/F570)*inputs!$E$73/inputs!$E$74</f>
        <v>11.336763282204862</v>
      </c>
      <c r="Q570" s="70">
        <f>(inputs!$C$18*11.2*(12.3*F570^0.65)*0.5/F570)*inputs!$E$73/inputs!$E$74</f>
        <v>5.9907521442933351</v>
      </c>
      <c r="R570" s="60">
        <f>(60*379*((F570/1000)^0.8)*3*24*(MAX('Max rate concentrations'!$R$3:$R$368))/F570)*(inputs!$E$73/inputs!$E$75)</f>
        <v>1.3431436237885412E-2</v>
      </c>
      <c r="S570" s="60">
        <f>(IF(inputs!$C$17="aerial",((0.025*0.112*inputs!$C$18/3.3)*(3*60*379*((F570/1000)^0.8))*MAX(inputs!$I$14:$I$16))/F570,((0.0083*0.112*inputs!$C$18/1)*(3*60*379*((F570/1000)^0.8))*MAX(inputs!$I$14:$I$16))/F570))*(inputs!E$75/inputs!$E$73)</f>
        <v>7.4075196056670914E-2</v>
      </c>
      <c r="T570" s="63">
        <f>IF((((inputs!$P$13/(V570/MAX(K570:S570)))^(1/inputs!$O$13))-1)/inputs!$N$13&lt;0, 0, IF((((inputs!$P$13/(V570/MAX(K570:S570)))^(1/inputs!$O$13))-1)/inputs!$N$13&lt;inputs!$I$17, (((inputs!$P$13/(V570/MAX(K570:S570)))^(1/inputs!$O$13))-1)/inputs!$N$13, inputs!$I$17))</f>
        <v>462.09067878075001</v>
      </c>
      <c r="U570" s="63">
        <f>IF((((inputs!$P$13/(X570/MAX(K570:S570)))^(1/inputs!$O$13))-1)/inputs!$N$13&lt;0, 0, IF((((inputs!$P$13/(X570/MAX(K570:S570)))^(1/inputs!$O$13))-1)/inputs!$N$13&lt;inputs!$I$17, (((inputs!$P$13/(X570/MAX(K570:S570)))^(1/inputs!$O$13))-1)/inputs!$N$13, inputs!$I$17))</f>
        <v>16.633389304529349</v>
      </c>
      <c r="V570" s="54">
        <f>inputs!$E$70*(inputs!$F$70/F570)^(0.25)</f>
        <v>1.1437382331281429</v>
      </c>
      <c r="W570" s="54">
        <f>inputs!$E$76*(inputs!$F$76/F570)^(0.25)</f>
        <v>0.3440148883801597</v>
      </c>
      <c r="X570" s="54">
        <f>inputs!$E$72*(inputs!$F$72/F570)^(0.25)</f>
        <v>50.459039696829841</v>
      </c>
      <c r="Y570" s="54" t="s">
        <v>13</v>
      </c>
      <c r="Z570" s="106">
        <f t="shared" si="58"/>
        <v>245.28831466965855</v>
      </c>
      <c r="AA570" s="106">
        <f t="shared" si="59"/>
        <v>815.5043083985172</v>
      </c>
    </row>
    <row r="571" spans="1:27" x14ac:dyDescent="0.25">
      <c r="A571" s="55" t="s">
        <v>449</v>
      </c>
      <c r="B571" s="49" t="s">
        <v>450</v>
      </c>
      <c r="C571" s="21" t="s">
        <v>61</v>
      </c>
      <c r="D571" s="20" t="s">
        <v>451</v>
      </c>
      <c r="E571" s="20">
        <v>1240</v>
      </c>
      <c r="F571" s="21">
        <v>375</v>
      </c>
      <c r="G571" s="21" t="s">
        <v>177</v>
      </c>
      <c r="H571" s="21">
        <v>0.85</v>
      </c>
      <c r="I571" s="68">
        <f>MAX('Max rate concentrations'!$F$3:$F$368)</f>
        <v>405</v>
      </c>
      <c r="J571" s="68">
        <f>MAX('Max rate concentrations'!Y:Y)</f>
        <v>135</v>
      </c>
      <c r="K571" s="70">
        <f t="shared" si="62"/>
        <v>220.92967860646345</v>
      </c>
      <c r="L571" s="70">
        <f t="shared" si="63"/>
        <v>73.64322620215448</v>
      </c>
      <c r="M571" s="70">
        <f>IF((((0.326*F571^0.818)-(0.398*F571^0.85)/(1-H571)*H571)*(MAX('Max rate concentrations'!$P$3:$P$368)))/F571&gt;0, (((0.326*F571^0.818)-(0.398*F571^0.85)/(1-H571)*H571)*(MAX('Max rate concentrations'!$P$3:$P$368)))/F571, 0)</f>
        <v>0</v>
      </c>
      <c r="N571" s="70">
        <f>IF((((0.326*F571^0.818)-(0.398*F571^0.85)/(1-H571)*H571)*(MAX('Max rate concentrations'!$Q$3:$Q$368)))/F571&gt; 0, (((0.326*F571^0.818)-(0.398*F571^0.85)/(1-H571)*H571)*(MAX('Max rate concentrations'!$Q$3:$Q$368)))/F571, 0)</f>
        <v>0</v>
      </c>
      <c r="O571" s="70">
        <f>((MAX('Max rate concentrations'!$F$3:$F$368))*0.62*6.01*8*(12.3*F571^0.65)*0.079*0.1/F571)*inputs!$E$73/inputs!$E$74</f>
        <v>34.010289846614583</v>
      </c>
      <c r="P571" s="70">
        <f>((MAX('Max rate concentrations'!Y:Y))*0.62*6.01*8*(12.3*F571^0.65)*0.079*0.1/F571)*inputs!$E$73/inputs!$E$74</f>
        <v>11.336763282204862</v>
      </c>
      <c r="Q571" s="70">
        <f>(inputs!$C$18*11.2*(12.3*F571^0.65)*0.5/F571)*inputs!$E$73/inputs!$E$74</f>
        <v>5.9907521442933351</v>
      </c>
      <c r="R571" s="60">
        <f>(60*379*((F571/1000)^0.8)*3*24*(MAX('Max rate concentrations'!$R$3:$R$368))/F571)*(inputs!$E$73/inputs!$E$75)</f>
        <v>1.3431436237885412E-2</v>
      </c>
      <c r="S571" s="60">
        <f>(IF(inputs!$C$17="aerial",((0.025*0.112*inputs!$C$18/3.3)*(3*60*379*((F571/1000)^0.8))*MAX(inputs!$I$14:$I$16))/F571,((0.0083*0.112*inputs!$C$18/1)*(3*60*379*((F571/1000)^0.8))*MAX(inputs!$I$14:$I$16))/F571))*(inputs!E$75/inputs!$E$73)</f>
        <v>7.4075196056670914E-2</v>
      </c>
      <c r="T571" s="63">
        <f>IF((((inputs!$P$13/(V571/MAX(K571:S571)))^(1/inputs!$O$13))-1)/inputs!$N$13&lt;0, 0, IF((((inputs!$P$13/(V571/MAX(K571:S571)))^(1/inputs!$O$13))-1)/inputs!$N$13&lt;inputs!$I$17, (((inputs!$P$13/(V571/MAX(K571:S571)))^(1/inputs!$O$13))-1)/inputs!$N$13, inputs!$I$17))</f>
        <v>379.9968670372163</v>
      </c>
      <c r="U571" s="63">
        <f>IF((((inputs!$P$13/(X571/MAX(K571:S571)))^(1/inputs!$O$13))-1)/inputs!$N$13&lt;0, 0, IF((((inputs!$P$13/(X571/MAX(K571:S571)))^(1/inputs!$O$13))-1)/inputs!$N$13&lt;inputs!$I$17, (((inputs!$P$13/(X571/MAX(K571:S571)))^(1/inputs!$O$13))-1)/inputs!$N$13, inputs!$I$17))</f>
        <v>12.793103767677861</v>
      </c>
      <c r="V571" s="54">
        <f>inputs!$E$70*(inputs!$F$70/F571)^(0.25)</f>
        <v>1.1437382331281429</v>
      </c>
      <c r="W571" s="54">
        <f>inputs!$E$76*(inputs!$F$76/F571)^(0.25)</f>
        <v>0.3440148883801597</v>
      </c>
      <c r="X571" s="54">
        <f>inputs!$E$72*(inputs!$F$72/F571)^(0.25)</f>
        <v>50.459039696829841</v>
      </c>
      <c r="Y571" s="54" t="s">
        <v>13</v>
      </c>
      <c r="Z571" s="106">
        <f t="shared" si="58"/>
        <v>193.16454780235608</v>
      </c>
      <c r="AA571" s="106">
        <f t="shared" si="59"/>
        <v>642.20964286383219</v>
      </c>
    </row>
    <row r="572" spans="1:27" x14ac:dyDescent="0.25">
      <c r="A572" s="55" t="s">
        <v>570</v>
      </c>
      <c r="B572" s="49" t="s">
        <v>571</v>
      </c>
      <c r="C572" s="21" t="s">
        <v>61</v>
      </c>
      <c r="D572" s="20" t="s">
        <v>451</v>
      </c>
      <c r="E572" s="20">
        <v>55</v>
      </c>
      <c r="F572" s="21">
        <v>500</v>
      </c>
      <c r="G572" s="21" t="s">
        <v>169</v>
      </c>
      <c r="H572" s="21">
        <v>0.79</v>
      </c>
      <c r="I572" s="68">
        <f>MAX('Max rate concentrations'!$D$3:$D$368)</f>
        <v>720</v>
      </c>
      <c r="J572" s="68">
        <f>MAX('Max rate concentrations'!W:W)</f>
        <v>255</v>
      </c>
      <c r="K572" s="70">
        <f t="shared" si="62"/>
        <v>266.54123348761959</v>
      </c>
      <c r="L572" s="70">
        <f t="shared" si="63"/>
        <v>94.40002019353193</v>
      </c>
      <c r="M572" s="70">
        <f>IF((((0.326*F572^0.818)-(0.398*F572^0.85)/(1-H572)*H572)*(MAX('Max rate concentrations'!$P$3:$P$368)))/F572&gt;0, (((0.326*F572^0.818)-(0.398*F572^0.85)/(1-H572)*H572)*(MAX('Max rate concentrations'!$P$3:$P$368)))/F572, 0)</f>
        <v>0</v>
      </c>
      <c r="N572" s="70">
        <f>IF((((0.326*F572^0.818)-(0.398*F572^0.85)/(1-H572)*H572)*(MAX('Max rate concentrations'!$Q$3:$Q$368)))/F572&gt; 0, (((0.326*F572^0.818)-(0.398*F572^0.85)/(1-H572)*H572)*(MAX('Max rate concentrations'!$Q$3:$Q$368)))/F572, 0)</f>
        <v>0</v>
      </c>
      <c r="O572" s="70">
        <f>((MAX('Max rate concentrations'!$F$3:$F$368))*0.62*6.01*8*(12.3*F572^0.65)*0.079*0.1/F572)*inputs!$E$73/inputs!$E$74</f>
        <v>30.752595463833227</v>
      </c>
      <c r="P572" s="70">
        <f>((MAX('Max rate concentrations'!Y:Y))*0.62*6.01*8*(12.3*F572^0.65)*0.079*0.1/F572)*inputs!$E$73/inputs!$E$74</f>
        <v>10.250865154611077</v>
      </c>
      <c r="Q572" s="70">
        <f>(inputs!$C$18*11.2*(12.3*F572^0.65)*0.5/F572)*inputs!$E$73/inputs!$E$74</f>
        <v>5.4169246439363397</v>
      </c>
      <c r="R572" s="60">
        <f>(60*379*((F572/1000)^0.8)*3*24*(MAX('Max rate concentrations'!$R$3:$R$368))/F572)*(inputs!$E$73/inputs!$E$75)</f>
        <v>1.2680451210941402E-2</v>
      </c>
      <c r="S572" s="60">
        <f>(IF(inputs!$C$17="aerial",((0.025*0.112*inputs!$C$18/3.3)*(3*60*379*((F572/1000)^0.8))*MAX(inputs!$I$14:$I$16))/F572,((0.0083*0.112*inputs!$C$18/1)*(3*60*379*((F572/1000)^0.8))*MAX(inputs!$I$14:$I$16))/F572))*(inputs!E$75/inputs!$E$73)</f>
        <v>6.9933467493824383E-2</v>
      </c>
      <c r="T572" s="63">
        <f>IF((((inputs!$P$13/(V572/MAX(K572:S572)))^(1/inputs!$O$13))-1)/inputs!$N$13&lt;0, 0, IF((((inputs!$P$13/(V572/MAX(K572:S572)))^(1/inputs!$O$13))-1)/inputs!$N$13&lt;inputs!$I$17, (((inputs!$P$13/(V572/MAX(K572:S572)))^(1/inputs!$O$13))-1)/inputs!$N$13, inputs!$I$17))</f>
        <v>469.98420273643882</v>
      </c>
      <c r="U572" s="63">
        <f>IF((((inputs!$P$13/(X572/MAX(K572:S572)))^(1/inputs!$O$13))-1)/inputs!$N$13&lt;0, 0, IF((((inputs!$P$13/(X572/MAX(K572:S572)))^(1/inputs!$O$13))-1)/inputs!$N$13&lt;inputs!$I$17, (((inputs!$P$13/(X572/MAX(K572:S572)))^(1/inputs!$O$13))-1)/inputs!$N$13, inputs!$I$17))</f>
        <v>17.002642299828487</v>
      </c>
      <c r="V572" s="54">
        <f>inputs!$E$70*(inputs!$F$70/F572)^(0.25)</f>
        <v>1.0643683572898999</v>
      </c>
      <c r="W572" s="54">
        <f>inputs!$E$76*(inputs!$F$76/F572)^(0.25)</f>
        <v>0.32014192673004305</v>
      </c>
      <c r="X572" s="54">
        <f>inputs!$E$72*(inputs!$F$72/F572)^(0.25)</f>
        <v>46.957427527495589</v>
      </c>
      <c r="Y572" s="54" t="s">
        <v>13</v>
      </c>
      <c r="Z572" s="106">
        <f t="shared" si="58"/>
        <v>250.42198188443729</v>
      </c>
      <c r="AA572" s="106">
        <f t="shared" si="59"/>
        <v>832.57209141612441</v>
      </c>
    </row>
    <row r="573" spans="1:27" x14ac:dyDescent="0.25">
      <c r="A573" s="55" t="s">
        <v>570</v>
      </c>
      <c r="B573" s="49" t="s">
        <v>571</v>
      </c>
      <c r="C573" s="21" t="s">
        <v>61</v>
      </c>
      <c r="D573" s="20" t="s">
        <v>451</v>
      </c>
      <c r="E573" s="20">
        <v>55</v>
      </c>
      <c r="F573" s="21">
        <v>500</v>
      </c>
      <c r="G573" s="21" t="s">
        <v>177</v>
      </c>
      <c r="H573" s="21">
        <v>0.85</v>
      </c>
      <c r="I573" s="68">
        <f>MAX('Max rate concentrations'!$F$3:$F$368)</f>
        <v>405</v>
      </c>
      <c r="J573" s="68">
        <f>MAX('Max rate concentrations'!Y:Y)</f>
        <v>135</v>
      </c>
      <c r="K573" s="70">
        <f t="shared" si="62"/>
        <v>209.90122137150038</v>
      </c>
      <c r="L573" s="70">
        <f t="shared" si="63"/>
        <v>69.967073790500123</v>
      </c>
      <c r="M573" s="70">
        <f>IF((((0.326*F573^0.818)-(0.398*F573^0.85)/(1-H573)*H573)*(MAX('Max rate concentrations'!$P$3:$P$368)))/F573&gt;0, (((0.326*F573^0.818)-(0.398*F573^0.85)/(1-H573)*H573)*(MAX('Max rate concentrations'!$P$3:$P$368)))/F573, 0)</f>
        <v>0</v>
      </c>
      <c r="N573" s="70">
        <f>IF((((0.326*F573^0.818)-(0.398*F573^0.85)/(1-H573)*H573)*(MAX('Max rate concentrations'!$Q$3:$Q$368)))/F573&gt; 0, (((0.326*F573^0.818)-(0.398*F573^0.85)/(1-H573)*H573)*(MAX('Max rate concentrations'!$Q$3:$Q$368)))/F573, 0)</f>
        <v>0</v>
      </c>
      <c r="O573" s="70">
        <f>((MAX('Max rate concentrations'!$F$3:$F$368))*0.62*6.01*8*(12.3*F573^0.65)*0.079*0.1/F573)*inputs!$E$73/inputs!$E$74</f>
        <v>30.752595463833227</v>
      </c>
      <c r="P573" s="70">
        <f>((MAX('Max rate concentrations'!Y:Y))*0.62*6.01*8*(12.3*F573^0.65)*0.079*0.1/F573)*inputs!$E$73/inputs!$E$74</f>
        <v>10.250865154611077</v>
      </c>
      <c r="Q573" s="70">
        <f>(inputs!$C$18*11.2*(12.3*F573^0.65)*0.5/F573)*inputs!$E$73/inputs!$E$74</f>
        <v>5.4169246439363397</v>
      </c>
      <c r="R573" s="60">
        <f>(60*379*((F573/1000)^0.8)*3*24*(MAX('Max rate concentrations'!$R$3:$R$368))/F573)*(inputs!$E$73/inputs!$E$75)</f>
        <v>1.2680451210941402E-2</v>
      </c>
      <c r="S573" s="60">
        <f>(IF(inputs!$C$17="aerial",((0.025*0.112*inputs!$C$18/3.3)*(3*60*379*((F573/1000)^0.8))*MAX(inputs!$I$14:$I$16))/F573,((0.0083*0.112*inputs!$C$18/1)*(3*60*379*((F573/1000)^0.8))*MAX(inputs!$I$14:$I$16))/F573))*(inputs!E$75/inputs!$E$73)</f>
        <v>6.9933467493824383E-2</v>
      </c>
      <c r="T573" s="63">
        <f>IF((((inputs!$P$13/(V573/MAX(K573:S573)))^(1/inputs!$O$13))-1)/inputs!$N$13&lt;0, 0, IF((((inputs!$P$13/(V573/MAX(K573:S573)))^(1/inputs!$O$13))-1)/inputs!$N$13&lt;inputs!$I$17, (((inputs!$P$13/(V573/MAX(K573:S573)))^(1/inputs!$O$13))-1)/inputs!$N$13, inputs!$I$17))</f>
        <v>386.50373485701448</v>
      </c>
      <c r="U573" s="63">
        <f>IF((((inputs!$P$13/(X573/MAX(K573:S573)))^(1/inputs!$O$13))-1)/inputs!$N$13&lt;0, 0, IF((((inputs!$P$13/(X573/MAX(K573:S573)))^(1/inputs!$O$13))-1)/inputs!$N$13&lt;inputs!$I$17, (((inputs!$P$13/(X573/MAX(K573:S573)))^(1/inputs!$O$13))-1)/inputs!$N$13, inputs!$I$17))</f>
        <v>13.097490052683597</v>
      </c>
      <c r="V573" s="54">
        <f>inputs!$E$70*(inputs!$F$70/F573)^(0.25)</f>
        <v>1.0643683572898999</v>
      </c>
      <c r="W573" s="54">
        <f>inputs!$E$76*(inputs!$F$76/F573)^(0.25)</f>
        <v>0.32014192673004305</v>
      </c>
      <c r="X573" s="54">
        <f>inputs!$E$72*(inputs!$F$72/F573)^(0.25)</f>
        <v>46.957427527495589</v>
      </c>
      <c r="Y573" s="54" t="s">
        <v>13</v>
      </c>
      <c r="Z573" s="106">
        <f t="shared" si="58"/>
        <v>197.20731073399432</v>
      </c>
      <c r="AA573" s="106">
        <f t="shared" si="59"/>
        <v>655.65052199019783</v>
      </c>
    </row>
    <row r="574" spans="1:27" x14ac:dyDescent="0.25">
      <c r="A574" s="55" t="s">
        <v>544</v>
      </c>
      <c r="B574" s="49" t="s">
        <v>545</v>
      </c>
      <c r="C574" s="21" t="s">
        <v>61</v>
      </c>
      <c r="D574" s="20" t="s">
        <v>443</v>
      </c>
      <c r="E574" s="20">
        <v>41</v>
      </c>
      <c r="F574" s="21">
        <v>15</v>
      </c>
      <c r="G574" s="21" t="s">
        <v>182</v>
      </c>
      <c r="H574" s="21">
        <v>0.85</v>
      </c>
      <c r="I574" s="68">
        <f>MAX('Max rate concentrations'!$M$3:$M$368)</f>
        <v>17.092910873809167</v>
      </c>
      <c r="J574" s="68">
        <f>MAX('Max rate concentrations'!AE:AE)</f>
        <v>11.81956602976166</v>
      </c>
      <c r="K574" s="70">
        <f t="shared" ref="K574:K605" si="64">(((0.621*F574^0.564)/(1-H574)))*I574/F574</f>
        <v>21.729042046600661</v>
      </c>
      <c r="L574" s="70">
        <f t="shared" ref="L574:L605" si="65">(((0.621*F574^0.564)/(1-H574)))*J574/F574</f>
        <v>15.025401415202587</v>
      </c>
      <c r="M574" s="70">
        <f>IF((((0.326*F574^0.818)-(0.398*F574^0.85)/(1-H574)*H574)*(MAX('Max rate concentrations'!$P$3:$P$368)))/F574&gt;0, (((0.326*F574^0.818)-(0.398*F574^0.85)/(1-H574)*H574)*(MAX('Max rate concentrations'!$P$3:$P$368)))/F574, 0)</f>
        <v>0</v>
      </c>
      <c r="N574" s="70">
        <f>IF((((0.326*F574^0.818)-(0.398*F574^0.85)/(1-H574)*H574)*(MAX('Max rate concentrations'!$Q$3:$Q$368)))/F574&gt; 0, (((0.326*F574^0.818)-(0.398*F574^0.85)/(1-H574)*H574)*(MAX('Max rate concentrations'!$Q$3:$Q$368)))/F574, 0)</f>
        <v>0</v>
      </c>
      <c r="O574" s="70">
        <f>((MAX('Max rate concentrations'!$F$3:$F$368))*0.62*6.01*8*(12.3*F574^0.65)*0.079*0.1/F574)*inputs!$E$73/inputs!$E$74</f>
        <v>104.92750258141861</v>
      </c>
      <c r="P574" s="70">
        <f>((MAX('Max rate concentrations'!Y:Y))*0.62*6.01*8*(12.3*F574^0.65)*0.079*0.1/F574)*inputs!$E$73/inputs!$E$74</f>
        <v>34.9758341938062</v>
      </c>
      <c r="Q574" s="70">
        <f>(inputs!$C$18*11.2*(12.3*F574^0.65)*0.5/F574)*inputs!$E$73/inputs!$E$74</f>
        <v>18.482484680957491</v>
      </c>
      <c r="R574" s="60">
        <f>(60*379*((F574/1000)^0.8)*3*24*(MAX('Max rate concentrations'!$R$3:$R$368))/F574)*(inputs!$E$73/inputs!$E$75)</f>
        <v>2.5568806496861746E-2</v>
      </c>
      <c r="S574" s="60">
        <f>(IF(inputs!$C$17="aerial",((0.025*0.112*inputs!$C$18/3.3)*(3*60*379*((F574/1000)^0.8))*MAX(inputs!$I$14:$I$16))/F574,((0.0083*0.112*inputs!$C$18/1)*(3*60*379*((F574/1000)^0.8))*MAX(inputs!$I$14:$I$16))/F574))*(inputs!E$75/inputs!$E$73)</f>
        <v>0.14101353873443245</v>
      </c>
      <c r="T574" s="63">
        <f>IF((((inputs!$P$13/(V574/MAX(K574:S574)))^(1/inputs!$O$13))-1)/inputs!$N$13&lt;0, 0, IF((((inputs!$P$13/(V574/MAX(K574:S574)))^(1/inputs!$O$13))-1)/inputs!$N$13&lt;inputs!$I$17, (((inputs!$P$13/(V574/MAX(K574:S574)))^(1/inputs!$O$13))-1)/inputs!$N$13, inputs!$I$17))</f>
        <v>104.82537355984883</v>
      </c>
      <c r="U574" s="63">
        <f>IF((((inputs!$P$13/(X574/MAX(K574:S574)))^(1/inputs!$O$13))-1)/inputs!$N$13&lt;0, 0, IF((((inputs!$P$13/(X574/MAX(K574:S574)))^(1/inputs!$O$13))-1)/inputs!$N$13&lt;inputs!$I$17, (((inputs!$P$13/(X574/MAX(K574:S574)))^(1/inputs!$O$13))-1)/inputs!$N$13, inputs!$I$17))</f>
        <v>0</v>
      </c>
      <c r="V574" s="54">
        <f>inputs!$E$70*(inputs!$F$70/F574)^(0.25)</f>
        <v>2.5574764377400299</v>
      </c>
      <c r="W574" s="54">
        <f>inputs!$E$76*(inputs!$F$76/F574)^(0.25)</f>
        <v>0.76924067569003962</v>
      </c>
      <c r="X574" s="54">
        <f>inputs!$E$72*(inputs!$F$72/F574)^(0.25)</f>
        <v>112.82984284147192</v>
      </c>
      <c r="Y574" s="54" t="s">
        <v>13</v>
      </c>
      <c r="Z574" s="106">
        <f t="shared" si="58"/>
        <v>41.027749477191705</v>
      </c>
      <c r="AA574" s="106">
        <f t="shared" si="59"/>
        <v>136.40399669101538</v>
      </c>
    </row>
    <row r="575" spans="1:27" x14ac:dyDescent="0.25">
      <c r="A575" s="55" t="s">
        <v>544</v>
      </c>
      <c r="B575" s="49" t="s">
        <v>545</v>
      </c>
      <c r="C575" s="21" t="s">
        <v>61</v>
      </c>
      <c r="D575" s="20" t="s">
        <v>443</v>
      </c>
      <c r="E575" s="20">
        <v>41</v>
      </c>
      <c r="F575" s="21">
        <v>15</v>
      </c>
      <c r="G575" s="21" t="s">
        <v>142</v>
      </c>
      <c r="H575" s="21">
        <v>0.69</v>
      </c>
      <c r="I575" s="68">
        <f>MAX('Max rate concentrations'!$H$3:$H$368)</f>
        <v>282</v>
      </c>
      <c r="J575" s="68">
        <f>MAX('Max rate concentrations'!AA:AA)</f>
        <v>195</v>
      </c>
      <c r="K575" s="70">
        <f t="shared" si="64"/>
        <v>173.46155116527132</v>
      </c>
      <c r="L575" s="70">
        <f t="shared" si="65"/>
        <v>119.94681729513441</v>
      </c>
      <c r="M575" s="70">
        <f>IF((((0.326*F575^0.818)-(0.398*F575^0.85)/(1-H575)*H575)*(MAX('Max rate concentrations'!$P$3:$P$368)))/F575&gt;0, (((0.326*F575^0.818)-(0.398*F575^0.85)/(1-H575)*H575)*(MAX('Max rate concentrations'!$P$3:$P$368)))/F575, 0)</f>
        <v>0</v>
      </c>
      <c r="N575" s="70">
        <f>IF((((0.326*F575^0.818)-(0.398*F575^0.85)/(1-H575)*H575)*(MAX('Max rate concentrations'!$Q$3:$Q$368)))/F575&gt; 0, (((0.326*F575^0.818)-(0.398*F575^0.85)/(1-H575)*H575)*(MAX('Max rate concentrations'!$Q$3:$Q$368)))/F575, 0)</f>
        <v>0</v>
      </c>
      <c r="O575" s="70">
        <f>((MAX('Max rate concentrations'!$F$3:$F$368))*0.62*6.01*8*(12.3*F575^0.65)*0.079*0.1/F575)*inputs!$E$73/inputs!$E$74</f>
        <v>104.92750258141861</v>
      </c>
      <c r="P575" s="70">
        <f>((MAX('Max rate concentrations'!Y:Y))*0.62*6.01*8*(12.3*F575^0.65)*0.079*0.1/F575)*inputs!$E$73/inputs!$E$74</f>
        <v>34.9758341938062</v>
      </c>
      <c r="Q575" s="70">
        <f>(inputs!$C$18*11.2*(12.3*F575^0.65)*0.5/F575)*inputs!$E$73/inputs!$E$74</f>
        <v>18.482484680957491</v>
      </c>
      <c r="R575" s="60">
        <f>(60*379*((F575/1000)^0.8)*3*24*(MAX('Max rate concentrations'!$R$3:$R$368))/F575)*(inputs!$E$73/inputs!$E$75)</f>
        <v>2.5568806496861746E-2</v>
      </c>
      <c r="S575" s="60">
        <f>(IF(inputs!$C$17="aerial",((0.025*0.112*inputs!$C$18/3.3)*(3*60*379*((F575/1000)^0.8))*MAX(inputs!$I$14:$I$16))/F575,((0.0083*0.112*inputs!$C$18/1)*(3*60*379*((F575/1000)^0.8))*MAX(inputs!$I$14:$I$16))/F575))*(inputs!E$75/inputs!$E$73)</f>
        <v>0.14101353873443245</v>
      </c>
      <c r="T575" s="63">
        <f>IF((((inputs!$P$13/(V575/MAX(K575:S575)))^(1/inputs!$O$13))-1)/inputs!$N$13&lt;0, 0, IF((((inputs!$P$13/(V575/MAX(K575:S575)))^(1/inputs!$O$13))-1)/inputs!$N$13&lt;inputs!$I$17, (((inputs!$P$13/(V575/MAX(K575:S575)))^(1/inputs!$O$13))-1)/inputs!$N$13, inputs!$I$17))</f>
        <v>160.02380714494274</v>
      </c>
      <c r="U575" s="63">
        <f>IF((((inputs!$P$13/(X575/MAX(K575:S575)))^(1/inputs!$O$13))-1)/inputs!$N$13&lt;0, 0, IF((((inputs!$P$13/(X575/MAX(K575:S575)))^(1/inputs!$O$13))-1)/inputs!$N$13&lt;inputs!$I$17, (((inputs!$P$13/(X575/MAX(K575:S575)))^(1/inputs!$O$13))-1)/inputs!$N$13, inputs!$I$17))</f>
        <v>2.5029327735431672</v>
      </c>
      <c r="V575" s="54">
        <f>inputs!$E$70*(inputs!$F$70/F575)^(0.25)</f>
        <v>2.5574764377400299</v>
      </c>
      <c r="W575" s="54">
        <f>inputs!$E$76*(inputs!$F$76/F575)^(0.25)</f>
        <v>0.76924067569003962</v>
      </c>
      <c r="X575" s="54">
        <f>inputs!$E$72*(inputs!$F$72/F575)^(0.25)</f>
        <v>112.82984284147192</v>
      </c>
      <c r="Y575" s="54" t="s">
        <v>13</v>
      </c>
      <c r="Z575" s="106">
        <f t="shared" si="58"/>
        <v>67.82527831167603</v>
      </c>
      <c r="AA575" s="106">
        <f t="shared" si="59"/>
        <v>225.4971124735043</v>
      </c>
    </row>
    <row r="576" spans="1:27" x14ac:dyDescent="0.25">
      <c r="A576" s="55" t="s">
        <v>544</v>
      </c>
      <c r="B576" s="49" t="s">
        <v>545</v>
      </c>
      <c r="C576" s="21" t="s">
        <v>61</v>
      </c>
      <c r="D576" s="20" t="s">
        <v>443</v>
      </c>
      <c r="E576" s="20">
        <v>41</v>
      </c>
      <c r="F576" s="21">
        <v>15</v>
      </c>
      <c r="G576" s="21" t="s">
        <v>152</v>
      </c>
      <c r="H576" s="21">
        <v>0.77</v>
      </c>
      <c r="I576" s="68">
        <f>MAX('Max rate concentrations'!$G$3:$G$368)</f>
        <v>45</v>
      </c>
      <c r="J576" s="68">
        <f>MAX('Max rate concentrations'!Z:Z)</f>
        <v>21</v>
      </c>
      <c r="K576" s="70">
        <f t="shared" si="64"/>
        <v>37.307872937951515</v>
      </c>
      <c r="L576" s="70">
        <f t="shared" si="65"/>
        <v>17.410340704377372</v>
      </c>
      <c r="M576" s="70">
        <f>IF((((0.326*F576^0.818)-(0.398*F576^0.85)/(1-H576)*H576)*(MAX('Max rate concentrations'!$P$3:$P$368)))/F576&gt;0, (((0.326*F576^0.818)-(0.398*F576^0.85)/(1-H576)*H576)*(MAX('Max rate concentrations'!$P$3:$P$368)))/F576, 0)</f>
        <v>0</v>
      </c>
      <c r="N576" s="70">
        <f>IF((((0.326*F576^0.818)-(0.398*F576^0.85)/(1-H576)*H576)*(MAX('Max rate concentrations'!$Q$3:$Q$368)))/F576&gt; 0, (((0.326*F576^0.818)-(0.398*F576^0.85)/(1-H576)*H576)*(MAX('Max rate concentrations'!$Q$3:$Q$368)))/F576, 0)</f>
        <v>0</v>
      </c>
      <c r="O576" s="70">
        <f>((MAX('Max rate concentrations'!$F$3:$F$368))*0.62*6.01*8*(12.3*F576^0.65)*0.079*0.1/F576)*inputs!$E$73/inputs!$E$74</f>
        <v>104.92750258141861</v>
      </c>
      <c r="P576" s="70">
        <f>((MAX('Max rate concentrations'!Y:Y))*0.62*6.01*8*(12.3*F576^0.65)*0.079*0.1/F576)*inputs!$E$73/inputs!$E$74</f>
        <v>34.9758341938062</v>
      </c>
      <c r="Q576" s="70">
        <f>(inputs!$C$18*11.2*(12.3*F576^0.65)*0.5/F576)*inputs!$E$73/inputs!$E$74</f>
        <v>18.482484680957491</v>
      </c>
      <c r="R576" s="60">
        <f>(60*379*((F576/1000)^0.8)*3*24*(MAX('Max rate concentrations'!$R$3:$R$368))/F576)*(inputs!$E$73/inputs!$E$75)</f>
        <v>2.5568806496861746E-2</v>
      </c>
      <c r="S576" s="60">
        <f>(IF(inputs!$C$17="aerial",((0.025*0.112*inputs!$C$18/3.3)*(3*60*379*((F576/1000)^0.8))*MAX(inputs!$I$14:$I$16))/F576,((0.0083*0.112*inputs!$C$18/1)*(3*60*379*((F576/1000)^0.8))*MAX(inputs!$I$14:$I$16))/F576))*(inputs!E$75/inputs!$E$73)</f>
        <v>0.14101353873443245</v>
      </c>
      <c r="T576" s="63">
        <f>IF((((inputs!$P$13/(V576/MAX(K576:S576)))^(1/inputs!$O$13))-1)/inputs!$N$13&lt;0, 0, IF((((inputs!$P$13/(V576/MAX(K576:S576)))^(1/inputs!$O$13))-1)/inputs!$N$13&lt;inputs!$I$17, (((inputs!$P$13/(V576/MAX(K576:S576)))^(1/inputs!$O$13))-1)/inputs!$N$13, inputs!$I$17))</f>
        <v>104.82537355984883</v>
      </c>
      <c r="U576" s="63">
        <f>IF((((inputs!$P$13/(X576/MAX(K576:S576)))^(1/inputs!$O$13))-1)/inputs!$N$13&lt;0, 0, IF((((inputs!$P$13/(X576/MAX(K576:S576)))^(1/inputs!$O$13))-1)/inputs!$N$13&lt;inputs!$I$17, (((inputs!$P$13/(X576/MAX(K576:S576)))^(1/inputs!$O$13))-1)/inputs!$N$13, inputs!$I$17))</f>
        <v>0</v>
      </c>
      <c r="V576" s="54">
        <f>inputs!$E$70*(inputs!$F$70/F576)^(0.25)</f>
        <v>2.5574764377400299</v>
      </c>
      <c r="W576" s="54">
        <f>inputs!$E$76*(inputs!$F$76/F576)^(0.25)</f>
        <v>0.76924067569003962</v>
      </c>
      <c r="X576" s="54">
        <f>inputs!$E$72*(inputs!$F$72/F576)^(0.25)</f>
        <v>112.82984284147192</v>
      </c>
      <c r="Y576" s="54" t="s">
        <v>13</v>
      </c>
      <c r="Z576" s="106">
        <f t="shared" si="58"/>
        <v>41.027749477191705</v>
      </c>
      <c r="AA576" s="106">
        <f t="shared" si="59"/>
        <v>136.40399669101538</v>
      </c>
    </row>
    <row r="577" spans="1:27" x14ac:dyDescent="0.25">
      <c r="A577" s="55" t="s">
        <v>544</v>
      </c>
      <c r="B577" s="49" t="s">
        <v>545</v>
      </c>
      <c r="C577" s="21" t="s">
        <v>61</v>
      </c>
      <c r="D577" s="20" t="s">
        <v>443</v>
      </c>
      <c r="E577" s="20">
        <v>41</v>
      </c>
      <c r="F577" s="21">
        <v>15</v>
      </c>
      <c r="G577" s="21" t="s">
        <v>169</v>
      </c>
      <c r="H577" s="21">
        <v>0.79</v>
      </c>
      <c r="I577" s="68">
        <f>MAX('Max rate concentrations'!$D$3:$D$368)</f>
        <v>720</v>
      </c>
      <c r="J577" s="68">
        <f>MAX('Max rate concentrations'!W:W)</f>
        <v>255</v>
      </c>
      <c r="K577" s="70">
        <f t="shared" si="64"/>
        <v>653.77605910315049</v>
      </c>
      <c r="L577" s="70">
        <f t="shared" si="65"/>
        <v>231.54568759903245</v>
      </c>
      <c r="M577" s="70">
        <f>IF((((0.326*F577^0.818)-(0.398*F577^0.85)/(1-H577)*H577)*(MAX('Max rate concentrations'!$P$3:$P$368)))/F577&gt;0, (((0.326*F577^0.818)-(0.398*F577^0.85)/(1-H577)*H577)*(MAX('Max rate concentrations'!$P$3:$P$368)))/F577, 0)</f>
        <v>0</v>
      </c>
      <c r="N577" s="70">
        <f>IF((((0.326*F577^0.818)-(0.398*F577^0.85)/(1-H577)*H577)*(MAX('Max rate concentrations'!$Q$3:$Q$368)))/F577&gt; 0, (((0.326*F577^0.818)-(0.398*F577^0.85)/(1-H577)*H577)*(MAX('Max rate concentrations'!$Q$3:$Q$368)))/F577, 0)</f>
        <v>0</v>
      </c>
      <c r="O577" s="70">
        <f>((MAX('Max rate concentrations'!$F$3:$F$368))*0.62*6.01*8*(12.3*F577^0.65)*0.079*0.1/F577)*inputs!$E$73/inputs!$E$74</f>
        <v>104.92750258141861</v>
      </c>
      <c r="P577" s="70">
        <f>((MAX('Max rate concentrations'!Y:Y))*0.62*6.01*8*(12.3*F577^0.65)*0.079*0.1/F577)*inputs!$E$73/inputs!$E$74</f>
        <v>34.9758341938062</v>
      </c>
      <c r="Q577" s="70">
        <f>(inputs!$C$18*11.2*(12.3*F577^0.65)*0.5/F577)*inputs!$E$73/inputs!$E$74</f>
        <v>18.482484680957491</v>
      </c>
      <c r="R577" s="60">
        <f>(60*379*((F577/1000)^0.8)*3*24*(MAX('Max rate concentrations'!$R$3:$R$368))/F577)*(inputs!$E$73/inputs!$E$75)</f>
        <v>2.5568806496861746E-2</v>
      </c>
      <c r="S577" s="60">
        <f>(IF(inputs!$C$17="aerial",((0.025*0.112*inputs!$C$18/3.3)*(3*60*379*((F577/1000)^0.8))*MAX(inputs!$I$14:$I$16))/F577,((0.0083*0.112*inputs!$C$18/1)*(3*60*379*((F577/1000)^0.8))*MAX(inputs!$I$14:$I$16))/F577))*(inputs!E$75/inputs!$E$73)</f>
        <v>0.14101353873443245</v>
      </c>
      <c r="T577" s="63">
        <f>IF((((inputs!$P$13/(V577/MAX(K577:S577)))^(1/inputs!$O$13))-1)/inputs!$N$13&lt;0, 0, IF((((inputs!$P$13/(V577/MAX(K577:S577)))^(1/inputs!$O$13))-1)/inputs!$N$13&lt;inputs!$I$17, (((inputs!$P$13/(V577/MAX(K577:S577)))^(1/inputs!$O$13))-1)/inputs!$N$13, inputs!$I$17))</f>
        <v>477.96547013985492</v>
      </c>
      <c r="U577" s="63">
        <f>IF((((inputs!$P$13/(X577/MAX(K577:S577)))^(1/inputs!$O$13))-1)/inputs!$N$13&lt;0, 0, IF((((inputs!$P$13/(X577/MAX(K577:S577)))^(1/inputs!$O$13))-1)/inputs!$N$13&lt;inputs!$I$17, (((inputs!$P$13/(X577/MAX(K577:S577)))^(1/inputs!$O$13))-1)/inputs!$N$13, inputs!$I$17))</f>
        <v>17.375999866301779</v>
      </c>
      <c r="V577" s="54">
        <f>inputs!$E$70*(inputs!$F$70/F577)^(0.25)</f>
        <v>2.5574764377400299</v>
      </c>
      <c r="W577" s="54">
        <f>inputs!$E$76*(inputs!$F$76/F577)^(0.25)</f>
        <v>0.76924067569003962</v>
      </c>
      <c r="X577" s="54">
        <f>inputs!$E$72*(inputs!$F$72/F577)^(0.25)</f>
        <v>112.82984284147192</v>
      </c>
      <c r="Y577" s="54" t="s">
        <v>13</v>
      </c>
      <c r="Z577" s="106">
        <f t="shared" si="58"/>
        <v>255.63326780084591</v>
      </c>
      <c r="AA577" s="106">
        <f t="shared" si="59"/>
        <v>849.8979315110804</v>
      </c>
    </row>
    <row r="578" spans="1:27" x14ac:dyDescent="0.25">
      <c r="A578" s="55" t="s">
        <v>544</v>
      </c>
      <c r="B578" s="49" t="s">
        <v>545</v>
      </c>
      <c r="C578" s="21" t="s">
        <v>61</v>
      </c>
      <c r="D578" s="20" t="s">
        <v>443</v>
      </c>
      <c r="E578" s="20">
        <v>41</v>
      </c>
      <c r="F578" s="21">
        <v>15</v>
      </c>
      <c r="G578" s="21" t="s">
        <v>177</v>
      </c>
      <c r="H578" s="21">
        <v>0.85</v>
      </c>
      <c r="I578" s="68">
        <f>MAX('Max rate concentrations'!$F$3:$F$368)</f>
        <v>405</v>
      </c>
      <c r="J578" s="68">
        <f>MAX('Max rate concentrations'!Y:Y)</f>
        <v>135</v>
      </c>
      <c r="K578" s="70">
        <f t="shared" si="64"/>
        <v>514.84864654373075</v>
      </c>
      <c r="L578" s="70">
        <f t="shared" si="65"/>
        <v>171.61621551457694</v>
      </c>
      <c r="M578" s="70">
        <f>IF((((0.326*F578^0.818)-(0.398*F578^0.85)/(1-H578)*H578)*(MAX('Max rate concentrations'!$P$3:$P$368)))/F578&gt;0, (((0.326*F578^0.818)-(0.398*F578^0.85)/(1-H578)*H578)*(MAX('Max rate concentrations'!$P$3:$P$368)))/F578, 0)</f>
        <v>0</v>
      </c>
      <c r="N578" s="70">
        <f>IF((((0.326*F578^0.818)-(0.398*F578^0.85)/(1-H578)*H578)*(MAX('Max rate concentrations'!$Q$3:$Q$368)))/F578&gt; 0, (((0.326*F578^0.818)-(0.398*F578^0.85)/(1-H578)*H578)*(MAX('Max rate concentrations'!$Q$3:$Q$368)))/F578, 0)</f>
        <v>0</v>
      </c>
      <c r="O578" s="70">
        <f>((MAX('Max rate concentrations'!$F$3:$F$368))*0.62*6.01*8*(12.3*F578^0.65)*0.079*0.1/F578)*inputs!$E$73/inputs!$E$74</f>
        <v>104.92750258141861</v>
      </c>
      <c r="P578" s="70">
        <f>((MAX('Max rate concentrations'!Y:Y))*0.62*6.01*8*(12.3*F578^0.65)*0.079*0.1/F578)*inputs!$E$73/inputs!$E$74</f>
        <v>34.9758341938062</v>
      </c>
      <c r="Q578" s="70">
        <f>(inputs!$C$18*11.2*(12.3*F578^0.65)*0.5/F578)*inputs!$E$73/inputs!$E$74</f>
        <v>18.482484680957491</v>
      </c>
      <c r="R578" s="60">
        <f>(60*379*((F578/1000)^0.8)*3*24*(MAX('Max rate concentrations'!$R$3:$R$368))/F578)*(inputs!$E$73/inputs!$E$75)</f>
        <v>2.5568806496861746E-2</v>
      </c>
      <c r="S578" s="60">
        <f>(IF(inputs!$C$17="aerial",((0.025*0.112*inputs!$C$18/3.3)*(3*60*379*((F578/1000)^0.8))*MAX(inputs!$I$14:$I$16))/F578,((0.0083*0.112*inputs!$C$18/1)*(3*60*379*((F578/1000)^0.8))*MAX(inputs!$I$14:$I$16))/F578))*(inputs!E$75/inputs!$E$73)</f>
        <v>0.14101353873443245</v>
      </c>
      <c r="T578" s="63">
        <f>IF((((inputs!$P$13/(V578/MAX(K578:S578)))^(1/inputs!$O$13))-1)/inputs!$N$13&lt;0, 0, IF((((inputs!$P$13/(V578/MAX(K578:S578)))^(1/inputs!$O$13))-1)/inputs!$N$13&lt;inputs!$I$17, (((inputs!$P$13/(V578/MAX(K578:S578)))^(1/inputs!$O$13))-1)/inputs!$N$13, inputs!$I$17))</f>
        <v>393.08293222437743</v>
      </c>
      <c r="U578" s="63">
        <f>IF((((inputs!$P$13/(X578/MAX(K578:S578)))^(1/inputs!$O$13))-1)/inputs!$N$13&lt;0, 0, IF((((inputs!$P$13/(X578/MAX(K578:S578)))^(1/inputs!$O$13))-1)/inputs!$N$13&lt;inputs!$I$17, (((inputs!$P$13/(X578/MAX(K578:S578)))^(1/inputs!$O$13))-1)/inputs!$N$13, inputs!$I$17))</f>
        <v>13.405259858438381</v>
      </c>
      <c r="V578" s="54">
        <f>inputs!$E$70*(inputs!$F$70/F578)^(0.25)</f>
        <v>2.5574764377400299</v>
      </c>
      <c r="W578" s="54">
        <f>inputs!$E$76*(inputs!$F$76/F578)^(0.25)</f>
        <v>0.76924067569003962</v>
      </c>
      <c r="X578" s="54">
        <f>inputs!$E$72*(inputs!$F$72/F578)^(0.25)</f>
        <v>112.82984284147192</v>
      </c>
      <c r="Y578" s="54" t="s">
        <v>13</v>
      </c>
      <c r="Z578" s="106">
        <f t="shared" si="58"/>
        <v>201.31119839316605</v>
      </c>
      <c r="AA578" s="106">
        <f t="shared" si="59"/>
        <v>669.29462106497544</v>
      </c>
    </row>
    <row r="579" spans="1:27" x14ac:dyDescent="0.25">
      <c r="A579" s="55" t="s">
        <v>544</v>
      </c>
      <c r="B579" s="49" t="s">
        <v>545</v>
      </c>
      <c r="C579" s="21" t="s">
        <v>61</v>
      </c>
      <c r="D579" s="20" t="s">
        <v>443</v>
      </c>
      <c r="E579" s="20">
        <v>41</v>
      </c>
      <c r="F579" s="21">
        <v>15</v>
      </c>
      <c r="G579" s="21" t="s">
        <v>456</v>
      </c>
      <c r="H579" s="21">
        <v>0.68</v>
      </c>
      <c r="I579" s="68">
        <f>MAX('Max rate concentrations'!$J$3:$J$368)</f>
        <v>686.46486205830786</v>
      </c>
      <c r="J579" s="68">
        <f>MAX('Max rate concentrations'!AB:AB)</f>
        <v>243.122971978984</v>
      </c>
      <c r="K579" s="70">
        <f t="shared" si="64"/>
        <v>409.05729760480182</v>
      </c>
      <c r="L579" s="70">
        <f t="shared" si="65"/>
        <v>144.87445956836729</v>
      </c>
      <c r="M579" s="70">
        <f>IF((((0.326*F579^0.818)-(0.398*F579^0.85)/(1-H579)*H579)*(MAX('Max rate concentrations'!$P$3:$P$368)))/F579&gt;0, (((0.326*F579^0.818)-(0.398*F579^0.85)/(1-H579)*H579)*(MAX('Max rate concentrations'!$P$3:$P$368)))/F579, 0)</f>
        <v>0</v>
      </c>
      <c r="N579" s="70">
        <f>IF((((0.326*F579^0.818)-(0.398*F579^0.85)/(1-H579)*H579)*(MAX('Max rate concentrations'!$Q$3:$Q$368)))/F579&gt; 0, (((0.326*F579^0.818)-(0.398*F579^0.85)/(1-H579)*H579)*(MAX('Max rate concentrations'!$Q$3:$Q$368)))/F579, 0)</f>
        <v>0</v>
      </c>
      <c r="O579" s="70">
        <f>((MAX('Max rate concentrations'!$F$3:$F$368))*0.62*6.01*8*(12.3*F579^0.65)*0.079*0.1/F579)*inputs!$E$73/inputs!$E$74</f>
        <v>104.92750258141861</v>
      </c>
      <c r="P579" s="70">
        <f>((MAX('Max rate concentrations'!Y:Y))*0.62*6.01*8*(12.3*F579^0.65)*0.079*0.1/F579)*inputs!$E$73/inputs!$E$74</f>
        <v>34.9758341938062</v>
      </c>
      <c r="Q579" s="70">
        <f>(inputs!$C$18*11.2*(12.3*F579^0.65)*0.5/F579)*inputs!$E$73/inputs!$E$74</f>
        <v>18.482484680957491</v>
      </c>
      <c r="R579" s="60">
        <f>(60*379*((F579/1000)^0.8)*3*24*(MAX('Max rate concentrations'!$R$3:$R$368))/F579)*(inputs!$E$73/inputs!$E$75)</f>
        <v>2.5568806496861746E-2</v>
      </c>
      <c r="S579" s="60">
        <f>(IF(inputs!$C$17="aerial",((0.025*0.112*inputs!$C$18/3.3)*(3*60*379*((F579/1000)^0.8))*MAX(inputs!$I$14:$I$16))/F579,((0.0083*0.112*inputs!$C$18/1)*(3*60*379*((F579/1000)^0.8))*MAX(inputs!$I$14:$I$16))/F579))*(inputs!E$75/inputs!$E$73)</f>
        <v>0.14101353873443245</v>
      </c>
      <c r="T579" s="63">
        <f>IF((((inputs!$P$13/(V579/MAX(K579:S579)))^(1/inputs!$O$13))-1)/inputs!$N$13&lt;0, 0, IF((((inputs!$P$13/(V579/MAX(K579:S579)))^(1/inputs!$O$13))-1)/inputs!$N$13&lt;inputs!$I$17, (((inputs!$P$13/(V579/MAX(K579:S579)))^(1/inputs!$O$13))-1)/inputs!$N$13, inputs!$I$17))</f>
        <v>325.47644405914184</v>
      </c>
      <c r="U579" s="63">
        <f>IF((((inputs!$P$13/(X579/MAX(K579:S579)))^(1/inputs!$O$13))-1)/inputs!$N$13&lt;0, 0, IF((((inputs!$P$13/(X579/MAX(K579:S579)))^(1/inputs!$O$13))-1)/inputs!$N$13&lt;inputs!$I$17, (((inputs!$P$13/(X579/MAX(K579:S579)))^(1/inputs!$O$13))-1)/inputs!$N$13, inputs!$I$17))</f>
        <v>10.24268020493939</v>
      </c>
      <c r="V579" s="54">
        <f>inputs!$E$70*(inputs!$F$70/F579)^(0.25)</f>
        <v>2.5574764377400299</v>
      </c>
      <c r="W579" s="54">
        <f>inputs!$E$76*(inputs!$F$76/F579)^(0.25)</f>
        <v>0.76924067569003962</v>
      </c>
      <c r="X579" s="54">
        <f>inputs!$E$72*(inputs!$F$72/F579)^(0.25)</f>
        <v>112.82984284147192</v>
      </c>
      <c r="Y579" s="54" t="s">
        <v>13</v>
      </c>
      <c r="Z579" s="106">
        <f t="shared" si="58"/>
        <v>159.94567596731184</v>
      </c>
      <c r="AA579" s="106">
        <f t="shared" si="59"/>
        <v>531.76763857145374</v>
      </c>
    </row>
    <row r="580" spans="1:27" x14ac:dyDescent="0.25">
      <c r="A580" s="55" t="s">
        <v>544</v>
      </c>
      <c r="B580" s="49" t="s">
        <v>545</v>
      </c>
      <c r="C580" s="21" t="s">
        <v>61</v>
      </c>
      <c r="D580" s="20" t="s">
        <v>443</v>
      </c>
      <c r="E580" s="20">
        <v>41</v>
      </c>
      <c r="F580" s="21">
        <v>15</v>
      </c>
      <c r="G580" s="21" t="s">
        <v>145</v>
      </c>
      <c r="H580" s="21">
        <v>0.66</v>
      </c>
      <c r="I580" s="68">
        <f>MAX('Max rate concentrations'!$M$3:$M$368)</f>
        <v>17.092910873809167</v>
      </c>
      <c r="J580" s="68">
        <f>MAX('Max rate concentrations'!AE:AE)</f>
        <v>11.81956602976166</v>
      </c>
      <c r="K580" s="70">
        <f t="shared" si="64"/>
        <v>9.5863420793826482</v>
      </c>
      <c r="L580" s="70">
        <f t="shared" si="65"/>
        <v>6.628853565530556</v>
      </c>
      <c r="M580" s="70">
        <f>IF((((0.326*F580^0.818)-(0.398*F580^0.85)/(1-H580)*H580)*(MAX('Max rate concentrations'!$P$3:$P$368)))/F580&gt;0, (((0.326*F580^0.818)-(0.398*F580^0.85)/(1-H580)*H580)*(MAX('Max rate concentrations'!$P$3:$P$368)))/F580, 0)</f>
        <v>0</v>
      </c>
      <c r="N580" s="70">
        <f>IF((((0.326*F580^0.818)-(0.398*F580^0.85)/(1-H580)*H580)*(MAX('Max rate concentrations'!$Q$3:$Q$368)))/F580&gt; 0, (((0.326*F580^0.818)-(0.398*F580^0.85)/(1-H580)*H580)*(MAX('Max rate concentrations'!$Q$3:$Q$368)))/F580, 0)</f>
        <v>0</v>
      </c>
      <c r="O580" s="70">
        <f>((MAX('Max rate concentrations'!$F$3:$F$368))*0.62*6.01*8*(12.3*F580^0.65)*0.079*0.1/F580)*inputs!$E$73/inputs!$E$74</f>
        <v>104.92750258141861</v>
      </c>
      <c r="P580" s="70">
        <f>((MAX('Max rate concentrations'!Y:Y))*0.62*6.01*8*(12.3*F580^0.65)*0.079*0.1/F580)*inputs!$E$73/inputs!$E$74</f>
        <v>34.9758341938062</v>
      </c>
      <c r="Q580" s="70">
        <f>(inputs!$C$18*11.2*(12.3*F580^0.65)*0.5/F580)*inputs!$E$73/inputs!$E$74</f>
        <v>18.482484680957491</v>
      </c>
      <c r="R580" s="60">
        <f>(60*379*((F580/1000)^0.8)*3*24*(MAX('Max rate concentrations'!$R$3:$R$368))/F580)*(inputs!$E$73/inputs!$E$75)</f>
        <v>2.5568806496861746E-2</v>
      </c>
      <c r="S580" s="60">
        <f>(IF(inputs!$C$17="aerial",((0.025*0.112*inputs!$C$18/3.3)*(3*60*379*((F580/1000)^0.8))*MAX(inputs!$I$14:$I$16))/F580,((0.0083*0.112*inputs!$C$18/1)*(3*60*379*((F580/1000)^0.8))*MAX(inputs!$I$14:$I$16))/F580))*(inputs!E$75/inputs!$E$73)</f>
        <v>0.14101353873443245</v>
      </c>
      <c r="T580" s="63">
        <f>IF((((inputs!$P$13/(V580/MAX(K580:S580)))^(1/inputs!$O$13))-1)/inputs!$N$13&lt;0, 0, IF((((inputs!$P$13/(V580/MAX(K580:S580)))^(1/inputs!$O$13))-1)/inputs!$N$13&lt;inputs!$I$17, (((inputs!$P$13/(V580/MAX(K580:S580)))^(1/inputs!$O$13))-1)/inputs!$N$13, inputs!$I$17))</f>
        <v>104.82537355984883</v>
      </c>
      <c r="U580" s="63">
        <f>IF((((inputs!$P$13/(X580/MAX(K580:S580)))^(1/inputs!$O$13))-1)/inputs!$N$13&lt;0, 0, IF((((inputs!$P$13/(X580/MAX(K580:S580)))^(1/inputs!$O$13))-1)/inputs!$N$13&lt;inputs!$I$17, (((inputs!$P$13/(X580/MAX(K580:S580)))^(1/inputs!$O$13))-1)/inputs!$N$13, inputs!$I$17))</f>
        <v>0</v>
      </c>
      <c r="V580" s="54">
        <f>inputs!$E$70*(inputs!$F$70/F580)^(0.25)</f>
        <v>2.5574764377400299</v>
      </c>
      <c r="W580" s="54">
        <f>inputs!$E$76*(inputs!$F$76/F580)^(0.25)</f>
        <v>0.76924067569003962</v>
      </c>
      <c r="X580" s="54">
        <f>inputs!$E$72*(inputs!$F$72/F580)^(0.25)</f>
        <v>112.82984284147192</v>
      </c>
      <c r="Y580" s="54" t="s">
        <v>13</v>
      </c>
      <c r="Z580" s="106">
        <f t="shared" ref="Z580:Z643" si="66">MAX(K580:S580)/V580</f>
        <v>41.027749477191705</v>
      </c>
      <c r="AA580" s="106">
        <f t="shared" ref="AA580:AA643" si="67">MAX(K580:S580)/W580</f>
        <v>136.40399669101538</v>
      </c>
    </row>
    <row r="581" spans="1:27" x14ac:dyDescent="0.25">
      <c r="A581" s="55" t="s">
        <v>544</v>
      </c>
      <c r="B581" s="49" t="s">
        <v>545</v>
      </c>
      <c r="C581" s="21" t="s">
        <v>61</v>
      </c>
      <c r="D581" s="20" t="s">
        <v>443</v>
      </c>
      <c r="E581" s="20">
        <v>41</v>
      </c>
      <c r="F581" s="21">
        <v>15</v>
      </c>
      <c r="G581" s="21" t="s">
        <v>154</v>
      </c>
      <c r="H581" s="21">
        <v>9.2999999999999999E-2</v>
      </c>
      <c r="I581" s="68">
        <f>MAX('Max rate concentrations'!$G$3:$G$368)</f>
        <v>45</v>
      </c>
      <c r="J581" s="68">
        <f>MAX('Max rate concentrations'!Z:Z)</f>
        <v>21</v>
      </c>
      <c r="K581" s="70">
        <f t="shared" si="64"/>
        <v>9.4606513514099753</v>
      </c>
      <c r="L581" s="70">
        <f t="shared" si="65"/>
        <v>4.4149706306579883</v>
      </c>
      <c r="M581" s="70">
        <f>IF((((0.326*F581^0.818)-(0.398*F581^0.85)/(1-H581)*H581)*(MAX('Max rate concentrations'!$P$3:$P$368)))/F581&gt;0, (((0.326*F581^0.818)-(0.398*F581^0.85)/(1-H581)*H581)*(MAX('Max rate concentrations'!$P$3:$P$368)))/F581, 0)</f>
        <v>0.1497569099960554</v>
      </c>
      <c r="N581" s="70">
        <f>IF((((0.326*F581^0.818)-(0.398*F581^0.85)/(1-H581)*H581)*(MAX('Max rate concentrations'!$Q$3:$Q$368)))/F581&gt; 0, (((0.326*F581^0.818)-(0.398*F581^0.85)/(1-H581)*H581)*(MAX('Max rate concentrations'!$Q$3:$Q$368)))/F581, 0)</f>
        <v>0.57028235995611254</v>
      </c>
      <c r="O581" s="70">
        <f>((MAX('Max rate concentrations'!$F$3:$F$368))*0.62*6.01*8*(12.3*F581^0.65)*0.079*0.1/F581)*inputs!$E$73/inputs!$E$74</f>
        <v>104.92750258141861</v>
      </c>
      <c r="P581" s="70">
        <f>((MAX('Max rate concentrations'!Y:Y))*0.62*6.01*8*(12.3*F581^0.65)*0.079*0.1/F581)*inputs!$E$73/inputs!$E$74</f>
        <v>34.9758341938062</v>
      </c>
      <c r="Q581" s="70">
        <f>(inputs!$C$18*11.2*(12.3*F581^0.65)*0.5/F581)*inputs!$E$73/inputs!$E$74</f>
        <v>18.482484680957491</v>
      </c>
      <c r="R581" s="60">
        <f>(60*379*((F581/1000)^0.8)*3*24*(MAX('Max rate concentrations'!$R$3:$R$368))/F581)*(inputs!$E$73/inputs!$E$75)</f>
        <v>2.5568806496861746E-2</v>
      </c>
      <c r="S581" s="60">
        <f>(IF(inputs!$C$17="aerial",((0.025*0.112*inputs!$C$18/3.3)*(3*60*379*((F581/1000)^0.8))*MAX(inputs!$I$14:$I$16))/F581,((0.0083*0.112*inputs!$C$18/1)*(3*60*379*((F581/1000)^0.8))*MAX(inputs!$I$14:$I$16))/F581))*(inputs!E$75/inputs!$E$73)</f>
        <v>0.14101353873443245</v>
      </c>
      <c r="T581" s="63">
        <f>IF((((inputs!$P$13/(V581/MAX(K581:S581)))^(1/inputs!$O$13))-1)/inputs!$N$13&lt;0, 0, IF((((inputs!$P$13/(V581/MAX(K581:S581)))^(1/inputs!$O$13))-1)/inputs!$N$13&lt;inputs!$I$17, (((inputs!$P$13/(V581/MAX(K581:S581)))^(1/inputs!$O$13))-1)/inputs!$N$13, inputs!$I$17))</f>
        <v>104.82537355984883</v>
      </c>
      <c r="U581" s="63">
        <f>IF((((inputs!$P$13/(X581/MAX(K581:S581)))^(1/inputs!$O$13))-1)/inputs!$N$13&lt;0, 0, IF((((inputs!$P$13/(X581/MAX(K581:S581)))^(1/inputs!$O$13))-1)/inputs!$N$13&lt;inputs!$I$17, (((inputs!$P$13/(X581/MAX(K581:S581)))^(1/inputs!$O$13))-1)/inputs!$N$13, inputs!$I$17))</f>
        <v>0</v>
      </c>
      <c r="V581" s="54">
        <f>inputs!$E$70*(inputs!$F$70/F581)^(0.25)</f>
        <v>2.5574764377400299</v>
      </c>
      <c r="W581" s="54">
        <f>inputs!$E$76*(inputs!$F$76/F581)^(0.25)</f>
        <v>0.76924067569003962</v>
      </c>
      <c r="X581" s="54">
        <f>inputs!$E$72*(inputs!$F$72/F581)^(0.25)</f>
        <v>112.82984284147192</v>
      </c>
      <c r="Y581" s="54" t="s">
        <v>13</v>
      </c>
      <c r="Z581" s="106">
        <f t="shared" si="66"/>
        <v>41.027749477191705</v>
      </c>
      <c r="AA581" s="106">
        <f t="shared" si="67"/>
        <v>136.40399669101538</v>
      </c>
    </row>
    <row r="582" spans="1:27" x14ac:dyDescent="0.25">
      <c r="A582" s="55" t="s">
        <v>507</v>
      </c>
      <c r="B582" s="49" t="s">
        <v>508</v>
      </c>
      <c r="C582" s="21" t="s">
        <v>61</v>
      </c>
      <c r="D582" s="20" t="s">
        <v>443</v>
      </c>
      <c r="E582" s="20">
        <v>28</v>
      </c>
      <c r="F582" s="21">
        <v>60</v>
      </c>
      <c r="G582" s="21" t="s">
        <v>169</v>
      </c>
      <c r="H582" s="21">
        <v>0.79</v>
      </c>
      <c r="I582" s="68">
        <f>MAX('Max rate concentrations'!$D$3:$D$368)</f>
        <v>720</v>
      </c>
      <c r="J582" s="68">
        <f>MAX('Max rate concentrations'!W:W)</f>
        <v>255</v>
      </c>
      <c r="K582" s="70">
        <f t="shared" si="64"/>
        <v>357.2159618725355</v>
      </c>
      <c r="L582" s="70">
        <f t="shared" si="65"/>
        <v>126.513986496523</v>
      </c>
      <c r="M582" s="70">
        <f>IF((((0.326*F582^0.818)-(0.398*F582^0.85)/(1-H582)*H582)*(MAX('Max rate concentrations'!$P$3:$P$368)))/F582&gt;0, (((0.326*F582^0.818)-(0.398*F582^0.85)/(1-H582)*H582)*(MAX('Max rate concentrations'!$P$3:$P$368)))/F582, 0)</f>
        <v>0</v>
      </c>
      <c r="N582" s="70">
        <f>IF((((0.326*F582^0.818)-(0.398*F582^0.85)/(1-H582)*H582)*(MAX('Max rate concentrations'!$Q$3:$Q$368)))/F582&gt; 0, (((0.326*F582^0.818)-(0.398*F582^0.85)/(1-H582)*H582)*(MAX('Max rate concentrations'!$Q$3:$Q$368)))/F582, 0)</f>
        <v>0</v>
      </c>
      <c r="O582" s="70">
        <f>((MAX('Max rate concentrations'!$F$3:$F$368))*0.62*6.01*8*(12.3*F582^0.65)*0.079*0.1/F582)*inputs!$E$73/inputs!$E$74</f>
        <v>64.59045430467387</v>
      </c>
      <c r="P582" s="70">
        <f>((MAX('Max rate concentrations'!Y:Y))*0.62*6.01*8*(12.3*F582^0.65)*0.079*0.1/F582)*inputs!$E$73/inputs!$E$74</f>
        <v>21.530151434891295</v>
      </c>
      <c r="Q582" s="70">
        <f>(inputs!$C$18*11.2*(12.3*F582^0.65)*0.5/F582)*inputs!$E$73/inputs!$E$74</f>
        <v>11.377303879846902</v>
      </c>
      <c r="R582" s="60">
        <f>(60*379*((F582/1000)^0.8)*3*24*(MAX('Max rate concentrations'!$R$3:$R$368))/F582)*(inputs!$E$73/inputs!$E$75)</f>
        <v>1.9377531796596022E-2</v>
      </c>
      <c r="S582" s="60">
        <f>(IF(inputs!$C$17="aerial",((0.025*0.112*inputs!$C$18/3.3)*(3*60*379*((F582/1000)^0.8))*MAX(inputs!$I$14:$I$16))/F582,((0.0083*0.112*inputs!$C$18/1)*(3*60*379*((F582/1000)^0.8))*MAX(inputs!$I$14:$I$16))/F582))*(inputs!E$75/inputs!$E$73)</f>
        <v>0.10686827838101753</v>
      </c>
      <c r="T582" s="63">
        <f>IF((((inputs!$P$13/(V582/MAX(K582:S582)))^(1/inputs!$O$13))-1)/inputs!$N$13&lt;0, 0, IF((((inputs!$P$13/(V582/MAX(K582:S582)))^(1/inputs!$O$13))-1)/inputs!$N$13&lt;inputs!$I$17, (((inputs!$P$13/(V582/MAX(K582:S582)))^(1/inputs!$O$13))-1)/inputs!$N$13, inputs!$I$17))</f>
        <v>387.02284012274305</v>
      </c>
      <c r="U582" s="63">
        <f>IF((((inputs!$P$13/(X582/MAX(K582:S582)))^(1/inputs!$O$13))-1)/inputs!$N$13&lt;0, 0, IF((((inputs!$P$13/(X582/MAX(K582:S582)))^(1/inputs!$O$13))-1)/inputs!$N$13&lt;inputs!$I$17, (((inputs!$P$13/(X582/MAX(K582:S582)))^(1/inputs!$O$13))-1)/inputs!$N$13, inputs!$I$17))</f>
        <v>13.121773398793895</v>
      </c>
      <c r="V582" s="54">
        <f>inputs!$E$70*(inputs!$F$70/F582)^(0.25)</f>
        <v>1.8084089318507901</v>
      </c>
      <c r="W582" s="54">
        <f>inputs!$E$76*(inputs!$F$76/F582)^(0.25)</f>
        <v>0.54393529814494879</v>
      </c>
      <c r="X582" s="54">
        <f>inputs!$E$72*(inputs!$F$72/F582)^(0.25)</f>
        <v>79.78274699341722</v>
      </c>
      <c r="Y582" s="54" t="s">
        <v>13</v>
      </c>
      <c r="Z582" s="106">
        <f t="shared" si="66"/>
        <v>197.53052287070267</v>
      </c>
      <c r="AA582" s="106">
        <f t="shared" si="67"/>
        <v>656.72509780261396</v>
      </c>
    </row>
    <row r="583" spans="1:27" x14ac:dyDescent="0.25">
      <c r="A583" s="55" t="s">
        <v>507</v>
      </c>
      <c r="B583" s="49" t="s">
        <v>508</v>
      </c>
      <c r="C583" s="21" t="s">
        <v>61</v>
      </c>
      <c r="D583" s="20" t="s">
        <v>443</v>
      </c>
      <c r="E583" s="20">
        <v>28</v>
      </c>
      <c r="F583" s="21">
        <v>60</v>
      </c>
      <c r="G583" s="21" t="s">
        <v>177</v>
      </c>
      <c r="H583" s="21">
        <v>0.85</v>
      </c>
      <c r="I583" s="68">
        <f>MAX('Max rate concentrations'!$F$3:$F$368)</f>
        <v>405</v>
      </c>
      <c r="J583" s="68">
        <f>MAX('Max rate concentrations'!Y:Y)</f>
        <v>135</v>
      </c>
      <c r="K583" s="70">
        <f t="shared" si="64"/>
        <v>281.30756997462163</v>
      </c>
      <c r="L583" s="70">
        <f t="shared" si="65"/>
        <v>93.769189991540543</v>
      </c>
      <c r="M583" s="70">
        <f>IF((((0.326*F583^0.818)-(0.398*F583^0.85)/(1-H583)*H583)*(MAX('Max rate concentrations'!$P$3:$P$368)))/F583&gt;0, (((0.326*F583^0.818)-(0.398*F583^0.85)/(1-H583)*H583)*(MAX('Max rate concentrations'!$P$3:$P$368)))/F583, 0)</f>
        <v>0</v>
      </c>
      <c r="N583" s="70">
        <f>IF((((0.326*F583^0.818)-(0.398*F583^0.85)/(1-H583)*H583)*(MAX('Max rate concentrations'!$Q$3:$Q$368)))/F583&gt; 0, (((0.326*F583^0.818)-(0.398*F583^0.85)/(1-H583)*H583)*(MAX('Max rate concentrations'!$Q$3:$Q$368)))/F583, 0)</f>
        <v>0</v>
      </c>
      <c r="O583" s="70">
        <f>((MAX('Max rate concentrations'!$F$3:$F$368))*0.62*6.01*8*(12.3*F583^0.65)*0.079*0.1/F583)*inputs!$E$73/inputs!$E$74</f>
        <v>64.59045430467387</v>
      </c>
      <c r="P583" s="70">
        <f>((MAX('Max rate concentrations'!Y:Y))*0.62*6.01*8*(12.3*F583^0.65)*0.079*0.1/F583)*inputs!$E$73/inputs!$E$74</f>
        <v>21.530151434891295</v>
      </c>
      <c r="Q583" s="70">
        <f>(inputs!$C$18*11.2*(12.3*F583^0.65)*0.5/F583)*inputs!$E$73/inputs!$E$74</f>
        <v>11.377303879846902</v>
      </c>
      <c r="R583" s="60">
        <f>(60*379*((F583/1000)^0.8)*3*24*(MAX('Max rate concentrations'!$R$3:$R$368))/F583)*(inputs!$E$73/inputs!$E$75)</f>
        <v>1.9377531796596022E-2</v>
      </c>
      <c r="S583" s="60">
        <f>(IF(inputs!$C$17="aerial",((0.025*0.112*inputs!$C$18/3.3)*(3*60*379*((F583/1000)^0.8))*MAX(inputs!$I$14:$I$16))/F583,((0.0083*0.112*inputs!$C$18/1)*(3*60*379*((F583/1000)^0.8))*MAX(inputs!$I$14:$I$16))/F583))*(inputs!E$75/inputs!$E$73)</f>
        <v>0.10686827838101753</v>
      </c>
      <c r="T583" s="63">
        <f>IF((((inputs!$P$13/(V583/MAX(K583:S583)))^(1/inputs!$O$13))-1)/inputs!$N$13&lt;0, 0, IF((((inputs!$P$13/(V583/MAX(K583:S583)))^(1/inputs!$O$13))-1)/inputs!$N$13&lt;inputs!$I$17, (((inputs!$P$13/(V583/MAX(K583:S583)))^(1/inputs!$O$13))-1)/inputs!$N$13, inputs!$I$17))</f>
        <v>318.11620303878334</v>
      </c>
      <c r="U583" s="63">
        <f>IF((((inputs!$P$13/(X583/MAX(K583:S583)))^(1/inputs!$O$13))-1)/inputs!$N$13&lt;0, 0, IF((((inputs!$P$13/(X583/MAX(K583:S583)))^(1/inputs!$O$13))-1)/inputs!$N$13&lt;inputs!$I$17, (((inputs!$P$13/(X583/MAX(K583:S583)))^(1/inputs!$O$13))-1)/inputs!$N$13, inputs!$I$17))</f>
        <v>9.8983737762584152</v>
      </c>
      <c r="V583" s="54">
        <f>inputs!$E$70*(inputs!$F$70/F583)^(0.25)</f>
        <v>1.8084089318507901</v>
      </c>
      <c r="W583" s="54">
        <f>inputs!$E$76*(inputs!$F$76/F583)^(0.25)</f>
        <v>0.54393529814494879</v>
      </c>
      <c r="X583" s="54">
        <f>inputs!$E$72*(inputs!$F$72/F583)^(0.25)</f>
        <v>79.78274699341722</v>
      </c>
      <c r="Y583" s="54" t="s">
        <v>13</v>
      </c>
      <c r="Z583" s="106">
        <f t="shared" si="66"/>
        <v>155.55528676067831</v>
      </c>
      <c r="AA583" s="106">
        <f t="shared" si="67"/>
        <v>517.17101451955841</v>
      </c>
    </row>
    <row r="584" spans="1:27" x14ac:dyDescent="0.25">
      <c r="A584" s="55" t="s">
        <v>507</v>
      </c>
      <c r="B584" s="49" t="s">
        <v>508</v>
      </c>
      <c r="C584" s="21" t="s">
        <v>61</v>
      </c>
      <c r="D584" s="20" t="s">
        <v>443</v>
      </c>
      <c r="E584" s="20">
        <v>28</v>
      </c>
      <c r="F584" s="21">
        <v>60</v>
      </c>
      <c r="G584" s="21" t="s">
        <v>154</v>
      </c>
      <c r="H584" s="21">
        <v>9.2999999999999999E-2</v>
      </c>
      <c r="I584" s="68">
        <f>MAX('Max rate concentrations'!$G$3:$G$368)</f>
        <v>45</v>
      </c>
      <c r="J584" s="68">
        <f>MAX('Max rate concentrations'!Z:Z)</f>
        <v>21</v>
      </c>
      <c r="K584" s="70">
        <f t="shared" si="64"/>
        <v>5.1691945971080786</v>
      </c>
      <c r="L584" s="70">
        <f t="shared" si="65"/>
        <v>2.4122908119837705</v>
      </c>
      <c r="M584" s="70">
        <f>IF((((0.326*F584^0.818)-(0.398*F584^0.85)/(1-H584)*H584)*(MAX('Max rate concentrations'!$P$3:$P$368)))/F584&gt;0, (((0.326*F584^0.818)-(0.398*F584^0.85)/(1-H584)*H584)*(MAX('Max rate concentrations'!$P$3:$P$368)))/F584, 0)</f>
        <v>0.11552774568259294</v>
      </c>
      <c r="N584" s="70">
        <f>IF((((0.326*F584^0.818)-(0.398*F584^0.85)/(1-H584)*H584)*(MAX('Max rate concentrations'!$Q$3:$Q$368)))/F584&gt; 0, (((0.326*F584^0.818)-(0.398*F584^0.85)/(1-H584)*H584)*(MAX('Max rate concentrations'!$Q$3:$Q$368)))/F584, 0)</f>
        <v>0.43993586305976845</v>
      </c>
      <c r="O584" s="70">
        <f>((MAX('Max rate concentrations'!$F$3:$F$368))*0.62*6.01*8*(12.3*F584^0.65)*0.079*0.1/F584)*inputs!$E$73/inputs!$E$74</f>
        <v>64.59045430467387</v>
      </c>
      <c r="P584" s="70">
        <f>((MAX('Max rate concentrations'!Y:Y))*0.62*6.01*8*(12.3*F584^0.65)*0.079*0.1/F584)*inputs!$E$73/inputs!$E$74</f>
        <v>21.530151434891295</v>
      </c>
      <c r="Q584" s="70">
        <f>(inputs!$C$18*11.2*(12.3*F584^0.65)*0.5/F584)*inputs!$E$73/inputs!$E$74</f>
        <v>11.377303879846902</v>
      </c>
      <c r="R584" s="60">
        <f>(60*379*((F584/1000)^0.8)*3*24*(MAX('Max rate concentrations'!$R$3:$R$368))/F584)*(inputs!$E$73/inputs!$E$75)</f>
        <v>1.9377531796596022E-2</v>
      </c>
      <c r="S584" s="60">
        <f>(IF(inputs!$C$17="aerial",((0.025*0.112*inputs!$C$18/3.3)*(3*60*379*((F584/1000)^0.8))*MAX(inputs!$I$14:$I$16))/F584,((0.0083*0.112*inputs!$C$18/1)*(3*60*379*((F584/1000)^0.8))*MAX(inputs!$I$14:$I$16))/F584))*(inputs!E$75/inputs!$E$73)</f>
        <v>0.10686827838101753</v>
      </c>
      <c r="T584" s="63">
        <f>IF((((inputs!$P$13/(V584/MAX(K584:S584)))^(1/inputs!$O$13))-1)/inputs!$N$13&lt;0, 0, IF((((inputs!$P$13/(V584/MAX(K584:S584)))^(1/inputs!$O$13))-1)/inputs!$N$13&lt;inputs!$I$17, (((inputs!$P$13/(V584/MAX(K584:S584)))^(1/inputs!$O$13))-1)/inputs!$N$13, inputs!$I$17))</f>
        <v>93.154289223040962</v>
      </c>
      <c r="U584" s="63">
        <f>IF((((inputs!$P$13/(X584/MAX(K584:S584)))^(1/inputs!$O$13))-1)/inputs!$N$13&lt;0, 0, IF((((inputs!$P$13/(X584/MAX(K584:S584)))^(1/inputs!$O$13))-1)/inputs!$N$13&lt;inputs!$I$17, (((inputs!$P$13/(X584/MAX(K584:S584)))^(1/inputs!$O$13))-1)/inputs!$N$13, inputs!$I$17))</f>
        <v>0</v>
      </c>
      <c r="V584" s="54">
        <f>inputs!$E$70*(inputs!$F$70/F584)^(0.25)</f>
        <v>1.8084089318507901</v>
      </c>
      <c r="W584" s="54">
        <f>inputs!$E$76*(inputs!$F$76/F584)^(0.25)</f>
        <v>0.54393529814494879</v>
      </c>
      <c r="X584" s="54">
        <f>inputs!$E$72*(inputs!$F$72/F584)^(0.25)</f>
        <v>79.78274699341722</v>
      </c>
      <c r="Y584" s="54" t="s">
        <v>13</v>
      </c>
      <c r="Z584" s="106">
        <f t="shared" si="66"/>
        <v>35.716730418141488</v>
      </c>
      <c r="AA584" s="106">
        <f t="shared" si="67"/>
        <v>118.74657615520606</v>
      </c>
    </row>
    <row r="585" spans="1:27" x14ac:dyDescent="0.25">
      <c r="A585" s="55" t="s">
        <v>550</v>
      </c>
      <c r="B585" s="49" t="s">
        <v>551</v>
      </c>
      <c r="C585" s="21" t="s">
        <v>61</v>
      </c>
      <c r="D585" s="20" t="s">
        <v>443</v>
      </c>
      <c r="E585" s="20">
        <v>50</v>
      </c>
      <c r="F585" s="21">
        <v>12</v>
      </c>
      <c r="G585" s="21" t="s">
        <v>182</v>
      </c>
      <c r="H585" s="21">
        <v>0.85</v>
      </c>
      <c r="I585" s="68">
        <f>MAX('Max rate concentrations'!$M$3:$M$368)</f>
        <v>17.092910873809167</v>
      </c>
      <c r="J585" s="68">
        <f>MAX('Max rate concentrations'!AE:AE)</f>
        <v>11.81956602976166</v>
      </c>
      <c r="K585" s="70">
        <f t="shared" si="64"/>
        <v>23.949328773314715</v>
      </c>
      <c r="L585" s="70">
        <f t="shared" si="65"/>
        <v>16.560706066653793</v>
      </c>
      <c r="M585" s="70">
        <f>IF((((0.326*F585^0.818)-(0.398*F585^0.85)/(1-H585)*H585)*(MAX('Max rate concentrations'!$P$3:$P$368)))/F585&gt;0, (((0.326*F585^0.818)-(0.398*F585^0.85)/(1-H585)*H585)*(MAX('Max rate concentrations'!$P$3:$P$368)))/F585, 0)</f>
        <v>0</v>
      </c>
      <c r="N585" s="70">
        <f>IF((((0.326*F585^0.818)-(0.398*F585^0.85)/(1-H585)*H585)*(MAX('Max rate concentrations'!$Q$3:$Q$368)))/F585&gt; 0, (((0.326*F585^0.818)-(0.398*F585^0.85)/(1-H585)*H585)*(MAX('Max rate concentrations'!$Q$3:$Q$368)))/F585, 0)</f>
        <v>0</v>
      </c>
      <c r="O585" s="70">
        <f>((MAX('Max rate concentrations'!$F$3:$F$368))*0.62*6.01*8*(12.3*F585^0.65)*0.079*0.1/F585)*inputs!$E$73/inputs!$E$74</f>
        <v>113.45087263972519</v>
      </c>
      <c r="P585" s="70">
        <f>((MAX('Max rate concentrations'!Y:Y))*0.62*6.01*8*(12.3*F585^0.65)*0.079*0.1/F585)*inputs!$E$73/inputs!$E$74</f>
        <v>37.816957546575082</v>
      </c>
      <c r="Q585" s="70">
        <f>(inputs!$C$18*11.2*(12.3*F585^0.65)*0.5/F585)*inputs!$E$73/inputs!$E$74</f>
        <v>19.983836115587753</v>
      </c>
      <c r="R585" s="60">
        <f>(60*379*((F585/1000)^0.8)*3*24*(MAX('Max rate concentrations'!$R$3:$R$368))/F585)*(inputs!$E$73/inputs!$E$75)</f>
        <v>2.6735755385671349E-2</v>
      </c>
      <c r="S585" s="60">
        <f>(IF(inputs!$C$17="aerial",((0.025*0.112*inputs!$C$18/3.3)*(3*60*379*((F585/1000)^0.8))*MAX(inputs!$I$14:$I$16))/F585,((0.0083*0.112*inputs!$C$18/1)*(3*60*379*((F585/1000)^0.8))*MAX(inputs!$I$14:$I$16))/F585))*(inputs!E$75/inputs!$E$73)</f>
        <v>0.14744933355158416</v>
      </c>
      <c r="T585" s="63">
        <f>IF((((inputs!$P$13/(V585/MAX(K585:S585)))^(1/inputs!$O$13))-1)/inputs!$N$13&lt;0, 0, IF((((inputs!$P$13/(V585/MAX(K585:S585)))^(1/inputs!$O$13))-1)/inputs!$N$13&lt;inputs!$I$17, (((inputs!$P$13/(V585/MAX(K585:S585)))^(1/inputs!$O$13))-1)/inputs!$N$13, inputs!$I$17))</f>
        <v>106.82929344674648</v>
      </c>
      <c r="U585" s="63">
        <f>IF((((inputs!$P$13/(X585/MAX(K585:S585)))^(1/inputs!$O$13))-1)/inputs!$N$13&lt;0, 0, IF((((inputs!$P$13/(X585/MAX(K585:S585)))^(1/inputs!$O$13))-1)/inputs!$N$13&lt;inputs!$I$17, (((inputs!$P$13/(X585/MAX(K585:S585)))^(1/inputs!$O$13))-1)/inputs!$N$13, inputs!$I$17))</f>
        <v>1.4534229774466291E-2</v>
      </c>
      <c r="V585" s="54">
        <f>inputs!$E$70*(inputs!$F$70/F585)^(0.25)</f>
        <v>2.7042020921926482</v>
      </c>
      <c r="W585" s="54">
        <f>inputs!$E$76*(inputs!$F$76/F585)^(0.25)</f>
        <v>0.81337298514425049</v>
      </c>
      <c r="X585" s="54">
        <f>inputs!$E$72*(inputs!$F$72/F585)^(0.25)</f>
        <v>119.30303347908743</v>
      </c>
      <c r="Y585" s="54" t="s">
        <v>13</v>
      </c>
      <c r="Z585" s="106">
        <f t="shared" si="66"/>
        <v>41.953548134317067</v>
      </c>
      <c r="AA585" s="106">
        <f t="shared" si="67"/>
        <v>139.48197777874913</v>
      </c>
    </row>
    <row r="586" spans="1:27" x14ac:dyDescent="0.25">
      <c r="A586" s="55" t="s">
        <v>550</v>
      </c>
      <c r="B586" s="49" t="s">
        <v>551</v>
      </c>
      <c r="C586" s="21" t="s">
        <v>61</v>
      </c>
      <c r="D586" s="20" t="s">
        <v>443</v>
      </c>
      <c r="E586" s="20">
        <v>50</v>
      </c>
      <c r="F586" s="21">
        <v>12</v>
      </c>
      <c r="G586" s="21" t="s">
        <v>142</v>
      </c>
      <c r="H586" s="21">
        <v>0.69</v>
      </c>
      <c r="I586" s="68">
        <f>MAX('Max rate concentrations'!$H$3:$H$368)</f>
        <v>282</v>
      </c>
      <c r="J586" s="68">
        <f>MAX('Max rate concentrations'!AA:AA)</f>
        <v>195</v>
      </c>
      <c r="K586" s="70">
        <f t="shared" si="64"/>
        <v>191.18595792105523</v>
      </c>
      <c r="L586" s="70">
        <f t="shared" si="65"/>
        <v>132.20305600924033</v>
      </c>
      <c r="M586" s="70">
        <f>IF((((0.326*F586^0.818)-(0.398*F586^0.85)/(1-H586)*H586)*(MAX('Max rate concentrations'!$P$3:$P$368)))/F586&gt;0, (((0.326*F586^0.818)-(0.398*F586^0.85)/(1-H586)*H586)*(MAX('Max rate concentrations'!$P$3:$P$368)))/F586, 0)</f>
        <v>0</v>
      </c>
      <c r="N586" s="70">
        <f>IF((((0.326*F586^0.818)-(0.398*F586^0.85)/(1-H586)*H586)*(MAX('Max rate concentrations'!$Q$3:$Q$368)))/F586&gt; 0, (((0.326*F586^0.818)-(0.398*F586^0.85)/(1-H586)*H586)*(MAX('Max rate concentrations'!$Q$3:$Q$368)))/F586, 0)</f>
        <v>0</v>
      </c>
      <c r="O586" s="70">
        <f>((MAX('Max rate concentrations'!$F$3:$F$368))*0.62*6.01*8*(12.3*F586^0.65)*0.079*0.1/F586)*inputs!$E$73/inputs!$E$74</f>
        <v>113.45087263972519</v>
      </c>
      <c r="P586" s="70">
        <f>((MAX('Max rate concentrations'!Y:Y))*0.62*6.01*8*(12.3*F586^0.65)*0.079*0.1/F586)*inputs!$E$73/inputs!$E$74</f>
        <v>37.816957546575082</v>
      </c>
      <c r="Q586" s="70">
        <f>(inputs!$C$18*11.2*(12.3*F586^0.65)*0.5/F586)*inputs!$E$73/inputs!$E$74</f>
        <v>19.983836115587753</v>
      </c>
      <c r="R586" s="60">
        <f>(60*379*((F586/1000)^0.8)*3*24*(MAX('Max rate concentrations'!$R$3:$R$368))/F586)*(inputs!$E$73/inputs!$E$75)</f>
        <v>2.6735755385671349E-2</v>
      </c>
      <c r="S586" s="60">
        <f>(IF(inputs!$C$17="aerial",((0.025*0.112*inputs!$C$18/3.3)*(3*60*379*((F586/1000)^0.8))*MAX(inputs!$I$14:$I$16))/F586,((0.0083*0.112*inputs!$C$18/1)*(3*60*379*((F586/1000)^0.8))*MAX(inputs!$I$14:$I$16))/F586))*(inputs!E$75/inputs!$E$73)</f>
        <v>0.14744933355158416</v>
      </c>
      <c r="T586" s="63">
        <f>IF((((inputs!$P$13/(V586/MAX(K586:S586)))^(1/inputs!$O$13))-1)/inputs!$N$13&lt;0, 0, IF((((inputs!$P$13/(V586/MAX(K586:S586)))^(1/inputs!$O$13))-1)/inputs!$N$13&lt;inputs!$I$17, (((inputs!$P$13/(V586/MAX(K586:S586)))^(1/inputs!$O$13))-1)/inputs!$N$13, inputs!$I$17))</f>
        <v>165.66435490148032</v>
      </c>
      <c r="U586" s="63">
        <f>IF((((inputs!$P$13/(X586/MAX(K586:S586)))^(1/inputs!$O$13))-1)/inputs!$N$13&lt;0, 0, IF((((inputs!$P$13/(X586/MAX(K586:S586)))^(1/inputs!$O$13))-1)/inputs!$N$13&lt;inputs!$I$17, (((inputs!$P$13/(X586/MAX(K586:S586)))^(1/inputs!$O$13))-1)/inputs!$N$13, inputs!$I$17))</f>
        <v>2.7667932705684848</v>
      </c>
      <c r="V586" s="54">
        <f>inputs!$E$70*(inputs!$F$70/F586)^(0.25)</f>
        <v>2.7042020921926482</v>
      </c>
      <c r="W586" s="54">
        <f>inputs!$E$76*(inputs!$F$76/F586)^(0.25)</f>
        <v>0.81337298514425049</v>
      </c>
      <c r="X586" s="54">
        <f>inputs!$E$72*(inputs!$F$72/F586)^(0.25)</f>
        <v>119.30303347908743</v>
      </c>
      <c r="Y586" s="54" t="s">
        <v>13</v>
      </c>
      <c r="Z586" s="106">
        <f t="shared" si="66"/>
        <v>70.699582132944784</v>
      </c>
      <c r="AA586" s="106">
        <f t="shared" si="67"/>
        <v>235.05324299300239</v>
      </c>
    </row>
    <row r="587" spans="1:27" x14ac:dyDescent="0.25">
      <c r="A587" s="55" t="s">
        <v>550</v>
      </c>
      <c r="B587" s="49" t="s">
        <v>551</v>
      </c>
      <c r="C587" s="21" t="s">
        <v>61</v>
      </c>
      <c r="D587" s="20" t="s">
        <v>443</v>
      </c>
      <c r="E587" s="20">
        <v>50</v>
      </c>
      <c r="F587" s="21">
        <v>12</v>
      </c>
      <c r="G587" s="21" t="s">
        <v>152</v>
      </c>
      <c r="H587" s="21">
        <v>0.77</v>
      </c>
      <c r="I587" s="68">
        <f>MAX('Max rate concentrations'!$G$3:$G$368)</f>
        <v>45</v>
      </c>
      <c r="J587" s="68">
        <f>MAX('Max rate concentrations'!Z:Z)</f>
        <v>21</v>
      </c>
      <c r="K587" s="70">
        <f t="shared" si="64"/>
        <v>41.120014076452684</v>
      </c>
      <c r="L587" s="70">
        <f t="shared" si="65"/>
        <v>19.189339902344585</v>
      </c>
      <c r="M587" s="70">
        <f>IF((((0.326*F587^0.818)-(0.398*F587^0.85)/(1-H587)*H587)*(MAX('Max rate concentrations'!$P$3:$P$368)))/F587&gt;0, (((0.326*F587^0.818)-(0.398*F587^0.85)/(1-H587)*H587)*(MAX('Max rate concentrations'!$P$3:$P$368)))/F587, 0)</f>
        <v>0</v>
      </c>
      <c r="N587" s="70">
        <f>IF((((0.326*F587^0.818)-(0.398*F587^0.85)/(1-H587)*H587)*(MAX('Max rate concentrations'!$Q$3:$Q$368)))/F587&gt; 0, (((0.326*F587^0.818)-(0.398*F587^0.85)/(1-H587)*H587)*(MAX('Max rate concentrations'!$Q$3:$Q$368)))/F587, 0)</f>
        <v>0</v>
      </c>
      <c r="O587" s="70">
        <f>((MAX('Max rate concentrations'!$F$3:$F$368))*0.62*6.01*8*(12.3*F587^0.65)*0.079*0.1/F587)*inputs!$E$73/inputs!$E$74</f>
        <v>113.45087263972519</v>
      </c>
      <c r="P587" s="70">
        <f>((MAX('Max rate concentrations'!Y:Y))*0.62*6.01*8*(12.3*F587^0.65)*0.079*0.1/F587)*inputs!$E$73/inputs!$E$74</f>
        <v>37.816957546575082</v>
      </c>
      <c r="Q587" s="70">
        <f>(inputs!$C$18*11.2*(12.3*F587^0.65)*0.5/F587)*inputs!$E$73/inputs!$E$74</f>
        <v>19.983836115587753</v>
      </c>
      <c r="R587" s="60">
        <f>(60*379*((F587/1000)^0.8)*3*24*(MAX('Max rate concentrations'!$R$3:$R$368))/F587)*(inputs!$E$73/inputs!$E$75)</f>
        <v>2.6735755385671349E-2</v>
      </c>
      <c r="S587" s="60">
        <f>(IF(inputs!$C$17="aerial",((0.025*0.112*inputs!$C$18/3.3)*(3*60*379*((F587/1000)^0.8))*MAX(inputs!$I$14:$I$16))/F587,((0.0083*0.112*inputs!$C$18/1)*(3*60*379*((F587/1000)^0.8))*MAX(inputs!$I$14:$I$16))/F587))*(inputs!E$75/inputs!$E$73)</f>
        <v>0.14744933355158416</v>
      </c>
      <c r="T587" s="63">
        <f>IF((((inputs!$P$13/(V587/MAX(K587:S587)))^(1/inputs!$O$13))-1)/inputs!$N$13&lt;0, 0, IF((((inputs!$P$13/(V587/MAX(K587:S587)))^(1/inputs!$O$13))-1)/inputs!$N$13&lt;inputs!$I$17, (((inputs!$P$13/(V587/MAX(K587:S587)))^(1/inputs!$O$13))-1)/inputs!$N$13, inputs!$I$17))</f>
        <v>106.82929344674648</v>
      </c>
      <c r="U587" s="63">
        <f>IF((((inputs!$P$13/(X587/MAX(K587:S587)))^(1/inputs!$O$13))-1)/inputs!$N$13&lt;0, 0, IF((((inputs!$P$13/(X587/MAX(K587:S587)))^(1/inputs!$O$13))-1)/inputs!$N$13&lt;inputs!$I$17, (((inputs!$P$13/(X587/MAX(K587:S587)))^(1/inputs!$O$13))-1)/inputs!$N$13, inputs!$I$17))</f>
        <v>1.4534229774466291E-2</v>
      </c>
      <c r="V587" s="54">
        <f>inputs!$E$70*(inputs!$F$70/F587)^(0.25)</f>
        <v>2.7042020921926482</v>
      </c>
      <c r="W587" s="54">
        <f>inputs!$E$76*(inputs!$F$76/F587)^(0.25)</f>
        <v>0.81337298514425049</v>
      </c>
      <c r="X587" s="54">
        <f>inputs!$E$72*(inputs!$F$72/F587)^(0.25)</f>
        <v>119.30303347908743</v>
      </c>
      <c r="Y587" s="54" t="s">
        <v>13</v>
      </c>
      <c r="Z587" s="106">
        <f t="shared" si="66"/>
        <v>41.953548134317067</v>
      </c>
      <c r="AA587" s="106">
        <f t="shared" si="67"/>
        <v>139.48197777874913</v>
      </c>
    </row>
    <row r="588" spans="1:27" x14ac:dyDescent="0.25">
      <c r="A588" s="55" t="s">
        <v>550</v>
      </c>
      <c r="B588" s="49" t="s">
        <v>551</v>
      </c>
      <c r="C588" s="21" t="s">
        <v>61</v>
      </c>
      <c r="D588" s="20" t="s">
        <v>443</v>
      </c>
      <c r="E588" s="20">
        <v>50</v>
      </c>
      <c r="F588" s="21">
        <v>12</v>
      </c>
      <c r="G588" s="21" t="s">
        <v>169</v>
      </c>
      <c r="H588" s="21">
        <v>0.79</v>
      </c>
      <c r="I588" s="68">
        <f>MAX('Max rate concentrations'!$D$3:$D$368)</f>
        <v>720</v>
      </c>
      <c r="J588" s="68">
        <f>MAX('Max rate concentrations'!W:W)</f>
        <v>255</v>
      </c>
      <c r="K588" s="70">
        <f t="shared" si="64"/>
        <v>720.57929429212345</v>
      </c>
      <c r="L588" s="70">
        <f t="shared" si="65"/>
        <v>255.2051667284604</v>
      </c>
      <c r="M588" s="70">
        <f>IF((((0.326*F588^0.818)-(0.398*F588^0.85)/(1-H588)*H588)*(MAX('Max rate concentrations'!$P$3:$P$368)))/F588&gt;0, (((0.326*F588^0.818)-(0.398*F588^0.85)/(1-H588)*H588)*(MAX('Max rate concentrations'!$P$3:$P$368)))/F588, 0)</f>
        <v>0</v>
      </c>
      <c r="N588" s="70">
        <f>IF((((0.326*F588^0.818)-(0.398*F588^0.85)/(1-H588)*H588)*(MAX('Max rate concentrations'!$Q$3:$Q$368)))/F588&gt; 0, (((0.326*F588^0.818)-(0.398*F588^0.85)/(1-H588)*H588)*(MAX('Max rate concentrations'!$Q$3:$Q$368)))/F588, 0)</f>
        <v>0</v>
      </c>
      <c r="O588" s="70">
        <f>((MAX('Max rate concentrations'!$F$3:$F$368))*0.62*6.01*8*(12.3*F588^0.65)*0.079*0.1/F588)*inputs!$E$73/inputs!$E$74</f>
        <v>113.45087263972519</v>
      </c>
      <c r="P588" s="70">
        <f>((MAX('Max rate concentrations'!Y:Y))*0.62*6.01*8*(12.3*F588^0.65)*0.079*0.1/F588)*inputs!$E$73/inputs!$E$74</f>
        <v>37.816957546575082</v>
      </c>
      <c r="Q588" s="70">
        <f>(inputs!$C$18*11.2*(12.3*F588^0.65)*0.5/F588)*inputs!$E$73/inputs!$E$74</f>
        <v>19.983836115587753</v>
      </c>
      <c r="R588" s="60">
        <f>(60*379*((F588/1000)^0.8)*3*24*(MAX('Max rate concentrations'!$R$3:$R$368))/F588)*(inputs!$E$73/inputs!$E$75)</f>
        <v>2.6735755385671349E-2</v>
      </c>
      <c r="S588" s="60">
        <f>(IF(inputs!$C$17="aerial",((0.025*0.112*inputs!$C$18/3.3)*(3*60*379*((F588/1000)^0.8))*MAX(inputs!$I$14:$I$16))/F588,((0.0083*0.112*inputs!$C$18/1)*(3*60*379*((F588/1000)^0.8))*MAX(inputs!$I$14:$I$16))/F588))*(inputs!E$75/inputs!$E$73)</f>
        <v>0.14744933355158416</v>
      </c>
      <c r="T588" s="63">
        <f>IF((((inputs!$P$13/(V588/MAX(K588:S588)))^(1/inputs!$O$13))-1)/inputs!$N$13&lt;0, 0, IF((((inputs!$P$13/(V588/MAX(K588:S588)))^(1/inputs!$O$13))-1)/inputs!$N$13&lt;inputs!$I$17, (((inputs!$P$13/(V588/MAX(K588:S588)))^(1/inputs!$O$13))-1)/inputs!$N$13, inputs!$I$17))</f>
        <v>494.45837569033398</v>
      </c>
      <c r="U588" s="63">
        <f>IF((((inputs!$P$13/(X588/MAX(K588:S588)))^(1/inputs!$O$13))-1)/inputs!$N$13&lt;0, 0, IF((((inputs!$P$13/(X588/MAX(K588:S588)))^(1/inputs!$O$13))-1)/inputs!$N$13&lt;inputs!$I$17, (((inputs!$P$13/(X588/MAX(K588:S588)))^(1/inputs!$O$13))-1)/inputs!$N$13, inputs!$I$17))</f>
        <v>18.147525335773611</v>
      </c>
      <c r="V588" s="54">
        <f>inputs!$E$70*(inputs!$F$70/F588)^(0.25)</f>
        <v>2.7042020921926482</v>
      </c>
      <c r="W588" s="54">
        <f>inputs!$E$76*(inputs!$F$76/F588)^(0.25)</f>
        <v>0.81337298514425049</v>
      </c>
      <c r="X588" s="54">
        <f>inputs!$E$72*(inputs!$F$72/F588)^(0.25)</f>
        <v>119.30303347908743</v>
      </c>
      <c r="Y588" s="54" t="s">
        <v>13</v>
      </c>
      <c r="Z588" s="106">
        <f t="shared" si="66"/>
        <v>266.46651016672212</v>
      </c>
      <c r="AA588" s="106">
        <f t="shared" si="67"/>
        <v>885.91495839307936</v>
      </c>
    </row>
    <row r="589" spans="1:27" x14ac:dyDescent="0.25">
      <c r="A589" s="55" t="s">
        <v>550</v>
      </c>
      <c r="B589" s="49" t="s">
        <v>551</v>
      </c>
      <c r="C589" s="21" t="s">
        <v>61</v>
      </c>
      <c r="D589" s="20" t="s">
        <v>443</v>
      </c>
      <c r="E589" s="20">
        <v>50</v>
      </c>
      <c r="F589" s="21">
        <v>12</v>
      </c>
      <c r="G589" s="21" t="s">
        <v>456</v>
      </c>
      <c r="H589" s="21">
        <v>0.68</v>
      </c>
      <c r="I589" s="68">
        <f>MAX('Max rate concentrations'!$J$3:$J$368)</f>
        <v>686.46486205830786</v>
      </c>
      <c r="J589" s="68">
        <f>MAX('Max rate concentrations'!AB:AB)</f>
        <v>243.122971978984</v>
      </c>
      <c r="K589" s="70">
        <f t="shared" si="64"/>
        <v>450.85502096461028</v>
      </c>
      <c r="L589" s="70">
        <f t="shared" si="65"/>
        <v>159.67781992496612</v>
      </c>
      <c r="M589" s="70">
        <f>IF((((0.326*F589^0.818)-(0.398*F589^0.85)/(1-H589)*H589)*(MAX('Max rate concentrations'!$P$3:$P$368)))/F589&gt;0, (((0.326*F589^0.818)-(0.398*F589^0.85)/(1-H589)*H589)*(MAX('Max rate concentrations'!$P$3:$P$368)))/F589, 0)</f>
        <v>0</v>
      </c>
      <c r="N589" s="70">
        <f>IF((((0.326*F589^0.818)-(0.398*F589^0.85)/(1-H589)*H589)*(MAX('Max rate concentrations'!$Q$3:$Q$368)))/F589&gt; 0, (((0.326*F589^0.818)-(0.398*F589^0.85)/(1-H589)*H589)*(MAX('Max rate concentrations'!$Q$3:$Q$368)))/F589, 0)</f>
        <v>0</v>
      </c>
      <c r="O589" s="70">
        <f>((MAX('Max rate concentrations'!$F$3:$F$368))*0.62*6.01*8*(12.3*F589^0.65)*0.079*0.1/F589)*inputs!$E$73/inputs!$E$74</f>
        <v>113.45087263972519</v>
      </c>
      <c r="P589" s="70">
        <f>((MAX('Max rate concentrations'!Y:Y))*0.62*6.01*8*(12.3*F589^0.65)*0.079*0.1/F589)*inputs!$E$73/inputs!$E$74</f>
        <v>37.816957546575082</v>
      </c>
      <c r="Q589" s="70">
        <f>(inputs!$C$18*11.2*(12.3*F589^0.65)*0.5/F589)*inputs!$E$73/inputs!$E$74</f>
        <v>19.983836115587753</v>
      </c>
      <c r="R589" s="60">
        <f>(60*379*((F589/1000)^0.8)*3*24*(MAX('Max rate concentrations'!$R$3:$R$368))/F589)*(inputs!$E$73/inputs!$E$75)</f>
        <v>2.6735755385671349E-2</v>
      </c>
      <c r="S589" s="60">
        <f>(IF(inputs!$C$17="aerial",((0.025*0.112*inputs!$C$18/3.3)*(3*60*379*((F589/1000)^0.8))*MAX(inputs!$I$14:$I$16))/F589,((0.0083*0.112*inputs!$C$18/1)*(3*60*379*((F589/1000)^0.8))*MAX(inputs!$I$14:$I$16))/F589))*(inputs!E$75/inputs!$E$73)</f>
        <v>0.14744933355158416</v>
      </c>
      <c r="T589" s="63">
        <f>IF((((inputs!$P$13/(V589/MAX(K589:S589)))^(1/inputs!$O$13))-1)/inputs!$N$13&lt;0, 0, IF((((inputs!$P$13/(V589/MAX(K589:S589)))^(1/inputs!$O$13))-1)/inputs!$N$13&lt;inputs!$I$17, (((inputs!$P$13/(V589/MAX(K589:S589)))^(1/inputs!$O$13))-1)/inputs!$N$13, inputs!$I$17))</f>
        <v>336.76441529843572</v>
      </c>
      <c r="U589" s="63">
        <f>IF((((inputs!$P$13/(X589/MAX(K589:S589)))^(1/inputs!$O$13))-1)/inputs!$N$13&lt;0, 0, IF((((inputs!$P$13/(X589/MAX(K589:S589)))^(1/inputs!$O$13))-1)/inputs!$N$13&lt;inputs!$I$17, (((inputs!$P$13/(X589/MAX(K589:S589)))^(1/inputs!$O$13))-1)/inputs!$N$13, inputs!$I$17))</f>
        <v>10.770722840187952</v>
      </c>
      <c r="V589" s="54">
        <f>inputs!$E$70*(inputs!$F$70/F589)^(0.25)</f>
        <v>2.7042020921926482</v>
      </c>
      <c r="W589" s="54">
        <f>inputs!$E$76*(inputs!$F$76/F589)^(0.25)</f>
        <v>0.81337298514425049</v>
      </c>
      <c r="X589" s="54">
        <f>inputs!$E$72*(inputs!$F$72/F589)^(0.25)</f>
        <v>119.30303347908743</v>
      </c>
      <c r="Y589" s="54" t="s">
        <v>13</v>
      </c>
      <c r="Z589" s="106">
        <f t="shared" si="66"/>
        <v>166.72386367360713</v>
      </c>
      <c r="AA589" s="106">
        <f t="shared" si="67"/>
        <v>554.30292030740588</v>
      </c>
    </row>
    <row r="590" spans="1:27" x14ac:dyDescent="0.25">
      <c r="A590" s="55" t="s">
        <v>550</v>
      </c>
      <c r="B590" s="49" t="s">
        <v>551</v>
      </c>
      <c r="C590" s="21" t="s">
        <v>61</v>
      </c>
      <c r="D590" s="20" t="s">
        <v>443</v>
      </c>
      <c r="E590" s="20">
        <v>50</v>
      </c>
      <c r="F590" s="21">
        <v>12</v>
      </c>
      <c r="G590" s="21" t="s">
        <v>145</v>
      </c>
      <c r="H590" s="21">
        <v>0.66</v>
      </c>
      <c r="I590" s="68">
        <f>MAX('Max rate concentrations'!$M$3:$M$368)</f>
        <v>17.092910873809167</v>
      </c>
      <c r="J590" s="68">
        <f>MAX('Max rate concentrations'!AE:AE)</f>
        <v>11.81956602976166</v>
      </c>
      <c r="K590" s="70">
        <f t="shared" si="64"/>
        <v>10.565880341168258</v>
      </c>
      <c r="L590" s="70">
        <f t="shared" si="65"/>
        <v>7.3061938529354995</v>
      </c>
      <c r="M590" s="70">
        <f>IF((((0.326*F590^0.818)-(0.398*F590^0.85)/(1-H590)*H590)*(MAX('Max rate concentrations'!$P$3:$P$368)))/F590&gt;0, (((0.326*F590^0.818)-(0.398*F590^0.85)/(1-H590)*H590)*(MAX('Max rate concentrations'!$P$3:$P$368)))/F590, 0)</f>
        <v>0</v>
      </c>
      <c r="N590" s="70">
        <f>IF((((0.326*F590^0.818)-(0.398*F590^0.85)/(1-H590)*H590)*(MAX('Max rate concentrations'!$Q$3:$Q$368)))/F590&gt; 0, (((0.326*F590^0.818)-(0.398*F590^0.85)/(1-H590)*H590)*(MAX('Max rate concentrations'!$Q$3:$Q$368)))/F590, 0)</f>
        <v>0</v>
      </c>
      <c r="O590" s="70">
        <f>((MAX('Max rate concentrations'!$F$3:$F$368))*0.62*6.01*8*(12.3*F590^0.65)*0.079*0.1/F590)*inputs!$E$73/inputs!$E$74</f>
        <v>113.45087263972519</v>
      </c>
      <c r="P590" s="70">
        <f>((MAX('Max rate concentrations'!Y:Y))*0.62*6.01*8*(12.3*F590^0.65)*0.079*0.1/F590)*inputs!$E$73/inputs!$E$74</f>
        <v>37.816957546575082</v>
      </c>
      <c r="Q590" s="70">
        <f>(inputs!$C$18*11.2*(12.3*F590^0.65)*0.5/F590)*inputs!$E$73/inputs!$E$74</f>
        <v>19.983836115587753</v>
      </c>
      <c r="R590" s="60">
        <f>(60*379*((F590/1000)^0.8)*3*24*(MAX('Max rate concentrations'!$R$3:$R$368))/F590)*(inputs!$E$73/inputs!$E$75)</f>
        <v>2.6735755385671349E-2</v>
      </c>
      <c r="S590" s="60">
        <f>(IF(inputs!$C$17="aerial",((0.025*0.112*inputs!$C$18/3.3)*(3*60*379*((F590/1000)^0.8))*MAX(inputs!$I$14:$I$16))/F590,((0.0083*0.112*inputs!$C$18/1)*(3*60*379*((F590/1000)^0.8))*MAX(inputs!$I$14:$I$16))/F590))*(inputs!E$75/inputs!$E$73)</f>
        <v>0.14744933355158416</v>
      </c>
      <c r="T590" s="63">
        <f>IF((((inputs!$P$13/(V590/MAX(K590:S590)))^(1/inputs!$O$13))-1)/inputs!$N$13&lt;0, 0, IF((((inputs!$P$13/(V590/MAX(K590:S590)))^(1/inputs!$O$13))-1)/inputs!$N$13&lt;inputs!$I$17, (((inputs!$P$13/(V590/MAX(K590:S590)))^(1/inputs!$O$13))-1)/inputs!$N$13, inputs!$I$17))</f>
        <v>106.82929344674648</v>
      </c>
      <c r="U590" s="63">
        <f>IF((((inputs!$P$13/(X590/MAX(K590:S590)))^(1/inputs!$O$13))-1)/inputs!$N$13&lt;0, 0, IF((((inputs!$P$13/(X590/MAX(K590:S590)))^(1/inputs!$O$13))-1)/inputs!$N$13&lt;inputs!$I$17, (((inputs!$P$13/(X590/MAX(K590:S590)))^(1/inputs!$O$13))-1)/inputs!$N$13, inputs!$I$17))</f>
        <v>1.4534229774466291E-2</v>
      </c>
      <c r="V590" s="54">
        <f>inputs!$E$70*(inputs!$F$70/F590)^(0.25)</f>
        <v>2.7042020921926482</v>
      </c>
      <c r="W590" s="54">
        <f>inputs!$E$76*(inputs!$F$76/F590)^(0.25)</f>
        <v>0.81337298514425049</v>
      </c>
      <c r="X590" s="54">
        <f>inputs!$E$72*(inputs!$F$72/F590)^(0.25)</f>
        <v>119.30303347908743</v>
      </c>
      <c r="Y590" s="54" t="s">
        <v>13</v>
      </c>
      <c r="Z590" s="106">
        <f t="shared" si="66"/>
        <v>41.953548134317067</v>
      </c>
      <c r="AA590" s="106">
        <f t="shared" si="67"/>
        <v>139.48197777874913</v>
      </c>
    </row>
    <row r="591" spans="1:27" x14ac:dyDescent="0.25">
      <c r="A591" s="55" t="s">
        <v>550</v>
      </c>
      <c r="B591" s="49" t="s">
        <v>551</v>
      </c>
      <c r="C591" s="21" t="s">
        <v>61</v>
      </c>
      <c r="D591" s="20" t="s">
        <v>443</v>
      </c>
      <c r="E591" s="20">
        <v>50</v>
      </c>
      <c r="F591" s="21">
        <v>12</v>
      </c>
      <c r="G591" s="21" t="s">
        <v>154</v>
      </c>
      <c r="H591" s="21">
        <v>9.2999999999999999E-2</v>
      </c>
      <c r="I591" s="68">
        <f>MAX('Max rate concentrations'!$G$3:$G$368)</f>
        <v>45</v>
      </c>
      <c r="J591" s="68">
        <f>MAX('Max rate concentrations'!Z:Z)</f>
        <v>21</v>
      </c>
      <c r="K591" s="70">
        <f t="shared" si="64"/>
        <v>10.42734645819638</v>
      </c>
      <c r="L591" s="70">
        <f t="shared" si="65"/>
        <v>4.8660950138249772</v>
      </c>
      <c r="M591" s="70">
        <f>IF((((0.326*F591^0.818)-(0.398*F591^0.85)/(1-H591)*H591)*(MAX('Max rate concentrations'!$P$3:$P$368)))/F591&gt;0, (((0.326*F591^0.818)-(0.398*F591^0.85)/(1-H591)*H591)*(MAX('Max rate concentrations'!$P$3:$P$368)))/F591, 0)</f>
        <v>0.15613948637630762</v>
      </c>
      <c r="N591" s="70">
        <f>IF((((0.326*F591^0.818)-(0.398*F591^0.85)/(1-H591)*H591)*(MAX('Max rate concentrations'!$Q$3:$Q$368)))/F591&gt; 0, (((0.326*F591^0.818)-(0.398*F591^0.85)/(1-H591)*H591)*(MAX('Max rate concentrations'!$Q$3:$Q$368)))/F591, 0)</f>
        <v>0.59458755375869743</v>
      </c>
      <c r="O591" s="70">
        <f>((MAX('Max rate concentrations'!$F$3:$F$368))*0.62*6.01*8*(12.3*F591^0.65)*0.079*0.1/F591)*inputs!$E$73/inputs!$E$74</f>
        <v>113.45087263972519</v>
      </c>
      <c r="P591" s="70">
        <f>((MAX('Max rate concentrations'!Y:Y))*0.62*6.01*8*(12.3*F591^0.65)*0.079*0.1/F591)*inputs!$E$73/inputs!$E$74</f>
        <v>37.816957546575082</v>
      </c>
      <c r="Q591" s="70">
        <f>(inputs!$C$18*11.2*(12.3*F591^0.65)*0.5/F591)*inputs!$E$73/inputs!$E$74</f>
        <v>19.983836115587753</v>
      </c>
      <c r="R591" s="60">
        <f>(60*379*((F591/1000)^0.8)*3*24*(MAX('Max rate concentrations'!$R$3:$R$368))/F591)*(inputs!$E$73/inputs!$E$75)</f>
        <v>2.6735755385671349E-2</v>
      </c>
      <c r="S591" s="60">
        <f>(IF(inputs!$C$17="aerial",((0.025*0.112*inputs!$C$18/3.3)*(3*60*379*((F591/1000)^0.8))*MAX(inputs!$I$14:$I$16))/F591,((0.0083*0.112*inputs!$C$18/1)*(3*60*379*((F591/1000)^0.8))*MAX(inputs!$I$14:$I$16))/F591))*(inputs!E$75/inputs!$E$73)</f>
        <v>0.14744933355158416</v>
      </c>
      <c r="T591" s="63">
        <f>IF((((inputs!$P$13/(V591/MAX(K591:S591)))^(1/inputs!$O$13))-1)/inputs!$N$13&lt;0, 0, IF((((inputs!$P$13/(V591/MAX(K591:S591)))^(1/inputs!$O$13))-1)/inputs!$N$13&lt;inputs!$I$17, (((inputs!$P$13/(V591/MAX(K591:S591)))^(1/inputs!$O$13))-1)/inputs!$N$13, inputs!$I$17))</f>
        <v>106.82929344674648</v>
      </c>
      <c r="U591" s="63">
        <f>IF((((inputs!$P$13/(X591/MAX(K591:S591)))^(1/inputs!$O$13))-1)/inputs!$N$13&lt;0, 0, IF((((inputs!$P$13/(X591/MAX(K591:S591)))^(1/inputs!$O$13))-1)/inputs!$N$13&lt;inputs!$I$17, (((inputs!$P$13/(X591/MAX(K591:S591)))^(1/inputs!$O$13))-1)/inputs!$N$13, inputs!$I$17))</f>
        <v>1.4534229774466291E-2</v>
      </c>
      <c r="V591" s="54">
        <f>inputs!$E$70*(inputs!$F$70/F591)^(0.25)</f>
        <v>2.7042020921926482</v>
      </c>
      <c r="W591" s="54">
        <f>inputs!$E$76*(inputs!$F$76/F591)^(0.25)</f>
        <v>0.81337298514425049</v>
      </c>
      <c r="X591" s="54">
        <f>inputs!$E$72*(inputs!$F$72/F591)^(0.25)</f>
        <v>119.30303347908743</v>
      </c>
      <c r="Y591" s="54" t="s">
        <v>13</v>
      </c>
      <c r="Z591" s="106">
        <f t="shared" si="66"/>
        <v>41.953548134317067</v>
      </c>
      <c r="AA591" s="106">
        <f t="shared" si="67"/>
        <v>139.48197777874913</v>
      </c>
    </row>
    <row r="592" spans="1:27" x14ac:dyDescent="0.25">
      <c r="A592" s="55" t="s">
        <v>490</v>
      </c>
      <c r="B592" s="49" t="s">
        <v>491</v>
      </c>
      <c r="C592" s="21" t="s">
        <v>61</v>
      </c>
      <c r="D592" s="20" t="s">
        <v>443</v>
      </c>
      <c r="E592" s="20">
        <v>42</v>
      </c>
      <c r="F592" s="21">
        <v>90</v>
      </c>
      <c r="G592" s="21" t="s">
        <v>152</v>
      </c>
      <c r="H592" s="21">
        <v>0.77</v>
      </c>
      <c r="I592" s="68">
        <f>MAX('Max rate concentrations'!$G$3:$G$368)</f>
        <v>45</v>
      </c>
      <c r="J592" s="68">
        <f>MAX('Max rate concentrations'!Z:Z)</f>
        <v>21</v>
      </c>
      <c r="K592" s="70">
        <f t="shared" si="64"/>
        <v>17.081521181043403</v>
      </c>
      <c r="L592" s="70">
        <f t="shared" si="65"/>
        <v>7.9713765511535879</v>
      </c>
      <c r="M592" s="70">
        <f>IF((((0.326*F592^0.818)-(0.398*F592^0.85)/(1-H592)*H592)*(MAX('Max rate concentrations'!$P$3:$P$368)))/F592&gt;0, (((0.326*F592^0.818)-(0.398*F592^0.85)/(1-H592)*H592)*(MAX('Max rate concentrations'!$P$3:$P$368)))/F592, 0)</f>
        <v>0</v>
      </c>
      <c r="N592" s="70">
        <f>IF((((0.326*F592^0.818)-(0.398*F592^0.85)/(1-H592)*H592)*(MAX('Max rate concentrations'!$Q$3:$Q$368)))/F592&gt; 0, (((0.326*F592^0.818)-(0.398*F592^0.85)/(1-H592)*H592)*(MAX('Max rate concentrations'!$Q$3:$Q$368)))/F592, 0)</f>
        <v>0</v>
      </c>
      <c r="O592" s="70">
        <f>((MAX('Max rate concentrations'!$F$3:$F$368))*0.62*6.01*8*(12.3*F592^0.65)*0.079*0.1/F592)*inputs!$E$73/inputs!$E$74</f>
        <v>56.044938707967425</v>
      </c>
      <c r="P592" s="70">
        <f>((MAX('Max rate concentrations'!Y:Y))*0.62*6.01*8*(12.3*F592^0.65)*0.079*0.1/F592)*inputs!$E$73/inputs!$E$74</f>
        <v>18.681646235989138</v>
      </c>
      <c r="Q592" s="70">
        <f>(inputs!$C$18*11.2*(12.3*F592^0.65)*0.5/F592)*inputs!$E$73/inputs!$E$74</f>
        <v>9.8720516130786642</v>
      </c>
      <c r="R592" s="60">
        <f>(60*379*((F592/1000)^0.8)*3*24*(MAX('Max rate concentrations'!$R$3:$R$368))/F592)*(inputs!$E$73/inputs!$E$75)</f>
        <v>1.7868175374629924E-2</v>
      </c>
      <c r="S592" s="60">
        <f>(IF(inputs!$C$17="aerial",((0.025*0.112*inputs!$C$18/3.3)*(3*60*379*((F592/1000)^0.8))*MAX(inputs!$I$14:$I$16))/F592,((0.0083*0.112*inputs!$C$18/1)*(3*60*379*((F592/1000)^0.8))*MAX(inputs!$I$14:$I$16))/F592))*(inputs!E$75/inputs!$E$73)</f>
        <v>9.8544084981567914E-2</v>
      </c>
      <c r="T592" s="63">
        <f>IF((((inputs!$P$13/(V592/MAX(K592:S592)))^(1/inputs!$O$13))-1)/inputs!$N$13&lt;0, 0, IF((((inputs!$P$13/(V592/MAX(K592:S592)))^(1/inputs!$O$13))-1)/inputs!$N$13&lt;inputs!$I$17, (((inputs!$P$13/(V592/MAX(K592:S592)))^(1/inputs!$O$13))-1)/inputs!$N$13, inputs!$I$17))</f>
        <v>89.980793181873523</v>
      </c>
      <c r="U592" s="63">
        <f>IF((((inputs!$P$13/(X592/MAX(K592:S592)))^(1/inputs!$O$13))-1)/inputs!$N$13&lt;0, 0, IF((((inputs!$P$13/(X592/MAX(K592:S592)))^(1/inputs!$O$13))-1)/inputs!$N$13&lt;inputs!$I$17, (((inputs!$P$13/(X592/MAX(K592:S592)))^(1/inputs!$O$13))-1)/inputs!$N$13, inputs!$I$17))</f>
        <v>0</v>
      </c>
      <c r="V592" s="54">
        <f>inputs!$E$70*(inputs!$F$70/F592)^(0.25)</f>
        <v>1.6340819341663133</v>
      </c>
      <c r="W592" s="54">
        <f>inputs!$E$76*(inputs!$F$76/F592)^(0.25)</f>
        <v>0.49150102523789407</v>
      </c>
      <c r="X592" s="54">
        <f>inputs!$E$72*(inputs!$F$72/F592)^(0.25)</f>
        <v>72.091850036749122</v>
      </c>
      <c r="Y592" s="54" t="s">
        <v>13</v>
      </c>
      <c r="Z592" s="106">
        <f t="shared" si="66"/>
        <v>34.297508304906877</v>
      </c>
      <c r="AA592" s="106">
        <f t="shared" si="67"/>
        <v>114.02812167246408</v>
      </c>
    </row>
    <row r="593" spans="1:27" ht="26.4" x14ac:dyDescent="0.25">
      <c r="A593" s="55" t="s">
        <v>490</v>
      </c>
      <c r="B593" s="49" t="s">
        <v>491</v>
      </c>
      <c r="C593" s="21" t="s">
        <v>61</v>
      </c>
      <c r="D593" s="20" t="s">
        <v>443</v>
      </c>
      <c r="E593" s="20">
        <v>42</v>
      </c>
      <c r="F593" s="21">
        <v>90</v>
      </c>
      <c r="G593" s="21" t="s">
        <v>492</v>
      </c>
      <c r="H593" s="21">
        <v>0.85</v>
      </c>
      <c r="I593" s="68">
        <f>MAX('Max rate concentrations'!$F$3:$F$368)</f>
        <v>405</v>
      </c>
      <c r="J593" s="68">
        <f>MAX('Max rate concentrations'!Y:Y)</f>
        <v>135</v>
      </c>
      <c r="K593" s="70">
        <f t="shared" si="64"/>
        <v>235.72499229839892</v>
      </c>
      <c r="L593" s="70">
        <f t="shared" si="65"/>
        <v>78.574997432799648</v>
      </c>
      <c r="M593" s="70">
        <f>IF((((0.326*F593^0.818)-(0.398*F593^0.85)/(1-H593)*H593)*(MAX('Max rate concentrations'!$P$3:$P$368)))/F593&gt;0, (((0.326*F593^0.818)-(0.398*F593^0.85)/(1-H593)*H593)*(MAX('Max rate concentrations'!$P$3:$P$368)))/F593, 0)</f>
        <v>0</v>
      </c>
      <c r="N593" s="70">
        <f>IF((((0.326*F593^0.818)-(0.398*F593^0.85)/(1-H593)*H593)*(MAX('Max rate concentrations'!$Q$3:$Q$368)))/F593&gt; 0, (((0.326*F593^0.818)-(0.398*F593^0.85)/(1-H593)*H593)*(MAX('Max rate concentrations'!$Q$3:$Q$368)))/F593, 0)</f>
        <v>0</v>
      </c>
      <c r="O593" s="70">
        <f>((MAX('Max rate concentrations'!$F$3:$F$368))*0.62*6.01*8*(12.3*F593^0.65)*0.079*0.1/F593)*inputs!$E$73/inputs!$E$74</f>
        <v>56.044938707967425</v>
      </c>
      <c r="P593" s="70">
        <f>((MAX('Max rate concentrations'!Y:Y))*0.62*6.01*8*(12.3*F593^0.65)*0.079*0.1/F593)*inputs!$E$73/inputs!$E$74</f>
        <v>18.681646235989138</v>
      </c>
      <c r="Q593" s="70">
        <f>(inputs!$C$18*11.2*(12.3*F593^0.65)*0.5/F593)*inputs!$E$73/inputs!$E$74</f>
        <v>9.8720516130786642</v>
      </c>
      <c r="R593" s="60">
        <f>(60*379*((F593/1000)^0.8)*3*24*(MAX('Max rate concentrations'!$R$3:$R$368))/F593)*(inputs!$E$73/inputs!$E$75)</f>
        <v>1.7868175374629924E-2</v>
      </c>
      <c r="S593" s="60">
        <f>(IF(inputs!$C$17="aerial",((0.025*0.112*inputs!$C$18/3.3)*(3*60*379*((F593/1000)^0.8))*MAX(inputs!$I$14:$I$16))/F593,((0.0083*0.112*inputs!$C$18/1)*(3*60*379*((F593/1000)^0.8))*MAX(inputs!$I$14:$I$16))/F593))*(inputs!E$75/inputs!$E$73)</f>
        <v>9.8544084981567914E-2</v>
      </c>
      <c r="T593" s="63">
        <f>IF((((inputs!$P$13/(V593/MAX(K593:S593)))^(1/inputs!$O$13))-1)/inputs!$N$13&lt;0, 0, IF((((inputs!$P$13/(V593/MAX(K593:S593)))^(1/inputs!$O$13))-1)/inputs!$N$13&lt;inputs!$I$17, (((inputs!$P$13/(V593/MAX(K593:S593)))^(1/inputs!$O$13))-1)/inputs!$N$13, inputs!$I$17))</f>
        <v>298.98573488453121</v>
      </c>
      <c r="U593" s="63">
        <f>IF((((inputs!$P$13/(X593/MAX(K593:S593)))^(1/inputs!$O$13))-1)/inputs!$N$13&lt;0, 0, IF((((inputs!$P$13/(X593/MAX(K593:S593)))^(1/inputs!$O$13))-1)/inputs!$N$13&lt;inputs!$I$17, (((inputs!$P$13/(X593/MAX(K593:S593)))^(1/inputs!$O$13))-1)/inputs!$N$13, inputs!$I$17))</f>
        <v>9.0034651515317865</v>
      </c>
      <c r="V593" s="54">
        <f>inputs!$E$70*(inputs!$F$70/F593)^(0.25)</f>
        <v>1.6340819341663133</v>
      </c>
      <c r="W593" s="54">
        <f>inputs!$E$76*(inputs!$F$76/F593)^(0.25)</f>
        <v>0.49150102523789407</v>
      </c>
      <c r="X593" s="54">
        <f>inputs!$E$72*(inputs!$F$72/F593)^(0.25)</f>
        <v>72.091850036749122</v>
      </c>
      <c r="Y593" s="54" t="s">
        <v>13</v>
      </c>
      <c r="Z593" s="106">
        <f t="shared" si="66"/>
        <v>144.25530774787168</v>
      </c>
      <c r="AA593" s="106">
        <f t="shared" si="67"/>
        <v>479.60223925129026</v>
      </c>
    </row>
    <row r="594" spans="1:27" x14ac:dyDescent="0.25">
      <c r="A594" s="55" t="s">
        <v>490</v>
      </c>
      <c r="B594" s="49" t="s">
        <v>491</v>
      </c>
      <c r="C594" s="21" t="s">
        <v>61</v>
      </c>
      <c r="D594" s="20" t="s">
        <v>443</v>
      </c>
      <c r="E594" s="20">
        <v>42</v>
      </c>
      <c r="F594" s="21">
        <v>90</v>
      </c>
      <c r="G594" s="21" t="s">
        <v>154</v>
      </c>
      <c r="H594" s="21">
        <v>9.2999999999999999E-2</v>
      </c>
      <c r="I594" s="68">
        <f>MAX('Max rate concentrations'!$G$3:$G$368)</f>
        <v>45</v>
      </c>
      <c r="J594" s="68">
        <f>MAX('Max rate concentrations'!Z:Z)</f>
        <v>21</v>
      </c>
      <c r="K594" s="70">
        <f t="shared" si="64"/>
        <v>4.3315875100771581</v>
      </c>
      <c r="L594" s="70">
        <f t="shared" si="65"/>
        <v>2.0214075047026738</v>
      </c>
      <c r="M594" s="70">
        <f>IF((((0.326*F594^0.818)-(0.398*F594^0.85)/(1-H594)*H594)*(MAX('Max rate concentrations'!$P$3:$P$368)))/F594&gt;0, (((0.326*F594^0.818)-(0.398*F594^0.85)/(1-H594)*H594)*(MAX('Max rate concentrations'!$P$3:$P$368)))/F594, 0)</f>
        <v>0.10707610300918717</v>
      </c>
      <c r="N594" s="70">
        <f>IF((((0.326*F594^0.818)-(0.398*F594^0.85)/(1-H594)*H594)*(MAX('Max rate concentrations'!$Q$3:$Q$368)))/F594&gt; 0, (((0.326*F594^0.818)-(0.398*F594^0.85)/(1-H594)*H594)*(MAX('Max rate concentrations'!$Q$3:$Q$368)))/F594, 0)</f>
        <v>0.40775155363843635</v>
      </c>
      <c r="O594" s="70">
        <f>((MAX('Max rate concentrations'!$F$3:$F$368))*0.62*6.01*8*(12.3*F594^0.65)*0.079*0.1/F594)*inputs!$E$73/inputs!$E$74</f>
        <v>56.044938707967425</v>
      </c>
      <c r="P594" s="70">
        <f>((MAX('Max rate concentrations'!Y:Y))*0.62*6.01*8*(12.3*F594^0.65)*0.079*0.1/F594)*inputs!$E$73/inputs!$E$74</f>
        <v>18.681646235989138</v>
      </c>
      <c r="Q594" s="70">
        <f>(inputs!$C$18*11.2*(12.3*F594^0.65)*0.5/F594)*inputs!$E$73/inputs!$E$74</f>
        <v>9.8720516130786642</v>
      </c>
      <c r="R594" s="60">
        <f>(60*379*((F594/1000)^0.8)*3*24*(MAX('Max rate concentrations'!$R$3:$R$368))/F594)*(inputs!$E$73/inputs!$E$75)</f>
        <v>1.7868175374629924E-2</v>
      </c>
      <c r="S594" s="60">
        <f>(IF(inputs!$C$17="aerial",((0.025*0.112*inputs!$C$18/3.3)*(3*60*379*((F594/1000)^0.8))*MAX(inputs!$I$14:$I$16))/F594,((0.0083*0.112*inputs!$C$18/1)*(3*60*379*((F594/1000)^0.8))*MAX(inputs!$I$14:$I$16))/F594))*(inputs!E$75/inputs!$E$73)</f>
        <v>9.8544084981567914E-2</v>
      </c>
      <c r="T594" s="63">
        <f>IF((((inputs!$P$13/(V594/MAX(K594:S594)))^(1/inputs!$O$13))-1)/inputs!$N$13&lt;0, 0, IF((((inputs!$P$13/(V594/MAX(K594:S594)))^(1/inputs!$O$13))-1)/inputs!$N$13&lt;inputs!$I$17, (((inputs!$P$13/(V594/MAX(K594:S594)))^(1/inputs!$O$13))-1)/inputs!$N$13, inputs!$I$17))</f>
        <v>89.980793181873523</v>
      </c>
      <c r="U594" s="63">
        <f>IF((((inputs!$P$13/(X594/MAX(K594:S594)))^(1/inputs!$O$13))-1)/inputs!$N$13&lt;0, 0, IF((((inputs!$P$13/(X594/MAX(K594:S594)))^(1/inputs!$O$13))-1)/inputs!$N$13&lt;inputs!$I$17, (((inputs!$P$13/(X594/MAX(K594:S594)))^(1/inputs!$O$13))-1)/inputs!$N$13, inputs!$I$17))</f>
        <v>0</v>
      </c>
      <c r="V594" s="54">
        <f>inputs!$E$70*(inputs!$F$70/F594)^(0.25)</f>
        <v>1.6340819341663133</v>
      </c>
      <c r="W594" s="54">
        <f>inputs!$E$76*(inputs!$F$76/F594)^(0.25)</f>
        <v>0.49150102523789407</v>
      </c>
      <c r="X594" s="54">
        <f>inputs!$E$72*(inputs!$F$72/F594)^(0.25)</f>
        <v>72.091850036749122</v>
      </c>
      <c r="Y594" s="54" t="s">
        <v>13</v>
      </c>
      <c r="Z594" s="106">
        <f t="shared" si="66"/>
        <v>34.297508304906877</v>
      </c>
      <c r="AA594" s="106">
        <f t="shared" si="67"/>
        <v>114.02812167246408</v>
      </c>
    </row>
    <row r="595" spans="1:27" x14ac:dyDescent="0.25">
      <c r="A595" s="55" t="s">
        <v>542</v>
      </c>
      <c r="B595" s="49" t="s">
        <v>543</v>
      </c>
      <c r="C595" s="21" t="s">
        <v>61</v>
      </c>
      <c r="D595" s="20" t="s">
        <v>443</v>
      </c>
      <c r="E595" s="20">
        <v>34</v>
      </c>
      <c r="F595" s="21">
        <v>15</v>
      </c>
      <c r="G595" s="21" t="s">
        <v>182</v>
      </c>
      <c r="H595" s="21">
        <v>0.85</v>
      </c>
      <c r="I595" s="68">
        <f>MAX('Max rate concentrations'!$M$3:$M$368)</f>
        <v>17.092910873809167</v>
      </c>
      <c r="J595" s="68">
        <f>MAX('Max rate concentrations'!AE:AE)</f>
        <v>11.81956602976166</v>
      </c>
      <c r="K595" s="70">
        <f t="shared" si="64"/>
        <v>21.729042046600661</v>
      </c>
      <c r="L595" s="70">
        <f t="shared" si="65"/>
        <v>15.025401415202587</v>
      </c>
      <c r="M595" s="70">
        <f>IF((((0.326*F595^0.818)-(0.398*F595^0.85)/(1-H595)*H595)*(MAX('Max rate concentrations'!$P$3:$P$368)))/F595&gt;0, (((0.326*F595^0.818)-(0.398*F595^0.85)/(1-H595)*H595)*(MAX('Max rate concentrations'!$P$3:$P$368)))/F595, 0)</f>
        <v>0</v>
      </c>
      <c r="N595" s="70">
        <f>IF((((0.326*F595^0.818)-(0.398*F595^0.85)/(1-H595)*H595)*(MAX('Max rate concentrations'!$Q$3:$Q$368)))/F595&gt; 0, (((0.326*F595^0.818)-(0.398*F595^0.85)/(1-H595)*H595)*(MAX('Max rate concentrations'!$Q$3:$Q$368)))/F595, 0)</f>
        <v>0</v>
      </c>
      <c r="O595" s="70">
        <f>((MAX('Max rate concentrations'!$F$3:$F$368))*0.62*6.01*8*(12.3*F595^0.65)*0.079*0.1/F595)*inputs!$E$73/inputs!$E$74</f>
        <v>104.92750258141861</v>
      </c>
      <c r="P595" s="70">
        <f>((MAX('Max rate concentrations'!Y:Y))*0.62*6.01*8*(12.3*F595^0.65)*0.079*0.1/F595)*inputs!$E$73/inputs!$E$74</f>
        <v>34.9758341938062</v>
      </c>
      <c r="Q595" s="70">
        <f>(inputs!$C$18*11.2*(12.3*F595^0.65)*0.5/F595)*inputs!$E$73/inputs!$E$74</f>
        <v>18.482484680957491</v>
      </c>
      <c r="R595" s="60">
        <f>(60*379*((F595/1000)^0.8)*3*24*(MAX('Max rate concentrations'!$R$3:$R$368))/F595)*(inputs!$E$73/inputs!$E$75)</f>
        <v>2.5568806496861746E-2</v>
      </c>
      <c r="S595" s="60">
        <f>(IF(inputs!$C$17="aerial",((0.025*0.112*inputs!$C$18/3.3)*(3*60*379*((F595/1000)^0.8))*MAX(inputs!$I$14:$I$16))/F595,((0.0083*0.112*inputs!$C$18/1)*(3*60*379*((F595/1000)^0.8))*MAX(inputs!$I$14:$I$16))/F595))*(inputs!E$75/inputs!$E$73)</f>
        <v>0.14101353873443245</v>
      </c>
      <c r="T595" s="63">
        <f>IF((((inputs!$P$13/(V595/MAX(K595:S595)))^(1/inputs!$O$13))-1)/inputs!$N$13&lt;0, 0, IF((((inputs!$P$13/(V595/MAX(K595:S595)))^(1/inputs!$O$13))-1)/inputs!$N$13&lt;inputs!$I$17, (((inputs!$P$13/(V595/MAX(K595:S595)))^(1/inputs!$O$13))-1)/inputs!$N$13, inputs!$I$17))</f>
        <v>104.82537355984883</v>
      </c>
      <c r="U595" s="63">
        <f>IF((((inputs!$P$13/(X595/MAX(K595:S595)))^(1/inputs!$O$13))-1)/inputs!$N$13&lt;0, 0, IF((((inputs!$P$13/(X595/MAX(K595:S595)))^(1/inputs!$O$13))-1)/inputs!$N$13&lt;inputs!$I$17, (((inputs!$P$13/(X595/MAX(K595:S595)))^(1/inputs!$O$13))-1)/inputs!$N$13, inputs!$I$17))</f>
        <v>0</v>
      </c>
      <c r="V595" s="54">
        <f>inputs!$E$70*(inputs!$F$70/F595)^(0.25)</f>
        <v>2.5574764377400299</v>
      </c>
      <c r="W595" s="54">
        <f>inputs!$E$76*(inputs!$F$76/F595)^(0.25)</f>
        <v>0.76924067569003962</v>
      </c>
      <c r="X595" s="54">
        <f>inputs!$E$72*(inputs!$F$72/F595)^(0.25)</f>
        <v>112.82984284147192</v>
      </c>
      <c r="Y595" s="54" t="s">
        <v>13</v>
      </c>
      <c r="Z595" s="106">
        <f t="shared" si="66"/>
        <v>41.027749477191705</v>
      </c>
      <c r="AA595" s="106">
        <f t="shared" si="67"/>
        <v>136.40399669101538</v>
      </c>
    </row>
    <row r="596" spans="1:27" x14ac:dyDescent="0.25">
      <c r="A596" s="55" t="s">
        <v>542</v>
      </c>
      <c r="B596" s="49" t="s">
        <v>543</v>
      </c>
      <c r="C596" s="21" t="s">
        <v>61</v>
      </c>
      <c r="D596" s="20" t="s">
        <v>443</v>
      </c>
      <c r="E596" s="20">
        <v>34</v>
      </c>
      <c r="F596" s="21">
        <v>15</v>
      </c>
      <c r="G596" s="21" t="s">
        <v>142</v>
      </c>
      <c r="H596" s="21">
        <v>0.69</v>
      </c>
      <c r="I596" s="68">
        <f>MAX('Max rate concentrations'!$H$3:$H$368)</f>
        <v>282</v>
      </c>
      <c r="J596" s="68">
        <f>MAX('Max rate concentrations'!AA:AA)</f>
        <v>195</v>
      </c>
      <c r="K596" s="70">
        <f t="shared" si="64"/>
        <v>173.46155116527132</v>
      </c>
      <c r="L596" s="70">
        <f t="shared" si="65"/>
        <v>119.94681729513441</v>
      </c>
      <c r="M596" s="70">
        <f>IF((((0.326*F596^0.818)-(0.398*F596^0.85)/(1-H596)*H596)*(MAX('Max rate concentrations'!$P$3:$P$368)))/F596&gt;0, (((0.326*F596^0.818)-(0.398*F596^0.85)/(1-H596)*H596)*(MAX('Max rate concentrations'!$P$3:$P$368)))/F596, 0)</f>
        <v>0</v>
      </c>
      <c r="N596" s="70">
        <f>IF((((0.326*F596^0.818)-(0.398*F596^0.85)/(1-H596)*H596)*(MAX('Max rate concentrations'!$Q$3:$Q$368)))/F596&gt; 0, (((0.326*F596^0.818)-(0.398*F596^0.85)/(1-H596)*H596)*(MAX('Max rate concentrations'!$Q$3:$Q$368)))/F596, 0)</f>
        <v>0</v>
      </c>
      <c r="O596" s="70">
        <f>((MAX('Max rate concentrations'!$F$3:$F$368))*0.62*6.01*8*(12.3*F596^0.65)*0.079*0.1/F596)*inputs!$E$73/inputs!$E$74</f>
        <v>104.92750258141861</v>
      </c>
      <c r="P596" s="70">
        <f>((MAX('Max rate concentrations'!Y:Y))*0.62*6.01*8*(12.3*F596^0.65)*0.079*0.1/F596)*inputs!$E$73/inputs!$E$74</f>
        <v>34.9758341938062</v>
      </c>
      <c r="Q596" s="70">
        <f>(inputs!$C$18*11.2*(12.3*F596^0.65)*0.5/F596)*inputs!$E$73/inputs!$E$74</f>
        <v>18.482484680957491</v>
      </c>
      <c r="R596" s="60">
        <f>(60*379*((F596/1000)^0.8)*3*24*(MAX('Max rate concentrations'!$R$3:$R$368))/F596)*(inputs!$E$73/inputs!$E$75)</f>
        <v>2.5568806496861746E-2</v>
      </c>
      <c r="S596" s="60">
        <f>(IF(inputs!$C$17="aerial",((0.025*0.112*inputs!$C$18/3.3)*(3*60*379*((F596/1000)^0.8))*MAX(inputs!$I$14:$I$16))/F596,((0.0083*0.112*inputs!$C$18/1)*(3*60*379*((F596/1000)^0.8))*MAX(inputs!$I$14:$I$16))/F596))*(inputs!E$75/inputs!$E$73)</f>
        <v>0.14101353873443245</v>
      </c>
      <c r="T596" s="63">
        <f>IF((((inputs!$P$13/(V596/MAX(K596:S596)))^(1/inputs!$O$13))-1)/inputs!$N$13&lt;0, 0, IF((((inputs!$P$13/(V596/MAX(K596:S596)))^(1/inputs!$O$13))-1)/inputs!$N$13&lt;inputs!$I$17, (((inputs!$P$13/(V596/MAX(K596:S596)))^(1/inputs!$O$13))-1)/inputs!$N$13, inputs!$I$17))</f>
        <v>160.02380714494274</v>
      </c>
      <c r="U596" s="63">
        <f>IF((((inputs!$P$13/(X596/MAX(K596:S596)))^(1/inputs!$O$13))-1)/inputs!$N$13&lt;0, 0, IF((((inputs!$P$13/(X596/MAX(K596:S596)))^(1/inputs!$O$13))-1)/inputs!$N$13&lt;inputs!$I$17, (((inputs!$P$13/(X596/MAX(K596:S596)))^(1/inputs!$O$13))-1)/inputs!$N$13, inputs!$I$17))</f>
        <v>2.5029327735431672</v>
      </c>
      <c r="V596" s="54">
        <f>inputs!$E$70*(inputs!$F$70/F596)^(0.25)</f>
        <v>2.5574764377400299</v>
      </c>
      <c r="W596" s="54">
        <f>inputs!$E$76*(inputs!$F$76/F596)^(0.25)</f>
        <v>0.76924067569003962</v>
      </c>
      <c r="X596" s="54">
        <f>inputs!$E$72*(inputs!$F$72/F596)^(0.25)</f>
        <v>112.82984284147192</v>
      </c>
      <c r="Y596" s="54" t="s">
        <v>13</v>
      </c>
      <c r="Z596" s="106">
        <f t="shared" si="66"/>
        <v>67.82527831167603</v>
      </c>
      <c r="AA596" s="106">
        <f t="shared" si="67"/>
        <v>225.4971124735043</v>
      </c>
    </row>
    <row r="597" spans="1:27" x14ac:dyDescent="0.25">
      <c r="A597" s="55" t="s">
        <v>542</v>
      </c>
      <c r="B597" s="49" t="s">
        <v>543</v>
      </c>
      <c r="C597" s="21" t="s">
        <v>61</v>
      </c>
      <c r="D597" s="20" t="s">
        <v>443</v>
      </c>
      <c r="E597" s="20">
        <v>34</v>
      </c>
      <c r="F597" s="21">
        <v>15</v>
      </c>
      <c r="G597" s="21" t="s">
        <v>152</v>
      </c>
      <c r="H597" s="21">
        <v>0.77</v>
      </c>
      <c r="I597" s="68">
        <f>MAX('Max rate concentrations'!$G$3:$G$368)</f>
        <v>45</v>
      </c>
      <c r="J597" s="68">
        <f>MAX('Max rate concentrations'!Z:Z)</f>
        <v>21</v>
      </c>
      <c r="K597" s="70">
        <f t="shared" si="64"/>
        <v>37.307872937951515</v>
      </c>
      <c r="L597" s="70">
        <f t="shared" si="65"/>
        <v>17.410340704377372</v>
      </c>
      <c r="M597" s="70">
        <f>IF((((0.326*F597^0.818)-(0.398*F597^0.85)/(1-H597)*H597)*(MAX('Max rate concentrations'!$P$3:$P$368)))/F597&gt;0, (((0.326*F597^0.818)-(0.398*F597^0.85)/(1-H597)*H597)*(MAX('Max rate concentrations'!$P$3:$P$368)))/F597, 0)</f>
        <v>0</v>
      </c>
      <c r="N597" s="70">
        <f>IF((((0.326*F597^0.818)-(0.398*F597^0.85)/(1-H597)*H597)*(MAX('Max rate concentrations'!$Q$3:$Q$368)))/F597&gt; 0, (((0.326*F597^0.818)-(0.398*F597^0.85)/(1-H597)*H597)*(MAX('Max rate concentrations'!$Q$3:$Q$368)))/F597, 0)</f>
        <v>0</v>
      </c>
      <c r="O597" s="70">
        <f>((MAX('Max rate concentrations'!$F$3:$F$368))*0.62*6.01*8*(12.3*F597^0.65)*0.079*0.1/F597)*inputs!$E$73/inputs!$E$74</f>
        <v>104.92750258141861</v>
      </c>
      <c r="P597" s="70">
        <f>((MAX('Max rate concentrations'!Y:Y))*0.62*6.01*8*(12.3*F597^0.65)*0.079*0.1/F597)*inputs!$E$73/inputs!$E$74</f>
        <v>34.9758341938062</v>
      </c>
      <c r="Q597" s="70">
        <f>(inputs!$C$18*11.2*(12.3*F597^0.65)*0.5/F597)*inputs!$E$73/inputs!$E$74</f>
        <v>18.482484680957491</v>
      </c>
      <c r="R597" s="60">
        <f>(60*379*((F597/1000)^0.8)*3*24*(MAX('Max rate concentrations'!$R$3:$R$368))/F597)*(inputs!$E$73/inputs!$E$75)</f>
        <v>2.5568806496861746E-2</v>
      </c>
      <c r="S597" s="60">
        <f>(IF(inputs!$C$17="aerial",((0.025*0.112*inputs!$C$18/3.3)*(3*60*379*((F597/1000)^0.8))*MAX(inputs!$I$14:$I$16))/F597,((0.0083*0.112*inputs!$C$18/1)*(3*60*379*((F597/1000)^0.8))*MAX(inputs!$I$14:$I$16))/F597))*(inputs!E$75/inputs!$E$73)</f>
        <v>0.14101353873443245</v>
      </c>
      <c r="T597" s="63">
        <f>IF((((inputs!$P$13/(V597/MAX(K597:S597)))^(1/inputs!$O$13))-1)/inputs!$N$13&lt;0, 0, IF((((inputs!$P$13/(V597/MAX(K597:S597)))^(1/inputs!$O$13))-1)/inputs!$N$13&lt;inputs!$I$17, (((inputs!$P$13/(V597/MAX(K597:S597)))^(1/inputs!$O$13))-1)/inputs!$N$13, inputs!$I$17))</f>
        <v>104.82537355984883</v>
      </c>
      <c r="U597" s="63">
        <f>IF((((inputs!$P$13/(X597/MAX(K597:S597)))^(1/inputs!$O$13))-1)/inputs!$N$13&lt;0, 0, IF((((inputs!$P$13/(X597/MAX(K597:S597)))^(1/inputs!$O$13))-1)/inputs!$N$13&lt;inputs!$I$17, (((inputs!$P$13/(X597/MAX(K597:S597)))^(1/inputs!$O$13))-1)/inputs!$N$13, inputs!$I$17))</f>
        <v>0</v>
      </c>
      <c r="V597" s="54">
        <f>inputs!$E$70*(inputs!$F$70/F597)^(0.25)</f>
        <v>2.5574764377400299</v>
      </c>
      <c r="W597" s="54">
        <f>inputs!$E$76*(inputs!$F$76/F597)^(0.25)</f>
        <v>0.76924067569003962</v>
      </c>
      <c r="X597" s="54">
        <f>inputs!$E$72*(inputs!$F$72/F597)^(0.25)</f>
        <v>112.82984284147192</v>
      </c>
      <c r="Y597" s="54" t="s">
        <v>13</v>
      </c>
      <c r="Z597" s="106">
        <f t="shared" si="66"/>
        <v>41.027749477191705</v>
      </c>
      <c r="AA597" s="106">
        <f t="shared" si="67"/>
        <v>136.40399669101538</v>
      </c>
    </row>
    <row r="598" spans="1:27" x14ac:dyDescent="0.25">
      <c r="A598" s="55" t="s">
        <v>542</v>
      </c>
      <c r="B598" s="49" t="s">
        <v>543</v>
      </c>
      <c r="C598" s="21" t="s">
        <v>61</v>
      </c>
      <c r="D598" s="20" t="s">
        <v>443</v>
      </c>
      <c r="E598" s="20">
        <v>34</v>
      </c>
      <c r="F598" s="21">
        <v>15</v>
      </c>
      <c r="G598" s="21" t="s">
        <v>169</v>
      </c>
      <c r="H598" s="21">
        <v>0.79</v>
      </c>
      <c r="I598" s="68">
        <f>MAX('Max rate concentrations'!$D$3:$D$368)</f>
        <v>720</v>
      </c>
      <c r="J598" s="68">
        <f>MAX('Max rate concentrations'!W:W)</f>
        <v>255</v>
      </c>
      <c r="K598" s="70">
        <f t="shared" si="64"/>
        <v>653.77605910315049</v>
      </c>
      <c r="L598" s="70">
        <f t="shared" si="65"/>
        <v>231.54568759903245</v>
      </c>
      <c r="M598" s="70">
        <f>IF((((0.326*F598^0.818)-(0.398*F598^0.85)/(1-H598)*H598)*(MAX('Max rate concentrations'!$P$3:$P$368)))/F598&gt;0, (((0.326*F598^0.818)-(0.398*F598^0.85)/(1-H598)*H598)*(MAX('Max rate concentrations'!$P$3:$P$368)))/F598, 0)</f>
        <v>0</v>
      </c>
      <c r="N598" s="70">
        <f>IF((((0.326*F598^0.818)-(0.398*F598^0.85)/(1-H598)*H598)*(MAX('Max rate concentrations'!$Q$3:$Q$368)))/F598&gt; 0, (((0.326*F598^0.818)-(0.398*F598^0.85)/(1-H598)*H598)*(MAX('Max rate concentrations'!$Q$3:$Q$368)))/F598, 0)</f>
        <v>0</v>
      </c>
      <c r="O598" s="70">
        <f>((MAX('Max rate concentrations'!$F$3:$F$368))*0.62*6.01*8*(12.3*F598^0.65)*0.079*0.1/F598)*inputs!$E$73/inputs!$E$74</f>
        <v>104.92750258141861</v>
      </c>
      <c r="P598" s="70">
        <f>((MAX('Max rate concentrations'!Y:Y))*0.62*6.01*8*(12.3*F598^0.65)*0.079*0.1/F598)*inputs!$E$73/inputs!$E$74</f>
        <v>34.9758341938062</v>
      </c>
      <c r="Q598" s="70">
        <f>(inputs!$C$18*11.2*(12.3*F598^0.65)*0.5/F598)*inputs!$E$73/inputs!$E$74</f>
        <v>18.482484680957491</v>
      </c>
      <c r="R598" s="60">
        <f>(60*379*((F598/1000)^0.8)*3*24*(MAX('Max rate concentrations'!$R$3:$R$368))/F598)*(inputs!$E$73/inputs!$E$75)</f>
        <v>2.5568806496861746E-2</v>
      </c>
      <c r="S598" s="60">
        <f>(IF(inputs!$C$17="aerial",((0.025*0.112*inputs!$C$18/3.3)*(3*60*379*((F598/1000)^0.8))*MAX(inputs!$I$14:$I$16))/F598,((0.0083*0.112*inputs!$C$18/1)*(3*60*379*((F598/1000)^0.8))*MAX(inputs!$I$14:$I$16))/F598))*(inputs!E$75/inputs!$E$73)</f>
        <v>0.14101353873443245</v>
      </c>
      <c r="T598" s="63">
        <f>IF((((inputs!$P$13/(V598/MAX(K598:S598)))^(1/inputs!$O$13))-1)/inputs!$N$13&lt;0, 0, IF((((inputs!$P$13/(V598/MAX(K598:S598)))^(1/inputs!$O$13))-1)/inputs!$N$13&lt;inputs!$I$17, (((inputs!$P$13/(V598/MAX(K598:S598)))^(1/inputs!$O$13))-1)/inputs!$N$13, inputs!$I$17))</f>
        <v>477.96547013985492</v>
      </c>
      <c r="U598" s="63">
        <f>IF((((inputs!$P$13/(X598/MAX(K598:S598)))^(1/inputs!$O$13))-1)/inputs!$N$13&lt;0, 0, IF((((inputs!$P$13/(X598/MAX(K598:S598)))^(1/inputs!$O$13))-1)/inputs!$N$13&lt;inputs!$I$17, (((inputs!$P$13/(X598/MAX(K598:S598)))^(1/inputs!$O$13))-1)/inputs!$N$13, inputs!$I$17))</f>
        <v>17.375999866301779</v>
      </c>
      <c r="V598" s="54">
        <f>inputs!$E$70*(inputs!$F$70/F598)^(0.25)</f>
        <v>2.5574764377400299</v>
      </c>
      <c r="W598" s="54">
        <f>inputs!$E$76*(inputs!$F$76/F598)^(0.25)</f>
        <v>0.76924067569003962</v>
      </c>
      <c r="X598" s="54">
        <f>inputs!$E$72*(inputs!$F$72/F598)^(0.25)</f>
        <v>112.82984284147192</v>
      </c>
      <c r="Y598" s="54" t="s">
        <v>13</v>
      </c>
      <c r="Z598" s="106">
        <f t="shared" si="66"/>
        <v>255.63326780084591</v>
      </c>
      <c r="AA598" s="106">
        <f t="shared" si="67"/>
        <v>849.8979315110804</v>
      </c>
    </row>
    <row r="599" spans="1:27" x14ac:dyDescent="0.25">
      <c r="A599" s="55" t="s">
        <v>542</v>
      </c>
      <c r="B599" s="49" t="s">
        <v>543</v>
      </c>
      <c r="C599" s="21" t="s">
        <v>61</v>
      </c>
      <c r="D599" s="20" t="s">
        <v>443</v>
      </c>
      <c r="E599" s="20">
        <v>34</v>
      </c>
      <c r="F599" s="21">
        <v>15</v>
      </c>
      <c r="G599" s="21" t="s">
        <v>177</v>
      </c>
      <c r="H599" s="21">
        <v>0.85</v>
      </c>
      <c r="I599" s="68">
        <f>MAX('Max rate concentrations'!$F$3:$F$368)</f>
        <v>405</v>
      </c>
      <c r="J599" s="68">
        <f>MAX('Max rate concentrations'!Y:Y)</f>
        <v>135</v>
      </c>
      <c r="K599" s="70">
        <f t="shared" si="64"/>
        <v>514.84864654373075</v>
      </c>
      <c r="L599" s="70">
        <f t="shared" si="65"/>
        <v>171.61621551457694</v>
      </c>
      <c r="M599" s="70">
        <f>IF((((0.326*F599^0.818)-(0.398*F599^0.85)/(1-H599)*H599)*(MAX('Max rate concentrations'!$P$3:$P$368)))/F599&gt;0, (((0.326*F599^0.818)-(0.398*F599^0.85)/(1-H599)*H599)*(MAX('Max rate concentrations'!$P$3:$P$368)))/F599, 0)</f>
        <v>0</v>
      </c>
      <c r="N599" s="70">
        <f>IF((((0.326*F599^0.818)-(0.398*F599^0.85)/(1-H599)*H599)*(MAX('Max rate concentrations'!$Q$3:$Q$368)))/F599&gt; 0, (((0.326*F599^0.818)-(0.398*F599^0.85)/(1-H599)*H599)*(MAX('Max rate concentrations'!$Q$3:$Q$368)))/F599, 0)</f>
        <v>0</v>
      </c>
      <c r="O599" s="70">
        <f>((MAX('Max rate concentrations'!$F$3:$F$368))*0.62*6.01*8*(12.3*F599^0.65)*0.079*0.1/F599)*inputs!$E$73/inputs!$E$74</f>
        <v>104.92750258141861</v>
      </c>
      <c r="P599" s="70">
        <f>((MAX('Max rate concentrations'!Y:Y))*0.62*6.01*8*(12.3*F599^0.65)*0.079*0.1/F599)*inputs!$E$73/inputs!$E$74</f>
        <v>34.9758341938062</v>
      </c>
      <c r="Q599" s="70">
        <f>(inputs!$C$18*11.2*(12.3*F599^0.65)*0.5/F599)*inputs!$E$73/inputs!$E$74</f>
        <v>18.482484680957491</v>
      </c>
      <c r="R599" s="60">
        <f>(60*379*((F599/1000)^0.8)*3*24*(MAX('Max rate concentrations'!$R$3:$R$368))/F599)*(inputs!$E$73/inputs!$E$75)</f>
        <v>2.5568806496861746E-2</v>
      </c>
      <c r="S599" s="60">
        <f>(IF(inputs!$C$17="aerial",((0.025*0.112*inputs!$C$18/3.3)*(3*60*379*((F599/1000)^0.8))*MAX(inputs!$I$14:$I$16))/F599,((0.0083*0.112*inputs!$C$18/1)*(3*60*379*((F599/1000)^0.8))*MAX(inputs!$I$14:$I$16))/F599))*(inputs!E$75/inputs!$E$73)</f>
        <v>0.14101353873443245</v>
      </c>
      <c r="T599" s="63">
        <f>IF((((inputs!$P$13/(V599/MAX(K599:S599)))^(1/inputs!$O$13))-1)/inputs!$N$13&lt;0, 0, IF((((inputs!$P$13/(V599/MAX(K599:S599)))^(1/inputs!$O$13))-1)/inputs!$N$13&lt;inputs!$I$17, (((inputs!$P$13/(V599/MAX(K599:S599)))^(1/inputs!$O$13))-1)/inputs!$N$13, inputs!$I$17))</f>
        <v>393.08293222437743</v>
      </c>
      <c r="U599" s="63">
        <f>IF((((inputs!$P$13/(X599/MAX(K599:S599)))^(1/inputs!$O$13))-1)/inputs!$N$13&lt;0, 0, IF((((inputs!$P$13/(X599/MAX(K599:S599)))^(1/inputs!$O$13))-1)/inputs!$N$13&lt;inputs!$I$17, (((inputs!$P$13/(X599/MAX(K599:S599)))^(1/inputs!$O$13))-1)/inputs!$N$13, inputs!$I$17))</f>
        <v>13.405259858438381</v>
      </c>
      <c r="V599" s="54">
        <f>inputs!$E$70*(inputs!$F$70/F599)^(0.25)</f>
        <v>2.5574764377400299</v>
      </c>
      <c r="W599" s="54">
        <f>inputs!$E$76*(inputs!$F$76/F599)^(0.25)</f>
        <v>0.76924067569003962</v>
      </c>
      <c r="X599" s="54">
        <f>inputs!$E$72*(inputs!$F$72/F599)^(0.25)</f>
        <v>112.82984284147192</v>
      </c>
      <c r="Y599" s="54" t="s">
        <v>13</v>
      </c>
      <c r="Z599" s="106">
        <f t="shared" si="66"/>
        <v>201.31119839316605</v>
      </c>
      <c r="AA599" s="106">
        <f t="shared" si="67"/>
        <v>669.29462106497544</v>
      </c>
    </row>
    <row r="600" spans="1:27" x14ac:dyDescent="0.25">
      <c r="A600" s="55" t="s">
        <v>542</v>
      </c>
      <c r="B600" s="49" t="s">
        <v>543</v>
      </c>
      <c r="C600" s="21" t="s">
        <v>61</v>
      </c>
      <c r="D600" s="20" t="s">
        <v>443</v>
      </c>
      <c r="E600" s="20">
        <v>34</v>
      </c>
      <c r="F600" s="21">
        <v>15</v>
      </c>
      <c r="G600" s="21" t="s">
        <v>456</v>
      </c>
      <c r="H600" s="21">
        <v>0.68</v>
      </c>
      <c r="I600" s="68">
        <f>MAX('Max rate concentrations'!$J$3:$J$368)</f>
        <v>686.46486205830786</v>
      </c>
      <c r="J600" s="68">
        <f>MAX('Max rate concentrations'!AB:AB)</f>
        <v>243.122971978984</v>
      </c>
      <c r="K600" s="70">
        <f t="shared" si="64"/>
        <v>409.05729760480182</v>
      </c>
      <c r="L600" s="70">
        <f t="shared" si="65"/>
        <v>144.87445956836729</v>
      </c>
      <c r="M600" s="70">
        <f>IF((((0.326*F600^0.818)-(0.398*F600^0.85)/(1-H600)*H600)*(MAX('Max rate concentrations'!$P$3:$P$368)))/F600&gt;0, (((0.326*F600^0.818)-(0.398*F600^0.85)/(1-H600)*H600)*(MAX('Max rate concentrations'!$P$3:$P$368)))/F600, 0)</f>
        <v>0</v>
      </c>
      <c r="N600" s="70">
        <f>IF((((0.326*F600^0.818)-(0.398*F600^0.85)/(1-H600)*H600)*(MAX('Max rate concentrations'!$Q$3:$Q$368)))/F600&gt; 0, (((0.326*F600^0.818)-(0.398*F600^0.85)/(1-H600)*H600)*(MAX('Max rate concentrations'!$Q$3:$Q$368)))/F600, 0)</f>
        <v>0</v>
      </c>
      <c r="O600" s="70">
        <f>((MAX('Max rate concentrations'!$F$3:$F$368))*0.62*6.01*8*(12.3*F600^0.65)*0.079*0.1/F600)*inputs!$E$73/inputs!$E$74</f>
        <v>104.92750258141861</v>
      </c>
      <c r="P600" s="70">
        <f>((MAX('Max rate concentrations'!Y:Y))*0.62*6.01*8*(12.3*F600^0.65)*0.079*0.1/F600)*inputs!$E$73/inputs!$E$74</f>
        <v>34.9758341938062</v>
      </c>
      <c r="Q600" s="70">
        <f>(inputs!$C$18*11.2*(12.3*F600^0.65)*0.5/F600)*inputs!$E$73/inputs!$E$74</f>
        <v>18.482484680957491</v>
      </c>
      <c r="R600" s="60">
        <f>(60*379*((F600/1000)^0.8)*3*24*(MAX('Max rate concentrations'!$R$3:$R$368))/F600)*(inputs!$E$73/inputs!$E$75)</f>
        <v>2.5568806496861746E-2</v>
      </c>
      <c r="S600" s="60">
        <f>(IF(inputs!$C$17="aerial",((0.025*0.112*inputs!$C$18/3.3)*(3*60*379*((F600/1000)^0.8))*MAX(inputs!$I$14:$I$16))/F600,((0.0083*0.112*inputs!$C$18/1)*(3*60*379*((F600/1000)^0.8))*MAX(inputs!$I$14:$I$16))/F600))*(inputs!E$75/inputs!$E$73)</f>
        <v>0.14101353873443245</v>
      </c>
      <c r="T600" s="63">
        <f>IF((((inputs!$P$13/(V600/MAX(K600:S600)))^(1/inputs!$O$13))-1)/inputs!$N$13&lt;0, 0, IF((((inputs!$P$13/(V600/MAX(K600:S600)))^(1/inputs!$O$13))-1)/inputs!$N$13&lt;inputs!$I$17, (((inputs!$P$13/(V600/MAX(K600:S600)))^(1/inputs!$O$13))-1)/inputs!$N$13, inputs!$I$17))</f>
        <v>325.47644405914184</v>
      </c>
      <c r="U600" s="63">
        <f>IF((((inputs!$P$13/(X600/MAX(K600:S600)))^(1/inputs!$O$13))-1)/inputs!$N$13&lt;0, 0, IF((((inputs!$P$13/(X600/MAX(K600:S600)))^(1/inputs!$O$13))-1)/inputs!$N$13&lt;inputs!$I$17, (((inputs!$P$13/(X600/MAX(K600:S600)))^(1/inputs!$O$13))-1)/inputs!$N$13, inputs!$I$17))</f>
        <v>10.24268020493939</v>
      </c>
      <c r="V600" s="54">
        <f>inputs!$E$70*(inputs!$F$70/F600)^(0.25)</f>
        <v>2.5574764377400299</v>
      </c>
      <c r="W600" s="54">
        <f>inputs!$E$76*(inputs!$F$76/F600)^(0.25)</f>
        <v>0.76924067569003962</v>
      </c>
      <c r="X600" s="54">
        <f>inputs!$E$72*(inputs!$F$72/F600)^(0.25)</f>
        <v>112.82984284147192</v>
      </c>
      <c r="Y600" s="54" t="s">
        <v>13</v>
      </c>
      <c r="Z600" s="106">
        <f t="shared" si="66"/>
        <v>159.94567596731184</v>
      </c>
      <c r="AA600" s="106">
        <f t="shared" si="67"/>
        <v>531.76763857145374</v>
      </c>
    </row>
    <row r="601" spans="1:27" x14ac:dyDescent="0.25">
      <c r="A601" s="55" t="s">
        <v>542</v>
      </c>
      <c r="B601" s="49" t="s">
        <v>543</v>
      </c>
      <c r="C601" s="21" t="s">
        <v>61</v>
      </c>
      <c r="D601" s="20" t="s">
        <v>443</v>
      </c>
      <c r="E601" s="20">
        <v>34</v>
      </c>
      <c r="F601" s="21">
        <v>15</v>
      </c>
      <c r="G601" s="21" t="s">
        <v>145</v>
      </c>
      <c r="H601" s="21">
        <v>0.66</v>
      </c>
      <c r="I601" s="68">
        <f>MAX('Max rate concentrations'!$M$3:$M$368)</f>
        <v>17.092910873809167</v>
      </c>
      <c r="J601" s="68">
        <f>MAX('Max rate concentrations'!AE:AE)</f>
        <v>11.81956602976166</v>
      </c>
      <c r="K601" s="70">
        <f t="shared" si="64"/>
        <v>9.5863420793826482</v>
      </c>
      <c r="L601" s="70">
        <f t="shared" si="65"/>
        <v>6.628853565530556</v>
      </c>
      <c r="M601" s="70">
        <f>IF((((0.326*F601^0.818)-(0.398*F601^0.85)/(1-H601)*H601)*(MAX('Max rate concentrations'!$P$3:$P$368)))/F601&gt;0, (((0.326*F601^0.818)-(0.398*F601^0.85)/(1-H601)*H601)*(MAX('Max rate concentrations'!$P$3:$P$368)))/F601, 0)</f>
        <v>0</v>
      </c>
      <c r="N601" s="70">
        <f>IF((((0.326*F601^0.818)-(0.398*F601^0.85)/(1-H601)*H601)*(MAX('Max rate concentrations'!$Q$3:$Q$368)))/F601&gt; 0, (((0.326*F601^0.818)-(0.398*F601^0.85)/(1-H601)*H601)*(MAX('Max rate concentrations'!$Q$3:$Q$368)))/F601, 0)</f>
        <v>0</v>
      </c>
      <c r="O601" s="70">
        <f>((MAX('Max rate concentrations'!$F$3:$F$368))*0.62*6.01*8*(12.3*F601^0.65)*0.079*0.1/F601)*inputs!$E$73/inputs!$E$74</f>
        <v>104.92750258141861</v>
      </c>
      <c r="P601" s="70">
        <f>((MAX('Max rate concentrations'!Y:Y))*0.62*6.01*8*(12.3*F601^0.65)*0.079*0.1/F601)*inputs!$E$73/inputs!$E$74</f>
        <v>34.9758341938062</v>
      </c>
      <c r="Q601" s="70">
        <f>(inputs!$C$18*11.2*(12.3*F601^0.65)*0.5/F601)*inputs!$E$73/inputs!$E$74</f>
        <v>18.482484680957491</v>
      </c>
      <c r="R601" s="60">
        <f>(60*379*((F601/1000)^0.8)*3*24*(MAX('Max rate concentrations'!$R$3:$R$368))/F601)*(inputs!$E$73/inputs!$E$75)</f>
        <v>2.5568806496861746E-2</v>
      </c>
      <c r="S601" s="60">
        <f>(IF(inputs!$C$17="aerial",((0.025*0.112*inputs!$C$18/3.3)*(3*60*379*((F601/1000)^0.8))*MAX(inputs!$I$14:$I$16))/F601,((0.0083*0.112*inputs!$C$18/1)*(3*60*379*((F601/1000)^0.8))*MAX(inputs!$I$14:$I$16))/F601))*(inputs!E$75/inputs!$E$73)</f>
        <v>0.14101353873443245</v>
      </c>
      <c r="T601" s="63">
        <f>IF((((inputs!$P$13/(V601/MAX(K601:S601)))^(1/inputs!$O$13))-1)/inputs!$N$13&lt;0, 0, IF((((inputs!$P$13/(V601/MAX(K601:S601)))^(1/inputs!$O$13))-1)/inputs!$N$13&lt;inputs!$I$17, (((inputs!$P$13/(V601/MAX(K601:S601)))^(1/inputs!$O$13))-1)/inputs!$N$13, inputs!$I$17))</f>
        <v>104.82537355984883</v>
      </c>
      <c r="U601" s="63">
        <f>IF((((inputs!$P$13/(X601/MAX(K601:S601)))^(1/inputs!$O$13))-1)/inputs!$N$13&lt;0, 0, IF((((inputs!$P$13/(X601/MAX(K601:S601)))^(1/inputs!$O$13))-1)/inputs!$N$13&lt;inputs!$I$17, (((inputs!$P$13/(X601/MAX(K601:S601)))^(1/inputs!$O$13))-1)/inputs!$N$13, inputs!$I$17))</f>
        <v>0</v>
      </c>
      <c r="V601" s="54">
        <f>inputs!$E$70*(inputs!$F$70/F601)^(0.25)</f>
        <v>2.5574764377400299</v>
      </c>
      <c r="W601" s="54">
        <f>inputs!$E$76*(inputs!$F$76/F601)^(0.25)</f>
        <v>0.76924067569003962</v>
      </c>
      <c r="X601" s="54">
        <f>inputs!$E$72*(inputs!$F$72/F601)^(0.25)</f>
        <v>112.82984284147192</v>
      </c>
      <c r="Y601" s="54" t="s">
        <v>13</v>
      </c>
      <c r="Z601" s="106">
        <f t="shared" si="66"/>
        <v>41.027749477191705</v>
      </c>
      <c r="AA601" s="106">
        <f t="shared" si="67"/>
        <v>136.40399669101538</v>
      </c>
    </row>
    <row r="602" spans="1:27" x14ac:dyDescent="0.25">
      <c r="A602" s="55" t="s">
        <v>542</v>
      </c>
      <c r="B602" s="49" t="s">
        <v>543</v>
      </c>
      <c r="C602" s="21" t="s">
        <v>61</v>
      </c>
      <c r="D602" s="20" t="s">
        <v>443</v>
      </c>
      <c r="E602" s="20">
        <v>34</v>
      </c>
      <c r="F602" s="21">
        <v>15</v>
      </c>
      <c r="G602" s="21" t="s">
        <v>154</v>
      </c>
      <c r="H602" s="21">
        <v>9.2999999999999999E-2</v>
      </c>
      <c r="I602" s="68">
        <f>MAX('Max rate concentrations'!$G$3:$G$368)</f>
        <v>45</v>
      </c>
      <c r="J602" s="68">
        <f>MAX('Max rate concentrations'!Z:Z)</f>
        <v>21</v>
      </c>
      <c r="K602" s="70">
        <f t="shared" si="64"/>
        <v>9.4606513514099753</v>
      </c>
      <c r="L602" s="70">
        <f t="shared" si="65"/>
        <v>4.4149706306579883</v>
      </c>
      <c r="M602" s="70">
        <f>IF((((0.326*F602^0.818)-(0.398*F602^0.85)/(1-H602)*H602)*(MAX('Max rate concentrations'!$P$3:$P$368)))/F602&gt;0, (((0.326*F602^0.818)-(0.398*F602^0.85)/(1-H602)*H602)*(MAX('Max rate concentrations'!$P$3:$P$368)))/F602, 0)</f>
        <v>0.1497569099960554</v>
      </c>
      <c r="N602" s="70">
        <f>IF((((0.326*F602^0.818)-(0.398*F602^0.85)/(1-H602)*H602)*(MAX('Max rate concentrations'!$Q$3:$Q$368)))/F602&gt; 0, (((0.326*F602^0.818)-(0.398*F602^0.85)/(1-H602)*H602)*(MAX('Max rate concentrations'!$Q$3:$Q$368)))/F602, 0)</f>
        <v>0.57028235995611254</v>
      </c>
      <c r="O602" s="70">
        <f>((MAX('Max rate concentrations'!$F$3:$F$368))*0.62*6.01*8*(12.3*F602^0.65)*0.079*0.1/F602)*inputs!$E$73/inputs!$E$74</f>
        <v>104.92750258141861</v>
      </c>
      <c r="P602" s="70">
        <f>((MAX('Max rate concentrations'!Y:Y))*0.62*6.01*8*(12.3*F602^0.65)*0.079*0.1/F602)*inputs!$E$73/inputs!$E$74</f>
        <v>34.9758341938062</v>
      </c>
      <c r="Q602" s="70">
        <f>(inputs!$C$18*11.2*(12.3*F602^0.65)*0.5/F602)*inputs!$E$73/inputs!$E$74</f>
        <v>18.482484680957491</v>
      </c>
      <c r="R602" s="60">
        <f>(60*379*((F602/1000)^0.8)*3*24*(MAX('Max rate concentrations'!$R$3:$R$368))/F602)*(inputs!$E$73/inputs!$E$75)</f>
        <v>2.5568806496861746E-2</v>
      </c>
      <c r="S602" s="60">
        <f>(IF(inputs!$C$17="aerial",((0.025*0.112*inputs!$C$18/3.3)*(3*60*379*((F602/1000)^0.8))*MAX(inputs!$I$14:$I$16))/F602,((0.0083*0.112*inputs!$C$18/1)*(3*60*379*((F602/1000)^0.8))*MAX(inputs!$I$14:$I$16))/F602))*(inputs!E$75/inputs!$E$73)</f>
        <v>0.14101353873443245</v>
      </c>
      <c r="T602" s="63">
        <f>IF((((inputs!$P$13/(V602/MAX(K602:S602)))^(1/inputs!$O$13))-1)/inputs!$N$13&lt;0, 0, IF((((inputs!$P$13/(V602/MAX(K602:S602)))^(1/inputs!$O$13))-1)/inputs!$N$13&lt;inputs!$I$17, (((inputs!$P$13/(V602/MAX(K602:S602)))^(1/inputs!$O$13))-1)/inputs!$N$13, inputs!$I$17))</f>
        <v>104.82537355984883</v>
      </c>
      <c r="U602" s="63">
        <f>IF((((inputs!$P$13/(X602/MAX(K602:S602)))^(1/inputs!$O$13))-1)/inputs!$N$13&lt;0, 0, IF((((inputs!$P$13/(X602/MAX(K602:S602)))^(1/inputs!$O$13))-1)/inputs!$N$13&lt;inputs!$I$17, (((inputs!$P$13/(X602/MAX(K602:S602)))^(1/inputs!$O$13))-1)/inputs!$N$13, inputs!$I$17))</f>
        <v>0</v>
      </c>
      <c r="V602" s="54">
        <f>inputs!$E$70*(inputs!$F$70/F602)^(0.25)</f>
        <v>2.5574764377400299</v>
      </c>
      <c r="W602" s="54">
        <f>inputs!$E$76*(inputs!$F$76/F602)^(0.25)</f>
        <v>0.76924067569003962</v>
      </c>
      <c r="X602" s="54">
        <f>inputs!$E$72*(inputs!$F$72/F602)^(0.25)</f>
        <v>112.82984284147192</v>
      </c>
      <c r="Y602" s="54" t="s">
        <v>13</v>
      </c>
      <c r="Z602" s="106">
        <f t="shared" si="66"/>
        <v>41.027749477191705</v>
      </c>
      <c r="AA602" s="106">
        <f t="shared" si="67"/>
        <v>136.40399669101538</v>
      </c>
    </row>
    <row r="603" spans="1:27" x14ac:dyDescent="0.25">
      <c r="A603" s="55" t="s">
        <v>563</v>
      </c>
      <c r="B603" s="49" t="s">
        <v>564</v>
      </c>
      <c r="C603" s="21" t="s">
        <v>61</v>
      </c>
      <c r="D603" s="20" t="s">
        <v>443</v>
      </c>
      <c r="E603" s="20">
        <v>10</v>
      </c>
      <c r="F603" s="21">
        <v>800</v>
      </c>
      <c r="G603" s="21" t="s">
        <v>142</v>
      </c>
      <c r="H603" s="21">
        <v>0.69</v>
      </c>
      <c r="I603" s="68">
        <f>MAX('Max rate concentrations'!$H$3:$H$368)</f>
        <v>282</v>
      </c>
      <c r="J603" s="68">
        <f>MAX('Max rate concentrations'!AA:AA)</f>
        <v>195</v>
      </c>
      <c r="K603" s="70">
        <f t="shared" si="64"/>
        <v>30.635980211657522</v>
      </c>
      <c r="L603" s="70">
        <f t="shared" si="65"/>
        <v>21.184454401678071</v>
      </c>
      <c r="M603" s="70">
        <f>IF((((0.326*F603^0.818)-(0.398*F603^0.85)/(1-H603)*H603)*(MAX('Max rate concentrations'!$P$3:$P$368)))/F603&gt;0, (((0.326*F603^0.818)-(0.398*F603^0.85)/(1-H603)*H603)*(MAX('Max rate concentrations'!$P$3:$P$368)))/F603, 0)</f>
        <v>0</v>
      </c>
      <c r="N603" s="70">
        <f>IF((((0.326*F603^0.818)-(0.398*F603^0.85)/(1-H603)*H603)*(MAX('Max rate concentrations'!$Q$3:$Q$368)))/F603&gt; 0, (((0.326*F603^0.818)-(0.398*F603^0.85)/(1-H603)*H603)*(MAX('Max rate concentrations'!$Q$3:$Q$368)))/F603, 0)</f>
        <v>0</v>
      </c>
      <c r="O603" s="70">
        <f>((MAX('Max rate concentrations'!$F$3:$F$368))*0.62*6.01*8*(12.3*F603^0.65)*0.079*0.1/F603)*inputs!$E$73/inputs!$E$74</f>
        <v>26.087939666234309</v>
      </c>
      <c r="P603" s="70">
        <f>((MAX('Max rate concentrations'!Y:Y))*0.62*6.01*8*(12.3*F603^0.65)*0.079*0.1/F603)*inputs!$E$73/inputs!$E$74</f>
        <v>8.6959798887447679</v>
      </c>
      <c r="Q603" s="70">
        <f>(inputs!$C$18*11.2*(12.3*F603^0.65)*0.5/F603)*inputs!$E$73/inputs!$E$74</f>
        <v>4.5952675264026075</v>
      </c>
      <c r="R603" s="60">
        <f>(60*379*((F603/1000)^0.8)*3*24*(MAX('Max rate concentrations'!$R$3:$R$368))/F603)*(inputs!$E$73/inputs!$E$75)</f>
        <v>1.1542787776429314E-2</v>
      </c>
      <c r="S603" s="60">
        <f>(IF(inputs!$C$17="aerial",((0.025*0.112*inputs!$C$18/3.3)*(3*60*379*((F603/1000)^0.8))*MAX(inputs!$I$14:$I$16))/F603,((0.0083*0.112*inputs!$C$18/1)*(3*60*379*((F603/1000)^0.8))*MAX(inputs!$I$14:$I$16))/F603))*(inputs!E$75/inputs!$E$73)</f>
        <v>6.3659183756372348E-2</v>
      </c>
      <c r="T603" s="63">
        <f>IF((((inputs!$P$13/(V603/MAX(K603:S603)))^(1/inputs!$O$13))-1)/inputs!$N$13&lt;0, 0, IF((((inputs!$P$13/(V603/MAX(K603:S603)))^(1/inputs!$O$13))-1)/inputs!$N$13&lt;inputs!$I$17, (((inputs!$P$13/(V603/MAX(K603:S603)))^(1/inputs!$O$13))-1)/inputs!$N$13, inputs!$I$17))</f>
        <v>85.634664199904847</v>
      </c>
      <c r="U603" s="63">
        <f>IF((((inputs!$P$13/(X603/MAX(K603:S603)))^(1/inputs!$O$13))-1)/inputs!$N$13&lt;0, 0, IF((((inputs!$P$13/(X603/MAX(K603:S603)))^(1/inputs!$O$13))-1)/inputs!$N$13&lt;inputs!$I$17, (((inputs!$P$13/(X603/MAX(K603:S603)))^(1/inputs!$O$13))-1)/inputs!$N$13, inputs!$I$17))</f>
        <v>0</v>
      </c>
      <c r="V603" s="54">
        <f>inputs!$E$70*(inputs!$F$70/F603)^(0.25)</f>
        <v>0.94637216723279016</v>
      </c>
      <c r="W603" s="54">
        <f>inputs!$E$76*(inputs!$F$76/F603)^(0.25)</f>
        <v>0.28465089829711249</v>
      </c>
      <c r="X603" s="54">
        <f>inputs!$E$72*(inputs!$F$72/F603)^(0.25)</f>
        <v>41.751713260270158</v>
      </c>
      <c r="Y603" s="54" t="s">
        <v>13</v>
      </c>
      <c r="Z603" s="106">
        <f t="shared" si="66"/>
        <v>32.372021570792491</v>
      </c>
      <c r="AA603" s="106">
        <f t="shared" si="67"/>
        <v>107.62650107529379</v>
      </c>
    </row>
    <row r="604" spans="1:27" x14ac:dyDescent="0.25">
      <c r="A604" s="55" t="s">
        <v>563</v>
      </c>
      <c r="B604" s="49" t="s">
        <v>564</v>
      </c>
      <c r="C604" s="21" t="s">
        <v>61</v>
      </c>
      <c r="D604" s="20" t="s">
        <v>443</v>
      </c>
      <c r="E604" s="20">
        <v>10</v>
      </c>
      <c r="F604" s="21">
        <v>800</v>
      </c>
      <c r="G604" s="21" t="s">
        <v>138</v>
      </c>
      <c r="H604" s="21">
        <v>0.68</v>
      </c>
      <c r="I604" s="68">
        <f>MAX('Max rate concentrations'!$L$3:$L$368)</f>
        <v>350.52744091332482</v>
      </c>
      <c r="J604" s="68">
        <f>MAX('Max rate concentrations'!AD:AD)</f>
        <v>242.38599637623525</v>
      </c>
      <c r="K604" s="70">
        <f t="shared" si="64"/>
        <v>36.890658693192684</v>
      </c>
      <c r="L604" s="70">
        <f t="shared" si="65"/>
        <v>25.509498032526857</v>
      </c>
      <c r="M604" s="70">
        <f>IF((((0.326*F604^0.818)-(0.398*F604^0.85)/(1-H604)*H604)*(MAX('Max rate concentrations'!$P$3:$P$368)))/F604&gt;0, (((0.326*F604^0.818)-(0.398*F604^0.85)/(1-H604)*H604)*(MAX('Max rate concentrations'!$P$3:$P$368)))/F604, 0)</f>
        <v>0</v>
      </c>
      <c r="N604" s="70">
        <f>IF((((0.326*F604^0.818)-(0.398*F604^0.85)/(1-H604)*H604)*(MAX('Max rate concentrations'!$Q$3:$Q$368)))/F604&gt; 0, (((0.326*F604^0.818)-(0.398*F604^0.85)/(1-H604)*H604)*(MAX('Max rate concentrations'!$Q$3:$Q$368)))/F604, 0)</f>
        <v>0</v>
      </c>
      <c r="O604" s="70">
        <f>((MAX('Max rate concentrations'!$F$3:$F$368))*0.62*6.01*8*(12.3*F604^0.65)*0.079*0.1/F604)*inputs!$E$73/inputs!$E$74</f>
        <v>26.087939666234309</v>
      </c>
      <c r="P604" s="70">
        <f>((MAX('Max rate concentrations'!Y:Y))*0.62*6.01*8*(12.3*F604^0.65)*0.079*0.1/F604)*inputs!$E$73/inputs!$E$74</f>
        <v>8.6959798887447679</v>
      </c>
      <c r="Q604" s="70">
        <f>(inputs!$C$18*11.2*(12.3*F604^0.65)*0.5/F604)*inputs!$E$73/inputs!$E$74</f>
        <v>4.5952675264026075</v>
      </c>
      <c r="R604" s="60">
        <f>(60*379*((F604/1000)^0.8)*3*24*(MAX('Max rate concentrations'!$R$3:$R$368))/F604)*(inputs!$E$73/inputs!$E$75)</f>
        <v>1.1542787776429314E-2</v>
      </c>
      <c r="S604" s="60">
        <f>(IF(inputs!$C$17="aerial",((0.025*0.112*inputs!$C$18/3.3)*(3*60*379*((F604/1000)^0.8))*MAX(inputs!$I$14:$I$16))/F604,((0.0083*0.112*inputs!$C$18/1)*(3*60*379*((F604/1000)^0.8))*MAX(inputs!$I$14:$I$16))/F604))*(inputs!E$75/inputs!$E$73)</f>
        <v>6.3659183756372348E-2</v>
      </c>
      <c r="T604" s="63">
        <f>IF((((inputs!$P$13/(V604/MAX(K604:S604)))^(1/inputs!$O$13))-1)/inputs!$N$13&lt;0, 0, IF((((inputs!$P$13/(V604/MAX(K604:S604)))^(1/inputs!$O$13))-1)/inputs!$N$13&lt;inputs!$I$17, (((inputs!$P$13/(V604/MAX(K604:S604)))^(1/inputs!$O$13))-1)/inputs!$N$13, inputs!$I$17))</f>
        <v>100.36429131251801</v>
      </c>
      <c r="U604" s="63">
        <f>IF((((inputs!$P$13/(X604/MAX(K604:S604)))^(1/inputs!$O$13))-1)/inputs!$N$13&lt;0, 0, IF((((inputs!$P$13/(X604/MAX(K604:S604)))^(1/inputs!$O$13))-1)/inputs!$N$13&lt;inputs!$I$17, (((inputs!$P$13/(X604/MAX(K604:S604)))^(1/inputs!$O$13))-1)/inputs!$N$13, inputs!$I$17))</f>
        <v>0</v>
      </c>
      <c r="V604" s="54">
        <f>inputs!$E$70*(inputs!$F$70/F604)^(0.25)</f>
        <v>0.94637216723279016</v>
      </c>
      <c r="W604" s="54">
        <f>inputs!$E$76*(inputs!$F$76/F604)^(0.25)</f>
        <v>0.28465089829711249</v>
      </c>
      <c r="X604" s="54">
        <f>inputs!$E$72*(inputs!$F$72/F604)^(0.25)</f>
        <v>41.751713260270158</v>
      </c>
      <c r="Y604" s="54" t="s">
        <v>13</v>
      </c>
      <c r="Z604" s="106">
        <f t="shared" si="66"/>
        <v>38.981132339364606</v>
      </c>
      <c r="AA604" s="106">
        <f t="shared" si="67"/>
        <v>129.59965668081963</v>
      </c>
    </row>
    <row r="605" spans="1:27" x14ac:dyDescent="0.25">
      <c r="A605" s="55" t="s">
        <v>563</v>
      </c>
      <c r="B605" s="49" t="s">
        <v>564</v>
      </c>
      <c r="C605" s="21" t="s">
        <v>61</v>
      </c>
      <c r="D605" s="20" t="s">
        <v>443</v>
      </c>
      <c r="E605" s="20">
        <v>10</v>
      </c>
      <c r="F605" s="21">
        <v>800</v>
      </c>
      <c r="G605" s="21" t="s">
        <v>158</v>
      </c>
      <c r="H605" s="21">
        <v>0.85</v>
      </c>
      <c r="I605" s="68">
        <f>MAX('Max rate concentrations'!$F$3:$F$368)</f>
        <v>405</v>
      </c>
      <c r="J605" s="68">
        <f>MAX('Max rate concentrations'!Y:Y)</f>
        <v>135</v>
      </c>
      <c r="K605" s="70">
        <f t="shared" si="64"/>
        <v>90.930196585664362</v>
      </c>
      <c r="L605" s="70">
        <f t="shared" si="65"/>
        <v>30.310065528554784</v>
      </c>
      <c r="M605" s="70">
        <f>IF((((0.326*F605^0.818)-(0.398*F605^0.85)/(1-H605)*H605)*(MAX('Max rate concentrations'!$P$3:$P$368)))/F605&gt;0, (((0.326*F605^0.818)-(0.398*F605^0.85)/(1-H605)*H605)*(MAX('Max rate concentrations'!$P$3:$P$368)))/F605, 0)</f>
        <v>0</v>
      </c>
      <c r="N605" s="70">
        <f>IF((((0.326*F605^0.818)-(0.398*F605^0.85)/(1-H605)*H605)*(MAX('Max rate concentrations'!$Q$3:$Q$368)))/F605&gt; 0, (((0.326*F605^0.818)-(0.398*F605^0.85)/(1-H605)*H605)*(MAX('Max rate concentrations'!$Q$3:$Q$368)))/F605, 0)</f>
        <v>0</v>
      </c>
      <c r="O605" s="70">
        <f>((MAX('Max rate concentrations'!$F$3:$F$368))*0.62*6.01*8*(12.3*F605^0.65)*0.079*0.1/F605)*inputs!$E$73/inputs!$E$74</f>
        <v>26.087939666234309</v>
      </c>
      <c r="P605" s="70">
        <f>((MAX('Max rate concentrations'!Y:Y))*0.62*6.01*8*(12.3*F605^0.65)*0.079*0.1/F605)*inputs!$E$73/inputs!$E$74</f>
        <v>8.6959798887447679</v>
      </c>
      <c r="Q605" s="70">
        <f>(inputs!$C$18*11.2*(12.3*F605^0.65)*0.5/F605)*inputs!$E$73/inputs!$E$74</f>
        <v>4.5952675264026075</v>
      </c>
      <c r="R605" s="60">
        <f>(60*379*((F605/1000)^0.8)*3*24*(MAX('Max rate concentrations'!$R$3:$R$368))/F605)*(inputs!$E$73/inputs!$E$75)</f>
        <v>1.1542787776429314E-2</v>
      </c>
      <c r="S605" s="60">
        <f>(IF(inputs!$C$17="aerial",((0.025*0.112*inputs!$C$18/3.3)*(3*60*379*((F605/1000)^0.8))*MAX(inputs!$I$14:$I$16))/F605,((0.0083*0.112*inputs!$C$18/1)*(3*60*379*((F605/1000)^0.8))*MAX(inputs!$I$14:$I$16))/F605))*(inputs!E$75/inputs!$E$73)</f>
        <v>6.3659183756372348E-2</v>
      </c>
      <c r="T605" s="63">
        <f>IF((((inputs!$P$13/(V605/MAX(K605:S605)))^(1/inputs!$O$13))-1)/inputs!$N$13&lt;0, 0, IF((((inputs!$P$13/(V605/MAX(K605:S605)))^(1/inputs!$O$13))-1)/inputs!$N$13&lt;inputs!$I$17, (((inputs!$P$13/(V605/MAX(K605:S605)))^(1/inputs!$O$13))-1)/inputs!$N$13, inputs!$I$17))</f>
        <v>213.78036832369617</v>
      </c>
      <c r="U605" s="63">
        <f>IF((((inputs!$P$13/(X605/MAX(K605:S605)))^(1/inputs!$O$13))-1)/inputs!$N$13&lt;0, 0, IF((((inputs!$P$13/(X605/MAX(K605:S605)))^(1/inputs!$O$13))-1)/inputs!$N$13&lt;inputs!$I$17, (((inputs!$P$13/(X605/MAX(K605:S605)))^(1/inputs!$O$13))-1)/inputs!$N$13, inputs!$I$17))</f>
        <v>5.0176234672896411</v>
      </c>
      <c r="V605" s="54">
        <f>inputs!$E$70*(inputs!$F$70/F605)^(0.25)</f>
        <v>0.94637216723279016</v>
      </c>
      <c r="W605" s="54">
        <f>inputs!$E$76*(inputs!$F$76/F605)^(0.25)</f>
        <v>0.28465089829711249</v>
      </c>
      <c r="X605" s="54">
        <f>inputs!$E$72*(inputs!$F$72/F605)^(0.25)</f>
        <v>41.751713260270158</v>
      </c>
      <c r="Y605" s="54" t="s">
        <v>13</v>
      </c>
      <c r="Z605" s="106">
        <f t="shared" si="66"/>
        <v>96.082915087777735</v>
      </c>
      <c r="AA605" s="106">
        <f t="shared" si="67"/>
        <v>319.44461489369121</v>
      </c>
    </row>
    <row r="606" spans="1:27" x14ac:dyDescent="0.25">
      <c r="A606" s="55" t="s">
        <v>563</v>
      </c>
      <c r="B606" s="49" t="s">
        <v>564</v>
      </c>
      <c r="C606" s="21" t="s">
        <v>61</v>
      </c>
      <c r="D606" s="20" t="s">
        <v>443</v>
      </c>
      <c r="E606" s="20">
        <v>10</v>
      </c>
      <c r="F606" s="21">
        <v>800</v>
      </c>
      <c r="G606" s="21" t="s">
        <v>154</v>
      </c>
      <c r="H606" s="21">
        <v>9.2999999999999999E-2</v>
      </c>
      <c r="I606" s="68">
        <f>MAX('Max rate concentrations'!$G$3:$G$368)</f>
        <v>45</v>
      </c>
      <c r="J606" s="68">
        <f>MAX('Max rate concentrations'!Z:Z)</f>
        <v>21</v>
      </c>
      <c r="K606" s="70">
        <f t="shared" ref="K606:K637" si="68">(((0.621*F606^0.564)/(1-H606)))*I606/F606</f>
        <v>1.6708966664032407</v>
      </c>
      <c r="L606" s="70">
        <f t="shared" ref="L606:L637" si="69">(((0.621*F606^0.564)/(1-H606)))*J606/F606</f>
        <v>0.77975177765484571</v>
      </c>
      <c r="M606" s="70">
        <f>IF((((0.326*F606^0.818)-(0.398*F606^0.85)/(1-H606)*H606)*(MAX('Max rate concentrations'!$P$3:$P$368)))/F606&gt;0, (((0.326*F606^0.818)-(0.398*F606^0.85)/(1-H606)*H606)*(MAX('Max rate concentrations'!$P$3:$P$368)))/F606, 0)</f>
        <v>7.1064787060001508E-2</v>
      </c>
      <c r="N606" s="70">
        <f>IF((((0.326*F606^0.818)-(0.398*F606^0.85)/(1-H606)*H606)*(MAX('Max rate concentrations'!$Q$3:$Q$368)))/F606&gt; 0, (((0.326*F606^0.818)-(0.398*F606^0.85)/(1-H606)*H606)*(MAX('Max rate concentrations'!$Q$3:$Q$368)))/F606, 0)</f>
        <v>0.27061852755524773</v>
      </c>
      <c r="O606" s="70">
        <f>((MAX('Max rate concentrations'!$F$3:$F$368))*0.62*6.01*8*(12.3*F606^0.65)*0.079*0.1/F606)*inputs!$E$73/inputs!$E$74</f>
        <v>26.087939666234309</v>
      </c>
      <c r="P606" s="70">
        <f>((MAX('Max rate concentrations'!Y:Y))*0.62*6.01*8*(12.3*F606^0.65)*0.079*0.1/F606)*inputs!$E$73/inputs!$E$74</f>
        <v>8.6959798887447679</v>
      </c>
      <c r="Q606" s="70">
        <f>(inputs!$C$18*11.2*(12.3*F606^0.65)*0.5/F606)*inputs!$E$73/inputs!$E$74</f>
        <v>4.5952675264026075</v>
      </c>
      <c r="R606" s="60">
        <f>(60*379*((F606/1000)^0.8)*3*24*(MAX('Max rate concentrations'!$R$3:$R$368))/F606)*(inputs!$E$73/inputs!$E$75)</f>
        <v>1.1542787776429314E-2</v>
      </c>
      <c r="S606" s="60">
        <f>(IF(inputs!$C$17="aerial",((0.025*0.112*inputs!$C$18/3.3)*(3*60*379*((F606/1000)^0.8))*MAX(inputs!$I$14:$I$16))/F606,((0.0083*0.112*inputs!$C$18/1)*(3*60*379*((F606/1000)^0.8))*MAX(inputs!$I$14:$I$16))/F606))*(inputs!E$75/inputs!$E$73)</f>
        <v>6.3659183756372348E-2</v>
      </c>
      <c r="T606" s="63">
        <f>IF((((inputs!$P$13/(V606/MAX(K606:S606)))^(1/inputs!$O$13))-1)/inputs!$N$13&lt;0, 0, IF((((inputs!$P$13/(V606/MAX(K606:S606)))^(1/inputs!$O$13))-1)/inputs!$N$13&lt;inputs!$I$17, (((inputs!$P$13/(V606/MAX(K606:S606)))^(1/inputs!$O$13))-1)/inputs!$N$13, inputs!$I$17))</f>
        <v>74.561776602970127</v>
      </c>
      <c r="U606" s="63">
        <f>IF((((inputs!$P$13/(X606/MAX(K606:S606)))^(1/inputs!$O$13))-1)/inputs!$N$13&lt;0, 0, IF((((inputs!$P$13/(X606/MAX(K606:S606)))^(1/inputs!$O$13))-1)/inputs!$N$13&lt;inputs!$I$17, (((inputs!$P$13/(X606/MAX(K606:S606)))^(1/inputs!$O$13))-1)/inputs!$N$13, inputs!$I$17))</f>
        <v>0</v>
      </c>
      <c r="V606" s="54">
        <f>inputs!$E$70*(inputs!$F$70/F606)^(0.25)</f>
        <v>0.94637216723279016</v>
      </c>
      <c r="W606" s="54">
        <f>inputs!$E$76*(inputs!$F$76/F606)^(0.25)</f>
        <v>0.28465089829711249</v>
      </c>
      <c r="X606" s="54">
        <f>inputs!$E$72*(inputs!$F$72/F606)^(0.25)</f>
        <v>41.751713260270158</v>
      </c>
      <c r="Y606" s="54" t="s">
        <v>13</v>
      </c>
      <c r="Z606" s="106">
        <f t="shared" si="66"/>
        <v>27.566258359558407</v>
      </c>
      <c r="AA606" s="106">
        <f t="shared" si="67"/>
        <v>91.648892809761236</v>
      </c>
    </row>
    <row r="607" spans="1:27" x14ac:dyDescent="0.25">
      <c r="A607" s="55" t="s">
        <v>563</v>
      </c>
      <c r="B607" s="49" t="s">
        <v>564</v>
      </c>
      <c r="C607" s="21" t="s">
        <v>61</v>
      </c>
      <c r="D607" s="20" t="s">
        <v>443</v>
      </c>
      <c r="E607" s="20">
        <v>6334</v>
      </c>
      <c r="F607" s="21">
        <v>800</v>
      </c>
      <c r="G607" s="21" t="s">
        <v>142</v>
      </c>
      <c r="H607" s="21">
        <v>0.69</v>
      </c>
      <c r="I607" s="68">
        <f>MAX('Max rate concentrations'!$H$3:$H$368)</f>
        <v>282</v>
      </c>
      <c r="J607" s="68">
        <f>MAX('Max rate concentrations'!AA:AA)</f>
        <v>195</v>
      </c>
      <c r="K607" s="70">
        <f t="shared" si="68"/>
        <v>30.635980211657522</v>
      </c>
      <c r="L607" s="70">
        <f t="shared" si="69"/>
        <v>21.184454401678071</v>
      </c>
      <c r="M607" s="70">
        <f>IF((((0.326*F607^0.818)-(0.398*F607^0.85)/(1-H607)*H607)*(MAX('Max rate concentrations'!$P$3:$P$368)))/F607&gt;0, (((0.326*F607^0.818)-(0.398*F607^0.85)/(1-H607)*H607)*(MAX('Max rate concentrations'!$P$3:$P$368)))/F607, 0)</f>
        <v>0</v>
      </c>
      <c r="N607" s="70">
        <f>IF((((0.326*F607^0.818)-(0.398*F607^0.85)/(1-H607)*H607)*(MAX('Max rate concentrations'!$Q$3:$Q$368)))/F607&gt; 0, (((0.326*F607^0.818)-(0.398*F607^0.85)/(1-H607)*H607)*(MAX('Max rate concentrations'!$Q$3:$Q$368)))/F607, 0)</f>
        <v>0</v>
      </c>
      <c r="O607" s="70">
        <f>((MAX('Max rate concentrations'!$F$3:$F$368))*0.62*6.01*8*(12.3*F607^0.65)*0.079*0.1/F607)*inputs!$E$73/inputs!$E$74</f>
        <v>26.087939666234309</v>
      </c>
      <c r="P607" s="70">
        <f>((MAX('Max rate concentrations'!Y:Y))*0.62*6.01*8*(12.3*F607^0.65)*0.079*0.1/F607)*inputs!$E$73/inputs!$E$74</f>
        <v>8.6959798887447679</v>
      </c>
      <c r="Q607" s="70">
        <f>(inputs!$C$18*11.2*(12.3*F607^0.65)*0.5/F607)*inputs!$E$73/inputs!$E$74</f>
        <v>4.5952675264026075</v>
      </c>
      <c r="R607" s="60">
        <f>(60*379*((F607/1000)^0.8)*3*24*(MAX('Max rate concentrations'!$R$3:$R$368))/F607)*(inputs!$E$73/inputs!$E$75)</f>
        <v>1.1542787776429314E-2</v>
      </c>
      <c r="S607" s="60">
        <f>(IF(inputs!$C$17="aerial",((0.025*0.112*inputs!$C$18/3.3)*(3*60*379*((F607/1000)^0.8))*MAX(inputs!$I$14:$I$16))/F607,((0.0083*0.112*inputs!$C$18/1)*(3*60*379*((F607/1000)^0.8))*MAX(inputs!$I$14:$I$16))/F607))*(inputs!E$75/inputs!$E$73)</f>
        <v>6.3659183756372348E-2</v>
      </c>
      <c r="T607" s="63">
        <f>IF((((inputs!$P$13/(V607/MAX(K607:S607)))^(1/inputs!$O$13))-1)/inputs!$N$13&lt;0, 0, IF((((inputs!$P$13/(V607/MAX(K607:S607)))^(1/inputs!$O$13))-1)/inputs!$N$13&lt;inputs!$I$17, (((inputs!$P$13/(V607/MAX(K607:S607)))^(1/inputs!$O$13))-1)/inputs!$N$13, inputs!$I$17))</f>
        <v>85.634664199904847</v>
      </c>
      <c r="U607" s="63">
        <f>IF((((inputs!$P$13/(X607/MAX(K607:S607)))^(1/inputs!$O$13))-1)/inputs!$N$13&lt;0, 0, IF((((inputs!$P$13/(X607/MAX(K607:S607)))^(1/inputs!$O$13))-1)/inputs!$N$13&lt;inputs!$I$17, (((inputs!$P$13/(X607/MAX(K607:S607)))^(1/inputs!$O$13))-1)/inputs!$N$13, inputs!$I$17))</f>
        <v>0</v>
      </c>
      <c r="V607" s="54">
        <f>inputs!$E$70*(inputs!$F$70/F607)^(0.25)</f>
        <v>0.94637216723279016</v>
      </c>
      <c r="W607" s="54">
        <f>inputs!$E$76*(inputs!$F$76/F607)^(0.25)</f>
        <v>0.28465089829711249</v>
      </c>
      <c r="X607" s="54">
        <f>inputs!$E$72*(inputs!$F$72/F607)^(0.25)</f>
        <v>41.751713260270158</v>
      </c>
      <c r="Y607" s="54" t="s">
        <v>13</v>
      </c>
      <c r="Z607" s="106">
        <f t="shared" si="66"/>
        <v>32.372021570792491</v>
      </c>
      <c r="AA607" s="106">
        <f t="shared" si="67"/>
        <v>107.62650107529379</v>
      </c>
    </row>
    <row r="608" spans="1:27" x14ac:dyDescent="0.25">
      <c r="A608" s="55" t="s">
        <v>563</v>
      </c>
      <c r="B608" s="49" t="s">
        <v>564</v>
      </c>
      <c r="C608" s="21" t="s">
        <v>61</v>
      </c>
      <c r="D608" s="20" t="s">
        <v>443</v>
      </c>
      <c r="E608" s="20">
        <v>6334</v>
      </c>
      <c r="F608" s="21">
        <v>800</v>
      </c>
      <c r="G608" s="21" t="s">
        <v>138</v>
      </c>
      <c r="H608" s="21">
        <v>0.68</v>
      </c>
      <c r="I608" s="68">
        <f>MAX('Max rate concentrations'!$L$3:$L$368)</f>
        <v>350.52744091332482</v>
      </c>
      <c r="J608" s="68">
        <f>MAX('Max rate concentrations'!AD:AD)</f>
        <v>242.38599637623525</v>
      </c>
      <c r="K608" s="70">
        <f t="shared" si="68"/>
        <v>36.890658693192684</v>
      </c>
      <c r="L608" s="70">
        <f t="shared" si="69"/>
        <v>25.509498032526857</v>
      </c>
      <c r="M608" s="70">
        <f>IF((((0.326*F608^0.818)-(0.398*F608^0.85)/(1-H608)*H608)*(MAX('Max rate concentrations'!$P$3:$P$368)))/F608&gt;0, (((0.326*F608^0.818)-(0.398*F608^0.85)/(1-H608)*H608)*(MAX('Max rate concentrations'!$P$3:$P$368)))/F608, 0)</f>
        <v>0</v>
      </c>
      <c r="N608" s="70">
        <f>IF((((0.326*F608^0.818)-(0.398*F608^0.85)/(1-H608)*H608)*(MAX('Max rate concentrations'!$Q$3:$Q$368)))/F608&gt; 0, (((0.326*F608^0.818)-(0.398*F608^0.85)/(1-H608)*H608)*(MAX('Max rate concentrations'!$Q$3:$Q$368)))/F608, 0)</f>
        <v>0</v>
      </c>
      <c r="O608" s="70">
        <f>((MAX('Max rate concentrations'!$F$3:$F$368))*0.62*6.01*8*(12.3*F608^0.65)*0.079*0.1/F608)*inputs!$E$73/inputs!$E$74</f>
        <v>26.087939666234309</v>
      </c>
      <c r="P608" s="70">
        <f>((MAX('Max rate concentrations'!Y:Y))*0.62*6.01*8*(12.3*F608^0.65)*0.079*0.1/F608)*inputs!$E$73/inputs!$E$74</f>
        <v>8.6959798887447679</v>
      </c>
      <c r="Q608" s="70">
        <f>(inputs!$C$18*11.2*(12.3*F608^0.65)*0.5/F608)*inputs!$E$73/inputs!$E$74</f>
        <v>4.5952675264026075</v>
      </c>
      <c r="R608" s="60">
        <f>(60*379*((F608/1000)^0.8)*3*24*(MAX('Max rate concentrations'!$R$3:$R$368))/F608)*(inputs!$E$73/inputs!$E$75)</f>
        <v>1.1542787776429314E-2</v>
      </c>
      <c r="S608" s="60">
        <f>(IF(inputs!$C$17="aerial",((0.025*0.112*inputs!$C$18/3.3)*(3*60*379*((F608/1000)^0.8))*MAX(inputs!$I$14:$I$16))/F608,((0.0083*0.112*inputs!$C$18/1)*(3*60*379*((F608/1000)^0.8))*MAX(inputs!$I$14:$I$16))/F608))*(inputs!E$75/inputs!$E$73)</f>
        <v>6.3659183756372348E-2</v>
      </c>
      <c r="T608" s="63">
        <f>IF((((inputs!$P$13/(V608/MAX(K608:S608)))^(1/inputs!$O$13))-1)/inputs!$N$13&lt;0, 0, IF((((inputs!$P$13/(V608/MAX(K608:S608)))^(1/inputs!$O$13))-1)/inputs!$N$13&lt;inputs!$I$17, (((inputs!$P$13/(V608/MAX(K608:S608)))^(1/inputs!$O$13))-1)/inputs!$N$13, inputs!$I$17))</f>
        <v>100.36429131251801</v>
      </c>
      <c r="U608" s="63">
        <f>IF((((inputs!$P$13/(X608/MAX(K608:S608)))^(1/inputs!$O$13))-1)/inputs!$N$13&lt;0, 0, IF((((inputs!$P$13/(X608/MAX(K608:S608)))^(1/inputs!$O$13))-1)/inputs!$N$13&lt;inputs!$I$17, (((inputs!$P$13/(X608/MAX(K608:S608)))^(1/inputs!$O$13))-1)/inputs!$N$13, inputs!$I$17))</f>
        <v>0</v>
      </c>
      <c r="V608" s="54">
        <f>inputs!$E$70*(inputs!$F$70/F608)^(0.25)</f>
        <v>0.94637216723279016</v>
      </c>
      <c r="W608" s="54">
        <f>inputs!$E$76*(inputs!$F$76/F608)^(0.25)</f>
        <v>0.28465089829711249</v>
      </c>
      <c r="X608" s="54">
        <f>inputs!$E$72*(inputs!$F$72/F608)^(0.25)</f>
        <v>41.751713260270158</v>
      </c>
      <c r="Y608" s="54" t="s">
        <v>13</v>
      </c>
      <c r="Z608" s="106">
        <f t="shared" si="66"/>
        <v>38.981132339364606</v>
      </c>
      <c r="AA608" s="106">
        <f t="shared" si="67"/>
        <v>129.59965668081963</v>
      </c>
    </row>
    <row r="609" spans="1:27" x14ac:dyDescent="0.25">
      <c r="A609" s="55" t="s">
        <v>563</v>
      </c>
      <c r="B609" s="49" t="s">
        <v>564</v>
      </c>
      <c r="C609" s="21" t="s">
        <v>61</v>
      </c>
      <c r="D609" s="20" t="s">
        <v>443</v>
      </c>
      <c r="E609" s="20">
        <v>6334</v>
      </c>
      <c r="F609" s="21">
        <v>800</v>
      </c>
      <c r="G609" s="21" t="s">
        <v>158</v>
      </c>
      <c r="H609" s="21">
        <v>0.85</v>
      </c>
      <c r="I609" s="68">
        <f>MAX('Max rate concentrations'!$F$3:$F$368)</f>
        <v>405</v>
      </c>
      <c r="J609" s="68">
        <f>MAX('Max rate concentrations'!Y:Y)</f>
        <v>135</v>
      </c>
      <c r="K609" s="70">
        <f t="shared" si="68"/>
        <v>90.930196585664362</v>
      </c>
      <c r="L609" s="70">
        <f t="shared" si="69"/>
        <v>30.310065528554784</v>
      </c>
      <c r="M609" s="70">
        <f>IF((((0.326*F609^0.818)-(0.398*F609^0.85)/(1-H609)*H609)*(MAX('Max rate concentrations'!$P$3:$P$368)))/F609&gt;0, (((0.326*F609^0.818)-(0.398*F609^0.85)/(1-H609)*H609)*(MAX('Max rate concentrations'!$P$3:$P$368)))/F609, 0)</f>
        <v>0</v>
      </c>
      <c r="N609" s="70">
        <f>IF((((0.326*F609^0.818)-(0.398*F609^0.85)/(1-H609)*H609)*(MAX('Max rate concentrations'!$Q$3:$Q$368)))/F609&gt; 0, (((0.326*F609^0.818)-(0.398*F609^0.85)/(1-H609)*H609)*(MAX('Max rate concentrations'!$Q$3:$Q$368)))/F609, 0)</f>
        <v>0</v>
      </c>
      <c r="O609" s="70">
        <f>((MAX('Max rate concentrations'!$F$3:$F$368))*0.62*6.01*8*(12.3*F609^0.65)*0.079*0.1/F609)*inputs!$E$73/inputs!$E$74</f>
        <v>26.087939666234309</v>
      </c>
      <c r="P609" s="70">
        <f>((MAX('Max rate concentrations'!Y:Y))*0.62*6.01*8*(12.3*F609^0.65)*0.079*0.1/F609)*inputs!$E$73/inputs!$E$74</f>
        <v>8.6959798887447679</v>
      </c>
      <c r="Q609" s="70">
        <f>(inputs!$C$18*11.2*(12.3*F609^0.65)*0.5/F609)*inputs!$E$73/inputs!$E$74</f>
        <v>4.5952675264026075</v>
      </c>
      <c r="R609" s="60">
        <f>(60*379*((F609/1000)^0.8)*3*24*(MAX('Max rate concentrations'!$R$3:$R$368))/F609)*(inputs!$E$73/inputs!$E$75)</f>
        <v>1.1542787776429314E-2</v>
      </c>
      <c r="S609" s="60">
        <f>(IF(inputs!$C$17="aerial",((0.025*0.112*inputs!$C$18/3.3)*(3*60*379*((F609/1000)^0.8))*MAX(inputs!$I$14:$I$16))/F609,((0.0083*0.112*inputs!$C$18/1)*(3*60*379*((F609/1000)^0.8))*MAX(inputs!$I$14:$I$16))/F609))*(inputs!E$75/inputs!$E$73)</f>
        <v>6.3659183756372348E-2</v>
      </c>
      <c r="T609" s="63">
        <f>IF((((inputs!$P$13/(V609/MAX(K609:S609)))^(1/inputs!$O$13))-1)/inputs!$N$13&lt;0, 0, IF((((inputs!$P$13/(V609/MAX(K609:S609)))^(1/inputs!$O$13))-1)/inputs!$N$13&lt;inputs!$I$17, (((inputs!$P$13/(V609/MAX(K609:S609)))^(1/inputs!$O$13))-1)/inputs!$N$13, inputs!$I$17))</f>
        <v>213.78036832369617</v>
      </c>
      <c r="U609" s="63">
        <f>IF((((inputs!$P$13/(X609/MAX(K609:S609)))^(1/inputs!$O$13))-1)/inputs!$N$13&lt;0, 0, IF((((inputs!$P$13/(X609/MAX(K609:S609)))^(1/inputs!$O$13))-1)/inputs!$N$13&lt;inputs!$I$17, (((inputs!$P$13/(X609/MAX(K609:S609)))^(1/inputs!$O$13))-1)/inputs!$N$13, inputs!$I$17))</f>
        <v>5.0176234672896411</v>
      </c>
      <c r="V609" s="54">
        <f>inputs!$E$70*(inputs!$F$70/F609)^(0.25)</f>
        <v>0.94637216723279016</v>
      </c>
      <c r="W609" s="54">
        <f>inputs!$E$76*(inputs!$F$76/F609)^(0.25)</f>
        <v>0.28465089829711249</v>
      </c>
      <c r="X609" s="54">
        <f>inputs!$E$72*(inputs!$F$72/F609)^(0.25)</f>
        <v>41.751713260270158</v>
      </c>
      <c r="Y609" s="54" t="s">
        <v>13</v>
      </c>
      <c r="Z609" s="106">
        <f t="shared" si="66"/>
        <v>96.082915087777735</v>
      </c>
      <c r="AA609" s="106">
        <f t="shared" si="67"/>
        <v>319.44461489369121</v>
      </c>
    </row>
    <row r="610" spans="1:27" x14ac:dyDescent="0.25">
      <c r="A610" s="55" t="s">
        <v>563</v>
      </c>
      <c r="B610" s="49" t="s">
        <v>564</v>
      </c>
      <c r="C610" s="21" t="s">
        <v>61</v>
      </c>
      <c r="D610" s="20" t="s">
        <v>443</v>
      </c>
      <c r="E610" s="20">
        <v>6334</v>
      </c>
      <c r="F610" s="21">
        <v>800</v>
      </c>
      <c r="G610" s="21" t="s">
        <v>154</v>
      </c>
      <c r="H610" s="21">
        <v>9.2999999999999999E-2</v>
      </c>
      <c r="I610" s="68">
        <f>MAX('Max rate concentrations'!$G$3:$G$368)</f>
        <v>45</v>
      </c>
      <c r="J610" s="68">
        <f>MAX('Max rate concentrations'!Z:Z)</f>
        <v>21</v>
      </c>
      <c r="K610" s="70">
        <f t="shared" si="68"/>
        <v>1.6708966664032407</v>
      </c>
      <c r="L610" s="70">
        <f t="shared" si="69"/>
        <v>0.77975177765484571</v>
      </c>
      <c r="M610" s="70">
        <f>IF((((0.326*F610^0.818)-(0.398*F610^0.85)/(1-H610)*H610)*(MAX('Max rate concentrations'!$P$3:$P$368)))/F610&gt;0, (((0.326*F610^0.818)-(0.398*F610^0.85)/(1-H610)*H610)*(MAX('Max rate concentrations'!$P$3:$P$368)))/F610, 0)</f>
        <v>7.1064787060001508E-2</v>
      </c>
      <c r="N610" s="70">
        <f>IF((((0.326*F610^0.818)-(0.398*F610^0.85)/(1-H610)*H610)*(MAX('Max rate concentrations'!$Q$3:$Q$368)))/F610&gt; 0, (((0.326*F610^0.818)-(0.398*F610^0.85)/(1-H610)*H610)*(MAX('Max rate concentrations'!$Q$3:$Q$368)))/F610, 0)</f>
        <v>0.27061852755524773</v>
      </c>
      <c r="O610" s="70">
        <f>((MAX('Max rate concentrations'!$F$3:$F$368))*0.62*6.01*8*(12.3*F610^0.65)*0.079*0.1/F610)*inputs!$E$73/inputs!$E$74</f>
        <v>26.087939666234309</v>
      </c>
      <c r="P610" s="70">
        <f>((MAX('Max rate concentrations'!Y:Y))*0.62*6.01*8*(12.3*F610^0.65)*0.079*0.1/F610)*inputs!$E$73/inputs!$E$74</f>
        <v>8.6959798887447679</v>
      </c>
      <c r="Q610" s="70">
        <f>(inputs!$C$18*11.2*(12.3*F610^0.65)*0.5/F610)*inputs!$E$73/inputs!$E$74</f>
        <v>4.5952675264026075</v>
      </c>
      <c r="R610" s="60">
        <f>(60*379*((F610/1000)^0.8)*3*24*(MAX('Max rate concentrations'!$R$3:$R$368))/F610)*(inputs!$E$73/inputs!$E$75)</f>
        <v>1.1542787776429314E-2</v>
      </c>
      <c r="S610" s="60">
        <f>(IF(inputs!$C$17="aerial",((0.025*0.112*inputs!$C$18/3.3)*(3*60*379*((F610/1000)^0.8))*MAX(inputs!$I$14:$I$16))/F610,((0.0083*0.112*inputs!$C$18/1)*(3*60*379*((F610/1000)^0.8))*MAX(inputs!$I$14:$I$16))/F610))*(inputs!E$75/inputs!$E$73)</f>
        <v>6.3659183756372348E-2</v>
      </c>
      <c r="T610" s="63">
        <f>IF((((inputs!$P$13/(V610/MAX(K610:S610)))^(1/inputs!$O$13))-1)/inputs!$N$13&lt;0, 0, IF((((inputs!$P$13/(V610/MAX(K610:S610)))^(1/inputs!$O$13))-1)/inputs!$N$13&lt;inputs!$I$17, (((inputs!$P$13/(V610/MAX(K610:S610)))^(1/inputs!$O$13))-1)/inputs!$N$13, inputs!$I$17))</f>
        <v>74.561776602970127</v>
      </c>
      <c r="U610" s="63">
        <f>IF((((inputs!$P$13/(X610/MAX(K610:S610)))^(1/inputs!$O$13))-1)/inputs!$N$13&lt;0, 0, IF((((inputs!$P$13/(X610/MAX(K610:S610)))^(1/inputs!$O$13))-1)/inputs!$N$13&lt;inputs!$I$17, (((inputs!$P$13/(X610/MAX(K610:S610)))^(1/inputs!$O$13))-1)/inputs!$N$13, inputs!$I$17))</f>
        <v>0</v>
      </c>
      <c r="V610" s="54">
        <f>inputs!$E$70*(inputs!$F$70/F610)^(0.25)</f>
        <v>0.94637216723279016</v>
      </c>
      <c r="W610" s="54">
        <f>inputs!$E$76*(inputs!$F$76/F610)^(0.25)</f>
        <v>0.28465089829711249</v>
      </c>
      <c r="X610" s="54">
        <f>inputs!$E$72*(inputs!$F$72/F610)^(0.25)</f>
        <v>41.751713260270158</v>
      </c>
      <c r="Y610" s="54" t="s">
        <v>13</v>
      </c>
      <c r="Z610" s="106">
        <f t="shared" si="66"/>
        <v>27.566258359558407</v>
      </c>
      <c r="AA610" s="106">
        <f t="shared" si="67"/>
        <v>91.648892809761236</v>
      </c>
    </row>
    <row r="611" spans="1:27" ht="26.4" x14ac:dyDescent="0.25">
      <c r="A611" s="55" t="s">
        <v>511</v>
      </c>
      <c r="B611" s="49" t="s">
        <v>512</v>
      </c>
      <c r="C611" s="21" t="s">
        <v>61</v>
      </c>
      <c r="D611" s="20" t="s">
        <v>443</v>
      </c>
      <c r="E611" s="20">
        <v>60</v>
      </c>
      <c r="F611" s="21">
        <v>34</v>
      </c>
      <c r="G611" s="21" t="s">
        <v>169</v>
      </c>
      <c r="H611" s="21">
        <v>0.79</v>
      </c>
      <c r="I611" s="68">
        <f>MAX('Max rate concentrations'!$D$3:$D$368)</f>
        <v>720</v>
      </c>
      <c r="J611" s="68">
        <f>MAX('Max rate concentrations'!W:W)</f>
        <v>255</v>
      </c>
      <c r="K611" s="70">
        <f t="shared" si="68"/>
        <v>457.59365515818394</v>
      </c>
      <c r="L611" s="70">
        <f t="shared" si="69"/>
        <v>162.06441953519013</v>
      </c>
      <c r="M611" s="70">
        <f>IF((((0.326*F611^0.818)-(0.398*F611^0.85)/(1-H611)*H611)*(MAX('Max rate concentrations'!$P$3:$P$368)))/F611&gt;0, (((0.326*F611^0.818)-(0.398*F611^0.85)/(1-H611)*H611)*(MAX('Max rate concentrations'!$P$3:$P$368)))/F611, 0)</f>
        <v>0</v>
      </c>
      <c r="N611" s="70">
        <f>IF((((0.326*F611^0.818)-(0.398*F611^0.85)/(1-H611)*H611)*(MAX('Max rate concentrations'!$Q$3:$Q$368)))/F611&gt; 0, (((0.326*F611^0.818)-(0.398*F611^0.85)/(1-H611)*H611)*(MAX('Max rate concentrations'!$Q$3:$Q$368)))/F611, 0)</f>
        <v>0</v>
      </c>
      <c r="O611" s="70">
        <f>((MAX('Max rate concentrations'!$F$3:$F$368))*0.62*6.01*8*(12.3*F611^0.65)*0.079*0.1/F611)*inputs!$E$73/inputs!$E$74</f>
        <v>78.795906445289717</v>
      </c>
      <c r="P611" s="70">
        <f>((MAX('Max rate concentrations'!Y:Y))*0.62*6.01*8*(12.3*F611^0.65)*0.079*0.1/F611)*inputs!$E$73/inputs!$E$74</f>
        <v>26.265302148429903</v>
      </c>
      <c r="Q611" s="70">
        <f>(inputs!$C$18*11.2*(12.3*F611^0.65)*0.5/F611)*inputs!$E$73/inputs!$E$74</f>
        <v>13.8795272732921</v>
      </c>
      <c r="R611" s="60">
        <f>(60*379*((F611/1000)^0.8)*3*24*(MAX('Max rate concentrations'!$R$3:$R$368))/F611)*(inputs!$E$73/inputs!$E$75)</f>
        <v>2.1708655404698924E-2</v>
      </c>
      <c r="S611" s="60">
        <f>(IF(inputs!$C$17="aerial",((0.025*0.112*inputs!$C$18/3.3)*(3*60*379*((F611/1000)^0.8))*MAX(inputs!$I$14:$I$16))/F611,((0.0083*0.112*inputs!$C$18/1)*(3*60*379*((F611/1000)^0.8))*MAX(inputs!$I$14:$I$16))/F611))*(inputs!E$75/inputs!$E$73)</f>
        <v>0.11972456829999811</v>
      </c>
      <c r="T611" s="63">
        <f>IF((((inputs!$P$13/(V611/MAX(K611:S611)))^(1/inputs!$O$13))-1)/inputs!$N$13&lt;0, 0, IF((((inputs!$P$13/(V611/MAX(K611:S611)))^(1/inputs!$O$13))-1)/inputs!$N$13&lt;inputs!$I$17, (((inputs!$P$13/(V611/MAX(K611:S611)))^(1/inputs!$O$13))-1)/inputs!$N$13, inputs!$I$17))</f>
        <v>422.00659307552417</v>
      </c>
      <c r="U611" s="63">
        <f>IF((((inputs!$P$13/(X611/MAX(K611:S611)))^(1/inputs!$O$13))-1)/inputs!$N$13&lt;0, 0, IF((((inputs!$P$13/(X611/MAX(K611:S611)))^(1/inputs!$O$13))-1)/inputs!$N$13&lt;inputs!$I$17, (((inputs!$P$13/(X611/MAX(K611:S611)))^(1/inputs!$O$13))-1)/inputs!$N$13, inputs!$I$17))</f>
        <v>14.758286524887508</v>
      </c>
      <c r="V611" s="54">
        <f>inputs!$E$70*(inputs!$F$70/F611)^(0.25)</f>
        <v>2.0843215881497379</v>
      </c>
      <c r="W611" s="54">
        <f>inputs!$E$76*(inputs!$F$76/F611)^(0.25)</f>
        <v>0.62692462114742753</v>
      </c>
      <c r="X611" s="54">
        <f>inputs!$E$72*(inputs!$F$72/F611)^(0.25)</f>
        <v>91.955364183076668</v>
      </c>
      <c r="Y611" s="54" t="s">
        <v>13</v>
      </c>
      <c r="Z611" s="106">
        <f t="shared" si="66"/>
        <v>219.54081258851807</v>
      </c>
      <c r="AA611" s="106">
        <f t="shared" si="67"/>
        <v>729.90219194242854</v>
      </c>
    </row>
    <row r="612" spans="1:27" ht="26.4" x14ac:dyDescent="0.25">
      <c r="A612" s="55" t="s">
        <v>511</v>
      </c>
      <c r="B612" s="49" t="s">
        <v>512</v>
      </c>
      <c r="C612" s="21" t="s">
        <v>61</v>
      </c>
      <c r="D612" s="20" t="s">
        <v>443</v>
      </c>
      <c r="E612" s="20">
        <v>60</v>
      </c>
      <c r="F612" s="21">
        <v>34</v>
      </c>
      <c r="G612" s="21" t="s">
        <v>154</v>
      </c>
      <c r="H612" s="21">
        <v>9.2999999999999999E-2</v>
      </c>
      <c r="I612" s="68">
        <f>MAX('Max rate concentrations'!$G$3:$G$368)</f>
        <v>45</v>
      </c>
      <c r="J612" s="68">
        <f>MAX('Max rate concentrations'!Z:Z)</f>
        <v>21</v>
      </c>
      <c r="K612" s="70">
        <f t="shared" si="68"/>
        <v>6.6217383946539821</v>
      </c>
      <c r="L612" s="70">
        <f t="shared" si="69"/>
        <v>3.0901445841718584</v>
      </c>
      <c r="M612" s="70">
        <f>IF((((0.326*F612^0.818)-(0.398*F612^0.85)/(1-H612)*H612)*(MAX('Max rate concentrations'!$P$3:$P$368)))/F612&gt;0, (((0.326*F612^0.818)-(0.398*F612^0.85)/(1-H612)*H612)*(MAX('Max rate concentrations'!$P$3:$P$368)))/F612, 0)</f>
        <v>0.12849339614863209</v>
      </c>
      <c r="N612" s="70">
        <f>IF((((0.326*F612^0.818)-(0.398*F612^0.85)/(1-H612)*H612)*(MAX('Max rate concentrations'!$Q$3:$Q$368)))/F612&gt; 0, (((0.326*F612^0.818)-(0.398*F612^0.85)/(1-H612)*H612)*(MAX('Max rate concentrations'!$Q$3:$Q$368)))/F612, 0)</f>
        <v>0.48930975670069399</v>
      </c>
      <c r="O612" s="70">
        <f>((MAX('Max rate concentrations'!$F$3:$F$368))*0.62*6.01*8*(12.3*F612^0.65)*0.079*0.1/F612)*inputs!$E$73/inputs!$E$74</f>
        <v>78.795906445289717</v>
      </c>
      <c r="P612" s="70">
        <f>((MAX('Max rate concentrations'!Y:Y))*0.62*6.01*8*(12.3*F612^0.65)*0.079*0.1/F612)*inputs!$E$73/inputs!$E$74</f>
        <v>26.265302148429903</v>
      </c>
      <c r="Q612" s="70">
        <f>(inputs!$C$18*11.2*(12.3*F612^0.65)*0.5/F612)*inputs!$E$73/inputs!$E$74</f>
        <v>13.8795272732921</v>
      </c>
      <c r="R612" s="60">
        <f>(60*379*((F612/1000)^0.8)*3*24*(MAX('Max rate concentrations'!$R$3:$R$368))/F612)*(inputs!$E$73/inputs!$E$75)</f>
        <v>2.1708655404698924E-2</v>
      </c>
      <c r="S612" s="60">
        <f>(IF(inputs!$C$17="aerial",((0.025*0.112*inputs!$C$18/3.3)*(3*60*379*((F612/1000)^0.8))*MAX(inputs!$I$14:$I$16))/F612,((0.0083*0.112*inputs!$C$18/1)*(3*60*379*((F612/1000)^0.8))*MAX(inputs!$I$14:$I$16))/F612))*(inputs!E$75/inputs!$E$73)</f>
        <v>0.11972456829999811</v>
      </c>
      <c r="T612" s="63">
        <f>IF((((inputs!$P$13/(V612/MAX(K612:S612)))^(1/inputs!$O$13))-1)/inputs!$N$13&lt;0, 0, IF((((inputs!$P$13/(V612/MAX(K612:S612)))^(1/inputs!$O$13))-1)/inputs!$N$13&lt;inputs!$I$17, (((inputs!$P$13/(V612/MAX(K612:S612)))^(1/inputs!$O$13))-1)/inputs!$N$13, inputs!$I$17))</f>
        <v>97.778452004617904</v>
      </c>
      <c r="U612" s="63">
        <f>IF((((inputs!$P$13/(X612/MAX(K612:S612)))^(1/inputs!$O$13))-1)/inputs!$N$13&lt;0, 0, IF((((inputs!$P$13/(X612/MAX(K612:S612)))^(1/inputs!$O$13))-1)/inputs!$N$13&lt;inputs!$I$17, (((inputs!$P$13/(X612/MAX(K612:S612)))^(1/inputs!$O$13))-1)/inputs!$N$13, inputs!$I$17))</f>
        <v>0</v>
      </c>
      <c r="V612" s="54">
        <f>inputs!$E$70*(inputs!$F$70/F612)^(0.25)</f>
        <v>2.0843215881497379</v>
      </c>
      <c r="W612" s="54">
        <f>inputs!$E$76*(inputs!$F$76/F612)^(0.25)</f>
        <v>0.62692462114742753</v>
      </c>
      <c r="X612" s="54">
        <f>inputs!$E$72*(inputs!$F$72/F612)^(0.25)</f>
        <v>91.955364183076668</v>
      </c>
      <c r="Y612" s="54" t="s">
        <v>13</v>
      </c>
      <c r="Z612" s="106">
        <f t="shared" si="66"/>
        <v>37.804102252396291</v>
      </c>
      <c r="AA612" s="106">
        <f t="shared" si="67"/>
        <v>125.68641234902159</v>
      </c>
    </row>
    <row r="613" spans="1:27" x14ac:dyDescent="0.25">
      <c r="A613" s="55" t="s">
        <v>478</v>
      </c>
      <c r="B613" s="49" t="s">
        <v>479</v>
      </c>
      <c r="C613" s="21" t="s">
        <v>61</v>
      </c>
      <c r="D613" s="20" t="s">
        <v>443</v>
      </c>
      <c r="E613" s="20">
        <v>37</v>
      </c>
      <c r="F613" s="21">
        <v>34</v>
      </c>
      <c r="G613" s="21" t="s">
        <v>142</v>
      </c>
      <c r="H613" s="21">
        <v>0.69</v>
      </c>
      <c r="I613" s="68">
        <f>MAX('Max rate concentrations'!$H$3:$H$368)</f>
        <v>282</v>
      </c>
      <c r="J613" s="68">
        <f>MAX('Max rate concentrations'!AA:AA)</f>
        <v>195</v>
      </c>
      <c r="K613" s="70">
        <f t="shared" si="68"/>
        <v>121.40992947342134</v>
      </c>
      <c r="L613" s="70">
        <f t="shared" si="69"/>
        <v>83.953674635876453</v>
      </c>
      <c r="M613" s="70">
        <f>IF((((0.326*F613^0.818)-(0.398*F613^0.85)/(1-H613)*H613)*(MAX('Max rate concentrations'!$P$3:$P$368)))/F613&gt;0, (((0.326*F613^0.818)-(0.398*F613^0.85)/(1-H613)*H613)*(MAX('Max rate concentrations'!$P$3:$P$368)))/F613, 0)</f>
        <v>0</v>
      </c>
      <c r="N613" s="70">
        <f>IF((((0.326*F613^0.818)-(0.398*F613^0.85)/(1-H613)*H613)*(MAX('Max rate concentrations'!$Q$3:$Q$368)))/F613&gt; 0, (((0.326*F613^0.818)-(0.398*F613^0.85)/(1-H613)*H613)*(MAX('Max rate concentrations'!$Q$3:$Q$368)))/F613, 0)</f>
        <v>0</v>
      </c>
      <c r="O613" s="70">
        <f>((MAX('Max rate concentrations'!$F$3:$F$368))*0.62*6.01*8*(12.3*F613^0.65)*0.079*0.1/F613)*inputs!$E$73/inputs!$E$74</f>
        <v>78.795906445289717</v>
      </c>
      <c r="P613" s="70">
        <f>((MAX('Max rate concentrations'!Y:Y))*0.62*6.01*8*(12.3*F613^0.65)*0.079*0.1/F613)*inputs!$E$73/inputs!$E$74</f>
        <v>26.265302148429903</v>
      </c>
      <c r="Q613" s="70">
        <f>(inputs!$C$18*11.2*(12.3*F613^0.65)*0.5/F613)*inputs!$E$73/inputs!$E$74</f>
        <v>13.8795272732921</v>
      </c>
      <c r="R613" s="60">
        <f>(60*379*((F613/1000)^0.8)*3*24*(MAX('Max rate concentrations'!$R$3:$R$368))/F613)*(inputs!$E$73/inputs!$E$75)</f>
        <v>2.1708655404698924E-2</v>
      </c>
      <c r="S613" s="60">
        <f>(IF(inputs!$C$17="aerial",((0.025*0.112*inputs!$C$18/3.3)*(3*60*379*((F613/1000)^0.8))*MAX(inputs!$I$14:$I$16))/F613,((0.0083*0.112*inputs!$C$18/1)*(3*60*379*((F613/1000)^0.8))*MAX(inputs!$I$14:$I$16))/F613))*(inputs!E$75/inputs!$E$73)</f>
        <v>0.11972456829999811</v>
      </c>
      <c r="T613" s="63">
        <f>IF((((inputs!$P$13/(V613/MAX(K613:S613)))^(1/inputs!$O$13))-1)/inputs!$N$13&lt;0, 0, IF((((inputs!$P$13/(V613/MAX(K613:S613)))^(1/inputs!$O$13))-1)/inputs!$N$13&lt;inputs!$I$17, (((inputs!$P$13/(V613/MAX(K613:S613)))^(1/inputs!$O$13))-1)/inputs!$N$13, inputs!$I$17))</f>
        <v>140.88595920677807</v>
      </c>
      <c r="U613" s="63">
        <f>IF((((inputs!$P$13/(X613/MAX(K613:S613)))^(1/inputs!$O$13))-1)/inputs!$N$13&lt;0, 0, IF((((inputs!$P$13/(X613/MAX(K613:S613)))^(1/inputs!$O$13))-1)/inputs!$N$13&lt;inputs!$I$17, (((inputs!$P$13/(X613/MAX(K613:S613)))^(1/inputs!$O$13))-1)/inputs!$N$13, inputs!$I$17))</f>
        <v>1.607678928186359</v>
      </c>
      <c r="V613" s="54">
        <f>inputs!$E$70*(inputs!$F$70/F613)^(0.25)</f>
        <v>2.0843215881497379</v>
      </c>
      <c r="W613" s="54">
        <f>inputs!$E$76*(inputs!$F$76/F613)^(0.25)</f>
        <v>0.62692462114742753</v>
      </c>
      <c r="X613" s="54">
        <f>inputs!$E$72*(inputs!$F$72/F613)^(0.25)</f>
        <v>91.955364183076668</v>
      </c>
      <c r="Y613" s="54" t="s">
        <v>13</v>
      </c>
      <c r="Z613" s="106">
        <f t="shared" si="66"/>
        <v>58.249134952921302</v>
      </c>
      <c r="AA613" s="106">
        <f t="shared" si="67"/>
        <v>193.65953318472492</v>
      </c>
    </row>
    <row r="614" spans="1:27" x14ac:dyDescent="0.25">
      <c r="A614" s="55" t="s">
        <v>478</v>
      </c>
      <c r="B614" s="49" t="s">
        <v>479</v>
      </c>
      <c r="C614" s="21" t="s">
        <v>61</v>
      </c>
      <c r="D614" s="20" t="s">
        <v>443</v>
      </c>
      <c r="E614" s="20">
        <v>37</v>
      </c>
      <c r="F614" s="21">
        <v>34</v>
      </c>
      <c r="G614" s="21" t="s">
        <v>169</v>
      </c>
      <c r="H614" s="21">
        <v>0.79</v>
      </c>
      <c r="I614" s="68">
        <f>MAX('Max rate concentrations'!$D$3:$D$368)</f>
        <v>720</v>
      </c>
      <c r="J614" s="68">
        <f>MAX('Max rate concentrations'!W:W)</f>
        <v>255</v>
      </c>
      <c r="K614" s="70">
        <f t="shared" si="68"/>
        <v>457.59365515818394</v>
      </c>
      <c r="L614" s="70">
        <f t="shared" si="69"/>
        <v>162.06441953519013</v>
      </c>
      <c r="M614" s="70">
        <f>IF((((0.326*F614^0.818)-(0.398*F614^0.85)/(1-H614)*H614)*(MAX('Max rate concentrations'!$P$3:$P$368)))/F614&gt;0, (((0.326*F614^0.818)-(0.398*F614^0.85)/(1-H614)*H614)*(MAX('Max rate concentrations'!$P$3:$P$368)))/F614, 0)</f>
        <v>0</v>
      </c>
      <c r="N614" s="70">
        <f>IF((((0.326*F614^0.818)-(0.398*F614^0.85)/(1-H614)*H614)*(MAX('Max rate concentrations'!$Q$3:$Q$368)))/F614&gt; 0, (((0.326*F614^0.818)-(0.398*F614^0.85)/(1-H614)*H614)*(MAX('Max rate concentrations'!$Q$3:$Q$368)))/F614, 0)</f>
        <v>0</v>
      </c>
      <c r="O614" s="70">
        <f>((MAX('Max rate concentrations'!$F$3:$F$368))*0.62*6.01*8*(12.3*F614^0.65)*0.079*0.1/F614)*inputs!$E$73/inputs!$E$74</f>
        <v>78.795906445289717</v>
      </c>
      <c r="P614" s="70">
        <f>((MAX('Max rate concentrations'!Y:Y))*0.62*6.01*8*(12.3*F614^0.65)*0.079*0.1/F614)*inputs!$E$73/inputs!$E$74</f>
        <v>26.265302148429903</v>
      </c>
      <c r="Q614" s="70">
        <f>(inputs!$C$18*11.2*(12.3*F614^0.65)*0.5/F614)*inputs!$E$73/inputs!$E$74</f>
        <v>13.8795272732921</v>
      </c>
      <c r="R614" s="60">
        <f>(60*379*((F614/1000)^0.8)*3*24*(MAX('Max rate concentrations'!$R$3:$R$368))/F614)*(inputs!$E$73/inputs!$E$75)</f>
        <v>2.1708655404698924E-2</v>
      </c>
      <c r="S614" s="60">
        <f>(IF(inputs!$C$17="aerial",((0.025*0.112*inputs!$C$18/3.3)*(3*60*379*((F614/1000)^0.8))*MAX(inputs!$I$14:$I$16))/F614,((0.0083*0.112*inputs!$C$18/1)*(3*60*379*((F614/1000)^0.8))*MAX(inputs!$I$14:$I$16))/F614))*(inputs!E$75/inputs!$E$73)</f>
        <v>0.11972456829999811</v>
      </c>
      <c r="T614" s="63">
        <f>IF((((inputs!$P$13/(V614/MAX(K614:S614)))^(1/inputs!$O$13))-1)/inputs!$N$13&lt;0, 0, IF((((inputs!$P$13/(V614/MAX(K614:S614)))^(1/inputs!$O$13))-1)/inputs!$N$13&lt;inputs!$I$17, (((inputs!$P$13/(V614/MAX(K614:S614)))^(1/inputs!$O$13))-1)/inputs!$N$13, inputs!$I$17))</f>
        <v>422.00659307552417</v>
      </c>
      <c r="U614" s="63">
        <f>IF((((inputs!$P$13/(X614/MAX(K614:S614)))^(1/inputs!$O$13))-1)/inputs!$N$13&lt;0, 0, IF((((inputs!$P$13/(X614/MAX(K614:S614)))^(1/inputs!$O$13))-1)/inputs!$N$13&lt;inputs!$I$17, (((inputs!$P$13/(X614/MAX(K614:S614)))^(1/inputs!$O$13))-1)/inputs!$N$13, inputs!$I$17))</f>
        <v>14.758286524887508</v>
      </c>
      <c r="V614" s="54">
        <f>inputs!$E$70*(inputs!$F$70/F614)^(0.25)</f>
        <v>2.0843215881497379</v>
      </c>
      <c r="W614" s="54">
        <f>inputs!$E$76*(inputs!$F$76/F614)^(0.25)</f>
        <v>0.62692462114742753</v>
      </c>
      <c r="X614" s="54">
        <f>inputs!$E$72*(inputs!$F$72/F614)^(0.25)</f>
        <v>91.955364183076668</v>
      </c>
      <c r="Y614" s="54" t="s">
        <v>13</v>
      </c>
      <c r="Z614" s="106">
        <f t="shared" si="66"/>
        <v>219.54081258851807</v>
      </c>
      <c r="AA614" s="106">
        <f t="shared" si="67"/>
        <v>729.90219194242854</v>
      </c>
    </row>
    <row r="615" spans="1:27" x14ac:dyDescent="0.25">
      <c r="A615" s="55" t="s">
        <v>478</v>
      </c>
      <c r="B615" s="49" t="s">
        <v>479</v>
      </c>
      <c r="C615" s="21" t="s">
        <v>61</v>
      </c>
      <c r="D615" s="20" t="s">
        <v>443</v>
      </c>
      <c r="E615" s="20">
        <v>37</v>
      </c>
      <c r="F615" s="21">
        <v>34</v>
      </c>
      <c r="G615" s="21" t="s">
        <v>177</v>
      </c>
      <c r="H615" s="21">
        <v>0.85</v>
      </c>
      <c r="I615" s="68">
        <f>MAX('Max rate concentrations'!$F$3:$F$368)</f>
        <v>405</v>
      </c>
      <c r="J615" s="68">
        <f>MAX('Max rate concentrations'!Y:Y)</f>
        <v>135</v>
      </c>
      <c r="K615" s="70">
        <f t="shared" si="68"/>
        <v>360.35500343706963</v>
      </c>
      <c r="L615" s="70">
        <f t="shared" si="69"/>
        <v>120.11833447902323</v>
      </c>
      <c r="M615" s="70">
        <f>IF((((0.326*F615^0.818)-(0.398*F615^0.85)/(1-H615)*H615)*(MAX('Max rate concentrations'!$P$3:$P$368)))/F615&gt;0, (((0.326*F615^0.818)-(0.398*F615^0.85)/(1-H615)*H615)*(MAX('Max rate concentrations'!$P$3:$P$368)))/F615, 0)</f>
        <v>0</v>
      </c>
      <c r="N615" s="70">
        <f>IF((((0.326*F615^0.818)-(0.398*F615^0.85)/(1-H615)*H615)*(MAX('Max rate concentrations'!$Q$3:$Q$368)))/F615&gt; 0, (((0.326*F615^0.818)-(0.398*F615^0.85)/(1-H615)*H615)*(MAX('Max rate concentrations'!$Q$3:$Q$368)))/F615, 0)</f>
        <v>0</v>
      </c>
      <c r="O615" s="70">
        <f>((MAX('Max rate concentrations'!$F$3:$F$368))*0.62*6.01*8*(12.3*F615^0.65)*0.079*0.1/F615)*inputs!$E$73/inputs!$E$74</f>
        <v>78.795906445289717</v>
      </c>
      <c r="P615" s="70">
        <f>((MAX('Max rate concentrations'!Y:Y))*0.62*6.01*8*(12.3*F615^0.65)*0.079*0.1/F615)*inputs!$E$73/inputs!$E$74</f>
        <v>26.265302148429903</v>
      </c>
      <c r="Q615" s="70">
        <f>(inputs!$C$18*11.2*(12.3*F615^0.65)*0.5/F615)*inputs!$E$73/inputs!$E$74</f>
        <v>13.8795272732921</v>
      </c>
      <c r="R615" s="60">
        <f>(60*379*((F615/1000)^0.8)*3*24*(MAX('Max rate concentrations'!$R$3:$R$368))/F615)*(inputs!$E$73/inputs!$E$75)</f>
        <v>2.1708655404698924E-2</v>
      </c>
      <c r="S615" s="60">
        <f>(IF(inputs!$C$17="aerial",((0.025*0.112*inputs!$C$18/3.3)*(3*60*379*((F615/1000)^0.8))*MAX(inputs!$I$14:$I$16))/F615,((0.0083*0.112*inputs!$C$18/1)*(3*60*379*((F615/1000)^0.8))*MAX(inputs!$I$14:$I$16))/F615))*(inputs!E$75/inputs!$E$73)</f>
        <v>0.11972456829999811</v>
      </c>
      <c r="T615" s="63">
        <f>IF((((inputs!$P$13/(V615/MAX(K615:S615)))^(1/inputs!$O$13))-1)/inputs!$N$13&lt;0, 0, IF((((inputs!$P$13/(V615/MAX(K615:S615)))^(1/inputs!$O$13))-1)/inputs!$N$13&lt;inputs!$I$17, (((inputs!$P$13/(V615/MAX(K615:S615)))^(1/inputs!$O$13))-1)/inputs!$N$13, inputs!$I$17))</f>
        <v>346.954356641922</v>
      </c>
      <c r="U615" s="63">
        <f>IF((((inputs!$P$13/(X615/MAX(K615:S615)))^(1/inputs!$O$13))-1)/inputs!$N$13&lt;0, 0, IF((((inputs!$P$13/(X615/MAX(K615:S615)))^(1/inputs!$O$13))-1)/inputs!$N$13&lt;inputs!$I$17, (((inputs!$P$13/(X615/MAX(K615:S615)))^(1/inputs!$O$13))-1)/inputs!$N$13, inputs!$I$17))</f>
        <v>11.247400479240792</v>
      </c>
      <c r="V615" s="54">
        <f>inputs!$E$70*(inputs!$F$70/F615)^(0.25)</f>
        <v>2.0843215881497379</v>
      </c>
      <c r="W615" s="54">
        <f>inputs!$E$76*(inputs!$F$76/F615)^(0.25)</f>
        <v>0.62692462114742753</v>
      </c>
      <c r="X615" s="54">
        <f>inputs!$E$72*(inputs!$F$72/F615)^(0.25)</f>
        <v>91.955364183076668</v>
      </c>
      <c r="Y615" s="54" t="s">
        <v>13</v>
      </c>
      <c r="Z615" s="106">
        <f t="shared" si="66"/>
        <v>172.88838991345787</v>
      </c>
      <c r="AA615" s="106">
        <f t="shared" si="67"/>
        <v>574.79797615466214</v>
      </c>
    </row>
    <row r="616" spans="1:27" x14ac:dyDescent="0.25">
      <c r="A616" s="55" t="s">
        <v>478</v>
      </c>
      <c r="B616" s="49" t="s">
        <v>479</v>
      </c>
      <c r="C616" s="21" t="s">
        <v>61</v>
      </c>
      <c r="D616" s="20" t="s">
        <v>443</v>
      </c>
      <c r="E616" s="20">
        <v>37</v>
      </c>
      <c r="F616" s="21">
        <v>34</v>
      </c>
      <c r="G616" s="21" t="s">
        <v>154</v>
      </c>
      <c r="H616" s="21">
        <v>9.2999999999999999E-2</v>
      </c>
      <c r="I616" s="68">
        <f>MAX('Max rate concentrations'!$G$3:$G$368)</f>
        <v>45</v>
      </c>
      <c r="J616" s="68">
        <f>MAX('Max rate concentrations'!Z:Z)</f>
        <v>21</v>
      </c>
      <c r="K616" s="70">
        <f t="shared" si="68"/>
        <v>6.6217383946539821</v>
      </c>
      <c r="L616" s="70">
        <f t="shared" si="69"/>
        <v>3.0901445841718584</v>
      </c>
      <c r="M616" s="70">
        <f>IF((((0.326*F616^0.818)-(0.398*F616^0.85)/(1-H616)*H616)*(MAX('Max rate concentrations'!$P$3:$P$368)))/F616&gt;0, (((0.326*F616^0.818)-(0.398*F616^0.85)/(1-H616)*H616)*(MAX('Max rate concentrations'!$P$3:$P$368)))/F616, 0)</f>
        <v>0.12849339614863209</v>
      </c>
      <c r="N616" s="70">
        <f>IF((((0.326*F616^0.818)-(0.398*F616^0.85)/(1-H616)*H616)*(MAX('Max rate concentrations'!$Q$3:$Q$368)))/F616&gt; 0, (((0.326*F616^0.818)-(0.398*F616^0.85)/(1-H616)*H616)*(MAX('Max rate concentrations'!$Q$3:$Q$368)))/F616, 0)</f>
        <v>0.48930975670069399</v>
      </c>
      <c r="O616" s="70">
        <f>((MAX('Max rate concentrations'!$F$3:$F$368))*0.62*6.01*8*(12.3*F616^0.65)*0.079*0.1/F616)*inputs!$E$73/inputs!$E$74</f>
        <v>78.795906445289717</v>
      </c>
      <c r="P616" s="70">
        <f>((MAX('Max rate concentrations'!Y:Y))*0.62*6.01*8*(12.3*F616^0.65)*0.079*0.1/F616)*inputs!$E$73/inputs!$E$74</f>
        <v>26.265302148429903</v>
      </c>
      <c r="Q616" s="70">
        <f>(inputs!$C$18*11.2*(12.3*F616^0.65)*0.5/F616)*inputs!$E$73/inputs!$E$74</f>
        <v>13.8795272732921</v>
      </c>
      <c r="R616" s="60">
        <f>(60*379*((F616/1000)^0.8)*3*24*(MAX('Max rate concentrations'!$R$3:$R$368))/F616)*(inputs!$E$73/inputs!$E$75)</f>
        <v>2.1708655404698924E-2</v>
      </c>
      <c r="S616" s="60">
        <f>(IF(inputs!$C$17="aerial",((0.025*0.112*inputs!$C$18/3.3)*(3*60*379*((F616/1000)^0.8))*MAX(inputs!$I$14:$I$16))/F616,((0.0083*0.112*inputs!$C$18/1)*(3*60*379*((F616/1000)^0.8))*MAX(inputs!$I$14:$I$16))/F616))*(inputs!E$75/inputs!$E$73)</f>
        <v>0.11972456829999811</v>
      </c>
      <c r="T616" s="63">
        <f>IF((((inputs!$P$13/(V616/MAX(K616:S616)))^(1/inputs!$O$13))-1)/inputs!$N$13&lt;0, 0, IF((((inputs!$P$13/(V616/MAX(K616:S616)))^(1/inputs!$O$13))-1)/inputs!$N$13&lt;inputs!$I$17, (((inputs!$P$13/(V616/MAX(K616:S616)))^(1/inputs!$O$13))-1)/inputs!$N$13, inputs!$I$17))</f>
        <v>97.778452004617904</v>
      </c>
      <c r="U616" s="63">
        <f>IF((((inputs!$P$13/(X616/MAX(K616:S616)))^(1/inputs!$O$13))-1)/inputs!$N$13&lt;0, 0, IF((((inputs!$P$13/(X616/MAX(K616:S616)))^(1/inputs!$O$13))-1)/inputs!$N$13&lt;inputs!$I$17, (((inputs!$P$13/(X616/MAX(K616:S616)))^(1/inputs!$O$13))-1)/inputs!$N$13, inputs!$I$17))</f>
        <v>0</v>
      </c>
      <c r="V616" s="54">
        <f>inputs!$E$70*(inputs!$F$70/F616)^(0.25)</f>
        <v>2.0843215881497379</v>
      </c>
      <c r="W616" s="54">
        <f>inputs!$E$76*(inputs!$F$76/F616)^(0.25)</f>
        <v>0.62692462114742753</v>
      </c>
      <c r="X616" s="54">
        <f>inputs!$E$72*(inputs!$F$72/F616)^(0.25)</f>
        <v>91.955364183076668</v>
      </c>
      <c r="Y616" s="54" t="s">
        <v>13</v>
      </c>
      <c r="Z616" s="106">
        <f t="shared" si="66"/>
        <v>37.804102252396291</v>
      </c>
      <c r="AA616" s="106">
        <f t="shared" si="67"/>
        <v>125.68641234902159</v>
      </c>
    </row>
    <row r="617" spans="1:27" x14ac:dyDescent="0.25">
      <c r="A617" s="55" t="s">
        <v>474</v>
      </c>
      <c r="B617" s="49" t="s">
        <v>475</v>
      </c>
      <c r="C617" s="21" t="s">
        <v>61</v>
      </c>
      <c r="D617" s="20" t="s">
        <v>443</v>
      </c>
      <c r="E617" s="20">
        <v>38</v>
      </c>
      <c r="F617" s="21">
        <v>151.4</v>
      </c>
      <c r="G617" s="21" t="s">
        <v>142</v>
      </c>
      <c r="H617" s="21">
        <v>0.69</v>
      </c>
      <c r="I617" s="68">
        <f>MAX('Max rate concentrations'!$H$3:$H$368)</f>
        <v>282</v>
      </c>
      <c r="J617" s="68">
        <f>MAX('Max rate concentrations'!AA:AA)</f>
        <v>195</v>
      </c>
      <c r="K617" s="70">
        <f t="shared" si="68"/>
        <v>63.30589208405862</v>
      </c>
      <c r="L617" s="70">
        <f t="shared" si="69"/>
        <v>43.77535090918947</v>
      </c>
      <c r="M617" s="70">
        <f>IF((((0.326*F617^0.818)-(0.398*F617^0.85)/(1-H617)*H617)*(MAX('Max rate concentrations'!$P$3:$P$368)))/F617&gt;0, (((0.326*F617^0.818)-(0.398*F617^0.85)/(1-H617)*H617)*(MAX('Max rate concentrations'!$P$3:$P$368)))/F617, 0)</f>
        <v>0</v>
      </c>
      <c r="N617" s="70">
        <f>IF((((0.326*F617^0.818)-(0.398*F617^0.85)/(1-H617)*H617)*(MAX('Max rate concentrations'!$Q$3:$Q$368)))/F617&gt; 0, (((0.326*F617^0.818)-(0.398*F617^0.85)/(1-H617)*H617)*(MAX('Max rate concentrations'!$Q$3:$Q$368)))/F617, 0)</f>
        <v>0</v>
      </c>
      <c r="O617" s="70">
        <f>((MAX('Max rate concentrations'!$F$3:$F$368))*0.62*6.01*8*(12.3*F617^0.65)*0.079*0.1/F617)*inputs!$E$73/inputs!$E$74</f>
        <v>46.71724465689686</v>
      </c>
      <c r="P617" s="70">
        <f>((MAX('Max rate concentrations'!Y:Y))*0.62*6.01*8*(12.3*F617^0.65)*0.079*0.1/F617)*inputs!$E$73/inputs!$E$74</f>
        <v>15.572414885632289</v>
      </c>
      <c r="Q617" s="70">
        <f>(inputs!$C$18*11.2*(12.3*F617^0.65)*0.5/F617)*inputs!$E$73/inputs!$E$74</f>
        <v>8.229022300779949</v>
      </c>
      <c r="R617" s="60">
        <f>(60*379*((F617/1000)^0.8)*3*24*(MAX('Max rate concentrations'!$R$3:$R$368))/F617)*(inputs!$E$73/inputs!$E$75)</f>
        <v>1.6102879135892395E-2</v>
      </c>
      <c r="S617" s="60">
        <f>(IF(inputs!$C$17="aerial",((0.025*0.112*inputs!$C$18/3.3)*(3*60*379*((F617/1000)^0.8))*MAX(inputs!$I$14:$I$16))/F617,((0.0083*0.112*inputs!$C$18/1)*(3*60*379*((F617/1000)^0.8))*MAX(inputs!$I$14:$I$16))/F617))*(inputs!E$75/inputs!$E$73)</f>
        <v>8.8808367768114238E-2</v>
      </c>
      <c r="T617" s="63">
        <f>IF((((inputs!$P$13/(V617/MAX(K617:S617)))^(1/inputs!$O$13))-1)/inputs!$N$13&lt;0, 0, IF((((inputs!$P$13/(V617/MAX(K617:S617)))^(1/inputs!$O$13))-1)/inputs!$N$13&lt;inputs!$I$17, (((inputs!$P$13/(V617/MAX(K617:S617)))^(1/inputs!$O$13))-1)/inputs!$N$13, inputs!$I$17))</f>
        <v>111.48725009369703</v>
      </c>
      <c r="U617" s="63">
        <f>IF((((inputs!$P$13/(X617/MAX(K617:S617)))^(1/inputs!$O$13))-1)/inputs!$N$13&lt;0, 0, IF((((inputs!$P$13/(X617/MAX(K617:S617)))^(1/inputs!$O$13))-1)/inputs!$N$13&lt;inputs!$I$17, (((inputs!$P$13/(X617/MAX(K617:S617)))^(1/inputs!$O$13))-1)/inputs!$N$13, inputs!$I$17))</f>
        <v>0.23242986846704011</v>
      </c>
      <c r="V617" s="54">
        <f>inputs!$E$70*(inputs!$F$70/F617)^(0.25)</f>
        <v>1.4348383873608308</v>
      </c>
      <c r="W617" s="54">
        <f>inputs!$E$76*(inputs!$F$76/F617)^(0.25)</f>
        <v>0.43157232430840808</v>
      </c>
      <c r="X617" s="54">
        <f>inputs!$E$72*(inputs!$F$72/F617)^(0.25)</f>
        <v>63.301693560036661</v>
      </c>
      <c r="Y617" s="54" t="s">
        <v>13</v>
      </c>
      <c r="Z617" s="106">
        <f t="shared" si="66"/>
        <v>44.120573189082485</v>
      </c>
      <c r="AA617" s="106">
        <f t="shared" si="67"/>
        <v>146.68663516713198</v>
      </c>
    </row>
    <row r="618" spans="1:27" x14ac:dyDescent="0.25">
      <c r="A618" s="55" t="s">
        <v>474</v>
      </c>
      <c r="B618" s="49" t="s">
        <v>475</v>
      </c>
      <c r="C618" s="21" t="s">
        <v>61</v>
      </c>
      <c r="D618" s="20" t="s">
        <v>443</v>
      </c>
      <c r="E618" s="20">
        <v>38</v>
      </c>
      <c r="F618" s="21">
        <v>151.4</v>
      </c>
      <c r="G618" s="21" t="s">
        <v>169</v>
      </c>
      <c r="H618" s="21">
        <v>0.79</v>
      </c>
      <c r="I618" s="68">
        <f>MAX('Max rate concentrations'!$D$3:$D$368)</f>
        <v>720</v>
      </c>
      <c r="J618" s="68">
        <f>MAX('Max rate concentrations'!W:W)</f>
        <v>255</v>
      </c>
      <c r="K618" s="70">
        <f t="shared" si="68"/>
        <v>238.59971484569215</v>
      </c>
      <c r="L618" s="70">
        <f t="shared" si="69"/>
        <v>84.504065674515971</v>
      </c>
      <c r="M618" s="70">
        <f>IF((((0.326*F618^0.818)-(0.398*F618^0.85)/(1-H618)*H618)*(MAX('Max rate concentrations'!$P$3:$P$368)))/F618&gt;0, (((0.326*F618^0.818)-(0.398*F618^0.85)/(1-H618)*H618)*(MAX('Max rate concentrations'!$P$3:$P$368)))/F618, 0)</f>
        <v>0</v>
      </c>
      <c r="N618" s="70">
        <f>IF((((0.326*F618^0.818)-(0.398*F618^0.85)/(1-H618)*H618)*(MAX('Max rate concentrations'!$Q$3:$Q$368)))/F618&gt; 0, (((0.326*F618^0.818)-(0.398*F618^0.85)/(1-H618)*H618)*(MAX('Max rate concentrations'!$Q$3:$Q$368)))/F618, 0)</f>
        <v>0</v>
      </c>
      <c r="O618" s="70">
        <f>((MAX('Max rate concentrations'!$F$3:$F$368))*0.62*6.01*8*(12.3*F618^0.65)*0.079*0.1/F618)*inputs!$E$73/inputs!$E$74</f>
        <v>46.71724465689686</v>
      </c>
      <c r="P618" s="70">
        <f>((MAX('Max rate concentrations'!Y:Y))*0.62*6.01*8*(12.3*F618^0.65)*0.079*0.1/F618)*inputs!$E$73/inputs!$E$74</f>
        <v>15.572414885632289</v>
      </c>
      <c r="Q618" s="70">
        <f>(inputs!$C$18*11.2*(12.3*F618^0.65)*0.5/F618)*inputs!$E$73/inputs!$E$74</f>
        <v>8.229022300779949</v>
      </c>
      <c r="R618" s="60">
        <f>(60*379*((F618/1000)^0.8)*3*24*(MAX('Max rate concentrations'!$R$3:$R$368))/F618)*(inputs!$E$73/inputs!$E$75)</f>
        <v>1.6102879135892395E-2</v>
      </c>
      <c r="S618" s="60">
        <f>(IF(inputs!$C$17="aerial",((0.025*0.112*inputs!$C$18/3.3)*(3*60*379*((F618/1000)^0.8))*MAX(inputs!$I$14:$I$16))/F618,((0.0083*0.112*inputs!$C$18/1)*(3*60*379*((F618/1000)^0.8))*MAX(inputs!$I$14:$I$16))/F618))*(inputs!E$75/inputs!$E$73)</f>
        <v>8.8808367768114238E-2</v>
      </c>
      <c r="T618" s="63">
        <f>IF((((inputs!$P$13/(V618/MAX(K618:S618)))^(1/inputs!$O$13))-1)/inputs!$N$13&lt;0, 0, IF((((inputs!$P$13/(V618/MAX(K618:S618)))^(1/inputs!$O$13))-1)/inputs!$N$13&lt;inputs!$I$17, (((inputs!$P$13/(V618/MAX(K618:S618)))^(1/inputs!$O$13))-1)/inputs!$N$13, inputs!$I$17))</f>
        <v>336.045059969796</v>
      </c>
      <c r="U618" s="63">
        <f>IF((((inputs!$P$13/(X618/MAX(K618:S618)))^(1/inputs!$O$13))-1)/inputs!$N$13&lt;0, 0, IF((((inputs!$P$13/(X618/MAX(K618:S618)))^(1/inputs!$O$13))-1)/inputs!$N$13&lt;inputs!$I$17, (((inputs!$P$13/(X618/MAX(K618:S618)))^(1/inputs!$O$13))-1)/inputs!$N$13, inputs!$I$17))</f>
        <v>10.737071949752242</v>
      </c>
      <c r="V618" s="54">
        <f>inputs!$E$70*(inputs!$F$70/F618)^(0.25)</f>
        <v>1.4348383873608308</v>
      </c>
      <c r="W618" s="54">
        <f>inputs!$E$76*(inputs!$F$76/F618)^(0.25)</f>
        <v>0.43157232430840808</v>
      </c>
      <c r="X618" s="54">
        <f>inputs!$E$72*(inputs!$F$72/F618)^(0.25)</f>
        <v>63.301693560036661</v>
      </c>
      <c r="Y618" s="54" t="s">
        <v>13</v>
      </c>
      <c r="Z618" s="106">
        <f t="shared" si="66"/>
        <v>166.29030624456627</v>
      </c>
      <c r="AA618" s="106">
        <f t="shared" si="67"/>
        <v>552.86148208888665</v>
      </c>
    </row>
    <row r="619" spans="1:27" x14ac:dyDescent="0.25">
      <c r="A619" s="55" t="s">
        <v>474</v>
      </c>
      <c r="B619" s="49" t="s">
        <v>475</v>
      </c>
      <c r="C619" s="21" t="s">
        <v>61</v>
      </c>
      <c r="D619" s="20" t="s">
        <v>443</v>
      </c>
      <c r="E619" s="20">
        <v>38</v>
      </c>
      <c r="F619" s="21">
        <v>151.4</v>
      </c>
      <c r="G619" s="21" t="s">
        <v>177</v>
      </c>
      <c r="H619" s="21">
        <v>0.85</v>
      </c>
      <c r="I619" s="68">
        <f>MAX('Max rate concentrations'!$F$3:$F$368)</f>
        <v>405</v>
      </c>
      <c r="J619" s="68">
        <f>MAX('Max rate concentrations'!Y:Y)</f>
        <v>135</v>
      </c>
      <c r="K619" s="70">
        <f t="shared" si="68"/>
        <v>187.89727544098253</v>
      </c>
      <c r="L619" s="70">
        <f t="shared" si="69"/>
        <v>62.632425146994173</v>
      </c>
      <c r="M619" s="70">
        <f>IF((((0.326*F619^0.818)-(0.398*F619^0.85)/(1-H619)*H619)*(MAX('Max rate concentrations'!$P$3:$P$368)))/F619&gt;0, (((0.326*F619^0.818)-(0.398*F619^0.85)/(1-H619)*H619)*(MAX('Max rate concentrations'!$P$3:$P$368)))/F619, 0)</f>
        <v>0</v>
      </c>
      <c r="N619" s="70">
        <f>IF((((0.326*F619^0.818)-(0.398*F619^0.85)/(1-H619)*H619)*(MAX('Max rate concentrations'!$Q$3:$Q$368)))/F619&gt; 0, (((0.326*F619^0.818)-(0.398*F619^0.85)/(1-H619)*H619)*(MAX('Max rate concentrations'!$Q$3:$Q$368)))/F619, 0)</f>
        <v>0</v>
      </c>
      <c r="O619" s="70">
        <f>((MAX('Max rate concentrations'!$F$3:$F$368))*0.62*6.01*8*(12.3*F619^0.65)*0.079*0.1/F619)*inputs!$E$73/inputs!$E$74</f>
        <v>46.71724465689686</v>
      </c>
      <c r="P619" s="70">
        <f>((MAX('Max rate concentrations'!Y:Y))*0.62*6.01*8*(12.3*F619^0.65)*0.079*0.1/F619)*inputs!$E$73/inputs!$E$74</f>
        <v>15.572414885632289</v>
      </c>
      <c r="Q619" s="70">
        <f>(inputs!$C$18*11.2*(12.3*F619^0.65)*0.5/F619)*inputs!$E$73/inputs!$E$74</f>
        <v>8.229022300779949</v>
      </c>
      <c r="R619" s="60">
        <f>(60*379*((F619/1000)^0.8)*3*24*(MAX('Max rate concentrations'!$R$3:$R$368))/F619)*(inputs!$E$73/inputs!$E$75)</f>
        <v>1.6102879135892395E-2</v>
      </c>
      <c r="S619" s="60">
        <f>(IF(inputs!$C$17="aerial",((0.025*0.112*inputs!$C$18/3.3)*(3*60*379*((F619/1000)^0.8))*MAX(inputs!$I$14:$I$16))/F619,((0.0083*0.112*inputs!$C$18/1)*(3*60*379*((F619/1000)^0.8))*MAX(inputs!$I$14:$I$16))/F619))*(inputs!E$75/inputs!$E$73)</f>
        <v>8.8808367768114238E-2</v>
      </c>
      <c r="T619" s="63">
        <f>IF((((inputs!$P$13/(V619/MAX(K619:S619)))^(1/inputs!$O$13))-1)/inputs!$N$13&lt;0, 0, IF((((inputs!$P$13/(V619/MAX(K619:S619)))^(1/inputs!$O$13))-1)/inputs!$N$13&lt;inputs!$I$17, (((inputs!$P$13/(V619/MAX(K619:S619)))^(1/inputs!$O$13))-1)/inputs!$N$13, inputs!$I$17))</f>
        <v>276.09369457944308</v>
      </c>
      <c r="U619" s="63">
        <f>IF((((inputs!$P$13/(X619/MAX(K619:S619)))^(1/inputs!$O$13))-1)/inputs!$N$13&lt;0, 0, IF((((inputs!$P$13/(X619/MAX(K619:S619)))^(1/inputs!$O$13))-1)/inputs!$N$13&lt;inputs!$I$17, (((inputs!$P$13/(X619/MAX(K619:S619)))^(1/inputs!$O$13))-1)/inputs!$N$13, inputs!$I$17))</f>
        <v>7.9325930671986331</v>
      </c>
      <c r="V619" s="54">
        <f>inputs!$E$70*(inputs!$F$70/F619)^(0.25)</f>
        <v>1.4348383873608308</v>
      </c>
      <c r="W619" s="54">
        <f>inputs!$E$76*(inputs!$F$76/F619)^(0.25)</f>
        <v>0.43157232430840808</v>
      </c>
      <c r="X619" s="54">
        <f>inputs!$E$72*(inputs!$F$72/F619)^(0.25)</f>
        <v>63.301693560036661</v>
      </c>
      <c r="Y619" s="54" t="s">
        <v>13</v>
      </c>
      <c r="Z619" s="106">
        <f t="shared" si="66"/>
        <v>130.9536161675959</v>
      </c>
      <c r="AA619" s="106">
        <f t="shared" si="67"/>
        <v>435.37841714499814</v>
      </c>
    </row>
    <row r="620" spans="1:27" x14ac:dyDescent="0.25">
      <c r="A620" s="55" t="s">
        <v>474</v>
      </c>
      <c r="B620" s="49" t="s">
        <v>475</v>
      </c>
      <c r="C620" s="21" t="s">
        <v>61</v>
      </c>
      <c r="D620" s="20" t="s">
        <v>443</v>
      </c>
      <c r="E620" s="20">
        <v>38</v>
      </c>
      <c r="F620" s="21">
        <v>151.4</v>
      </c>
      <c r="G620" s="21" t="s">
        <v>154</v>
      </c>
      <c r="H620" s="21">
        <v>9.2999999999999999E-2</v>
      </c>
      <c r="I620" s="68">
        <f>MAX('Max rate concentrations'!$G$3:$G$368)</f>
        <v>45</v>
      </c>
      <c r="J620" s="68">
        <f>MAX('Max rate concentrations'!Z:Z)</f>
        <v>21</v>
      </c>
      <c r="K620" s="70">
        <f t="shared" si="68"/>
        <v>3.4527246497791722</v>
      </c>
      <c r="L620" s="70">
        <f t="shared" si="69"/>
        <v>1.6112715032302802</v>
      </c>
      <c r="M620" s="70">
        <f>IF((((0.326*F620^0.818)-(0.398*F620^0.85)/(1-H620)*H620)*(MAX('Max rate concentrations'!$P$3:$P$368)))/F620&gt;0, (((0.326*F620^0.818)-(0.398*F620^0.85)/(1-H620)*H620)*(MAX('Max rate concentrations'!$P$3:$P$368)))/F620, 0)</f>
        <v>9.7128843746051977E-2</v>
      </c>
      <c r="N620" s="70">
        <f>IF((((0.326*F620^0.818)-(0.398*F620^0.85)/(1-H620)*H620)*(MAX('Max rate concentrations'!$Q$3:$Q$368)))/F620&gt; 0, (((0.326*F620^0.818)-(0.398*F620^0.85)/(1-H620)*H620)*(MAX('Max rate concentrations'!$Q$3:$Q$368)))/F620, 0)</f>
        <v>0.36987185588141491</v>
      </c>
      <c r="O620" s="70">
        <f>((MAX('Max rate concentrations'!$F$3:$F$368))*0.62*6.01*8*(12.3*F620^0.65)*0.079*0.1/F620)*inputs!$E$73/inputs!$E$74</f>
        <v>46.71724465689686</v>
      </c>
      <c r="P620" s="70">
        <f>((MAX('Max rate concentrations'!Y:Y))*0.62*6.01*8*(12.3*F620^0.65)*0.079*0.1/F620)*inputs!$E$73/inputs!$E$74</f>
        <v>15.572414885632289</v>
      </c>
      <c r="Q620" s="70">
        <f>(inputs!$C$18*11.2*(12.3*F620^0.65)*0.5/F620)*inputs!$E$73/inputs!$E$74</f>
        <v>8.229022300779949</v>
      </c>
      <c r="R620" s="60">
        <f>(60*379*((F620/1000)^0.8)*3*24*(MAX('Max rate concentrations'!$R$3:$R$368))/F620)*(inputs!$E$73/inputs!$E$75)</f>
        <v>1.6102879135892395E-2</v>
      </c>
      <c r="S620" s="60">
        <f>(IF(inputs!$C$17="aerial",((0.025*0.112*inputs!$C$18/3.3)*(3*60*379*((F620/1000)^0.8))*MAX(inputs!$I$14:$I$16))/F620,((0.0083*0.112*inputs!$C$18/1)*(3*60*379*((F620/1000)^0.8))*MAX(inputs!$I$14:$I$16))/F620))*(inputs!E$75/inputs!$E$73)</f>
        <v>8.8808367768114238E-2</v>
      </c>
      <c r="T620" s="63">
        <f>IF((((inputs!$P$13/(V620/MAX(K620:S620)))^(1/inputs!$O$13))-1)/inputs!$N$13&lt;0, 0, IF((((inputs!$P$13/(V620/MAX(K620:S620)))^(1/inputs!$O$13))-1)/inputs!$N$13&lt;inputs!$I$17, (((inputs!$P$13/(V620/MAX(K620:S620)))^(1/inputs!$O$13))-1)/inputs!$N$13, inputs!$I$17))</f>
        <v>86.059369654242715</v>
      </c>
      <c r="U620" s="63">
        <f>IF((((inputs!$P$13/(X620/MAX(K620:S620)))^(1/inputs!$O$13))-1)/inputs!$N$13&lt;0, 0, IF((((inputs!$P$13/(X620/MAX(K620:S620)))^(1/inputs!$O$13))-1)/inputs!$N$13&lt;inputs!$I$17, (((inputs!$P$13/(X620/MAX(K620:S620)))^(1/inputs!$O$13))-1)/inputs!$N$13, inputs!$I$17))</f>
        <v>0</v>
      </c>
      <c r="V620" s="54">
        <f>inputs!$E$70*(inputs!$F$70/F620)^(0.25)</f>
        <v>1.4348383873608308</v>
      </c>
      <c r="W620" s="54">
        <f>inputs!$E$76*(inputs!$F$76/F620)^(0.25)</f>
        <v>0.43157232430840808</v>
      </c>
      <c r="X620" s="54">
        <f>inputs!$E$72*(inputs!$F$72/F620)^(0.25)</f>
        <v>63.301693560036661</v>
      </c>
      <c r="Y620" s="54" t="s">
        <v>13</v>
      </c>
      <c r="Z620" s="106">
        <f t="shared" si="66"/>
        <v>32.559238077555342</v>
      </c>
      <c r="AA620" s="106">
        <f t="shared" si="67"/>
        <v>108.24893540557993</v>
      </c>
    </row>
    <row r="621" spans="1:27" x14ac:dyDescent="0.25">
      <c r="A621" s="55" t="s">
        <v>509</v>
      </c>
      <c r="B621" s="49" t="s">
        <v>510</v>
      </c>
      <c r="C621" s="21" t="s">
        <v>61</v>
      </c>
      <c r="D621" s="20" t="s">
        <v>443</v>
      </c>
      <c r="E621" s="20">
        <v>61</v>
      </c>
      <c r="F621" s="21">
        <v>28</v>
      </c>
      <c r="G621" s="21" t="s">
        <v>169</v>
      </c>
      <c r="H621" s="21">
        <v>0.79</v>
      </c>
      <c r="I621" s="68">
        <f>MAX('Max rate concentrations'!$D$3:$D$368)</f>
        <v>720</v>
      </c>
      <c r="J621" s="68">
        <f>MAX('Max rate concentrations'!W:W)</f>
        <v>255</v>
      </c>
      <c r="K621" s="70">
        <f t="shared" si="68"/>
        <v>498.01669312277767</v>
      </c>
      <c r="L621" s="70">
        <f t="shared" si="69"/>
        <v>176.38091214765043</v>
      </c>
      <c r="M621" s="70">
        <f>IF((((0.326*F621^0.818)-(0.398*F621^0.85)/(1-H621)*H621)*(MAX('Max rate concentrations'!$P$3:$P$368)))/F621&gt;0, (((0.326*F621^0.818)-(0.398*F621^0.85)/(1-H621)*H621)*(MAX('Max rate concentrations'!$P$3:$P$368)))/F621, 0)</f>
        <v>0</v>
      </c>
      <c r="N621" s="70">
        <f>IF((((0.326*F621^0.818)-(0.398*F621^0.85)/(1-H621)*H621)*(MAX('Max rate concentrations'!$Q$3:$Q$368)))/F621&gt; 0, (((0.326*F621^0.818)-(0.398*F621^0.85)/(1-H621)*H621)*(MAX('Max rate concentrations'!$Q$3:$Q$368)))/F621, 0)</f>
        <v>0</v>
      </c>
      <c r="O621" s="70">
        <f>((MAX('Max rate concentrations'!$F$3:$F$368))*0.62*6.01*8*(12.3*F621^0.65)*0.079*0.1/F621)*inputs!$E$73/inputs!$E$74</f>
        <v>84.336576167986905</v>
      </c>
      <c r="P621" s="70">
        <f>((MAX('Max rate concentrations'!Y:Y))*0.62*6.01*8*(12.3*F621^0.65)*0.079*0.1/F621)*inputs!$E$73/inputs!$E$74</f>
        <v>28.112192055995635</v>
      </c>
      <c r="Q621" s="70">
        <f>(inputs!$C$18*11.2*(12.3*F621^0.65)*0.5/F621)*inputs!$E$73/inputs!$E$74</f>
        <v>14.855490111943803</v>
      </c>
      <c r="R621" s="60">
        <f>(60*379*((F621/1000)^0.8)*3*24*(MAX('Max rate concentrations'!$R$3:$R$368))/F621)*(inputs!$E$73/inputs!$E$75)</f>
        <v>2.2568209359449809E-2</v>
      </c>
      <c r="S621" s="60">
        <f>(IF(inputs!$C$17="aerial",((0.025*0.112*inputs!$C$18/3.3)*(3*60*379*((F621/1000)^0.8))*MAX(inputs!$I$14:$I$16))/F621,((0.0083*0.112*inputs!$C$18/1)*(3*60*379*((F621/1000)^0.8))*MAX(inputs!$I$14:$I$16))/F621))*(inputs!E$75/inputs!$E$73)</f>
        <v>0.1244650611699909</v>
      </c>
      <c r="T621" s="63">
        <f>IF((((inputs!$P$13/(V621/MAX(K621:S621)))^(1/inputs!$O$13))-1)/inputs!$N$13&lt;0, 0, IF((((inputs!$P$13/(V621/MAX(K621:S621)))^(1/inputs!$O$13))-1)/inputs!$N$13&lt;inputs!$I$17, (((inputs!$P$13/(V621/MAX(K621:S621)))^(1/inputs!$O$13))-1)/inputs!$N$13, inputs!$I$17))</f>
        <v>434.66727881482109</v>
      </c>
      <c r="U621" s="63">
        <f>IF((((inputs!$P$13/(X621/MAX(K621:S621)))^(1/inputs!$O$13))-1)/inputs!$N$13&lt;0, 0, IF((((inputs!$P$13/(X621/MAX(K621:S621)))^(1/inputs!$O$13))-1)/inputs!$N$13&lt;inputs!$I$17, (((inputs!$P$13/(X621/MAX(K621:S621)))^(1/inputs!$O$13))-1)/inputs!$N$13, inputs!$I$17))</f>
        <v>15.350543691397672</v>
      </c>
      <c r="V621" s="54">
        <f>inputs!$E$70*(inputs!$F$70/F621)^(0.25)</f>
        <v>2.1879880622353061</v>
      </c>
      <c r="W621" s="54">
        <f>inputs!$E$76*(inputs!$F$76/F621)^(0.25)</f>
        <v>0.65810554129011889</v>
      </c>
      <c r="X621" s="54">
        <f>inputs!$E$72*(inputs!$F$72/F621)^(0.25)</f>
        <v>96.528885098616442</v>
      </c>
      <c r="Y621" s="54" t="s">
        <v>13</v>
      </c>
      <c r="Z621" s="106">
        <f t="shared" si="66"/>
        <v>227.61399009370771</v>
      </c>
      <c r="AA621" s="106">
        <f t="shared" si="67"/>
        <v>756.74289589856573</v>
      </c>
    </row>
    <row r="622" spans="1:27" x14ac:dyDescent="0.25">
      <c r="A622" s="55" t="s">
        <v>509</v>
      </c>
      <c r="B622" s="49" t="s">
        <v>510</v>
      </c>
      <c r="C622" s="21" t="s">
        <v>61</v>
      </c>
      <c r="D622" s="20" t="s">
        <v>443</v>
      </c>
      <c r="E622" s="20">
        <v>61</v>
      </c>
      <c r="F622" s="21">
        <v>28</v>
      </c>
      <c r="G622" s="21" t="s">
        <v>177</v>
      </c>
      <c r="H622" s="21">
        <v>0.85</v>
      </c>
      <c r="I622" s="68">
        <f>MAX('Max rate concentrations'!$F$3:$F$368)</f>
        <v>405</v>
      </c>
      <c r="J622" s="68">
        <f>MAX('Max rate concentrations'!Y:Y)</f>
        <v>135</v>
      </c>
      <c r="K622" s="70">
        <f t="shared" si="68"/>
        <v>392.18814583418725</v>
      </c>
      <c r="L622" s="70">
        <f t="shared" si="69"/>
        <v>130.72938194472911</v>
      </c>
      <c r="M622" s="70">
        <f>IF((((0.326*F622^0.818)-(0.398*F622^0.85)/(1-H622)*H622)*(MAX('Max rate concentrations'!$P$3:$P$368)))/F622&gt;0, (((0.326*F622^0.818)-(0.398*F622^0.85)/(1-H622)*H622)*(MAX('Max rate concentrations'!$P$3:$P$368)))/F622, 0)</f>
        <v>0</v>
      </c>
      <c r="N622" s="70">
        <f>IF((((0.326*F622^0.818)-(0.398*F622^0.85)/(1-H622)*H622)*(MAX('Max rate concentrations'!$Q$3:$Q$368)))/F622&gt; 0, (((0.326*F622^0.818)-(0.398*F622^0.85)/(1-H622)*H622)*(MAX('Max rate concentrations'!$Q$3:$Q$368)))/F622, 0)</f>
        <v>0</v>
      </c>
      <c r="O622" s="70">
        <f>((MAX('Max rate concentrations'!$F$3:$F$368))*0.62*6.01*8*(12.3*F622^0.65)*0.079*0.1/F622)*inputs!$E$73/inputs!$E$74</f>
        <v>84.336576167986905</v>
      </c>
      <c r="P622" s="70">
        <f>((MAX('Max rate concentrations'!Y:Y))*0.62*6.01*8*(12.3*F622^0.65)*0.079*0.1/F622)*inputs!$E$73/inputs!$E$74</f>
        <v>28.112192055995635</v>
      </c>
      <c r="Q622" s="70">
        <f>(inputs!$C$18*11.2*(12.3*F622^0.65)*0.5/F622)*inputs!$E$73/inputs!$E$74</f>
        <v>14.855490111943803</v>
      </c>
      <c r="R622" s="60">
        <f>(60*379*((F622/1000)^0.8)*3*24*(MAX('Max rate concentrations'!$R$3:$R$368))/F622)*(inputs!$E$73/inputs!$E$75)</f>
        <v>2.2568209359449809E-2</v>
      </c>
      <c r="S622" s="60">
        <f>(IF(inputs!$C$17="aerial",((0.025*0.112*inputs!$C$18/3.3)*(3*60*379*((F622/1000)^0.8))*MAX(inputs!$I$14:$I$16))/F622,((0.0083*0.112*inputs!$C$18/1)*(3*60*379*((F622/1000)^0.8))*MAX(inputs!$I$14:$I$16))/F622))*(inputs!E$75/inputs!$E$73)</f>
        <v>0.1244650611699909</v>
      </c>
      <c r="T622" s="63">
        <f>IF((((inputs!$P$13/(V622/MAX(K622:S622)))^(1/inputs!$O$13))-1)/inputs!$N$13&lt;0, 0, IF((((inputs!$P$13/(V622/MAX(K622:S622)))^(1/inputs!$O$13))-1)/inputs!$N$13&lt;inputs!$I$17, (((inputs!$P$13/(V622/MAX(K622:S622)))^(1/inputs!$O$13))-1)/inputs!$N$13, inputs!$I$17))</f>
        <v>357.39093846216628</v>
      </c>
      <c r="U622" s="63">
        <f>IF((((inputs!$P$13/(X622/MAX(K622:S622)))^(1/inputs!$O$13))-1)/inputs!$N$13&lt;0, 0, IF((((inputs!$P$13/(X622/MAX(K622:S622)))^(1/inputs!$O$13))-1)/inputs!$N$13&lt;inputs!$I$17, (((inputs!$P$13/(X622/MAX(K622:S622)))^(1/inputs!$O$13))-1)/inputs!$N$13, inputs!$I$17))</f>
        <v>11.7356157705914</v>
      </c>
      <c r="V622" s="54">
        <f>inputs!$E$70*(inputs!$F$70/F622)^(0.25)</f>
        <v>2.1879880622353061</v>
      </c>
      <c r="W622" s="54">
        <f>inputs!$E$76*(inputs!$F$76/F622)^(0.25)</f>
        <v>0.65810554129011889</v>
      </c>
      <c r="X622" s="54">
        <f>inputs!$E$72*(inputs!$F$72/F622)^(0.25)</f>
        <v>96.528885098616442</v>
      </c>
      <c r="Y622" s="54" t="s">
        <v>13</v>
      </c>
      <c r="Z622" s="106">
        <f t="shared" si="66"/>
        <v>179.24601719879473</v>
      </c>
      <c r="AA622" s="106">
        <f t="shared" si="67"/>
        <v>595.93503052012022</v>
      </c>
    </row>
    <row r="623" spans="1:27" x14ac:dyDescent="0.25">
      <c r="A623" s="55" t="s">
        <v>540</v>
      </c>
      <c r="B623" s="49" t="s">
        <v>541</v>
      </c>
      <c r="C623" s="21" t="s">
        <v>61</v>
      </c>
      <c r="D623" s="20" t="s">
        <v>443</v>
      </c>
      <c r="E623" s="20">
        <v>31</v>
      </c>
      <c r="F623" s="21">
        <v>17</v>
      </c>
      <c r="G623" s="21" t="s">
        <v>142</v>
      </c>
      <c r="H623" s="21">
        <v>0.69</v>
      </c>
      <c r="I623" s="68">
        <f>MAX('Max rate concentrations'!$H$3:$H$368)</f>
        <v>282</v>
      </c>
      <c r="J623" s="68">
        <f>MAX('Max rate concentrations'!AA:AA)</f>
        <v>195</v>
      </c>
      <c r="K623" s="70">
        <f t="shared" si="68"/>
        <v>164.24920832005662</v>
      </c>
      <c r="L623" s="70">
        <f t="shared" si="69"/>
        <v>113.57658022131577</v>
      </c>
      <c r="M623" s="70">
        <f>IF((((0.326*F623^0.818)-(0.398*F623^0.85)/(1-H623)*H623)*(MAX('Max rate concentrations'!$P$3:$P$368)))/F623&gt;0, (((0.326*F623^0.818)-(0.398*F623^0.85)/(1-H623)*H623)*(MAX('Max rate concentrations'!$P$3:$P$368)))/F623, 0)</f>
        <v>0</v>
      </c>
      <c r="N623" s="70">
        <f>IF((((0.326*F623^0.818)-(0.398*F623^0.85)/(1-H623)*H623)*(MAX('Max rate concentrations'!$Q$3:$Q$368)))/F623&gt; 0, (((0.326*F623^0.818)-(0.398*F623^0.85)/(1-H623)*H623)*(MAX('Max rate concentrations'!$Q$3:$Q$368)))/F623, 0)</f>
        <v>0</v>
      </c>
      <c r="O623" s="70">
        <f>((MAX('Max rate concentrations'!$F$3:$F$368))*0.62*6.01*8*(12.3*F623^0.65)*0.079*0.1/F623)*inputs!$E$73/inputs!$E$74</f>
        <v>100.43015994909835</v>
      </c>
      <c r="P623" s="70">
        <f>((MAX('Max rate concentrations'!Y:Y))*0.62*6.01*8*(12.3*F623^0.65)*0.079*0.1/F623)*inputs!$E$73/inputs!$E$74</f>
        <v>33.476719983032787</v>
      </c>
      <c r="Q623" s="70">
        <f>(inputs!$C$18*11.2*(12.3*F623^0.65)*0.5/F623)*inputs!$E$73/inputs!$E$74</f>
        <v>17.690298988341983</v>
      </c>
      <c r="R623" s="60">
        <f>(60*379*((F623/1000)^0.8)*3*24*(MAX('Max rate concentrations'!$R$3:$R$368))/F623)*(inputs!$E$73/inputs!$E$75)</f>
        <v>2.4936696752575163E-2</v>
      </c>
      <c r="S623" s="60">
        <f>(IF(inputs!$C$17="aerial",((0.025*0.112*inputs!$C$18/3.3)*(3*60*379*((F623/1000)^0.8))*MAX(inputs!$I$14:$I$16))/F623,((0.0083*0.112*inputs!$C$18/1)*(3*60*379*((F623/1000)^0.8))*MAX(inputs!$I$14:$I$16))/F623))*(inputs!E$75/inputs!$E$73)</f>
        <v>0.13752741465893806</v>
      </c>
      <c r="T623" s="63">
        <f>IF((((inputs!$P$13/(V623/MAX(K623:S623)))^(1/inputs!$O$13))-1)/inputs!$N$13&lt;0, 0, IF((((inputs!$P$13/(V623/MAX(K623:S623)))^(1/inputs!$O$13))-1)/inputs!$N$13&lt;inputs!$I$17, (((inputs!$P$13/(V623/MAX(K623:S623)))^(1/inputs!$O$13))-1)/inputs!$N$13, inputs!$I$17))</f>
        <v>156.9418743782019</v>
      </c>
      <c r="U623" s="63">
        <f>IF((((inputs!$P$13/(X623/MAX(K623:S623)))^(1/inputs!$O$13))-1)/inputs!$N$13&lt;0, 0, IF((((inputs!$P$13/(X623/MAX(K623:S623)))^(1/inputs!$O$13))-1)/inputs!$N$13&lt;inputs!$I$17, (((inputs!$P$13/(X623/MAX(K623:S623)))^(1/inputs!$O$13))-1)/inputs!$N$13, inputs!$I$17))</f>
        <v>2.3587623229538068</v>
      </c>
      <c r="V623" s="54">
        <f>inputs!$E$70*(inputs!$F$70/F623)^(0.25)</f>
        <v>2.4786900625814394</v>
      </c>
      <c r="W623" s="54">
        <f>inputs!$E$76*(inputs!$F$76/F623)^(0.25)</f>
        <v>0.74554322003890616</v>
      </c>
      <c r="X623" s="54">
        <f>inputs!$E$72*(inputs!$F$72/F623)^(0.25)</f>
        <v>109.35397334918115</v>
      </c>
      <c r="Y623" s="54" t="s">
        <v>13</v>
      </c>
      <c r="Z623" s="106">
        <f t="shared" si="66"/>
        <v>66.264520441494312</v>
      </c>
      <c r="AA623" s="106">
        <f t="shared" si="67"/>
        <v>220.30809737829188</v>
      </c>
    </row>
    <row r="624" spans="1:27" x14ac:dyDescent="0.25">
      <c r="A624" s="55" t="s">
        <v>540</v>
      </c>
      <c r="B624" s="49" t="s">
        <v>541</v>
      </c>
      <c r="C624" s="21" t="s">
        <v>61</v>
      </c>
      <c r="D624" s="20" t="s">
        <v>443</v>
      </c>
      <c r="E624" s="20">
        <v>31</v>
      </c>
      <c r="F624" s="21">
        <v>17</v>
      </c>
      <c r="G624" s="21" t="s">
        <v>152</v>
      </c>
      <c r="H624" s="21">
        <v>0.77</v>
      </c>
      <c r="I624" s="68">
        <f>MAX('Max rate concentrations'!$G$3:$G$368)</f>
        <v>45</v>
      </c>
      <c r="J624" s="68">
        <f>MAX('Max rate concentrations'!Z:Z)</f>
        <v>21</v>
      </c>
      <c r="K624" s="70">
        <f t="shared" si="68"/>
        <v>35.32649485144605</v>
      </c>
      <c r="L624" s="70">
        <f t="shared" si="69"/>
        <v>16.485697597341492</v>
      </c>
      <c r="M624" s="70">
        <f>IF((((0.326*F624^0.818)-(0.398*F624^0.85)/(1-H624)*H624)*(MAX('Max rate concentrations'!$P$3:$P$368)))/F624&gt;0, (((0.326*F624^0.818)-(0.398*F624^0.85)/(1-H624)*H624)*(MAX('Max rate concentrations'!$P$3:$P$368)))/F624, 0)</f>
        <v>0</v>
      </c>
      <c r="N624" s="70">
        <f>IF((((0.326*F624^0.818)-(0.398*F624^0.85)/(1-H624)*H624)*(MAX('Max rate concentrations'!$Q$3:$Q$368)))/F624&gt; 0, (((0.326*F624^0.818)-(0.398*F624^0.85)/(1-H624)*H624)*(MAX('Max rate concentrations'!$Q$3:$Q$368)))/F624, 0)</f>
        <v>0</v>
      </c>
      <c r="O624" s="70">
        <f>((MAX('Max rate concentrations'!$F$3:$F$368))*0.62*6.01*8*(12.3*F624^0.65)*0.079*0.1/F624)*inputs!$E$73/inputs!$E$74</f>
        <v>100.43015994909835</v>
      </c>
      <c r="P624" s="70">
        <f>((MAX('Max rate concentrations'!Y:Y))*0.62*6.01*8*(12.3*F624^0.65)*0.079*0.1/F624)*inputs!$E$73/inputs!$E$74</f>
        <v>33.476719983032787</v>
      </c>
      <c r="Q624" s="70">
        <f>(inputs!$C$18*11.2*(12.3*F624^0.65)*0.5/F624)*inputs!$E$73/inputs!$E$74</f>
        <v>17.690298988341983</v>
      </c>
      <c r="R624" s="60">
        <f>(60*379*((F624/1000)^0.8)*3*24*(MAX('Max rate concentrations'!$R$3:$R$368))/F624)*(inputs!$E$73/inputs!$E$75)</f>
        <v>2.4936696752575163E-2</v>
      </c>
      <c r="S624" s="60">
        <f>(IF(inputs!$C$17="aerial",((0.025*0.112*inputs!$C$18/3.3)*(3*60*379*((F624/1000)^0.8))*MAX(inputs!$I$14:$I$16))/F624,((0.0083*0.112*inputs!$C$18/1)*(3*60*379*((F624/1000)^0.8))*MAX(inputs!$I$14:$I$16))/F624))*(inputs!E$75/inputs!$E$73)</f>
        <v>0.13752741465893806</v>
      </c>
      <c r="T624" s="63">
        <f>IF((((inputs!$P$13/(V624/MAX(K624:S624)))^(1/inputs!$O$13))-1)/inputs!$N$13&lt;0, 0, IF((((inputs!$P$13/(V624/MAX(K624:S624)))^(1/inputs!$O$13))-1)/inputs!$N$13&lt;inputs!$I$17, (((inputs!$P$13/(V624/MAX(K624:S624)))^(1/inputs!$O$13))-1)/inputs!$N$13, inputs!$I$17))</f>
        <v>103.71708675429042</v>
      </c>
      <c r="U624" s="63">
        <f>IF((((inputs!$P$13/(X624/MAX(K624:S624)))^(1/inputs!$O$13))-1)/inputs!$N$13&lt;0, 0, IF((((inputs!$P$13/(X624/MAX(K624:S624)))^(1/inputs!$O$13))-1)/inputs!$N$13&lt;inputs!$I$17, (((inputs!$P$13/(X624/MAX(K624:S624)))^(1/inputs!$O$13))-1)/inputs!$N$13, inputs!$I$17))</f>
        <v>0</v>
      </c>
      <c r="V624" s="54">
        <f>inputs!$E$70*(inputs!$F$70/F624)^(0.25)</f>
        <v>2.4786900625814394</v>
      </c>
      <c r="W624" s="54">
        <f>inputs!$E$76*(inputs!$F$76/F624)^(0.25)</f>
        <v>0.74554322003890616</v>
      </c>
      <c r="X624" s="54">
        <f>inputs!$E$72*(inputs!$F$72/F624)^(0.25)</f>
        <v>109.35397334918115</v>
      </c>
      <c r="Y624" s="54" t="s">
        <v>13</v>
      </c>
      <c r="Z624" s="106">
        <f t="shared" si="66"/>
        <v>40.517433569126851</v>
      </c>
      <c r="AA624" s="106">
        <f t="shared" si="67"/>
        <v>134.7073613570752</v>
      </c>
    </row>
    <row r="625" spans="1:27" x14ac:dyDescent="0.25">
      <c r="A625" s="55" t="s">
        <v>540</v>
      </c>
      <c r="B625" s="49" t="s">
        <v>541</v>
      </c>
      <c r="C625" s="21" t="s">
        <v>61</v>
      </c>
      <c r="D625" s="20" t="s">
        <v>443</v>
      </c>
      <c r="E625" s="20">
        <v>31</v>
      </c>
      <c r="F625" s="21">
        <v>17</v>
      </c>
      <c r="G625" s="21" t="s">
        <v>169</v>
      </c>
      <c r="H625" s="21">
        <v>0.79</v>
      </c>
      <c r="I625" s="68">
        <f>MAX('Max rate concentrations'!$D$3:$D$368)</f>
        <v>720</v>
      </c>
      <c r="J625" s="68">
        <f>MAX('Max rate concentrations'!W:W)</f>
        <v>255</v>
      </c>
      <c r="K625" s="70">
        <f t="shared" si="68"/>
        <v>619.05476692057846</v>
      </c>
      <c r="L625" s="70">
        <f t="shared" si="69"/>
        <v>219.24856328437156</v>
      </c>
      <c r="M625" s="70">
        <f>IF((((0.326*F625^0.818)-(0.398*F625^0.85)/(1-H625)*H625)*(MAX('Max rate concentrations'!$P$3:$P$368)))/F625&gt;0, (((0.326*F625^0.818)-(0.398*F625^0.85)/(1-H625)*H625)*(MAX('Max rate concentrations'!$P$3:$P$368)))/F625, 0)</f>
        <v>0</v>
      </c>
      <c r="N625" s="70">
        <f>IF((((0.326*F625^0.818)-(0.398*F625^0.85)/(1-H625)*H625)*(MAX('Max rate concentrations'!$Q$3:$Q$368)))/F625&gt; 0, (((0.326*F625^0.818)-(0.398*F625^0.85)/(1-H625)*H625)*(MAX('Max rate concentrations'!$Q$3:$Q$368)))/F625, 0)</f>
        <v>0</v>
      </c>
      <c r="O625" s="70">
        <f>((MAX('Max rate concentrations'!$F$3:$F$368))*0.62*6.01*8*(12.3*F625^0.65)*0.079*0.1/F625)*inputs!$E$73/inputs!$E$74</f>
        <v>100.43015994909835</v>
      </c>
      <c r="P625" s="70">
        <f>((MAX('Max rate concentrations'!Y:Y))*0.62*6.01*8*(12.3*F625^0.65)*0.079*0.1/F625)*inputs!$E$73/inputs!$E$74</f>
        <v>33.476719983032787</v>
      </c>
      <c r="Q625" s="70">
        <f>(inputs!$C$18*11.2*(12.3*F625^0.65)*0.5/F625)*inputs!$E$73/inputs!$E$74</f>
        <v>17.690298988341983</v>
      </c>
      <c r="R625" s="60">
        <f>(60*379*((F625/1000)^0.8)*3*24*(MAX('Max rate concentrations'!$R$3:$R$368))/F625)*(inputs!$E$73/inputs!$E$75)</f>
        <v>2.4936696752575163E-2</v>
      </c>
      <c r="S625" s="60">
        <f>(IF(inputs!$C$17="aerial",((0.025*0.112*inputs!$C$18/3.3)*(3*60*379*((F625/1000)^0.8))*MAX(inputs!$I$14:$I$16))/F625,((0.0083*0.112*inputs!$C$18/1)*(3*60*379*((F625/1000)^0.8))*MAX(inputs!$I$14:$I$16))/F625))*(inputs!E$75/inputs!$E$73)</f>
        <v>0.13752741465893806</v>
      </c>
      <c r="T625" s="63">
        <f>IF((((inputs!$P$13/(V625/MAX(K625:S625)))^(1/inputs!$O$13))-1)/inputs!$N$13&lt;0, 0, IF((((inputs!$P$13/(V625/MAX(K625:S625)))^(1/inputs!$O$13))-1)/inputs!$N$13&lt;inputs!$I$17, (((inputs!$P$13/(V625/MAX(K625:S625)))^(1/inputs!$O$13))-1)/inputs!$N$13, inputs!$I$17))</f>
        <v>468.95392937666088</v>
      </c>
      <c r="U625" s="63">
        <f>IF((((inputs!$P$13/(X625/MAX(K625:S625)))^(1/inputs!$O$13))-1)/inputs!$N$13&lt;0, 0, IF((((inputs!$P$13/(X625/MAX(K625:S625)))^(1/inputs!$O$13))-1)/inputs!$N$13&lt;inputs!$I$17, (((inputs!$P$13/(X625/MAX(K625:S625)))^(1/inputs!$O$13))-1)/inputs!$N$13, inputs!$I$17))</f>
        <v>16.954446902410226</v>
      </c>
      <c r="V625" s="54">
        <f>inputs!$E$70*(inputs!$F$70/F625)^(0.25)</f>
        <v>2.4786900625814394</v>
      </c>
      <c r="W625" s="54">
        <f>inputs!$E$76*(inputs!$F$76/F625)^(0.25)</f>
        <v>0.74554322003890616</v>
      </c>
      <c r="X625" s="54">
        <f>inputs!$E$72*(inputs!$F$72/F625)^(0.25)</f>
        <v>109.35397334918115</v>
      </c>
      <c r="Y625" s="54" t="s">
        <v>13</v>
      </c>
      <c r="Z625" s="106">
        <f t="shared" si="66"/>
        <v>249.75077613207597</v>
      </c>
      <c r="AA625" s="106">
        <f t="shared" si="67"/>
        <v>830.34054938930717</v>
      </c>
    </row>
    <row r="626" spans="1:27" x14ac:dyDescent="0.25">
      <c r="A626" s="55" t="s">
        <v>540</v>
      </c>
      <c r="B626" s="49" t="s">
        <v>541</v>
      </c>
      <c r="C626" s="21" t="s">
        <v>61</v>
      </c>
      <c r="D626" s="20" t="s">
        <v>443</v>
      </c>
      <c r="E626" s="20">
        <v>31</v>
      </c>
      <c r="F626" s="21">
        <v>17</v>
      </c>
      <c r="G626" s="21" t="s">
        <v>177</v>
      </c>
      <c r="H626" s="21">
        <v>0.85</v>
      </c>
      <c r="I626" s="68">
        <f>MAX('Max rate concentrations'!$F$3:$F$368)</f>
        <v>405</v>
      </c>
      <c r="J626" s="68">
        <f>MAX('Max rate concentrations'!Y:Y)</f>
        <v>135</v>
      </c>
      <c r="K626" s="70">
        <f t="shared" si="68"/>
        <v>487.50562894995539</v>
      </c>
      <c r="L626" s="70">
        <f t="shared" si="69"/>
        <v>162.50187631665182</v>
      </c>
      <c r="M626" s="70">
        <f>IF((((0.326*F626^0.818)-(0.398*F626^0.85)/(1-H626)*H626)*(MAX('Max rate concentrations'!$P$3:$P$368)))/F626&gt;0, (((0.326*F626^0.818)-(0.398*F626^0.85)/(1-H626)*H626)*(MAX('Max rate concentrations'!$P$3:$P$368)))/F626, 0)</f>
        <v>0</v>
      </c>
      <c r="N626" s="70">
        <f>IF((((0.326*F626^0.818)-(0.398*F626^0.85)/(1-H626)*H626)*(MAX('Max rate concentrations'!$Q$3:$Q$368)))/F626&gt; 0, (((0.326*F626^0.818)-(0.398*F626^0.85)/(1-H626)*H626)*(MAX('Max rate concentrations'!$Q$3:$Q$368)))/F626, 0)</f>
        <v>0</v>
      </c>
      <c r="O626" s="70">
        <f>((MAX('Max rate concentrations'!$F$3:$F$368))*0.62*6.01*8*(12.3*F626^0.65)*0.079*0.1/F626)*inputs!$E$73/inputs!$E$74</f>
        <v>100.43015994909835</v>
      </c>
      <c r="P626" s="70">
        <f>((MAX('Max rate concentrations'!Y:Y))*0.62*6.01*8*(12.3*F626^0.65)*0.079*0.1/F626)*inputs!$E$73/inputs!$E$74</f>
        <v>33.476719983032787</v>
      </c>
      <c r="Q626" s="70">
        <f>(inputs!$C$18*11.2*(12.3*F626^0.65)*0.5/F626)*inputs!$E$73/inputs!$E$74</f>
        <v>17.690298988341983</v>
      </c>
      <c r="R626" s="60">
        <f>(60*379*((F626/1000)^0.8)*3*24*(MAX('Max rate concentrations'!$R$3:$R$368))/F626)*(inputs!$E$73/inputs!$E$75)</f>
        <v>2.4936696752575163E-2</v>
      </c>
      <c r="S626" s="60">
        <f>(IF(inputs!$C$17="aerial",((0.025*0.112*inputs!$C$18/3.3)*(3*60*379*((F626/1000)^0.8))*MAX(inputs!$I$14:$I$16))/F626,((0.0083*0.112*inputs!$C$18/1)*(3*60*379*((F626/1000)^0.8))*MAX(inputs!$I$14:$I$16))/F626))*(inputs!E$75/inputs!$E$73)</f>
        <v>0.13752741465893806</v>
      </c>
      <c r="T626" s="63">
        <f>IF((((inputs!$P$13/(V626/MAX(K626:S626)))^(1/inputs!$O$13))-1)/inputs!$N$13&lt;0, 0, IF((((inputs!$P$13/(V626/MAX(K626:S626)))^(1/inputs!$O$13))-1)/inputs!$N$13&lt;inputs!$I$17, (((inputs!$P$13/(V626/MAX(K626:S626)))^(1/inputs!$O$13))-1)/inputs!$N$13, inputs!$I$17))</f>
        <v>385.6544497204938</v>
      </c>
      <c r="U626" s="63">
        <f>IF((((inputs!$P$13/(X626/MAX(K626:S626)))^(1/inputs!$O$13))-1)/inputs!$N$13&lt;0, 0, IF((((inputs!$P$13/(X626/MAX(K626:S626)))^(1/inputs!$O$13))-1)/inputs!$N$13&lt;inputs!$I$17, (((inputs!$P$13/(X626/MAX(K626:S626)))^(1/inputs!$O$13))-1)/inputs!$N$13, inputs!$I$17))</f>
        <v>13.057761145508087</v>
      </c>
      <c r="V626" s="54">
        <f>inputs!$E$70*(inputs!$F$70/F626)^(0.25)</f>
        <v>2.4786900625814394</v>
      </c>
      <c r="W626" s="54">
        <f>inputs!$E$76*(inputs!$F$76/F626)^(0.25)</f>
        <v>0.74554322003890616</v>
      </c>
      <c r="X626" s="54">
        <f>inputs!$E$72*(inputs!$F$72/F626)^(0.25)</f>
        <v>109.35397334918115</v>
      </c>
      <c r="Y626" s="54" t="s">
        <v>13</v>
      </c>
      <c r="Z626" s="106">
        <f t="shared" si="66"/>
        <v>196.67873620400977</v>
      </c>
      <c r="AA626" s="106">
        <f t="shared" si="67"/>
        <v>653.89318264407916</v>
      </c>
    </row>
    <row r="627" spans="1:27" x14ac:dyDescent="0.25">
      <c r="A627" s="55" t="s">
        <v>521</v>
      </c>
      <c r="B627" s="49" t="s">
        <v>522</v>
      </c>
      <c r="C627" s="21" t="s">
        <v>61</v>
      </c>
      <c r="D627" s="20" t="s">
        <v>443</v>
      </c>
      <c r="E627" s="20">
        <v>32</v>
      </c>
      <c r="F627" s="21">
        <v>210</v>
      </c>
      <c r="G627" s="21" t="s">
        <v>142</v>
      </c>
      <c r="H627" s="21">
        <v>0.69</v>
      </c>
      <c r="I627" s="68">
        <f>MAX('Max rate concentrations'!$H$3:$H$368)</f>
        <v>282</v>
      </c>
      <c r="J627" s="68">
        <f>MAX('Max rate concentrations'!AA:AA)</f>
        <v>195</v>
      </c>
      <c r="K627" s="70">
        <f t="shared" si="68"/>
        <v>54.889768882726642</v>
      </c>
      <c r="L627" s="70">
        <f t="shared" si="69"/>
        <v>37.955691248693952</v>
      </c>
      <c r="M627" s="70">
        <f>IF((((0.326*F627^0.818)-(0.398*F627^0.85)/(1-H627)*H627)*(MAX('Max rate concentrations'!$P$3:$P$368)))/F627&gt;0, (((0.326*F627^0.818)-(0.398*F627^0.85)/(1-H627)*H627)*(MAX('Max rate concentrations'!$P$3:$P$368)))/F627, 0)</f>
        <v>0</v>
      </c>
      <c r="N627" s="70">
        <f>IF((((0.326*F627^0.818)-(0.398*F627^0.85)/(1-H627)*H627)*(MAX('Max rate concentrations'!$Q$3:$Q$368)))/F627&gt; 0, (((0.326*F627^0.818)-(0.398*F627^0.85)/(1-H627)*H627)*(MAX('Max rate concentrations'!$Q$3:$Q$368)))/F627, 0)</f>
        <v>0</v>
      </c>
      <c r="O627" s="70">
        <f>((MAX('Max rate concentrations'!$F$3:$F$368))*0.62*6.01*8*(12.3*F627^0.65)*0.079*0.1/F627)*inputs!$E$73/inputs!$E$74</f>
        <v>41.662422969495999</v>
      </c>
      <c r="P627" s="70">
        <f>((MAX('Max rate concentrations'!Y:Y))*0.62*6.01*8*(12.3*F627^0.65)*0.079*0.1/F627)*inputs!$E$73/inputs!$E$74</f>
        <v>13.887474323165334</v>
      </c>
      <c r="Q627" s="70">
        <f>(inputs!$C$18*11.2*(12.3*F627^0.65)*0.5/F627)*inputs!$E$73/inputs!$E$74</f>
        <v>7.3386393020054905</v>
      </c>
      <c r="R627" s="60">
        <f>(60*379*((F627/1000)^0.8)*3*24*(MAX('Max rate concentrations'!$R$3:$R$368))/F627)*(inputs!$E$73/inputs!$E$75)</f>
        <v>1.5082899918441481E-2</v>
      </c>
      <c r="S627" s="60">
        <f>(IF(inputs!$C$17="aerial",((0.025*0.112*inputs!$C$18/3.3)*(3*60*379*((F627/1000)^0.8))*MAX(inputs!$I$14:$I$16))/F627,((0.0083*0.112*inputs!$C$18/1)*(3*60*379*((F627/1000)^0.8))*MAX(inputs!$I$14:$I$16))/F627))*(inputs!E$75/inputs!$E$73)</f>
        <v>8.3183119718073906E-2</v>
      </c>
      <c r="T627" s="63">
        <f>IF((((inputs!$P$13/(V627/MAX(K627:S627)))^(1/inputs!$O$13))-1)/inputs!$N$13&lt;0, 0, IF((((inputs!$P$13/(V627/MAX(K627:S627)))^(1/inputs!$O$13))-1)/inputs!$N$13&lt;inputs!$I$17, (((inputs!$P$13/(V627/MAX(K627:S627)))^(1/inputs!$O$13))-1)/inputs!$N$13, inputs!$I$17))</f>
        <v>105.88250050415854</v>
      </c>
      <c r="U627" s="63">
        <f>IF((((inputs!$P$13/(X627/MAX(K627:S627)))^(1/inputs!$O$13))-1)/inputs!$N$13&lt;0, 0, IF((((inputs!$P$13/(X627/MAX(K627:S627)))^(1/inputs!$O$13))-1)/inputs!$N$13&lt;inputs!$I$17, (((inputs!$P$13/(X627/MAX(K627:S627)))^(1/inputs!$O$13))-1)/inputs!$N$13, inputs!$I$17))</f>
        <v>0</v>
      </c>
      <c r="V627" s="54">
        <f>inputs!$E$70*(inputs!$F$70/F627)^(0.25)</f>
        <v>1.3221466601896126</v>
      </c>
      <c r="W627" s="54">
        <f>inputs!$E$76*(inputs!$F$76/F627)^(0.25)</f>
        <v>0.39767677826362474</v>
      </c>
      <c r="X627" s="54">
        <f>inputs!$E$72*(inputs!$F$72/F627)^(0.25)</f>
        <v>58.329999714247613</v>
      </c>
      <c r="Y627" s="54" t="s">
        <v>13</v>
      </c>
      <c r="Z627" s="106">
        <f t="shared" si="66"/>
        <v>41.515643109407208</v>
      </c>
      <c r="AA627" s="106">
        <f t="shared" si="67"/>
        <v>138.02608521018431</v>
      </c>
    </row>
    <row r="628" spans="1:27" x14ac:dyDescent="0.25">
      <c r="A628" s="55" t="s">
        <v>521</v>
      </c>
      <c r="B628" s="49" t="s">
        <v>522</v>
      </c>
      <c r="C628" s="21" t="s">
        <v>61</v>
      </c>
      <c r="D628" s="20" t="s">
        <v>443</v>
      </c>
      <c r="E628" s="20">
        <v>32</v>
      </c>
      <c r="F628" s="21">
        <v>210</v>
      </c>
      <c r="G628" s="21" t="s">
        <v>152</v>
      </c>
      <c r="H628" s="21">
        <v>0.77</v>
      </c>
      <c r="I628" s="68">
        <f>MAX('Max rate concentrations'!$G$3:$G$368)</f>
        <v>45</v>
      </c>
      <c r="J628" s="68">
        <f>MAX('Max rate concentrations'!Z:Z)</f>
        <v>21</v>
      </c>
      <c r="K628" s="70">
        <f t="shared" si="68"/>
        <v>11.805616341567017</v>
      </c>
      <c r="L628" s="70">
        <f t="shared" si="69"/>
        <v>5.5092876260646078</v>
      </c>
      <c r="M628" s="70">
        <f>IF((((0.326*F628^0.818)-(0.398*F628^0.85)/(1-H628)*H628)*(MAX('Max rate concentrations'!$P$3:$P$368)))/F628&gt;0, (((0.326*F628^0.818)-(0.398*F628^0.85)/(1-H628)*H628)*(MAX('Max rate concentrations'!$P$3:$P$368)))/F628, 0)</f>
        <v>0</v>
      </c>
      <c r="N628" s="70">
        <f>IF((((0.326*F628^0.818)-(0.398*F628^0.85)/(1-H628)*H628)*(MAX('Max rate concentrations'!$Q$3:$Q$368)))/F628&gt; 0, (((0.326*F628^0.818)-(0.398*F628^0.85)/(1-H628)*H628)*(MAX('Max rate concentrations'!$Q$3:$Q$368)))/F628, 0)</f>
        <v>0</v>
      </c>
      <c r="O628" s="70">
        <f>((MAX('Max rate concentrations'!$F$3:$F$368))*0.62*6.01*8*(12.3*F628^0.65)*0.079*0.1/F628)*inputs!$E$73/inputs!$E$74</f>
        <v>41.662422969495999</v>
      </c>
      <c r="P628" s="70">
        <f>((MAX('Max rate concentrations'!Y:Y))*0.62*6.01*8*(12.3*F628^0.65)*0.079*0.1/F628)*inputs!$E$73/inputs!$E$74</f>
        <v>13.887474323165334</v>
      </c>
      <c r="Q628" s="70">
        <f>(inputs!$C$18*11.2*(12.3*F628^0.65)*0.5/F628)*inputs!$E$73/inputs!$E$74</f>
        <v>7.3386393020054905</v>
      </c>
      <c r="R628" s="60">
        <f>(60*379*((F628/1000)^0.8)*3*24*(MAX('Max rate concentrations'!$R$3:$R$368))/F628)*(inputs!$E$73/inputs!$E$75)</f>
        <v>1.5082899918441481E-2</v>
      </c>
      <c r="S628" s="60">
        <f>(IF(inputs!$C$17="aerial",((0.025*0.112*inputs!$C$18/3.3)*(3*60*379*((F628/1000)^0.8))*MAX(inputs!$I$14:$I$16))/F628,((0.0083*0.112*inputs!$C$18/1)*(3*60*379*((F628/1000)^0.8))*MAX(inputs!$I$14:$I$16))/F628))*(inputs!E$75/inputs!$E$73)</f>
        <v>8.3183119718073906E-2</v>
      </c>
      <c r="T628" s="63">
        <f>IF((((inputs!$P$13/(V628/MAX(K628:S628)))^(1/inputs!$O$13))-1)/inputs!$N$13&lt;0, 0, IF((((inputs!$P$13/(V628/MAX(K628:S628)))^(1/inputs!$O$13))-1)/inputs!$N$13&lt;inputs!$I$17, (((inputs!$P$13/(V628/MAX(K628:S628)))^(1/inputs!$O$13))-1)/inputs!$N$13, inputs!$I$17))</f>
        <v>83.675757714956006</v>
      </c>
      <c r="U628" s="63">
        <f>IF((((inputs!$P$13/(X628/MAX(K628:S628)))^(1/inputs!$O$13))-1)/inputs!$N$13&lt;0, 0, IF((((inputs!$P$13/(X628/MAX(K628:S628)))^(1/inputs!$O$13))-1)/inputs!$N$13&lt;inputs!$I$17, (((inputs!$P$13/(X628/MAX(K628:S628)))^(1/inputs!$O$13))-1)/inputs!$N$13, inputs!$I$17))</f>
        <v>0</v>
      </c>
      <c r="V628" s="54">
        <f>inputs!$E$70*(inputs!$F$70/F628)^(0.25)</f>
        <v>1.3221466601896126</v>
      </c>
      <c r="W628" s="54">
        <f>inputs!$E$76*(inputs!$F$76/F628)^(0.25)</f>
        <v>0.39767677826362474</v>
      </c>
      <c r="X628" s="54">
        <f>inputs!$E$72*(inputs!$F$72/F628)^(0.25)</f>
        <v>58.329999714247613</v>
      </c>
      <c r="Y628" s="54" t="s">
        <v>13</v>
      </c>
      <c r="Z628" s="106">
        <f t="shared" si="66"/>
        <v>31.511196317298928</v>
      </c>
      <c r="AA628" s="106">
        <f t="shared" si="67"/>
        <v>104.76453553915455</v>
      </c>
    </row>
    <row r="629" spans="1:27" x14ac:dyDescent="0.25">
      <c r="A629" s="55" t="s">
        <v>521</v>
      </c>
      <c r="B629" s="49" t="s">
        <v>522</v>
      </c>
      <c r="C629" s="21" t="s">
        <v>61</v>
      </c>
      <c r="D629" s="20" t="s">
        <v>443</v>
      </c>
      <c r="E629" s="20">
        <v>32</v>
      </c>
      <c r="F629" s="21">
        <v>210</v>
      </c>
      <c r="G629" s="21" t="s">
        <v>169</v>
      </c>
      <c r="H629" s="21">
        <v>0.79</v>
      </c>
      <c r="I629" s="68">
        <f>MAX('Max rate concentrations'!$D$3:$D$368)</f>
        <v>720</v>
      </c>
      <c r="J629" s="68">
        <f>MAX('Max rate concentrations'!W:W)</f>
        <v>255</v>
      </c>
      <c r="K629" s="70">
        <f t="shared" si="68"/>
        <v>206.87937208079344</v>
      </c>
      <c r="L629" s="70">
        <f t="shared" si="69"/>
        <v>73.269777611947674</v>
      </c>
      <c r="M629" s="70">
        <f>IF((((0.326*F629^0.818)-(0.398*F629^0.85)/(1-H629)*H629)*(MAX('Max rate concentrations'!$P$3:$P$368)))/F629&gt;0, (((0.326*F629^0.818)-(0.398*F629^0.85)/(1-H629)*H629)*(MAX('Max rate concentrations'!$P$3:$P$368)))/F629, 0)</f>
        <v>0</v>
      </c>
      <c r="N629" s="70">
        <f>IF((((0.326*F629^0.818)-(0.398*F629^0.85)/(1-H629)*H629)*(MAX('Max rate concentrations'!$Q$3:$Q$368)))/F629&gt; 0, (((0.326*F629^0.818)-(0.398*F629^0.85)/(1-H629)*H629)*(MAX('Max rate concentrations'!$Q$3:$Q$368)))/F629, 0)</f>
        <v>0</v>
      </c>
      <c r="O629" s="70">
        <f>((MAX('Max rate concentrations'!$F$3:$F$368))*0.62*6.01*8*(12.3*F629^0.65)*0.079*0.1/F629)*inputs!$E$73/inputs!$E$74</f>
        <v>41.662422969495999</v>
      </c>
      <c r="P629" s="70">
        <f>((MAX('Max rate concentrations'!Y:Y))*0.62*6.01*8*(12.3*F629^0.65)*0.079*0.1/F629)*inputs!$E$73/inputs!$E$74</f>
        <v>13.887474323165334</v>
      </c>
      <c r="Q629" s="70">
        <f>(inputs!$C$18*11.2*(12.3*F629^0.65)*0.5/F629)*inputs!$E$73/inputs!$E$74</f>
        <v>7.3386393020054905</v>
      </c>
      <c r="R629" s="60">
        <f>(60*379*((F629/1000)^0.8)*3*24*(MAX('Max rate concentrations'!$R$3:$R$368))/F629)*(inputs!$E$73/inputs!$E$75)</f>
        <v>1.5082899918441481E-2</v>
      </c>
      <c r="S629" s="60">
        <f>(IF(inputs!$C$17="aerial",((0.025*0.112*inputs!$C$18/3.3)*(3*60*379*((F629/1000)^0.8))*MAX(inputs!$I$14:$I$16))/F629,((0.0083*0.112*inputs!$C$18/1)*(3*60*379*((F629/1000)^0.8))*MAX(inputs!$I$14:$I$16))/F629))*(inputs!E$75/inputs!$E$73)</f>
        <v>8.3183119718073906E-2</v>
      </c>
      <c r="T629" s="63">
        <f>IF((((inputs!$P$13/(V629/MAX(K629:S629)))^(1/inputs!$O$13))-1)/inputs!$N$13&lt;0, 0, IF((((inputs!$P$13/(V629/MAX(K629:S629)))^(1/inputs!$O$13))-1)/inputs!$N$13&lt;inputs!$I$17, (((inputs!$P$13/(V629/MAX(K629:S629)))^(1/inputs!$O$13))-1)/inputs!$N$13, inputs!$I$17))</f>
        <v>319.65682790364542</v>
      </c>
      <c r="U629" s="63">
        <f>IF((((inputs!$P$13/(X629/MAX(K629:S629)))^(1/inputs!$O$13))-1)/inputs!$N$13&lt;0, 0, IF((((inputs!$P$13/(X629/MAX(K629:S629)))^(1/inputs!$O$13))-1)/inputs!$N$13&lt;inputs!$I$17, (((inputs!$P$13/(X629/MAX(K629:S629)))^(1/inputs!$O$13))-1)/inputs!$N$13, inputs!$I$17))</f>
        <v>9.9704430255792662</v>
      </c>
      <c r="V629" s="54">
        <f>inputs!$E$70*(inputs!$F$70/F629)^(0.25)</f>
        <v>1.3221466601896126</v>
      </c>
      <c r="W629" s="54">
        <f>inputs!$E$76*(inputs!$F$76/F629)^(0.25)</f>
        <v>0.39767677826362474</v>
      </c>
      <c r="X629" s="54">
        <f>inputs!$E$72*(inputs!$F$72/F629)^(0.25)</f>
        <v>58.329999714247613</v>
      </c>
      <c r="Y629" s="54" t="s">
        <v>13</v>
      </c>
      <c r="Z629" s="106">
        <f t="shared" si="66"/>
        <v>156.47233269199072</v>
      </c>
      <c r="AA629" s="106">
        <f t="shared" si="67"/>
        <v>520.21989562501085</v>
      </c>
    </row>
    <row r="630" spans="1:27" x14ac:dyDescent="0.25">
      <c r="A630" s="55" t="s">
        <v>521</v>
      </c>
      <c r="B630" s="49" t="s">
        <v>522</v>
      </c>
      <c r="C630" s="21" t="s">
        <v>61</v>
      </c>
      <c r="D630" s="20" t="s">
        <v>443</v>
      </c>
      <c r="E630" s="20">
        <v>32</v>
      </c>
      <c r="F630" s="21">
        <v>210</v>
      </c>
      <c r="G630" s="21" t="s">
        <v>177</v>
      </c>
      <c r="H630" s="21">
        <v>0.85</v>
      </c>
      <c r="I630" s="68">
        <f>MAX('Max rate concentrations'!$F$3:$F$368)</f>
        <v>405</v>
      </c>
      <c r="J630" s="68">
        <f>MAX('Max rate concentrations'!Y:Y)</f>
        <v>135</v>
      </c>
      <c r="K630" s="70">
        <f t="shared" si="68"/>
        <v>162.9175055136248</v>
      </c>
      <c r="L630" s="70">
        <f t="shared" si="69"/>
        <v>54.305835171208265</v>
      </c>
      <c r="M630" s="70">
        <f>IF((((0.326*F630^0.818)-(0.398*F630^0.85)/(1-H630)*H630)*(MAX('Max rate concentrations'!$P$3:$P$368)))/F630&gt;0, (((0.326*F630^0.818)-(0.398*F630^0.85)/(1-H630)*H630)*(MAX('Max rate concentrations'!$P$3:$P$368)))/F630, 0)</f>
        <v>0</v>
      </c>
      <c r="N630" s="70">
        <f>IF((((0.326*F630^0.818)-(0.398*F630^0.85)/(1-H630)*H630)*(MAX('Max rate concentrations'!$Q$3:$Q$368)))/F630&gt; 0, (((0.326*F630^0.818)-(0.398*F630^0.85)/(1-H630)*H630)*(MAX('Max rate concentrations'!$Q$3:$Q$368)))/F630, 0)</f>
        <v>0</v>
      </c>
      <c r="O630" s="70">
        <f>((MAX('Max rate concentrations'!$F$3:$F$368))*0.62*6.01*8*(12.3*F630^0.65)*0.079*0.1/F630)*inputs!$E$73/inputs!$E$74</f>
        <v>41.662422969495999</v>
      </c>
      <c r="P630" s="70">
        <f>((MAX('Max rate concentrations'!Y:Y))*0.62*6.01*8*(12.3*F630^0.65)*0.079*0.1/F630)*inputs!$E$73/inputs!$E$74</f>
        <v>13.887474323165334</v>
      </c>
      <c r="Q630" s="70">
        <f>(inputs!$C$18*11.2*(12.3*F630^0.65)*0.5/F630)*inputs!$E$73/inputs!$E$74</f>
        <v>7.3386393020054905</v>
      </c>
      <c r="R630" s="60">
        <f>(60*379*((F630/1000)^0.8)*3*24*(MAX('Max rate concentrations'!$R$3:$R$368))/F630)*(inputs!$E$73/inputs!$E$75)</f>
        <v>1.5082899918441481E-2</v>
      </c>
      <c r="S630" s="60">
        <f>(IF(inputs!$C$17="aerial",((0.025*0.112*inputs!$C$18/3.3)*(3*60*379*((F630/1000)^0.8))*MAX(inputs!$I$14:$I$16))/F630,((0.0083*0.112*inputs!$C$18/1)*(3*60*379*((F630/1000)^0.8))*MAX(inputs!$I$14:$I$16))/F630))*(inputs!E$75/inputs!$E$73)</f>
        <v>8.3183119718073906E-2</v>
      </c>
      <c r="T630" s="63">
        <f>IF((((inputs!$P$13/(V630/MAX(K630:S630)))^(1/inputs!$O$13))-1)/inputs!$N$13&lt;0, 0, IF((((inputs!$P$13/(V630/MAX(K630:S630)))^(1/inputs!$O$13))-1)/inputs!$N$13&lt;inputs!$I$17, (((inputs!$P$13/(V630/MAX(K630:S630)))^(1/inputs!$O$13))-1)/inputs!$N$13, inputs!$I$17))</f>
        <v>262.58438486514706</v>
      </c>
      <c r="U630" s="63">
        <f>IF((((inputs!$P$13/(X630/MAX(K630:S630)))^(1/inputs!$O$13))-1)/inputs!$N$13&lt;0, 0, IF((((inputs!$P$13/(X630/MAX(K630:S630)))^(1/inputs!$O$13))-1)/inputs!$N$13&lt;inputs!$I$17, (((inputs!$P$13/(X630/MAX(K630:S630)))^(1/inputs!$O$13))-1)/inputs!$N$13, inputs!$I$17))</f>
        <v>7.3006379221417452</v>
      </c>
      <c r="V630" s="54">
        <f>inputs!$E$70*(inputs!$F$70/F630)^(0.25)</f>
        <v>1.3221466601896126</v>
      </c>
      <c r="W630" s="54">
        <f>inputs!$E$76*(inputs!$F$76/F630)^(0.25)</f>
        <v>0.39767677826362474</v>
      </c>
      <c r="X630" s="54">
        <f>inputs!$E$72*(inputs!$F$72/F630)^(0.25)</f>
        <v>58.329999714247613</v>
      </c>
      <c r="Y630" s="54" t="s">
        <v>13</v>
      </c>
      <c r="Z630" s="106">
        <f t="shared" si="66"/>
        <v>123.22196199494266</v>
      </c>
      <c r="AA630" s="106">
        <f t="shared" si="67"/>
        <v>409.67316780469594</v>
      </c>
    </row>
    <row r="631" spans="1:27" x14ac:dyDescent="0.25">
      <c r="A631" s="55" t="s">
        <v>521</v>
      </c>
      <c r="B631" s="49" t="s">
        <v>522</v>
      </c>
      <c r="C631" s="21" t="s">
        <v>61</v>
      </c>
      <c r="D631" s="20" t="s">
        <v>443</v>
      </c>
      <c r="E631" s="20">
        <v>32</v>
      </c>
      <c r="F631" s="21">
        <v>210</v>
      </c>
      <c r="G631" s="21" t="s">
        <v>154</v>
      </c>
      <c r="H631" s="21">
        <v>9.2999999999999999E-2</v>
      </c>
      <c r="I631" s="68">
        <f>MAX('Max rate concentrations'!$G$3:$G$368)</f>
        <v>45</v>
      </c>
      <c r="J631" s="68">
        <f>MAX('Max rate concentrations'!Z:Z)</f>
        <v>21</v>
      </c>
      <c r="K631" s="70">
        <f t="shared" si="68"/>
        <v>2.9937064592727824</v>
      </c>
      <c r="L631" s="70">
        <f t="shared" si="69"/>
        <v>1.3970630143272984</v>
      </c>
      <c r="M631" s="70">
        <f>IF((((0.326*F631^0.818)-(0.398*F631^0.85)/(1-H631)*H631)*(MAX('Max rate concentrations'!$P$3:$P$368)))/F631&gt;0, (((0.326*F631^0.818)-(0.398*F631^0.85)/(1-H631)*H631)*(MAX('Max rate concentrations'!$P$3:$P$368)))/F631, 0)</f>
        <v>9.1347951920770887E-2</v>
      </c>
      <c r="N631" s="70">
        <f>IF((((0.326*F631^0.818)-(0.398*F631^0.85)/(1-H631)*H631)*(MAX('Max rate concentrations'!$Q$3:$Q$368)))/F631&gt; 0, (((0.326*F631^0.818)-(0.398*F631^0.85)/(1-H631)*H631)*(MAX('Max rate concentrations'!$Q$3:$Q$368)))/F631, 0)</f>
        <v>0.3478579091936852</v>
      </c>
      <c r="O631" s="70">
        <f>((MAX('Max rate concentrations'!$F$3:$F$368))*0.62*6.01*8*(12.3*F631^0.65)*0.079*0.1/F631)*inputs!$E$73/inputs!$E$74</f>
        <v>41.662422969495999</v>
      </c>
      <c r="P631" s="70">
        <f>((MAX('Max rate concentrations'!Y:Y))*0.62*6.01*8*(12.3*F631^0.65)*0.079*0.1/F631)*inputs!$E$73/inputs!$E$74</f>
        <v>13.887474323165334</v>
      </c>
      <c r="Q631" s="70">
        <f>(inputs!$C$18*11.2*(12.3*F631^0.65)*0.5/F631)*inputs!$E$73/inputs!$E$74</f>
        <v>7.3386393020054905</v>
      </c>
      <c r="R631" s="60">
        <f>(60*379*((F631/1000)^0.8)*3*24*(MAX('Max rate concentrations'!$R$3:$R$368))/F631)*(inputs!$E$73/inputs!$E$75)</f>
        <v>1.5082899918441481E-2</v>
      </c>
      <c r="S631" s="60">
        <f>(IF(inputs!$C$17="aerial",((0.025*0.112*inputs!$C$18/3.3)*(3*60*379*((F631/1000)^0.8))*MAX(inputs!$I$14:$I$16))/F631,((0.0083*0.112*inputs!$C$18/1)*(3*60*379*((F631/1000)^0.8))*MAX(inputs!$I$14:$I$16))/F631))*(inputs!E$75/inputs!$E$73)</f>
        <v>8.3183119718073906E-2</v>
      </c>
      <c r="T631" s="63">
        <f>IF((((inputs!$P$13/(V631/MAX(K631:S631)))^(1/inputs!$O$13))-1)/inputs!$N$13&lt;0, 0, IF((((inputs!$P$13/(V631/MAX(K631:S631)))^(1/inputs!$O$13))-1)/inputs!$N$13&lt;inputs!$I$17, (((inputs!$P$13/(V631/MAX(K631:S631)))^(1/inputs!$O$13))-1)/inputs!$N$13, inputs!$I$17))</f>
        <v>83.675757714956006</v>
      </c>
      <c r="U631" s="63">
        <f>IF((((inputs!$P$13/(X631/MAX(K631:S631)))^(1/inputs!$O$13))-1)/inputs!$N$13&lt;0, 0, IF((((inputs!$P$13/(X631/MAX(K631:S631)))^(1/inputs!$O$13))-1)/inputs!$N$13&lt;inputs!$I$17, (((inputs!$P$13/(X631/MAX(K631:S631)))^(1/inputs!$O$13))-1)/inputs!$N$13, inputs!$I$17))</f>
        <v>0</v>
      </c>
      <c r="V631" s="54">
        <f>inputs!$E$70*(inputs!$F$70/F631)^(0.25)</f>
        <v>1.3221466601896126</v>
      </c>
      <c r="W631" s="54">
        <f>inputs!$E$76*(inputs!$F$76/F631)^(0.25)</f>
        <v>0.39767677826362474</v>
      </c>
      <c r="X631" s="54">
        <f>inputs!$E$72*(inputs!$F$72/F631)^(0.25)</f>
        <v>58.329999714247613</v>
      </c>
      <c r="Y631" s="54" t="s">
        <v>13</v>
      </c>
      <c r="Z631" s="106">
        <f t="shared" si="66"/>
        <v>31.511196317298928</v>
      </c>
      <c r="AA631" s="106">
        <f t="shared" si="67"/>
        <v>104.76453553915455</v>
      </c>
    </row>
    <row r="632" spans="1:27" x14ac:dyDescent="0.25">
      <c r="A632" s="55" t="s">
        <v>472</v>
      </c>
      <c r="B632" s="49" t="s">
        <v>473</v>
      </c>
      <c r="C632" s="21" t="s">
        <v>61</v>
      </c>
      <c r="D632" s="20" t="s">
        <v>443</v>
      </c>
      <c r="E632" s="20">
        <v>16</v>
      </c>
      <c r="F632" s="21">
        <v>56</v>
      </c>
      <c r="G632" s="21" t="s">
        <v>142</v>
      </c>
      <c r="H632" s="21">
        <v>0.69</v>
      </c>
      <c r="I632" s="68">
        <f>MAX('Max rate concentrations'!$H$3:$H$368)</f>
        <v>282</v>
      </c>
      <c r="J632" s="68">
        <f>MAX('Max rate concentrations'!AA:AA)</f>
        <v>195</v>
      </c>
      <c r="K632" s="70">
        <f t="shared" si="68"/>
        <v>97.671764792952828</v>
      </c>
      <c r="L632" s="70">
        <f t="shared" si="69"/>
        <v>67.538986292999297</v>
      </c>
      <c r="M632" s="70">
        <f>IF((((0.326*F632^0.818)-(0.398*F632^0.85)/(1-H632)*H632)*(MAX('Max rate concentrations'!$P$3:$P$368)))/F632&gt;0, (((0.326*F632^0.818)-(0.398*F632^0.85)/(1-H632)*H632)*(MAX('Max rate concentrations'!$P$3:$P$368)))/F632, 0)</f>
        <v>0</v>
      </c>
      <c r="N632" s="70">
        <f>IF((((0.326*F632^0.818)-(0.398*F632^0.85)/(1-H632)*H632)*(MAX('Max rate concentrations'!$Q$3:$Q$368)))/F632&gt; 0, (((0.326*F632^0.818)-(0.398*F632^0.85)/(1-H632)*H632)*(MAX('Max rate concentrations'!$Q$3:$Q$368)))/F632, 0)</f>
        <v>0</v>
      </c>
      <c r="O632" s="70">
        <f>((MAX('Max rate concentrations'!$F$3:$F$368))*0.62*6.01*8*(12.3*F632^0.65)*0.079*0.1/F632)*inputs!$E$73/inputs!$E$74</f>
        <v>66.169136532460627</v>
      </c>
      <c r="P632" s="70">
        <f>((MAX('Max rate concentrations'!Y:Y))*0.62*6.01*8*(12.3*F632^0.65)*0.079*0.1/F632)*inputs!$E$73/inputs!$E$74</f>
        <v>22.056378844153542</v>
      </c>
      <c r="Q632" s="70">
        <f>(inputs!$C$18*11.2*(12.3*F632^0.65)*0.5/F632)*inputs!$E$73/inputs!$E$74</f>
        <v>11.655381308293533</v>
      </c>
      <c r="R632" s="60">
        <f>(60*379*((F632/1000)^0.8)*3*24*(MAX('Max rate concentrations'!$R$3:$R$368))/F632)*(inputs!$E$73/inputs!$E$75)</f>
        <v>1.9646767370453896E-2</v>
      </c>
      <c r="S632" s="60">
        <f>(IF(inputs!$C$17="aerial",((0.025*0.112*inputs!$C$18/3.3)*(3*60*379*((F632/1000)^0.8))*MAX(inputs!$I$14:$I$16))/F632,((0.0083*0.112*inputs!$C$18/1)*(3*60*379*((F632/1000)^0.8))*MAX(inputs!$I$14:$I$16))/F632))*(inputs!E$75/inputs!$E$73)</f>
        <v>0.10835312911222214</v>
      </c>
      <c r="T632" s="63">
        <f>IF((((inputs!$P$13/(V632/MAX(K632:S632)))^(1/inputs!$O$13))-1)/inputs!$N$13&lt;0, 0, IF((((inputs!$P$13/(V632/MAX(K632:S632)))^(1/inputs!$O$13))-1)/inputs!$N$13&lt;inputs!$I$17, (((inputs!$P$13/(V632/MAX(K632:S632)))^(1/inputs!$O$13))-1)/inputs!$N$13, inputs!$I$17))</f>
        <v>130.32093444032159</v>
      </c>
      <c r="U632" s="63">
        <f>IF((((inputs!$P$13/(X632/MAX(K632:S632)))^(1/inputs!$O$13))-1)/inputs!$N$13&lt;0, 0, IF((((inputs!$P$13/(X632/MAX(K632:S632)))^(1/inputs!$O$13))-1)/inputs!$N$13&lt;inputs!$I$17, (((inputs!$P$13/(X632/MAX(K632:S632)))^(1/inputs!$O$13))-1)/inputs!$N$13, inputs!$I$17))</f>
        <v>1.1134551743441961</v>
      </c>
      <c r="V632" s="54">
        <f>inputs!$E$70*(inputs!$F$70/F632)^(0.25)</f>
        <v>1.83987131815159</v>
      </c>
      <c r="W632" s="54">
        <f>inputs!$E$76*(inputs!$F$76/F632)^(0.25)</f>
        <v>0.55339859052946638</v>
      </c>
      <c r="X632" s="54">
        <f>inputs!$E$72*(inputs!$F$72/F632)^(0.25)</f>
        <v>81.17079344786427</v>
      </c>
      <c r="Y632" s="54" t="s">
        <v>13</v>
      </c>
      <c r="Z632" s="106">
        <f t="shared" si="66"/>
        <v>53.086193490465341</v>
      </c>
      <c r="AA632" s="106">
        <f t="shared" si="67"/>
        <v>176.49442276227151</v>
      </c>
    </row>
    <row r="633" spans="1:27" x14ac:dyDescent="0.25">
      <c r="A633" s="55" t="s">
        <v>472</v>
      </c>
      <c r="B633" s="49" t="s">
        <v>473</v>
      </c>
      <c r="C633" s="21" t="s">
        <v>61</v>
      </c>
      <c r="D633" s="20" t="s">
        <v>443</v>
      </c>
      <c r="E633" s="20">
        <v>16</v>
      </c>
      <c r="F633" s="21">
        <v>56</v>
      </c>
      <c r="G633" s="21" t="s">
        <v>152</v>
      </c>
      <c r="H633" s="21">
        <v>0.77</v>
      </c>
      <c r="I633" s="68">
        <f>MAX('Max rate concentrations'!$G$3:$G$368)</f>
        <v>45</v>
      </c>
      <c r="J633" s="68">
        <f>MAX('Max rate concentrations'!Z:Z)</f>
        <v>21</v>
      </c>
      <c r="K633" s="70">
        <f t="shared" si="68"/>
        <v>21.007109448993102</v>
      </c>
      <c r="L633" s="70">
        <f t="shared" si="69"/>
        <v>9.8033177428634453</v>
      </c>
      <c r="M633" s="70">
        <f>IF((((0.326*F633^0.818)-(0.398*F633^0.85)/(1-H633)*H633)*(MAX('Max rate concentrations'!$P$3:$P$368)))/F633&gt;0, (((0.326*F633^0.818)-(0.398*F633^0.85)/(1-H633)*H633)*(MAX('Max rate concentrations'!$P$3:$P$368)))/F633, 0)</f>
        <v>0</v>
      </c>
      <c r="N633" s="70">
        <f>IF((((0.326*F633^0.818)-(0.398*F633^0.85)/(1-H633)*H633)*(MAX('Max rate concentrations'!$Q$3:$Q$368)))/F633&gt; 0, (((0.326*F633^0.818)-(0.398*F633^0.85)/(1-H633)*H633)*(MAX('Max rate concentrations'!$Q$3:$Q$368)))/F633, 0)</f>
        <v>0</v>
      </c>
      <c r="O633" s="70">
        <f>((MAX('Max rate concentrations'!$F$3:$F$368))*0.62*6.01*8*(12.3*F633^0.65)*0.079*0.1/F633)*inputs!$E$73/inputs!$E$74</f>
        <v>66.169136532460627</v>
      </c>
      <c r="P633" s="70">
        <f>((MAX('Max rate concentrations'!Y:Y))*0.62*6.01*8*(12.3*F633^0.65)*0.079*0.1/F633)*inputs!$E$73/inputs!$E$74</f>
        <v>22.056378844153542</v>
      </c>
      <c r="Q633" s="70">
        <f>(inputs!$C$18*11.2*(12.3*F633^0.65)*0.5/F633)*inputs!$E$73/inputs!$E$74</f>
        <v>11.655381308293533</v>
      </c>
      <c r="R633" s="60">
        <f>(60*379*((F633/1000)^0.8)*3*24*(MAX('Max rate concentrations'!$R$3:$R$368))/F633)*(inputs!$E$73/inputs!$E$75)</f>
        <v>1.9646767370453896E-2</v>
      </c>
      <c r="S633" s="60">
        <f>(IF(inputs!$C$17="aerial",((0.025*0.112*inputs!$C$18/3.3)*(3*60*379*((F633/1000)^0.8))*MAX(inputs!$I$14:$I$16))/F633,((0.0083*0.112*inputs!$C$18/1)*(3*60*379*((F633/1000)^0.8))*MAX(inputs!$I$14:$I$16))/F633))*(inputs!E$75/inputs!$E$73)</f>
        <v>0.10835312911222214</v>
      </c>
      <c r="T633" s="63">
        <f>IF((((inputs!$P$13/(V633/MAX(K633:S633)))^(1/inputs!$O$13))-1)/inputs!$N$13&lt;0, 0, IF((((inputs!$P$13/(V633/MAX(K633:S633)))^(1/inputs!$O$13))-1)/inputs!$N$13&lt;inputs!$I$17, (((inputs!$P$13/(V633/MAX(K633:S633)))^(1/inputs!$O$13))-1)/inputs!$N$13, inputs!$I$17))</f>
        <v>93.704718208876855</v>
      </c>
      <c r="U633" s="63">
        <f>IF((((inputs!$P$13/(X633/MAX(K633:S633)))^(1/inputs!$O$13))-1)/inputs!$N$13&lt;0, 0, IF((((inputs!$P$13/(X633/MAX(K633:S633)))^(1/inputs!$O$13))-1)/inputs!$N$13&lt;inputs!$I$17, (((inputs!$P$13/(X633/MAX(K633:S633)))^(1/inputs!$O$13))-1)/inputs!$N$13, inputs!$I$17))</f>
        <v>0</v>
      </c>
      <c r="V633" s="54">
        <f>inputs!$E$70*(inputs!$F$70/F633)^(0.25)</f>
        <v>1.83987131815159</v>
      </c>
      <c r="W633" s="54">
        <f>inputs!$E$76*(inputs!$F$76/F633)^(0.25)</f>
        <v>0.55339859052946638</v>
      </c>
      <c r="X633" s="54">
        <f>inputs!$E$72*(inputs!$F$72/F633)^(0.25)</f>
        <v>81.17079344786427</v>
      </c>
      <c r="Y633" s="54" t="s">
        <v>13</v>
      </c>
      <c r="Z633" s="106">
        <f t="shared" si="66"/>
        <v>35.964002416721648</v>
      </c>
      <c r="AA633" s="106">
        <f t="shared" si="67"/>
        <v>119.5686755709895</v>
      </c>
    </row>
    <row r="634" spans="1:27" x14ac:dyDescent="0.25">
      <c r="A634" s="55" t="s">
        <v>472</v>
      </c>
      <c r="B634" s="49" t="s">
        <v>473</v>
      </c>
      <c r="C634" s="21" t="s">
        <v>61</v>
      </c>
      <c r="D634" s="20" t="s">
        <v>443</v>
      </c>
      <c r="E634" s="20">
        <v>16</v>
      </c>
      <c r="F634" s="21">
        <v>56</v>
      </c>
      <c r="G634" s="21" t="s">
        <v>169</v>
      </c>
      <c r="H634" s="21">
        <v>0.79</v>
      </c>
      <c r="I634" s="68">
        <f>MAX('Max rate concentrations'!$D$3:$D$368)</f>
        <v>720</v>
      </c>
      <c r="J634" s="68">
        <f>MAX('Max rate concentrations'!W:W)</f>
        <v>255</v>
      </c>
      <c r="K634" s="70">
        <f t="shared" si="68"/>
        <v>368.12458462997432</v>
      </c>
      <c r="L634" s="70">
        <f t="shared" si="69"/>
        <v>130.37745705644926</v>
      </c>
      <c r="M634" s="70">
        <f>IF((((0.326*F634^0.818)-(0.398*F634^0.85)/(1-H634)*H634)*(MAX('Max rate concentrations'!$P$3:$P$368)))/F634&gt;0, (((0.326*F634^0.818)-(0.398*F634^0.85)/(1-H634)*H634)*(MAX('Max rate concentrations'!$P$3:$P$368)))/F634, 0)</f>
        <v>0</v>
      </c>
      <c r="N634" s="70">
        <f>IF((((0.326*F634^0.818)-(0.398*F634^0.85)/(1-H634)*H634)*(MAX('Max rate concentrations'!$Q$3:$Q$368)))/F634&gt; 0, (((0.326*F634^0.818)-(0.398*F634^0.85)/(1-H634)*H634)*(MAX('Max rate concentrations'!$Q$3:$Q$368)))/F634, 0)</f>
        <v>0</v>
      </c>
      <c r="O634" s="70">
        <f>((MAX('Max rate concentrations'!$F$3:$F$368))*0.62*6.01*8*(12.3*F634^0.65)*0.079*0.1/F634)*inputs!$E$73/inputs!$E$74</f>
        <v>66.169136532460627</v>
      </c>
      <c r="P634" s="70">
        <f>((MAX('Max rate concentrations'!Y:Y))*0.62*6.01*8*(12.3*F634^0.65)*0.079*0.1/F634)*inputs!$E$73/inputs!$E$74</f>
        <v>22.056378844153542</v>
      </c>
      <c r="Q634" s="70">
        <f>(inputs!$C$18*11.2*(12.3*F634^0.65)*0.5/F634)*inputs!$E$73/inputs!$E$74</f>
        <v>11.655381308293533</v>
      </c>
      <c r="R634" s="60">
        <f>(60*379*((F634/1000)^0.8)*3*24*(MAX('Max rate concentrations'!$R$3:$R$368))/F634)*(inputs!$E$73/inputs!$E$75)</f>
        <v>1.9646767370453896E-2</v>
      </c>
      <c r="S634" s="60">
        <f>(IF(inputs!$C$17="aerial",((0.025*0.112*inputs!$C$18/3.3)*(3*60*379*((F634/1000)^0.8))*MAX(inputs!$I$14:$I$16))/F634,((0.0083*0.112*inputs!$C$18/1)*(3*60*379*((F634/1000)^0.8))*MAX(inputs!$I$14:$I$16))/F634))*(inputs!E$75/inputs!$E$73)</f>
        <v>0.10835312911222214</v>
      </c>
      <c r="T634" s="63">
        <f>IF((((inputs!$P$13/(V634/MAX(K634:S634)))^(1/inputs!$O$13))-1)/inputs!$N$13&lt;0, 0, IF((((inputs!$P$13/(V634/MAX(K634:S634)))^(1/inputs!$O$13))-1)/inputs!$N$13&lt;inputs!$I$17, (((inputs!$P$13/(V634/MAX(K634:S634)))^(1/inputs!$O$13))-1)/inputs!$N$13, inputs!$I$17))</f>
        <v>391.1145657170681</v>
      </c>
      <c r="U634" s="63">
        <f>IF((((inputs!$P$13/(X634/MAX(K634:S634)))^(1/inputs!$O$13))-1)/inputs!$N$13&lt;0, 0, IF((((inputs!$P$13/(X634/MAX(K634:S634)))^(1/inputs!$O$13))-1)/inputs!$N$13&lt;inputs!$I$17, (((inputs!$P$13/(X634/MAX(K634:S634)))^(1/inputs!$O$13))-1)/inputs!$N$13, inputs!$I$17))</f>
        <v>13.313181183216683</v>
      </c>
      <c r="V634" s="54">
        <f>inputs!$E$70*(inputs!$F$70/F634)^(0.25)</f>
        <v>1.83987131815159</v>
      </c>
      <c r="W634" s="54">
        <f>inputs!$E$76*(inputs!$F$76/F634)^(0.25)</f>
        <v>0.55339859052946638</v>
      </c>
      <c r="X634" s="54">
        <f>inputs!$E$72*(inputs!$F$72/F634)^(0.25)</f>
        <v>81.17079344786427</v>
      </c>
      <c r="Y634" s="54" t="s">
        <v>13</v>
      </c>
      <c r="Z634" s="106">
        <f t="shared" si="66"/>
        <v>200.08170190935274</v>
      </c>
      <c r="AA634" s="106">
        <f t="shared" si="67"/>
        <v>665.20694293378961</v>
      </c>
    </row>
    <row r="635" spans="1:27" x14ac:dyDescent="0.25">
      <c r="A635" s="55" t="s">
        <v>472</v>
      </c>
      <c r="B635" s="49" t="s">
        <v>473</v>
      </c>
      <c r="C635" s="21" t="s">
        <v>61</v>
      </c>
      <c r="D635" s="20" t="s">
        <v>443</v>
      </c>
      <c r="E635" s="20">
        <v>16</v>
      </c>
      <c r="F635" s="21">
        <v>56</v>
      </c>
      <c r="G635" s="21" t="s">
        <v>177</v>
      </c>
      <c r="H635" s="21">
        <v>0.85</v>
      </c>
      <c r="I635" s="68">
        <f>MAX('Max rate concentrations'!$F$3:$F$368)</f>
        <v>405</v>
      </c>
      <c r="J635" s="68">
        <f>MAX('Max rate concentrations'!Y:Y)</f>
        <v>135</v>
      </c>
      <c r="K635" s="70">
        <f t="shared" si="68"/>
        <v>289.8981103961047</v>
      </c>
      <c r="L635" s="70">
        <f t="shared" si="69"/>
        <v>96.632703465368238</v>
      </c>
      <c r="M635" s="70">
        <f>IF((((0.326*F635^0.818)-(0.398*F635^0.85)/(1-H635)*H635)*(MAX('Max rate concentrations'!$P$3:$P$368)))/F635&gt;0, (((0.326*F635^0.818)-(0.398*F635^0.85)/(1-H635)*H635)*(MAX('Max rate concentrations'!$P$3:$P$368)))/F635, 0)</f>
        <v>0</v>
      </c>
      <c r="N635" s="70">
        <f>IF((((0.326*F635^0.818)-(0.398*F635^0.85)/(1-H635)*H635)*(MAX('Max rate concentrations'!$Q$3:$Q$368)))/F635&gt; 0, (((0.326*F635^0.818)-(0.398*F635^0.85)/(1-H635)*H635)*(MAX('Max rate concentrations'!$Q$3:$Q$368)))/F635, 0)</f>
        <v>0</v>
      </c>
      <c r="O635" s="70">
        <f>((MAX('Max rate concentrations'!$F$3:$F$368))*0.62*6.01*8*(12.3*F635^0.65)*0.079*0.1/F635)*inputs!$E$73/inputs!$E$74</f>
        <v>66.169136532460627</v>
      </c>
      <c r="P635" s="70">
        <f>((MAX('Max rate concentrations'!Y:Y))*0.62*6.01*8*(12.3*F635^0.65)*0.079*0.1/F635)*inputs!$E$73/inputs!$E$74</f>
        <v>22.056378844153542</v>
      </c>
      <c r="Q635" s="70">
        <f>(inputs!$C$18*11.2*(12.3*F635^0.65)*0.5/F635)*inputs!$E$73/inputs!$E$74</f>
        <v>11.655381308293533</v>
      </c>
      <c r="R635" s="60">
        <f>(60*379*((F635/1000)^0.8)*3*24*(MAX('Max rate concentrations'!$R$3:$R$368))/F635)*(inputs!$E$73/inputs!$E$75)</f>
        <v>1.9646767370453896E-2</v>
      </c>
      <c r="S635" s="60">
        <f>(IF(inputs!$C$17="aerial",((0.025*0.112*inputs!$C$18/3.3)*(3*60*379*((F635/1000)^0.8))*MAX(inputs!$I$14:$I$16))/F635,((0.0083*0.112*inputs!$C$18/1)*(3*60*379*((F635/1000)^0.8))*MAX(inputs!$I$14:$I$16))/F635))*(inputs!E$75/inputs!$E$73)</f>
        <v>0.10835312911222214</v>
      </c>
      <c r="T635" s="63">
        <f>IF((((inputs!$P$13/(V635/MAX(K635:S635)))^(1/inputs!$O$13))-1)/inputs!$N$13&lt;0, 0, IF((((inputs!$P$13/(V635/MAX(K635:S635)))^(1/inputs!$O$13))-1)/inputs!$N$13&lt;inputs!$I$17, (((inputs!$P$13/(V635/MAX(K635:S635)))^(1/inputs!$O$13))-1)/inputs!$N$13, inputs!$I$17))</f>
        <v>321.48913479228349</v>
      </c>
      <c r="U635" s="63">
        <f>IF((((inputs!$P$13/(X635/MAX(K635:S635)))^(1/inputs!$O$13))-1)/inputs!$N$13&lt;0, 0, IF((((inputs!$P$13/(X635/MAX(K635:S635)))^(1/inputs!$O$13))-1)/inputs!$N$13&lt;inputs!$I$17, (((inputs!$P$13/(X635/MAX(K635:S635)))^(1/inputs!$O$13))-1)/inputs!$N$13, inputs!$I$17))</f>
        <v>10.056156936214734</v>
      </c>
      <c r="V635" s="54">
        <f>inputs!$E$70*(inputs!$F$70/F635)^(0.25)</f>
        <v>1.83987131815159</v>
      </c>
      <c r="W635" s="54">
        <f>inputs!$E$76*(inputs!$F$76/F635)^(0.25)</f>
        <v>0.55339859052946638</v>
      </c>
      <c r="X635" s="54">
        <f>inputs!$E$72*(inputs!$F$72/F635)^(0.25)</f>
        <v>81.17079344786427</v>
      </c>
      <c r="Y635" s="54" t="s">
        <v>13</v>
      </c>
      <c r="Z635" s="106">
        <f t="shared" si="66"/>
        <v>157.56434025361523</v>
      </c>
      <c r="AA635" s="106">
        <f t="shared" si="67"/>
        <v>523.85046756035911</v>
      </c>
    </row>
    <row r="636" spans="1:27" x14ac:dyDescent="0.25">
      <c r="A636" s="55" t="s">
        <v>472</v>
      </c>
      <c r="B636" s="49" t="s">
        <v>473</v>
      </c>
      <c r="C636" s="21" t="s">
        <v>61</v>
      </c>
      <c r="D636" s="20" t="s">
        <v>443</v>
      </c>
      <c r="E636" s="20">
        <v>16</v>
      </c>
      <c r="F636" s="21">
        <v>56</v>
      </c>
      <c r="G636" s="21" t="s">
        <v>154</v>
      </c>
      <c r="H636" s="21">
        <v>9.2999999999999999E-2</v>
      </c>
      <c r="I636" s="68">
        <f>MAX('Max rate concentrations'!$G$3:$G$368)</f>
        <v>45</v>
      </c>
      <c r="J636" s="68">
        <f>MAX('Max rate concentrations'!Z:Z)</f>
        <v>21</v>
      </c>
      <c r="K636" s="70">
        <f t="shared" si="68"/>
        <v>5.3270509076829242</v>
      </c>
      <c r="L636" s="70">
        <f t="shared" si="69"/>
        <v>2.4859570902520312</v>
      </c>
      <c r="M636" s="70">
        <f>IF((((0.326*F636^0.818)-(0.398*F636^0.85)/(1-H636)*H636)*(MAX('Max rate concentrations'!$P$3:$P$368)))/F636&gt;0, (((0.326*F636^0.818)-(0.398*F636^0.85)/(1-H636)*H636)*(MAX('Max rate concentrations'!$P$3:$P$368)))/F636, 0)</f>
        <v>0.11703048553048123</v>
      </c>
      <c r="N636" s="70">
        <f>IF((((0.326*F636^0.818)-(0.398*F636^0.85)/(1-H636)*H636)*(MAX('Max rate concentrations'!$Q$3:$Q$368)))/F636&gt; 0, (((0.326*F636^0.818)-(0.398*F636^0.85)/(1-H636)*H636)*(MAX('Max rate concentrations'!$Q$3:$Q$368)))/F636, 0)</f>
        <v>0.4456583771452714</v>
      </c>
      <c r="O636" s="70">
        <f>((MAX('Max rate concentrations'!$F$3:$F$368))*0.62*6.01*8*(12.3*F636^0.65)*0.079*0.1/F636)*inputs!$E$73/inputs!$E$74</f>
        <v>66.169136532460627</v>
      </c>
      <c r="P636" s="70">
        <f>((MAX('Max rate concentrations'!Y:Y))*0.62*6.01*8*(12.3*F636^0.65)*0.079*0.1/F636)*inputs!$E$73/inputs!$E$74</f>
        <v>22.056378844153542</v>
      </c>
      <c r="Q636" s="70">
        <f>(inputs!$C$18*11.2*(12.3*F636^0.65)*0.5/F636)*inputs!$E$73/inputs!$E$74</f>
        <v>11.655381308293533</v>
      </c>
      <c r="R636" s="60">
        <f>(60*379*((F636/1000)^0.8)*3*24*(MAX('Max rate concentrations'!$R$3:$R$368))/F636)*(inputs!$E$73/inputs!$E$75)</f>
        <v>1.9646767370453896E-2</v>
      </c>
      <c r="S636" s="60">
        <f>(IF(inputs!$C$17="aerial",((0.025*0.112*inputs!$C$18/3.3)*(3*60*379*((F636/1000)^0.8))*MAX(inputs!$I$14:$I$16))/F636,((0.0083*0.112*inputs!$C$18/1)*(3*60*379*((F636/1000)^0.8))*MAX(inputs!$I$14:$I$16))/F636))*(inputs!E$75/inputs!$E$73)</f>
        <v>0.10835312911222214</v>
      </c>
      <c r="T636" s="63">
        <f>IF((((inputs!$P$13/(V636/MAX(K636:S636)))^(1/inputs!$O$13))-1)/inputs!$N$13&lt;0, 0, IF((((inputs!$P$13/(V636/MAX(K636:S636)))^(1/inputs!$O$13))-1)/inputs!$N$13&lt;inputs!$I$17, (((inputs!$P$13/(V636/MAX(K636:S636)))^(1/inputs!$O$13))-1)/inputs!$N$13, inputs!$I$17))</f>
        <v>93.704718208876855</v>
      </c>
      <c r="U636" s="63">
        <f>IF((((inputs!$P$13/(X636/MAX(K636:S636)))^(1/inputs!$O$13))-1)/inputs!$N$13&lt;0, 0, IF((((inputs!$P$13/(X636/MAX(K636:S636)))^(1/inputs!$O$13))-1)/inputs!$N$13&lt;inputs!$I$17, (((inputs!$P$13/(X636/MAX(K636:S636)))^(1/inputs!$O$13))-1)/inputs!$N$13, inputs!$I$17))</f>
        <v>0</v>
      </c>
      <c r="V636" s="54">
        <f>inputs!$E$70*(inputs!$F$70/F636)^(0.25)</f>
        <v>1.83987131815159</v>
      </c>
      <c r="W636" s="54">
        <f>inputs!$E$76*(inputs!$F$76/F636)^(0.25)</f>
        <v>0.55339859052946638</v>
      </c>
      <c r="X636" s="54">
        <f>inputs!$E$72*(inputs!$F$72/F636)^(0.25)</f>
        <v>81.17079344786427</v>
      </c>
      <c r="Y636" s="54" t="s">
        <v>13</v>
      </c>
      <c r="Z636" s="106">
        <f t="shared" si="66"/>
        <v>35.964002416721648</v>
      </c>
      <c r="AA636" s="106">
        <f t="shared" si="67"/>
        <v>119.5686755709895</v>
      </c>
    </row>
    <row r="637" spans="1:27" ht="26.4" x14ac:dyDescent="0.25">
      <c r="A637" s="55" t="s">
        <v>578</v>
      </c>
      <c r="B637" s="49" t="s">
        <v>579</v>
      </c>
      <c r="C637" s="21" t="s">
        <v>61</v>
      </c>
      <c r="D637" s="20" t="s">
        <v>443</v>
      </c>
      <c r="E637" s="20">
        <v>43</v>
      </c>
      <c r="F637" s="21">
        <v>236.4</v>
      </c>
      <c r="G637" s="21" t="s">
        <v>152</v>
      </c>
      <c r="H637" s="21">
        <v>0.77</v>
      </c>
      <c r="I637" s="68">
        <f>MAX('Max rate concentrations'!$G$3:$G$368)</f>
        <v>45</v>
      </c>
      <c r="J637" s="68">
        <f>MAX('Max rate concentrations'!Z:Z)</f>
        <v>21</v>
      </c>
      <c r="K637" s="70">
        <f t="shared" si="68"/>
        <v>11.211558311804747</v>
      </c>
      <c r="L637" s="70">
        <f t="shared" si="69"/>
        <v>5.2320605455088813</v>
      </c>
      <c r="M637" s="70">
        <f>IF((((0.326*F637^0.818)-(0.398*F637^0.85)/(1-H637)*H637)*(MAX('Max rate concentrations'!$P$3:$P$368)))/F637&gt;0, (((0.326*F637^0.818)-(0.398*F637^0.85)/(1-H637)*H637)*(MAX('Max rate concentrations'!$P$3:$P$368)))/F637, 0)</f>
        <v>0</v>
      </c>
      <c r="N637" s="70">
        <f>IF((((0.326*F637^0.818)-(0.398*F637^0.85)/(1-H637)*H637)*(MAX('Max rate concentrations'!$Q$3:$Q$368)))/F637&gt; 0, (((0.326*F637^0.818)-(0.398*F637^0.85)/(1-H637)*H637)*(MAX('Max rate concentrations'!$Q$3:$Q$368)))/F637, 0)</f>
        <v>0</v>
      </c>
      <c r="O637" s="70">
        <f>((MAX('Max rate concentrations'!$F$3:$F$368))*0.62*6.01*8*(12.3*F637^0.65)*0.079*0.1/F637)*inputs!$E$73/inputs!$E$74</f>
        <v>39.970967597751986</v>
      </c>
      <c r="P637" s="70">
        <f>((MAX('Max rate concentrations'!Y:Y))*0.62*6.01*8*(12.3*F637^0.65)*0.079*0.1/F637)*inputs!$E$73/inputs!$E$74</f>
        <v>13.323655865917331</v>
      </c>
      <c r="Q637" s="70">
        <f>(inputs!$C$18*11.2*(12.3*F637^0.65)*0.5/F637)*inputs!$E$73/inputs!$E$74</f>
        <v>7.0406974161541243</v>
      </c>
      <c r="R637" s="60">
        <f>(60*379*((F637/1000)^0.8)*3*24*(MAX('Max rate concentrations'!$R$3:$R$368))/F637)*(inputs!$E$73/inputs!$E$75)</f>
        <v>1.4729880171032687E-2</v>
      </c>
      <c r="S637" s="60">
        <f>(IF(inputs!$C$17="aerial",((0.025*0.112*inputs!$C$18/3.3)*(3*60*379*((F637/1000)^0.8))*MAX(inputs!$I$14:$I$16))/F637,((0.0083*0.112*inputs!$C$18/1)*(3*60*379*((F637/1000)^0.8))*MAX(inputs!$I$14:$I$16))/F637))*(inputs!E$75/inputs!$E$73)</f>
        <v>8.1236194122178015E-2</v>
      </c>
      <c r="T637" s="63">
        <f>IF((((inputs!$P$13/(V637/MAX(K637:S637)))^(1/inputs!$O$13))-1)/inputs!$N$13&lt;0, 0, IF((((inputs!$P$13/(V637/MAX(K637:S637)))^(1/inputs!$O$13))-1)/inputs!$N$13&lt;inputs!$I$17, (((inputs!$P$13/(V637/MAX(K637:S637)))^(1/inputs!$O$13))-1)/inputs!$N$13, inputs!$I$17))</f>
        <v>82.828477691952656</v>
      </c>
      <c r="U637" s="63">
        <f>IF((((inputs!$P$13/(X637/MAX(K637:S637)))^(1/inputs!$O$13))-1)/inputs!$N$13&lt;0, 0, IF((((inputs!$P$13/(X637/MAX(K637:S637)))^(1/inputs!$O$13))-1)/inputs!$N$13&lt;inputs!$I$17, (((inputs!$P$13/(X637/MAX(K637:S637)))^(1/inputs!$O$13))-1)/inputs!$N$13, inputs!$I$17))</f>
        <v>0</v>
      </c>
      <c r="V637" s="54">
        <f>inputs!$E$70*(inputs!$F$70/F637)^(0.25)</f>
        <v>1.2835789548257144</v>
      </c>
      <c r="W637" s="54">
        <f>inputs!$E$76*(inputs!$F$76/F637)^(0.25)</f>
        <v>0.38607633991895873</v>
      </c>
      <c r="X637" s="54">
        <f>inputs!$E$72*(inputs!$F$72/F637)^(0.25)</f>
        <v>56.628483301134466</v>
      </c>
      <c r="Y637" s="54" t="s">
        <v>13</v>
      </c>
      <c r="Z637" s="106">
        <f t="shared" si="66"/>
        <v>31.140248480608101</v>
      </c>
      <c r="AA637" s="106">
        <f t="shared" si="67"/>
        <v>103.53125396428668</v>
      </c>
    </row>
    <row r="638" spans="1:27" ht="26.4" x14ac:dyDescent="0.25">
      <c r="A638" s="55" t="s">
        <v>578</v>
      </c>
      <c r="B638" s="49" t="s">
        <v>579</v>
      </c>
      <c r="C638" s="21" t="s">
        <v>61</v>
      </c>
      <c r="D638" s="20" t="s">
        <v>443</v>
      </c>
      <c r="E638" s="20">
        <v>43</v>
      </c>
      <c r="F638" s="21">
        <v>236.4</v>
      </c>
      <c r="G638" s="21" t="s">
        <v>580</v>
      </c>
      <c r="H638" s="21">
        <v>0.85</v>
      </c>
      <c r="I638" s="68">
        <f>MAX('Max rate concentrations'!$F$3:$F$368)</f>
        <v>405</v>
      </c>
      <c r="J638" s="68">
        <f>MAX('Max rate concentrations'!Y:Y)</f>
        <v>135</v>
      </c>
      <c r="K638" s="70">
        <f t="shared" ref="K638:K669" si="70">(((0.621*F638^0.564)/(1-H638)))*I638/F638</f>
        <v>154.71950470290548</v>
      </c>
      <c r="L638" s="70">
        <f t="shared" ref="L638:L669" si="71">(((0.621*F638^0.564)/(1-H638)))*J638/F638</f>
        <v>51.573168234301825</v>
      </c>
      <c r="M638" s="70">
        <f>IF((((0.326*F638^0.818)-(0.398*F638^0.85)/(1-H638)*H638)*(MAX('Max rate concentrations'!$P$3:$P$368)))/F638&gt;0, (((0.326*F638^0.818)-(0.398*F638^0.85)/(1-H638)*H638)*(MAX('Max rate concentrations'!$P$3:$P$368)))/F638, 0)</f>
        <v>0</v>
      </c>
      <c r="N638" s="70">
        <f>IF((((0.326*F638^0.818)-(0.398*F638^0.85)/(1-H638)*H638)*(MAX('Max rate concentrations'!$Q$3:$Q$368)))/F638&gt; 0, (((0.326*F638^0.818)-(0.398*F638^0.85)/(1-H638)*H638)*(MAX('Max rate concentrations'!$Q$3:$Q$368)))/F638, 0)</f>
        <v>0</v>
      </c>
      <c r="O638" s="70">
        <f>((MAX('Max rate concentrations'!$F$3:$F$368))*0.62*6.01*8*(12.3*F638^0.65)*0.079*0.1/F638)*inputs!$E$73/inputs!$E$74</f>
        <v>39.970967597751986</v>
      </c>
      <c r="P638" s="70">
        <f>((MAX('Max rate concentrations'!Y:Y))*0.62*6.01*8*(12.3*F638^0.65)*0.079*0.1/F638)*inputs!$E$73/inputs!$E$74</f>
        <v>13.323655865917331</v>
      </c>
      <c r="Q638" s="70">
        <f>(inputs!$C$18*11.2*(12.3*F638^0.65)*0.5/F638)*inputs!$E$73/inputs!$E$74</f>
        <v>7.0406974161541243</v>
      </c>
      <c r="R638" s="60">
        <f>(60*379*((F638/1000)^0.8)*3*24*(MAX('Max rate concentrations'!$R$3:$R$368))/F638)*(inputs!$E$73/inputs!$E$75)</f>
        <v>1.4729880171032687E-2</v>
      </c>
      <c r="S638" s="60">
        <f>(IF(inputs!$C$17="aerial",((0.025*0.112*inputs!$C$18/3.3)*(3*60*379*((F638/1000)^0.8))*MAX(inputs!$I$14:$I$16))/F638,((0.0083*0.112*inputs!$C$18/1)*(3*60*379*((F638/1000)^0.8))*MAX(inputs!$I$14:$I$16))/F638))*(inputs!E$75/inputs!$E$73)</f>
        <v>8.1236194122178015E-2</v>
      </c>
      <c r="T638" s="63">
        <f>IF((((inputs!$P$13/(V638/MAX(K638:S638)))^(1/inputs!$O$13))-1)/inputs!$N$13&lt;0, 0, IF((((inputs!$P$13/(V638/MAX(K638:S638)))^(1/inputs!$O$13))-1)/inputs!$N$13&lt;inputs!$I$17, (((inputs!$P$13/(V638/MAX(K638:S638)))^(1/inputs!$O$13))-1)/inputs!$N$13, inputs!$I$17))</f>
        <v>257.85648557098284</v>
      </c>
      <c r="U638" s="63">
        <f>IF((((inputs!$P$13/(X638/MAX(K638:S638)))^(1/inputs!$O$13))-1)/inputs!$N$13&lt;0, 0, IF((((inputs!$P$13/(X638/MAX(K638:S638)))^(1/inputs!$O$13))-1)/inputs!$N$13&lt;inputs!$I$17, (((inputs!$P$13/(X638/MAX(K638:S638)))^(1/inputs!$O$13))-1)/inputs!$N$13, inputs!$I$17))</f>
        <v>7.0794704200675147</v>
      </c>
      <c r="V638" s="54">
        <f>inputs!$E$70*(inputs!$F$70/F638)^(0.25)</f>
        <v>1.2835789548257144</v>
      </c>
      <c r="W638" s="54">
        <f>inputs!$E$76*(inputs!$F$76/F638)^(0.25)</f>
        <v>0.38607633991895873</v>
      </c>
      <c r="X638" s="54">
        <f>inputs!$E$72*(inputs!$F$72/F638)^(0.25)</f>
        <v>56.628483301134466</v>
      </c>
      <c r="Y638" s="54" t="s">
        <v>13</v>
      </c>
      <c r="Z638" s="106">
        <f t="shared" si="66"/>
        <v>120.53758292096137</v>
      </c>
      <c r="AA638" s="106">
        <f t="shared" si="67"/>
        <v>400.74847563925476</v>
      </c>
    </row>
    <row r="639" spans="1:27" ht="26.4" x14ac:dyDescent="0.25">
      <c r="A639" s="55" t="s">
        <v>578</v>
      </c>
      <c r="B639" s="49" t="s">
        <v>579</v>
      </c>
      <c r="C639" s="21" t="s">
        <v>61</v>
      </c>
      <c r="D639" s="20" t="s">
        <v>443</v>
      </c>
      <c r="E639" s="20">
        <v>43</v>
      </c>
      <c r="F639" s="21">
        <v>236.4</v>
      </c>
      <c r="G639" s="21" t="s">
        <v>581</v>
      </c>
      <c r="H639" s="21">
        <v>6.3E-2</v>
      </c>
      <c r="I639" s="68">
        <f>MAX('Max rate concentrations'!$E$3:$E$368)</f>
        <v>330</v>
      </c>
      <c r="J639" s="68">
        <f>MAX('Max rate concentrations'!X:X)</f>
        <v>108</v>
      </c>
      <c r="K639" s="70">
        <f t="shared" si="70"/>
        <v>20.181602653053009</v>
      </c>
      <c r="L639" s="70">
        <f t="shared" si="71"/>
        <v>6.6048881409991669</v>
      </c>
      <c r="M639" s="70">
        <f>IF((((0.326*F639^0.818)-(0.398*F639^0.85)/(1-H639)*H639)*(MAX('Max rate concentrations'!$P$3:$P$368)))/F639&gt;0, (((0.326*F639^0.818)-(0.398*F639^0.85)/(1-H639)*H639)*(MAX('Max rate concentrations'!$P$3:$P$368)))/F639, 0)</f>
        <v>9.4730869307970353E-2</v>
      </c>
      <c r="N639" s="70">
        <f>IF((((0.326*F639^0.818)-(0.398*F639^0.85)/(1-H639)*H639)*(MAX('Max rate concentrations'!$Q$3:$Q$368)))/F639&gt; 0, (((0.326*F639^0.818)-(0.398*F639^0.85)/(1-H639)*H639)*(MAX('Max rate concentrations'!$Q$3:$Q$368)))/F639, 0)</f>
        <v>0.3607402403739926</v>
      </c>
      <c r="O639" s="70">
        <f>((MAX('Max rate concentrations'!$F$3:$F$368))*0.62*6.01*8*(12.3*F639^0.65)*0.079*0.1/F639)*inputs!$E$73/inputs!$E$74</f>
        <v>39.970967597751986</v>
      </c>
      <c r="P639" s="70">
        <f>((MAX('Max rate concentrations'!Y:Y))*0.62*6.01*8*(12.3*F639^0.65)*0.079*0.1/F639)*inputs!$E$73/inputs!$E$74</f>
        <v>13.323655865917331</v>
      </c>
      <c r="Q639" s="70">
        <f>(inputs!$C$18*11.2*(12.3*F639^0.65)*0.5/F639)*inputs!$E$73/inputs!$E$74</f>
        <v>7.0406974161541243</v>
      </c>
      <c r="R639" s="60">
        <f>(60*379*((F639/1000)^0.8)*3*24*(MAX('Max rate concentrations'!$R$3:$R$368))/F639)*(inputs!$E$73/inputs!$E$75)</f>
        <v>1.4729880171032687E-2</v>
      </c>
      <c r="S639" s="60">
        <f>(IF(inputs!$C$17="aerial",((0.025*0.112*inputs!$C$18/3.3)*(3*60*379*((F639/1000)^0.8))*MAX(inputs!$I$14:$I$16))/F639,((0.0083*0.112*inputs!$C$18/1)*(3*60*379*((F639/1000)^0.8))*MAX(inputs!$I$14:$I$16))/F639))*(inputs!E$75/inputs!$E$73)</f>
        <v>8.1236194122178015E-2</v>
      </c>
      <c r="T639" s="63">
        <f>IF((((inputs!$P$13/(V639/MAX(K639:S639)))^(1/inputs!$O$13))-1)/inputs!$N$13&lt;0, 0, IF((((inputs!$P$13/(V639/MAX(K639:S639)))^(1/inputs!$O$13))-1)/inputs!$N$13&lt;inputs!$I$17, (((inputs!$P$13/(V639/MAX(K639:S639)))^(1/inputs!$O$13))-1)/inputs!$N$13, inputs!$I$17))</f>
        <v>82.828477691952656</v>
      </c>
      <c r="U639" s="63">
        <f>IF((((inputs!$P$13/(X639/MAX(K639:S639)))^(1/inputs!$O$13))-1)/inputs!$N$13&lt;0, 0, IF((((inputs!$P$13/(X639/MAX(K639:S639)))^(1/inputs!$O$13))-1)/inputs!$N$13&lt;inputs!$I$17, (((inputs!$P$13/(X639/MAX(K639:S639)))^(1/inputs!$O$13))-1)/inputs!$N$13, inputs!$I$17))</f>
        <v>0</v>
      </c>
      <c r="V639" s="54">
        <f>inputs!$E$70*(inputs!$F$70/F639)^(0.25)</f>
        <v>1.2835789548257144</v>
      </c>
      <c r="W639" s="54">
        <f>inputs!$E$76*(inputs!$F$76/F639)^(0.25)</f>
        <v>0.38607633991895873</v>
      </c>
      <c r="X639" s="54">
        <f>inputs!$E$72*(inputs!$F$72/F639)^(0.25)</f>
        <v>56.628483301134466</v>
      </c>
      <c r="Y639" s="54" t="s">
        <v>13</v>
      </c>
      <c r="Z639" s="106">
        <f t="shared" si="66"/>
        <v>31.140248480608101</v>
      </c>
      <c r="AA639" s="106">
        <f t="shared" si="67"/>
        <v>103.53125396428668</v>
      </c>
    </row>
    <row r="640" spans="1:27" ht="26.4" x14ac:dyDescent="0.25">
      <c r="A640" s="55" t="s">
        <v>578</v>
      </c>
      <c r="B640" s="49" t="s">
        <v>579</v>
      </c>
      <c r="C640" s="21" t="s">
        <v>61</v>
      </c>
      <c r="D640" s="20" t="s">
        <v>443</v>
      </c>
      <c r="E640" s="20">
        <v>43</v>
      </c>
      <c r="F640" s="21">
        <v>236.4</v>
      </c>
      <c r="G640" s="21" t="s">
        <v>154</v>
      </c>
      <c r="H640" s="21">
        <v>9.2999999999999999E-2</v>
      </c>
      <c r="I640" s="68">
        <f>MAX('Max rate concentrations'!$G$3:$G$368)</f>
        <v>45</v>
      </c>
      <c r="J640" s="68">
        <f>MAX('Max rate concentrations'!Z:Z)</f>
        <v>21</v>
      </c>
      <c r="K640" s="70">
        <f t="shared" si="70"/>
        <v>2.8430632984730888</v>
      </c>
      <c r="L640" s="70">
        <f t="shared" si="71"/>
        <v>1.3267628726207747</v>
      </c>
      <c r="M640" s="70">
        <f>IF((((0.326*F640^0.818)-(0.398*F640^0.85)/(1-H640)*H640)*(MAX('Max rate concentrations'!$P$3:$P$368)))/F640&gt;0, (((0.326*F640^0.818)-(0.398*F640^0.85)/(1-H640)*H640)*(MAX('Max rate concentrations'!$P$3:$P$368)))/F640, 0)</f>
        <v>8.9341068352878306E-2</v>
      </c>
      <c r="N640" s="70">
        <f>IF((((0.326*F640^0.818)-(0.398*F640^0.85)/(1-H640)*H640)*(MAX('Max rate concentrations'!$Q$3:$Q$368)))/F640&gt; 0, (((0.326*F640^0.818)-(0.398*F640^0.85)/(1-H640)*H640)*(MAX('Max rate concentrations'!$Q$3:$Q$368)))/F640, 0)</f>
        <v>0.34021558873391428</v>
      </c>
      <c r="O640" s="70">
        <f>((MAX('Max rate concentrations'!$F$3:$F$368))*0.62*6.01*8*(12.3*F640^0.65)*0.079*0.1/F640)*inputs!$E$73/inputs!$E$74</f>
        <v>39.970967597751986</v>
      </c>
      <c r="P640" s="70">
        <f>((MAX('Max rate concentrations'!Y:Y))*0.62*6.01*8*(12.3*F640^0.65)*0.079*0.1/F640)*inputs!$E$73/inputs!$E$74</f>
        <v>13.323655865917331</v>
      </c>
      <c r="Q640" s="70">
        <f>(inputs!$C$18*11.2*(12.3*F640^0.65)*0.5/F640)*inputs!$E$73/inputs!$E$74</f>
        <v>7.0406974161541243</v>
      </c>
      <c r="R640" s="60">
        <f>(60*379*((F640/1000)^0.8)*3*24*(MAX('Max rate concentrations'!$R$3:$R$368))/F640)*(inputs!$E$73/inputs!$E$75)</f>
        <v>1.4729880171032687E-2</v>
      </c>
      <c r="S640" s="60">
        <f>(IF(inputs!$C$17="aerial",((0.025*0.112*inputs!$C$18/3.3)*(3*60*379*((F640/1000)^0.8))*MAX(inputs!$I$14:$I$16))/F640,((0.0083*0.112*inputs!$C$18/1)*(3*60*379*((F640/1000)^0.8))*MAX(inputs!$I$14:$I$16))/F640))*(inputs!E$75/inputs!$E$73)</f>
        <v>8.1236194122178015E-2</v>
      </c>
      <c r="T640" s="63">
        <f>IF((((inputs!$P$13/(V640/MAX(K640:S640)))^(1/inputs!$O$13))-1)/inputs!$N$13&lt;0, 0, IF((((inputs!$P$13/(V640/MAX(K640:S640)))^(1/inputs!$O$13))-1)/inputs!$N$13&lt;inputs!$I$17, (((inputs!$P$13/(V640/MAX(K640:S640)))^(1/inputs!$O$13))-1)/inputs!$N$13, inputs!$I$17))</f>
        <v>82.828477691952656</v>
      </c>
      <c r="U640" s="63">
        <f>IF((((inputs!$P$13/(X640/MAX(K640:S640)))^(1/inputs!$O$13))-1)/inputs!$N$13&lt;0, 0, IF((((inputs!$P$13/(X640/MAX(K640:S640)))^(1/inputs!$O$13))-1)/inputs!$N$13&lt;inputs!$I$17, (((inputs!$P$13/(X640/MAX(K640:S640)))^(1/inputs!$O$13))-1)/inputs!$N$13, inputs!$I$17))</f>
        <v>0</v>
      </c>
      <c r="V640" s="54">
        <f>inputs!$E$70*(inputs!$F$70/F640)^(0.25)</f>
        <v>1.2835789548257144</v>
      </c>
      <c r="W640" s="54">
        <f>inputs!$E$76*(inputs!$F$76/F640)^(0.25)</f>
        <v>0.38607633991895873</v>
      </c>
      <c r="X640" s="54">
        <f>inputs!$E$72*(inputs!$F$72/F640)^(0.25)</f>
        <v>56.628483301134466</v>
      </c>
      <c r="Y640" s="54" t="s">
        <v>13</v>
      </c>
      <c r="Z640" s="106">
        <f t="shared" si="66"/>
        <v>31.140248480608101</v>
      </c>
      <c r="AA640" s="106">
        <f t="shared" si="67"/>
        <v>103.53125396428668</v>
      </c>
    </row>
    <row r="641" spans="1:27" x14ac:dyDescent="0.25">
      <c r="A641" s="55" t="s">
        <v>611</v>
      </c>
      <c r="B641" s="49" t="s">
        <v>612</v>
      </c>
      <c r="C641" s="21" t="s">
        <v>61</v>
      </c>
      <c r="D641" s="20" t="s">
        <v>443</v>
      </c>
      <c r="E641" s="20">
        <v>5210</v>
      </c>
      <c r="F641" s="21">
        <v>12</v>
      </c>
      <c r="G641" s="21" t="s">
        <v>142</v>
      </c>
      <c r="H641" s="21">
        <v>0.69</v>
      </c>
      <c r="I641" s="68">
        <f>MAX('Max rate concentrations'!$H$3:$H$368)</f>
        <v>282</v>
      </c>
      <c r="J641" s="68">
        <f>MAX('Max rate concentrations'!AA:AA)</f>
        <v>195</v>
      </c>
      <c r="K641" s="70">
        <f t="shared" si="70"/>
        <v>191.18595792105523</v>
      </c>
      <c r="L641" s="70">
        <f t="shared" si="71"/>
        <v>132.20305600924033</v>
      </c>
      <c r="M641" s="70">
        <f>IF((((0.326*F641^0.818)-(0.398*F641^0.85)/(1-H641)*H641)*(MAX('Max rate concentrations'!$P$3:$P$368)))/F641&gt;0, (((0.326*F641^0.818)-(0.398*F641^0.85)/(1-H641)*H641)*(MAX('Max rate concentrations'!$P$3:$P$368)))/F641, 0)</f>
        <v>0</v>
      </c>
      <c r="N641" s="70">
        <f>IF((((0.326*F641^0.818)-(0.398*F641^0.85)/(1-H641)*H641)*(MAX('Max rate concentrations'!$Q$3:$Q$368)))/F641&gt; 0, (((0.326*F641^0.818)-(0.398*F641^0.85)/(1-H641)*H641)*(MAX('Max rate concentrations'!$Q$3:$Q$368)))/F641, 0)</f>
        <v>0</v>
      </c>
      <c r="O641" s="70">
        <f>((MAX('Max rate concentrations'!$F$3:$F$368))*0.62*6.01*8*(12.3*F641^0.65)*0.079*0.1/F641)*inputs!$E$73/inputs!$E$74</f>
        <v>113.45087263972519</v>
      </c>
      <c r="P641" s="70">
        <f>((MAX('Max rate concentrations'!Y:Y))*0.62*6.01*8*(12.3*F641^0.65)*0.079*0.1/F641)*inputs!$E$73/inputs!$E$74</f>
        <v>37.816957546575082</v>
      </c>
      <c r="Q641" s="70">
        <f>(inputs!$C$18*11.2*(12.3*F641^0.65)*0.5/F641)*inputs!$E$73/inputs!$E$74</f>
        <v>19.983836115587753</v>
      </c>
      <c r="R641" s="60">
        <f>(60*379*((F641/1000)^0.8)*3*24*(MAX('Max rate concentrations'!$R$3:$R$368))/F641)*(inputs!$E$73/inputs!$E$75)</f>
        <v>2.6735755385671349E-2</v>
      </c>
      <c r="S641" s="60">
        <f>(IF(inputs!$C$17="aerial",((0.025*0.112*inputs!$C$18/3.3)*(3*60*379*((F641/1000)^0.8))*MAX(inputs!$I$14:$I$16))/F641,((0.0083*0.112*inputs!$C$18/1)*(3*60*379*((F641/1000)^0.8))*MAX(inputs!$I$14:$I$16))/F641))*(inputs!E$75/inputs!$E$73)</f>
        <v>0.14744933355158416</v>
      </c>
      <c r="T641" s="63">
        <f>IF((((inputs!$P$13/(V641/MAX(K641:S641)))^(1/inputs!$O$13))-1)/inputs!$N$13&lt;0, 0, IF((((inputs!$P$13/(V641/MAX(K641:S641)))^(1/inputs!$O$13))-1)/inputs!$N$13&lt;inputs!$I$17, (((inputs!$P$13/(V641/MAX(K641:S641)))^(1/inputs!$O$13))-1)/inputs!$N$13, inputs!$I$17))</f>
        <v>165.66435490148032</v>
      </c>
      <c r="U641" s="63">
        <f>IF((((inputs!$P$13/(X641/MAX(K641:S641)))^(1/inputs!$O$13))-1)/inputs!$N$13&lt;0, 0, IF((((inputs!$P$13/(X641/MAX(K641:S641)))^(1/inputs!$O$13))-1)/inputs!$N$13&lt;inputs!$I$17, (((inputs!$P$13/(X641/MAX(K641:S641)))^(1/inputs!$O$13))-1)/inputs!$N$13, inputs!$I$17))</f>
        <v>2.7667932705684848</v>
      </c>
      <c r="V641" s="54">
        <f>inputs!$E$70*(inputs!$F$70/F641)^(0.25)</f>
        <v>2.7042020921926482</v>
      </c>
      <c r="W641" s="54">
        <f>inputs!$E$76*(inputs!$F$76/F641)^(0.25)</f>
        <v>0.81337298514425049</v>
      </c>
      <c r="X641" s="54">
        <f>inputs!$E$72*(inputs!$F$72/F641)^(0.25)</f>
        <v>119.30303347908743</v>
      </c>
      <c r="Y641" s="54" t="s">
        <v>13</v>
      </c>
      <c r="Z641" s="106">
        <f t="shared" si="66"/>
        <v>70.699582132944784</v>
      </c>
      <c r="AA641" s="106">
        <f t="shared" si="67"/>
        <v>235.05324299300239</v>
      </c>
    </row>
    <row r="642" spans="1:27" x14ac:dyDescent="0.25">
      <c r="A642" s="55" t="s">
        <v>611</v>
      </c>
      <c r="B642" s="49" t="s">
        <v>612</v>
      </c>
      <c r="C642" s="21" t="s">
        <v>61</v>
      </c>
      <c r="D642" s="20" t="s">
        <v>443</v>
      </c>
      <c r="E642" s="20">
        <v>5210</v>
      </c>
      <c r="F642" s="21">
        <v>12</v>
      </c>
      <c r="G642" s="21" t="s">
        <v>152</v>
      </c>
      <c r="H642" s="21">
        <v>0.77</v>
      </c>
      <c r="I642" s="68">
        <f>MAX('Max rate concentrations'!$G$3:$G$368)</f>
        <v>45</v>
      </c>
      <c r="J642" s="68">
        <f>MAX('Max rate concentrations'!Z:Z)</f>
        <v>21</v>
      </c>
      <c r="K642" s="70">
        <f t="shared" si="70"/>
        <v>41.120014076452684</v>
      </c>
      <c r="L642" s="70">
        <f t="shared" si="71"/>
        <v>19.189339902344585</v>
      </c>
      <c r="M642" s="70">
        <f>IF((((0.326*F642^0.818)-(0.398*F642^0.85)/(1-H642)*H642)*(MAX('Max rate concentrations'!$P$3:$P$368)))/F642&gt;0, (((0.326*F642^0.818)-(0.398*F642^0.85)/(1-H642)*H642)*(MAX('Max rate concentrations'!$P$3:$P$368)))/F642, 0)</f>
        <v>0</v>
      </c>
      <c r="N642" s="70">
        <f>IF((((0.326*F642^0.818)-(0.398*F642^0.85)/(1-H642)*H642)*(MAX('Max rate concentrations'!$Q$3:$Q$368)))/F642&gt; 0, (((0.326*F642^0.818)-(0.398*F642^0.85)/(1-H642)*H642)*(MAX('Max rate concentrations'!$Q$3:$Q$368)))/F642, 0)</f>
        <v>0</v>
      </c>
      <c r="O642" s="70">
        <f>((MAX('Max rate concentrations'!$F$3:$F$368))*0.62*6.01*8*(12.3*F642^0.65)*0.079*0.1/F642)*inputs!$E$73/inputs!$E$74</f>
        <v>113.45087263972519</v>
      </c>
      <c r="P642" s="70">
        <f>((MAX('Max rate concentrations'!Y:Y))*0.62*6.01*8*(12.3*F642^0.65)*0.079*0.1/F642)*inputs!$E$73/inputs!$E$74</f>
        <v>37.816957546575082</v>
      </c>
      <c r="Q642" s="70">
        <f>(inputs!$C$18*11.2*(12.3*F642^0.65)*0.5/F642)*inputs!$E$73/inputs!$E$74</f>
        <v>19.983836115587753</v>
      </c>
      <c r="R642" s="60">
        <f>(60*379*((F642/1000)^0.8)*3*24*(MAX('Max rate concentrations'!$R$3:$R$368))/F642)*(inputs!$E$73/inputs!$E$75)</f>
        <v>2.6735755385671349E-2</v>
      </c>
      <c r="S642" s="60">
        <f>(IF(inputs!$C$17="aerial",((0.025*0.112*inputs!$C$18/3.3)*(3*60*379*((F642/1000)^0.8))*MAX(inputs!$I$14:$I$16))/F642,((0.0083*0.112*inputs!$C$18/1)*(3*60*379*((F642/1000)^0.8))*MAX(inputs!$I$14:$I$16))/F642))*(inputs!E$75/inputs!$E$73)</f>
        <v>0.14744933355158416</v>
      </c>
      <c r="T642" s="63">
        <f>IF((((inputs!$P$13/(V642/MAX(K642:S642)))^(1/inputs!$O$13))-1)/inputs!$N$13&lt;0, 0, IF((((inputs!$P$13/(V642/MAX(K642:S642)))^(1/inputs!$O$13))-1)/inputs!$N$13&lt;inputs!$I$17, (((inputs!$P$13/(V642/MAX(K642:S642)))^(1/inputs!$O$13))-1)/inputs!$N$13, inputs!$I$17))</f>
        <v>106.82929344674648</v>
      </c>
      <c r="U642" s="63">
        <f>IF((((inputs!$P$13/(X642/MAX(K642:S642)))^(1/inputs!$O$13))-1)/inputs!$N$13&lt;0, 0, IF((((inputs!$P$13/(X642/MAX(K642:S642)))^(1/inputs!$O$13))-1)/inputs!$N$13&lt;inputs!$I$17, (((inputs!$P$13/(X642/MAX(K642:S642)))^(1/inputs!$O$13))-1)/inputs!$N$13, inputs!$I$17))</f>
        <v>1.4534229774466291E-2</v>
      </c>
      <c r="V642" s="54">
        <f>inputs!$E$70*(inputs!$F$70/F642)^(0.25)</f>
        <v>2.7042020921926482</v>
      </c>
      <c r="W642" s="54">
        <f>inputs!$E$76*(inputs!$F$76/F642)^(0.25)</f>
        <v>0.81337298514425049</v>
      </c>
      <c r="X642" s="54">
        <f>inputs!$E$72*(inputs!$F$72/F642)^(0.25)</f>
        <v>119.30303347908743</v>
      </c>
      <c r="Y642" s="54" t="s">
        <v>13</v>
      </c>
      <c r="Z642" s="106">
        <f t="shared" si="66"/>
        <v>41.953548134317067</v>
      </c>
      <c r="AA642" s="106">
        <f t="shared" si="67"/>
        <v>139.48197777874913</v>
      </c>
    </row>
    <row r="643" spans="1:27" ht="26.4" x14ac:dyDescent="0.25">
      <c r="A643" s="55" t="s">
        <v>611</v>
      </c>
      <c r="B643" s="49" t="s">
        <v>612</v>
      </c>
      <c r="C643" s="21" t="s">
        <v>61</v>
      </c>
      <c r="D643" s="20" t="s">
        <v>443</v>
      </c>
      <c r="E643" s="20">
        <v>5210</v>
      </c>
      <c r="F643" s="21">
        <v>12</v>
      </c>
      <c r="G643" s="21" t="s">
        <v>580</v>
      </c>
      <c r="H643" s="21">
        <v>0.85</v>
      </c>
      <c r="I643" s="68">
        <f>MAX('Max rate concentrations'!$F$3:$F$368)</f>
        <v>405</v>
      </c>
      <c r="J643" s="68">
        <f>MAX('Max rate concentrations'!Y:Y)</f>
        <v>135</v>
      </c>
      <c r="K643" s="70">
        <f t="shared" si="70"/>
        <v>567.45619425504685</v>
      </c>
      <c r="L643" s="70">
        <f t="shared" si="71"/>
        <v>189.15206475168227</v>
      </c>
      <c r="M643" s="70">
        <f>IF((((0.326*F643^0.818)-(0.398*F643^0.85)/(1-H643)*H643)*(MAX('Max rate concentrations'!$P$3:$P$368)))/F643&gt;0, (((0.326*F643^0.818)-(0.398*F643^0.85)/(1-H643)*H643)*(MAX('Max rate concentrations'!$P$3:$P$368)))/F643, 0)</f>
        <v>0</v>
      </c>
      <c r="N643" s="70">
        <f>IF((((0.326*F643^0.818)-(0.398*F643^0.85)/(1-H643)*H643)*(MAX('Max rate concentrations'!$Q$3:$Q$368)))/F643&gt; 0, (((0.326*F643^0.818)-(0.398*F643^0.85)/(1-H643)*H643)*(MAX('Max rate concentrations'!$Q$3:$Q$368)))/F643, 0)</f>
        <v>0</v>
      </c>
      <c r="O643" s="70">
        <f>((MAX('Max rate concentrations'!$F$3:$F$368))*0.62*6.01*8*(12.3*F643^0.65)*0.079*0.1/F643)*inputs!$E$73/inputs!$E$74</f>
        <v>113.45087263972519</v>
      </c>
      <c r="P643" s="70">
        <f>((MAX('Max rate concentrations'!Y:Y))*0.62*6.01*8*(12.3*F643^0.65)*0.079*0.1/F643)*inputs!$E$73/inputs!$E$74</f>
        <v>37.816957546575082</v>
      </c>
      <c r="Q643" s="70">
        <f>(inputs!$C$18*11.2*(12.3*F643^0.65)*0.5/F643)*inputs!$E$73/inputs!$E$74</f>
        <v>19.983836115587753</v>
      </c>
      <c r="R643" s="60">
        <f>(60*379*((F643/1000)^0.8)*3*24*(MAX('Max rate concentrations'!$R$3:$R$368))/F643)*(inputs!$E$73/inputs!$E$75)</f>
        <v>2.6735755385671349E-2</v>
      </c>
      <c r="S643" s="60">
        <f>(IF(inputs!$C$17="aerial",((0.025*0.112*inputs!$C$18/3.3)*(3*60*379*((F643/1000)^0.8))*MAX(inputs!$I$14:$I$16))/F643,((0.0083*0.112*inputs!$C$18/1)*(3*60*379*((F643/1000)^0.8))*MAX(inputs!$I$14:$I$16))/F643))*(inputs!E$75/inputs!$E$73)</f>
        <v>0.14744933355158416</v>
      </c>
      <c r="T643" s="63">
        <f>IF((((inputs!$P$13/(V643/MAX(K643:S643)))^(1/inputs!$O$13))-1)/inputs!$N$13&lt;0, 0, IF((((inputs!$P$13/(V643/MAX(K643:S643)))^(1/inputs!$O$13))-1)/inputs!$N$13&lt;inputs!$I$17, (((inputs!$P$13/(V643/MAX(K643:S643)))^(1/inputs!$O$13))-1)/inputs!$N$13, inputs!$I$17))</f>
        <v>406.67852742163234</v>
      </c>
      <c r="U643" s="63">
        <f>IF((((inputs!$P$13/(X643/MAX(K643:S643)))^(1/inputs!$O$13))-1)/inputs!$N$13&lt;0, 0, IF((((inputs!$P$13/(X643/MAX(K643:S643)))^(1/inputs!$O$13))-1)/inputs!$N$13&lt;inputs!$I$17, (((inputs!$P$13/(X643/MAX(K643:S643)))^(1/inputs!$O$13))-1)/inputs!$N$13, inputs!$I$17))</f>
        <v>14.041251372196015</v>
      </c>
      <c r="V643" s="54">
        <f>inputs!$E$70*(inputs!$F$70/F643)^(0.25)</f>
        <v>2.7042020921926482</v>
      </c>
      <c r="W643" s="54">
        <f>inputs!$E$76*(inputs!$F$76/F643)^(0.25)</f>
        <v>0.81337298514425049</v>
      </c>
      <c r="X643" s="54">
        <f>inputs!$E$72*(inputs!$F$72/F643)^(0.25)</f>
        <v>119.30303347908743</v>
      </c>
      <c r="Y643" s="54" t="s">
        <v>13</v>
      </c>
      <c r="Z643" s="106">
        <f t="shared" si="66"/>
        <v>209.8423767562935</v>
      </c>
      <c r="AA643" s="106">
        <f t="shared" si="67"/>
        <v>697.65802973454959</v>
      </c>
    </row>
    <row r="644" spans="1:27" x14ac:dyDescent="0.25">
      <c r="A644" s="55" t="s">
        <v>611</v>
      </c>
      <c r="B644" s="49" t="s">
        <v>612</v>
      </c>
      <c r="C644" s="21" t="s">
        <v>61</v>
      </c>
      <c r="D644" s="20" t="s">
        <v>443</v>
      </c>
      <c r="E644" s="20">
        <v>5210</v>
      </c>
      <c r="F644" s="21">
        <v>12</v>
      </c>
      <c r="G644" s="21" t="s">
        <v>154</v>
      </c>
      <c r="H644" s="21">
        <v>9.2999999999999999E-2</v>
      </c>
      <c r="I644" s="68">
        <f>MAX('Max rate concentrations'!$G$3:$G$368)</f>
        <v>45</v>
      </c>
      <c r="J644" s="68">
        <f>MAX('Max rate concentrations'!Z:Z)</f>
        <v>21</v>
      </c>
      <c r="K644" s="70">
        <f t="shared" si="70"/>
        <v>10.42734645819638</v>
      </c>
      <c r="L644" s="70">
        <f t="shared" si="71"/>
        <v>4.8660950138249772</v>
      </c>
      <c r="M644" s="70">
        <f>IF((((0.326*F644^0.818)-(0.398*F644^0.85)/(1-H644)*H644)*(MAX('Max rate concentrations'!$P$3:$P$368)))/F644&gt;0, (((0.326*F644^0.818)-(0.398*F644^0.85)/(1-H644)*H644)*(MAX('Max rate concentrations'!$P$3:$P$368)))/F644, 0)</f>
        <v>0.15613948637630762</v>
      </c>
      <c r="N644" s="70">
        <f>IF((((0.326*F644^0.818)-(0.398*F644^0.85)/(1-H644)*H644)*(MAX('Max rate concentrations'!$Q$3:$Q$368)))/F644&gt; 0, (((0.326*F644^0.818)-(0.398*F644^0.85)/(1-H644)*H644)*(MAX('Max rate concentrations'!$Q$3:$Q$368)))/F644, 0)</f>
        <v>0.59458755375869743</v>
      </c>
      <c r="O644" s="70">
        <f>((MAX('Max rate concentrations'!$F$3:$F$368))*0.62*6.01*8*(12.3*F644^0.65)*0.079*0.1/F644)*inputs!$E$73/inputs!$E$74</f>
        <v>113.45087263972519</v>
      </c>
      <c r="P644" s="70">
        <f>((MAX('Max rate concentrations'!Y:Y))*0.62*6.01*8*(12.3*F644^0.65)*0.079*0.1/F644)*inputs!$E$73/inputs!$E$74</f>
        <v>37.816957546575082</v>
      </c>
      <c r="Q644" s="70">
        <f>(inputs!$C$18*11.2*(12.3*F644^0.65)*0.5/F644)*inputs!$E$73/inputs!$E$74</f>
        <v>19.983836115587753</v>
      </c>
      <c r="R644" s="60">
        <f>(60*379*((F644/1000)^0.8)*3*24*(MAX('Max rate concentrations'!$R$3:$R$368))/F644)*(inputs!$E$73/inputs!$E$75)</f>
        <v>2.6735755385671349E-2</v>
      </c>
      <c r="S644" s="60">
        <f>(IF(inputs!$C$17="aerial",((0.025*0.112*inputs!$C$18/3.3)*(3*60*379*((F644/1000)^0.8))*MAX(inputs!$I$14:$I$16))/F644,((0.0083*0.112*inputs!$C$18/1)*(3*60*379*((F644/1000)^0.8))*MAX(inputs!$I$14:$I$16))/F644))*(inputs!E$75/inputs!$E$73)</f>
        <v>0.14744933355158416</v>
      </c>
      <c r="T644" s="63">
        <f>IF((((inputs!$P$13/(V644/MAX(K644:S644)))^(1/inputs!$O$13))-1)/inputs!$N$13&lt;0, 0, IF((((inputs!$P$13/(V644/MAX(K644:S644)))^(1/inputs!$O$13))-1)/inputs!$N$13&lt;inputs!$I$17, (((inputs!$P$13/(V644/MAX(K644:S644)))^(1/inputs!$O$13))-1)/inputs!$N$13, inputs!$I$17))</f>
        <v>106.82929344674648</v>
      </c>
      <c r="U644" s="63">
        <f>IF((((inputs!$P$13/(X644/MAX(K644:S644)))^(1/inputs!$O$13))-1)/inputs!$N$13&lt;0, 0, IF((((inputs!$P$13/(X644/MAX(K644:S644)))^(1/inputs!$O$13))-1)/inputs!$N$13&lt;inputs!$I$17, (((inputs!$P$13/(X644/MAX(K644:S644)))^(1/inputs!$O$13))-1)/inputs!$N$13, inputs!$I$17))</f>
        <v>1.4534229774466291E-2</v>
      </c>
      <c r="V644" s="54">
        <f>inputs!$E$70*(inputs!$F$70/F644)^(0.25)</f>
        <v>2.7042020921926482</v>
      </c>
      <c r="W644" s="54">
        <f>inputs!$E$76*(inputs!$F$76/F644)^(0.25)</f>
        <v>0.81337298514425049</v>
      </c>
      <c r="X644" s="54">
        <f>inputs!$E$72*(inputs!$F$72/F644)^(0.25)</f>
        <v>119.30303347908743</v>
      </c>
      <c r="Y644" s="54" t="s">
        <v>13</v>
      </c>
      <c r="Z644" s="106">
        <f t="shared" ref="Z644:Z707" si="72">MAX(K644:S644)/V644</f>
        <v>41.953548134317067</v>
      </c>
      <c r="AA644" s="106">
        <f t="shared" ref="AA644:AA707" si="73">MAX(K644:S644)/W644</f>
        <v>139.48197777874913</v>
      </c>
    </row>
    <row r="645" spans="1:27" x14ac:dyDescent="0.25">
      <c r="A645" s="55" t="s">
        <v>568</v>
      </c>
      <c r="B645" s="49" t="s">
        <v>569</v>
      </c>
      <c r="C645" s="21" t="s">
        <v>61</v>
      </c>
      <c r="D645" s="20" t="s">
        <v>443</v>
      </c>
      <c r="E645" s="20">
        <v>59</v>
      </c>
      <c r="F645" s="21">
        <v>120</v>
      </c>
      <c r="G645" s="21" t="s">
        <v>169</v>
      </c>
      <c r="H645" s="21">
        <v>0.79</v>
      </c>
      <c r="I645" s="68">
        <f>MAX('Max rate concentrations'!$D$3:$D$368)</f>
        <v>720</v>
      </c>
      <c r="J645" s="68">
        <f>MAX('Max rate concentrations'!W:W)</f>
        <v>255</v>
      </c>
      <c r="K645" s="70">
        <f t="shared" si="70"/>
        <v>264.04732894185292</v>
      </c>
      <c r="L645" s="70">
        <f t="shared" si="71"/>
        <v>93.516762333572899</v>
      </c>
      <c r="M645" s="70">
        <f>IF((((0.326*F645^0.818)-(0.398*F645^0.85)/(1-H645)*H645)*(MAX('Max rate concentrations'!$P$3:$P$368)))/F645&gt;0, (((0.326*F645^0.818)-(0.398*F645^0.85)/(1-H645)*H645)*(MAX('Max rate concentrations'!$P$3:$P$368)))/F645, 0)</f>
        <v>0</v>
      </c>
      <c r="N645" s="70">
        <f>IF((((0.326*F645^0.818)-(0.398*F645^0.85)/(1-H645)*H645)*(MAX('Max rate concentrations'!$Q$3:$Q$368)))/F645&gt; 0, (((0.326*F645^0.818)-(0.398*F645^0.85)/(1-H645)*H645)*(MAX('Max rate concentrations'!$Q$3:$Q$368)))/F645, 0)</f>
        <v>0</v>
      </c>
      <c r="O645" s="70">
        <f>((MAX('Max rate concentrations'!$F$3:$F$368))*0.62*6.01*8*(12.3*F645^0.65)*0.079*0.1/F645)*inputs!$E$73/inputs!$E$74</f>
        <v>50.67664332337386</v>
      </c>
      <c r="P645" s="70">
        <f>((MAX('Max rate concentrations'!Y:Y))*0.62*6.01*8*(12.3*F645^0.65)*0.079*0.1/F645)*inputs!$E$73/inputs!$E$74</f>
        <v>16.892214441124622</v>
      </c>
      <c r="Q645" s="70">
        <f>(inputs!$C$18*11.2*(12.3*F645^0.65)*0.5/F645)*inputs!$E$73/inputs!$E$74</f>
        <v>8.9264517010668847</v>
      </c>
      <c r="R645" s="60">
        <f>(60*379*((F645/1000)^0.8)*3*24*(MAX('Max rate concentrations'!$R$3:$R$368))/F645)*(inputs!$E$73/inputs!$E$75)</f>
        <v>1.6869121220815221E-2</v>
      </c>
      <c r="S645" s="60">
        <f>(IF(inputs!$C$17="aerial",((0.025*0.112*inputs!$C$18/3.3)*(3*60*379*((F645/1000)^0.8))*MAX(inputs!$I$14:$I$16))/F645,((0.0083*0.112*inputs!$C$18/1)*(3*60*379*((F645/1000)^0.8))*MAX(inputs!$I$14:$I$16))/F645))*(inputs!E$75/inputs!$E$73)</f>
        <v>9.3034239943081826E-2</v>
      </c>
      <c r="T645" s="63">
        <f>IF((((inputs!$P$13/(V645/MAX(K645:S645)))^(1/inputs!$O$13))-1)/inputs!$N$13&lt;0, 0, IF((((inputs!$P$13/(V645/MAX(K645:S645)))^(1/inputs!$O$13))-1)/inputs!$N$13&lt;inputs!$I$17, (((inputs!$P$13/(V645/MAX(K645:S645)))^(1/inputs!$O$13))-1)/inputs!$N$13, inputs!$I$17))</f>
        <v>348.18726662439758</v>
      </c>
      <c r="U645" s="63">
        <f>IF((((inputs!$P$13/(X645/MAX(K645:S645)))^(1/inputs!$O$13))-1)/inputs!$N$13&lt;0, 0, IF((((inputs!$P$13/(X645/MAX(K645:S645)))^(1/inputs!$O$13))-1)/inputs!$N$13&lt;inputs!$I$17, (((inputs!$P$13/(X645/MAX(K645:S645)))^(1/inputs!$O$13))-1)/inputs!$N$13, inputs!$I$17))</f>
        <v>11.305075062420489</v>
      </c>
      <c r="V645" s="54">
        <f>inputs!$E$70*(inputs!$F$70/F645)^(0.25)</f>
        <v>1.5206845881061284</v>
      </c>
      <c r="W645" s="54">
        <f>inputs!$E$76*(inputs!$F$76/F645)^(0.25)</f>
        <v>0.45739324234004791</v>
      </c>
      <c r="X645" s="54">
        <f>inputs!$E$72*(inputs!$F$72/F645)^(0.25)</f>
        <v>67.089025945858609</v>
      </c>
      <c r="Y645" s="54" t="s">
        <v>13</v>
      </c>
      <c r="Z645" s="106">
        <f t="shared" si="72"/>
        <v>173.63714409093828</v>
      </c>
      <c r="AA645" s="106">
        <f t="shared" si="73"/>
        <v>577.28734161216039</v>
      </c>
    </row>
    <row r="646" spans="1:27" x14ac:dyDescent="0.25">
      <c r="A646" s="55" t="s">
        <v>568</v>
      </c>
      <c r="B646" s="49" t="s">
        <v>569</v>
      </c>
      <c r="C646" s="21" t="s">
        <v>61</v>
      </c>
      <c r="D646" s="20" t="s">
        <v>443</v>
      </c>
      <c r="E646" s="20">
        <v>59</v>
      </c>
      <c r="F646" s="21">
        <v>120</v>
      </c>
      <c r="G646" s="21" t="s">
        <v>158</v>
      </c>
      <c r="H646" s="21">
        <v>0.85</v>
      </c>
      <c r="I646" s="68">
        <f>MAX('Max rate concentrations'!$F$3:$F$368)</f>
        <v>405</v>
      </c>
      <c r="J646" s="68">
        <f>MAX('Max rate concentrations'!Y:Y)</f>
        <v>135</v>
      </c>
      <c r="K646" s="70">
        <f t="shared" si="70"/>
        <v>207.93727154170909</v>
      </c>
      <c r="L646" s="70">
        <f t="shared" si="71"/>
        <v>69.312423847236374</v>
      </c>
      <c r="M646" s="70">
        <f>IF((((0.326*F646^0.818)-(0.398*F646^0.85)/(1-H646)*H646)*(MAX('Max rate concentrations'!$P$3:$P$368)))/F646&gt;0, (((0.326*F646^0.818)-(0.398*F646^0.85)/(1-H646)*H646)*(MAX('Max rate concentrations'!$P$3:$P$368)))/F646, 0)</f>
        <v>0</v>
      </c>
      <c r="N646" s="70">
        <f>IF((((0.326*F646^0.818)-(0.398*F646^0.85)/(1-H646)*H646)*(MAX('Max rate concentrations'!$Q$3:$Q$368)))/F646&gt; 0, (((0.326*F646^0.818)-(0.398*F646^0.85)/(1-H646)*H646)*(MAX('Max rate concentrations'!$Q$3:$Q$368)))/F646, 0)</f>
        <v>0</v>
      </c>
      <c r="O646" s="70">
        <f>((MAX('Max rate concentrations'!$F$3:$F$368))*0.62*6.01*8*(12.3*F646^0.65)*0.079*0.1/F646)*inputs!$E$73/inputs!$E$74</f>
        <v>50.67664332337386</v>
      </c>
      <c r="P646" s="70">
        <f>((MAX('Max rate concentrations'!Y:Y))*0.62*6.01*8*(12.3*F646^0.65)*0.079*0.1/F646)*inputs!$E$73/inputs!$E$74</f>
        <v>16.892214441124622</v>
      </c>
      <c r="Q646" s="70">
        <f>(inputs!$C$18*11.2*(12.3*F646^0.65)*0.5/F646)*inputs!$E$73/inputs!$E$74</f>
        <v>8.9264517010668847</v>
      </c>
      <c r="R646" s="60">
        <f>(60*379*((F646/1000)^0.8)*3*24*(MAX('Max rate concentrations'!$R$3:$R$368))/F646)*(inputs!$E$73/inputs!$E$75)</f>
        <v>1.6869121220815221E-2</v>
      </c>
      <c r="S646" s="60">
        <f>(IF(inputs!$C$17="aerial",((0.025*0.112*inputs!$C$18/3.3)*(3*60*379*((F646/1000)^0.8))*MAX(inputs!$I$14:$I$16))/F646,((0.0083*0.112*inputs!$C$18/1)*(3*60*379*((F646/1000)^0.8))*MAX(inputs!$I$14:$I$16))/F646))*(inputs!E$75/inputs!$E$73)</f>
        <v>9.3034239943081826E-2</v>
      </c>
      <c r="T646" s="63">
        <f>IF((((inputs!$P$13/(V646/MAX(K646:S646)))^(1/inputs!$O$13))-1)/inputs!$N$13&lt;0, 0, IF((((inputs!$P$13/(V646/MAX(K646:S646)))^(1/inputs!$O$13))-1)/inputs!$N$13&lt;inputs!$I$17, (((inputs!$P$13/(V646/MAX(K646:S646)))^(1/inputs!$O$13))-1)/inputs!$N$13, inputs!$I$17))</f>
        <v>286.10287858720437</v>
      </c>
      <c r="U646" s="63">
        <f>IF((((inputs!$P$13/(X646/MAX(K646:S646)))^(1/inputs!$O$13))-1)/inputs!$N$13&lt;0, 0, IF((((inputs!$P$13/(X646/MAX(K646:S646)))^(1/inputs!$O$13))-1)/inputs!$N$13&lt;inputs!$I$17, (((inputs!$P$13/(X646/MAX(K646:S646)))^(1/inputs!$O$13))-1)/inputs!$N$13, inputs!$I$17))</f>
        <v>8.400815016750375</v>
      </c>
      <c r="V646" s="54">
        <f>inputs!$E$70*(inputs!$F$70/F646)^(0.25)</f>
        <v>1.5206845881061284</v>
      </c>
      <c r="W646" s="54">
        <f>inputs!$E$76*(inputs!$F$76/F646)^(0.25)</f>
        <v>0.45739324234004791</v>
      </c>
      <c r="X646" s="54">
        <f>inputs!$E$72*(inputs!$F$72/F646)^(0.25)</f>
        <v>67.089025945858609</v>
      </c>
      <c r="Y646" s="54" t="s">
        <v>13</v>
      </c>
      <c r="Z646" s="106">
        <f t="shared" si="72"/>
        <v>136.73925097161384</v>
      </c>
      <c r="AA646" s="106">
        <f t="shared" si="73"/>
        <v>454.61378151957615</v>
      </c>
    </row>
    <row r="647" spans="1:27" x14ac:dyDescent="0.25">
      <c r="A647" s="55" t="s">
        <v>568</v>
      </c>
      <c r="B647" s="49" t="s">
        <v>569</v>
      </c>
      <c r="C647" s="21" t="s">
        <v>61</v>
      </c>
      <c r="D647" s="20" t="s">
        <v>443</v>
      </c>
      <c r="E647" s="20">
        <v>59</v>
      </c>
      <c r="F647" s="21">
        <v>120</v>
      </c>
      <c r="G647" s="21" t="s">
        <v>154</v>
      </c>
      <c r="H647" s="21">
        <v>9.2999999999999999E-2</v>
      </c>
      <c r="I647" s="68">
        <f>MAX('Max rate concentrations'!$G$3:$G$368)</f>
        <v>45</v>
      </c>
      <c r="J647" s="68">
        <f>MAX('Max rate concentrations'!Z:Z)</f>
        <v>21</v>
      </c>
      <c r="K647" s="70">
        <f t="shared" si="70"/>
        <v>3.8209715461541554</v>
      </c>
      <c r="L647" s="70">
        <f t="shared" si="71"/>
        <v>1.7831200548719393</v>
      </c>
      <c r="M647" s="70">
        <f>IF((((0.326*F647^0.818)-(0.398*F647^0.85)/(1-H647)*H647)*(MAX('Max rate concentrations'!$P$3:$P$368)))/F647&gt;0, (((0.326*F647^0.818)-(0.398*F647^0.85)/(1-H647)*H647)*(MAX('Max rate concentrations'!$P$3:$P$368)))/F647, 0)</f>
        <v>0.10145521577371337</v>
      </c>
      <c r="N647" s="70">
        <f>IF((((0.326*F647^0.818)-(0.398*F647^0.85)/(1-H647)*H647)*(MAX('Max rate concentrations'!$Q$3:$Q$368)))/F647&gt; 0, (((0.326*F647^0.818)-(0.398*F647^0.85)/(1-H647)*H647)*(MAX('Max rate concentrations'!$Q$3:$Q$368)))/F647, 0)</f>
        <v>0.38634691302600904</v>
      </c>
      <c r="O647" s="70">
        <f>((MAX('Max rate concentrations'!$F$3:$F$368))*0.62*6.01*8*(12.3*F647^0.65)*0.079*0.1/F647)*inputs!$E$73/inputs!$E$74</f>
        <v>50.67664332337386</v>
      </c>
      <c r="P647" s="70">
        <f>((MAX('Max rate concentrations'!Y:Y))*0.62*6.01*8*(12.3*F647^0.65)*0.079*0.1/F647)*inputs!$E$73/inputs!$E$74</f>
        <v>16.892214441124622</v>
      </c>
      <c r="Q647" s="70">
        <f>(inputs!$C$18*11.2*(12.3*F647^0.65)*0.5/F647)*inputs!$E$73/inputs!$E$74</f>
        <v>8.9264517010668847</v>
      </c>
      <c r="R647" s="60">
        <f>(60*379*((F647/1000)^0.8)*3*24*(MAX('Max rate concentrations'!$R$3:$R$368))/F647)*(inputs!$E$73/inputs!$E$75)</f>
        <v>1.6869121220815221E-2</v>
      </c>
      <c r="S647" s="60">
        <f>(IF(inputs!$C$17="aerial",((0.025*0.112*inputs!$C$18/3.3)*(3*60*379*((F647/1000)^0.8))*MAX(inputs!$I$14:$I$16))/F647,((0.0083*0.112*inputs!$C$18/1)*(3*60*379*((F647/1000)^0.8))*MAX(inputs!$I$14:$I$16))/F647))*(inputs!E$75/inputs!$E$73)</f>
        <v>9.3034239943081826E-2</v>
      </c>
      <c r="T647" s="63">
        <f>IF((((inputs!$P$13/(V647/MAX(K647:S647)))^(1/inputs!$O$13))-1)/inputs!$N$13&lt;0, 0, IF((((inputs!$P$13/(V647/MAX(K647:S647)))^(1/inputs!$O$13))-1)/inputs!$N$13&lt;inputs!$I$17, (((inputs!$P$13/(V647/MAX(K647:S647)))^(1/inputs!$O$13))-1)/inputs!$N$13, inputs!$I$17))</f>
        <v>87.791439473762978</v>
      </c>
      <c r="U647" s="63">
        <f>IF((((inputs!$P$13/(X647/MAX(K647:S647)))^(1/inputs!$O$13))-1)/inputs!$N$13&lt;0, 0, IF((((inputs!$P$13/(X647/MAX(K647:S647)))^(1/inputs!$O$13))-1)/inputs!$N$13&lt;inputs!$I$17, (((inputs!$P$13/(X647/MAX(K647:S647)))^(1/inputs!$O$13))-1)/inputs!$N$13, inputs!$I$17))</f>
        <v>0</v>
      </c>
      <c r="V647" s="54">
        <f>inputs!$E$70*(inputs!$F$70/F647)^(0.25)</f>
        <v>1.5206845881061284</v>
      </c>
      <c r="W647" s="54">
        <f>inputs!$E$76*(inputs!$F$76/F647)^(0.25)</f>
        <v>0.45739324234004791</v>
      </c>
      <c r="X647" s="54">
        <f>inputs!$E$72*(inputs!$F$72/F647)^(0.25)</f>
        <v>67.089025945858609</v>
      </c>
      <c r="Y647" s="54" t="s">
        <v>13</v>
      </c>
      <c r="Z647" s="106">
        <f t="shared" si="72"/>
        <v>33.324887829952246</v>
      </c>
      <c r="AA647" s="106">
        <f t="shared" si="73"/>
        <v>110.79447318484524</v>
      </c>
    </row>
    <row r="648" spans="1:27" x14ac:dyDescent="0.25">
      <c r="A648" s="55" t="s">
        <v>584</v>
      </c>
      <c r="B648" s="49" t="s">
        <v>585</v>
      </c>
      <c r="C648" s="21" t="s">
        <v>61</v>
      </c>
      <c r="D648" s="20" t="s">
        <v>443</v>
      </c>
      <c r="E648" s="20">
        <v>8683</v>
      </c>
      <c r="F648" s="21">
        <v>75</v>
      </c>
      <c r="G648" s="21" t="s">
        <v>177</v>
      </c>
      <c r="H648" s="21">
        <v>0.85</v>
      </c>
      <c r="I648" s="68">
        <f>MAX('Max rate concentrations'!$F$3:$F$368)</f>
        <v>405</v>
      </c>
      <c r="J648" s="68">
        <f>MAX('Max rate concentrations'!Y:Y)</f>
        <v>135</v>
      </c>
      <c r="K648" s="70">
        <f t="shared" si="70"/>
        <v>255.22819757756429</v>
      </c>
      <c r="L648" s="70">
        <f t="shared" si="71"/>
        <v>85.076065859188091</v>
      </c>
      <c r="M648" s="70">
        <f>IF((((0.326*F648^0.818)-(0.398*F648^0.85)/(1-H648)*H648)*(MAX('Max rate concentrations'!$P$3:$P$368)))/F648&gt;0, (((0.326*F648^0.818)-(0.398*F648^0.85)/(1-H648)*H648)*(MAX('Max rate concentrations'!$P$3:$P$368)))/F648, 0)</f>
        <v>0</v>
      </c>
      <c r="N648" s="70">
        <f>IF((((0.326*F648^0.818)-(0.398*F648^0.85)/(1-H648)*H648)*(MAX('Max rate concentrations'!$Q$3:$Q$368)))/F648&gt; 0, (((0.326*F648^0.818)-(0.398*F648^0.85)/(1-H648)*H648)*(MAX('Max rate concentrations'!$Q$3:$Q$368)))/F648, 0)</f>
        <v>0</v>
      </c>
      <c r="O648" s="70">
        <f>((MAX('Max rate concentrations'!$F$3:$F$368))*0.62*6.01*8*(12.3*F648^0.65)*0.079*0.1/F648)*inputs!$E$73/inputs!$E$74</f>
        <v>59.737883923649726</v>
      </c>
      <c r="P648" s="70">
        <f>((MAX('Max rate concentrations'!Y:Y))*0.62*6.01*8*(12.3*F648^0.65)*0.079*0.1/F648)*inputs!$E$73/inputs!$E$74</f>
        <v>19.91262797454991</v>
      </c>
      <c r="Q648" s="70">
        <f>(inputs!$C$18*11.2*(12.3*F648^0.65)*0.5/F648)*inputs!$E$73/inputs!$E$74</f>
        <v>10.522546494756618</v>
      </c>
      <c r="R648" s="60">
        <f>(60*379*((F648/1000)^0.8)*3*24*(MAX('Max rate concentrations'!$R$3:$R$368))/F648)*(inputs!$E$73/inputs!$E$75)</f>
        <v>1.8531750973435526E-2</v>
      </c>
      <c r="S648" s="60">
        <f>(IF(inputs!$C$17="aerial",((0.025*0.112*inputs!$C$18/3.3)*(3*60*379*((F648/1000)^0.8))*MAX(inputs!$I$14:$I$16))/F648,((0.0083*0.112*inputs!$C$18/1)*(3*60*379*((F648/1000)^0.8))*MAX(inputs!$I$14:$I$16))/F648))*(inputs!E$75/inputs!$E$73)</f>
        <v>0.10220374517794364</v>
      </c>
      <c r="T648" s="63">
        <f>IF((((inputs!$P$13/(V648/MAX(K648:S648)))^(1/inputs!$O$13))-1)/inputs!$N$13&lt;0, 0, IF((((inputs!$P$13/(V648/MAX(K648:S648)))^(1/inputs!$O$13))-1)/inputs!$N$13&lt;inputs!$I$17, (((inputs!$P$13/(V648/MAX(K648:S648)))^(1/inputs!$O$13))-1)/inputs!$N$13, inputs!$I$17))</f>
        <v>307.44374503532549</v>
      </c>
      <c r="U648" s="63">
        <f>IF((((inputs!$P$13/(X648/MAX(K648:S648)))^(1/inputs!$O$13))-1)/inputs!$N$13&lt;0, 0, IF((((inputs!$P$13/(X648/MAX(K648:S648)))^(1/inputs!$O$13))-1)/inputs!$N$13&lt;inputs!$I$17, (((inputs!$P$13/(X648/MAX(K648:S648)))^(1/inputs!$O$13))-1)/inputs!$N$13, inputs!$I$17))</f>
        <v>9.3991243780044389</v>
      </c>
      <c r="V648" s="54">
        <f>inputs!$E$70*(inputs!$F$70/F648)^(0.25)</f>
        <v>1.7102875729442808</v>
      </c>
      <c r="W648" s="54">
        <f>inputs!$E$76*(inputs!$F$76/F648)^(0.25)</f>
        <v>0.51442224406122605</v>
      </c>
      <c r="X648" s="54">
        <f>inputs!$E$72*(inputs!$F$72/F648)^(0.25)</f>
        <v>75.453863512247679</v>
      </c>
      <c r="Y648" s="54" t="s">
        <v>13</v>
      </c>
      <c r="Z648" s="106">
        <f t="shared" si="72"/>
        <v>149.23115949336278</v>
      </c>
      <c r="AA648" s="106">
        <f t="shared" si="73"/>
        <v>496.14533687852594</v>
      </c>
    </row>
    <row r="649" spans="1:27" x14ac:dyDescent="0.25">
      <c r="A649" s="55" t="s">
        <v>538</v>
      </c>
      <c r="B649" s="49" t="s">
        <v>539</v>
      </c>
      <c r="C649" s="21" t="s">
        <v>61</v>
      </c>
      <c r="D649" s="20" t="s">
        <v>443</v>
      </c>
      <c r="E649" s="20">
        <v>51</v>
      </c>
      <c r="F649" s="21">
        <v>5</v>
      </c>
      <c r="G649" s="21" t="s">
        <v>142</v>
      </c>
      <c r="H649" s="21">
        <v>0.69</v>
      </c>
      <c r="I649" s="68">
        <f>MAX('Max rate concentrations'!$H$3:$H$368)</f>
        <v>282</v>
      </c>
      <c r="J649" s="68">
        <f>MAX('Max rate concentrations'!AA:AA)</f>
        <v>195</v>
      </c>
      <c r="K649" s="70">
        <f t="shared" si="70"/>
        <v>280.04517391621147</v>
      </c>
      <c r="L649" s="70">
        <f t="shared" si="71"/>
        <v>193.64825855908242</v>
      </c>
      <c r="M649" s="70">
        <f>IF((((0.326*F649^0.818)-(0.398*F649^0.85)/(1-H649)*H649)*(MAX('Max rate concentrations'!$P$3:$P$368)))/F649&gt;0, (((0.326*F649^0.818)-(0.398*F649^0.85)/(1-H649)*H649)*(MAX('Max rate concentrations'!$P$3:$P$368)))/F649, 0)</f>
        <v>0</v>
      </c>
      <c r="N649" s="70">
        <f>IF((((0.326*F649^0.818)-(0.398*F649^0.85)/(1-H649)*H649)*(MAX('Max rate concentrations'!$Q$3:$Q$368)))/F649&gt; 0, (((0.326*F649^0.818)-(0.398*F649^0.85)/(1-H649)*H649)*(MAX('Max rate concentrations'!$Q$3:$Q$368)))/F649, 0)</f>
        <v>0</v>
      </c>
      <c r="O649" s="70">
        <f>((MAX('Max rate concentrations'!$F$3:$F$368))*0.62*6.01*8*(12.3*F649^0.65)*0.079*0.1/F649)*inputs!$E$73/inputs!$E$74</f>
        <v>154.12808247377183</v>
      </c>
      <c r="P649" s="70">
        <f>((MAX('Max rate concentrations'!Y:Y))*0.62*6.01*8*(12.3*F649^0.65)*0.079*0.1/F649)*inputs!$E$73/inputs!$E$74</f>
        <v>51.37602749125729</v>
      </c>
      <c r="Q649" s="70">
        <f>(inputs!$C$18*11.2*(12.3*F649^0.65)*0.5/F649)*inputs!$E$73/inputs!$E$74</f>
        <v>27.148934770618521</v>
      </c>
      <c r="R649" s="60">
        <f>(60*379*((F649/1000)^0.8)*3*24*(MAX('Max rate concentrations'!$R$3:$R$368))/F649)*(inputs!$E$73/inputs!$E$75)</f>
        <v>3.1851853342182934E-2</v>
      </c>
      <c r="S649" s="60">
        <f>(IF(inputs!$C$17="aerial",((0.025*0.112*inputs!$C$18/3.3)*(3*60*379*((F649/1000)^0.8))*MAX(inputs!$I$14:$I$16))/F649,((0.0083*0.112*inputs!$C$18/1)*(3*60*379*((F649/1000)^0.8))*MAX(inputs!$I$14:$I$16))/F649))*(inputs!E$75/inputs!$E$73)</f>
        <v>0.17566492810615378</v>
      </c>
      <c r="T649" s="63">
        <f>IF((((inputs!$P$13/(V649/MAX(K649:S649)))^(1/inputs!$O$13))-1)/inputs!$N$13&lt;0, 0, IF((((inputs!$P$13/(V649/MAX(K649:S649)))^(1/inputs!$O$13))-1)/inputs!$N$13&lt;inputs!$I$17, (((inputs!$P$13/(V649/MAX(K649:S649)))^(1/inputs!$O$13))-1)/inputs!$N$13, inputs!$I$17))</f>
        <v>189.71647762937533</v>
      </c>
      <c r="U649" s="63">
        <f>IF((((inputs!$P$13/(X649/MAX(K649:S649)))^(1/inputs!$O$13))-1)/inputs!$N$13&lt;0, 0, IF((((inputs!$P$13/(X649/MAX(K649:S649)))^(1/inputs!$O$13))-1)/inputs!$N$13&lt;inputs!$I$17, (((inputs!$P$13/(X649/MAX(K649:S649)))^(1/inputs!$O$13))-1)/inputs!$N$13, inputs!$I$17))</f>
        <v>3.8919331207081362</v>
      </c>
      <c r="V649" s="54">
        <f>inputs!$E$70*(inputs!$F$70/F649)^(0.25)</f>
        <v>3.3658282784479656</v>
      </c>
      <c r="W649" s="54">
        <f>inputs!$E$76*(inputs!$F$76/F649)^(0.25)</f>
        <v>1.0123776629816774</v>
      </c>
      <c r="X649" s="54">
        <f>inputs!$E$72*(inputs!$F$72/F649)^(0.25)</f>
        <v>148.49242404917496</v>
      </c>
      <c r="Y649" s="54" t="s">
        <v>13</v>
      </c>
      <c r="Z649" s="106">
        <f t="shared" si="72"/>
        <v>83.202454417949255</v>
      </c>
      <c r="AA649" s="106">
        <f t="shared" si="73"/>
        <v>276.62124931857556</v>
      </c>
    </row>
    <row r="650" spans="1:27" x14ac:dyDescent="0.25">
      <c r="A650" s="55" t="s">
        <v>538</v>
      </c>
      <c r="B650" s="49" t="s">
        <v>539</v>
      </c>
      <c r="C650" s="21" t="s">
        <v>61</v>
      </c>
      <c r="D650" s="20" t="s">
        <v>443</v>
      </c>
      <c r="E650" s="20">
        <v>51</v>
      </c>
      <c r="F650" s="21">
        <v>5</v>
      </c>
      <c r="G650" s="21" t="s">
        <v>169</v>
      </c>
      <c r="H650" s="21">
        <v>0.79</v>
      </c>
      <c r="I650" s="68">
        <f>MAX('Max rate concentrations'!$D$3:$D$368)</f>
        <v>720</v>
      </c>
      <c r="J650" s="68">
        <f>MAX('Max rate concentrations'!W:W)</f>
        <v>255</v>
      </c>
      <c r="K650" s="70">
        <f t="shared" si="70"/>
        <v>1055.489409289065</v>
      </c>
      <c r="L650" s="70">
        <f t="shared" si="71"/>
        <v>373.81916578987722</v>
      </c>
      <c r="M650" s="70">
        <f>IF((((0.326*F650^0.818)-(0.398*F650^0.85)/(1-H650)*H650)*(MAX('Max rate concentrations'!$P$3:$P$368)))/F650&gt;0, (((0.326*F650^0.818)-(0.398*F650^0.85)/(1-H650)*H650)*(MAX('Max rate concentrations'!$P$3:$P$368)))/F650, 0)</f>
        <v>0</v>
      </c>
      <c r="N650" s="70">
        <f>IF((((0.326*F650^0.818)-(0.398*F650^0.85)/(1-H650)*H650)*(MAX('Max rate concentrations'!$Q$3:$Q$368)))/F650&gt; 0, (((0.326*F650^0.818)-(0.398*F650^0.85)/(1-H650)*H650)*(MAX('Max rate concentrations'!$Q$3:$Q$368)))/F650, 0)</f>
        <v>0</v>
      </c>
      <c r="O650" s="70">
        <f>((MAX('Max rate concentrations'!$F$3:$F$368))*0.62*6.01*8*(12.3*F650^0.65)*0.079*0.1/F650)*inputs!$E$73/inputs!$E$74</f>
        <v>154.12808247377183</v>
      </c>
      <c r="P650" s="70">
        <f>((MAX('Max rate concentrations'!Y:Y))*0.62*6.01*8*(12.3*F650^0.65)*0.079*0.1/F650)*inputs!$E$73/inputs!$E$74</f>
        <v>51.37602749125729</v>
      </c>
      <c r="Q650" s="70">
        <f>(inputs!$C$18*11.2*(12.3*F650^0.65)*0.5/F650)*inputs!$E$73/inputs!$E$74</f>
        <v>27.148934770618521</v>
      </c>
      <c r="R650" s="60">
        <f>(60*379*((F650/1000)^0.8)*3*24*(MAX('Max rate concentrations'!$R$3:$R$368))/F650)*(inputs!$E$73/inputs!$E$75)</f>
        <v>3.1851853342182934E-2</v>
      </c>
      <c r="S650" s="60">
        <f>(IF(inputs!$C$17="aerial",((0.025*0.112*inputs!$C$18/3.3)*(3*60*379*((F650/1000)^0.8))*MAX(inputs!$I$14:$I$16))/F650,((0.0083*0.112*inputs!$C$18/1)*(3*60*379*((F650/1000)^0.8))*MAX(inputs!$I$14:$I$16))/F650))*(inputs!E$75/inputs!$E$73)</f>
        <v>0.17566492810615378</v>
      </c>
      <c r="T650" s="63">
        <f>IF((((inputs!$P$13/(V650/MAX(K650:S650)))^(1/inputs!$O$13))-1)/inputs!$N$13&lt;0, 0, IF((((inputs!$P$13/(V650/MAX(K650:S650)))^(1/inputs!$O$13))-1)/inputs!$N$13&lt;inputs!$I$17, (((inputs!$P$13/(V650/MAX(K650:S650)))^(1/inputs!$O$13))-1)/inputs!$N$13, inputs!$I$17))</f>
        <v>564.78654337226146</v>
      </c>
      <c r="U650" s="63">
        <f>IF((((inputs!$P$13/(X650/MAX(K650:S650)))^(1/inputs!$O$13))-1)/inputs!$N$13&lt;0, 0, IF((((inputs!$P$13/(X650/MAX(K650:S650)))^(1/inputs!$O$13))-1)/inputs!$N$13&lt;inputs!$I$17, (((inputs!$P$13/(X650/MAX(K650:S650)))^(1/inputs!$O$13))-1)/inputs!$N$13, inputs!$I$17))</f>
        <v>21.437423069185247</v>
      </c>
      <c r="V650" s="54">
        <f>inputs!$E$70*(inputs!$F$70/F650)^(0.25)</f>
        <v>3.3658282784479656</v>
      </c>
      <c r="W650" s="54">
        <f>inputs!$E$76*(inputs!$F$76/F650)^(0.25)</f>
        <v>1.0123776629816774</v>
      </c>
      <c r="X650" s="54">
        <f>inputs!$E$72*(inputs!$F$72/F650)^(0.25)</f>
        <v>148.49242404917496</v>
      </c>
      <c r="Y650" s="54" t="s">
        <v>13</v>
      </c>
      <c r="Z650" s="106">
        <f t="shared" si="72"/>
        <v>313.58979780625265</v>
      </c>
      <c r="AA650" s="106">
        <f t="shared" si="73"/>
        <v>1042.5846478876408</v>
      </c>
    </row>
    <row r="651" spans="1:27" x14ac:dyDescent="0.25">
      <c r="A651" s="55" t="s">
        <v>538</v>
      </c>
      <c r="B651" s="49" t="s">
        <v>539</v>
      </c>
      <c r="C651" s="21" t="s">
        <v>61</v>
      </c>
      <c r="D651" s="20" t="s">
        <v>443</v>
      </c>
      <c r="E651" s="20">
        <v>51</v>
      </c>
      <c r="F651" s="21">
        <v>5</v>
      </c>
      <c r="G651" s="21" t="s">
        <v>177</v>
      </c>
      <c r="H651" s="21">
        <v>0.85</v>
      </c>
      <c r="I651" s="68">
        <f>MAX('Max rate concentrations'!$F$3:$F$368)</f>
        <v>405</v>
      </c>
      <c r="J651" s="68">
        <f>MAX('Max rate concentrations'!Y:Y)</f>
        <v>135</v>
      </c>
      <c r="K651" s="70">
        <f t="shared" si="70"/>
        <v>831.19790981513847</v>
      </c>
      <c r="L651" s="70">
        <f t="shared" si="71"/>
        <v>277.06596993837945</v>
      </c>
      <c r="M651" s="70">
        <f>IF((((0.326*F651^0.818)-(0.398*F651^0.85)/(1-H651)*H651)*(MAX('Max rate concentrations'!$P$3:$P$368)))/F651&gt;0, (((0.326*F651^0.818)-(0.398*F651^0.85)/(1-H651)*H651)*(MAX('Max rate concentrations'!$P$3:$P$368)))/F651, 0)</f>
        <v>0</v>
      </c>
      <c r="N651" s="70">
        <f>IF((((0.326*F651^0.818)-(0.398*F651^0.85)/(1-H651)*H651)*(MAX('Max rate concentrations'!$Q$3:$Q$368)))/F651&gt; 0, (((0.326*F651^0.818)-(0.398*F651^0.85)/(1-H651)*H651)*(MAX('Max rate concentrations'!$Q$3:$Q$368)))/F651, 0)</f>
        <v>0</v>
      </c>
      <c r="O651" s="70">
        <f>((MAX('Max rate concentrations'!$F$3:$F$368))*0.62*6.01*8*(12.3*F651^0.65)*0.079*0.1/F651)*inputs!$E$73/inputs!$E$74</f>
        <v>154.12808247377183</v>
      </c>
      <c r="P651" s="70">
        <f>((MAX('Max rate concentrations'!Y:Y))*0.62*6.01*8*(12.3*F651^0.65)*0.079*0.1/F651)*inputs!$E$73/inputs!$E$74</f>
        <v>51.37602749125729</v>
      </c>
      <c r="Q651" s="70">
        <f>(inputs!$C$18*11.2*(12.3*F651^0.65)*0.5/F651)*inputs!$E$73/inputs!$E$74</f>
        <v>27.148934770618521</v>
      </c>
      <c r="R651" s="60">
        <f>(60*379*((F651/1000)^0.8)*3*24*(MAX('Max rate concentrations'!$R$3:$R$368))/F651)*(inputs!$E$73/inputs!$E$75)</f>
        <v>3.1851853342182934E-2</v>
      </c>
      <c r="S651" s="60">
        <f>(IF(inputs!$C$17="aerial",((0.025*0.112*inputs!$C$18/3.3)*(3*60*379*((F651/1000)^0.8))*MAX(inputs!$I$14:$I$16))/F651,((0.0083*0.112*inputs!$C$18/1)*(3*60*379*((F651/1000)^0.8))*MAX(inputs!$I$14:$I$16))/F651))*(inputs!E$75/inputs!$E$73)</f>
        <v>0.17566492810615378</v>
      </c>
      <c r="T651" s="63">
        <f>IF((((inputs!$P$13/(V651/MAX(K651:S651)))^(1/inputs!$O$13))-1)/inputs!$N$13&lt;0, 0, IF((((inputs!$P$13/(V651/MAX(K651:S651)))^(1/inputs!$O$13))-1)/inputs!$N$13&lt;inputs!$I$17, (((inputs!$P$13/(V651/MAX(K651:S651)))^(1/inputs!$O$13))-1)/inputs!$N$13, inputs!$I$17))</f>
        <v>464.65213891426384</v>
      </c>
      <c r="U651" s="63">
        <f>IF((((inputs!$P$13/(X651/MAX(K651:S651)))^(1/inputs!$O$13))-1)/inputs!$N$13&lt;0, 0, IF((((inputs!$P$13/(X651/MAX(K651:S651)))^(1/inputs!$O$13))-1)/inputs!$N$13&lt;inputs!$I$17, (((inputs!$P$13/(X651/MAX(K651:S651)))^(1/inputs!$O$13))-1)/inputs!$N$13, inputs!$I$17))</f>
        <v>16.753212444605783</v>
      </c>
      <c r="V651" s="54">
        <f>inputs!$E$70*(inputs!$F$70/F651)^(0.25)</f>
        <v>3.3658282784479656</v>
      </c>
      <c r="W651" s="54">
        <f>inputs!$E$76*(inputs!$F$76/F651)^(0.25)</f>
        <v>1.0123776629816774</v>
      </c>
      <c r="X651" s="54">
        <f>inputs!$E$72*(inputs!$F$72/F651)^(0.25)</f>
        <v>148.49242404917496</v>
      </c>
      <c r="Y651" s="54" t="s">
        <v>13</v>
      </c>
      <c r="Z651" s="106">
        <f t="shared" si="72"/>
        <v>246.9519657724239</v>
      </c>
      <c r="AA651" s="106">
        <f t="shared" si="73"/>
        <v>821.03541021151705</v>
      </c>
    </row>
    <row r="652" spans="1:27" x14ac:dyDescent="0.25">
      <c r="A652" s="55" t="s">
        <v>538</v>
      </c>
      <c r="B652" s="49" t="s">
        <v>539</v>
      </c>
      <c r="C652" s="21" t="s">
        <v>61</v>
      </c>
      <c r="D652" s="20" t="s">
        <v>443</v>
      </c>
      <c r="E652" s="20">
        <v>51</v>
      </c>
      <c r="F652" s="21">
        <v>5</v>
      </c>
      <c r="G652" s="21" t="s">
        <v>154</v>
      </c>
      <c r="H652" s="21">
        <v>9.2999999999999999E-2</v>
      </c>
      <c r="I652" s="68">
        <f>MAX('Max rate concentrations'!$G$3:$G$368)</f>
        <v>45</v>
      </c>
      <c r="J652" s="68">
        <f>MAX('Max rate concentrations'!Z:Z)</f>
        <v>21</v>
      </c>
      <c r="K652" s="70">
        <f t="shared" si="70"/>
        <v>15.273757989987846</v>
      </c>
      <c r="L652" s="70">
        <f t="shared" si="71"/>
        <v>7.1277537286609958</v>
      </c>
      <c r="M652" s="70">
        <f>IF((((0.326*F652^0.818)-(0.398*F652^0.85)/(1-H652)*H652)*(MAX('Max rate concentrations'!$P$3:$P$368)))/F652&gt;0, (((0.326*F652^0.818)-(0.398*F652^0.85)/(1-H652)*H652)*(MAX('Max rate concentrations'!$P$3:$P$368)))/F652, 0)</f>
        <v>0.1839027986232496</v>
      </c>
      <c r="N652" s="70">
        <f>IF((((0.326*F652^0.818)-(0.398*F652^0.85)/(1-H652)*H652)*(MAX('Max rate concentrations'!$Q$3:$Q$368)))/F652&gt; 0, (((0.326*F652^0.818)-(0.398*F652^0.85)/(1-H652)*H652)*(MAX('Max rate concentrations'!$Q$3:$Q$368)))/F652, 0)</f>
        <v>0.70031173856460405</v>
      </c>
      <c r="O652" s="70">
        <f>((MAX('Max rate concentrations'!$F$3:$F$368))*0.62*6.01*8*(12.3*F652^0.65)*0.079*0.1/F652)*inputs!$E$73/inputs!$E$74</f>
        <v>154.12808247377183</v>
      </c>
      <c r="P652" s="70">
        <f>((MAX('Max rate concentrations'!Y:Y))*0.62*6.01*8*(12.3*F652^0.65)*0.079*0.1/F652)*inputs!$E$73/inputs!$E$74</f>
        <v>51.37602749125729</v>
      </c>
      <c r="Q652" s="70">
        <f>(inputs!$C$18*11.2*(12.3*F652^0.65)*0.5/F652)*inputs!$E$73/inputs!$E$74</f>
        <v>27.148934770618521</v>
      </c>
      <c r="R652" s="60">
        <f>(60*379*((F652/1000)^0.8)*3*24*(MAX('Max rate concentrations'!$R$3:$R$368))/F652)*(inputs!$E$73/inputs!$E$75)</f>
        <v>3.1851853342182934E-2</v>
      </c>
      <c r="S652" s="60">
        <f>(IF(inputs!$C$17="aerial",((0.025*0.112*inputs!$C$18/3.3)*(3*60*379*((F652/1000)^0.8))*MAX(inputs!$I$14:$I$16))/F652,((0.0083*0.112*inputs!$C$18/1)*(3*60*379*((F652/1000)^0.8))*MAX(inputs!$I$14:$I$16))/F652))*(inputs!E$75/inputs!$E$73)</f>
        <v>0.17566492810615378</v>
      </c>
      <c r="T652" s="63">
        <f>IF((((inputs!$P$13/(V652/MAX(K652:S652)))^(1/inputs!$O$13))-1)/inputs!$N$13&lt;0, 0, IF((((inputs!$P$13/(V652/MAX(K652:S652)))^(1/inputs!$O$13))-1)/inputs!$N$13&lt;inputs!$I$17, (((inputs!$P$13/(V652/MAX(K652:S652)))^(1/inputs!$O$13))-1)/inputs!$N$13, inputs!$I$17))</f>
        <v>115.05007513488268</v>
      </c>
      <c r="U652" s="63">
        <f>IF((((inputs!$P$13/(X652/MAX(K652:S652)))^(1/inputs!$O$13))-1)/inputs!$N$13&lt;0, 0, IF((((inputs!$P$13/(X652/MAX(K652:S652)))^(1/inputs!$O$13))-1)/inputs!$N$13&lt;inputs!$I$17, (((inputs!$P$13/(X652/MAX(K652:S652)))^(1/inputs!$O$13))-1)/inputs!$N$13, inputs!$I$17))</f>
        <v>0.39909609074871294</v>
      </c>
      <c r="V652" s="54">
        <f>inputs!$E$70*(inputs!$F$70/F652)^(0.25)</f>
        <v>3.3658282784479656</v>
      </c>
      <c r="W652" s="54">
        <f>inputs!$E$76*(inputs!$F$76/F652)^(0.25)</f>
        <v>1.0123776629816774</v>
      </c>
      <c r="X652" s="54">
        <f>inputs!$E$72*(inputs!$F$72/F652)^(0.25)</f>
        <v>148.49242404917496</v>
      </c>
      <c r="Y652" s="54" t="s">
        <v>13</v>
      </c>
      <c r="Z652" s="106">
        <f t="shared" si="72"/>
        <v>45.792021969951072</v>
      </c>
      <c r="AA652" s="106">
        <f t="shared" si="73"/>
        <v>152.24366173768624</v>
      </c>
    </row>
    <row r="653" spans="1:27" x14ac:dyDescent="0.25">
      <c r="A653" s="55" t="s">
        <v>576</v>
      </c>
      <c r="B653" s="49" t="s">
        <v>577</v>
      </c>
      <c r="C653" s="21" t="s">
        <v>61</v>
      </c>
      <c r="D653" s="20" t="s">
        <v>443</v>
      </c>
      <c r="E653" s="20">
        <v>4228</v>
      </c>
      <c r="F653" s="21">
        <v>32</v>
      </c>
      <c r="G653" s="21" t="s">
        <v>142</v>
      </c>
      <c r="H653" s="21">
        <v>0.69</v>
      </c>
      <c r="I653" s="68">
        <f>MAX('Max rate concentrations'!$H$3:$H$368)</f>
        <v>282</v>
      </c>
      <c r="J653" s="68">
        <f>MAX('Max rate concentrations'!AA:AA)</f>
        <v>195</v>
      </c>
      <c r="K653" s="70">
        <f t="shared" si="70"/>
        <v>124.66186622291292</v>
      </c>
      <c r="L653" s="70">
        <f t="shared" si="71"/>
        <v>86.202354303078081</v>
      </c>
      <c r="M653" s="70">
        <f>IF((((0.326*F653^0.818)-(0.398*F653^0.85)/(1-H653)*H653)*(MAX('Max rate concentrations'!$P$3:$P$368)))/F653&gt;0, (((0.326*F653^0.818)-(0.398*F653^0.85)/(1-H653)*H653)*(MAX('Max rate concentrations'!$P$3:$P$368)))/F653, 0)</f>
        <v>0</v>
      </c>
      <c r="N653" s="70">
        <f>IF((((0.326*F653^0.818)-(0.398*F653^0.85)/(1-H653)*H653)*(MAX('Max rate concentrations'!$Q$3:$Q$368)))/F653&gt; 0, (((0.326*F653^0.818)-(0.398*F653^0.85)/(1-H653)*H653)*(MAX('Max rate concentrations'!$Q$3:$Q$368)))/F653, 0)</f>
        <v>0</v>
      </c>
      <c r="O653" s="70">
        <f>((MAX('Max rate concentrations'!$F$3:$F$368))*0.62*6.01*8*(12.3*F653^0.65)*0.079*0.1/F653)*inputs!$E$73/inputs!$E$74</f>
        <v>80.485710913315614</v>
      </c>
      <c r="P653" s="70">
        <f>((MAX('Max rate concentrations'!Y:Y))*0.62*6.01*8*(12.3*F653^0.65)*0.079*0.1/F653)*inputs!$E$73/inputs!$E$74</f>
        <v>26.828570304438536</v>
      </c>
      <c r="Q653" s="70">
        <f>(inputs!$C$18*11.2*(12.3*F653^0.65)*0.5/F653)*inputs!$E$73/inputs!$E$74</f>
        <v>14.177178360240134</v>
      </c>
      <c r="R653" s="60">
        <f>(60*379*((F653/1000)^0.8)*3*24*(MAX('Max rate concentrations'!$R$3:$R$368))/F653)*(inputs!$E$73/inputs!$E$75)</f>
        <v>2.1973473414361164E-2</v>
      </c>
      <c r="S653" s="60">
        <f>(IF(inputs!$C$17="aerial",((0.025*0.112*inputs!$C$18/3.3)*(3*60*379*((F653/1000)^0.8))*MAX(inputs!$I$14:$I$16))/F653,((0.0083*0.112*inputs!$C$18/1)*(3*60*379*((F653/1000)^0.8))*MAX(inputs!$I$14:$I$16))/F653))*(inputs!E$75/inputs!$E$73)</f>
        <v>0.12118505589325612</v>
      </c>
      <c r="T653" s="63">
        <f>IF((((inputs!$P$13/(V653/MAX(K653:S653)))^(1/inputs!$O$13))-1)/inputs!$N$13&lt;0, 0, IF((((inputs!$P$13/(V653/MAX(K653:S653)))^(1/inputs!$O$13))-1)/inputs!$N$13&lt;inputs!$I$17, (((inputs!$P$13/(V653/MAX(K653:S653)))^(1/inputs!$O$13))-1)/inputs!$N$13, inputs!$I$17))</f>
        <v>142.22441566992822</v>
      </c>
      <c r="U653" s="63">
        <f>IF((((inputs!$P$13/(X653/MAX(K653:S653)))^(1/inputs!$O$13))-1)/inputs!$N$13&lt;0, 0, IF((((inputs!$P$13/(X653/MAX(K653:S653)))^(1/inputs!$O$13))-1)/inputs!$N$13&lt;inputs!$I$17, (((inputs!$P$13/(X653/MAX(K653:S653)))^(1/inputs!$O$13))-1)/inputs!$N$13, inputs!$I$17))</f>
        <v>1.6702908947642856</v>
      </c>
      <c r="V653" s="54">
        <f>inputs!$E$70*(inputs!$F$70/F653)^(0.25)</f>
        <v>2.116152497946318</v>
      </c>
      <c r="W653" s="54">
        <f>inputs!$E$76*(inputs!$F$76/F653)^(0.25)</f>
        <v>0.63649875844872272</v>
      </c>
      <c r="X653" s="54">
        <f>inputs!$E$72*(inputs!$F$72/F653)^(0.25)</f>
        <v>93.359669027043438</v>
      </c>
      <c r="Y653" s="54" t="s">
        <v>13</v>
      </c>
      <c r="Z653" s="106">
        <f t="shared" si="72"/>
        <v>58.909679876046113</v>
      </c>
      <c r="AA653" s="106">
        <f t="shared" si="73"/>
        <v>195.85563140254871</v>
      </c>
    </row>
    <row r="654" spans="1:27" x14ac:dyDescent="0.25">
      <c r="A654" s="55" t="s">
        <v>576</v>
      </c>
      <c r="B654" s="49" t="s">
        <v>577</v>
      </c>
      <c r="C654" s="21" t="s">
        <v>61</v>
      </c>
      <c r="D654" s="20" t="s">
        <v>443</v>
      </c>
      <c r="E654" s="20">
        <v>4228</v>
      </c>
      <c r="F654" s="21">
        <v>32</v>
      </c>
      <c r="G654" s="21" t="s">
        <v>152</v>
      </c>
      <c r="H654" s="21">
        <v>0.77</v>
      </c>
      <c r="I654" s="68">
        <f>MAX('Max rate concentrations'!$G$3:$G$368)</f>
        <v>45</v>
      </c>
      <c r="J654" s="68">
        <f>MAX('Max rate concentrations'!Z:Z)</f>
        <v>21</v>
      </c>
      <c r="K654" s="70">
        <f t="shared" si="70"/>
        <v>26.81210351232864</v>
      </c>
      <c r="L654" s="70">
        <f t="shared" si="71"/>
        <v>12.512314972420032</v>
      </c>
      <c r="M654" s="70">
        <f>IF((((0.326*F654^0.818)-(0.398*F654^0.85)/(1-H654)*H654)*(MAX('Max rate concentrations'!$P$3:$P$368)))/F654&gt;0, (((0.326*F654^0.818)-(0.398*F654^0.85)/(1-H654)*H654)*(MAX('Max rate concentrations'!$P$3:$P$368)))/F654, 0)</f>
        <v>0</v>
      </c>
      <c r="N654" s="70">
        <f>IF((((0.326*F654^0.818)-(0.398*F654^0.85)/(1-H654)*H654)*(MAX('Max rate concentrations'!$Q$3:$Q$368)))/F654&gt; 0, (((0.326*F654^0.818)-(0.398*F654^0.85)/(1-H654)*H654)*(MAX('Max rate concentrations'!$Q$3:$Q$368)))/F654, 0)</f>
        <v>0</v>
      </c>
      <c r="O654" s="70">
        <f>((MAX('Max rate concentrations'!$F$3:$F$368))*0.62*6.01*8*(12.3*F654^0.65)*0.079*0.1/F654)*inputs!$E$73/inputs!$E$74</f>
        <v>80.485710913315614</v>
      </c>
      <c r="P654" s="70">
        <f>((MAX('Max rate concentrations'!Y:Y))*0.62*6.01*8*(12.3*F654^0.65)*0.079*0.1/F654)*inputs!$E$73/inputs!$E$74</f>
        <v>26.828570304438536</v>
      </c>
      <c r="Q654" s="70">
        <f>(inputs!$C$18*11.2*(12.3*F654^0.65)*0.5/F654)*inputs!$E$73/inputs!$E$74</f>
        <v>14.177178360240134</v>
      </c>
      <c r="R654" s="60">
        <f>(60*379*((F654/1000)^0.8)*3*24*(MAX('Max rate concentrations'!$R$3:$R$368))/F654)*(inputs!$E$73/inputs!$E$75)</f>
        <v>2.1973473414361164E-2</v>
      </c>
      <c r="S654" s="60">
        <f>(IF(inputs!$C$17="aerial",((0.025*0.112*inputs!$C$18/3.3)*(3*60*379*((F654/1000)^0.8))*MAX(inputs!$I$14:$I$16))/F654,((0.0083*0.112*inputs!$C$18/1)*(3*60*379*((F654/1000)^0.8))*MAX(inputs!$I$14:$I$16))/F654))*(inputs!E$75/inputs!$E$73)</f>
        <v>0.12118505589325612</v>
      </c>
      <c r="T654" s="63">
        <f>IF((((inputs!$P$13/(V654/MAX(K654:S654)))^(1/inputs!$O$13))-1)/inputs!$N$13&lt;0, 0, IF((((inputs!$P$13/(V654/MAX(K654:S654)))^(1/inputs!$O$13))-1)/inputs!$N$13&lt;inputs!$I$17, (((inputs!$P$13/(V654/MAX(K654:S654)))^(1/inputs!$O$13))-1)/inputs!$N$13, inputs!$I$17))</f>
        <v>98.284680593448186</v>
      </c>
      <c r="U654" s="63">
        <f>IF((((inputs!$P$13/(X654/MAX(K654:S654)))^(1/inputs!$O$13))-1)/inputs!$N$13&lt;0, 0, IF((((inputs!$P$13/(X654/MAX(K654:S654)))^(1/inputs!$O$13))-1)/inputs!$N$13&lt;inputs!$I$17, (((inputs!$P$13/(X654/MAX(K654:S654)))^(1/inputs!$O$13))-1)/inputs!$N$13, inputs!$I$17))</f>
        <v>0</v>
      </c>
      <c r="V654" s="54">
        <f>inputs!$E$70*(inputs!$F$70/F654)^(0.25)</f>
        <v>2.116152497946318</v>
      </c>
      <c r="W654" s="54">
        <f>inputs!$E$76*(inputs!$F$76/F654)^(0.25)</f>
        <v>0.63649875844872272</v>
      </c>
      <c r="X654" s="54">
        <f>inputs!$E$72*(inputs!$F$72/F654)^(0.25)</f>
        <v>93.359669027043438</v>
      </c>
      <c r="Y654" s="54" t="s">
        <v>13</v>
      </c>
      <c r="Z654" s="106">
        <f t="shared" si="72"/>
        <v>38.033984314185922</v>
      </c>
      <c r="AA654" s="106">
        <f t="shared" si="73"/>
        <v>126.45069584970709</v>
      </c>
    </row>
    <row r="655" spans="1:27" x14ac:dyDescent="0.25">
      <c r="A655" s="55" t="s">
        <v>576</v>
      </c>
      <c r="B655" s="49" t="s">
        <v>577</v>
      </c>
      <c r="C655" s="21" t="s">
        <v>61</v>
      </c>
      <c r="D655" s="20" t="s">
        <v>443</v>
      </c>
      <c r="E655" s="20">
        <v>4228</v>
      </c>
      <c r="F655" s="21">
        <v>32</v>
      </c>
      <c r="G655" s="21" t="s">
        <v>177</v>
      </c>
      <c r="H655" s="21">
        <v>0.85</v>
      </c>
      <c r="I655" s="68">
        <f>MAX('Max rate concentrations'!$F$3:$F$368)</f>
        <v>405</v>
      </c>
      <c r="J655" s="68">
        <f>MAX('Max rate concentrations'!Y:Y)</f>
        <v>135</v>
      </c>
      <c r="K655" s="70">
        <f t="shared" si="70"/>
        <v>370.00702847013514</v>
      </c>
      <c r="L655" s="70">
        <f t="shared" si="71"/>
        <v>123.33567615671171</v>
      </c>
      <c r="M655" s="70">
        <f>IF((((0.326*F655^0.818)-(0.398*F655^0.85)/(1-H655)*H655)*(MAX('Max rate concentrations'!$P$3:$P$368)))/F655&gt;0, (((0.326*F655^0.818)-(0.398*F655^0.85)/(1-H655)*H655)*(MAX('Max rate concentrations'!$P$3:$P$368)))/F655, 0)</f>
        <v>0</v>
      </c>
      <c r="N655" s="70">
        <f>IF((((0.326*F655^0.818)-(0.398*F655^0.85)/(1-H655)*H655)*(MAX('Max rate concentrations'!$Q$3:$Q$368)))/F655&gt; 0, (((0.326*F655^0.818)-(0.398*F655^0.85)/(1-H655)*H655)*(MAX('Max rate concentrations'!$Q$3:$Q$368)))/F655, 0)</f>
        <v>0</v>
      </c>
      <c r="O655" s="70">
        <f>((MAX('Max rate concentrations'!$F$3:$F$368))*0.62*6.01*8*(12.3*F655^0.65)*0.079*0.1/F655)*inputs!$E$73/inputs!$E$74</f>
        <v>80.485710913315614</v>
      </c>
      <c r="P655" s="70">
        <f>((MAX('Max rate concentrations'!Y:Y))*0.62*6.01*8*(12.3*F655^0.65)*0.079*0.1/F655)*inputs!$E$73/inputs!$E$74</f>
        <v>26.828570304438536</v>
      </c>
      <c r="Q655" s="70">
        <f>(inputs!$C$18*11.2*(12.3*F655^0.65)*0.5/F655)*inputs!$E$73/inputs!$E$74</f>
        <v>14.177178360240134</v>
      </c>
      <c r="R655" s="60">
        <f>(60*379*((F655/1000)^0.8)*3*24*(MAX('Max rate concentrations'!$R$3:$R$368))/F655)*(inputs!$E$73/inputs!$E$75)</f>
        <v>2.1973473414361164E-2</v>
      </c>
      <c r="S655" s="60">
        <f>(IF(inputs!$C$17="aerial",((0.025*0.112*inputs!$C$18/3.3)*(3*60*379*((F655/1000)^0.8))*MAX(inputs!$I$14:$I$16))/F655,((0.0083*0.112*inputs!$C$18/1)*(3*60*379*((F655/1000)^0.8))*MAX(inputs!$I$14:$I$16))/F655))*(inputs!E$75/inputs!$E$73)</f>
        <v>0.12118505589325612</v>
      </c>
      <c r="T655" s="63">
        <f>IF((((inputs!$P$13/(V655/MAX(K655:S655)))^(1/inputs!$O$13))-1)/inputs!$N$13&lt;0, 0, IF((((inputs!$P$13/(V655/MAX(K655:S655)))^(1/inputs!$O$13))-1)/inputs!$N$13&lt;inputs!$I$17, (((inputs!$P$13/(V655/MAX(K655:S655)))^(1/inputs!$O$13))-1)/inputs!$N$13, inputs!$I$17))</f>
        <v>350.18048166516036</v>
      </c>
      <c r="U655" s="63">
        <f>IF((((inputs!$P$13/(X655/MAX(K655:S655)))^(1/inputs!$O$13))-1)/inputs!$N$13&lt;0, 0, IF((((inputs!$P$13/(X655/MAX(K655:S655)))^(1/inputs!$O$13))-1)/inputs!$N$13&lt;inputs!$I$17, (((inputs!$P$13/(X655/MAX(K655:S655)))^(1/inputs!$O$13))-1)/inputs!$N$13, inputs!$I$17))</f>
        <v>11.398316132975109</v>
      </c>
      <c r="V655" s="54">
        <f>inputs!$E$70*(inputs!$F$70/F655)^(0.25)</f>
        <v>2.116152497946318</v>
      </c>
      <c r="W655" s="54">
        <f>inputs!$E$76*(inputs!$F$76/F655)^(0.25)</f>
        <v>0.63649875844872272</v>
      </c>
      <c r="X655" s="54">
        <f>inputs!$E$72*(inputs!$F$72/F655)^(0.25)</f>
        <v>93.359669027043438</v>
      </c>
      <c r="Y655" s="54" t="s">
        <v>13</v>
      </c>
      <c r="Z655" s="106">
        <f t="shared" si="72"/>
        <v>174.84894346188153</v>
      </c>
      <c r="AA655" s="106">
        <f t="shared" si="73"/>
        <v>581.31618256713921</v>
      </c>
    </row>
    <row r="656" spans="1:27" x14ac:dyDescent="0.25">
      <c r="A656" s="55" t="s">
        <v>576</v>
      </c>
      <c r="B656" s="49" t="s">
        <v>577</v>
      </c>
      <c r="C656" s="21" t="s">
        <v>61</v>
      </c>
      <c r="D656" s="20" t="s">
        <v>443</v>
      </c>
      <c r="E656" s="20">
        <v>4228</v>
      </c>
      <c r="F656" s="21">
        <v>32</v>
      </c>
      <c r="G656" s="21" t="s">
        <v>154</v>
      </c>
      <c r="H656" s="21">
        <v>9.2999999999999999E-2</v>
      </c>
      <c r="I656" s="68">
        <f>MAX('Max rate concentrations'!$G$3:$G$368)</f>
        <v>45</v>
      </c>
      <c r="J656" s="68">
        <f>MAX('Max rate concentrations'!Z:Z)</f>
        <v>21</v>
      </c>
      <c r="K656" s="70">
        <f t="shared" si="70"/>
        <v>6.799100118892599</v>
      </c>
      <c r="L656" s="70">
        <f t="shared" si="71"/>
        <v>3.1729133888165459</v>
      </c>
      <c r="M656" s="70">
        <f>IF((((0.326*F656^0.818)-(0.398*F656^0.85)/(1-H656)*H656)*(MAX('Max rate concentrations'!$P$3:$P$368)))/F656&gt;0, (((0.326*F656^0.818)-(0.398*F656^0.85)/(1-H656)*H656)*(MAX('Max rate concentrations'!$P$3:$P$368)))/F656, 0)</f>
        <v>0.12996003806457793</v>
      </c>
      <c r="N656" s="70">
        <f>IF((((0.326*F656^0.818)-(0.398*F656^0.85)/(1-H656)*H656)*(MAX('Max rate concentrations'!$Q$3:$Q$368)))/F656&gt; 0, (((0.326*F656^0.818)-(0.398*F656^0.85)/(1-H656)*H656)*(MAX('Max rate concentrations'!$Q$3:$Q$368)))/F656, 0)</f>
        <v>0.49489480792175722</v>
      </c>
      <c r="O656" s="70">
        <f>((MAX('Max rate concentrations'!$F$3:$F$368))*0.62*6.01*8*(12.3*F656^0.65)*0.079*0.1/F656)*inputs!$E$73/inputs!$E$74</f>
        <v>80.485710913315614</v>
      </c>
      <c r="P656" s="70">
        <f>((MAX('Max rate concentrations'!Y:Y))*0.62*6.01*8*(12.3*F656^0.65)*0.079*0.1/F656)*inputs!$E$73/inputs!$E$74</f>
        <v>26.828570304438536</v>
      </c>
      <c r="Q656" s="70">
        <f>(inputs!$C$18*11.2*(12.3*F656^0.65)*0.5/F656)*inputs!$E$73/inputs!$E$74</f>
        <v>14.177178360240134</v>
      </c>
      <c r="R656" s="60">
        <f>(60*379*((F656/1000)^0.8)*3*24*(MAX('Max rate concentrations'!$R$3:$R$368))/F656)*(inputs!$E$73/inputs!$E$75)</f>
        <v>2.1973473414361164E-2</v>
      </c>
      <c r="S656" s="60">
        <f>(IF(inputs!$C$17="aerial",((0.025*0.112*inputs!$C$18/3.3)*(3*60*379*((F656/1000)^0.8))*MAX(inputs!$I$14:$I$16))/F656,((0.0083*0.112*inputs!$C$18/1)*(3*60*379*((F656/1000)^0.8))*MAX(inputs!$I$14:$I$16))/F656))*(inputs!E$75/inputs!$E$73)</f>
        <v>0.12118505589325612</v>
      </c>
      <c r="T656" s="63">
        <f>IF((((inputs!$P$13/(V656/MAX(K656:S656)))^(1/inputs!$O$13))-1)/inputs!$N$13&lt;0, 0, IF((((inputs!$P$13/(V656/MAX(K656:S656)))^(1/inputs!$O$13))-1)/inputs!$N$13&lt;inputs!$I$17, (((inputs!$P$13/(V656/MAX(K656:S656)))^(1/inputs!$O$13))-1)/inputs!$N$13, inputs!$I$17))</f>
        <v>98.284680593448186</v>
      </c>
      <c r="U656" s="63">
        <f>IF((((inputs!$P$13/(X656/MAX(K656:S656)))^(1/inputs!$O$13))-1)/inputs!$N$13&lt;0, 0, IF((((inputs!$P$13/(X656/MAX(K656:S656)))^(1/inputs!$O$13))-1)/inputs!$N$13&lt;inputs!$I$17, (((inputs!$P$13/(X656/MAX(K656:S656)))^(1/inputs!$O$13))-1)/inputs!$N$13, inputs!$I$17))</f>
        <v>0</v>
      </c>
      <c r="V656" s="54">
        <f>inputs!$E$70*(inputs!$F$70/F656)^(0.25)</f>
        <v>2.116152497946318</v>
      </c>
      <c r="W656" s="54">
        <f>inputs!$E$76*(inputs!$F$76/F656)^(0.25)</f>
        <v>0.63649875844872272</v>
      </c>
      <c r="X656" s="54">
        <f>inputs!$E$72*(inputs!$F$72/F656)^(0.25)</f>
        <v>93.359669027043438</v>
      </c>
      <c r="Y656" s="54" t="s">
        <v>13</v>
      </c>
      <c r="Z656" s="106">
        <f t="shared" si="72"/>
        <v>38.033984314185922</v>
      </c>
      <c r="AA656" s="106">
        <f t="shared" si="73"/>
        <v>126.45069584970709</v>
      </c>
    </row>
    <row r="657" spans="1:27" x14ac:dyDescent="0.25">
      <c r="A657" s="55" t="s">
        <v>552</v>
      </c>
      <c r="B657" s="49" t="s">
        <v>553</v>
      </c>
      <c r="C657" s="21" t="s">
        <v>61</v>
      </c>
      <c r="D657" s="20" t="s">
        <v>443</v>
      </c>
      <c r="E657" s="20">
        <v>35</v>
      </c>
      <c r="F657" s="21">
        <v>15</v>
      </c>
      <c r="G657" s="21" t="s">
        <v>182</v>
      </c>
      <c r="H657" s="21">
        <v>0.85</v>
      </c>
      <c r="I657" s="68">
        <f>MAX('Max rate concentrations'!$M$3:$M$368)</f>
        <v>17.092910873809167</v>
      </c>
      <c r="J657" s="68">
        <f>MAX('Max rate concentrations'!AE:AE)</f>
        <v>11.81956602976166</v>
      </c>
      <c r="K657" s="70">
        <f t="shared" si="70"/>
        <v>21.729042046600661</v>
      </c>
      <c r="L657" s="70">
        <f t="shared" si="71"/>
        <v>15.025401415202587</v>
      </c>
      <c r="M657" s="70">
        <f>IF((((0.326*F657^0.818)-(0.398*F657^0.85)/(1-H657)*H657)*(MAX('Max rate concentrations'!$P$3:$P$368)))/F657&gt;0, (((0.326*F657^0.818)-(0.398*F657^0.85)/(1-H657)*H657)*(MAX('Max rate concentrations'!$P$3:$P$368)))/F657, 0)</f>
        <v>0</v>
      </c>
      <c r="N657" s="70">
        <f>IF((((0.326*F657^0.818)-(0.398*F657^0.85)/(1-H657)*H657)*(MAX('Max rate concentrations'!$Q$3:$Q$368)))/F657&gt; 0, (((0.326*F657^0.818)-(0.398*F657^0.85)/(1-H657)*H657)*(MAX('Max rate concentrations'!$Q$3:$Q$368)))/F657, 0)</f>
        <v>0</v>
      </c>
      <c r="O657" s="70">
        <f>((MAX('Max rate concentrations'!$F$3:$F$368))*0.62*6.01*8*(12.3*F657^0.65)*0.079*0.1/F657)*inputs!$E$73/inputs!$E$74</f>
        <v>104.92750258141861</v>
      </c>
      <c r="P657" s="70">
        <f>((MAX('Max rate concentrations'!Y:Y))*0.62*6.01*8*(12.3*F657^0.65)*0.079*0.1/F657)*inputs!$E$73/inputs!$E$74</f>
        <v>34.9758341938062</v>
      </c>
      <c r="Q657" s="70">
        <f>(inputs!$C$18*11.2*(12.3*F657^0.65)*0.5/F657)*inputs!$E$73/inputs!$E$74</f>
        <v>18.482484680957491</v>
      </c>
      <c r="R657" s="60">
        <f>(60*379*((F657/1000)^0.8)*3*24*(MAX('Max rate concentrations'!$R$3:$R$368))/F657)*(inputs!$E$73/inputs!$E$75)</f>
        <v>2.5568806496861746E-2</v>
      </c>
      <c r="S657" s="60">
        <f>(IF(inputs!$C$17="aerial",((0.025*0.112*inputs!$C$18/3.3)*(3*60*379*((F657/1000)^0.8))*MAX(inputs!$I$14:$I$16))/F657,((0.0083*0.112*inputs!$C$18/1)*(3*60*379*((F657/1000)^0.8))*MAX(inputs!$I$14:$I$16))/F657))*(inputs!E$75/inputs!$E$73)</f>
        <v>0.14101353873443245</v>
      </c>
      <c r="T657" s="63">
        <f>IF((((inputs!$P$13/(V657/MAX(K657:S657)))^(1/inputs!$O$13))-1)/inputs!$N$13&lt;0, 0, IF((((inputs!$P$13/(V657/MAX(K657:S657)))^(1/inputs!$O$13))-1)/inputs!$N$13&lt;inputs!$I$17, (((inputs!$P$13/(V657/MAX(K657:S657)))^(1/inputs!$O$13))-1)/inputs!$N$13, inputs!$I$17))</f>
        <v>104.82537355984883</v>
      </c>
      <c r="U657" s="63">
        <f>IF((((inputs!$P$13/(X657/MAX(K657:S657)))^(1/inputs!$O$13))-1)/inputs!$N$13&lt;0, 0, IF((((inputs!$P$13/(X657/MAX(K657:S657)))^(1/inputs!$O$13))-1)/inputs!$N$13&lt;inputs!$I$17, (((inputs!$P$13/(X657/MAX(K657:S657)))^(1/inputs!$O$13))-1)/inputs!$N$13, inputs!$I$17))</f>
        <v>0</v>
      </c>
      <c r="V657" s="54">
        <f>inputs!$E$70*(inputs!$F$70/F657)^(0.25)</f>
        <v>2.5574764377400299</v>
      </c>
      <c r="W657" s="54">
        <f>inputs!$E$76*(inputs!$F$76/F657)^(0.25)</f>
        <v>0.76924067569003962</v>
      </c>
      <c r="X657" s="54">
        <f>inputs!$E$72*(inputs!$F$72/F657)^(0.25)</f>
        <v>112.82984284147192</v>
      </c>
      <c r="Y657" s="54" t="s">
        <v>13</v>
      </c>
      <c r="Z657" s="106">
        <f t="shared" si="72"/>
        <v>41.027749477191705</v>
      </c>
      <c r="AA657" s="106">
        <f t="shared" si="73"/>
        <v>136.40399669101538</v>
      </c>
    </row>
    <row r="658" spans="1:27" x14ac:dyDescent="0.25">
      <c r="A658" s="55" t="s">
        <v>552</v>
      </c>
      <c r="B658" s="49" t="s">
        <v>553</v>
      </c>
      <c r="C658" s="21" t="s">
        <v>61</v>
      </c>
      <c r="D658" s="20" t="s">
        <v>443</v>
      </c>
      <c r="E658" s="20">
        <v>35</v>
      </c>
      <c r="F658" s="21">
        <v>15</v>
      </c>
      <c r="G658" s="21" t="s">
        <v>142</v>
      </c>
      <c r="H658" s="21">
        <v>0.69</v>
      </c>
      <c r="I658" s="68">
        <f>MAX('Max rate concentrations'!$H$3:$H$368)</f>
        <v>282</v>
      </c>
      <c r="J658" s="68">
        <f>MAX('Max rate concentrations'!AA:AA)</f>
        <v>195</v>
      </c>
      <c r="K658" s="70">
        <f t="shared" si="70"/>
        <v>173.46155116527132</v>
      </c>
      <c r="L658" s="70">
        <f t="shared" si="71"/>
        <v>119.94681729513441</v>
      </c>
      <c r="M658" s="70">
        <f>IF((((0.326*F658^0.818)-(0.398*F658^0.85)/(1-H658)*H658)*(MAX('Max rate concentrations'!$P$3:$P$368)))/F658&gt;0, (((0.326*F658^0.818)-(0.398*F658^0.85)/(1-H658)*H658)*(MAX('Max rate concentrations'!$P$3:$P$368)))/F658, 0)</f>
        <v>0</v>
      </c>
      <c r="N658" s="70">
        <f>IF((((0.326*F658^0.818)-(0.398*F658^0.85)/(1-H658)*H658)*(MAX('Max rate concentrations'!$Q$3:$Q$368)))/F658&gt; 0, (((0.326*F658^0.818)-(0.398*F658^0.85)/(1-H658)*H658)*(MAX('Max rate concentrations'!$Q$3:$Q$368)))/F658, 0)</f>
        <v>0</v>
      </c>
      <c r="O658" s="70">
        <f>((MAX('Max rate concentrations'!$F$3:$F$368))*0.62*6.01*8*(12.3*F658^0.65)*0.079*0.1/F658)*inputs!$E$73/inputs!$E$74</f>
        <v>104.92750258141861</v>
      </c>
      <c r="P658" s="70">
        <f>((MAX('Max rate concentrations'!Y:Y))*0.62*6.01*8*(12.3*F658^0.65)*0.079*0.1/F658)*inputs!$E$73/inputs!$E$74</f>
        <v>34.9758341938062</v>
      </c>
      <c r="Q658" s="70">
        <f>(inputs!$C$18*11.2*(12.3*F658^0.65)*0.5/F658)*inputs!$E$73/inputs!$E$74</f>
        <v>18.482484680957491</v>
      </c>
      <c r="R658" s="60">
        <f>(60*379*((F658/1000)^0.8)*3*24*(MAX('Max rate concentrations'!$R$3:$R$368))/F658)*(inputs!$E$73/inputs!$E$75)</f>
        <v>2.5568806496861746E-2</v>
      </c>
      <c r="S658" s="60">
        <f>(IF(inputs!$C$17="aerial",((0.025*0.112*inputs!$C$18/3.3)*(3*60*379*((F658/1000)^0.8))*MAX(inputs!$I$14:$I$16))/F658,((0.0083*0.112*inputs!$C$18/1)*(3*60*379*((F658/1000)^0.8))*MAX(inputs!$I$14:$I$16))/F658))*(inputs!E$75/inputs!$E$73)</f>
        <v>0.14101353873443245</v>
      </c>
      <c r="T658" s="63">
        <f>IF((((inputs!$P$13/(V658/MAX(K658:S658)))^(1/inputs!$O$13))-1)/inputs!$N$13&lt;0, 0, IF((((inputs!$P$13/(V658/MAX(K658:S658)))^(1/inputs!$O$13))-1)/inputs!$N$13&lt;inputs!$I$17, (((inputs!$P$13/(V658/MAX(K658:S658)))^(1/inputs!$O$13))-1)/inputs!$N$13, inputs!$I$17))</f>
        <v>160.02380714494274</v>
      </c>
      <c r="U658" s="63">
        <f>IF((((inputs!$P$13/(X658/MAX(K658:S658)))^(1/inputs!$O$13))-1)/inputs!$N$13&lt;0, 0, IF((((inputs!$P$13/(X658/MAX(K658:S658)))^(1/inputs!$O$13))-1)/inputs!$N$13&lt;inputs!$I$17, (((inputs!$P$13/(X658/MAX(K658:S658)))^(1/inputs!$O$13))-1)/inputs!$N$13, inputs!$I$17))</f>
        <v>2.5029327735431672</v>
      </c>
      <c r="V658" s="54">
        <f>inputs!$E$70*(inputs!$F$70/F658)^(0.25)</f>
        <v>2.5574764377400299</v>
      </c>
      <c r="W658" s="54">
        <f>inputs!$E$76*(inputs!$F$76/F658)^(0.25)</f>
        <v>0.76924067569003962</v>
      </c>
      <c r="X658" s="54">
        <f>inputs!$E$72*(inputs!$F$72/F658)^(0.25)</f>
        <v>112.82984284147192</v>
      </c>
      <c r="Y658" s="54" t="s">
        <v>13</v>
      </c>
      <c r="Z658" s="106">
        <f t="shared" si="72"/>
        <v>67.82527831167603</v>
      </c>
      <c r="AA658" s="106">
        <f t="shared" si="73"/>
        <v>225.4971124735043</v>
      </c>
    </row>
    <row r="659" spans="1:27" x14ac:dyDescent="0.25">
      <c r="A659" s="55" t="s">
        <v>552</v>
      </c>
      <c r="B659" s="49" t="s">
        <v>553</v>
      </c>
      <c r="C659" s="21" t="s">
        <v>61</v>
      </c>
      <c r="D659" s="20" t="s">
        <v>443</v>
      </c>
      <c r="E659" s="20">
        <v>35</v>
      </c>
      <c r="F659" s="21">
        <v>15</v>
      </c>
      <c r="G659" s="21" t="s">
        <v>152</v>
      </c>
      <c r="H659" s="21">
        <v>0.77</v>
      </c>
      <c r="I659" s="68">
        <f>MAX('Max rate concentrations'!$G$3:$G$368)</f>
        <v>45</v>
      </c>
      <c r="J659" s="68">
        <f>MAX('Max rate concentrations'!Z:Z)</f>
        <v>21</v>
      </c>
      <c r="K659" s="70">
        <f t="shared" si="70"/>
        <v>37.307872937951515</v>
      </c>
      <c r="L659" s="70">
        <f t="shared" si="71"/>
        <v>17.410340704377372</v>
      </c>
      <c r="M659" s="70">
        <f>IF((((0.326*F659^0.818)-(0.398*F659^0.85)/(1-H659)*H659)*(MAX('Max rate concentrations'!$P$3:$P$368)))/F659&gt;0, (((0.326*F659^0.818)-(0.398*F659^0.85)/(1-H659)*H659)*(MAX('Max rate concentrations'!$P$3:$P$368)))/F659, 0)</f>
        <v>0</v>
      </c>
      <c r="N659" s="70">
        <f>IF((((0.326*F659^0.818)-(0.398*F659^0.85)/(1-H659)*H659)*(MAX('Max rate concentrations'!$Q$3:$Q$368)))/F659&gt; 0, (((0.326*F659^0.818)-(0.398*F659^0.85)/(1-H659)*H659)*(MAX('Max rate concentrations'!$Q$3:$Q$368)))/F659, 0)</f>
        <v>0</v>
      </c>
      <c r="O659" s="70">
        <f>((MAX('Max rate concentrations'!$F$3:$F$368))*0.62*6.01*8*(12.3*F659^0.65)*0.079*0.1/F659)*inputs!$E$73/inputs!$E$74</f>
        <v>104.92750258141861</v>
      </c>
      <c r="P659" s="70">
        <f>((MAX('Max rate concentrations'!Y:Y))*0.62*6.01*8*(12.3*F659^0.65)*0.079*0.1/F659)*inputs!$E$73/inputs!$E$74</f>
        <v>34.9758341938062</v>
      </c>
      <c r="Q659" s="70">
        <f>(inputs!$C$18*11.2*(12.3*F659^0.65)*0.5/F659)*inputs!$E$73/inputs!$E$74</f>
        <v>18.482484680957491</v>
      </c>
      <c r="R659" s="60">
        <f>(60*379*((F659/1000)^0.8)*3*24*(MAX('Max rate concentrations'!$R$3:$R$368))/F659)*(inputs!$E$73/inputs!$E$75)</f>
        <v>2.5568806496861746E-2</v>
      </c>
      <c r="S659" s="60">
        <f>(IF(inputs!$C$17="aerial",((0.025*0.112*inputs!$C$18/3.3)*(3*60*379*((F659/1000)^0.8))*MAX(inputs!$I$14:$I$16))/F659,((0.0083*0.112*inputs!$C$18/1)*(3*60*379*((F659/1000)^0.8))*MAX(inputs!$I$14:$I$16))/F659))*(inputs!E$75/inputs!$E$73)</f>
        <v>0.14101353873443245</v>
      </c>
      <c r="T659" s="63">
        <f>IF((((inputs!$P$13/(V659/MAX(K659:S659)))^(1/inputs!$O$13))-1)/inputs!$N$13&lt;0, 0, IF((((inputs!$P$13/(V659/MAX(K659:S659)))^(1/inputs!$O$13))-1)/inputs!$N$13&lt;inputs!$I$17, (((inputs!$P$13/(V659/MAX(K659:S659)))^(1/inputs!$O$13))-1)/inputs!$N$13, inputs!$I$17))</f>
        <v>104.82537355984883</v>
      </c>
      <c r="U659" s="63">
        <f>IF((((inputs!$P$13/(X659/MAX(K659:S659)))^(1/inputs!$O$13))-1)/inputs!$N$13&lt;0, 0, IF((((inputs!$P$13/(X659/MAX(K659:S659)))^(1/inputs!$O$13))-1)/inputs!$N$13&lt;inputs!$I$17, (((inputs!$P$13/(X659/MAX(K659:S659)))^(1/inputs!$O$13))-1)/inputs!$N$13, inputs!$I$17))</f>
        <v>0</v>
      </c>
      <c r="V659" s="54">
        <f>inputs!$E$70*(inputs!$F$70/F659)^(0.25)</f>
        <v>2.5574764377400299</v>
      </c>
      <c r="W659" s="54">
        <f>inputs!$E$76*(inputs!$F$76/F659)^(0.25)</f>
        <v>0.76924067569003962</v>
      </c>
      <c r="X659" s="54">
        <f>inputs!$E$72*(inputs!$F$72/F659)^(0.25)</f>
        <v>112.82984284147192</v>
      </c>
      <c r="Y659" s="54" t="s">
        <v>13</v>
      </c>
      <c r="Z659" s="106">
        <f t="shared" si="72"/>
        <v>41.027749477191705</v>
      </c>
      <c r="AA659" s="106">
        <f t="shared" si="73"/>
        <v>136.40399669101538</v>
      </c>
    </row>
    <row r="660" spans="1:27" x14ac:dyDescent="0.25">
      <c r="A660" s="55" t="s">
        <v>552</v>
      </c>
      <c r="B660" s="49" t="s">
        <v>553</v>
      </c>
      <c r="C660" s="21" t="s">
        <v>61</v>
      </c>
      <c r="D660" s="20" t="s">
        <v>443</v>
      </c>
      <c r="E660" s="20">
        <v>35</v>
      </c>
      <c r="F660" s="21">
        <v>15</v>
      </c>
      <c r="G660" s="21" t="s">
        <v>169</v>
      </c>
      <c r="H660" s="21">
        <v>0.79</v>
      </c>
      <c r="I660" s="68">
        <f>MAX('Max rate concentrations'!$D$3:$D$368)</f>
        <v>720</v>
      </c>
      <c r="J660" s="68">
        <f>MAX('Max rate concentrations'!W:W)</f>
        <v>255</v>
      </c>
      <c r="K660" s="70">
        <f t="shared" si="70"/>
        <v>653.77605910315049</v>
      </c>
      <c r="L660" s="70">
        <f t="shared" si="71"/>
        <v>231.54568759903245</v>
      </c>
      <c r="M660" s="70">
        <f>IF((((0.326*F660^0.818)-(0.398*F660^0.85)/(1-H660)*H660)*(MAX('Max rate concentrations'!$P$3:$P$368)))/F660&gt;0, (((0.326*F660^0.818)-(0.398*F660^0.85)/(1-H660)*H660)*(MAX('Max rate concentrations'!$P$3:$P$368)))/F660, 0)</f>
        <v>0</v>
      </c>
      <c r="N660" s="70">
        <f>IF((((0.326*F660^0.818)-(0.398*F660^0.85)/(1-H660)*H660)*(MAX('Max rate concentrations'!$Q$3:$Q$368)))/F660&gt; 0, (((0.326*F660^0.818)-(0.398*F660^0.85)/(1-H660)*H660)*(MAX('Max rate concentrations'!$Q$3:$Q$368)))/F660, 0)</f>
        <v>0</v>
      </c>
      <c r="O660" s="70">
        <f>((MAX('Max rate concentrations'!$F$3:$F$368))*0.62*6.01*8*(12.3*F660^0.65)*0.079*0.1/F660)*inputs!$E$73/inputs!$E$74</f>
        <v>104.92750258141861</v>
      </c>
      <c r="P660" s="70">
        <f>((MAX('Max rate concentrations'!Y:Y))*0.62*6.01*8*(12.3*F660^0.65)*0.079*0.1/F660)*inputs!$E$73/inputs!$E$74</f>
        <v>34.9758341938062</v>
      </c>
      <c r="Q660" s="70">
        <f>(inputs!$C$18*11.2*(12.3*F660^0.65)*0.5/F660)*inputs!$E$73/inputs!$E$74</f>
        <v>18.482484680957491</v>
      </c>
      <c r="R660" s="60">
        <f>(60*379*((F660/1000)^0.8)*3*24*(MAX('Max rate concentrations'!$R$3:$R$368))/F660)*(inputs!$E$73/inputs!$E$75)</f>
        <v>2.5568806496861746E-2</v>
      </c>
      <c r="S660" s="60">
        <f>(IF(inputs!$C$17="aerial",((0.025*0.112*inputs!$C$18/3.3)*(3*60*379*((F660/1000)^0.8))*MAX(inputs!$I$14:$I$16))/F660,((0.0083*0.112*inputs!$C$18/1)*(3*60*379*((F660/1000)^0.8))*MAX(inputs!$I$14:$I$16))/F660))*(inputs!E$75/inputs!$E$73)</f>
        <v>0.14101353873443245</v>
      </c>
      <c r="T660" s="63">
        <f>IF((((inputs!$P$13/(V660/MAX(K660:S660)))^(1/inputs!$O$13))-1)/inputs!$N$13&lt;0, 0, IF((((inputs!$P$13/(V660/MAX(K660:S660)))^(1/inputs!$O$13))-1)/inputs!$N$13&lt;inputs!$I$17, (((inputs!$P$13/(V660/MAX(K660:S660)))^(1/inputs!$O$13))-1)/inputs!$N$13, inputs!$I$17))</f>
        <v>477.96547013985492</v>
      </c>
      <c r="U660" s="63">
        <f>IF((((inputs!$P$13/(X660/MAX(K660:S660)))^(1/inputs!$O$13))-1)/inputs!$N$13&lt;0, 0, IF((((inputs!$P$13/(X660/MAX(K660:S660)))^(1/inputs!$O$13))-1)/inputs!$N$13&lt;inputs!$I$17, (((inputs!$P$13/(X660/MAX(K660:S660)))^(1/inputs!$O$13))-1)/inputs!$N$13, inputs!$I$17))</f>
        <v>17.375999866301779</v>
      </c>
      <c r="V660" s="54">
        <f>inputs!$E$70*(inputs!$F$70/F660)^(0.25)</f>
        <v>2.5574764377400299</v>
      </c>
      <c r="W660" s="54">
        <f>inputs!$E$76*(inputs!$F$76/F660)^(0.25)</f>
        <v>0.76924067569003962</v>
      </c>
      <c r="X660" s="54">
        <f>inputs!$E$72*(inputs!$F$72/F660)^(0.25)</f>
        <v>112.82984284147192</v>
      </c>
      <c r="Y660" s="54" t="s">
        <v>13</v>
      </c>
      <c r="Z660" s="106">
        <f t="shared" si="72"/>
        <v>255.63326780084591</v>
      </c>
      <c r="AA660" s="106">
        <f t="shared" si="73"/>
        <v>849.8979315110804</v>
      </c>
    </row>
    <row r="661" spans="1:27" x14ac:dyDescent="0.25">
      <c r="A661" s="55" t="s">
        <v>552</v>
      </c>
      <c r="B661" s="49" t="s">
        <v>553</v>
      </c>
      <c r="C661" s="21" t="s">
        <v>61</v>
      </c>
      <c r="D661" s="20" t="s">
        <v>443</v>
      </c>
      <c r="E661" s="20">
        <v>35</v>
      </c>
      <c r="F661" s="21">
        <v>15</v>
      </c>
      <c r="G661" s="21" t="s">
        <v>177</v>
      </c>
      <c r="H661" s="21">
        <v>0.85</v>
      </c>
      <c r="I661" s="68">
        <f>MAX('Max rate concentrations'!$F$3:$F$368)</f>
        <v>405</v>
      </c>
      <c r="J661" s="68">
        <f>MAX('Max rate concentrations'!Y:Y)</f>
        <v>135</v>
      </c>
      <c r="K661" s="70">
        <f t="shared" si="70"/>
        <v>514.84864654373075</v>
      </c>
      <c r="L661" s="70">
        <f t="shared" si="71"/>
        <v>171.61621551457694</v>
      </c>
      <c r="M661" s="70">
        <f>IF((((0.326*F661^0.818)-(0.398*F661^0.85)/(1-H661)*H661)*(MAX('Max rate concentrations'!$P$3:$P$368)))/F661&gt;0, (((0.326*F661^0.818)-(0.398*F661^0.85)/(1-H661)*H661)*(MAX('Max rate concentrations'!$P$3:$P$368)))/F661, 0)</f>
        <v>0</v>
      </c>
      <c r="N661" s="70">
        <f>IF((((0.326*F661^0.818)-(0.398*F661^0.85)/(1-H661)*H661)*(MAX('Max rate concentrations'!$Q$3:$Q$368)))/F661&gt; 0, (((0.326*F661^0.818)-(0.398*F661^0.85)/(1-H661)*H661)*(MAX('Max rate concentrations'!$Q$3:$Q$368)))/F661, 0)</f>
        <v>0</v>
      </c>
      <c r="O661" s="70">
        <f>((MAX('Max rate concentrations'!$F$3:$F$368))*0.62*6.01*8*(12.3*F661^0.65)*0.079*0.1/F661)*inputs!$E$73/inputs!$E$74</f>
        <v>104.92750258141861</v>
      </c>
      <c r="P661" s="70">
        <f>((MAX('Max rate concentrations'!Y:Y))*0.62*6.01*8*(12.3*F661^0.65)*0.079*0.1/F661)*inputs!$E$73/inputs!$E$74</f>
        <v>34.9758341938062</v>
      </c>
      <c r="Q661" s="70">
        <f>(inputs!$C$18*11.2*(12.3*F661^0.65)*0.5/F661)*inputs!$E$73/inputs!$E$74</f>
        <v>18.482484680957491</v>
      </c>
      <c r="R661" s="60">
        <f>(60*379*((F661/1000)^0.8)*3*24*(MAX('Max rate concentrations'!$R$3:$R$368))/F661)*(inputs!$E$73/inputs!$E$75)</f>
        <v>2.5568806496861746E-2</v>
      </c>
      <c r="S661" s="60">
        <f>(IF(inputs!$C$17="aerial",((0.025*0.112*inputs!$C$18/3.3)*(3*60*379*((F661/1000)^0.8))*MAX(inputs!$I$14:$I$16))/F661,((0.0083*0.112*inputs!$C$18/1)*(3*60*379*((F661/1000)^0.8))*MAX(inputs!$I$14:$I$16))/F661))*(inputs!E$75/inputs!$E$73)</f>
        <v>0.14101353873443245</v>
      </c>
      <c r="T661" s="63">
        <f>IF((((inputs!$P$13/(V661/MAX(K661:S661)))^(1/inputs!$O$13))-1)/inputs!$N$13&lt;0, 0, IF((((inputs!$P$13/(V661/MAX(K661:S661)))^(1/inputs!$O$13))-1)/inputs!$N$13&lt;inputs!$I$17, (((inputs!$P$13/(V661/MAX(K661:S661)))^(1/inputs!$O$13))-1)/inputs!$N$13, inputs!$I$17))</f>
        <v>393.08293222437743</v>
      </c>
      <c r="U661" s="63">
        <f>IF((((inputs!$P$13/(X661/MAX(K661:S661)))^(1/inputs!$O$13))-1)/inputs!$N$13&lt;0, 0, IF((((inputs!$P$13/(X661/MAX(K661:S661)))^(1/inputs!$O$13))-1)/inputs!$N$13&lt;inputs!$I$17, (((inputs!$P$13/(X661/MAX(K661:S661)))^(1/inputs!$O$13))-1)/inputs!$N$13, inputs!$I$17))</f>
        <v>13.405259858438381</v>
      </c>
      <c r="V661" s="54">
        <f>inputs!$E$70*(inputs!$F$70/F661)^(0.25)</f>
        <v>2.5574764377400299</v>
      </c>
      <c r="W661" s="54">
        <f>inputs!$E$76*(inputs!$F$76/F661)^(0.25)</f>
        <v>0.76924067569003962</v>
      </c>
      <c r="X661" s="54">
        <f>inputs!$E$72*(inputs!$F$72/F661)^(0.25)</f>
        <v>112.82984284147192</v>
      </c>
      <c r="Y661" s="54" t="s">
        <v>13</v>
      </c>
      <c r="Z661" s="106">
        <f t="shared" si="72"/>
        <v>201.31119839316605</v>
      </c>
      <c r="AA661" s="106">
        <f t="shared" si="73"/>
        <v>669.29462106497544</v>
      </c>
    </row>
    <row r="662" spans="1:27" x14ac:dyDescent="0.25">
      <c r="A662" s="55" t="s">
        <v>552</v>
      </c>
      <c r="B662" s="49" t="s">
        <v>553</v>
      </c>
      <c r="C662" s="21" t="s">
        <v>61</v>
      </c>
      <c r="D662" s="20" t="s">
        <v>443</v>
      </c>
      <c r="E662" s="20">
        <v>35</v>
      </c>
      <c r="F662" s="21">
        <v>15</v>
      </c>
      <c r="G662" s="21" t="s">
        <v>456</v>
      </c>
      <c r="H662" s="21">
        <v>0.68</v>
      </c>
      <c r="I662" s="68">
        <f>MAX('Max rate concentrations'!$J$3:$J$368)</f>
        <v>686.46486205830786</v>
      </c>
      <c r="J662" s="68">
        <f>MAX('Max rate concentrations'!AB:AB)</f>
        <v>243.122971978984</v>
      </c>
      <c r="K662" s="70">
        <f t="shared" si="70"/>
        <v>409.05729760480182</v>
      </c>
      <c r="L662" s="70">
        <f t="shared" si="71"/>
        <v>144.87445956836729</v>
      </c>
      <c r="M662" s="70">
        <f>IF((((0.326*F662^0.818)-(0.398*F662^0.85)/(1-H662)*H662)*(MAX('Max rate concentrations'!$P$3:$P$368)))/F662&gt;0, (((0.326*F662^0.818)-(0.398*F662^0.85)/(1-H662)*H662)*(MAX('Max rate concentrations'!$P$3:$P$368)))/F662, 0)</f>
        <v>0</v>
      </c>
      <c r="N662" s="70">
        <f>IF((((0.326*F662^0.818)-(0.398*F662^0.85)/(1-H662)*H662)*(MAX('Max rate concentrations'!$Q$3:$Q$368)))/F662&gt; 0, (((0.326*F662^0.818)-(0.398*F662^0.85)/(1-H662)*H662)*(MAX('Max rate concentrations'!$Q$3:$Q$368)))/F662, 0)</f>
        <v>0</v>
      </c>
      <c r="O662" s="70">
        <f>((MAX('Max rate concentrations'!$F$3:$F$368))*0.62*6.01*8*(12.3*F662^0.65)*0.079*0.1/F662)*inputs!$E$73/inputs!$E$74</f>
        <v>104.92750258141861</v>
      </c>
      <c r="P662" s="70">
        <f>((MAX('Max rate concentrations'!Y:Y))*0.62*6.01*8*(12.3*F662^0.65)*0.079*0.1/F662)*inputs!$E$73/inputs!$E$74</f>
        <v>34.9758341938062</v>
      </c>
      <c r="Q662" s="70">
        <f>(inputs!$C$18*11.2*(12.3*F662^0.65)*0.5/F662)*inputs!$E$73/inputs!$E$74</f>
        <v>18.482484680957491</v>
      </c>
      <c r="R662" s="60">
        <f>(60*379*((F662/1000)^0.8)*3*24*(MAX('Max rate concentrations'!$R$3:$R$368))/F662)*(inputs!$E$73/inputs!$E$75)</f>
        <v>2.5568806496861746E-2</v>
      </c>
      <c r="S662" s="60">
        <f>(IF(inputs!$C$17="aerial",((0.025*0.112*inputs!$C$18/3.3)*(3*60*379*((F662/1000)^0.8))*MAX(inputs!$I$14:$I$16))/F662,((0.0083*0.112*inputs!$C$18/1)*(3*60*379*((F662/1000)^0.8))*MAX(inputs!$I$14:$I$16))/F662))*(inputs!E$75/inputs!$E$73)</f>
        <v>0.14101353873443245</v>
      </c>
      <c r="T662" s="63">
        <f>IF((((inputs!$P$13/(V662/MAX(K662:S662)))^(1/inputs!$O$13))-1)/inputs!$N$13&lt;0, 0, IF((((inputs!$P$13/(V662/MAX(K662:S662)))^(1/inputs!$O$13))-1)/inputs!$N$13&lt;inputs!$I$17, (((inputs!$P$13/(V662/MAX(K662:S662)))^(1/inputs!$O$13))-1)/inputs!$N$13, inputs!$I$17))</f>
        <v>325.47644405914184</v>
      </c>
      <c r="U662" s="63">
        <f>IF((((inputs!$P$13/(X662/MAX(K662:S662)))^(1/inputs!$O$13))-1)/inputs!$N$13&lt;0, 0, IF((((inputs!$P$13/(X662/MAX(K662:S662)))^(1/inputs!$O$13))-1)/inputs!$N$13&lt;inputs!$I$17, (((inputs!$P$13/(X662/MAX(K662:S662)))^(1/inputs!$O$13))-1)/inputs!$N$13, inputs!$I$17))</f>
        <v>10.24268020493939</v>
      </c>
      <c r="V662" s="54">
        <f>inputs!$E$70*(inputs!$F$70/F662)^(0.25)</f>
        <v>2.5574764377400299</v>
      </c>
      <c r="W662" s="54">
        <f>inputs!$E$76*(inputs!$F$76/F662)^(0.25)</f>
        <v>0.76924067569003962</v>
      </c>
      <c r="X662" s="54">
        <f>inputs!$E$72*(inputs!$F$72/F662)^(0.25)</f>
        <v>112.82984284147192</v>
      </c>
      <c r="Y662" s="54" t="s">
        <v>13</v>
      </c>
      <c r="Z662" s="106">
        <f t="shared" si="72"/>
        <v>159.94567596731184</v>
      </c>
      <c r="AA662" s="106">
        <f t="shared" si="73"/>
        <v>531.76763857145374</v>
      </c>
    </row>
    <row r="663" spans="1:27" x14ac:dyDescent="0.25">
      <c r="A663" s="55" t="s">
        <v>552</v>
      </c>
      <c r="B663" s="49" t="s">
        <v>553</v>
      </c>
      <c r="C663" s="21" t="s">
        <v>61</v>
      </c>
      <c r="D663" s="20" t="s">
        <v>443</v>
      </c>
      <c r="E663" s="20">
        <v>35</v>
      </c>
      <c r="F663" s="21">
        <v>15</v>
      </c>
      <c r="G663" s="21" t="s">
        <v>145</v>
      </c>
      <c r="H663" s="21">
        <v>0.66</v>
      </c>
      <c r="I663" s="68">
        <f>MAX('Max rate concentrations'!$M$3:$M$368)</f>
        <v>17.092910873809167</v>
      </c>
      <c r="J663" s="68">
        <f>MAX('Max rate concentrations'!AE:AE)</f>
        <v>11.81956602976166</v>
      </c>
      <c r="K663" s="70">
        <f t="shared" si="70"/>
        <v>9.5863420793826482</v>
      </c>
      <c r="L663" s="70">
        <f t="shared" si="71"/>
        <v>6.628853565530556</v>
      </c>
      <c r="M663" s="70">
        <f>IF((((0.326*F663^0.818)-(0.398*F663^0.85)/(1-H663)*H663)*(MAX('Max rate concentrations'!$P$3:$P$368)))/F663&gt;0, (((0.326*F663^0.818)-(0.398*F663^0.85)/(1-H663)*H663)*(MAX('Max rate concentrations'!$P$3:$P$368)))/F663, 0)</f>
        <v>0</v>
      </c>
      <c r="N663" s="70">
        <f>IF((((0.326*F663^0.818)-(0.398*F663^0.85)/(1-H663)*H663)*(MAX('Max rate concentrations'!$Q$3:$Q$368)))/F663&gt; 0, (((0.326*F663^0.818)-(0.398*F663^0.85)/(1-H663)*H663)*(MAX('Max rate concentrations'!$Q$3:$Q$368)))/F663, 0)</f>
        <v>0</v>
      </c>
      <c r="O663" s="70">
        <f>((MAX('Max rate concentrations'!$F$3:$F$368))*0.62*6.01*8*(12.3*F663^0.65)*0.079*0.1/F663)*inputs!$E$73/inputs!$E$74</f>
        <v>104.92750258141861</v>
      </c>
      <c r="P663" s="70">
        <f>((MAX('Max rate concentrations'!Y:Y))*0.62*6.01*8*(12.3*F663^0.65)*0.079*0.1/F663)*inputs!$E$73/inputs!$E$74</f>
        <v>34.9758341938062</v>
      </c>
      <c r="Q663" s="70">
        <f>(inputs!$C$18*11.2*(12.3*F663^0.65)*0.5/F663)*inputs!$E$73/inputs!$E$74</f>
        <v>18.482484680957491</v>
      </c>
      <c r="R663" s="60">
        <f>(60*379*((F663/1000)^0.8)*3*24*(MAX('Max rate concentrations'!$R$3:$R$368))/F663)*(inputs!$E$73/inputs!$E$75)</f>
        <v>2.5568806496861746E-2</v>
      </c>
      <c r="S663" s="60">
        <f>(IF(inputs!$C$17="aerial",((0.025*0.112*inputs!$C$18/3.3)*(3*60*379*((F663/1000)^0.8))*MAX(inputs!$I$14:$I$16))/F663,((0.0083*0.112*inputs!$C$18/1)*(3*60*379*((F663/1000)^0.8))*MAX(inputs!$I$14:$I$16))/F663))*(inputs!E$75/inputs!$E$73)</f>
        <v>0.14101353873443245</v>
      </c>
      <c r="T663" s="63">
        <f>IF((((inputs!$P$13/(V663/MAX(K663:S663)))^(1/inputs!$O$13))-1)/inputs!$N$13&lt;0, 0, IF((((inputs!$P$13/(V663/MAX(K663:S663)))^(1/inputs!$O$13))-1)/inputs!$N$13&lt;inputs!$I$17, (((inputs!$P$13/(V663/MAX(K663:S663)))^(1/inputs!$O$13))-1)/inputs!$N$13, inputs!$I$17))</f>
        <v>104.82537355984883</v>
      </c>
      <c r="U663" s="63">
        <f>IF((((inputs!$P$13/(X663/MAX(K663:S663)))^(1/inputs!$O$13))-1)/inputs!$N$13&lt;0, 0, IF((((inputs!$P$13/(X663/MAX(K663:S663)))^(1/inputs!$O$13))-1)/inputs!$N$13&lt;inputs!$I$17, (((inputs!$P$13/(X663/MAX(K663:S663)))^(1/inputs!$O$13))-1)/inputs!$N$13, inputs!$I$17))</f>
        <v>0</v>
      </c>
      <c r="V663" s="54">
        <f>inputs!$E$70*(inputs!$F$70/F663)^(0.25)</f>
        <v>2.5574764377400299</v>
      </c>
      <c r="W663" s="54">
        <f>inputs!$E$76*(inputs!$F$76/F663)^(0.25)</f>
        <v>0.76924067569003962</v>
      </c>
      <c r="X663" s="54">
        <f>inputs!$E$72*(inputs!$F$72/F663)^(0.25)</f>
        <v>112.82984284147192</v>
      </c>
      <c r="Y663" s="54" t="s">
        <v>13</v>
      </c>
      <c r="Z663" s="106">
        <f t="shared" si="72"/>
        <v>41.027749477191705</v>
      </c>
      <c r="AA663" s="106">
        <f t="shared" si="73"/>
        <v>136.40399669101538</v>
      </c>
    </row>
    <row r="664" spans="1:27" x14ac:dyDescent="0.25">
      <c r="A664" s="55" t="s">
        <v>552</v>
      </c>
      <c r="B664" s="49" t="s">
        <v>553</v>
      </c>
      <c r="C664" s="21" t="s">
        <v>61</v>
      </c>
      <c r="D664" s="20" t="s">
        <v>443</v>
      </c>
      <c r="E664" s="20">
        <v>35</v>
      </c>
      <c r="F664" s="21">
        <v>15</v>
      </c>
      <c r="G664" s="21" t="s">
        <v>154</v>
      </c>
      <c r="H664" s="21">
        <v>9.2999999999999999E-2</v>
      </c>
      <c r="I664" s="68">
        <f>MAX('Max rate concentrations'!$G$3:$G$368)</f>
        <v>45</v>
      </c>
      <c r="J664" s="68">
        <f>MAX('Max rate concentrations'!Z:Z)</f>
        <v>21</v>
      </c>
      <c r="K664" s="70">
        <f t="shared" si="70"/>
        <v>9.4606513514099753</v>
      </c>
      <c r="L664" s="70">
        <f t="shared" si="71"/>
        <v>4.4149706306579883</v>
      </c>
      <c r="M664" s="70">
        <f>IF((((0.326*F664^0.818)-(0.398*F664^0.85)/(1-H664)*H664)*(MAX('Max rate concentrations'!$P$3:$P$368)))/F664&gt;0, (((0.326*F664^0.818)-(0.398*F664^0.85)/(1-H664)*H664)*(MAX('Max rate concentrations'!$P$3:$P$368)))/F664, 0)</f>
        <v>0.1497569099960554</v>
      </c>
      <c r="N664" s="70">
        <f>IF((((0.326*F664^0.818)-(0.398*F664^0.85)/(1-H664)*H664)*(MAX('Max rate concentrations'!$Q$3:$Q$368)))/F664&gt; 0, (((0.326*F664^0.818)-(0.398*F664^0.85)/(1-H664)*H664)*(MAX('Max rate concentrations'!$Q$3:$Q$368)))/F664, 0)</f>
        <v>0.57028235995611254</v>
      </c>
      <c r="O664" s="70">
        <f>((MAX('Max rate concentrations'!$F$3:$F$368))*0.62*6.01*8*(12.3*F664^0.65)*0.079*0.1/F664)*inputs!$E$73/inputs!$E$74</f>
        <v>104.92750258141861</v>
      </c>
      <c r="P664" s="70">
        <f>((MAX('Max rate concentrations'!Y:Y))*0.62*6.01*8*(12.3*F664^0.65)*0.079*0.1/F664)*inputs!$E$73/inputs!$E$74</f>
        <v>34.9758341938062</v>
      </c>
      <c r="Q664" s="70">
        <f>(inputs!$C$18*11.2*(12.3*F664^0.65)*0.5/F664)*inputs!$E$73/inputs!$E$74</f>
        <v>18.482484680957491</v>
      </c>
      <c r="R664" s="60">
        <f>(60*379*((F664/1000)^0.8)*3*24*(MAX('Max rate concentrations'!$R$3:$R$368))/F664)*(inputs!$E$73/inputs!$E$75)</f>
        <v>2.5568806496861746E-2</v>
      </c>
      <c r="S664" s="60">
        <f>(IF(inputs!$C$17="aerial",((0.025*0.112*inputs!$C$18/3.3)*(3*60*379*((F664/1000)^0.8))*MAX(inputs!$I$14:$I$16))/F664,((0.0083*0.112*inputs!$C$18/1)*(3*60*379*((F664/1000)^0.8))*MAX(inputs!$I$14:$I$16))/F664))*(inputs!E$75/inputs!$E$73)</f>
        <v>0.14101353873443245</v>
      </c>
      <c r="T664" s="63">
        <f>IF((((inputs!$P$13/(V664/MAX(K664:S664)))^(1/inputs!$O$13))-1)/inputs!$N$13&lt;0, 0, IF((((inputs!$P$13/(V664/MAX(K664:S664)))^(1/inputs!$O$13))-1)/inputs!$N$13&lt;inputs!$I$17, (((inputs!$P$13/(V664/MAX(K664:S664)))^(1/inputs!$O$13))-1)/inputs!$N$13, inputs!$I$17))</f>
        <v>104.82537355984883</v>
      </c>
      <c r="U664" s="63">
        <f>IF((((inputs!$P$13/(X664/MAX(K664:S664)))^(1/inputs!$O$13))-1)/inputs!$N$13&lt;0, 0, IF((((inputs!$P$13/(X664/MAX(K664:S664)))^(1/inputs!$O$13))-1)/inputs!$N$13&lt;inputs!$I$17, (((inputs!$P$13/(X664/MAX(K664:S664)))^(1/inputs!$O$13))-1)/inputs!$N$13, inputs!$I$17))</f>
        <v>0</v>
      </c>
      <c r="V664" s="54">
        <f>inputs!$E$70*(inputs!$F$70/F664)^(0.25)</f>
        <v>2.5574764377400299</v>
      </c>
      <c r="W664" s="54">
        <f>inputs!$E$76*(inputs!$F$76/F664)^(0.25)</f>
        <v>0.76924067569003962</v>
      </c>
      <c r="X664" s="54">
        <f>inputs!$E$72*(inputs!$F$72/F664)^(0.25)</f>
        <v>112.82984284147192</v>
      </c>
      <c r="Y664" s="54" t="s">
        <v>13</v>
      </c>
      <c r="Z664" s="106">
        <f t="shared" si="72"/>
        <v>41.027749477191705</v>
      </c>
      <c r="AA664" s="106">
        <f t="shared" si="73"/>
        <v>136.40399669101538</v>
      </c>
    </row>
    <row r="665" spans="1:27" x14ac:dyDescent="0.25">
      <c r="A665" s="55" t="s">
        <v>441</v>
      </c>
      <c r="B665" s="49" t="s">
        <v>442</v>
      </c>
      <c r="C665" s="21" t="s">
        <v>61</v>
      </c>
      <c r="D665" s="20" t="s">
        <v>443</v>
      </c>
      <c r="E665" s="20">
        <v>49</v>
      </c>
      <c r="F665" s="21">
        <v>453</v>
      </c>
      <c r="G665" s="21" t="s">
        <v>177</v>
      </c>
      <c r="H665" s="21">
        <v>0.85</v>
      </c>
      <c r="I665" s="68">
        <f>MAX('Max rate concentrations'!$F$3:$F$368)</f>
        <v>405</v>
      </c>
      <c r="J665" s="68">
        <f>MAX('Max rate concentrations'!Y:Y)</f>
        <v>135</v>
      </c>
      <c r="K665" s="70">
        <f t="shared" si="70"/>
        <v>116.51894621442229</v>
      </c>
      <c r="L665" s="70">
        <f t="shared" si="71"/>
        <v>38.839648738140767</v>
      </c>
      <c r="M665" s="70">
        <f>IF((((0.326*F665^0.818)-(0.398*F665^0.85)/(1-H665)*H665)*(MAX('Max rate concentrations'!$P$3:$P$368)))/F665&gt;0, (((0.326*F665^0.818)-(0.398*F665^0.85)/(1-H665)*H665)*(MAX('Max rate concentrations'!$P$3:$P$368)))/F665, 0)</f>
        <v>0</v>
      </c>
      <c r="N665" s="70">
        <f>IF((((0.326*F665^0.818)-(0.398*F665^0.85)/(1-H665)*H665)*(MAX('Max rate concentrations'!$Q$3:$Q$368)))/F665&gt; 0, (((0.326*F665^0.818)-(0.398*F665^0.85)/(1-H665)*H665)*(MAX('Max rate concentrations'!$Q$3:$Q$368)))/F665, 0)</f>
        <v>0</v>
      </c>
      <c r="O665" s="70">
        <f>((MAX('Max rate concentrations'!$F$3:$F$368))*0.62*6.01*8*(12.3*F665^0.65)*0.079*0.1/F665)*inputs!$E$73/inputs!$E$74</f>
        <v>31.83368438463064</v>
      </c>
      <c r="P665" s="70">
        <f>((MAX('Max rate concentrations'!Y:Y))*0.62*6.01*8*(12.3*F665^0.65)*0.079*0.1/F665)*inputs!$E$73/inputs!$E$74</f>
        <v>10.611228128210213</v>
      </c>
      <c r="Q665" s="70">
        <f>(inputs!$C$18*11.2*(12.3*F665^0.65)*0.5/F665)*inputs!$E$73/inputs!$E$74</f>
        <v>5.6073533582944899</v>
      </c>
      <c r="R665" s="60">
        <f>(60*379*((F665/1000)^0.8)*3*24*(MAX('Max rate concentrations'!$R$3:$R$368))/F665)*(inputs!$E$73/inputs!$E$75)</f>
        <v>1.293329155177321E-2</v>
      </c>
      <c r="S665" s="60">
        <f>(IF(inputs!$C$17="aerial",((0.025*0.112*inputs!$C$18/3.3)*(3*60*379*((F665/1000)^0.8))*MAX(inputs!$I$14:$I$16))/F665,((0.0083*0.112*inputs!$C$18/1)*(3*60*379*((F665/1000)^0.8))*MAX(inputs!$I$14:$I$16))/F665))*(inputs!E$75/inputs!$E$73)</f>
        <v>7.1327897507594856E-2</v>
      </c>
      <c r="T665" s="63">
        <f>IF((((inputs!$P$13/(V665/MAX(K665:S665)))^(1/inputs!$O$13))-1)/inputs!$N$13&lt;0, 0, IF((((inputs!$P$13/(V665/MAX(K665:S665)))^(1/inputs!$O$13))-1)/inputs!$N$13&lt;inputs!$I$17, (((inputs!$P$13/(V665/MAX(K665:S665)))^(1/inputs!$O$13))-1)/inputs!$N$13, inputs!$I$17))</f>
        <v>233.33947995998957</v>
      </c>
      <c r="U665" s="63">
        <f>IF((((inputs!$P$13/(X665/MAX(K665:S665)))^(1/inputs!$O$13))-1)/inputs!$N$13&lt;0, 0, IF((((inputs!$P$13/(X665/MAX(K665:S665)))^(1/inputs!$O$13))-1)/inputs!$N$13&lt;inputs!$I$17, (((inputs!$P$13/(X665/MAX(K665:S665)))^(1/inputs!$O$13))-1)/inputs!$N$13, inputs!$I$17))</f>
        <v>5.9325837052814805</v>
      </c>
      <c r="V665" s="54">
        <f>inputs!$E$70*(inputs!$F$70/F665)^(0.25)</f>
        <v>1.0909627079119215</v>
      </c>
      <c r="W665" s="54">
        <f>inputs!$E$76*(inputs!$F$76/F665)^(0.25)</f>
        <v>0.32814100579882199</v>
      </c>
      <c r="X665" s="54">
        <f>inputs!$E$72*(inputs!$F$72/F665)^(0.25)</f>
        <v>48.130707701996535</v>
      </c>
      <c r="Y665" s="54" t="s">
        <v>13</v>
      </c>
      <c r="Z665" s="106">
        <f t="shared" si="72"/>
        <v>106.80378473929413</v>
      </c>
      <c r="AA665" s="106">
        <f t="shared" si="73"/>
        <v>355.08803884711131</v>
      </c>
    </row>
    <row r="666" spans="1:27" x14ac:dyDescent="0.25">
      <c r="A666" s="55" t="s">
        <v>613</v>
      </c>
      <c r="B666" s="49" t="s">
        <v>614</v>
      </c>
      <c r="C666" s="21" t="s">
        <v>61</v>
      </c>
      <c r="D666" s="20" t="s">
        <v>443</v>
      </c>
      <c r="E666" s="20">
        <v>52</v>
      </c>
      <c r="F666" s="21">
        <v>3</v>
      </c>
      <c r="G666" s="21" t="s">
        <v>142</v>
      </c>
      <c r="H666" s="21">
        <v>0.69</v>
      </c>
      <c r="I666" s="68">
        <f>MAX('Max rate concentrations'!$H$3:$H$368)</f>
        <v>282</v>
      </c>
      <c r="J666" s="68">
        <f>MAX('Max rate concentrations'!AA:AA)</f>
        <v>195</v>
      </c>
      <c r="K666" s="70">
        <f t="shared" si="70"/>
        <v>349.90822210259756</v>
      </c>
      <c r="L666" s="70">
        <f t="shared" si="71"/>
        <v>241.95781315605151</v>
      </c>
      <c r="M666" s="70">
        <f>IF((((0.326*F666^0.818)-(0.398*F666^0.85)/(1-H666)*H666)*(MAX('Max rate concentrations'!$P$3:$P$368)))/F666&gt;0, (((0.326*F666^0.818)-(0.398*F666^0.85)/(1-H666)*H666)*(MAX('Max rate concentrations'!$P$3:$P$368)))/F666, 0)</f>
        <v>0</v>
      </c>
      <c r="N666" s="70">
        <f>IF((((0.326*F666^0.818)-(0.398*F666^0.85)/(1-H666)*H666)*(MAX('Max rate concentrations'!$Q$3:$Q$368)))/F666&gt; 0, (((0.326*F666^0.818)-(0.398*F666^0.85)/(1-H666)*H666)*(MAX('Max rate concentrations'!$Q$3:$Q$368)))/F666, 0)</f>
        <v>0</v>
      </c>
      <c r="O666" s="70">
        <f>((MAX('Max rate concentrations'!$F$3:$F$368))*0.62*6.01*8*(12.3*F666^0.65)*0.079*0.1/F666)*inputs!$E$73/inputs!$E$74</f>
        <v>184.30148634064577</v>
      </c>
      <c r="P666" s="70">
        <f>((MAX('Max rate concentrations'!Y:Y))*0.62*6.01*8*(12.3*F666^0.65)*0.079*0.1/F666)*inputs!$E$73/inputs!$E$74</f>
        <v>61.433828780215258</v>
      </c>
      <c r="Q666" s="70">
        <f>(inputs!$C$18*11.2*(12.3*F666^0.65)*0.5/F666)*inputs!$E$73/inputs!$E$74</f>
        <v>32.463837546552874</v>
      </c>
      <c r="R666" s="60">
        <f>(60*379*((F666/1000)^0.8)*3*24*(MAX('Max rate concentrations'!$R$3:$R$368))/F666)*(inputs!$E$73/inputs!$E$75)</f>
        <v>3.5278040731882357E-2</v>
      </c>
      <c r="S666" s="60">
        <f>(IF(inputs!$C$17="aerial",((0.025*0.112*inputs!$C$18/3.3)*(3*60*379*((F666/1000)^0.8))*MAX(inputs!$I$14:$I$16))/F666,((0.0083*0.112*inputs!$C$18/1)*(3*60*379*((F666/1000)^0.8))*MAX(inputs!$I$14:$I$16))/F666))*(inputs!E$75/inputs!$E$73)</f>
        <v>0.19456056205950639</v>
      </c>
      <c r="T666" s="63">
        <f>IF((((inputs!$P$13/(V666/MAX(K666:S666)))^(1/inputs!$O$13))-1)/inputs!$N$13&lt;0, 0, IF((((inputs!$P$13/(V666/MAX(K666:S666)))^(1/inputs!$O$13))-1)/inputs!$N$13&lt;inputs!$I$17, (((inputs!$P$13/(V666/MAX(K666:S666)))^(1/inputs!$O$13))-1)/inputs!$N$13, inputs!$I$17))</f>
        <v>205.28535092561597</v>
      </c>
      <c r="U666" s="63">
        <f>IF((((inputs!$P$13/(X666/MAX(K666:S666)))^(1/inputs!$O$13))-1)/inputs!$N$13&lt;0, 0, IF((((inputs!$P$13/(X666/MAX(K666:S666)))^(1/inputs!$O$13))-1)/inputs!$N$13&lt;inputs!$I$17, (((inputs!$P$13/(X666/MAX(K666:S666)))^(1/inputs!$O$13))-1)/inputs!$N$13, inputs!$I$17))</f>
        <v>4.6202330701782675</v>
      </c>
      <c r="V666" s="54">
        <f>inputs!$E$70*(inputs!$F$70/F666)^(0.25)</f>
        <v>3.8243192741765424</v>
      </c>
      <c r="W666" s="54">
        <f>inputs!$E$76*(inputs!$F$76/F666)^(0.25)</f>
        <v>1.1502831068588888</v>
      </c>
      <c r="X666" s="54">
        <f>inputs!$E$72*(inputs!$F$72/F666)^(0.25)</f>
        <v>168.71996797837687</v>
      </c>
      <c r="Y666" s="54" t="s">
        <v>13</v>
      </c>
      <c r="Z666" s="106">
        <f t="shared" si="72"/>
        <v>91.495556991104067</v>
      </c>
      <c r="AA666" s="106">
        <f t="shared" si="73"/>
        <v>304.19313299149633</v>
      </c>
    </row>
    <row r="667" spans="1:27" x14ac:dyDescent="0.25">
      <c r="A667" s="55" t="s">
        <v>613</v>
      </c>
      <c r="B667" s="49" t="s">
        <v>614</v>
      </c>
      <c r="C667" s="21" t="s">
        <v>61</v>
      </c>
      <c r="D667" s="20" t="s">
        <v>443</v>
      </c>
      <c r="E667" s="20">
        <v>52</v>
      </c>
      <c r="F667" s="21">
        <v>3</v>
      </c>
      <c r="G667" s="21" t="s">
        <v>152</v>
      </c>
      <c r="H667" s="21">
        <v>0.77</v>
      </c>
      <c r="I667" s="68">
        <f>MAX('Max rate concentrations'!$G$3:$G$368)</f>
        <v>45</v>
      </c>
      <c r="J667" s="68">
        <f>MAX('Max rate concentrations'!Z:Z)</f>
        <v>21</v>
      </c>
      <c r="K667" s="70">
        <f t="shared" si="70"/>
        <v>75.257781349541133</v>
      </c>
      <c r="L667" s="70">
        <f t="shared" si="71"/>
        <v>35.120297963119192</v>
      </c>
      <c r="M667" s="70">
        <f>IF((((0.326*F667^0.818)-(0.398*F667^0.85)/(1-H667)*H667)*(MAX('Max rate concentrations'!$P$3:$P$368)))/F667&gt;0, (((0.326*F667^0.818)-(0.398*F667^0.85)/(1-H667)*H667)*(MAX('Max rate concentrations'!$P$3:$P$368)))/F667, 0)</f>
        <v>0</v>
      </c>
      <c r="N667" s="70">
        <f>IF((((0.326*F667^0.818)-(0.398*F667^0.85)/(1-H667)*H667)*(MAX('Max rate concentrations'!$Q$3:$Q$368)))/F667&gt; 0, (((0.326*F667^0.818)-(0.398*F667^0.85)/(1-H667)*H667)*(MAX('Max rate concentrations'!$Q$3:$Q$368)))/F667, 0)</f>
        <v>0</v>
      </c>
      <c r="O667" s="70">
        <f>((MAX('Max rate concentrations'!$F$3:$F$368))*0.62*6.01*8*(12.3*F667^0.65)*0.079*0.1/F667)*inputs!$E$73/inputs!$E$74</f>
        <v>184.30148634064577</v>
      </c>
      <c r="P667" s="70">
        <f>((MAX('Max rate concentrations'!Y:Y))*0.62*6.01*8*(12.3*F667^0.65)*0.079*0.1/F667)*inputs!$E$73/inputs!$E$74</f>
        <v>61.433828780215258</v>
      </c>
      <c r="Q667" s="70">
        <f>(inputs!$C$18*11.2*(12.3*F667^0.65)*0.5/F667)*inputs!$E$73/inputs!$E$74</f>
        <v>32.463837546552874</v>
      </c>
      <c r="R667" s="60">
        <f>(60*379*((F667/1000)^0.8)*3*24*(MAX('Max rate concentrations'!$R$3:$R$368))/F667)*(inputs!$E$73/inputs!$E$75)</f>
        <v>3.5278040731882357E-2</v>
      </c>
      <c r="S667" s="60">
        <f>(IF(inputs!$C$17="aerial",((0.025*0.112*inputs!$C$18/3.3)*(3*60*379*((F667/1000)^0.8))*MAX(inputs!$I$14:$I$16))/F667,((0.0083*0.112*inputs!$C$18/1)*(3*60*379*((F667/1000)^0.8))*MAX(inputs!$I$14:$I$16))/F667))*(inputs!E$75/inputs!$E$73)</f>
        <v>0.19456056205950639</v>
      </c>
      <c r="T667" s="63">
        <f>IF((((inputs!$P$13/(V667/MAX(K667:S667)))^(1/inputs!$O$13))-1)/inputs!$N$13&lt;0, 0, IF((((inputs!$P$13/(V667/MAX(K667:S667)))^(1/inputs!$O$13))-1)/inputs!$N$13&lt;inputs!$I$17, (((inputs!$P$13/(V667/MAX(K667:S667)))^(1/inputs!$O$13))-1)/inputs!$N$13, inputs!$I$17))</f>
        <v>120.12265264587424</v>
      </c>
      <c r="U667" s="63">
        <f>IF((((inputs!$P$13/(X667/MAX(K667:S667)))^(1/inputs!$O$13))-1)/inputs!$N$13&lt;0, 0, IF((((inputs!$P$13/(X667/MAX(K667:S667)))^(1/inputs!$O$13))-1)/inputs!$N$13&lt;inputs!$I$17, (((inputs!$P$13/(X667/MAX(K667:S667)))^(1/inputs!$O$13))-1)/inputs!$N$13, inputs!$I$17))</f>
        <v>0.63638737539360513</v>
      </c>
      <c r="V667" s="54">
        <f>inputs!$E$70*(inputs!$F$70/F667)^(0.25)</f>
        <v>3.8243192741765424</v>
      </c>
      <c r="W667" s="54">
        <f>inputs!$E$76*(inputs!$F$76/F667)^(0.25)</f>
        <v>1.1502831068588888</v>
      </c>
      <c r="X667" s="54">
        <f>inputs!$E$72*(inputs!$F$72/F667)^(0.25)</f>
        <v>168.71996797837687</v>
      </c>
      <c r="Y667" s="54" t="s">
        <v>13</v>
      </c>
      <c r="Z667" s="106">
        <f t="shared" si="72"/>
        <v>48.191971728178949</v>
      </c>
      <c r="AA667" s="106">
        <f t="shared" si="73"/>
        <v>160.22271842618218</v>
      </c>
    </row>
    <row r="668" spans="1:27" ht="26.4" x14ac:dyDescent="0.25">
      <c r="A668" s="55" t="s">
        <v>613</v>
      </c>
      <c r="B668" s="49" t="s">
        <v>614</v>
      </c>
      <c r="C668" s="21" t="s">
        <v>61</v>
      </c>
      <c r="D668" s="20" t="s">
        <v>443</v>
      </c>
      <c r="E668" s="20">
        <v>52</v>
      </c>
      <c r="F668" s="21">
        <v>3</v>
      </c>
      <c r="G668" s="21" t="s">
        <v>580</v>
      </c>
      <c r="H668" s="21">
        <v>0.85</v>
      </c>
      <c r="I668" s="68">
        <f>MAX('Max rate concentrations'!$F$3:$F$368)</f>
        <v>405</v>
      </c>
      <c r="J668" s="68">
        <f>MAX('Max rate concentrations'!Y:Y)</f>
        <v>135</v>
      </c>
      <c r="K668" s="70">
        <f t="shared" si="70"/>
        <v>1038.5573826236671</v>
      </c>
      <c r="L668" s="70">
        <f t="shared" si="71"/>
        <v>346.1857942078891</v>
      </c>
      <c r="M668" s="70">
        <f>IF((((0.326*F668^0.818)-(0.398*F668^0.85)/(1-H668)*H668)*(MAX('Max rate concentrations'!$P$3:$P$368)))/F668&gt;0, (((0.326*F668^0.818)-(0.398*F668^0.85)/(1-H668)*H668)*(MAX('Max rate concentrations'!$P$3:$P$368)))/F668, 0)</f>
        <v>0</v>
      </c>
      <c r="N668" s="70">
        <f>IF((((0.326*F668^0.818)-(0.398*F668^0.85)/(1-H668)*H668)*(MAX('Max rate concentrations'!$Q$3:$Q$368)))/F668&gt; 0, (((0.326*F668^0.818)-(0.398*F668^0.85)/(1-H668)*H668)*(MAX('Max rate concentrations'!$Q$3:$Q$368)))/F668, 0)</f>
        <v>0</v>
      </c>
      <c r="O668" s="70">
        <f>((MAX('Max rate concentrations'!$F$3:$F$368))*0.62*6.01*8*(12.3*F668^0.65)*0.079*0.1/F668)*inputs!$E$73/inputs!$E$74</f>
        <v>184.30148634064577</v>
      </c>
      <c r="P668" s="70">
        <f>((MAX('Max rate concentrations'!Y:Y))*0.62*6.01*8*(12.3*F668^0.65)*0.079*0.1/F668)*inputs!$E$73/inputs!$E$74</f>
        <v>61.433828780215258</v>
      </c>
      <c r="Q668" s="70">
        <f>(inputs!$C$18*11.2*(12.3*F668^0.65)*0.5/F668)*inputs!$E$73/inputs!$E$74</f>
        <v>32.463837546552874</v>
      </c>
      <c r="R668" s="60">
        <f>(60*379*((F668/1000)^0.8)*3*24*(MAX('Max rate concentrations'!$R$3:$R$368))/F668)*(inputs!$E$73/inputs!$E$75)</f>
        <v>3.5278040731882357E-2</v>
      </c>
      <c r="S668" s="60">
        <f>(IF(inputs!$C$17="aerial",((0.025*0.112*inputs!$C$18/3.3)*(3*60*379*((F668/1000)^0.8))*MAX(inputs!$I$14:$I$16))/F668,((0.0083*0.112*inputs!$C$18/1)*(3*60*379*((F668/1000)^0.8))*MAX(inputs!$I$14:$I$16))/F668))*(inputs!E$75/inputs!$E$73)</f>
        <v>0.19456056205950639</v>
      </c>
      <c r="T668" s="63">
        <f>IF((((inputs!$P$13/(V668/MAX(K668:S668)))^(1/inputs!$O$13))-1)/inputs!$N$13&lt;0, 0, IF((((inputs!$P$13/(V668/MAX(K668:S668)))^(1/inputs!$O$13))-1)/inputs!$N$13&lt;inputs!$I$17, (((inputs!$P$13/(V668/MAX(K668:S668)))^(1/inputs!$O$13))-1)/inputs!$N$13, inputs!$I$17))</f>
        <v>502.17829916487045</v>
      </c>
      <c r="U668" s="63">
        <f>IF((((inputs!$P$13/(X668/MAX(K668:S668)))^(1/inputs!$O$13))-1)/inputs!$N$13&lt;0, 0, IF((((inputs!$P$13/(X668/MAX(K668:S668)))^(1/inputs!$O$13))-1)/inputs!$N$13&lt;inputs!$I$17, (((inputs!$P$13/(X668/MAX(K668:S668)))^(1/inputs!$O$13))-1)/inputs!$N$13, inputs!$I$17))</f>
        <v>18.508657433738318</v>
      </c>
      <c r="V668" s="54">
        <f>inputs!$E$70*(inputs!$F$70/F668)^(0.25)</f>
        <v>3.8243192741765424</v>
      </c>
      <c r="W668" s="54">
        <f>inputs!$E$76*(inputs!$F$76/F668)^(0.25)</f>
        <v>1.1502831068588888</v>
      </c>
      <c r="X668" s="54">
        <f>inputs!$E$72*(inputs!$F$72/F668)^(0.25)</f>
        <v>168.71996797837687</v>
      </c>
      <c r="Y668" s="54" t="s">
        <v>13</v>
      </c>
      <c r="Z668" s="106">
        <f t="shared" si="72"/>
        <v>271.56660000551096</v>
      </c>
      <c r="AA668" s="106">
        <f t="shared" si="73"/>
        <v>902.87110749603687</v>
      </c>
    </row>
    <row r="669" spans="1:27" x14ac:dyDescent="0.25">
      <c r="A669" s="55" t="s">
        <v>613</v>
      </c>
      <c r="B669" s="49" t="s">
        <v>614</v>
      </c>
      <c r="C669" s="21" t="s">
        <v>61</v>
      </c>
      <c r="D669" s="20" t="s">
        <v>443</v>
      </c>
      <c r="E669" s="20">
        <v>52</v>
      </c>
      <c r="F669" s="21">
        <v>3</v>
      </c>
      <c r="G669" s="21" t="s">
        <v>154</v>
      </c>
      <c r="H669" s="21">
        <v>9.2999999999999999E-2</v>
      </c>
      <c r="I669" s="68">
        <f>MAX('Max rate concentrations'!$G$3:$G$368)</f>
        <v>45</v>
      </c>
      <c r="J669" s="68">
        <f>MAX('Max rate concentrations'!Z:Z)</f>
        <v>21</v>
      </c>
      <c r="K669" s="70">
        <f t="shared" si="70"/>
        <v>19.084112139354414</v>
      </c>
      <c r="L669" s="70">
        <f t="shared" si="71"/>
        <v>8.9059189983653937</v>
      </c>
      <c r="M669" s="70">
        <f>IF((((0.326*F669^0.818)-(0.398*F669^0.85)/(1-H669)*H669)*(MAX('Max rate concentrations'!$P$3:$P$368)))/F669&gt;0, (((0.326*F669^0.818)-(0.398*F669^0.85)/(1-H669)*H669)*(MAX('Max rate concentrations'!$P$3:$P$368)))/F669, 0)</f>
        <v>0.20231702399008647</v>
      </c>
      <c r="N669" s="70">
        <f>IF((((0.326*F669^0.818)-(0.398*F669^0.85)/(1-H669)*H669)*(MAX('Max rate concentrations'!$Q$3:$Q$368)))/F669&gt; 0, (((0.326*F669^0.818)-(0.398*F669^0.85)/(1-H669)*H669)*(MAX('Max rate concentrations'!$Q$3:$Q$368)))/F669, 0)</f>
        <v>0.77043409818887831</v>
      </c>
      <c r="O669" s="70">
        <f>((MAX('Max rate concentrations'!$F$3:$F$368))*0.62*6.01*8*(12.3*F669^0.65)*0.079*0.1/F669)*inputs!$E$73/inputs!$E$74</f>
        <v>184.30148634064577</v>
      </c>
      <c r="P669" s="70">
        <f>((MAX('Max rate concentrations'!Y:Y))*0.62*6.01*8*(12.3*F669^0.65)*0.079*0.1/F669)*inputs!$E$73/inputs!$E$74</f>
        <v>61.433828780215258</v>
      </c>
      <c r="Q669" s="70">
        <f>(inputs!$C$18*11.2*(12.3*F669^0.65)*0.5/F669)*inputs!$E$73/inputs!$E$74</f>
        <v>32.463837546552874</v>
      </c>
      <c r="R669" s="60">
        <f>(60*379*((F669/1000)^0.8)*3*24*(MAX('Max rate concentrations'!$R$3:$R$368))/F669)*(inputs!$E$73/inputs!$E$75)</f>
        <v>3.5278040731882357E-2</v>
      </c>
      <c r="S669" s="60">
        <f>(IF(inputs!$C$17="aerial",((0.025*0.112*inputs!$C$18/3.3)*(3*60*379*((F669/1000)^0.8))*MAX(inputs!$I$14:$I$16))/F669,((0.0083*0.112*inputs!$C$18/1)*(3*60*379*((F669/1000)^0.8))*MAX(inputs!$I$14:$I$16))/F669))*(inputs!E$75/inputs!$E$73)</f>
        <v>0.19456056205950639</v>
      </c>
      <c r="T669" s="63">
        <f>IF((((inputs!$P$13/(V669/MAX(K669:S669)))^(1/inputs!$O$13))-1)/inputs!$N$13&lt;0, 0, IF((((inputs!$P$13/(V669/MAX(K669:S669)))^(1/inputs!$O$13))-1)/inputs!$N$13&lt;inputs!$I$17, (((inputs!$P$13/(V669/MAX(K669:S669)))^(1/inputs!$O$13))-1)/inputs!$N$13, inputs!$I$17))</f>
        <v>120.12265264587424</v>
      </c>
      <c r="U669" s="63">
        <f>IF((((inputs!$P$13/(X669/MAX(K669:S669)))^(1/inputs!$O$13))-1)/inputs!$N$13&lt;0, 0, IF((((inputs!$P$13/(X669/MAX(K669:S669)))^(1/inputs!$O$13))-1)/inputs!$N$13&lt;inputs!$I$17, (((inputs!$P$13/(X669/MAX(K669:S669)))^(1/inputs!$O$13))-1)/inputs!$N$13, inputs!$I$17))</f>
        <v>0.63638737539360513</v>
      </c>
      <c r="V669" s="54">
        <f>inputs!$E$70*(inputs!$F$70/F669)^(0.25)</f>
        <v>3.8243192741765424</v>
      </c>
      <c r="W669" s="54">
        <f>inputs!$E$76*(inputs!$F$76/F669)^(0.25)</f>
        <v>1.1502831068588888</v>
      </c>
      <c r="X669" s="54">
        <f>inputs!$E$72*(inputs!$F$72/F669)^(0.25)</f>
        <v>168.71996797837687</v>
      </c>
      <c r="Y669" s="54" t="s">
        <v>13</v>
      </c>
      <c r="Z669" s="106">
        <f t="shared" si="72"/>
        <v>48.191971728178949</v>
      </c>
      <c r="AA669" s="106">
        <f t="shared" si="73"/>
        <v>160.22271842618218</v>
      </c>
    </row>
    <row r="670" spans="1:27" ht="39.6" x14ac:dyDescent="0.25">
      <c r="A670" s="55" t="s">
        <v>444</v>
      </c>
      <c r="B670" s="49" t="s">
        <v>445</v>
      </c>
      <c r="C670" s="21" t="s">
        <v>61</v>
      </c>
      <c r="D670" s="20" t="s">
        <v>443</v>
      </c>
      <c r="E670" s="20">
        <v>10178</v>
      </c>
      <c r="F670" s="21">
        <v>25</v>
      </c>
      <c r="G670" s="21" t="s">
        <v>446</v>
      </c>
      <c r="H670" s="21">
        <v>9.2999999999999999E-2</v>
      </c>
      <c r="I670" s="71">
        <f>MAX('Max rate concentrations'!$D$3:$D$368)</f>
        <v>720</v>
      </c>
      <c r="J670" s="71">
        <f>MAX('Max rate concentrations'!W:W)</f>
        <v>255</v>
      </c>
      <c r="K670" s="70">
        <f t="shared" ref="K670:K701" si="74">(((0.621*F670^0.564)/(1-H670)))*I670/F670</f>
        <v>121.14764207121293</v>
      </c>
      <c r="L670" s="70">
        <f t="shared" ref="L670:L701" si="75">(((0.621*F670^0.564)/(1-H670)))*J670/F670</f>
        <v>42.906456566887911</v>
      </c>
      <c r="M670" s="70">
        <f>IF((((0.326*F670^0.818)-(0.398*F670^0.85)/(1-H670)*H670)*(MAX('Max rate concentrations'!$P$3:$P$368)))/F670&gt;0, (((0.326*F670^0.818)-(0.398*F670^0.85)/(1-H670)*H670)*(MAX('Max rate concentrations'!$P$3:$P$368)))/F670, 0)</f>
        <v>0.13610602481667125</v>
      </c>
      <c r="N670" s="70">
        <f>IF((((0.326*F670^0.818)-(0.398*F670^0.85)/(1-H670)*H670)*(MAX('Max rate concentrations'!$Q$3:$Q$368)))/F670&gt; 0, (((0.326*F670^0.818)-(0.398*F670^0.85)/(1-H670)*H670)*(MAX('Max rate concentrations'!$Q$3:$Q$368)))/F670, 0)</f>
        <v>0.51829905570795354</v>
      </c>
      <c r="O670" s="70">
        <f>((MAX('Max rate concentrations'!$F$3:$F$368))*0.62*6.01*8*(12.3*F670^0.65)*0.079*0.1/F670)*inputs!$E$73/inputs!$E$74</f>
        <v>87.749019786766482</v>
      </c>
      <c r="P670" s="70">
        <f>((MAX('Max rate concentrations'!Y:Y))*0.62*6.01*8*(12.3*F670^0.65)*0.079*0.1/F670)*inputs!$E$73/inputs!$E$74</f>
        <v>29.249673262255492</v>
      </c>
      <c r="Q670" s="70">
        <f>(inputs!$C$18*11.2*(12.3*F670^0.65)*0.5/F670)*inputs!$E$73/inputs!$E$74</f>
        <v>15.456575960335032</v>
      </c>
      <c r="R670" s="60">
        <f>(60*379*((F670/1000)^0.8)*3*24*(MAX('Max rate concentrations'!$R$3:$R$368))/F670)*(inputs!$E$73/inputs!$E$75)</f>
        <v>2.3085575552858627E-2</v>
      </c>
      <c r="S670" s="60">
        <f>(IF(inputs!$C$17="aerial",((0.025*0.112*inputs!$C$18/3.3)*(3*60*379*((F670/1000)^0.8))*MAX(inputs!$I$14:$I$16))/F670,((0.0083*0.112*inputs!$C$18/1)*(3*60*379*((F670/1000)^0.8))*MAX(inputs!$I$14:$I$16))/F670))*(inputs!E$75/inputs!$E$73)</f>
        <v>0.12731836751274467</v>
      </c>
      <c r="T670" s="63">
        <f>IF((((inputs!$P$13/(V670/MAX(K670:S670)))^(1/inputs!$O$13))-1)/inputs!$N$13&lt;0, 0, IF((((inputs!$P$13/(V670/MAX(K670:S670)))^(1/inputs!$O$13))-1)/inputs!$N$13&lt;inputs!$I$17, (((inputs!$P$13/(V670/MAX(K670:S670)))^(1/inputs!$O$13))-1)/inputs!$N$13, inputs!$I$17))</f>
        <v>131.83969249716492</v>
      </c>
      <c r="U670" s="63">
        <f>IF((((inputs!$P$13/(X670/MAX(K670:S670)))^(1/inputs!$O$13))-1)/inputs!$N$13&lt;0, 0, IF((((inputs!$P$13/(X670/MAX(K670:S670)))^(1/inputs!$O$13))-1)/inputs!$N$13&lt;inputs!$I$17, (((inputs!$P$13/(X670/MAX(K670:S670)))^(1/inputs!$O$13))-1)/inputs!$N$13, inputs!$I$17))</f>
        <v>1.184501511160587</v>
      </c>
      <c r="V670" s="54">
        <f>inputs!$E$70*(inputs!$F$70/F670)^(0.25)</f>
        <v>2.2508650294275583</v>
      </c>
      <c r="W670" s="54">
        <f>inputs!$E$76*(inputs!$F$76/F670)^(0.25)</f>
        <v>0.67701774709368412</v>
      </c>
      <c r="X670" s="54">
        <f>inputs!$E$72*(inputs!$F$72/F670)^(0.25)</f>
        <v>99.302868945333458</v>
      </c>
      <c r="Y670" s="54" t="s">
        <v>13</v>
      </c>
      <c r="Z670" s="106">
        <f t="shared" si="72"/>
        <v>53.822703932640195</v>
      </c>
      <c r="AA670" s="106">
        <f t="shared" si="73"/>
        <v>178.94308176008391</v>
      </c>
    </row>
    <row r="671" spans="1:27" x14ac:dyDescent="0.25">
      <c r="A671" s="55" t="s">
        <v>530</v>
      </c>
      <c r="B671" s="49" t="s">
        <v>531</v>
      </c>
      <c r="C671" s="21" t="s">
        <v>61</v>
      </c>
      <c r="D671" s="20" t="s">
        <v>443</v>
      </c>
      <c r="E671" s="20">
        <v>29</v>
      </c>
      <c r="F671" s="21">
        <v>14</v>
      </c>
      <c r="G671" s="21" t="s">
        <v>142</v>
      </c>
      <c r="H671" s="21">
        <v>0.69</v>
      </c>
      <c r="I671" s="68">
        <f>MAX('Max rate concentrations'!$H$3:$H$368)</f>
        <v>282</v>
      </c>
      <c r="J671" s="68">
        <f>MAX('Max rate concentrations'!AA:AA)</f>
        <v>195</v>
      </c>
      <c r="K671" s="70">
        <f t="shared" si="74"/>
        <v>178.75870142323561</v>
      </c>
      <c r="L671" s="70">
        <f t="shared" si="75"/>
        <v>123.60974034585441</v>
      </c>
      <c r="M671" s="70">
        <f>IF((((0.326*F671^0.818)-(0.398*F671^0.85)/(1-H671)*H671)*(MAX('Max rate concentrations'!$P$3:$P$368)))/F671&gt;0, (((0.326*F671^0.818)-(0.398*F671^0.85)/(1-H671)*H671)*(MAX('Max rate concentrations'!$P$3:$P$368)))/F671, 0)</f>
        <v>0</v>
      </c>
      <c r="N671" s="70">
        <f>IF((((0.326*F671^0.818)-(0.398*F671^0.85)/(1-H671)*H671)*(MAX('Max rate concentrations'!$Q$3:$Q$368)))/F671&gt; 0, (((0.326*F671^0.818)-(0.398*F671^0.85)/(1-H671)*H671)*(MAX('Max rate concentrations'!$Q$3:$Q$368)))/F671, 0)</f>
        <v>0</v>
      </c>
      <c r="O671" s="70">
        <f>((MAX('Max rate concentrations'!$F$3:$F$368))*0.62*6.01*8*(12.3*F671^0.65)*0.079*0.1/F671)*inputs!$E$73/inputs!$E$74</f>
        <v>107.49207942662808</v>
      </c>
      <c r="P671" s="70">
        <f>((MAX('Max rate concentrations'!Y:Y))*0.62*6.01*8*(12.3*F671^0.65)*0.079*0.1/F671)*inputs!$E$73/inputs!$E$74</f>
        <v>35.83069314220937</v>
      </c>
      <c r="Q671" s="70">
        <f>(inputs!$C$18*11.2*(12.3*F671^0.65)*0.5/F671)*inputs!$E$73/inputs!$E$74</f>
        <v>18.934222796214193</v>
      </c>
      <c r="R671" s="60">
        <f>(60*379*((F671/1000)^0.8)*3*24*(MAX('Max rate concentrations'!$R$3:$R$368))/F671)*(inputs!$E$73/inputs!$E$75)</f>
        <v>2.5924064966428673E-2</v>
      </c>
      <c r="S671" s="60">
        <f>(IF(inputs!$C$17="aerial",((0.025*0.112*inputs!$C$18/3.3)*(3*60*379*((F671/1000)^0.8))*MAX(inputs!$I$14:$I$16))/F671,((0.0083*0.112*inputs!$C$18/1)*(3*60*379*((F671/1000)^0.8))*MAX(inputs!$I$14:$I$16))/F671))*(inputs!E$75/inputs!$E$73)</f>
        <v>0.1429728110205738</v>
      </c>
      <c r="T671" s="63">
        <f>IF((((inputs!$P$13/(V671/MAX(K671:S671)))^(1/inputs!$O$13))-1)/inputs!$N$13&lt;0, 0, IF((((inputs!$P$13/(V671/MAX(K671:S671)))^(1/inputs!$O$13))-1)/inputs!$N$13&lt;inputs!$I$17, (((inputs!$P$13/(V671/MAX(K671:S671)))^(1/inputs!$O$13))-1)/inputs!$N$13, inputs!$I$17))</f>
        <v>161.7476112489351</v>
      </c>
      <c r="U671" s="63">
        <f>IF((((inputs!$P$13/(X671/MAX(K671:S671)))^(1/inputs!$O$13))-1)/inputs!$N$13&lt;0, 0, IF((((inputs!$P$13/(X671/MAX(K671:S671)))^(1/inputs!$O$13))-1)/inputs!$N$13&lt;inputs!$I$17, (((inputs!$P$13/(X671/MAX(K671:S671)))^(1/inputs!$O$13))-1)/inputs!$N$13, inputs!$I$17))</f>
        <v>2.5835710071484974</v>
      </c>
      <c r="V671" s="54">
        <f>inputs!$E$70*(inputs!$F$70/F671)^(0.25)</f>
        <v>2.6019709711512422</v>
      </c>
      <c r="W671" s="54">
        <f>inputs!$E$76*(inputs!$F$76/F671)^(0.25)</f>
        <v>0.78262379212492639</v>
      </c>
      <c r="X671" s="54">
        <f>inputs!$E$72*(inputs!$F$72/F671)^(0.25)</f>
        <v>114.79283696255482</v>
      </c>
      <c r="Y671" s="54" t="s">
        <v>13</v>
      </c>
      <c r="Z671" s="106">
        <f t="shared" si="72"/>
        <v>68.701266618721661</v>
      </c>
      <c r="AA671" s="106">
        <f t="shared" si="73"/>
        <v>228.40949025825327</v>
      </c>
    </row>
    <row r="672" spans="1:27" x14ac:dyDescent="0.25">
      <c r="A672" s="55" t="s">
        <v>530</v>
      </c>
      <c r="B672" s="49" t="s">
        <v>531</v>
      </c>
      <c r="C672" s="21" t="s">
        <v>61</v>
      </c>
      <c r="D672" s="20" t="s">
        <v>443</v>
      </c>
      <c r="E672" s="20">
        <v>29</v>
      </c>
      <c r="F672" s="21">
        <v>14</v>
      </c>
      <c r="G672" s="21" t="s">
        <v>164</v>
      </c>
      <c r="H672" s="21">
        <v>0.78</v>
      </c>
      <c r="I672" s="68">
        <f>inputs!$C$66*(inputs!$C$62/1000)</f>
        <v>8.2000000000000011</v>
      </c>
      <c r="J672" s="68">
        <f>inputs!$C$66*(inputs!$C$61/1000)</f>
        <v>2.5</v>
      </c>
      <c r="K672" s="70">
        <f t="shared" si="74"/>
        <v>7.3243813510294169</v>
      </c>
      <c r="L672" s="70">
        <f t="shared" si="75"/>
        <v>2.2330430948260416</v>
      </c>
      <c r="M672" s="70">
        <f>IF((((0.326*F672^0.818)-(0.398*F672^0.85)/(1-H672)*H672)*(MAX('Max rate concentrations'!$P$3:$P$368)))/F672&gt;0, (((0.326*F672^0.818)-(0.398*F672^0.85)/(1-H672)*H672)*(MAX('Max rate concentrations'!$P$3:$P$368)))/F672, 0)</f>
        <v>0</v>
      </c>
      <c r="N672" s="70">
        <f>IF((((0.326*F672^0.818)-(0.398*F672^0.85)/(1-H672)*H672)*(MAX('Max rate concentrations'!$Q$3:$Q$368)))/F672&gt; 0, (((0.326*F672^0.818)-(0.398*F672^0.85)/(1-H672)*H672)*(MAX('Max rate concentrations'!$Q$3:$Q$368)))/F672, 0)</f>
        <v>0</v>
      </c>
      <c r="O672" s="70">
        <f>((MAX('Max rate concentrations'!$F$3:$F$368))*0.62*6.01*8*(12.3*F672^0.65)*0.079*0.1/F672)*inputs!$E$73/inputs!$E$74</f>
        <v>107.49207942662808</v>
      </c>
      <c r="P672" s="70">
        <f>((MAX('Max rate concentrations'!Y:Y))*0.62*6.01*8*(12.3*F672^0.65)*0.079*0.1/F672)*inputs!$E$73/inputs!$E$74</f>
        <v>35.83069314220937</v>
      </c>
      <c r="Q672" s="70">
        <f>(inputs!$C$18*11.2*(12.3*F672^0.65)*0.5/F672)*inputs!$E$73/inputs!$E$74</f>
        <v>18.934222796214193</v>
      </c>
      <c r="R672" s="60">
        <f>(60*379*((F672/1000)^0.8)*3*24*(MAX('Max rate concentrations'!$R$3:$R$368))/F672)*(inputs!$E$73/inputs!$E$75)</f>
        <v>2.5924064966428673E-2</v>
      </c>
      <c r="S672" s="60">
        <f>(IF(inputs!$C$17="aerial",((0.025*0.112*inputs!$C$18/3.3)*(3*60*379*((F672/1000)^0.8))*MAX(inputs!$I$14:$I$16))/F672,((0.0083*0.112*inputs!$C$18/1)*(3*60*379*((F672/1000)^0.8))*MAX(inputs!$I$14:$I$16))/F672))*(inputs!E$75/inputs!$E$73)</f>
        <v>0.1429728110205738</v>
      </c>
      <c r="T672" s="63">
        <f>IF((((inputs!$P$13/(V672/MAX(K672:S672)))^(1/inputs!$O$13))-1)/inputs!$N$13&lt;0, 0, IF((((inputs!$P$13/(V672/MAX(K672:S672)))^(1/inputs!$O$13))-1)/inputs!$N$13&lt;inputs!$I$17, (((inputs!$P$13/(V672/MAX(K672:S672)))^(1/inputs!$O$13))-1)/inputs!$N$13, inputs!$I$17))</f>
        <v>105.44110030300939</v>
      </c>
      <c r="U672" s="63">
        <f>IF((((inputs!$P$13/(X672/MAX(K672:S672)))^(1/inputs!$O$13))-1)/inputs!$N$13&lt;0, 0, IF((((inputs!$P$13/(X672/MAX(K672:S672)))^(1/inputs!$O$13))-1)/inputs!$N$13&lt;inputs!$I$17, (((inputs!$P$13/(X672/MAX(K672:S672)))^(1/inputs!$O$13))-1)/inputs!$N$13, inputs!$I$17))</f>
        <v>0</v>
      </c>
      <c r="V672" s="54">
        <f>inputs!$E$70*(inputs!$F$70/F672)^(0.25)</f>
        <v>2.6019709711512422</v>
      </c>
      <c r="W672" s="54">
        <f>inputs!$E$76*(inputs!$F$76/F672)^(0.25)</f>
        <v>0.78262379212492639</v>
      </c>
      <c r="X672" s="54">
        <f>inputs!$E$72*(inputs!$F$72/F672)^(0.25)</f>
        <v>114.79283696255482</v>
      </c>
      <c r="Y672" s="54" t="s">
        <v>13</v>
      </c>
      <c r="Z672" s="106">
        <f t="shared" si="72"/>
        <v>41.311790415197521</v>
      </c>
      <c r="AA672" s="106">
        <f t="shared" si="73"/>
        <v>137.34834093756973</v>
      </c>
    </row>
    <row r="673" spans="1:27" x14ac:dyDescent="0.25">
      <c r="A673" s="55" t="s">
        <v>530</v>
      </c>
      <c r="B673" s="49" t="s">
        <v>531</v>
      </c>
      <c r="C673" s="21" t="s">
        <v>61</v>
      </c>
      <c r="D673" s="20" t="s">
        <v>443</v>
      </c>
      <c r="E673" s="20">
        <v>29</v>
      </c>
      <c r="F673" s="21">
        <v>14</v>
      </c>
      <c r="G673" s="21" t="s">
        <v>138</v>
      </c>
      <c r="H673" s="21">
        <v>0.68</v>
      </c>
      <c r="I673" s="68">
        <f>MAX('Max rate concentrations'!$L$3:$L$368)</f>
        <v>350.52744091332482</v>
      </c>
      <c r="J673" s="68">
        <f>MAX('Max rate concentrations'!AD:AD)</f>
        <v>242.38599637623525</v>
      </c>
      <c r="K673" s="70">
        <f t="shared" si="74"/>
        <v>215.25429240659938</v>
      </c>
      <c r="L673" s="70">
        <f t="shared" si="75"/>
        <v>148.84605325988255</v>
      </c>
      <c r="M673" s="70">
        <f>IF((((0.326*F673^0.818)-(0.398*F673^0.85)/(1-H673)*H673)*(MAX('Max rate concentrations'!$P$3:$P$368)))/F673&gt;0, (((0.326*F673^0.818)-(0.398*F673^0.85)/(1-H673)*H673)*(MAX('Max rate concentrations'!$P$3:$P$368)))/F673, 0)</f>
        <v>0</v>
      </c>
      <c r="N673" s="70">
        <f>IF((((0.326*F673^0.818)-(0.398*F673^0.85)/(1-H673)*H673)*(MAX('Max rate concentrations'!$Q$3:$Q$368)))/F673&gt; 0, (((0.326*F673^0.818)-(0.398*F673^0.85)/(1-H673)*H673)*(MAX('Max rate concentrations'!$Q$3:$Q$368)))/F673, 0)</f>
        <v>0</v>
      </c>
      <c r="O673" s="70">
        <f>((MAX('Max rate concentrations'!$F$3:$F$368))*0.62*6.01*8*(12.3*F673^0.65)*0.079*0.1/F673)*inputs!$E$73/inputs!$E$74</f>
        <v>107.49207942662808</v>
      </c>
      <c r="P673" s="70">
        <f>((MAX('Max rate concentrations'!Y:Y))*0.62*6.01*8*(12.3*F673^0.65)*0.079*0.1/F673)*inputs!$E$73/inputs!$E$74</f>
        <v>35.83069314220937</v>
      </c>
      <c r="Q673" s="70">
        <f>(inputs!$C$18*11.2*(12.3*F673^0.65)*0.5/F673)*inputs!$E$73/inputs!$E$74</f>
        <v>18.934222796214193</v>
      </c>
      <c r="R673" s="60">
        <f>(60*379*((F673/1000)^0.8)*3*24*(MAX('Max rate concentrations'!$R$3:$R$368))/F673)*(inputs!$E$73/inputs!$E$75)</f>
        <v>2.5924064966428673E-2</v>
      </c>
      <c r="S673" s="60">
        <f>(IF(inputs!$C$17="aerial",((0.025*0.112*inputs!$C$18/3.3)*(3*60*379*((F673/1000)^0.8))*MAX(inputs!$I$14:$I$16))/F673,((0.0083*0.112*inputs!$C$18/1)*(3*60*379*((F673/1000)^0.8))*MAX(inputs!$I$14:$I$16))/F673))*(inputs!E$75/inputs!$E$73)</f>
        <v>0.1429728110205738</v>
      </c>
      <c r="T673" s="63">
        <f>IF((((inputs!$P$13/(V673/MAX(K673:S673)))^(1/inputs!$O$13))-1)/inputs!$N$13&lt;0, 0, IF((((inputs!$P$13/(V673/MAX(K673:S673)))^(1/inputs!$O$13))-1)/inputs!$N$13&lt;inputs!$I$17, (((inputs!$P$13/(V673/MAX(K673:S673)))^(1/inputs!$O$13))-1)/inputs!$N$13, inputs!$I$17))</f>
        <v>188.81589083257333</v>
      </c>
      <c r="U673" s="63">
        <f>IF((((inputs!$P$13/(X673/MAX(K673:S673)))^(1/inputs!$O$13))-1)/inputs!$N$13&lt;0, 0, IF((((inputs!$P$13/(X673/MAX(K673:S673)))^(1/inputs!$O$13))-1)/inputs!$N$13&lt;inputs!$I$17, (((inputs!$P$13/(X673/MAX(K673:S673)))^(1/inputs!$O$13))-1)/inputs!$N$13, inputs!$I$17))</f>
        <v>3.8498043612196287</v>
      </c>
      <c r="V673" s="54">
        <f>inputs!$E$70*(inputs!$F$70/F673)^(0.25)</f>
        <v>2.6019709711512422</v>
      </c>
      <c r="W673" s="54">
        <f>inputs!$E$76*(inputs!$F$76/F673)^(0.25)</f>
        <v>0.78262379212492639</v>
      </c>
      <c r="X673" s="54">
        <f>inputs!$E$72*(inputs!$F$72/F673)^(0.25)</f>
        <v>114.79283696255482</v>
      </c>
      <c r="Y673" s="54" t="s">
        <v>13</v>
      </c>
      <c r="Z673" s="106">
        <f t="shared" si="72"/>
        <v>82.727399649412732</v>
      </c>
      <c r="AA673" s="106">
        <f t="shared" si="73"/>
        <v>275.04184586844173</v>
      </c>
    </row>
    <row r="674" spans="1:27" x14ac:dyDescent="0.25">
      <c r="A674" s="55" t="s">
        <v>530</v>
      </c>
      <c r="B674" s="49" t="s">
        <v>531</v>
      </c>
      <c r="C674" s="21" t="s">
        <v>61</v>
      </c>
      <c r="D674" s="20" t="s">
        <v>443</v>
      </c>
      <c r="E674" s="20">
        <v>29</v>
      </c>
      <c r="F674" s="21">
        <v>14</v>
      </c>
      <c r="G674" s="21" t="s">
        <v>218</v>
      </c>
      <c r="H674" s="21">
        <v>0.68</v>
      </c>
      <c r="I674" s="68">
        <f>MAX('Max rate concentrations'!$K$3:$K$368)</f>
        <v>110.00035859694511</v>
      </c>
      <c r="J674" s="68">
        <f>MAX('Max rate concentrations'!AC:AC)</f>
        <v>38.958460336418057</v>
      </c>
      <c r="K674" s="70">
        <f t="shared" si="74"/>
        <v>67.549773828156574</v>
      </c>
      <c r="L674" s="70">
        <f t="shared" si="75"/>
        <v>23.923878230805453</v>
      </c>
      <c r="M674" s="70">
        <f>IF((((0.326*F674^0.818)-(0.398*F674^0.85)/(1-H674)*H674)*(MAX('Max rate concentrations'!$P$3:$P$368)))/F674&gt;0, (((0.326*F674^0.818)-(0.398*F674^0.85)/(1-H674)*H674)*(MAX('Max rate concentrations'!$P$3:$P$368)))/F674, 0)</f>
        <v>0</v>
      </c>
      <c r="N674" s="70">
        <f>IF((((0.326*F674^0.818)-(0.398*F674^0.85)/(1-H674)*H674)*(MAX('Max rate concentrations'!$Q$3:$Q$368)))/F674&gt; 0, (((0.326*F674^0.818)-(0.398*F674^0.85)/(1-H674)*H674)*(MAX('Max rate concentrations'!$Q$3:$Q$368)))/F674, 0)</f>
        <v>0</v>
      </c>
      <c r="O674" s="70">
        <f>((MAX('Max rate concentrations'!$F$3:$F$368))*0.62*6.01*8*(12.3*F674^0.65)*0.079*0.1/F674)*inputs!$E$73/inputs!$E$74</f>
        <v>107.49207942662808</v>
      </c>
      <c r="P674" s="70">
        <f>((MAX('Max rate concentrations'!Y:Y))*0.62*6.01*8*(12.3*F674^0.65)*0.079*0.1/F674)*inputs!$E$73/inputs!$E$74</f>
        <v>35.83069314220937</v>
      </c>
      <c r="Q674" s="70">
        <f>(inputs!$C$18*11.2*(12.3*F674^0.65)*0.5/F674)*inputs!$E$73/inputs!$E$74</f>
        <v>18.934222796214193</v>
      </c>
      <c r="R674" s="60">
        <f>(60*379*((F674/1000)^0.8)*3*24*(MAX('Max rate concentrations'!$R$3:$R$368))/F674)*(inputs!$E$73/inputs!$E$75)</f>
        <v>2.5924064966428673E-2</v>
      </c>
      <c r="S674" s="60">
        <f>(IF(inputs!$C$17="aerial",((0.025*0.112*inputs!$C$18/3.3)*(3*60*379*((F674/1000)^0.8))*MAX(inputs!$I$14:$I$16))/F674,((0.0083*0.112*inputs!$C$18/1)*(3*60*379*((F674/1000)^0.8))*MAX(inputs!$I$14:$I$16))/F674))*(inputs!E$75/inputs!$E$73)</f>
        <v>0.1429728110205738</v>
      </c>
      <c r="T674" s="63">
        <f>IF((((inputs!$P$13/(V674/MAX(K674:S674)))^(1/inputs!$O$13))-1)/inputs!$N$13&lt;0, 0, IF((((inputs!$P$13/(V674/MAX(K674:S674)))^(1/inputs!$O$13))-1)/inputs!$N$13&lt;inputs!$I$17, (((inputs!$P$13/(V674/MAX(K674:S674)))^(1/inputs!$O$13))-1)/inputs!$N$13, inputs!$I$17))</f>
        <v>105.44110030300939</v>
      </c>
      <c r="U674" s="63">
        <f>IF((((inputs!$P$13/(X674/MAX(K674:S674)))^(1/inputs!$O$13))-1)/inputs!$N$13&lt;0, 0, IF((((inputs!$P$13/(X674/MAX(K674:S674)))^(1/inputs!$O$13))-1)/inputs!$N$13&lt;inputs!$I$17, (((inputs!$P$13/(X674/MAX(K674:S674)))^(1/inputs!$O$13))-1)/inputs!$N$13, inputs!$I$17))</f>
        <v>0</v>
      </c>
      <c r="V674" s="54">
        <f>inputs!$E$70*(inputs!$F$70/F674)^(0.25)</f>
        <v>2.6019709711512422</v>
      </c>
      <c r="W674" s="54">
        <f>inputs!$E$76*(inputs!$F$76/F674)^(0.25)</f>
        <v>0.78262379212492639</v>
      </c>
      <c r="X674" s="54">
        <f>inputs!$E$72*(inputs!$F$72/F674)^(0.25)</f>
        <v>114.79283696255482</v>
      </c>
      <c r="Y674" s="54" t="s">
        <v>13</v>
      </c>
      <c r="Z674" s="106">
        <f t="shared" si="72"/>
        <v>41.311790415197521</v>
      </c>
      <c r="AA674" s="106">
        <f t="shared" si="73"/>
        <v>137.34834093756973</v>
      </c>
    </row>
    <row r="675" spans="1:27" x14ac:dyDescent="0.25">
      <c r="A675" s="55" t="s">
        <v>530</v>
      </c>
      <c r="B675" s="49" t="s">
        <v>531</v>
      </c>
      <c r="C675" s="21" t="s">
        <v>61</v>
      </c>
      <c r="D675" s="20" t="s">
        <v>443</v>
      </c>
      <c r="E675" s="20">
        <v>29</v>
      </c>
      <c r="F675" s="21">
        <v>14</v>
      </c>
      <c r="G675" s="21" t="s">
        <v>186</v>
      </c>
      <c r="H675" s="21">
        <v>0.75</v>
      </c>
      <c r="I675" s="68">
        <f>inputs!$C$66*inputs!$C$64/1000</f>
        <v>21.3</v>
      </c>
      <c r="J675" s="68">
        <f>inputs!$C$66*inputs!$C$63/1000</f>
        <v>8.8000000000000007</v>
      </c>
      <c r="K675" s="70">
        <f t="shared" si="74"/>
        <v>16.742463907767725</v>
      </c>
      <c r="L675" s="70">
        <f t="shared" si="75"/>
        <v>6.9170742905331455</v>
      </c>
      <c r="M675" s="70">
        <f>IF((((0.326*F675^0.818)-(0.398*F675^0.85)/(1-H675)*H675)*(MAX('Max rate concentrations'!$P$3:$P$368)))/F675&gt;0, (((0.326*F675^0.818)-(0.398*F675^0.85)/(1-H675)*H675)*(MAX('Max rate concentrations'!$P$3:$P$368)))/F675, 0)</f>
        <v>0</v>
      </c>
      <c r="N675" s="70">
        <f>IF((((0.326*F675^0.818)-(0.398*F675^0.85)/(1-H675)*H675)*(MAX('Max rate concentrations'!$Q$3:$Q$368)))/F675&gt; 0, (((0.326*F675^0.818)-(0.398*F675^0.85)/(1-H675)*H675)*(MAX('Max rate concentrations'!$Q$3:$Q$368)))/F675, 0)</f>
        <v>0</v>
      </c>
      <c r="O675" s="70">
        <f>((MAX('Max rate concentrations'!$F$3:$F$368))*0.62*6.01*8*(12.3*F675^0.65)*0.079*0.1/F675)*inputs!$E$73/inputs!$E$74</f>
        <v>107.49207942662808</v>
      </c>
      <c r="P675" s="70">
        <f>((MAX('Max rate concentrations'!Y:Y))*0.62*6.01*8*(12.3*F675^0.65)*0.079*0.1/F675)*inputs!$E$73/inputs!$E$74</f>
        <v>35.83069314220937</v>
      </c>
      <c r="Q675" s="70">
        <f>(inputs!$C$18*11.2*(12.3*F675^0.65)*0.5/F675)*inputs!$E$73/inputs!$E$74</f>
        <v>18.934222796214193</v>
      </c>
      <c r="R675" s="60">
        <f>(60*379*((F675/1000)^0.8)*3*24*(MAX('Max rate concentrations'!$R$3:$R$368))/F675)*(inputs!$E$73/inputs!$E$75)</f>
        <v>2.5924064966428673E-2</v>
      </c>
      <c r="S675" s="60">
        <f>(IF(inputs!$C$17="aerial",((0.025*0.112*inputs!$C$18/3.3)*(3*60*379*((F675/1000)^0.8))*MAX(inputs!$I$14:$I$16))/F675,((0.0083*0.112*inputs!$C$18/1)*(3*60*379*((F675/1000)^0.8))*MAX(inputs!$I$14:$I$16))/F675))*(inputs!E$75/inputs!$E$73)</f>
        <v>0.1429728110205738</v>
      </c>
      <c r="T675" s="63">
        <f>IF((((inputs!$P$13/(V675/MAX(K675:S675)))^(1/inputs!$O$13))-1)/inputs!$N$13&lt;0, 0, IF((((inputs!$P$13/(V675/MAX(K675:S675)))^(1/inputs!$O$13))-1)/inputs!$N$13&lt;inputs!$I$17, (((inputs!$P$13/(V675/MAX(K675:S675)))^(1/inputs!$O$13))-1)/inputs!$N$13, inputs!$I$17))</f>
        <v>105.44110030300939</v>
      </c>
      <c r="U675" s="63">
        <f>IF((((inputs!$P$13/(X675/MAX(K675:S675)))^(1/inputs!$O$13))-1)/inputs!$N$13&lt;0, 0, IF((((inputs!$P$13/(X675/MAX(K675:S675)))^(1/inputs!$O$13))-1)/inputs!$N$13&lt;inputs!$I$17, (((inputs!$P$13/(X675/MAX(K675:S675)))^(1/inputs!$O$13))-1)/inputs!$N$13, inputs!$I$17))</f>
        <v>0</v>
      </c>
      <c r="V675" s="54">
        <f>inputs!$E$70*(inputs!$F$70/F675)^(0.25)</f>
        <v>2.6019709711512422</v>
      </c>
      <c r="W675" s="54">
        <f>inputs!$E$76*(inputs!$F$76/F675)^(0.25)</f>
        <v>0.78262379212492639</v>
      </c>
      <c r="X675" s="54">
        <f>inputs!$E$72*(inputs!$F$72/F675)^(0.25)</f>
        <v>114.79283696255482</v>
      </c>
      <c r="Y675" s="54" t="s">
        <v>13</v>
      </c>
      <c r="Z675" s="106">
        <f t="shared" si="72"/>
        <v>41.311790415197521</v>
      </c>
      <c r="AA675" s="106">
        <f t="shared" si="73"/>
        <v>137.34834093756973</v>
      </c>
    </row>
    <row r="676" spans="1:27" x14ac:dyDescent="0.25">
      <c r="A676" s="55" t="s">
        <v>530</v>
      </c>
      <c r="B676" s="49" t="s">
        <v>531</v>
      </c>
      <c r="C676" s="21" t="s">
        <v>61</v>
      </c>
      <c r="D676" s="20" t="s">
        <v>443</v>
      </c>
      <c r="E676" s="20">
        <v>29</v>
      </c>
      <c r="F676" s="21">
        <v>14</v>
      </c>
      <c r="G676" s="21" t="s">
        <v>456</v>
      </c>
      <c r="H676" s="21">
        <v>0.68</v>
      </c>
      <c r="I676" s="68">
        <f>MAX('Max rate concentrations'!$J$3:$J$368)</f>
        <v>686.46486205830786</v>
      </c>
      <c r="J676" s="68">
        <f>MAX('Max rate concentrations'!AB:AB)</f>
        <v>243.122971978984</v>
      </c>
      <c r="K676" s="70">
        <f t="shared" si="74"/>
        <v>421.54904551650418</v>
      </c>
      <c r="L676" s="70">
        <f t="shared" si="75"/>
        <v>149.29862028709522</v>
      </c>
      <c r="M676" s="70">
        <f>IF((((0.326*F676^0.818)-(0.398*F676^0.85)/(1-H676)*H676)*(MAX('Max rate concentrations'!$P$3:$P$368)))/F676&gt;0, (((0.326*F676^0.818)-(0.398*F676^0.85)/(1-H676)*H676)*(MAX('Max rate concentrations'!$P$3:$P$368)))/F676, 0)</f>
        <v>0</v>
      </c>
      <c r="N676" s="70">
        <f>IF((((0.326*F676^0.818)-(0.398*F676^0.85)/(1-H676)*H676)*(MAX('Max rate concentrations'!$Q$3:$Q$368)))/F676&gt; 0, (((0.326*F676^0.818)-(0.398*F676^0.85)/(1-H676)*H676)*(MAX('Max rate concentrations'!$Q$3:$Q$368)))/F676, 0)</f>
        <v>0</v>
      </c>
      <c r="O676" s="70">
        <f>((MAX('Max rate concentrations'!$F$3:$F$368))*0.62*6.01*8*(12.3*F676^0.65)*0.079*0.1/F676)*inputs!$E$73/inputs!$E$74</f>
        <v>107.49207942662808</v>
      </c>
      <c r="P676" s="70">
        <f>((MAX('Max rate concentrations'!Y:Y))*0.62*6.01*8*(12.3*F676^0.65)*0.079*0.1/F676)*inputs!$E$73/inputs!$E$74</f>
        <v>35.83069314220937</v>
      </c>
      <c r="Q676" s="70">
        <f>(inputs!$C$18*11.2*(12.3*F676^0.65)*0.5/F676)*inputs!$E$73/inputs!$E$74</f>
        <v>18.934222796214193</v>
      </c>
      <c r="R676" s="60">
        <f>(60*379*((F676/1000)^0.8)*3*24*(MAX('Max rate concentrations'!$R$3:$R$368))/F676)*(inputs!$E$73/inputs!$E$75)</f>
        <v>2.5924064966428673E-2</v>
      </c>
      <c r="S676" s="60">
        <f>(IF(inputs!$C$17="aerial",((0.025*0.112*inputs!$C$18/3.3)*(3*60*379*((F676/1000)^0.8))*MAX(inputs!$I$14:$I$16))/F676,((0.0083*0.112*inputs!$C$18/1)*(3*60*379*((F676/1000)^0.8))*MAX(inputs!$I$14:$I$16))/F676))*(inputs!E$75/inputs!$E$73)</f>
        <v>0.1429728110205738</v>
      </c>
      <c r="T676" s="63">
        <f>IF((((inputs!$P$13/(V676/MAX(K676:S676)))^(1/inputs!$O$13))-1)/inputs!$N$13&lt;0, 0, IF((((inputs!$P$13/(V676/MAX(K676:S676)))^(1/inputs!$O$13))-1)/inputs!$N$13&lt;inputs!$I$17, (((inputs!$P$13/(V676/MAX(K676:S676)))^(1/inputs!$O$13))-1)/inputs!$N$13, inputs!$I$17))</f>
        <v>328.92615355331088</v>
      </c>
      <c r="U676" s="63">
        <f>IF((((inputs!$P$13/(X676/MAX(K676:S676)))^(1/inputs!$O$13))-1)/inputs!$N$13&lt;0, 0, IF((((inputs!$P$13/(X676/MAX(K676:S676)))^(1/inputs!$O$13))-1)/inputs!$N$13&lt;inputs!$I$17, (((inputs!$P$13/(X676/MAX(K676:S676)))^(1/inputs!$O$13))-1)/inputs!$N$13, inputs!$I$17))</f>
        <v>10.404054968705795</v>
      </c>
      <c r="V676" s="54">
        <f>inputs!$E$70*(inputs!$F$70/F676)^(0.25)</f>
        <v>2.6019709711512422</v>
      </c>
      <c r="W676" s="54">
        <f>inputs!$E$76*(inputs!$F$76/F676)^(0.25)</f>
        <v>0.78262379212492639</v>
      </c>
      <c r="X676" s="54">
        <f>inputs!$E$72*(inputs!$F$72/F676)^(0.25)</f>
        <v>114.79283696255482</v>
      </c>
      <c r="Y676" s="54" t="s">
        <v>13</v>
      </c>
      <c r="Z676" s="106">
        <f t="shared" si="72"/>
        <v>162.01143294461497</v>
      </c>
      <c r="AA676" s="106">
        <f t="shared" si="73"/>
        <v>538.63561235717498</v>
      </c>
    </row>
    <row r="677" spans="1:27" x14ac:dyDescent="0.25">
      <c r="A677" s="55" t="s">
        <v>530</v>
      </c>
      <c r="B677" s="49" t="s">
        <v>531</v>
      </c>
      <c r="C677" s="21" t="s">
        <v>61</v>
      </c>
      <c r="D677" s="20" t="s">
        <v>443</v>
      </c>
      <c r="E677" s="20">
        <v>29</v>
      </c>
      <c r="F677" s="21">
        <v>14</v>
      </c>
      <c r="G677" s="21" t="s">
        <v>145</v>
      </c>
      <c r="H677" s="21">
        <v>0.66</v>
      </c>
      <c r="I677" s="68">
        <f>MAX('Max rate concentrations'!$M$3:$M$368)</f>
        <v>17.092910873809167</v>
      </c>
      <c r="J677" s="68">
        <f>MAX('Max rate concentrations'!AE:AE)</f>
        <v>11.81956602976166</v>
      </c>
      <c r="K677" s="70">
        <f t="shared" si="74"/>
        <v>9.8790887663435694</v>
      </c>
      <c r="L677" s="70">
        <f t="shared" si="75"/>
        <v>6.8312847852375764</v>
      </c>
      <c r="M677" s="70">
        <f>IF((((0.326*F677^0.818)-(0.398*F677^0.85)/(1-H677)*H677)*(MAX('Max rate concentrations'!$P$3:$P$368)))/F677&gt;0, (((0.326*F677^0.818)-(0.398*F677^0.85)/(1-H677)*H677)*(MAX('Max rate concentrations'!$P$3:$P$368)))/F677, 0)</f>
        <v>0</v>
      </c>
      <c r="N677" s="70">
        <f>IF((((0.326*F677^0.818)-(0.398*F677^0.85)/(1-H677)*H677)*(MAX('Max rate concentrations'!$Q$3:$Q$368)))/F677&gt; 0, (((0.326*F677^0.818)-(0.398*F677^0.85)/(1-H677)*H677)*(MAX('Max rate concentrations'!$Q$3:$Q$368)))/F677, 0)</f>
        <v>0</v>
      </c>
      <c r="O677" s="70">
        <f>((MAX('Max rate concentrations'!$F$3:$F$368))*0.62*6.01*8*(12.3*F677^0.65)*0.079*0.1/F677)*inputs!$E$73/inputs!$E$74</f>
        <v>107.49207942662808</v>
      </c>
      <c r="P677" s="70">
        <f>((MAX('Max rate concentrations'!Y:Y))*0.62*6.01*8*(12.3*F677^0.65)*0.079*0.1/F677)*inputs!$E$73/inputs!$E$74</f>
        <v>35.83069314220937</v>
      </c>
      <c r="Q677" s="70">
        <f>(inputs!$C$18*11.2*(12.3*F677^0.65)*0.5/F677)*inputs!$E$73/inputs!$E$74</f>
        <v>18.934222796214193</v>
      </c>
      <c r="R677" s="60">
        <f>(60*379*((F677/1000)^0.8)*3*24*(MAX('Max rate concentrations'!$R$3:$R$368))/F677)*(inputs!$E$73/inputs!$E$75)</f>
        <v>2.5924064966428673E-2</v>
      </c>
      <c r="S677" s="60">
        <f>(IF(inputs!$C$17="aerial",((0.025*0.112*inputs!$C$18/3.3)*(3*60*379*((F677/1000)^0.8))*MAX(inputs!$I$14:$I$16))/F677,((0.0083*0.112*inputs!$C$18/1)*(3*60*379*((F677/1000)^0.8))*MAX(inputs!$I$14:$I$16))/F677))*(inputs!E$75/inputs!$E$73)</f>
        <v>0.1429728110205738</v>
      </c>
      <c r="T677" s="63">
        <f>IF((((inputs!$P$13/(V677/MAX(K677:S677)))^(1/inputs!$O$13))-1)/inputs!$N$13&lt;0, 0, IF((((inputs!$P$13/(V677/MAX(K677:S677)))^(1/inputs!$O$13))-1)/inputs!$N$13&lt;inputs!$I$17, (((inputs!$P$13/(V677/MAX(K677:S677)))^(1/inputs!$O$13))-1)/inputs!$N$13, inputs!$I$17))</f>
        <v>105.44110030300939</v>
      </c>
      <c r="U677" s="63">
        <f>IF((((inputs!$P$13/(X677/MAX(K677:S677)))^(1/inputs!$O$13))-1)/inputs!$N$13&lt;0, 0, IF((((inputs!$P$13/(X677/MAX(K677:S677)))^(1/inputs!$O$13))-1)/inputs!$N$13&lt;inputs!$I$17, (((inputs!$P$13/(X677/MAX(K677:S677)))^(1/inputs!$O$13))-1)/inputs!$N$13, inputs!$I$17))</f>
        <v>0</v>
      </c>
      <c r="V677" s="54">
        <f>inputs!$E$70*(inputs!$F$70/F677)^(0.25)</f>
        <v>2.6019709711512422</v>
      </c>
      <c r="W677" s="54">
        <f>inputs!$E$76*(inputs!$F$76/F677)^(0.25)</f>
        <v>0.78262379212492639</v>
      </c>
      <c r="X677" s="54">
        <f>inputs!$E$72*(inputs!$F$72/F677)^(0.25)</f>
        <v>114.79283696255482</v>
      </c>
      <c r="Y677" s="54" t="s">
        <v>13</v>
      </c>
      <c r="Z677" s="106">
        <f t="shared" si="72"/>
        <v>41.311790415197521</v>
      </c>
      <c r="AA677" s="106">
        <f t="shared" si="73"/>
        <v>137.34834093756973</v>
      </c>
    </row>
    <row r="678" spans="1:27" x14ac:dyDescent="0.25">
      <c r="A678" s="55" t="s">
        <v>523</v>
      </c>
      <c r="B678" s="49" t="s">
        <v>524</v>
      </c>
      <c r="C678" s="21" t="s">
        <v>61</v>
      </c>
      <c r="D678" s="20" t="s">
        <v>443</v>
      </c>
      <c r="E678" s="20">
        <v>62</v>
      </c>
      <c r="F678" s="21">
        <v>400</v>
      </c>
      <c r="G678" s="21" t="s">
        <v>152</v>
      </c>
      <c r="H678" s="21">
        <v>0.77</v>
      </c>
      <c r="I678" s="68">
        <f>MAX('Max rate concentrations'!$G$3:$G$368)</f>
        <v>45</v>
      </c>
      <c r="J678" s="68">
        <f>MAX('Max rate concentrations'!Z:Z)</f>
        <v>21</v>
      </c>
      <c r="K678" s="70">
        <f t="shared" si="74"/>
        <v>8.9141127246354941</v>
      </c>
      <c r="L678" s="70">
        <f t="shared" si="75"/>
        <v>4.1599192714965634</v>
      </c>
      <c r="M678" s="70">
        <f>IF((((0.326*F678^0.818)-(0.398*F678^0.85)/(1-H678)*H678)*(MAX('Max rate concentrations'!$P$3:$P$368)))/F678&gt;0, (((0.326*F678^0.818)-(0.398*F678^0.85)/(1-H678)*H678)*(MAX('Max rate concentrations'!$P$3:$P$368)))/F678, 0)</f>
        <v>0</v>
      </c>
      <c r="N678" s="70">
        <f>IF((((0.326*F678^0.818)-(0.398*F678^0.85)/(1-H678)*H678)*(MAX('Max rate concentrations'!$Q$3:$Q$368)))/F678&gt; 0, (((0.326*F678^0.818)-(0.398*F678^0.85)/(1-H678)*H678)*(MAX('Max rate concentrations'!$Q$3:$Q$368)))/F678, 0)</f>
        <v>0</v>
      </c>
      <c r="O678" s="70">
        <f>((MAX('Max rate concentrations'!$F$3:$F$368))*0.62*6.01*8*(12.3*F678^0.65)*0.079*0.1/F678)*inputs!$E$73/inputs!$E$74</f>
        <v>33.250660746462671</v>
      </c>
      <c r="P678" s="70">
        <f>((MAX('Max rate concentrations'!Y:Y))*0.62*6.01*8*(12.3*F678^0.65)*0.079*0.1/F678)*inputs!$E$73/inputs!$E$74</f>
        <v>11.083553582154224</v>
      </c>
      <c r="Q678" s="70">
        <f>(inputs!$C$18*11.2*(12.3*F678^0.65)*0.5/F678)*inputs!$E$73/inputs!$E$74</f>
        <v>5.8569470611515442</v>
      </c>
      <c r="R678" s="60">
        <f>(60*379*((F678/1000)^0.8)*3*24*(MAX('Max rate concentrations'!$R$3:$R$368))/F678)*(inputs!$E$73/inputs!$E$75)</f>
        <v>1.3259181330864234E-2</v>
      </c>
      <c r="S678" s="60">
        <f>(IF(inputs!$C$17="aerial",((0.025*0.112*inputs!$C$18/3.3)*(3*60*379*((F678/1000)^0.8))*MAX(inputs!$I$14:$I$16))/F678,((0.0083*0.112*inputs!$C$18/1)*(3*60*379*((F678/1000)^0.8))*MAX(inputs!$I$14:$I$16))/F678))*(inputs!E$75/inputs!$E$73)</f>
        <v>7.3125199661398896E-2</v>
      </c>
      <c r="T678" s="63">
        <f>IF((((inputs!$P$13/(V678/MAX(K678:S678)))^(1/inputs!$O$13))-1)/inputs!$N$13&lt;0, 0, IF((((inputs!$P$13/(V678/MAX(K678:S678)))^(1/inputs!$O$13))-1)/inputs!$N$13&lt;inputs!$I$17, (((inputs!$P$13/(V678/MAX(K678:S678)))^(1/inputs!$O$13))-1)/inputs!$N$13, inputs!$I$17))</f>
        <v>79.161891608725611</v>
      </c>
      <c r="U678" s="63">
        <f>IF((((inputs!$P$13/(X678/MAX(K678:S678)))^(1/inputs!$O$13))-1)/inputs!$N$13&lt;0, 0, IF((((inputs!$P$13/(X678/MAX(K678:S678)))^(1/inputs!$O$13))-1)/inputs!$N$13&lt;inputs!$I$17, (((inputs!$P$13/(X678/MAX(K678:S678)))^(1/inputs!$O$13))-1)/inputs!$N$13, inputs!$I$17))</f>
        <v>0</v>
      </c>
      <c r="V678" s="54">
        <f>inputs!$E$70*(inputs!$F$70/F678)^(0.25)</f>
        <v>1.1254325147137791</v>
      </c>
      <c r="W678" s="54">
        <f>inputs!$E$76*(inputs!$F$76/F678)^(0.25)</f>
        <v>0.33850887354684212</v>
      </c>
      <c r="X678" s="54">
        <f>inputs!$E$72*(inputs!$F$72/F678)^(0.25)</f>
        <v>49.651434472666729</v>
      </c>
      <c r="Y678" s="54" t="s">
        <v>13</v>
      </c>
      <c r="Z678" s="106">
        <f t="shared" si="72"/>
        <v>29.544784171193957</v>
      </c>
      <c r="AA678" s="106">
        <f t="shared" si="73"/>
        <v>98.226851184335402</v>
      </c>
    </row>
    <row r="679" spans="1:27" ht="26.4" x14ac:dyDescent="0.25">
      <c r="A679" s="55" t="s">
        <v>523</v>
      </c>
      <c r="B679" s="49" t="s">
        <v>524</v>
      </c>
      <c r="C679" s="21" t="s">
        <v>61</v>
      </c>
      <c r="D679" s="20" t="s">
        <v>443</v>
      </c>
      <c r="E679" s="20">
        <v>62</v>
      </c>
      <c r="F679" s="21">
        <v>400</v>
      </c>
      <c r="G679" s="21" t="s">
        <v>525</v>
      </c>
      <c r="H679" s="21">
        <v>0.85</v>
      </c>
      <c r="I679" s="68">
        <f>MAX('Max rate concentrations'!$F$3:$F$368)</f>
        <v>405</v>
      </c>
      <c r="J679" s="68">
        <f>MAX('Max rate concentrations'!Y:Y)</f>
        <v>135</v>
      </c>
      <c r="K679" s="70">
        <f t="shared" si="74"/>
        <v>123.01475559996977</v>
      </c>
      <c r="L679" s="70">
        <f t="shared" si="75"/>
        <v>41.004918533323263</v>
      </c>
      <c r="M679" s="70">
        <f>IF((((0.326*F679^0.818)-(0.398*F679^0.85)/(1-H679)*H679)*(MAX('Max rate concentrations'!$P$3:$P$368)))/F679&gt;0, (((0.326*F679^0.818)-(0.398*F679^0.85)/(1-H679)*H679)*(MAX('Max rate concentrations'!$P$3:$P$368)))/F679, 0)</f>
        <v>0</v>
      </c>
      <c r="N679" s="70">
        <f>IF((((0.326*F679^0.818)-(0.398*F679^0.85)/(1-H679)*H679)*(MAX('Max rate concentrations'!$Q$3:$Q$368)))/F679&gt; 0, (((0.326*F679^0.818)-(0.398*F679^0.85)/(1-H679)*H679)*(MAX('Max rate concentrations'!$Q$3:$Q$368)))/F679, 0)</f>
        <v>0</v>
      </c>
      <c r="O679" s="70">
        <f>((MAX('Max rate concentrations'!$F$3:$F$368))*0.62*6.01*8*(12.3*F679^0.65)*0.079*0.1/F679)*inputs!$E$73/inputs!$E$74</f>
        <v>33.250660746462671</v>
      </c>
      <c r="P679" s="70">
        <f>((MAX('Max rate concentrations'!Y:Y))*0.62*6.01*8*(12.3*F679^0.65)*0.079*0.1/F679)*inputs!$E$73/inputs!$E$74</f>
        <v>11.083553582154224</v>
      </c>
      <c r="Q679" s="70">
        <f>(inputs!$C$18*11.2*(12.3*F679^0.65)*0.5/F679)*inputs!$E$73/inputs!$E$74</f>
        <v>5.8569470611515442</v>
      </c>
      <c r="R679" s="60">
        <f>(60*379*((F679/1000)^0.8)*3*24*(MAX('Max rate concentrations'!$R$3:$R$368))/F679)*(inputs!$E$73/inputs!$E$75)</f>
        <v>1.3259181330864234E-2</v>
      </c>
      <c r="S679" s="60">
        <f>(IF(inputs!$C$17="aerial",((0.025*0.112*inputs!$C$18/3.3)*(3*60*379*((F679/1000)^0.8))*MAX(inputs!$I$14:$I$16))/F679,((0.0083*0.112*inputs!$C$18/1)*(3*60*379*((F679/1000)^0.8))*MAX(inputs!$I$14:$I$16))/F679))*(inputs!E$75/inputs!$E$73)</f>
        <v>7.3125199661398896E-2</v>
      </c>
      <c r="T679" s="63">
        <f>IF((((inputs!$P$13/(V679/MAX(K679:S679)))^(1/inputs!$O$13))-1)/inputs!$N$13&lt;0, 0, IF((((inputs!$P$13/(V679/MAX(K679:S679)))^(1/inputs!$O$13))-1)/inputs!$N$13&lt;inputs!$I$17, (((inputs!$P$13/(V679/MAX(K679:S679)))^(1/inputs!$O$13))-1)/inputs!$N$13, inputs!$I$17))</f>
        <v>237.84641017647795</v>
      </c>
      <c r="U679" s="63">
        <f>IF((((inputs!$P$13/(X679/MAX(K679:S679)))^(1/inputs!$O$13))-1)/inputs!$N$13&lt;0, 0, IF((((inputs!$P$13/(X679/MAX(K679:S679)))^(1/inputs!$O$13))-1)/inputs!$N$13&lt;inputs!$I$17, (((inputs!$P$13/(X679/MAX(K679:S679)))^(1/inputs!$O$13))-1)/inputs!$N$13, inputs!$I$17))</f>
        <v>6.1434144434137323</v>
      </c>
      <c r="V679" s="54">
        <f>inputs!$E$70*(inputs!$F$70/F679)^(0.25)</f>
        <v>1.1254325147137791</v>
      </c>
      <c r="W679" s="54">
        <f>inputs!$E$76*(inputs!$F$76/F679)^(0.25)</f>
        <v>0.33850887354684212</v>
      </c>
      <c r="X679" s="54">
        <f>inputs!$E$72*(inputs!$F$72/F679)^(0.25)</f>
        <v>49.651434472666729</v>
      </c>
      <c r="Y679" s="54" t="s">
        <v>13</v>
      </c>
      <c r="Z679" s="106">
        <f t="shared" si="72"/>
        <v>109.30442651308593</v>
      </c>
      <c r="AA679" s="106">
        <f t="shared" si="73"/>
        <v>363.40186391878223</v>
      </c>
    </row>
    <row r="680" spans="1:27" x14ac:dyDescent="0.25">
      <c r="A680" s="55" t="s">
        <v>582</v>
      </c>
      <c r="B680" s="49" t="s">
        <v>583</v>
      </c>
      <c r="C680" s="21" t="s">
        <v>61</v>
      </c>
      <c r="D680" s="20" t="s">
        <v>443</v>
      </c>
      <c r="E680" s="20">
        <v>3194</v>
      </c>
      <c r="F680" s="21">
        <v>75</v>
      </c>
      <c r="G680" s="21" t="s">
        <v>177</v>
      </c>
      <c r="H680" s="21">
        <v>0.85</v>
      </c>
      <c r="I680" s="68">
        <f>MAX('Max rate concentrations'!$F$3:$F$368)</f>
        <v>405</v>
      </c>
      <c r="J680" s="68">
        <f>MAX('Max rate concentrations'!Y:Y)</f>
        <v>135</v>
      </c>
      <c r="K680" s="70">
        <f t="shared" si="74"/>
        <v>255.22819757756429</v>
      </c>
      <c r="L680" s="70">
        <f t="shared" si="75"/>
        <v>85.076065859188091</v>
      </c>
      <c r="M680" s="70">
        <f>IF((((0.326*F680^0.818)-(0.398*F680^0.85)/(1-H680)*H680)*(MAX('Max rate concentrations'!$P$3:$P$368)))/F680&gt;0, (((0.326*F680^0.818)-(0.398*F680^0.85)/(1-H680)*H680)*(MAX('Max rate concentrations'!$P$3:$P$368)))/F680, 0)</f>
        <v>0</v>
      </c>
      <c r="N680" s="70">
        <f>IF((((0.326*F680^0.818)-(0.398*F680^0.85)/(1-H680)*H680)*(MAX('Max rate concentrations'!$Q$3:$Q$368)))/F680&gt; 0, (((0.326*F680^0.818)-(0.398*F680^0.85)/(1-H680)*H680)*(MAX('Max rate concentrations'!$Q$3:$Q$368)))/F680, 0)</f>
        <v>0</v>
      </c>
      <c r="O680" s="70">
        <f>((MAX('Max rate concentrations'!$F$3:$F$368))*0.62*6.01*8*(12.3*F680^0.65)*0.079*0.1/F680)*inputs!$E$73/inputs!$E$74</f>
        <v>59.737883923649726</v>
      </c>
      <c r="P680" s="70">
        <f>((MAX('Max rate concentrations'!Y:Y))*0.62*6.01*8*(12.3*F680^0.65)*0.079*0.1/F680)*inputs!$E$73/inputs!$E$74</f>
        <v>19.91262797454991</v>
      </c>
      <c r="Q680" s="70">
        <f>(inputs!$C$18*11.2*(12.3*F680^0.65)*0.5/F680)*inputs!$E$73/inputs!$E$74</f>
        <v>10.522546494756618</v>
      </c>
      <c r="R680" s="60">
        <f>(60*379*((F680/1000)^0.8)*3*24*(MAX('Max rate concentrations'!$R$3:$R$368))/F680)*(inputs!$E$73/inputs!$E$75)</f>
        <v>1.8531750973435526E-2</v>
      </c>
      <c r="S680" s="60">
        <f>(IF(inputs!$C$17="aerial",((0.025*0.112*inputs!$C$18/3.3)*(3*60*379*((F680/1000)^0.8))*MAX(inputs!$I$14:$I$16))/F680,((0.0083*0.112*inputs!$C$18/1)*(3*60*379*((F680/1000)^0.8))*MAX(inputs!$I$14:$I$16))/F680))*(inputs!E$75/inputs!$E$73)</f>
        <v>0.10220374517794364</v>
      </c>
      <c r="T680" s="63">
        <f>IF((((inputs!$P$13/(V680/MAX(K680:S680)))^(1/inputs!$O$13))-1)/inputs!$N$13&lt;0, 0, IF((((inputs!$P$13/(V680/MAX(K680:S680)))^(1/inputs!$O$13))-1)/inputs!$N$13&lt;inputs!$I$17, (((inputs!$P$13/(V680/MAX(K680:S680)))^(1/inputs!$O$13))-1)/inputs!$N$13, inputs!$I$17))</f>
        <v>307.44374503532549</v>
      </c>
      <c r="U680" s="63">
        <f>IF((((inputs!$P$13/(X680/MAX(K680:S680)))^(1/inputs!$O$13))-1)/inputs!$N$13&lt;0, 0, IF((((inputs!$P$13/(X680/MAX(K680:S680)))^(1/inputs!$O$13))-1)/inputs!$N$13&lt;inputs!$I$17, (((inputs!$P$13/(X680/MAX(K680:S680)))^(1/inputs!$O$13))-1)/inputs!$N$13, inputs!$I$17))</f>
        <v>9.3991243780044389</v>
      </c>
      <c r="V680" s="54">
        <f>inputs!$E$70*(inputs!$F$70/F680)^(0.25)</f>
        <v>1.7102875729442808</v>
      </c>
      <c r="W680" s="54">
        <f>inputs!$E$76*(inputs!$F$76/F680)^(0.25)</f>
        <v>0.51442224406122605</v>
      </c>
      <c r="X680" s="54">
        <f>inputs!$E$72*(inputs!$F$72/F680)^(0.25)</f>
        <v>75.453863512247679</v>
      </c>
      <c r="Y680" s="54" t="s">
        <v>13</v>
      </c>
      <c r="Z680" s="106">
        <f t="shared" si="72"/>
        <v>149.23115949336278</v>
      </c>
      <c r="AA680" s="106">
        <f t="shared" si="73"/>
        <v>496.14533687852594</v>
      </c>
    </row>
    <row r="681" spans="1:27" x14ac:dyDescent="0.25">
      <c r="A681" s="55" t="s">
        <v>561</v>
      </c>
      <c r="B681" s="49" t="s">
        <v>562</v>
      </c>
      <c r="C681" s="21" t="s">
        <v>61</v>
      </c>
      <c r="D681" s="20" t="s">
        <v>443</v>
      </c>
      <c r="E681" s="20">
        <v>17</v>
      </c>
      <c r="F681" s="21">
        <v>7.6</v>
      </c>
      <c r="G681" s="21" t="s">
        <v>142</v>
      </c>
      <c r="H681" s="21">
        <v>0.69</v>
      </c>
      <c r="I681" s="68">
        <f>MAX('Max rate concentrations'!$H$3:$H$368)</f>
        <v>282</v>
      </c>
      <c r="J681" s="68">
        <f>MAX('Max rate concentrations'!AA:AA)</f>
        <v>195</v>
      </c>
      <c r="K681" s="70">
        <f t="shared" si="74"/>
        <v>233.31587439932892</v>
      </c>
      <c r="L681" s="70">
        <f t="shared" si="75"/>
        <v>161.33544506336574</v>
      </c>
      <c r="M681" s="70">
        <f>IF((((0.326*F681^0.818)-(0.398*F681^0.85)/(1-H681)*H681)*(MAX('Max rate concentrations'!$P$3:$P$368)))/F681&gt;0, (((0.326*F681^0.818)-(0.398*F681^0.85)/(1-H681)*H681)*(MAX('Max rate concentrations'!$P$3:$P$368)))/F681, 0)</f>
        <v>0</v>
      </c>
      <c r="N681" s="70">
        <f>IF((((0.326*F681^0.818)-(0.398*F681^0.85)/(1-H681)*H681)*(MAX('Max rate concentrations'!$Q$3:$Q$368)))/F681&gt; 0, (((0.326*F681^0.818)-(0.398*F681^0.85)/(1-H681)*H681)*(MAX('Max rate concentrations'!$Q$3:$Q$368)))/F681, 0)</f>
        <v>0</v>
      </c>
      <c r="O681" s="70">
        <f>((MAX('Max rate concentrations'!$F$3:$F$368))*0.62*6.01*8*(12.3*F681^0.65)*0.079*0.1/F681)*inputs!$E$73/inputs!$E$74</f>
        <v>133.11791893015101</v>
      </c>
      <c r="P681" s="70">
        <f>((MAX('Max rate concentrations'!Y:Y))*0.62*6.01*8*(12.3*F681^0.65)*0.079*0.1/F681)*inputs!$E$73/inputs!$E$74</f>
        <v>44.372639643383671</v>
      </c>
      <c r="Q681" s="70">
        <f>(inputs!$C$18*11.2*(12.3*F681^0.65)*0.5/F681)*inputs!$E$73/inputs!$E$74</f>
        <v>23.44809355848669</v>
      </c>
      <c r="R681" s="60">
        <f>(60*379*((F681/1000)^0.8)*3*24*(MAX('Max rate concentrations'!$R$3:$R$368))/F681)*(inputs!$E$73/inputs!$E$75)</f>
        <v>2.9293144222415933E-2</v>
      </c>
      <c r="S681" s="60">
        <f>(IF(inputs!$C$17="aerial",((0.025*0.112*inputs!$C$18/3.3)*(3*60*379*((F681/1000)^0.8))*MAX(inputs!$I$14:$I$16))/F681,((0.0083*0.112*inputs!$C$18/1)*(3*60*379*((F681/1000)^0.8))*MAX(inputs!$I$14:$I$16))/F681))*(inputs!E$75/inputs!$E$73)</f>
        <v>0.16155349010787662</v>
      </c>
      <c r="T681" s="63">
        <f>IF((((inputs!$P$13/(V681/MAX(K681:S681)))^(1/inputs!$O$13))-1)/inputs!$N$13&lt;0, 0, IF((((inputs!$P$13/(V681/MAX(K681:S681)))^(1/inputs!$O$13))-1)/inputs!$N$13&lt;inputs!$I$17, (((inputs!$P$13/(V681/MAX(K681:S681)))^(1/inputs!$O$13))-1)/inputs!$N$13, inputs!$I$17))</f>
        <v>177.81768300248066</v>
      </c>
      <c r="U681" s="63">
        <f>IF((((inputs!$P$13/(X681/MAX(K681:S681)))^(1/inputs!$O$13))-1)/inputs!$N$13&lt;0, 0, IF((((inputs!$P$13/(X681/MAX(K681:S681)))^(1/inputs!$O$13))-1)/inputs!$N$13&lt;inputs!$I$17, (((inputs!$P$13/(X681/MAX(K681:S681)))^(1/inputs!$O$13))-1)/inputs!$N$13, inputs!$I$17))</f>
        <v>3.3353166359676845</v>
      </c>
      <c r="V681" s="54">
        <f>inputs!$E$70*(inputs!$F$70/F681)^(0.25)</f>
        <v>3.0313149256603005</v>
      </c>
      <c r="W681" s="54">
        <f>inputs!$E$76*(inputs!$F$76/F681)^(0.25)</f>
        <v>0.91176235574814801</v>
      </c>
      <c r="X681" s="54">
        <f>inputs!$E$72*(inputs!$F$72/F681)^(0.25)</f>
        <v>133.73448201442503</v>
      </c>
      <c r="Y681" s="54" t="s">
        <v>13</v>
      </c>
      <c r="Z681" s="106">
        <f t="shared" si="72"/>
        <v>76.96853679711505</v>
      </c>
      <c r="AA681" s="106">
        <f t="shared" si="73"/>
        <v>255.89548957401431</v>
      </c>
    </row>
    <row r="682" spans="1:27" x14ac:dyDescent="0.25">
      <c r="A682" s="55" t="s">
        <v>561</v>
      </c>
      <c r="B682" s="49" t="s">
        <v>562</v>
      </c>
      <c r="C682" s="21" t="s">
        <v>61</v>
      </c>
      <c r="D682" s="20" t="s">
        <v>443</v>
      </c>
      <c r="E682" s="20">
        <v>17</v>
      </c>
      <c r="F682" s="21">
        <v>7.6</v>
      </c>
      <c r="G682" s="21" t="s">
        <v>169</v>
      </c>
      <c r="H682" s="21">
        <v>0.79</v>
      </c>
      <c r="I682" s="68">
        <f>MAX('Max rate concentrations'!$D$3:$D$368)</f>
        <v>720</v>
      </c>
      <c r="J682" s="68">
        <f>MAX('Max rate concentrations'!W:W)</f>
        <v>255</v>
      </c>
      <c r="K682" s="70">
        <f t="shared" si="74"/>
        <v>879.36682144427959</v>
      </c>
      <c r="L682" s="70">
        <f t="shared" si="75"/>
        <v>311.44241592818236</v>
      </c>
      <c r="M682" s="70">
        <f>IF((((0.326*F682^0.818)-(0.398*F682^0.85)/(1-H682)*H682)*(MAX('Max rate concentrations'!$P$3:$P$368)))/F682&gt;0, (((0.326*F682^0.818)-(0.398*F682^0.85)/(1-H682)*H682)*(MAX('Max rate concentrations'!$P$3:$P$368)))/F682, 0)</f>
        <v>0</v>
      </c>
      <c r="N682" s="70">
        <f>IF((((0.326*F682^0.818)-(0.398*F682^0.85)/(1-H682)*H682)*(MAX('Max rate concentrations'!$Q$3:$Q$368)))/F682&gt; 0, (((0.326*F682^0.818)-(0.398*F682^0.85)/(1-H682)*H682)*(MAX('Max rate concentrations'!$Q$3:$Q$368)))/F682, 0)</f>
        <v>0</v>
      </c>
      <c r="O682" s="70">
        <f>((MAX('Max rate concentrations'!$F$3:$F$368))*0.62*6.01*8*(12.3*F682^0.65)*0.079*0.1/F682)*inputs!$E$73/inputs!$E$74</f>
        <v>133.11791893015101</v>
      </c>
      <c r="P682" s="70">
        <f>((MAX('Max rate concentrations'!Y:Y))*0.62*6.01*8*(12.3*F682^0.65)*0.079*0.1/F682)*inputs!$E$73/inputs!$E$74</f>
        <v>44.372639643383671</v>
      </c>
      <c r="Q682" s="70">
        <f>(inputs!$C$18*11.2*(12.3*F682^0.65)*0.5/F682)*inputs!$E$73/inputs!$E$74</f>
        <v>23.44809355848669</v>
      </c>
      <c r="R682" s="60">
        <f>(60*379*((F682/1000)^0.8)*3*24*(MAX('Max rate concentrations'!$R$3:$R$368))/F682)*(inputs!$E$73/inputs!$E$75)</f>
        <v>2.9293144222415933E-2</v>
      </c>
      <c r="S682" s="60">
        <f>(IF(inputs!$C$17="aerial",((0.025*0.112*inputs!$C$18/3.3)*(3*60*379*((F682/1000)^0.8))*MAX(inputs!$I$14:$I$16))/F682,((0.0083*0.112*inputs!$C$18/1)*(3*60*379*((F682/1000)^0.8))*MAX(inputs!$I$14:$I$16))/F682))*(inputs!E$75/inputs!$E$73)</f>
        <v>0.16155349010787662</v>
      </c>
      <c r="T682" s="63">
        <f>IF((((inputs!$P$13/(V682/MAX(K682:S682)))^(1/inputs!$O$13))-1)/inputs!$N$13&lt;0, 0, IF((((inputs!$P$13/(V682/MAX(K682:S682)))^(1/inputs!$O$13))-1)/inputs!$N$13&lt;inputs!$I$17, (((inputs!$P$13/(V682/MAX(K682:S682)))^(1/inputs!$O$13))-1)/inputs!$N$13, inputs!$I$17))</f>
        <v>529.99458620489918</v>
      </c>
      <c r="U682" s="63">
        <f>IF((((inputs!$P$13/(X682/MAX(K682:S682)))^(1/inputs!$O$13))-1)/inputs!$N$13&lt;0, 0, IF((((inputs!$P$13/(X682/MAX(K682:S682)))^(1/inputs!$O$13))-1)/inputs!$N$13&lt;inputs!$I$17, (((inputs!$P$13/(X682/MAX(K682:S682)))^(1/inputs!$O$13))-1)/inputs!$N$13, inputs!$I$17))</f>
        <v>19.809882002801483</v>
      </c>
      <c r="V682" s="54">
        <f>inputs!$E$70*(inputs!$F$70/F682)^(0.25)</f>
        <v>3.0313149256603005</v>
      </c>
      <c r="W682" s="54">
        <f>inputs!$E$76*(inputs!$F$76/F682)^(0.25)</f>
        <v>0.91176235574814801</v>
      </c>
      <c r="X682" s="54">
        <f>inputs!$E$72*(inputs!$F$72/F682)^(0.25)</f>
        <v>133.73448201442503</v>
      </c>
      <c r="Y682" s="54" t="s">
        <v>13</v>
      </c>
      <c r="Z682" s="106">
        <f t="shared" si="72"/>
        <v>290.09418124140643</v>
      </c>
      <c r="AA682" s="106">
        <f t="shared" si="73"/>
        <v>964.46932240661965</v>
      </c>
    </row>
    <row r="683" spans="1:27" x14ac:dyDescent="0.25">
      <c r="A683" s="55" t="s">
        <v>561</v>
      </c>
      <c r="B683" s="49" t="s">
        <v>562</v>
      </c>
      <c r="C683" s="21" t="s">
        <v>61</v>
      </c>
      <c r="D683" s="20" t="s">
        <v>443</v>
      </c>
      <c r="E683" s="20">
        <v>17</v>
      </c>
      <c r="F683" s="21">
        <v>7.6</v>
      </c>
      <c r="G683" s="21" t="s">
        <v>177</v>
      </c>
      <c r="H683" s="21">
        <v>0.85</v>
      </c>
      <c r="I683" s="68">
        <f>MAX('Max rate concentrations'!$F$3:$F$368)</f>
        <v>405</v>
      </c>
      <c r="J683" s="68">
        <f>MAX('Max rate concentrations'!Y:Y)</f>
        <v>135</v>
      </c>
      <c r="K683" s="70">
        <f t="shared" si="74"/>
        <v>692.50137188736994</v>
      </c>
      <c r="L683" s="70">
        <f t="shared" si="75"/>
        <v>230.83379062912331</v>
      </c>
      <c r="M683" s="70">
        <f>IF((((0.326*F683^0.818)-(0.398*F683^0.85)/(1-H683)*H683)*(MAX('Max rate concentrations'!$P$3:$P$368)))/F683&gt;0, (((0.326*F683^0.818)-(0.398*F683^0.85)/(1-H683)*H683)*(MAX('Max rate concentrations'!$P$3:$P$368)))/F683, 0)</f>
        <v>0</v>
      </c>
      <c r="N683" s="70">
        <f>IF((((0.326*F683^0.818)-(0.398*F683^0.85)/(1-H683)*H683)*(MAX('Max rate concentrations'!$Q$3:$Q$368)))/F683&gt; 0, (((0.326*F683^0.818)-(0.398*F683^0.85)/(1-H683)*H683)*(MAX('Max rate concentrations'!$Q$3:$Q$368)))/F683, 0)</f>
        <v>0</v>
      </c>
      <c r="O683" s="70">
        <f>((MAX('Max rate concentrations'!$F$3:$F$368))*0.62*6.01*8*(12.3*F683^0.65)*0.079*0.1/F683)*inputs!$E$73/inputs!$E$74</f>
        <v>133.11791893015101</v>
      </c>
      <c r="P683" s="70">
        <f>((MAX('Max rate concentrations'!Y:Y))*0.62*6.01*8*(12.3*F683^0.65)*0.079*0.1/F683)*inputs!$E$73/inputs!$E$74</f>
        <v>44.372639643383671</v>
      </c>
      <c r="Q683" s="70">
        <f>(inputs!$C$18*11.2*(12.3*F683^0.65)*0.5/F683)*inputs!$E$73/inputs!$E$74</f>
        <v>23.44809355848669</v>
      </c>
      <c r="R683" s="60">
        <f>(60*379*((F683/1000)^0.8)*3*24*(MAX('Max rate concentrations'!$R$3:$R$368))/F683)*(inputs!$E$73/inputs!$E$75)</f>
        <v>2.9293144222415933E-2</v>
      </c>
      <c r="S683" s="60">
        <f>(IF(inputs!$C$17="aerial",((0.025*0.112*inputs!$C$18/3.3)*(3*60*379*((F683/1000)^0.8))*MAX(inputs!$I$14:$I$16))/F683,((0.0083*0.112*inputs!$C$18/1)*(3*60*379*((F683/1000)^0.8))*MAX(inputs!$I$14:$I$16))/F683))*(inputs!E$75/inputs!$E$73)</f>
        <v>0.16155349010787662</v>
      </c>
      <c r="T683" s="63">
        <f>IF((((inputs!$P$13/(V683/MAX(K683:S683)))^(1/inputs!$O$13))-1)/inputs!$N$13&lt;0, 0, IF((((inputs!$P$13/(V683/MAX(K683:S683)))^(1/inputs!$O$13))-1)/inputs!$N$13&lt;inputs!$I$17, (((inputs!$P$13/(V683/MAX(K683:S683)))^(1/inputs!$O$13))-1)/inputs!$N$13, inputs!$I$17))</f>
        <v>435.97208831190369</v>
      </c>
      <c r="U683" s="63">
        <f>IF((((inputs!$P$13/(X683/MAX(K683:S683)))^(1/inputs!$O$13))-1)/inputs!$N$13&lt;0, 0, IF((((inputs!$P$13/(X683/MAX(K683:S683)))^(1/inputs!$O$13))-1)/inputs!$N$13&lt;inputs!$I$17, (((inputs!$P$13/(X683/MAX(K683:S683)))^(1/inputs!$O$13))-1)/inputs!$N$13, inputs!$I$17))</f>
        <v>15.4115816787145</v>
      </c>
      <c r="V683" s="54">
        <f>inputs!$E$70*(inputs!$F$70/F683)^(0.25)</f>
        <v>3.0313149256603005</v>
      </c>
      <c r="W683" s="54">
        <f>inputs!$E$76*(inputs!$F$76/F683)^(0.25)</f>
        <v>0.91176235574814801</v>
      </c>
      <c r="X683" s="54">
        <f>inputs!$E$72*(inputs!$F$72/F683)^(0.25)</f>
        <v>133.73448201442503</v>
      </c>
      <c r="Y683" s="54" t="s">
        <v>13</v>
      </c>
      <c r="Z683" s="106">
        <f t="shared" si="72"/>
        <v>228.44916772760746</v>
      </c>
      <c r="AA683" s="106">
        <f t="shared" si="73"/>
        <v>759.51959139521273</v>
      </c>
    </row>
    <row r="684" spans="1:27" x14ac:dyDescent="0.25">
      <c r="A684" s="55" t="s">
        <v>561</v>
      </c>
      <c r="B684" s="49" t="s">
        <v>562</v>
      </c>
      <c r="C684" s="21" t="s">
        <v>61</v>
      </c>
      <c r="D684" s="20" t="s">
        <v>443</v>
      </c>
      <c r="E684" s="20">
        <v>17</v>
      </c>
      <c r="F684" s="21">
        <v>7.6</v>
      </c>
      <c r="G684" s="21" t="s">
        <v>154</v>
      </c>
      <c r="H684" s="21">
        <v>9.2999999999999999E-2</v>
      </c>
      <c r="I684" s="68">
        <f>MAX('Max rate concentrations'!$G$3:$G$368)</f>
        <v>45</v>
      </c>
      <c r="J684" s="68">
        <f>MAX('Max rate concentrations'!Z:Z)</f>
        <v>21</v>
      </c>
      <c r="K684" s="70">
        <f t="shared" si="74"/>
        <v>12.725126275034363</v>
      </c>
      <c r="L684" s="70">
        <f t="shared" si="75"/>
        <v>5.9383922616827025</v>
      </c>
      <c r="M684" s="70">
        <f>IF((((0.326*F684^0.818)-(0.398*F684^0.85)/(1-H684)*H684)*(MAX('Max rate concentrations'!$P$3:$P$368)))/F684&gt;0, (((0.326*F684^0.818)-(0.398*F684^0.85)/(1-H684)*H684)*(MAX('Max rate concentrations'!$P$3:$P$368)))/F684, 0)</f>
        <v>0.17006016424449752</v>
      </c>
      <c r="N684" s="70">
        <f>IF((((0.326*F684^0.818)-(0.398*F684^0.85)/(1-H684)*H684)*(MAX('Max rate concentrations'!$Q$3:$Q$368)))/F684&gt; 0, (((0.326*F684^0.818)-(0.398*F684^0.85)/(1-H684)*H684)*(MAX('Max rate concentrations'!$Q$3:$Q$368)))/F684, 0)</f>
        <v>0.64759824306224445</v>
      </c>
      <c r="O684" s="70">
        <f>((MAX('Max rate concentrations'!$F$3:$F$368))*0.62*6.01*8*(12.3*F684^0.65)*0.079*0.1/F684)*inputs!$E$73/inputs!$E$74</f>
        <v>133.11791893015101</v>
      </c>
      <c r="P684" s="70">
        <f>((MAX('Max rate concentrations'!Y:Y))*0.62*6.01*8*(12.3*F684^0.65)*0.079*0.1/F684)*inputs!$E$73/inputs!$E$74</f>
        <v>44.372639643383671</v>
      </c>
      <c r="Q684" s="70">
        <f>(inputs!$C$18*11.2*(12.3*F684^0.65)*0.5/F684)*inputs!$E$73/inputs!$E$74</f>
        <v>23.44809355848669</v>
      </c>
      <c r="R684" s="60">
        <f>(60*379*((F684/1000)^0.8)*3*24*(MAX('Max rate concentrations'!$R$3:$R$368))/F684)*(inputs!$E$73/inputs!$E$75)</f>
        <v>2.9293144222415933E-2</v>
      </c>
      <c r="S684" s="60">
        <f>(IF(inputs!$C$17="aerial",((0.025*0.112*inputs!$C$18/3.3)*(3*60*379*((F684/1000)^0.8))*MAX(inputs!$I$14:$I$16))/F684,((0.0083*0.112*inputs!$C$18/1)*(3*60*379*((F684/1000)^0.8))*MAX(inputs!$I$14:$I$16))/F684))*(inputs!E$75/inputs!$E$73)</f>
        <v>0.16155349010787662</v>
      </c>
      <c r="T684" s="63">
        <f>IF((((inputs!$P$13/(V684/MAX(K684:S684)))^(1/inputs!$O$13))-1)/inputs!$N$13&lt;0, 0, IF((((inputs!$P$13/(V684/MAX(K684:S684)))^(1/inputs!$O$13))-1)/inputs!$N$13&lt;inputs!$I$17, (((inputs!$P$13/(V684/MAX(K684:S684)))^(1/inputs!$O$13))-1)/inputs!$N$13, inputs!$I$17))</f>
        <v>111.04568028838672</v>
      </c>
      <c r="U684" s="63">
        <f>IF((((inputs!$P$13/(X684/MAX(K684:S684)))^(1/inputs!$O$13))-1)/inputs!$N$13&lt;0, 0, IF((((inputs!$P$13/(X684/MAX(K684:S684)))^(1/inputs!$O$13))-1)/inputs!$N$13&lt;inputs!$I$17, (((inputs!$P$13/(X684/MAX(K684:S684)))^(1/inputs!$O$13))-1)/inputs!$N$13, inputs!$I$17))</f>
        <v>0.2117735717154538</v>
      </c>
      <c r="V684" s="54">
        <f>inputs!$E$70*(inputs!$F$70/F684)^(0.25)</f>
        <v>3.0313149256603005</v>
      </c>
      <c r="W684" s="54">
        <f>inputs!$E$76*(inputs!$F$76/F684)^(0.25)</f>
        <v>0.91176235574814801</v>
      </c>
      <c r="X684" s="54">
        <f>inputs!$E$72*(inputs!$F$72/F684)^(0.25)</f>
        <v>133.73448201442503</v>
      </c>
      <c r="Y684" s="54" t="s">
        <v>13</v>
      </c>
      <c r="Z684" s="106">
        <f t="shared" si="72"/>
        <v>43.914249160751389</v>
      </c>
      <c r="AA684" s="106">
        <f t="shared" si="73"/>
        <v>146.00067450791045</v>
      </c>
    </row>
    <row r="685" spans="1:27" x14ac:dyDescent="0.25">
      <c r="A685" s="55" t="s">
        <v>476</v>
      </c>
      <c r="B685" s="49" t="s">
        <v>477</v>
      </c>
      <c r="C685" s="21" t="s">
        <v>61</v>
      </c>
      <c r="D685" s="20" t="s">
        <v>443</v>
      </c>
      <c r="E685" s="20">
        <v>63</v>
      </c>
      <c r="F685" s="21">
        <v>23.2</v>
      </c>
      <c r="G685" s="21" t="s">
        <v>142</v>
      </c>
      <c r="H685" s="21">
        <v>0.69</v>
      </c>
      <c r="I685" s="68">
        <f>MAX('Max rate concentrations'!$H$3:$H$368)</f>
        <v>282</v>
      </c>
      <c r="J685" s="68">
        <f>MAX('Max rate concentrations'!AA:AA)</f>
        <v>195</v>
      </c>
      <c r="K685" s="70">
        <f t="shared" si="74"/>
        <v>143.42546059626625</v>
      </c>
      <c r="L685" s="70">
        <f t="shared" si="75"/>
        <v>99.177180199545816</v>
      </c>
      <c r="M685" s="70">
        <f>IF((((0.326*F685^0.818)-(0.398*F685^0.85)/(1-H685)*H685)*(MAX('Max rate concentrations'!$P$3:$P$368)))/F685&gt;0, (((0.326*F685^0.818)-(0.398*F685^0.85)/(1-H685)*H685)*(MAX('Max rate concentrations'!$P$3:$P$368)))/F685, 0)</f>
        <v>0</v>
      </c>
      <c r="N685" s="70">
        <f>IF((((0.326*F685^0.818)-(0.398*F685^0.85)/(1-H685)*H685)*(MAX('Max rate concentrations'!$Q$3:$Q$368)))/F685&gt; 0, (((0.326*F685^0.818)-(0.398*F685^0.85)/(1-H685)*H685)*(MAX('Max rate concentrations'!$Q$3:$Q$368)))/F685, 0)</f>
        <v>0</v>
      </c>
      <c r="O685" s="70">
        <f>((MAX('Max rate concentrations'!$F$3:$F$368))*0.62*6.01*8*(12.3*F685^0.65)*0.079*0.1/F685)*inputs!$E$73/inputs!$E$74</f>
        <v>90.074214215864089</v>
      </c>
      <c r="P685" s="70">
        <f>((MAX('Max rate concentrations'!Y:Y))*0.62*6.01*8*(12.3*F685^0.65)*0.079*0.1/F685)*inputs!$E$73/inputs!$E$74</f>
        <v>30.024738071954701</v>
      </c>
      <c r="Q685" s="70">
        <f>(inputs!$C$18*11.2*(12.3*F685^0.65)*0.5/F685)*inputs!$E$73/inputs!$E$74</f>
        <v>15.866147992059481</v>
      </c>
      <c r="R685" s="60">
        <f>(60*379*((F685/1000)^0.8)*3*24*(MAX('Max rate concentrations'!$R$3:$R$368))/F685)*(inputs!$E$73/inputs!$E$75)</f>
        <v>2.3433173674060274E-2</v>
      </c>
      <c r="S685" s="60">
        <f>(IF(inputs!$C$17="aerial",((0.025*0.112*inputs!$C$18/3.3)*(3*60*379*((F685/1000)^0.8))*MAX(inputs!$I$14:$I$16))/F685,((0.0083*0.112*inputs!$C$18/1)*(3*60*379*((F685/1000)^0.8))*MAX(inputs!$I$14:$I$16))/F685))*(inputs!E$75/inputs!$E$73)</f>
        <v>0.12923539250701263</v>
      </c>
      <c r="T685" s="63">
        <f>IF((((inputs!$P$13/(V685/MAX(K685:S685)))^(1/inputs!$O$13))-1)/inputs!$N$13&lt;0, 0, IF((((inputs!$P$13/(V685/MAX(K685:S685)))^(1/inputs!$O$13))-1)/inputs!$N$13&lt;inputs!$I$17, (((inputs!$P$13/(V685/MAX(K685:S685)))^(1/inputs!$O$13))-1)/inputs!$N$13, inputs!$I$17))</f>
        <v>149.53199457245719</v>
      </c>
      <c r="U685" s="63">
        <f>IF((((inputs!$P$13/(X685/MAX(K685:S685)))^(1/inputs!$O$13))-1)/inputs!$N$13&lt;0, 0, IF((((inputs!$P$13/(X685/MAX(K685:S685)))^(1/inputs!$O$13))-1)/inputs!$N$13&lt;inputs!$I$17, (((inputs!$P$13/(X685/MAX(K685:S685)))^(1/inputs!$O$13))-1)/inputs!$N$13, inputs!$I$17))</f>
        <v>2.0121338299718019</v>
      </c>
      <c r="V685" s="54">
        <f>inputs!$E$70*(inputs!$F$70/F685)^(0.25)</f>
        <v>2.2933083891728261</v>
      </c>
      <c r="W685" s="54">
        <f>inputs!$E$76*(inputs!$F$76/F685)^(0.25)</f>
        <v>0.68978390917721688</v>
      </c>
      <c r="X685" s="54">
        <f>inputs!$E$72*(inputs!$F$72/F685)^(0.25)</f>
        <v>101.17537011056586</v>
      </c>
      <c r="Y685" s="54" t="s">
        <v>13</v>
      </c>
      <c r="Z685" s="106">
        <f t="shared" si="72"/>
        <v>62.540852016853435</v>
      </c>
      <c r="AA685" s="106">
        <f t="shared" si="73"/>
        <v>207.92810427739028</v>
      </c>
    </row>
    <row r="686" spans="1:27" x14ac:dyDescent="0.25">
      <c r="A686" s="55" t="s">
        <v>476</v>
      </c>
      <c r="B686" s="49" t="s">
        <v>477</v>
      </c>
      <c r="C686" s="21" t="s">
        <v>61</v>
      </c>
      <c r="D686" s="20" t="s">
        <v>443</v>
      </c>
      <c r="E686" s="20">
        <v>63</v>
      </c>
      <c r="F686" s="21">
        <v>23.2</v>
      </c>
      <c r="G686" s="21" t="s">
        <v>169</v>
      </c>
      <c r="H686" s="21">
        <v>0.79</v>
      </c>
      <c r="I686" s="68">
        <f>MAX('Max rate concentrations'!$D$3:$D$368)</f>
        <v>720</v>
      </c>
      <c r="J686" s="68">
        <f>MAX('Max rate concentrations'!W:W)</f>
        <v>255</v>
      </c>
      <c r="K686" s="70">
        <f t="shared" si="74"/>
        <v>540.57012504367844</v>
      </c>
      <c r="L686" s="70">
        <f t="shared" si="75"/>
        <v>191.45191928630277</v>
      </c>
      <c r="M686" s="70">
        <f>IF((((0.326*F686^0.818)-(0.398*F686^0.85)/(1-H686)*H686)*(MAX('Max rate concentrations'!$P$3:$P$368)))/F686&gt;0, (((0.326*F686^0.818)-(0.398*F686^0.85)/(1-H686)*H686)*(MAX('Max rate concentrations'!$P$3:$P$368)))/F686, 0)</f>
        <v>0</v>
      </c>
      <c r="N686" s="70">
        <f>IF((((0.326*F686^0.818)-(0.398*F686^0.85)/(1-H686)*H686)*(MAX('Max rate concentrations'!$Q$3:$Q$368)))/F686&gt; 0, (((0.326*F686^0.818)-(0.398*F686^0.85)/(1-H686)*H686)*(MAX('Max rate concentrations'!$Q$3:$Q$368)))/F686, 0)</f>
        <v>0</v>
      </c>
      <c r="O686" s="70">
        <f>((MAX('Max rate concentrations'!$F$3:$F$368))*0.62*6.01*8*(12.3*F686^0.65)*0.079*0.1/F686)*inputs!$E$73/inputs!$E$74</f>
        <v>90.074214215864089</v>
      </c>
      <c r="P686" s="70">
        <f>((MAX('Max rate concentrations'!Y:Y))*0.62*6.01*8*(12.3*F686^0.65)*0.079*0.1/F686)*inputs!$E$73/inputs!$E$74</f>
        <v>30.024738071954701</v>
      </c>
      <c r="Q686" s="70">
        <f>(inputs!$C$18*11.2*(12.3*F686^0.65)*0.5/F686)*inputs!$E$73/inputs!$E$74</f>
        <v>15.866147992059481</v>
      </c>
      <c r="R686" s="60">
        <f>(60*379*((F686/1000)^0.8)*3*24*(MAX('Max rate concentrations'!$R$3:$R$368))/F686)*(inputs!$E$73/inputs!$E$75)</f>
        <v>2.3433173674060274E-2</v>
      </c>
      <c r="S686" s="60">
        <f>(IF(inputs!$C$17="aerial",((0.025*0.112*inputs!$C$18/3.3)*(3*60*379*((F686/1000)^0.8))*MAX(inputs!$I$14:$I$16))/F686,((0.0083*0.112*inputs!$C$18/1)*(3*60*379*((F686/1000)^0.8))*MAX(inputs!$I$14:$I$16))/F686))*(inputs!E$75/inputs!$E$73)</f>
        <v>0.12923539250701263</v>
      </c>
      <c r="T686" s="63">
        <f>IF((((inputs!$P$13/(V686/MAX(K686:S686)))^(1/inputs!$O$13))-1)/inputs!$N$13&lt;0, 0, IF((((inputs!$P$13/(V686/MAX(K686:S686)))^(1/inputs!$O$13))-1)/inputs!$N$13&lt;inputs!$I$17, (((inputs!$P$13/(V686/MAX(K686:S686)))^(1/inputs!$O$13))-1)/inputs!$N$13, inputs!$I$17))</f>
        <v>447.28751450854764</v>
      </c>
      <c r="U686" s="63">
        <f>IF((((inputs!$P$13/(X686/MAX(K686:S686)))^(1/inputs!$O$13))-1)/inputs!$N$13&lt;0, 0, IF((((inputs!$P$13/(X686/MAX(K686:S686)))^(1/inputs!$O$13))-1)/inputs!$N$13&lt;inputs!$I$17, (((inputs!$P$13/(X686/MAX(K686:S686)))^(1/inputs!$O$13))-1)/inputs!$N$13, inputs!$I$17))</f>
        <v>15.940908635806434</v>
      </c>
      <c r="V686" s="54">
        <f>inputs!$E$70*(inputs!$F$70/F686)^(0.25)</f>
        <v>2.2933083891728261</v>
      </c>
      <c r="W686" s="54">
        <f>inputs!$E$76*(inputs!$F$76/F686)^(0.25)</f>
        <v>0.68978390917721688</v>
      </c>
      <c r="X686" s="54">
        <f>inputs!$E$72*(inputs!$F$72/F686)^(0.25)</f>
        <v>101.17537011056586</v>
      </c>
      <c r="Y686" s="54" t="s">
        <v>13</v>
      </c>
      <c r="Z686" s="106">
        <f t="shared" si="72"/>
        <v>235.71628115774556</v>
      </c>
      <c r="AA686" s="106">
        <f t="shared" si="73"/>
        <v>783.68039302116722</v>
      </c>
    </row>
    <row r="687" spans="1:27" x14ac:dyDescent="0.25">
      <c r="A687" s="55" t="s">
        <v>476</v>
      </c>
      <c r="B687" s="49" t="s">
        <v>477</v>
      </c>
      <c r="C687" s="21" t="s">
        <v>61</v>
      </c>
      <c r="D687" s="20" t="s">
        <v>443</v>
      </c>
      <c r="E687" s="20">
        <v>63</v>
      </c>
      <c r="F687" s="21">
        <v>23.2</v>
      </c>
      <c r="G687" s="21" t="s">
        <v>177</v>
      </c>
      <c r="H687" s="21">
        <v>0.85</v>
      </c>
      <c r="I687" s="68">
        <f>MAX('Max rate concentrations'!$F$3:$F$368)</f>
        <v>405</v>
      </c>
      <c r="J687" s="68">
        <f>MAX('Max rate concentrations'!Y:Y)</f>
        <v>135</v>
      </c>
      <c r="K687" s="70">
        <f t="shared" si="74"/>
        <v>425.69897347189658</v>
      </c>
      <c r="L687" s="70">
        <f t="shared" si="75"/>
        <v>141.89965782396553</v>
      </c>
      <c r="M687" s="70">
        <f>IF((((0.326*F687^0.818)-(0.398*F687^0.85)/(1-H687)*H687)*(MAX('Max rate concentrations'!$P$3:$P$368)))/F687&gt;0, (((0.326*F687^0.818)-(0.398*F687^0.85)/(1-H687)*H687)*(MAX('Max rate concentrations'!$P$3:$P$368)))/F687, 0)</f>
        <v>0</v>
      </c>
      <c r="N687" s="70">
        <f>IF((((0.326*F687^0.818)-(0.398*F687^0.85)/(1-H687)*H687)*(MAX('Max rate concentrations'!$Q$3:$Q$368)))/F687&gt; 0, (((0.326*F687^0.818)-(0.398*F687^0.85)/(1-H687)*H687)*(MAX('Max rate concentrations'!$Q$3:$Q$368)))/F687, 0)</f>
        <v>0</v>
      </c>
      <c r="O687" s="70">
        <f>((MAX('Max rate concentrations'!$F$3:$F$368))*0.62*6.01*8*(12.3*F687^0.65)*0.079*0.1/F687)*inputs!$E$73/inputs!$E$74</f>
        <v>90.074214215864089</v>
      </c>
      <c r="P687" s="70">
        <f>((MAX('Max rate concentrations'!Y:Y))*0.62*6.01*8*(12.3*F687^0.65)*0.079*0.1/F687)*inputs!$E$73/inputs!$E$74</f>
        <v>30.024738071954701</v>
      </c>
      <c r="Q687" s="70">
        <f>(inputs!$C$18*11.2*(12.3*F687^0.65)*0.5/F687)*inputs!$E$73/inputs!$E$74</f>
        <v>15.866147992059481</v>
      </c>
      <c r="R687" s="60">
        <f>(60*379*((F687/1000)^0.8)*3*24*(MAX('Max rate concentrations'!$R$3:$R$368))/F687)*(inputs!$E$73/inputs!$E$75)</f>
        <v>2.3433173674060274E-2</v>
      </c>
      <c r="S687" s="60">
        <f>(IF(inputs!$C$17="aerial",((0.025*0.112*inputs!$C$18/3.3)*(3*60*379*((F687/1000)^0.8))*MAX(inputs!$I$14:$I$16))/F687,((0.0083*0.112*inputs!$C$18/1)*(3*60*379*((F687/1000)^0.8))*MAX(inputs!$I$14:$I$16))/F687))*(inputs!E$75/inputs!$E$73)</f>
        <v>0.12923539250701263</v>
      </c>
      <c r="T687" s="63">
        <f>IF((((inputs!$P$13/(V687/MAX(K687:S687)))^(1/inputs!$O$13))-1)/inputs!$N$13&lt;0, 0, IF((((inputs!$P$13/(V687/MAX(K687:S687)))^(1/inputs!$O$13))-1)/inputs!$N$13&lt;inputs!$I$17, (((inputs!$P$13/(V687/MAX(K687:S687)))^(1/inputs!$O$13))-1)/inputs!$N$13, inputs!$I$17))</f>
        <v>367.79417610035591</v>
      </c>
      <c r="U687" s="63">
        <f>IF((((inputs!$P$13/(X687/MAX(K687:S687)))^(1/inputs!$O$13))-1)/inputs!$N$13&lt;0, 0, IF((((inputs!$P$13/(X687/MAX(K687:S687)))^(1/inputs!$O$13))-1)/inputs!$N$13&lt;inputs!$I$17, (((inputs!$P$13/(X687/MAX(K687:S687)))^(1/inputs!$O$13))-1)/inputs!$N$13, inputs!$I$17))</f>
        <v>12.222271246684764</v>
      </c>
      <c r="V687" s="54">
        <f>inputs!$E$70*(inputs!$F$70/F687)^(0.25)</f>
        <v>2.2933083891728261</v>
      </c>
      <c r="W687" s="54">
        <f>inputs!$E$76*(inputs!$F$76/F687)^(0.25)</f>
        <v>0.68978390917721688</v>
      </c>
      <c r="X687" s="54">
        <f>inputs!$E$72*(inputs!$F$72/F687)^(0.25)</f>
        <v>101.17537011056586</v>
      </c>
      <c r="Y687" s="54" t="s">
        <v>13</v>
      </c>
      <c r="Z687" s="106">
        <f t="shared" si="72"/>
        <v>185.62657141172454</v>
      </c>
      <c r="AA687" s="106">
        <f t="shared" si="73"/>
        <v>617.14830950416888</v>
      </c>
    </row>
    <row r="688" spans="1:27" x14ac:dyDescent="0.25">
      <c r="A688" s="55" t="s">
        <v>476</v>
      </c>
      <c r="B688" s="49" t="s">
        <v>477</v>
      </c>
      <c r="C688" s="21" t="s">
        <v>61</v>
      </c>
      <c r="D688" s="20" t="s">
        <v>443</v>
      </c>
      <c r="E688" s="20">
        <v>63</v>
      </c>
      <c r="F688" s="21">
        <v>23.2</v>
      </c>
      <c r="G688" s="21" t="s">
        <v>154</v>
      </c>
      <c r="H688" s="21">
        <v>9.2999999999999999E-2</v>
      </c>
      <c r="I688" s="68">
        <f>MAX('Max rate concentrations'!$G$3:$G$368)</f>
        <v>45</v>
      </c>
      <c r="J688" s="68">
        <f>MAX('Max rate concentrations'!Z:Z)</f>
        <v>21</v>
      </c>
      <c r="K688" s="70">
        <f t="shared" si="74"/>
        <v>7.8224728679143078</v>
      </c>
      <c r="L688" s="70">
        <f t="shared" si="75"/>
        <v>3.6504873383600103</v>
      </c>
      <c r="M688" s="70">
        <f>IF((((0.326*F688^0.818)-(0.398*F688^0.85)/(1-H688)*H688)*(MAX('Max rate concentrations'!$P$3:$P$368)))/F688&gt;0, (((0.326*F688^0.818)-(0.398*F688^0.85)/(1-H688)*H688)*(MAX('Max rate concentrations'!$P$3:$P$368)))/F688, 0)</f>
        <v>0.13802275915783402</v>
      </c>
      <c r="N688" s="70">
        <f>IF((((0.326*F688^0.818)-(0.398*F688^0.85)/(1-H688)*H688)*(MAX('Max rate concentrations'!$Q$3:$Q$368)))/F688&gt; 0, (((0.326*F688^0.818)-(0.398*F688^0.85)/(1-H688)*H688)*(MAX('Max rate concentrations'!$Q$3:$Q$368)))/F688, 0)</f>
        <v>0.52559808306846745</v>
      </c>
      <c r="O688" s="70">
        <f>((MAX('Max rate concentrations'!$F$3:$F$368))*0.62*6.01*8*(12.3*F688^0.65)*0.079*0.1/F688)*inputs!$E$73/inputs!$E$74</f>
        <v>90.074214215864089</v>
      </c>
      <c r="P688" s="70">
        <f>((MAX('Max rate concentrations'!Y:Y))*0.62*6.01*8*(12.3*F688^0.65)*0.079*0.1/F688)*inputs!$E$73/inputs!$E$74</f>
        <v>30.024738071954701</v>
      </c>
      <c r="Q688" s="70">
        <f>(inputs!$C$18*11.2*(12.3*F688^0.65)*0.5/F688)*inputs!$E$73/inputs!$E$74</f>
        <v>15.866147992059481</v>
      </c>
      <c r="R688" s="60">
        <f>(60*379*((F688/1000)^0.8)*3*24*(MAX('Max rate concentrations'!$R$3:$R$368))/F688)*(inputs!$E$73/inputs!$E$75)</f>
        <v>2.3433173674060274E-2</v>
      </c>
      <c r="S688" s="60">
        <f>(IF(inputs!$C$17="aerial",((0.025*0.112*inputs!$C$18/3.3)*(3*60*379*((F688/1000)^0.8))*MAX(inputs!$I$14:$I$16))/F688,((0.0083*0.112*inputs!$C$18/1)*(3*60*379*((F688/1000)^0.8))*MAX(inputs!$I$14:$I$16))/F688))*(inputs!E$75/inputs!$E$73)</f>
        <v>0.12923539250701263</v>
      </c>
      <c r="T688" s="63">
        <f>IF((((inputs!$P$13/(V688/MAX(K688:S688)))^(1/inputs!$O$13))-1)/inputs!$N$13&lt;0, 0, IF((((inputs!$P$13/(V688/MAX(K688:S688)))^(1/inputs!$O$13))-1)/inputs!$N$13&lt;inputs!$I$17, (((inputs!$P$13/(V688/MAX(K688:S688)))^(1/inputs!$O$13))-1)/inputs!$N$13, inputs!$I$17))</f>
        <v>101.01186772511451</v>
      </c>
      <c r="U688" s="63">
        <f>IF((((inputs!$P$13/(X688/MAX(K688:S688)))^(1/inputs!$O$13))-1)/inputs!$N$13&lt;0, 0, IF((((inputs!$P$13/(X688/MAX(K688:S688)))^(1/inputs!$O$13))-1)/inputs!$N$13&lt;inputs!$I$17, (((inputs!$P$13/(X688/MAX(K688:S688)))^(1/inputs!$O$13))-1)/inputs!$N$13, inputs!$I$17))</f>
        <v>0</v>
      </c>
      <c r="V688" s="54">
        <f>inputs!$E$70*(inputs!$F$70/F688)^(0.25)</f>
        <v>2.2933083891728261</v>
      </c>
      <c r="W688" s="54">
        <f>inputs!$E$76*(inputs!$F$76/F688)^(0.25)</f>
        <v>0.68978390917721688</v>
      </c>
      <c r="X688" s="54">
        <f>inputs!$E$72*(inputs!$F$72/F688)^(0.25)</f>
        <v>101.17537011056586</v>
      </c>
      <c r="Y688" s="54" t="s">
        <v>13</v>
      </c>
      <c r="Z688" s="106">
        <f t="shared" si="72"/>
        <v>39.276974104801049</v>
      </c>
      <c r="AA688" s="106">
        <f t="shared" si="73"/>
        <v>130.58323486163337</v>
      </c>
    </row>
    <row r="689" spans="1:27" x14ac:dyDescent="0.25">
      <c r="A689" s="55" t="s">
        <v>546</v>
      </c>
      <c r="B689" s="49" t="s">
        <v>547</v>
      </c>
      <c r="C689" s="21" t="s">
        <v>61</v>
      </c>
      <c r="D689" s="20" t="s">
        <v>443</v>
      </c>
      <c r="E689" s="20">
        <v>53</v>
      </c>
      <c r="F689" s="21">
        <v>12</v>
      </c>
      <c r="G689" s="21" t="s">
        <v>182</v>
      </c>
      <c r="H689" s="21">
        <v>0.85</v>
      </c>
      <c r="I689" s="68">
        <f>MAX('Max rate concentrations'!$M$3:$M$368)</f>
        <v>17.092910873809167</v>
      </c>
      <c r="J689" s="68">
        <f>MAX('Max rate concentrations'!AE:AE)</f>
        <v>11.81956602976166</v>
      </c>
      <c r="K689" s="70">
        <f t="shared" si="74"/>
        <v>23.949328773314715</v>
      </c>
      <c r="L689" s="70">
        <f t="shared" si="75"/>
        <v>16.560706066653793</v>
      </c>
      <c r="M689" s="70">
        <f>IF((((0.326*F689^0.818)-(0.398*F689^0.85)/(1-H689)*H689)*(MAX('Max rate concentrations'!$P$3:$P$368)))/F689&gt;0, (((0.326*F689^0.818)-(0.398*F689^0.85)/(1-H689)*H689)*(MAX('Max rate concentrations'!$P$3:$P$368)))/F689, 0)</f>
        <v>0</v>
      </c>
      <c r="N689" s="70">
        <f>IF((((0.326*F689^0.818)-(0.398*F689^0.85)/(1-H689)*H689)*(MAX('Max rate concentrations'!$Q$3:$Q$368)))/F689&gt; 0, (((0.326*F689^0.818)-(0.398*F689^0.85)/(1-H689)*H689)*(MAX('Max rate concentrations'!$Q$3:$Q$368)))/F689, 0)</f>
        <v>0</v>
      </c>
      <c r="O689" s="70">
        <f>((MAX('Max rate concentrations'!$F$3:$F$368))*0.62*6.01*8*(12.3*F689^0.65)*0.079*0.1/F689)*inputs!$E$73/inputs!$E$74</f>
        <v>113.45087263972519</v>
      </c>
      <c r="P689" s="70">
        <f>((MAX('Max rate concentrations'!Y:Y))*0.62*6.01*8*(12.3*F689^0.65)*0.079*0.1/F689)*inputs!$E$73/inputs!$E$74</f>
        <v>37.816957546575082</v>
      </c>
      <c r="Q689" s="70">
        <f>(inputs!$C$18*11.2*(12.3*F689^0.65)*0.5/F689)*inputs!$E$73/inputs!$E$74</f>
        <v>19.983836115587753</v>
      </c>
      <c r="R689" s="60">
        <f>(60*379*((F689/1000)^0.8)*3*24*(MAX('Max rate concentrations'!$R$3:$R$368))/F689)*(inputs!$E$73/inputs!$E$75)</f>
        <v>2.6735755385671349E-2</v>
      </c>
      <c r="S689" s="60">
        <f>(IF(inputs!$C$17="aerial",((0.025*0.112*inputs!$C$18/3.3)*(3*60*379*((F689/1000)^0.8))*MAX(inputs!$I$14:$I$16))/F689,((0.0083*0.112*inputs!$C$18/1)*(3*60*379*((F689/1000)^0.8))*MAX(inputs!$I$14:$I$16))/F689))*(inputs!E$75/inputs!$E$73)</f>
        <v>0.14744933355158416</v>
      </c>
      <c r="T689" s="63">
        <f>IF((((inputs!$P$13/(V689/MAX(K689:S689)))^(1/inputs!$O$13))-1)/inputs!$N$13&lt;0, 0, IF((((inputs!$P$13/(V689/MAX(K689:S689)))^(1/inputs!$O$13))-1)/inputs!$N$13&lt;inputs!$I$17, (((inputs!$P$13/(V689/MAX(K689:S689)))^(1/inputs!$O$13))-1)/inputs!$N$13, inputs!$I$17))</f>
        <v>106.82929344674648</v>
      </c>
      <c r="U689" s="63">
        <f>IF((((inputs!$P$13/(X689/MAX(K689:S689)))^(1/inputs!$O$13))-1)/inputs!$N$13&lt;0, 0, IF((((inputs!$P$13/(X689/MAX(K689:S689)))^(1/inputs!$O$13))-1)/inputs!$N$13&lt;inputs!$I$17, (((inputs!$P$13/(X689/MAX(K689:S689)))^(1/inputs!$O$13))-1)/inputs!$N$13, inputs!$I$17))</f>
        <v>1.4534229774466291E-2</v>
      </c>
      <c r="V689" s="54">
        <f>inputs!$E$70*(inputs!$F$70/F689)^(0.25)</f>
        <v>2.7042020921926482</v>
      </c>
      <c r="W689" s="54">
        <f>inputs!$E$76*(inputs!$F$76/F689)^(0.25)</f>
        <v>0.81337298514425049</v>
      </c>
      <c r="X689" s="54">
        <f>inputs!$E$72*(inputs!$F$72/F689)^(0.25)</f>
        <v>119.30303347908743</v>
      </c>
      <c r="Y689" s="54" t="s">
        <v>13</v>
      </c>
      <c r="Z689" s="106">
        <f t="shared" si="72"/>
        <v>41.953548134317067</v>
      </c>
      <c r="AA689" s="106">
        <f t="shared" si="73"/>
        <v>139.48197777874913</v>
      </c>
    </row>
    <row r="690" spans="1:27" x14ac:dyDescent="0.25">
      <c r="A690" s="55" t="s">
        <v>546</v>
      </c>
      <c r="B690" s="49" t="s">
        <v>547</v>
      </c>
      <c r="C690" s="21" t="s">
        <v>61</v>
      </c>
      <c r="D690" s="20" t="s">
        <v>443</v>
      </c>
      <c r="E690" s="20">
        <v>53</v>
      </c>
      <c r="F690" s="21">
        <v>12</v>
      </c>
      <c r="G690" s="21" t="s">
        <v>142</v>
      </c>
      <c r="H690" s="21">
        <v>0.69</v>
      </c>
      <c r="I690" s="68">
        <f>MAX('Max rate concentrations'!$H$3:$H$368)</f>
        <v>282</v>
      </c>
      <c r="J690" s="68">
        <f>MAX('Max rate concentrations'!AA:AA)</f>
        <v>195</v>
      </c>
      <c r="K690" s="70">
        <f t="shared" si="74"/>
        <v>191.18595792105523</v>
      </c>
      <c r="L690" s="70">
        <f t="shared" si="75"/>
        <v>132.20305600924033</v>
      </c>
      <c r="M690" s="70">
        <f>IF((((0.326*F690^0.818)-(0.398*F690^0.85)/(1-H690)*H690)*(MAX('Max rate concentrations'!$P$3:$P$368)))/F690&gt;0, (((0.326*F690^0.818)-(0.398*F690^0.85)/(1-H690)*H690)*(MAX('Max rate concentrations'!$P$3:$P$368)))/F690, 0)</f>
        <v>0</v>
      </c>
      <c r="N690" s="70">
        <f>IF((((0.326*F690^0.818)-(0.398*F690^0.85)/(1-H690)*H690)*(MAX('Max rate concentrations'!$Q$3:$Q$368)))/F690&gt; 0, (((0.326*F690^0.818)-(0.398*F690^0.85)/(1-H690)*H690)*(MAX('Max rate concentrations'!$Q$3:$Q$368)))/F690, 0)</f>
        <v>0</v>
      </c>
      <c r="O690" s="70">
        <f>((MAX('Max rate concentrations'!$F$3:$F$368))*0.62*6.01*8*(12.3*F690^0.65)*0.079*0.1/F690)*inputs!$E$73/inputs!$E$74</f>
        <v>113.45087263972519</v>
      </c>
      <c r="P690" s="70">
        <f>((MAX('Max rate concentrations'!Y:Y))*0.62*6.01*8*(12.3*F690^0.65)*0.079*0.1/F690)*inputs!$E$73/inputs!$E$74</f>
        <v>37.816957546575082</v>
      </c>
      <c r="Q690" s="70">
        <f>(inputs!$C$18*11.2*(12.3*F690^0.65)*0.5/F690)*inputs!$E$73/inputs!$E$74</f>
        <v>19.983836115587753</v>
      </c>
      <c r="R690" s="60">
        <f>(60*379*((F690/1000)^0.8)*3*24*(MAX('Max rate concentrations'!$R$3:$R$368))/F690)*(inputs!$E$73/inputs!$E$75)</f>
        <v>2.6735755385671349E-2</v>
      </c>
      <c r="S690" s="60">
        <f>(IF(inputs!$C$17="aerial",((0.025*0.112*inputs!$C$18/3.3)*(3*60*379*((F690/1000)^0.8))*MAX(inputs!$I$14:$I$16))/F690,((0.0083*0.112*inputs!$C$18/1)*(3*60*379*((F690/1000)^0.8))*MAX(inputs!$I$14:$I$16))/F690))*(inputs!E$75/inputs!$E$73)</f>
        <v>0.14744933355158416</v>
      </c>
      <c r="T690" s="63">
        <f>IF((((inputs!$P$13/(V690/MAX(K690:S690)))^(1/inputs!$O$13))-1)/inputs!$N$13&lt;0, 0, IF((((inputs!$P$13/(V690/MAX(K690:S690)))^(1/inputs!$O$13))-1)/inputs!$N$13&lt;inputs!$I$17, (((inputs!$P$13/(V690/MAX(K690:S690)))^(1/inputs!$O$13))-1)/inputs!$N$13, inputs!$I$17))</f>
        <v>165.66435490148032</v>
      </c>
      <c r="U690" s="63">
        <f>IF((((inputs!$P$13/(X690/MAX(K690:S690)))^(1/inputs!$O$13))-1)/inputs!$N$13&lt;0, 0, IF((((inputs!$P$13/(X690/MAX(K690:S690)))^(1/inputs!$O$13))-1)/inputs!$N$13&lt;inputs!$I$17, (((inputs!$P$13/(X690/MAX(K690:S690)))^(1/inputs!$O$13))-1)/inputs!$N$13, inputs!$I$17))</f>
        <v>2.7667932705684848</v>
      </c>
      <c r="V690" s="54">
        <f>inputs!$E$70*(inputs!$F$70/F690)^(0.25)</f>
        <v>2.7042020921926482</v>
      </c>
      <c r="W690" s="54">
        <f>inputs!$E$76*(inputs!$F$76/F690)^(0.25)</f>
        <v>0.81337298514425049</v>
      </c>
      <c r="X690" s="54">
        <f>inputs!$E$72*(inputs!$F$72/F690)^(0.25)</f>
        <v>119.30303347908743</v>
      </c>
      <c r="Y690" s="54" t="s">
        <v>13</v>
      </c>
      <c r="Z690" s="106">
        <f t="shared" si="72"/>
        <v>70.699582132944784</v>
      </c>
      <c r="AA690" s="106">
        <f t="shared" si="73"/>
        <v>235.05324299300239</v>
      </c>
    </row>
    <row r="691" spans="1:27" x14ac:dyDescent="0.25">
      <c r="A691" s="55" t="s">
        <v>546</v>
      </c>
      <c r="B691" s="49" t="s">
        <v>547</v>
      </c>
      <c r="C691" s="21" t="s">
        <v>61</v>
      </c>
      <c r="D691" s="20" t="s">
        <v>443</v>
      </c>
      <c r="E691" s="20">
        <v>53</v>
      </c>
      <c r="F691" s="21">
        <v>12</v>
      </c>
      <c r="G691" s="21" t="s">
        <v>169</v>
      </c>
      <c r="H691" s="21">
        <v>0.79</v>
      </c>
      <c r="I691" s="68">
        <f>MAX('Max rate concentrations'!$D$3:$D$368)</f>
        <v>720</v>
      </c>
      <c r="J691" s="68">
        <f>MAX('Max rate concentrations'!W:W)</f>
        <v>255</v>
      </c>
      <c r="K691" s="70">
        <f t="shared" si="74"/>
        <v>720.57929429212345</v>
      </c>
      <c r="L691" s="70">
        <f t="shared" si="75"/>
        <v>255.2051667284604</v>
      </c>
      <c r="M691" s="70">
        <f>IF((((0.326*F691^0.818)-(0.398*F691^0.85)/(1-H691)*H691)*(MAX('Max rate concentrations'!$P$3:$P$368)))/F691&gt;0, (((0.326*F691^0.818)-(0.398*F691^0.85)/(1-H691)*H691)*(MAX('Max rate concentrations'!$P$3:$P$368)))/F691, 0)</f>
        <v>0</v>
      </c>
      <c r="N691" s="70">
        <f>IF((((0.326*F691^0.818)-(0.398*F691^0.85)/(1-H691)*H691)*(MAX('Max rate concentrations'!$Q$3:$Q$368)))/F691&gt; 0, (((0.326*F691^0.818)-(0.398*F691^0.85)/(1-H691)*H691)*(MAX('Max rate concentrations'!$Q$3:$Q$368)))/F691, 0)</f>
        <v>0</v>
      </c>
      <c r="O691" s="70">
        <f>((MAX('Max rate concentrations'!$F$3:$F$368))*0.62*6.01*8*(12.3*F691^0.65)*0.079*0.1/F691)*inputs!$E$73/inputs!$E$74</f>
        <v>113.45087263972519</v>
      </c>
      <c r="P691" s="70">
        <f>((MAX('Max rate concentrations'!Y:Y))*0.62*6.01*8*(12.3*F691^0.65)*0.079*0.1/F691)*inputs!$E$73/inputs!$E$74</f>
        <v>37.816957546575082</v>
      </c>
      <c r="Q691" s="70">
        <f>(inputs!$C$18*11.2*(12.3*F691^0.65)*0.5/F691)*inputs!$E$73/inputs!$E$74</f>
        <v>19.983836115587753</v>
      </c>
      <c r="R691" s="60">
        <f>(60*379*((F691/1000)^0.8)*3*24*(MAX('Max rate concentrations'!$R$3:$R$368))/F691)*(inputs!$E$73/inputs!$E$75)</f>
        <v>2.6735755385671349E-2</v>
      </c>
      <c r="S691" s="60">
        <f>(IF(inputs!$C$17="aerial",((0.025*0.112*inputs!$C$18/3.3)*(3*60*379*((F691/1000)^0.8))*MAX(inputs!$I$14:$I$16))/F691,((0.0083*0.112*inputs!$C$18/1)*(3*60*379*((F691/1000)^0.8))*MAX(inputs!$I$14:$I$16))/F691))*(inputs!E$75/inputs!$E$73)</f>
        <v>0.14744933355158416</v>
      </c>
      <c r="T691" s="63">
        <f>IF((((inputs!$P$13/(V691/MAX(K691:S691)))^(1/inputs!$O$13))-1)/inputs!$N$13&lt;0, 0, IF((((inputs!$P$13/(V691/MAX(K691:S691)))^(1/inputs!$O$13))-1)/inputs!$N$13&lt;inputs!$I$17, (((inputs!$P$13/(V691/MAX(K691:S691)))^(1/inputs!$O$13))-1)/inputs!$N$13, inputs!$I$17))</f>
        <v>494.45837569033398</v>
      </c>
      <c r="U691" s="63">
        <f>IF((((inputs!$P$13/(X691/MAX(K691:S691)))^(1/inputs!$O$13))-1)/inputs!$N$13&lt;0, 0, IF((((inputs!$P$13/(X691/MAX(K691:S691)))^(1/inputs!$O$13))-1)/inputs!$N$13&lt;inputs!$I$17, (((inputs!$P$13/(X691/MAX(K691:S691)))^(1/inputs!$O$13))-1)/inputs!$N$13, inputs!$I$17))</f>
        <v>18.147525335773611</v>
      </c>
      <c r="V691" s="54">
        <f>inputs!$E$70*(inputs!$F$70/F691)^(0.25)</f>
        <v>2.7042020921926482</v>
      </c>
      <c r="W691" s="54">
        <f>inputs!$E$76*(inputs!$F$76/F691)^(0.25)</f>
        <v>0.81337298514425049</v>
      </c>
      <c r="X691" s="54">
        <f>inputs!$E$72*(inputs!$F$72/F691)^(0.25)</f>
        <v>119.30303347908743</v>
      </c>
      <c r="Y691" s="54" t="s">
        <v>13</v>
      </c>
      <c r="Z691" s="106">
        <f t="shared" si="72"/>
        <v>266.46651016672212</v>
      </c>
      <c r="AA691" s="106">
        <f t="shared" si="73"/>
        <v>885.91495839307936</v>
      </c>
    </row>
    <row r="692" spans="1:27" x14ac:dyDescent="0.25">
      <c r="A692" s="55" t="s">
        <v>546</v>
      </c>
      <c r="B692" s="49" t="s">
        <v>547</v>
      </c>
      <c r="C692" s="21" t="s">
        <v>61</v>
      </c>
      <c r="D692" s="20" t="s">
        <v>443</v>
      </c>
      <c r="E692" s="20">
        <v>53</v>
      </c>
      <c r="F692" s="21">
        <v>12</v>
      </c>
      <c r="G692" s="21" t="s">
        <v>456</v>
      </c>
      <c r="H692" s="21">
        <v>0.68</v>
      </c>
      <c r="I692" s="68">
        <f>MAX('Max rate concentrations'!$J$3:$J$368)</f>
        <v>686.46486205830786</v>
      </c>
      <c r="J692" s="68">
        <f>MAX('Max rate concentrations'!AB:AB)</f>
        <v>243.122971978984</v>
      </c>
      <c r="K692" s="70">
        <f t="shared" si="74"/>
        <v>450.85502096461028</v>
      </c>
      <c r="L692" s="70">
        <f t="shared" si="75"/>
        <v>159.67781992496612</v>
      </c>
      <c r="M692" s="70">
        <f>IF((((0.326*F692^0.818)-(0.398*F692^0.85)/(1-H692)*H692)*(MAX('Max rate concentrations'!$P$3:$P$368)))/F692&gt;0, (((0.326*F692^0.818)-(0.398*F692^0.85)/(1-H692)*H692)*(MAX('Max rate concentrations'!$P$3:$P$368)))/F692, 0)</f>
        <v>0</v>
      </c>
      <c r="N692" s="70">
        <f>IF((((0.326*F692^0.818)-(0.398*F692^0.85)/(1-H692)*H692)*(MAX('Max rate concentrations'!$Q$3:$Q$368)))/F692&gt; 0, (((0.326*F692^0.818)-(0.398*F692^0.85)/(1-H692)*H692)*(MAX('Max rate concentrations'!$Q$3:$Q$368)))/F692, 0)</f>
        <v>0</v>
      </c>
      <c r="O692" s="70">
        <f>((MAX('Max rate concentrations'!$F$3:$F$368))*0.62*6.01*8*(12.3*F692^0.65)*0.079*0.1/F692)*inputs!$E$73/inputs!$E$74</f>
        <v>113.45087263972519</v>
      </c>
      <c r="P692" s="70">
        <f>((MAX('Max rate concentrations'!Y:Y))*0.62*6.01*8*(12.3*F692^0.65)*0.079*0.1/F692)*inputs!$E$73/inputs!$E$74</f>
        <v>37.816957546575082</v>
      </c>
      <c r="Q692" s="70">
        <f>(inputs!$C$18*11.2*(12.3*F692^0.65)*0.5/F692)*inputs!$E$73/inputs!$E$74</f>
        <v>19.983836115587753</v>
      </c>
      <c r="R692" s="60">
        <f>(60*379*((F692/1000)^0.8)*3*24*(MAX('Max rate concentrations'!$R$3:$R$368))/F692)*(inputs!$E$73/inputs!$E$75)</f>
        <v>2.6735755385671349E-2</v>
      </c>
      <c r="S692" s="60">
        <f>(IF(inputs!$C$17="aerial",((0.025*0.112*inputs!$C$18/3.3)*(3*60*379*((F692/1000)^0.8))*MAX(inputs!$I$14:$I$16))/F692,((0.0083*0.112*inputs!$C$18/1)*(3*60*379*((F692/1000)^0.8))*MAX(inputs!$I$14:$I$16))/F692))*(inputs!E$75/inputs!$E$73)</f>
        <v>0.14744933355158416</v>
      </c>
      <c r="T692" s="63">
        <f>IF((((inputs!$P$13/(V692/MAX(K692:S692)))^(1/inputs!$O$13))-1)/inputs!$N$13&lt;0, 0, IF((((inputs!$P$13/(V692/MAX(K692:S692)))^(1/inputs!$O$13))-1)/inputs!$N$13&lt;inputs!$I$17, (((inputs!$P$13/(V692/MAX(K692:S692)))^(1/inputs!$O$13))-1)/inputs!$N$13, inputs!$I$17))</f>
        <v>336.76441529843572</v>
      </c>
      <c r="U692" s="63">
        <f>IF((((inputs!$P$13/(X692/MAX(K692:S692)))^(1/inputs!$O$13))-1)/inputs!$N$13&lt;0, 0, IF((((inputs!$P$13/(X692/MAX(K692:S692)))^(1/inputs!$O$13))-1)/inputs!$N$13&lt;inputs!$I$17, (((inputs!$P$13/(X692/MAX(K692:S692)))^(1/inputs!$O$13))-1)/inputs!$N$13, inputs!$I$17))</f>
        <v>10.770722840187952</v>
      </c>
      <c r="V692" s="54">
        <f>inputs!$E$70*(inputs!$F$70/F692)^(0.25)</f>
        <v>2.7042020921926482</v>
      </c>
      <c r="W692" s="54">
        <f>inputs!$E$76*(inputs!$F$76/F692)^(0.25)</f>
        <v>0.81337298514425049</v>
      </c>
      <c r="X692" s="54">
        <f>inputs!$E$72*(inputs!$F$72/F692)^(0.25)</f>
        <v>119.30303347908743</v>
      </c>
      <c r="Y692" s="54" t="s">
        <v>13</v>
      </c>
      <c r="Z692" s="106">
        <f t="shared" si="72"/>
        <v>166.72386367360713</v>
      </c>
      <c r="AA692" s="106">
        <f t="shared" si="73"/>
        <v>554.30292030740588</v>
      </c>
    </row>
    <row r="693" spans="1:27" x14ac:dyDescent="0.25">
      <c r="A693" s="55" t="s">
        <v>546</v>
      </c>
      <c r="B693" s="49" t="s">
        <v>547</v>
      </c>
      <c r="C693" s="21" t="s">
        <v>61</v>
      </c>
      <c r="D693" s="20" t="s">
        <v>443</v>
      </c>
      <c r="E693" s="20">
        <v>53</v>
      </c>
      <c r="F693" s="21">
        <v>12</v>
      </c>
      <c r="G693" s="21" t="s">
        <v>145</v>
      </c>
      <c r="H693" s="21">
        <v>0.66</v>
      </c>
      <c r="I693" s="68">
        <f>MAX('Max rate concentrations'!$M$3:$M$368)</f>
        <v>17.092910873809167</v>
      </c>
      <c r="J693" s="68">
        <f>MAX('Max rate concentrations'!AE:AE)</f>
        <v>11.81956602976166</v>
      </c>
      <c r="K693" s="70">
        <f t="shared" si="74"/>
        <v>10.565880341168258</v>
      </c>
      <c r="L693" s="70">
        <f t="shared" si="75"/>
        <v>7.3061938529354995</v>
      </c>
      <c r="M693" s="70">
        <f>IF((((0.326*F693^0.818)-(0.398*F693^0.85)/(1-H693)*H693)*(MAX('Max rate concentrations'!$P$3:$P$368)))/F693&gt;0, (((0.326*F693^0.818)-(0.398*F693^0.85)/(1-H693)*H693)*(MAX('Max rate concentrations'!$P$3:$P$368)))/F693, 0)</f>
        <v>0</v>
      </c>
      <c r="N693" s="70">
        <f>IF((((0.326*F693^0.818)-(0.398*F693^0.85)/(1-H693)*H693)*(MAX('Max rate concentrations'!$Q$3:$Q$368)))/F693&gt; 0, (((0.326*F693^0.818)-(0.398*F693^0.85)/(1-H693)*H693)*(MAX('Max rate concentrations'!$Q$3:$Q$368)))/F693, 0)</f>
        <v>0</v>
      </c>
      <c r="O693" s="70">
        <f>((MAX('Max rate concentrations'!$F$3:$F$368))*0.62*6.01*8*(12.3*F693^0.65)*0.079*0.1/F693)*inputs!$E$73/inputs!$E$74</f>
        <v>113.45087263972519</v>
      </c>
      <c r="P693" s="70">
        <f>((MAX('Max rate concentrations'!Y:Y))*0.62*6.01*8*(12.3*F693^0.65)*0.079*0.1/F693)*inputs!$E$73/inputs!$E$74</f>
        <v>37.816957546575082</v>
      </c>
      <c r="Q693" s="70">
        <f>(inputs!$C$18*11.2*(12.3*F693^0.65)*0.5/F693)*inputs!$E$73/inputs!$E$74</f>
        <v>19.983836115587753</v>
      </c>
      <c r="R693" s="60">
        <f>(60*379*((F693/1000)^0.8)*3*24*(MAX('Max rate concentrations'!$R$3:$R$368))/F693)*(inputs!$E$73/inputs!$E$75)</f>
        <v>2.6735755385671349E-2</v>
      </c>
      <c r="S693" s="60">
        <f>(IF(inputs!$C$17="aerial",((0.025*0.112*inputs!$C$18/3.3)*(3*60*379*((F693/1000)^0.8))*MAX(inputs!$I$14:$I$16))/F693,((0.0083*0.112*inputs!$C$18/1)*(3*60*379*((F693/1000)^0.8))*MAX(inputs!$I$14:$I$16))/F693))*(inputs!E$75/inputs!$E$73)</f>
        <v>0.14744933355158416</v>
      </c>
      <c r="T693" s="63">
        <f>IF((((inputs!$P$13/(V693/MAX(K693:S693)))^(1/inputs!$O$13))-1)/inputs!$N$13&lt;0, 0, IF((((inputs!$P$13/(V693/MAX(K693:S693)))^(1/inputs!$O$13))-1)/inputs!$N$13&lt;inputs!$I$17, (((inputs!$P$13/(V693/MAX(K693:S693)))^(1/inputs!$O$13))-1)/inputs!$N$13, inputs!$I$17))</f>
        <v>106.82929344674648</v>
      </c>
      <c r="U693" s="63">
        <f>IF((((inputs!$P$13/(X693/MAX(K693:S693)))^(1/inputs!$O$13))-1)/inputs!$N$13&lt;0, 0, IF((((inputs!$P$13/(X693/MAX(K693:S693)))^(1/inputs!$O$13))-1)/inputs!$N$13&lt;inputs!$I$17, (((inputs!$P$13/(X693/MAX(K693:S693)))^(1/inputs!$O$13))-1)/inputs!$N$13, inputs!$I$17))</f>
        <v>1.4534229774466291E-2</v>
      </c>
      <c r="V693" s="54">
        <f>inputs!$E$70*(inputs!$F$70/F693)^(0.25)</f>
        <v>2.7042020921926482</v>
      </c>
      <c r="W693" s="54">
        <f>inputs!$E$76*(inputs!$F$76/F693)^(0.25)</f>
        <v>0.81337298514425049</v>
      </c>
      <c r="X693" s="54">
        <f>inputs!$E$72*(inputs!$F$72/F693)^(0.25)</f>
        <v>119.30303347908743</v>
      </c>
      <c r="Y693" s="54" t="s">
        <v>13</v>
      </c>
      <c r="Z693" s="106">
        <f t="shared" si="72"/>
        <v>41.953548134317067</v>
      </c>
      <c r="AA693" s="106">
        <f t="shared" si="73"/>
        <v>139.48197777874913</v>
      </c>
    </row>
    <row r="694" spans="1:27" x14ac:dyDescent="0.25">
      <c r="A694" s="55" t="s">
        <v>546</v>
      </c>
      <c r="B694" s="49" t="s">
        <v>547</v>
      </c>
      <c r="C694" s="21" t="s">
        <v>61</v>
      </c>
      <c r="D694" s="20" t="s">
        <v>443</v>
      </c>
      <c r="E694" s="20">
        <v>53</v>
      </c>
      <c r="F694" s="21">
        <v>12</v>
      </c>
      <c r="G694" s="21" t="s">
        <v>154</v>
      </c>
      <c r="H694" s="21">
        <v>9.2999999999999999E-2</v>
      </c>
      <c r="I694" s="68">
        <f>MAX('Max rate concentrations'!$G$3:$G$368)</f>
        <v>45</v>
      </c>
      <c r="J694" s="68">
        <f>MAX('Max rate concentrations'!Z:Z)</f>
        <v>21</v>
      </c>
      <c r="K694" s="70">
        <f t="shared" si="74"/>
        <v>10.42734645819638</v>
      </c>
      <c r="L694" s="70">
        <f t="shared" si="75"/>
        <v>4.8660950138249772</v>
      </c>
      <c r="M694" s="70">
        <f>IF((((0.326*F694^0.818)-(0.398*F694^0.85)/(1-H694)*H694)*(MAX('Max rate concentrations'!$P$3:$P$368)))/F694&gt;0, (((0.326*F694^0.818)-(0.398*F694^0.85)/(1-H694)*H694)*(MAX('Max rate concentrations'!$P$3:$P$368)))/F694, 0)</f>
        <v>0.15613948637630762</v>
      </c>
      <c r="N694" s="70">
        <f>IF((((0.326*F694^0.818)-(0.398*F694^0.85)/(1-H694)*H694)*(MAX('Max rate concentrations'!$Q$3:$Q$368)))/F694&gt; 0, (((0.326*F694^0.818)-(0.398*F694^0.85)/(1-H694)*H694)*(MAX('Max rate concentrations'!$Q$3:$Q$368)))/F694, 0)</f>
        <v>0.59458755375869743</v>
      </c>
      <c r="O694" s="70">
        <f>((MAX('Max rate concentrations'!$F$3:$F$368))*0.62*6.01*8*(12.3*F694^0.65)*0.079*0.1/F694)*inputs!$E$73/inputs!$E$74</f>
        <v>113.45087263972519</v>
      </c>
      <c r="P694" s="70">
        <f>((MAX('Max rate concentrations'!Y:Y))*0.62*6.01*8*(12.3*F694^0.65)*0.079*0.1/F694)*inputs!$E$73/inputs!$E$74</f>
        <v>37.816957546575082</v>
      </c>
      <c r="Q694" s="70">
        <f>(inputs!$C$18*11.2*(12.3*F694^0.65)*0.5/F694)*inputs!$E$73/inputs!$E$74</f>
        <v>19.983836115587753</v>
      </c>
      <c r="R694" s="60">
        <f>(60*379*((F694/1000)^0.8)*3*24*(MAX('Max rate concentrations'!$R$3:$R$368))/F694)*(inputs!$E$73/inputs!$E$75)</f>
        <v>2.6735755385671349E-2</v>
      </c>
      <c r="S694" s="60">
        <f>(IF(inputs!$C$17="aerial",((0.025*0.112*inputs!$C$18/3.3)*(3*60*379*((F694/1000)^0.8))*MAX(inputs!$I$14:$I$16))/F694,((0.0083*0.112*inputs!$C$18/1)*(3*60*379*((F694/1000)^0.8))*MAX(inputs!$I$14:$I$16))/F694))*(inputs!E$75/inputs!$E$73)</f>
        <v>0.14744933355158416</v>
      </c>
      <c r="T694" s="63">
        <f>IF((((inputs!$P$13/(V694/MAX(K694:S694)))^(1/inputs!$O$13))-1)/inputs!$N$13&lt;0, 0, IF((((inputs!$P$13/(V694/MAX(K694:S694)))^(1/inputs!$O$13))-1)/inputs!$N$13&lt;inputs!$I$17, (((inputs!$P$13/(V694/MAX(K694:S694)))^(1/inputs!$O$13))-1)/inputs!$N$13, inputs!$I$17))</f>
        <v>106.82929344674648</v>
      </c>
      <c r="U694" s="63">
        <f>IF((((inputs!$P$13/(X694/MAX(K694:S694)))^(1/inputs!$O$13))-1)/inputs!$N$13&lt;0, 0, IF((((inputs!$P$13/(X694/MAX(K694:S694)))^(1/inputs!$O$13))-1)/inputs!$N$13&lt;inputs!$I$17, (((inputs!$P$13/(X694/MAX(K694:S694)))^(1/inputs!$O$13))-1)/inputs!$N$13, inputs!$I$17))</f>
        <v>1.4534229774466291E-2</v>
      </c>
      <c r="V694" s="54">
        <f>inputs!$E$70*(inputs!$F$70/F694)^(0.25)</f>
        <v>2.7042020921926482</v>
      </c>
      <c r="W694" s="54">
        <f>inputs!$E$76*(inputs!$F$76/F694)^(0.25)</f>
        <v>0.81337298514425049</v>
      </c>
      <c r="X694" s="54">
        <f>inputs!$E$72*(inputs!$F$72/F694)^(0.25)</f>
        <v>119.30303347908743</v>
      </c>
      <c r="Y694" s="54" t="s">
        <v>13</v>
      </c>
      <c r="Z694" s="106">
        <f t="shared" si="72"/>
        <v>41.953548134317067</v>
      </c>
      <c r="AA694" s="106">
        <f t="shared" si="73"/>
        <v>139.48197777874913</v>
      </c>
    </row>
    <row r="695" spans="1:27" x14ac:dyDescent="0.25">
      <c r="A695" s="55" t="s">
        <v>590</v>
      </c>
      <c r="B695" s="49" t="s">
        <v>591</v>
      </c>
      <c r="C695" s="21" t="s">
        <v>61</v>
      </c>
      <c r="D695" s="20" t="s">
        <v>443</v>
      </c>
      <c r="E695" s="20">
        <v>2299</v>
      </c>
      <c r="F695" s="21">
        <v>120</v>
      </c>
      <c r="G695" s="21" t="s">
        <v>169</v>
      </c>
      <c r="H695" s="21">
        <v>0.79</v>
      </c>
      <c r="I695" s="68">
        <f>MAX('Max rate concentrations'!$D$3:$D$368)</f>
        <v>720</v>
      </c>
      <c r="J695" s="68">
        <f>MAX('Max rate concentrations'!W:W)</f>
        <v>255</v>
      </c>
      <c r="K695" s="70">
        <f t="shared" si="74"/>
        <v>264.04732894185292</v>
      </c>
      <c r="L695" s="70">
        <f t="shared" si="75"/>
        <v>93.516762333572899</v>
      </c>
      <c r="M695" s="70">
        <f>IF((((0.326*F695^0.818)-(0.398*F695^0.85)/(1-H695)*H695)*(MAX('Max rate concentrations'!$P$3:$P$368)))/F695&gt;0, (((0.326*F695^0.818)-(0.398*F695^0.85)/(1-H695)*H695)*(MAX('Max rate concentrations'!$P$3:$P$368)))/F695, 0)</f>
        <v>0</v>
      </c>
      <c r="N695" s="70">
        <f>IF((((0.326*F695^0.818)-(0.398*F695^0.85)/(1-H695)*H695)*(MAX('Max rate concentrations'!$Q$3:$Q$368)))/F695&gt; 0, (((0.326*F695^0.818)-(0.398*F695^0.85)/(1-H695)*H695)*(MAX('Max rate concentrations'!$Q$3:$Q$368)))/F695, 0)</f>
        <v>0</v>
      </c>
      <c r="O695" s="70">
        <f>((MAX('Max rate concentrations'!$F$3:$F$368))*0.62*6.01*8*(12.3*F695^0.65)*0.079*0.1/F695)*inputs!$E$73/inputs!$E$74</f>
        <v>50.67664332337386</v>
      </c>
      <c r="P695" s="70">
        <f>((MAX('Max rate concentrations'!Y:Y))*0.62*6.01*8*(12.3*F695^0.65)*0.079*0.1/F695)*inputs!$E$73/inputs!$E$74</f>
        <v>16.892214441124622</v>
      </c>
      <c r="Q695" s="70">
        <f>(inputs!$C$18*11.2*(12.3*F695^0.65)*0.5/F695)*inputs!$E$73/inputs!$E$74</f>
        <v>8.9264517010668847</v>
      </c>
      <c r="R695" s="60">
        <f>(60*379*((F695/1000)^0.8)*3*24*(MAX('Max rate concentrations'!$R$3:$R$368))/F695)*(inputs!$E$73/inputs!$E$75)</f>
        <v>1.6869121220815221E-2</v>
      </c>
      <c r="S695" s="60">
        <f>(IF(inputs!$C$17="aerial",((0.025*0.112*inputs!$C$18/3.3)*(3*60*379*((F695/1000)^0.8))*MAX(inputs!$I$14:$I$16))/F695,((0.0083*0.112*inputs!$C$18/1)*(3*60*379*((F695/1000)^0.8))*MAX(inputs!$I$14:$I$16))/F695))*(inputs!E$75/inputs!$E$73)</f>
        <v>9.3034239943081826E-2</v>
      </c>
      <c r="T695" s="63">
        <f>IF((((inputs!$P$13/(V695/MAX(K695:S695)))^(1/inputs!$O$13))-1)/inputs!$N$13&lt;0, 0, IF((((inputs!$P$13/(V695/MAX(K695:S695)))^(1/inputs!$O$13))-1)/inputs!$N$13&lt;inputs!$I$17, (((inputs!$P$13/(V695/MAX(K695:S695)))^(1/inputs!$O$13))-1)/inputs!$N$13, inputs!$I$17))</f>
        <v>348.18726662439758</v>
      </c>
      <c r="U695" s="63">
        <f>IF((((inputs!$P$13/(X695/MAX(K695:S695)))^(1/inputs!$O$13))-1)/inputs!$N$13&lt;0, 0, IF((((inputs!$P$13/(X695/MAX(K695:S695)))^(1/inputs!$O$13))-1)/inputs!$N$13&lt;inputs!$I$17, (((inputs!$P$13/(X695/MAX(K695:S695)))^(1/inputs!$O$13))-1)/inputs!$N$13, inputs!$I$17))</f>
        <v>11.305075062420489</v>
      </c>
      <c r="V695" s="54">
        <f>inputs!$E$70*(inputs!$F$70/F695)^(0.25)</f>
        <v>1.5206845881061284</v>
      </c>
      <c r="W695" s="54">
        <f>inputs!$E$76*(inputs!$F$76/F695)^(0.25)</f>
        <v>0.45739324234004791</v>
      </c>
      <c r="X695" s="54">
        <f>inputs!$E$72*(inputs!$F$72/F695)^(0.25)</f>
        <v>67.089025945858609</v>
      </c>
      <c r="Y695" s="54" t="s">
        <v>13</v>
      </c>
      <c r="Z695" s="106">
        <f t="shared" si="72"/>
        <v>173.63714409093828</v>
      </c>
      <c r="AA695" s="106">
        <f t="shared" si="73"/>
        <v>577.28734161216039</v>
      </c>
    </row>
    <row r="696" spans="1:27" x14ac:dyDescent="0.25">
      <c r="A696" s="55" t="s">
        <v>590</v>
      </c>
      <c r="B696" s="49" t="s">
        <v>591</v>
      </c>
      <c r="C696" s="21" t="s">
        <v>61</v>
      </c>
      <c r="D696" s="20" t="s">
        <v>443</v>
      </c>
      <c r="E696" s="20">
        <v>2299</v>
      </c>
      <c r="F696" s="21">
        <v>120</v>
      </c>
      <c r="G696" s="21" t="s">
        <v>177</v>
      </c>
      <c r="H696" s="21">
        <v>0.85</v>
      </c>
      <c r="I696" s="68">
        <f>MAX('Max rate concentrations'!$F$3:$F$368)</f>
        <v>405</v>
      </c>
      <c r="J696" s="68">
        <f>MAX('Max rate concentrations'!Y:Y)</f>
        <v>135</v>
      </c>
      <c r="K696" s="70">
        <f t="shared" si="74"/>
        <v>207.93727154170909</v>
      </c>
      <c r="L696" s="70">
        <f t="shared" si="75"/>
        <v>69.312423847236374</v>
      </c>
      <c r="M696" s="70">
        <f>IF((((0.326*F696^0.818)-(0.398*F696^0.85)/(1-H696)*H696)*(MAX('Max rate concentrations'!$P$3:$P$368)))/F696&gt;0, (((0.326*F696^0.818)-(0.398*F696^0.85)/(1-H696)*H696)*(MAX('Max rate concentrations'!$P$3:$P$368)))/F696, 0)</f>
        <v>0</v>
      </c>
      <c r="N696" s="70">
        <f>IF((((0.326*F696^0.818)-(0.398*F696^0.85)/(1-H696)*H696)*(MAX('Max rate concentrations'!$Q$3:$Q$368)))/F696&gt; 0, (((0.326*F696^0.818)-(0.398*F696^0.85)/(1-H696)*H696)*(MAX('Max rate concentrations'!$Q$3:$Q$368)))/F696, 0)</f>
        <v>0</v>
      </c>
      <c r="O696" s="70">
        <f>((MAX('Max rate concentrations'!$F$3:$F$368))*0.62*6.01*8*(12.3*F696^0.65)*0.079*0.1/F696)*inputs!$E$73/inputs!$E$74</f>
        <v>50.67664332337386</v>
      </c>
      <c r="P696" s="70">
        <f>((MAX('Max rate concentrations'!Y:Y))*0.62*6.01*8*(12.3*F696^0.65)*0.079*0.1/F696)*inputs!$E$73/inputs!$E$74</f>
        <v>16.892214441124622</v>
      </c>
      <c r="Q696" s="70">
        <f>(inputs!$C$18*11.2*(12.3*F696^0.65)*0.5/F696)*inputs!$E$73/inputs!$E$74</f>
        <v>8.9264517010668847</v>
      </c>
      <c r="R696" s="60">
        <f>(60*379*((F696/1000)^0.8)*3*24*(MAX('Max rate concentrations'!$R$3:$R$368))/F696)*(inputs!$E$73/inputs!$E$75)</f>
        <v>1.6869121220815221E-2</v>
      </c>
      <c r="S696" s="60">
        <f>(IF(inputs!$C$17="aerial",((0.025*0.112*inputs!$C$18/3.3)*(3*60*379*((F696/1000)^0.8))*MAX(inputs!$I$14:$I$16))/F696,((0.0083*0.112*inputs!$C$18/1)*(3*60*379*((F696/1000)^0.8))*MAX(inputs!$I$14:$I$16))/F696))*(inputs!E$75/inputs!$E$73)</f>
        <v>9.3034239943081826E-2</v>
      </c>
      <c r="T696" s="63">
        <f>IF((((inputs!$P$13/(V696/MAX(K696:S696)))^(1/inputs!$O$13))-1)/inputs!$N$13&lt;0, 0, IF((((inputs!$P$13/(V696/MAX(K696:S696)))^(1/inputs!$O$13))-1)/inputs!$N$13&lt;inputs!$I$17, (((inputs!$P$13/(V696/MAX(K696:S696)))^(1/inputs!$O$13))-1)/inputs!$N$13, inputs!$I$17))</f>
        <v>286.10287858720437</v>
      </c>
      <c r="U696" s="63">
        <f>IF((((inputs!$P$13/(X696/MAX(K696:S696)))^(1/inputs!$O$13))-1)/inputs!$N$13&lt;0, 0, IF((((inputs!$P$13/(X696/MAX(K696:S696)))^(1/inputs!$O$13))-1)/inputs!$N$13&lt;inputs!$I$17, (((inputs!$P$13/(X696/MAX(K696:S696)))^(1/inputs!$O$13))-1)/inputs!$N$13, inputs!$I$17))</f>
        <v>8.400815016750375</v>
      </c>
      <c r="V696" s="54">
        <f>inputs!$E$70*(inputs!$F$70/F696)^(0.25)</f>
        <v>1.5206845881061284</v>
      </c>
      <c r="W696" s="54">
        <f>inputs!$E$76*(inputs!$F$76/F696)^(0.25)</f>
        <v>0.45739324234004791</v>
      </c>
      <c r="X696" s="54">
        <f>inputs!$E$72*(inputs!$F$72/F696)^(0.25)</f>
        <v>67.089025945858609</v>
      </c>
      <c r="Y696" s="54" t="s">
        <v>13</v>
      </c>
      <c r="Z696" s="106">
        <f t="shared" si="72"/>
        <v>136.73925097161384</v>
      </c>
      <c r="AA696" s="106">
        <f t="shared" si="73"/>
        <v>454.61378151957615</v>
      </c>
    </row>
    <row r="697" spans="1:27" x14ac:dyDescent="0.25">
      <c r="A697" s="55" t="s">
        <v>590</v>
      </c>
      <c r="B697" s="49" t="s">
        <v>591</v>
      </c>
      <c r="C697" s="21" t="s">
        <v>61</v>
      </c>
      <c r="D697" s="20" t="s">
        <v>443</v>
      </c>
      <c r="E697" s="20">
        <v>2299</v>
      </c>
      <c r="F697" s="21">
        <v>120</v>
      </c>
      <c r="G697" s="21" t="s">
        <v>154</v>
      </c>
      <c r="H697" s="21">
        <v>9.2999999999999999E-2</v>
      </c>
      <c r="I697" s="68">
        <f>MAX('Max rate concentrations'!$G$3:$G$368)</f>
        <v>45</v>
      </c>
      <c r="J697" s="68">
        <f>MAX('Max rate concentrations'!Z:Z)</f>
        <v>21</v>
      </c>
      <c r="K697" s="70">
        <f t="shared" si="74"/>
        <v>3.8209715461541554</v>
      </c>
      <c r="L697" s="70">
        <f t="shared" si="75"/>
        <v>1.7831200548719393</v>
      </c>
      <c r="M697" s="70">
        <f>IF((((0.326*F697^0.818)-(0.398*F697^0.85)/(1-H697)*H697)*(MAX('Max rate concentrations'!$P$3:$P$368)))/F697&gt;0, (((0.326*F697^0.818)-(0.398*F697^0.85)/(1-H697)*H697)*(MAX('Max rate concentrations'!$P$3:$P$368)))/F697, 0)</f>
        <v>0.10145521577371337</v>
      </c>
      <c r="N697" s="70">
        <f>IF((((0.326*F697^0.818)-(0.398*F697^0.85)/(1-H697)*H697)*(MAX('Max rate concentrations'!$Q$3:$Q$368)))/F697&gt; 0, (((0.326*F697^0.818)-(0.398*F697^0.85)/(1-H697)*H697)*(MAX('Max rate concentrations'!$Q$3:$Q$368)))/F697, 0)</f>
        <v>0.38634691302600904</v>
      </c>
      <c r="O697" s="70">
        <f>((MAX('Max rate concentrations'!$F$3:$F$368))*0.62*6.01*8*(12.3*F697^0.65)*0.079*0.1/F697)*inputs!$E$73/inputs!$E$74</f>
        <v>50.67664332337386</v>
      </c>
      <c r="P697" s="70">
        <f>((MAX('Max rate concentrations'!Y:Y))*0.62*6.01*8*(12.3*F697^0.65)*0.079*0.1/F697)*inputs!$E$73/inputs!$E$74</f>
        <v>16.892214441124622</v>
      </c>
      <c r="Q697" s="70">
        <f>(inputs!$C$18*11.2*(12.3*F697^0.65)*0.5/F697)*inputs!$E$73/inputs!$E$74</f>
        <v>8.9264517010668847</v>
      </c>
      <c r="R697" s="60">
        <f>(60*379*((F697/1000)^0.8)*3*24*(MAX('Max rate concentrations'!$R$3:$R$368))/F697)*(inputs!$E$73/inputs!$E$75)</f>
        <v>1.6869121220815221E-2</v>
      </c>
      <c r="S697" s="60">
        <f>(IF(inputs!$C$17="aerial",((0.025*0.112*inputs!$C$18/3.3)*(3*60*379*((F697/1000)^0.8))*MAX(inputs!$I$14:$I$16))/F697,((0.0083*0.112*inputs!$C$18/1)*(3*60*379*((F697/1000)^0.8))*MAX(inputs!$I$14:$I$16))/F697))*(inputs!E$75/inputs!$E$73)</f>
        <v>9.3034239943081826E-2</v>
      </c>
      <c r="T697" s="63">
        <f>IF((((inputs!$P$13/(V697/MAX(K697:S697)))^(1/inputs!$O$13))-1)/inputs!$N$13&lt;0, 0, IF((((inputs!$P$13/(V697/MAX(K697:S697)))^(1/inputs!$O$13))-1)/inputs!$N$13&lt;inputs!$I$17, (((inputs!$P$13/(V697/MAX(K697:S697)))^(1/inputs!$O$13))-1)/inputs!$N$13, inputs!$I$17))</f>
        <v>87.791439473762978</v>
      </c>
      <c r="U697" s="63">
        <f>IF((((inputs!$P$13/(X697/MAX(K697:S697)))^(1/inputs!$O$13))-1)/inputs!$N$13&lt;0, 0, IF((((inputs!$P$13/(X697/MAX(K697:S697)))^(1/inputs!$O$13))-1)/inputs!$N$13&lt;inputs!$I$17, (((inputs!$P$13/(X697/MAX(K697:S697)))^(1/inputs!$O$13))-1)/inputs!$N$13, inputs!$I$17))</f>
        <v>0</v>
      </c>
      <c r="V697" s="54">
        <f>inputs!$E$70*(inputs!$F$70/F697)^(0.25)</f>
        <v>1.5206845881061284</v>
      </c>
      <c r="W697" s="54">
        <f>inputs!$E$76*(inputs!$F$76/F697)^(0.25)</f>
        <v>0.45739324234004791</v>
      </c>
      <c r="X697" s="54">
        <f>inputs!$E$72*(inputs!$F$72/F697)^(0.25)</f>
        <v>67.089025945858609</v>
      </c>
      <c r="Y697" s="54" t="s">
        <v>13</v>
      </c>
      <c r="Z697" s="106">
        <f t="shared" si="72"/>
        <v>33.324887829952246</v>
      </c>
      <c r="AA697" s="106">
        <f t="shared" si="73"/>
        <v>110.79447318484524</v>
      </c>
    </row>
    <row r="698" spans="1:27" x14ac:dyDescent="0.25">
      <c r="A698" s="55" t="s">
        <v>548</v>
      </c>
      <c r="B698" s="49" t="s">
        <v>549</v>
      </c>
      <c r="C698" s="21" t="s">
        <v>61</v>
      </c>
      <c r="D698" s="20" t="s">
        <v>443</v>
      </c>
      <c r="E698" s="20">
        <v>54</v>
      </c>
      <c r="F698" s="21">
        <v>15</v>
      </c>
      <c r="G698" s="21" t="s">
        <v>182</v>
      </c>
      <c r="H698" s="21">
        <v>0.85</v>
      </c>
      <c r="I698" s="68">
        <f>MAX('Max rate concentrations'!$M$3:$M$368)</f>
        <v>17.092910873809167</v>
      </c>
      <c r="J698" s="68">
        <f>MAX('Max rate concentrations'!AE:AE)</f>
        <v>11.81956602976166</v>
      </c>
      <c r="K698" s="70">
        <f t="shared" si="74"/>
        <v>21.729042046600661</v>
      </c>
      <c r="L698" s="70">
        <f t="shared" si="75"/>
        <v>15.025401415202587</v>
      </c>
      <c r="M698" s="70">
        <f>IF((((0.326*F698^0.818)-(0.398*F698^0.85)/(1-H698)*H698)*(MAX('Max rate concentrations'!$P$3:$P$368)))/F698&gt;0, (((0.326*F698^0.818)-(0.398*F698^0.85)/(1-H698)*H698)*(MAX('Max rate concentrations'!$P$3:$P$368)))/F698, 0)</f>
        <v>0</v>
      </c>
      <c r="N698" s="70">
        <f>IF((((0.326*F698^0.818)-(0.398*F698^0.85)/(1-H698)*H698)*(MAX('Max rate concentrations'!$Q$3:$Q$368)))/F698&gt; 0, (((0.326*F698^0.818)-(0.398*F698^0.85)/(1-H698)*H698)*(MAX('Max rate concentrations'!$Q$3:$Q$368)))/F698, 0)</f>
        <v>0</v>
      </c>
      <c r="O698" s="70">
        <f>((MAX('Max rate concentrations'!$F$3:$F$368))*0.62*6.01*8*(12.3*F698^0.65)*0.079*0.1/F698)*inputs!$E$73/inputs!$E$74</f>
        <v>104.92750258141861</v>
      </c>
      <c r="P698" s="70">
        <f>((MAX('Max rate concentrations'!Y:Y))*0.62*6.01*8*(12.3*F698^0.65)*0.079*0.1/F698)*inputs!$E$73/inputs!$E$74</f>
        <v>34.9758341938062</v>
      </c>
      <c r="Q698" s="70">
        <f>(inputs!$C$18*11.2*(12.3*F698^0.65)*0.5/F698)*inputs!$E$73/inputs!$E$74</f>
        <v>18.482484680957491</v>
      </c>
      <c r="R698" s="60">
        <f>(60*379*((F698/1000)^0.8)*3*24*(MAX('Max rate concentrations'!$R$3:$R$368))/F698)*(inputs!$E$73/inputs!$E$75)</f>
        <v>2.5568806496861746E-2</v>
      </c>
      <c r="S698" s="60">
        <f>(IF(inputs!$C$17="aerial",((0.025*0.112*inputs!$C$18/3.3)*(3*60*379*((F698/1000)^0.8))*MAX(inputs!$I$14:$I$16))/F698,((0.0083*0.112*inputs!$C$18/1)*(3*60*379*((F698/1000)^0.8))*MAX(inputs!$I$14:$I$16))/F698))*(inputs!E$75/inputs!$E$73)</f>
        <v>0.14101353873443245</v>
      </c>
      <c r="T698" s="63">
        <f>IF((((inputs!$P$13/(V698/MAX(K698:S698)))^(1/inputs!$O$13))-1)/inputs!$N$13&lt;0, 0, IF((((inputs!$P$13/(V698/MAX(K698:S698)))^(1/inputs!$O$13))-1)/inputs!$N$13&lt;inputs!$I$17, (((inputs!$P$13/(V698/MAX(K698:S698)))^(1/inputs!$O$13))-1)/inputs!$N$13, inputs!$I$17))</f>
        <v>104.82537355984883</v>
      </c>
      <c r="U698" s="63">
        <f>IF((((inputs!$P$13/(X698/MAX(K698:S698)))^(1/inputs!$O$13))-1)/inputs!$N$13&lt;0, 0, IF((((inputs!$P$13/(X698/MAX(K698:S698)))^(1/inputs!$O$13))-1)/inputs!$N$13&lt;inputs!$I$17, (((inputs!$P$13/(X698/MAX(K698:S698)))^(1/inputs!$O$13))-1)/inputs!$N$13, inputs!$I$17))</f>
        <v>0</v>
      </c>
      <c r="V698" s="54">
        <f>inputs!$E$70*(inputs!$F$70/F698)^(0.25)</f>
        <v>2.5574764377400299</v>
      </c>
      <c r="W698" s="54">
        <f>inputs!$E$76*(inputs!$F$76/F698)^(0.25)</f>
        <v>0.76924067569003962</v>
      </c>
      <c r="X698" s="54">
        <f>inputs!$E$72*(inputs!$F$72/F698)^(0.25)</f>
        <v>112.82984284147192</v>
      </c>
      <c r="Y698" s="54" t="s">
        <v>13</v>
      </c>
      <c r="Z698" s="106">
        <f t="shared" si="72"/>
        <v>41.027749477191705</v>
      </c>
      <c r="AA698" s="106">
        <f t="shared" si="73"/>
        <v>136.40399669101538</v>
      </c>
    </row>
    <row r="699" spans="1:27" x14ac:dyDescent="0.25">
      <c r="A699" s="55" t="s">
        <v>548</v>
      </c>
      <c r="B699" s="49" t="s">
        <v>549</v>
      </c>
      <c r="C699" s="21" t="s">
        <v>61</v>
      </c>
      <c r="D699" s="20" t="s">
        <v>443</v>
      </c>
      <c r="E699" s="20">
        <v>54</v>
      </c>
      <c r="F699" s="21">
        <v>15</v>
      </c>
      <c r="G699" s="21" t="s">
        <v>142</v>
      </c>
      <c r="H699" s="21">
        <v>0.69</v>
      </c>
      <c r="I699" s="68">
        <f>MAX('Max rate concentrations'!$H$3:$H$368)</f>
        <v>282</v>
      </c>
      <c r="J699" s="68">
        <f>MAX('Max rate concentrations'!AA:AA)</f>
        <v>195</v>
      </c>
      <c r="K699" s="70">
        <f t="shared" si="74"/>
        <v>173.46155116527132</v>
      </c>
      <c r="L699" s="70">
        <f t="shared" si="75"/>
        <v>119.94681729513441</v>
      </c>
      <c r="M699" s="70">
        <f>IF((((0.326*F699^0.818)-(0.398*F699^0.85)/(1-H699)*H699)*(MAX('Max rate concentrations'!$P$3:$P$368)))/F699&gt;0, (((0.326*F699^0.818)-(0.398*F699^0.85)/(1-H699)*H699)*(MAX('Max rate concentrations'!$P$3:$P$368)))/F699, 0)</f>
        <v>0</v>
      </c>
      <c r="N699" s="70">
        <f>IF((((0.326*F699^0.818)-(0.398*F699^0.85)/(1-H699)*H699)*(MAX('Max rate concentrations'!$Q$3:$Q$368)))/F699&gt; 0, (((0.326*F699^0.818)-(0.398*F699^0.85)/(1-H699)*H699)*(MAX('Max rate concentrations'!$Q$3:$Q$368)))/F699, 0)</f>
        <v>0</v>
      </c>
      <c r="O699" s="70">
        <f>((MAX('Max rate concentrations'!$F$3:$F$368))*0.62*6.01*8*(12.3*F699^0.65)*0.079*0.1/F699)*inputs!$E$73/inputs!$E$74</f>
        <v>104.92750258141861</v>
      </c>
      <c r="P699" s="70">
        <f>((MAX('Max rate concentrations'!Y:Y))*0.62*6.01*8*(12.3*F699^0.65)*0.079*0.1/F699)*inputs!$E$73/inputs!$E$74</f>
        <v>34.9758341938062</v>
      </c>
      <c r="Q699" s="70">
        <f>(inputs!$C$18*11.2*(12.3*F699^0.65)*0.5/F699)*inputs!$E$73/inputs!$E$74</f>
        <v>18.482484680957491</v>
      </c>
      <c r="R699" s="60">
        <f>(60*379*((F699/1000)^0.8)*3*24*(MAX('Max rate concentrations'!$R$3:$R$368))/F699)*(inputs!$E$73/inputs!$E$75)</f>
        <v>2.5568806496861746E-2</v>
      </c>
      <c r="S699" s="60">
        <f>(IF(inputs!$C$17="aerial",((0.025*0.112*inputs!$C$18/3.3)*(3*60*379*((F699/1000)^0.8))*MAX(inputs!$I$14:$I$16))/F699,((0.0083*0.112*inputs!$C$18/1)*(3*60*379*((F699/1000)^0.8))*MAX(inputs!$I$14:$I$16))/F699))*(inputs!E$75/inputs!$E$73)</f>
        <v>0.14101353873443245</v>
      </c>
      <c r="T699" s="63">
        <f>IF((((inputs!$P$13/(V699/MAX(K699:S699)))^(1/inputs!$O$13))-1)/inputs!$N$13&lt;0, 0, IF((((inputs!$P$13/(V699/MAX(K699:S699)))^(1/inputs!$O$13))-1)/inputs!$N$13&lt;inputs!$I$17, (((inputs!$P$13/(V699/MAX(K699:S699)))^(1/inputs!$O$13))-1)/inputs!$N$13, inputs!$I$17))</f>
        <v>160.02380714494274</v>
      </c>
      <c r="U699" s="63">
        <f>IF((((inputs!$P$13/(X699/MAX(K699:S699)))^(1/inputs!$O$13))-1)/inputs!$N$13&lt;0, 0, IF((((inputs!$P$13/(X699/MAX(K699:S699)))^(1/inputs!$O$13))-1)/inputs!$N$13&lt;inputs!$I$17, (((inputs!$P$13/(X699/MAX(K699:S699)))^(1/inputs!$O$13))-1)/inputs!$N$13, inputs!$I$17))</f>
        <v>2.5029327735431672</v>
      </c>
      <c r="V699" s="54">
        <f>inputs!$E$70*(inputs!$F$70/F699)^(0.25)</f>
        <v>2.5574764377400299</v>
      </c>
      <c r="W699" s="54">
        <f>inputs!$E$76*(inputs!$F$76/F699)^(0.25)</f>
        <v>0.76924067569003962</v>
      </c>
      <c r="X699" s="54">
        <f>inputs!$E$72*(inputs!$F$72/F699)^(0.25)</f>
        <v>112.82984284147192</v>
      </c>
      <c r="Y699" s="54" t="s">
        <v>13</v>
      </c>
      <c r="Z699" s="106">
        <f t="shared" si="72"/>
        <v>67.82527831167603</v>
      </c>
      <c r="AA699" s="106">
        <f t="shared" si="73"/>
        <v>225.4971124735043</v>
      </c>
    </row>
    <row r="700" spans="1:27" x14ac:dyDescent="0.25">
      <c r="A700" s="55" t="s">
        <v>548</v>
      </c>
      <c r="B700" s="49" t="s">
        <v>549</v>
      </c>
      <c r="C700" s="21" t="s">
        <v>61</v>
      </c>
      <c r="D700" s="20" t="s">
        <v>443</v>
      </c>
      <c r="E700" s="20">
        <v>54</v>
      </c>
      <c r="F700" s="21">
        <v>15</v>
      </c>
      <c r="G700" s="21" t="s">
        <v>152</v>
      </c>
      <c r="H700" s="21">
        <v>0.77</v>
      </c>
      <c r="I700" s="68">
        <f>MAX('Max rate concentrations'!$G$3:$G$368)</f>
        <v>45</v>
      </c>
      <c r="J700" s="68">
        <f>MAX('Max rate concentrations'!Z:Z)</f>
        <v>21</v>
      </c>
      <c r="K700" s="70">
        <f t="shared" si="74"/>
        <v>37.307872937951515</v>
      </c>
      <c r="L700" s="70">
        <f t="shared" si="75"/>
        <v>17.410340704377372</v>
      </c>
      <c r="M700" s="70">
        <f>IF((((0.326*F700^0.818)-(0.398*F700^0.85)/(1-H700)*H700)*(MAX('Max rate concentrations'!$P$3:$P$368)))/F700&gt;0, (((0.326*F700^0.818)-(0.398*F700^0.85)/(1-H700)*H700)*(MAX('Max rate concentrations'!$P$3:$P$368)))/F700, 0)</f>
        <v>0</v>
      </c>
      <c r="N700" s="70">
        <f>IF((((0.326*F700^0.818)-(0.398*F700^0.85)/(1-H700)*H700)*(MAX('Max rate concentrations'!$Q$3:$Q$368)))/F700&gt; 0, (((0.326*F700^0.818)-(0.398*F700^0.85)/(1-H700)*H700)*(MAX('Max rate concentrations'!$Q$3:$Q$368)))/F700, 0)</f>
        <v>0</v>
      </c>
      <c r="O700" s="70">
        <f>((MAX('Max rate concentrations'!$F$3:$F$368))*0.62*6.01*8*(12.3*F700^0.65)*0.079*0.1/F700)*inputs!$E$73/inputs!$E$74</f>
        <v>104.92750258141861</v>
      </c>
      <c r="P700" s="70">
        <f>((MAX('Max rate concentrations'!Y:Y))*0.62*6.01*8*(12.3*F700^0.65)*0.079*0.1/F700)*inputs!$E$73/inputs!$E$74</f>
        <v>34.9758341938062</v>
      </c>
      <c r="Q700" s="70">
        <f>(inputs!$C$18*11.2*(12.3*F700^0.65)*0.5/F700)*inputs!$E$73/inputs!$E$74</f>
        <v>18.482484680957491</v>
      </c>
      <c r="R700" s="60">
        <f>(60*379*((F700/1000)^0.8)*3*24*(MAX('Max rate concentrations'!$R$3:$R$368))/F700)*(inputs!$E$73/inputs!$E$75)</f>
        <v>2.5568806496861746E-2</v>
      </c>
      <c r="S700" s="60">
        <f>(IF(inputs!$C$17="aerial",((0.025*0.112*inputs!$C$18/3.3)*(3*60*379*((F700/1000)^0.8))*MAX(inputs!$I$14:$I$16))/F700,((0.0083*0.112*inputs!$C$18/1)*(3*60*379*((F700/1000)^0.8))*MAX(inputs!$I$14:$I$16))/F700))*(inputs!E$75/inputs!$E$73)</f>
        <v>0.14101353873443245</v>
      </c>
      <c r="T700" s="63">
        <f>IF((((inputs!$P$13/(V700/MAX(K700:S700)))^(1/inputs!$O$13))-1)/inputs!$N$13&lt;0, 0, IF((((inputs!$P$13/(V700/MAX(K700:S700)))^(1/inputs!$O$13))-1)/inputs!$N$13&lt;inputs!$I$17, (((inputs!$P$13/(V700/MAX(K700:S700)))^(1/inputs!$O$13))-1)/inputs!$N$13, inputs!$I$17))</f>
        <v>104.82537355984883</v>
      </c>
      <c r="U700" s="63">
        <f>IF((((inputs!$P$13/(X700/MAX(K700:S700)))^(1/inputs!$O$13))-1)/inputs!$N$13&lt;0, 0, IF((((inputs!$P$13/(X700/MAX(K700:S700)))^(1/inputs!$O$13))-1)/inputs!$N$13&lt;inputs!$I$17, (((inputs!$P$13/(X700/MAX(K700:S700)))^(1/inputs!$O$13))-1)/inputs!$N$13, inputs!$I$17))</f>
        <v>0</v>
      </c>
      <c r="V700" s="54">
        <f>inputs!$E$70*(inputs!$F$70/F700)^(0.25)</f>
        <v>2.5574764377400299</v>
      </c>
      <c r="W700" s="54">
        <f>inputs!$E$76*(inputs!$F$76/F700)^(0.25)</f>
        <v>0.76924067569003962</v>
      </c>
      <c r="X700" s="54">
        <f>inputs!$E$72*(inputs!$F$72/F700)^(0.25)</f>
        <v>112.82984284147192</v>
      </c>
      <c r="Y700" s="54" t="s">
        <v>13</v>
      </c>
      <c r="Z700" s="106">
        <f t="shared" si="72"/>
        <v>41.027749477191705</v>
      </c>
      <c r="AA700" s="106">
        <f t="shared" si="73"/>
        <v>136.40399669101538</v>
      </c>
    </row>
    <row r="701" spans="1:27" x14ac:dyDescent="0.25">
      <c r="A701" s="55" t="s">
        <v>548</v>
      </c>
      <c r="B701" s="49" t="s">
        <v>549</v>
      </c>
      <c r="C701" s="21" t="s">
        <v>61</v>
      </c>
      <c r="D701" s="20" t="s">
        <v>443</v>
      </c>
      <c r="E701" s="20">
        <v>54</v>
      </c>
      <c r="F701" s="21">
        <v>15</v>
      </c>
      <c r="G701" s="21" t="s">
        <v>169</v>
      </c>
      <c r="H701" s="21">
        <v>0.79</v>
      </c>
      <c r="I701" s="68">
        <f>MAX('Max rate concentrations'!$D$3:$D$368)</f>
        <v>720</v>
      </c>
      <c r="J701" s="68">
        <f>MAX('Max rate concentrations'!W:W)</f>
        <v>255</v>
      </c>
      <c r="K701" s="70">
        <f t="shared" si="74"/>
        <v>653.77605910315049</v>
      </c>
      <c r="L701" s="70">
        <f t="shared" si="75"/>
        <v>231.54568759903245</v>
      </c>
      <c r="M701" s="70">
        <f>IF((((0.326*F701^0.818)-(0.398*F701^0.85)/(1-H701)*H701)*(MAX('Max rate concentrations'!$P$3:$P$368)))/F701&gt;0, (((0.326*F701^0.818)-(0.398*F701^0.85)/(1-H701)*H701)*(MAX('Max rate concentrations'!$P$3:$P$368)))/F701, 0)</f>
        <v>0</v>
      </c>
      <c r="N701" s="70">
        <f>IF((((0.326*F701^0.818)-(0.398*F701^0.85)/(1-H701)*H701)*(MAX('Max rate concentrations'!$Q$3:$Q$368)))/F701&gt; 0, (((0.326*F701^0.818)-(0.398*F701^0.85)/(1-H701)*H701)*(MAX('Max rate concentrations'!$Q$3:$Q$368)))/F701, 0)</f>
        <v>0</v>
      </c>
      <c r="O701" s="70">
        <f>((MAX('Max rate concentrations'!$F$3:$F$368))*0.62*6.01*8*(12.3*F701^0.65)*0.079*0.1/F701)*inputs!$E$73/inputs!$E$74</f>
        <v>104.92750258141861</v>
      </c>
      <c r="P701" s="70">
        <f>((MAX('Max rate concentrations'!Y:Y))*0.62*6.01*8*(12.3*F701^0.65)*0.079*0.1/F701)*inputs!$E$73/inputs!$E$74</f>
        <v>34.9758341938062</v>
      </c>
      <c r="Q701" s="70">
        <f>(inputs!$C$18*11.2*(12.3*F701^0.65)*0.5/F701)*inputs!$E$73/inputs!$E$74</f>
        <v>18.482484680957491</v>
      </c>
      <c r="R701" s="60">
        <f>(60*379*((F701/1000)^0.8)*3*24*(MAX('Max rate concentrations'!$R$3:$R$368))/F701)*(inputs!$E$73/inputs!$E$75)</f>
        <v>2.5568806496861746E-2</v>
      </c>
      <c r="S701" s="60">
        <f>(IF(inputs!$C$17="aerial",((0.025*0.112*inputs!$C$18/3.3)*(3*60*379*((F701/1000)^0.8))*MAX(inputs!$I$14:$I$16))/F701,((0.0083*0.112*inputs!$C$18/1)*(3*60*379*((F701/1000)^0.8))*MAX(inputs!$I$14:$I$16))/F701))*(inputs!E$75/inputs!$E$73)</f>
        <v>0.14101353873443245</v>
      </c>
      <c r="T701" s="63">
        <f>IF((((inputs!$P$13/(V701/MAX(K701:S701)))^(1/inputs!$O$13))-1)/inputs!$N$13&lt;0, 0, IF((((inputs!$P$13/(V701/MAX(K701:S701)))^(1/inputs!$O$13))-1)/inputs!$N$13&lt;inputs!$I$17, (((inputs!$P$13/(V701/MAX(K701:S701)))^(1/inputs!$O$13))-1)/inputs!$N$13, inputs!$I$17))</f>
        <v>477.96547013985492</v>
      </c>
      <c r="U701" s="63">
        <f>IF((((inputs!$P$13/(X701/MAX(K701:S701)))^(1/inputs!$O$13))-1)/inputs!$N$13&lt;0, 0, IF((((inputs!$P$13/(X701/MAX(K701:S701)))^(1/inputs!$O$13))-1)/inputs!$N$13&lt;inputs!$I$17, (((inputs!$P$13/(X701/MAX(K701:S701)))^(1/inputs!$O$13))-1)/inputs!$N$13, inputs!$I$17))</f>
        <v>17.375999866301779</v>
      </c>
      <c r="V701" s="54">
        <f>inputs!$E$70*(inputs!$F$70/F701)^(0.25)</f>
        <v>2.5574764377400299</v>
      </c>
      <c r="W701" s="54">
        <f>inputs!$E$76*(inputs!$F$76/F701)^(0.25)</f>
        <v>0.76924067569003962</v>
      </c>
      <c r="X701" s="54">
        <f>inputs!$E$72*(inputs!$F$72/F701)^(0.25)</f>
        <v>112.82984284147192</v>
      </c>
      <c r="Y701" s="54" t="s">
        <v>13</v>
      </c>
      <c r="Z701" s="106">
        <f t="shared" si="72"/>
        <v>255.63326780084591</v>
      </c>
      <c r="AA701" s="106">
        <f t="shared" si="73"/>
        <v>849.8979315110804</v>
      </c>
    </row>
    <row r="702" spans="1:27" x14ac:dyDescent="0.25">
      <c r="A702" s="55" t="s">
        <v>548</v>
      </c>
      <c r="B702" s="49" t="s">
        <v>549</v>
      </c>
      <c r="C702" s="21" t="s">
        <v>61</v>
      </c>
      <c r="D702" s="20" t="s">
        <v>443</v>
      </c>
      <c r="E702" s="20">
        <v>54</v>
      </c>
      <c r="F702" s="21">
        <v>15</v>
      </c>
      <c r="G702" s="21" t="s">
        <v>456</v>
      </c>
      <c r="H702" s="21">
        <v>0.68</v>
      </c>
      <c r="I702" s="68">
        <f>MAX('Max rate concentrations'!$J$3:$J$368)</f>
        <v>686.46486205830786</v>
      </c>
      <c r="J702" s="68">
        <f>MAX('Max rate concentrations'!AB:AB)</f>
        <v>243.122971978984</v>
      </c>
      <c r="K702" s="70">
        <f t="shared" ref="K702:K720" si="76">(((0.621*F702^0.564)/(1-H702)))*I702/F702</f>
        <v>409.05729760480182</v>
      </c>
      <c r="L702" s="70">
        <f t="shared" ref="L702:L720" si="77">(((0.621*F702^0.564)/(1-H702)))*J702/F702</f>
        <v>144.87445956836729</v>
      </c>
      <c r="M702" s="70">
        <f>IF((((0.326*F702^0.818)-(0.398*F702^0.85)/(1-H702)*H702)*(MAX('Max rate concentrations'!$P$3:$P$368)))/F702&gt;0, (((0.326*F702^0.818)-(0.398*F702^0.85)/(1-H702)*H702)*(MAX('Max rate concentrations'!$P$3:$P$368)))/F702, 0)</f>
        <v>0</v>
      </c>
      <c r="N702" s="70">
        <f>IF((((0.326*F702^0.818)-(0.398*F702^0.85)/(1-H702)*H702)*(MAX('Max rate concentrations'!$Q$3:$Q$368)))/F702&gt; 0, (((0.326*F702^0.818)-(0.398*F702^0.85)/(1-H702)*H702)*(MAX('Max rate concentrations'!$Q$3:$Q$368)))/F702, 0)</f>
        <v>0</v>
      </c>
      <c r="O702" s="70">
        <f>((MAX('Max rate concentrations'!$F$3:$F$368))*0.62*6.01*8*(12.3*F702^0.65)*0.079*0.1/F702)*inputs!$E$73/inputs!$E$74</f>
        <v>104.92750258141861</v>
      </c>
      <c r="P702" s="70">
        <f>((MAX('Max rate concentrations'!Y:Y))*0.62*6.01*8*(12.3*F702^0.65)*0.079*0.1/F702)*inputs!$E$73/inputs!$E$74</f>
        <v>34.9758341938062</v>
      </c>
      <c r="Q702" s="70">
        <f>(inputs!$C$18*11.2*(12.3*F702^0.65)*0.5/F702)*inputs!$E$73/inputs!$E$74</f>
        <v>18.482484680957491</v>
      </c>
      <c r="R702" s="60">
        <f>(60*379*((F702/1000)^0.8)*3*24*(MAX('Max rate concentrations'!$R$3:$R$368))/F702)*(inputs!$E$73/inputs!$E$75)</f>
        <v>2.5568806496861746E-2</v>
      </c>
      <c r="S702" s="60">
        <f>(IF(inputs!$C$17="aerial",((0.025*0.112*inputs!$C$18/3.3)*(3*60*379*((F702/1000)^0.8))*MAX(inputs!$I$14:$I$16))/F702,((0.0083*0.112*inputs!$C$18/1)*(3*60*379*((F702/1000)^0.8))*MAX(inputs!$I$14:$I$16))/F702))*(inputs!E$75/inputs!$E$73)</f>
        <v>0.14101353873443245</v>
      </c>
      <c r="T702" s="63">
        <f>IF((((inputs!$P$13/(V702/MAX(K702:S702)))^(1/inputs!$O$13))-1)/inputs!$N$13&lt;0, 0, IF((((inputs!$P$13/(V702/MAX(K702:S702)))^(1/inputs!$O$13))-1)/inputs!$N$13&lt;inputs!$I$17, (((inputs!$P$13/(V702/MAX(K702:S702)))^(1/inputs!$O$13))-1)/inputs!$N$13, inputs!$I$17))</f>
        <v>325.47644405914184</v>
      </c>
      <c r="U702" s="63">
        <f>IF((((inputs!$P$13/(X702/MAX(K702:S702)))^(1/inputs!$O$13))-1)/inputs!$N$13&lt;0, 0, IF((((inputs!$P$13/(X702/MAX(K702:S702)))^(1/inputs!$O$13))-1)/inputs!$N$13&lt;inputs!$I$17, (((inputs!$P$13/(X702/MAX(K702:S702)))^(1/inputs!$O$13))-1)/inputs!$N$13, inputs!$I$17))</f>
        <v>10.24268020493939</v>
      </c>
      <c r="V702" s="54">
        <f>inputs!$E$70*(inputs!$F$70/F702)^(0.25)</f>
        <v>2.5574764377400299</v>
      </c>
      <c r="W702" s="54">
        <f>inputs!$E$76*(inputs!$F$76/F702)^(0.25)</f>
        <v>0.76924067569003962</v>
      </c>
      <c r="X702" s="54">
        <f>inputs!$E$72*(inputs!$F$72/F702)^(0.25)</f>
        <v>112.82984284147192</v>
      </c>
      <c r="Y702" s="54" t="s">
        <v>13</v>
      </c>
      <c r="Z702" s="106">
        <f t="shared" si="72"/>
        <v>159.94567596731184</v>
      </c>
      <c r="AA702" s="106">
        <f t="shared" si="73"/>
        <v>531.76763857145374</v>
      </c>
    </row>
    <row r="703" spans="1:27" x14ac:dyDescent="0.25">
      <c r="A703" s="55" t="s">
        <v>548</v>
      </c>
      <c r="B703" s="49" t="s">
        <v>549</v>
      </c>
      <c r="C703" s="21" t="s">
        <v>61</v>
      </c>
      <c r="D703" s="20" t="s">
        <v>443</v>
      </c>
      <c r="E703" s="20">
        <v>54</v>
      </c>
      <c r="F703" s="21">
        <v>15</v>
      </c>
      <c r="G703" s="21" t="s">
        <v>145</v>
      </c>
      <c r="H703" s="21">
        <v>0.66</v>
      </c>
      <c r="I703" s="68">
        <f>MAX('Max rate concentrations'!$M$3:$M$368)</f>
        <v>17.092910873809167</v>
      </c>
      <c r="J703" s="68">
        <f>MAX('Max rate concentrations'!AE:AE)</f>
        <v>11.81956602976166</v>
      </c>
      <c r="K703" s="70">
        <f t="shared" si="76"/>
        <v>9.5863420793826482</v>
      </c>
      <c r="L703" s="70">
        <f t="shared" si="77"/>
        <v>6.628853565530556</v>
      </c>
      <c r="M703" s="70">
        <f>IF((((0.326*F703^0.818)-(0.398*F703^0.85)/(1-H703)*H703)*(MAX('Max rate concentrations'!$P$3:$P$368)))/F703&gt;0, (((0.326*F703^0.818)-(0.398*F703^0.85)/(1-H703)*H703)*(MAX('Max rate concentrations'!$P$3:$P$368)))/F703, 0)</f>
        <v>0</v>
      </c>
      <c r="N703" s="70">
        <f>IF((((0.326*F703^0.818)-(0.398*F703^0.85)/(1-H703)*H703)*(MAX('Max rate concentrations'!$Q$3:$Q$368)))/F703&gt; 0, (((0.326*F703^0.818)-(0.398*F703^0.85)/(1-H703)*H703)*(MAX('Max rate concentrations'!$Q$3:$Q$368)))/F703, 0)</f>
        <v>0</v>
      </c>
      <c r="O703" s="70">
        <f>((MAX('Max rate concentrations'!$F$3:$F$368))*0.62*6.01*8*(12.3*F703^0.65)*0.079*0.1/F703)*inputs!$E$73/inputs!$E$74</f>
        <v>104.92750258141861</v>
      </c>
      <c r="P703" s="70">
        <f>((MAX('Max rate concentrations'!Y:Y))*0.62*6.01*8*(12.3*F703^0.65)*0.079*0.1/F703)*inputs!$E$73/inputs!$E$74</f>
        <v>34.9758341938062</v>
      </c>
      <c r="Q703" s="70">
        <f>(inputs!$C$18*11.2*(12.3*F703^0.65)*0.5/F703)*inputs!$E$73/inputs!$E$74</f>
        <v>18.482484680957491</v>
      </c>
      <c r="R703" s="60">
        <f>(60*379*((F703/1000)^0.8)*3*24*(MAX('Max rate concentrations'!$R$3:$R$368))/F703)*(inputs!$E$73/inputs!$E$75)</f>
        <v>2.5568806496861746E-2</v>
      </c>
      <c r="S703" s="60">
        <f>(IF(inputs!$C$17="aerial",((0.025*0.112*inputs!$C$18/3.3)*(3*60*379*((F703/1000)^0.8))*MAX(inputs!$I$14:$I$16))/F703,((0.0083*0.112*inputs!$C$18/1)*(3*60*379*((F703/1000)^0.8))*MAX(inputs!$I$14:$I$16))/F703))*(inputs!E$75/inputs!$E$73)</f>
        <v>0.14101353873443245</v>
      </c>
      <c r="T703" s="63">
        <f>IF((((inputs!$P$13/(V703/MAX(K703:S703)))^(1/inputs!$O$13))-1)/inputs!$N$13&lt;0, 0, IF((((inputs!$P$13/(V703/MAX(K703:S703)))^(1/inputs!$O$13))-1)/inputs!$N$13&lt;inputs!$I$17, (((inputs!$P$13/(V703/MAX(K703:S703)))^(1/inputs!$O$13))-1)/inputs!$N$13, inputs!$I$17))</f>
        <v>104.82537355984883</v>
      </c>
      <c r="U703" s="63">
        <f>IF((((inputs!$P$13/(X703/MAX(K703:S703)))^(1/inputs!$O$13))-1)/inputs!$N$13&lt;0, 0, IF((((inputs!$P$13/(X703/MAX(K703:S703)))^(1/inputs!$O$13))-1)/inputs!$N$13&lt;inputs!$I$17, (((inputs!$P$13/(X703/MAX(K703:S703)))^(1/inputs!$O$13))-1)/inputs!$N$13, inputs!$I$17))</f>
        <v>0</v>
      </c>
      <c r="V703" s="54">
        <f>inputs!$E$70*(inputs!$F$70/F703)^(0.25)</f>
        <v>2.5574764377400299</v>
      </c>
      <c r="W703" s="54">
        <f>inputs!$E$76*(inputs!$F$76/F703)^(0.25)</f>
        <v>0.76924067569003962</v>
      </c>
      <c r="X703" s="54">
        <f>inputs!$E$72*(inputs!$F$72/F703)^(0.25)</f>
        <v>112.82984284147192</v>
      </c>
      <c r="Y703" s="54" t="s">
        <v>13</v>
      </c>
      <c r="Z703" s="106">
        <f t="shared" si="72"/>
        <v>41.027749477191705</v>
      </c>
      <c r="AA703" s="106">
        <f t="shared" si="73"/>
        <v>136.40399669101538</v>
      </c>
    </row>
    <row r="704" spans="1:27" ht="26.4" x14ac:dyDescent="0.25">
      <c r="A704" s="55" t="s">
        <v>482</v>
      </c>
      <c r="B704" s="49" t="s">
        <v>483</v>
      </c>
      <c r="C704" s="21" t="s">
        <v>61</v>
      </c>
      <c r="D704" s="20" t="s">
        <v>443</v>
      </c>
      <c r="E704" s="20">
        <v>39</v>
      </c>
      <c r="F704" s="21">
        <v>70</v>
      </c>
      <c r="G704" s="21" t="s">
        <v>142</v>
      </c>
      <c r="H704" s="21">
        <v>0.69</v>
      </c>
      <c r="I704" s="68">
        <f>MAX('Max rate concentrations'!$H$3:$H$368)</f>
        <v>282</v>
      </c>
      <c r="J704" s="68">
        <f>MAX('Max rate concentrations'!AA:AA)</f>
        <v>195</v>
      </c>
      <c r="K704" s="70">
        <f t="shared" si="76"/>
        <v>88.616842001706885</v>
      </c>
      <c r="L704" s="70">
        <f t="shared" si="77"/>
        <v>61.277603511818597</v>
      </c>
      <c r="M704" s="70">
        <f>IF((((0.326*F704^0.818)-(0.398*F704^0.85)/(1-H704)*H704)*(MAX('Max rate concentrations'!$P$3:$P$368)))/F704&gt;0, (((0.326*F704^0.818)-(0.398*F704^0.85)/(1-H704)*H704)*(MAX('Max rate concentrations'!$P$3:$P$368)))/F704, 0)</f>
        <v>0</v>
      </c>
      <c r="N704" s="70">
        <f>IF((((0.326*F704^0.818)-(0.398*F704^0.85)/(1-H704)*H704)*(MAX('Max rate concentrations'!$Q$3:$Q$368)))/F704&gt; 0, (((0.326*F704^0.818)-(0.398*F704^0.85)/(1-H704)*H704)*(MAX('Max rate concentrations'!$Q$3:$Q$368)))/F704, 0)</f>
        <v>0</v>
      </c>
      <c r="O704" s="70">
        <f>((MAX('Max rate concentrations'!$F$3:$F$368))*0.62*6.01*8*(12.3*F704^0.65)*0.079*0.1/F704)*inputs!$E$73/inputs!$E$74</f>
        <v>61.197962455238979</v>
      </c>
      <c r="P704" s="70">
        <f>((MAX('Max rate concentrations'!Y:Y))*0.62*6.01*8*(12.3*F704^0.65)*0.079*0.1/F704)*inputs!$E$73/inputs!$E$74</f>
        <v>20.399320818413003</v>
      </c>
      <c r="Q704" s="70">
        <f>(inputs!$C$18*11.2*(12.3*F704^0.65)*0.5/F704)*inputs!$E$73/inputs!$E$74</f>
        <v>10.779732441521663</v>
      </c>
      <c r="R704" s="60">
        <f>(60*379*((F704/1000)^0.8)*3*24*(MAX('Max rate concentrations'!$R$3:$R$368))/F704)*(inputs!$E$73/inputs!$E$75)</f>
        <v>1.8789235087526914E-2</v>
      </c>
      <c r="S704" s="60">
        <f>(IF(inputs!$C$17="aerial",((0.025*0.112*inputs!$C$18/3.3)*(3*60*379*((F704/1000)^0.8))*MAX(inputs!$I$14:$I$16))/F704,((0.0083*0.112*inputs!$C$18/1)*(3*60*379*((F704/1000)^0.8))*MAX(inputs!$I$14:$I$16))/F704))*(inputs!E$75/inputs!$E$73)</f>
        <v>0.10362378588654626</v>
      </c>
      <c r="T704" s="63">
        <f>IF((((inputs!$P$13/(V704/MAX(K704:S704)))^(1/inputs!$O$13))-1)/inputs!$N$13&lt;0, 0, IF((((inputs!$P$13/(V704/MAX(K704:S704)))^(1/inputs!$O$13))-1)/inputs!$N$13&lt;inputs!$I$17, (((inputs!$P$13/(V704/MAX(K704:S704)))^(1/inputs!$O$13))-1)/inputs!$N$13, inputs!$I$17))</f>
        <v>125.8469512204076</v>
      </c>
      <c r="U704" s="63">
        <f>IF((((inputs!$P$13/(X704/MAX(K704:S704)))^(1/inputs!$O$13))-1)/inputs!$N$13&lt;0, 0, IF((((inputs!$P$13/(X704/MAX(K704:S704)))^(1/inputs!$O$13))-1)/inputs!$N$13&lt;inputs!$I$17, (((inputs!$P$13/(X704/MAX(K704:S704)))^(1/inputs!$O$13))-1)/inputs!$N$13, inputs!$I$17))</f>
        <v>0.9041656714371159</v>
      </c>
      <c r="V704" s="54">
        <f>inputs!$E$70*(inputs!$F$70/F704)^(0.25)</f>
        <v>1.7400428607874787</v>
      </c>
      <c r="W704" s="54">
        <f>inputs!$E$76*(inputs!$F$76/F704)^(0.25)</f>
        <v>0.5233720734274272</v>
      </c>
      <c r="X704" s="54">
        <f>inputs!$E$72*(inputs!$F$72/F704)^(0.25)</f>
        <v>76.766596799447598</v>
      </c>
      <c r="Y704" s="54" t="s">
        <v>13</v>
      </c>
      <c r="Z704" s="106">
        <f t="shared" si="72"/>
        <v>50.927965051160982</v>
      </c>
      <c r="AA704" s="106">
        <f t="shared" si="73"/>
        <v>169.3190112750539</v>
      </c>
    </row>
    <row r="705" spans="1:27" ht="26.4" x14ac:dyDescent="0.25">
      <c r="A705" s="55" t="s">
        <v>482</v>
      </c>
      <c r="B705" s="49" t="s">
        <v>483</v>
      </c>
      <c r="C705" s="21" t="s">
        <v>61</v>
      </c>
      <c r="D705" s="20" t="s">
        <v>443</v>
      </c>
      <c r="E705" s="20">
        <v>39</v>
      </c>
      <c r="F705" s="21">
        <v>70</v>
      </c>
      <c r="G705" s="21" t="s">
        <v>169</v>
      </c>
      <c r="H705" s="21">
        <v>0.79</v>
      </c>
      <c r="I705" s="68">
        <f>MAX('Max rate concentrations'!$D$3:$D$368)</f>
        <v>720</v>
      </c>
      <c r="J705" s="68">
        <f>MAX('Max rate concentrations'!W:W)</f>
        <v>255</v>
      </c>
      <c r="K705" s="70">
        <f t="shared" si="76"/>
        <v>333.99660815233</v>
      </c>
      <c r="L705" s="70">
        <f t="shared" si="77"/>
        <v>118.29046538728355</v>
      </c>
      <c r="M705" s="70">
        <f>IF((((0.326*F705^0.818)-(0.398*F705^0.85)/(1-H705)*H705)*(MAX('Max rate concentrations'!$P$3:$P$368)))/F705&gt;0, (((0.326*F705^0.818)-(0.398*F705^0.85)/(1-H705)*H705)*(MAX('Max rate concentrations'!$P$3:$P$368)))/F705, 0)</f>
        <v>0</v>
      </c>
      <c r="N705" s="70">
        <f>IF((((0.326*F705^0.818)-(0.398*F705^0.85)/(1-H705)*H705)*(MAX('Max rate concentrations'!$Q$3:$Q$368)))/F705&gt; 0, (((0.326*F705^0.818)-(0.398*F705^0.85)/(1-H705)*H705)*(MAX('Max rate concentrations'!$Q$3:$Q$368)))/F705, 0)</f>
        <v>0</v>
      </c>
      <c r="O705" s="70">
        <f>((MAX('Max rate concentrations'!$F$3:$F$368))*0.62*6.01*8*(12.3*F705^0.65)*0.079*0.1/F705)*inputs!$E$73/inputs!$E$74</f>
        <v>61.197962455238979</v>
      </c>
      <c r="P705" s="70">
        <f>((MAX('Max rate concentrations'!Y:Y))*0.62*6.01*8*(12.3*F705^0.65)*0.079*0.1/F705)*inputs!$E$73/inputs!$E$74</f>
        <v>20.399320818413003</v>
      </c>
      <c r="Q705" s="70">
        <f>(inputs!$C$18*11.2*(12.3*F705^0.65)*0.5/F705)*inputs!$E$73/inputs!$E$74</f>
        <v>10.779732441521663</v>
      </c>
      <c r="R705" s="60">
        <f>(60*379*((F705/1000)^0.8)*3*24*(MAX('Max rate concentrations'!$R$3:$R$368))/F705)*(inputs!$E$73/inputs!$E$75)</f>
        <v>1.8789235087526914E-2</v>
      </c>
      <c r="S705" s="60">
        <f>(IF(inputs!$C$17="aerial",((0.025*0.112*inputs!$C$18/3.3)*(3*60*379*((F705/1000)^0.8))*MAX(inputs!$I$14:$I$16))/F705,((0.0083*0.112*inputs!$C$18/1)*(3*60*379*((F705/1000)^0.8))*MAX(inputs!$I$14:$I$16))/F705))*(inputs!E$75/inputs!$E$73)</f>
        <v>0.10362378588654626</v>
      </c>
      <c r="T705" s="63">
        <f>IF((((inputs!$P$13/(V705/MAX(K705:S705)))^(1/inputs!$O$13))-1)/inputs!$N$13&lt;0, 0, IF((((inputs!$P$13/(V705/MAX(K705:S705)))^(1/inputs!$O$13))-1)/inputs!$N$13&lt;inputs!$I$17, (((inputs!$P$13/(V705/MAX(K705:S705)))^(1/inputs!$O$13))-1)/inputs!$N$13, inputs!$I$17))</f>
        <v>378.03268327135294</v>
      </c>
      <c r="U705" s="63">
        <f>IF((((inputs!$P$13/(X705/MAX(K705:S705)))^(1/inputs!$O$13))-1)/inputs!$N$13&lt;0, 0, IF((((inputs!$P$13/(X705/MAX(K705:S705)))^(1/inputs!$O$13))-1)/inputs!$N$13&lt;inputs!$I$17, (((inputs!$P$13/(X705/MAX(K705:S705)))^(1/inputs!$O$13))-1)/inputs!$N$13, inputs!$I$17))</f>
        <v>12.701220757892321</v>
      </c>
      <c r="V705" s="54">
        <f>inputs!$E$70*(inputs!$F$70/F705)^(0.25)</f>
        <v>1.7400428607874787</v>
      </c>
      <c r="W705" s="54">
        <f>inputs!$E$76*(inputs!$F$76/F705)^(0.25)</f>
        <v>0.5233720734274272</v>
      </c>
      <c r="X705" s="54">
        <f>inputs!$E$72*(inputs!$F$72/F705)^(0.25)</f>
        <v>76.766596799447598</v>
      </c>
      <c r="Y705" s="54" t="s">
        <v>13</v>
      </c>
      <c r="Z705" s="106">
        <f t="shared" si="72"/>
        <v>191.94734548157942</v>
      </c>
      <c r="AA705" s="106">
        <f t="shared" si="73"/>
        <v>638.16283884822769</v>
      </c>
    </row>
    <row r="706" spans="1:27" ht="26.4" x14ac:dyDescent="0.25">
      <c r="A706" s="55" t="s">
        <v>482</v>
      </c>
      <c r="B706" s="49" t="s">
        <v>483</v>
      </c>
      <c r="C706" s="21" t="s">
        <v>61</v>
      </c>
      <c r="D706" s="20" t="s">
        <v>443</v>
      </c>
      <c r="E706" s="20">
        <v>39</v>
      </c>
      <c r="F706" s="21">
        <v>70</v>
      </c>
      <c r="G706" s="21" t="s">
        <v>177</v>
      </c>
      <c r="H706" s="21">
        <v>0.85</v>
      </c>
      <c r="I706" s="68">
        <f>MAX('Max rate concentrations'!$F$3:$F$368)</f>
        <v>405</v>
      </c>
      <c r="J706" s="68">
        <f>MAX('Max rate concentrations'!Y:Y)</f>
        <v>135</v>
      </c>
      <c r="K706" s="70">
        <f t="shared" si="76"/>
        <v>263.02232891995982</v>
      </c>
      <c r="L706" s="70">
        <f t="shared" si="77"/>
        <v>87.674109639986611</v>
      </c>
      <c r="M706" s="70">
        <f>IF((((0.326*F706^0.818)-(0.398*F706^0.85)/(1-H706)*H706)*(MAX('Max rate concentrations'!$P$3:$P$368)))/F706&gt;0, (((0.326*F706^0.818)-(0.398*F706^0.85)/(1-H706)*H706)*(MAX('Max rate concentrations'!$P$3:$P$368)))/F706, 0)</f>
        <v>0</v>
      </c>
      <c r="N706" s="70">
        <f>IF((((0.326*F706^0.818)-(0.398*F706^0.85)/(1-H706)*H706)*(MAX('Max rate concentrations'!$Q$3:$Q$368)))/F706&gt; 0, (((0.326*F706^0.818)-(0.398*F706^0.85)/(1-H706)*H706)*(MAX('Max rate concentrations'!$Q$3:$Q$368)))/F706, 0)</f>
        <v>0</v>
      </c>
      <c r="O706" s="70">
        <f>((MAX('Max rate concentrations'!$F$3:$F$368))*0.62*6.01*8*(12.3*F706^0.65)*0.079*0.1/F706)*inputs!$E$73/inputs!$E$74</f>
        <v>61.197962455238979</v>
      </c>
      <c r="P706" s="70">
        <f>((MAX('Max rate concentrations'!Y:Y))*0.62*6.01*8*(12.3*F706^0.65)*0.079*0.1/F706)*inputs!$E$73/inputs!$E$74</f>
        <v>20.399320818413003</v>
      </c>
      <c r="Q706" s="70">
        <f>(inputs!$C$18*11.2*(12.3*F706^0.65)*0.5/F706)*inputs!$E$73/inputs!$E$74</f>
        <v>10.779732441521663</v>
      </c>
      <c r="R706" s="60">
        <f>(60*379*((F706/1000)^0.8)*3*24*(MAX('Max rate concentrations'!$R$3:$R$368))/F706)*(inputs!$E$73/inputs!$E$75)</f>
        <v>1.8789235087526914E-2</v>
      </c>
      <c r="S706" s="60">
        <f>(IF(inputs!$C$17="aerial",((0.025*0.112*inputs!$C$18/3.3)*(3*60*379*((F706/1000)^0.8))*MAX(inputs!$I$14:$I$16))/F706,((0.0083*0.112*inputs!$C$18/1)*(3*60*379*((F706/1000)^0.8))*MAX(inputs!$I$14:$I$16))/F706))*(inputs!E$75/inputs!$E$73)</f>
        <v>0.10362378588654626</v>
      </c>
      <c r="T706" s="63">
        <f>IF((((inputs!$P$13/(V706/MAX(K706:S706)))^(1/inputs!$O$13))-1)/inputs!$N$13&lt;0, 0, IF((((inputs!$P$13/(V706/MAX(K706:S706)))^(1/inputs!$O$13))-1)/inputs!$N$13&lt;inputs!$I$17, (((inputs!$P$13/(V706/MAX(K706:S706)))^(1/inputs!$O$13))-1)/inputs!$N$13, inputs!$I$17))</f>
        <v>310.70534793279654</v>
      </c>
      <c r="U706" s="63">
        <f>IF((((inputs!$P$13/(X706/MAX(K706:S706)))^(1/inputs!$O$13))-1)/inputs!$N$13&lt;0, 0, IF((((inputs!$P$13/(X706/MAX(K706:S706)))^(1/inputs!$O$13))-1)/inputs!$N$13&lt;inputs!$I$17, (((inputs!$P$13/(X706/MAX(K706:S706)))^(1/inputs!$O$13))-1)/inputs!$N$13, inputs!$I$17))</f>
        <v>9.5516996594792722</v>
      </c>
      <c r="V706" s="54">
        <f>inputs!$E$70*(inputs!$F$70/F706)^(0.25)</f>
        <v>1.7400428607874787</v>
      </c>
      <c r="W706" s="54">
        <f>inputs!$E$76*(inputs!$F$76/F706)^(0.25)</f>
        <v>0.5233720734274272</v>
      </c>
      <c r="X706" s="54">
        <f>inputs!$E$72*(inputs!$F$72/F706)^(0.25)</f>
        <v>76.766596799447598</v>
      </c>
      <c r="Y706" s="54" t="s">
        <v>13</v>
      </c>
      <c r="Z706" s="106">
        <f t="shared" si="72"/>
        <v>151.15853456674378</v>
      </c>
      <c r="AA706" s="106">
        <f t="shared" si="73"/>
        <v>502.55323559297921</v>
      </c>
    </row>
    <row r="707" spans="1:27" ht="26.4" x14ac:dyDescent="0.25">
      <c r="A707" s="55" t="s">
        <v>482</v>
      </c>
      <c r="B707" s="49" t="s">
        <v>483</v>
      </c>
      <c r="C707" s="21" t="s">
        <v>61</v>
      </c>
      <c r="D707" s="20" t="s">
        <v>443</v>
      </c>
      <c r="E707" s="20">
        <v>39</v>
      </c>
      <c r="F707" s="21">
        <v>70</v>
      </c>
      <c r="G707" s="21" t="s">
        <v>154</v>
      </c>
      <c r="H707" s="21">
        <v>9.2999999999999999E-2</v>
      </c>
      <c r="I707" s="68">
        <f>MAX('Max rate concentrations'!$G$3:$G$368)</f>
        <v>45</v>
      </c>
      <c r="J707" s="68">
        <f>MAX('Max rate concentrations'!Z:Z)</f>
        <v>21</v>
      </c>
      <c r="K707" s="70">
        <f t="shared" si="76"/>
        <v>4.8331923726563737</v>
      </c>
      <c r="L707" s="70">
        <f t="shared" si="77"/>
        <v>2.2554897739063073</v>
      </c>
      <c r="M707" s="70">
        <f>IF((((0.326*F707^0.818)-(0.398*F707^0.85)/(1-H707)*H707)*(MAX('Max rate concentrations'!$P$3:$P$368)))/F707&gt;0, (((0.326*F707^0.818)-(0.398*F707^0.85)/(1-H707)*H707)*(MAX('Max rate concentrations'!$P$3:$P$368)))/F707, 0)</f>
        <v>0.11223914413331763</v>
      </c>
      <c r="N707" s="70">
        <f>IF((((0.326*F707^0.818)-(0.398*F707^0.85)/(1-H707)*H707)*(MAX('Max rate concentrations'!$Q$3:$Q$368)))/F707&gt; 0, (((0.326*F707^0.818)-(0.398*F707^0.85)/(1-H707)*H707)*(MAX('Max rate concentrations'!$Q$3:$Q$368)))/F707, 0)</f>
        <v>0.42741269165802515</v>
      </c>
      <c r="O707" s="70">
        <f>((MAX('Max rate concentrations'!$F$3:$F$368))*0.62*6.01*8*(12.3*F707^0.65)*0.079*0.1/F707)*inputs!$E$73/inputs!$E$74</f>
        <v>61.197962455238979</v>
      </c>
      <c r="P707" s="70">
        <f>((MAX('Max rate concentrations'!Y:Y))*0.62*6.01*8*(12.3*F707^0.65)*0.079*0.1/F707)*inputs!$E$73/inputs!$E$74</f>
        <v>20.399320818413003</v>
      </c>
      <c r="Q707" s="70">
        <f>(inputs!$C$18*11.2*(12.3*F707^0.65)*0.5/F707)*inputs!$E$73/inputs!$E$74</f>
        <v>10.779732441521663</v>
      </c>
      <c r="R707" s="60">
        <f>(60*379*((F707/1000)^0.8)*3*24*(MAX('Max rate concentrations'!$R$3:$R$368))/F707)*(inputs!$E$73/inputs!$E$75)</f>
        <v>1.8789235087526914E-2</v>
      </c>
      <c r="S707" s="60">
        <f>(IF(inputs!$C$17="aerial",((0.025*0.112*inputs!$C$18/3.3)*(3*60*379*((F707/1000)^0.8))*MAX(inputs!$I$14:$I$16))/F707,((0.0083*0.112*inputs!$C$18/1)*(3*60*379*((F707/1000)^0.8))*MAX(inputs!$I$14:$I$16))/F707))*(inputs!E$75/inputs!$E$73)</f>
        <v>0.10362378588654626</v>
      </c>
      <c r="T707" s="63">
        <f>IF((((inputs!$P$13/(V707/MAX(K707:S707)))^(1/inputs!$O$13))-1)/inputs!$N$13&lt;0, 0, IF((((inputs!$P$13/(V707/MAX(K707:S707)))^(1/inputs!$O$13))-1)/inputs!$N$13&lt;inputs!$I$17, (((inputs!$P$13/(V707/MAX(K707:S707)))^(1/inputs!$O$13))-1)/inputs!$N$13, inputs!$I$17))</f>
        <v>91.935506294389086</v>
      </c>
      <c r="U707" s="63">
        <f>IF((((inputs!$P$13/(X707/MAX(K707:S707)))^(1/inputs!$O$13))-1)/inputs!$N$13&lt;0, 0, IF((((inputs!$P$13/(X707/MAX(K707:S707)))^(1/inputs!$O$13))-1)/inputs!$N$13&lt;inputs!$I$17, (((inputs!$P$13/(X707/MAX(K707:S707)))^(1/inputs!$O$13))-1)/inputs!$N$13, inputs!$I$17))</f>
        <v>0</v>
      </c>
      <c r="V707" s="54">
        <f>inputs!$E$70*(inputs!$F$70/F707)^(0.25)</f>
        <v>1.7400428607874787</v>
      </c>
      <c r="W707" s="54">
        <f>inputs!$E$76*(inputs!$F$76/F707)^(0.25)</f>
        <v>0.5233720734274272</v>
      </c>
      <c r="X707" s="54">
        <f>inputs!$E$72*(inputs!$F$72/F707)^(0.25)</f>
        <v>76.766596799447598</v>
      </c>
      <c r="Y707" s="54" t="s">
        <v>13</v>
      </c>
      <c r="Z707" s="106">
        <f t="shared" si="72"/>
        <v>35.170376451269171</v>
      </c>
      <c r="AA707" s="106">
        <f t="shared" si="73"/>
        <v>116.93012593214897</v>
      </c>
    </row>
    <row r="708" spans="1:27" x14ac:dyDescent="0.25">
      <c r="A708" s="55" t="s">
        <v>586</v>
      </c>
      <c r="B708" s="49" t="s">
        <v>587</v>
      </c>
      <c r="C708" s="21" t="s">
        <v>61</v>
      </c>
      <c r="D708" s="20" t="s">
        <v>443</v>
      </c>
      <c r="E708" s="20">
        <v>8684</v>
      </c>
      <c r="F708" s="21">
        <v>75</v>
      </c>
      <c r="G708" s="21" t="s">
        <v>177</v>
      </c>
      <c r="H708" s="21">
        <v>0.85</v>
      </c>
      <c r="I708" s="68">
        <f>MAX('Max rate concentrations'!$F$3:$F$368)</f>
        <v>405</v>
      </c>
      <c r="J708" s="68">
        <f>MAX('Max rate concentrations'!Y:Y)</f>
        <v>135</v>
      </c>
      <c r="K708" s="70">
        <f t="shared" si="76"/>
        <v>255.22819757756429</v>
      </c>
      <c r="L708" s="70">
        <f t="shared" si="77"/>
        <v>85.076065859188091</v>
      </c>
      <c r="M708" s="70">
        <f>IF((((0.326*F708^0.818)-(0.398*F708^0.85)/(1-H708)*H708)*(MAX('Max rate concentrations'!$P$3:$P$368)))/F708&gt;0, (((0.326*F708^0.818)-(0.398*F708^0.85)/(1-H708)*H708)*(MAX('Max rate concentrations'!$P$3:$P$368)))/F708, 0)</f>
        <v>0</v>
      </c>
      <c r="N708" s="70">
        <f>IF((((0.326*F708^0.818)-(0.398*F708^0.85)/(1-H708)*H708)*(MAX('Max rate concentrations'!$Q$3:$Q$368)))/F708&gt; 0, (((0.326*F708^0.818)-(0.398*F708^0.85)/(1-H708)*H708)*(MAX('Max rate concentrations'!$Q$3:$Q$368)))/F708, 0)</f>
        <v>0</v>
      </c>
      <c r="O708" s="70">
        <f>((MAX('Max rate concentrations'!$F$3:$F$368))*0.62*6.01*8*(12.3*F708^0.65)*0.079*0.1/F708)*inputs!$E$73/inputs!$E$74</f>
        <v>59.737883923649726</v>
      </c>
      <c r="P708" s="70">
        <f>((MAX('Max rate concentrations'!Y:Y))*0.62*6.01*8*(12.3*F708^0.65)*0.079*0.1/F708)*inputs!$E$73/inputs!$E$74</f>
        <v>19.91262797454991</v>
      </c>
      <c r="Q708" s="70">
        <f>(inputs!$C$18*11.2*(12.3*F708^0.65)*0.5/F708)*inputs!$E$73/inputs!$E$74</f>
        <v>10.522546494756618</v>
      </c>
      <c r="R708" s="60">
        <f>(60*379*((F708/1000)^0.8)*3*24*(MAX('Max rate concentrations'!$R$3:$R$368))/F708)*(inputs!$E$73/inputs!$E$75)</f>
        <v>1.8531750973435526E-2</v>
      </c>
      <c r="S708" s="60">
        <f>(IF(inputs!$C$17="aerial",((0.025*0.112*inputs!$C$18/3.3)*(3*60*379*((F708/1000)^0.8))*MAX(inputs!$I$14:$I$16))/F708,((0.0083*0.112*inputs!$C$18/1)*(3*60*379*((F708/1000)^0.8))*MAX(inputs!$I$14:$I$16))/F708))*(inputs!E$75/inputs!$E$73)</f>
        <v>0.10220374517794364</v>
      </c>
      <c r="T708" s="63">
        <f>IF((((inputs!$P$13/(V708/MAX(K708:S708)))^(1/inputs!$O$13))-1)/inputs!$N$13&lt;0, 0, IF((((inputs!$P$13/(V708/MAX(K708:S708)))^(1/inputs!$O$13))-1)/inputs!$N$13&lt;inputs!$I$17, (((inputs!$P$13/(V708/MAX(K708:S708)))^(1/inputs!$O$13))-1)/inputs!$N$13, inputs!$I$17))</f>
        <v>307.44374503532549</v>
      </c>
      <c r="U708" s="63">
        <f>IF((((inputs!$P$13/(X708/MAX(K708:S708)))^(1/inputs!$O$13))-1)/inputs!$N$13&lt;0, 0, IF((((inputs!$P$13/(X708/MAX(K708:S708)))^(1/inputs!$O$13))-1)/inputs!$N$13&lt;inputs!$I$17, (((inputs!$P$13/(X708/MAX(K708:S708)))^(1/inputs!$O$13))-1)/inputs!$N$13, inputs!$I$17))</f>
        <v>9.3991243780044389</v>
      </c>
      <c r="V708" s="54">
        <f>inputs!$E$70*(inputs!$F$70/F708)^(0.25)</f>
        <v>1.7102875729442808</v>
      </c>
      <c r="W708" s="54">
        <f>inputs!$E$76*(inputs!$F$76/F708)^(0.25)</f>
        <v>0.51442224406122605</v>
      </c>
      <c r="X708" s="54">
        <f>inputs!$E$72*(inputs!$F$72/F708)^(0.25)</f>
        <v>75.453863512247679</v>
      </c>
      <c r="Y708" s="54" t="s">
        <v>13</v>
      </c>
      <c r="Z708" s="106">
        <f t="shared" ref="Z708:Z771" si="78">MAX(K708:S708)/V708</f>
        <v>149.23115949336278</v>
      </c>
      <c r="AA708" s="106">
        <f t="shared" ref="AA708:AA771" si="79">MAX(K708:S708)/W708</f>
        <v>496.14533687852594</v>
      </c>
    </row>
    <row r="709" spans="1:27" x14ac:dyDescent="0.25">
      <c r="A709" s="55" t="s">
        <v>480</v>
      </c>
      <c r="B709" s="49" t="s">
        <v>481</v>
      </c>
      <c r="C709" s="21" t="s">
        <v>61</v>
      </c>
      <c r="D709" s="20" t="s">
        <v>443</v>
      </c>
      <c r="E709" s="20">
        <v>40</v>
      </c>
      <c r="F709" s="21">
        <v>35</v>
      </c>
      <c r="G709" s="21" t="s">
        <v>142</v>
      </c>
      <c r="H709" s="21">
        <v>0.69</v>
      </c>
      <c r="I709" s="68">
        <f>MAX('Max rate concentrations'!$H$3:$H$368)</f>
        <v>282</v>
      </c>
      <c r="J709" s="68">
        <f>MAX('Max rate concentrations'!AA:AA)</f>
        <v>195</v>
      </c>
      <c r="K709" s="70">
        <f t="shared" si="76"/>
        <v>119.88513794327076</v>
      </c>
      <c r="L709" s="70">
        <f t="shared" si="77"/>
        <v>82.899297513963816</v>
      </c>
      <c r="M709" s="70">
        <f>IF((((0.326*F709^0.818)-(0.398*F709^0.85)/(1-H709)*H709)*(MAX('Max rate concentrations'!$P$3:$P$368)))/F709&gt;0, (((0.326*F709^0.818)-(0.398*F709^0.85)/(1-H709)*H709)*(MAX('Max rate concentrations'!$P$3:$P$368)))/F709, 0)</f>
        <v>0</v>
      </c>
      <c r="N709" s="70">
        <f>IF((((0.326*F709^0.818)-(0.398*F709^0.85)/(1-H709)*H709)*(MAX('Max rate concentrations'!$Q$3:$Q$368)))/F709&gt; 0, (((0.326*F709^0.818)-(0.398*F709^0.85)/(1-H709)*H709)*(MAX('Max rate concentrations'!$Q$3:$Q$368)))/F709, 0)</f>
        <v>0</v>
      </c>
      <c r="O709" s="70">
        <f>((MAX('Max rate concentrations'!$F$3:$F$368))*0.62*6.01*8*(12.3*F709^0.65)*0.079*0.1/F709)*inputs!$E$73/inputs!$E$74</f>
        <v>78.000513417610009</v>
      </c>
      <c r="P709" s="70">
        <f>((MAX('Max rate concentrations'!Y:Y))*0.62*6.01*8*(12.3*F709^0.65)*0.079*0.1/F709)*inputs!$E$73/inputs!$E$74</f>
        <v>26.000171139203339</v>
      </c>
      <c r="Q709" s="70">
        <f>(inputs!$C$18*11.2*(12.3*F709^0.65)*0.5/F709)*inputs!$E$73/inputs!$E$74</f>
        <v>13.739422542999643</v>
      </c>
      <c r="R709" s="60">
        <f>(60*379*((F709/1000)^0.8)*3*24*(MAX('Max rate concentrations'!$R$3:$R$368))/F709)*(inputs!$E$73/inputs!$E$75)</f>
        <v>2.1583163436694738E-2</v>
      </c>
      <c r="S709" s="60">
        <f>(IF(inputs!$C$17="aerial",((0.025*0.112*inputs!$C$18/3.3)*(3*60*379*((F709/1000)^0.8))*MAX(inputs!$I$14:$I$16))/F709,((0.0083*0.112*inputs!$C$18/1)*(3*60*379*((F709/1000)^0.8))*MAX(inputs!$I$14:$I$16))/F709))*(inputs!E$75/inputs!$E$73)</f>
        <v>0.11903247238644067</v>
      </c>
      <c r="T709" s="63">
        <f>IF((((inputs!$P$13/(V709/MAX(K709:S709)))^(1/inputs!$O$13))-1)/inputs!$N$13&lt;0, 0, IF((((inputs!$P$13/(V709/MAX(K709:S709)))^(1/inputs!$O$13))-1)/inputs!$N$13&lt;inputs!$I$17, (((inputs!$P$13/(V709/MAX(K709:S709)))^(1/inputs!$O$13))-1)/inputs!$N$13, inputs!$I$17))</f>
        <v>140.25027930604313</v>
      </c>
      <c r="U709" s="63">
        <f>IF((((inputs!$P$13/(X709/MAX(K709:S709)))^(1/inputs!$O$13))-1)/inputs!$N$13&lt;0, 0, IF((((inputs!$P$13/(X709/MAX(K709:S709)))^(1/inputs!$O$13))-1)/inputs!$N$13&lt;inputs!$I$17, (((inputs!$P$13/(X709/MAX(K709:S709)))^(1/inputs!$O$13))-1)/inputs!$N$13, inputs!$I$17))</f>
        <v>1.57794231007821</v>
      </c>
      <c r="V709" s="54">
        <f>inputs!$E$70*(inputs!$F$70/F709)^(0.25)</f>
        <v>2.069271350458159</v>
      </c>
      <c r="W709" s="54">
        <f>inputs!$E$76*(inputs!$F$76/F709)^(0.25)</f>
        <v>0.62239779351362301</v>
      </c>
      <c r="X709" s="54">
        <f>inputs!$E$72*(inputs!$F$72/F709)^(0.25)</f>
        <v>91.291383108448187</v>
      </c>
      <c r="Y709" s="54" t="s">
        <v>13</v>
      </c>
      <c r="Z709" s="106">
        <f t="shared" si="78"/>
        <v>57.935919287108916</v>
      </c>
      <c r="AA709" s="106">
        <f t="shared" si="79"/>
        <v>192.61819240470479</v>
      </c>
    </row>
    <row r="710" spans="1:27" x14ac:dyDescent="0.25">
      <c r="A710" s="55" t="s">
        <v>480</v>
      </c>
      <c r="B710" s="49" t="s">
        <v>481</v>
      </c>
      <c r="C710" s="21" t="s">
        <v>61</v>
      </c>
      <c r="D710" s="20" t="s">
        <v>443</v>
      </c>
      <c r="E710" s="20">
        <v>40</v>
      </c>
      <c r="F710" s="21">
        <v>35</v>
      </c>
      <c r="G710" s="21" t="s">
        <v>169</v>
      </c>
      <c r="H710" s="21">
        <v>0.79</v>
      </c>
      <c r="I710" s="68">
        <f>MAX('Max rate concentrations'!$D$3:$D$368)</f>
        <v>720</v>
      </c>
      <c r="J710" s="68">
        <f>MAX('Max rate concentrations'!W:W)</f>
        <v>255</v>
      </c>
      <c r="K710" s="70">
        <f t="shared" si="76"/>
        <v>451.84672051567111</v>
      </c>
      <c r="L710" s="70">
        <f t="shared" si="77"/>
        <v>160.02904684930019</v>
      </c>
      <c r="M710" s="70">
        <f>IF((((0.326*F710^0.818)-(0.398*F710^0.85)/(1-H710)*H710)*(MAX('Max rate concentrations'!$P$3:$P$368)))/F710&gt;0, (((0.326*F710^0.818)-(0.398*F710^0.85)/(1-H710)*H710)*(MAX('Max rate concentrations'!$P$3:$P$368)))/F710, 0)</f>
        <v>0</v>
      </c>
      <c r="N710" s="70">
        <f>IF((((0.326*F710^0.818)-(0.398*F710^0.85)/(1-H710)*H710)*(MAX('Max rate concentrations'!$Q$3:$Q$368)))/F710&gt; 0, (((0.326*F710^0.818)-(0.398*F710^0.85)/(1-H710)*H710)*(MAX('Max rate concentrations'!$Q$3:$Q$368)))/F710, 0)</f>
        <v>0</v>
      </c>
      <c r="O710" s="70">
        <f>((MAX('Max rate concentrations'!$F$3:$F$368))*0.62*6.01*8*(12.3*F710^0.65)*0.079*0.1/F710)*inputs!$E$73/inputs!$E$74</f>
        <v>78.000513417610009</v>
      </c>
      <c r="P710" s="70">
        <f>((MAX('Max rate concentrations'!Y:Y))*0.62*6.01*8*(12.3*F710^0.65)*0.079*0.1/F710)*inputs!$E$73/inputs!$E$74</f>
        <v>26.000171139203339</v>
      </c>
      <c r="Q710" s="70">
        <f>(inputs!$C$18*11.2*(12.3*F710^0.65)*0.5/F710)*inputs!$E$73/inputs!$E$74</f>
        <v>13.739422542999643</v>
      </c>
      <c r="R710" s="60">
        <f>(60*379*((F710/1000)^0.8)*3*24*(MAX('Max rate concentrations'!$R$3:$R$368))/F710)*(inputs!$E$73/inputs!$E$75)</f>
        <v>2.1583163436694738E-2</v>
      </c>
      <c r="S710" s="60">
        <f>(IF(inputs!$C$17="aerial",((0.025*0.112*inputs!$C$18/3.3)*(3*60*379*((F710/1000)^0.8))*MAX(inputs!$I$14:$I$16))/F710,((0.0083*0.112*inputs!$C$18/1)*(3*60*379*((F710/1000)^0.8))*MAX(inputs!$I$14:$I$16))/F710))*(inputs!E$75/inputs!$E$73)</f>
        <v>0.11903247238644067</v>
      </c>
      <c r="T710" s="63">
        <f>IF((((inputs!$P$13/(V710/MAX(K710:S710)))^(1/inputs!$O$13))-1)/inputs!$N$13&lt;0, 0, IF((((inputs!$P$13/(V710/MAX(K710:S710)))^(1/inputs!$O$13))-1)/inputs!$N$13&lt;inputs!$I$17, (((inputs!$P$13/(V710/MAX(K710:S710)))^(1/inputs!$O$13))-1)/inputs!$N$13, inputs!$I$17))</f>
        <v>420.14787136697936</v>
      </c>
      <c r="U710" s="63">
        <f>IF((((inputs!$P$13/(X710/MAX(K710:S710)))^(1/inputs!$O$13))-1)/inputs!$N$13&lt;0, 0, IF((((inputs!$P$13/(X710/MAX(K710:S710)))^(1/inputs!$O$13))-1)/inputs!$N$13&lt;inputs!$I$17, (((inputs!$P$13/(X710/MAX(K710:S710)))^(1/inputs!$O$13))-1)/inputs!$N$13, inputs!$I$17))</f>
        <v>14.67133694924037</v>
      </c>
      <c r="V710" s="54">
        <f>inputs!$E$70*(inputs!$F$70/F710)^(0.25)</f>
        <v>2.069271350458159</v>
      </c>
      <c r="W710" s="54">
        <f>inputs!$E$76*(inputs!$F$76/F710)^(0.25)</f>
        <v>0.62239779351362301</v>
      </c>
      <c r="X710" s="54">
        <f>inputs!$E$72*(inputs!$F$72/F710)^(0.25)</f>
        <v>91.291383108448187</v>
      </c>
      <c r="Y710" s="54" t="s">
        <v>13</v>
      </c>
      <c r="Z710" s="106">
        <f t="shared" si="78"/>
        <v>218.36030369609446</v>
      </c>
      <c r="AA710" s="106">
        <f t="shared" si="79"/>
        <v>725.97738170770219</v>
      </c>
    </row>
    <row r="711" spans="1:27" x14ac:dyDescent="0.25">
      <c r="A711" s="55" t="s">
        <v>480</v>
      </c>
      <c r="B711" s="49" t="s">
        <v>481</v>
      </c>
      <c r="C711" s="21" t="s">
        <v>61</v>
      </c>
      <c r="D711" s="20" t="s">
        <v>443</v>
      </c>
      <c r="E711" s="20">
        <v>40</v>
      </c>
      <c r="F711" s="21">
        <v>35</v>
      </c>
      <c r="G711" s="21" t="s">
        <v>177</v>
      </c>
      <c r="H711" s="21">
        <v>0.85</v>
      </c>
      <c r="I711" s="68">
        <f>MAX('Max rate concentrations'!$F$3:$F$368)</f>
        <v>405</v>
      </c>
      <c r="J711" s="68">
        <f>MAX('Max rate concentrations'!Y:Y)</f>
        <v>135</v>
      </c>
      <c r="K711" s="70">
        <f t="shared" si="76"/>
        <v>355.82929240609087</v>
      </c>
      <c r="L711" s="70">
        <f t="shared" si="77"/>
        <v>118.60976413536362</v>
      </c>
      <c r="M711" s="70">
        <f>IF((((0.326*F711^0.818)-(0.398*F711^0.85)/(1-H711)*H711)*(MAX('Max rate concentrations'!$P$3:$P$368)))/F711&gt;0, (((0.326*F711^0.818)-(0.398*F711^0.85)/(1-H711)*H711)*(MAX('Max rate concentrations'!$P$3:$P$368)))/F711, 0)</f>
        <v>0</v>
      </c>
      <c r="N711" s="70">
        <f>IF((((0.326*F711^0.818)-(0.398*F711^0.85)/(1-H711)*H711)*(MAX('Max rate concentrations'!$Q$3:$Q$368)))/F711&gt; 0, (((0.326*F711^0.818)-(0.398*F711^0.85)/(1-H711)*H711)*(MAX('Max rate concentrations'!$Q$3:$Q$368)))/F711, 0)</f>
        <v>0</v>
      </c>
      <c r="O711" s="70">
        <f>((MAX('Max rate concentrations'!$F$3:$F$368))*0.62*6.01*8*(12.3*F711^0.65)*0.079*0.1/F711)*inputs!$E$73/inputs!$E$74</f>
        <v>78.000513417610009</v>
      </c>
      <c r="P711" s="70">
        <f>((MAX('Max rate concentrations'!Y:Y))*0.62*6.01*8*(12.3*F711^0.65)*0.079*0.1/F711)*inputs!$E$73/inputs!$E$74</f>
        <v>26.000171139203339</v>
      </c>
      <c r="Q711" s="70">
        <f>(inputs!$C$18*11.2*(12.3*F711^0.65)*0.5/F711)*inputs!$E$73/inputs!$E$74</f>
        <v>13.739422542999643</v>
      </c>
      <c r="R711" s="60">
        <f>(60*379*((F711/1000)^0.8)*3*24*(MAX('Max rate concentrations'!$R$3:$R$368))/F711)*(inputs!$E$73/inputs!$E$75)</f>
        <v>2.1583163436694738E-2</v>
      </c>
      <c r="S711" s="60">
        <f>(IF(inputs!$C$17="aerial",((0.025*0.112*inputs!$C$18/3.3)*(3*60*379*((F711/1000)^0.8))*MAX(inputs!$I$14:$I$16))/F711,((0.0083*0.112*inputs!$C$18/1)*(3*60*379*((F711/1000)^0.8))*MAX(inputs!$I$14:$I$16))/F711))*(inputs!E$75/inputs!$E$73)</f>
        <v>0.11903247238644067</v>
      </c>
      <c r="T711" s="63">
        <f>IF((((inputs!$P$13/(V711/MAX(K711:S711)))^(1/inputs!$O$13))-1)/inputs!$N$13&lt;0, 0, IF((((inputs!$P$13/(V711/MAX(K711:S711)))^(1/inputs!$O$13))-1)/inputs!$N$13&lt;inputs!$I$17, (((inputs!$P$13/(V711/MAX(K711:S711)))^(1/inputs!$O$13))-1)/inputs!$N$13, inputs!$I$17))</f>
        <v>345.42215676019828</v>
      </c>
      <c r="U711" s="63">
        <f>IF((((inputs!$P$13/(X711/MAX(K711:S711)))^(1/inputs!$O$13))-1)/inputs!$N$13&lt;0, 0, IF((((inputs!$P$13/(X711/MAX(K711:S711)))^(1/inputs!$O$13))-1)/inputs!$N$13&lt;inputs!$I$17, (((inputs!$P$13/(X711/MAX(K711:S711)))^(1/inputs!$O$13))-1)/inputs!$N$13, inputs!$I$17))</f>
        <v>11.175725344168116</v>
      </c>
      <c r="V711" s="54">
        <f>inputs!$E$70*(inputs!$F$70/F711)^(0.25)</f>
        <v>2.069271350458159</v>
      </c>
      <c r="W711" s="54">
        <f>inputs!$E$76*(inputs!$F$76/F711)^(0.25)</f>
        <v>0.62239779351362301</v>
      </c>
      <c r="X711" s="54">
        <f>inputs!$E$72*(inputs!$F$72/F711)^(0.25)</f>
        <v>91.291383108448187</v>
      </c>
      <c r="Y711" s="54" t="s">
        <v>13</v>
      </c>
      <c r="Z711" s="106">
        <f t="shared" si="78"/>
        <v>171.95873916067433</v>
      </c>
      <c r="AA711" s="106">
        <f t="shared" si="79"/>
        <v>571.70718809481525</v>
      </c>
    </row>
    <row r="712" spans="1:27" x14ac:dyDescent="0.25">
      <c r="A712" s="55" t="s">
        <v>480</v>
      </c>
      <c r="B712" s="49" t="s">
        <v>481</v>
      </c>
      <c r="C712" s="21" t="s">
        <v>61</v>
      </c>
      <c r="D712" s="20" t="s">
        <v>443</v>
      </c>
      <c r="E712" s="20">
        <v>40</v>
      </c>
      <c r="F712" s="21">
        <v>35</v>
      </c>
      <c r="G712" s="21" t="s">
        <v>154</v>
      </c>
      <c r="H712" s="21">
        <v>9.2999999999999999E-2</v>
      </c>
      <c r="I712" s="68">
        <f>MAX('Max rate concentrations'!$G$3:$G$368)</f>
        <v>45</v>
      </c>
      <c r="J712" s="68">
        <f>MAX('Max rate concentrations'!Z:Z)</f>
        <v>21</v>
      </c>
      <c r="K712" s="70">
        <f t="shared" si="76"/>
        <v>6.5385757516738501</v>
      </c>
      <c r="L712" s="70">
        <f t="shared" si="77"/>
        <v>3.0513353507811298</v>
      </c>
      <c r="M712" s="70">
        <f>IF((((0.326*F712^0.818)-(0.398*F712^0.85)/(1-H712)*H712)*(MAX('Max rate concentrations'!$P$3:$P$368)))/F712&gt;0, (((0.326*F712^0.818)-(0.398*F712^0.85)/(1-H712)*H712)*(MAX('Max rate concentrations'!$P$3:$P$368)))/F712, 0)</f>
        <v>0.12779795279002523</v>
      </c>
      <c r="N712" s="70">
        <f>IF((((0.326*F712^0.818)-(0.398*F712^0.85)/(1-H712)*H712)*(MAX('Max rate concentrations'!$Q$3:$Q$368)))/F712&gt; 0, (((0.326*F712^0.818)-(0.398*F712^0.85)/(1-H712)*H712)*(MAX('Max rate concentrations'!$Q$3:$Q$368)))/F712, 0)</f>
        <v>0.48666147102377533</v>
      </c>
      <c r="O712" s="70">
        <f>((MAX('Max rate concentrations'!$F$3:$F$368))*0.62*6.01*8*(12.3*F712^0.65)*0.079*0.1/F712)*inputs!$E$73/inputs!$E$74</f>
        <v>78.000513417610009</v>
      </c>
      <c r="P712" s="70">
        <f>((MAX('Max rate concentrations'!Y:Y))*0.62*6.01*8*(12.3*F712^0.65)*0.079*0.1/F712)*inputs!$E$73/inputs!$E$74</f>
        <v>26.000171139203339</v>
      </c>
      <c r="Q712" s="70">
        <f>(inputs!$C$18*11.2*(12.3*F712^0.65)*0.5/F712)*inputs!$E$73/inputs!$E$74</f>
        <v>13.739422542999643</v>
      </c>
      <c r="R712" s="60">
        <f>(60*379*((F712/1000)^0.8)*3*24*(MAX('Max rate concentrations'!$R$3:$R$368))/F712)*(inputs!$E$73/inputs!$E$75)</f>
        <v>2.1583163436694738E-2</v>
      </c>
      <c r="S712" s="60">
        <f>(IF(inputs!$C$17="aerial",((0.025*0.112*inputs!$C$18/3.3)*(3*60*379*((F712/1000)^0.8))*MAX(inputs!$I$14:$I$16))/F712,((0.0083*0.112*inputs!$C$18/1)*(3*60*379*((F712/1000)^0.8))*MAX(inputs!$I$14:$I$16))/F712))*(inputs!E$75/inputs!$E$73)</f>
        <v>0.11903247238644067</v>
      </c>
      <c r="T712" s="63">
        <f>IF((((inputs!$P$13/(V712/MAX(K712:S712)))^(1/inputs!$O$13))-1)/inputs!$N$13&lt;0, 0, IF((((inputs!$P$13/(V712/MAX(K712:S712)))^(1/inputs!$O$13))-1)/inputs!$N$13&lt;inputs!$I$17, (((inputs!$P$13/(V712/MAX(K712:S712)))^(1/inputs!$O$13))-1)/inputs!$N$13, inputs!$I$17))</f>
        <v>97.537275491157231</v>
      </c>
      <c r="U712" s="63">
        <f>IF((((inputs!$P$13/(X712/MAX(K712:S712)))^(1/inputs!$O$13))-1)/inputs!$N$13&lt;0, 0, IF((((inputs!$P$13/(X712/MAX(K712:S712)))^(1/inputs!$O$13))-1)/inputs!$N$13&lt;inputs!$I$17, (((inputs!$P$13/(X712/MAX(K712:S712)))^(1/inputs!$O$13))-1)/inputs!$N$13, inputs!$I$17))</f>
        <v>0</v>
      </c>
      <c r="V712" s="54">
        <f>inputs!$E$70*(inputs!$F$70/F712)^(0.25)</f>
        <v>2.069271350458159</v>
      </c>
      <c r="W712" s="54">
        <f>inputs!$E$76*(inputs!$F$76/F712)^(0.25)</f>
        <v>0.62239779351362301</v>
      </c>
      <c r="X712" s="54">
        <f>inputs!$E$72*(inputs!$F$72/F712)^(0.25)</f>
        <v>91.291383108448187</v>
      </c>
      <c r="Y712" s="54" t="s">
        <v>13</v>
      </c>
      <c r="Z712" s="106">
        <f t="shared" si="78"/>
        <v>37.694676147881644</v>
      </c>
      <c r="AA712" s="106">
        <f t="shared" si="79"/>
        <v>125.32260594510404</v>
      </c>
    </row>
    <row r="713" spans="1:27" x14ac:dyDescent="0.25">
      <c r="A713" s="55" t="s">
        <v>470</v>
      </c>
      <c r="B713" s="49" t="s">
        <v>471</v>
      </c>
      <c r="C713" s="21" t="s">
        <v>61</v>
      </c>
      <c r="D713" s="20" t="s">
        <v>443</v>
      </c>
      <c r="E713" s="20">
        <v>20</v>
      </c>
      <c r="F713" s="21">
        <v>640</v>
      </c>
      <c r="G713" s="21" t="s">
        <v>142</v>
      </c>
      <c r="H713" s="21">
        <v>0.69</v>
      </c>
      <c r="I713" s="68">
        <f>MAX('Max rate concentrations'!$H$3:$H$368)</f>
        <v>282</v>
      </c>
      <c r="J713" s="68">
        <f>MAX('Max rate concentrations'!AA:AA)</f>
        <v>195</v>
      </c>
      <c r="K713" s="70">
        <f t="shared" si="76"/>
        <v>33.766383295140855</v>
      </c>
      <c r="L713" s="70">
        <f t="shared" si="77"/>
        <v>23.349094831746335</v>
      </c>
      <c r="M713" s="70">
        <f>IF((((0.326*F713^0.818)-(0.398*F713^0.85)/(1-H713)*H713)*(MAX('Max rate concentrations'!$P$3:$P$368)))/F713&gt;0, (((0.326*F713^0.818)-(0.398*F713^0.85)/(1-H713)*H713)*(MAX('Max rate concentrations'!$P$3:$P$368)))/F713, 0)</f>
        <v>0</v>
      </c>
      <c r="N713" s="70">
        <f>IF((((0.326*F713^0.818)-(0.398*F713^0.85)/(1-H713)*H713)*(MAX('Max rate concentrations'!$Q$3:$Q$368)))/F713&gt; 0, (((0.326*F713^0.818)-(0.398*F713^0.85)/(1-H713)*H713)*(MAX('Max rate concentrations'!$Q$3:$Q$368)))/F713, 0)</f>
        <v>0</v>
      </c>
      <c r="O713" s="70">
        <f>((MAX('Max rate concentrations'!$F$3:$F$368))*0.62*6.01*8*(12.3*F713^0.65)*0.079*0.1/F713)*inputs!$E$73/inputs!$E$74</f>
        <v>28.207090111672134</v>
      </c>
      <c r="P713" s="70">
        <f>((MAX('Max rate concentrations'!Y:Y))*0.62*6.01*8*(12.3*F713^0.65)*0.079*0.1/F713)*inputs!$E$73/inputs!$E$74</f>
        <v>9.4023633705573779</v>
      </c>
      <c r="Q713" s="70">
        <f>(inputs!$C$18*11.2*(12.3*F713^0.65)*0.5/F713)*inputs!$E$73/inputs!$E$74</f>
        <v>4.9685458822279269</v>
      </c>
      <c r="R713" s="60">
        <f>(60*379*((F713/1000)^0.8)*3*24*(MAX('Max rate concentrations'!$R$3:$R$368))/F713)*(inputs!$E$73/inputs!$E$75)</f>
        <v>1.2069595446201564E-2</v>
      </c>
      <c r="S713" s="60">
        <f>(IF(inputs!$C$17="aerial",((0.025*0.112*inputs!$C$18/3.3)*(3*60*379*((F713/1000)^0.8))*MAX(inputs!$I$14:$I$16))/F713,((0.0083*0.112*inputs!$C$18/1)*(3*60*379*((F713/1000)^0.8))*MAX(inputs!$I$14:$I$16))/F713))*(inputs!E$75/inputs!$E$73)</f>
        <v>6.656456042133882E-2</v>
      </c>
      <c r="T713" s="63">
        <f>IF((((inputs!$P$13/(V713/MAX(K713:S713)))^(1/inputs!$O$13))-1)/inputs!$N$13&lt;0, 0, IF((((inputs!$P$13/(V713/MAX(K713:S713)))^(1/inputs!$O$13))-1)/inputs!$N$13&lt;inputs!$I$17, (((inputs!$P$13/(V713/MAX(K713:S713)))^(1/inputs!$O$13))-1)/inputs!$N$13, inputs!$I$17))</f>
        <v>88.736074469333431</v>
      </c>
      <c r="U713" s="63">
        <f>IF((((inputs!$P$13/(X713/MAX(K713:S713)))^(1/inputs!$O$13))-1)/inputs!$N$13&lt;0, 0, IF((((inputs!$P$13/(X713/MAX(K713:S713)))^(1/inputs!$O$13))-1)/inputs!$N$13&lt;inputs!$I$17, (((inputs!$P$13/(X713/MAX(K713:S713)))^(1/inputs!$O$13))-1)/inputs!$N$13, inputs!$I$17))</f>
        <v>0</v>
      </c>
      <c r="V713" s="54">
        <f>inputs!$E$70*(inputs!$F$70/F713)^(0.25)</f>
        <v>1.0006667341519202</v>
      </c>
      <c r="W713" s="54">
        <f>inputs!$E$76*(inputs!$F$76/F713)^(0.25)</f>
        <v>0.30098167997190939</v>
      </c>
      <c r="X713" s="54">
        <f>inputs!$E$72*(inputs!$F$72/F713)^(0.25)</f>
        <v>44.147061800820012</v>
      </c>
      <c r="Y713" s="54" t="s">
        <v>13</v>
      </c>
      <c r="Z713" s="106">
        <f t="shared" si="78"/>
        <v>33.743885094529858</v>
      </c>
      <c r="AA713" s="106">
        <f t="shared" si="79"/>
        <v>112.18750356597209</v>
      </c>
    </row>
    <row r="714" spans="1:27" x14ac:dyDescent="0.25">
      <c r="A714" s="55" t="s">
        <v>470</v>
      </c>
      <c r="B714" s="49" t="s">
        <v>471</v>
      </c>
      <c r="C714" s="21" t="s">
        <v>61</v>
      </c>
      <c r="D714" s="20" t="s">
        <v>443</v>
      </c>
      <c r="E714" s="20">
        <v>20</v>
      </c>
      <c r="F714" s="21">
        <v>640</v>
      </c>
      <c r="G714" s="21" t="s">
        <v>169</v>
      </c>
      <c r="H714" s="21">
        <v>0.79</v>
      </c>
      <c r="I714" s="68">
        <f>MAX('Max rate concentrations'!$D$3:$D$368)</f>
        <v>720</v>
      </c>
      <c r="J714" s="68">
        <f>MAX('Max rate concentrations'!W:W)</f>
        <v>255</v>
      </c>
      <c r="K714" s="70">
        <f t="shared" si="76"/>
        <v>127.26539600600206</v>
      </c>
      <c r="L714" s="70">
        <f t="shared" si="77"/>
        <v>45.073161085459063</v>
      </c>
      <c r="M714" s="70">
        <f>IF((((0.326*F714^0.818)-(0.398*F714^0.85)/(1-H714)*H714)*(MAX('Max rate concentrations'!$P$3:$P$368)))/F714&gt;0, (((0.326*F714^0.818)-(0.398*F714^0.85)/(1-H714)*H714)*(MAX('Max rate concentrations'!$P$3:$P$368)))/F714, 0)</f>
        <v>0</v>
      </c>
      <c r="N714" s="70">
        <f>IF((((0.326*F714^0.818)-(0.398*F714^0.85)/(1-H714)*H714)*(MAX('Max rate concentrations'!$Q$3:$Q$368)))/F714&gt; 0, (((0.326*F714^0.818)-(0.398*F714^0.85)/(1-H714)*H714)*(MAX('Max rate concentrations'!$Q$3:$Q$368)))/F714, 0)</f>
        <v>0</v>
      </c>
      <c r="O714" s="70">
        <f>((MAX('Max rate concentrations'!$F$3:$F$368))*0.62*6.01*8*(12.3*F714^0.65)*0.079*0.1/F714)*inputs!$E$73/inputs!$E$74</f>
        <v>28.207090111672134</v>
      </c>
      <c r="P714" s="70">
        <f>((MAX('Max rate concentrations'!Y:Y))*0.62*6.01*8*(12.3*F714^0.65)*0.079*0.1/F714)*inputs!$E$73/inputs!$E$74</f>
        <v>9.4023633705573779</v>
      </c>
      <c r="Q714" s="70">
        <f>(inputs!$C$18*11.2*(12.3*F714^0.65)*0.5/F714)*inputs!$E$73/inputs!$E$74</f>
        <v>4.9685458822279269</v>
      </c>
      <c r="R714" s="60">
        <f>(60*379*((F714/1000)^0.8)*3*24*(MAX('Max rate concentrations'!$R$3:$R$368))/F714)*(inputs!$E$73/inputs!$E$75)</f>
        <v>1.2069595446201564E-2</v>
      </c>
      <c r="S714" s="60">
        <f>(IF(inputs!$C$17="aerial",((0.025*0.112*inputs!$C$18/3.3)*(3*60*379*((F714/1000)^0.8))*MAX(inputs!$I$14:$I$16))/F714,((0.0083*0.112*inputs!$C$18/1)*(3*60*379*((F714/1000)^0.8))*MAX(inputs!$I$14:$I$16))/F714))*(inputs!E$75/inputs!$E$73)</f>
        <v>6.656456042133882E-2</v>
      </c>
      <c r="T714" s="63">
        <f>IF((((inputs!$P$13/(V714/MAX(K714:S714)))^(1/inputs!$O$13))-1)/inputs!$N$13&lt;0, 0, IF((((inputs!$P$13/(V714/MAX(K714:S714)))^(1/inputs!$O$13))-1)/inputs!$N$13&lt;inputs!$I$17, (((inputs!$P$13/(V714/MAX(K714:S714)))^(1/inputs!$O$13))-1)/inputs!$N$13, inputs!$I$17))</f>
        <v>269.5208486819692</v>
      </c>
      <c r="U714" s="63">
        <f>IF((((inputs!$P$13/(X714/MAX(K714:S714)))^(1/inputs!$O$13))-1)/inputs!$N$13&lt;0, 0, IF((((inputs!$P$13/(X714/MAX(K714:S714)))^(1/inputs!$O$13))-1)/inputs!$N$13&lt;inputs!$I$17, (((inputs!$P$13/(X714/MAX(K714:S714)))^(1/inputs!$O$13))-1)/inputs!$N$13, inputs!$I$17))</f>
        <v>7.6251203783328947</v>
      </c>
      <c r="V714" s="54">
        <f>inputs!$E$70*(inputs!$F$70/F714)^(0.25)</f>
        <v>1.0006667341519202</v>
      </c>
      <c r="W714" s="54">
        <f>inputs!$E$76*(inputs!$F$76/F714)^(0.25)</f>
        <v>0.30098167997190939</v>
      </c>
      <c r="X714" s="54">
        <f>inputs!$E$72*(inputs!$F$72/F714)^(0.25)</f>
        <v>44.147061800820012</v>
      </c>
      <c r="Y714" s="54" t="s">
        <v>13</v>
      </c>
      <c r="Z714" s="106">
        <f t="shared" si="78"/>
        <v>127.18060035628281</v>
      </c>
      <c r="AA714" s="106">
        <f t="shared" si="79"/>
        <v>422.83435994469744</v>
      </c>
    </row>
    <row r="715" spans="1:27" x14ac:dyDescent="0.25">
      <c r="A715" s="55" t="s">
        <v>470</v>
      </c>
      <c r="B715" s="49" t="s">
        <v>471</v>
      </c>
      <c r="C715" s="21" t="s">
        <v>61</v>
      </c>
      <c r="D715" s="20" t="s">
        <v>443</v>
      </c>
      <c r="E715" s="20">
        <v>20</v>
      </c>
      <c r="F715" s="21">
        <v>640</v>
      </c>
      <c r="G715" s="21" t="s">
        <v>177</v>
      </c>
      <c r="H715" s="21">
        <v>0.85</v>
      </c>
      <c r="I715" s="68">
        <f>MAX('Max rate concentrations'!$F$3:$F$368)</f>
        <v>405</v>
      </c>
      <c r="J715" s="68">
        <f>MAX('Max rate concentrations'!Y:Y)</f>
        <v>135</v>
      </c>
      <c r="K715" s="70">
        <f t="shared" si="76"/>
        <v>100.22149935472659</v>
      </c>
      <c r="L715" s="70">
        <f t="shared" si="77"/>
        <v>33.407166451575527</v>
      </c>
      <c r="M715" s="70">
        <f>IF((((0.326*F715^0.818)-(0.398*F715^0.85)/(1-H715)*H715)*(MAX('Max rate concentrations'!$P$3:$P$368)))/F715&gt;0, (((0.326*F715^0.818)-(0.398*F715^0.85)/(1-H715)*H715)*(MAX('Max rate concentrations'!$P$3:$P$368)))/F715, 0)</f>
        <v>0</v>
      </c>
      <c r="N715" s="70">
        <f>IF((((0.326*F715^0.818)-(0.398*F715^0.85)/(1-H715)*H715)*(MAX('Max rate concentrations'!$Q$3:$Q$368)))/F715&gt; 0, (((0.326*F715^0.818)-(0.398*F715^0.85)/(1-H715)*H715)*(MAX('Max rate concentrations'!$Q$3:$Q$368)))/F715, 0)</f>
        <v>0</v>
      </c>
      <c r="O715" s="70">
        <f>((MAX('Max rate concentrations'!$F$3:$F$368))*0.62*6.01*8*(12.3*F715^0.65)*0.079*0.1/F715)*inputs!$E$73/inputs!$E$74</f>
        <v>28.207090111672134</v>
      </c>
      <c r="P715" s="70">
        <f>((MAX('Max rate concentrations'!Y:Y))*0.62*6.01*8*(12.3*F715^0.65)*0.079*0.1/F715)*inputs!$E$73/inputs!$E$74</f>
        <v>9.4023633705573779</v>
      </c>
      <c r="Q715" s="70">
        <f>(inputs!$C$18*11.2*(12.3*F715^0.65)*0.5/F715)*inputs!$E$73/inputs!$E$74</f>
        <v>4.9685458822279269</v>
      </c>
      <c r="R715" s="60">
        <f>(60*379*((F715/1000)^0.8)*3*24*(MAX('Max rate concentrations'!$R$3:$R$368))/F715)*(inputs!$E$73/inputs!$E$75)</f>
        <v>1.2069595446201564E-2</v>
      </c>
      <c r="S715" s="60">
        <f>(IF(inputs!$C$17="aerial",((0.025*0.112*inputs!$C$18/3.3)*(3*60*379*((F715/1000)^0.8))*MAX(inputs!$I$14:$I$16))/F715,((0.0083*0.112*inputs!$C$18/1)*(3*60*379*((F715/1000)^0.8))*MAX(inputs!$I$14:$I$16))/F715))*(inputs!E$75/inputs!$E$73)</f>
        <v>6.656456042133882E-2</v>
      </c>
      <c r="T715" s="63">
        <f>IF((((inputs!$P$13/(V715/MAX(K715:S715)))^(1/inputs!$O$13))-1)/inputs!$N$13&lt;0, 0, IF((((inputs!$P$13/(V715/MAX(K715:S715)))^(1/inputs!$O$13))-1)/inputs!$N$13&lt;inputs!$I$17, (((inputs!$P$13/(V715/MAX(K715:S715)))^(1/inputs!$O$13))-1)/inputs!$N$13, inputs!$I$17))</f>
        <v>221.25579808402154</v>
      </c>
      <c r="U715" s="63">
        <f>IF((((inputs!$P$13/(X715/MAX(K715:S715)))^(1/inputs!$O$13))-1)/inputs!$N$13&lt;0, 0, IF((((inputs!$P$13/(X715/MAX(K715:S715)))^(1/inputs!$O$13))-1)/inputs!$N$13&lt;inputs!$I$17, (((inputs!$P$13/(X715/MAX(K715:S715)))^(1/inputs!$O$13))-1)/inputs!$N$13, inputs!$I$17))</f>
        <v>5.3673183368616852</v>
      </c>
      <c r="V715" s="54">
        <f>inputs!$E$70*(inputs!$F$70/F715)^(0.25)</f>
        <v>1.0006667341519202</v>
      </c>
      <c r="W715" s="54">
        <f>inputs!$E$76*(inputs!$F$76/F715)^(0.25)</f>
        <v>0.30098167997190939</v>
      </c>
      <c r="X715" s="54">
        <f>inputs!$E$72*(inputs!$F$72/F715)^(0.25)</f>
        <v>44.147061800820012</v>
      </c>
      <c r="Y715" s="54" t="s">
        <v>13</v>
      </c>
      <c r="Z715" s="106">
        <f t="shared" si="78"/>
        <v>100.15472278057268</v>
      </c>
      <c r="AA715" s="106">
        <f t="shared" si="79"/>
        <v>332.98205845644912</v>
      </c>
    </row>
    <row r="716" spans="1:27" x14ac:dyDescent="0.25">
      <c r="A716" s="55" t="s">
        <v>470</v>
      </c>
      <c r="B716" s="49" t="s">
        <v>471</v>
      </c>
      <c r="C716" s="21" t="s">
        <v>61</v>
      </c>
      <c r="D716" s="20" t="s">
        <v>443</v>
      </c>
      <c r="E716" s="20">
        <v>20</v>
      </c>
      <c r="F716" s="21">
        <v>640</v>
      </c>
      <c r="G716" s="21" t="s">
        <v>154</v>
      </c>
      <c r="H716" s="21">
        <v>9.2999999999999999E-2</v>
      </c>
      <c r="I716" s="68">
        <f>MAX('Max rate concentrations'!$G$3:$G$368)</f>
        <v>45</v>
      </c>
      <c r="J716" s="68">
        <f>MAX('Max rate concentrations'!Z:Z)</f>
        <v>21</v>
      </c>
      <c r="K716" s="70">
        <f t="shared" si="76"/>
        <v>1.8416299036149688</v>
      </c>
      <c r="L716" s="70">
        <f t="shared" si="77"/>
        <v>0.85942728835365201</v>
      </c>
      <c r="M716" s="70">
        <f>IF((((0.326*F716^0.818)-(0.398*F716^0.85)/(1-H716)*H716)*(MAX('Max rate concentrations'!$P$3:$P$368)))/F716&gt;0, (((0.326*F716^0.818)-(0.398*F716^0.85)/(1-H716)*H716)*(MAX('Max rate concentrations'!$P$3:$P$368)))/F716, 0)</f>
        <v>7.4106908691220524E-2</v>
      </c>
      <c r="N716" s="70">
        <f>IF((((0.326*F716^0.818)-(0.398*F716^0.85)/(1-H716)*H716)*(MAX('Max rate concentrations'!$Q$3:$Q$368)))/F716&gt; 0, (((0.326*F716^0.818)-(0.398*F716^0.85)/(1-H716)*H716)*(MAX('Max rate concentrations'!$Q$3:$Q$368)))/F716, 0)</f>
        <v>0.2822030901852513</v>
      </c>
      <c r="O716" s="70">
        <f>((MAX('Max rate concentrations'!$F$3:$F$368))*0.62*6.01*8*(12.3*F716^0.65)*0.079*0.1/F716)*inputs!$E$73/inputs!$E$74</f>
        <v>28.207090111672134</v>
      </c>
      <c r="P716" s="70">
        <f>((MAX('Max rate concentrations'!Y:Y))*0.62*6.01*8*(12.3*F716^0.65)*0.079*0.1/F716)*inputs!$E$73/inputs!$E$74</f>
        <v>9.4023633705573779</v>
      </c>
      <c r="Q716" s="70">
        <f>(inputs!$C$18*11.2*(12.3*F716^0.65)*0.5/F716)*inputs!$E$73/inputs!$E$74</f>
        <v>4.9685458822279269</v>
      </c>
      <c r="R716" s="60">
        <f>(60*379*((F716/1000)^0.8)*3*24*(MAX('Max rate concentrations'!$R$3:$R$368))/F716)*(inputs!$E$73/inputs!$E$75)</f>
        <v>1.2069595446201564E-2</v>
      </c>
      <c r="S716" s="60">
        <f>(IF(inputs!$C$17="aerial",((0.025*0.112*inputs!$C$18/3.3)*(3*60*379*((F716/1000)^0.8))*MAX(inputs!$I$14:$I$16))/F716,((0.0083*0.112*inputs!$C$18/1)*(3*60*379*((F716/1000)^0.8))*MAX(inputs!$I$14:$I$16))/F716))*(inputs!E$75/inputs!$E$73)</f>
        <v>6.656456042133882E-2</v>
      </c>
      <c r="T716" s="63">
        <f>IF((((inputs!$P$13/(V716/MAX(K716:S716)))^(1/inputs!$O$13))-1)/inputs!$N$13&lt;0, 0, IF((((inputs!$P$13/(V716/MAX(K716:S716)))^(1/inputs!$O$13))-1)/inputs!$N$13&lt;inputs!$I$17, (((inputs!$P$13/(V716/MAX(K716:S716)))^(1/inputs!$O$13))-1)/inputs!$N$13, inputs!$I$17))</f>
        <v>76.014635153603052</v>
      </c>
      <c r="U716" s="63">
        <f>IF((((inputs!$P$13/(X716/MAX(K716:S716)))^(1/inputs!$O$13))-1)/inputs!$N$13&lt;0, 0, IF((((inputs!$P$13/(X716/MAX(K716:S716)))^(1/inputs!$O$13))-1)/inputs!$N$13&lt;inputs!$I$17, (((inputs!$P$13/(X716/MAX(K716:S716)))^(1/inputs!$O$13))-1)/inputs!$N$13, inputs!$I$17))</f>
        <v>0</v>
      </c>
      <c r="V716" s="54">
        <f>inputs!$E$70*(inputs!$F$70/F716)^(0.25)</f>
        <v>1.0006667341519202</v>
      </c>
      <c r="W716" s="54">
        <f>inputs!$E$76*(inputs!$F$76/F716)^(0.25)</f>
        <v>0.30098167997190939</v>
      </c>
      <c r="X716" s="54">
        <f>inputs!$E$72*(inputs!$F$72/F716)^(0.25)</f>
        <v>44.147061800820012</v>
      </c>
      <c r="Y716" s="54" t="s">
        <v>13</v>
      </c>
      <c r="Z716" s="106">
        <f t="shared" si="78"/>
        <v>28.188296012036474</v>
      </c>
      <c r="AA716" s="106">
        <f t="shared" si="79"/>
        <v>93.716966807762859</v>
      </c>
    </row>
    <row r="717" spans="1:27" x14ac:dyDescent="0.25">
      <c r="A717" s="55" t="s">
        <v>592</v>
      </c>
      <c r="B717" s="49" t="s">
        <v>593</v>
      </c>
      <c r="C717" s="21" t="s">
        <v>61</v>
      </c>
      <c r="D717" s="20" t="s">
        <v>443</v>
      </c>
      <c r="E717" s="20">
        <v>2389</v>
      </c>
      <c r="F717" s="21">
        <v>120</v>
      </c>
      <c r="G717" s="21" t="s">
        <v>142</v>
      </c>
      <c r="H717" s="21">
        <v>0.69</v>
      </c>
      <c r="I717" s="68">
        <f>MAX('Max rate concentrations'!$H$3:$H$368)</f>
        <v>282</v>
      </c>
      <c r="J717" s="68">
        <f>MAX('Max rate concentrations'!AA:AA)</f>
        <v>195</v>
      </c>
      <c r="K717" s="70">
        <f t="shared" si="76"/>
        <v>70.057718727314167</v>
      </c>
      <c r="L717" s="70">
        <f t="shared" si="77"/>
        <v>48.444167205057667</v>
      </c>
      <c r="M717" s="70">
        <f>IF((((0.326*F717^0.818)-(0.398*F717^0.85)/(1-H717)*H717)*(MAX('Max rate concentrations'!$P$3:$P$368)))/F717&gt;0, (((0.326*F717^0.818)-(0.398*F717^0.85)/(1-H717)*H717)*(MAX('Max rate concentrations'!$P$3:$P$368)))/F717, 0)</f>
        <v>0</v>
      </c>
      <c r="N717" s="70">
        <f>IF((((0.326*F717^0.818)-(0.398*F717^0.85)/(1-H717)*H717)*(MAX('Max rate concentrations'!$Q$3:$Q$368)))/F717&gt; 0, (((0.326*F717^0.818)-(0.398*F717^0.85)/(1-H717)*H717)*(MAX('Max rate concentrations'!$Q$3:$Q$368)))/F717, 0)</f>
        <v>0</v>
      </c>
      <c r="O717" s="70">
        <f>((MAX('Max rate concentrations'!$F$3:$F$368))*0.62*6.01*8*(12.3*F717^0.65)*0.079*0.1/F717)*inputs!$E$73/inputs!$E$74</f>
        <v>50.67664332337386</v>
      </c>
      <c r="P717" s="70">
        <f>((MAX('Max rate concentrations'!Y:Y))*0.62*6.01*8*(12.3*F717^0.65)*0.079*0.1/F717)*inputs!$E$73/inputs!$E$74</f>
        <v>16.892214441124622</v>
      </c>
      <c r="Q717" s="70">
        <f>(inputs!$C$18*11.2*(12.3*F717^0.65)*0.5/F717)*inputs!$E$73/inputs!$E$74</f>
        <v>8.9264517010668847</v>
      </c>
      <c r="R717" s="60">
        <f>(60*379*((F717/1000)^0.8)*3*24*(MAX('Max rate concentrations'!$R$3:$R$368))/F717)*(inputs!$E$73/inputs!$E$75)</f>
        <v>1.6869121220815221E-2</v>
      </c>
      <c r="S717" s="60">
        <f>(IF(inputs!$C$17="aerial",((0.025*0.112*inputs!$C$18/3.3)*(3*60*379*((F717/1000)^0.8))*MAX(inputs!$I$14:$I$16))/F717,((0.0083*0.112*inputs!$C$18/1)*(3*60*379*((F717/1000)^0.8))*MAX(inputs!$I$14:$I$16))/F717))*(inputs!E$75/inputs!$E$73)</f>
        <v>9.3034239943081826E-2</v>
      </c>
      <c r="T717" s="63">
        <f>IF((((inputs!$P$13/(V717/MAX(K717:S717)))^(1/inputs!$O$13))-1)/inputs!$N$13&lt;0, 0, IF((((inputs!$P$13/(V717/MAX(K717:S717)))^(1/inputs!$O$13))-1)/inputs!$N$13&lt;inputs!$I$17, (((inputs!$P$13/(V717/MAX(K717:S717)))^(1/inputs!$O$13))-1)/inputs!$N$13, inputs!$I$17))</f>
        <v>115.63986567106814</v>
      </c>
      <c r="U717" s="63">
        <f>IF((((inputs!$P$13/(X717/MAX(K717:S717)))^(1/inputs!$O$13))-1)/inputs!$N$13&lt;0, 0, IF((((inputs!$P$13/(X717/MAX(K717:S717)))^(1/inputs!$O$13))-1)/inputs!$N$13&lt;inputs!$I$17, (((inputs!$P$13/(X717/MAX(K717:S717)))^(1/inputs!$O$13))-1)/inputs!$N$13, inputs!$I$17))</f>
        <v>0.42668603958627827</v>
      </c>
      <c r="V717" s="54">
        <f>inputs!$E$70*(inputs!$F$70/F717)^(0.25)</f>
        <v>1.5206845881061284</v>
      </c>
      <c r="W717" s="54">
        <f>inputs!$E$76*(inputs!$F$76/F717)^(0.25)</f>
        <v>0.45739324234004791</v>
      </c>
      <c r="X717" s="54">
        <f>inputs!$E$72*(inputs!$F$72/F717)^(0.25)</f>
        <v>67.089025945858609</v>
      </c>
      <c r="Y717" s="54" t="s">
        <v>13</v>
      </c>
      <c r="Z717" s="106">
        <f t="shared" si="78"/>
        <v>46.069855166063434</v>
      </c>
      <c r="AA717" s="106">
        <f t="shared" si="79"/>
        <v>153.16736725032314</v>
      </c>
    </row>
    <row r="718" spans="1:27" x14ac:dyDescent="0.25">
      <c r="A718" s="55" t="s">
        <v>592</v>
      </c>
      <c r="B718" s="49" t="s">
        <v>593</v>
      </c>
      <c r="C718" s="21" t="s">
        <v>61</v>
      </c>
      <c r="D718" s="20" t="s">
        <v>443</v>
      </c>
      <c r="E718" s="20">
        <v>2389</v>
      </c>
      <c r="F718" s="21">
        <v>120</v>
      </c>
      <c r="G718" s="21" t="s">
        <v>177</v>
      </c>
      <c r="H718" s="21">
        <v>0.85</v>
      </c>
      <c r="I718" s="68">
        <f>MAX('Max rate concentrations'!$F$3:$F$368)</f>
        <v>405</v>
      </c>
      <c r="J718" s="68">
        <f>MAX('Max rate concentrations'!Y:Y)</f>
        <v>135</v>
      </c>
      <c r="K718" s="70">
        <f t="shared" si="76"/>
        <v>207.93727154170909</v>
      </c>
      <c r="L718" s="70">
        <f t="shared" si="77"/>
        <v>69.312423847236374</v>
      </c>
      <c r="M718" s="70">
        <f>IF((((0.326*F718^0.818)-(0.398*F718^0.85)/(1-H718)*H718)*(MAX('Max rate concentrations'!$P$3:$P$368)))/F718&gt;0, (((0.326*F718^0.818)-(0.398*F718^0.85)/(1-H718)*H718)*(MAX('Max rate concentrations'!$P$3:$P$368)))/F718, 0)</f>
        <v>0</v>
      </c>
      <c r="N718" s="70">
        <f>IF((((0.326*F718^0.818)-(0.398*F718^0.85)/(1-H718)*H718)*(MAX('Max rate concentrations'!$Q$3:$Q$368)))/F718&gt; 0, (((0.326*F718^0.818)-(0.398*F718^0.85)/(1-H718)*H718)*(MAX('Max rate concentrations'!$Q$3:$Q$368)))/F718, 0)</f>
        <v>0</v>
      </c>
      <c r="O718" s="70">
        <f>((MAX('Max rate concentrations'!$F$3:$F$368))*0.62*6.01*8*(12.3*F718^0.65)*0.079*0.1/F718)*inputs!$E$73/inputs!$E$74</f>
        <v>50.67664332337386</v>
      </c>
      <c r="P718" s="70">
        <f>((MAX('Max rate concentrations'!Y:Y))*0.62*6.01*8*(12.3*F718^0.65)*0.079*0.1/F718)*inputs!$E$73/inputs!$E$74</f>
        <v>16.892214441124622</v>
      </c>
      <c r="Q718" s="70">
        <f>(inputs!$C$18*11.2*(12.3*F718^0.65)*0.5/F718)*inputs!$E$73/inputs!$E$74</f>
        <v>8.9264517010668847</v>
      </c>
      <c r="R718" s="60">
        <f>(60*379*((F718/1000)^0.8)*3*24*(MAX('Max rate concentrations'!$R$3:$R$368))/F718)*(inputs!$E$73/inputs!$E$75)</f>
        <v>1.6869121220815221E-2</v>
      </c>
      <c r="S718" s="60">
        <f>(IF(inputs!$C$17="aerial",((0.025*0.112*inputs!$C$18/3.3)*(3*60*379*((F718/1000)^0.8))*MAX(inputs!$I$14:$I$16))/F718,((0.0083*0.112*inputs!$C$18/1)*(3*60*379*((F718/1000)^0.8))*MAX(inputs!$I$14:$I$16))/F718))*(inputs!E$75/inputs!$E$73)</f>
        <v>9.3034239943081826E-2</v>
      </c>
      <c r="T718" s="63">
        <f>IF((((inputs!$P$13/(V718/MAX(K718:S718)))^(1/inputs!$O$13))-1)/inputs!$N$13&lt;0, 0, IF((((inputs!$P$13/(V718/MAX(K718:S718)))^(1/inputs!$O$13))-1)/inputs!$N$13&lt;inputs!$I$17, (((inputs!$P$13/(V718/MAX(K718:S718)))^(1/inputs!$O$13))-1)/inputs!$N$13, inputs!$I$17))</f>
        <v>286.10287858720437</v>
      </c>
      <c r="U718" s="63">
        <f>IF((((inputs!$P$13/(X718/MAX(K718:S718)))^(1/inputs!$O$13))-1)/inputs!$N$13&lt;0, 0, IF((((inputs!$P$13/(X718/MAX(K718:S718)))^(1/inputs!$O$13))-1)/inputs!$N$13&lt;inputs!$I$17, (((inputs!$P$13/(X718/MAX(K718:S718)))^(1/inputs!$O$13))-1)/inputs!$N$13, inputs!$I$17))</f>
        <v>8.400815016750375</v>
      </c>
      <c r="V718" s="54">
        <f>inputs!$E$70*(inputs!$F$70/F718)^(0.25)</f>
        <v>1.5206845881061284</v>
      </c>
      <c r="W718" s="54">
        <f>inputs!$E$76*(inputs!$F$76/F718)^(0.25)</f>
        <v>0.45739324234004791</v>
      </c>
      <c r="X718" s="54">
        <f>inputs!$E$72*(inputs!$F$72/F718)^(0.25)</f>
        <v>67.089025945858609</v>
      </c>
      <c r="Y718" s="54" t="s">
        <v>13</v>
      </c>
      <c r="Z718" s="106">
        <f t="shared" si="78"/>
        <v>136.73925097161384</v>
      </c>
      <c r="AA718" s="106">
        <f t="shared" si="79"/>
        <v>454.61378151957615</v>
      </c>
    </row>
    <row r="719" spans="1:27" x14ac:dyDescent="0.25">
      <c r="A719" s="55" t="s">
        <v>592</v>
      </c>
      <c r="B719" s="49" t="s">
        <v>593</v>
      </c>
      <c r="C719" s="21" t="s">
        <v>61</v>
      </c>
      <c r="D719" s="20" t="s">
        <v>443</v>
      </c>
      <c r="E719" s="20">
        <v>2389</v>
      </c>
      <c r="F719" s="21">
        <v>120</v>
      </c>
      <c r="G719" s="21" t="s">
        <v>154</v>
      </c>
      <c r="H719" s="21">
        <v>9.2999999999999999E-2</v>
      </c>
      <c r="I719" s="68">
        <f>MAX('Max rate concentrations'!$G$3:$G$368)</f>
        <v>45</v>
      </c>
      <c r="J719" s="68">
        <f>MAX('Max rate concentrations'!Z:Z)</f>
        <v>21</v>
      </c>
      <c r="K719" s="70">
        <f t="shared" si="76"/>
        <v>3.8209715461541554</v>
      </c>
      <c r="L719" s="70">
        <f t="shared" si="77"/>
        <v>1.7831200548719393</v>
      </c>
      <c r="M719" s="70">
        <f>IF((((0.326*F719^0.818)-(0.398*F719^0.85)/(1-H719)*H719)*(MAX('Max rate concentrations'!$P$3:$P$368)))/F719&gt;0, (((0.326*F719^0.818)-(0.398*F719^0.85)/(1-H719)*H719)*(MAX('Max rate concentrations'!$P$3:$P$368)))/F719, 0)</f>
        <v>0.10145521577371337</v>
      </c>
      <c r="N719" s="70">
        <f>IF((((0.326*F719^0.818)-(0.398*F719^0.85)/(1-H719)*H719)*(MAX('Max rate concentrations'!$Q$3:$Q$368)))/F719&gt; 0, (((0.326*F719^0.818)-(0.398*F719^0.85)/(1-H719)*H719)*(MAX('Max rate concentrations'!$Q$3:$Q$368)))/F719, 0)</f>
        <v>0.38634691302600904</v>
      </c>
      <c r="O719" s="70">
        <f>((MAX('Max rate concentrations'!$F$3:$F$368))*0.62*6.01*8*(12.3*F719^0.65)*0.079*0.1/F719)*inputs!$E$73/inputs!$E$74</f>
        <v>50.67664332337386</v>
      </c>
      <c r="P719" s="70">
        <f>((MAX('Max rate concentrations'!Y:Y))*0.62*6.01*8*(12.3*F719^0.65)*0.079*0.1/F719)*inputs!$E$73/inputs!$E$74</f>
        <v>16.892214441124622</v>
      </c>
      <c r="Q719" s="70">
        <f>(inputs!$C$18*11.2*(12.3*F719^0.65)*0.5/F719)*inputs!$E$73/inputs!$E$74</f>
        <v>8.9264517010668847</v>
      </c>
      <c r="R719" s="60">
        <f>(60*379*((F719/1000)^0.8)*3*24*(MAX('Max rate concentrations'!$R$3:$R$368))/F719)*(inputs!$E$73/inputs!$E$75)</f>
        <v>1.6869121220815221E-2</v>
      </c>
      <c r="S719" s="60">
        <f>(IF(inputs!$C$17="aerial",((0.025*0.112*inputs!$C$18/3.3)*(3*60*379*((F719/1000)^0.8))*MAX(inputs!$I$14:$I$16))/F719,((0.0083*0.112*inputs!$C$18/1)*(3*60*379*((F719/1000)^0.8))*MAX(inputs!$I$14:$I$16))/F719))*(inputs!E$75/inputs!$E$73)</f>
        <v>9.3034239943081826E-2</v>
      </c>
      <c r="T719" s="63">
        <f>IF((((inputs!$P$13/(V719/MAX(K719:S719)))^(1/inputs!$O$13))-1)/inputs!$N$13&lt;0, 0, IF((((inputs!$P$13/(V719/MAX(K719:S719)))^(1/inputs!$O$13))-1)/inputs!$N$13&lt;inputs!$I$17, (((inputs!$P$13/(V719/MAX(K719:S719)))^(1/inputs!$O$13))-1)/inputs!$N$13, inputs!$I$17))</f>
        <v>87.791439473762978</v>
      </c>
      <c r="U719" s="63">
        <f>IF((((inputs!$P$13/(X719/MAX(K719:S719)))^(1/inputs!$O$13))-1)/inputs!$N$13&lt;0, 0, IF((((inputs!$P$13/(X719/MAX(K719:S719)))^(1/inputs!$O$13))-1)/inputs!$N$13&lt;inputs!$I$17, (((inputs!$P$13/(X719/MAX(K719:S719)))^(1/inputs!$O$13))-1)/inputs!$N$13, inputs!$I$17))</f>
        <v>0</v>
      </c>
      <c r="V719" s="54">
        <f>inputs!$E$70*(inputs!$F$70/F719)^(0.25)</f>
        <v>1.5206845881061284</v>
      </c>
      <c r="W719" s="54">
        <f>inputs!$E$76*(inputs!$F$76/F719)^(0.25)</f>
        <v>0.45739324234004791</v>
      </c>
      <c r="X719" s="54">
        <f>inputs!$E$72*(inputs!$F$72/F719)^(0.25)</f>
        <v>67.089025945858609</v>
      </c>
      <c r="Y719" s="54" t="s">
        <v>13</v>
      </c>
      <c r="Z719" s="106">
        <f t="shared" si="78"/>
        <v>33.324887829952246</v>
      </c>
      <c r="AA719" s="106">
        <f t="shared" si="79"/>
        <v>110.79447318484524</v>
      </c>
    </row>
    <row r="720" spans="1:27" x14ac:dyDescent="0.25">
      <c r="A720" s="55" t="s">
        <v>588</v>
      </c>
      <c r="B720" s="49" t="s">
        <v>589</v>
      </c>
      <c r="C720" s="21" t="s">
        <v>61</v>
      </c>
      <c r="D720" s="20" t="s">
        <v>443</v>
      </c>
      <c r="E720" s="20">
        <v>8685</v>
      </c>
      <c r="F720" s="21">
        <v>75</v>
      </c>
      <c r="G720" s="21" t="s">
        <v>177</v>
      </c>
      <c r="H720" s="21">
        <v>0.85</v>
      </c>
      <c r="I720" s="68">
        <f>MAX('Max rate concentrations'!$F$3:$F$368)</f>
        <v>405</v>
      </c>
      <c r="J720" s="68">
        <f>MAX('Max rate concentrations'!Y:Y)</f>
        <v>135</v>
      </c>
      <c r="K720" s="70">
        <f t="shared" si="76"/>
        <v>255.22819757756429</v>
      </c>
      <c r="L720" s="70">
        <f t="shared" si="77"/>
        <v>85.076065859188091</v>
      </c>
      <c r="M720" s="70">
        <f>IF((((0.326*F720^0.818)-(0.398*F720^0.85)/(1-H720)*H720)*(MAX('Max rate concentrations'!$P$3:$P$368)))/F720&gt;0, (((0.326*F720^0.818)-(0.398*F720^0.85)/(1-H720)*H720)*(MAX('Max rate concentrations'!$P$3:$P$368)))/F720, 0)</f>
        <v>0</v>
      </c>
      <c r="N720" s="70">
        <f>IF((((0.326*F720^0.818)-(0.398*F720^0.85)/(1-H720)*H720)*(MAX('Max rate concentrations'!$Q$3:$Q$368)))/F720&gt; 0, (((0.326*F720^0.818)-(0.398*F720^0.85)/(1-H720)*H720)*(MAX('Max rate concentrations'!$Q$3:$Q$368)))/F720, 0)</f>
        <v>0</v>
      </c>
      <c r="O720" s="70">
        <f>((MAX('Max rate concentrations'!$F$3:$F$368))*0.62*6.01*8*(12.3*F720^0.65)*0.079*0.1/F720)*inputs!$E$73/inputs!$E$74</f>
        <v>59.737883923649726</v>
      </c>
      <c r="P720" s="70">
        <f>((MAX('Max rate concentrations'!Y:Y))*0.62*6.01*8*(12.3*F720^0.65)*0.079*0.1/F720)*inputs!$E$73/inputs!$E$74</f>
        <v>19.91262797454991</v>
      </c>
      <c r="Q720" s="70">
        <f>(inputs!$C$18*11.2*(12.3*F720^0.65)*0.5/F720)*inputs!$E$73/inputs!$E$74</f>
        <v>10.522546494756618</v>
      </c>
      <c r="R720" s="60">
        <f>(60*379*((F720/1000)^0.8)*3*24*(MAX('Max rate concentrations'!$R$3:$R$368))/F720)*(inputs!$E$73/inputs!$E$75)</f>
        <v>1.8531750973435526E-2</v>
      </c>
      <c r="S720" s="60">
        <f>(IF(inputs!$C$17="aerial",((0.025*0.112*inputs!$C$18/3.3)*(3*60*379*((F720/1000)^0.8))*MAX(inputs!$I$14:$I$16))/F720,((0.0083*0.112*inputs!$C$18/1)*(3*60*379*((F720/1000)^0.8))*MAX(inputs!$I$14:$I$16))/F720))*(inputs!E$75/inputs!$E$73)</f>
        <v>0.10220374517794364</v>
      </c>
      <c r="T720" s="63">
        <f>IF((((inputs!$P$13/(V720/MAX(K720:S720)))^(1/inputs!$O$13))-1)/inputs!$N$13&lt;0, 0, IF((((inputs!$P$13/(V720/MAX(K720:S720)))^(1/inputs!$O$13))-1)/inputs!$N$13&lt;inputs!$I$17, (((inputs!$P$13/(V720/MAX(K720:S720)))^(1/inputs!$O$13))-1)/inputs!$N$13, inputs!$I$17))</f>
        <v>307.44374503532549</v>
      </c>
      <c r="U720" s="63">
        <f>IF((((inputs!$P$13/(X720/MAX(K720:S720)))^(1/inputs!$O$13))-1)/inputs!$N$13&lt;0, 0, IF((((inputs!$P$13/(X720/MAX(K720:S720)))^(1/inputs!$O$13))-1)/inputs!$N$13&lt;inputs!$I$17, (((inputs!$P$13/(X720/MAX(K720:S720)))^(1/inputs!$O$13))-1)/inputs!$N$13, inputs!$I$17))</f>
        <v>9.3991243780044389</v>
      </c>
      <c r="V720" s="54">
        <f>inputs!$E$70*(inputs!$F$70/F720)^(0.25)</f>
        <v>1.7102875729442808</v>
      </c>
      <c r="W720" s="54">
        <f>inputs!$E$76*(inputs!$F$76/F720)^(0.25)</f>
        <v>0.51442224406122605</v>
      </c>
      <c r="X720" s="54">
        <f>inputs!$E$72*(inputs!$F$72/F720)^(0.25)</f>
        <v>75.453863512247679</v>
      </c>
      <c r="Y720" s="54" t="s">
        <v>13</v>
      </c>
      <c r="Z720" s="106">
        <f t="shared" si="78"/>
        <v>149.23115949336278</v>
      </c>
      <c r="AA720" s="106">
        <f t="shared" si="79"/>
        <v>496.14533687852594</v>
      </c>
    </row>
    <row r="721" spans="1:27" x14ac:dyDescent="0.25">
      <c r="A721" s="103" t="s">
        <v>384</v>
      </c>
      <c r="B721" s="20" t="s">
        <v>385</v>
      </c>
      <c r="C721" s="21" t="s">
        <v>79</v>
      </c>
      <c r="D721" s="105" t="s">
        <v>386</v>
      </c>
      <c r="E721" s="15">
        <v>176</v>
      </c>
      <c r="F721" s="15">
        <v>45000</v>
      </c>
      <c r="G721" s="21" t="s">
        <v>164</v>
      </c>
      <c r="H721" s="20">
        <v>0.78</v>
      </c>
      <c r="I721" s="68">
        <f>inputs!$C$66*(inputs!$C$62/1000)</f>
        <v>8.2000000000000011</v>
      </c>
      <c r="J721" s="68">
        <f>inputs!$C$66*(inputs!$C$61/1000)</f>
        <v>2.5</v>
      </c>
      <c r="K721" s="69">
        <f t="shared" ref="K721:K752" si="80">(((0.013*F721^0.773)/(1-H721)))*I721/F721</f>
        <v>4.2565259286282811E-2</v>
      </c>
      <c r="L721" s="69">
        <f t="shared" ref="L721:L752" si="81">(((0.013*F721^0.773)/(1-H721)))*J721/F721</f>
        <v>1.297721319703744E-2</v>
      </c>
      <c r="M721" s="69">
        <f>IF((((0.065*F721^0.726)/3.7-(0.301*F721^0.751)/(1-H721)*H721)*(MAX('Max rate concentrations'!$P$3:$P$368)))/F721&gt;0, (((0.065*F721^0.726)/3.7-(0.301*F721^0.751)/(1-H721)*H721)*(MAX('Max rate concentrations'!$P$3:$P$368)))/F721, 0)</f>
        <v>0</v>
      </c>
      <c r="N721" s="69">
        <f>IF((((0.065*F721^0.726)/3.7-(0.301*F721^0.751)/(1-H721)*H721)*(MAX('Max rate concentrations'!$Q$3:$Q$368)))/F721&gt;0, (((0.065*F721^0.726)/3.7-(0.301*F721^0.751)/(1-H721)*H721)*(MAX('Max rate concentrations'!$Q$3:$Q$368)))/F721, 0)</f>
        <v>0</v>
      </c>
      <c r="O721" s="69" t="s">
        <v>13</v>
      </c>
      <c r="P721" s="69" t="s">
        <v>13</v>
      </c>
      <c r="Q721" s="69">
        <f>(inputs!$C$18*11.2)*(25.05*F721^0.63)*0.5*1/F721</f>
        <v>7.9878220608793908</v>
      </c>
      <c r="R721" s="59">
        <f>(60*76.9*((F721/1000)^0.76)*3*24*(MAX('Max rate concentrations'!$R$3:$R$368))/F721)</f>
        <v>1.026683971191411E-3</v>
      </c>
      <c r="S721" s="59">
        <f>(IF(inputs!$C$17="aerial",((0.025*0.112*inputs!$C$18/3.3)*(3*60*76.9*((F721/1000)^0.76))*MAX(inputs!$I$14:$I$16))/F721,((0.0083*0.112*inputs!$C$18/1)*(3*60*76.9*((F721/1000)^0.76))*MAX(inputs!$I$14:$I$16))/F721))</f>
        <v>4.3351411525554438E-3</v>
      </c>
      <c r="T721" s="63">
        <f>IF((((inputs!$P$13/(V721/MAX(K721:S721)))^(1/inputs!$O$13))-1)/inputs!$N$13&lt;0, 0, IF((((inputs!$P$13/(V721/MAX(K721:S721)))^(1/inputs!$O$13))-1)/inputs!$N$13&lt;inputs!$I$17, (((inputs!$P$13/(V721/MAX(K721:S721)))^(1/inputs!$O$13))-1)/inputs!$N$13, inputs!$I$17))</f>
        <v>0</v>
      </c>
      <c r="U721" s="63">
        <f>IF((((inputs!$P$13/(X721/MAX(K721:S721)))^(1/inputs!$O$13))-1)/inputs!$N$13&lt;0, 0, IF((((inputs!$P$13/(X721/MAX(K721:S721)))^(1/inputs!$O$13))-1)/inputs!$N$13&lt;inputs!$I$17, (((inputs!$P$13/(X721/MAX(K721:S721)))^(1/inputs!$O$13))-1)/inputs!$N$13, inputs!$I$17))</f>
        <v>0</v>
      </c>
      <c r="V721" s="21">
        <f>inputs!$E$87*(F721/inputs!$F$87)^(1)</f>
        <v>8.5499999999999989</v>
      </c>
      <c r="W721" s="21">
        <f>inputs!$E$90*(F721/inputs!$F$90)^(1)</f>
        <v>9</v>
      </c>
      <c r="X721" s="21">
        <f>inputs!$E$89*(F721/inputs!$F$89)^(1)</f>
        <v>33.607594936708857</v>
      </c>
      <c r="Y721" s="21" t="s">
        <v>13</v>
      </c>
      <c r="Z721" s="63">
        <f t="shared" si="78"/>
        <v>0.93424819425489958</v>
      </c>
      <c r="AA721" s="63">
        <f t="shared" si="79"/>
        <v>0.88753578454215454</v>
      </c>
    </row>
    <row r="722" spans="1:27" x14ac:dyDescent="0.25">
      <c r="A722" s="103" t="s">
        <v>384</v>
      </c>
      <c r="B722" s="20" t="s">
        <v>385</v>
      </c>
      <c r="C722" s="21" t="s">
        <v>79</v>
      </c>
      <c r="D722" s="105" t="s">
        <v>386</v>
      </c>
      <c r="E722" s="15">
        <v>176</v>
      </c>
      <c r="F722" s="15">
        <v>45000</v>
      </c>
      <c r="G722" s="21" t="s">
        <v>138</v>
      </c>
      <c r="H722" s="20">
        <v>0.68</v>
      </c>
      <c r="I722" s="68">
        <f>MAX('Max rate concentrations'!$L$3:$L$368)</f>
        <v>350.52744091332482</v>
      </c>
      <c r="J722" s="68">
        <f>MAX('Max rate concentrations'!AD:AD)</f>
        <v>242.38599637623525</v>
      </c>
      <c r="K722" s="69">
        <f t="shared" si="80"/>
        <v>1.2509390663396442</v>
      </c>
      <c r="L722" s="69">
        <f t="shared" si="81"/>
        <v>0.86501105651145616</v>
      </c>
      <c r="M722" s="69">
        <f>IF((((0.065*F722^0.726)/3.7-(0.301*F722^0.751)/(1-H722)*H722)*(MAX('Max rate concentrations'!$P$3:$P$368)))/F722&gt;0, (((0.065*F722^0.726)/3.7-(0.301*F722^0.751)/(1-H722)*H722)*(MAX('Max rate concentrations'!$P$3:$P$368)))/F722, 0)</f>
        <v>0</v>
      </c>
      <c r="N722" s="69">
        <f>IF((((0.065*F722^0.726)/3.7-(0.301*F722^0.751)/(1-H722)*H722)*(MAX('Max rate concentrations'!$Q$3:$Q$368)))/F722&gt;0, (((0.065*F722^0.726)/3.7-(0.301*F722^0.751)/(1-H722)*H722)*(MAX('Max rate concentrations'!$Q$3:$Q$368)))/F722, 0)</f>
        <v>0</v>
      </c>
      <c r="O722" s="69" t="s">
        <v>13</v>
      </c>
      <c r="P722" s="69" t="s">
        <v>13</v>
      </c>
      <c r="Q722" s="69">
        <f>(inputs!$C$18*11.2)*(25.05*F722^0.63)*0.5*1/F722</f>
        <v>7.9878220608793908</v>
      </c>
      <c r="R722" s="59">
        <f>(60*76.9*((F722/1000)^0.76)*3*24*(MAX('Max rate concentrations'!$R$3:$R$368))/F722)</f>
        <v>1.026683971191411E-3</v>
      </c>
      <c r="S722" s="59">
        <f>(IF(inputs!$C$17="aerial",((0.025*0.112*inputs!$C$18/3.3)*(3*60*76.9*((F722/1000)^0.76))*MAX(inputs!$I$14:$I$16))/F722,((0.0083*0.112*inputs!$C$18/1)*(3*60*76.9*((F722/1000)^0.76))*MAX(inputs!$I$14:$I$16))/F722))</f>
        <v>4.3351411525554438E-3</v>
      </c>
      <c r="T722" s="63">
        <f>IF((((inputs!$P$13/(V722/MAX(K722:S722)))^(1/inputs!$O$13))-1)/inputs!$N$13&lt;0, 0, IF((((inputs!$P$13/(V722/MAX(K722:S722)))^(1/inputs!$O$13))-1)/inputs!$N$13&lt;inputs!$I$17, (((inputs!$P$13/(V722/MAX(K722:S722)))^(1/inputs!$O$13))-1)/inputs!$N$13, inputs!$I$17))</f>
        <v>0</v>
      </c>
      <c r="U722" s="63">
        <f>IF((((inputs!$P$13/(X722/MAX(K722:S722)))^(1/inputs!$O$13))-1)/inputs!$N$13&lt;0, 0, IF((((inputs!$P$13/(X722/MAX(K722:S722)))^(1/inputs!$O$13))-1)/inputs!$N$13&lt;inputs!$I$17, (((inputs!$P$13/(X722/MAX(K722:S722)))^(1/inputs!$O$13))-1)/inputs!$N$13, inputs!$I$17))</f>
        <v>0</v>
      </c>
      <c r="V722" s="21">
        <f>inputs!$E$87*(F722/inputs!$F$87)^(1)</f>
        <v>8.5499999999999989</v>
      </c>
      <c r="W722" s="21">
        <f>inputs!$E$90*(F722/inputs!$F$90)^(1)</f>
        <v>9</v>
      </c>
      <c r="X722" s="21">
        <f>inputs!$E$89*(F722/inputs!$F$89)^(1)</f>
        <v>33.607594936708857</v>
      </c>
      <c r="Y722" s="21" t="s">
        <v>13</v>
      </c>
      <c r="Z722" s="63">
        <f t="shared" si="78"/>
        <v>0.93424819425489958</v>
      </c>
      <c r="AA722" s="63">
        <f t="shared" si="79"/>
        <v>0.88753578454215454</v>
      </c>
    </row>
    <row r="723" spans="1:27" x14ac:dyDescent="0.25">
      <c r="A723" s="103" t="s">
        <v>384</v>
      </c>
      <c r="B723" s="20" t="s">
        <v>385</v>
      </c>
      <c r="C723" s="21" t="s">
        <v>79</v>
      </c>
      <c r="D723" s="105" t="s">
        <v>386</v>
      </c>
      <c r="E723" s="15">
        <v>176</v>
      </c>
      <c r="F723" s="15">
        <v>45000</v>
      </c>
      <c r="G723" s="21" t="s">
        <v>186</v>
      </c>
      <c r="H723" s="49">
        <v>0.75</v>
      </c>
      <c r="I723" s="68">
        <f>inputs!$C$66*inputs!$C$64/1000</f>
        <v>21.3</v>
      </c>
      <c r="J723" s="68">
        <f>inputs!$C$66*inputs!$C$63/1000</f>
        <v>8.8000000000000007</v>
      </c>
      <c r="K723" s="69">
        <f t="shared" si="80"/>
        <v>9.7297953666107911E-2</v>
      </c>
      <c r="L723" s="69">
        <f t="shared" si="81"/>
        <v>4.0198215599143175E-2</v>
      </c>
      <c r="M723" s="69">
        <f>IF((((0.065*F723^0.726)/3.7-(0.301*F723^0.751)/(1-H723)*H723)*(MAX('Max rate concentrations'!$P$3:$P$368)))/F723&gt;0, (((0.065*F723^0.726)/3.7-(0.301*F723^0.751)/(1-H723)*H723)*(MAX('Max rate concentrations'!$P$3:$P$368)))/F723, 0)</f>
        <v>0</v>
      </c>
      <c r="N723" s="69">
        <f>IF((((0.065*F723^0.726)/3.7-(0.301*F723^0.751)/(1-H723)*H723)*(MAX('Max rate concentrations'!$Q$3:$Q$368)))/F723&gt;0, (((0.065*F723^0.726)/3.7-(0.301*F723^0.751)/(1-H723)*H723)*(MAX('Max rate concentrations'!$Q$3:$Q$368)))/F723, 0)</f>
        <v>0</v>
      </c>
      <c r="O723" s="69" t="s">
        <v>13</v>
      </c>
      <c r="P723" s="69" t="s">
        <v>13</v>
      </c>
      <c r="Q723" s="69">
        <f>(inputs!$C$18*11.2)*(25.05*F723^0.63)*0.5*1/F723</f>
        <v>7.9878220608793908</v>
      </c>
      <c r="R723" s="59">
        <f>(60*76.9*((F723/1000)^0.76)*3*24*(MAX('Max rate concentrations'!$R$3:$R$368))/F723)</f>
        <v>1.026683971191411E-3</v>
      </c>
      <c r="S723" s="59">
        <f>(IF(inputs!$C$17="aerial",((0.025*0.112*inputs!$C$18/3.3)*(3*60*76.9*((F723/1000)^0.76))*MAX(inputs!$I$14:$I$16))/F723,((0.0083*0.112*inputs!$C$18/1)*(3*60*76.9*((F723/1000)^0.76))*MAX(inputs!$I$14:$I$16))/F723))</f>
        <v>4.3351411525554438E-3</v>
      </c>
      <c r="T723" s="63">
        <f>IF((((inputs!$P$13/(V723/MAX(K723:S723)))^(1/inputs!$O$13))-1)/inputs!$N$13&lt;0, 0, IF((((inputs!$P$13/(V723/MAX(K723:S723)))^(1/inputs!$O$13))-1)/inputs!$N$13&lt;inputs!$I$17, (((inputs!$P$13/(V723/MAX(K723:S723)))^(1/inputs!$O$13))-1)/inputs!$N$13, inputs!$I$17))</f>
        <v>0</v>
      </c>
      <c r="U723" s="63">
        <f>IF((((inputs!$P$13/(X723/MAX(K723:S723)))^(1/inputs!$O$13))-1)/inputs!$N$13&lt;0, 0, IF((((inputs!$P$13/(X723/MAX(K723:S723)))^(1/inputs!$O$13))-1)/inputs!$N$13&lt;inputs!$I$17, (((inputs!$P$13/(X723/MAX(K723:S723)))^(1/inputs!$O$13))-1)/inputs!$N$13, inputs!$I$17))</f>
        <v>0</v>
      </c>
      <c r="V723" s="21">
        <f>inputs!$E$87*(F723/inputs!$F$87)^(1)</f>
        <v>8.5499999999999989</v>
      </c>
      <c r="W723" s="21">
        <f>inputs!$E$90*(F723/inputs!$F$90)^(1)</f>
        <v>9</v>
      </c>
      <c r="X723" s="21">
        <f>inputs!$E$89*(F723/inputs!$F$89)^(1)</f>
        <v>33.607594936708857</v>
      </c>
      <c r="Y723" s="21" t="s">
        <v>13</v>
      </c>
      <c r="Z723" s="63">
        <f t="shared" si="78"/>
        <v>0.93424819425489958</v>
      </c>
      <c r="AA723" s="63">
        <f t="shared" si="79"/>
        <v>0.88753578454215454</v>
      </c>
    </row>
    <row r="724" spans="1:27" x14ac:dyDescent="0.25">
      <c r="A724" s="103" t="s">
        <v>384</v>
      </c>
      <c r="B724" s="20" t="s">
        <v>385</v>
      </c>
      <c r="C724" s="21" t="s">
        <v>79</v>
      </c>
      <c r="D724" s="105" t="s">
        <v>386</v>
      </c>
      <c r="E724" s="15">
        <v>176</v>
      </c>
      <c r="F724" s="15">
        <v>45000</v>
      </c>
      <c r="G724" s="21" t="s">
        <v>456</v>
      </c>
      <c r="H724" s="20">
        <v>0.68</v>
      </c>
      <c r="I724" s="68">
        <f>MAX('Max rate concentrations'!$J$3:$J$368)</f>
        <v>686.46486205830786</v>
      </c>
      <c r="J724" s="68">
        <f>MAX('Max rate concentrations'!AB:AB)</f>
        <v>243.122971978984</v>
      </c>
      <c r="K724" s="69">
        <f t="shared" si="80"/>
        <v>2.4498102384815286</v>
      </c>
      <c r="L724" s="69">
        <f t="shared" si="81"/>
        <v>0.86764112612887467</v>
      </c>
      <c r="M724" s="69">
        <f>IF((((0.065*F724^0.726)/3.7-(0.301*F724^0.751)/(1-H724)*H724)*(MAX('Max rate concentrations'!$P$3:$P$368)))/F724&gt;0, (((0.065*F724^0.726)/3.7-(0.301*F724^0.751)/(1-H724)*H724)*(MAX('Max rate concentrations'!$P$3:$P$368)))/F724, 0)</f>
        <v>0</v>
      </c>
      <c r="N724" s="69">
        <f>IF((((0.065*F724^0.726)/3.7-(0.301*F724^0.751)/(1-H724)*H724)*(MAX('Max rate concentrations'!$Q$3:$Q$368)))/F724&gt;0, (((0.065*F724^0.726)/3.7-(0.301*F724^0.751)/(1-H724)*H724)*(MAX('Max rate concentrations'!$Q$3:$Q$368)))/F724, 0)</f>
        <v>0</v>
      </c>
      <c r="O724" s="69" t="s">
        <v>13</v>
      </c>
      <c r="P724" s="69" t="s">
        <v>13</v>
      </c>
      <c r="Q724" s="69">
        <f>(inputs!$C$18*11.2)*(25.05*F724^0.63)*0.5*1/F724</f>
        <v>7.9878220608793908</v>
      </c>
      <c r="R724" s="59">
        <f>(60*76.9*((F724/1000)^0.76)*3*24*(MAX('Max rate concentrations'!$R$3:$R$368))/F724)</f>
        <v>1.026683971191411E-3</v>
      </c>
      <c r="S724" s="59">
        <f>(IF(inputs!$C$17="aerial",((0.025*0.112*inputs!$C$18/3.3)*(3*60*76.9*((F724/1000)^0.76))*MAX(inputs!$I$14:$I$16))/F724,((0.0083*0.112*inputs!$C$18/1)*(3*60*76.9*((F724/1000)^0.76))*MAX(inputs!$I$14:$I$16))/F724))</f>
        <v>4.3351411525554438E-3</v>
      </c>
      <c r="T724" s="63">
        <f>IF((((inputs!$P$13/(V724/MAX(K724:S724)))^(1/inputs!$O$13))-1)/inputs!$N$13&lt;0, 0, IF((((inputs!$P$13/(V724/MAX(K724:S724)))^(1/inputs!$O$13))-1)/inputs!$N$13&lt;inputs!$I$17, (((inputs!$P$13/(V724/MAX(K724:S724)))^(1/inputs!$O$13))-1)/inputs!$N$13, inputs!$I$17))</f>
        <v>0</v>
      </c>
      <c r="U724" s="63">
        <f>IF((((inputs!$P$13/(X724/MAX(K724:S724)))^(1/inputs!$O$13))-1)/inputs!$N$13&lt;0, 0, IF((((inputs!$P$13/(X724/MAX(K724:S724)))^(1/inputs!$O$13))-1)/inputs!$N$13&lt;inputs!$I$17, (((inputs!$P$13/(X724/MAX(K724:S724)))^(1/inputs!$O$13))-1)/inputs!$N$13, inputs!$I$17))</f>
        <v>0</v>
      </c>
      <c r="V724" s="21">
        <f>inputs!$E$87*(F724/inputs!$F$87)^(1)</f>
        <v>8.5499999999999989</v>
      </c>
      <c r="W724" s="21">
        <f>inputs!$E$90*(F724/inputs!$F$90)^(1)</f>
        <v>9</v>
      </c>
      <c r="X724" s="21">
        <f>inputs!$E$89*(F724/inputs!$F$89)^(1)</f>
        <v>33.607594936708857</v>
      </c>
      <c r="Y724" s="21" t="s">
        <v>13</v>
      </c>
      <c r="Z724" s="63">
        <f t="shared" si="78"/>
        <v>0.93424819425489958</v>
      </c>
      <c r="AA724" s="63">
        <f t="shared" si="79"/>
        <v>0.88753578454215454</v>
      </c>
    </row>
    <row r="725" spans="1:27" x14ac:dyDescent="0.25">
      <c r="A725" s="103" t="s">
        <v>384</v>
      </c>
      <c r="B725" s="20" t="s">
        <v>385</v>
      </c>
      <c r="C725" s="21" t="s">
        <v>79</v>
      </c>
      <c r="D725" s="105" t="s">
        <v>386</v>
      </c>
      <c r="E725" s="15">
        <v>176</v>
      </c>
      <c r="F725" s="15">
        <v>45000</v>
      </c>
      <c r="G725" s="21" t="s">
        <v>145</v>
      </c>
      <c r="H725" s="20">
        <v>0.66</v>
      </c>
      <c r="I725" s="68">
        <f>MAX('Max rate concentrations'!$M$3:$M$368)</f>
        <v>17.092910873809167</v>
      </c>
      <c r="J725" s="68">
        <f>MAX('Max rate concentrations'!AE:AE)</f>
        <v>11.81956602976166</v>
      </c>
      <c r="K725" s="69">
        <f t="shared" si="80"/>
        <v>5.7411807864498628E-2</v>
      </c>
      <c r="L725" s="69">
        <f t="shared" si="81"/>
        <v>3.9699654374387362E-2</v>
      </c>
      <c r="M725" s="69">
        <f>IF((((0.065*F725^0.726)/3.7-(0.301*F725^0.751)/(1-H725)*H725)*(MAX('Max rate concentrations'!$P$3:$P$368)))/F725&gt;0, (((0.065*F725^0.726)/3.7-(0.301*F725^0.751)/(1-H725)*H725)*(MAX('Max rate concentrations'!$P$3:$P$368)))/F725, 0)</f>
        <v>0</v>
      </c>
      <c r="N725" s="69">
        <f>IF((((0.065*F725^0.726)/3.7-(0.301*F725^0.751)/(1-H725)*H725)*(MAX('Max rate concentrations'!$Q$3:$Q$368)))/F725&gt;0, (((0.065*F725^0.726)/3.7-(0.301*F725^0.751)/(1-H725)*H725)*(MAX('Max rate concentrations'!$Q$3:$Q$368)))/F725, 0)</f>
        <v>0</v>
      </c>
      <c r="O725" s="69" t="s">
        <v>13</v>
      </c>
      <c r="P725" s="69" t="s">
        <v>13</v>
      </c>
      <c r="Q725" s="69">
        <f>(inputs!$C$18*11.2)*(25.05*F725^0.63)*0.5*1/F725</f>
        <v>7.9878220608793908</v>
      </c>
      <c r="R725" s="59">
        <f>(60*76.9*((F725/1000)^0.76)*3*24*(MAX('Max rate concentrations'!$R$3:$R$368))/F725)</f>
        <v>1.026683971191411E-3</v>
      </c>
      <c r="S725" s="59">
        <f>(IF(inputs!$C$17="aerial",((0.025*0.112*inputs!$C$18/3.3)*(3*60*76.9*((F725/1000)^0.76))*MAX(inputs!$I$14:$I$16))/F725,((0.0083*0.112*inputs!$C$18/1)*(3*60*76.9*((F725/1000)^0.76))*MAX(inputs!$I$14:$I$16))/F725))</f>
        <v>4.3351411525554438E-3</v>
      </c>
      <c r="T725" s="63">
        <f>IF((((inputs!$P$13/(V725/MAX(K725:S725)))^(1/inputs!$O$13))-1)/inputs!$N$13&lt;0, 0, IF((((inputs!$P$13/(V725/MAX(K725:S725)))^(1/inputs!$O$13))-1)/inputs!$N$13&lt;inputs!$I$17, (((inputs!$P$13/(V725/MAX(K725:S725)))^(1/inputs!$O$13))-1)/inputs!$N$13, inputs!$I$17))</f>
        <v>0</v>
      </c>
      <c r="U725" s="63">
        <f>IF((((inputs!$P$13/(X725/MAX(K725:S725)))^(1/inputs!$O$13))-1)/inputs!$N$13&lt;0, 0, IF((((inputs!$P$13/(X725/MAX(K725:S725)))^(1/inputs!$O$13))-1)/inputs!$N$13&lt;inputs!$I$17, (((inputs!$P$13/(X725/MAX(K725:S725)))^(1/inputs!$O$13))-1)/inputs!$N$13, inputs!$I$17))</f>
        <v>0</v>
      </c>
      <c r="V725" s="21">
        <f>inputs!$E$87*(F725/inputs!$F$87)^(1)</f>
        <v>8.5499999999999989</v>
      </c>
      <c r="W725" s="21">
        <f>inputs!$E$90*(F725/inputs!$F$90)^(1)</f>
        <v>9</v>
      </c>
      <c r="X725" s="21">
        <f>inputs!$E$89*(F725/inputs!$F$89)^(1)</f>
        <v>33.607594936708857</v>
      </c>
      <c r="Y725" s="21" t="s">
        <v>13</v>
      </c>
      <c r="Z725" s="63">
        <f t="shared" si="78"/>
        <v>0.93424819425489958</v>
      </c>
      <c r="AA725" s="63">
        <f t="shared" si="79"/>
        <v>0.88753578454215454</v>
      </c>
    </row>
    <row r="726" spans="1:27" x14ac:dyDescent="0.25">
      <c r="A726" s="103" t="s">
        <v>414</v>
      </c>
      <c r="B726" s="20" t="s">
        <v>415</v>
      </c>
      <c r="C726" s="21" t="s">
        <v>79</v>
      </c>
      <c r="D726" s="105" t="s">
        <v>378</v>
      </c>
      <c r="E726" s="15">
        <v>183</v>
      </c>
      <c r="F726" s="15">
        <v>60</v>
      </c>
      <c r="G726" s="21" t="s">
        <v>182</v>
      </c>
      <c r="H726" s="20">
        <v>0.85</v>
      </c>
      <c r="I726" s="68">
        <f>MAX('Max rate concentrations'!$M$3:$M$368)</f>
        <v>17.092910873809167</v>
      </c>
      <c r="J726" s="68">
        <f>MAX('Max rate concentrations'!AE:AE)</f>
        <v>11.81956602976166</v>
      </c>
      <c r="K726" s="69">
        <f t="shared" si="80"/>
        <v>0.58482750206875755</v>
      </c>
      <c r="L726" s="69">
        <f t="shared" si="81"/>
        <v>0.40440199611137501</v>
      </c>
      <c r="M726" s="69">
        <f>IF((((0.065*F726^0.726)/3.7-(0.301*F726^0.751)/(1-H726)*H726)*(MAX('Max rate concentrations'!$P$3:$P$368)))/F726&gt;0, (((0.065*F726^0.726)/3.7-(0.301*F726^0.751)/(1-H726)*H726)*(MAX('Max rate concentrations'!$P$3:$P$368)))/F726, 0)</f>
        <v>0</v>
      </c>
      <c r="N726" s="69">
        <f>IF((((0.065*F726^0.726)/3.7-(0.301*F726^0.751)/(1-H726)*H726)*(MAX('Max rate concentrations'!$Q$3:$Q$368)))/F726&gt;0, (((0.065*F726^0.726)/3.7-(0.301*F726^0.751)/(1-H726)*H726)*(MAX('Max rate concentrations'!$Q$3:$Q$368)))/F726, 0)</f>
        <v>0</v>
      </c>
      <c r="O726" s="69" t="s">
        <v>13</v>
      </c>
      <c r="P726" s="69" t="s">
        <v>13</v>
      </c>
      <c r="Q726" s="69">
        <f>(inputs!$C$18*11.2)*(25.05*F726^0.63)*0.5*1/F726</f>
        <v>92.512634642265439</v>
      </c>
      <c r="R726" s="59">
        <f>(60*76.9*((F726/1000)^0.76)*3*24*(MAX('Max rate concentrations'!$R$3:$R$368))/F726)</f>
        <v>5.0286508768584183E-3</v>
      </c>
      <c r="S726" s="59">
        <f>(IF(inputs!$C$17="aerial",((0.025*0.112*inputs!$C$18/3.3)*(3*60*76.9*((F726/1000)^0.76))*MAX(inputs!$I$14:$I$16))/F726,((0.0083*0.112*inputs!$C$18/1)*(3*60*76.9*((F726/1000)^0.76))*MAX(inputs!$I$14:$I$16))/F726))</f>
        <v>2.1233322005412572E-2</v>
      </c>
      <c r="T726" s="63">
        <f>IF((((inputs!$P$13/(V726/MAX(K726:S726)))^(1/inputs!$O$13))-1)/inputs!$N$13&lt;0, 0, IF((((inputs!$P$13/(V726/MAX(K726:S726)))^(1/inputs!$O$13))-1)/inputs!$N$13&lt;inputs!$I$17, (((inputs!$P$13/(V726/MAX(K726:S726)))^(1/inputs!$O$13))-1)/inputs!$N$13, inputs!$I$17))</f>
        <v>1000</v>
      </c>
      <c r="U726" s="63">
        <f>IF((((inputs!$P$13/(X726/MAX(K726:S726)))^(1/inputs!$O$13))-1)/inputs!$N$13&lt;0, 0, IF((((inputs!$P$13/(X726/MAX(K726:S726)))^(1/inputs!$O$13))-1)/inputs!$N$13&lt;inputs!$I$17, (((inputs!$P$13/(X726/MAX(K726:S726)))^(1/inputs!$O$13))-1)/inputs!$N$13, inputs!$I$17))</f>
        <v>1000</v>
      </c>
      <c r="V726" s="21">
        <f>inputs!$E$87*(F726/inputs!$F$87)^(1)</f>
        <v>1.1399999999999999E-2</v>
      </c>
      <c r="W726" s="21">
        <f>inputs!$E$90*(F726/inputs!$F$90)^(1)</f>
        <v>1.2E-2</v>
      </c>
      <c r="X726" s="21">
        <f>inputs!$E$89*(F726/inputs!$F$89)^(1)</f>
        <v>4.4810126582278481E-2</v>
      </c>
      <c r="Y726" s="21" t="s">
        <v>13</v>
      </c>
      <c r="Z726" s="63">
        <f t="shared" si="78"/>
        <v>8115.1433896724075</v>
      </c>
      <c r="AA726" s="63">
        <f t="shared" si="79"/>
        <v>7709.3862201887869</v>
      </c>
    </row>
    <row r="727" spans="1:27" x14ac:dyDescent="0.25">
      <c r="A727" s="103" t="s">
        <v>414</v>
      </c>
      <c r="B727" s="20" t="s">
        <v>415</v>
      </c>
      <c r="C727" s="21" t="s">
        <v>79</v>
      </c>
      <c r="D727" s="105" t="s">
        <v>378</v>
      </c>
      <c r="E727" s="15">
        <v>183</v>
      </c>
      <c r="F727" s="15">
        <v>60</v>
      </c>
      <c r="G727" s="21" t="s">
        <v>142</v>
      </c>
      <c r="H727" s="21">
        <v>0.69</v>
      </c>
      <c r="I727" s="68">
        <f>MAX('Max rate concentrations'!$H$3:$H$368)</f>
        <v>282</v>
      </c>
      <c r="J727" s="68">
        <f>MAX('Max rate concentrations'!AA:AA)</f>
        <v>195</v>
      </c>
      <c r="K727" s="69">
        <f t="shared" si="80"/>
        <v>4.6686404976066536</v>
      </c>
      <c r="L727" s="69">
        <f t="shared" si="81"/>
        <v>3.2283152377067283</v>
      </c>
      <c r="M727" s="69">
        <f>IF((((0.065*F727^0.726)/3.7-(0.301*F727^0.751)/(1-H727)*H727)*(MAX('Max rate concentrations'!$P$3:$P$368)))/F727&gt;0, (((0.065*F727^0.726)/3.7-(0.301*F727^0.751)/(1-H727)*H727)*(MAX('Max rate concentrations'!$P$3:$P$368)))/F727, 0)</f>
        <v>0</v>
      </c>
      <c r="N727" s="69">
        <f>IF((((0.065*F727^0.726)/3.7-(0.301*F727^0.751)/(1-H727)*H727)*(MAX('Max rate concentrations'!$Q$3:$Q$368)))/F727&gt;0, (((0.065*F727^0.726)/3.7-(0.301*F727^0.751)/(1-H727)*H727)*(MAX('Max rate concentrations'!$Q$3:$Q$368)))/F727, 0)</f>
        <v>0</v>
      </c>
      <c r="O727" s="69" t="s">
        <v>13</v>
      </c>
      <c r="P727" s="69" t="s">
        <v>13</v>
      </c>
      <c r="Q727" s="69">
        <f>(inputs!$C$18*11.2)*(25.05*F727^0.63)*0.5*1/F727</f>
        <v>92.512634642265439</v>
      </c>
      <c r="R727" s="59">
        <f>(60*76.9*((F727/1000)^0.76)*3*24*(MAX('Max rate concentrations'!$R$3:$R$368))/F727)</f>
        <v>5.0286508768584183E-3</v>
      </c>
      <c r="S727" s="59">
        <f>(IF(inputs!$C$17="aerial",((0.025*0.112*inputs!$C$18/3.3)*(3*60*76.9*((F727/1000)^0.76))*MAX(inputs!$I$14:$I$16))/F727,((0.0083*0.112*inputs!$C$18/1)*(3*60*76.9*((F727/1000)^0.76))*MAX(inputs!$I$14:$I$16))/F727))</f>
        <v>2.1233322005412572E-2</v>
      </c>
      <c r="T727" s="63">
        <f>IF((((inputs!$P$13/(V727/MAX(K727:S727)))^(1/inputs!$O$13))-1)/inputs!$N$13&lt;0, 0, IF((((inputs!$P$13/(V727/MAX(K727:S727)))^(1/inputs!$O$13))-1)/inputs!$N$13&lt;inputs!$I$17, (((inputs!$P$13/(V727/MAX(K727:S727)))^(1/inputs!$O$13))-1)/inputs!$N$13, inputs!$I$17))</f>
        <v>1000</v>
      </c>
      <c r="U727" s="63">
        <f>IF((((inputs!$P$13/(X727/MAX(K727:S727)))^(1/inputs!$O$13))-1)/inputs!$N$13&lt;0, 0, IF((((inputs!$P$13/(X727/MAX(K727:S727)))^(1/inputs!$O$13))-1)/inputs!$N$13&lt;inputs!$I$17, (((inputs!$P$13/(X727/MAX(K727:S727)))^(1/inputs!$O$13))-1)/inputs!$N$13, inputs!$I$17))</f>
        <v>1000</v>
      </c>
      <c r="V727" s="21">
        <f>inputs!$E$87*(F727/inputs!$F$87)^(1)</f>
        <v>1.1399999999999999E-2</v>
      </c>
      <c r="W727" s="21">
        <f>inputs!$E$90*(F727/inputs!$F$90)^(1)</f>
        <v>1.2E-2</v>
      </c>
      <c r="X727" s="21">
        <f>inputs!$E$89*(F727/inputs!$F$89)^(1)</f>
        <v>4.4810126582278481E-2</v>
      </c>
      <c r="Y727" s="21" t="s">
        <v>13</v>
      </c>
      <c r="Z727" s="63">
        <f t="shared" si="78"/>
        <v>8115.1433896724075</v>
      </c>
      <c r="AA727" s="63">
        <f t="shared" si="79"/>
        <v>7709.3862201887869</v>
      </c>
    </row>
    <row r="728" spans="1:27" x14ac:dyDescent="0.25">
      <c r="A728" s="103" t="s">
        <v>414</v>
      </c>
      <c r="B728" s="20" t="s">
        <v>415</v>
      </c>
      <c r="C728" s="21" t="s">
        <v>79</v>
      </c>
      <c r="D728" s="105" t="s">
        <v>378</v>
      </c>
      <c r="E728" s="15">
        <v>183</v>
      </c>
      <c r="F728" s="15">
        <v>60</v>
      </c>
      <c r="G728" s="21" t="s">
        <v>138</v>
      </c>
      <c r="H728" s="20">
        <v>0.68</v>
      </c>
      <c r="I728" s="68">
        <f>MAX('Max rate concentrations'!$L$3:$L$368)</f>
        <v>350.52744091332482</v>
      </c>
      <c r="J728" s="68">
        <f>MAX('Max rate concentrations'!AD:AD)</f>
        <v>242.38599637623525</v>
      </c>
      <c r="K728" s="69">
        <f t="shared" si="80"/>
        <v>5.621795743714709</v>
      </c>
      <c r="L728" s="69">
        <f t="shared" si="81"/>
        <v>3.8874119504410221</v>
      </c>
      <c r="M728" s="69">
        <f>IF((((0.065*F728^0.726)/3.7-(0.301*F728^0.751)/(1-H728)*H728)*(MAX('Max rate concentrations'!$P$3:$P$368)))/F728&gt;0, (((0.065*F728^0.726)/3.7-(0.301*F728^0.751)/(1-H728)*H728)*(MAX('Max rate concentrations'!$P$3:$P$368)))/F728, 0)</f>
        <v>0</v>
      </c>
      <c r="N728" s="69">
        <f>IF((((0.065*F728^0.726)/3.7-(0.301*F728^0.751)/(1-H728)*H728)*(MAX('Max rate concentrations'!$Q$3:$Q$368)))/F728&gt;0, (((0.065*F728^0.726)/3.7-(0.301*F728^0.751)/(1-H728)*H728)*(MAX('Max rate concentrations'!$Q$3:$Q$368)))/F728, 0)</f>
        <v>0</v>
      </c>
      <c r="O728" s="69" t="s">
        <v>13</v>
      </c>
      <c r="P728" s="69" t="s">
        <v>13</v>
      </c>
      <c r="Q728" s="69">
        <f>(inputs!$C$18*11.2)*(25.05*F728^0.63)*0.5*1/F728</f>
        <v>92.512634642265439</v>
      </c>
      <c r="R728" s="59">
        <f>(60*76.9*((F728/1000)^0.76)*3*24*(MAX('Max rate concentrations'!$R$3:$R$368))/F728)</f>
        <v>5.0286508768584183E-3</v>
      </c>
      <c r="S728" s="59">
        <f>(IF(inputs!$C$17="aerial",((0.025*0.112*inputs!$C$18/3.3)*(3*60*76.9*((F728/1000)^0.76))*MAX(inputs!$I$14:$I$16))/F728,((0.0083*0.112*inputs!$C$18/1)*(3*60*76.9*((F728/1000)^0.76))*MAX(inputs!$I$14:$I$16))/F728))</f>
        <v>2.1233322005412572E-2</v>
      </c>
      <c r="T728" s="63">
        <f>IF((((inputs!$P$13/(V728/MAX(K728:S728)))^(1/inputs!$O$13))-1)/inputs!$N$13&lt;0, 0, IF((((inputs!$P$13/(V728/MAX(K728:S728)))^(1/inputs!$O$13))-1)/inputs!$N$13&lt;inputs!$I$17, (((inputs!$P$13/(V728/MAX(K728:S728)))^(1/inputs!$O$13))-1)/inputs!$N$13, inputs!$I$17))</f>
        <v>1000</v>
      </c>
      <c r="U728" s="63">
        <f>IF((((inputs!$P$13/(X728/MAX(K728:S728)))^(1/inputs!$O$13))-1)/inputs!$N$13&lt;0, 0, IF((((inputs!$P$13/(X728/MAX(K728:S728)))^(1/inputs!$O$13))-1)/inputs!$N$13&lt;inputs!$I$17, (((inputs!$P$13/(X728/MAX(K728:S728)))^(1/inputs!$O$13))-1)/inputs!$N$13, inputs!$I$17))</f>
        <v>1000</v>
      </c>
      <c r="V728" s="21">
        <f>inputs!$E$87*(F728/inputs!$F$87)^(1)</f>
        <v>1.1399999999999999E-2</v>
      </c>
      <c r="W728" s="21">
        <f>inputs!$E$90*(F728/inputs!$F$90)^(1)</f>
        <v>1.2E-2</v>
      </c>
      <c r="X728" s="21">
        <f>inputs!$E$89*(F728/inputs!$F$89)^(1)</f>
        <v>4.4810126582278481E-2</v>
      </c>
      <c r="Y728" s="21" t="s">
        <v>13</v>
      </c>
      <c r="Z728" s="63">
        <f t="shared" si="78"/>
        <v>8115.1433896724075</v>
      </c>
      <c r="AA728" s="63">
        <f t="shared" si="79"/>
        <v>7709.3862201887869</v>
      </c>
    </row>
    <row r="729" spans="1:27" x14ac:dyDescent="0.25">
      <c r="A729" s="103" t="s">
        <v>414</v>
      </c>
      <c r="B729" s="20" t="s">
        <v>415</v>
      </c>
      <c r="C729" s="21" t="s">
        <v>79</v>
      </c>
      <c r="D729" s="105" t="s">
        <v>378</v>
      </c>
      <c r="E729" s="15">
        <v>183</v>
      </c>
      <c r="F729" s="15">
        <v>60</v>
      </c>
      <c r="G729" s="21" t="s">
        <v>456</v>
      </c>
      <c r="H729" s="20">
        <v>0.68</v>
      </c>
      <c r="I729" s="68">
        <f>MAX('Max rate concentrations'!$J$3:$J$368)</f>
        <v>686.46486205830786</v>
      </c>
      <c r="J729" s="68">
        <f>MAX('Max rate concentrations'!AB:AB)</f>
        <v>243.122971978984</v>
      </c>
      <c r="K729" s="69">
        <f t="shared" si="80"/>
        <v>11.009595225052177</v>
      </c>
      <c r="L729" s="69">
        <f t="shared" si="81"/>
        <v>3.8992316422059785</v>
      </c>
      <c r="M729" s="69">
        <f>IF((((0.065*F729^0.726)/3.7-(0.301*F729^0.751)/(1-H729)*H729)*(MAX('Max rate concentrations'!$P$3:$P$368)))/F729&gt;0, (((0.065*F729^0.726)/3.7-(0.301*F729^0.751)/(1-H729)*H729)*(MAX('Max rate concentrations'!$P$3:$P$368)))/F729, 0)</f>
        <v>0</v>
      </c>
      <c r="N729" s="69">
        <f>IF((((0.065*F729^0.726)/3.7-(0.301*F729^0.751)/(1-H729)*H729)*(MAX('Max rate concentrations'!$Q$3:$Q$368)))/F729&gt;0, (((0.065*F729^0.726)/3.7-(0.301*F729^0.751)/(1-H729)*H729)*(MAX('Max rate concentrations'!$Q$3:$Q$368)))/F729, 0)</f>
        <v>0</v>
      </c>
      <c r="O729" s="69" t="s">
        <v>13</v>
      </c>
      <c r="P729" s="69" t="s">
        <v>13</v>
      </c>
      <c r="Q729" s="69">
        <f>(inputs!$C$18*11.2)*(25.05*F729^0.63)*0.5*1/F729</f>
        <v>92.512634642265439</v>
      </c>
      <c r="R729" s="59">
        <f>(60*76.9*((F729/1000)^0.76)*3*24*(MAX('Max rate concentrations'!$R$3:$R$368))/F729)</f>
        <v>5.0286508768584183E-3</v>
      </c>
      <c r="S729" s="59">
        <f>(IF(inputs!$C$17="aerial",((0.025*0.112*inputs!$C$18/3.3)*(3*60*76.9*((F729/1000)^0.76))*MAX(inputs!$I$14:$I$16))/F729,((0.0083*0.112*inputs!$C$18/1)*(3*60*76.9*((F729/1000)^0.76))*MAX(inputs!$I$14:$I$16))/F729))</f>
        <v>2.1233322005412572E-2</v>
      </c>
      <c r="T729" s="63">
        <f>IF((((inputs!$P$13/(V729/MAX(K729:S729)))^(1/inputs!$O$13))-1)/inputs!$N$13&lt;0, 0, IF((((inputs!$P$13/(V729/MAX(K729:S729)))^(1/inputs!$O$13))-1)/inputs!$N$13&lt;inputs!$I$17, (((inputs!$P$13/(V729/MAX(K729:S729)))^(1/inputs!$O$13))-1)/inputs!$N$13, inputs!$I$17))</f>
        <v>1000</v>
      </c>
      <c r="U729" s="63">
        <f>IF((((inputs!$P$13/(X729/MAX(K729:S729)))^(1/inputs!$O$13))-1)/inputs!$N$13&lt;0, 0, IF((((inputs!$P$13/(X729/MAX(K729:S729)))^(1/inputs!$O$13))-1)/inputs!$N$13&lt;inputs!$I$17, (((inputs!$P$13/(X729/MAX(K729:S729)))^(1/inputs!$O$13))-1)/inputs!$N$13, inputs!$I$17))</f>
        <v>1000</v>
      </c>
      <c r="V729" s="21">
        <f>inputs!$E$87*(F729/inputs!$F$87)^(1)</f>
        <v>1.1399999999999999E-2</v>
      </c>
      <c r="W729" s="21">
        <f>inputs!$E$90*(F729/inputs!$F$90)^(1)</f>
        <v>1.2E-2</v>
      </c>
      <c r="X729" s="21">
        <f>inputs!$E$89*(F729/inputs!$F$89)^(1)</f>
        <v>4.4810126582278481E-2</v>
      </c>
      <c r="Y729" s="21" t="s">
        <v>13</v>
      </c>
      <c r="Z729" s="63">
        <f t="shared" si="78"/>
        <v>8115.1433896724075</v>
      </c>
      <c r="AA729" s="63">
        <f t="shared" si="79"/>
        <v>7709.3862201887869</v>
      </c>
    </row>
    <row r="730" spans="1:27" x14ac:dyDescent="0.25">
      <c r="A730" s="103" t="s">
        <v>414</v>
      </c>
      <c r="B730" s="20" t="s">
        <v>415</v>
      </c>
      <c r="C730" s="21" t="s">
        <v>79</v>
      </c>
      <c r="D730" s="105" t="s">
        <v>378</v>
      </c>
      <c r="E730" s="15">
        <v>183</v>
      </c>
      <c r="F730" s="15">
        <v>60</v>
      </c>
      <c r="G730" s="21" t="s">
        <v>145</v>
      </c>
      <c r="H730" s="20">
        <v>0.66</v>
      </c>
      <c r="I730" s="68">
        <f>MAX('Max rate concentrations'!$M$3:$M$368)</f>
        <v>17.092910873809167</v>
      </c>
      <c r="J730" s="68">
        <f>MAX('Max rate concentrations'!AE:AE)</f>
        <v>11.81956602976166</v>
      </c>
      <c r="K730" s="69">
        <f t="shared" si="80"/>
        <v>0.25801213326562844</v>
      </c>
      <c r="L730" s="69">
        <f t="shared" si="81"/>
        <v>0.17841264534325374</v>
      </c>
      <c r="M730" s="69">
        <f>IF((((0.065*F730^0.726)/3.7-(0.301*F730^0.751)/(1-H730)*H730)*(MAX('Max rate concentrations'!$P$3:$P$368)))/F730&gt;0, (((0.065*F730^0.726)/3.7-(0.301*F730^0.751)/(1-H730)*H730)*(MAX('Max rate concentrations'!$P$3:$P$368)))/F730, 0)</f>
        <v>0</v>
      </c>
      <c r="N730" s="69">
        <f>IF((((0.065*F730^0.726)/3.7-(0.301*F730^0.751)/(1-H730)*H730)*(MAX('Max rate concentrations'!$Q$3:$Q$368)))/F730&gt;0, (((0.065*F730^0.726)/3.7-(0.301*F730^0.751)/(1-H730)*H730)*(MAX('Max rate concentrations'!$Q$3:$Q$368)))/F730, 0)</f>
        <v>0</v>
      </c>
      <c r="O730" s="69" t="s">
        <v>13</v>
      </c>
      <c r="P730" s="69" t="s">
        <v>13</v>
      </c>
      <c r="Q730" s="69">
        <f>(inputs!$C$18*11.2)*(25.05*F730^0.63)*0.5*1/F730</f>
        <v>92.512634642265439</v>
      </c>
      <c r="R730" s="59">
        <f>(60*76.9*((F730/1000)^0.76)*3*24*(MAX('Max rate concentrations'!$R$3:$R$368))/F730)</f>
        <v>5.0286508768584183E-3</v>
      </c>
      <c r="S730" s="59">
        <f>(IF(inputs!$C$17="aerial",((0.025*0.112*inputs!$C$18/3.3)*(3*60*76.9*((F730/1000)^0.76))*MAX(inputs!$I$14:$I$16))/F730,((0.0083*0.112*inputs!$C$18/1)*(3*60*76.9*((F730/1000)^0.76))*MAX(inputs!$I$14:$I$16))/F730))</f>
        <v>2.1233322005412572E-2</v>
      </c>
      <c r="T730" s="63">
        <f>IF((((inputs!$P$13/(V730/MAX(K730:S730)))^(1/inputs!$O$13))-1)/inputs!$N$13&lt;0, 0, IF((((inputs!$P$13/(V730/MAX(K730:S730)))^(1/inputs!$O$13))-1)/inputs!$N$13&lt;inputs!$I$17, (((inputs!$P$13/(V730/MAX(K730:S730)))^(1/inputs!$O$13))-1)/inputs!$N$13, inputs!$I$17))</f>
        <v>1000</v>
      </c>
      <c r="U730" s="63">
        <f>IF((((inputs!$P$13/(X730/MAX(K730:S730)))^(1/inputs!$O$13))-1)/inputs!$N$13&lt;0, 0, IF((((inputs!$P$13/(X730/MAX(K730:S730)))^(1/inputs!$O$13))-1)/inputs!$N$13&lt;inputs!$I$17, (((inputs!$P$13/(X730/MAX(K730:S730)))^(1/inputs!$O$13))-1)/inputs!$N$13, inputs!$I$17))</f>
        <v>1000</v>
      </c>
      <c r="V730" s="21">
        <f>inputs!$E$87*(F730/inputs!$F$87)^(1)</f>
        <v>1.1399999999999999E-2</v>
      </c>
      <c r="W730" s="21">
        <f>inputs!$E$90*(F730/inputs!$F$90)^(1)</f>
        <v>1.2E-2</v>
      </c>
      <c r="X730" s="21">
        <f>inputs!$E$89*(F730/inputs!$F$89)^(1)</f>
        <v>4.4810126582278481E-2</v>
      </c>
      <c r="Y730" s="21" t="s">
        <v>13</v>
      </c>
      <c r="Z730" s="63">
        <f t="shared" si="78"/>
        <v>8115.1433896724075</v>
      </c>
      <c r="AA730" s="63">
        <f t="shared" si="79"/>
        <v>7709.3862201887869</v>
      </c>
    </row>
    <row r="731" spans="1:27" ht="26.4" x14ac:dyDescent="0.25">
      <c r="A731" s="103" t="s">
        <v>418</v>
      </c>
      <c r="B731" s="20" t="s">
        <v>419</v>
      </c>
      <c r="C731" s="21" t="s">
        <v>79</v>
      </c>
      <c r="D731" s="105" t="s">
        <v>378</v>
      </c>
      <c r="E731" s="15">
        <v>167</v>
      </c>
      <c r="F731" s="15">
        <v>70</v>
      </c>
      <c r="G731" s="21" t="s">
        <v>634</v>
      </c>
      <c r="H731" s="21">
        <v>0.75</v>
      </c>
      <c r="I731" s="68">
        <f>inputs!$C$66*inputs!$C$64/1000</f>
        <v>21.3</v>
      </c>
      <c r="J731" s="68">
        <f>inputs!$C$66*inputs!$C$63/1000</f>
        <v>8.8000000000000007</v>
      </c>
      <c r="K731" s="69">
        <f t="shared" si="80"/>
        <v>0.42222669905692389</v>
      </c>
      <c r="L731" s="69">
        <f t="shared" si="81"/>
        <v>0.17444107754464461</v>
      </c>
      <c r="M731" s="69">
        <f>IF((((0.065*F731^0.726)/3.7-(0.301*F731^0.751)/(1-H731)*H731)*(MAX('Max rate concentrations'!$P$3:$P$368)))/F731&gt;0, (((0.065*F731^0.726)/3.7-(0.301*F731^0.751)/(1-H731)*H731)*(MAX('Max rate concentrations'!$P$3:$P$368)))/F731, 0)</f>
        <v>0</v>
      </c>
      <c r="N731" s="69">
        <f>IF((((0.065*F731^0.726)/3.7-(0.301*F731^0.751)/(1-H731)*H731)*(MAX('Max rate concentrations'!$Q$3:$Q$368)))/F731&gt;0, (((0.065*F731^0.726)/3.7-(0.301*F731^0.751)/(1-H731)*H731)*(MAX('Max rate concentrations'!$Q$3:$Q$368)))/F731, 0)</f>
        <v>0</v>
      </c>
      <c r="O731" s="69" t="s">
        <v>13</v>
      </c>
      <c r="P731" s="69" t="s">
        <v>13</v>
      </c>
      <c r="Q731" s="69">
        <f>(inputs!$C$18*11.2)*(25.05*F731^0.63)*0.5*1/F731</f>
        <v>87.3837618649939</v>
      </c>
      <c r="R731" s="59">
        <f>(60*76.9*((F731/1000)^0.76)*3*24*(MAX('Max rate concentrations'!$R$3:$R$368))/F731)</f>
        <v>4.8460094363647925E-3</v>
      </c>
      <c r="S731" s="59">
        <f>(IF(inputs!$C$17="aerial",((0.025*0.112*inputs!$C$18/3.3)*(3*60*76.9*((F731/1000)^0.76))*MAX(inputs!$I$14:$I$16))/F731,((0.0083*0.112*inputs!$C$18/1)*(3*60*76.9*((F731/1000)^0.76))*MAX(inputs!$I$14:$I$16))/F731))</f>
        <v>2.0462124200573837E-2</v>
      </c>
      <c r="T731" s="63">
        <f>IF((((inputs!$P$13/(V731/MAX(K731:S731)))^(1/inputs!$O$13))-1)/inputs!$N$13&lt;0, 0, IF((((inputs!$P$13/(V731/MAX(K731:S731)))^(1/inputs!$O$13))-1)/inputs!$N$13&lt;inputs!$I$17, (((inputs!$P$13/(V731/MAX(K731:S731)))^(1/inputs!$O$13))-1)/inputs!$N$13, inputs!$I$17))</f>
        <v>1000</v>
      </c>
      <c r="U731" s="63">
        <f>IF((((inputs!$P$13/(X731/MAX(K731:S731)))^(1/inputs!$O$13))-1)/inputs!$N$13&lt;0, 0, IF((((inputs!$P$13/(X731/MAX(K731:S731)))^(1/inputs!$O$13))-1)/inputs!$N$13&lt;inputs!$I$17, (((inputs!$P$13/(X731/MAX(K731:S731)))^(1/inputs!$O$13))-1)/inputs!$N$13, inputs!$I$17))</f>
        <v>1000</v>
      </c>
      <c r="V731" s="21">
        <f>inputs!$E$87*(F731/inputs!$F$87)^(1)</f>
        <v>1.3299999999999999E-2</v>
      </c>
      <c r="W731" s="21">
        <f>inputs!$E$90*(F731/inputs!$F$90)^(1)</f>
        <v>1.4E-2</v>
      </c>
      <c r="X731" s="21">
        <f>inputs!$E$89*(F731/inputs!$F$89)^(1)</f>
        <v>5.2278481012658223E-2</v>
      </c>
      <c r="Y731" s="21" t="s">
        <v>13</v>
      </c>
      <c r="Z731" s="63">
        <f t="shared" si="78"/>
        <v>6570.2076590220977</v>
      </c>
      <c r="AA731" s="63">
        <f t="shared" si="79"/>
        <v>6241.6972760709923</v>
      </c>
    </row>
    <row r="732" spans="1:27" x14ac:dyDescent="0.25">
      <c r="A732" s="103" t="s">
        <v>422</v>
      </c>
      <c r="B732" s="20" t="s">
        <v>423</v>
      </c>
      <c r="C732" s="21" t="s">
        <v>79</v>
      </c>
      <c r="D732" s="105" t="s">
        <v>378</v>
      </c>
      <c r="E732" s="15">
        <v>6097</v>
      </c>
      <c r="F732" s="56">
        <v>1000</v>
      </c>
      <c r="G732" s="21" t="s">
        <v>138</v>
      </c>
      <c r="H732" s="20">
        <v>0.68</v>
      </c>
      <c r="I732" s="68">
        <f>MAX('Max rate concentrations'!$L$3:$L$368)</f>
        <v>350.52744091332482</v>
      </c>
      <c r="J732" s="68">
        <f>MAX('Max rate concentrations'!AD:AD)</f>
        <v>242.38599637623525</v>
      </c>
      <c r="K732" s="69">
        <f t="shared" si="80"/>
        <v>2.9683519728657011</v>
      </c>
      <c r="L732" s="69">
        <f t="shared" si="81"/>
        <v>2.0525838110241552</v>
      </c>
      <c r="M732" s="69">
        <f>IF((((0.065*F732^0.726)/3.7-(0.301*F732^0.751)/(1-H732)*H732)*(MAX('Max rate concentrations'!$P$3:$P$368)))/F732&gt;0, (((0.065*F732^0.726)/3.7-(0.301*F732^0.751)/(1-H732)*H732)*(MAX('Max rate concentrations'!$P$3:$P$368)))/F732, 0)</f>
        <v>0</v>
      </c>
      <c r="N732" s="69">
        <f>IF((((0.065*F732^0.726)/3.7-(0.301*F732^0.751)/(1-H732)*H732)*(MAX('Max rate concentrations'!$Q$3:$Q$368)))/F732&gt;0, (((0.065*F732^0.726)/3.7-(0.301*F732^0.751)/(1-H732)*H732)*(MAX('Max rate concentrations'!$Q$3:$Q$368)))/F732, 0)</f>
        <v>0</v>
      </c>
      <c r="O732" s="69" t="s">
        <v>13</v>
      </c>
      <c r="P732" s="69" t="s">
        <v>13</v>
      </c>
      <c r="Q732" s="69">
        <f>(inputs!$C$18*11.2)*(25.05*F732^0.63)*0.5*1/F732</f>
        <v>32.667583656201849</v>
      </c>
      <c r="R732" s="59">
        <f>(60*76.9*((F732/1000)^0.76)*3*24*(MAX('Max rate concentrations'!$R$3:$R$368))/F732)</f>
        <v>2.5598103168780065E-3</v>
      </c>
      <c r="S732" s="59">
        <f>(IF(inputs!$C$17="aerial",((0.025*0.112*inputs!$C$18/3.3)*(3*60*76.9*((F732/1000)^0.76))*MAX(inputs!$I$14:$I$16))/F732,((0.0083*0.112*inputs!$C$18/1)*(3*60*76.9*((F732/1000)^0.76))*MAX(inputs!$I$14:$I$16))/F732))</f>
        <v>1.0808719488000003E-2</v>
      </c>
      <c r="T732" s="63">
        <f>IF((((inputs!$P$13/(V732/MAX(K732:S732)))^(1/inputs!$O$13))-1)/inputs!$N$13&lt;0, 0, IF((((inputs!$P$13/(V732/MAX(K732:S732)))^(1/inputs!$O$13))-1)/inputs!$N$13&lt;inputs!$I$17, (((inputs!$P$13/(V732/MAX(K732:S732)))^(1/inputs!$O$13))-1)/inputs!$N$13, inputs!$I$17))</f>
        <v>345.38243463679424</v>
      </c>
      <c r="U732" s="63">
        <f>IF((((inputs!$P$13/(X732/MAX(K732:S732)))^(1/inputs!$O$13))-1)/inputs!$N$13&lt;0, 0, IF((((inputs!$P$13/(X732/MAX(K732:S732)))^(1/inputs!$O$13))-1)/inputs!$N$13&lt;inputs!$I$17, (((inputs!$P$13/(X732/MAX(K732:S732)))^(1/inputs!$O$13))-1)/inputs!$N$13, inputs!$I$17))</f>
        <v>110.67532019995024</v>
      </c>
      <c r="V732" s="21">
        <f>inputs!$E$87*(F732/inputs!$F$87)^(1)</f>
        <v>0.19</v>
      </c>
      <c r="W732" s="21">
        <f>inputs!$E$90*(F732/inputs!$F$90)^(1)</f>
        <v>0.2</v>
      </c>
      <c r="X732" s="21">
        <f>inputs!$E$89*(F732/inputs!$F$89)^(1)</f>
        <v>0.74683544303797467</v>
      </c>
      <c r="Y732" s="21" t="s">
        <v>13</v>
      </c>
      <c r="Z732" s="63">
        <f t="shared" si="78"/>
        <v>171.934650822115</v>
      </c>
      <c r="AA732" s="63">
        <f t="shared" si="79"/>
        <v>163.33791828100922</v>
      </c>
    </row>
    <row r="733" spans="1:27" x14ac:dyDescent="0.25">
      <c r="A733" s="103" t="s">
        <v>422</v>
      </c>
      <c r="B733" s="20" t="s">
        <v>423</v>
      </c>
      <c r="C733" s="21" t="s">
        <v>79</v>
      </c>
      <c r="D733" s="105" t="s">
        <v>378</v>
      </c>
      <c r="E733" s="15">
        <v>6097</v>
      </c>
      <c r="F733" s="56">
        <v>1000</v>
      </c>
      <c r="G733" s="21" t="s">
        <v>456</v>
      </c>
      <c r="H733" s="20">
        <v>0.68</v>
      </c>
      <c r="I733" s="68">
        <f>MAX('Max rate concentrations'!$J$3:$J$368)</f>
        <v>686.46486205830786</v>
      </c>
      <c r="J733" s="68">
        <f>MAX('Max rate concentrations'!AB:AB)</f>
        <v>243.122971978984</v>
      </c>
      <c r="K733" s="69">
        <f t="shared" si="80"/>
        <v>5.8131520952666742</v>
      </c>
      <c r="L733" s="69">
        <f t="shared" si="81"/>
        <v>2.0588247004069467</v>
      </c>
      <c r="M733" s="69">
        <f>IF((((0.065*F733^0.726)/3.7-(0.301*F733^0.751)/(1-H733)*H733)*(MAX('Max rate concentrations'!$P$3:$P$368)))/F733&gt;0, (((0.065*F733^0.726)/3.7-(0.301*F733^0.751)/(1-H733)*H733)*(MAX('Max rate concentrations'!$P$3:$P$368)))/F733, 0)</f>
        <v>0</v>
      </c>
      <c r="N733" s="69">
        <f>IF((((0.065*F733^0.726)/3.7-(0.301*F733^0.751)/(1-H733)*H733)*(MAX('Max rate concentrations'!$Q$3:$Q$368)))/F733&gt;0, (((0.065*F733^0.726)/3.7-(0.301*F733^0.751)/(1-H733)*H733)*(MAX('Max rate concentrations'!$Q$3:$Q$368)))/F733, 0)</f>
        <v>0</v>
      </c>
      <c r="O733" s="69" t="s">
        <v>13</v>
      </c>
      <c r="P733" s="69" t="s">
        <v>13</v>
      </c>
      <c r="Q733" s="69">
        <f>(inputs!$C$18*11.2)*(25.05*F733^0.63)*0.5*1/F733</f>
        <v>32.667583656201849</v>
      </c>
      <c r="R733" s="59">
        <f>(60*76.9*((F733/1000)^0.76)*3*24*(MAX('Max rate concentrations'!$R$3:$R$368))/F733)</f>
        <v>2.5598103168780065E-3</v>
      </c>
      <c r="S733" s="59">
        <f>(IF(inputs!$C$17="aerial",((0.025*0.112*inputs!$C$18/3.3)*(3*60*76.9*((F733/1000)^0.76))*MAX(inputs!$I$14:$I$16))/F733,((0.0083*0.112*inputs!$C$18/1)*(3*60*76.9*((F733/1000)^0.76))*MAX(inputs!$I$14:$I$16))/F733))</f>
        <v>1.0808719488000003E-2</v>
      </c>
      <c r="T733" s="63">
        <f>IF((((inputs!$P$13/(V733/MAX(K733:S733)))^(1/inputs!$O$13))-1)/inputs!$N$13&lt;0, 0, IF((((inputs!$P$13/(V733/MAX(K733:S733)))^(1/inputs!$O$13))-1)/inputs!$N$13&lt;inputs!$I$17, (((inputs!$P$13/(V733/MAX(K733:S733)))^(1/inputs!$O$13))-1)/inputs!$N$13, inputs!$I$17))</f>
        <v>345.38243463679424</v>
      </c>
      <c r="U733" s="63">
        <f>IF((((inputs!$P$13/(X733/MAX(K733:S733)))^(1/inputs!$O$13))-1)/inputs!$N$13&lt;0, 0, IF((((inputs!$P$13/(X733/MAX(K733:S733)))^(1/inputs!$O$13))-1)/inputs!$N$13&lt;inputs!$I$17, (((inputs!$P$13/(X733/MAX(K733:S733)))^(1/inputs!$O$13))-1)/inputs!$N$13, inputs!$I$17))</f>
        <v>110.67532019995024</v>
      </c>
      <c r="V733" s="21">
        <f>inputs!$E$87*(F733/inputs!$F$87)^(1)</f>
        <v>0.19</v>
      </c>
      <c r="W733" s="21">
        <f>inputs!$E$90*(F733/inputs!$F$90)^(1)</f>
        <v>0.2</v>
      </c>
      <c r="X733" s="21">
        <f>inputs!$E$89*(F733/inputs!$F$89)^(1)</f>
        <v>0.74683544303797467</v>
      </c>
      <c r="Y733" s="21" t="s">
        <v>13</v>
      </c>
      <c r="Z733" s="63">
        <f t="shared" si="78"/>
        <v>171.934650822115</v>
      </c>
      <c r="AA733" s="63">
        <f t="shared" si="79"/>
        <v>163.33791828100922</v>
      </c>
    </row>
    <row r="734" spans="1:27" x14ac:dyDescent="0.25">
      <c r="A734" s="103" t="s">
        <v>399</v>
      </c>
      <c r="B734" s="20" t="s">
        <v>400</v>
      </c>
      <c r="C734" s="21" t="s">
        <v>79</v>
      </c>
      <c r="D734" s="105" t="s">
        <v>378</v>
      </c>
      <c r="E734" s="15">
        <v>178</v>
      </c>
      <c r="F734" s="15">
        <v>3.7</v>
      </c>
      <c r="G734" s="21" t="s">
        <v>142</v>
      </c>
      <c r="H734" s="21">
        <v>0.69</v>
      </c>
      <c r="I734" s="68">
        <f>MAX('Max rate concentrations'!$H$3:$H$368)</f>
        <v>282</v>
      </c>
      <c r="J734" s="68">
        <f>MAX('Max rate concentrations'!AA:AA)</f>
        <v>195</v>
      </c>
      <c r="K734" s="69">
        <f t="shared" si="80"/>
        <v>8.7871689259534609</v>
      </c>
      <c r="L734" s="69">
        <f t="shared" si="81"/>
        <v>6.0762338317763298</v>
      </c>
      <c r="M734" s="69">
        <f>IF((((0.065*F734^0.726)/3.7-(0.301*F734^0.751)/(1-H734)*H734)*(MAX('Max rate concentrations'!$P$3:$P$368)))/F734&gt;0, (((0.065*F734^0.726)/3.7-(0.301*F734^0.751)/(1-H734)*H734)*(MAX('Max rate concentrations'!$P$3:$P$368)))/F734, 0)</f>
        <v>0</v>
      </c>
      <c r="N734" s="69">
        <f>IF((((0.065*F734^0.726)/3.7-(0.301*F734^0.751)/(1-H734)*H734)*(MAX('Max rate concentrations'!$Q$3:$Q$368)))/F734&gt;0, (((0.065*F734^0.726)/3.7-(0.301*F734^0.751)/(1-H734)*H734)*(MAX('Max rate concentrations'!$Q$3:$Q$368)))/F734, 0)</f>
        <v>0</v>
      </c>
      <c r="O734" s="69" t="s">
        <v>13</v>
      </c>
      <c r="P734" s="69" t="s">
        <v>13</v>
      </c>
      <c r="Q734" s="69">
        <f>(inputs!$C$18*11.2)*(25.05*F734^0.63)*0.5*1/F734</f>
        <v>259.34768398167336</v>
      </c>
      <c r="R734" s="59">
        <f>(60*76.9*((F734/1000)^0.76)*3*24*(MAX('Max rate concentrations'!$R$3:$R$368))/F734)</f>
        <v>9.8138489965661838E-3</v>
      </c>
      <c r="S734" s="59">
        <f>(IF(inputs!$C$17="aerial",((0.025*0.112*inputs!$C$18/3.3)*(3*60*76.9*((F734/1000)^0.76))*MAX(inputs!$I$14:$I$16))/F734,((0.0083*0.112*inputs!$C$18/1)*(3*60*76.9*((F734/1000)^0.76))*MAX(inputs!$I$14:$I$16))/F734))</f>
        <v>4.1438672311800609E-2</v>
      </c>
      <c r="T734" s="63">
        <f>IF((((inputs!$P$13/(V734/MAX(K734:S734)))^(1/inputs!$O$13))-1)/inputs!$N$13&lt;0, 0, IF((((inputs!$P$13/(V734/MAX(K734:S734)))^(1/inputs!$O$13))-1)/inputs!$N$13&lt;inputs!$I$17, (((inputs!$P$13/(V734/MAX(K734:S734)))^(1/inputs!$O$13))-1)/inputs!$N$13, inputs!$I$17))</f>
        <v>1000</v>
      </c>
      <c r="U734" s="63">
        <f>IF((((inputs!$P$13/(X734/MAX(K734:S734)))^(1/inputs!$O$13))-1)/inputs!$N$13&lt;0, 0, IF((((inputs!$P$13/(X734/MAX(K734:S734)))^(1/inputs!$O$13))-1)/inputs!$N$13&lt;inputs!$I$17, (((inputs!$P$13/(X734/MAX(K734:S734)))^(1/inputs!$O$13))-1)/inputs!$N$13, inputs!$I$17))</f>
        <v>1000</v>
      </c>
      <c r="V734" s="21">
        <f>inputs!$E$87*(F734/inputs!$F$87)^(1)</f>
        <v>7.0300000000000007E-4</v>
      </c>
      <c r="W734" s="21">
        <f>inputs!$E$90*(F734/inputs!$F$90)^(1)</f>
        <v>7.3999999999999999E-4</v>
      </c>
      <c r="X734" s="21">
        <f>inputs!$E$89*(F734/inputs!$F$89)^(1)</f>
        <v>2.7632911392405065E-3</v>
      </c>
      <c r="Y734" s="21" t="s">
        <v>13</v>
      </c>
      <c r="Z734" s="63">
        <f t="shared" si="78"/>
        <v>368915.62444050261</v>
      </c>
      <c r="AA734" s="63">
        <f t="shared" si="79"/>
        <v>350469.8432184775</v>
      </c>
    </row>
    <row r="735" spans="1:27" x14ac:dyDescent="0.25">
      <c r="A735" s="103" t="s">
        <v>401</v>
      </c>
      <c r="B735" s="20" t="s">
        <v>402</v>
      </c>
      <c r="C735" s="21" t="s">
        <v>79</v>
      </c>
      <c r="D735" s="105" t="s">
        <v>378</v>
      </c>
      <c r="E735" s="15">
        <v>151</v>
      </c>
      <c r="F735" s="15">
        <v>20.6</v>
      </c>
      <c r="G735" s="21" t="s">
        <v>142</v>
      </c>
      <c r="H735" s="21">
        <v>0.69</v>
      </c>
      <c r="I735" s="68">
        <f>MAX('Max rate concentrations'!$H$3:$H$368)</f>
        <v>282</v>
      </c>
      <c r="J735" s="68">
        <f>MAX('Max rate concentrations'!AA:AA)</f>
        <v>195</v>
      </c>
      <c r="K735" s="69">
        <f t="shared" si="80"/>
        <v>5.9509034996768069</v>
      </c>
      <c r="L735" s="69">
        <f t="shared" si="81"/>
        <v>4.1149864625424728</v>
      </c>
      <c r="M735" s="69">
        <f>IF((((0.065*F735^0.726)/3.7-(0.301*F735^0.751)/(1-H735)*H735)*(MAX('Max rate concentrations'!$P$3:$P$368)))/F735&gt;0, (((0.065*F735^0.726)/3.7-(0.301*F735^0.751)/(1-H735)*H735)*(MAX('Max rate concentrations'!$P$3:$P$368)))/F735, 0)</f>
        <v>0</v>
      </c>
      <c r="N735" s="69">
        <f>IF((((0.065*F735^0.726)/3.7-(0.301*F735^0.751)/(1-H735)*H735)*(MAX('Max rate concentrations'!$Q$3:$Q$368)))/F735&gt;0, (((0.065*F735^0.726)/3.7-(0.301*F735^0.751)/(1-H735)*H735)*(MAX('Max rate concentrations'!$Q$3:$Q$368)))/F735, 0)</f>
        <v>0</v>
      </c>
      <c r="O735" s="69" t="s">
        <v>13</v>
      </c>
      <c r="P735" s="69" t="s">
        <v>13</v>
      </c>
      <c r="Q735" s="69">
        <f>(inputs!$C$18*11.2)*(25.05*F735^0.63)*0.5*1/F735</f>
        <v>137.39981260129687</v>
      </c>
      <c r="R735" s="59">
        <f>(60*76.9*((F735/1000)^0.76)*3*24*(MAX('Max rate concentrations'!$R$3:$R$368))/F735)</f>
        <v>6.499495571733716E-3</v>
      </c>
      <c r="S735" s="59">
        <f>(IF(inputs!$C$17="aerial",((0.025*0.112*inputs!$C$18/3.3)*(3*60*76.9*((F735/1000)^0.76))*MAX(inputs!$I$14:$I$16))/F735,((0.0083*0.112*inputs!$C$18/1)*(3*60*76.9*((F735/1000)^0.76))*MAX(inputs!$I$14:$I$16))/F735))</f>
        <v>2.7443918006412157E-2</v>
      </c>
      <c r="T735" s="63">
        <f>IF((((inputs!$P$13/(V735/MAX(K735:S735)))^(1/inputs!$O$13))-1)/inputs!$N$13&lt;0, 0, IF((((inputs!$P$13/(V735/MAX(K735:S735)))^(1/inputs!$O$13))-1)/inputs!$N$13&lt;inputs!$I$17, (((inputs!$P$13/(V735/MAX(K735:S735)))^(1/inputs!$O$13))-1)/inputs!$N$13, inputs!$I$17))</f>
        <v>1000</v>
      </c>
      <c r="U735" s="63">
        <f>IF((((inputs!$P$13/(X735/MAX(K735:S735)))^(1/inputs!$O$13))-1)/inputs!$N$13&lt;0, 0, IF((((inputs!$P$13/(X735/MAX(K735:S735)))^(1/inputs!$O$13))-1)/inputs!$N$13&lt;inputs!$I$17, (((inputs!$P$13/(X735/MAX(K735:S735)))^(1/inputs!$O$13))-1)/inputs!$N$13, inputs!$I$17))</f>
        <v>1000</v>
      </c>
      <c r="V735" s="21">
        <f>inputs!$E$87*(F735/inputs!$F$87)^(1)</f>
        <v>3.9139999999999999E-3</v>
      </c>
      <c r="W735" s="21">
        <f>inputs!$E$90*(F735/inputs!$F$90)^(1)</f>
        <v>4.1200000000000004E-3</v>
      </c>
      <c r="X735" s="21">
        <f>inputs!$E$89*(F735/inputs!$F$89)^(1)</f>
        <v>1.538481012658228E-2</v>
      </c>
      <c r="Y735" s="21" t="s">
        <v>13</v>
      </c>
      <c r="Z735" s="63">
        <f t="shared" si="78"/>
        <v>35104.704292615454</v>
      </c>
      <c r="AA735" s="63">
        <f t="shared" si="79"/>
        <v>33349.469077984671</v>
      </c>
    </row>
    <row r="736" spans="1:27" x14ac:dyDescent="0.25">
      <c r="A736" s="103" t="s">
        <v>401</v>
      </c>
      <c r="B736" s="20" t="s">
        <v>402</v>
      </c>
      <c r="C736" s="21" t="s">
        <v>79</v>
      </c>
      <c r="D736" s="105" t="s">
        <v>378</v>
      </c>
      <c r="E736" s="15">
        <v>151</v>
      </c>
      <c r="F736" s="15">
        <v>20.6</v>
      </c>
      <c r="G736" s="21" t="s">
        <v>177</v>
      </c>
      <c r="H736" s="20">
        <v>0.85</v>
      </c>
      <c r="I736" s="68">
        <f>MAX('Max rate concentrations'!$F$3:$F$368)</f>
        <v>405</v>
      </c>
      <c r="J736" s="68">
        <f>MAX('Max rate concentrations'!Y:Y)</f>
        <v>135</v>
      </c>
      <c r="K736" s="69">
        <f t="shared" si="80"/>
        <v>17.662788046913079</v>
      </c>
      <c r="L736" s="69">
        <f t="shared" si="81"/>
        <v>5.8875960156376923</v>
      </c>
      <c r="M736" s="69">
        <f>IF((((0.065*F736^0.726)/3.7-(0.301*F736^0.751)/(1-H736)*H736)*(MAX('Max rate concentrations'!$P$3:$P$368)))/F736&gt;0, (((0.065*F736^0.726)/3.7-(0.301*F736^0.751)/(1-H736)*H736)*(MAX('Max rate concentrations'!$P$3:$P$368)))/F736, 0)</f>
        <v>0</v>
      </c>
      <c r="N736" s="69">
        <f>IF((((0.065*F736^0.726)/3.7-(0.301*F736^0.751)/(1-H736)*H736)*(MAX('Max rate concentrations'!$Q$3:$Q$368)))/F736&gt;0, (((0.065*F736^0.726)/3.7-(0.301*F736^0.751)/(1-H736)*H736)*(MAX('Max rate concentrations'!$Q$3:$Q$368)))/F736, 0)</f>
        <v>0</v>
      </c>
      <c r="O736" s="69" t="s">
        <v>13</v>
      </c>
      <c r="P736" s="69" t="s">
        <v>13</v>
      </c>
      <c r="Q736" s="69">
        <f>(inputs!$C$18*11.2)*(25.05*F736^0.63)*0.5*1/F736</f>
        <v>137.39981260129687</v>
      </c>
      <c r="R736" s="59">
        <f>(60*76.9*((F736/1000)^0.76)*3*24*(MAX('Max rate concentrations'!$R$3:$R$368))/F736)</f>
        <v>6.499495571733716E-3</v>
      </c>
      <c r="S736" s="59">
        <f>(IF(inputs!$C$17="aerial",((0.025*0.112*inputs!$C$18/3.3)*(3*60*76.9*((F736/1000)^0.76))*MAX(inputs!$I$14:$I$16))/F736,((0.0083*0.112*inputs!$C$18/1)*(3*60*76.9*((F736/1000)^0.76))*MAX(inputs!$I$14:$I$16))/F736))</f>
        <v>2.7443918006412157E-2</v>
      </c>
      <c r="T736" s="63">
        <f>IF((((inputs!$P$13/(V736/MAX(K736:S736)))^(1/inputs!$O$13))-1)/inputs!$N$13&lt;0, 0, IF((((inputs!$P$13/(V736/MAX(K736:S736)))^(1/inputs!$O$13))-1)/inputs!$N$13&lt;inputs!$I$17, (((inputs!$P$13/(V736/MAX(K736:S736)))^(1/inputs!$O$13))-1)/inputs!$N$13, inputs!$I$17))</f>
        <v>1000</v>
      </c>
      <c r="U736" s="63">
        <f>IF((((inputs!$P$13/(X736/MAX(K736:S736)))^(1/inputs!$O$13))-1)/inputs!$N$13&lt;0, 0, IF((((inputs!$P$13/(X736/MAX(K736:S736)))^(1/inputs!$O$13))-1)/inputs!$N$13&lt;inputs!$I$17, (((inputs!$P$13/(X736/MAX(K736:S736)))^(1/inputs!$O$13))-1)/inputs!$N$13, inputs!$I$17))</f>
        <v>1000</v>
      </c>
      <c r="V736" s="21">
        <f>inputs!$E$87*(F736/inputs!$F$87)^(1)</f>
        <v>3.9139999999999999E-3</v>
      </c>
      <c r="W736" s="21">
        <f>inputs!$E$90*(F736/inputs!$F$90)^(1)</f>
        <v>4.1200000000000004E-3</v>
      </c>
      <c r="X736" s="21">
        <f>inputs!$E$89*(F736/inputs!$F$89)^(1)</f>
        <v>1.538481012658228E-2</v>
      </c>
      <c r="Y736" s="21" t="s">
        <v>13</v>
      </c>
      <c r="Z736" s="63">
        <f t="shared" si="78"/>
        <v>35104.704292615454</v>
      </c>
      <c r="AA736" s="63">
        <f t="shared" si="79"/>
        <v>33349.469077984671</v>
      </c>
    </row>
    <row r="737" spans="1:27" x14ac:dyDescent="0.25">
      <c r="A737" s="103" t="s">
        <v>401</v>
      </c>
      <c r="B737" s="20" t="s">
        <v>402</v>
      </c>
      <c r="C737" s="21" t="s">
        <v>79</v>
      </c>
      <c r="D737" s="105" t="s">
        <v>378</v>
      </c>
      <c r="E737" s="15">
        <v>151</v>
      </c>
      <c r="F737" s="15">
        <v>20.6</v>
      </c>
      <c r="G737" s="21" t="s">
        <v>145</v>
      </c>
      <c r="H737" s="20">
        <v>0.66</v>
      </c>
      <c r="I737" s="68">
        <f>MAX('Max rate concentrations'!$M$3:$M$368)</f>
        <v>17.092910873809167</v>
      </c>
      <c r="J737" s="68">
        <f>MAX('Max rate concentrations'!AE:AE)</f>
        <v>11.81956602976166</v>
      </c>
      <c r="K737" s="69">
        <f t="shared" si="80"/>
        <v>0.32887632011859169</v>
      </c>
      <c r="L737" s="69">
        <f t="shared" si="81"/>
        <v>0.22741447667774961</v>
      </c>
      <c r="M737" s="69">
        <f>IF((((0.065*F737^0.726)/3.7-(0.301*F737^0.751)/(1-H737)*H737)*(MAX('Max rate concentrations'!$P$3:$P$368)))/F737&gt;0, (((0.065*F737^0.726)/3.7-(0.301*F737^0.751)/(1-H737)*H737)*(MAX('Max rate concentrations'!$P$3:$P$368)))/F737, 0)</f>
        <v>0</v>
      </c>
      <c r="N737" s="69">
        <f>IF((((0.065*F737^0.726)/3.7-(0.301*F737^0.751)/(1-H737)*H737)*(MAX('Max rate concentrations'!$Q$3:$Q$368)))/F737&gt;0, (((0.065*F737^0.726)/3.7-(0.301*F737^0.751)/(1-H737)*H737)*(MAX('Max rate concentrations'!$Q$3:$Q$368)))/F737, 0)</f>
        <v>0</v>
      </c>
      <c r="O737" s="69" t="s">
        <v>13</v>
      </c>
      <c r="P737" s="69" t="s">
        <v>13</v>
      </c>
      <c r="Q737" s="69">
        <f>(inputs!$C$18*11.2)*(25.05*F737^0.63)*0.5*1/F737</f>
        <v>137.39981260129687</v>
      </c>
      <c r="R737" s="59">
        <f>(60*76.9*((F737/1000)^0.76)*3*24*(MAX('Max rate concentrations'!$R$3:$R$368))/F737)</f>
        <v>6.499495571733716E-3</v>
      </c>
      <c r="S737" s="59">
        <f>(IF(inputs!$C$17="aerial",((0.025*0.112*inputs!$C$18/3.3)*(3*60*76.9*((F737/1000)^0.76))*MAX(inputs!$I$14:$I$16))/F737,((0.0083*0.112*inputs!$C$18/1)*(3*60*76.9*((F737/1000)^0.76))*MAX(inputs!$I$14:$I$16))/F737))</f>
        <v>2.7443918006412157E-2</v>
      </c>
      <c r="T737" s="63">
        <f>IF((((inputs!$P$13/(V737/MAX(K737:S737)))^(1/inputs!$O$13))-1)/inputs!$N$13&lt;0, 0, IF((((inputs!$P$13/(V737/MAX(K737:S737)))^(1/inputs!$O$13))-1)/inputs!$N$13&lt;inputs!$I$17, (((inputs!$P$13/(V737/MAX(K737:S737)))^(1/inputs!$O$13))-1)/inputs!$N$13, inputs!$I$17))</f>
        <v>1000</v>
      </c>
      <c r="U737" s="63">
        <f>IF((((inputs!$P$13/(X737/MAX(K737:S737)))^(1/inputs!$O$13))-1)/inputs!$N$13&lt;0, 0, IF((((inputs!$P$13/(X737/MAX(K737:S737)))^(1/inputs!$O$13))-1)/inputs!$N$13&lt;inputs!$I$17, (((inputs!$P$13/(X737/MAX(K737:S737)))^(1/inputs!$O$13))-1)/inputs!$N$13, inputs!$I$17))</f>
        <v>1000</v>
      </c>
      <c r="V737" s="21">
        <f>inputs!$E$87*(F737/inputs!$F$87)^(1)</f>
        <v>3.9139999999999999E-3</v>
      </c>
      <c r="W737" s="21">
        <f>inputs!$E$90*(F737/inputs!$F$90)^(1)</f>
        <v>4.1200000000000004E-3</v>
      </c>
      <c r="X737" s="21">
        <f>inputs!$E$89*(F737/inputs!$F$89)^(1)</f>
        <v>1.538481012658228E-2</v>
      </c>
      <c r="Y737" s="21" t="s">
        <v>13</v>
      </c>
      <c r="Z737" s="63">
        <f t="shared" si="78"/>
        <v>35104.704292615454</v>
      </c>
      <c r="AA737" s="63">
        <f t="shared" si="79"/>
        <v>33349.469077984671</v>
      </c>
    </row>
    <row r="738" spans="1:27" x14ac:dyDescent="0.25">
      <c r="A738" s="120" t="s">
        <v>436</v>
      </c>
      <c r="B738" s="20" t="s">
        <v>437</v>
      </c>
      <c r="C738" s="21" t="s">
        <v>79</v>
      </c>
      <c r="D738" s="105" t="s">
        <v>378</v>
      </c>
      <c r="E738" s="15">
        <v>175</v>
      </c>
      <c r="F738" s="15">
        <v>9.8000000000000007</v>
      </c>
      <c r="G738" s="21" t="s">
        <v>142</v>
      </c>
      <c r="H738" s="21">
        <v>0.69</v>
      </c>
      <c r="I738" s="68">
        <f>MAX('Max rate concentrations'!$H$3:$H$368)</f>
        <v>282</v>
      </c>
      <c r="J738" s="68">
        <f>MAX('Max rate concentrations'!AA:AA)</f>
        <v>195</v>
      </c>
      <c r="K738" s="69">
        <f t="shared" si="80"/>
        <v>7.044050285449444</v>
      </c>
      <c r="L738" s="69">
        <f t="shared" si="81"/>
        <v>4.8708858356831266</v>
      </c>
      <c r="M738" s="69">
        <f>IF((((0.065*F738^0.726)/3.7-(0.301*F738^0.751)/(1-H738)*H738)*(MAX('Max rate concentrations'!$P$3:$P$368)))/F738&gt;0, (((0.065*F738^0.726)/3.7-(0.301*F738^0.751)/(1-H738)*H738)*(MAX('Max rate concentrations'!$P$3:$P$368)))/F738, 0)</f>
        <v>0</v>
      </c>
      <c r="N738" s="69">
        <f>IF((((0.065*F738^0.726)/3.7-(0.301*F738^0.751)/(1-H738)*H738)*(MAX('Max rate concentrations'!$Q$3:$Q$368)))/F738&gt;0, (((0.065*F738^0.726)/3.7-(0.301*F738^0.751)/(1-H738)*H738)*(MAX('Max rate concentrations'!$Q$3:$Q$368)))/F738, 0)</f>
        <v>0</v>
      </c>
      <c r="O738" s="69" t="s">
        <v>13</v>
      </c>
      <c r="P738" s="69" t="s">
        <v>13</v>
      </c>
      <c r="Q738" s="69">
        <f>(inputs!$C$18*11.2)*(25.05*F738^0.63)*0.5*1/F738</f>
        <v>180.86867785785628</v>
      </c>
      <c r="R738" s="59">
        <f>(60*76.9*((F738/1000)^0.76)*3*24*(MAX('Max rate concentrations'!$R$3:$R$368))/F738)</f>
        <v>7.7680770914213002E-3</v>
      </c>
      <c r="S738" s="59">
        <f>(IF(inputs!$C$17="aerial",((0.025*0.112*inputs!$C$18/3.3)*(3*60*76.9*((F738/1000)^0.76))*MAX(inputs!$I$14:$I$16))/F738,((0.0083*0.112*inputs!$C$18/1)*(3*60*76.9*((F738/1000)^0.76))*MAX(inputs!$I$14:$I$16))/F738))</f>
        <v>3.2800464037794262E-2</v>
      </c>
      <c r="T738" s="63">
        <f>IF((((inputs!$P$13/(V738/MAX(K738:S738)))^(1/inputs!$O$13))-1)/inputs!$N$13&lt;0, 0, IF((((inputs!$P$13/(V738/MAX(K738:S738)))^(1/inputs!$O$13))-1)/inputs!$N$13&lt;inputs!$I$17, (((inputs!$P$13/(V738/MAX(K738:S738)))^(1/inputs!$O$13))-1)/inputs!$N$13, inputs!$I$17))</f>
        <v>1000</v>
      </c>
      <c r="U738" s="63">
        <f>IF((((inputs!$P$13/(X738/MAX(K738:S738)))^(1/inputs!$O$13))-1)/inputs!$N$13&lt;0, 0, IF((((inputs!$P$13/(X738/MAX(K738:S738)))^(1/inputs!$O$13))-1)/inputs!$N$13&lt;inputs!$I$17, (((inputs!$P$13/(X738/MAX(K738:S738)))^(1/inputs!$O$13))-1)/inputs!$N$13, inputs!$I$17))</f>
        <v>1000</v>
      </c>
      <c r="V738" s="21">
        <f>inputs!$E$87*(F738/inputs!$F$87)^(1)</f>
        <v>1.8619999999999999E-3</v>
      </c>
      <c r="W738" s="21">
        <f>inputs!$E$90*(F738/inputs!$F$90)^(1)</f>
        <v>1.9600000000000004E-3</v>
      </c>
      <c r="X738" s="21">
        <f>inputs!$E$89*(F738/inputs!$F$89)^(1)</f>
        <v>7.3189873417721521E-3</v>
      </c>
      <c r="Y738" s="21" t="s">
        <v>13</v>
      </c>
      <c r="Z738" s="63">
        <f t="shared" si="78"/>
        <v>97136.776507978677</v>
      </c>
      <c r="AA738" s="63">
        <f t="shared" si="79"/>
        <v>92279.937682579723</v>
      </c>
    </row>
    <row r="739" spans="1:27" x14ac:dyDescent="0.25">
      <c r="A739" s="120" t="s">
        <v>436</v>
      </c>
      <c r="B739" s="20" t="s">
        <v>437</v>
      </c>
      <c r="C739" s="21" t="s">
        <v>79</v>
      </c>
      <c r="D739" s="105" t="s">
        <v>378</v>
      </c>
      <c r="E739" s="15">
        <v>175</v>
      </c>
      <c r="F739" s="15">
        <v>9.8000000000000007</v>
      </c>
      <c r="G739" s="21" t="s">
        <v>158</v>
      </c>
      <c r="H739" s="20">
        <v>0.85</v>
      </c>
      <c r="I739" s="68">
        <f>MAX('Max rate concentrations'!$F$3:$F$368)</f>
        <v>405</v>
      </c>
      <c r="J739" s="68">
        <f>MAX('Max rate concentrations'!Y:Y)</f>
        <v>135</v>
      </c>
      <c r="K739" s="69">
        <f t="shared" si="80"/>
        <v>20.907340740855268</v>
      </c>
      <c r="L739" s="69">
        <f t="shared" si="81"/>
        <v>6.9691135802850894</v>
      </c>
      <c r="M739" s="69">
        <f>IF((((0.065*F739^0.726)/3.7-(0.301*F739^0.751)/(1-H739)*H739)*(MAX('Max rate concentrations'!$P$3:$P$368)))/F739&gt;0, (((0.065*F739^0.726)/3.7-(0.301*F739^0.751)/(1-H739)*H739)*(MAX('Max rate concentrations'!$P$3:$P$368)))/F739, 0)</f>
        <v>0</v>
      </c>
      <c r="N739" s="69">
        <f>IF((((0.065*F739^0.726)/3.7-(0.301*F739^0.751)/(1-H739)*H739)*(MAX('Max rate concentrations'!$Q$3:$Q$368)))/F739&gt;0, (((0.065*F739^0.726)/3.7-(0.301*F739^0.751)/(1-H739)*H739)*(MAX('Max rate concentrations'!$Q$3:$Q$368)))/F739, 0)</f>
        <v>0</v>
      </c>
      <c r="O739" s="69" t="s">
        <v>13</v>
      </c>
      <c r="P739" s="69" t="s">
        <v>13</v>
      </c>
      <c r="Q739" s="69">
        <f>(inputs!$C$18*11.2)*(25.05*F739^0.63)*0.5*1/F739</f>
        <v>180.86867785785628</v>
      </c>
      <c r="R739" s="59">
        <f>(60*76.9*((F739/1000)^0.76)*3*24*(MAX('Max rate concentrations'!$R$3:$R$368))/F739)</f>
        <v>7.7680770914213002E-3</v>
      </c>
      <c r="S739" s="59">
        <f>(IF(inputs!$C$17="aerial",((0.025*0.112*inputs!$C$18/3.3)*(3*60*76.9*((F739/1000)^0.76))*MAX(inputs!$I$14:$I$16))/F739,((0.0083*0.112*inputs!$C$18/1)*(3*60*76.9*((F739/1000)^0.76))*MAX(inputs!$I$14:$I$16))/F739))</f>
        <v>3.2800464037794262E-2</v>
      </c>
      <c r="T739" s="63">
        <f>IF((((inputs!$P$13/(V739/MAX(K739:S739)))^(1/inputs!$O$13))-1)/inputs!$N$13&lt;0, 0, IF((((inputs!$P$13/(V739/MAX(K739:S739)))^(1/inputs!$O$13))-1)/inputs!$N$13&lt;inputs!$I$17, (((inputs!$P$13/(V739/MAX(K739:S739)))^(1/inputs!$O$13))-1)/inputs!$N$13, inputs!$I$17))</f>
        <v>1000</v>
      </c>
      <c r="U739" s="63">
        <f>IF((((inputs!$P$13/(X739/MAX(K739:S739)))^(1/inputs!$O$13))-1)/inputs!$N$13&lt;0, 0, IF((((inputs!$P$13/(X739/MAX(K739:S739)))^(1/inputs!$O$13))-1)/inputs!$N$13&lt;inputs!$I$17, (((inputs!$P$13/(X739/MAX(K739:S739)))^(1/inputs!$O$13))-1)/inputs!$N$13, inputs!$I$17))</f>
        <v>1000</v>
      </c>
      <c r="V739" s="21">
        <f>inputs!$E$87*(F739/inputs!$F$87)^(1)</f>
        <v>1.8619999999999999E-3</v>
      </c>
      <c r="W739" s="21">
        <f>inputs!$E$90*(F739/inputs!$F$90)^(1)</f>
        <v>1.9600000000000004E-3</v>
      </c>
      <c r="X739" s="21">
        <f>inputs!$E$89*(F739/inputs!$F$89)^(1)</f>
        <v>7.3189873417721521E-3</v>
      </c>
      <c r="Y739" s="21" t="s">
        <v>13</v>
      </c>
      <c r="Z739" s="63">
        <f t="shared" si="78"/>
        <v>97136.776507978677</v>
      </c>
      <c r="AA739" s="63">
        <f t="shared" si="79"/>
        <v>92279.937682579723</v>
      </c>
    </row>
    <row r="740" spans="1:27" x14ac:dyDescent="0.25">
      <c r="A740" s="120" t="s">
        <v>436</v>
      </c>
      <c r="B740" s="20" t="s">
        <v>437</v>
      </c>
      <c r="C740" s="21" t="s">
        <v>79</v>
      </c>
      <c r="D740" s="105" t="s">
        <v>378</v>
      </c>
      <c r="E740" s="15">
        <v>175</v>
      </c>
      <c r="F740" s="15">
        <v>9.8000000000000007</v>
      </c>
      <c r="G740" s="21" t="s">
        <v>145</v>
      </c>
      <c r="H740" s="20">
        <v>0.66</v>
      </c>
      <c r="I740" s="68">
        <f>MAX('Max rate concentrations'!$M$3:$M$368)</f>
        <v>17.092910873809167</v>
      </c>
      <c r="J740" s="68">
        <f>MAX('Max rate concentrations'!AE:AE)</f>
        <v>11.81956602976166</v>
      </c>
      <c r="K740" s="69">
        <f t="shared" si="80"/>
        <v>0.38928901077537964</v>
      </c>
      <c r="L740" s="69">
        <f t="shared" si="81"/>
        <v>0.26918920957872</v>
      </c>
      <c r="M740" s="69">
        <f>IF((((0.065*F740^0.726)/3.7-(0.301*F740^0.751)/(1-H740)*H740)*(MAX('Max rate concentrations'!$P$3:$P$368)))/F740&gt;0, (((0.065*F740^0.726)/3.7-(0.301*F740^0.751)/(1-H740)*H740)*(MAX('Max rate concentrations'!$P$3:$P$368)))/F740, 0)</f>
        <v>0</v>
      </c>
      <c r="N740" s="69">
        <f>IF((((0.065*F740^0.726)/3.7-(0.301*F740^0.751)/(1-H740)*H740)*(MAX('Max rate concentrations'!$Q$3:$Q$368)))/F740&gt;0, (((0.065*F740^0.726)/3.7-(0.301*F740^0.751)/(1-H740)*H740)*(MAX('Max rate concentrations'!$Q$3:$Q$368)))/F740, 0)</f>
        <v>0</v>
      </c>
      <c r="O740" s="69" t="s">
        <v>13</v>
      </c>
      <c r="P740" s="69" t="s">
        <v>13</v>
      </c>
      <c r="Q740" s="69">
        <f>(inputs!$C$18*11.2)*(25.05*F740^0.63)*0.5*1/F740</f>
        <v>180.86867785785628</v>
      </c>
      <c r="R740" s="59">
        <f>(60*76.9*((F740/1000)^0.76)*3*24*(MAX('Max rate concentrations'!$R$3:$R$368))/F740)</f>
        <v>7.7680770914213002E-3</v>
      </c>
      <c r="S740" s="59">
        <f>(IF(inputs!$C$17="aerial",((0.025*0.112*inputs!$C$18/3.3)*(3*60*76.9*((F740/1000)^0.76))*MAX(inputs!$I$14:$I$16))/F740,((0.0083*0.112*inputs!$C$18/1)*(3*60*76.9*((F740/1000)^0.76))*MAX(inputs!$I$14:$I$16))/F740))</f>
        <v>3.2800464037794262E-2</v>
      </c>
      <c r="T740" s="63">
        <f>IF((((inputs!$P$13/(V740/MAX(K740:S740)))^(1/inputs!$O$13))-1)/inputs!$N$13&lt;0, 0, IF((((inputs!$P$13/(V740/MAX(K740:S740)))^(1/inputs!$O$13))-1)/inputs!$N$13&lt;inputs!$I$17, (((inputs!$P$13/(V740/MAX(K740:S740)))^(1/inputs!$O$13))-1)/inputs!$N$13, inputs!$I$17))</f>
        <v>1000</v>
      </c>
      <c r="U740" s="63">
        <f>IF((((inputs!$P$13/(X740/MAX(K740:S740)))^(1/inputs!$O$13))-1)/inputs!$N$13&lt;0, 0, IF((((inputs!$P$13/(X740/MAX(K740:S740)))^(1/inputs!$O$13))-1)/inputs!$N$13&lt;inputs!$I$17, (((inputs!$P$13/(X740/MAX(K740:S740)))^(1/inputs!$O$13))-1)/inputs!$N$13, inputs!$I$17))</f>
        <v>1000</v>
      </c>
      <c r="V740" s="21">
        <f>inputs!$E$87*(F740/inputs!$F$87)^(1)</f>
        <v>1.8619999999999999E-3</v>
      </c>
      <c r="W740" s="21">
        <f>inputs!$E$90*(F740/inputs!$F$90)^(1)</f>
        <v>1.9600000000000004E-3</v>
      </c>
      <c r="X740" s="21">
        <f>inputs!$E$89*(F740/inputs!$F$89)^(1)</f>
        <v>7.3189873417721521E-3</v>
      </c>
      <c r="Y740" s="21" t="s">
        <v>13</v>
      </c>
      <c r="Z740" s="63">
        <f t="shared" si="78"/>
        <v>97136.776507978677</v>
      </c>
      <c r="AA740" s="63">
        <f t="shared" si="79"/>
        <v>92279.937682579723</v>
      </c>
    </row>
    <row r="741" spans="1:27" x14ac:dyDescent="0.25">
      <c r="A741" s="103" t="s">
        <v>420</v>
      </c>
      <c r="B741" s="20" t="s">
        <v>421</v>
      </c>
      <c r="C741" s="21" t="s">
        <v>79</v>
      </c>
      <c r="D741" s="105" t="s">
        <v>378</v>
      </c>
      <c r="E741" s="15">
        <v>180</v>
      </c>
      <c r="F741" s="15">
        <v>50</v>
      </c>
      <c r="G741" s="21" t="s">
        <v>164</v>
      </c>
      <c r="H741" s="20">
        <v>0.78</v>
      </c>
      <c r="I741" s="68">
        <f>inputs!$C$66*(inputs!$C$62/1000)</f>
        <v>8.2000000000000011</v>
      </c>
      <c r="J741" s="68">
        <f>inputs!$C$66*(inputs!$C$61/1000)</f>
        <v>2.5</v>
      </c>
      <c r="K741" s="69">
        <f t="shared" si="80"/>
        <v>0.19937391312813799</v>
      </c>
      <c r="L741" s="69">
        <f t="shared" si="81"/>
        <v>6.0784729612237173E-2</v>
      </c>
      <c r="M741" s="69">
        <f>IF((((0.065*F741^0.726)/3.7-(0.301*F741^0.751)/(1-H741)*H741)*(MAX('Max rate concentrations'!$P$3:$P$368)))/F741&gt;0, (((0.065*F741^0.726)/3.7-(0.301*F741^0.751)/(1-H741)*H741)*(MAX('Max rate concentrations'!$P$3:$P$368)))/F741, 0)</f>
        <v>0</v>
      </c>
      <c r="N741" s="69">
        <f>IF((((0.065*F741^0.726)/3.7-(0.301*F741^0.751)/(1-H741)*H741)*(MAX('Max rate concentrations'!$Q$3:$Q$368)))/F741&gt;0, (((0.065*F741^0.726)/3.7-(0.301*F741^0.751)/(1-H741)*H741)*(MAX('Max rate concentrations'!$Q$3:$Q$368)))/F741, 0)</f>
        <v>0</v>
      </c>
      <c r="O741" s="69" t="s">
        <v>13</v>
      </c>
      <c r="P741" s="69" t="s">
        <v>13</v>
      </c>
      <c r="Q741" s="69">
        <f>(inputs!$C$18*11.2)*(25.05*F741^0.63)*0.5*1/F741</f>
        <v>98.968755759264837</v>
      </c>
      <c r="R741" s="59">
        <f>(60*76.9*((F741/1000)^0.76)*3*24*(MAX('Max rate concentrations'!$R$3:$R$368))/F741)</f>
        <v>5.2535755736280209E-3</v>
      </c>
      <c r="S741" s="59">
        <f>(IF(inputs!$C$17="aerial",((0.025*0.112*inputs!$C$18/3.3)*(3*60*76.9*((F741/1000)^0.76))*MAX(inputs!$I$14:$I$16))/F741,((0.0083*0.112*inputs!$C$18/1)*(3*60*76.9*((F741/1000)^0.76))*MAX(inputs!$I$14:$I$16))/F741))</f>
        <v>2.2183059545446849E-2</v>
      </c>
      <c r="T741" s="63">
        <f>IF((((inputs!$P$13/(V741/MAX(K741:S741)))^(1/inputs!$O$13))-1)/inputs!$N$13&lt;0, 0, IF((((inputs!$P$13/(V741/MAX(K741:S741)))^(1/inputs!$O$13))-1)/inputs!$N$13&lt;inputs!$I$17, (((inputs!$P$13/(V741/MAX(K741:S741)))^(1/inputs!$O$13))-1)/inputs!$N$13, inputs!$I$17))</f>
        <v>1000</v>
      </c>
      <c r="U741" s="63">
        <f>IF((((inputs!$P$13/(X741/MAX(K741:S741)))^(1/inputs!$O$13))-1)/inputs!$N$13&lt;0, 0, IF((((inputs!$P$13/(X741/MAX(K741:S741)))^(1/inputs!$O$13))-1)/inputs!$N$13&lt;inputs!$I$17, (((inputs!$P$13/(X741/MAX(K741:S741)))^(1/inputs!$O$13))-1)/inputs!$N$13, inputs!$I$17))</f>
        <v>1000</v>
      </c>
      <c r="V741" s="21">
        <f>inputs!$E$87*(F741/inputs!$F$87)^(1)</f>
        <v>9.4999999999999998E-3</v>
      </c>
      <c r="W741" s="21">
        <f>inputs!$E$90*(F741/inputs!$F$90)^(1)</f>
        <v>0.01</v>
      </c>
      <c r="X741" s="21">
        <f>inputs!$E$89*(F741/inputs!$F$89)^(1)</f>
        <v>3.7341772151898732E-2</v>
      </c>
      <c r="Y741" s="21" t="s">
        <v>13</v>
      </c>
      <c r="Z741" s="63">
        <f t="shared" si="78"/>
        <v>10417.76376413314</v>
      </c>
      <c r="AA741" s="63">
        <f t="shared" si="79"/>
        <v>9896.8755759264841</v>
      </c>
    </row>
    <row r="742" spans="1:27" ht="26.4" x14ac:dyDescent="0.25">
      <c r="A742" s="103" t="s">
        <v>420</v>
      </c>
      <c r="B742" s="20" t="s">
        <v>421</v>
      </c>
      <c r="C742" s="21" t="s">
        <v>79</v>
      </c>
      <c r="D742" s="105" t="s">
        <v>378</v>
      </c>
      <c r="E742" s="15">
        <v>180</v>
      </c>
      <c r="F742" s="15">
        <v>50</v>
      </c>
      <c r="G742" s="21" t="s">
        <v>634</v>
      </c>
      <c r="H742" s="21">
        <v>0.75</v>
      </c>
      <c r="I742" s="68">
        <f>inputs!$C$66*inputs!$C$64/1000</f>
        <v>21.3</v>
      </c>
      <c r="J742" s="68">
        <f>inputs!$C$66*inputs!$C$63/1000</f>
        <v>8.8000000000000007</v>
      </c>
      <c r="K742" s="69">
        <f t="shared" si="80"/>
        <v>0.45573958874070941</v>
      </c>
      <c r="L742" s="69">
        <f t="shared" si="81"/>
        <v>0.18828677844686589</v>
      </c>
      <c r="M742" s="69">
        <f>IF((((0.065*F742^0.726)/3.7-(0.301*F742^0.751)/(1-H742)*H742)*(MAX('Max rate concentrations'!$P$3:$P$368)))/F742&gt;0, (((0.065*F742^0.726)/3.7-(0.301*F742^0.751)/(1-H742)*H742)*(MAX('Max rate concentrations'!$P$3:$P$368)))/F742, 0)</f>
        <v>0</v>
      </c>
      <c r="N742" s="69">
        <f>IF((((0.065*F742^0.726)/3.7-(0.301*F742^0.751)/(1-H742)*H742)*(MAX('Max rate concentrations'!$Q$3:$Q$368)))/F742&gt;0, (((0.065*F742^0.726)/3.7-(0.301*F742^0.751)/(1-H742)*H742)*(MAX('Max rate concentrations'!$Q$3:$Q$368)))/F742, 0)</f>
        <v>0</v>
      </c>
      <c r="O742" s="69" t="s">
        <v>13</v>
      </c>
      <c r="P742" s="69" t="s">
        <v>13</v>
      </c>
      <c r="Q742" s="69">
        <f>(inputs!$C$18*11.2)*(25.05*F742^0.63)*0.5*1/F742</f>
        <v>98.968755759264837</v>
      </c>
      <c r="R742" s="59">
        <f>(60*76.9*((F742/1000)^0.76)*3*24*(MAX('Max rate concentrations'!$R$3:$R$368))/F742)</f>
        <v>5.2535755736280209E-3</v>
      </c>
      <c r="S742" s="59">
        <f>(IF(inputs!$C$17="aerial",((0.025*0.112*inputs!$C$18/3.3)*(3*60*76.9*((F742/1000)^0.76))*MAX(inputs!$I$14:$I$16))/F742,((0.0083*0.112*inputs!$C$18/1)*(3*60*76.9*((F742/1000)^0.76))*MAX(inputs!$I$14:$I$16))/F742))</f>
        <v>2.2183059545446849E-2</v>
      </c>
      <c r="T742" s="63">
        <f>IF((((inputs!$P$13/(V742/MAX(K742:S742)))^(1/inputs!$O$13))-1)/inputs!$N$13&lt;0, 0, IF((((inputs!$P$13/(V742/MAX(K742:S742)))^(1/inputs!$O$13))-1)/inputs!$N$13&lt;inputs!$I$17, (((inputs!$P$13/(V742/MAX(K742:S742)))^(1/inputs!$O$13))-1)/inputs!$N$13, inputs!$I$17))</f>
        <v>1000</v>
      </c>
      <c r="U742" s="63">
        <f>IF((((inputs!$P$13/(X742/MAX(K742:S742)))^(1/inputs!$O$13))-1)/inputs!$N$13&lt;0, 0, IF((((inputs!$P$13/(X742/MAX(K742:S742)))^(1/inputs!$O$13))-1)/inputs!$N$13&lt;inputs!$I$17, (((inputs!$P$13/(X742/MAX(K742:S742)))^(1/inputs!$O$13))-1)/inputs!$N$13, inputs!$I$17))</f>
        <v>1000</v>
      </c>
      <c r="V742" s="21">
        <f>inputs!$E$87*(F742/inputs!$F$87)^(1)</f>
        <v>9.4999999999999998E-3</v>
      </c>
      <c r="W742" s="21">
        <f>inputs!$E$90*(F742/inputs!$F$90)^(1)</f>
        <v>0.01</v>
      </c>
      <c r="X742" s="21">
        <f>inputs!$E$89*(F742/inputs!$F$89)^(1)</f>
        <v>3.7341772151898732E-2</v>
      </c>
      <c r="Y742" s="21" t="s">
        <v>13</v>
      </c>
      <c r="Z742" s="63">
        <f t="shared" si="78"/>
        <v>10417.76376413314</v>
      </c>
      <c r="AA742" s="63">
        <f t="shared" si="79"/>
        <v>9896.8755759264841</v>
      </c>
    </row>
    <row r="743" spans="1:27" x14ac:dyDescent="0.25">
      <c r="A743" s="103" t="s">
        <v>379</v>
      </c>
      <c r="B743" s="20" t="s">
        <v>380</v>
      </c>
      <c r="C743" s="21" t="s">
        <v>79</v>
      </c>
      <c r="D743" s="105" t="s">
        <v>378</v>
      </c>
      <c r="E743" s="15">
        <v>162</v>
      </c>
      <c r="F743" s="15">
        <v>78</v>
      </c>
      <c r="G743" s="21" t="s">
        <v>142</v>
      </c>
      <c r="H743" s="21">
        <v>0.69</v>
      </c>
      <c r="I743" s="68">
        <f>MAX('Max rate concentrations'!$H$3:$H$368)</f>
        <v>282</v>
      </c>
      <c r="J743" s="68">
        <f>MAX('Max rate concentrations'!AA:AA)</f>
        <v>195</v>
      </c>
      <c r="K743" s="69">
        <f t="shared" si="80"/>
        <v>4.3987096091397886</v>
      </c>
      <c r="L743" s="69">
        <f t="shared" si="81"/>
        <v>3.0416608999370882</v>
      </c>
      <c r="M743" s="69">
        <f>IF((((0.065*F743^0.726)/3.7-(0.301*F743^0.751)/(1-H743)*H743)*(MAX('Max rate concentrations'!$P$3:$P$368)))/F743&gt;0, (((0.065*F743^0.726)/3.7-(0.301*F743^0.751)/(1-H743)*H743)*(MAX('Max rate concentrations'!$P$3:$P$368)))/F743, 0)</f>
        <v>0</v>
      </c>
      <c r="N743" s="69">
        <f>IF((((0.065*F743^0.726)/3.7-(0.301*F743^0.751)/(1-H743)*H743)*(MAX('Max rate concentrations'!$Q$3:$Q$368)))/F743&gt;0, (((0.065*F743^0.726)/3.7-(0.301*F743^0.751)/(1-H743)*H743)*(MAX('Max rate concentrations'!$Q$3:$Q$368)))/F743, 0)</f>
        <v>0</v>
      </c>
      <c r="O743" s="69" t="s">
        <v>13</v>
      </c>
      <c r="P743" s="69" t="s">
        <v>13</v>
      </c>
      <c r="Q743" s="69">
        <f>(inputs!$C$18*11.2)*(25.05*F743^0.63)*0.5*1/F743</f>
        <v>83.954119069298841</v>
      </c>
      <c r="R743" s="59">
        <f>(60*76.9*((F743/1000)^0.76)*3*24*(MAX('Max rate concentrations'!$R$3:$R$368))/F743)</f>
        <v>4.7217727387428342E-3</v>
      </c>
      <c r="S743" s="59">
        <f>(IF(inputs!$C$17="aerial",((0.025*0.112*inputs!$C$18/3.3)*(3*60*76.9*((F743/1000)^0.76))*MAX(inputs!$I$14:$I$16))/F743,((0.0083*0.112*inputs!$C$18/1)*(3*60*76.9*((F743/1000)^0.76))*MAX(inputs!$I$14:$I$16))/F743))</f>
        <v>1.993753860692369E-2</v>
      </c>
      <c r="T743" s="63">
        <f>IF((((inputs!$P$13/(V743/MAX(K743:S743)))^(1/inputs!$O$13))-1)/inputs!$N$13&lt;0, 0, IF((((inputs!$P$13/(V743/MAX(K743:S743)))^(1/inputs!$O$13))-1)/inputs!$N$13&lt;inputs!$I$17, (((inputs!$P$13/(V743/MAX(K743:S743)))^(1/inputs!$O$13))-1)/inputs!$N$13, inputs!$I$17))</f>
        <v>1000</v>
      </c>
      <c r="U743" s="63">
        <f>IF((((inputs!$P$13/(X743/MAX(K743:S743)))^(1/inputs!$O$13))-1)/inputs!$N$13&lt;0, 0, IF((((inputs!$P$13/(X743/MAX(K743:S743)))^(1/inputs!$O$13))-1)/inputs!$N$13&lt;inputs!$I$17, (((inputs!$P$13/(X743/MAX(K743:S743)))^(1/inputs!$O$13))-1)/inputs!$N$13, inputs!$I$17))</f>
        <v>1000</v>
      </c>
      <c r="V743" s="21">
        <f>inputs!$E$87*(F743/inputs!$F$87)^(1)</f>
        <v>1.482E-2</v>
      </c>
      <c r="W743" s="21">
        <f>inputs!$E$90*(F743/inputs!$F$90)^(1)</f>
        <v>1.5599999999999999E-2</v>
      </c>
      <c r="X743" s="21">
        <f>inputs!$E$89*(F743/inputs!$F$89)^(1)</f>
        <v>5.8253164556962021E-2</v>
      </c>
      <c r="Y743" s="21" t="s">
        <v>13</v>
      </c>
      <c r="Z743" s="63">
        <f t="shared" si="78"/>
        <v>5664.9203150673984</v>
      </c>
      <c r="AA743" s="63">
        <f t="shared" si="79"/>
        <v>5381.6742993140288</v>
      </c>
    </row>
    <row r="744" spans="1:27" x14ac:dyDescent="0.25">
      <c r="A744" s="103" t="s">
        <v>379</v>
      </c>
      <c r="B744" s="20" t="s">
        <v>380</v>
      </c>
      <c r="C744" s="21" t="s">
        <v>79</v>
      </c>
      <c r="D744" s="105" t="s">
        <v>378</v>
      </c>
      <c r="E744" s="15">
        <v>162</v>
      </c>
      <c r="F744" s="15">
        <v>78</v>
      </c>
      <c r="G744" s="21" t="s">
        <v>152</v>
      </c>
      <c r="H744" s="20">
        <v>0.77</v>
      </c>
      <c r="I744" s="68">
        <f>MAX('Max rate concentrations'!$G$3:$G$368)</f>
        <v>45</v>
      </c>
      <c r="J744" s="68">
        <f>MAX('Max rate concentrations'!Z:Z)</f>
        <v>21</v>
      </c>
      <c r="K744" s="69">
        <f t="shared" si="80"/>
        <v>0.94606844044865968</v>
      </c>
      <c r="L744" s="69">
        <f t="shared" si="81"/>
        <v>0.44149860554270787</v>
      </c>
      <c r="M744" s="69">
        <f>IF((((0.065*F744^0.726)/3.7-(0.301*F744^0.751)/(1-H744)*H744)*(MAX('Max rate concentrations'!$P$3:$P$368)))/F744&gt;0, (((0.065*F744^0.726)/3.7-(0.301*F744^0.751)/(1-H744)*H744)*(MAX('Max rate concentrations'!$P$3:$P$368)))/F744, 0)</f>
        <v>0</v>
      </c>
      <c r="N744" s="69">
        <f>IF((((0.065*F744^0.726)/3.7-(0.301*F744^0.751)/(1-H744)*H744)*(MAX('Max rate concentrations'!$Q$3:$Q$368)))/F744&gt;0, (((0.065*F744^0.726)/3.7-(0.301*F744^0.751)/(1-H744)*H744)*(MAX('Max rate concentrations'!$Q$3:$Q$368)))/F744, 0)</f>
        <v>0</v>
      </c>
      <c r="O744" s="69" t="s">
        <v>13</v>
      </c>
      <c r="P744" s="69" t="s">
        <v>13</v>
      </c>
      <c r="Q744" s="69">
        <f>(inputs!$C$18*11.2)*(25.05*F744^0.63)*0.5*1/F744</f>
        <v>83.954119069298841</v>
      </c>
      <c r="R744" s="59">
        <f>(60*76.9*((F744/1000)^0.76)*3*24*(MAX('Max rate concentrations'!$R$3:$R$368))/F744)</f>
        <v>4.7217727387428342E-3</v>
      </c>
      <c r="S744" s="59">
        <f>(IF(inputs!$C$17="aerial",((0.025*0.112*inputs!$C$18/3.3)*(3*60*76.9*((F744/1000)^0.76))*MAX(inputs!$I$14:$I$16))/F744,((0.0083*0.112*inputs!$C$18/1)*(3*60*76.9*((F744/1000)^0.76))*MAX(inputs!$I$14:$I$16))/F744))</f>
        <v>1.993753860692369E-2</v>
      </c>
      <c r="T744" s="63">
        <f>IF((((inputs!$P$13/(V744/MAX(K744:S744)))^(1/inputs!$O$13))-1)/inputs!$N$13&lt;0, 0, IF((((inputs!$P$13/(V744/MAX(K744:S744)))^(1/inputs!$O$13))-1)/inputs!$N$13&lt;inputs!$I$17, (((inputs!$P$13/(V744/MAX(K744:S744)))^(1/inputs!$O$13))-1)/inputs!$N$13, inputs!$I$17))</f>
        <v>1000</v>
      </c>
      <c r="U744" s="63">
        <f>IF((((inputs!$P$13/(X744/MAX(K744:S744)))^(1/inputs!$O$13))-1)/inputs!$N$13&lt;0, 0, IF((((inputs!$P$13/(X744/MAX(K744:S744)))^(1/inputs!$O$13))-1)/inputs!$N$13&lt;inputs!$I$17, (((inputs!$P$13/(X744/MAX(K744:S744)))^(1/inputs!$O$13))-1)/inputs!$N$13, inputs!$I$17))</f>
        <v>1000</v>
      </c>
      <c r="V744" s="21">
        <f>inputs!$E$87*(F744/inputs!$F$87)^(1)</f>
        <v>1.482E-2</v>
      </c>
      <c r="W744" s="21">
        <f>inputs!$E$90*(F744/inputs!$F$90)^(1)</f>
        <v>1.5599999999999999E-2</v>
      </c>
      <c r="X744" s="21">
        <f>inputs!$E$89*(F744/inputs!$F$89)^(1)</f>
        <v>5.8253164556962021E-2</v>
      </c>
      <c r="Y744" s="21" t="s">
        <v>13</v>
      </c>
      <c r="Z744" s="63">
        <f t="shared" si="78"/>
        <v>5664.9203150673984</v>
      </c>
      <c r="AA744" s="63">
        <f t="shared" si="79"/>
        <v>5381.6742993140288</v>
      </c>
    </row>
    <row r="745" spans="1:27" x14ac:dyDescent="0.25">
      <c r="A745" s="103" t="s">
        <v>379</v>
      </c>
      <c r="B745" s="20" t="s">
        <v>380</v>
      </c>
      <c r="C745" s="21" t="s">
        <v>79</v>
      </c>
      <c r="D745" s="105" t="s">
        <v>378</v>
      </c>
      <c r="E745" s="15">
        <v>162</v>
      </c>
      <c r="F745" s="15">
        <v>78</v>
      </c>
      <c r="G745" s="21" t="s">
        <v>145</v>
      </c>
      <c r="H745" s="20">
        <v>0.66</v>
      </c>
      <c r="I745" s="68">
        <f>MAX('Max rate concentrations'!$M$3:$M$368)</f>
        <v>17.092910873809167</v>
      </c>
      <c r="J745" s="68">
        <f>MAX('Max rate concentrations'!AE:AE)</f>
        <v>11.81956602976166</v>
      </c>
      <c r="K745" s="69">
        <f t="shared" si="80"/>
        <v>0.24309441912522176</v>
      </c>
      <c r="L745" s="69">
        <f t="shared" si="81"/>
        <v>0.16809720471424913</v>
      </c>
      <c r="M745" s="69">
        <f>IF((((0.065*F745^0.726)/3.7-(0.301*F745^0.751)/(1-H745)*H745)*(MAX('Max rate concentrations'!$P$3:$P$368)))/F745&gt;0, (((0.065*F745^0.726)/3.7-(0.301*F745^0.751)/(1-H745)*H745)*(MAX('Max rate concentrations'!$P$3:$P$368)))/F745, 0)</f>
        <v>0</v>
      </c>
      <c r="N745" s="69">
        <f>IF((((0.065*F745^0.726)/3.7-(0.301*F745^0.751)/(1-H745)*H745)*(MAX('Max rate concentrations'!$Q$3:$Q$368)))/F745&gt;0, (((0.065*F745^0.726)/3.7-(0.301*F745^0.751)/(1-H745)*H745)*(MAX('Max rate concentrations'!$Q$3:$Q$368)))/F745, 0)</f>
        <v>0</v>
      </c>
      <c r="O745" s="69" t="s">
        <v>13</v>
      </c>
      <c r="P745" s="69" t="s">
        <v>13</v>
      </c>
      <c r="Q745" s="69">
        <f>(inputs!$C$18*11.2)*(25.05*F745^0.63)*0.5*1/F745</f>
        <v>83.954119069298841</v>
      </c>
      <c r="R745" s="59">
        <f>(60*76.9*((F745/1000)^0.76)*3*24*(MAX('Max rate concentrations'!$R$3:$R$368))/F745)</f>
        <v>4.7217727387428342E-3</v>
      </c>
      <c r="S745" s="59">
        <f>(IF(inputs!$C$17="aerial",((0.025*0.112*inputs!$C$18/3.3)*(3*60*76.9*((F745/1000)^0.76))*MAX(inputs!$I$14:$I$16))/F745,((0.0083*0.112*inputs!$C$18/1)*(3*60*76.9*((F745/1000)^0.76))*MAX(inputs!$I$14:$I$16))/F745))</f>
        <v>1.993753860692369E-2</v>
      </c>
      <c r="T745" s="63">
        <f>IF((((inputs!$P$13/(V745/MAX(K745:S745)))^(1/inputs!$O$13))-1)/inputs!$N$13&lt;0, 0, IF((((inputs!$P$13/(V745/MAX(K745:S745)))^(1/inputs!$O$13))-1)/inputs!$N$13&lt;inputs!$I$17, (((inputs!$P$13/(V745/MAX(K745:S745)))^(1/inputs!$O$13))-1)/inputs!$N$13, inputs!$I$17))</f>
        <v>1000</v>
      </c>
      <c r="U745" s="63">
        <f>IF((((inputs!$P$13/(X745/MAX(K745:S745)))^(1/inputs!$O$13))-1)/inputs!$N$13&lt;0, 0, IF((((inputs!$P$13/(X745/MAX(K745:S745)))^(1/inputs!$O$13))-1)/inputs!$N$13&lt;inputs!$I$17, (((inputs!$P$13/(X745/MAX(K745:S745)))^(1/inputs!$O$13))-1)/inputs!$N$13, inputs!$I$17))</f>
        <v>1000</v>
      </c>
      <c r="V745" s="21">
        <f>inputs!$E$87*(F745/inputs!$F$87)^(1)</f>
        <v>1.482E-2</v>
      </c>
      <c r="W745" s="21">
        <f>inputs!$E$90*(F745/inputs!$F$90)^(1)</f>
        <v>1.5599999999999999E-2</v>
      </c>
      <c r="X745" s="21">
        <f>inputs!$E$89*(F745/inputs!$F$89)^(1)</f>
        <v>5.8253164556962021E-2</v>
      </c>
      <c r="Y745" s="21" t="s">
        <v>13</v>
      </c>
      <c r="Z745" s="63">
        <f t="shared" si="78"/>
        <v>5664.9203150673984</v>
      </c>
      <c r="AA745" s="63">
        <f t="shared" si="79"/>
        <v>5381.6742993140288</v>
      </c>
    </row>
    <row r="746" spans="1:27" x14ac:dyDescent="0.25">
      <c r="A746" s="103" t="s">
        <v>391</v>
      </c>
      <c r="B746" s="20" t="s">
        <v>392</v>
      </c>
      <c r="C746" s="21" t="s">
        <v>79</v>
      </c>
      <c r="D746" s="105" t="s">
        <v>378</v>
      </c>
      <c r="E746" s="15">
        <v>173</v>
      </c>
      <c r="F746" s="15">
        <v>550</v>
      </c>
      <c r="G746" s="21" t="s">
        <v>182</v>
      </c>
      <c r="H746" s="20">
        <v>0.85</v>
      </c>
      <c r="I746" s="68">
        <f>MAX('Max rate concentrations'!$M$3:$M$368)</f>
        <v>17.092910873809167</v>
      </c>
      <c r="J746" s="68">
        <f>MAX('Max rate concentrations'!AE:AE)</f>
        <v>11.81956602976166</v>
      </c>
      <c r="K746" s="69">
        <f t="shared" si="80"/>
        <v>0.35367616345583702</v>
      </c>
      <c r="L746" s="69">
        <f t="shared" si="81"/>
        <v>0.24456330451733416</v>
      </c>
      <c r="M746" s="69">
        <f>IF((((0.065*F746^0.726)/3.7-(0.301*F746^0.751)/(1-H746)*H746)*(MAX('Max rate concentrations'!$P$3:$P$368)))/F746&gt;0, (((0.065*F746^0.726)/3.7-(0.301*F746^0.751)/(1-H746)*H746)*(MAX('Max rate concentrations'!$P$3:$P$368)))/F746, 0)</f>
        <v>0</v>
      </c>
      <c r="N746" s="69">
        <f>IF((((0.065*F746^0.726)/3.7-(0.301*F746^0.751)/(1-H746)*H746)*(MAX('Max rate concentrations'!$Q$3:$Q$368)))/F746&gt;0, (((0.065*F746^0.726)/3.7-(0.301*F746^0.751)/(1-H746)*H746)*(MAX('Max rate concentrations'!$Q$3:$Q$368)))/F746, 0)</f>
        <v>0</v>
      </c>
      <c r="O746" s="69" t="s">
        <v>13</v>
      </c>
      <c r="P746" s="69" t="s">
        <v>13</v>
      </c>
      <c r="Q746" s="69">
        <f>(inputs!$C$18*11.2)*(25.05*F746^0.63)*0.5*1/F746</f>
        <v>40.755180115076826</v>
      </c>
      <c r="R746" s="59">
        <f>(60*76.9*((F746/1000)^0.76)*3*24*(MAX('Max rate concentrations'!$R$3:$R$368))/F746)</f>
        <v>2.9547499883225631E-3</v>
      </c>
      <c r="S746" s="59">
        <f>(IF(inputs!$C$17="aerial",((0.025*0.112*inputs!$C$18/3.3)*(3*60*76.9*((F746/1000)^0.76))*MAX(inputs!$I$14:$I$16))/F746,((0.0083*0.112*inputs!$C$18/1)*(3*60*76.9*((F746/1000)^0.76))*MAX(inputs!$I$14:$I$16))/F746))</f>
        <v>1.247633997346371E-2</v>
      </c>
      <c r="T746" s="63">
        <f>IF((((inputs!$P$13/(V746/MAX(K746:S746)))^(1/inputs!$O$13))-1)/inputs!$N$13&lt;0, 0, IF((((inputs!$P$13/(V746/MAX(K746:S746)))^(1/inputs!$O$13))-1)/inputs!$N$13&lt;inputs!$I$17, (((inputs!$P$13/(V746/MAX(K746:S746)))^(1/inputs!$O$13))-1)/inputs!$N$13, inputs!$I$17))</f>
        <v>674.71190484794431</v>
      </c>
      <c r="U746" s="63">
        <f>IF((((inputs!$P$13/(X746/MAX(K746:S746)))^(1/inputs!$O$13))-1)/inputs!$N$13&lt;0, 0, IF((((inputs!$P$13/(X746/MAX(K746:S746)))^(1/inputs!$O$13))-1)/inputs!$N$13&lt;inputs!$I$17, (((inputs!$P$13/(X746/MAX(K746:S746)))^(1/inputs!$O$13))-1)/inputs!$N$13, inputs!$I$17))</f>
        <v>219.54328624565957</v>
      </c>
      <c r="V746" s="21">
        <f>inputs!$E$87*(F746/inputs!$F$87)^(1)</f>
        <v>0.1045</v>
      </c>
      <c r="W746" s="21">
        <f>inputs!$E$90*(F746/inputs!$F$90)^(1)</f>
        <v>0.11000000000000001</v>
      </c>
      <c r="X746" s="21">
        <f>inputs!$E$89*(F746/inputs!$F$89)^(1)</f>
        <v>0.4107594936708861</v>
      </c>
      <c r="Y746" s="21" t="s">
        <v>13</v>
      </c>
      <c r="Z746" s="63">
        <f t="shared" si="78"/>
        <v>390.00172358925192</v>
      </c>
      <c r="AA746" s="63">
        <f t="shared" si="79"/>
        <v>370.50163740978928</v>
      </c>
    </row>
    <row r="747" spans="1:27" x14ac:dyDescent="0.25">
      <c r="A747" s="103" t="s">
        <v>391</v>
      </c>
      <c r="B747" s="20" t="s">
        <v>392</v>
      </c>
      <c r="C747" s="21" t="s">
        <v>79</v>
      </c>
      <c r="D747" s="105" t="s">
        <v>378</v>
      </c>
      <c r="E747" s="15">
        <v>173</v>
      </c>
      <c r="F747" s="15">
        <v>550</v>
      </c>
      <c r="G747" s="21" t="s">
        <v>142</v>
      </c>
      <c r="H747" s="21">
        <v>0.69</v>
      </c>
      <c r="I747" s="68">
        <f>MAX('Max rate concentrations'!$H$3:$H$368)</f>
        <v>282</v>
      </c>
      <c r="J747" s="68">
        <f>MAX('Max rate concentrations'!AA:AA)</f>
        <v>195</v>
      </c>
      <c r="K747" s="69">
        <f t="shared" si="80"/>
        <v>2.8233741640179271</v>
      </c>
      <c r="L747" s="69">
        <f t="shared" si="81"/>
        <v>1.9523331985230346</v>
      </c>
      <c r="M747" s="69">
        <f>IF((((0.065*F747^0.726)/3.7-(0.301*F747^0.751)/(1-H747)*H747)*(MAX('Max rate concentrations'!$P$3:$P$368)))/F747&gt;0, (((0.065*F747^0.726)/3.7-(0.301*F747^0.751)/(1-H747)*H747)*(MAX('Max rate concentrations'!$P$3:$P$368)))/F747, 0)</f>
        <v>0</v>
      </c>
      <c r="N747" s="69">
        <f>IF((((0.065*F747^0.726)/3.7-(0.301*F747^0.751)/(1-H747)*H747)*(MAX('Max rate concentrations'!$Q$3:$Q$368)))/F747&gt;0, (((0.065*F747^0.726)/3.7-(0.301*F747^0.751)/(1-H747)*H747)*(MAX('Max rate concentrations'!$Q$3:$Q$368)))/F747, 0)</f>
        <v>0</v>
      </c>
      <c r="O747" s="69" t="s">
        <v>13</v>
      </c>
      <c r="P747" s="69" t="s">
        <v>13</v>
      </c>
      <c r="Q747" s="69">
        <f>(inputs!$C$18*11.2)*(25.05*F747^0.63)*0.5*1/F747</f>
        <v>40.755180115076826</v>
      </c>
      <c r="R747" s="59">
        <f>(60*76.9*((F747/1000)^0.76)*3*24*(MAX('Max rate concentrations'!$R$3:$R$368))/F747)</f>
        <v>2.9547499883225631E-3</v>
      </c>
      <c r="S747" s="59">
        <f>(IF(inputs!$C$17="aerial",((0.025*0.112*inputs!$C$18/3.3)*(3*60*76.9*((F747/1000)^0.76))*MAX(inputs!$I$14:$I$16))/F747,((0.0083*0.112*inputs!$C$18/1)*(3*60*76.9*((F747/1000)^0.76))*MAX(inputs!$I$14:$I$16))/F747))</f>
        <v>1.247633997346371E-2</v>
      </c>
      <c r="T747" s="63">
        <f>IF((((inputs!$P$13/(V747/MAX(K747:S747)))^(1/inputs!$O$13))-1)/inputs!$N$13&lt;0, 0, IF((((inputs!$P$13/(V747/MAX(K747:S747)))^(1/inputs!$O$13))-1)/inputs!$N$13&lt;inputs!$I$17, (((inputs!$P$13/(V747/MAX(K747:S747)))^(1/inputs!$O$13))-1)/inputs!$N$13, inputs!$I$17))</f>
        <v>674.71190484794431</v>
      </c>
      <c r="U747" s="63">
        <f>IF((((inputs!$P$13/(X747/MAX(K747:S747)))^(1/inputs!$O$13))-1)/inputs!$N$13&lt;0, 0, IF((((inputs!$P$13/(X747/MAX(K747:S747)))^(1/inputs!$O$13))-1)/inputs!$N$13&lt;inputs!$I$17, (((inputs!$P$13/(X747/MAX(K747:S747)))^(1/inputs!$O$13))-1)/inputs!$N$13, inputs!$I$17))</f>
        <v>219.54328624565957</v>
      </c>
      <c r="V747" s="21">
        <f>inputs!$E$87*(F747/inputs!$F$87)^(1)</f>
        <v>0.1045</v>
      </c>
      <c r="W747" s="21">
        <f>inputs!$E$90*(F747/inputs!$F$90)^(1)</f>
        <v>0.11000000000000001</v>
      </c>
      <c r="X747" s="21">
        <f>inputs!$E$89*(F747/inputs!$F$89)^(1)</f>
        <v>0.4107594936708861</v>
      </c>
      <c r="Y747" s="21" t="s">
        <v>13</v>
      </c>
      <c r="Z747" s="63">
        <f t="shared" si="78"/>
        <v>390.00172358925192</v>
      </c>
      <c r="AA747" s="63">
        <f t="shared" si="79"/>
        <v>370.50163740978928</v>
      </c>
    </row>
    <row r="748" spans="1:27" x14ac:dyDescent="0.25">
      <c r="A748" s="103" t="s">
        <v>391</v>
      </c>
      <c r="B748" s="20" t="s">
        <v>392</v>
      </c>
      <c r="C748" s="21" t="s">
        <v>79</v>
      </c>
      <c r="D748" s="105" t="s">
        <v>378</v>
      </c>
      <c r="E748" s="15">
        <v>173</v>
      </c>
      <c r="F748" s="15">
        <v>550</v>
      </c>
      <c r="G748" s="21" t="s">
        <v>138</v>
      </c>
      <c r="H748" s="20">
        <v>0.68</v>
      </c>
      <c r="I748" s="68">
        <f>MAX('Max rate concentrations'!$L$3:$L$368)</f>
        <v>350.52744091332482</v>
      </c>
      <c r="J748" s="68">
        <f>MAX('Max rate concentrations'!AD:AD)</f>
        <v>242.38599637623525</v>
      </c>
      <c r="K748" s="69">
        <f t="shared" si="80"/>
        <v>3.3997976212404768</v>
      </c>
      <c r="L748" s="69">
        <f t="shared" si="81"/>
        <v>2.3509238870279896</v>
      </c>
      <c r="M748" s="69">
        <f>IF((((0.065*F748^0.726)/3.7-(0.301*F748^0.751)/(1-H748)*H748)*(MAX('Max rate concentrations'!$P$3:$P$368)))/F748&gt;0, (((0.065*F748^0.726)/3.7-(0.301*F748^0.751)/(1-H748)*H748)*(MAX('Max rate concentrations'!$P$3:$P$368)))/F748, 0)</f>
        <v>0</v>
      </c>
      <c r="N748" s="69">
        <f>IF((((0.065*F748^0.726)/3.7-(0.301*F748^0.751)/(1-H748)*H748)*(MAX('Max rate concentrations'!$Q$3:$Q$368)))/F748&gt;0, (((0.065*F748^0.726)/3.7-(0.301*F748^0.751)/(1-H748)*H748)*(MAX('Max rate concentrations'!$Q$3:$Q$368)))/F748, 0)</f>
        <v>0</v>
      </c>
      <c r="O748" s="69" t="s">
        <v>13</v>
      </c>
      <c r="P748" s="69" t="s">
        <v>13</v>
      </c>
      <c r="Q748" s="69">
        <f>(inputs!$C$18*11.2)*(25.05*F748^0.63)*0.5*1/F748</f>
        <v>40.755180115076826</v>
      </c>
      <c r="R748" s="59">
        <f>(60*76.9*((F748/1000)^0.76)*3*24*(MAX('Max rate concentrations'!$R$3:$R$368))/F748)</f>
        <v>2.9547499883225631E-3</v>
      </c>
      <c r="S748" s="59">
        <f>(IF(inputs!$C$17="aerial",((0.025*0.112*inputs!$C$18/3.3)*(3*60*76.9*((F748/1000)^0.76))*MAX(inputs!$I$14:$I$16))/F748,((0.0083*0.112*inputs!$C$18/1)*(3*60*76.9*((F748/1000)^0.76))*MAX(inputs!$I$14:$I$16))/F748))</f>
        <v>1.247633997346371E-2</v>
      </c>
      <c r="T748" s="63">
        <f>IF((((inputs!$P$13/(V748/MAX(K748:S748)))^(1/inputs!$O$13))-1)/inputs!$N$13&lt;0, 0, IF((((inputs!$P$13/(V748/MAX(K748:S748)))^(1/inputs!$O$13))-1)/inputs!$N$13&lt;inputs!$I$17, (((inputs!$P$13/(V748/MAX(K748:S748)))^(1/inputs!$O$13))-1)/inputs!$N$13, inputs!$I$17))</f>
        <v>674.71190484794431</v>
      </c>
      <c r="U748" s="63">
        <f>IF((((inputs!$P$13/(X748/MAX(K748:S748)))^(1/inputs!$O$13))-1)/inputs!$N$13&lt;0, 0, IF((((inputs!$P$13/(X748/MAX(K748:S748)))^(1/inputs!$O$13))-1)/inputs!$N$13&lt;inputs!$I$17, (((inputs!$P$13/(X748/MAX(K748:S748)))^(1/inputs!$O$13))-1)/inputs!$N$13, inputs!$I$17))</f>
        <v>219.54328624565957</v>
      </c>
      <c r="V748" s="21">
        <f>inputs!$E$87*(F748/inputs!$F$87)^(1)</f>
        <v>0.1045</v>
      </c>
      <c r="W748" s="21">
        <f>inputs!$E$90*(F748/inputs!$F$90)^(1)</f>
        <v>0.11000000000000001</v>
      </c>
      <c r="X748" s="21">
        <f>inputs!$E$89*(F748/inputs!$F$89)^(1)</f>
        <v>0.4107594936708861</v>
      </c>
      <c r="Y748" s="21" t="s">
        <v>13</v>
      </c>
      <c r="Z748" s="63">
        <f t="shared" si="78"/>
        <v>390.00172358925192</v>
      </c>
      <c r="AA748" s="63">
        <f t="shared" si="79"/>
        <v>370.50163740978928</v>
      </c>
    </row>
    <row r="749" spans="1:27" x14ac:dyDescent="0.25">
      <c r="A749" s="103" t="s">
        <v>391</v>
      </c>
      <c r="B749" s="20" t="s">
        <v>392</v>
      </c>
      <c r="C749" s="21" t="s">
        <v>79</v>
      </c>
      <c r="D749" s="105" t="s">
        <v>378</v>
      </c>
      <c r="E749" s="15">
        <v>173</v>
      </c>
      <c r="F749" s="15">
        <v>550</v>
      </c>
      <c r="G749" s="21" t="s">
        <v>186</v>
      </c>
      <c r="H749" s="49">
        <v>0.75</v>
      </c>
      <c r="I749" s="68">
        <f>inputs!$C$66*inputs!$C$64/1000</f>
        <v>21.3</v>
      </c>
      <c r="J749" s="68">
        <f>inputs!$C$66*inputs!$C$63/1000</f>
        <v>8.8000000000000007</v>
      </c>
      <c r="K749" s="69">
        <f t="shared" si="80"/>
        <v>0.26443602276610462</v>
      </c>
      <c r="L749" s="69">
        <f t="shared" si="81"/>
        <v>0.10925056339632493</v>
      </c>
      <c r="M749" s="69">
        <f>IF((((0.065*F749^0.726)/3.7-(0.301*F749^0.751)/(1-H749)*H749)*(MAX('Max rate concentrations'!$P$3:$P$368)))/F749&gt;0, (((0.065*F749^0.726)/3.7-(0.301*F749^0.751)/(1-H749)*H749)*(MAX('Max rate concentrations'!$P$3:$P$368)))/F749, 0)</f>
        <v>0</v>
      </c>
      <c r="N749" s="69">
        <f>IF((((0.065*F749^0.726)/3.7-(0.301*F749^0.751)/(1-H749)*H749)*(MAX('Max rate concentrations'!$Q$3:$Q$368)))/F749&gt;0, (((0.065*F749^0.726)/3.7-(0.301*F749^0.751)/(1-H749)*H749)*(MAX('Max rate concentrations'!$Q$3:$Q$368)))/F749, 0)</f>
        <v>0</v>
      </c>
      <c r="O749" s="69" t="s">
        <v>13</v>
      </c>
      <c r="P749" s="69" t="s">
        <v>13</v>
      </c>
      <c r="Q749" s="69">
        <f>(inputs!$C$18*11.2)*(25.05*F749^0.63)*0.5*1/F749</f>
        <v>40.755180115076826</v>
      </c>
      <c r="R749" s="59">
        <f>(60*76.9*((F749/1000)^0.76)*3*24*(MAX('Max rate concentrations'!$R$3:$R$368))/F749)</f>
        <v>2.9547499883225631E-3</v>
      </c>
      <c r="S749" s="59">
        <f>(IF(inputs!$C$17="aerial",((0.025*0.112*inputs!$C$18/3.3)*(3*60*76.9*((F749/1000)^0.76))*MAX(inputs!$I$14:$I$16))/F749,((0.0083*0.112*inputs!$C$18/1)*(3*60*76.9*((F749/1000)^0.76))*MAX(inputs!$I$14:$I$16))/F749))</f>
        <v>1.247633997346371E-2</v>
      </c>
      <c r="T749" s="63">
        <f>IF((((inputs!$P$13/(V749/MAX(K749:S749)))^(1/inputs!$O$13))-1)/inputs!$N$13&lt;0, 0, IF((((inputs!$P$13/(V749/MAX(K749:S749)))^(1/inputs!$O$13))-1)/inputs!$N$13&lt;inputs!$I$17, (((inputs!$P$13/(V749/MAX(K749:S749)))^(1/inputs!$O$13))-1)/inputs!$N$13, inputs!$I$17))</f>
        <v>674.71190484794431</v>
      </c>
      <c r="U749" s="63">
        <f>IF((((inputs!$P$13/(X749/MAX(K749:S749)))^(1/inputs!$O$13))-1)/inputs!$N$13&lt;0, 0, IF((((inputs!$P$13/(X749/MAX(K749:S749)))^(1/inputs!$O$13))-1)/inputs!$N$13&lt;inputs!$I$17, (((inputs!$P$13/(X749/MAX(K749:S749)))^(1/inputs!$O$13))-1)/inputs!$N$13, inputs!$I$17))</f>
        <v>219.54328624565957</v>
      </c>
      <c r="V749" s="21">
        <f>inputs!$E$87*(F749/inputs!$F$87)^(1)</f>
        <v>0.1045</v>
      </c>
      <c r="W749" s="21">
        <f>inputs!$E$90*(F749/inputs!$F$90)^(1)</f>
        <v>0.11000000000000001</v>
      </c>
      <c r="X749" s="21">
        <f>inputs!$E$89*(F749/inputs!$F$89)^(1)</f>
        <v>0.4107594936708861</v>
      </c>
      <c r="Y749" s="21" t="s">
        <v>13</v>
      </c>
      <c r="Z749" s="63">
        <f t="shared" si="78"/>
        <v>390.00172358925192</v>
      </c>
      <c r="AA749" s="63">
        <f t="shared" si="79"/>
        <v>370.50163740978928</v>
      </c>
    </row>
    <row r="750" spans="1:27" x14ac:dyDescent="0.25">
      <c r="A750" s="103" t="s">
        <v>391</v>
      </c>
      <c r="B750" s="20" t="s">
        <v>392</v>
      </c>
      <c r="C750" s="21" t="s">
        <v>79</v>
      </c>
      <c r="D750" s="105" t="s">
        <v>378</v>
      </c>
      <c r="E750" s="15">
        <v>173</v>
      </c>
      <c r="F750" s="15">
        <v>550</v>
      </c>
      <c r="G750" s="21" t="s">
        <v>456</v>
      </c>
      <c r="H750" s="20">
        <v>0.68</v>
      </c>
      <c r="I750" s="68">
        <f>MAX('Max rate concentrations'!$J$3:$J$368)</f>
        <v>686.46486205830786</v>
      </c>
      <c r="J750" s="68">
        <f>MAX('Max rate concentrations'!AB:AB)</f>
        <v>243.122971978984</v>
      </c>
      <c r="K750" s="69">
        <f t="shared" si="80"/>
        <v>6.6580853099831856</v>
      </c>
      <c r="L750" s="69">
        <f t="shared" si="81"/>
        <v>2.358071880619045</v>
      </c>
      <c r="M750" s="69">
        <f>IF((((0.065*F750^0.726)/3.7-(0.301*F750^0.751)/(1-H750)*H750)*(MAX('Max rate concentrations'!$P$3:$P$368)))/F750&gt;0, (((0.065*F750^0.726)/3.7-(0.301*F750^0.751)/(1-H750)*H750)*(MAX('Max rate concentrations'!$P$3:$P$368)))/F750, 0)</f>
        <v>0</v>
      </c>
      <c r="N750" s="69">
        <f>IF((((0.065*F750^0.726)/3.7-(0.301*F750^0.751)/(1-H750)*H750)*(MAX('Max rate concentrations'!$Q$3:$Q$368)))/F750&gt;0, (((0.065*F750^0.726)/3.7-(0.301*F750^0.751)/(1-H750)*H750)*(MAX('Max rate concentrations'!$Q$3:$Q$368)))/F750, 0)</f>
        <v>0</v>
      </c>
      <c r="O750" s="69" t="s">
        <v>13</v>
      </c>
      <c r="P750" s="69" t="s">
        <v>13</v>
      </c>
      <c r="Q750" s="69">
        <f>(inputs!$C$18*11.2)*(25.05*F750^0.63)*0.5*1/F750</f>
        <v>40.755180115076826</v>
      </c>
      <c r="R750" s="59">
        <f>(60*76.9*((F750/1000)^0.76)*3*24*(MAX('Max rate concentrations'!$R$3:$R$368))/F750)</f>
        <v>2.9547499883225631E-3</v>
      </c>
      <c r="S750" s="59">
        <f>(IF(inputs!$C$17="aerial",((0.025*0.112*inputs!$C$18/3.3)*(3*60*76.9*((F750/1000)^0.76))*MAX(inputs!$I$14:$I$16))/F750,((0.0083*0.112*inputs!$C$18/1)*(3*60*76.9*((F750/1000)^0.76))*MAX(inputs!$I$14:$I$16))/F750))</f>
        <v>1.247633997346371E-2</v>
      </c>
      <c r="T750" s="63">
        <f>IF((((inputs!$P$13/(V750/MAX(K750:S750)))^(1/inputs!$O$13))-1)/inputs!$N$13&lt;0, 0, IF((((inputs!$P$13/(V750/MAX(K750:S750)))^(1/inputs!$O$13))-1)/inputs!$N$13&lt;inputs!$I$17, (((inputs!$P$13/(V750/MAX(K750:S750)))^(1/inputs!$O$13))-1)/inputs!$N$13, inputs!$I$17))</f>
        <v>674.71190484794431</v>
      </c>
      <c r="U750" s="63">
        <f>IF((((inputs!$P$13/(X750/MAX(K750:S750)))^(1/inputs!$O$13))-1)/inputs!$N$13&lt;0, 0, IF((((inputs!$P$13/(X750/MAX(K750:S750)))^(1/inputs!$O$13))-1)/inputs!$N$13&lt;inputs!$I$17, (((inputs!$P$13/(X750/MAX(K750:S750)))^(1/inputs!$O$13))-1)/inputs!$N$13, inputs!$I$17))</f>
        <v>219.54328624565957</v>
      </c>
      <c r="V750" s="21">
        <f>inputs!$E$87*(F750/inputs!$F$87)^(1)</f>
        <v>0.1045</v>
      </c>
      <c r="W750" s="21">
        <f>inputs!$E$90*(F750/inputs!$F$90)^(1)</f>
        <v>0.11000000000000001</v>
      </c>
      <c r="X750" s="21">
        <f>inputs!$E$89*(F750/inputs!$F$89)^(1)</f>
        <v>0.4107594936708861</v>
      </c>
      <c r="Y750" s="21" t="s">
        <v>13</v>
      </c>
      <c r="Z750" s="63">
        <f t="shared" si="78"/>
        <v>390.00172358925192</v>
      </c>
      <c r="AA750" s="63">
        <f t="shared" si="79"/>
        <v>370.50163740978928</v>
      </c>
    </row>
    <row r="751" spans="1:27" x14ac:dyDescent="0.25">
      <c r="A751" s="103" t="s">
        <v>391</v>
      </c>
      <c r="B751" s="20" t="s">
        <v>392</v>
      </c>
      <c r="C751" s="21" t="s">
        <v>79</v>
      </c>
      <c r="D751" s="105" t="s">
        <v>378</v>
      </c>
      <c r="E751" s="15">
        <v>173</v>
      </c>
      <c r="F751" s="15">
        <v>550</v>
      </c>
      <c r="G751" s="21" t="s">
        <v>145</v>
      </c>
      <c r="H751" s="20">
        <v>0.66</v>
      </c>
      <c r="I751" s="68">
        <f>MAX('Max rate concentrations'!$M$3:$M$368)</f>
        <v>17.092910873809167</v>
      </c>
      <c r="J751" s="68">
        <f>MAX('Max rate concentrations'!AE:AE)</f>
        <v>11.81956602976166</v>
      </c>
      <c r="K751" s="69">
        <f t="shared" si="80"/>
        <v>0.15603360152463402</v>
      </c>
      <c r="L751" s="69">
        <f t="shared" si="81"/>
        <v>0.10789557552235333</v>
      </c>
      <c r="M751" s="69">
        <f>IF((((0.065*F751^0.726)/3.7-(0.301*F751^0.751)/(1-H751)*H751)*(MAX('Max rate concentrations'!$P$3:$P$368)))/F751&gt;0, (((0.065*F751^0.726)/3.7-(0.301*F751^0.751)/(1-H751)*H751)*(MAX('Max rate concentrations'!$P$3:$P$368)))/F751, 0)</f>
        <v>0</v>
      </c>
      <c r="N751" s="69">
        <f>IF((((0.065*F751^0.726)/3.7-(0.301*F751^0.751)/(1-H751)*H751)*(MAX('Max rate concentrations'!$Q$3:$Q$368)))/F751&gt;0, (((0.065*F751^0.726)/3.7-(0.301*F751^0.751)/(1-H751)*H751)*(MAX('Max rate concentrations'!$Q$3:$Q$368)))/F751, 0)</f>
        <v>0</v>
      </c>
      <c r="O751" s="69" t="s">
        <v>13</v>
      </c>
      <c r="P751" s="69" t="s">
        <v>13</v>
      </c>
      <c r="Q751" s="69">
        <f>(inputs!$C$18*11.2)*(25.05*F751^0.63)*0.5*1/F751</f>
        <v>40.755180115076826</v>
      </c>
      <c r="R751" s="59">
        <f>(60*76.9*((F751/1000)^0.76)*3*24*(MAX('Max rate concentrations'!$R$3:$R$368))/F751)</f>
        <v>2.9547499883225631E-3</v>
      </c>
      <c r="S751" s="59">
        <f>(IF(inputs!$C$17="aerial",((0.025*0.112*inputs!$C$18/3.3)*(3*60*76.9*((F751/1000)^0.76))*MAX(inputs!$I$14:$I$16))/F751,((0.0083*0.112*inputs!$C$18/1)*(3*60*76.9*((F751/1000)^0.76))*MAX(inputs!$I$14:$I$16))/F751))</f>
        <v>1.247633997346371E-2</v>
      </c>
      <c r="T751" s="63">
        <f>IF((((inputs!$P$13/(V751/MAX(K751:S751)))^(1/inputs!$O$13))-1)/inputs!$N$13&lt;0, 0, IF((((inputs!$P$13/(V751/MAX(K751:S751)))^(1/inputs!$O$13))-1)/inputs!$N$13&lt;inputs!$I$17, (((inputs!$P$13/(V751/MAX(K751:S751)))^(1/inputs!$O$13))-1)/inputs!$N$13, inputs!$I$17))</f>
        <v>674.71190484794431</v>
      </c>
      <c r="U751" s="63">
        <f>IF((((inputs!$P$13/(X751/MAX(K751:S751)))^(1/inputs!$O$13))-1)/inputs!$N$13&lt;0, 0, IF((((inputs!$P$13/(X751/MAX(K751:S751)))^(1/inputs!$O$13))-1)/inputs!$N$13&lt;inputs!$I$17, (((inputs!$P$13/(X751/MAX(K751:S751)))^(1/inputs!$O$13))-1)/inputs!$N$13, inputs!$I$17))</f>
        <v>219.54328624565957</v>
      </c>
      <c r="V751" s="21">
        <f>inputs!$E$87*(F751/inputs!$F$87)^(1)</f>
        <v>0.1045</v>
      </c>
      <c r="W751" s="21">
        <f>inputs!$E$90*(F751/inputs!$F$90)^(1)</f>
        <v>0.11000000000000001</v>
      </c>
      <c r="X751" s="21">
        <f>inputs!$E$89*(F751/inputs!$F$89)^(1)</f>
        <v>0.4107594936708861</v>
      </c>
      <c r="Y751" s="21" t="s">
        <v>13</v>
      </c>
      <c r="Z751" s="63">
        <f t="shared" si="78"/>
        <v>390.00172358925192</v>
      </c>
      <c r="AA751" s="63">
        <f t="shared" si="79"/>
        <v>370.50163740978928</v>
      </c>
    </row>
    <row r="752" spans="1:27" x14ac:dyDescent="0.25">
      <c r="A752" s="103" t="s">
        <v>426</v>
      </c>
      <c r="B752" s="20" t="s">
        <v>427</v>
      </c>
      <c r="C752" s="21" t="s">
        <v>79</v>
      </c>
      <c r="D752" s="105" t="s">
        <v>378</v>
      </c>
      <c r="E752" s="15">
        <v>7800</v>
      </c>
      <c r="F752" s="56">
        <v>130</v>
      </c>
      <c r="G752" s="21" t="s">
        <v>182</v>
      </c>
      <c r="H752" s="20">
        <v>0.85</v>
      </c>
      <c r="I752" s="68">
        <f>MAX('Max rate concentrations'!$M$3:$M$368)</f>
        <v>17.092910873809167</v>
      </c>
      <c r="J752" s="68">
        <f>MAX('Max rate concentrations'!AE:AE)</f>
        <v>11.81956602976166</v>
      </c>
      <c r="K752" s="69">
        <f t="shared" si="80"/>
        <v>0.4906852241493776</v>
      </c>
      <c r="L752" s="69">
        <f t="shared" si="81"/>
        <v>0.33930361244371859</v>
      </c>
      <c r="M752" s="69">
        <f>IF((((0.065*F752^0.726)/3.7-(0.301*F752^0.751)/(1-H752)*H752)*(MAX('Max rate concentrations'!$P$3:$P$368)))/F752&gt;0, (((0.065*F752^0.726)/3.7-(0.301*F752^0.751)/(1-H752)*H752)*(MAX('Max rate concentrations'!$P$3:$P$368)))/F752, 0)</f>
        <v>0</v>
      </c>
      <c r="N752" s="69">
        <f>IF((((0.065*F752^0.726)/3.7-(0.301*F752^0.751)/(1-H752)*H752)*(MAX('Max rate concentrations'!$Q$3:$Q$368)))/F752&gt;0, (((0.065*F752^0.726)/3.7-(0.301*F752^0.751)/(1-H752)*H752)*(MAX('Max rate concentrations'!$Q$3:$Q$368)))/F752, 0)</f>
        <v>0</v>
      </c>
      <c r="O752" s="69" t="s">
        <v>13</v>
      </c>
      <c r="P752" s="69" t="s">
        <v>13</v>
      </c>
      <c r="Q752" s="69">
        <f>(inputs!$C$18*11.2)*(25.05*F752^0.63)*0.5*1/F752</f>
        <v>69.495706054356589</v>
      </c>
      <c r="R752" s="59">
        <f>(60*76.9*((F752/1000)^0.76)*3*24*(MAX('Max rate concentrations'!$R$3:$R$368))/F752)</f>
        <v>4.1769702352556235E-3</v>
      </c>
      <c r="S752" s="59">
        <f>(IF(inputs!$C$17="aerial",((0.025*0.112*inputs!$C$18/3.3)*(3*60*76.9*((F752/1000)^0.76))*MAX(inputs!$I$14:$I$16))/F752,((0.0083*0.112*inputs!$C$18/1)*(3*60*76.9*((F752/1000)^0.76))*MAX(inputs!$I$14:$I$16))/F752))</f>
        <v>1.7637126971840007E-2</v>
      </c>
      <c r="T752" s="63">
        <f>IF((((inputs!$P$13/(V752/MAX(K752:S752)))^(1/inputs!$O$13))-1)/inputs!$N$13&lt;0, 0, IF((((inputs!$P$13/(V752/MAX(K752:S752)))^(1/inputs!$O$13))-1)/inputs!$N$13&lt;inputs!$I$17, (((inputs!$P$13/(V752/MAX(K752:S752)))^(1/inputs!$O$13))-1)/inputs!$N$13, inputs!$I$17))</f>
        <v>1000</v>
      </c>
      <c r="U752" s="63">
        <f>IF((((inputs!$P$13/(X752/MAX(K752:S752)))^(1/inputs!$O$13))-1)/inputs!$N$13&lt;0, 0, IF((((inputs!$P$13/(X752/MAX(K752:S752)))^(1/inputs!$O$13))-1)/inputs!$N$13&lt;inputs!$I$17, (((inputs!$P$13/(X752/MAX(K752:S752)))^(1/inputs!$O$13))-1)/inputs!$N$13, inputs!$I$17))</f>
        <v>1000</v>
      </c>
      <c r="V752" s="21">
        <f>inputs!$E$87*(F752/inputs!$F$87)^(1)</f>
        <v>2.47E-2</v>
      </c>
      <c r="W752" s="21">
        <f>inputs!$E$90*(F752/inputs!$F$90)^(1)</f>
        <v>2.5999999999999999E-2</v>
      </c>
      <c r="X752" s="21">
        <f>inputs!$E$89*(F752/inputs!$F$89)^(1)</f>
        <v>9.7088607594936691E-2</v>
      </c>
      <c r="Y752" s="21" t="s">
        <v>13</v>
      </c>
      <c r="Z752" s="63">
        <f t="shared" si="78"/>
        <v>2813.5913382330605</v>
      </c>
      <c r="AA752" s="63">
        <f t="shared" si="79"/>
        <v>2672.9117713214073</v>
      </c>
    </row>
    <row r="753" spans="1:27" x14ac:dyDescent="0.25">
      <c r="A753" s="103" t="s">
        <v>426</v>
      </c>
      <c r="B753" s="20" t="s">
        <v>427</v>
      </c>
      <c r="C753" s="21" t="s">
        <v>79</v>
      </c>
      <c r="D753" s="105" t="s">
        <v>378</v>
      </c>
      <c r="E753" s="15">
        <v>7800</v>
      </c>
      <c r="F753" s="56">
        <v>130</v>
      </c>
      <c r="G753" s="21" t="s">
        <v>456</v>
      </c>
      <c r="H753" s="20">
        <v>0.68</v>
      </c>
      <c r="I753" s="68">
        <f>MAX('Max rate concentrations'!$J$3:$J$368)</f>
        <v>686.46486205830786</v>
      </c>
      <c r="J753" s="68">
        <f>MAX('Max rate concentrations'!AB:AB)</f>
        <v>243.122971978984</v>
      </c>
      <c r="K753" s="69">
        <f t="shared" ref="K753:K784" si="82">(((0.013*F753^0.773)/(1-H753)))*I753/F753</f>
        <v>9.2373318315038944</v>
      </c>
      <c r="L753" s="69">
        <f t="shared" ref="L753:L773" si="83">(((0.013*F753^0.773)/(1-H753)))*J753/F753</f>
        <v>3.2715550236576285</v>
      </c>
      <c r="M753" s="69">
        <f>IF((((0.065*F753^0.726)/3.7-(0.301*F753^0.751)/(1-H753)*H753)*(MAX('Max rate concentrations'!$P$3:$P$368)))/F753&gt;0, (((0.065*F753^0.726)/3.7-(0.301*F753^0.751)/(1-H753)*H753)*(MAX('Max rate concentrations'!$P$3:$P$368)))/F753, 0)</f>
        <v>0</v>
      </c>
      <c r="N753" s="69">
        <f>IF((((0.065*F753^0.726)/3.7-(0.301*F753^0.751)/(1-H753)*H753)*(MAX('Max rate concentrations'!$Q$3:$Q$368)))/F753&gt;0, (((0.065*F753^0.726)/3.7-(0.301*F753^0.751)/(1-H753)*H753)*(MAX('Max rate concentrations'!$Q$3:$Q$368)))/F753, 0)</f>
        <v>0</v>
      </c>
      <c r="O753" s="69" t="s">
        <v>13</v>
      </c>
      <c r="P753" s="69" t="s">
        <v>13</v>
      </c>
      <c r="Q753" s="69">
        <f>(inputs!$C$18*11.2)*(25.05*F753^0.63)*0.5*1/F753</f>
        <v>69.495706054356589</v>
      </c>
      <c r="R753" s="59">
        <f>(60*76.9*((F753/1000)^0.76)*3*24*(MAX('Max rate concentrations'!$R$3:$R$368))/F753)</f>
        <v>4.1769702352556235E-3</v>
      </c>
      <c r="S753" s="59">
        <f>(IF(inputs!$C$17="aerial",((0.025*0.112*inputs!$C$18/3.3)*(3*60*76.9*((F753/1000)^0.76))*MAX(inputs!$I$14:$I$16))/F753,((0.0083*0.112*inputs!$C$18/1)*(3*60*76.9*((F753/1000)^0.76))*MAX(inputs!$I$14:$I$16))/F753))</f>
        <v>1.7637126971840007E-2</v>
      </c>
      <c r="T753" s="63">
        <f>IF((((inputs!$P$13/(V753/MAX(K753:S753)))^(1/inputs!$O$13))-1)/inputs!$N$13&lt;0, 0, IF((((inputs!$P$13/(V753/MAX(K753:S753)))^(1/inputs!$O$13))-1)/inputs!$N$13&lt;inputs!$I$17, (((inputs!$P$13/(V753/MAX(K753:S753)))^(1/inputs!$O$13))-1)/inputs!$N$13, inputs!$I$17))</f>
        <v>1000</v>
      </c>
      <c r="U753" s="63">
        <f>IF((((inputs!$P$13/(X753/MAX(K753:S753)))^(1/inputs!$O$13))-1)/inputs!$N$13&lt;0, 0, IF((((inputs!$P$13/(X753/MAX(K753:S753)))^(1/inputs!$O$13))-1)/inputs!$N$13&lt;inputs!$I$17, (((inputs!$P$13/(X753/MAX(K753:S753)))^(1/inputs!$O$13))-1)/inputs!$N$13, inputs!$I$17))</f>
        <v>1000</v>
      </c>
      <c r="V753" s="21">
        <f>inputs!$E$87*(F753/inputs!$F$87)^(1)</f>
        <v>2.47E-2</v>
      </c>
      <c r="W753" s="21">
        <f>inputs!$E$90*(F753/inputs!$F$90)^(1)</f>
        <v>2.5999999999999999E-2</v>
      </c>
      <c r="X753" s="21">
        <f>inputs!$E$89*(F753/inputs!$F$89)^(1)</f>
        <v>9.7088607594936691E-2</v>
      </c>
      <c r="Y753" s="21" t="s">
        <v>13</v>
      </c>
      <c r="Z753" s="63">
        <f t="shared" si="78"/>
        <v>2813.5913382330605</v>
      </c>
      <c r="AA753" s="63">
        <f t="shared" si="79"/>
        <v>2672.9117713214073</v>
      </c>
    </row>
    <row r="754" spans="1:27" x14ac:dyDescent="0.25">
      <c r="A754" s="103" t="s">
        <v>426</v>
      </c>
      <c r="B754" s="20" t="s">
        <v>427</v>
      </c>
      <c r="C754" s="21" t="s">
        <v>79</v>
      </c>
      <c r="D754" s="105" t="s">
        <v>378</v>
      </c>
      <c r="E754" s="15">
        <v>7800</v>
      </c>
      <c r="F754" s="56">
        <v>130</v>
      </c>
      <c r="G754" s="21" t="s">
        <v>145</v>
      </c>
      <c r="H754" s="20">
        <v>0.66</v>
      </c>
      <c r="I754" s="68">
        <f>MAX('Max rate concentrations'!$M$3:$M$368)</f>
        <v>17.092910873809167</v>
      </c>
      <c r="J754" s="68">
        <f>MAX('Max rate concentrations'!AE:AE)</f>
        <v>11.81956602976166</v>
      </c>
      <c r="K754" s="69">
        <f t="shared" si="82"/>
        <v>0.21647877536001958</v>
      </c>
      <c r="L754" s="69">
        <f t="shared" si="83"/>
        <v>0.14969277019575825</v>
      </c>
      <c r="M754" s="69">
        <f>IF((((0.065*F754^0.726)/3.7-(0.301*F754^0.751)/(1-H754)*H754)*(MAX('Max rate concentrations'!$P$3:$P$368)))/F754&gt;0, (((0.065*F754^0.726)/3.7-(0.301*F754^0.751)/(1-H754)*H754)*(MAX('Max rate concentrations'!$P$3:$P$368)))/F754, 0)</f>
        <v>0</v>
      </c>
      <c r="N754" s="69">
        <f>IF((((0.065*F754^0.726)/3.7-(0.301*F754^0.751)/(1-H754)*H754)*(MAX('Max rate concentrations'!$Q$3:$Q$368)))/F754&gt;0, (((0.065*F754^0.726)/3.7-(0.301*F754^0.751)/(1-H754)*H754)*(MAX('Max rate concentrations'!$Q$3:$Q$368)))/F754, 0)</f>
        <v>0</v>
      </c>
      <c r="O754" s="69" t="s">
        <v>13</v>
      </c>
      <c r="P754" s="69" t="s">
        <v>13</v>
      </c>
      <c r="Q754" s="69">
        <f>(inputs!$C$18*11.2)*(25.05*F754^0.63)*0.5*1/F754</f>
        <v>69.495706054356589</v>
      </c>
      <c r="R754" s="59">
        <f>(60*76.9*((F754/1000)^0.76)*3*24*(MAX('Max rate concentrations'!$R$3:$R$368))/F754)</f>
        <v>4.1769702352556235E-3</v>
      </c>
      <c r="S754" s="59">
        <f>(IF(inputs!$C$17="aerial",((0.025*0.112*inputs!$C$18/3.3)*(3*60*76.9*((F754/1000)^0.76))*MAX(inputs!$I$14:$I$16))/F754,((0.0083*0.112*inputs!$C$18/1)*(3*60*76.9*((F754/1000)^0.76))*MAX(inputs!$I$14:$I$16))/F754))</f>
        <v>1.7637126971840007E-2</v>
      </c>
      <c r="T754" s="63">
        <f>IF((((inputs!$P$13/(V754/MAX(K754:S754)))^(1/inputs!$O$13))-1)/inputs!$N$13&lt;0, 0, IF((((inputs!$P$13/(V754/MAX(K754:S754)))^(1/inputs!$O$13))-1)/inputs!$N$13&lt;inputs!$I$17, (((inputs!$P$13/(V754/MAX(K754:S754)))^(1/inputs!$O$13))-1)/inputs!$N$13, inputs!$I$17))</f>
        <v>1000</v>
      </c>
      <c r="U754" s="63">
        <f>IF((((inputs!$P$13/(X754/MAX(K754:S754)))^(1/inputs!$O$13))-1)/inputs!$N$13&lt;0, 0, IF((((inputs!$P$13/(X754/MAX(K754:S754)))^(1/inputs!$O$13))-1)/inputs!$N$13&lt;inputs!$I$17, (((inputs!$P$13/(X754/MAX(K754:S754)))^(1/inputs!$O$13))-1)/inputs!$N$13, inputs!$I$17))</f>
        <v>1000</v>
      </c>
      <c r="V754" s="21">
        <f>inputs!$E$87*(F754/inputs!$F$87)^(1)</f>
        <v>2.47E-2</v>
      </c>
      <c r="W754" s="21">
        <f>inputs!$E$90*(F754/inputs!$F$90)^(1)</f>
        <v>2.5999999999999999E-2</v>
      </c>
      <c r="X754" s="21">
        <f>inputs!$E$89*(F754/inputs!$F$89)^(1)</f>
        <v>9.7088607594936691E-2</v>
      </c>
      <c r="Y754" s="21" t="s">
        <v>13</v>
      </c>
      <c r="Z754" s="63">
        <f t="shared" si="78"/>
        <v>2813.5913382330605</v>
      </c>
      <c r="AA754" s="63">
        <f t="shared" si="79"/>
        <v>2672.9117713214073</v>
      </c>
    </row>
    <row r="755" spans="1:27" ht="26.4" x14ac:dyDescent="0.25">
      <c r="A755" s="120" t="s">
        <v>432</v>
      </c>
      <c r="B755" s="20" t="s">
        <v>433</v>
      </c>
      <c r="C755" s="21" t="s">
        <v>79</v>
      </c>
      <c r="D755" s="105" t="s">
        <v>378</v>
      </c>
      <c r="E755" s="15">
        <v>187</v>
      </c>
      <c r="F755" s="15">
        <v>140</v>
      </c>
      <c r="G755" s="21" t="s">
        <v>634</v>
      </c>
      <c r="H755" s="21">
        <v>0.75</v>
      </c>
      <c r="I755" s="68">
        <f>inputs!$C$66*inputs!$C$64/1000</f>
        <v>21.3</v>
      </c>
      <c r="J755" s="68">
        <f>inputs!$C$66*inputs!$C$63/1000</f>
        <v>8.8000000000000007</v>
      </c>
      <c r="K755" s="69">
        <f t="shared" si="82"/>
        <v>0.36075460453795338</v>
      </c>
      <c r="L755" s="69">
        <f t="shared" si="83"/>
        <v>0.14904415586544553</v>
      </c>
      <c r="M755" s="69">
        <f>IF((((0.065*F755^0.726)/3.7-(0.301*F755^0.751)/(1-H755)*H755)*(MAX('Max rate concentrations'!$P$3:$P$368)))/F755&gt;0, (((0.065*F755^0.726)/3.7-(0.301*F755^0.751)/(1-H755)*H755)*(MAX('Max rate concentrations'!$P$3:$P$368)))/F755, 0)</f>
        <v>0</v>
      </c>
      <c r="N755" s="69">
        <f>IF((((0.065*F755^0.726)/3.7-(0.301*F755^0.751)/(1-H755)*H755)*(MAX('Max rate concentrations'!$Q$3:$Q$368)))/F755&gt;0, (((0.065*F755^0.726)/3.7-(0.301*F755^0.751)/(1-H755)*H755)*(MAX('Max rate concentrations'!$Q$3:$Q$368)))/F755, 0)</f>
        <v>0</v>
      </c>
      <c r="O755" s="69" t="s">
        <v>13</v>
      </c>
      <c r="P755" s="69" t="s">
        <v>13</v>
      </c>
      <c r="Q755" s="69">
        <f>(inputs!$C$18*11.2)*(25.05*F755^0.63)*0.5*1/F755</f>
        <v>67.616025433154491</v>
      </c>
      <c r="R755" s="59">
        <f>(60*76.9*((F755/1000)^0.76)*3*24*(MAX('Max rate concentrations'!$R$3:$R$368))/F755)</f>
        <v>4.1033357739064602E-3</v>
      </c>
      <c r="S755" s="59">
        <f>(IF(inputs!$C$17="aerial",((0.025*0.112*inputs!$C$18/3.3)*(3*60*76.9*((F755/1000)^0.76))*MAX(inputs!$I$14:$I$16))/F755,((0.0083*0.112*inputs!$C$18/1)*(3*60*76.9*((F755/1000)^0.76))*MAX(inputs!$I$14:$I$16))/F755))</f>
        <v>1.7326207747815722E-2</v>
      </c>
      <c r="T755" s="63">
        <f>IF((((inputs!$P$13/(V755/MAX(K755:S755)))^(1/inputs!$O$13))-1)/inputs!$N$13&lt;0, 0, IF((((inputs!$P$13/(V755/MAX(K755:S755)))^(1/inputs!$O$13))-1)/inputs!$N$13&lt;inputs!$I$17, (((inputs!$P$13/(V755/MAX(K755:S755)))^(1/inputs!$O$13))-1)/inputs!$N$13, inputs!$I$17))</f>
        <v>1000</v>
      </c>
      <c r="U755" s="63">
        <f>IF((((inputs!$P$13/(X755/MAX(K755:S755)))^(1/inputs!$O$13))-1)/inputs!$N$13&lt;0, 0, IF((((inputs!$P$13/(X755/MAX(K755:S755)))^(1/inputs!$O$13))-1)/inputs!$N$13&lt;inputs!$I$17, (((inputs!$P$13/(X755/MAX(K755:S755)))^(1/inputs!$O$13))-1)/inputs!$N$13, inputs!$I$17))</f>
        <v>1000</v>
      </c>
      <c r="V755" s="21">
        <f>inputs!$E$87*(F755/inputs!$F$87)^(1)</f>
        <v>2.6599999999999999E-2</v>
      </c>
      <c r="W755" s="21">
        <f>inputs!$E$90*(F755/inputs!$F$90)^(1)</f>
        <v>2.8000000000000001E-2</v>
      </c>
      <c r="X755" s="21">
        <f>inputs!$E$89*(F755/inputs!$F$89)^(1)</f>
        <v>0.10455696202531645</v>
      </c>
      <c r="Y755" s="21" t="s">
        <v>13</v>
      </c>
      <c r="Z755" s="63">
        <f t="shared" si="78"/>
        <v>2541.9558433516727</v>
      </c>
      <c r="AA755" s="63">
        <f t="shared" si="79"/>
        <v>2414.8580511840887</v>
      </c>
    </row>
    <row r="756" spans="1:27" x14ac:dyDescent="0.25">
      <c r="A756" s="103" t="s">
        <v>424</v>
      </c>
      <c r="B756" s="20" t="s">
        <v>425</v>
      </c>
      <c r="C756" s="21" t="s">
        <v>79</v>
      </c>
      <c r="D756" s="105" t="s">
        <v>378</v>
      </c>
      <c r="E756" s="15">
        <v>3722</v>
      </c>
      <c r="F756" s="56">
        <v>1000</v>
      </c>
      <c r="G756" s="21" t="s">
        <v>456</v>
      </c>
      <c r="H756" s="20">
        <v>0.68</v>
      </c>
      <c r="I756" s="68">
        <f>MAX('Max rate concentrations'!$J$3:$J$368)</f>
        <v>686.46486205830786</v>
      </c>
      <c r="J756" s="68">
        <f>MAX('Max rate concentrations'!AB:AB)</f>
        <v>243.122971978984</v>
      </c>
      <c r="K756" s="69">
        <f t="shared" si="82"/>
        <v>5.8131520952666742</v>
      </c>
      <c r="L756" s="69">
        <f t="shared" si="83"/>
        <v>2.0588247004069467</v>
      </c>
      <c r="M756" s="69">
        <f>IF((((0.065*F756^0.726)/3.7-(0.301*F756^0.751)/(1-H756)*H756)*(MAX('Max rate concentrations'!$P$3:$P$368)))/F756&gt;0, (((0.065*F756^0.726)/3.7-(0.301*F756^0.751)/(1-H756)*H756)*(MAX('Max rate concentrations'!$P$3:$P$368)))/F756, 0)</f>
        <v>0</v>
      </c>
      <c r="N756" s="69">
        <f>IF((((0.065*F756^0.726)/3.7-(0.301*F756^0.751)/(1-H756)*H756)*(MAX('Max rate concentrations'!$Q$3:$Q$368)))/F756&gt;0, (((0.065*F756^0.726)/3.7-(0.301*F756^0.751)/(1-H756)*H756)*(MAX('Max rate concentrations'!$Q$3:$Q$368)))/F756, 0)</f>
        <v>0</v>
      </c>
      <c r="O756" s="69" t="s">
        <v>13</v>
      </c>
      <c r="P756" s="69" t="s">
        <v>13</v>
      </c>
      <c r="Q756" s="69">
        <f>(inputs!$C$18*11.2)*(25.05*F756^0.63)*0.5*1/F756</f>
        <v>32.667583656201849</v>
      </c>
      <c r="R756" s="59">
        <f>(60*76.9*((F756/1000)^0.76)*3*24*(MAX('Max rate concentrations'!$R$3:$R$368))/F756)</f>
        <v>2.5598103168780065E-3</v>
      </c>
      <c r="S756" s="59">
        <f>(IF(inputs!$C$17="aerial",((0.025*0.112*inputs!$C$18/3.3)*(3*60*76.9*((F756/1000)^0.76))*MAX(inputs!$I$14:$I$16))/F756,((0.0083*0.112*inputs!$C$18/1)*(3*60*76.9*((F756/1000)^0.76))*MAX(inputs!$I$14:$I$16))/F756))</f>
        <v>1.0808719488000003E-2</v>
      </c>
      <c r="T756" s="63">
        <f>IF((((inputs!$P$13/(V756/MAX(K756:S756)))^(1/inputs!$O$13))-1)/inputs!$N$13&lt;0, 0, IF((((inputs!$P$13/(V756/MAX(K756:S756)))^(1/inputs!$O$13))-1)/inputs!$N$13&lt;inputs!$I$17, (((inputs!$P$13/(V756/MAX(K756:S756)))^(1/inputs!$O$13))-1)/inputs!$N$13, inputs!$I$17))</f>
        <v>345.38243463679424</v>
      </c>
      <c r="U756" s="63">
        <f>IF((((inputs!$P$13/(X756/MAX(K756:S756)))^(1/inputs!$O$13))-1)/inputs!$N$13&lt;0, 0, IF((((inputs!$P$13/(X756/MAX(K756:S756)))^(1/inputs!$O$13))-1)/inputs!$N$13&lt;inputs!$I$17, (((inputs!$P$13/(X756/MAX(K756:S756)))^(1/inputs!$O$13))-1)/inputs!$N$13, inputs!$I$17))</f>
        <v>110.67532019995024</v>
      </c>
      <c r="V756" s="21">
        <f>inputs!$E$87*(F756/inputs!$F$87)^(1)</f>
        <v>0.19</v>
      </c>
      <c r="W756" s="21">
        <f>inputs!$E$90*(F756/inputs!$F$90)^(1)</f>
        <v>0.2</v>
      </c>
      <c r="X756" s="21">
        <f>inputs!$E$89*(F756/inputs!$F$89)^(1)</f>
        <v>0.74683544303797467</v>
      </c>
      <c r="Y756" s="21" t="s">
        <v>13</v>
      </c>
      <c r="Z756" s="63">
        <f t="shared" si="78"/>
        <v>171.934650822115</v>
      </c>
      <c r="AA756" s="63">
        <f t="shared" si="79"/>
        <v>163.33791828100922</v>
      </c>
    </row>
    <row r="757" spans="1:27" x14ac:dyDescent="0.25">
      <c r="A757" s="103" t="s">
        <v>397</v>
      </c>
      <c r="B757" s="20" t="s">
        <v>398</v>
      </c>
      <c r="C757" s="21" t="s">
        <v>79</v>
      </c>
      <c r="D757" s="105" t="s">
        <v>378</v>
      </c>
      <c r="E757" s="15">
        <v>164</v>
      </c>
      <c r="F757" s="15">
        <v>70</v>
      </c>
      <c r="G757" s="21" t="s">
        <v>456</v>
      </c>
      <c r="H757" s="20">
        <v>0.68</v>
      </c>
      <c r="I757" s="68">
        <f>MAX('Max rate concentrations'!$J$3:$J$368)</f>
        <v>686.46486205830786</v>
      </c>
      <c r="J757" s="68">
        <f>MAX('Max rate concentrations'!AB:AB)</f>
        <v>243.122971978984</v>
      </c>
      <c r="K757" s="69">
        <f t="shared" si="82"/>
        <v>10.63100765571618</v>
      </c>
      <c r="L757" s="69">
        <f t="shared" si="83"/>
        <v>3.7651485447328135</v>
      </c>
      <c r="M757" s="69">
        <f>IF((((0.065*F757^0.726)/3.7-(0.301*F757^0.751)/(1-H757)*H757)*(MAX('Max rate concentrations'!$P$3:$P$368)))/F757&gt;0, (((0.065*F757^0.726)/3.7-(0.301*F757^0.751)/(1-H757)*H757)*(MAX('Max rate concentrations'!$P$3:$P$368)))/F757, 0)</f>
        <v>0</v>
      </c>
      <c r="N757" s="69">
        <f>IF((((0.065*F757^0.726)/3.7-(0.301*F757^0.751)/(1-H757)*H757)*(MAX('Max rate concentrations'!$Q$3:$Q$368)))/F757&gt;0, (((0.065*F757^0.726)/3.7-(0.301*F757^0.751)/(1-H757)*H757)*(MAX('Max rate concentrations'!$Q$3:$Q$368)))/F757, 0)</f>
        <v>0</v>
      </c>
      <c r="O757" s="69" t="s">
        <v>13</v>
      </c>
      <c r="P757" s="69" t="s">
        <v>13</v>
      </c>
      <c r="Q757" s="69">
        <f>(inputs!$C$18*11.2)*(25.05*F757^0.63)*0.5*1/F757</f>
        <v>87.3837618649939</v>
      </c>
      <c r="R757" s="59">
        <f>(60*76.9*((F757/1000)^0.76)*3*24*(MAX('Max rate concentrations'!$R$3:$R$368))/F757)</f>
        <v>4.8460094363647925E-3</v>
      </c>
      <c r="S757" s="59">
        <f>(IF(inputs!$C$17="aerial",((0.025*0.112*inputs!$C$18/3.3)*(3*60*76.9*((F757/1000)^0.76))*MAX(inputs!$I$14:$I$16))/F757,((0.0083*0.112*inputs!$C$18/1)*(3*60*76.9*((F757/1000)^0.76))*MAX(inputs!$I$14:$I$16))/F757))</f>
        <v>2.0462124200573837E-2</v>
      </c>
      <c r="T757" s="63">
        <f>IF((((inputs!$P$13/(V757/MAX(K757:S757)))^(1/inputs!$O$13))-1)/inputs!$N$13&lt;0, 0, IF((((inputs!$P$13/(V757/MAX(K757:S757)))^(1/inputs!$O$13))-1)/inputs!$N$13&lt;inputs!$I$17, (((inputs!$P$13/(V757/MAX(K757:S757)))^(1/inputs!$O$13))-1)/inputs!$N$13, inputs!$I$17))</f>
        <v>1000</v>
      </c>
      <c r="U757" s="63">
        <f>IF((((inputs!$P$13/(X757/MAX(K757:S757)))^(1/inputs!$O$13))-1)/inputs!$N$13&lt;0, 0, IF((((inputs!$P$13/(X757/MAX(K757:S757)))^(1/inputs!$O$13))-1)/inputs!$N$13&lt;inputs!$I$17, (((inputs!$P$13/(X757/MAX(K757:S757)))^(1/inputs!$O$13))-1)/inputs!$N$13, inputs!$I$17))</f>
        <v>1000</v>
      </c>
      <c r="V757" s="21">
        <f>inputs!$E$87*(F757/inputs!$F$87)^(1)</f>
        <v>1.3299999999999999E-2</v>
      </c>
      <c r="W757" s="21">
        <f>inputs!$E$90*(F757/inputs!$F$90)^(1)</f>
        <v>1.4E-2</v>
      </c>
      <c r="X757" s="21">
        <f>inputs!$E$89*(F757/inputs!$F$89)^(1)</f>
        <v>5.2278481012658223E-2</v>
      </c>
      <c r="Y757" s="21" t="s">
        <v>13</v>
      </c>
      <c r="Z757" s="63">
        <f t="shared" si="78"/>
        <v>6570.2076590220977</v>
      </c>
      <c r="AA757" s="63">
        <f t="shared" si="79"/>
        <v>6241.6972760709923</v>
      </c>
    </row>
    <row r="758" spans="1:27" x14ac:dyDescent="0.25">
      <c r="A758" s="103" t="s">
        <v>397</v>
      </c>
      <c r="B758" s="20" t="s">
        <v>398</v>
      </c>
      <c r="C758" s="21" t="s">
        <v>79</v>
      </c>
      <c r="D758" s="105" t="s">
        <v>378</v>
      </c>
      <c r="E758" s="15">
        <v>164</v>
      </c>
      <c r="F758" s="15">
        <v>70</v>
      </c>
      <c r="G758" s="21" t="s">
        <v>145</v>
      </c>
      <c r="H758" s="20">
        <v>0.66</v>
      </c>
      <c r="I758" s="68">
        <f>MAX('Max rate concentrations'!$M$3:$M$368)</f>
        <v>17.092910873809167</v>
      </c>
      <c r="J758" s="68">
        <f>MAX('Max rate concentrations'!AE:AE)</f>
        <v>11.81956602976166</v>
      </c>
      <c r="K758" s="69">
        <f t="shared" si="82"/>
        <v>0.24913985554828244</v>
      </c>
      <c r="L758" s="69">
        <f t="shared" si="83"/>
        <v>0.17227755968764213</v>
      </c>
      <c r="M758" s="69">
        <f>IF((((0.065*F758^0.726)/3.7-(0.301*F758^0.751)/(1-H758)*H758)*(MAX('Max rate concentrations'!$P$3:$P$368)))/F758&gt;0, (((0.065*F758^0.726)/3.7-(0.301*F758^0.751)/(1-H758)*H758)*(MAX('Max rate concentrations'!$P$3:$P$368)))/F758, 0)</f>
        <v>0</v>
      </c>
      <c r="N758" s="69">
        <f>IF((((0.065*F758^0.726)/3.7-(0.301*F758^0.751)/(1-H758)*H758)*(MAX('Max rate concentrations'!$Q$3:$Q$368)))/F758&gt;0, (((0.065*F758^0.726)/3.7-(0.301*F758^0.751)/(1-H758)*H758)*(MAX('Max rate concentrations'!$Q$3:$Q$368)))/F758, 0)</f>
        <v>0</v>
      </c>
      <c r="O758" s="69" t="s">
        <v>13</v>
      </c>
      <c r="P758" s="69" t="s">
        <v>13</v>
      </c>
      <c r="Q758" s="69">
        <f>(inputs!$C$18*11.2)*(25.05*F758^0.63)*0.5*1/F758</f>
        <v>87.3837618649939</v>
      </c>
      <c r="R758" s="59">
        <f>(60*76.9*((F758/1000)^0.76)*3*24*(MAX('Max rate concentrations'!$R$3:$R$368))/F758)</f>
        <v>4.8460094363647925E-3</v>
      </c>
      <c r="S758" s="59">
        <f>(IF(inputs!$C$17="aerial",((0.025*0.112*inputs!$C$18/3.3)*(3*60*76.9*((F758/1000)^0.76))*MAX(inputs!$I$14:$I$16))/F758,((0.0083*0.112*inputs!$C$18/1)*(3*60*76.9*((F758/1000)^0.76))*MAX(inputs!$I$14:$I$16))/F758))</f>
        <v>2.0462124200573837E-2</v>
      </c>
      <c r="T758" s="63">
        <f>IF((((inputs!$P$13/(V758/MAX(K758:S758)))^(1/inputs!$O$13))-1)/inputs!$N$13&lt;0, 0, IF((((inputs!$P$13/(V758/MAX(K758:S758)))^(1/inputs!$O$13))-1)/inputs!$N$13&lt;inputs!$I$17, (((inputs!$P$13/(V758/MAX(K758:S758)))^(1/inputs!$O$13))-1)/inputs!$N$13, inputs!$I$17))</f>
        <v>1000</v>
      </c>
      <c r="U758" s="63">
        <f>IF((((inputs!$P$13/(X758/MAX(K758:S758)))^(1/inputs!$O$13))-1)/inputs!$N$13&lt;0, 0, IF((((inputs!$P$13/(X758/MAX(K758:S758)))^(1/inputs!$O$13))-1)/inputs!$N$13&lt;inputs!$I$17, (((inputs!$P$13/(X758/MAX(K758:S758)))^(1/inputs!$O$13))-1)/inputs!$N$13, inputs!$I$17))</f>
        <v>1000</v>
      </c>
      <c r="V758" s="21">
        <f>inputs!$E$87*(F758/inputs!$F$87)^(1)</f>
        <v>1.3299999999999999E-2</v>
      </c>
      <c r="W758" s="21">
        <f>inputs!$E$90*(F758/inputs!$F$90)^(1)</f>
        <v>1.4E-2</v>
      </c>
      <c r="X758" s="21">
        <f>inputs!$E$89*(F758/inputs!$F$89)^(1)</f>
        <v>5.2278481012658223E-2</v>
      </c>
      <c r="Y758" s="21" t="s">
        <v>13</v>
      </c>
      <c r="Z758" s="63">
        <f t="shared" si="78"/>
        <v>6570.2076590220977</v>
      </c>
      <c r="AA758" s="63">
        <f t="shared" si="79"/>
        <v>6241.6972760709923</v>
      </c>
    </row>
    <row r="759" spans="1:27" x14ac:dyDescent="0.25">
      <c r="A759" s="103" t="s">
        <v>389</v>
      </c>
      <c r="B759" s="20" t="s">
        <v>390</v>
      </c>
      <c r="C759" s="21" t="s">
        <v>79</v>
      </c>
      <c r="D759" s="105" t="s">
        <v>378</v>
      </c>
      <c r="E759" s="15">
        <v>165</v>
      </c>
      <c r="F759" s="15">
        <v>4135</v>
      </c>
      <c r="G759" s="21" t="s">
        <v>142</v>
      </c>
      <c r="H759" s="21">
        <v>0.69</v>
      </c>
      <c r="I759" s="68">
        <f>MAX('Max rate concentrations'!$H$3:$H$368)</f>
        <v>282</v>
      </c>
      <c r="J759" s="68">
        <f>MAX('Max rate concentrations'!AA:AA)</f>
        <v>195</v>
      </c>
      <c r="K759" s="69">
        <f t="shared" si="82"/>
        <v>1.7860385361755324</v>
      </c>
      <c r="L759" s="69">
        <f t="shared" si="83"/>
        <v>1.2350266473554214</v>
      </c>
      <c r="M759" s="69">
        <f>IF((((0.065*F759^0.726)/3.7-(0.301*F759^0.751)/(1-H759)*H759)*(MAX('Max rate concentrations'!$P$3:$P$368)))/F759&gt;0, (((0.065*F759^0.726)/3.7-(0.301*F759^0.751)/(1-H759)*H759)*(MAX('Max rate concentrations'!$P$3:$P$368)))/F759, 0)</f>
        <v>0</v>
      </c>
      <c r="N759" s="69">
        <f>IF((((0.065*F759^0.726)/3.7-(0.301*F759^0.751)/(1-H759)*H759)*(MAX('Max rate concentrations'!$Q$3:$Q$368)))/F759&gt;0, (((0.065*F759^0.726)/3.7-(0.301*F759^0.751)/(1-H759)*H759)*(MAX('Max rate concentrations'!$Q$3:$Q$368)))/F759, 0)</f>
        <v>0</v>
      </c>
      <c r="O759" s="69" t="s">
        <v>13</v>
      </c>
      <c r="P759" s="69" t="s">
        <v>13</v>
      </c>
      <c r="Q759" s="69">
        <f>(inputs!$C$18*11.2)*(25.05*F759^0.63)*0.5*1/F759</f>
        <v>19.320620576023671</v>
      </c>
      <c r="R759" s="59">
        <f>(60*76.9*((F759/1000)^0.76)*3*24*(MAX('Max rate concentrations'!$R$3:$R$368))/F759)</f>
        <v>1.8207640158719642E-3</v>
      </c>
      <c r="S759" s="59">
        <f>(IF(inputs!$C$17="aerial",((0.025*0.112*inputs!$C$18/3.3)*(3*60*76.9*((F759/1000)^0.76))*MAX(inputs!$I$14:$I$16))/F759,((0.0083*0.112*inputs!$C$18/1)*(3*60*76.9*((F759/1000)^0.76))*MAX(inputs!$I$14:$I$16))/F759))</f>
        <v>7.688119456212953E-3</v>
      </c>
      <c r="T759" s="63">
        <f>IF((((inputs!$P$13/(V759/MAX(K759:S759)))^(1/inputs!$O$13))-1)/inputs!$N$13&lt;0, 0, IF((((inputs!$P$13/(V759/MAX(K759:S759)))^(1/inputs!$O$13))-1)/inputs!$N$13&lt;inputs!$I$17, (((inputs!$P$13/(V759/MAX(K759:S759)))^(1/inputs!$O$13))-1)/inputs!$N$13, inputs!$I$17))</f>
        <v>67.524684143859716</v>
      </c>
      <c r="U759" s="63">
        <f>IF((((inputs!$P$13/(X759/MAX(K759:S759)))^(1/inputs!$O$13))-1)/inputs!$N$13&lt;0, 0, IF((((inputs!$P$13/(X759/MAX(K759:S759)))^(1/inputs!$O$13))-1)/inputs!$N$13&lt;inputs!$I$17, (((inputs!$P$13/(X759/MAX(K759:S759)))^(1/inputs!$O$13))-1)/inputs!$N$13, inputs!$I$17))</f>
        <v>18.822598587131228</v>
      </c>
      <c r="V759" s="21">
        <f>inputs!$E$87*(F759/inputs!$F$87)^(1)</f>
        <v>0.78564999999999996</v>
      </c>
      <c r="W759" s="21">
        <f>inputs!$E$90*(F759/inputs!$F$90)^(1)</f>
        <v>0.82700000000000007</v>
      </c>
      <c r="X759" s="21">
        <f>inputs!$E$89*(F759/inputs!$F$89)^(1)</f>
        <v>3.0881645569620253</v>
      </c>
      <c r="Y759" s="21" t="s">
        <v>13</v>
      </c>
      <c r="Z759" s="63">
        <f t="shared" si="78"/>
        <v>24.591892797077161</v>
      </c>
      <c r="AA759" s="63">
        <f t="shared" si="79"/>
        <v>23.3622981572233</v>
      </c>
    </row>
    <row r="760" spans="1:27" x14ac:dyDescent="0.25">
      <c r="A760" s="103" t="s">
        <v>389</v>
      </c>
      <c r="B760" s="20" t="s">
        <v>390</v>
      </c>
      <c r="C760" s="21" t="s">
        <v>79</v>
      </c>
      <c r="D760" s="105" t="s">
        <v>378</v>
      </c>
      <c r="E760" s="15">
        <v>165</v>
      </c>
      <c r="F760" s="15">
        <v>4135</v>
      </c>
      <c r="G760" s="21" t="s">
        <v>152</v>
      </c>
      <c r="H760" s="20">
        <v>0.77</v>
      </c>
      <c r="I760" s="68">
        <f>MAX('Max rate concentrations'!$G$3:$G$368)</f>
        <v>45</v>
      </c>
      <c r="J760" s="68">
        <f>MAX('Max rate concentrations'!Z:Z)</f>
        <v>21</v>
      </c>
      <c r="K760" s="69">
        <f t="shared" si="82"/>
        <v>0.3841387230904823</v>
      </c>
      <c r="L760" s="69">
        <f t="shared" si="83"/>
        <v>0.17926473744222507</v>
      </c>
      <c r="M760" s="69">
        <f>IF((((0.065*F760^0.726)/3.7-(0.301*F760^0.751)/(1-H760)*H760)*(MAX('Max rate concentrations'!$P$3:$P$368)))/F760&gt;0, (((0.065*F760^0.726)/3.7-(0.301*F760^0.751)/(1-H760)*H760)*(MAX('Max rate concentrations'!$P$3:$P$368)))/F760, 0)</f>
        <v>0</v>
      </c>
      <c r="N760" s="69">
        <f>IF((((0.065*F760^0.726)/3.7-(0.301*F760^0.751)/(1-H760)*H760)*(MAX('Max rate concentrations'!$Q$3:$Q$368)))/F760&gt;0, (((0.065*F760^0.726)/3.7-(0.301*F760^0.751)/(1-H760)*H760)*(MAX('Max rate concentrations'!$Q$3:$Q$368)))/F760, 0)</f>
        <v>0</v>
      </c>
      <c r="O760" s="69" t="s">
        <v>13</v>
      </c>
      <c r="P760" s="69" t="s">
        <v>13</v>
      </c>
      <c r="Q760" s="69">
        <f>(inputs!$C$18*11.2)*(25.05*F760^0.63)*0.5*1/F760</f>
        <v>19.320620576023671</v>
      </c>
      <c r="R760" s="59">
        <f>(60*76.9*((F760/1000)^0.76)*3*24*(MAX('Max rate concentrations'!$R$3:$R$368))/F760)</f>
        <v>1.8207640158719642E-3</v>
      </c>
      <c r="S760" s="59">
        <f>(IF(inputs!$C$17="aerial",((0.025*0.112*inputs!$C$18/3.3)*(3*60*76.9*((F760/1000)^0.76))*MAX(inputs!$I$14:$I$16))/F760,((0.0083*0.112*inputs!$C$18/1)*(3*60*76.9*((F760/1000)^0.76))*MAX(inputs!$I$14:$I$16))/F760))</f>
        <v>7.688119456212953E-3</v>
      </c>
      <c r="T760" s="63">
        <f>IF((((inputs!$P$13/(V760/MAX(K760:S760)))^(1/inputs!$O$13))-1)/inputs!$N$13&lt;0, 0, IF((((inputs!$P$13/(V760/MAX(K760:S760)))^(1/inputs!$O$13))-1)/inputs!$N$13&lt;inputs!$I$17, (((inputs!$P$13/(V760/MAX(K760:S760)))^(1/inputs!$O$13))-1)/inputs!$N$13, inputs!$I$17))</f>
        <v>67.524684143859716</v>
      </c>
      <c r="U760" s="63">
        <f>IF((((inputs!$P$13/(X760/MAX(K760:S760)))^(1/inputs!$O$13))-1)/inputs!$N$13&lt;0, 0, IF((((inputs!$P$13/(X760/MAX(K760:S760)))^(1/inputs!$O$13))-1)/inputs!$N$13&lt;inputs!$I$17, (((inputs!$P$13/(X760/MAX(K760:S760)))^(1/inputs!$O$13))-1)/inputs!$N$13, inputs!$I$17))</f>
        <v>18.822598587131228</v>
      </c>
      <c r="V760" s="21">
        <f>inputs!$E$87*(F760/inputs!$F$87)^(1)</f>
        <v>0.78564999999999996</v>
      </c>
      <c r="W760" s="21">
        <f>inputs!$E$90*(F760/inputs!$F$90)^(1)</f>
        <v>0.82700000000000007</v>
      </c>
      <c r="X760" s="21">
        <f>inputs!$E$89*(F760/inputs!$F$89)^(1)</f>
        <v>3.0881645569620253</v>
      </c>
      <c r="Y760" s="21" t="s">
        <v>13</v>
      </c>
      <c r="Z760" s="63">
        <f t="shared" si="78"/>
        <v>24.591892797077161</v>
      </c>
      <c r="AA760" s="63">
        <f t="shared" si="79"/>
        <v>23.3622981572233</v>
      </c>
    </row>
    <row r="761" spans="1:27" x14ac:dyDescent="0.25">
      <c r="A761" s="103" t="s">
        <v>389</v>
      </c>
      <c r="B761" s="20" t="s">
        <v>390</v>
      </c>
      <c r="C761" s="21" t="s">
        <v>79</v>
      </c>
      <c r="D761" s="105" t="s">
        <v>378</v>
      </c>
      <c r="E761" s="15">
        <v>165</v>
      </c>
      <c r="F761" s="15">
        <v>4135</v>
      </c>
      <c r="G761" s="21" t="s">
        <v>177</v>
      </c>
      <c r="H761" s="20">
        <v>0.85</v>
      </c>
      <c r="I761" s="68">
        <f>MAX('Max rate concentrations'!$F$3:$F$368)</f>
        <v>405</v>
      </c>
      <c r="J761" s="68">
        <f>MAX('Max rate concentrations'!Y:Y)</f>
        <v>135</v>
      </c>
      <c r="K761" s="69">
        <f t="shared" si="82"/>
        <v>5.3011143786486539</v>
      </c>
      <c r="L761" s="69">
        <f t="shared" si="83"/>
        <v>1.767038126216218</v>
      </c>
      <c r="M761" s="69">
        <f>IF((((0.065*F761^0.726)/3.7-(0.301*F761^0.751)/(1-H761)*H761)*(MAX('Max rate concentrations'!$P$3:$P$368)))/F761&gt;0, (((0.065*F761^0.726)/3.7-(0.301*F761^0.751)/(1-H761)*H761)*(MAX('Max rate concentrations'!$P$3:$P$368)))/F761, 0)</f>
        <v>0</v>
      </c>
      <c r="N761" s="69">
        <f>IF((((0.065*F761^0.726)/3.7-(0.301*F761^0.751)/(1-H761)*H761)*(MAX('Max rate concentrations'!$Q$3:$Q$368)))/F761&gt;0, (((0.065*F761^0.726)/3.7-(0.301*F761^0.751)/(1-H761)*H761)*(MAX('Max rate concentrations'!$Q$3:$Q$368)))/F761, 0)</f>
        <v>0</v>
      </c>
      <c r="O761" s="69" t="s">
        <v>13</v>
      </c>
      <c r="P761" s="69" t="s">
        <v>13</v>
      </c>
      <c r="Q761" s="69">
        <f>(inputs!$C$18*11.2)*(25.05*F761^0.63)*0.5*1/F761</f>
        <v>19.320620576023671</v>
      </c>
      <c r="R761" s="59">
        <f>(60*76.9*((F761/1000)^0.76)*3*24*(MAX('Max rate concentrations'!$R$3:$R$368))/F761)</f>
        <v>1.8207640158719642E-3</v>
      </c>
      <c r="S761" s="59">
        <f>(IF(inputs!$C$17="aerial",((0.025*0.112*inputs!$C$18/3.3)*(3*60*76.9*((F761/1000)^0.76))*MAX(inputs!$I$14:$I$16))/F761,((0.0083*0.112*inputs!$C$18/1)*(3*60*76.9*((F761/1000)^0.76))*MAX(inputs!$I$14:$I$16))/F761))</f>
        <v>7.688119456212953E-3</v>
      </c>
      <c r="T761" s="63">
        <f>IF((((inputs!$P$13/(V761/MAX(K761:S761)))^(1/inputs!$O$13))-1)/inputs!$N$13&lt;0, 0, IF((((inputs!$P$13/(V761/MAX(K761:S761)))^(1/inputs!$O$13))-1)/inputs!$N$13&lt;inputs!$I$17, (((inputs!$P$13/(V761/MAX(K761:S761)))^(1/inputs!$O$13))-1)/inputs!$N$13, inputs!$I$17))</f>
        <v>67.524684143859716</v>
      </c>
      <c r="U761" s="63">
        <f>IF((((inputs!$P$13/(X761/MAX(K761:S761)))^(1/inputs!$O$13))-1)/inputs!$N$13&lt;0, 0, IF((((inputs!$P$13/(X761/MAX(K761:S761)))^(1/inputs!$O$13))-1)/inputs!$N$13&lt;inputs!$I$17, (((inputs!$P$13/(X761/MAX(K761:S761)))^(1/inputs!$O$13))-1)/inputs!$N$13, inputs!$I$17))</f>
        <v>18.822598587131228</v>
      </c>
      <c r="V761" s="21">
        <f>inputs!$E$87*(F761/inputs!$F$87)^(1)</f>
        <v>0.78564999999999996</v>
      </c>
      <c r="W761" s="21">
        <f>inputs!$E$90*(F761/inputs!$F$90)^(1)</f>
        <v>0.82700000000000007</v>
      </c>
      <c r="X761" s="21">
        <f>inputs!$E$89*(F761/inputs!$F$89)^(1)</f>
        <v>3.0881645569620253</v>
      </c>
      <c r="Y761" s="21" t="s">
        <v>13</v>
      </c>
      <c r="Z761" s="63">
        <f t="shared" si="78"/>
        <v>24.591892797077161</v>
      </c>
      <c r="AA761" s="63">
        <f t="shared" si="79"/>
        <v>23.3622981572233</v>
      </c>
    </row>
    <row r="762" spans="1:27" x14ac:dyDescent="0.25">
      <c r="A762" s="120" t="s">
        <v>428</v>
      </c>
      <c r="B762" s="20" t="s">
        <v>429</v>
      </c>
      <c r="C762" s="21" t="s">
        <v>79</v>
      </c>
      <c r="D762" s="105" t="s">
        <v>378</v>
      </c>
      <c r="E762" s="15">
        <v>177</v>
      </c>
      <c r="F762" s="15">
        <v>0.15</v>
      </c>
      <c r="G762" s="21" t="s">
        <v>142</v>
      </c>
      <c r="H762" s="21">
        <v>0.69</v>
      </c>
      <c r="I762" s="68">
        <f>MAX('Max rate concentrations'!$H$3:$H$368)</f>
        <v>282</v>
      </c>
      <c r="J762" s="68">
        <f>MAX('Max rate concentrations'!AA:AA)</f>
        <v>195</v>
      </c>
      <c r="K762" s="69">
        <f t="shared" si="82"/>
        <v>18.191061871506765</v>
      </c>
      <c r="L762" s="69">
        <f t="shared" si="83"/>
        <v>12.578925762212124</v>
      </c>
      <c r="M762" s="69">
        <f>IF((((0.065*F762^0.726)/3.7-(0.301*F762^0.751)/(1-H762)*H762)*(MAX('Max rate concentrations'!$P$3:$P$368)))/F762&gt;0, (((0.065*F762^0.726)/3.7-(0.301*F762^0.751)/(1-H762)*H762)*(MAX('Max rate concentrations'!$P$3:$P$368)))/F762, 0)</f>
        <v>0</v>
      </c>
      <c r="N762" s="69">
        <f>IF((((0.065*F762^0.726)/3.7-(0.301*F762^0.751)/(1-H762)*H762)*(MAX('Max rate concentrations'!$Q$3:$Q$368)))/F762&gt;0, (((0.065*F762^0.726)/3.7-(0.301*F762^0.751)/(1-H762)*H762)*(MAX('Max rate concentrations'!$Q$3:$Q$368)))/F762, 0)</f>
        <v>0</v>
      </c>
      <c r="O762" s="69" t="s">
        <v>13</v>
      </c>
      <c r="P762" s="69" t="s">
        <v>13</v>
      </c>
      <c r="Q762" s="69">
        <f>(inputs!$C$18*11.2)*(25.05*F762^0.63)*0.5*1/F762</f>
        <v>849.10861275583613</v>
      </c>
      <c r="R762" s="59">
        <f>(60*76.9*((F762/1000)^0.76)*3*24*(MAX('Max rate concentrations'!$R$3:$R$368))/F762)</f>
        <v>2.118097184397218E-2</v>
      </c>
      <c r="S762" s="59">
        <f>(IF(inputs!$C$17="aerial",((0.025*0.112*inputs!$C$18/3.3)*(3*60*76.9*((F762/1000)^0.76))*MAX(inputs!$I$14:$I$16))/F762,((0.0083*0.112*inputs!$C$18/1)*(3*60*76.9*((F762/1000)^0.76))*MAX(inputs!$I$14:$I$16))/F762))</f>
        <v>8.9435995173243951E-2</v>
      </c>
      <c r="T762" s="63">
        <f>IF((((inputs!$P$13/(V762/MAX(K762:S762)))^(1/inputs!$O$13))-1)/inputs!$N$13&lt;0, 0, IF((((inputs!$P$13/(V762/MAX(K762:S762)))^(1/inputs!$O$13))-1)/inputs!$N$13&lt;inputs!$I$17, (((inputs!$P$13/(V762/MAX(K762:S762)))^(1/inputs!$O$13))-1)/inputs!$N$13, inputs!$I$17))</f>
        <v>1000</v>
      </c>
      <c r="U762" s="63">
        <f>IF((((inputs!$P$13/(X762/MAX(K762:S762)))^(1/inputs!$O$13))-1)/inputs!$N$13&lt;0, 0, IF((((inputs!$P$13/(X762/MAX(K762:S762)))^(1/inputs!$O$13))-1)/inputs!$N$13&lt;inputs!$I$17, (((inputs!$P$13/(X762/MAX(K762:S762)))^(1/inputs!$O$13))-1)/inputs!$N$13, inputs!$I$17))</f>
        <v>1000</v>
      </c>
      <c r="V762" s="21">
        <f>inputs!$E$87*(F762/inputs!$F$87)^(1)</f>
        <v>2.8500000000000002E-5</v>
      </c>
      <c r="W762" s="21">
        <f>inputs!$E$90*(F762/inputs!$F$90)^(1)</f>
        <v>3.0000000000000001E-5</v>
      </c>
      <c r="X762" s="21">
        <f>inputs!$E$89*(F762/inputs!$F$89)^(1)</f>
        <v>1.120253164556962E-4</v>
      </c>
      <c r="Y762" s="21" t="s">
        <v>13</v>
      </c>
      <c r="Z762" s="63">
        <f t="shared" si="78"/>
        <v>29793284.658099514</v>
      </c>
      <c r="AA762" s="63">
        <f t="shared" si="79"/>
        <v>28303620.425194535</v>
      </c>
    </row>
    <row r="763" spans="1:27" x14ac:dyDescent="0.25">
      <c r="A763" s="119" t="s">
        <v>642</v>
      </c>
      <c r="B763" s="20" t="s">
        <v>641</v>
      </c>
      <c r="C763" s="21" t="s">
        <v>79</v>
      </c>
      <c r="D763" s="105" t="s">
        <v>378</v>
      </c>
      <c r="E763" s="15">
        <v>3271</v>
      </c>
      <c r="F763" s="15">
        <v>150</v>
      </c>
      <c r="G763" s="21" t="s">
        <v>182</v>
      </c>
      <c r="H763" s="20">
        <v>0.85</v>
      </c>
      <c r="I763" s="68">
        <f>MAX('Max rate concentrations'!$M$3:$M$368)</f>
        <v>17.092910873809167</v>
      </c>
      <c r="J763" s="68">
        <f>MAX('Max rate concentrations'!AE:AE)</f>
        <v>11.81956602976166</v>
      </c>
      <c r="K763" s="69">
        <f t="shared" si="82"/>
        <v>0.47500196428156283</v>
      </c>
      <c r="L763" s="69">
        <f t="shared" si="83"/>
        <v>0.32845880508831476</v>
      </c>
      <c r="M763" s="69">
        <f>IF((((0.065*F763^0.726)/3.7-(0.301*F763^0.751)/(1-H763)*H763)*(MAX('Max rate concentrations'!$P$3:$P$368)))/F763&gt;0, (((0.065*F763^0.726)/3.7-(0.301*F763^0.751)/(1-H763)*H763)*(MAX('Max rate concentrations'!$P$3:$P$368)))/F763, 0)</f>
        <v>0</v>
      </c>
      <c r="N763" s="69">
        <f>IF((((0.065*F763^0.726)/3.7-(0.301*F763^0.751)/(1-H763)*H763)*(MAX('Max rate concentrations'!$Q$3:$Q$368)))/F763&gt;0, (((0.065*F763^0.726)/3.7-(0.301*F763^0.751)/(1-H763)*H763)*(MAX('Max rate concentrations'!$Q$3:$Q$368)))/F763, 0)</f>
        <v>0</v>
      </c>
      <c r="O763" s="69" t="s">
        <v>13</v>
      </c>
      <c r="P763" s="69" t="s">
        <v>13</v>
      </c>
      <c r="Q763" s="69">
        <f>(inputs!$C$18*11.2)*(25.05*F763^0.63)*0.5*1/F763</f>
        <v>65.911811235630609</v>
      </c>
      <c r="R763" s="59">
        <f>(60*76.9*((F763/1000)^0.76)*3*24*(MAX('Max rate concentrations'!$R$3:$R$368))/F763)</f>
        <v>4.0359509816974542E-3</v>
      </c>
      <c r="S763" s="59">
        <f>(IF(inputs!$C$17="aerial",((0.025*0.112*inputs!$C$18/3.3)*(3*60*76.9*((F763/1000)^0.76))*MAX(inputs!$I$14:$I$16))/F763,((0.0083*0.112*inputs!$C$18/1)*(3*60*76.9*((F763/1000)^0.76))*MAX(inputs!$I$14:$I$16))/F763))</f>
        <v>1.7041677557456694E-2</v>
      </c>
      <c r="T763" s="63">
        <f>IF((((inputs!$P$13/(V763/MAX(K763:S763)))^(1/inputs!$O$13))-1)/inputs!$N$13&lt;0, 0, IF((((inputs!$P$13/(V763/MAX(K763:S763)))^(1/inputs!$O$13))-1)/inputs!$N$13&lt;inputs!$I$17, (((inputs!$P$13/(V763/MAX(K763:S763)))^(1/inputs!$O$13))-1)/inputs!$N$13, inputs!$I$17))</f>
        <v>1000</v>
      </c>
      <c r="U763" s="63">
        <f>IF((((inputs!$P$13/(X763/MAX(K763:S763)))^(1/inputs!$O$13))-1)/inputs!$N$13&lt;0, 0, IF((((inputs!$P$13/(X763/MAX(K763:S763)))^(1/inputs!$O$13))-1)/inputs!$N$13&lt;inputs!$I$17, (((inputs!$P$13/(X763/MAX(K763:S763)))^(1/inputs!$O$13))-1)/inputs!$N$13, inputs!$I$17))</f>
        <v>942.93489278823984</v>
      </c>
      <c r="V763" s="21">
        <f>inputs!$E$87*(F763/inputs!$F$87)^(1)</f>
        <v>2.8499999999999998E-2</v>
      </c>
      <c r="W763" s="21">
        <f>inputs!$E$90*(F763/inputs!$F$90)^(1)</f>
        <v>3.0000000000000002E-2</v>
      </c>
      <c r="X763" s="21">
        <f>inputs!$E$89*(F763/inputs!$F$89)^(1)</f>
        <v>0.1120253164556962</v>
      </c>
      <c r="Y763" s="21" t="s">
        <v>13</v>
      </c>
      <c r="Z763" s="63">
        <f t="shared" si="78"/>
        <v>2312.6951310747586</v>
      </c>
      <c r="AA763" s="63">
        <f t="shared" si="79"/>
        <v>2197.0603745210201</v>
      </c>
    </row>
    <row r="764" spans="1:27" ht="26.4" x14ac:dyDescent="0.25">
      <c r="A764" s="119" t="s">
        <v>642</v>
      </c>
      <c r="B764" s="20" t="s">
        <v>641</v>
      </c>
      <c r="C764" s="21" t="s">
        <v>79</v>
      </c>
      <c r="D764" s="105" t="s">
        <v>378</v>
      </c>
      <c r="E764" s="15">
        <v>3271</v>
      </c>
      <c r="F764" s="15">
        <v>150</v>
      </c>
      <c r="G764" s="21" t="s">
        <v>634</v>
      </c>
      <c r="H764" s="21">
        <v>0.75</v>
      </c>
      <c r="I764" s="68">
        <f>inputs!$C$66*inputs!$C$64/1000</f>
        <v>21.3</v>
      </c>
      <c r="J764" s="68">
        <f>inputs!$C$66*inputs!$C$63/1000</f>
        <v>8.8000000000000007</v>
      </c>
      <c r="K764" s="69">
        <f t="shared" si="82"/>
        <v>0.35514870160705125</v>
      </c>
      <c r="L764" s="69">
        <f t="shared" si="83"/>
        <v>0.14672810207239678</v>
      </c>
      <c r="M764" s="69">
        <f>IF((((0.065*F764^0.726)/3.7-(0.301*F764^0.751)/(1-H764)*H764)*(MAX('Max rate concentrations'!$P$3:$P$368)))/F764&gt;0, (((0.065*F764^0.726)/3.7-(0.301*F764^0.751)/(1-H764)*H764)*(MAX('Max rate concentrations'!$P$3:$P$368)))/F764, 0)</f>
        <v>0</v>
      </c>
      <c r="N764" s="69">
        <f>IF((((0.065*F764^0.726)/3.7-(0.301*F764^0.751)/(1-H764)*H764)*(MAX('Max rate concentrations'!$Q$3:$Q$368)))/F764&gt;0, (((0.065*F764^0.726)/3.7-(0.301*F764^0.751)/(1-H764)*H764)*(MAX('Max rate concentrations'!$Q$3:$Q$368)))/F764, 0)</f>
        <v>0</v>
      </c>
      <c r="O764" s="69" t="s">
        <v>13</v>
      </c>
      <c r="P764" s="69" t="s">
        <v>13</v>
      </c>
      <c r="Q764" s="69">
        <f>(inputs!$C$18*11.2)*(25.05*F764^0.63)*0.5*1/F764</f>
        <v>65.911811235630609</v>
      </c>
      <c r="R764" s="59">
        <f>(60*76.9*((F764/1000)^0.76)*3*24*(MAX('Max rate concentrations'!$R$3:$R$368))/F764)</f>
        <v>4.0359509816974542E-3</v>
      </c>
      <c r="S764" s="59">
        <f>(IF(inputs!$C$17="aerial",((0.025*0.112*inputs!$C$18/3.3)*(3*60*76.9*((F764/1000)^0.76))*MAX(inputs!$I$14:$I$16))/F764,((0.0083*0.112*inputs!$C$18/1)*(3*60*76.9*((F764/1000)^0.76))*MAX(inputs!$I$14:$I$16))/F764))</f>
        <v>1.7041677557456694E-2</v>
      </c>
      <c r="T764" s="63">
        <f>IF((((inputs!$P$13/(V764/MAX(K764:S764)))^(1/inputs!$O$13))-1)/inputs!$N$13&lt;0, 0, IF((((inputs!$P$13/(V764/MAX(K764:S764)))^(1/inputs!$O$13))-1)/inputs!$N$13&lt;inputs!$I$17, (((inputs!$P$13/(V764/MAX(K764:S764)))^(1/inputs!$O$13))-1)/inputs!$N$13, inputs!$I$17))</f>
        <v>1000</v>
      </c>
      <c r="U764" s="63">
        <f>IF((((inputs!$P$13/(X764/MAX(K764:S764)))^(1/inputs!$O$13))-1)/inputs!$N$13&lt;0, 0, IF((((inputs!$P$13/(X764/MAX(K764:S764)))^(1/inputs!$O$13))-1)/inputs!$N$13&lt;inputs!$I$17, (((inputs!$P$13/(X764/MAX(K764:S764)))^(1/inputs!$O$13))-1)/inputs!$N$13, inputs!$I$17))</f>
        <v>942.93489278823984</v>
      </c>
      <c r="V764" s="21">
        <f>inputs!$E$87*(F764/inputs!$F$87)^(1)</f>
        <v>2.8499999999999998E-2</v>
      </c>
      <c r="W764" s="21">
        <f>inputs!$E$90*(F764/inputs!$F$90)^(1)</f>
        <v>3.0000000000000002E-2</v>
      </c>
      <c r="X764" s="21">
        <f>inputs!$E$89*(F764/inputs!$F$89)^(1)</f>
        <v>0.1120253164556962</v>
      </c>
      <c r="Y764" s="21" t="s">
        <v>13</v>
      </c>
      <c r="Z764" s="63">
        <f t="shared" si="78"/>
        <v>2312.6951310747586</v>
      </c>
      <c r="AA764" s="63">
        <f t="shared" si="79"/>
        <v>2197.0603745210201</v>
      </c>
    </row>
    <row r="765" spans="1:27" x14ac:dyDescent="0.25">
      <c r="A765" s="103" t="s">
        <v>387</v>
      </c>
      <c r="B765" s="20" t="s">
        <v>388</v>
      </c>
      <c r="C765" s="21" t="s">
        <v>79</v>
      </c>
      <c r="D765" s="105" t="s">
        <v>378</v>
      </c>
      <c r="E765" s="15">
        <v>166</v>
      </c>
      <c r="F765" s="15">
        <v>85</v>
      </c>
      <c r="G765" s="21" t="s">
        <v>142</v>
      </c>
      <c r="H765" s="21">
        <v>0.69</v>
      </c>
      <c r="I765" s="68">
        <f>MAX('Max rate concentrations'!$H$3:$H$368)</f>
        <v>282</v>
      </c>
      <c r="J765" s="68">
        <f>MAX('Max rate concentrations'!AA:AA)</f>
        <v>195</v>
      </c>
      <c r="K765" s="69">
        <f t="shared" si="82"/>
        <v>4.3137271383376987</v>
      </c>
      <c r="L765" s="69">
        <f t="shared" si="83"/>
        <v>2.9828964254462806</v>
      </c>
      <c r="M765" s="69">
        <f>IF((((0.065*F765^0.726)/3.7-(0.301*F765^0.751)/(1-H765)*H765)*(MAX('Max rate concentrations'!$P$3:$P$368)))/F765&gt;0, (((0.065*F765^0.726)/3.7-(0.301*F765^0.751)/(1-H765)*H765)*(MAX('Max rate concentrations'!$P$3:$P$368)))/F765, 0)</f>
        <v>0</v>
      </c>
      <c r="N765" s="69">
        <f>IF((((0.065*F765^0.726)/3.7-(0.301*F765^0.751)/(1-H765)*H765)*(MAX('Max rate concentrations'!$Q$3:$Q$368)))/F765&gt;0, (((0.065*F765^0.726)/3.7-(0.301*F765^0.751)/(1-H765)*H765)*(MAX('Max rate concentrations'!$Q$3:$Q$368)))/F765, 0)</f>
        <v>0</v>
      </c>
      <c r="O765" s="69" t="s">
        <v>13</v>
      </c>
      <c r="P765" s="69" t="s">
        <v>13</v>
      </c>
      <c r="Q765" s="69">
        <f>(inputs!$C$18*11.2)*(25.05*F765^0.63)*0.5*1/F765</f>
        <v>81.326486364523277</v>
      </c>
      <c r="R765" s="59">
        <f>(60*76.9*((F765/1000)^0.76)*3*24*(MAX('Max rate concentrations'!$R$3:$R$368))/F765)</f>
        <v>4.6253781333051797E-3</v>
      </c>
      <c r="S765" s="59">
        <f>(IF(inputs!$C$17="aerial",((0.025*0.112*inputs!$C$18/3.3)*(3*60*76.9*((F765/1000)^0.76))*MAX(inputs!$I$14:$I$16))/F765,((0.0083*0.112*inputs!$C$18/1)*(3*60*76.9*((F765/1000)^0.76))*MAX(inputs!$I$14:$I$16))/F765))</f>
        <v>1.953051538201429E-2</v>
      </c>
      <c r="T765" s="63">
        <f>IF((((inputs!$P$13/(V765/MAX(K765:S765)))^(1/inputs!$O$13))-1)/inputs!$N$13&lt;0, 0, IF((((inputs!$P$13/(V765/MAX(K765:S765)))^(1/inputs!$O$13))-1)/inputs!$N$13&lt;inputs!$I$17, (((inputs!$P$13/(V765/MAX(K765:S765)))^(1/inputs!$O$13))-1)/inputs!$N$13, inputs!$I$17))</f>
        <v>1000</v>
      </c>
      <c r="U765" s="63">
        <f>IF((((inputs!$P$13/(X765/MAX(K765:S765)))^(1/inputs!$O$13))-1)/inputs!$N$13&lt;0, 0, IF((((inputs!$P$13/(X765/MAX(K765:S765)))^(1/inputs!$O$13))-1)/inputs!$N$13&lt;inputs!$I$17, (((inputs!$P$13/(X765/MAX(K765:S765)))^(1/inputs!$O$13))-1)/inputs!$N$13, inputs!$I$17))</f>
        <v>1000</v>
      </c>
      <c r="V765" s="21">
        <f>inputs!$E$87*(F765/inputs!$F$87)^(1)</f>
        <v>1.6149999999999998E-2</v>
      </c>
      <c r="W765" s="21">
        <f>inputs!$E$90*(F765/inputs!$F$90)^(1)</f>
        <v>1.7000000000000001E-2</v>
      </c>
      <c r="X765" s="21">
        <f>inputs!$E$89*(F765/inputs!$F$89)^(1)</f>
        <v>6.3481012658227851E-2</v>
      </c>
      <c r="Y765" s="21" t="s">
        <v>13</v>
      </c>
      <c r="Z765" s="63">
        <f t="shared" si="78"/>
        <v>5035.6957501252809</v>
      </c>
      <c r="AA765" s="63">
        <f t="shared" si="79"/>
        <v>4783.9109626190157</v>
      </c>
    </row>
    <row r="766" spans="1:27" x14ac:dyDescent="0.25">
      <c r="A766" s="103" t="s">
        <v>387</v>
      </c>
      <c r="B766" s="20" t="s">
        <v>388</v>
      </c>
      <c r="C766" s="21" t="s">
        <v>79</v>
      </c>
      <c r="D766" s="105" t="s">
        <v>378</v>
      </c>
      <c r="E766" s="15">
        <v>166</v>
      </c>
      <c r="F766" s="15">
        <v>85</v>
      </c>
      <c r="G766" s="21" t="s">
        <v>138</v>
      </c>
      <c r="H766" s="20">
        <v>0.68</v>
      </c>
      <c r="I766" s="68">
        <f>MAX('Max rate concentrations'!$L$3:$L$368)</f>
        <v>350.52744091332482</v>
      </c>
      <c r="J766" s="68">
        <f>MAX('Max rate concentrations'!AD:AD)</f>
        <v>242.38599637623525</v>
      </c>
      <c r="K766" s="69">
        <f t="shared" si="82"/>
        <v>5.1944228471405252</v>
      </c>
      <c r="L766" s="69">
        <f t="shared" si="83"/>
        <v>3.59188813898015</v>
      </c>
      <c r="M766" s="69">
        <f>IF((((0.065*F766^0.726)/3.7-(0.301*F766^0.751)/(1-H766)*H766)*(MAX('Max rate concentrations'!$P$3:$P$368)))/F766&gt;0, (((0.065*F766^0.726)/3.7-(0.301*F766^0.751)/(1-H766)*H766)*(MAX('Max rate concentrations'!$P$3:$P$368)))/F766, 0)</f>
        <v>0</v>
      </c>
      <c r="N766" s="69">
        <f>IF((((0.065*F766^0.726)/3.7-(0.301*F766^0.751)/(1-H766)*H766)*(MAX('Max rate concentrations'!$Q$3:$Q$368)))/F766&gt;0, (((0.065*F766^0.726)/3.7-(0.301*F766^0.751)/(1-H766)*H766)*(MAX('Max rate concentrations'!$Q$3:$Q$368)))/F766, 0)</f>
        <v>0</v>
      </c>
      <c r="O766" s="69" t="s">
        <v>13</v>
      </c>
      <c r="P766" s="69" t="s">
        <v>13</v>
      </c>
      <c r="Q766" s="69">
        <f>(inputs!$C$18*11.2)*(25.05*F766^0.63)*0.5*1/F766</f>
        <v>81.326486364523277</v>
      </c>
      <c r="R766" s="59">
        <f>(60*76.9*((F766/1000)^0.76)*3*24*(MAX('Max rate concentrations'!$R$3:$R$368))/F766)</f>
        <v>4.6253781333051797E-3</v>
      </c>
      <c r="S766" s="59">
        <f>(IF(inputs!$C$17="aerial",((0.025*0.112*inputs!$C$18/3.3)*(3*60*76.9*((F766/1000)^0.76))*MAX(inputs!$I$14:$I$16))/F766,((0.0083*0.112*inputs!$C$18/1)*(3*60*76.9*((F766/1000)^0.76))*MAX(inputs!$I$14:$I$16))/F766))</f>
        <v>1.953051538201429E-2</v>
      </c>
      <c r="T766" s="63">
        <f>IF((((inputs!$P$13/(V766/MAX(K766:S766)))^(1/inputs!$O$13))-1)/inputs!$N$13&lt;0, 0, IF((((inputs!$P$13/(V766/MAX(K766:S766)))^(1/inputs!$O$13))-1)/inputs!$N$13&lt;inputs!$I$17, (((inputs!$P$13/(V766/MAX(K766:S766)))^(1/inputs!$O$13))-1)/inputs!$N$13, inputs!$I$17))</f>
        <v>1000</v>
      </c>
      <c r="U766" s="63">
        <f>IF((((inputs!$P$13/(X766/MAX(K766:S766)))^(1/inputs!$O$13))-1)/inputs!$N$13&lt;0, 0, IF((((inputs!$P$13/(X766/MAX(K766:S766)))^(1/inputs!$O$13))-1)/inputs!$N$13&lt;inputs!$I$17, (((inputs!$P$13/(X766/MAX(K766:S766)))^(1/inputs!$O$13))-1)/inputs!$N$13, inputs!$I$17))</f>
        <v>1000</v>
      </c>
      <c r="V766" s="21">
        <f>inputs!$E$87*(F766/inputs!$F$87)^(1)</f>
        <v>1.6149999999999998E-2</v>
      </c>
      <c r="W766" s="21">
        <f>inputs!$E$90*(F766/inputs!$F$90)^(1)</f>
        <v>1.7000000000000001E-2</v>
      </c>
      <c r="X766" s="21">
        <f>inputs!$E$89*(F766/inputs!$F$89)^(1)</f>
        <v>6.3481012658227851E-2</v>
      </c>
      <c r="Y766" s="21" t="s">
        <v>13</v>
      </c>
      <c r="Z766" s="63">
        <f t="shared" si="78"/>
        <v>5035.6957501252809</v>
      </c>
      <c r="AA766" s="63">
        <f t="shared" si="79"/>
        <v>4783.9109626190157</v>
      </c>
    </row>
    <row r="767" spans="1:27" x14ac:dyDescent="0.25">
      <c r="A767" s="103" t="s">
        <v>387</v>
      </c>
      <c r="B767" s="20" t="s">
        <v>388</v>
      </c>
      <c r="C767" s="21" t="s">
        <v>79</v>
      </c>
      <c r="D767" s="105" t="s">
        <v>378</v>
      </c>
      <c r="E767" s="15">
        <v>166</v>
      </c>
      <c r="F767" s="15">
        <v>85</v>
      </c>
      <c r="G767" s="21" t="s">
        <v>456</v>
      </c>
      <c r="H767" s="20">
        <v>0.68</v>
      </c>
      <c r="I767" s="68">
        <f>MAX('Max rate concentrations'!$J$3:$J$368)</f>
        <v>686.46486205830786</v>
      </c>
      <c r="J767" s="68">
        <f>MAX('Max rate concentrations'!AB:AB)</f>
        <v>243.122971978984</v>
      </c>
      <c r="K767" s="69">
        <f t="shared" si="82"/>
        <v>10.172637993601644</v>
      </c>
      <c r="L767" s="69">
        <f t="shared" si="83"/>
        <v>3.602809289400581</v>
      </c>
      <c r="M767" s="69">
        <f>IF((((0.065*F767^0.726)/3.7-(0.301*F767^0.751)/(1-H767)*H767)*(MAX('Max rate concentrations'!$P$3:$P$368)))/F767&gt;0, (((0.065*F767^0.726)/3.7-(0.301*F767^0.751)/(1-H767)*H767)*(MAX('Max rate concentrations'!$P$3:$P$368)))/F767, 0)</f>
        <v>0</v>
      </c>
      <c r="N767" s="69">
        <f>IF((((0.065*F767^0.726)/3.7-(0.301*F767^0.751)/(1-H767)*H767)*(MAX('Max rate concentrations'!$Q$3:$Q$368)))/F767&gt;0, (((0.065*F767^0.726)/3.7-(0.301*F767^0.751)/(1-H767)*H767)*(MAX('Max rate concentrations'!$Q$3:$Q$368)))/F767, 0)</f>
        <v>0</v>
      </c>
      <c r="O767" s="69" t="s">
        <v>13</v>
      </c>
      <c r="P767" s="69" t="s">
        <v>13</v>
      </c>
      <c r="Q767" s="69">
        <f>(inputs!$C$18*11.2)*(25.05*F767^0.63)*0.5*1/F767</f>
        <v>81.326486364523277</v>
      </c>
      <c r="R767" s="59">
        <f>(60*76.9*((F767/1000)^0.76)*3*24*(MAX('Max rate concentrations'!$R$3:$R$368))/F767)</f>
        <v>4.6253781333051797E-3</v>
      </c>
      <c r="S767" s="59">
        <f>(IF(inputs!$C$17="aerial",((0.025*0.112*inputs!$C$18/3.3)*(3*60*76.9*((F767/1000)^0.76))*MAX(inputs!$I$14:$I$16))/F767,((0.0083*0.112*inputs!$C$18/1)*(3*60*76.9*((F767/1000)^0.76))*MAX(inputs!$I$14:$I$16))/F767))</f>
        <v>1.953051538201429E-2</v>
      </c>
      <c r="T767" s="63">
        <f>IF((((inputs!$P$13/(V767/MAX(K767:S767)))^(1/inputs!$O$13))-1)/inputs!$N$13&lt;0, 0, IF((((inputs!$P$13/(V767/MAX(K767:S767)))^(1/inputs!$O$13))-1)/inputs!$N$13&lt;inputs!$I$17, (((inputs!$P$13/(V767/MAX(K767:S767)))^(1/inputs!$O$13))-1)/inputs!$N$13, inputs!$I$17))</f>
        <v>1000</v>
      </c>
      <c r="U767" s="63">
        <f>IF((((inputs!$P$13/(X767/MAX(K767:S767)))^(1/inputs!$O$13))-1)/inputs!$N$13&lt;0, 0, IF((((inputs!$P$13/(X767/MAX(K767:S767)))^(1/inputs!$O$13))-1)/inputs!$N$13&lt;inputs!$I$17, (((inputs!$P$13/(X767/MAX(K767:S767)))^(1/inputs!$O$13))-1)/inputs!$N$13, inputs!$I$17))</f>
        <v>1000</v>
      </c>
      <c r="V767" s="21">
        <f>inputs!$E$87*(F767/inputs!$F$87)^(1)</f>
        <v>1.6149999999999998E-2</v>
      </c>
      <c r="W767" s="21">
        <f>inputs!$E$90*(F767/inputs!$F$90)^(1)</f>
        <v>1.7000000000000001E-2</v>
      </c>
      <c r="X767" s="21">
        <f>inputs!$E$89*(F767/inputs!$F$89)^(1)</f>
        <v>6.3481012658227851E-2</v>
      </c>
      <c r="Y767" s="21" t="s">
        <v>13</v>
      </c>
      <c r="Z767" s="63">
        <f t="shared" si="78"/>
        <v>5035.6957501252809</v>
      </c>
      <c r="AA767" s="63">
        <f t="shared" si="79"/>
        <v>4783.9109626190157</v>
      </c>
    </row>
    <row r="768" spans="1:27" x14ac:dyDescent="0.25">
      <c r="A768" s="103" t="s">
        <v>387</v>
      </c>
      <c r="B768" s="20" t="s">
        <v>388</v>
      </c>
      <c r="C768" s="21" t="s">
        <v>79</v>
      </c>
      <c r="D768" s="105" t="s">
        <v>378</v>
      </c>
      <c r="E768" s="15">
        <v>166</v>
      </c>
      <c r="F768" s="15">
        <v>85</v>
      </c>
      <c r="G768" s="21" t="s">
        <v>145</v>
      </c>
      <c r="H768" s="20">
        <v>0.66</v>
      </c>
      <c r="I768" s="68">
        <f>MAX('Max rate concentrations'!$M$3:$M$368)</f>
        <v>17.092910873809167</v>
      </c>
      <c r="J768" s="68">
        <f>MAX('Max rate concentrations'!AE:AE)</f>
        <v>11.81956602976166</v>
      </c>
      <c r="K768" s="69">
        <f t="shared" si="82"/>
        <v>0.23839786804293736</v>
      </c>
      <c r="L768" s="69">
        <f t="shared" si="83"/>
        <v>0.16484958960415882</v>
      </c>
      <c r="M768" s="69">
        <f>IF((((0.065*F768^0.726)/3.7-(0.301*F768^0.751)/(1-H768)*H768)*(MAX('Max rate concentrations'!$P$3:$P$368)))/F768&gt;0, (((0.065*F768^0.726)/3.7-(0.301*F768^0.751)/(1-H768)*H768)*(MAX('Max rate concentrations'!$P$3:$P$368)))/F768, 0)</f>
        <v>0</v>
      </c>
      <c r="N768" s="69">
        <f>IF((((0.065*F768^0.726)/3.7-(0.301*F768^0.751)/(1-H768)*H768)*(MAX('Max rate concentrations'!$Q$3:$Q$368)))/F768&gt;0, (((0.065*F768^0.726)/3.7-(0.301*F768^0.751)/(1-H768)*H768)*(MAX('Max rate concentrations'!$Q$3:$Q$368)))/F768, 0)</f>
        <v>0</v>
      </c>
      <c r="O768" s="69" t="s">
        <v>13</v>
      </c>
      <c r="P768" s="69" t="s">
        <v>13</v>
      </c>
      <c r="Q768" s="69">
        <f>(inputs!$C$18*11.2)*(25.05*F768^0.63)*0.5*1/F768</f>
        <v>81.326486364523277</v>
      </c>
      <c r="R768" s="59">
        <f>(60*76.9*((F768/1000)^0.76)*3*24*(MAX('Max rate concentrations'!$R$3:$R$368))/F768)</f>
        <v>4.6253781333051797E-3</v>
      </c>
      <c r="S768" s="59">
        <f>(IF(inputs!$C$17="aerial",((0.025*0.112*inputs!$C$18/3.3)*(3*60*76.9*((F768/1000)^0.76))*MAX(inputs!$I$14:$I$16))/F768,((0.0083*0.112*inputs!$C$18/1)*(3*60*76.9*((F768/1000)^0.76))*MAX(inputs!$I$14:$I$16))/F768))</f>
        <v>1.953051538201429E-2</v>
      </c>
      <c r="T768" s="63">
        <f>IF((((inputs!$P$13/(V768/MAX(K768:S768)))^(1/inputs!$O$13))-1)/inputs!$N$13&lt;0, 0, IF((((inputs!$P$13/(V768/MAX(K768:S768)))^(1/inputs!$O$13))-1)/inputs!$N$13&lt;inputs!$I$17, (((inputs!$P$13/(V768/MAX(K768:S768)))^(1/inputs!$O$13))-1)/inputs!$N$13, inputs!$I$17))</f>
        <v>1000</v>
      </c>
      <c r="U768" s="63">
        <f>IF((((inputs!$P$13/(X768/MAX(K768:S768)))^(1/inputs!$O$13))-1)/inputs!$N$13&lt;0, 0, IF((((inputs!$P$13/(X768/MAX(K768:S768)))^(1/inputs!$O$13))-1)/inputs!$N$13&lt;inputs!$I$17, (((inputs!$P$13/(X768/MAX(K768:S768)))^(1/inputs!$O$13))-1)/inputs!$N$13, inputs!$I$17))</f>
        <v>1000</v>
      </c>
      <c r="V768" s="21">
        <f>inputs!$E$87*(F768/inputs!$F$87)^(1)</f>
        <v>1.6149999999999998E-2</v>
      </c>
      <c r="W768" s="21">
        <f>inputs!$E$90*(F768/inputs!$F$90)^(1)</f>
        <v>1.7000000000000001E-2</v>
      </c>
      <c r="X768" s="21">
        <f>inputs!$E$89*(F768/inputs!$F$89)^(1)</f>
        <v>6.3481012658227851E-2</v>
      </c>
      <c r="Y768" s="21" t="s">
        <v>13</v>
      </c>
      <c r="Z768" s="63">
        <f t="shared" si="78"/>
        <v>5035.6957501252809</v>
      </c>
      <c r="AA768" s="63">
        <f t="shared" si="79"/>
        <v>4783.9109626190157</v>
      </c>
    </row>
    <row r="769" spans="1:27" x14ac:dyDescent="0.25">
      <c r="A769" s="120" t="s">
        <v>430</v>
      </c>
      <c r="B769" s="20" t="s">
        <v>431</v>
      </c>
      <c r="C769" s="21" t="s">
        <v>79</v>
      </c>
      <c r="D769" s="105" t="s">
        <v>378</v>
      </c>
      <c r="E769" s="15">
        <v>1783</v>
      </c>
      <c r="F769" s="56">
        <v>104</v>
      </c>
      <c r="G769" s="21" t="s">
        <v>182</v>
      </c>
      <c r="H769" s="20">
        <v>0.85</v>
      </c>
      <c r="I769" s="68">
        <f>MAX('Max rate concentrations'!$M$3:$M$368)</f>
        <v>17.092910873809167</v>
      </c>
      <c r="J769" s="68">
        <f>MAX('Max rate concentrations'!AE:AE)</f>
        <v>11.81956602976166</v>
      </c>
      <c r="K769" s="69">
        <f t="shared" si="82"/>
        <v>0.51618045173468241</v>
      </c>
      <c r="L769" s="69">
        <f t="shared" si="83"/>
        <v>0.35693329109313154</v>
      </c>
      <c r="M769" s="69">
        <f>IF((((0.065*F769^0.726)/3.7-(0.301*F769^0.751)/(1-H769)*H769)*(MAX('Max rate concentrations'!$P$3:$P$368)))/F769&gt;0, (((0.065*F769^0.726)/3.7-(0.301*F769^0.751)/(1-H769)*H769)*(MAX('Max rate concentrations'!$P$3:$P$368)))/F769, 0)</f>
        <v>0</v>
      </c>
      <c r="N769" s="69">
        <f>IF((((0.065*F769^0.726)/3.7-(0.301*F769^0.751)/(1-H769)*H769)*(MAX('Max rate concentrations'!$Q$3:$Q$368)))/F769&gt;0, (((0.065*F769^0.726)/3.7-(0.301*F769^0.751)/(1-H769)*H769)*(MAX('Max rate concentrations'!$Q$3:$Q$368)))/F769, 0)</f>
        <v>0</v>
      </c>
      <c r="O769" s="69" t="s">
        <v>13</v>
      </c>
      <c r="P769" s="69" t="s">
        <v>13</v>
      </c>
      <c r="Q769" s="69">
        <f>(inputs!$C$18*11.2)*(25.05*F769^0.63)*0.5*1/F769</f>
        <v>75.477008089269717</v>
      </c>
      <c r="R769" s="59">
        <f>(60*76.9*((F769/1000)^0.76)*3*24*(MAX('Max rate concentrations'!$R$3:$R$368))/F769)</f>
        <v>4.4067639060531624E-3</v>
      </c>
      <c r="S769" s="59">
        <f>(IF(inputs!$C$17="aerial",((0.025*0.112*inputs!$C$18/3.3)*(3*60*76.9*((F769/1000)^0.76))*MAX(inputs!$I$14:$I$16))/F769,((0.0083*0.112*inputs!$C$18/1)*(3*60*76.9*((F769/1000)^0.76))*MAX(inputs!$I$14:$I$16))/F769))</f>
        <v>1.8607423603348893E-2</v>
      </c>
      <c r="T769" s="63">
        <f>IF((((inputs!$P$13/(V769/MAX(K769:S769)))^(1/inputs!$O$13))-1)/inputs!$N$13&lt;0, 0, IF((((inputs!$P$13/(V769/MAX(K769:S769)))^(1/inputs!$O$13))-1)/inputs!$N$13&lt;inputs!$I$17, (((inputs!$P$13/(V769/MAX(K769:S769)))^(1/inputs!$O$13))-1)/inputs!$N$13, inputs!$I$17))</f>
        <v>1000</v>
      </c>
      <c r="U769" s="63">
        <f>IF((((inputs!$P$13/(X769/MAX(K769:S769)))^(1/inputs!$O$13))-1)/inputs!$N$13&lt;0, 0, IF((((inputs!$P$13/(X769/MAX(K769:S769)))^(1/inputs!$O$13))-1)/inputs!$N$13&lt;inputs!$I$17, (((inputs!$P$13/(X769/MAX(K769:S769)))^(1/inputs!$O$13))-1)/inputs!$N$13, inputs!$I$17))</f>
        <v>1000</v>
      </c>
      <c r="V769" s="21">
        <f>inputs!$E$87*(F769/inputs!$F$87)^(1)</f>
        <v>1.976E-2</v>
      </c>
      <c r="W769" s="21">
        <f>inputs!$E$90*(F769/inputs!$F$90)^(1)</f>
        <v>2.0800000000000003E-2</v>
      </c>
      <c r="X769" s="21">
        <f>inputs!$E$89*(F769/inputs!$F$89)^(1)</f>
        <v>7.7670886075949366E-2</v>
      </c>
      <c r="Y769" s="21" t="s">
        <v>13</v>
      </c>
      <c r="Z769" s="63">
        <f t="shared" si="78"/>
        <v>3819.6866441938114</v>
      </c>
      <c r="AA769" s="63">
        <f t="shared" si="79"/>
        <v>3628.7023119841206</v>
      </c>
    </row>
    <row r="770" spans="1:27" x14ac:dyDescent="0.25">
      <c r="A770" s="120" t="s">
        <v>430</v>
      </c>
      <c r="B770" s="20" t="s">
        <v>431</v>
      </c>
      <c r="C770" s="21" t="s">
        <v>79</v>
      </c>
      <c r="D770" s="105" t="s">
        <v>378</v>
      </c>
      <c r="E770" s="15">
        <v>1783</v>
      </c>
      <c r="F770" s="56">
        <v>104</v>
      </c>
      <c r="G770" s="21" t="s">
        <v>164</v>
      </c>
      <c r="H770" s="20">
        <v>0.78</v>
      </c>
      <c r="I770" s="68">
        <f>inputs!$C$66*(inputs!$C$62/1000)</f>
        <v>8.2000000000000011</v>
      </c>
      <c r="J770" s="68">
        <f>inputs!$C$66*(inputs!$C$61/1000)</f>
        <v>2.5</v>
      </c>
      <c r="K770" s="69">
        <f t="shared" si="82"/>
        <v>0.16883712794495315</v>
      </c>
      <c r="L770" s="69">
        <f t="shared" si="83"/>
        <v>5.1474734129558872E-2</v>
      </c>
      <c r="M770" s="69">
        <f>IF((((0.065*F770^0.726)/3.7-(0.301*F770^0.751)/(1-H770)*H770)*(MAX('Max rate concentrations'!$P$3:$P$368)))/F770&gt;0, (((0.065*F770^0.726)/3.7-(0.301*F770^0.751)/(1-H770)*H770)*(MAX('Max rate concentrations'!$P$3:$P$368)))/F770, 0)</f>
        <v>0</v>
      </c>
      <c r="N770" s="69">
        <f>IF((((0.065*F770^0.726)/3.7-(0.301*F770^0.751)/(1-H770)*H770)*(MAX('Max rate concentrations'!$Q$3:$Q$368)))/F770&gt;0, (((0.065*F770^0.726)/3.7-(0.301*F770^0.751)/(1-H770)*H770)*(MAX('Max rate concentrations'!$Q$3:$Q$368)))/F770, 0)</f>
        <v>0</v>
      </c>
      <c r="O770" s="69" t="s">
        <v>13</v>
      </c>
      <c r="P770" s="69" t="s">
        <v>13</v>
      </c>
      <c r="Q770" s="69">
        <f>(inputs!$C$18*11.2)*(25.05*F770^0.63)*0.5*1/F770</f>
        <v>75.477008089269717</v>
      </c>
      <c r="R770" s="59">
        <f>(60*76.9*((F770/1000)^0.76)*3*24*(MAX('Max rate concentrations'!$R$3:$R$368))/F770)</f>
        <v>4.4067639060531624E-3</v>
      </c>
      <c r="S770" s="59">
        <f>(IF(inputs!$C$17="aerial",((0.025*0.112*inputs!$C$18/3.3)*(3*60*76.9*((F770/1000)^0.76))*MAX(inputs!$I$14:$I$16))/F770,((0.0083*0.112*inputs!$C$18/1)*(3*60*76.9*((F770/1000)^0.76))*MAX(inputs!$I$14:$I$16))/F770))</f>
        <v>1.8607423603348893E-2</v>
      </c>
      <c r="T770" s="63">
        <f>IF((((inputs!$P$13/(V770/MAX(K770:S770)))^(1/inputs!$O$13))-1)/inputs!$N$13&lt;0, 0, IF((((inputs!$P$13/(V770/MAX(K770:S770)))^(1/inputs!$O$13))-1)/inputs!$N$13&lt;inputs!$I$17, (((inputs!$P$13/(V770/MAX(K770:S770)))^(1/inputs!$O$13))-1)/inputs!$N$13, inputs!$I$17))</f>
        <v>1000</v>
      </c>
      <c r="U770" s="63">
        <f>IF((((inputs!$P$13/(X770/MAX(K770:S770)))^(1/inputs!$O$13))-1)/inputs!$N$13&lt;0, 0, IF((((inputs!$P$13/(X770/MAX(K770:S770)))^(1/inputs!$O$13))-1)/inputs!$N$13&lt;inputs!$I$17, (((inputs!$P$13/(X770/MAX(K770:S770)))^(1/inputs!$O$13))-1)/inputs!$N$13, inputs!$I$17))</f>
        <v>1000</v>
      </c>
      <c r="V770" s="21">
        <f>inputs!$E$87*(F770/inputs!$F$87)^(1)</f>
        <v>1.976E-2</v>
      </c>
      <c r="W770" s="21">
        <f>inputs!$E$90*(F770/inputs!$F$90)^(1)</f>
        <v>2.0800000000000003E-2</v>
      </c>
      <c r="X770" s="21">
        <f>inputs!$E$89*(F770/inputs!$F$89)^(1)</f>
        <v>7.7670886075949366E-2</v>
      </c>
      <c r="Y770" s="21" t="s">
        <v>13</v>
      </c>
      <c r="Z770" s="63">
        <f t="shared" si="78"/>
        <v>3819.6866441938114</v>
      </c>
      <c r="AA770" s="63">
        <f t="shared" si="79"/>
        <v>3628.7023119841206</v>
      </c>
    </row>
    <row r="771" spans="1:27" ht="26.4" x14ac:dyDescent="0.25">
      <c r="A771" s="120" t="s">
        <v>430</v>
      </c>
      <c r="B771" s="20" t="s">
        <v>431</v>
      </c>
      <c r="C771" s="21" t="s">
        <v>79</v>
      </c>
      <c r="D771" s="105" t="s">
        <v>378</v>
      </c>
      <c r="E771" s="15">
        <v>1783</v>
      </c>
      <c r="F771" s="56">
        <v>104</v>
      </c>
      <c r="G771" s="21" t="s">
        <v>634</v>
      </c>
      <c r="H771" s="21">
        <v>0.75</v>
      </c>
      <c r="I771" s="68">
        <f>inputs!$C$66*inputs!$C$64/1000</f>
        <v>21.3</v>
      </c>
      <c r="J771" s="68">
        <f>inputs!$C$66*inputs!$C$63/1000</f>
        <v>8.8000000000000007</v>
      </c>
      <c r="K771" s="69">
        <f t="shared" si="82"/>
        <v>0.3859369666097805</v>
      </c>
      <c r="L771" s="69">
        <f t="shared" si="83"/>
        <v>0.15944813643972156</v>
      </c>
      <c r="M771" s="69">
        <f>IF((((0.065*F771^0.726)/3.7-(0.301*F771^0.751)/(1-H771)*H771)*(MAX('Max rate concentrations'!$P$3:$P$368)))/F771&gt;0, (((0.065*F771^0.726)/3.7-(0.301*F771^0.751)/(1-H771)*H771)*(MAX('Max rate concentrations'!$P$3:$P$368)))/F771, 0)</f>
        <v>0</v>
      </c>
      <c r="N771" s="69">
        <f>IF((((0.065*F771^0.726)/3.7-(0.301*F771^0.751)/(1-H771)*H771)*(MAX('Max rate concentrations'!$Q$3:$Q$368)))/F771&gt;0, (((0.065*F771^0.726)/3.7-(0.301*F771^0.751)/(1-H771)*H771)*(MAX('Max rate concentrations'!$Q$3:$Q$368)))/F771, 0)</f>
        <v>0</v>
      </c>
      <c r="O771" s="69" t="s">
        <v>13</v>
      </c>
      <c r="P771" s="69" t="s">
        <v>13</v>
      </c>
      <c r="Q771" s="69">
        <f>(inputs!$C$18*11.2)*(25.05*F771^0.63)*0.5*1/F771</f>
        <v>75.477008089269717</v>
      </c>
      <c r="R771" s="59">
        <f>(60*76.9*((F771/1000)^0.76)*3*24*(MAX('Max rate concentrations'!$R$3:$R$368))/F771)</f>
        <v>4.4067639060531624E-3</v>
      </c>
      <c r="S771" s="59">
        <f>(IF(inputs!$C$17="aerial",((0.025*0.112*inputs!$C$18/3.3)*(3*60*76.9*((F771/1000)^0.76))*MAX(inputs!$I$14:$I$16))/F771,((0.0083*0.112*inputs!$C$18/1)*(3*60*76.9*((F771/1000)^0.76))*MAX(inputs!$I$14:$I$16))/F771))</f>
        <v>1.8607423603348893E-2</v>
      </c>
      <c r="T771" s="63">
        <f>IF((((inputs!$P$13/(V771/MAX(K771:S771)))^(1/inputs!$O$13))-1)/inputs!$N$13&lt;0, 0, IF((((inputs!$P$13/(V771/MAX(K771:S771)))^(1/inputs!$O$13))-1)/inputs!$N$13&lt;inputs!$I$17, (((inputs!$P$13/(V771/MAX(K771:S771)))^(1/inputs!$O$13))-1)/inputs!$N$13, inputs!$I$17))</f>
        <v>1000</v>
      </c>
      <c r="U771" s="63">
        <f>IF((((inputs!$P$13/(X771/MAX(K771:S771)))^(1/inputs!$O$13))-1)/inputs!$N$13&lt;0, 0, IF((((inputs!$P$13/(X771/MAX(K771:S771)))^(1/inputs!$O$13))-1)/inputs!$N$13&lt;inputs!$I$17, (((inputs!$P$13/(X771/MAX(K771:S771)))^(1/inputs!$O$13))-1)/inputs!$N$13, inputs!$I$17))</f>
        <v>1000</v>
      </c>
      <c r="V771" s="21">
        <f>inputs!$E$87*(F771/inputs!$F$87)^(1)</f>
        <v>1.976E-2</v>
      </c>
      <c r="W771" s="21">
        <f>inputs!$E$90*(F771/inputs!$F$90)^(1)</f>
        <v>2.0800000000000003E-2</v>
      </c>
      <c r="X771" s="21">
        <f>inputs!$E$89*(F771/inputs!$F$89)^(1)</f>
        <v>7.7670886075949366E-2</v>
      </c>
      <c r="Y771" s="21" t="s">
        <v>13</v>
      </c>
      <c r="Z771" s="63">
        <f t="shared" si="78"/>
        <v>3819.6866441938114</v>
      </c>
      <c r="AA771" s="63">
        <f t="shared" si="79"/>
        <v>3628.7023119841206</v>
      </c>
    </row>
    <row r="772" spans="1:27" x14ac:dyDescent="0.25">
      <c r="A772" s="120" t="s">
        <v>430</v>
      </c>
      <c r="B772" s="20" t="s">
        <v>431</v>
      </c>
      <c r="C772" s="21" t="s">
        <v>79</v>
      </c>
      <c r="D772" s="105" t="s">
        <v>378</v>
      </c>
      <c r="E772" s="15">
        <v>1783</v>
      </c>
      <c r="F772" s="56">
        <v>104</v>
      </c>
      <c r="G772" s="21" t="s">
        <v>456</v>
      </c>
      <c r="H772" s="20">
        <v>0.68</v>
      </c>
      <c r="I772" s="68">
        <f>MAX('Max rate concentrations'!$J$3:$J$368)</f>
        <v>686.46486205830786</v>
      </c>
      <c r="J772" s="68">
        <f>MAX('Max rate concentrations'!AB:AB)</f>
        <v>243.122971978984</v>
      </c>
      <c r="K772" s="69">
        <f t="shared" si="82"/>
        <v>9.7172889725273173</v>
      </c>
      <c r="L772" s="69">
        <f t="shared" si="83"/>
        <v>3.441539844436758</v>
      </c>
      <c r="M772" s="69">
        <f>IF((((0.065*F772^0.726)/3.7-(0.301*F772^0.751)/(1-H772)*H772)*(MAX('Max rate concentrations'!$P$3:$P$368)))/F772&gt;0, (((0.065*F772^0.726)/3.7-(0.301*F772^0.751)/(1-H772)*H772)*(MAX('Max rate concentrations'!$P$3:$P$368)))/F772, 0)</f>
        <v>0</v>
      </c>
      <c r="N772" s="69">
        <f>IF((((0.065*F772^0.726)/3.7-(0.301*F772^0.751)/(1-H772)*H772)*(MAX('Max rate concentrations'!$Q$3:$Q$368)))/F772&gt;0, (((0.065*F772^0.726)/3.7-(0.301*F772^0.751)/(1-H772)*H772)*(MAX('Max rate concentrations'!$Q$3:$Q$368)))/F772, 0)</f>
        <v>0</v>
      </c>
      <c r="O772" s="69" t="s">
        <v>13</v>
      </c>
      <c r="P772" s="69" t="s">
        <v>13</v>
      </c>
      <c r="Q772" s="69">
        <f>(inputs!$C$18*11.2)*(25.05*F772^0.63)*0.5*1/F772</f>
        <v>75.477008089269717</v>
      </c>
      <c r="R772" s="59">
        <f>(60*76.9*((F772/1000)^0.76)*3*24*(MAX('Max rate concentrations'!$R$3:$R$368))/F772)</f>
        <v>4.4067639060531624E-3</v>
      </c>
      <c r="S772" s="59">
        <f>(IF(inputs!$C$17="aerial",((0.025*0.112*inputs!$C$18/3.3)*(3*60*76.9*((F772/1000)^0.76))*MAX(inputs!$I$14:$I$16))/F772,((0.0083*0.112*inputs!$C$18/1)*(3*60*76.9*((F772/1000)^0.76))*MAX(inputs!$I$14:$I$16))/F772))</f>
        <v>1.8607423603348893E-2</v>
      </c>
      <c r="T772" s="63">
        <f>IF((((inputs!$P$13/(V772/MAX(K772:S772)))^(1/inputs!$O$13))-1)/inputs!$N$13&lt;0, 0, IF((((inputs!$P$13/(V772/MAX(K772:S772)))^(1/inputs!$O$13))-1)/inputs!$N$13&lt;inputs!$I$17, (((inputs!$P$13/(V772/MAX(K772:S772)))^(1/inputs!$O$13))-1)/inputs!$N$13, inputs!$I$17))</f>
        <v>1000</v>
      </c>
      <c r="U772" s="63">
        <f>IF((((inputs!$P$13/(X772/MAX(K772:S772)))^(1/inputs!$O$13))-1)/inputs!$N$13&lt;0, 0, IF((((inputs!$P$13/(X772/MAX(K772:S772)))^(1/inputs!$O$13))-1)/inputs!$N$13&lt;inputs!$I$17, (((inputs!$P$13/(X772/MAX(K772:S772)))^(1/inputs!$O$13))-1)/inputs!$N$13, inputs!$I$17))</f>
        <v>1000</v>
      </c>
      <c r="V772" s="21">
        <f>inputs!$E$87*(F772/inputs!$F$87)^(1)</f>
        <v>1.976E-2</v>
      </c>
      <c r="W772" s="21">
        <f>inputs!$E$90*(F772/inputs!$F$90)^(1)</f>
        <v>2.0800000000000003E-2</v>
      </c>
      <c r="X772" s="21">
        <f>inputs!$E$89*(F772/inputs!$F$89)^(1)</f>
        <v>7.7670886075949366E-2</v>
      </c>
      <c r="Y772" s="21" t="s">
        <v>13</v>
      </c>
      <c r="Z772" s="63">
        <f t="shared" ref="Z772:Z820" si="84">MAX(K772:S772)/V772</f>
        <v>3819.6866441938114</v>
      </c>
      <c r="AA772" s="63">
        <f t="shared" ref="AA772:AA820" si="85">MAX(K772:S772)/W772</f>
        <v>3628.7023119841206</v>
      </c>
    </row>
    <row r="773" spans="1:27" x14ac:dyDescent="0.25">
      <c r="A773" s="120" t="s">
        <v>430</v>
      </c>
      <c r="B773" s="20" t="s">
        <v>431</v>
      </c>
      <c r="C773" s="21" t="s">
        <v>79</v>
      </c>
      <c r="D773" s="105" t="s">
        <v>378</v>
      </c>
      <c r="E773" s="15">
        <v>1783</v>
      </c>
      <c r="F773" s="56">
        <v>104</v>
      </c>
      <c r="G773" s="21" t="s">
        <v>145</v>
      </c>
      <c r="H773" s="20">
        <v>0.66</v>
      </c>
      <c r="I773" s="68">
        <f>MAX('Max rate concentrations'!$M$3:$M$368)</f>
        <v>17.092910873809167</v>
      </c>
      <c r="J773" s="68">
        <f>MAX('Max rate concentrations'!AE:AE)</f>
        <v>11.81956602976166</v>
      </c>
      <c r="K773" s="69">
        <f t="shared" si="82"/>
        <v>0.22772666988294818</v>
      </c>
      <c r="L773" s="69">
        <f t="shared" si="83"/>
        <v>0.15747056959991099</v>
      </c>
      <c r="M773" s="69">
        <f>IF((((0.065*F773^0.726)/3.7-(0.301*F773^0.751)/(1-H773)*H773)*(MAX('Max rate concentrations'!$P$3:$P$368)))/F773&gt;0, (((0.065*F773^0.726)/3.7-(0.301*F773^0.751)/(1-H773)*H773)*(MAX('Max rate concentrations'!$P$3:$P$368)))/F773, 0)</f>
        <v>0</v>
      </c>
      <c r="N773" s="69">
        <f>IF((((0.065*F773^0.726)/3.7-(0.301*F773^0.751)/(1-H773)*H773)*(MAX('Max rate concentrations'!$Q$3:$Q$368)))/F773&gt;0, (((0.065*F773^0.726)/3.7-(0.301*F773^0.751)/(1-H773)*H773)*(MAX('Max rate concentrations'!$Q$3:$Q$368)))/F773, 0)</f>
        <v>0</v>
      </c>
      <c r="O773" s="69" t="s">
        <v>13</v>
      </c>
      <c r="P773" s="69" t="s">
        <v>13</v>
      </c>
      <c r="Q773" s="69">
        <f>(inputs!$C$18*11.2)*(25.05*F773^0.63)*0.5*1/F773</f>
        <v>75.477008089269717</v>
      </c>
      <c r="R773" s="59">
        <f>(60*76.9*((F773/1000)^0.76)*3*24*(MAX('Max rate concentrations'!$R$3:$R$368))/F773)</f>
        <v>4.4067639060531624E-3</v>
      </c>
      <c r="S773" s="59">
        <f>(IF(inputs!$C$17="aerial",((0.025*0.112*inputs!$C$18/3.3)*(3*60*76.9*((F773/1000)^0.76))*MAX(inputs!$I$14:$I$16))/F773,((0.0083*0.112*inputs!$C$18/1)*(3*60*76.9*((F773/1000)^0.76))*MAX(inputs!$I$14:$I$16))/F773))</f>
        <v>1.8607423603348893E-2</v>
      </c>
      <c r="T773" s="63">
        <f>IF((((inputs!$P$13/(V773/MAX(K773:S773)))^(1/inputs!$O$13))-1)/inputs!$N$13&lt;0, 0, IF((((inputs!$P$13/(V773/MAX(K773:S773)))^(1/inputs!$O$13))-1)/inputs!$N$13&lt;inputs!$I$17, (((inputs!$P$13/(V773/MAX(K773:S773)))^(1/inputs!$O$13))-1)/inputs!$N$13, inputs!$I$17))</f>
        <v>1000</v>
      </c>
      <c r="U773" s="63">
        <f>IF((((inputs!$P$13/(X773/MAX(K773:S773)))^(1/inputs!$O$13))-1)/inputs!$N$13&lt;0, 0, IF((((inputs!$P$13/(X773/MAX(K773:S773)))^(1/inputs!$O$13))-1)/inputs!$N$13&lt;inputs!$I$17, (((inputs!$P$13/(X773/MAX(K773:S773)))^(1/inputs!$O$13))-1)/inputs!$N$13, inputs!$I$17))</f>
        <v>1000</v>
      </c>
      <c r="V773" s="21">
        <f>inputs!$E$87*(F773/inputs!$F$87)^(1)</f>
        <v>1.976E-2</v>
      </c>
      <c r="W773" s="21">
        <f>inputs!$E$90*(F773/inputs!$F$90)^(1)</f>
        <v>2.0800000000000003E-2</v>
      </c>
      <c r="X773" s="21">
        <f>inputs!$E$89*(F773/inputs!$F$89)^(1)</f>
        <v>7.7670886075949366E-2</v>
      </c>
      <c r="Y773" s="21" t="s">
        <v>13</v>
      </c>
      <c r="Z773" s="63">
        <f t="shared" si="84"/>
        <v>3819.6866441938114</v>
      </c>
      <c r="AA773" s="63">
        <f t="shared" si="85"/>
        <v>3628.7023119841206</v>
      </c>
    </row>
    <row r="774" spans="1:27" x14ac:dyDescent="0.25">
      <c r="A774" s="120" t="s">
        <v>430</v>
      </c>
      <c r="B774" s="20" t="s">
        <v>431</v>
      </c>
      <c r="C774" s="21" t="s">
        <v>79</v>
      </c>
      <c r="D774" s="105" t="s">
        <v>378</v>
      </c>
      <c r="E774" s="15">
        <v>1783</v>
      </c>
      <c r="F774" s="56">
        <v>104</v>
      </c>
      <c r="G774" s="21" t="s">
        <v>146</v>
      </c>
      <c r="H774" s="20">
        <v>0.84</v>
      </c>
      <c r="I774" s="68">
        <f>MAX('Max rate concentrations'!$I$3:$I$368)</f>
        <v>56.865414300472793</v>
      </c>
      <c r="J774" s="68" t="s">
        <v>13</v>
      </c>
      <c r="K774" s="69">
        <f t="shared" si="82"/>
        <v>1.6099226452562279</v>
      </c>
      <c r="L774" s="69" t="s">
        <v>13</v>
      </c>
      <c r="M774" s="69">
        <f>IF((((0.065*F774^0.726)/3.7-(0.301*F774^0.751)/(1-H774)*H774)*(MAX('Max rate concentrations'!$P$3:$P$368)))/F774&gt;0, (((0.065*F774^0.726)/3.7-(0.301*F774^0.751)/(1-H774)*H774)*(MAX('Max rate concentrations'!$P$3:$P$368)))/F774, 0)</f>
        <v>0</v>
      </c>
      <c r="N774" s="69">
        <f>IF((((0.065*F774^0.726)/3.7-(0.301*F774^0.751)/(1-H774)*H774)*(MAX('Max rate concentrations'!$Q$3:$Q$368)))/F774&gt;0, (((0.065*F774^0.726)/3.7-(0.301*F774^0.751)/(1-H774)*H774)*(MAX('Max rate concentrations'!$Q$3:$Q$368)))/F774, 0)</f>
        <v>0</v>
      </c>
      <c r="O774" s="69" t="s">
        <v>13</v>
      </c>
      <c r="P774" s="69" t="s">
        <v>13</v>
      </c>
      <c r="Q774" s="69">
        <f>(inputs!$C$18*11.2)*(25.05*F774^0.63)*0.5*1/F774</f>
        <v>75.477008089269717</v>
      </c>
      <c r="R774" s="59">
        <f>(60*76.9*((F774/1000)^0.76)*3*24*(MAX('Max rate concentrations'!$R$3:$R$368))/F774)</f>
        <v>4.4067639060531624E-3</v>
      </c>
      <c r="S774" s="59">
        <f>(IF(inputs!$C$17="aerial",((0.025*0.112*inputs!$C$18/3.3)*(3*60*76.9*((F774/1000)^0.76))*MAX(inputs!$I$14:$I$16))/F774,((0.0083*0.112*inputs!$C$18/1)*(3*60*76.9*((F774/1000)^0.76))*MAX(inputs!$I$14:$I$16))/F774))</f>
        <v>1.8607423603348893E-2</v>
      </c>
      <c r="T774" s="63">
        <f>IF((((inputs!$P$13/(V774/MAX(K774:S774)))^(1/inputs!$O$13))-1)/inputs!$N$13&lt;0, 0, IF((((inputs!$P$13/(V774/MAX(K774:S774)))^(1/inputs!$O$13))-1)/inputs!$N$13&lt;inputs!$I$17, (((inputs!$P$13/(V774/MAX(K774:S774)))^(1/inputs!$O$13))-1)/inputs!$N$13, inputs!$I$17))</f>
        <v>1000</v>
      </c>
      <c r="U774" s="63">
        <f>IF((((inputs!$P$13/(X774/MAX(K774:S774)))^(1/inputs!$O$13))-1)/inputs!$N$13&lt;0, 0, IF((((inputs!$P$13/(X774/MAX(K774:S774)))^(1/inputs!$O$13))-1)/inputs!$N$13&lt;inputs!$I$17, (((inputs!$P$13/(X774/MAX(K774:S774)))^(1/inputs!$O$13))-1)/inputs!$N$13, inputs!$I$17))</f>
        <v>1000</v>
      </c>
      <c r="V774" s="21">
        <f>inputs!$E$87*(F774/inputs!$F$87)^(1)</f>
        <v>1.976E-2</v>
      </c>
      <c r="W774" s="21">
        <f>inputs!$E$90*(F774/inputs!$F$90)^(1)</f>
        <v>2.0800000000000003E-2</v>
      </c>
      <c r="X774" s="21">
        <f>inputs!$E$89*(F774/inputs!$F$89)^(1)</f>
        <v>7.7670886075949366E-2</v>
      </c>
      <c r="Y774" s="21" t="s">
        <v>13</v>
      </c>
      <c r="Z774" s="63">
        <f t="shared" si="84"/>
        <v>3819.6866441938114</v>
      </c>
      <c r="AA774" s="63">
        <f t="shared" si="85"/>
        <v>3628.7023119841206</v>
      </c>
    </row>
    <row r="775" spans="1:27" x14ac:dyDescent="0.25">
      <c r="A775" s="103" t="s">
        <v>393</v>
      </c>
      <c r="B775" s="20" t="s">
        <v>394</v>
      </c>
      <c r="C775" s="21" t="s">
        <v>79</v>
      </c>
      <c r="D775" s="105" t="s">
        <v>378</v>
      </c>
      <c r="E775" s="15">
        <v>156</v>
      </c>
      <c r="F775" s="15">
        <v>140</v>
      </c>
      <c r="G775" s="21" t="s">
        <v>142</v>
      </c>
      <c r="H775" s="21">
        <v>0.69</v>
      </c>
      <c r="I775" s="68">
        <f>MAX('Max rate concentrations'!$H$3:$H$368)</f>
        <v>282</v>
      </c>
      <c r="J775" s="68">
        <f>MAX('Max rate concentrations'!AA:AA)</f>
        <v>195</v>
      </c>
      <c r="K775" s="69">
        <f t="shared" si="82"/>
        <v>3.851764291977239</v>
      </c>
      <c r="L775" s="69">
        <f t="shared" ref="L775:L785" si="86">(((0.013*F775^0.773)/(1-H775)))*J775/F775</f>
        <v>2.6634540316863884</v>
      </c>
      <c r="M775" s="69">
        <f>IF((((0.065*F775^0.726)/3.7-(0.301*F775^0.751)/(1-H775)*H775)*(MAX('Max rate concentrations'!$P$3:$P$368)))/F775&gt;0, (((0.065*F775^0.726)/3.7-(0.301*F775^0.751)/(1-H775)*H775)*(MAX('Max rate concentrations'!$P$3:$P$368)))/F775, 0)</f>
        <v>0</v>
      </c>
      <c r="N775" s="69">
        <f>IF((((0.065*F775^0.726)/3.7-(0.301*F775^0.751)/(1-H775)*H775)*(MAX('Max rate concentrations'!$Q$3:$Q$368)))/F775&gt;0, (((0.065*F775^0.726)/3.7-(0.301*F775^0.751)/(1-H775)*H775)*(MAX('Max rate concentrations'!$Q$3:$Q$368)))/F775, 0)</f>
        <v>0</v>
      </c>
      <c r="O775" s="69" t="s">
        <v>13</v>
      </c>
      <c r="P775" s="69" t="s">
        <v>13</v>
      </c>
      <c r="Q775" s="69">
        <f>(inputs!$C$18*11.2)*(25.05*F775^0.63)*0.5*1/F775</f>
        <v>67.616025433154491</v>
      </c>
      <c r="R775" s="59">
        <f>(60*76.9*((F775/1000)^0.76)*3*24*(MAX('Max rate concentrations'!$R$3:$R$368))/F775)</f>
        <v>4.1033357739064602E-3</v>
      </c>
      <c r="S775" s="59">
        <f>(IF(inputs!$C$17="aerial",((0.025*0.112*inputs!$C$18/3.3)*(3*60*76.9*((F775/1000)^0.76))*MAX(inputs!$I$14:$I$16))/F775,((0.0083*0.112*inputs!$C$18/1)*(3*60*76.9*((F775/1000)^0.76))*MAX(inputs!$I$14:$I$16))/F775))</f>
        <v>1.7326207747815722E-2</v>
      </c>
      <c r="T775" s="63">
        <f>IF((((inputs!$P$13/(V775/MAX(K775:S775)))^(1/inputs!$O$13))-1)/inputs!$N$13&lt;0, 0, IF((((inputs!$P$13/(V775/MAX(K775:S775)))^(1/inputs!$O$13))-1)/inputs!$N$13&lt;inputs!$I$17, (((inputs!$P$13/(V775/MAX(K775:S775)))^(1/inputs!$O$13))-1)/inputs!$N$13, inputs!$I$17))</f>
        <v>1000</v>
      </c>
      <c r="U775" s="63">
        <f>IF((((inputs!$P$13/(X775/MAX(K775:S775)))^(1/inputs!$O$13))-1)/inputs!$N$13&lt;0, 0, IF((((inputs!$P$13/(X775/MAX(K775:S775)))^(1/inputs!$O$13))-1)/inputs!$N$13&lt;inputs!$I$17, (((inputs!$P$13/(X775/MAX(K775:S775)))^(1/inputs!$O$13))-1)/inputs!$N$13, inputs!$I$17))</f>
        <v>1000</v>
      </c>
      <c r="V775" s="21">
        <f>inputs!$E$87*(F775/inputs!$F$87)^(1)</f>
        <v>2.6599999999999999E-2</v>
      </c>
      <c r="W775" s="21">
        <f>inputs!$E$90*(F775/inputs!$F$90)^(1)</f>
        <v>2.8000000000000001E-2</v>
      </c>
      <c r="X775" s="21">
        <f>inputs!$E$89*(F775/inputs!$F$89)^(1)</f>
        <v>0.10455696202531645</v>
      </c>
      <c r="Y775" s="21" t="s">
        <v>13</v>
      </c>
      <c r="Z775" s="63">
        <f t="shared" si="84"/>
        <v>2541.9558433516727</v>
      </c>
      <c r="AA775" s="63">
        <f t="shared" si="85"/>
        <v>2414.8580511840887</v>
      </c>
    </row>
    <row r="776" spans="1:27" x14ac:dyDescent="0.25">
      <c r="A776" s="103" t="s">
        <v>393</v>
      </c>
      <c r="B776" s="20" t="s">
        <v>394</v>
      </c>
      <c r="C776" s="21" t="s">
        <v>79</v>
      </c>
      <c r="D776" s="105" t="s">
        <v>378</v>
      </c>
      <c r="E776" s="15">
        <v>156</v>
      </c>
      <c r="F776" s="15">
        <v>140</v>
      </c>
      <c r="G776" s="21" t="s">
        <v>138</v>
      </c>
      <c r="H776" s="20">
        <v>0.68</v>
      </c>
      <c r="I776" s="68">
        <f>MAX('Max rate concentrations'!$L$3:$L$368)</f>
        <v>350.52744091332482</v>
      </c>
      <c r="J776" s="68">
        <f>MAX('Max rate concentrations'!AD:AD)</f>
        <v>242.38599637623525</v>
      </c>
      <c r="K776" s="69">
        <f t="shared" si="82"/>
        <v>4.6381451117366241</v>
      </c>
      <c r="L776" s="69">
        <f t="shared" si="86"/>
        <v>3.2072280027966023</v>
      </c>
      <c r="M776" s="69">
        <f>IF((((0.065*F776^0.726)/3.7-(0.301*F776^0.751)/(1-H776)*H776)*(MAX('Max rate concentrations'!$P$3:$P$368)))/F776&gt;0, (((0.065*F776^0.726)/3.7-(0.301*F776^0.751)/(1-H776)*H776)*(MAX('Max rate concentrations'!$P$3:$P$368)))/F776, 0)</f>
        <v>0</v>
      </c>
      <c r="N776" s="69">
        <f>IF((((0.065*F776^0.726)/3.7-(0.301*F776^0.751)/(1-H776)*H776)*(MAX('Max rate concentrations'!$Q$3:$Q$368)))/F776&gt;0, (((0.065*F776^0.726)/3.7-(0.301*F776^0.751)/(1-H776)*H776)*(MAX('Max rate concentrations'!$Q$3:$Q$368)))/F776, 0)</f>
        <v>0</v>
      </c>
      <c r="O776" s="69" t="s">
        <v>13</v>
      </c>
      <c r="P776" s="69" t="s">
        <v>13</v>
      </c>
      <c r="Q776" s="69">
        <f>(inputs!$C$18*11.2)*(25.05*F776^0.63)*0.5*1/F776</f>
        <v>67.616025433154491</v>
      </c>
      <c r="R776" s="59">
        <f>(60*76.9*((F776/1000)^0.76)*3*24*(MAX('Max rate concentrations'!$R$3:$R$368))/F776)</f>
        <v>4.1033357739064602E-3</v>
      </c>
      <c r="S776" s="59">
        <f>(IF(inputs!$C$17="aerial",((0.025*0.112*inputs!$C$18/3.3)*(3*60*76.9*((F776/1000)^0.76))*MAX(inputs!$I$14:$I$16))/F776,((0.0083*0.112*inputs!$C$18/1)*(3*60*76.9*((F776/1000)^0.76))*MAX(inputs!$I$14:$I$16))/F776))</f>
        <v>1.7326207747815722E-2</v>
      </c>
      <c r="T776" s="63">
        <f>IF((((inputs!$P$13/(V776/MAX(K776:S776)))^(1/inputs!$O$13))-1)/inputs!$N$13&lt;0, 0, IF((((inputs!$P$13/(V776/MAX(K776:S776)))^(1/inputs!$O$13))-1)/inputs!$N$13&lt;inputs!$I$17, (((inputs!$P$13/(V776/MAX(K776:S776)))^(1/inputs!$O$13))-1)/inputs!$N$13, inputs!$I$17))</f>
        <v>1000</v>
      </c>
      <c r="U776" s="63">
        <f>IF((((inputs!$P$13/(X776/MAX(K776:S776)))^(1/inputs!$O$13))-1)/inputs!$N$13&lt;0, 0, IF((((inputs!$P$13/(X776/MAX(K776:S776)))^(1/inputs!$O$13))-1)/inputs!$N$13&lt;inputs!$I$17, (((inputs!$P$13/(X776/MAX(K776:S776)))^(1/inputs!$O$13))-1)/inputs!$N$13, inputs!$I$17))</f>
        <v>1000</v>
      </c>
      <c r="V776" s="21">
        <f>inputs!$E$87*(F776/inputs!$F$87)^(1)</f>
        <v>2.6599999999999999E-2</v>
      </c>
      <c r="W776" s="21">
        <f>inputs!$E$90*(F776/inputs!$F$90)^(1)</f>
        <v>2.8000000000000001E-2</v>
      </c>
      <c r="X776" s="21">
        <f>inputs!$E$89*(F776/inputs!$F$89)^(1)</f>
        <v>0.10455696202531645</v>
      </c>
      <c r="Y776" s="21" t="s">
        <v>13</v>
      </c>
      <c r="Z776" s="63">
        <f t="shared" si="84"/>
        <v>2541.9558433516727</v>
      </c>
      <c r="AA776" s="63">
        <f t="shared" si="85"/>
        <v>2414.8580511840887</v>
      </c>
    </row>
    <row r="777" spans="1:27" x14ac:dyDescent="0.25">
      <c r="A777" s="103" t="s">
        <v>393</v>
      </c>
      <c r="B777" s="20" t="s">
        <v>394</v>
      </c>
      <c r="C777" s="21" t="s">
        <v>79</v>
      </c>
      <c r="D777" s="105" t="s">
        <v>378</v>
      </c>
      <c r="E777" s="15">
        <v>156</v>
      </c>
      <c r="F777" s="15">
        <v>140</v>
      </c>
      <c r="G777" s="21" t="s">
        <v>218</v>
      </c>
      <c r="H777" s="20">
        <v>0.68</v>
      </c>
      <c r="I777" s="68">
        <f>MAX('Max rate concentrations'!$K$3:$K$368)</f>
        <v>110.00035859694511</v>
      </c>
      <c r="J777" s="68">
        <f>MAX('Max rate concentrations'!AC:AC)</f>
        <v>38.958460336418057</v>
      </c>
      <c r="K777" s="69">
        <f t="shared" si="82"/>
        <v>1.4555140795435004</v>
      </c>
      <c r="L777" s="69">
        <f t="shared" si="86"/>
        <v>0.51549456983832298</v>
      </c>
      <c r="M777" s="69">
        <f>IF((((0.065*F777^0.726)/3.7-(0.301*F777^0.751)/(1-H777)*H777)*(MAX('Max rate concentrations'!$P$3:$P$368)))/F777&gt;0, (((0.065*F777^0.726)/3.7-(0.301*F777^0.751)/(1-H777)*H777)*(MAX('Max rate concentrations'!$P$3:$P$368)))/F777, 0)</f>
        <v>0</v>
      </c>
      <c r="N777" s="69">
        <f>IF((((0.065*F777^0.726)/3.7-(0.301*F777^0.751)/(1-H777)*H777)*(MAX('Max rate concentrations'!$Q$3:$Q$368)))/F777&gt;0, (((0.065*F777^0.726)/3.7-(0.301*F777^0.751)/(1-H777)*H777)*(MAX('Max rate concentrations'!$Q$3:$Q$368)))/F777, 0)</f>
        <v>0</v>
      </c>
      <c r="O777" s="69" t="s">
        <v>13</v>
      </c>
      <c r="P777" s="69" t="s">
        <v>13</v>
      </c>
      <c r="Q777" s="69">
        <f>(inputs!$C$18*11.2)*(25.05*F777^0.63)*0.5*1/F777</f>
        <v>67.616025433154491</v>
      </c>
      <c r="R777" s="59">
        <f>(60*76.9*((F777/1000)^0.76)*3*24*(MAX('Max rate concentrations'!$R$3:$R$368))/F777)</f>
        <v>4.1033357739064602E-3</v>
      </c>
      <c r="S777" s="59">
        <f>(IF(inputs!$C$17="aerial",((0.025*0.112*inputs!$C$18/3.3)*(3*60*76.9*((F777/1000)^0.76))*MAX(inputs!$I$14:$I$16))/F777,((0.0083*0.112*inputs!$C$18/1)*(3*60*76.9*((F777/1000)^0.76))*MAX(inputs!$I$14:$I$16))/F777))</f>
        <v>1.7326207747815722E-2</v>
      </c>
      <c r="T777" s="63">
        <f>IF((((inputs!$P$13/(V777/MAX(K777:S777)))^(1/inputs!$O$13))-1)/inputs!$N$13&lt;0, 0, IF((((inputs!$P$13/(V777/MAX(K777:S777)))^(1/inputs!$O$13))-1)/inputs!$N$13&lt;inputs!$I$17, (((inputs!$P$13/(V777/MAX(K777:S777)))^(1/inputs!$O$13))-1)/inputs!$N$13, inputs!$I$17))</f>
        <v>1000</v>
      </c>
      <c r="U777" s="63">
        <f>IF((((inputs!$P$13/(X777/MAX(K777:S777)))^(1/inputs!$O$13))-1)/inputs!$N$13&lt;0, 0, IF((((inputs!$P$13/(X777/MAX(K777:S777)))^(1/inputs!$O$13))-1)/inputs!$N$13&lt;inputs!$I$17, (((inputs!$P$13/(X777/MAX(K777:S777)))^(1/inputs!$O$13))-1)/inputs!$N$13, inputs!$I$17))</f>
        <v>1000</v>
      </c>
      <c r="V777" s="21">
        <f>inputs!$E$87*(F777/inputs!$F$87)^(1)</f>
        <v>2.6599999999999999E-2</v>
      </c>
      <c r="W777" s="21">
        <f>inputs!$E$90*(F777/inputs!$F$90)^(1)</f>
        <v>2.8000000000000001E-2</v>
      </c>
      <c r="X777" s="21">
        <f>inputs!$E$89*(F777/inputs!$F$89)^(1)</f>
        <v>0.10455696202531645</v>
      </c>
      <c r="Y777" s="21" t="s">
        <v>13</v>
      </c>
      <c r="Z777" s="63">
        <f t="shared" si="84"/>
        <v>2541.9558433516727</v>
      </c>
      <c r="AA777" s="63">
        <f t="shared" si="85"/>
        <v>2414.8580511840887</v>
      </c>
    </row>
    <row r="778" spans="1:27" x14ac:dyDescent="0.25">
      <c r="A778" s="103" t="s">
        <v>393</v>
      </c>
      <c r="B778" s="20" t="s">
        <v>394</v>
      </c>
      <c r="C778" s="21" t="s">
        <v>79</v>
      </c>
      <c r="D778" s="105" t="s">
        <v>378</v>
      </c>
      <c r="E778" s="15">
        <v>156</v>
      </c>
      <c r="F778" s="15">
        <v>140</v>
      </c>
      <c r="G778" s="21" t="s">
        <v>456</v>
      </c>
      <c r="H778" s="20">
        <v>0.68</v>
      </c>
      <c r="I778" s="68">
        <f>MAX('Max rate concentrations'!$J$3:$J$368)</f>
        <v>686.46486205830786</v>
      </c>
      <c r="J778" s="68">
        <f>MAX('Max rate concentrations'!AB:AB)</f>
        <v>243.122971978984</v>
      </c>
      <c r="K778" s="69">
        <f t="shared" si="82"/>
        <v>9.083236496517225</v>
      </c>
      <c r="L778" s="69">
        <f t="shared" si="86"/>
        <v>3.2169795925165161</v>
      </c>
      <c r="M778" s="69">
        <f>IF((((0.065*F778^0.726)/3.7-(0.301*F778^0.751)/(1-H778)*H778)*(MAX('Max rate concentrations'!$P$3:$P$368)))/F778&gt;0, (((0.065*F778^0.726)/3.7-(0.301*F778^0.751)/(1-H778)*H778)*(MAX('Max rate concentrations'!$P$3:$P$368)))/F778, 0)</f>
        <v>0</v>
      </c>
      <c r="N778" s="69">
        <f>IF((((0.065*F778^0.726)/3.7-(0.301*F778^0.751)/(1-H778)*H778)*(MAX('Max rate concentrations'!$Q$3:$Q$368)))/F778&gt;0, (((0.065*F778^0.726)/3.7-(0.301*F778^0.751)/(1-H778)*H778)*(MAX('Max rate concentrations'!$Q$3:$Q$368)))/F778, 0)</f>
        <v>0</v>
      </c>
      <c r="O778" s="69" t="s">
        <v>13</v>
      </c>
      <c r="P778" s="69" t="s">
        <v>13</v>
      </c>
      <c r="Q778" s="69">
        <f>(inputs!$C$18*11.2)*(25.05*F778^0.63)*0.5*1/F778</f>
        <v>67.616025433154491</v>
      </c>
      <c r="R778" s="59">
        <f>(60*76.9*((F778/1000)^0.76)*3*24*(MAX('Max rate concentrations'!$R$3:$R$368))/F778)</f>
        <v>4.1033357739064602E-3</v>
      </c>
      <c r="S778" s="59">
        <f>(IF(inputs!$C$17="aerial",((0.025*0.112*inputs!$C$18/3.3)*(3*60*76.9*((F778/1000)^0.76))*MAX(inputs!$I$14:$I$16))/F778,((0.0083*0.112*inputs!$C$18/1)*(3*60*76.9*((F778/1000)^0.76))*MAX(inputs!$I$14:$I$16))/F778))</f>
        <v>1.7326207747815722E-2</v>
      </c>
      <c r="T778" s="63">
        <f>IF((((inputs!$P$13/(V778/MAX(K778:S778)))^(1/inputs!$O$13))-1)/inputs!$N$13&lt;0, 0, IF((((inputs!$P$13/(V778/MAX(K778:S778)))^(1/inputs!$O$13))-1)/inputs!$N$13&lt;inputs!$I$17, (((inputs!$P$13/(V778/MAX(K778:S778)))^(1/inputs!$O$13))-1)/inputs!$N$13, inputs!$I$17))</f>
        <v>1000</v>
      </c>
      <c r="U778" s="63">
        <f>IF((((inputs!$P$13/(X778/MAX(K778:S778)))^(1/inputs!$O$13))-1)/inputs!$N$13&lt;0, 0, IF((((inputs!$P$13/(X778/MAX(K778:S778)))^(1/inputs!$O$13))-1)/inputs!$N$13&lt;inputs!$I$17, (((inputs!$P$13/(X778/MAX(K778:S778)))^(1/inputs!$O$13))-1)/inputs!$N$13, inputs!$I$17))</f>
        <v>1000</v>
      </c>
      <c r="V778" s="21">
        <f>inputs!$E$87*(F778/inputs!$F$87)^(1)</f>
        <v>2.6599999999999999E-2</v>
      </c>
      <c r="W778" s="21">
        <f>inputs!$E$90*(F778/inputs!$F$90)^(1)</f>
        <v>2.8000000000000001E-2</v>
      </c>
      <c r="X778" s="21">
        <f>inputs!$E$89*(F778/inputs!$F$89)^(1)</f>
        <v>0.10455696202531645</v>
      </c>
      <c r="Y778" s="21" t="s">
        <v>13</v>
      </c>
      <c r="Z778" s="63">
        <f t="shared" si="84"/>
        <v>2541.9558433516727</v>
      </c>
      <c r="AA778" s="63">
        <f t="shared" si="85"/>
        <v>2414.8580511840887</v>
      </c>
    </row>
    <row r="779" spans="1:27" x14ac:dyDescent="0.25">
      <c r="A779" s="103" t="s">
        <v>393</v>
      </c>
      <c r="B779" s="20" t="s">
        <v>394</v>
      </c>
      <c r="C779" s="21" t="s">
        <v>79</v>
      </c>
      <c r="D779" s="105" t="s">
        <v>378</v>
      </c>
      <c r="E779" s="15">
        <v>156</v>
      </c>
      <c r="F779" s="15">
        <v>140</v>
      </c>
      <c r="G779" s="21" t="s">
        <v>145</v>
      </c>
      <c r="H779" s="20">
        <v>0.66</v>
      </c>
      <c r="I779" s="68">
        <f>MAX('Max rate concentrations'!$M$3:$M$368)</f>
        <v>17.092910873809167</v>
      </c>
      <c r="J779" s="68">
        <f>MAX('Max rate concentrations'!AE:AE)</f>
        <v>11.81956602976166</v>
      </c>
      <c r="K779" s="69">
        <f t="shared" si="82"/>
        <v>0.21286751942431334</v>
      </c>
      <c r="L779" s="69">
        <f t="shared" si="86"/>
        <v>0.14719562513383372</v>
      </c>
      <c r="M779" s="69">
        <f>IF((((0.065*F779^0.726)/3.7-(0.301*F779^0.751)/(1-H779)*H779)*(MAX('Max rate concentrations'!$P$3:$P$368)))/F779&gt;0, (((0.065*F779^0.726)/3.7-(0.301*F779^0.751)/(1-H779)*H779)*(MAX('Max rate concentrations'!$P$3:$P$368)))/F779, 0)</f>
        <v>0</v>
      </c>
      <c r="N779" s="69">
        <f>IF((((0.065*F779^0.726)/3.7-(0.301*F779^0.751)/(1-H779)*H779)*(MAX('Max rate concentrations'!$Q$3:$Q$368)))/F779&gt;0, (((0.065*F779^0.726)/3.7-(0.301*F779^0.751)/(1-H779)*H779)*(MAX('Max rate concentrations'!$Q$3:$Q$368)))/F779, 0)</f>
        <v>0</v>
      </c>
      <c r="O779" s="69" t="s">
        <v>13</v>
      </c>
      <c r="P779" s="69" t="s">
        <v>13</v>
      </c>
      <c r="Q779" s="69">
        <f>(inputs!$C$18*11.2)*(25.05*F779^0.63)*0.5*1/F779</f>
        <v>67.616025433154491</v>
      </c>
      <c r="R779" s="59">
        <f>(60*76.9*((F779/1000)^0.76)*3*24*(MAX('Max rate concentrations'!$R$3:$R$368))/F779)</f>
        <v>4.1033357739064602E-3</v>
      </c>
      <c r="S779" s="59">
        <f>(IF(inputs!$C$17="aerial",((0.025*0.112*inputs!$C$18/3.3)*(3*60*76.9*((F779/1000)^0.76))*MAX(inputs!$I$14:$I$16))/F779,((0.0083*0.112*inputs!$C$18/1)*(3*60*76.9*((F779/1000)^0.76))*MAX(inputs!$I$14:$I$16))/F779))</f>
        <v>1.7326207747815722E-2</v>
      </c>
      <c r="T779" s="63">
        <f>IF((((inputs!$P$13/(V779/MAX(K779:S779)))^(1/inputs!$O$13))-1)/inputs!$N$13&lt;0, 0, IF((((inputs!$P$13/(V779/MAX(K779:S779)))^(1/inputs!$O$13))-1)/inputs!$N$13&lt;inputs!$I$17, (((inputs!$P$13/(V779/MAX(K779:S779)))^(1/inputs!$O$13))-1)/inputs!$N$13, inputs!$I$17))</f>
        <v>1000</v>
      </c>
      <c r="U779" s="63">
        <f>IF((((inputs!$P$13/(X779/MAX(K779:S779)))^(1/inputs!$O$13))-1)/inputs!$N$13&lt;0, 0, IF((((inputs!$P$13/(X779/MAX(K779:S779)))^(1/inputs!$O$13))-1)/inputs!$N$13&lt;inputs!$I$17, (((inputs!$P$13/(X779/MAX(K779:S779)))^(1/inputs!$O$13))-1)/inputs!$N$13, inputs!$I$17))</f>
        <v>1000</v>
      </c>
      <c r="V779" s="21">
        <f>inputs!$E$87*(F779/inputs!$F$87)^(1)</f>
        <v>2.6599999999999999E-2</v>
      </c>
      <c r="W779" s="21">
        <f>inputs!$E$90*(F779/inputs!$F$90)^(1)</f>
        <v>2.8000000000000001E-2</v>
      </c>
      <c r="X779" s="21">
        <f>inputs!$E$89*(F779/inputs!$F$89)^(1)</f>
        <v>0.10455696202531645</v>
      </c>
      <c r="Y779" s="21" t="s">
        <v>13</v>
      </c>
      <c r="Z779" s="63">
        <f t="shared" si="84"/>
        <v>2541.9558433516727</v>
      </c>
      <c r="AA779" s="63">
        <f t="shared" si="85"/>
        <v>2414.8580511840887</v>
      </c>
    </row>
    <row r="780" spans="1:27" x14ac:dyDescent="0.25">
      <c r="A780" s="120" t="s">
        <v>434</v>
      </c>
      <c r="B780" s="20" t="s">
        <v>435</v>
      </c>
      <c r="C780" s="21" t="s">
        <v>79</v>
      </c>
      <c r="D780" s="105" t="s">
        <v>378</v>
      </c>
      <c r="E780" s="15">
        <v>152</v>
      </c>
      <c r="F780" s="15">
        <v>113</v>
      </c>
      <c r="G780" s="21" t="s">
        <v>182</v>
      </c>
      <c r="H780" s="20">
        <v>0.85</v>
      </c>
      <c r="I780" s="68">
        <f>MAX('Max rate concentrations'!$M$3:$M$368)</f>
        <v>17.092910873809167</v>
      </c>
      <c r="J780" s="68">
        <f>MAX('Max rate concentrations'!AE:AE)</f>
        <v>11.81956602976166</v>
      </c>
      <c r="K780" s="69">
        <f t="shared" si="82"/>
        <v>0.50654649507523675</v>
      </c>
      <c r="L780" s="69">
        <f t="shared" si="86"/>
        <v>0.35027151255202543</v>
      </c>
      <c r="M780" s="69">
        <f>IF((((0.065*F780^0.726)/3.7-(0.301*F780^0.751)/(1-H780)*H780)*(MAX('Max rate concentrations'!$P$3:$P$368)))/F780&gt;0, (((0.065*F780^0.726)/3.7-(0.301*F780^0.751)/(1-H780)*H780)*(MAX('Max rate concentrations'!$P$3:$P$368)))/F780, 0)</f>
        <v>0</v>
      </c>
      <c r="N780" s="69">
        <f>IF((((0.065*F780^0.726)/3.7-(0.301*F780^0.751)/(1-H780)*H780)*(MAX('Max rate concentrations'!$Q$3:$Q$368)))/F780&gt;0, (((0.065*F780^0.726)/3.7-(0.301*F780^0.751)/(1-H780)*H780)*(MAX('Max rate concentrations'!$Q$3:$Q$368)))/F780, 0)</f>
        <v>0</v>
      </c>
      <c r="O780" s="69" t="s">
        <v>13</v>
      </c>
      <c r="P780" s="69" t="s">
        <v>13</v>
      </c>
      <c r="Q780" s="69">
        <f>(inputs!$C$18*11.2)*(25.05*F780^0.63)*0.5*1/F780</f>
        <v>73.194422376115511</v>
      </c>
      <c r="R780" s="59">
        <f>(60*76.9*((F780/1000)^0.76)*3*24*(MAX('Max rate concentrations'!$R$3:$R$368))/F780)</f>
        <v>4.3198529021218181E-3</v>
      </c>
      <c r="S780" s="59">
        <f>(IF(inputs!$C$17="aerial",((0.025*0.112*inputs!$C$18/3.3)*(3*60*76.9*((F780/1000)^0.76))*MAX(inputs!$I$14:$I$16))/F780,((0.0083*0.112*inputs!$C$18/1)*(3*60*76.9*((F780/1000)^0.76))*MAX(inputs!$I$14:$I$16))/F780))</f>
        <v>1.8240444590989859E-2</v>
      </c>
      <c r="T780" s="63">
        <f>IF((((inputs!$P$13/(V780/MAX(K780:S780)))^(1/inputs!$O$13))-1)/inputs!$N$13&lt;0, 0, IF((((inputs!$P$13/(V780/MAX(K780:S780)))^(1/inputs!$O$13))-1)/inputs!$N$13&lt;inputs!$I$17, (((inputs!$P$13/(V780/MAX(K780:S780)))^(1/inputs!$O$13))-1)/inputs!$N$13, inputs!$I$17))</f>
        <v>1000</v>
      </c>
      <c r="U780" s="63">
        <f>IF((((inputs!$P$13/(X780/MAX(K780:S780)))^(1/inputs!$O$13))-1)/inputs!$N$13&lt;0, 0, IF((((inputs!$P$13/(X780/MAX(K780:S780)))^(1/inputs!$O$13))-1)/inputs!$N$13&lt;inputs!$I$17, (((inputs!$P$13/(X780/MAX(K780:S780)))^(1/inputs!$O$13))-1)/inputs!$N$13, inputs!$I$17))</f>
        <v>1000</v>
      </c>
      <c r="V780" s="21">
        <f>inputs!$E$87*(F780/inputs!$F$87)^(1)</f>
        <v>2.1469999999999996E-2</v>
      </c>
      <c r="W780" s="21">
        <f>inputs!$E$90*(F780/inputs!$F$90)^(1)</f>
        <v>2.2600000000000002E-2</v>
      </c>
      <c r="X780" s="21">
        <f>inputs!$E$89*(F780/inputs!$F$89)^(1)</f>
        <v>8.439240506329114E-2</v>
      </c>
      <c r="Y780" s="21" t="s">
        <v>13</v>
      </c>
      <c r="Z780" s="63">
        <f t="shared" si="84"/>
        <v>3409.1486900845612</v>
      </c>
      <c r="AA780" s="63">
        <f t="shared" si="85"/>
        <v>3238.6912555803319</v>
      </c>
    </row>
    <row r="781" spans="1:27" ht="26.4" x14ac:dyDescent="0.25">
      <c r="A781" s="120" t="s">
        <v>434</v>
      </c>
      <c r="B781" s="20" t="s">
        <v>435</v>
      </c>
      <c r="C781" s="21" t="s">
        <v>79</v>
      </c>
      <c r="D781" s="105" t="s">
        <v>378</v>
      </c>
      <c r="E781" s="15">
        <v>152</v>
      </c>
      <c r="F781" s="15">
        <v>113</v>
      </c>
      <c r="G781" s="21" t="s">
        <v>634</v>
      </c>
      <c r="H781" s="21">
        <v>0.75</v>
      </c>
      <c r="I781" s="68">
        <f>inputs!$C$66*inputs!$C$64/1000</f>
        <v>21.3</v>
      </c>
      <c r="J781" s="68">
        <f>inputs!$C$66*inputs!$C$63/1000</f>
        <v>8.8000000000000007</v>
      </c>
      <c r="K781" s="69">
        <f t="shared" si="82"/>
        <v>0.37873386545183951</v>
      </c>
      <c r="L781" s="69">
        <f t="shared" si="86"/>
        <v>0.15647220732282574</v>
      </c>
      <c r="M781" s="69">
        <f>IF((((0.065*F781^0.726)/3.7-(0.301*F781^0.751)/(1-H781)*H781)*(MAX('Max rate concentrations'!$P$3:$P$368)))/F781&gt;0, (((0.065*F781^0.726)/3.7-(0.301*F781^0.751)/(1-H781)*H781)*(MAX('Max rate concentrations'!$P$3:$P$368)))/F781, 0)</f>
        <v>0</v>
      </c>
      <c r="N781" s="69">
        <f>IF((((0.065*F781^0.726)/3.7-(0.301*F781^0.751)/(1-H781)*H781)*(MAX('Max rate concentrations'!$Q$3:$Q$368)))/F781&gt;0, (((0.065*F781^0.726)/3.7-(0.301*F781^0.751)/(1-H781)*H781)*(MAX('Max rate concentrations'!$Q$3:$Q$368)))/F781, 0)</f>
        <v>0</v>
      </c>
      <c r="O781" s="69" t="s">
        <v>13</v>
      </c>
      <c r="P781" s="69" t="s">
        <v>13</v>
      </c>
      <c r="Q781" s="69">
        <f>(inputs!$C$18*11.2)*(25.05*F781^0.63)*0.5*1/F781</f>
        <v>73.194422376115511</v>
      </c>
      <c r="R781" s="59">
        <f>(60*76.9*((F781/1000)^0.76)*3*24*(MAX('Max rate concentrations'!$R$3:$R$368))/F781)</f>
        <v>4.3198529021218181E-3</v>
      </c>
      <c r="S781" s="59">
        <f>(IF(inputs!$C$17="aerial",((0.025*0.112*inputs!$C$18/3.3)*(3*60*76.9*((F781/1000)^0.76))*MAX(inputs!$I$14:$I$16))/F781,((0.0083*0.112*inputs!$C$18/1)*(3*60*76.9*((F781/1000)^0.76))*MAX(inputs!$I$14:$I$16))/F781))</f>
        <v>1.8240444590989859E-2</v>
      </c>
      <c r="T781" s="63">
        <f>IF((((inputs!$P$13/(V781/MAX(K781:S781)))^(1/inputs!$O$13))-1)/inputs!$N$13&lt;0, 0, IF((((inputs!$P$13/(V781/MAX(K781:S781)))^(1/inputs!$O$13))-1)/inputs!$N$13&lt;inputs!$I$17, (((inputs!$P$13/(V781/MAX(K781:S781)))^(1/inputs!$O$13))-1)/inputs!$N$13, inputs!$I$17))</f>
        <v>1000</v>
      </c>
      <c r="U781" s="63">
        <f>IF((((inputs!$P$13/(X781/MAX(K781:S781)))^(1/inputs!$O$13))-1)/inputs!$N$13&lt;0, 0, IF((((inputs!$P$13/(X781/MAX(K781:S781)))^(1/inputs!$O$13))-1)/inputs!$N$13&lt;inputs!$I$17, (((inputs!$P$13/(X781/MAX(K781:S781)))^(1/inputs!$O$13))-1)/inputs!$N$13, inputs!$I$17))</f>
        <v>1000</v>
      </c>
      <c r="V781" s="21">
        <f>inputs!$E$87*(F781/inputs!$F$87)^(1)</f>
        <v>2.1469999999999996E-2</v>
      </c>
      <c r="W781" s="21">
        <f>inputs!$E$90*(F781/inputs!$F$90)^(1)</f>
        <v>2.2600000000000002E-2</v>
      </c>
      <c r="X781" s="21">
        <f>inputs!$E$89*(F781/inputs!$F$89)^(1)</f>
        <v>8.439240506329114E-2</v>
      </c>
      <c r="Y781" s="21" t="s">
        <v>13</v>
      </c>
      <c r="Z781" s="63">
        <f t="shared" si="84"/>
        <v>3409.1486900845612</v>
      </c>
      <c r="AA781" s="63">
        <f t="shared" si="85"/>
        <v>3238.6912555803319</v>
      </c>
    </row>
    <row r="782" spans="1:27" x14ac:dyDescent="0.25">
      <c r="A782" s="120" t="s">
        <v>434</v>
      </c>
      <c r="B782" s="20" t="s">
        <v>435</v>
      </c>
      <c r="C782" s="21" t="s">
        <v>79</v>
      </c>
      <c r="D782" s="105" t="s">
        <v>378</v>
      </c>
      <c r="E782" s="15">
        <v>152</v>
      </c>
      <c r="F782" s="15">
        <v>113</v>
      </c>
      <c r="G782" s="21" t="s">
        <v>456</v>
      </c>
      <c r="H782" s="20">
        <v>0.68</v>
      </c>
      <c r="I782" s="68">
        <f>MAX('Max rate concentrations'!$J$3:$J$368)</f>
        <v>686.46486205830786</v>
      </c>
      <c r="J782" s="68">
        <f>MAX('Max rate concentrations'!AB:AB)</f>
        <v>243.122971978984</v>
      </c>
      <c r="K782" s="69">
        <f t="shared" si="82"/>
        <v>9.5359261555240185</v>
      </c>
      <c r="L782" s="69">
        <f t="shared" si="86"/>
        <v>3.3773071800814223</v>
      </c>
      <c r="M782" s="69">
        <f>IF((((0.065*F782^0.726)/3.7-(0.301*F782^0.751)/(1-H782)*H782)*(MAX('Max rate concentrations'!$P$3:$P$368)))/F782&gt;0, (((0.065*F782^0.726)/3.7-(0.301*F782^0.751)/(1-H782)*H782)*(MAX('Max rate concentrations'!$P$3:$P$368)))/F782, 0)</f>
        <v>0</v>
      </c>
      <c r="N782" s="69">
        <f>IF((((0.065*F782^0.726)/3.7-(0.301*F782^0.751)/(1-H782)*H782)*(MAX('Max rate concentrations'!$Q$3:$Q$368)))/F782&gt;0, (((0.065*F782^0.726)/3.7-(0.301*F782^0.751)/(1-H782)*H782)*(MAX('Max rate concentrations'!$Q$3:$Q$368)))/F782, 0)</f>
        <v>0</v>
      </c>
      <c r="O782" s="69" t="s">
        <v>13</v>
      </c>
      <c r="P782" s="69" t="s">
        <v>13</v>
      </c>
      <c r="Q782" s="69">
        <f>(inputs!$C$18*11.2)*(25.05*F782^0.63)*0.5*1/F782</f>
        <v>73.194422376115511</v>
      </c>
      <c r="R782" s="59">
        <f>(60*76.9*((F782/1000)^0.76)*3*24*(MAX('Max rate concentrations'!$R$3:$R$368))/F782)</f>
        <v>4.3198529021218181E-3</v>
      </c>
      <c r="S782" s="59">
        <f>(IF(inputs!$C$17="aerial",((0.025*0.112*inputs!$C$18/3.3)*(3*60*76.9*((F782/1000)^0.76))*MAX(inputs!$I$14:$I$16))/F782,((0.0083*0.112*inputs!$C$18/1)*(3*60*76.9*((F782/1000)^0.76))*MAX(inputs!$I$14:$I$16))/F782))</f>
        <v>1.8240444590989859E-2</v>
      </c>
      <c r="T782" s="63">
        <f>IF((((inputs!$P$13/(V782/MAX(K782:S782)))^(1/inputs!$O$13))-1)/inputs!$N$13&lt;0, 0, IF((((inputs!$P$13/(V782/MAX(K782:S782)))^(1/inputs!$O$13))-1)/inputs!$N$13&lt;inputs!$I$17, (((inputs!$P$13/(V782/MAX(K782:S782)))^(1/inputs!$O$13))-1)/inputs!$N$13, inputs!$I$17))</f>
        <v>1000</v>
      </c>
      <c r="U782" s="63">
        <f>IF((((inputs!$P$13/(X782/MAX(K782:S782)))^(1/inputs!$O$13))-1)/inputs!$N$13&lt;0, 0, IF((((inputs!$P$13/(X782/MAX(K782:S782)))^(1/inputs!$O$13))-1)/inputs!$N$13&lt;inputs!$I$17, (((inputs!$P$13/(X782/MAX(K782:S782)))^(1/inputs!$O$13))-1)/inputs!$N$13, inputs!$I$17))</f>
        <v>1000</v>
      </c>
      <c r="V782" s="21">
        <f>inputs!$E$87*(F782/inputs!$F$87)^(1)</f>
        <v>2.1469999999999996E-2</v>
      </c>
      <c r="W782" s="21">
        <f>inputs!$E$90*(F782/inputs!$F$90)^(1)</f>
        <v>2.2600000000000002E-2</v>
      </c>
      <c r="X782" s="21">
        <f>inputs!$E$89*(F782/inputs!$F$89)^(1)</f>
        <v>8.439240506329114E-2</v>
      </c>
      <c r="Y782" s="21" t="s">
        <v>13</v>
      </c>
      <c r="Z782" s="63">
        <f t="shared" si="84"/>
        <v>3409.1486900845612</v>
      </c>
      <c r="AA782" s="63">
        <f t="shared" si="85"/>
        <v>3238.6912555803319</v>
      </c>
    </row>
    <row r="783" spans="1:27" x14ac:dyDescent="0.25">
      <c r="A783" s="103" t="s">
        <v>416</v>
      </c>
      <c r="B783" s="20" t="s">
        <v>417</v>
      </c>
      <c r="C783" s="21" t="s">
        <v>79</v>
      </c>
      <c r="D783" s="105" t="s">
        <v>378</v>
      </c>
      <c r="E783" s="15">
        <v>179</v>
      </c>
      <c r="F783" s="15">
        <v>1.5</v>
      </c>
      <c r="G783" s="21" t="s">
        <v>142</v>
      </c>
      <c r="H783" s="21">
        <v>0.69</v>
      </c>
      <c r="I783" s="68">
        <f>MAX('Max rate concentrations'!$H$3:$H$368)</f>
        <v>282</v>
      </c>
      <c r="J783" s="68">
        <f>MAX('Max rate concentrations'!AA:AA)</f>
        <v>195</v>
      </c>
      <c r="K783" s="69">
        <f t="shared" si="82"/>
        <v>10.785941264618009</v>
      </c>
      <c r="L783" s="69">
        <f t="shared" si="86"/>
        <v>7.4583636404273461</v>
      </c>
      <c r="M783" s="69">
        <f>IF((((0.065*F783^0.726)/3.7-(0.301*F783^0.751)/(1-H783)*H783)*(MAX('Max rate concentrations'!$P$3:$P$368)))/F783&gt;0, (((0.065*F783^0.726)/3.7-(0.301*F783^0.751)/(1-H783)*H783)*(MAX('Max rate concentrations'!$P$3:$P$368)))/F783, 0)</f>
        <v>0</v>
      </c>
      <c r="N783" s="69">
        <f>IF((((0.065*F783^0.726)/3.7-(0.301*F783^0.751)/(1-H783)*H783)*(MAX('Max rate concentrations'!$Q$3:$Q$368)))/F783&gt;0, (((0.065*F783^0.726)/3.7-(0.301*F783^0.751)/(1-H783)*H783)*(MAX('Max rate concentrations'!$Q$3:$Q$368)))/F783, 0)</f>
        <v>0</v>
      </c>
      <c r="O783" s="69" t="s">
        <v>13</v>
      </c>
      <c r="P783" s="69" t="s">
        <v>13</v>
      </c>
      <c r="Q783" s="69">
        <f>(inputs!$C$18*11.2)*(25.05*F783^0.63)*0.5*1/F783</f>
        <v>362.21234343967245</v>
      </c>
      <c r="R783" s="59">
        <f>(60*76.9*((F783/1000)^0.76)*3*24*(MAX('Max rate concentrations'!$R$3:$R$368))/F783)</f>
        <v>1.2188377110635447E-2</v>
      </c>
      <c r="S783" s="59">
        <f>(IF(inputs!$C$17="aerial",((0.025*0.112*inputs!$C$18/3.3)*(3*60*76.9*((F783/1000)^0.76))*MAX(inputs!$I$14:$I$16))/F783,((0.0083*0.112*inputs!$C$18/1)*(3*60*76.9*((F783/1000)^0.76))*MAX(inputs!$I$14:$I$16))/F783))</f>
        <v>5.1465043458177817E-2</v>
      </c>
      <c r="T783" s="63">
        <f>IF((((inputs!$P$13/(V783/MAX(K783:S783)))^(1/inputs!$O$13))-1)/inputs!$N$13&lt;0, 0, IF((((inputs!$P$13/(V783/MAX(K783:S783)))^(1/inputs!$O$13))-1)/inputs!$N$13&lt;inputs!$I$17, (((inputs!$P$13/(V783/MAX(K783:S783)))^(1/inputs!$O$13))-1)/inputs!$N$13, inputs!$I$17))</f>
        <v>1000</v>
      </c>
      <c r="U783" s="63">
        <f>IF((((inputs!$P$13/(X783/MAX(K783:S783)))^(1/inputs!$O$13))-1)/inputs!$N$13&lt;0, 0, IF((((inputs!$P$13/(X783/MAX(K783:S783)))^(1/inputs!$O$13))-1)/inputs!$N$13&lt;inputs!$I$17, (((inputs!$P$13/(X783/MAX(K783:S783)))^(1/inputs!$O$13))-1)/inputs!$N$13, inputs!$I$17))</f>
        <v>1000</v>
      </c>
      <c r="V783" s="21">
        <f>inputs!$E$87*(F783/inputs!$F$87)^(1)</f>
        <v>2.8499999999999999E-4</v>
      </c>
      <c r="W783" s="21">
        <f>inputs!$E$90*(F783/inputs!$F$90)^(1)</f>
        <v>2.9999999999999997E-4</v>
      </c>
      <c r="X783" s="21">
        <f>inputs!$E$89*(F783/inputs!$F$89)^(1)</f>
        <v>1.1202531645569619E-3</v>
      </c>
      <c r="Y783" s="21" t="s">
        <v>13</v>
      </c>
      <c r="Z783" s="63">
        <f t="shared" si="84"/>
        <v>1270920.5032970964</v>
      </c>
      <c r="AA783" s="63">
        <f t="shared" si="85"/>
        <v>1207374.4781322416</v>
      </c>
    </row>
    <row r="784" spans="1:27" x14ac:dyDescent="0.25">
      <c r="A784" s="185" t="s">
        <v>871</v>
      </c>
      <c r="B784" s="54" t="s">
        <v>873</v>
      </c>
      <c r="C784" s="21" t="s">
        <v>79</v>
      </c>
      <c r="D784" s="186" t="s">
        <v>378</v>
      </c>
      <c r="E784" s="21">
        <v>10732</v>
      </c>
      <c r="F784" s="21">
        <v>8.9</v>
      </c>
      <c r="G784" s="21" t="s">
        <v>142</v>
      </c>
      <c r="H784" s="21">
        <v>0.69</v>
      </c>
      <c r="I784" s="68">
        <f>MAX('Max rate concentrations'!$H$3:$H$368)</f>
        <v>282</v>
      </c>
      <c r="J784" s="68">
        <f>MAX('Max rate concentrations'!AA:AA)</f>
        <v>195</v>
      </c>
      <c r="K784" s="69">
        <f t="shared" si="82"/>
        <v>7.1997801519246289</v>
      </c>
      <c r="L784" s="69">
        <f t="shared" si="86"/>
        <v>4.978571381650009</v>
      </c>
      <c r="M784" s="69">
        <f>IF((((0.065*F784^0.726)/3.7-(0.301*F784^0.751)/(1-H784)*H784)*(MAX('Max rate concentrations'!$P$3:$P$368)))/F784&gt;0, (((0.065*F784^0.726)/3.7-(0.301*F784^0.751)/(1-H784)*H784)*(MAX('Max rate concentrations'!$P$3:$P$368)))/F784, 0)</f>
        <v>0</v>
      </c>
      <c r="N784" s="69">
        <f>IF((((0.065*F784^0.726)/3.7-(0.301*F784^0.751)/(1-H784)*H784)*(MAX('Max rate concentrations'!$Q$3:$Q$368)))/F784&gt;0, (((0.065*F784^0.726)/3.7-(0.301*F784^0.751)/(1-H784)*H784)*(MAX('Max rate concentrations'!$Q$3:$Q$368)))/F784, 0)</f>
        <v>0</v>
      </c>
      <c r="O784" s="69" t="s">
        <v>13</v>
      </c>
      <c r="P784" s="69" t="s">
        <v>13</v>
      </c>
      <c r="Q784" s="69">
        <f>(inputs!$C$18*11.2)*(25.05*F784^0.63)*0.5*1/F784</f>
        <v>187.4315555210309</v>
      </c>
      <c r="R784" s="59">
        <f>(60*76.9*((F784/1000)^0.76)*3*24*(MAX('Max rate concentrations'!$R$3:$R$368))/F784)</f>
        <v>7.9497630350920407E-3</v>
      </c>
      <c r="S784" s="59">
        <f>(IF(inputs!$C$17="aerial",((0.025*0.112*inputs!$C$18/3.3)*(3*60*76.9*((F784/1000)^0.76))*MAX(inputs!$I$14:$I$16))/F784,((0.0083*0.112*inputs!$C$18/1)*(3*60*76.9*((F784/1000)^0.76))*MAX(inputs!$I$14:$I$16))/F784))</f>
        <v>3.3567627287001217E-2</v>
      </c>
      <c r="T784" s="63">
        <f>IF((((inputs!$P$13/(V784/MAX(K784:S784)))^(1/inputs!$O$13))-1)/inputs!$N$13&lt;0, 0, IF((((inputs!$P$13/(V784/MAX(K784:S784)))^(1/inputs!$O$13))-1)/inputs!$N$13&lt;inputs!$I$17, (((inputs!$P$13/(V784/MAX(K784:S784)))^(1/inputs!$O$13))-1)/inputs!$N$13, inputs!$I$17))</f>
        <v>1000</v>
      </c>
      <c r="U784" s="63">
        <f>IF((((inputs!$P$13/(X784/MAX(K784:S784)))^(1/inputs!$O$13))-1)/inputs!$N$13&lt;0, 0, IF((((inputs!$P$13/(X784/MAX(K784:S784)))^(1/inputs!$O$13))-1)/inputs!$N$13&lt;inputs!$I$17, (((inputs!$P$13/(X784/MAX(K784:S784)))^(1/inputs!$O$13))-1)/inputs!$N$13, inputs!$I$17))</f>
        <v>1000</v>
      </c>
      <c r="V784" s="21">
        <f>inputs!$E$87*(F784/inputs!$F$87)^(1)</f>
        <v>1.6910000000000002E-3</v>
      </c>
      <c r="W784" s="21">
        <f>inputs!$E$90*(F784/inputs!$F$90)^(1)</f>
        <v>1.7800000000000001E-3</v>
      </c>
      <c r="X784" s="21">
        <f>inputs!$E$89*(F784/inputs!$F$89)^(1)</f>
        <v>6.6468354430379746E-3</v>
      </c>
      <c r="Y784" s="21" t="s">
        <v>13</v>
      </c>
      <c r="Z784" s="63">
        <f t="shared" si="84"/>
        <v>110840.65968127195</v>
      </c>
      <c r="AA784" s="63">
        <f t="shared" si="85"/>
        <v>105298.62669720837</v>
      </c>
    </row>
    <row r="785" spans="1:27" x14ac:dyDescent="0.25">
      <c r="A785" s="103" t="s">
        <v>376</v>
      </c>
      <c r="B785" s="20" t="s">
        <v>377</v>
      </c>
      <c r="C785" s="21" t="s">
        <v>79</v>
      </c>
      <c r="D785" s="105" t="s">
        <v>378</v>
      </c>
      <c r="E785" s="15">
        <v>163</v>
      </c>
      <c r="F785" s="15">
        <v>0.72</v>
      </c>
      <c r="G785" s="21" t="s">
        <v>142</v>
      </c>
      <c r="H785" s="21">
        <v>0.69</v>
      </c>
      <c r="I785" s="68">
        <f>MAX('Max rate concentrations'!$H$3:$H$368)</f>
        <v>282</v>
      </c>
      <c r="J785" s="68">
        <f>MAX('Max rate concentrations'!AA:AA)</f>
        <v>195</v>
      </c>
      <c r="K785" s="69">
        <f t="shared" ref="K785:K820" si="87">(((0.013*F785^0.773)/(1-H785)))*I785/F785</f>
        <v>12.741374770863935</v>
      </c>
      <c r="L785" s="69">
        <f t="shared" si="86"/>
        <v>8.8105251075122961</v>
      </c>
      <c r="M785" s="69">
        <f>IF((((0.065*F785^0.726)/3.7-(0.301*F785^0.751)/(1-H785)*H785)*(MAX('Max rate concentrations'!$P$3:$P$368)))/F785&gt;0, (((0.065*F785^0.726)/3.7-(0.301*F785^0.751)/(1-H785)*H785)*(MAX('Max rate concentrations'!$P$3:$P$368)))/F785, 0)</f>
        <v>0</v>
      </c>
      <c r="N785" s="69">
        <f>IF((((0.065*F785^0.726)/3.7-(0.301*F785^0.751)/(1-H785)*H785)*(MAX('Max rate concentrations'!$Q$3:$Q$368)))/F785&gt;0, (((0.065*F785^0.726)/3.7-(0.301*F785^0.751)/(1-H785)*H785)*(MAX('Max rate concentrations'!$Q$3:$Q$368)))/F785, 0)</f>
        <v>0</v>
      </c>
      <c r="O785" s="69" t="s">
        <v>13</v>
      </c>
      <c r="P785" s="69" t="s">
        <v>13</v>
      </c>
      <c r="Q785" s="69">
        <f>(inputs!$C$18*11.2)*(25.05*F785^0.63)*0.5*1/F785</f>
        <v>475.23015271559916</v>
      </c>
      <c r="R785" s="59">
        <f>(60*76.9*((F785/1000)^0.76)*3*24*(MAX('Max rate concentrations'!$R$3:$R$368))/F785)</f>
        <v>1.4536102809303833E-2</v>
      </c>
      <c r="S785" s="59">
        <f>(IF(inputs!$C$17="aerial",((0.025*0.112*inputs!$C$18/3.3)*(3*60*76.9*((F785/1000)^0.76))*MAX(inputs!$I$14:$I$16))/F785,((0.0083*0.112*inputs!$C$18/1)*(3*60*76.9*((F785/1000)^0.76))*MAX(inputs!$I$14:$I$16))/F785))</f>
        <v>6.1378242238712591E-2</v>
      </c>
      <c r="T785" s="63">
        <f>IF((((inputs!$P$13/(V785/MAX(K785:S785)))^(1/inputs!$O$13))-1)/inputs!$N$13&lt;0, 0, IF((((inputs!$P$13/(V785/MAX(K785:S785)))^(1/inputs!$O$13))-1)/inputs!$N$13&lt;inputs!$I$17, (((inputs!$P$13/(V785/MAX(K785:S785)))^(1/inputs!$O$13))-1)/inputs!$N$13, inputs!$I$17))</f>
        <v>1000</v>
      </c>
      <c r="U785" s="63">
        <f>IF((((inputs!$P$13/(X785/MAX(K785:S785)))^(1/inputs!$O$13))-1)/inputs!$N$13&lt;0, 0, IF((((inputs!$P$13/(X785/MAX(K785:S785)))^(1/inputs!$O$13))-1)/inputs!$N$13&lt;inputs!$I$17, (((inputs!$P$13/(X785/MAX(K785:S785)))^(1/inputs!$O$13))-1)/inputs!$N$13, inputs!$I$17))</f>
        <v>1000</v>
      </c>
      <c r="V785" s="21">
        <f>inputs!$E$87*(F785/inputs!$F$87)^(1)</f>
        <v>1.3679999999999999E-4</v>
      </c>
      <c r="W785" s="21">
        <f>inputs!$E$90*(F785/inputs!$F$90)^(1)</f>
        <v>1.44E-4</v>
      </c>
      <c r="X785" s="21">
        <f>inputs!$E$89*(F785/inputs!$F$89)^(1)</f>
        <v>5.3772151898734172E-4</v>
      </c>
      <c r="Y785" s="21" t="s">
        <v>13</v>
      </c>
      <c r="Z785" s="63">
        <f t="shared" si="84"/>
        <v>3473904.6251140293</v>
      </c>
      <c r="AA785" s="63">
        <f t="shared" si="85"/>
        <v>3300209.3938583275</v>
      </c>
    </row>
    <row r="786" spans="1:27" x14ac:dyDescent="0.25">
      <c r="A786" s="103" t="s">
        <v>376</v>
      </c>
      <c r="B786" s="20" t="s">
        <v>377</v>
      </c>
      <c r="C786" s="21" t="s">
        <v>79</v>
      </c>
      <c r="D786" s="105" t="s">
        <v>378</v>
      </c>
      <c r="E786" s="15">
        <v>163</v>
      </c>
      <c r="F786" s="15">
        <v>0.72</v>
      </c>
      <c r="G786" s="21" t="s">
        <v>146</v>
      </c>
      <c r="H786" s="20">
        <v>0.84</v>
      </c>
      <c r="I786" s="68">
        <f>MAX('Max rate concentrations'!$I$3:$I$368)</f>
        <v>56.865414300472793</v>
      </c>
      <c r="J786" s="68" t="s">
        <v>13</v>
      </c>
      <c r="K786" s="69">
        <f t="shared" si="87"/>
        <v>4.9780253120979259</v>
      </c>
      <c r="L786" s="69" t="s">
        <v>13</v>
      </c>
      <c r="M786" s="69">
        <f>IF((((0.065*F786^0.726)/3.7-(0.301*F786^0.751)/(1-H786)*H786)*(MAX('Max rate concentrations'!$P$3:$P$368)))/F786&gt;0, (((0.065*F786^0.726)/3.7-(0.301*F786^0.751)/(1-H786)*H786)*(MAX('Max rate concentrations'!$P$3:$P$368)))/F786, 0)</f>
        <v>0</v>
      </c>
      <c r="N786" s="69">
        <f>IF((((0.065*F786^0.726)/3.7-(0.301*F786^0.751)/(1-H786)*H786)*(MAX('Max rate concentrations'!$Q$3:$Q$368)))/F786&gt;0, (((0.065*F786^0.726)/3.7-(0.301*F786^0.751)/(1-H786)*H786)*(MAX('Max rate concentrations'!$Q$3:$Q$368)))/F786, 0)</f>
        <v>0</v>
      </c>
      <c r="O786" s="69" t="s">
        <v>13</v>
      </c>
      <c r="P786" s="69" t="s">
        <v>13</v>
      </c>
      <c r="Q786" s="69">
        <f>(inputs!$C$18*11.2)*(25.05*F786^0.63)*0.5*1/F786</f>
        <v>475.23015271559916</v>
      </c>
      <c r="R786" s="59">
        <f>(60*76.9*((F786/1000)^0.76)*3*24*(MAX('Max rate concentrations'!$R$3:$R$368))/F786)</f>
        <v>1.4536102809303833E-2</v>
      </c>
      <c r="S786" s="59">
        <f>(IF(inputs!$C$17="aerial",((0.025*0.112*inputs!$C$18/3.3)*(3*60*76.9*((F786/1000)^0.76))*MAX(inputs!$I$14:$I$16))/F786,((0.0083*0.112*inputs!$C$18/1)*(3*60*76.9*((F786/1000)^0.76))*MAX(inputs!$I$14:$I$16))/F786))</f>
        <v>6.1378242238712591E-2</v>
      </c>
      <c r="T786" s="63">
        <f>IF((((inputs!$P$13/(V786/MAX(K786:S786)))^(1/inputs!$O$13))-1)/inputs!$N$13&lt;0, 0, IF((((inputs!$P$13/(V786/MAX(K786:S786)))^(1/inputs!$O$13))-1)/inputs!$N$13&lt;inputs!$I$17, (((inputs!$P$13/(V786/MAX(K786:S786)))^(1/inputs!$O$13))-1)/inputs!$N$13, inputs!$I$17))</f>
        <v>1000</v>
      </c>
      <c r="U786" s="63">
        <f>IF((((inputs!$P$13/(X786/MAX(K786:S786)))^(1/inputs!$O$13))-1)/inputs!$N$13&lt;0, 0, IF((((inputs!$P$13/(X786/MAX(K786:S786)))^(1/inputs!$O$13))-1)/inputs!$N$13&lt;inputs!$I$17, (((inputs!$P$13/(X786/MAX(K786:S786)))^(1/inputs!$O$13))-1)/inputs!$N$13, inputs!$I$17))</f>
        <v>1000</v>
      </c>
      <c r="V786" s="21">
        <f>inputs!$E$87*(F786/inputs!$F$87)^(1)</f>
        <v>1.3679999999999999E-4</v>
      </c>
      <c r="W786" s="21">
        <f>inputs!$E$90*(F786/inputs!$F$90)^(1)</f>
        <v>1.44E-4</v>
      </c>
      <c r="X786" s="21">
        <f>inputs!$E$89*(F786/inputs!$F$89)^(1)</f>
        <v>5.3772151898734172E-4</v>
      </c>
      <c r="Y786" s="21" t="s">
        <v>13</v>
      </c>
      <c r="Z786" s="63">
        <f t="shared" si="84"/>
        <v>3473904.6251140293</v>
      </c>
      <c r="AA786" s="63">
        <f t="shared" si="85"/>
        <v>3300209.3938583275</v>
      </c>
    </row>
    <row r="787" spans="1:27" x14ac:dyDescent="0.25">
      <c r="A787" s="103" t="s">
        <v>395</v>
      </c>
      <c r="B787" s="20" t="s">
        <v>396</v>
      </c>
      <c r="C787" s="21" t="s">
        <v>79</v>
      </c>
      <c r="D787" s="105" t="s">
        <v>378</v>
      </c>
      <c r="E787" s="15">
        <v>174</v>
      </c>
      <c r="F787" s="15">
        <v>128</v>
      </c>
      <c r="G787" s="21" t="s">
        <v>138</v>
      </c>
      <c r="H787" s="20">
        <v>0.68</v>
      </c>
      <c r="I787" s="68">
        <f>MAX('Max rate concentrations'!$L$3:$L$368)</f>
        <v>350.52744091332482</v>
      </c>
      <c r="J787" s="68">
        <f>MAX('Max rate concentrations'!AD:AD)</f>
        <v>242.38599637623525</v>
      </c>
      <c r="K787" s="69">
        <f t="shared" si="87"/>
        <v>4.7334602356752606</v>
      </c>
      <c r="L787" s="69">
        <f t="shared" ref="L787:L796" si="88">(((0.013*F787^0.773)/(1-H787)))*J787/F787</f>
        <v>3.273137397009489</v>
      </c>
      <c r="M787" s="69">
        <f>IF((((0.065*F787^0.726)/3.7-(0.301*F787^0.751)/(1-H787)*H787)*(MAX('Max rate concentrations'!$P$3:$P$368)))/F787&gt;0, (((0.065*F787^0.726)/3.7-(0.301*F787^0.751)/(1-H787)*H787)*(MAX('Max rate concentrations'!$P$3:$P$368)))/F787, 0)</f>
        <v>0</v>
      </c>
      <c r="N787" s="69">
        <f>IF((((0.065*F787^0.726)/3.7-(0.301*F787^0.751)/(1-H787)*H787)*(MAX('Max rate concentrations'!$Q$3:$Q$368)))/F787&gt;0, (((0.065*F787^0.726)/3.7-(0.301*F787^0.751)/(1-H787)*H787)*(MAX('Max rate concentrations'!$Q$3:$Q$368)))/F787, 0)</f>
        <v>0</v>
      </c>
      <c r="O787" s="69" t="s">
        <v>13</v>
      </c>
      <c r="P787" s="69" t="s">
        <v>13</v>
      </c>
      <c r="Q787" s="69">
        <f>(inputs!$C$18*11.2)*(25.05*F787^0.63)*0.5*1/F787</f>
        <v>69.895517250546959</v>
      </c>
      <c r="R787" s="59">
        <f>(60*76.9*((F787/1000)^0.76)*3*24*(MAX('Max rate concentrations'!$R$3:$R$368))/F787)</f>
        <v>4.1925417142264672E-3</v>
      </c>
      <c r="S787" s="59">
        <f>(IF(inputs!$C$17="aerial",((0.025*0.112*inputs!$C$18/3.3)*(3*60*76.9*((F787/1000)^0.76))*MAX(inputs!$I$14:$I$16))/F787,((0.0083*0.112*inputs!$C$18/1)*(3*60*76.9*((F787/1000)^0.76))*MAX(inputs!$I$14:$I$16))/F787))</f>
        <v>1.7702877057734819E-2</v>
      </c>
      <c r="T787" s="63">
        <f>IF((((inputs!$P$13/(V787/MAX(K787:S787)))^(1/inputs!$O$13))-1)/inputs!$N$13&lt;0, 0, IF((((inputs!$P$13/(V787/MAX(K787:S787)))^(1/inputs!$O$13))-1)/inputs!$N$13&lt;inputs!$I$17, (((inputs!$P$13/(V787/MAX(K787:S787)))^(1/inputs!$O$13))-1)/inputs!$N$13, inputs!$I$17))</f>
        <v>1000</v>
      </c>
      <c r="U787" s="63">
        <f>IF((((inputs!$P$13/(X787/MAX(K787:S787)))^(1/inputs!$O$13))-1)/inputs!$N$13&lt;0, 0, IF((((inputs!$P$13/(X787/MAX(K787:S787)))^(1/inputs!$O$13))-1)/inputs!$N$13&lt;inputs!$I$17, (((inputs!$P$13/(X787/MAX(K787:S787)))^(1/inputs!$O$13))-1)/inputs!$N$13, inputs!$I$17))</f>
        <v>1000</v>
      </c>
      <c r="V787" s="21">
        <f>inputs!$E$87*(F787/inputs!$F$87)^(1)</f>
        <v>2.4320000000000001E-2</v>
      </c>
      <c r="W787" s="21">
        <f>inputs!$E$90*(F787/inputs!$F$90)^(1)</f>
        <v>2.5600000000000001E-2</v>
      </c>
      <c r="X787" s="21">
        <f>inputs!$E$89*(F787/inputs!$F$89)^(1)</f>
        <v>9.5594936708860753E-2</v>
      </c>
      <c r="Y787" s="21" t="s">
        <v>13</v>
      </c>
      <c r="Z787" s="63">
        <f t="shared" si="84"/>
        <v>2873.9933079994635</v>
      </c>
      <c r="AA787" s="63">
        <f t="shared" si="85"/>
        <v>2730.2936425994903</v>
      </c>
    </row>
    <row r="788" spans="1:27" x14ac:dyDescent="0.25">
      <c r="A788" s="103" t="s">
        <v>395</v>
      </c>
      <c r="B788" s="20" t="s">
        <v>396</v>
      </c>
      <c r="C788" s="21" t="s">
        <v>79</v>
      </c>
      <c r="D788" s="105" t="s">
        <v>378</v>
      </c>
      <c r="E788" s="15">
        <v>174</v>
      </c>
      <c r="F788" s="15">
        <v>128</v>
      </c>
      <c r="G788" s="21" t="s">
        <v>456</v>
      </c>
      <c r="H788" s="20">
        <v>0.68</v>
      </c>
      <c r="I788" s="68">
        <f>MAX('Max rate concentrations'!$J$3:$J$368)</f>
        <v>686.46486205830786</v>
      </c>
      <c r="J788" s="68">
        <f>MAX('Max rate concentrations'!AB:AB)</f>
        <v>243.122971978984</v>
      </c>
      <c r="K788" s="69">
        <f t="shared" si="87"/>
        <v>9.2698994386142051</v>
      </c>
      <c r="L788" s="69">
        <f t="shared" si="88"/>
        <v>3.2830893845091969</v>
      </c>
      <c r="M788" s="69">
        <f>IF((((0.065*F788^0.726)/3.7-(0.301*F788^0.751)/(1-H788)*H788)*(MAX('Max rate concentrations'!$P$3:$P$368)))/F788&gt;0, (((0.065*F788^0.726)/3.7-(0.301*F788^0.751)/(1-H788)*H788)*(MAX('Max rate concentrations'!$P$3:$P$368)))/F788, 0)</f>
        <v>0</v>
      </c>
      <c r="N788" s="69">
        <f>IF((((0.065*F788^0.726)/3.7-(0.301*F788^0.751)/(1-H788)*H788)*(MAX('Max rate concentrations'!$Q$3:$Q$368)))/F788&gt;0, (((0.065*F788^0.726)/3.7-(0.301*F788^0.751)/(1-H788)*H788)*(MAX('Max rate concentrations'!$Q$3:$Q$368)))/F788, 0)</f>
        <v>0</v>
      </c>
      <c r="O788" s="69" t="s">
        <v>13</v>
      </c>
      <c r="P788" s="69" t="s">
        <v>13</v>
      </c>
      <c r="Q788" s="69">
        <f>(inputs!$C$18*11.2)*(25.05*F788^0.63)*0.5*1/F788</f>
        <v>69.895517250546959</v>
      </c>
      <c r="R788" s="59">
        <f>(60*76.9*((F788/1000)^0.76)*3*24*(MAX('Max rate concentrations'!$R$3:$R$368))/F788)</f>
        <v>4.1925417142264672E-3</v>
      </c>
      <c r="S788" s="59">
        <f>(IF(inputs!$C$17="aerial",((0.025*0.112*inputs!$C$18/3.3)*(3*60*76.9*((F788/1000)^0.76))*MAX(inputs!$I$14:$I$16))/F788,((0.0083*0.112*inputs!$C$18/1)*(3*60*76.9*((F788/1000)^0.76))*MAX(inputs!$I$14:$I$16))/F788))</f>
        <v>1.7702877057734819E-2</v>
      </c>
      <c r="T788" s="63">
        <f>IF((((inputs!$P$13/(V788/MAX(K788:S788)))^(1/inputs!$O$13))-1)/inputs!$N$13&lt;0, 0, IF((((inputs!$P$13/(V788/MAX(K788:S788)))^(1/inputs!$O$13))-1)/inputs!$N$13&lt;inputs!$I$17, (((inputs!$P$13/(V788/MAX(K788:S788)))^(1/inputs!$O$13))-1)/inputs!$N$13, inputs!$I$17))</f>
        <v>1000</v>
      </c>
      <c r="U788" s="63">
        <f>IF((((inputs!$P$13/(X788/MAX(K788:S788)))^(1/inputs!$O$13))-1)/inputs!$N$13&lt;0, 0, IF((((inputs!$P$13/(X788/MAX(K788:S788)))^(1/inputs!$O$13))-1)/inputs!$N$13&lt;inputs!$I$17, (((inputs!$P$13/(X788/MAX(K788:S788)))^(1/inputs!$O$13))-1)/inputs!$N$13, inputs!$I$17))</f>
        <v>1000</v>
      </c>
      <c r="V788" s="21">
        <f>inputs!$E$87*(F788/inputs!$F$87)^(1)</f>
        <v>2.4320000000000001E-2</v>
      </c>
      <c r="W788" s="21">
        <f>inputs!$E$90*(F788/inputs!$F$90)^(1)</f>
        <v>2.5600000000000001E-2</v>
      </c>
      <c r="X788" s="21">
        <f>inputs!$E$89*(F788/inputs!$F$89)^(1)</f>
        <v>9.5594936708860753E-2</v>
      </c>
      <c r="Y788" s="21" t="s">
        <v>13</v>
      </c>
      <c r="Z788" s="63">
        <f t="shared" si="84"/>
        <v>2873.9933079994635</v>
      </c>
      <c r="AA788" s="63">
        <f t="shared" si="85"/>
        <v>2730.2936425994903</v>
      </c>
    </row>
    <row r="789" spans="1:27" x14ac:dyDescent="0.25">
      <c r="A789" s="103" t="s">
        <v>395</v>
      </c>
      <c r="B789" s="20" t="s">
        <v>396</v>
      </c>
      <c r="C789" s="21" t="s">
        <v>79</v>
      </c>
      <c r="D789" s="105" t="s">
        <v>378</v>
      </c>
      <c r="E789" s="15">
        <v>174</v>
      </c>
      <c r="F789" s="15">
        <v>128</v>
      </c>
      <c r="G789" s="21" t="s">
        <v>145</v>
      </c>
      <c r="H789" s="20">
        <v>0.66</v>
      </c>
      <c r="I789" s="68">
        <f>MAX('Max rate concentrations'!$M$3:$M$368)</f>
        <v>17.092910873809167</v>
      </c>
      <c r="J789" s="68">
        <f>MAX('Max rate concentrations'!AE:AE)</f>
        <v>11.81956602976166</v>
      </c>
      <c r="K789" s="69">
        <f t="shared" si="87"/>
        <v>0.21724200394509668</v>
      </c>
      <c r="L789" s="69">
        <f t="shared" si="88"/>
        <v>0.15022053464288601</v>
      </c>
      <c r="M789" s="69">
        <f>IF((((0.065*F789^0.726)/3.7-(0.301*F789^0.751)/(1-H789)*H789)*(MAX('Max rate concentrations'!$P$3:$P$368)))/F789&gt;0, (((0.065*F789^0.726)/3.7-(0.301*F789^0.751)/(1-H789)*H789)*(MAX('Max rate concentrations'!$P$3:$P$368)))/F789, 0)</f>
        <v>0</v>
      </c>
      <c r="N789" s="69">
        <f>IF((((0.065*F789^0.726)/3.7-(0.301*F789^0.751)/(1-H789)*H789)*(MAX('Max rate concentrations'!$Q$3:$Q$368)))/F789&gt;0, (((0.065*F789^0.726)/3.7-(0.301*F789^0.751)/(1-H789)*H789)*(MAX('Max rate concentrations'!$Q$3:$Q$368)))/F789, 0)</f>
        <v>0</v>
      </c>
      <c r="O789" s="69" t="s">
        <v>13</v>
      </c>
      <c r="P789" s="69" t="s">
        <v>13</v>
      </c>
      <c r="Q789" s="69">
        <f>(inputs!$C$18*11.2)*(25.05*F789^0.63)*0.5*1/F789</f>
        <v>69.895517250546959</v>
      </c>
      <c r="R789" s="59">
        <f>(60*76.9*((F789/1000)^0.76)*3*24*(MAX('Max rate concentrations'!$R$3:$R$368))/F789)</f>
        <v>4.1925417142264672E-3</v>
      </c>
      <c r="S789" s="59">
        <f>(IF(inputs!$C$17="aerial",((0.025*0.112*inputs!$C$18/3.3)*(3*60*76.9*((F789/1000)^0.76))*MAX(inputs!$I$14:$I$16))/F789,((0.0083*0.112*inputs!$C$18/1)*(3*60*76.9*((F789/1000)^0.76))*MAX(inputs!$I$14:$I$16))/F789))</f>
        <v>1.7702877057734819E-2</v>
      </c>
      <c r="T789" s="63">
        <f>IF((((inputs!$P$13/(V789/MAX(K789:S789)))^(1/inputs!$O$13))-1)/inputs!$N$13&lt;0, 0, IF((((inputs!$P$13/(V789/MAX(K789:S789)))^(1/inputs!$O$13))-1)/inputs!$N$13&lt;inputs!$I$17, (((inputs!$P$13/(V789/MAX(K789:S789)))^(1/inputs!$O$13))-1)/inputs!$N$13, inputs!$I$17))</f>
        <v>1000</v>
      </c>
      <c r="U789" s="63">
        <f>IF((((inputs!$P$13/(X789/MAX(K789:S789)))^(1/inputs!$O$13))-1)/inputs!$N$13&lt;0, 0, IF((((inputs!$P$13/(X789/MAX(K789:S789)))^(1/inputs!$O$13))-1)/inputs!$N$13&lt;inputs!$I$17, (((inputs!$P$13/(X789/MAX(K789:S789)))^(1/inputs!$O$13))-1)/inputs!$N$13, inputs!$I$17))</f>
        <v>1000</v>
      </c>
      <c r="V789" s="21">
        <f>inputs!$E$87*(F789/inputs!$F$87)^(1)</f>
        <v>2.4320000000000001E-2</v>
      </c>
      <c r="W789" s="21">
        <f>inputs!$E$90*(F789/inputs!$F$90)^(1)</f>
        <v>2.5600000000000001E-2</v>
      </c>
      <c r="X789" s="21">
        <f>inputs!$E$89*(F789/inputs!$F$89)^(1)</f>
        <v>9.5594936708860753E-2</v>
      </c>
      <c r="Y789" s="21" t="s">
        <v>13</v>
      </c>
      <c r="Z789" s="63">
        <f t="shared" si="84"/>
        <v>2873.9933079994635</v>
      </c>
      <c r="AA789" s="63">
        <f t="shared" si="85"/>
        <v>2730.2936425994903</v>
      </c>
    </row>
    <row r="790" spans="1:27" x14ac:dyDescent="0.25">
      <c r="A790" s="114" t="s">
        <v>636</v>
      </c>
      <c r="B790" s="20" t="s">
        <v>635</v>
      </c>
      <c r="C790" s="21" t="s">
        <v>79</v>
      </c>
      <c r="D790" s="105" t="s">
        <v>383</v>
      </c>
      <c r="E790" s="15">
        <v>168</v>
      </c>
      <c r="F790" s="56">
        <v>2380</v>
      </c>
      <c r="G790" s="21" t="s">
        <v>241</v>
      </c>
      <c r="H790" s="20">
        <v>0.8</v>
      </c>
      <c r="I790" s="68">
        <f>inputs!$C$66*inputs!$C$60/1000</f>
        <v>28</v>
      </c>
      <c r="J790" s="68">
        <f>inputs!$C$66*inputs!$C$59/1000</f>
        <v>28</v>
      </c>
      <c r="K790" s="69">
        <f t="shared" si="87"/>
        <v>0.31159352098138926</v>
      </c>
      <c r="L790" s="69">
        <f t="shared" si="88"/>
        <v>0.31159352098138926</v>
      </c>
      <c r="M790" s="69">
        <f>IF((((0.065*F790^0.726)/3.7-(0.301*F790^0.751)/(1-H790)*H790)*(MAX('Max rate concentrations'!$P$3:$P$368)))/F790&gt;0, (((0.065*F790^0.726)/3.7-(0.301*F790^0.751)/(1-H790)*H790)*(MAX('Max rate concentrations'!$P$3:$P$368)))/F790, 0)</f>
        <v>0</v>
      </c>
      <c r="N790" s="69">
        <f>IF((((0.065*F790^0.726)/3.7-(0.301*F790^0.751)/(1-H790)*H790)*(MAX('Max rate concentrations'!$Q$3:$Q$368)))/F790&gt;0, (((0.065*F790^0.726)/3.7-(0.301*F790^0.751)/(1-H790)*H790)*(MAX('Max rate concentrations'!$Q$3:$Q$368)))/F790, 0)</f>
        <v>0</v>
      </c>
      <c r="O790" s="69" t="s">
        <v>13</v>
      </c>
      <c r="P790" s="69" t="s">
        <v>13</v>
      </c>
      <c r="Q790" s="69">
        <f>(inputs!$C$18*11.2)*(16.61*F790^0.61)*0.5*1/F790</f>
        <v>13.4528376438724</v>
      </c>
      <c r="R790" s="59">
        <f>(60*76.9*((F790/1000)^0.76)*3*24*(MAX('Max rate concentrations'!$R$3:$R$368))/F790)</f>
        <v>2.078879493960076E-3</v>
      </c>
      <c r="S790" s="59">
        <f>(IF(inputs!$C$17="aerial",((0.025*0.112*inputs!$C$18/3.3)*(3*60*76.9*((F790/1000)^0.76))*MAX(inputs!$I$14:$I$16))/F790,((0.0083*0.112*inputs!$C$18/1)*(3*60*76.9*((F790/1000)^0.76))*MAX(inputs!$I$14:$I$16))/F790))</f>
        <v>8.7780040385862373E-3</v>
      </c>
      <c r="T790" s="63">
        <f>IF((((inputs!$P$13/(V790/MAX(K790:S790)))^(1/inputs!$O$13))-1)/inputs!$N$13&lt;0, 0, IF((((inputs!$P$13/(V790/MAX(K790:S790)))^(1/inputs!$O$13))-1)/inputs!$N$13&lt;inputs!$I$17, (((inputs!$P$13/(V790/MAX(K790:S790)))^(1/inputs!$O$13))-1)/inputs!$N$13, inputs!$I$17))</f>
        <v>79.635014989996264</v>
      </c>
      <c r="U790" s="63">
        <f>IF((((inputs!$P$13/(X790/MAX(K790:S790)))^(1/inputs!$O$13))-1)/inputs!$N$13&lt;0, 0, IF((((inputs!$P$13/(X790/MAX(K790:S790)))^(1/inputs!$O$13))-1)/inputs!$N$13&lt;inputs!$I$17, (((inputs!$P$13/(X790/MAX(K790:S790)))^(1/inputs!$O$13))-1)/inputs!$N$13, inputs!$I$17))</f>
        <v>22.825966662615613</v>
      </c>
      <c r="V790" s="21">
        <f>inputs!$E$87*(F790/inputs!$F$87)^(1)</f>
        <v>0.45219999999999999</v>
      </c>
      <c r="W790" s="21">
        <f>inputs!$E$90*(F790/inputs!$F$90)^(1)</f>
        <v>0.47600000000000003</v>
      </c>
      <c r="X790" s="21">
        <f>inputs!$E$89*(F790/inputs!$F$89)^(1)</f>
        <v>1.7774683544303798</v>
      </c>
      <c r="Y790" s="21" t="s">
        <v>13</v>
      </c>
      <c r="Z790" s="63">
        <f t="shared" si="84"/>
        <v>29.749751534436975</v>
      </c>
      <c r="AA790" s="63">
        <f t="shared" si="85"/>
        <v>28.262263957715124</v>
      </c>
    </row>
    <row r="791" spans="1:27" x14ac:dyDescent="0.25">
      <c r="A791" s="103" t="s">
        <v>381</v>
      </c>
      <c r="B791" s="20" t="s">
        <v>382</v>
      </c>
      <c r="C791" s="21" t="s">
        <v>79</v>
      </c>
      <c r="D791" s="105" t="s">
        <v>383</v>
      </c>
      <c r="E791" s="15">
        <v>182</v>
      </c>
      <c r="F791" s="15">
        <v>110</v>
      </c>
      <c r="G791" s="21" t="s">
        <v>182</v>
      </c>
      <c r="H791" s="20">
        <v>0.85</v>
      </c>
      <c r="I791" s="68">
        <f>MAX('Max rate concentrations'!$M$3:$M$368)</f>
        <v>17.092910873809167</v>
      </c>
      <c r="J791" s="68">
        <f>MAX('Max rate concentrations'!AE:AE)</f>
        <v>11.81956602976166</v>
      </c>
      <c r="K791" s="69">
        <f t="shared" si="87"/>
        <v>0.50964994519542561</v>
      </c>
      <c r="L791" s="69">
        <f t="shared" si="88"/>
        <v>0.35241751529470927</v>
      </c>
      <c r="M791" s="69">
        <f>IF((((0.065*F791^0.726)/3.7-(0.301*F791^0.751)/(1-H791)*H791)*(MAX('Max rate concentrations'!$P$3:$P$368)))/F791&gt;0, (((0.065*F791^0.726)/3.7-(0.301*F791^0.751)/(1-H791)*H791)*(MAX('Max rate concentrations'!$P$3:$P$368)))/F791, 0)</f>
        <v>0</v>
      </c>
      <c r="N791" s="69">
        <f>IF((((0.065*F791^0.726)/3.7-(0.301*F791^0.751)/(1-H791)*H791)*(MAX('Max rate concentrations'!$Q$3:$Q$368)))/F791&gt;0, (((0.065*F791^0.726)/3.7-(0.301*F791^0.751)/(1-H791)*H791)*(MAX('Max rate concentrations'!$Q$3:$Q$368)))/F791, 0)</f>
        <v>0</v>
      </c>
      <c r="O791" s="69" t="s">
        <v>13</v>
      </c>
      <c r="P791" s="69" t="s">
        <v>13</v>
      </c>
      <c r="Q791" s="69">
        <f>(inputs!$C$18*11.2)*(16.61*F791^0.61)*0.5*1/F791</f>
        <v>44.620637105461874</v>
      </c>
      <c r="R791" s="59">
        <f>(60*76.9*((F791/1000)^0.76)*3*24*(MAX('Max rate concentrations'!$R$3:$R$368))/F791)</f>
        <v>4.3478398690799565E-3</v>
      </c>
      <c r="S791" s="59">
        <f>(IF(inputs!$C$17="aerial",((0.025*0.112*inputs!$C$18/3.3)*(3*60*76.9*((F791/1000)^0.76))*MAX(inputs!$I$14:$I$16))/F791,((0.0083*0.112*inputs!$C$18/1)*(3*60*76.9*((F791/1000)^0.76))*MAX(inputs!$I$14:$I$16))/F791))</f>
        <v>1.8358618688959497E-2</v>
      </c>
      <c r="T791" s="63">
        <f>IF((((inputs!$P$13/(V791/MAX(K791:S791)))^(1/inputs!$O$13))-1)/inputs!$N$13&lt;0, 0, IF((((inputs!$P$13/(V791/MAX(K791:S791)))^(1/inputs!$O$13))-1)/inputs!$N$13&lt;inputs!$I$17, (((inputs!$P$13/(V791/MAX(K791:S791)))^(1/inputs!$O$13))-1)/inputs!$N$13, inputs!$I$17))</f>
        <v>1000</v>
      </c>
      <c r="U791" s="63">
        <f>IF((((inputs!$P$13/(X791/MAX(K791:S791)))^(1/inputs!$O$13))-1)/inputs!$N$13&lt;0, 0, IF((((inputs!$P$13/(X791/MAX(K791:S791)))^(1/inputs!$O$13))-1)/inputs!$N$13&lt;inputs!$I$17, (((inputs!$P$13/(X791/MAX(K791:S791)))^(1/inputs!$O$13))-1)/inputs!$N$13, inputs!$I$17))</f>
        <v>883.56123699707996</v>
      </c>
      <c r="V791" s="21">
        <f>inputs!$E$87*(F791/inputs!$F$87)^(1)</f>
        <v>2.0900000000000002E-2</v>
      </c>
      <c r="W791" s="21">
        <f>inputs!$E$90*(F791/inputs!$F$90)^(1)</f>
        <v>2.1999999999999999E-2</v>
      </c>
      <c r="X791" s="21">
        <f>inputs!$E$89*(F791/inputs!$F$89)^(1)</f>
        <v>8.2151898734177206E-2</v>
      </c>
      <c r="Y791" s="21" t="s">
        <v>13</v>
      </c>
      <c r="Z791" s="63">
        <f t="shared" si="84"/>
        <v>2134.958713179994</v>
      </c>
      <c r="AA791" s="63">
        <f t="shared" si="85"/>
        <v>2028.2107775209945</v>
      </c>
    </row>
    <row r="792" spans="1:27" x14ac:dyDescent="0.25">
      <c r="A792" s="103" t="s">
        <v>381</v>
      </c>
      <c r="B792" s="20" t="s">
        <v>382</v>
      </c>
      <c r="C792" s="21" t="s">
        <v>79</v>
      </c>
      <c r="D792" s="105" t="s">
        <v>383</v>
      </c>
      <c r="E792" s="15">
        <v>182</v>
      </c>
      <c r="F792" s="15">
        <v>110</v>
      </c>
      <c r="G792" s="21" t="s">
        <v>142</v>
      </c>
      <c r="H792" s="21">
        <v>0.69</v>
      </c>
      <c r="I792" s="68">
        <f>MAX('Max rate concentrations'!$H$3:$H$368)</f>
        <v>282</v>
      </c>
      <c r="J792" s="68">
        <f>MAX('Max rate concentrations'!AA:AA)</f>
        <v>195</v>
      </c>
      <c r="K792" s="69">
        <f t="shared" si="87"/>
        <v>4.0685028753361108</v>
      </c>
      <c r="L792" s="69">
        <f t="shared" si="88"/>
        <v>2.8133264563494382</v>
      </c>
      <c r="M792" s="69">
        <f>IF((((0.065*F792^0.726)/3.7-(0.301*F792^0.751)/(1-H792)*H792)*(MAX('Max rate concentrations'!$P$3:$P$368)))/F792&gt;0, (((0.065*F792^0.726)/3.7-(0.301*F792^0.751)/(1-H792)*H792)*(MAX('Max rate concentrations'!$P$3:$P$368)))/F792, 0)</f>
        <v>0</v>
      </c>
      <c r="N792" s="69">
        <f>IF((((0.065*F792^0.726)/3.7-(0.301*F792^0.751)/(1-H792)*H792)*(MAX('Max rate concentrations'!$Q$3:$Q$368)))/F792&gt;0, (((0.065*F792^0.726)/3.7-(0.301*F792^0.751)/(1-H792)*H792)*(MAX('Max rate concentrations'!$Q$3:$Q$368)))/F792, 0)</f>
        <v>0</v>
      </c>
      <c r="O792" s="69" t="s">
        <v>13</v>
      </c>
      <c r="P792" s="69" t="s">
        <v>13</v>
      </c>
      <c r="Q792" s="69">
        <f>(inputs!$C$18*11.2)*(16.61*F792^0.61)*0.5*1/F792</f>
        <v>44.620637105461874</v>
      </c>
      <c r="R792" s="59">
        <f>(60*76.9*((F792/1000)^0.76)*3*24*(MAX('Max rate concentrations'!$R$3:$R$368))/F792)</f>
        <v>4.3478398690799565E-3</v>
      </c>
      <c r="S792" s="59">
        <f>(IF(inputs!$C$17="aerial",((0.025*0.112*inputs!$C$18/3.3)*(3*60*76.9*((F792/1000)^0.76))*MAX(inputs!$I$14:$I$16))/F792,((0.0083*0.112*inputs!$C$18/1)*(3*60*76.9*((F792/1000)^0.76))*MAX(inputs!$I$14:$I$16))/F792))</f>
        <v>1.8358618688959497E-2</v>
      </c>
      <c r="T792" s="63">
        <f>IF((((inputs!$P$13/(V792/MAX(K792:S792)))^(1/inputs!$O$13))-1)/inputs!$N$13&lt;0, 0, IF((((inputs!$P$13/(V792/MAX(K792:S792)))^(1/inputs!$O$13))-1)/inputs!$N$13&lt;inputs!$I$17, (((inputs!$P$13/(V792/MAX(K792:S792)))^(1/inputs!$O$13))-1)/inputs!$N$13, inputs!$I$17))</f>
        <v>1000</v>
      </c>
      <c r="U792" s="63">
        <f>IF((((inputs!$P$13/(X792/MAX(K792:S792)))^(1/inputs!$O$13))-1)/inputs!$N$13&lt;0, 0, IF((((inputs!$P$13/(X792/MAX(K792:S792)))^(1/inputs!$O$13))-1)/inputs!$N$13&lt;inputs!$I$17, (((inputs!$P$13/(X792/MAX(K792:S792)))^(1/inputs!$O$13))-1)/inputs!$N$13, inputs!$I$17))</f>
        <v>883.56123699707996</v>
      </c>
      <c r="V792" s="21">
        <f>inputs!$E$87*(F792/inputs!$F$87)^(1)</f>
        <v>2.0900000000000002E-2</v>
      </c>
      <c r="W792" s="21">
        <f>inputs!$E$90*(F792/inputs!$F$90)^(1)</f>
        <v>2.1999999999999999E-2</v>
      </c>
      <c r="X792" s="21">
        <f>inputs!$E$89*(F792/inputs!$F$89)^(1)</f>
        <v>8.2151898734177206E-2</v>
      </c>
      <c r="Y792" s="21" t="s">
        <v>13</v>
      </c>
      <c r="Z792" s="63">
        <f t="shared" si="84"/>
        <v>2134.958713179994</v>
      </c>
      <c r="AA792" s="63">
        <f t="shared" si="85"/>
        <v>2028.2107775209945</v>
      </c>
    </row>
    <row r="793" spans="1:27" x14ac:dyDescent="0.25">
      <c r="A793" s="103" t="s">
        <v>381</v>
      </c>
      <c r="B793" s="20" t="s">
        <v>382</v>
      </c>
      <c r="C793" s="21" t="s">
        <v>79</v>
      </c>
      <c r="D793" s="105" t="s">
        <v>383</v>
      </c>
      <c r="E793" s="15">
        <v>182</v>
      </c>
      <c r="F793" s="15">
        <v>110</v>
      </c>
      <c r="G793" s="21" t="s">
        <v>164</v>
      </c>
      <c r="H793" s="20">
        <v>0.78</v>
      </c>
      <c r="I793" s="68">
        <f>inputs!$C$66*(inputs!$C$62/1000)</f>
        <v>8.2000000000000011</v>
      </c>
      <c r="J793" s="68">
        <f>inputs!$C$66*(inputs!$C$61/1000)</f>
        <v>2.5</v>
      </c>
      <c r="K793" s="69">
        <f t="shared" si="87"/>
        <v>0.16670106881212765</v>
      </c>
      <c r="L793" s="69">
        <f t="shared" si="88"/>
        <v>5.0823496589063294E-2</v>
      </c>
      <c r="M793" s="69">
        <f>IF((((0.065*F793^0.726)/3.7-(0.301*F793^0.751)/(1-H793)*H793)*(MAX('Max rate concentrations'!$P$3:$P$368)))/F793&gt;0, (((0.065*F793^0.726)/3.7-(0.301*F793^0.751)/(1-H793)*H793)*(MAX('Max rate concentrations'!$P$3:$P$368)))/F793, 0)</f>
        <v>0</v>
      </c>
      <c r="N793" s="69">
        <f>IF((((0.065*F793^0.726)/3.7-(0.301*F793^0.751)/(1-H793)*H793)*(MAX('Max rate concentrations'!$Q$3:$Q$368)))/F793&gt;0, (((0.065*F793^0.726)/3.7-(0.301*F793^0.751)/(1-H793)*H793)*(MAX('Max rate concentrations'!$Q$3:$Q$368)))/F793, 0)</f>
        <v>0</v>
      </c>
      <c r="O793" s="69" t="s">
        <v>13</v>
      </c>
      <c r="P793" s="69" t="s">
        <v>13</v>
      </c>
      <c r="Q793" s="69">
        <f>(inputs!$C$18*11.2)*(16.61*F793^0.61)*0.5*1/F793</f>
        <v>44.620637105461874</v>
      </c>
      <c r="R793" s="59">
        <f>(60*76.9*((F793/1000)^0.76)*3*24*(MAX('Max rate concentrations'!$R$3:$R$368))/F793)</f>
        <v>4.3478398690799565E-3</v>
      </c>
      <c r="S793" s="59">
        <f>(IF(inputs!$C$17="aerial",((0.025*0.112*inputs!$C$18/3.3)*(3*60*76.9*((F793/1000)^0.76))*MAX(inputs!$I$14:$I$16))/F793,((0.0083*0.112*inputs!$C$18/1)*(3*60*76.9*((F793/1000)^0.76))*MAX(inputs!$I$14:$I$16))/F793))</f>
        <v>1.8358618688959497E-2</v>
      </c>
      <c r="T793" s="63">
        <f>IF((((inputs!$P$13/(V793/MAX(K793:S793)))^(1/inputs!$O$13))-1)/inputs!$N$13&lt;0, 0, IF((((inputs!$P$13/(V793/MAX(K793:S793)))^(1/inputs!$O$13))-1)/inputs!$N$13&lt;inputs!$I$17, (((inputs!$P$13/(V793/MAX(K793:S793)))^(1/inputs!$O$13))-1)/inputs!$N$13, inputs!$I$17))</f>
        <v>1000</v>
      </c>
      <c r="U793" s="63">
        <f>IF((((inputs!$P$13/(X793/MAX(K793:S793)))^(1/inputs!$O$13))-1)/inputs!$N$13&lt;0, 0, IF((((inputs!$P$13/(X793/MAX(K793:S793)))^(1/inputs!$O$13))-1)/inputs!$N$13&lt;inputs!$I$17, (((inputs!$P$13/(X793/MAX(K793:S793)))^(1/inputs!$O$13))-1)/inputs!$N$13, inputs!$I$17))</f>
        <v>883.56123699707996</v>
      </c>
      <c r="V793" s="21">
        <f>inputs!$E$87*(F793/inputs!$F$87)^(1)</f>
        <v>2.0900000000000002E-2</v>
      </c>
      <c r="W793" s="21">
        <f>inputs!$E$90*(F793/inputs!$F$90)^(1)</f>
        <v>2.1999999999999999E-2</v>
      </c>
      <c r="X793" s="21">
        <f>inputs!$E$89*(F793/inputs!$F$89)^(1)</f>
        <v>8.2151898734177206E-2</v>
      </c>
      <c r="Y793" s="21" t="s">
        <v>13</v>
      </c>
      <c r="Z793" s="63">
        <f t="shared" si="84"/>
        <v>2134.958713179994</v>
      </c>
      <c r="AA793" s="63">
        <f t="shared" si="85"/>
        <v>2028.2107775209945</v>
      </c>
    </row>
    <row r="794" spans="1:27" x14ac:dyDescent="0.25">
      <c r="A794" s="103" t="s">
        <v>381</v>
      </c>
      <c r="B794" s="20" t="s">
        <v>382</v>
      </c>
      <c r="C794" s="21" t="s">
        <v>79</v>
      </c>
      <c r="D794" s="105" t="s">
        <v>383</v>
      </c>
      <c r="E794" s="15">
        <v>182</v>
      </c>
      <c r="F794" s="15">
        <v>110</v>
      </c>
      <c r="G794" s="21" t="s">
        <v>218</v>
      </c>
      <c r="H794" s="20">
        <v>0.68</v>
      </c>
      <c r="I794" s="68">
        <f>MAX('Max rate concentrations'!$K$3:$K$368)</f>
        <v>110.00035859694511</v>
      </c>
      <c r="J794" s="68">
        <f>MAX('Max rate concentrations'!AC:AC)</f>
        <v>38.958460336418057</v>
      </c>
      <c r="K794" s="69">
        <f t="shared" si="87"/>
        <v>1.5374157837355842</v>
      </c>
      <c r="L794" s="69">
        <f t="shared" si="88"/>
        <v>0.54450142340635277</v>
      </c>
      <c r="M794" s="69">
        <f>IF((((0.065*F794^0.726)/3.7-(0.301*F794^0.751)/(1-H794)*H794)*(MAX('Max rate concentrations'!$P$3:$P$368)))/F794&gt;0, (((0.065*F794^0.726)/3.7-(0.301*F794^0.751)/(1-H794)*H794)*(MAX('Max rate concentrations'!$P$3:$P$368)))/F794, 0)</f>
        <v>0</v>
      </c>
      <c r="N794" s="69">
        <f>IF((((0.065*F794^0.726)/3.7-(0.301*F794^0.751)/(1-H794)*H794)*(MAX('Max rate concentrations'!$Q$3:$Q$368)))/F794&gt;0, (((0.065*F794^0.726)/3.7-(0.301*F794^0.751)/(1-H794)*H794)*(MAX('Max rate concentrations'!$Q$3:$Q$368)))/F794, 0)</f>
        <v>0</v>
      </c>
      <c r="O794" s="69" t="s">
        <v>13</v>
      </c>
      <c r="P794" s="69" t="s">
        <v>13</v>
      </c>
      <c r="Q794" s="69">
        <f>(inputs!$C$18*11.2)*(16.61*F794^0.61)*0.5*1/F794</f>
        <v>44.620637105461874</v>
      </c>
      <c r="R794" s="59">
        <f>(60*76.9*((F794/1000)^0.76)*3*24*(MAX('Max rate concentrations'!$R$3:$R$368))/F794)</f>
        <v>4.3478398690799565E-3</v>
      </c>
      <c r="S794" s="59">
        <f>(IF(inputs!$C$17="aerial",((0.025*0.112*inputs!$C$18/3.3)*(3*60*76.9*((F794/1000)^0.76))*MAX(inputs!$I$14:$I$16))/F794,((0.0083*0.112*inputs!$C$18/1)*(3*60*76.9*((F794/1000)^0.76))*MAX(inputs!$I$14:$I$16))/F794))</f>
        <v>1.8358618688959497E-2</v>
      </c>
      <c r="T794" s="63">
        <f>IF((((inputs!$P$13/(V794/MAX(K794:S794)))^(1/inputs!$O$13))-1)/inputs!$N$13&lt;0, 0, IF((((inputs!$P$13/(V794/MAX(K794:S794)))^(1/inputs!$O$13))-1)/inputs!$N$13&lt;inputs!$I$17, (((inputs!$P$13/(V794/MAX(K794:S794)))^(1/inputs!$O$13))-1)/inputs!$N$13, inputs!$I$17))</f>
        <v>1000</v>
      </c>
      <c r="U794" s="63">
        <f>IF((((inputs!$P$13/(X794/MAX(K794:S794)))^(1/inputs!$O$13))-1)/inputs!$N$13&lt;0, 0, IF((((inputs!$P$13/(X794/MAX(K794:S794)))^(1/inputs!$O$13))-1)/inputs!$N$13&lt;inputs!$I$17, (((inputs!$P$13/(X794/MAX(K794:S794)))^(1/inputs!$O$13))-1)/inputs!$N$13, inputs!$I$17))</f>
        <v>883.56123699707996</v>
      </c>
      <c r="V794" s="21">
        <f>inputs!$E$87*(F794/inputs!$F$87)^(1)</f>
        <v>2.0900000000000002E-2</v>
      </c>
      <c r="W794" s="21">
        <f>inputs!$E$90*(F794/inputs!$F$90)^(1)</f>
        <v>2.1999999999999999E-2</v>
      </c>
      <c r="X794" s="21">
        <f>inputs!$E$89*(F794/inputs!$F$89)^(1)</f>
        <v>8.2151898734177206E-2</v>
      </c>
      <c r="Y794" s="21" t="s">
        <v>13</v>
      </c>
      <c r="Z794" s="63">
        <f t="shared" si="84"/>
        <v>2134.958713179994</v>
      </c>
      <c r="AA794" s="63">
        <f t="shared" si="85"/>
        <v>2028.2107775209945</v>
      </c>
    </row>
    <row r="795" spans="1:27" x14ac:dyDescent="0.25">
      <c r="A795" s="103" t="s">
        <v>381</v>
      </c>
      <c r="B795" s="20" t="s">
        <v>382</v>
      </c>
      <c r="C795" s="21" t="s">
        <v>79</v>
      </c>
      <c r="D795" s="105" t="s">
        <v>383</v>
      </c>
      <c r="E795" s="15">
        <v>182</v>
      </c>
      <c r="F795" s="15">
        <v>110</v>
      </c>
      <c r="G795" s="21" t="s">
        <v>177</v>
      </c>
      <c r="H795" s="20">
        <v>0.85</v>
      </c>
      <c r="I795" s="68">
        <f>MAX('Max rate concentrations'!$F$3:$F$368)</f>
        <v>405</v>
      </c>
      <c r="J795" s="68">
        <f>MAX('Max rate concentrations'!Y:Y)</f>
        <v>135</v>
      </c>
      <c r="K795" s="69">
        <f t="shared" si="87"/>
        <v>12.075662789561434</v>
      </c>
      <c r="L795" s="69">
        <f t="shared" si="88"/>
        <v>4.0252209298538117</v>
      </c>
      <c r="M795" s="69">
        <f>IF((((0.065*F795^0.726)/3.7-(0.301*F795^0.751)/(1-H795)*H795)*(MAX('Max rate concentrations'!$P$3:$P$368)))/F795&gt;0, (((0.065*F795^0.726)/3.7-(0.301*F795^0.751)/(1-H795)*H795)*(MAX('Max rate concentrations'!$P$3:$P$368)))/F795, 0)</f>
        <v>0</v>
      </c>
      <c r="N795" s="69">
        <f>IF((((0.065*F795^0.726)/3.7-(0.301*F795^0.751)/(1-H795)*H795)*(MAX('Max rate concentrations'!$Q$3:$Q$368)))/F795&gt;0, (((0.065*F795^0.726)/3.7-(0.301*F795^0.751)/(1-H795)*H795)*(MAX('Max rate concentrations'!$Q$3:$Q$368)))/F795, 0)</f>
        <v>0</v>
      </c>
      <c r="O795" s="69" t="s">
        <v>13</v>
      </c>
      <c r="P795" s="69" t="s">
        <v>13</v>
      </c>
      <c r="Q795" s="69">
        <f>(inputs!$C$18*11.2)*(16.61*F795^0.61)*0.5*1/F795</f>
        <v>44.620637105461874</v>
      </c>
      <c r="R795" s="59">
        <f>(60*76.9*((F795/1000)^0.76)*3*24*(MAX('Max rate concentrations'!$R$3:$R$368))/F795)</f>
        <v>4.3478398690799565E-3</v>
      </c>
      <c r="S795" s="59">
        <f>(IF(inputs!$C$17="aerial",((0.025*0.112*inputs!$C$18/3.3)*(3*60*76.9*((F795/1000)^0.76))*MAX(inputs!$I$14:$I$16))/F795,((0.0083*0.112*inputs!$C$18/1)*(3*60*76.9*((F795/1000)^0.76))*MAX(inputs!$I$14:$I$16))/F795))</f>
        <v>1.8358618688959497E-2</v>
      </c>
      <c r="T795" s="63">
        <f>IF((((inputs!$P$13/(V795/MAX(K795:S795)))^(1/inputs!$O$13))-1)/inputs!$N$13&lt;0, 0, IF((((inputs!$P$13/(V795/MAX(K795:S795)))^(1/inputs!$O$13))-1)/inputs!$N$13&lt;inputs!$I$17, (((inputs!$P$13/(V795/MAX(K795:S795)))^(1/inputs!$O$13))-1)/inputs!$N$13, inputs!$I$17))</f>
        <v>1000</v>
      </c>
      <c r="U795" s="63">
        <f>IF((((inputs!$P$13/(X795/MAX(K795:S795)))^(1/inputs!$O$13))-1)/inputs!$N$13&lt;0, 0, IF((((inputs!$P$13/(X795/MAX(K795:S795)))^(1/inputs!$O$13))-1)/inputs!$N$13&lt;inputs!$I$17, (((inputs!$P$13/(X795/MAX(K795:S795)))^(1/inputs!$O$13))-1)/inputs!$N$13, inputs!$I$17))</f>
        <v>883.56123699707996</v>
      </c>
      <c r="V795" s="21">
        <f>inputs!$E$87*(F795/inputs!$F$87)^(1)</f>
        <v>2.0900000000000002E-2</v>
      </c>
      <c r="W795" s="21">
        <f>inputs!$E$90*(F795/inputs!$F$90)^(1)</f>
        <v>2.1999999999999999E-2</v>
      </c>
      <c r="X795" s="21">
        <f>inputs!$E$89*(F795/inputs!$F$89)^(1)</f>
        <v>8.2151898734177206E-2</v>
      </c>
      <c r="Y795" s="21" t="s">
        <v>13</v>
      </c>
      <c r="Z795" s="63">
        <f t="shared" si="84"/>
        <v>2134.958713179994</v>
      </c>
      <c r="AA795" s="63">
        <f t="shared" si="85"/>
        <v>2028.2107775209945</v>
      </c>
    </row>
    <row r="796" spans="1:27" x14ac:dyDescent="0.25">
      <c r="A796" s="103" t="s">
        <v>381</v>
      </c>
      <c r="B796" s="20" t="s">
        <v>382</v>
      </c>
      <c r="C796" s="21" t="s">
        <v>79</v>
      </c>
      <c r="D796" s="105" t="s">
        <v>383</v>
      </c>
      <c r="E796" s="15">
        <v>182</v>
      </c>
      <c r="F796" s="15">
        <v>110</v>
      </c>
      <c r="G796" s="21" t="s">
        <v>145</v>
      </c>
      <c r="H796" s="20">
        <v>0.66</v>
      </c>
      <c r="I796" s="68">
        <f>MAX('Max rate concentrations'!$M$3:$M$368)</f>
        <v>17.092910873809167</v>
      </c>
      <c r="J796" s="68">
        <f>MAX('Max rate concentrations'!AE:AE)</f>
        <v>11.81956602976166</v>
      </c>
      <c r="K796" s="69">
        <f t="shared" si="87"/>
        <v>0.22484556405680547</v>
      </c>
      <c r="L796" s="69">
        <f t="shared" si="88"/>
        <v>0.15547831557119532</v>
      </c>
      <c r="M796" s="69">
        <f>IF((((0.065*F796^0.726)/3.7-(0.301*F796^0.751)/(1-H796)*H796)*(MAX('Max rate concentrations'!$P$3:$P$368)))/F796&gt;0, (((0.065*F796^0.726)/3.7-(0.301*F796^0.751)/(1-H796)*H796)*(MAX('Max rate concentrations'!$P$3:$P$368)))/F796, 0)</f>
        <v>0</v>
      </c>
      <c r="N796" s="69">
        <f>IF((((0.065*F796^0.726)/3.7-(0.301*F796^0.751)/(1-H796)*H796)*(MAX('Max rate concentrations'!$Q$3:$Q$368)))/F796&gt;0, (((0.065*F796^0.726)/3.7-(0.301*F796^0.751)/(1-H796)*H796)*(MAX('Max rate concentrations'!$Q$3:$Q$368)))/F796, 0)</f>
        <v>0</v>
      </c>
      <c r="O796" s="69" t="s">
        <v>13</v>
      </c>
      <c r="P796" s="69" t="s">
        <v>13</v>
      </c>
      <c r="Q796" s="69">
        <f>(inputs!$C$18*11.2)*(16.61*F796^0.61)*0.5*1/F796</f>
        <v>44.620637105461874</v>
      </c>
      <c r="R796" s="59">
        <f>(60*76.9*((F796/1000)^0.76)*3*24*(MAX('Max rate concentrations'!$R$3:$R$368))/F796)</f>
        <v>4.3478398690799565E-3</v>
      </c>
      <c r="S796" s="59">
        <f>(IF(inputs!$C$17="aerial",((0.025*0.112*inputs!$C$18/3.3)*(3*60*76.9*((F796/1000)^0.76))*MAX(inputs!$I$14:$I$16))/F796,((0.0083*0.112*inputs!$C$18/1)*(3*60*76.9*((F796/1000)^0.76))*MAX(inputs!$I$14:$I$16))/F796))</f>
        <v>1.8358618688959497E-2</v>
      </c>
      <c r="T796" s="63">
        <f>IF((((inputs!$P$13/(V796/MAX(K796:S796)))^(1/inputs!$O$13))-1)/inputs!$N$13&lt;0, 0, IF((((inputs!$P$13/(V796/MAX(K796:S796)))^(1/inputs!$O$13))-1)/inputs!$N$13&lt;inputs!$I$17, (((inputs!$P$13/(V796/MAX(K796:S796)))^(1/inputs!$O$13))-1)/inputs!$N$13, inputs!$I$17))</f>
        <v>1000</v>
      </c>
      <c r="U796" s="63">
        <f>IF((((inputs!$P$13/(X796/MAX(K796:S796)))^(1/inputs!$O$13))-1)/inputs!$N$13&lt;0, 0, IF((((inputs!$P$13/(X796/MAX(K796:S796)))^(1/inputs!$O$13))-1)/inputs!$N$13&lt;inputs!$I$17, (((inputs!$P$13/(X796/MAX(K796:S796)))^(1/inputs!$O$13))-1)/inputs!$N$13, inputs!$I$17))</f>
        <v>883.56123699707996</v>
      </c>
      <c r="V796" s="21">
        <f>inputs!$E$87*(F796/inputs!$F$87)^(1)</f>
        <v>2.0900000000000002E-2</v>
      </c>
      <c r="W796" s="21">
        <f>inputs!$E$90*(F796/inputs!$F$90)^(1)</f>
        <v>2.1999999999999999E-2</v>
      </c>
      <c r="X796" s="21">
        <f>inputs!$E$89*(F796/inputs!$F$89)^(1)</f>
        <v>8.2151898734177206E-2</v>
      </c>
      <c r="Y796" s="21" t="s">
        <v>13</v>
      </c>
      <c r="Z796" s="63">
        <f t="shared" si="84"/>
        <v>2134.958713179994</v>
      </c>
      <c r="AA796" s="63">
        <f t="shared" si="85"/>
        <v>2028.2107775209945</v>
      </c>
    </row>
    <row r="797" spans="1:27" x14ac:dyDescent="0.25">
      <c r="A797" s="103" t="s">
        <v>381</v>
      </c>
      <c r="B797" s="20" t="s">
        <v>382</v>
      </c>
      <c r="C797" s="21" t="s">
        <v>79</v>
      </c>
      <c r="D797" s="105" t="s">
        <v>383</v>
      </c>
      <c r="E797" s="15">
        <v>182</v>
      </c>
      <c r="F797" s="15">
        <v>110</v>
      </c>
      <c r="G797" s="21" t="s">
        <v>146</v>
      </c>
      <c r="H797" s="20">
        <v>0.84</v>
      </c>
      <c r="I797" s="68">
        <f>MAX('Max rate concentrations'!$I$3:$I$368)</f>
        <v>56.865414300472793</v>
      </c>
      <c r="J797" s="68" t="s">
        <v>13</v>
      </c>
      <c r="K797" s="69">
        <f t="shared" si="87"/>
        <v>1.5895545543546619</v>
      </c>
      <c r="L797" s="69" t="s">
        <v>13</v>
      </c>
      <c r="M797" s="69">
        <f>IF((((0.065*F797^0.726)/3.7-(0.301*F797^0.751)/(1-H797)*H797)*(MAX('Max rate concentrations'!$P$3:$P$368)))/F797&gt;0, (((0.065*F797^0.726)/3.7-(0.301*F797^0.751)/(1-H797)*H797)*(MAX('Max rate concentrations'!$P$3:$P$368)))/F797, 0)</f>
        <v>0</v>
      </c>
      <c r="N797" s="69">
        <f>IF((((0.065*F797^0.726)/3.7-(0.301*F797^0.751)/(1-H797)*H797)*(MAX('Max rate concentrations'!$Q$3:$Q$368)))/F797&gt;0, (((0.065*F797^0.726)/3.7-(0.301*F797^0.751)/(1-H797)*H797)*(MAX('Max rate concentrations'!$Q$3:$Q$368)))/F797, 0)</f>
        <v>0</v>
      </c>
      <c r="O797" s="69" t="s">
        <v>13</v>
      </c>
      <c r="P797" s="69" t="s">
        <v>13</v>
      </c>
      <c r="Q797" s="69">
        <f>(inputs!$C$18*11.2)*(16.61*F797^0.61)*0.5*1/F797</f>
        <v>44.620637105461874</v>
      </c>
      <c r="R797" s="59">
        <f>(60*76.9*((F797/1000)^0.76)*3*24*(MAX('Max rate concentrations'!$R$3:$R$368))/F797)</f>
        <v>4.3478398690799565E-3</v>
      </c>
      <c r="S797" s="59">
        <f>(IF(inputs!$C$17="aerial",((0.025*0.112*inputs!$C$18/3.3)*(3*60*76.9*((F797/1000)^0.76))*MAX(inputs!$I$14:$I$16))/F797,((0.0083*0.112*inputs!$C$18/1)*(3*60*76.9*((F797/1000)^0.76))*MAX(inputs!$I$14:$I$16))/F797))</f>
        <v>1.8358618688959497E-2</v>
      </c>
      <c r="T797" s="63">
        <f>IF((((inputs!$P$13/(V797/MAX(K797:S797)))^(1/inputs!$O$13))-1)/inputs!$N$13&lt;0, 0, IF((((inputs!$P$13/(V797/MAX(K797:S797)))^(1/inputs!$O$13))-1)/inputs!$N$13&lt;inputs!$I$17, (((inputs!$P$13/(V797/MAX(K797:S797)))^(1/inputs!$O$13))-1)/inputs!$N$13, inputs!$I$17))</f>
        <v>1000</v>
      </c>
      <c r="U797" s="63">
        <f>IF((((inputs!$P$13/(X797/MAX(K797:S797)))^(1/inputs!$O$13))-1)/inputs!$N$13&lt;0, 0, IF((((inputs!$P$13/(X797/MAX(K797:S797)))^(1/inputs!$O$13))-1)/inputs!$N$13&lt;inputs!$I$17, (((inputs!$P$13/(X797/MAX(K797:S797)))^(1/inputs!$O$13))-1)/inputs!$N$13, inputs!$I$17))</f>
        <v>883.56123699707996</v>
      </c>
      <c r="V797" s="21">
        <f>inputs!$E$87*(F797/inputs!$F$87)^(1)</f>
        <v>2.0900000000000002E-2</v>
      </c>
      <c r="W797" s="21">
        <f>inputs!$E$90*(F797/inputs!$F$90)^(1)</f>
        <v>2.1999999999999999E-2</v>
      </c>
      <c r="X797" s="21">
        <f>inputs!$E$89*(F797/inputs!$F$89)^(1)</f>
        <v>8.2151898734177206E-2</v>
      </c>
      <c r="Y797" s="21" t="s">
        <v>13</v>
      </c>
      <c r="Z797" s="63">
        <f t="shared" si="84"/>
        <v>2134.958713179994</v>
      </c>
      <c r="AA797" s="63">
        <f t="shared" si="85"/>
        <v>2028.2107775209945</v>
      </c>
    </row>
    <row r="798" spans="1:27" ht="26.4" x14ac:dyDescent="0.25">
      <c r="A798" s="103" t="s">
        <v>403</v>
      </c>
      <c r="B798" s="20" t="s">
        <v>404</v>
      </c>
      <c r="C798" s="21" t="s">
        <v>79</v>
      </c>
      <c r="D798" s="105" t="s">
        <v>383</v>
      </c>
      <c r="E798" s="15">
        <v>185</v>
      </c>
      <c r="F798" s="15">
        <v>3600</v>
      </c>
      <c r="G798" s="21" t="s">
        <v>169</v>
      </c>
      <c r="H798" s="20">
        <v>0.79</v>
      </c>
      <c r="I798" s="68">
        <f>MAX('Max rate concentrations'!$D$3:$D$368)</f>
        <v>720</v>
      </c>
      <c r="J798" s="68">
        <f>MAX('Max rate concentrations'!W:W)</f>
        <v>255</v>
      </c>
      <c r="K798" s="69">
        <f t="shared" si="87"/>
        <v>6.9466574921286339</v>
      </c>
      <c r="L798" s="69">
        <f t="shared" ref="L798:L812" si="89">(((0.013*F798^0.773)/(1-H798)))*J798/F798</f>
        <v>2.4602745284622243</v>
      </c>
      <c r="M798" s="69">
        <f>IF((((0.065*F798^0.726)/3.7-(0.301*F798^0.751)/(1-H798)*H798)*(MAX('Max rate concentrations'!$P$3:$P$368)))/F798&gt;0, (((0.065*F798^0.726)/3.7-(0.301*F798^0.751)/(1-H798)*H798)*(MAX('Max rate concentrations'!$P$3:$P$368)))/F798, 0)</f>
        <v>0</v>
      </c>
      <c r="N798" s="69">
        <f>IF((((0.065*F798^0.726)/3.7-(0.301*F798^0.751)/(1-H798)*H798)*(MAX('Max rate concentrations'!$Q$3:$Q$368)))/F798&gt;0, (((0.065*F798^0.726)/3.7-(0.301*F798^0.751)/(1-H798)*H798)*(MAX('Max rate concentrations'!$Q$3:$Q$368)))/F798, 0)</f>
        <v>0</v>
      </c>
      <c r="O798" s="69" t="s">
        <v>13</v>
      </c>
      <c r="P798" s="69" t="s">
        <v>13</v>
      </c>
      <c r="Q798" s="69">
        <f>(inputs!$C$18*11.2)*(16.61*F798^0.61)*0.5*1/F798</f>
        <v>11.447771148147446</v>
      </c>
      <c r="R798" s="59">
        <f>(60*76.9*((F798/1000)^0.76)*3*24*(MAX('Max rate concentrations'!$R$3:$R$368))/F798)</f>
        <v>1.8823274902847534E-3</v>
      </c>
      <c r="S798" s="59">
        <f>(IF(inputs!$C$17="aerial",((0.025*0.112*inputs!$C$18/3.3)*(3*60*76.9*((F798/1000)^0.76))*MAX(inputs!$I$14:$I$16))/F798,((0.0083*0.112*inputs!$C$18/1)*(3*60*76.9*((F798/1000)^0.76))*MAX(inputs!$I$14:$I$16))/F798))</f>
        <v>7.9480693131406596E-3</v>
      </c>
      <c r="T798" s="63">
        <f>IF((((inputs!$P$13/(V798/MAX(K798:S798)))^(1/inputs!$O$13))-1)/inputs!$N$13&lt;0, 0, IF((((inputs!$P$13/(V798/MAX(K798:S798)))^(1/inputs!$O$13))-1)/inputs!$N$13&lt;inputs!$I$17, (((inputs!$P$13/(V798/MAX(K798:S798)))^(1/inputs!$O$13))-1)/inputs!$N$13, inputs!$I$17))</f>
        <v>48.068640862101361</v>
      </c>
      <c r="U798" s="63">
        <f>IF((((inputs!$P$13/(X798/MAX(K798:S798)))^(1/inputs!$O$13))-1)/inputs!$N$13&lt;0, 0, IF((((inputs!$P$13/(X798/MAX(K798:S798)))^(1/inputs!$O$13))-1)/inputs!$N$13&lt;inputs!$I$17, (((inputs!$P$13/(X798/MAX(K798:S798)))^(1/inputs!$O$13))-1)/inputs!$N$13, inputs!$I$17))</f>
        <v>12.390924379462325</v>
      </c>
      <c r="V798" s="21">
        <f>inputs!$E$87*(F798/inputs!$F$87)^(1)</f>
        <v>0.68399999999999994</v>
      </c>
      <c r="W798" s="21">
        <f>inputs!$E$90*(F798/inputs!$F$90)^(1)</f>
        <v>0.72000000000000008</v>
      </c>
      <c r="X798" s="21">
        <f>inputs!$E$89*(F798/inputs!$F$89)^(1)</f>
        <v>2.688607594936709</v>
      </c>
      <c r="Y798" s="21" t="s">
        <v>13</v>
      </c>
      <c r="Z798" s="63">
        <f t="shared" si="84"/>
        <v>16.736507526531355</v>
      </c>
      <c r="AA798" s="63">
        <f t="shared" si="85"/>
        <v>15.899682150204784</v>
      </c>
    </row>
    <row r="799" spans="1:27" ht="26.4" x14ac:dyDescent="0.25">
      <c r="A799" s="103" t="s">
        <v>403</v>
      </c>
      <c r="B799" s="20" t="s">
        <v>404</v>
      </c>
      <c r="C799" s="21" t="s">
        <v>79</v>
      </c>
      <c r="D799" s="105" t="s">
        <v>383</v>
      </c>
      <c r="E799" s="15">
        <v>185</v>
      </c>
      <c r="F799" s="15">
        <v>3600</v>
      </c>
      <c r="G799" s="21" t="s">
        <v>158</v>
      </c>
      <c r="H799" s="20">
        <v>0.85</v>
      </c>
      <c r="I799" s="68">
        <f>MAX('Max rate concentrations'!$F$3:$F$368)</f>
        <v>405</v>
      </c>
      <c r="J799" s="68">
        <f>MAX('Max rate concentrations'!Y:Y)</f>
        <v>135</v>
      </c>
      <c r="K799" s="69">
        <f t="shared" si="87"/>
        <v>5.4704927750512971</v>
      </c>
      <c r="L799" s="69">
        <f t="shared" si="89"/>
        <v>1.8234975916837657</v>
      </c>
      <c r="M799" s="69">
        <f>IF((((0.065*F799^0.726)/3.7-(0.301*F799^0.751)/(1-H799)*H799)*(MAX('Max rate concentrations'!$P$3:$P$368)))/F799&gt;0, (((0.065*F799^0.726)/3.7-(0.301*F799^0.751)/(1-H799)*H799)*(MAX('Max rate concentrations'!$P$3:$P$368)))/F799, 0)</f>
        <v>0</v>
      </c>
      <c r="N799" s="69">
        <f>IF((((0.065*F799^0.726)/3.7-(0.301*F799^0.751)/(1-H799)*H799)*(MAX('Max rate concentrations'!$Q$3:$Q$368)))/F799&gt;0, (((0.065*F799^0.726)/3.7-(0.301*F799^0.751)/(1-H799)*H799)*(MAX('Max rate concentrations'!$Q$3:$Q$368)))/F799, 0)</f>
        <v>0</v>
      </c>
      <c r="O799" s="69" t="s">
        <v>13</v>
      </c>
      <c r="P799" s="69" t="s">
        <v>13</v>
      </c>
      <c r="Q799" s="69">
        <f>(inputs!$C$18*11.2)*(16.61*F799^0.61)*0.5*1/F799</f>
        <v>11.447771148147446</v>
      </c>
      <c r="R799" s="59">
        <f>(60*76.9*((F799/1000)^0.76)*3*24*(MAX('Max rate concentrations'!$R$3:$R$368))/F799)</f>
        <v>1.8823274902847534E-3</v>
      </c>
      <c r="S799" s="59">
        <f>(IF(inputs!$C$17="aerial",((0.025*0.112*inputs!$C$18/3.3)*(3*60*76.9*((F799/1000)^0.76))*MAX(inputs!$I$14:$I$16))/F799,((0.0083*0.112*inputs!$C$18/1)*(3*60*76.9*((F799/1000)^0.76))*MAX(inputs!$I$14:$I$16))/F799))</f>
        <v>7.9480693131406596E-3</v>
      </c>
      <c r="T799" s="63">
        <f>IF((((inputs!$P$13/(V799/MAX(K799:S799)))^(1/inputs!$O$13))-1)/inputs!$N$13&lt;0, 0, IF((((inputs!$P$13/(V799/MAX(K799:S799)))^(1/inputs!$O$13))-1)/inputs!$N$13&lt;inputs!$I$17, (((inputs!$P$13/(V799/MAX(K799:S799)))^(1/inputs!$O$13))-1)/inputs!$N$13, inputs!$I$17))</f>
        <v>48.068640862101361</v>
      </c>
      <c r="U799" s="63">
        <f>IF((((inputs!$P$13/(X799/MAX(K799:S799)))^(1/inputs!$O$13))-1)/inputs!$N$13&lt;0, 0, IF((((inputs!$P$13/(X799/MAX(K799:S799)))^(1/inputs!$O$13))-1)/inputs!$N$13&lt;inputs!$I$17, (((inputs!$P$13/(X799/MAX(K799:S799)))^(1/inputs!$O$13))-1)/inputs!$N$13, inputs!$I$17))</f>
        <v>12.390924379462325</v>
      </c>
      <c r="V799" s="21">
        <f>inputs!$E$87*(F799/inputs!$F$87)^(1)</f>
        <v>0.68399999999999994</v>
      </c>
      <c r="W799" s="21">
        <f>inputs!$E$90*(F799/inputs!$F$90)^(1)</f>
        <v>0.72000000000000008</v>
      </c>
      <c r="X799" s="21">
        <f>inputs!$E$89*(F799/inputs!$F$89)^(1)</f>
        <v>2.688607594936709</v>
      </c>
      <c r="Y799" s="21" t="s">
        <v>13</v>
      </c>
      <c r="Z799" s="63">
        <f t="shared" si="84"/>
        <v>16.736507526531355</v>
      </c>
      <c r="AA799" s="63">
        <f t="shared" si="85"/>
        <v>15.899682150204784</v>
      </c>
    </row>
    <row r="800" spans="1:27" x14ac:dyDescent="0.25">
      <c r="A800" s="114" t="s">
        <v>640</v>
      </c>
      <c r="B800" s="20" t="s">
        <v>639</v>
      </c>
      <c r="C800" s="21" t="s">
        <v>79</v>
      </c>
      <c r="D800" s="105" t="s">
        <v>383</v>
      </c>
      <c r="E800" s="15">
        <v>169</v>
      </c>
      <c r="F800" s="15">
        <v>26</v>
      </c>
      <c r="G800" s="21" t="s">
        <v>164</v>
      </c>
      <c r="H800" s="20">
        <v>0.78</v>
      </c>
      <c r="I800" s="68">
        <f>inputs!$C$66*(inputs!$C$62/1000)</f>
        <v>8.2000000000000011</v>
      </c>
      <c r="J800" s="68">
        <f>inputs!$C$66*(inputs!$C$61/1000)</f>
        <v>2.5</v>
      </c>
      <c r="K800" s="69">
        <f t="shared" si="87"/>
        <v>0.23127866610166264</v>
      </c>
      <c r="L800" s="69">
        <f t="shared" si="89"/>
        <v>7.0511788445628845E-2</v>
      </c>
      <c r="M800" s="69">
        <f>IF((((0.065*F800^0.726)/3.7-(0.301*F800^0.751)/(1-H800)*H800)*(MAX('Max rate concentrations'!$P$3:$P$368)))/F800&gt;0, (((0.065*F800^0.726)/3.7-(0.301*F800^0.751)/(1-H800)*H800)*(MAX('Max rate concentrations'!$P$3:$P$368)))/F800, 0)</f>
        <v>0</v>
      </c>
      <c r="N800" s="69">
        <f>IF((((0.065*F800^0.726)/3.7-(0.301*F800^0.751)/(1-H800)*H800)*(MAX('Max rate concentrations'!$Q$3:$Q$368)))/F800&gt;0, (((0.065*F800^0.726)/3.7-(0.301*F800^0.751)/(1-H800)*H800)*(MAX('Max rate concentrations'!$Q$3:$Q$368)))/F800, 0)</f>
        <v>0</v>
      </c>
      <c r="O800" s="69" t="s">
        <v>13</v>
      </c>
      <c r="P800" s="69" t="s">
        <v>13</v>
      </c>
      <c r="Q800" s="69">
        <f>(inputs!$C$18*11.2)*(16.61*F800^0.61)*0.5*1/F800</f>
        <v>78.313982277767821</v>
      </c>
      <c r="R800" s="59">
        <f>(60*76.9*((F800/1000)^0.76)*3*24*(MAX('Max rate concentrations'!$R$3:$R$368))/F800)</f>
        <v>6.1463060470692216E-3</v>
      </c>
      <c r="S800" s="59">
        <f>(IF(inputs!$C$17="aerial",((0.025*0.112*inputs!$C$18/3.3)*(3*60*76.9*((F800/1000)^0.76))*MAX(inputs!$I$14:$I$16))/F800,((0.0083*0.112*inputs!$C$18/1)*(3*60*76.9*((F800/1000)^0.76))*MAX(inputs!$I$14:$I$16))/F800))</f>
        <v>2.5952586217869909E-2</v>
      </c>
      <c r="T800" s="63">
        <f>IF((((inputs!$P$13/(V800/MAX(K800:S800)))^(1/inputs!$O$13))-1)/inputs!$N$13&lt;0, 0, IF((((inputs!$P$13/(V800/MAX(K800:S800)))^(1/inputs!$O$13))-1)/inputs!$N$13&lt;inputs!$I$17, (((inputs!$P$13/(V800/MAX(K800:S800)))^(1/inputs!$O$13))-1)/inputs!$N$13, inputs!$I$17))</f>
        <v>1000</v>
      </c>
      <c r="U800" s="63">
        <f>IF((((inputs!$P$13/(X800/MAX(K800:S800)))^(1/inputs!$O$13))-1)/inputs!$N$13&lt;0, 0, IF((((inputs!$P$13/(X800/MAX(K800:S800)))^(1/inputs!$O$13))-1)/inputs!$N$13&lt;inputs!$I$17, (((inputs!$P$13/(X800/MAX(K800:S800)))^(1/inputs!$O$13))-1)/inputs!$N$13, inputs!$I$17))</f>
        <v>1000</v>
      </c>
      <c r="V800" s="21">
        <f>inputs!$E$87*(F800/inputs!$F$87)^(1)</f>
        <v>4.9399999999999999E-3</v>
      </c>
      <c r="W800" s="21">
        <f>inputs!$E$90*(F800/inputs!$F$90)^(1)</f>
        <v>5.2000000000000006E-3</v>
      </c>
      <c r="X800" s="21">
        <f>inputs!$E$89*(F800/inputs!$F$89)^(1)</f>
        <v>1.9417721518987342E-2</v>
      </c>
      <c r="Y800" s="21" t="s">
        <v>13</v>
      </c>
      <c r="Z800" s="63">
        <f t="shared" si="84"/>
        <v>15853.032849750571</v>
      </c>
      <c r="AA800" s="63">
        <f t="shared" si="85"/>
        <v>15060.381207263041</v>
      </c>
    </row>
    <row r="801" spans="1:27" x14ac:dyDescent="0.25">
      <c r="A801" s="114" t="s">
        <v>640</v>
      </c>
      <c r="B801" s="20" t="s">
        <v>639</v>
      </c>
      <c r="C801" s="21" t="s">
        <v>79</v>
      </c>
      <c r="D801" s="105" t="s">
        <v>383</v>
      </c>
      <c r="E801" s="15">
        <v>169</v>
      </c>
      <c r="F801" s="15">
        <v>26</v>
      </c>
      <c r="G801" s="21" t="s">
        <v>195</v>
      </c>
      <c r="H801" s="20">
        <v>0.82</v>
      </c>
      <c r="I801" s="68">
        <f>inputs!$C$66*(inputs!$C$62/1000)</f>
        <v>8.2000000000000011</v>
      </c>
      <c r="J801" s="68">
        <f>inputs!$C$66*(inputs!$C$61/1000)</f>
        <v>2.5</v>
      </c>
      <c r="K801" s="69">
        <f t="shared" si="87"/>
        <v>0.28267392523536533</v>
      </c>
      <c r="L801" s="69">
        <f t="shared" si="89"/>
        <v>8.6181074766879667E-2</v>
      </c>
      <c r="M801" s="69">
        <f>IF((((0.065*F801^0.726)/3.7-(0.301*F801^0.751)/(1-H801)*H801)*(MAX('Max rate concentrations'!$P$3:$P$368)))/F801&gt;0, (((0.065*F801^0.726)/3.7-(0.301*F801^0.751)/(1-H801)*H801)*(MAX('Max rate concentrations'!$P$3:$P$368)))/F801, 0)</f>
        <v>0</v>
      </c>
      <c r="N801" s="69">
        <f>IF((((0.065*F801^0.726)/3.7-(0.301*F801^0.751)/(1-H801)*H801)*(MAX('Max rate concentrations'!$Q$3:$Q$368)))/F801&gt;0, (((0.065*F801^0.726)/3.7-(0.301*F801^0.751)/(1-H801)*H801)*(MAX('Max rate concentrations'!$Q$3:$Q$368)))/F801, 0)</f>
        <v>0</v>
      </c>
      <c r="O801" s="69" t="s">
        <v>13</v>
      </c>
      <c r="P801" s="69" t="s">
        <v>13</v>
      </c>
      <c r="Q801" s="69">
        <f>(inputs!$C$18*11.2)*(16.61*F801^0.61)*0.5*1/F801</f>
        <v>78.313982277767821</v>
      </c>
      <c r="R801" s="59">
        <f>(60*76.9*((F801/1000)^0.76)*3*24*(MAX('Max rate concentrations'!$R$3:$R$368))/F801)</f>
        <v>6.1463060470692216E-3</v>
      </c>
      <c r="S801" s="59">
        <f>(IF(inputs!$C$17="aerial",((0.025*0.112*inputs!$C$18/3.3)*(3*60*76.9*((F801/1000)^0.76))*MAX(inputs!$I$14:$I$16))/F801,((0.0083*0.112*inputs!$C$18/1)*(3*60*76.9*((F801/1000)^0.76))*MAX(inputs!$I$14:$I$16))/F801))</f>
        <v>2.5952586217869909E-2</v>
      </c>
      <c r="T801" s="63">
        <f>IF((((inputs!$P$13/(V801/MAX(K801:S801)))^(1/inputs!$O$13))-1)/inputs!$N$13&lt;0, 0, IF((((inputs!$P$13/(V801/MAX(K801:S801)))^(1/inputs!$O$13))-1)/inputs!$N$13&lt;inputs!$I$17, (((inputs!$P$13/(V801/MAX(K801:S801)))^(1/inputs!$O$13))-1)/inputs!$N$13, inputs!$I$17))</f>
        <v>1000</v>
      </c>
      <c r="U801" s="63">
        <f>IF((((inputs!$P$13/(X801/MAX(K801:S801)))^(1/inputs!$O$13))-1)/inputs!$N$13&lt;0, 0, IF((((inputs!$P$13/(X801/MAX(K801:S801)))^(1/inputs!$O$13))-1)/inputs!$N$13&lt;inputs!$I$17, (((inputs!$P$13/(X801/MAX(K801:S801)))^(1/inputs!$O$13))-1)/inputs!$N$13, inputs!$I$17))</f>
        <v>1000</v>
      </c>
      <c r="V801" s="21">
        <f>inputs!$E$87*(F801/inputs!$F$87)^(1)</f>
        <v>4.9399999999999999E-3</v>
      </c>
      <c r="W801" s="21">
        <f>inputs!$E$90*(F801/inputs!$F$90)^(1)</f>
        <v>5.2000000000000006E-3</v>
      </c>
      <c r="X801" s="21">
        <f>inputs!$E$89*(F801/inputs!$F$89)^(1)</f>
        <v>1.9417721518987342E-2</v>
      </c>
      <c r="Y801" s="21" t="s">
        <v>13</v>
      </c>
      <c r="Z801" s="63">
        <f t="shared" si="84"/>
        <v>15853.032849750571</v>
      </c>
      <c r="AA801" s="63">
        <f t="shared" si="85"/>
        <v>15060.381207263041</v>
      </c>
    </row>
    <row r="802" spans="1:27" x14ac:dyDescent="0.25">
      <c r="A802" s="103" t="s">
        <v>407</v>
      </c>
      <c r="B802" s="20" t="s">
        <v>409</v>
      </c>
      <c r="C802" s="21" t="s">
        <v>79</v>
      </c>
      <c r="D802" s="105" t="s">
        <v>383</v>
      </c>
      <c r="E802" s="15">
        <v>3532</v>
      </c>
      <c r="F802" s="15">
        <v>4500</v>
      </c>
      <c r="G802" s="21" t="s">
        <v>152</v>
      </c>
      <c r="H802" s="20">
        <v>0.77</v>
      </c>
      <c r="I802" s="68">
        <f>MAX('Max rate concentrations'!$G$3:$G$368)</f>
        <v>45</v>
      </c>
      <c r="J802" s="68">
        <f>MAX('Max rate concentrations'!Z:Z)</f>
        <v>21</v>
      </c>
      <c r="K802" s="69">
        <f t="shared" si="87"/>
        <v>0.3768328799442161</v>
      </c>
      <c r="L802" s="69">
        <f t="shared" si="89"/>
        <v>0.17585534397396752</v>
      </c>
      <c r="M802" s="69">
        <f>IF((((0.065*F802^0.726)/3.7-(0.301*F802^0.751)/(1-H802)*H802)*(MAX('Max rate concentrations'!$P$3:$P$368)))/F802&gt;0, (((0.065*F802^0.726)/3.7-(0.301*F802^0.751)/(1-H802)*H802)*(MAX('Max rate concentrations'!$P$3:$P$368)))/F802, 0)</f>
        <v>0</v>
      </c>
      <c r="N802" s="69">
        <f>IF((((0.065*F802^0.726)/3.7-(0.301*F802^0.751)/(1-H802)*H802)*(MAX('Max rate concentrations'!$Q$3:$Q$368)))/F802&gt;0, (((0.065*F802^0.726)/3.7-(0.301*F802^0.751)/(1-H802)*H802)*(MAX('Max rate concentrations'!$Q$3:$Q$368)))/F802, 0)</f>
        <v>0</v>
      </c>
      <c r="O802" s="69" t="s">
        <v>13</v>
      </c>
      <c r="P802" s="69" t="s">
        <v>13</v>
      </c>
      <c r="Q802" s="69">
        <f>(inputs!$C$18*11.2)*(16.61*F802^0.61)*0.5*1/F802</f>
        <v>10.493636926726861</v>
      </c>
      <c r="R802" s="59">
        <f>(60*76.9*((F802/1000)^0.76)*3*24*(MAX('Max rate concentrations'!$R$3:$R$368))/F802)</f>
        <v>1.7841722560001346E-3</v>
      </c>
      <c r="S802" s="59">
        <f>(IF(inputs!$C$17="aerial",((0.025*0.112*inputs!$C$18/3.3)*(3*60*76.9*((F802/1000)^0.76))*MAX(inputs!$I$14:$I$16))/F802,((0.0083*0.112*inputs!$C$18/1)*(3*60*76.9*((F802/1000)^0.76))*MAX(inputs!$I$14:$I$16))/F802))</f>
        <v>7.5336118876563754E-3</v>
      </c>
      <c r="T802" s="63">
        <f>IF((((inputs!$P$13/(V802/MAX(K802:S802)))^(1/inputs!$O$13))-1)/inputs!$N$13&lt;0, 0, IF((((inputs!$P$13/(V802/MAX(K802:S802)))^(1/inputs!$O$13))-1)/inputs!$N$13&lt;inputs!$I$17, (((inputs!$P$13/(V802/MAX(K802:S802)))^(1/inputs!$O$13))-1)/inputs!$N$13, inputs!$I$17))</f>
        <v>36.245393174882516</v>
      </c>
      <c r="U802" s="63">
        <f>IF((((inputs!$P$13/(X802/MAX(K802:S802)))^(1/inputs!$O$13))-1)/inputs!$N$13&lt;0, 0, IF((((inputs!$P$13/(X802/MAX(K802:S802)))^(1/inputs!$O$13))-1)/inputs!$N$13&lt;inputs!$I$17, (((inputs!$P$13/(X802/MAX(K802:S802)))^(1/inputs!$O$13))-1)/inputs!$N$13, inputs!$I$17))</f>
        <v>8.482458711519282</v>
      </c>
      <c r="V802" s="21">
        <f>inputs!$E$87*(F802/inputs!$F$87)^(1)</f>
        <v>0.85499999999999998</v>
      </c>
      <c r="W802" s="21">
        <f>inputs!$E$90*(F802/inputs!$F$90)^(1)</f>
        <v>0.9</v>
      </c>
      <c r="X802" s="21">
        <f>inputs!$E$89*(F802/inputs!$F$89)^(1)</f>
        <v>3.3607594936708858</v>
      </c>
      <c r="Y802" s="21" t="s">
        <v>13</v>
      </c>
      <c r="Z802" s="63">
        <f t="shared" si="84"/>
        <v>12.273259563423229</v>
      </c>
      <c r="AA802" s="63">
        <f t="shared" si="85"/>
        <v>11.659596585252068</v>
      </c>
    </row>
    <row r="803" spans="1:27" x14ac:dyDescent="0.25">
      <c r="A803" s="103" t="s">
        <v>407</v>
      </c>
      <c r="B803" s="20" t="s">
        <v>409</v>
      </c>
      <c r="C803" s="21" t="s">
        <v>79</v>
      </c>
      <c r="D803" s="105" t="s">
        <v>383</v>
      </c>
      <c r="E803" s="15">
        <v>3532</v>
      </c>
      <c r="F803" s="15">
        <v>4500</v>
      </c>
      <c r="G803" s="21" t="s">
        <v>169</v>
      </c>
      <c r="H803" s="20">
        <v>0.79</v>
      </c>
      <c r="I803" s="68">
        <f>MAX('Max rate concentrations'!$D$3:$D$368)</f>
        <v>720</v>
      </c>
      <c r="J803" s="68">
        <f>MAX('Max rate concentrations'!W:W)</f>
        <v>255</v>
      </c>
      <c r="K803" s="69">
        <f t="shared" si="87"/>
        <v>6.6035476104510256</v>
      </c>
      <c r="L803" s="69">
        <f t="shared" si="89"/>
        <v>2.3387564453680714</v>
      </c>
      <c r="M803" s="69">
        <f>IF((((0.065*F803^0.726)/3.7-(0.301*F803^0.751)/(1-H803)*H803)*(MAX('Max rate concentrations'!$P$3:$P$368)))/F803&gt;0, (((0.065*F803^0.726)/3.7-(0.301*F803^0.751)/(1-H803)*H803)*(MAX('Max rate concentrations'!$P$3:$P$368)))/F803, 0)</f>
        <v>0</v>
      </c>
      <c r="N803" s="69">
        <f>IF((((0.065*F803^0.726)/3.7-(0.301*F803^0.751)/(1-H803)*H803)*(MAX('Max rate concentrations'!$Q$3:$Q$368)))/F803&gt;0, (((0.065*F803^0.726)/3.7-(0.301*F803^0.751)/(1-H803)*H803)*(MAX('Max rate concentrations'!$Q$3:$Q$368)))/F803, 0)</f>
        <v>0</v>
      </c>
      <c r="O803" s="69" t="s">
        <v>13</v>
      </c>
      <c r="P803" s="69" t="s">
        <v>13</v>
      </c>
      <c r="Q803" s="69">
        <f>(inputs!$C$18*11.2)*(16.61*F803^0.61)*0.5*1/F803</f>
        <v>10.493636926726861</v>
      </c>
      <c r="R803" s="59">
        <f>(60*76.9*((F803/1000)^0.76)*3*24*(MAX('Max rate concentrations'!$R$3:$R$368))/F803)</f>
        <v>1.7841722560001346E-3</v>
      </c>
      <c r="S803" s="59">
        <f>(IF(inputs!$C$17="aerial",((0.025*0.112*inputs!$C$18/3.3)*(3*60*76.9*((F803/1000)^0.76))*MAX(inputs!$I$14:$I$16))/F803,((0.0083*0.112*inputs!$C$18/1)*(3*60*76.9*((F803/1000)^0.76))*MAX(inputs!$I$14:$I$16))/F803))</f>
        <v>7.5336118876563754E-3</v>
      </c>
      <c r="T803" s="63">
        <f>IF((((inputs!$P$13/(V803/MAX(K803:S803)))^(1/inputs!$O$13))-1)/inputs!$N$13&lt;0, 0, IF((((inputs!$P$13/(V803/MAX(K803:S803)))^(1/inputs!$O$13))-1)/inputs!$N$13&lt;inputs!$I$17, (((inputs!$P$13/(V803/MAX(K803:S803)))^(1/inputs!$O$13))-1)/inputs!$N$13, inputs!$I$17))</f>
        <v>36.245393174882516</v>
      </c>
      <c r="U803" s="63">
        <f>IF((((inputs!$P$13/(X803/MAX(K803:S803)))^(1/inputs!$O$13))-1)/inputs!$N$13&lt;0, 0, IF((((inputs!$P$13/(X803/MAX(K803:S803)))^(1/inputs!$O$13))-1)/inputs!$N$13&lt;inputs!$I$17, (((inputs!$P$13/(X803/MAX(K803:S803)))^(1/inputs!$O$13))-1)/inputs!$N$13, inputs!$I$17))</f>
        <v>8.482458711519282</v>
      </c>
      <c r="V803" s="21">
        <f>inputs!$E$87*(F803/inputs!$F$87)^(1)</f>
        <v>0.85499999999999998</v>
      </c>
      <c r="W803" s="21">
        <f>inputs!$E$90*(F803/inputs!$F$90)^(1)</f>
        <v>0.9</v>
      </c>
      <c r="X803" s="21">
        <f>inputs!$E$89*(F803/inputs!$F$89)^(1)</f>
        <v>3.3607594936708858</v>
      </c>
      <c r="Y803" s="21" t="s">
        <v>13</v>
      </c>
      <c r="Z803" s="63">
        <f t="shared" si="84"/>
        <v>12.273259563423229</v>
      </c>
      <c r="AA803" s="63">
        <f t="shared" si="85"/>
        <v>11.659596585252068</v>
      </c>
    </row>
    <row r="804" spans="1:27" x14ac:dyDescent="0.25">
      <c r="A804" s="103" t="s">
        <v>407</v>
      </c>
      <c r="B804" s="20" t="s">
        <v>409</v>
      </c>
      <c r="C804" s="21" t="s">
        <v>79</v>
      </c>
      <c r="D804" s="105" t="s">
        <v>383</v>
      </c>
      <c r="E804" s="15">
        <v>3532</v>
      </c>
      <c r="F804" s="15">
        <v>4500</v>
      </c>
      <c r="G804" s="21" t="s">
        <v>177</v>
      </c>
      <c r="H804" s="20">
        <v>0.85</v>
      </c>
      <c r="I804" s="68">
        <f>MAX('Max rate concentrations'!$F$3:$F$368)</f>
        <v>405</v>
      </c>
      <c r="J804" s="68">
        <f>MAX('Max rate concentrations'!Y:Y)</f>
        <v>135</v>
      </c>
      <c r="K804" s="69">
        <f t="shared" si="87"/>
        <v>5.2002937432301817</v>
      </c>
      <c r="L804" s="69">
        <f t="shared" si="89"/>
        <v>1.7334312477433937</v>
      </c>
      <c r="M804" s="69">
        <f>IF((((0.065*F804^0.726)/3.7-(0.301*F804^0.751)/(1-H804)*H804)*(MAX('Max rate concentrations'!$P$3:$P$368)))/F804&gt;0, (((0.065*F804^0.726)/3.7-(0.301*F804^0.751)/(1-H804)*H804)*(MAX('Max rate concentrations'!$P$3:$P$368)))/F804, 0)</f>
        <v>0</v>
      </c>
      <c r="N804" s="69">
        <f>IF((((0.065*F804^0.726)/3.7-(0.301*F804^0.751)/(1-H804)*H804)*(MAX('Max rate concentrations'!$Q$3:$Q$368)))/F804&gt;0, (((0.065*F804^0.726)/3.7-(0.301*F804^0.751)/(1-H804)*H804)*(MAX('Max rate concentrations'!$Q$3:$Q$368)))/F804, 0)</f>
        <v>0</v>
      </c>
      <c r="O804" s="69" t="s">
        <v>13</v>
      </c>
      <c r="P804" s="69" t="s">
        <v>13</v>
      </c>
      <c r="Q804" s="69">
        <f>(inputs!$C$18*11.2)*(16.61*F804^0.61)*0.5*1/F804</f>
        <v>10.493636926726861</v>
      </c>
      <c r="R804" s="59">
        <f>(60*76.9*((F804/1000)^0.76)*3*24*(MAX('Max rate concentrations'!$R$3:$R$368))/F804)</f>
        <v>1.7841722560001346E-3</v>
      </c>
      <c r="S804" s="59">
        <f>(IF(inputs!$C$17="aerial",((0.025*0.112*inputs!$C$18/3.3)*(3*60*76.9*((F804/1000)^0.76))*MAX(inputs!$I$14:$I$16))/F804,((0.0083*0.112*inputs!$C$18/1)*(3*60*76.9*((F804/1000)^0.76))*MAX(inputs!$I$14:$I$16))/F804))</f>
        <v>7.5336118876563754E-3</v>
      </c>
      <c r="T804" s="63">
        <f>IF((((inputs!$P$13/(V804/MAX(K804:S804)))^(1/inputs!$O$13))-1)/inputs!$N$13&lt;0, 0, IF((((inputs!$P$13/(V804/MAX(K804:S804)))^(1/inputs!$O$13))-1)/inputs!$N$13&lt;inputs!$I$17, (((inputs!$P$13/(V804/MAX(K804:S804)))^(1/inputs!$O$13))-1)/inputs!$N$13, inputs!$I$17))</f>
        <v>36.245393174882516</v>
      </c>
      <c r="U804" s="63">
        <f>IF((((inputs!$P$13/(X804/MAX(K804:S804)))^(1/inputs!$O$13))-1)/inputs!$N$13&lt;0, 0, IF((((inputs!$P$13/(X804/MAX(K804:S804)))^(1/inputs!$O$13))-1)/inputs!$N$13&lt;inputs!$I$17, (((inputs!$P$13/(X804/MAX(K804:S804)))^(1/inputs!$O$13))-1)/inputs!$N$13, inputs!$I$17))</f>
        <v>8.482458711519282</v>
      </c>
      <c r="V804" s="21">
        <f>inputs!$E$87*(F804/inputs!$F$87)^(1)</f>
        <v>0.85499999999999998</v>
      </c>
      <c r="W804" s="21">
        <f>inputs!$E$90*(F804/inputs!$F$90)^(1)</f>
        <v>0.9</v>
      </c>
      <c r="X804" s="21">
        <f>inputs!$E$89*(F804/inputs!$F$89)^(1)</f>
        <v>3.3607594936708858</v>
      </c>
      <c r="Y804" s="21" t="s">
        <v>13</v>
      </c>
      <c r="Z804" s="63">
        <f t="shared" si="84"/>
        <v>12.273259563423229</v>
      </c>
      <c r="AA804" s="63">
        <f t="shared" si="85"/>
        <v>11.659596585252068</v>
      </c>
    </row>
    <row r="805" spans="1:27" ht="26.4" x14ac:dyDescent="0.25">
      <c r="A805" s="103" t="s">
        <v>407</v>
      </c>
      <c r="B805" s="20" t="s">
        <v>408</v>
      </c>
      <c r="C805" s="21" t="s">
        <v>79</v>
      </c>
      <c r="D805" s="105" t="s">
        <v>383</v>
      </c>
      <c r="E805" s="15">
        <v>181</v>
      </c>
      <c r="F805" s="15">
        <v>4500</v>
      </c>
      <c r="G805" s="21" t="s">
        <v>152</v>
      </c>
      <c r="H805" s="20">
        <v>0.77</v>
      </c>
      <c r="I805" s="68">
        <f>MAX('Max rate concentrations'!$G$3:$G$368)</f>
        <v>45</v>
      </c>
      <c r="J805" s="68">
        <f>MAX('Max rate concentrations'!Z:Z)</f>
        <v>21</v>
      </c>
      <c r="K805" s="69">
        <f t="shared" si="87"/>
        <v>0.3768328799442161</v>
      </c>
      <c r="L805" s="69">
        <f t="shared" si="89"/>
        <v>0.17585534397396752</v>
      </c>
      <c r="M805" s="69">
        <f>IF((((0.065*F805^0.726)/3.7-(0.301*F805^0.751)/(1-H805)*H805)*(MAX('Max rate concentrations'!$P$3:$P$368)))/F805&gt;0, (((0.065*F805^0.726)/3.7-(0.301*F805^0.751)/(1-H805)*H805)*(MAX('Max rate concentrations'!$P$3:$P$368)))/F805, 0)</f>
        <v>0</v>
      </c>
      <c r="N805" s="69">
        <f>IF((((0.065*F805^0.726)/3.7-(0.301*F805^0.751)/(1-H805)*H805)*(MAX('Max rate concentrations'!$Q$3:$Q$368)))/F805&gt;0, (((0.065*F805^0.726)/3.7-(0.301*F805^0.751)/(1-H805)*H805)*(MAX('Max rate concentrations'!$Q$3:$Q$368)))/F805, 0)</f>
        <v>0</v>
      </c>
      <c r="O805" s="69" t="s">
        <v>13</v>
      </c>
      <c r="P805" s="69" t="s">
        <v>13</v>
      </c>
      <c r="Q805" s="69">
        <f>(inputs!$C$18*11.2)*(16.61*F805^0.61)*0.5*1/F805</f>
        <v>10.493636926726861</v>
      </c>
      <c r="R805" s="59">
        <f>(60*76.9*((F805/1000)^0.76)*3*24*(MAX('Max rate concentrations'!$R$3:$R$368))/F805)</f>
        <v>1.7841722560001346E-3</v>
      </c>
      <c r="S805" s="59">
        <f>(IF(inputs!$C$17="aerial",((0.025*0.112*inputs!$C$18/3.3)*(3*60*76.9*((F805/1000)^0.76))*MAX(inputs!$I$14:$I$16))/F805,((0.0083*0.112*inputs!$C$18/1)*(3*60*76.9*((F805/1000)^0.76))*MAX(inputs!$I$14:$I$16))/F805))</f>
        <v>7.5336118876563754E-3</v>
      </c>
      <c r="T805" s="63">
        <f>IF((((inputs!$P$13/(V805/MAX(K805:S805)))^(1/inputs!$O$13))-1)/inputs!$N$13&lt;0, 0, IF((((inputs!$P$13/(V805/MAX(K805:S805)))^(1/inputs!$O$13))-1)/inputs!$N$13&lt;inputs!$I$17, (((inputs!$P$13/(V805/MAX(K805:S805)))^(1/inputs!$O$13))-1)/inputs!$N$13, inputs!$I$17))</f>
        <v>36.245393174882516</v>
      </c>
      <c r="U805" s="63">
        <f>IF((((inputs!$P$13/(X805/MAX(K805:S805)))^(1/inputs!$O$13))-1)/inputs!$N$13&lt;0, 0, IF((((inputs!$P$13/(X805/MAX(K805:S805)))^(1/inputs!$O$13))-1)/inputs!$N$13&lt;inputs!$I$17, (((inputs!$P$13/(X805/MAX(K805:S805)))^(1/inputs!$O$13))-1)/inputs!$N$13, inputs!$I$17))</f>
        <v>8.482458711519282</v>
      </c>
      <c r="V805" s="21">
        <f>inputs!$E$87*(F805/inputs!$F$87)^(1)</f>
        <v>0.85499999999999998</v>
      </c>
      <c r="W805" s="21">
        <f>inputs!$E$90*(F805/inputs!$F$90)^(1)</f>
        <v>0.9</v>
      </c>
      <c r="X805" s="21">
        <f>inputs!$E$89*(F805/inputs!$F$89)^(1)</f>
        <v>3.3607594936708858</v>
      </c>
      <c r="Y805" s="21" t="s">
        <v>13</v>
      </c>
      <c r="Z805" s="63">
        <f t="shared" si="84"/>
        <v>12.273259563423229</v>
      </c>
      <c r="AA805" s="63">
        <f t="shared" si="85"/>
        <v>11.659596585252068</v>
      </c>
    </row>
    <row r="806" spans="1:27" ht="26.4" x14ac:dyDescent="0.25">
      <c r="A806" s="103" t="s">
        <v>407</v>
      </c>
      <c r="B806" s="20" t="s">
        <v>408</v>
      </c>
      <c r="C806" s="21" t="s">
        <v>79</v>
      </c>
      <c r="D806" s="105" t="s">
        <v>383</v>
      </c>
      <c r="E806" s="15">
        <v>181</v>
      </c>
      <c r="F806" s="15">
        <v>4500</v>
      </c>
      <c r="G806" s="21" t="s">
        <v>169</v>
      </c>
      <c r="H806" s="20">
        <v>0.79</v>
      </c>
      <c r="I806" s="68">
        <f>MAX('Max rate concentrations'!$D$3:$D$368)</f>
        <v>720</v>
      </c>
      <c r="J806" s="68">
        <f>MAX('Max rate concentrations'!W:W)</f>
        <v>255</v>
      </c>
      <c r="K806" s="69">
        <f t="shared" si="87"/>
        <v>6.6035476104510256</v>
      </c>
      <c r="L806" s="69">
        <f t="shared" si="89"/>
        <v>2.3387564453680714</v>
      </c>
      <c r="M806" s="69">
        <f>IF((((0.065*F806^0.726)/3.7-(0.301*F806^0.751)/(1-H806)*H806)*(MAX('Max rate concentrations'!$P$3:$P$368)))/F806&gt;0, (((0.065*F806^0.726)/3.7-(0.301*F806^0.751)/(1-H806)*H806)*(MAX('Max rate concentrations'!$P$3:$P$368)))/F806, 0)</f>
        <v>0</v>
      </c>
      <c r="N806" s="69">
        <f>IF((((0.065*F806^0.726)/3.7-(0.301*F806^0.751)/(1-H806)*H806)*(MAX('Max rate concentrations'!$Q$3:$Q$368)))/F806&gt;0, (((0.065*F806^0.726)/3.7-(0.301*F806^0.751)/(1-H806)*H806)*(MAX('Max rate concentrations'!$Q$3:$Q$368)))/F806, 0)</f>
        <v>0</v>
      </c>
      <c r="O806" s="69" t="s">
        <v>13</v>
      </c>
      <c r="P806" s="69" t="s">
        <v>13</v>
      </c>
      <c r="Q806" s="69">
        <f>(inputs!$C$18*11.2)*(16.61*F806^0.61)*0.5*1/F806</f>
        <v>10.493636926726861</v>
      </c>
      <c r="R806" s="59">
        <f>(60*76.9*((F806/1000)^0.76)*3*24*(MAX('Max rate concentrations'!$R$3:$R$368))/F806)</f>
        <v>1.7841722560001346E-3</v>
      </c>
      <c r="S806" s="59">
        <f>(IF(inputs!$C$17="aerial",((0.025*0.112*inputs!$C$18/3.3)*(3*60*76.9*((F806/1000)^0.76))*MAX(inputs!$I$14:$I$16))/F806,((0.0083*0.112*inputs!$C$18/1)*(3*60*76.9*((F806/1000)^0.76))*MAX(inputs!$I$14:$I$16))/F806))</f>
        <v>7.5336118876563754E-3</v>
      </c>
      <c r="T806" s="63">
        <f>IF((((inputs!$P$13/(V806/MAX(K806:S806)))^(1/inputs!$O$13))-1)/inputs!$N$13&lt;0, 0, IF((((inputs!$P$13/(V806/MAX(K806:S806)))^(1/inputs!$O$13))-1)/inputs!$N$13&lt;inputs!$I$17, (((inputs!$P$13/(V806/MAX(K806:S806)))^(1/inputs!$O$13))-1)/inputs!$N$13, inputs!$I$17))</f>
        <v>36.245393174882516</v>
      </c>
      <c r="U806" s="63">
        <f>IF((((inputs!$P$13/(X806/MAX(K806:S806)))^(1/inputs!$O$13))-1)/inputs!$N$13&lt;0, 0, IF((((inputs!$P$13/(X806/MAX(K806:S806)))^(1/inputs!$O$13))-1)/inputs!$N$13&lt;inputs!$I$17, (((inputs!$P$13/(X806/MAX(K806:S806)))^(1/inputs!$O$13))-1)/inputs!$N$13, inputs!$I$17))</f>
        <v>8.482458711519282</v>
      </c>
      <c r="V806" s="21">
        <f>inputs!$E$87*(F806/inputs!$F$87)^(1)</f>
        <v>0.85499999999999998</v>
      </c>
      <c r="W806" s="21">
        <f>inputs!$E$90*(F806/inputs!$F$90)^(1)</f>
        <v>0.9</v>
      </c>
      <c r="X806" s="21">
        <f>inputs!$E$89*(F806/inputs!$F$89)^(1)</f>
        <v>3.3607594936708858</v>
      </c>
      <c r="Y806" s="21" t="s">
        <v>13</v>
      </c>
      <c r="Z806" s="63">
        <f t="shared" si="84"/>
        <v>12.273259563423229</v>
      </c>
      <c r="AA806" s="63">
        <f t="shared" si="85"/>
        <v>11.659596585252068</v>
      </c>
    </row>
    <row r="807" spans="1:27" ht="26.4" x14ac:dyDescent="0.25">
      <c r="A807" s="103" t="s">
        <v>407</v>
      </c>
      <c r="B807" s="20" t="s">
        <v>408</v>
      </c>
      <c r="C807" s="21" t="s">
        <v>79</v>
      </c>
      <c r="D807" s="105" t="s">
        <v>383</v>
      </c>
      <c r="E807" s="15">
        <v>181</v>
      </c>
      <c r="F807" s="15">
        <v>4500</v>
      </c>
      <c r="G807" s="21" t="s">
        <v>177</v>
      </c>
      <c r="H807" s="20">
        <v>0.85</v>
      </c>
      <c r="I807" s="68">
        <f>MAX('Max rate concentrations'!$F$3:$F$368)</f>
        <v>405</v>
      </c>
      <c r="J807" s="68">
        <f>MAX('Max rate concentrations'!Y:Y)</f>
        <v>135</v>
      </c>
      <c r="K807" s="69">
        <f t="shared" si="87"/>
        <v>5.2002937432301817</v>
      </c>
      <c r="L807" s="69">
        <f t="shared" si="89"/>
        <v>1.7334312477433937</v>
      </c>
      <c r="M807" s="69">
        <f>IF((((0.065*F807^0.726)/3.7-(0.301*F807^0.751)/(1-H807)*H807)*(MAX('Max rate concentrations'!$P$3:$P$368)))/F807&gt;0, (((0.065*F807^0.726)/3.7-(0.301*F807^0.751)/(1-H807)*H807)*(MAX('Max rate concentrations'!$P$3:$P$368)))/F807, 0)</f>
        <v>0</v>
      </c>
      <c r="N807" s="69">
        <f>IF((((0.065*F807^0.726)/3.7-(0.301*F807^0.751)/(1-H807)*H807)*(MAX('Max rate concentrations'!$Q$3:$Q$368)))/F807&gt;0, (((0.065*F807^0.726)/3.7-(0.301*F807^0.751)/(1-H807)*H807)*(MAX('Max rate concentrations'!$Q$3:$Q$368)))/F807, 0)</f>
        <v>0</v>
      </c>
      <c r="O807" s="69" t="s">
        <v>13</v>
      </c>
      <c r="P807" s="69" t="s">
        <v>13</v>
      </c>
      <c r="Q807" s="69">
        <f>(inputs!$C$18*11.2)*(16.61*F807^0.61)*0.5*1/F807</f>
        <v>10.493636926726861</v>
      </c>
      <c r="R807" s="59">
        <f>(60*76.9*((F807/1000)^0.76)*3*24*(MAX('Max rate concentrations'!$R$3:$R$368))/F807)</f>
        <v>1.7841722560001346E-3</v>
      </c>
      <c r="S807" s="59">
        <f>(IF(inputs!$C$17="aerial",((0.025*0.112*inputs!$C$18/3.3)*(3*60*76.9*((F807/1000)^0.76))*MAX(inputs!$I$14:$I$16))/F807,((0.0083*0.112*inputs!$C$18/1)*(3*60*76.9*((F807/1000)^0.76))*MAX(inputs!$I$14:$I$16))/F807))</f>
        <v>7.5336118876563754E-3</v>
      </c>
      <c r="T807" s="63">
        <f>IF((((inputs!$P$13/(V807/MAX(K807:S807)))^(1/inputs!$O$13))-1)/inputs!$N$13&lt;0, 0, IF((((inputs!$P$13/(V807/MAX(K807:S807)))^(1/inputs!$O$13))-1)/inputs!$N$13&lt;inputs!$I$17, (((inputs!$P$13/(V807/MAX(K807:S807)))^(1/inputs!$O$13))-1)/inputs!$N$13, inputs!$I$17))</f>
        <v>36.245393174882516</v>
      </c>
      <c r="U807" s="63">
        <f>IF((((inputs!$P$13/(X807/MAX(K807:S807)))^(1/inputs!$O$13))-1)/inputs!$N$13&lt;0, 0, IF((((inputs!$P$13/(X807/MAX(K807:S807)))^(1/inputs!$O$13))-1)/inputs!$N$13&lt;inputs!$I$17, (((inputs!$P$13/(X807/MAX(K807:S807)))^(1/inputs!$O$13))-1)/inputs!$N$13, inputs!$I$17))</f>
        <v>8.482458711519282</v>
      </c>
      <c r="V807" s="21">
        <f>inputs!$E$87*(F807/inputs!$F$87)^(1)</f>
        <v>0.85499999999999998</v>
      </c>
      <c r="W807" s="21">
        <f>inputs!$E$90*(F807/inputs!$F$90)^(1)</f>
        <v>0.9</v>
      </c>
      <c r="X807" s="21">
        <f>inputs!$E$89*(F807/inputs!$F$89)^(1)</f>
        <v>3.3607594936708858</v>
      </c>
      <c r="Y807" s="21" t="s">
        <v>13</v>
      </c>
      <c r="Z807" s="63">
        <f t="shared" si="84"/>
        <v>12.273259563423229</v>
      </c>
      <c r="AA807" s="63">
        <f t="shared" si="85"/>
        <v>11.659596585252068</v>
      </c>
    </row>
    <row r="808" spans="1:27" x14ac:dyDescent="0.25">
      <c r="A808" s="114" t="s">
        <v>638</v>
      </c>
      <c r="B808" s="20" t="s">
        <v>637</v>
      </c>
      <c r="C808" s="21" t="s">
        <v>79</v>
      </c>
      <c r="D808" s="105" t="s">
        <v>383</v>
      </c>
      <c r="E808" s="15">
        <v>170</v>
      </c>
      <c r="F808" s="56">
        <v>2450</v>
      </c>
      <c r="G808" s="21" t="s">
        <v>241</v>
      </c>
      <c r="H808" s="20">
        <v>0.8</v>
      </c>
      <c r="I808" s="68">
        <f>inputs!$C$66*inputs!$C$60/1000</f>
        <v>28</v>
      </c>
      <c r="J808" s="68">
        <f>inputs!$C$66*inputs!$C$59/1000</f>
        <v>28</v>
      </c>
      <c r="K808" s="69">
        <f t="shared" si="87"/>
        <v>0.30954991338863347</v>
      </c>
      <c r="L808" s="69">
        <f t="shared" si="89"/>
        <v>0.30954991338863347</v>
      </c>
      <c r="M808" s="69">
        <f>IF((((0.065*F808^0.726)/3.7-(0.301*F808^0.751)/(1-H808)*H808)*(MAX('Max rate concentrations'!$P$3:$P$368)))/F808&gt;0, (((0.065*F808^0.726)/3.7-(0.301*F808^0.751)/(1-H808)*H808)*(MAX('Max rate concentrations'!$P$3:$P$368)))/F808, 0)</f>
        <v>0</v>
      </c>
      <c r="N808" s="69">
        <f>IF((((0.065*F808^0.726)/3.7-(0.301*F808^0.751)/(1-H808)*H808)*(MAX('Max rate concentrations'!$Q$3:$Q$368)))/F808&gt;0, (((0.065*F808^0.726)/3.7-(0.301*F808^0.751)/(1-H808)*H808)*(MAX('Max rate concentrations'!$Q$3:$Q$368)))/F808, 0)</f>
        <v>0</v>
      </c>
      <c r="O808" s="69" t="s">
        <v>13</v>
      </c>
      <c r="P808" s="69" t="s">
        <v>13</v>
      </c>
      <c r="Q808" s="69">
        <f>(inputs!$C$18*11.2)*(16.61*F808^0.61)*0.5*1/F808</f>
        <v>13.301607886657486</v>
      </c>
      <c r="R808" s="59">
        <f>(60*76.9*((F808/1000)^0.76)*3*24*(MAX('Max rate concentrations'!$R$3:$R$368))/F808)</f>
        <v>2.0644669033144198E-3</v>
      </c>
      <c r="S808" s="59">
        <f>(IF(inputs!$C$17="aerial",((0.025*0.112*inputs!$C$18/3.3)*(3*60*76.9*((F808/1000)^0.76))*MAX(inputs!$I$14:$I$16))/F808,((0.0083*0.112*inputs!$C$18/1)*(3*60*76.9*((F808/1000)^0.76))*MAX(inputs!$I$14:$I$16))/F808))</f>
        <v>8.717147322618992E-3</v>
      </c>
      <c r="T808" s="63">
        <f>IF((((inputs!$P$13/(V808/MAX(K808:S808)))^(1/inputs!$O$13))-1)/inputs!$N$13&lt;0, 0, IF((((inputs!$P$13/(V808/MAX(K808:S808)))^(1/inputs!$O$13))-1)/inputs!$N$13&lt;inputs!$I$17, (((inputs!$P$13/(V808/MAX(K808:S808)))^(1/inputs!$O$13))-1)/inputs!$N$13, inputs!$I$17))</f>
        <v>76.914469300541526</v>
      </c>
      <c r="U808" s="63">
        <f>IF((((inputs!$P$13/(X808/MAX(K808:S808)))^(1/inputs!$O$13))-1)/inputs!$N$13&lt;0, 0, IF((((inputs!$P$13/(X808/MAX(K808:S808)))^(1/inputs!$O$13))-1)/inputs!$N$13&lt;inputs!$I$17, (((inputs!$P$13/(X808/MAX(K808:S808)))^(1/inputs!$O$13))-1)/inputs!$N$13, inputs!$I$17))</f>
        <v>21.926623292113518</v>
      </c>
      <c r="V808" s="21">
        <f>inputs!$E$87*(F808/inputs!$F$87)^(1)</f>
        <v>0.46549999999999997</v>
      </c>
      <c r="W808" s="21">
        <f>inputs!$E$90*(F808/inputs!$F$90)^(1)</f>
        <v>0.49000000000000005</v>
      </c>
      <c r="X808" s="21">
        <f>inputs!$E$89*(F808/inputs!$F$89)^(1)</f>
        <v>1.829746835443038</v>
      </c>
      <c r="Y808" s="21" t="s">
        <v>13</v>
      </c>
      <c r="Z808" s="63">
        <f t="shared" si="84"/>
        <v>28.57488267810416</v>
      </c>
      <c r="AA808" s="63">
        <f t="shared" si="85"/>
        <v>27.146138544198948</v>
      </c>
    </row>
    <row r="809" spans="1:27" x14ac:dyDescent="0.25">
      <c r="A809" s="114" t="s">
        <v>638</v>
      </c>
      <c r="B809" s="20" t="s">
        <v>637</v>
      </c>
      <c r="C809" s="21" t="s">
        <v>79</v>
      </c>
      <c r="D809" s="105" t="s">
        <v>383</v>
      </c>
      <c r="E809" s="15">
        <v>170</v>
      </c>
      <c r="F809" s="56">
        <v>2450</v>
      </c>
      <c r="G809" s="21" t="s">
        <v>164</v>
      </c>
      <c r="H809" s="20">
        <v>0.78</v>
      </c>
      <c r="I809" s="68">
        <f>inputs!$C$66*(inputs!$C$62/1000)</f>
        <v>8.2000000000000011</v>
      </c>
      <c r="J809" s="68">
        <f>inputs!$C$66*(inputs!$C$61/1000)</f>
        <v>2.5</v>
      </c>
      <c r="K809" s="69">
        <f t="shared" si="87"/>
        <v>8.2412639278792041E-2</v>
      </c>
      <c r="L809" s="69">
        <f t="shared" si="89"/>
        <v>2.5125804658168303E-2</v>
      </c>
      <c r="M809" s="69">
        <f>IF((((0.065*F809^0.726)/3.7-(0.301*F809^0.751)/(1-H809)*H809)*(MAX('Max rate concentrations'!$P$3:$P$368)))/F809&gt;0, (((0.065*F809^0.726)/3.7-(0.301*F809^0.751)/(1-H809)*H809)*(MAX('Max rate concentrations'!$P$3:$P$368)))/F809, 0)</f>
        <v>0</v>
      </c>
      <c r="N809" s="69">
        <f>IF((((0.065*F809^0.726)/3.7-(0.301*F809^0.751)/(1-H809)*H809)*(MAX('Max rate concentrations'!$Q$3:$Q$368)))/F809&gt;0, (((0.065*F809^0.726)/3.7-(0.301*F809^0.751)/(1-H809)*H809)*(MAX('Max rate concentrations'!$Q$3:$Q$368)))/F809, 0)</f>
        <v>0</v>
      </c>
      <c r="O809" s="69" t="s">
        <v>13</v>
      </c>
      <c r="P809" s="69" t="s">
        <v>13</v>
      </c>
      <c r="Q809" s="69">
        <f>(inputs!$C$18*11.2)*(16.61*F809^0.61)*0.5*1/F809</f>
        <v>13.301607886657486</v>
      </c>
      <c r="R809" s="59">
        <f>(60*76.9*((F809/1000)^0.76)*3*24*(MAX('Max rate concentrations'!$R$3:$R$368))/F809)</f>
        <v>2.0644669033144198E-3</v>
      </c>
      <c r="S809" s="59">
        <f>(IF(inputs!$C$17="aerial",((0.025*0.112*inputs!$C$18/3.3)*(3*60*76.9*((F809/1000)^0.76))*MAX(inputs!$I$14:$I$16))/F809,((0.0083*0.112*inputs!$C$18/1)*(3*60*76.9*((F809/1000)^0.76))*MAX(inputs!$I$14:$I$16))/F809))</f>
        <v>8.717147322618992E-3</v>
      </c>
      <c r="T809" s="63">
        <f>IF((((inputs!$P$13/(V809/MAX(K809:S809)))^(1/inputs!$O$13))-1)/inputs!$N$13&lt;0, 0, IF((((inputs!$P$13/(V809/MAX(K809:S809)))^(1/inputs!$O$13))-1)/inputs!$N$13&lt;inputs!$I$17, (((inputs!$P$13/(V809/MAX(K809:S809)))^(1/inputs!$O$13))-1)/inputs!$N$13, inputs!$I$17))</f>
        <v>76.914469300541526</v>
      </c>
      <c r="U809" s="63">
        <f>IF((((inputs!$P$13/(X809/MAX(K809:S809)))^(1/inputs!$O$13))-1)/inputs!$N$13&lt;0, 0, IF((((inputs!$P$13/(X809/MAX(K809:S809)))^(1/inputs!$O$13))-1)/inputs!$N$13&lt;inputs!$I$17, (((inputs!$P$13/(X809/MAX(K809:S809)))^(1/inputs!$O$13))-1)/inputs!$N$13, inputs!$I$17))</f>
        <v>21.926623292113518</v>
      </c>
      <c r="V809" s="21">
        <f>inputs!$E$87*(F809/inputs!$F$87)^(1)</f>
        <v>0.46549999999999997</v>
      </c>
      <c r="W809" s="21">
        <f>inputs!$E$90*(F809/inputs!$F$90)^(1)</f>
        <v>0.49000000000000005</v>
      </c>
      <c r="X809" s="21">
        <f>inputs!$E$89*(F809/inputs!$F$89)^(1)</f>
        <v>1.829746835443038</v>
      </c>
      <c r="Y809" s="21" t="s">
        <v>13</v>
      </c>
      <c r="Z809" s="63">
        <f t="shared" si="84"/>
        <v>28.57488267810416</v>
      </c>
      <c r="AA809" s="63">
        <f t="shared" si="85"/>
        <v>27.146138544198948</v>
      </c>
    </row>
    <row r="810" spans="1:27" ht="26.4" x14ac:dyDescent="0.25">
      <c r="A810" s="103" t="s">
        <v>410</v>
      </c>
      <c r="B810" s="20" t="s">
        <v>411</v>
      </c>
      <c r="C810" s="21" t="s">
        <v>79</v>
      </c>
      <c r="D810" s="105" t="s">
        <v>383</v>
      </c>
      <c r="E810" s="15">
        <v>171</v>
      </c>
      <c r="F810" s="15">
        <v>220</v>
      </c>
      <c r="G810" s="21" t="s">
        <v>632</v>
      </c>
      <c r="H810" s="20">
        <v>0.8</v>
      </c>
      <c r="I810" s="68">
        <f>inputs!$C$66*inputs!$C$60/1000</f>
        <v>28</v>
      </c>
      <c r="J810" s="68">
        <f>inputs!$C$66*inputs!$C$59/1000</f>
        <v>28</v>
      </c>
      <c r="K810" s="69">
        <f t="shared" si="87"/>
        <v>0.53498479559782874</v>
      </c>
      <c r="L810" s="69">
        <f t="shared" si="89"/>
        <v>0.53498479559782874</v>
      </c>
      <c r="M810" s="69">
        <f>IF((((0.065*F810^0.726)/3.7-(0.301*F810^0.751)/(1-H810)*H810)*(MAX('Max rate concentrations'!$P$3:$P$368)))/F810&gt;0, (((0.065*F810^0.726)/3.7-(0.301*F810^0.751)/(1-H810)*H810)*(MAX('Max rate concentrations'!$P$3:$P$368)))/F810, 0)</f>
        <v>0</v>
      </c>
      <c r="N810" s="69">
        <f>IF((((0.065*F810^0.726)/3.7-(0.301*F810^0.751)/(1-H810)*H810)*(MAX('Max rate concentrations'!$Q$3:$Q$368)))/F810&gt;0, (((0.065*F810^0.726)/3.7-(0.301*F810^0.751)/(1-H810)*H810)*(MAX('Max rate concentrations'!$Q$3:$Q$368)))/F810, 0)</f>
        <v>0</v>
      </c>
      <c r="O810" s="69" t="s">
        <v>13</v>
      </c>
      <c r="P810" s="69" t="s">
        <v>13</v>
      </c>
      <c r="Q810" s="69">
        <f>(inputs!$C$18*11.2)*(16.61*F810^0.61)*0.5*1/F810</f>
        <v>34.051329145949225</v>
      </c>
      <c r="R810" s="59">
        <f>(60*76.9*((F810/1000)^0.76)*3*24*(MAX('Max rate concentrations'!$R$3:$R$368))/F810)</f>
        <v>3.6815130280463569E-3</v>
      </c>
      <c r="S810" s="59">
        <f>(IF(inputs!$C$17="aerial",((0.025*0.112*inputs!$C$18/3.3)*(3*60*76.9*((F810/1000)^0.76))*MAX(inputs!$I$14:$I$16))/F810,((0.0083*0.112*inputs!$C$18/1)*(3*60*76.9*((F810/1000)^0.76))*MAX(inputs!$I$14:$I$16))/F810))</f>
        <v>1.5545074316327541E-2</v>
      </c>
      <c r="T810" s="63">
        <f>IF((((inputs!$P$13/(V810/MAX(K810:S810)))^(1/inputs!$O$13))-1)/inputs!$N$13&lt;0, 0, IF((((inputs!$P$13/(V810/MAX(K810:S810)))^(1/inputs!$O$13))-1)/inputs!$N$13&lt;inputs!$I$17, (((inputs!$P$13/(V810/MAX(K810:S810)))^(1/inputs!$O$13))-1)/inputs!$N$13, inputs!$I$17))</f>
        <v>1000</v>
      </c>
      <c r="U810" s="63">
        <f>IF((((inputs!$P$13/(X810/MAX(K810:S810)))^(1/inputs!$O$13))-1)/inputs!$N$13&lt;0, 0, IF((((inputs!$P$13/(X810/MAX(K810:S810)))^(1/inputs!$O$13))-1)/inputs!$N$13&lt;inputs!$I$17, (((inputs!$P$13/(X810/MAX(K810:S810)))^(1/inputs!$O$13))-1)/inputs!$N$13, inputs!$I$17))</f>
        <v>402.55247446488715</v>
      </c>
      <c r="V810" s="21">
        <f>inputs!$E$87*(F810/inputs!$F$87)^(1)</f>
        <v>4.1800000000000004E-2</v>
      </c>
      <c r="W810" s="21">
        <f>inputs!$E$90*(F810/inputs!$F$90)^(1)</f>
        <v>4.3999999999999997E-2</v>
      </c>
      <c r="X810" s="21">
        <f>inputs!$E$89*(F810/inputs!$F$89)^(1)</f>
        <v>0.16430379746835441</v>
      </c>
      <c r="Y810" s="21" t="s">
        <v>13</v>
      </c>
      <c r="Z810" s="63">
        <f t="shared" si="84"/>
        <v>814.62509918538808</v>
      </c>
      <c r="AA810" s="63">
        <f t="shared" si="85"/>
        <v>773.89384422611874</v>
      </c>
    </row>
    <row r="811" spans="1:27" x14ac:dyDescent="0.25">
      <c r="A811" s="103" t="s">
        <v>410</v>
      </c>
      <c r="B811" s="20" t="s">
        <v>411</v>
      </c>
      <c r="C811" s="21" t="s">
        <v>79</v>
      </c>
      <c r="D811" s="105" t="s">
        <v>383</v>
      </c>
      <c r="E811" s="15">
        <v>171</v>
      </c>
      <c r="F811" s="15">
        <v>220</v>
      </c>
      <c r="G811" s="21" t="s">
        <v>142</v>
      </c>
      <c r="H811" s="21">
        <v>0.69</v>
      </c>
      <c r="I811" s="68">
        <f>MAX('Max rate concentrations'!$H$3:$H$368)</f>
        <v>282</v>
      </c>
      <c r="J811" s="68">
        <f>MAX('Max rate concentrations'!AA:AA)</f>
        <v>195</v>
      </c>
      <c r="K811" s="69">
        <f t="shared" si="87"/>
        <v>3.4761684875250611</v>
      </c>
      <c r="L811" s="69">
        <f t="shared" si="89"/>
        <v>2.4037335286077548</v>
      </c>
      <c r="M811" s="69">
        <f>IF((((0.065*F811^0.726)/3.7-(0.301*F811^0.751)/(1-H811)*H811)*(MAX('Max rate concentrations'!$P$3:$P$368)))/F811&gt;0, (((0.065*F811^0.726)/3.7-(0.301*F811^0.751)/(1-H811)*H811)*(MAX('Max rate concentrations'!$P$3:$P$368)))/F811, 0)</f>
        <v>0</v>
      </c>
      <c r="N811" s="69">
        <f>IF((((0.065*F811^0.726)/3.7-(0.301*F811^0.751)/(1-H811)*H811)*(MAX('Max rate concentrations'!$Q$3:$Q$368)))/F811&gt;0, (((0.065*F811^0.726)/3.7-(0.301*F811^0.751)/(1-H811)*H811)*(MAX('Max rate concentrations'!$Q$3:$Q$368)))/F811, 0)</f>
        <v>0</v>
      </c>
      <c r="O811" s="69" t="s">
        <v>13</v>
      </c>
      <c r="P811" s="69" t="s">
        <v>13</v>
      </c>
      <c r="Q811" s="69">
        <f>(inputs!$C$18*11.2)*(16.61*F811^0.61)*0.5*1/F811</f>
        <v>34.051329145949225</v>
      </c>
      <c r="R811" s="59">
        <f>(60*76.9*((F811/1000)^0.76)*3*24*(MAX('Max rate concentrations'!$R$3:$R$368))/F811)</f>
        <v>3.6815130280463569E-3</v>
      </c>
      <c r="S811" s="59">
        <f>(IF(inputs!$C$17="aerial",((0.025*0.112*inputs!$C$18/3.3)*(3*60*76.9*((F811/1000)^0.76))*MAX(inputs!$I$14:$I$16))/F811,((0.0083*0.112*inputs!$C$18/1)*(3*60*76.9*((F811/1000)^0.76))*MAX(inputs!$I$14:$I$16))/F811))</f>
        <v>1.5545074316327541E-2</v>
      </c>
      <c r="T811" s="63">
        <f>IF((((inputs!$P$13/(V811/MAX(K811:S811)))^(1/inputs!$O$13))-1)/inputs!$N$13&lt;0, 0, IF((((inputs!$P$13/(V811/MAX(K811:S811)))^(1/inputs!$O$13))-1)/inputs!$N$13&lt;inputs!$I$17, (((inputs!$P$13/(V811/MAX(K811:S811)))^(1/inputs!$O$13))-1)/inputs!$N$13, inputs!$I$17))</f>
        <v>1000</v>
      </c>
      <c r="U811" s="63">
        <f>IF((((inputs!$P$13/(X811/MAX(K811:S811)))^(1/inputs!$O$13))-1)/inputs!$N$13&lt;0, 0, IF((((inputs!$P$13/(X811/MAX(K811:S811)))^(1/inputs!$O$13))-1)/inputs!$N$13&lt;inputs!$I$17, (((inputs!$P$13/(X811/MAX(K811:S811)))^(1/inputs!$O$13))-1)/inputs!$N$13, inputs!$I$17))</f>
        <v>402.55247446488715</v>
      </c>
      <c r="V811" s="21">
        <f>inputs!$E$87*(F811/inputs!$F$87)^(1)</f>
        <v>4.1800000000000004E-2</v>
      </c>
      <c r="W811" s="21">
        <f>inputs!$E$90*(F811/inputs!$F$90)^(1)</f>
        <v>4.3999999999999997E-2</v>
      </c>
      <c r="X811" s="21">
        <f>inputs!$E$89*(F811/inputs!$F$89)^(1)</f>
        <v>0.16430379746835441</v>
      </c>
      <c r="Y811" s="21" t="s">
        <v>13</v>
      </c>
      <c r="Z811" s="63">
        <f t="shared" si="84"/>
        <v>814.62509918538808</v>
      </c>
      <c r="AA811" s="63">
        <f t="shared" si="85"/>
        <v>773.89384422611874</v>
      </c>
    </row>
    <row r="812" spans="1:27" x14ac:dyDescent="0.25">
      <c r="A812" s="103" t="s">
        <v>410</v>
      </c>
      <c r="B812" s="20" t="s">
        <v>411</v>
      </c>
      <c r="C812" s="21" t="s">
        <v>79</v>
      </c>
      <c r="D812" s="105" t="s">
        <v>383</v>
      </c>
      <c r="E812" s="15">
        <v>171</v>
      </c>
      <c r="F812" s="15">
        <v>220</v>
      </c>
      <c r="G812" s="21" t="s">
        <v>164</v>
      </c>
      <c r="H812" s="20">
        <v>0.78</v>
      </c>
      <c r="I812" s="68">
        <f>inputs!$C$66*(inputs!$C$62/1000)</f>
        <v>8.2000000000000011</v>
      </c>
      <c r="J812" s="68">
        <f>inputs!$C$66*(inputs!$C$61/1000)</f>
        <v>2.5</v>
      </c>
      <c r="K812" s="69">
        <f t="shared" si="87"/>
        <v>0.14243101700981156</v>
      </c>
      <c r="L812" s="69">
        <f t="shared" si="89"/>
        <v>4.3424090551771807E-2</v>
      </c>
      <c r="M812" s="69">
        <f>IF((((0.065*F812^0.726)/3.7-(0.301*F812^0.751)/(1-H812)*H812)*(MAX('Max rate concentrations'!$P$3:$P$368)))/F812&gt;0, (((0.065*F812^0.726)/3.7-(0.301*F812^0.751)/(1-H812)*H812)*(MAX('Max rate concentrations'!$P$3:$P$368)))/F812, 0)</f>
        <v>0</v>
      </c>
      <c r="N812" s="69">
        <f>IF((((0.065*F812^0.726)/3.7-(0.301*F812^0.751)/(1-H812)*H812)*(MAX('Max rate concentrations'!$Q$3:$Q$368)))/F812&gt;0, (((0.065*F812^0.726)/3.7-(0.301*F812^0.751)/(1-H812)*H812)*(MAX('Max rate concentrations'!$Q$3:$Q$368)))/F812, 0)</f>
        <v>0</v>
      </c>
      <c r="O812" s="69" t="s">
        <v>13</v>
      </c>
      <c r="P812" s="69" t="s">
        <v>13</v>
      </c>
      <c r="Q812" s="69">
        <f>(inputs!$C$18*11.2)*(16.61*F812^0.61)*0.5*1/F812</f>
        <v>34.051329145949225</v>
      </c>
      <c r="R812" s="59">
        <f>(60*76.9*((F812/1000)^0.76)*3*24*(MAX('Max rate concentrations'!$R$3:$R$368))/F812)</f>
        <v>3.6815130280463569E-3</v>
      </c>
      <c r="S812" s="59">
        <f>(IF(inputs!$C$17="aerial",((0.025*0.112*inputs!$C$18/3.3)*(3*60*76.9*((F812/1000)^0.76))*MAX(inputs!$I$14:$I$16))/F812,((0.0083*0.112*inputs!$C$18/1)*(3*60*76.9*((F812/1000)^0.76))*MAX(inputs!$I$14:$I$16))/F812))</f>
        <v>1.5545074316327541E-2</v>
      </c>
      <c r="T812" s="63">
        <f>IF((((inputs!$P$13/(V812/MAX(K812:S812)))^(1/inputs!$O$13))-1)/inputs!$N$13&lt;0, 0, IF((((inputs!$P$13/(V812/MAX(K812:S812)))^(1/inputs!$O$13))-1)/inputs!$N$13&lt;inputs!$I$17, (((inputs!$P$13/(V812/MAX(K812:S812)))^(1/inputs!$O$13))-1)/inputs!$N$13, inputs!$I$17))</f>
        <v>1000</v>
      </c>
      <c r="U812" s="63">
        <f>IF((((inputs!$P$13/(X812/MAX(K812:S812)))^(1/inputs!$O$13))-1)/inputs!$N$13&lt;0, 0, IF((((inputs!$P$13/(X812/MAX(K812:S812)))^(1/inputs!$O$13))-1)/inputs!$N$13&lt;inputs!$I$17, (((inputs!$P$13/(X812/MAX(K812:S812)))^(1/inputs!$O$13))-1)/inputs!$N$13, inputs!$I$17))</f>
        <v>402.55247446488715</v>
      </c>
      <c r="V812" s="21">
        <f>inputs!$E$87*(F812/inputs!$F$87)^(1)</f>
        <v>4.1800000000000004E-2</v>
      </c>
      <c r="W812" s="21">
        <f>inputs!$E$90*(F812/inputs!$F$90)^(1)</f>
        <v>4.3999999999999997E-2</v>
      </c>
      <c r="X812" s="21">
        <f>inputs!$E$89*(F812/inputs!$F$89)^(1)</f>
        <v>0.16430379746835441</v>
      </c>
      <c r="Y812" s="21" t="s">
        <v>13</v>
      </c>
      <c r="Z812" s="63">
        <f t="shared" si="84"/>
        <v>814.62509918538808</v>
      </c>
      <c r="AA812" s="63">
        <f t="shared" si="85"/>
        <v>773.89384422611874</v>
      </c>
    </row>
    <row r="813" spans="1:27" x14ac:dyDescent="0.25">
      <c r="A813" s="103" t="s">
        <v>410</v>
      </c>
      <c r="B813" s="20" t="s">
        <v>411</v>
      </c>
      <c r="C813" s="21" t="s">
        <v>79</v>
      </c>
      <c r="D813" s="105" t="s">
        <v>383</v>
      </c>
      <c r="E813" s="15">
        <v>171</v>
      </c>
      <c r="F813" s="15">
        <v>220</v>
      </c>
      <c r="G813" s="21" t="s">
        <v>146</v>
      </c>
      <c r="H813" s="20">
        <v>0.84</v>
      </c>
      <c r="I813" s="68">
        <f>MAX('Max rate concentrations'!$I$3:$I$368)</f>
        <v>56.865414300472793</v>
      </c>
      <c r="J813" s="68" t="s">
        <v>13</v>
      </c>
      <c r="K813" s="69">
        <f t="shared" si="87"/>
        <v>1.358130894916262</v>
      </c>
      <c r="L813" s="69" t="s">
        <v>13</v>
      </c>
      <c r="M813" s="69">
        <f>IF((((0.065*F813^0.726)/3.7-(0.301*F813^0.751)/(1-H813)*H813)*(MAX('Max rate concentrations'!$P$3:$P$368)))/F813&gt;0, (((0.065*F813^0.726)/3.7-(0.301*F813^0.751)/(1-H813)*H813)*(MAX('Max rate concentrations'!$P$3:$P$368)))/F813, 0)</f>
        <v>0</v>
      </c>
      <c r="N813" s="69">
        <f>IF((((0.065*F813^0.726)/3.7-(0.301*F813^0.751)/(1-H813)*H813)*(MAX('Max rate concentrations'!$Q$3:$Q$368)))/F813&gt;0, (((0.065*F813^0.726)/3.7-(0.301*F813^0.751)/(1-H813)*H813)*(MAX('Max rate concentrations'!$Q$3:$Q$368)))/F813, 0)</f>
        <v>0</v>
      </c>
      <c r="O813" s="69" t="s">
        <v>13</v>
      </c>
      <c r="P813" s="69" t="s">
        <v>13</v>
      </c>
      <c r="Q813" s="69">
        <f>(inputs!$C$18*11.2)*(16.61*F813^0.61)*0.5*1/F813</f>
        <v>34.051329145949225</v>
      </c>
      <c r="R813" s="59">
        <f>(60*76.9*((F813/1000)^0.76)*3*24*(MAX('Max rate concentrations'!$R$3:$R$368))/F813)</f>
        <v>3.6815130280463569E-3</v>
      </c>
      <c r="S813" s="59">
        <f>(IF(inputs!$C$17="aerial",((0.025*0.112*inputs!$C$18/3.3)*(3*60*76.9*((F813/1000)^0.76))*MAX(inputs!$I$14:$I$16))/F813,((0.0083*0.112*inputs!$C$18/1)*(3*60*76.9*((F813/1000)^0.76))*MAX(inputs!$I$14:$I$16))/F813))</f>
        <v>1.5545074316327541E-2</v>
      </c>
      <c r="T813" s="63">
        <f>IF((((inputs!$P$13/(V813/MAX(K813:S813)))^(1/inputs!$O$13))-1)/inputs!$N$13&lt;0, 0, IF((((inputs!$P$13/(V813/MAX(K813:S813)))^(1/inputs!$O$13))-1)/inputs!$N$13&lt;inputs!$I$17, (((inputs!$P$13/(V813/MAX(K813:S813)))^(1/inputs!$O$13))-1)/inputs!$N$13, inputs!$I$17))</f>
        <v>1000</v>
      </c>
      <c r="U813" s="63">
        <f>IF((((inputs!$P$13/(X813/MAX(K813:S813)))^(1/inputs!$O$13))-1)/inputs!$N$13&lt;0, 0, IF((((inputs!$P$13/(X813/MAX(K813:S813)))^(1/inputs!$O$13))-1)/inputs!$N$13&lt;inputs!$I$17, (((inputs!$P$13/(X813/MAX(K813:S813)))^(1/inputs!$O$13))-1)/inputs!$N$13, inputs!$I$17))</f>
        <v>402.55247446488715</v>
      </c>
      <c r="V813" s="21">
        <f>inputs!$E$87*(F813/inputs!$F$87)^(1)</f>
        <v>4.1800000000000004E-2</v>
      </c>
      <c r="W813" s="21">
        <f>inputs!$E$90*(F813/inputs!$F$90)^(1)</f>
        <v>4.3999999999999997E-2</v>
      </c>
      <c r="X813" s="21">
        <f>inputs!$E$89*(F813/inputs!$F$89)^(1)</f>
        <v>0.16430379746835441</v>
      </c>
      <c r="Y813" s="21" t="s">
        <v>13</v>
      </c>
      <c r="Z813" s="63">
        <f t="shared" si="84"/>
        <v>814.62509918538808</v>
      </c>
      <c r="AA813" s="63">
        <f t="shared" si="85"/>
        <v>773.89384422611874</v>
      </c>
    </row>
    <row r="814" spans="1:27" x14ac:dyDescent="0.25">
      <c r="A814" s="103" t="s">
        <v>405</v>
      </c>
      <c r="B814" s="20" t="s">
        <v>406</v>
      </c>
      <c r="C814" s="21" t="s">
        <v>79</v>
      </c>
      <c r="D814" s="105" t="s">
        <v>383</v>
      </c>
      <c r="E814" s="15">
        <v>10291</v>
      </c>
      <c r="F814" s="15">
        <v>11000</v>
      </c>
      <c r="G814" s="21" t="s">
        <v>169</v>
      </c>
      <c r="H814" s="20">
        <v>0.79</v>
      </c>
      <c r="I814" s="68">
        <f>MAX('Max rate concentrations'!$D$3:$D$368)</f>
        <v>720</v>
      </c>
      <c r="J814" s="68">
        <f>MAX('Max rate concentrations'!W:W)</f>
        <v>255</v>
      </c>
      <c r="K814" s="69">
        <f t="shared" si="87"/>
        <v>5.3908893078976439</v>
      </c>
      <c r="L814" s="69">
        <f t="shared" ref="L814:L820" si="90">(((0.013*F814^0.773)/(1-H814)))*J814/F814</f>
        <v>1.9092732965470822</v>
      </c>
      <c r="M814" s="69">
        <f>IF((((0.065*F814^0.726)/3.7-(0.301*F814^0.751)/(1-H814)*H814)*(MAX('Max rate concentrations'!$P$3:$P$368)))/F814&gt;0, (((0.065*F814^0.726)/3.7-(0.301*F814^0.751)/(1-H814)*H814)*(MAX('Max rate concentrations'!$P$3:$P$368)))/F814, 0)</f>
        <v>0</v>
      </c>
      <c r="N814" s="69">
        <f>IF((((0.065*F814^0.726)/3.7-(0.301*F814^0.751)/(1-H814)*H814)*(MAX('Max rate concentrations'!$Q$3:$Q$368)))/F814&gt;0, (((0.065*F814^0.726)/3.7-(0.301*F814^0.751)/(1-H814)*H814)*(MAX('Max rate concentrations'!$Q$3:$Q$368)))/F814, 0)</f>
        <v>0</v>
      </c>
      <c r="O814" s="69" t="s">
        <v>13</v>
      </c>
      <c r="P814" s="69" t="s">
        <v>13</v>
      </c>
      <c r="Q814" s="69">
        <f>(inputs!$C$18*11.2)*(16.61*F814^0.61)*0.5*1/F814</f>
        <v>7.4051825141747107</v>
      </c>
      <c r="R814" s="59">
        <f>(60*76.9*((F814/1000)^0.76)*3*24*(MAX('Max rate concentrations'!$R$3:$R$368))/F814)</f>
        <v>1.439705091875168E-3</v>
      </c>
      <c r="S814" s="59">
        <f>(IF(inputs!$C$17="aerial",((0.025*0.112*inputs!$C$18/3.3)*(3*60*76.9*((F814/1000)^0.76))*MAX(inputs!$I$14:$I$16))/F814,((0.0083*0.112*inputs!$C$18/1)*(3*60*76.9*((F814/1000)^0.76))*MAX(inputs!$I$14:$I$16))/F814))</f>
        <v>6.0791099953464156E-3</v>
      </c>
      <c r="T814" s="63">
        <f>IF((((inputs!$P$13/(V814/MAX(K814:S814)))^(1/inputs!$O$13))-1)/inputs!$N$13&lt;0, 0, IF((((inputs!$P$13/(V814/MAX(K814:S814)))^(1/inputs!$O$13))-1)/inputs!$N$13&lt;inputs!$I$17, (((inputs!$P$13/(V814/MAX(K814:S814)))^(1/inputs!$O$13))-1)/inputs!$N$13, inputs!$I$17))</f>
        <v>9.9581172672067666</v>
      </c>
      <c r="U814" s="63">
        <f>IF((((inputs!$P$13/(X814/MAX(K814:S814)))^(1/inputs!$O$13))-1)/inputs!$N$13&lt;0, 0, IF((((inputs!$P$13/(X814/MAX(K814:S814)))^(1/inputs!$O$13))-1)/inputs!$N$13&lt;inputs!$I$17, (((inputs!$P$13/(X814/MAX(K814:S814)))^(1/inputs!$O$13))-1)/inputs!$N$13, inputs!$I$17))</f>
        <v>0</v>
      </c>
      <c r="V814" s="21">
        <f>inputs!$E$87*(F814/inputs!$F$87)^(1)</f>
        <v>2.09</v>
      </c>
      <c r="W814" s="21">
        <f>inputs!$E$90*(F814/inputs!$F$90)^(1)</f>
        <v>2.2000000000000002</v>
      </c>
      <c r="X814" s="21">
        <f>inputs!$E$89*(F814/inputs!$F$89)^(1)</f>
        <v>8.2151898734177209</v>
      </c>
      <c r="Y814" s="21" t="s">
        <v>13</v>
      </c>
      <c r="Z814" s="63">
        <f t="shared" si="84"/>
        <v>3.543149528313259</v>
      </c>
      <c r="AA814" s="63">
        <f t="shared" si="85"/>
        <v>3.3659920518975954</v>
      </c>
    </row>
    <row r="815" spans="1:27" x14ac:dyDescent="0.25">
      <c r="A815" s="103" t="s">
        <v>405</v>
      </c>
      <c r="B815" s="20" t="s">
        <v>406</v>
      </c>
      <c r="C815" s="21" t="s">
        <v>79</v>
      </c>
      <c r="D815" s="105" t="s">
        <v>383</v>
      </c>
      <c r="E815" s="15">
        <v>10291</v>
      </c>
      <c r="F815" s="15">
        <v>11000</v>
      </c>
      <c r="G815" s="21" t="s">
        <v>177</v>
      </c>
      <c r="H815" s="20">
        <v>0.85</v>
      </c>
      <c r="I815" s="68">
        <f>MAX('Max rate concentrations'!$F$3:$F$368)</f>
        <v>405</v>
      </c>
      <c r="J815" s="68">
        <f>MAX('Max rate concentrations'!Y:Y)</f>
        <v>135</v>
      </c>
      <c r="K815" s="69">
        <f t="shared" si="87"/>
        <v>4.2453253299693934</v>
      </c>
      <c r="L815" s="69">
        <f t="shared" si="90"/>
        <v>1.4151084433231311</v>
      </c>
      <c r="M815" s="69">
        <f>IF((((0.065*F815^0.726)/3.7-(0.301*F815^0.751)/(1-H815)*H815)*(MAX('Max rate concentrations'!$P$3:$P$368)))/F815&gt;0, (((0.065*F815^0.726)/3.7-(0.301*F815^0.751)/(1-H815)*H815)*(MAX('Max rate concentrations'!$P$3:$P$368)))/F815, 0)</f>
        <v>0</v>
      </c>
      <c r="N815" s="69">
        <f>IF((((0.065*F815^0.726)/3.7-(0.301*F815^0.751)/(1-H815)*H815)*(MAX('Max rate concentrations'!$Q$3:$Q$368)))/F815&gt;0, (((0.065*F815^0.726)/3.7-(0.301*F815^0.751)/(1-H815)*H815)*(MAX('Max rate concentrations'!$Q$3:$Q$368)))/F815, 0)</f>
        <v>0</v>
      </c>
      <c r="O815" s="69" t="s">
        <v>13</v>
      </c>
      <c r="P815" s="69" t="s">
        <v>13</v>
      </c>
      <c r="Q815" s="69">
        <f>(inputs!$C$18*11.2)*(16.61*F815^0.61)*0.5*1/F815</f>
        <v>7.4051825141747107</v>
      </c>
      <c r="R815" s="59">
        <f>(60*76.9*((F815/1000)^0.76)*3*24*(MAX('Max rate concentrations'!$R$3:$R$368))/F815)</f>
        <v>1.439705091875168E-3</v>
      </c>
      <c r="S815" s="59">
        <f>(IF(inputs!$C$17="aerial",((0.025*0.112*inputs!$C$18/3.3)*(3*60*76.9*((F815/1000)^0.76))*MAX(inputs!$I$14:$I$16))/F815,((0.0083*0.112*inputs!$C$18/1)*(3*60*76.9*((F815/1000)^0.76))*MAX(inputs!$I$14:$I$16))/F815))</f>
        <v>6.0791099953464156E-3</v>
      </c>
      <c r="T815" s="63">
        <f>IF((((inputs!$P$13/(V815/MAX(K815:S815)))^(1/inputs!$O$13))-1)/inputs!$N$13&lt;0, 0, IF((((inputs!$P$13/(V815/MAX(K815:S815)))^(1/inputs!$O$13))-1)/inputs!$N$13&lt;inputs!$I$17, (((inputs!$P$13/(V815/MAX(K815:S815)))^(1/inputs!$O$13))-1)/inputs!$N$13, inputs!$I$17))</f>
        <v>9.9581172672067666</v>
      </c>
      <c r="U815" s="63">
        <f>IF((((inputs!$P$13/(X815/MAX(K815:S815)))^(1/inputs!$O$13))-1)/inputs!$N$13&lt;0, 0, IF((((inputs!$P$13/(X815/MAX(K815:S815)))^(1/inputs!$O$13))-1)/inputs!$N$13&lt;inputs!$I$17, (((inputs!$P$13/(X815/MAX(K815:S815)))^(1/inputs!$O$13))-1)/inputs!$N$13, inputs!$I$17))</f>
        <v>0</v>
      </c>
      <c r="V815" s="21">
        <f>inputs!$E$87*(F815/inputs!$F$87)^(1)</f>
        <v>2.09</v>
      </c>
      <c r="W815" s="21">
        <f>inputs!$E$90*(F815/inputs!$F$90)^(1)</f>
        <v>2.2000000000000002</v>
      </c>
      <c r="X815" s="21">
        <f>inputs!$E$89*(F815/inputs!$F$89)^(1)</f>
        <v>8.2151898734177209</v>
      </c>
      <c r="Y815" s="21" t="s">
        <v>13</v>
      </c>
      <c r="Z815" s="63">
        <f t="shared" si="84"/>
        <v>3.543149528313259</v>
      </c>
      <c r="AA815" s="63">
        <f t="shared" si="85"/>
        <v>3.3659920518975954</v>
      </c>
    </row>
    <row r="816" spans="1:27" ht="26.4" x14ac:dyDescent="0.25">
      <c r="A816" s="103" t="s">
        <v>412</v>
      </c>
      <c r="B816" s="20" t="s">
        <v>413</v>
      </c>
      <c r="C816" s="21" t="s">
        <v>79</v>
      </c>
      <c r="D816" s="105" t="s">
        <v>383</v>
      </c>
      <c r="E816" s="15">
        <v>6620</v>
      </c>
      <c r="F816" s="15">
        <v>88</v>
      </c>
      <c r="G816" s="21" t="s">
        <v>241</v>
      </c>
      <c r="H816" s="20">
        <v>0.8</v>
      </c>
      <c r="I816" s="68">
        <f>inputs!$C$66*inputs!$C$60/1000</f>
        <v>28</v>
      </c>
      <c r="J816" s="68">
        <f>inputs!$C$66*inputs!$C$59/1000</f>
        <v>28</v>
      </c>
      <c r="K816" s="69">
        <f t="shared" si="87"/>
        <v>0.65867900594361217</v>
      </c>
      <c r="L816" s="69">
        <f t="shared" si="90"/>
        <v>0.65867900594361217</v>
      </c>
      <c r="M816" s="69">
        <f>IF((((0.065*F816^0.726)/3.7-(0.301*F816^0.751)/(1-H816)*H816)*(MAX('Max rate concentrations'!$P$3:$P$368)))/F816&gt;0, (((0.065*F816^0.726)/3.7-(0.301*F816^0.751)/(1-H816)*H816)*(MAX('Max rate concentrations'!$P$3:$P$368)))/F816, 0)</f>
        <v>0</v>
      </c>
      <c r="N816" s="69">
        <f>IF((((0.065*F816^0.726)/3.7-(0.301*F816^0.751)/(1-H816)*H816)*(MAX('Max rate concentrations'!$Q$3:$Q$368)))/F816&gt;0, (((0.065*F816^0.726)/3.7-(0.301*F816^0.751)/(1-H816)*H816)*(MAX('Max rate concentrations'!$Q$3:$Q$368)))/F816, 0)</f>
        <v>0</v>
      </c>
      <c r="O816" s="69" t="s">
        <v>13</v>
      </c>
      <c r="P816" s="69" t="s">
        <v>13</v>
      </c>
      <c r="Q816" s="69">
        <f>(inputs!$C$18*11.2)*(16.61*F816^0.61)*0.5*1/F816</f>
        <v>48.677769741285807</v>
      </c>
      <c r="R816" s="59">
        <f>(60*76.9*((F816/1000)^0.76)*3*24*(MAX('Max rate concentrations'!$R$3:$R$368))/F816)</f>
        <v>4.5870338367847855E-3</v>
      </c>
      <c r="S816" s="59">
        <f>(IF(inputs!$C$17="aerial",((0.025*0.112*inputs!$C$18/3.3)*(3*60*76.9*((F816/1000)^0.76))*MAX(inputs!$I$14:$I$16))/F816,((0.0083*0.112*inputs!$C$18/1)*(3*60*76.9*((F816/1000)^0.76))*MAX(inputs!$I$14:$I$16))/F816))</f>
        <v>1.936860778193902E-2</v>
      </c>
      <c r="T816" s="63">
        <f>IF((((inputs!$P$13/(V816/MAX(K816:S816)))^(1/inputs!$O$13))-1)/inputs!$N$13&lt;0, 0, IF((((inputs!$P$13/(V816/MAX(K816:S816)))^(1/inputs!$O$13))-1)/inputs!$N$13&lt;inputs!$I$17, (((inputs!$P$13/(V816/MAX(K816:S816)))^(1/inputs!$O$13))-1)/inputs!$N$13, inputs!$I$17))</f>
        <v>1000</v>
      </c>
      <c r="U816" s="63">
        <f>IF((((inputs!$P$13/(X816/MAX(K816:S816)))^(1/inputs!$O$13))-1)/inputs!$N$13&lt;0, 0, IF((((inputs!$P$13/(X816/MAX(K816:S816)))^(1/inputs!$O$13))-1)/inputs!$N$13&lt;inputs!$I$17, (((inputs!$P$13/(X816/MAX(K816:S816)))^(1/inputs!$O$13))-1)/inputs!$N$13, inputs!$I$17))</f>
        <v>1000</v>
      </c>
      <c r="V816" s="21">
        <f>inputs!$E$87*(F816/inputs!$F$87)^(1)</f>
        <v>1.6719999999999999E-2</v>
      </c>
      <c r="W816" s="21">
        <f>inputs!$E$90*(F816/inputs!$F$90)^(1)</f>
        <v>1.7600000000000001E-2</v>
      </c>
      <c r="X816" s="21">
        <f>inputs!$E$89*(F816/inputs!$F$89)^(1)</f>
        <v>6.572151898734177E-2</v>
      </c>
      <c r="Y816" s="21" t="s">
        <v>13</v>
      </c>
      <c r="Z816" s="63">
        <f t="shared" si="84"/>
        <v>2911.3498649094386</v>
      </c>
      <c r="AA816" s="63">
        <f t="shared" si="85"/>
        <v>2765.7823716639664</v>
      </c>
    </row>
    <row r="817" spans="1:27" ht="26.4" x14ac:dyDescent="0.25">
      <c r="A817" s="103" t="s">
        <v>412</v>
      </c>
      <c r="B817" s="20" t="s">
        <v>413</v>
      </c>
      <c r="C817" s="21" t="s">
        <v>79</v>
      </c>
      <c r="D817" s="105" t="s">
        <v>383</v>
      </c>
      <c r="E817" s="15">
        <v>6620</v>
      </c>
      <c r="F817" s="15">
        <v>88</v>
      </c>
      <c r="G817" s="21" t="s">
        <v>164</v>
      </c>
      <c r="H817" s="20">
        <v>0.78</v>
      </c>
      <c r="I817" s="68">
        <f>inputs!$C$66*(inputs!$C$62/1000)</f>
        <v>8.2000000000000011</v>
      </c>
      <c r="J817" s="68">
        <f>inputs!$C$66*(inputs!$C$61/1000)</f>
        <v>2.5</v>
      </c>
      <c r="K817" s="69">
        <f t="shared" si="87"/>
        <v>0.1753625924914812</v>
      </c>
      <c r="L817" s="69">
        <f t="shared" si="90"/>
        <v>5.34642050278906E-2</v>
      </c>
      <c r="M817" s="69">
        <f>IF((((0.065*F817^0.726)/3.7-(0.301*F817^0.751)/(1-H817)*H817)*(MAX('Max rate concentrations'!$P$3:$P$368)))/F817&gt;0, (((0.065*F817^0.726)/3.7-(0.301*F817^0.751)/(1-H817)*H817)*(MAX('Max rate concentrations'!$P$3:$P$368)))/F817, 0)</f>
        <v>0</v>
      </c>
      <c r="N817" s="69">
        <f>IF((((0.065*F817^0.726)/3.7-(0.301*F817^0.751)/(1-H817)*H817)*(MAX('Max rate concentrations'!$Q$3:$Q$368)))/F817&gt;0, (((0.065*F817^0.726)/3.7-(0.301*F817^0.751)/(1-H817)*H817)*(MAX('Max rate concentrations'!$Q$3:$Q$368)))/F817, 0)</f>
        <v>0</v>
      </c>
      <c r="O817" s="69" t="s">
        <v>13</v>
      </c>
      <c r="P817" s="69" t="s">
        <v>13</v>
      </c>
      <c r="Q817" s="69">
        <f>(inputs!$C$18*11.2)*(16.61*F817^0.61)*0.5*1/F817</f>
        <v>48.677769741285807</v>
      </c>
      <c r="R817" s="59">
        <f>(60*76.9*((F817/1000)^0.76)*3*24*(MAX('Max rate concentrations'!$R$3:$R$368))/F817)</f>
        <v>4.5870338367847855E-3</v>
      </c>
      <c r="S817" s="59">
        <f>(IF(inputs!$C$17="aerial",((0.025*0.112*inputs!$C$18/3.3)*(3*60*76.9*((F817/1000)^0.76))*MAX(inputs!$I$14:$I$16))/F817,((0.0083*0.112*inputs!$C$18/1)*(3*60*76.9*((F817/1000)^0.76))*MAX(inputs!$I$14:$I$16))/F817))</f>
        <v>1.936860778193902E-2</v>
      </c>
      <c r="T817" s="63">
        <f>IF((((inputs!$P$13/(V817/MAX(K817:S817)))^(1/inputs!$O$13))-1)/inputs!$N$13&lt;0, 0, IF((((inputs!$P$13/(V817/MAX(K817:S817)))^(1/inputs!$O$13))-1)/inputs!$N$13&lt;inputs!$I$17, (((inputs!$P$13/(V817/MAX(K817:S817)))^(1/inputs!$O$13))-1)/inputs!$N$13, inputs!$I$17))</f>
        <v>1000</v>
      </c>
      <c r="U817" s="63">
        <f>IF((((inputs!$P$13/(X817/MAX(K817:S817)))^(1/inputs!$O$13))-1)/inputs!$N$13&lt;0, 0, IF((((inputs!$P$13/(X817/MAX(K817:S817)))^(1/inputs!$O$13))-1)/inputs!$N$13&lt;inputs!$I$17, (((inputs!$P$13/(X817/MAX(K817:S817)))^(1/inputs!$O$13))-1)/inputs!$N$13, inputs!$I$17))</f>
        <v>1000</v>
      </c>
      <c r="V817" s="21">
        <f>inputs!$E$87*(F817/inputs!$F$87)^(1)</f>
        <v>1.6719999999999999E-2</v>
      </c>
      <c r="W817" s="21">
        <f>inputs!$E$90*(F817/inputs!$F$90)^(1)</f>
        <v>1.7600000000000001E-2</v>
      </c>
      <c r="X817" s="21">
        <f>inputs!$E$89*(F817/inputs!$F$89)^(1)</f>
        <v>6.572151898734177E-2</v>
      </c>
      <c r="Y817" s="21" t="s">
        <v>13</v>
      </c>
      <c r="Z817" s="63">
        <f t="shared" si="84"/>
        <v>2911.3498649094386</v>
      </c>
      <c r="AA817" s="63">
        <f t="shared" si="85"/>
        <v>2765.7823716639664</v>
      </c>
    </row>
    <row r="818" spans="1:27" ht="26.4" x14ac:dyDescent="0.25">
      <c r="A818" s="103" t="s">
        <v>412</v>
      </c>
      <c r="B818" s="20" t="s">
        <v>413</v>
      </c>
      <c r="C818" s="21" t="s">
        <v>79</v>
      </c>
      <c r="D818" s="105" t="s">
        <v>383</v>
      </c>
      <c r="E818" s="15">
        <v>6620</v>
      </c>
      <c r="F818" s="15">
        <v>88</v>
      </c>
      <c r="G818" s="21" t="s">
        <v>633</v>
      </c>
      <c r="H818" s="21">
        <v>0.75</v>
      </c>
      <c r="I818" s="68">
        <f>inputs!$C$66*inputs!$C$64/1000</f>
        <v>21.3</v>
      </c>
      <c r="J818" s="68">
        <f>inputs!$C$66*inputs!$C$63/1000</f>
        <v>8.8000000000000007</v>
      </c>
      <c r="K818" s="69">
        <f t="shared" si="87"/>
        <v>0.40085322361711256</v>
      </c>
      <c r="L818" s="69">
        <f t="shared" si="90"/>
        <v>0.16561072149439393</v>
      </c>
      <c r="M818" s="69">
        <f>IF((((0.065*F818^0.726)/3.7-(0.301*F818^0.751)/(1-H818)*H818)*(MAX('Max rate concentrations'!$P$3:$P$368)))/F818&gt;0, (((0.065*F818^0.726)/3.7-(0.301*F818^0.751)/(1-H818)*H818)*(MAX('Max rate concentrations'!$P$3:$P$368)))/F818, 0)</f>
        <v>0</v>
      </c>
      <c r="N818" s="69">
        <f>IF((((0.065*F818^0.726)/3.7-(0.301*F818^0.751)/(1-H818)*H818)*(MAX('Max rate concentrations'!$Q$3:$Q$368)))/F818&gt;0, (((0.065*F818^0.726)/3.7-(0.301*F818^0.751)/(1-H818)*H818)*(MAX('Max rate concentrations'!$Q$3:$Q$368)))/F818, 0)</f>
        <v>0</v>
      </c>
      <c r="O818" s="69" t="s">
        <v>13</v>
      </c>
      <c r="P818" s="69" t="s">
        <v>13</v>
      </c>
      <c r="Q818" s="69">
        <f>(inputs!$C$18*11.2)*(16.61*F818^0.61)*0.5*1/F818</f>
        <v>48.677769741285807</v>
      </c>
      <c r="R818" s="59">
        <f>(60*76.9*((F818/1000)^0.76)*3*24*(MAX('Max rate concentrations'!$R$3:$R$368))/F818)</f>
        <v>4.5870338367847855E-3</v>
      </c>
      <c r="S818" s="59">
        <f>(IF(inputs!$C$17="aerial",((0.025*0.112*inputs!$C$18/3.3)*(3*60*76.9*((F818/1000)^0.76))*MAX(inputs!$I$14:$I$16))/F818,((0.0083*0.112*inputs!$C$18/1)*(3*60*76.9*((F818/1000)^0.76))*MAX(inputs!$I$14:$I$16))/F818))</f>
        <v>1.936860778193902E-2</v>
      </c>
      <c r="T818" s="63">
        <f>IF((((inputs!$P$13/(V818/MAX(K818:S818)))^(1/inputs!$O$13))-1)/inputs!$N$13&lt;0, 0, IF((((inputs!$P$13/(V818/MAX(K818:S818)))^(1/inputs!$O$13))-1)/inputs!$N$13&lt;inputs!$I$17, (((inputs!$P$13/(V818/MAX(K818:S818)))^(1/inputs!$O$13))-1)/inputs!$N$13, inputs!$I$17))</f>
        <v>1000</v>
      </c>
      <c r="U818" s="63">
        <f>IF((((inputs!$P$13/(X818/MAX(K818:S818)))^(1/inputs!$O$13))-1)/inputs!$N$13&lt;0, 0, IF((((inputs!$P$13/(X818/MAX(K818:S818)))^(1/inputs!$O$13))-1)/inputs!$N$13&lt;inputs!$I$17, (((inputs!$P$13/(X818/MAX(K818:S818)))^(1/inputs!$O$13))-1)/inputs!$N$13, inputs!$I$17))</f>
        <v>1000</v>
      </c>
      <c r="V818" s="21">
        <f>inputs!$E$87*(F818/inputs!$F$87)^(1)</f>
        <v>1.6719999999999999E-2</v>
      </c>
      <c r="W818" s="21">
        <f>inputs!$E$90*(F818/inputs!$F$90)^(1)</f>
        <v>1.7600000000000001E-2</v>
      </c>
      <c r="X818" s="21">
        <f>inputs!$E$89*(F818/inputs!$F$89)^(1)</f>
        <v>6.572151898734177E-2</v>
      </c>
      <c r="Y818" s="21" t="s">
        <v>13</v>
      </c>
      <c r="Z818" s="63">
        <f t="shared" si="84"/>
        <v>2911.3498649094386</v>
      </c>
      <c r="AA818" s="63">
        <f t="shared" si="85"/>
        <v>2765.7823716639664</v>
      </c>
    </row>
    <row r="819" spans="1:27" ht="26.4" x14ac:dyDescent="0.25">
      <c r="A819" s="114" t="s">
        <v>631</v>
      </c>
      <c r="B819" s="20" t="s">
        <v>630</v>
      </c>
      <c r="C819" s="21" t="s">
        <v>79</v>
      </c>
      <c r="D819" s="105" t="s">
        <v>383</v>
      </c>
      <c r="E819" s="15">
        <v>172</v>
      </c>
      <c r="F819" s="15">
        <v>200</v>
      </c>
      <c r="G819" s="21" t="s">
        <v>632</v>
      </c>
      <c r="H819" s="20">
        <v>0.8</v>
      </c>
      <c r="I819" s="68">
        <f>inputs!$C$66*inputs!$C$60/1000</f>
        <v>28</v>
      </c>
      <c r="J819" s="68">
        <f>inputs!$C$66*inputs!$C$59/1000</f>
        <v>28</v>
      </c>
      <c r="K819" s="69">
        <f t="shared" si="87"/>
        <v>0.54668553011593157</v>
      </c>
      <c r="L819" s="69">
        <f t="shared" si="90"/>
        <v>0.54668553011593157</v>
      </c>
      <c r="M819" s="69">
        <f>IF((((0.065*F819^0.726)/3.7-(0.301*F819^0.751)/(1-H819)*H819)*(MAX('Max rate concentrations'!$P$3:$P$368)))/F819&gt;0, (((0.065*F819^0.726)/3.7-(0.301*F819^0.751)/(1-H819)*H819)*(MAX('Max rate concentrations'!$P$3:$P$368)))/F819, 0)</f>
        <v>0</v>
      </c>
      <c r="N819" s="69">
        <f>IF((((0.065*F819^0.726)/3.7-(0.301*F819^0.751)/(1-H819)*H819)*(MAX('Max rate concentrations'!$Q$3:$Q$368)))/F819&gt;0, (((0.065*F819^0.726)/3.7-(0.301*F819^0.751)/(1-H819)*H819)*(MAX('Max rate concentrations'!$Q$3:$Q$368)))/F819, 0)</f>
        <v>0</v>
      </c>
      <c r="O819" s="69" t="s">
        <v>13</v>
      </c>
      <c r="P819" s="69" t="s">
        <v>13</v>
      </c>
      <c r="Q819" s="69">
        <f>(inputs!$C$18*11.2)*(16.61*F819^0.61)*0.5*1/F819</f>
        <v>35.340868321151277</v>
      </c>
      <c r="R819" s="59">
        <f>(60*76.9*((F819/1000)^0.76)*3*24*(MAX('Max rate concentrations'!$R$3:$R$368))/F819)</f>
        <v>3.7666961323258308E-3</v>
      </c>
      <c r="S819" s="59">
        <f>(IF(inputs!$C$17="aerial",((0.025*0.112*inputs!$C$18/3.3)*(3*60*76.9*((F819/1000)^0.76))*MAX(inputs!$I$14:$I$16))/F819,((0.0083*0.112*inputs!$C$18/1)*(3*60*76.9*((F819/1000)^0.76))*MAX(inputs!$I$14:$I$16))/F819))</f>
        <v>1.5904757326120553E-2</v>
      </c>
      <c r="T819" s="63">
        <f>IF((((inputs!$P$13/(V819/MAX(K819:S819)))^(1/inputs!$O$13))-1)/inputs!$N$13&lt;0, 0, IF((((inputs!$P$13/(V819/MAX(K819:S819)))^(1/inputs!$O$13))-1)/inputs!$N$13&lt;inputs!$I$17, (((inputs!$P$13/(V819/MAX(K819:S819)))^(1/inputs!$O$13))-1)/inputs!$N$13, inputs!$I$17))</f>
        <v>1000</v>
      </c>
      <c r="U819" s="63">
        <f>IF((((inputs!$P$13/(X819/MAX(K819:S819)))^(1/inputs!$O$13))-1)/inputs!$N$13&lt;0, 0, IF((((inputs!$P$13/(X819/MAX(K819:S819)))^(1/inputs!$O$13))-1)/inputs!$N$13&lt;inputs!$I$17, (((inputs!$P$13/(X819/MAX(K819:S819)))^(1/inputs!$O$13))-1)/inputs!$N$13, inputs!$I$17))</f>
        <v>448.66533028161462</v>
      </c>
      <c r="V819" s="21">
        <f>inputs!$E$87*(F819/inputs!$F$87)^(1)</f>
        <v>3.7999999999999999E-2</v>
      </c>
      <c r="W819" s="21">
        <f>inputs!$E$90*(F819/inputs!$F$90)^(1)</f>
        <v>0.04</v>
      </c>
      <c r="X819" s="21">
        <f>inputs!$E$89*(F819/inputs!$F$89)^(1)</f>
        <v>0.14936708860759493</v>
      </c>
      <c r="Y819" s="21" t="s">
        <v>13</v>
      </c>
      <c r="Z819" s="63">
        <f t="shared" si="84"/>
        <v>930.02285055661252</v>
      </c>
      <c r="AA819" s="63">
        <f t="shared" si="85"/>
        <v>883.52170802878186</v>
      </c>
    </row>
    <row r="820" spans="1:27" x14ac:dyDescent="0.25">
      <c r="A820" s="114" t="s">
        <v>631</v>
      </c>
      <c r="B820" s="20" t="s">
        <v>630</v>
      </c>
      <c r="C820" s="21" t="s">
        <v>79</v>
      </c>
      <c r="D820" s="105" t="s">
        <v>383</v>
      </c>
      <c r="E820" s="15">
        <v>172</v>
      </c>
      <c r="F820" s="15">
        <v>200</v>
      </c>
      <c r="G820" s="21" t="s">
        <v>164</v>
      </c>
      <c r="H820" s="20">
        <v>0.78</v>
      </c>
      <c r="I820" s="68">
        <f>inputs!$C$66*(inputs!$C$62/1000)</f>
        <v>8.2000000000000011</v>
      </c>
      <c r="J820" s="68">
        <f>inputs!$C$66*(inputs!$C$61/1000)</f>
        <v>2.5</v>
      </c>
      <c r="K820" s="69">
        <f t="shared" si="87"/>
        <v>0.14554614762826748</v>
      </c>
      <c r="L820" s="69">
        <f t="shared" si="90"/>
        <v>4.4373825496423012E-2</v>
      </c>
      <c r="M820" s="69">
        <f>IF((((0.065*F820^0.726)/3.7-(0.301*F820^0.751)/(1-H820)*H820)*(MAX('Max rate concentrations'!$P$3:$P$368)))/F820&gt;0, (((0.065*F820^0.726)/3.7-(0.301*F820^0.751)/(1-H820)*H820)*(MAX('Max rate concentrations'!$P$3:$P$368)))/F820, 0)</f>
        <v>0</v>
      </c>
      <c r="N820" s="69">
        <f>IF((((0.065*F820^0.726)/3.7-(0.301*F820^0.751)/(1-H820)*H820)*(MAX('Max rate concentrations'!$Q$3:$Q$368)))/F820&gt;0, (((0.065*F820^0.726)/3.7-(0.301*F820^0.751)/(1-H820)*H820)*(MAX('Max rate concentrations'!$Q$3:$Q$368)))/F820, 0)</f>
        <v>0</v>
      </c>
      <c r="O820" s="69" t="s">
        <v>13</v>
      </c>
      <c r="P820" s="69" t="s">
        <v>13</v>
      </c>
      <c r="Q820" s="69">
        <f>(inputs!$C$18*11.2)*(16.61*F820^0.61)*0.5*1/F820</f>
        <v>35.340868321151277</v>
      </c>
      <c r="R820" s="59">
        <f>(60*76.9*((F820/1000)^0.76)*3*24*(MAX('Max rate concentrations'!$R$3:$R$368))/F820)</f>
        <v>3.7666961323258308E-3</v>
      </c>
      <c r="S820" s="59">
        <f>(IF(inputs!$C$17="aerial",((0.025*0.112*inputs!$C$18/3.3)*(3*60*76.9*((F820/1000)^0.76))*MAX(inputs!$I$14:$I$16))/F820,((0.0083*0.112*inputs!$C$18/1)*(3*60*76.9*((F820/1000)^0.76))*MAX(inputs!$I$14:$I$16))/F820))</f>
        <v>1.5904757326120553E-2</v>
      </c>
      <c r="T820" s="63">
        <f>IF((((inputs!$P$13/(V820/MAX(K820:S820)))^(1/inputs!$O$13))-1)/inputs!$N$13&lt;0, 0, IF((((inputs!$P$13/(V820/MAX(K820:S820)))^(1/inputs!$O$13))-1)/inputs!$N$13&lt;inputs!$I$17, (((inputs!$P$13/(V820/MAX(K820:S820)))^(1/inputs!$O$13))-1)/inputs!$N$13, inputs!$I$17))</f>
        <v>1000</v>
      </c>
      <c r="U820" s="63">
        <f>IF((((inputs!$P$13/(X820/MAX(K820:S820)))^(1/inputs!$O$13))-1)/inputs!$N$13&lt;0, 0, IF((((inputs!$P$13/(X820/MAX(K820:S820)))^(1/inputs!$O$13))-1)/inputs!$N$13&lt;inputs!$I$17, (((inputs!$P$13/(X820/MAX(K820:S820)))^(1/inputs!$O$13))-1)/inputs!$N$13, inputs!$I$17))</f>
        <v>448.66533028161462</v>
      </c>
      <c r="V820" s="21">
        <f>inputs!$E$87*(F820/inputs!$F$87)^(1)</f>
        <v>3.7999999999999999E-2</v>
      </c>
      <c r="W820" s="21">
        <f>inputs!$E$90*(F820/inputs!$F$90)^(1)</f>
        <v>0.04</v>
      </c>
      <c r="X820" s="21">
        <f>inputs!$E$89*(F820/inputs!$F$89)^(1)</f>
        <v>0.14936708860759493</v>
      </c>
      <c r="Y820" s="21" t="s">
        <v>13</v>
      </c>
      <c r="Z820" s="63">
        <f t="shared" si="84"/>
        <v>930.02285055661252</v>
      </c>
      <c r="AA820" s="63">
        <f t="shared" si="85"/>
        <v>883.52170802878186</v>
      </c>
    </row>
  </sheetData>
  <sheetProtection algorithmName="SHA-512" hashValue="tdGy8O8c4G11IaDcuzVV4rCB0BMaONHkUncyWfGJOY3bKfkCZLSSy7pb71d4tjZ/opPerjf/b/UCCN6vO2lNTQ==" saltValue="Dh6Y0P1MHrg9LHsMY7H8rA==" spinCount="100000" sheet="1" objects="1" scenarios="1"/>
  <sortState ref="A2:AA818">
    <sortCondition ref="C2:C818"/>
    <sortCondition ref="D2:D818"/>
    <sortCondition ref="B2:B818"/>
    <sortCondition ref="E2:E818"/>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H820"/>
  <sheetViews>
    <sheetView topLeftCell="G397" workbookViewId="0">
      <selection activeCell="C403" sqref="A403:XFD403"/>
    </sheetView>
  </sheetViews>
  <sheetFormatPr defaultColWidth="9.109375" defaultRowHeight="14.4" x14ac:dyDescent="0.25"/>
  <cols>
    <col min="1" max="1" width="30.88671875" style="121" customWidth="1"/>
    <col min="2" max="2" width="37.44140625" style="121" customWidth="1"/>
    <col min="3" max="3" width="13.44140625" style="42" customWidth="1"/>
    <col min="4" max="4" width="19.33203125" style="122" customWidth="1"/>
    <col min="5" max="5" width="11" style="42" customWidth="1"/>
    <col min="6" max="6" width="10.109375" style="42" customWidth="1"/>
    <col min="7" max="7" width="15" style="42" customWidth="1"/>
    <col min="8" max="8" width="8.109375" style="42" customWidth="1"/>
    <col min="9" max="9" width="12.44140625" style="72" customWidth="1"/>
    <col min="10" max="10" width="10" style="72" customWidth="1"/>
    <col min="11" max="11" width="13.88671875" style="73" customWidth="1"/>
    <col min="12" max="12" width="9.88671875" style="73" customWidth="1"/>
    <col min="13" max="13" width="10.88671875" style="73" customWidth="1"/>
    <col min="14" max="14" width="8.6640625" style="73" customWidth="1"/>
    <col min="15" max="16" width="8.109375" style="73" customWidth="1"/>
    <col min="17" max="17" width="8.33203125" style="73" customWidth="1"/>
    <col min="18" max="18" width="9.88671875" style="42" customWidth="1"/>
    <col min="19" max="19" width="9.6640625" style="42" customWidth="1"/>
    <col min="20" max="21" width="15.44140625" style="42" customWidth="1"/>
    <col min="22" max="23" width="11" style="42" customWidth="1"/>
    <col min="24" max="24" width="11.33203125" style="42" customWidth="1"/>
    <col min="25" max="25" width="11.5546875" style="42" bestFit="1" customWidth="1"/>
    <col min="26" max="26" width="14.5546875" style="42" customWidth="1"/>
    <col min="27" max="27" width="17.109375" style="42" customWidth="1"/>
    <col min="28" max="16384" width="9.109375" style="42"/>
  </cols>
  <sheetData>
    <row r="1" spans="1:476" ht="63" customHeight="1" x14ac:dyDescent="0.25">
      <c r="A1" s="108" t="s">
        <v>117</v>
      </c>
      <c r="B1" s="109" t="s">
        <v>118</v>
      </c>
      <c r="C1" s="110" t="s">
        <v>57</v>
      </c>
      <c r="D1" s="111" t="s">
        <v>119</v>
      </c>
      <c r="E1" s="14" t="s">
        <v>120</v>
      </c>
      <c r="F1" s="14" t="s">
        <v>123</v>
      </c>
      <c r="G1" s="110" t="s">
        <v>121</v>
      </c>
      <c r="H1" s="110" t="s">
        <v>122</v>
      </c>
      <c r="I1" s="66" t="s">
        <v>742</v>
      </c>
      <c r="J1" s="66" t="s">
        <v>745</v>
      </c>
      <c r="K1" s="66" t="s">
        <v>743</v>
      </c>
      <c r="L1" s="66" t="s">
        <v>744</v>
      </c>
      <c r="M1" s="66" t="s">
        <v>124</v>
      </c>
      <c r="N1" s="66" t="s">
        <v>125</v>
      </c>
      <c r="O1" s="67" t="s">
        <v>746</v>
      </c>
      <c r="P1" s="67" t="s">
        <v>747</v>
      </c>
      <c r="Q1" s="67" t="s">
        <v>126</v>
      </c>
      <c r="R1" s="51" t="s">
        <v>127</v>
      </c>
      <c r="S1" s="51" t="s">
        <v>128</v>
      </c>
      <c r="T1" s="57" t="s">
        <v>129</v>
      </c>
      <c r="U1" s="57" t="s">
        <v>130</v>
      </c>
      <c r="V1" s="50" t="s">
        <v>131</v>
      </c>
      <c r="W1" s="51" t="s">
        <v>71</v>
      </c>
      <c r="X1" s="52" t="s">
        <v>132</v>
      </c>
      <c r="Y1" s="53" t="s">
        <v>75</v>
      </c>
      <c r="Z1" s="57" t="s">
        <v>133</v>
      </c>
      <c r="AA1" s="57" t="s">
        <v>134</v>
      </c>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07"/>
      <c r="CA1" s="107"/>
      <c r="CB1" s="107"/>
      <c r="CC1" s="107"/>
      <c r="CD1" s="107"/>
      <c r="CE1" s="107"/>
      <c r="CF1" s="107"/>
      <c r="CG1" s="107"/>
      <c r="CH1" s="107"/>
      <c r="CI1" s="107"/>
      <c r="CJ1" s="107"/>
      <c r="CK1" s="107"/>
      <c r="CL1" s="107"/>
      <c r="CM1" s="107"/>
      <c r="CN1" s="107"/>
      <c r="CO1" s="107"/>
      <c r="CP1" s="107"/>
      <c r="CQ1" s="107"/>
      <c r="CR1" s="107"/>
      <c r="CS1" s="107"/>
      <c r="CT1" s="107"/>
      <c r="CU1" s="107"/>
      <c r="CV1" s="107"/>
      <c r="CW1" s="107"/>
      <c r="CX1" s="107"/>
      <c r="CY1" s="107"/>
      <c r="CZ1" s="107"/>
      <c r="DA1" s="107"/>
      <c r="DB1" s="107"/>
      <c r="DC1" s="107"/>
      <c r="DD1" s="107"/>
      <c r="DE1" s="107"/>
      <c r="DF1" s="107"/>
      <c r="DG1" s="107"/>
      <c r="DH1" s="107"/>
      <c r="DI1" s="107"/>
      <c r="DJ1" s="107"/>
      <c r="DK1" s="107"/>
      <c r="DL1" s="107"/>
      <c r="DM1" s="107"/>
      <c r="DN1" s="107"/>
      <c r="DO1" s="107"/>
      <c r="DP1" s="107"/>
      <c r="DQ1" s="107"/>
      <c r="DR1" s="107"/>
      <c r="DS1" s="107"/>
      <c r="DT1" s="107"/>
      <c r="DU1" s="107"/>
      <c r="DV1" s="107"/>
      <c r="DW1" s="107"/>
      <c r="DX1" s="107"/>
      <c r="DY1" s="107"/>
      <c r="DZ1" s="107"/>
      <c r="EA1" s="107"/>
      <c r="EB1" s="107"/>
      <c r="EC1" s="107"/>
      <c r="ED1" s="107"/>
      <c r="EE1" s="107"/>
      <c r="EF1" s="107"/>
      <c r="EG1" s="107"/>
      <c r="EH1" s="107"/>
      <c r="EI1" s="107"/>
      <c r="EJ1" s="107"/>
      <c r="EK1" s="107"/>
      <c r="EL1" s="107"/>
      <c r="EM1" s="107"/>
      <c r="EN1" s="107"/>
      <c r="EO1" s="107"/>
      <c r="EP1" s="107"/>
      <c r="EQ1" s="107"/>
      <c r="ER1" s="107"/>
      <c r="ES1" s="107"/>
      <c r="ET1" s="107"/>
      <c r="EU1" s="107"/>
      <c r="EV1" s="107"/>
      <c r="EW1" s="107"/>
      <c r="EX1" s="107"/>
      <c r="EY1" s="107"/>
      <c r="EZ1" s="107"/>
      <c r="FA1" s="107"/>
      <c r="FB1" s="107"/>
      <c r="FC1" s="107"/>
      <c r="FD1" s="107"/>
      <c r="FE1" s="107"/>
      <c r="FF1" s="107"/>
      <c r="FG1" s="107"/>
      <c r="FH1" s="107"/>
      <c r="FI1" s="107"/>
      <c r="FJ1" s="107"/>
      <c r="FK1" s="107"/>
      <c r="FL1" s="107"/>
      <c r="FM1" s="107"/>
      <c r="FN1" s="107"/>
      <c r="FO1" s="107"/>
      <c r="FP1" s="107"/>
      <c r="FQ1" s="107"/>
      <c r="FR1" s="107"/>
      <c r="FS1" s="107"/>
      <c r="FT1" s="107"/>
      <c r="FU1" s="107"/>
      <c r="FV1" s="107"/>
      <c r="FW1" s="107"/>
      <c r="FX1" s="107"/>
      <c r="FY1" s="107"/>
      <c r="FZ1" s="107"/>
      <c r="GA1" s="107"/>
      <c r="GB1" s="107"/>
      <c r="GC1" s="107"/>
      <c r="GD1" s="107"/>
      <c r="GE1" s="107"/>
      <c r="GF1" s="107"/>
      <c r="GG1" s="107"/>
      <c r="GH1" s="107"/>
      <c r="GI1" s="107"/>
      <c r="GJ1" s="107"/>
      <c r="GK1" s="107"/>
      <c r="GL1" s="107"/>
      <c r="GM1" s="107"/>
      <c r="GN1" s="107"/>
      <c r="GO1" s="107"/>
      <c r="GP1" s="107"/>
      <c r="GQ1" s="107"/>
      <c r="GR1" s="107"/>
      <c r="GS1" s="107"/>
      <c r="GT1" s="107"/>
      <c r="GU1" s="107"/>
      <c r="GV1" s="107"/>
      <c r="GW1" s="107"/>
      <c r="GX1" s="107"/>
      <c r="GY1" s="107"/>
      <c r="GZ1" s="107"/>
      <c r="HA1" s="107"/>
      <c r="HB1" s="107"/>
      <c r="HC1" s="107"/>
      <c r="HD1" s="107"/>
      <c r="HE1" s="107"/>
      <c r="HF1" s="107"/>
      <c r="HG1" s="107"/>
      <c r="HH1" s="107"/>
      <c r="HI1" s="107"/>
      <c r="HJ1" s="107"/>
      <c r="HK1" s="107"/>
      <c r="HL1" s="107"/>
      <c r="HM1" s="107"/>
      <c r="HN1" s="107"/>
      <c r="HO1" s="107"/>
      <c r="HP1" s="107"/>
      <c r="HQ1" s="107"/>
      <c r="HR1" s="107"/>
      <c r="HS1" s="107"/>
      <c r="HT1" s="107"/>
      <c r="HU1" s="107"/>
      <c r="HV1" s="107"/>
      <c r="HW1" s="107"/>
      <c r="HX1" s="107"/>
      <c r="HY1" s="107"/>
      <c r="HZ1" s="107"/>
      <c r="IA1" s="107"/>
      <c r="IB1" s="107"/>
      <c r="IC1" s="107"/>
      <c r="ID1" s="107"/>
      <c r="IE1" s="107"/>
      <c r="IF1" s="107"/>
      <c r="IG1" s="107"/>
      <c r="IH1" s="107"/>
      <c r="II1" s="107"/>
      <c r="IJ1" s="107"/>
      <c r="IK1" s="107"/>
      <c r="IL1" s="107"/>
      <c r="IM1" s="107"/>
      <c r="IN1" s="107"/>
      <c r="IO1" s="107"/>
      <c r="IP1" s="107"/>
      <c r="IQ1" s="107"/>
      <c r="IR1" s="107"/>
      <c r="IS1" s="107"/>
      <c r="IT1" s="107"/>
      <c r="IU1" s="107"/>
      <c r="IV1" s="107"/>
      <c r="IW1" s="107"/>
      <c r="IX1" s="107"/>
      <c r="IY1" s="107"/>
      <c r="IZ1" s="107"/>
      <c r="JA1" s="107"/>
      <c r="JB1" s="107"/>
      <c r="JC1" s="107"/>
      <c r="JD1" s="107"/>
      <c r="JE1" s="107"/>
      <c r="JF1" s="107"/>
      <c r="JG1" s="107"/>
      <c r="JH1" s="107"/>
      <c r="JI1" s="107"/>
      <c r="JJ1" s="107"/>
      <c r="JK1" s="107"/>
      <c r="JL1" s="107"/>
      <c r="JM1" s="107"/>
      <c r="JN1" s="107"/>
      <c r="JO1" s="107"/>
      <c r="JP1" s="107"/>
      <c r="JQ1" s="107"/>
      <c r="JR1" s="107"/>
      <c r="JS1" s="107"/>
      <c r="JT1" s="107"/>
      <c r="JU1" s="107"/>
      <c r="JV1" s="107"/>
      <c r="JW1" s="107"/>
      <c r="JX1" s="107"/>
      <c r="JY1" s="107"/>
      <c r="JZ1" s="107"/>
      <c r="KA1" s="107"/>
      <c r="KB1" s="107"/>
      <c r="KC1" s="107"/>
      <c r="KD1" s="107"/>
      <c r="KE1" s="107"/>
      <c r="KF1" s="107"/>
      <c r="KG1" s="107"/>
      <c r="KH1" s="107"/>
      <c r="KI1" s="107"/>
      <c r="KJ1" s="107"/>
      <c r="KK1" s="107"/>
      <c r="KL1" s="107"/>
      <c r="KM1" s="107"/>
      <c r="KN1" s="107"/>
      <c r="KO1" s="107"/>
      <c r="KP1" s="107"/>
      <c r="KQ1" s="107"/>
      <c r="KR1" s="107"/>
      <c r="KS1" s="107"/>
      <c r="KT1" s="107"/>
      <c r="KU1" s="107"/>
      <c r="KV1" s="107"/>
      <c r="KW1" s="107"/>
      <c r="KX1" s="107"/>
      <c r="KY1" s="107"/>
      <c r="KZ1" s="107"/>
      <c r="LA1" s="107"/>
      <c r="LB1" s="107"/>
      <c r="LC1" s="107"/>
      <c r="LD1" s="107"/>
      <c r="LE1" s="107"/>
      <c r="LF1" s="107"/>
      <c r="LG1" s="107"/>
      <c r="LH1" s="107"/>
      <c r="LI1" s="107"/>
      <c r="LJ1" s="107"/>
      <c r="LK1" s="107"/>
      <c r="LL1" s="107"/>
      <c r="LM1" s="107"/>
      <c r="LN1" s="107"/>
      <c r="LO1" s="107"/>
      <c r="LP1" s="107"/>
      <c r="LQ1" s="107"/>
      <c r="LR1" s="107"/>
      <c r="LS1" s="107"/>
      <c r="LT1" s="107"/>
      <c r="LU1" s="107"/>
      <c r="LV1" s="107"/>
      <c r="LW1" s="107"/>
      <c r="LX1" s="107"/>
      <c r="LY1" s="107"/>
      <c r="LZ1" s="107"/>
      <c r="MA1" s="107"/>
      <c r="MB1" s="107"/>
      <c r="MC1" s="107"/>
      <c r="MD1" s="107"/>
      <c r="ME1" s="107"/>
      <c r="MF1" s="107"/>
      <c r="MG1" s="107"/>
      <c r="MH1" s="107"/>
      <c r="MI1" s="107"/>
      <c r="MJ1" s="107"/>
      <c r="MK1" s="107"/>
      <c r="ML1" s="107"/>
      <c r="MM1" s="107"/>
      <c r="MN1" s="107"/>
      <c r="MO1" s="107"/>
      <c r="MP1" s="107"/>
      <c r="MQ1" s="107"/>
      <c r="MR1" s="107"/>
      <c r="MS1" s="107"/>
      <c r="MT1" s="107"/>
      <c r="MU1" s="107"/>
      <c r="MV1" s="107"/>
      <c r="MW1" s="107"/>
      <c r="MX1" s="107"/>
      <c r="MY1" s="107"/>
      <c r="MZ1" s="107"/>
      <c r="NA1" s="107"/>
      <c r="NB1" s="107"/>
      <c r="NC1" s="107"/>
      <c r="ND1" s="107"/>
      <c r="NE1" s="107"/>
      <c r="NF1" s="107"/>
      <c r="NG1" s="107"/>
      <c r="NH1" s="107"/>
      <c r="NI1" s="107"/>
      <c r="NJ1" s="107"/>
      <c r="NK1" s="107"/>
      <c r="NL1" s="107"/>
      <c r="NM1" s="107"/>
      <c r="NN1" s="107"/>
      <c r="NO1" s="107"/>
      <c r="NP1" s="107"/>
      <c r="NQ1" s="107"/>
      <c r="NR1" s="107"/>
      <c r="NS1" s="107"/>
      <c r="NT1" s="107"/>
      <c r="NU1" s="107"/>
      <c r="NV1" s="107"/>
      <c r="NW1" s="107"/>
      <c r="NX1" s="107"/>
      <c r="NY1" s="107"/>
      <c r="NZ1" s="107"/>
      <c r="OA1" s="107"/>
      <c r="OB1" s="107"/>
      <c r="OC1" s="107"/>
      <c r="OD1" s="107"/>
      <c r="OE1" s="107"/>
      <c r="OF1" s="107"/>
      <c r="OG1" s="107"/>
      <c r="OH1" s="107"/>
      <c r="OI1" s="107"/>
      <c r="OJ1" s="107"/>
      <c r="OK1" s="107"/>
      <c r="OL1" s="107"/>
      <c r="OM1" s="107"/>
      <c r="ON1" s="107"/>
      <c r="OO1" s="107"/>
      <c r="OP1" s="107"/>
      <c r="OQ1" s="107"/>
      <c r="OR1" s="107"/>
      <c r="OS1" s="107"/>
      <c r="OT1" s="107"/>
      <c r="OU1" s="107"/>
      <c r="OV1" s="107"/>
      <c r="OW1" s="107"/>
      <c r="OX1" s="107"/>
      <c r="OY1" s="107"/>
      <c r="OZ1" s="107"/>
      <c r="PA1" s="107"/>
      <c r="PB1" s="107"/>
      <c r="PC1" s="107"/>
      <c r="PD1" s="107"/>
      <c r="PE1" s="107"/>
      <c r="PF1" s="107"/>
      <c r="PG1" s="107"/>
      <c r="PH1" s="107"/>
      <c r="PI1" s="107"/>
      <c r="PJ1" s="107"/>
      <c r="PK1" s="107"/>
      <c r="PL1" s="107"/>
      <c r="PM1" s="107"/>
      <c r="PN1" s="107"/>
      <c r="PO1" s="107"/>
      <c r="PP1" s="107"/>
      <c r="PQ1" s="107"/>
      <c r="PR1" s="107"/>
      <c r="PS1" s="107"/>
      <c r="PT1" s="107"/>
      <c r="PU1" s="107"/>
      <c r="PV1" s="107"/>
      <c r="PW1" s="107"/>
      <c r="PX1" s="107"/>
      <c r="PY1" s="107"/>
      <c r="PZ1" s="107"/>
      <c r="QA1" s="107"/>
      <c r="QB1" s="107"/>
      <c r="QC1" s="107"/>
      <c r="QD1" s="107"/>
      <c r="QE1" s="107"/>
      <c r="QF1" s="107"/>
      <c r="QG1" s="107"/>
      <c r="QH1" s="107"/>
      <c r="QI1" s="107"/>
      <c r="QJ1" s="107"/>
      <c r="QK1" s="107"/>
      <c r="QL1" s="107"/>
      <c r="QM1" s="107"/>
      <c r="QN1" s="107"/>
      <c r="QO1" s="107"/>
      <c r="QP1" s="107"/>
      <c r="QQ1" s="107"/>
      <c r="QR1" s="107"/>
      <c r="QS1" s="107"/>
      <c r="QT1" s="107"/>
      <c r="QU1" s="107"/>
      <c r="QV1" s="107"/>
      <c r="QW1" s="107"/>
      <c r="QX1" s="107"/>
      <c r="QY1" s="107"/>
      <c r="QZ1" s="107"/>
      <c r="RA1" s="107"/>
      <c r="RB1" s="107"/>
      <c r="RC1" s="107"/>
      <c r="RD1" s="107"/>
      <c r="RE1" s="107"/>
      <c r="RF1" s="107"/>
      <c r="RG1" s="107"/>
      <c r="RH1" s="107"/>
    </row>
    <row r="2" spans="1:476" ht="13.2" x14ac:dyDescent="0.25">
      <c r="A2" s="103" t="s">
        <v>671</v>
      </c>
      <c r="B2" s="20" t="s">
        <v>672</v>
      </c>
      <c r="C2" s="21" t="s">
        <v>702</v>
      </c>
      <c r="D2" s="15" t="s">
        <v>704</v>
      </c>
      <c r="E2" s="15">
        <v>9694</v>
      </c>
      <c r="F2" s="21">
        <v>1.9</v>
      </c>
      <c r="G2" s="21" t="s">
        <v>142</v>
      </c>
      <c r="H2" s="21">
        <v>0.69</v>
      </c>
      <c r="I2" s="68">
        <f>MAX('Max rate concentrations'!$H$3:$H$368)</f>
        <v>282</v>
      </c>
      <c r="J2" s="68">
        <f>MAX('Max rate concentrations'!AA:AA)</f>
        <v>195</v>
      </c>
      <c r="K2" s="69">
        <f t="shared" ref="K2:K61" si="0">(((0.013*F2^0.773)/(1-H2)))*I2/F2</f>
        <v>10.222419503267922</v>
      </c>
      <c r="L2" s="69">
        <f>(((0.013*F2^0.773)/(1-H2)))*J2/F2</f>
        <v>7.0686943373661162</v>
      </c>
      <c r="M2" s="69">
        <f>IF((((0.065*F2^0.726)/3.7-(0.301*F2^0.751)/(1-H2)*H2)*(MAX('Max rate concentrations'!$P$3:$P$368)))/F2&gt;0, (((0.065*F2^0.726)/3.7-(0.301*F2^0.751)/(1-H2)*H2)*(MAX('Max rate concentrations'!$P$3:$P$368)))/F2, 0)</f>
        <v>0</v>
      </c>
      <c r="N2" s="69">
        <f>IF((((0.065*F2^0.726)/3.7-(0.301*F2^0.751)/(1-H2)*H2)*(MAX('Max rate concentrations'!$Q$3:$Q$368)))/F2&gt;0, (((0.065*F2^0.726)/3.7-(0.301*F2^0.751)/(1-H2)*H2)*(MAX('Max rate concentrations'!$Q$3:$Q$368)))/F2, 0)</f>
        <v>0</v>
      </c>
      <c r="O2" s="69" t="s">
        <v>13</v>
      </c>
      <c r="P2" s="69" t="s">
        <v>13</v>
      </c>
      <c r="Q2" s="69">
        <f>(inputs!$C$18*11.2)*(1.131*F2^0.579)*0.5*1/F2</f>
        <v>14.501623337415323</v>
      </c>
      <c r="R2" s="59">
        <f>(60*76.9*((F2/1000)^0.76)*3*24*(MAX('Max rate concentrations'!$R$3:$R$368))/F2)</f>
        <v>1.1516139601266571E-2</v>
      </c>
      <c r="S2" s="59">
        <f>(IF(inputs!$C$17="aerial",((0.025*0.112*inputs!$C$18/3.3)*(3*60*76.9*((F2/1000)^0.76))*MAX(inputs!$I$14:$I$16))/F2,((0.0083*0.112*inputs!$C$18/1)*(3*60*76.9*((F2/1000)^0.76))*MAX(inputs!$I$14:$I$16))/F2))</f>
        <v>4.8626541472240929E-2</v>
      </c>
      <c r="T2" s="63">
        <f>IF((((inputs!$P$13/(V2/MAX(K2:S2)))^(1/inputs!$O$13))-1)/inputs!$N$13&lt;0, 0, IF((((inputs!$P$13/(V2/MAX(K2:S2)))^(1/inputs!$O$13))-1)/inputs!$N$13&lt;inputs!$I$17, (((inputs!$P$13/(V2/MAX(K2:S2)))^(1/inputs!$O$13))-1)/inputs!$N$13, inputs!$I$17))</f>
        <v>1000</v>
      </c>
      <c r="U2" s="63">
        <f>IF((((inputs!$P$13/(X2/MAX(K2:S2)))^(1/inputs!$O$13))-1)/inputs!$N$13&lt;0, 0, IF((((inputs!$P$13/(X2/MAX(K2:S2)))^(1/inputs!$O$13))-1)/inputs!$N$13&lt;inputs!$I$17, (((inputs!$P$13/(X2/MAX(K2:S2)))^(1/inputs!$O$13))-1)/inputs!$N$13, inputs!$I$17))</f>
        <v>1000</v>
      </c>
      <c r="V2" s="21">
        <f>inputs!$E$87*(F2/inputs!$F$87)^(1)</f>
        <v>3.6099999999999999E-4</v>
      </c>
      <c r="W2" s="21">
        <f>inputs!$E$90*(F2/inputs!$F$90)^(1)</f>
        <v>3.8000000000000002E-4</v>
      </c>
      <c r="X2" s="21">
        <f>inputs!$E$89*(F2/inputs!$F$89)^(1)</f>
        <v>1.4189873417721518E-3</v>
      </c>
      <c r="Y2" s="21" t="s">
        <v>13</v>
      </c>
      <c r="Z2" s="63">
        <f t="shared" ref="Z2:Z65" si="1">MAX(K2:S2)/V2</f>
        <v>40170.701765693419</v>
      </c>
      <c r="AA2" s="63">
        <f t="shared" ref="AA2:AA65" si="2">MAX(K2:S2)/W2</f>
        <v>38162.166677408743</v>
      </c>
    </row>
    <row r="3" spans="1:476" ht="13.2" x14ac:dyDescent="0.25">
      <c r="A3" s="103" t="s">
        <v>671</v>
      </c>
      <c r="B3" s="20" t="s">
        <v>672</v>
      </c>
      <c r="C3" s="21" t="s">
        <v>702</v>
      </c>
      <c r="D3" s="15" t="s">
        <v>704</v>
      </c>
      <c r="E3" s="15">
        <v>9694</v>
      </c>
      <c r="F3" s="21">
        <v>1.9</v>
      </c>
      <c r="G3" s="21" t="s">
        <v>146</v>
      </c>
      <c r="H3" s="20">
        <v>0.84</v>
      </c>
      <c r="I3" s="68">
        <f>MAX('Max rate concentrations'!$I$3:$I$368)</f>
        <v>56.865414300472793</v>
      </c>
      <c r="J3" s="68" t="s">
        <v>13</v>
      </c>
      <c r="K3" s="69">
        <f t="shared" si="0"/>
        <v>3.9938753826248825</v>
      </c>
      <c r="L3" s="69" t="s">
        <v>13</v>
      </c>
      <c r="M3" s="69">
        <f>IF((((0.065*F3^0.726)/3.7-(0.301*F3^0.751)/(1-H3)*H3)*(MAX('Max rate concentrations'!$P$3:$P$368)))/F3&gt;0, (((0.065*F3^0.726)/3.7-(0.301*F3^0.751)/(1-H3)*H3)*(MAX('Max rate concentrations'!$P$3:$P$368)))/F3, 0)</f>
        <v>0</v>
      </c>
      <c r="N3" s="69">
        <f>IF((((0.065*F3^0.726)/3.7-(0.301*F3^0.751)/(1-H3)*H3)*(MAX('Max rate concentrations'!$Q$3:$Q$368)))/F3&gt;0, (((0.065*F3^0.726)/3.7-(0.301*F3^0.751)/(1-H3)*H3)*(MAX('Max rate concentrations'!$Q$3:$Q$368)))/F3, 0)</f>
        <v>0</v>
      </c>
      <c r="O3" s="69" t="s">
        <v>13</v>
      </c>
      <c r="P3" s="69" t="s">
        <v>13</v>
      </c>
      <c r="Q3" s="69">
        <f>(inputs!$C$18*11.2)*(1.131*F3^0.579)*0.5*1/F3</f>
        <v>14.501623337415323</v>
      </c>
      <c r="R3" s="59">
        <f>(60*76.9*((F3/1000)^0.76)*3*24*(MAX('Max rate concentrations'!$R$3:$R$368))/F3)</f>
        <v>1.1516139601266571E-2</v>
      </c>
      <c r="S3" s="59">
        <f>(IF(inputs!$C$17="aerial",((0.025*0.112*inputs!$C$18/3.3)*(3*60*76.9*((F3/1000)^0.76))*MAX(inputs!$I$14:$I$16))/F3,((0.0083*0.112*inputs!$C$18/1)*(3*60*76.9*((F3/1000)^0.76))*MAX(inputs!$I$14:$I$16))/F3))</f>
        <v>4.8626541472240929E-2</v>
      </c>
      <c r="T3" s="63">
        <f>IF((((inputs!$P$13/(V3/MAX(K3:S3)))^(1/inputs!$O$13))-1)/inputs!$N$13&lt;0, 0, IF((((inputs!$P$13/(V3/MAX(K3:S3)))^(1/inputs!$O$13))-1)/inputs!$N$13&lt;inputs!$I$17, (((inputs!$P$13/(V3/MAX(K3:S3)))^(1/inputs!$O$13))-1)/inputs!$N$13, inputs!$I$17))</f>
        <v>1000</v>
      </c>
      <c r="U3" s="63">
        <f>IF((((inputs!$P$13/(X3/MAX(K3:S3)))^(1/inputs!$O$13))-1)/inputs!$N$13&lt;0, 0, IF((((inputs!$P$13/(X3/MAX(K3:S3)))^(1/inputs!$O$13))-1)/inputs!$N$13&lt;inputs!$I$17, (((inputs!$P$13/(X3/MAX(K3:S3)))^(1/inputs!$O$13))-1)/inputs!$N$13, inputs!$I$17))</f>
        <v>1000</v>
      </c>
      <c r="V3" s="21">
        <f>inputs!$E$87*(F3/inputs!$F$87)^(1)</f>
        <v>3.6099999999999999E-4</v>
      </c>
      <c r="W3" s="21">
        <f>inputs!$E$90*(F3/inputs!$F$90)^(1)</f>
        <v>3.8000000000000002E-4</v>
      </c>
      <c r="X3" s="21">
        <f>inputs!$E$89*(F3/inputs!$F$89)^(1)</f>
        <v>1.4189873417721518E-3</v>
      </c>
      <c r="Y3" s="21" t="s">
        <v>13</v>
      </c>
      <c r="Z3" s="63">
        <f t="shared" si="1"/>
        <v>40170.701765693419</v>
      </c>
      <c r="AA3" s="63">
        <f t="shared" si="2"/>
        <v>38162.166677408743</v>
      </c>
    </row>
    <row r="4" spans="1:476" ht="13.2" x14ac:dyDescent="0.25">
      <c r="A4" s="103" t="s">
        <v>657</v>
      </c>
      <c r="B4" s="20" t="s">
        <v>658</v>
      </c>
      <c r="C4" s="21" t="s">
        <v>702</v>
      </c>
      <c r="D4" s="15" t="s">
        <v>704</v>
      </c>
      <c r="E4" s="15">
        <v>204</v>
      </c>
      <c r="F4" s="21">
        <v>14</v>
      </c>
      <c r="G4" s="21" t="s">
        <v>142</v>
      </c>
      <c r="H4" s="21">
        <v>0.69</v>
      </c>
      <c r="I4" s="68">
        <f>MAX('Max rate concentrations'!$H$3:$H$368)</f>
        <v>282</v>
      </c>
      <c r="J4" s="68">
        <f>MAX('Max rate concentrations'!AA:AA)</f>
        <v>195</v>
      </c>
      <c r="K4" s="69">
        <f t="shared" si="0"/>
        <v>6.496204719718536</v>
      </c>
      <c r="L4" s="69">
        <f t="shared" ref="L4:L16" si="3">(((0.013*F4^0.773)/(1-H4)))*J4/F4</f>
        <v>4.4920564551245201</v>
      </c>
      <c r="M4" s="69">
        <f>IF((((0.065*F4^0.726)/3.7-(0.301*F4^0.751)/(1-H4)*H4)*(MAX('Max rate concentrations'!$P$3:$P$368)))/F4&gt;0, (((0.065*F4^0.726)/3.7-(0.301*F4^0.751)/(1-H4)*H4)*(MAX('Max rate concentrations'!$P$3:$P$368)))/F4, 0)</f>
        <v>0</v>
      </c>
      <c r="N4" s="69">
        <f>IF((((0.065*F4^0.726)/3.7-(0.301*F4^0.751)/(1-H4)*H4)*(MAX('Max rate concentrations'!$Q$3:$Q$368)))/F4&gt;0, (((0.065*F4^0.726)/3.7-(0.301*F4^0.751)/(1-H4)*H4)*(MAX('Max rate concentrations'!$Q$3:$Q$368)))/F4, 0)</f>
        <v>0</v>
      </c>
      <c r="O4" s="69" t="s">
        <v>13</v>
      </c>
      <c r="P4" s="69" t="s">
        <v>13</v>
      </c>
      <c r="Q4" s="69">
        <f>(inputs!$C$18*11.2)*(1.131*F4^0.579)*0.5*1/F4</f>
        <v>6.2553553182127706</v>
      </c>
      <c r="R4" s="59">
        <f>(60*76.9*((F4/1000)^0.76)*3*24*(MAX('Max rate concentrations'!$R$3:$R$368))/F4)</f>
        <v>7.1307803085316054E-3</v>
      </c>
      <c r="S4" s="59">
        <f>(IF(inputs!$C$17="aerial",((0.025*0.112*inputs!$C$18/3.3)*(3*60*76.9*((F4/1000)^0.76))*MAX(inputs!$I$14:$I$16))/F4,((0.0083*0.112*inputs!$C$18/1)*(3*60*76.9*((F4/1000)^0.76))*MAX(inputs!$I$14:$I$16))/F4))</f>
        <v>3.0109498183238E-2</v>
      </c>
      <c r="T4" s="63">
        <f>IF((((inputs!$P$13/(V4/MAX(K4:S4)))^(1/inputs!$O$13))-1)/inputs!$N$13&lt;0, 0, IF((((inputs!$P$13/(V4/MAX(K4:S4)))^(1/inputs!$O$13))-1)/inputs!$N$13&lt;inputs!$I$17, (((inputs!$P$13/(V4/MAX(K4:S4)))^(1/inputs!$O$13))-1)/inputs!$N$13, inputs!$I$17))</f>
        <v>1000</v>
      </c>
      <c r="U4" s="63">
        <f>IF((((inputs!$P$13/(X4/MAX(K4:S4)))^(1/inputs!$O$13))-1)/inputs!$N$13&lt;0, 0, IF((((inputs!$P$13/(X4/MAX(K4:S4)))^(1/inputs!$O$13))-1)/inputs!$N$13&lt;inputs!$I$17, (((inputs!$P$13/(X4/MAX(K4:S4)))^(1/inputs!$O$13))-1)/inputs!$N$13, inputs!$I$17))</f>
        <v>985.63997213982827</v>
      </c>
      <c r="V4" s="21">
        <f>inputs!$E$87*(F4/inputs!$F$87)^(1)</f>
        <v>2.66E-3</v>
      </c>
      <c r="W4" s="21">
        <f>inputs!$E$90*(F4/inputs!$F$90)^(1)</f>
        <v>2.8E-3</v>
      </c>
      <c r="X4" s="21">
        <f>inputs!$E$89*(F4/inputs!$F$89)^(1)</f>
        <v>1.0455696202531645E-2</v>
      </c>
      <c r="Y4" s="21" t="s">
        <v>13</v>
      </c>
      <c r="Z4" s="63">
        <f t="shared" si="1"/>
        <v>2442.1822254580961</v>
      </c>
      <c r="AA4" s="63">
        <f t="shared" si="2"/>
        <v>2320.0731141851916</v>
      </c>
    </row>
    <row r="5" spans="1:476" ht="13.2" x14ac:dyDescent="0.25">
      <c r="A5" s="103" t="s">
        <v>689</v>
      </c>
      <c r="B5" s="20" t="s">
        <v>690</v>
      </c>
      <c r="C5" s="21" t="s">
        <v>702</v>
      </c>
      <c r="D5" s="15" t="s">
        <v>704</v>
      </c>
      <c r="E5" s="15">
        <v>205</v>
      </c>
      <c r="F5" s="21">
        <v>8.6999999999999993</v>
      </c>
      <c r="G5" s="21" t="s">
        <v>182</v>
      </c>
      <c r="H5" s="21">
        <v>0.85</v>
      </c>
      <c r="I5" s="68">
        <f>MAX('Max rate concentrations'!$M$3:$M$368)</f>
        <v>17.092910873809167</v>
      </c>
      <c r="J5" s="68">
        <f>MAX('Max rate concentrations'!AE:AE)</f>
        <v>11.81956602976166</v>
      </c>
      <c r="K5" s="69">
        <f t="shared" si="0"/>
        <v>0.90656145743095284</v>
      </c>
      <c r="L5" s="69">
        <f t="shared" si="3"/>
        <v>0.6268776035426803</v>
      </c>
      <c r="M5" s="69">
        <f>IF((((0.065*F5^0.726)/3.7-(0.301*F5^0.751)/(1-H5)*H5)*(MAX('Max rate concentrations'!$P$3:$P$368)))/F5&gt;0, (((0.065*F5^0.726)/3.7-(0.301*F5^0.751)/(1-H5)*H5)*(MAX('Max rate concentrations'!$P$3:$P$368)))/F5, 0)</f>
        <v>0</v>
      </c>
      <c r="N5" s="69">
        <f>IF((((0.065*F5^0.726)/3.7-(0.301*F5^0.751)/(1-H5)*H5)*(MAX('Max rate concentrations'!$Q$3:$Q$368)))/F5&gt;0, (((0.065*F5^0.726)/3.7-(0.301*F5^0.751)/(1-H5)*H5)*(MAX('Max rate concentrations'!$Q$3:$Q$368)))/F5, 0)</f>
        <v>0</v>
      </c>
      <c r="O5" s="69" t="s">
        <v>13</v>
      </c>
      <c r="P5" s="69" t="s">
        <v>13</v>
      </c>
      <c r="Q5" s="69">
        <f>(inputs!$C$18*11.2)*(1.131*F5^0.579)*0.5*1/F5</f>
        <v>7.6424794795883884</v>
      </c>
      <c r="R5" s="59">
        <f>(60*76.9*((F5/1000)^0.76)*3*24*(MAX('Max rate concentrations'!$R$3:$R$368))/F5)</f>
        <v>7.9932457320173421E-3</v>
      </c>
      <c r="S5" s="59">
        <f>(IF(inputs!$C$17="aerial",((0.025*0.112*inputs!$C$18/3.3)*(3*60*76.9*((F5/1000)^0.76))*MAX(inputs!$I$14:$I$16))/F5,((0.0083*0.112*inputs!$C$18/1)*(3*60*76.9*((F5/1000)^0.76))*MAX(inputs!$I$14:$I$16))/F5))</f>
        <v>3.3751231623052373E-2</v>
      </c>
      <c r="T5" s="63">
        <f>IF((((inputs!$P$13/(V5/MAX(K5:S5)))^(1/inputs!$O$13))-1)/inputs!$N$13&lt;0, 0, IF((((inputs!$P$13/(V5/MAX(K5:S5)))^(1/inputs!$O$13))-1)/inputs!$N$13&lt;inputs!$I$17, (((inputs!$P$13/(V5/MAX(K5:S5)))^(1/inputs!$O$13))-1)/inputs!$N$13, inputs!$I$17))</f>
        <v>1000</v>
      </c>
      <c r="U5" s="63">
        <f>IF((((inputs!$P$13/(X5/MAX(K5:S5)))^(1/inputs!$O$13))-1)/inputs!$N$13&lt;0, 0, IF((((inputs!$P$13/(X5/MAX(K5:S5)))^(1/inputs!$O$13))-1)/inputs!$N$13&lt;inputs!$I$17, (((inputs!$P$13/(X5/MAX(K5:S5)))^(1/inputs!$O$13))-1)/inputs!$N$13, inputs!$I$17))</f>
        <v>1000</v>
      </c>
      <c r="V5" s="21">
        <f>inputs!$E$87*(F5/inputs!$F$87)^(1)</f>
        <v>1.6529999999999997E-3</v>
      </c>
      <c r="W5" s="21">
        <f>inputs!$E$90*(F5/inputs!$F$90)^(1)</f>
        <v>1.7399999999999998E-3</v>
      </c>
      <c r="X5" s="21">
        <f>inputs!$E$89*(F5/inputs!$F$89)^(1)</f>
        <v>6.4974683544303784E-3</v>
      </c>
      <c r="Y5" s="21" t="s">
        <v>13</v>
      </c>
      <c r="Z5" s="63">
        <f t="shared" si="1"/>
        <v>4623.3995641793044</v>
      </c>
      <c r="AA5" s="63">
        <f t="shared" si="2"/>
        <v>4392.229585970339</v>
      </c>
    </row>
    <row r="6" spans="1:476" ht="13.2" x14ac:dyDescent="0.25">
      <c r="A6" s="103" t="s">
        <v>689</v>
      </c>
      <c r="B6" s="20" t="s">
        <v>690</v>
      </c>
      <c r="C6" s="21" t="s">
        <v>702</v>
      </c>
      <c r="D6" s="15" t="s">
        <v>704</v>
      </c>
      <c r="E6" s="15">
        <v>205</v>
      </c>
      <c r="F6" s="21">
        <v>8.6999999999999993</v>
      </c>
      <c r="G6" s="21" t="s">
        <v>142</v>
      </c>
      <c r="H6" s="21">
        <v>0.69</v>
      </c>
      <c r="I6" s="68">
        <f>MAX('Max rate concentrations'!$H$3:$H$368)</f>
        <v>282</v>
      </c>
      <c r="J6" s="68">
        <f>MAX('Max rate concentrations'!AA:AA)</f>
        <v>195</v>
      </c>
      <c r="K6" s="69">
        <f t="shared" si="0"/>
        <v>7.2370220599404309</v>
      </c>
      <c r="L6" s="69">
        <f t="shared" si="3"/>
        <v>5.0043237648524252</v>
      </c>
      <c r="M6" s="69">
        <f>IF((((0.065*F6^0.726)/3.7-(0.301*F6^0.751)/(1-H6)*H6)*(MAX('Max rate concentrations'!$P$3:$P$368)))/F6&gt;0, (((0.065*F6^0.726)/3.7-(0.301*F6^0.751)/(1-H6)*H6)*(MAX('Max rate concentrations'!$P$3:$P$368)))/F6, 0)</f>
        <v>0</v>
      </c>
      <c r="N6" s="69">
        <f>IF((((0.065*F6^0.726)/3.7-(0.301*F6^0.751)/(1-H6)*H6)*(MAX('Max rate concentrations'!$Q$3:$Q$368)))/F6&gt;0, (((0.065*F6^0.726)/3.7-(0.301*F6^0.751)/(1-H6)*H6)*(MAX('Max rate concentrations'!$Q$3:$Q$368)))/F6, 0)</f>
        <v>0</v>
      </c>
      <c r="O6" s="69" t="s">
        <v>13</v>
      </c>
      <c r="P6" s="69" t="s">
        <v>13</v>
      </c>
      <c r="Q6" s="69">
        <f>(inputs!$C$18*11.2)*(1.131*F6^0.579)*0.5*1/F6</f>
        <v>7.6424794795883884</v>
      </c>
      <c r="R6" s="59">
        <f>(60*76.9*((F6/1000)^0.76)*3*24*(MAX('Max rate concentrations'!$R$3:$R$368))/F6)</f>
        <v>7.9932457320173421E-3</v>
      </c>
      <c r="S6" s="59">
        <f>(IF(inputs!$C$17="aerial",((0.025*0.112*inputs!$C$18/3.3)*(3*60*76.9*((F6/1000)^0.76))*MAX(inputs!$I$14:$I$16))/F6,((0.0083*0.112*inputs!$C$18/1)*(3*60*76.9*((F6/1000)^0.76))*MAX(inputs!$I$14:$I$16))/F6))</f>
        <v>3.3751231623052373E-2</v>
      </c>
      <c r="T6" s="63">
        <f>IF((((inputs!$P$13/(V6/MAX(K6:S6)))^(1/inputs!$O$13))-1)/inputs!$N$13&lt;0, 0, IF((((inputs!$P$13/(V6/MAX(K6:S6)))^(1/inputs!$O$13))-1)/inputs!$N$13&lt;inputs!$I$17, (((inputs!$P$13/(V6/MAX(K6:S6)))^(1/inputs!$O$13))-1)/inputs!$N$13, inputs!$I$17))</f>
        <v>1000</v>
      </c>
      <c r="U6" s="63">
        <f>IF((((inputs!$P$13/(X6/MAX(K6:S6)))^(1/inputs!$O$13))-1)/inputs!$N$13&lt;0, 0, IF((((inputs!$P$13/(X6/MAX(K6:S6)))^(1/inputs!$O$13))-1)/inputs!$N$13&lt;inputs!$I$17, (((inputs!$P$13/(X6/MAX(K6:S6)))^(1/inputs!$O$13))-1)/inputs!$N$13, inputs!$I$17))</f>
        <v>1000</v>
      </c>
      <c r="V6" s="21">
        <f>inputs!$E$87*(F6/inputs!$F$87)^(1)</f>
        <v>1.6529999999999997E-3</v>
      </c>
      <c r="W6" s="21">
        <f>inputs!$E$90*(F6/inputs!$F$90)^(1)</f>
        <v>1.7399999999999998E-3</v>
      </c>
      <c r="X6" s="21">
        <f>inputs!$E$89*(F6/inputs!$F$89)^(1)</f>
        <v>6.4974683544303784E-3</v>
      </c>
      <c r="Y6" s="21" t="s">
        <v>13</v>
      </c>
      <c r="Z6" s="63">
        <f t="shared" si="1"/>
        <v>4623.3995641793044</v>
      </c>
      <c r="AA6" s="63">
        <f t="shared" si="2"/>
        <v>4392.229585970339</v>
      </c>
    </row>
    <row r="7" spans="1:476" ht="13.2" x14ac:dyDescent="0.25">
      <c r="A7" s="103" t="s">
        <v>689</v>
      </c>
      <c r="B7" s="20" t="s">
        <v>690</v>
      </c>
      <c r="C7" s="21" t="s">
        <v>702</v>
      </c>
      <c r="D7" s="15" t="s">
        <v>704</v>
      </c>
      <c r="E7" s="15">
        <v>205</v>
      </c>
      <c r="F7" s="21">
        <v>8.6999999999999993</v>
      </c>
      <c r="G7" s="21" t="s">
        <v>456</v>
      </c>
      <c r="H7" s="20">
        <v>0.68</v>
      </c>
      <c r="I7" s="68">
        <f>MAX('Max rate concentrations'!$J$3:$J$368)</f>
        <v>686.46486205830786</v>
      </c>
      <c r="J7" s="68">
        <f>MAX('Max rate concentrations'!AB:AB)</f>
        <v>243.122971978984</v>
      </c>
      <c r="K7" s="69">
        <f t="shared" si="0"/>
        <v>17.066356588296561</v>
      </c>
      <c r="L7" s="69">
        <f t="shared" si="3"/>
        <v>6.0443346250216967</v>
      </c>
      <c r="M7" s="69">
        <f>IF((((0.065*F7^0.726)/3.7-(0.301*F7^0.751)/(1-H7)*H7)*(MAX('Max rate concentrations'!$P$3:$P$368)))/F7&gt;0, (((0.065*F7^0.726)/3.7-(0.301*F7^0.751)/(1-H7)*H7)*(MAX('Max rate concentrations'!$P$3:$P$368)))/F7, 0)</f>
        <v>0</v>
      </c>
      <c r="N7" s="69">
        <f>IF((((0.065*F7^0.726)/3.7-(0.301*F7^0.751)/(1-H7)*H7)*(MAX('Max rate concentrations'!$Q$3:$Q$368)))/F7&gt;0, (((0.065*F7^0.726)/3.7-(0.301*F7^0.751)/(1-H7)*H7)*(MAX('Max rate concentrations'!$Q$3:$Q$368)))/F7, 0)</f>
        <v>0</v>
      </c>
      <c r="O7" s="69" t="s">
        <v>13</v>
      </c>
      <c r="P7" s="69" t="s">
        <v>13</v>
      </c>
      <c r="Q7" s="69">
        <f>(inputs!$C$18*11.2)*(1.131*F7^0.579)*0.5*1/F7</f>
        <v>7.6424794795883884</v>
      </c>
      <c r="R7" s="59">
        <f>(60*76.9*((F7/1000)^0.76)*3*24*(MAX('Max rate concentrations'!$R$3:$R$368))/F7)</f>
        <v>7.9932457320173421E-3</v>
      </c>
      <c r="S7" s="59">
        <f>(IF(inputs!$C$17="aerial",((0.025*0.112*inputs!$C$18/3.3)*(3*60*76.9*((F7/1000)^0.76))*MAX(inputs!$I$14:$I$16))/F7,((0.0083*0.112*inputs!$C$18/1)*(3*60*76.9*((F7/1000)^0.76))*MAX(inputs!$I$14:$I$16))/F7))</f>
        <v>3.3751231623052373E-2</v>
      </c>
      <c r="T7" s="63">
        <f>IF((((inputs!$P$13/(V7/MAX(K7:S7)))^(1/inputs!$O$13))-1)/inputs!$N$13&lt;0, 0, IF((((inputs!$P$13/(V7/MAX(K7:S7)))^(1/inputs!$O$13))-1)/inputs!$N$13&lt;inputs!$I$17, (((inputs!$P$13/(V7/MAX(K7:S7)))^(1/inputs!$O$13))-1)/inputs!$N$13, inputs!$I$17))</f>
        <v>1000</v>
      </c>
      <c r="U7" s="63">
        <f>IF((((inputs!$P$13/(X7/MAX(K7:S7)))^(1/inputs!$O$13))-1)/inputs!$N$13&lt;0, 0, IF((((inputs!$P$13/(X7/MAX(K7:S7)))^(1/inputs!$O$13))-1)/inputs!$N$13&lt;inputs!$I$17, (((inputs!$P$13/(X7/MAX(K7:S7)))^(1/inputs!$O$13))-1)/inputs!$N$13, inputs!$I$17))</f>
        <v>1000</v>
      </c>
      <c r="V7" s="21">
        <f>inputs!$E$87*(F7/inputs!$F$87)^(1)</f>
        <v>1.6529999999999997E-3</v>
      </c>
      <c r="W7" s="21">
        <f>inputs!$E$90*(F7/inputs!$F$90)^(1)</f>
        <v>1.7399999999999998E-3</v>
      </c>
      <c r="X7" s="21">
        <f>inputs!$E$89*(F7/inputs!$F$89)^(1)</f>
        <v>6.4974683544303784E-3</v>
      </c>
      <c r="Y7" s="21" t="s">
        <v>13</v>
      </c>
      <c r="Z7" s="63">
        <f t="shared" si="1"/>
        <v>10324.474645067492</v>
      </c>
      <c r="AA7" s="63">
        <f t="shared" si="2"/>
        <v>9808.2509128141173</v>
      </c>
    </row>
    <row r="8" spans="1:476" ht="13.2" x14ac:dyDescent="0.25">
      <c r="A8" s="103" t="s">
        <v>687</v>
      </c>
      <c r="B8" s="20" t="s">
        <v>688</v>
      </c>
      <c r="C8" s="21" t="s">
        <v>702</v>
      </c>
      <c r="D8" s="15" t="s">
        <v>704</v>
      </c>
      <c r="E8" s="15">
        <v>206</v>
      </c>
      <c r="F8" s="21">
        <v>13</v>
      </c>
      <c r="G8" s="21" t="s">
        <v>142</v>
      </c>
      <c r="H8" s="21">
        <v>0.69</v>
      </c>
      <c r="I8" s="68">
        <f>MAX('Max rate concentrations'!$H$3:$H$368)</f>
        <v>282</v>
      </c>
      <c r="J8" s="68">
        <f>MAX('Max rate concentrations'!AA:AA)</f>
        <v>195</v>
      </c>
      <c r="K8" s="69">
        <f t="shared" si="0"/>
        <v>6.6064115653523405</v>
      </c>
      <c r="L8" s="69">
        <f t="shared" si="3"/>
        <v>4.5682633164670445</v>
      </c>
      <c r="M8" s="69">
        <f>IF((((0.065*F8^0.726)/3.7-(0.301*F8^0.751)/(1-H8)*H8)*(MAX('Max rate concentrations'!$P$3:$P$368)))/F8&gt;0, (((0.065*F8^0.726)/3.7-(0.301*F8^0.751)/(1-H8)*H8)*(MAX('Max rate concentrations'!$P$3:$P$368)))/F8, 0)</f>
        <v>0</v>
      </c>
      <c r="N8" s="69">
        <f>IF((((0.065*F8^0.726)/3.7-(0.301*F8^0.751)/(1-H8)*H8)*(MAX('Max rate concentrations'!$Q$3:$Q$368)))/F8&gt;0, (((0.065*F8^0.726)/3.7-(0.301*F8^0.751)/(1-H8)*H8)*(MAX('Max rate concentrations'!$Q$3:$Q$368)))/F8, 0)</f>
        <v>0</v>
      </c>
      <c r="O8" s="69" t="s">
        <v>13</v>
      </c>
      <c r="P8" s="69" t="s">
        <v>13</v>
      </c>
      <c r="Q8" s="69">
        <f>(inputs!$C$18*11.2)*(1.131*F8^0.579)*0.5*1/F8</f>
        <v>6.4535954141461485</v>
      </c>
      <c r="R8" s="59">
        <f>(60*76.9*((F8/1000)^0.76)*3*24*(MAX('Max rate concentrations'!$R$3:$R$368))/F8)</f>
        <v>7.2587423364886931E-3</v>
      </c>
      <c r="S8" s="59">
        <f>(IF(inputs!$C$17="aerial",((0.025*0.112*inputs!$C$18/3.3)*(3*60*76.9*((F8/1000)^0.76))*MAX(inputs!$I$14:$I$16))/F8,((0.0083*0.112*inputs!$C$18/1)*(3*60*76.9*((F8/1000)^0.76))*MAX(inputs!$I$14:$I$16))/F8))</f>
        <v>3.0649813868421524E-2</v>
      </c>
      <c r="T8" s="63">
        <f>IF((((inputs!$P$13/(V8/MAX(K8:S8)))^(1/inputs!$O$13))-1)/inputs!$N$13&lt;0, 0, IF((((inputs!$P$13/(V8/MAX(K8:S8)))^(1/inputs!$O$13))-1)/inputs!$N$13&lt;inputs!$I$17, (((inputs!$P$13/(V8/MAX(K8:S8)))^(1/inputs!$O$13))-1)/inputs!$N$13, inputs!$I$17))</f>
        <v>1000</v>
      </c>
      <c r="U8" s="63">
        <f>IF((((inputs!$P$13/(X8/MAX(K8:S8)))^(1/inputs!$O$13))-1)/inputs!$N$13&lt;0, 0, IF((((inputs!$P$13/(X8/MAX(K8:S8)))^(1/inputs!$O$13))-1)/inputs!$N$13&lt;inputs!$I$17, (((inputs!$P$13/(X8/MAX(K8:S8)))^(1/inputs!$O$13))-1)/inputs!$N$13, inputs!$I$17))</f>
        <v>1000</v>
      </c>
      <c r="V8" s="21">
        <f>inputs!$E$87*(F8/inputs!$F$87)^(1)</f>
        <v>2.47E-3</v>
      </c>
      <c r="W8" s="21">
        <f>inputs!$E$90*(F8/inputs!$F$90)^(1)</f>
        <v>2.6000000000000003E-3</v>
      </c>
      <c r="X8" s="21">
        <f>inputs!$E$89*(F8/inputs!$F$89)^(1)</f>
        <v>9.7088607594936708E-3</v>
      </c>
      <c r="Y8" s="21" t="s">
        <v>13</v>
      </c>
      <c r="Z8" s="63">
        <f t="shared" si="1"/>
        <v>2674.6605527742267</v>
      </c>
      <c r="AA8" s="63">
        <f t="shared" si="2"/>
        <v>2540.9275251355152</v>
      </c>
    </row>
    <row r="9" spans="1:476" ht="13.2" x14ac:dyDescent="0.25">
      <c r="A9" s="103" t="s">
        <v>687</v>
      </c>
      <c r="B9" s="20" t="s">
        <v>688</v>
      </c>
      <c r="C9" s="21" t="s">
        <v>702</v>
      </c>
      <c r="D9" s="15" t="s">
        <v>704</v>
      </c>
      <c r="E9" s="15">
        <v>206</v>
      </c>
      <c r="F9" s="21">
        <v>13</v>
      </c>
      <c r="G9" s="21" t="s">
        <v>164</v>
      </c>
      <c r="H9" s="21">
        <v>0.78</v>
      </c>
      <c r="I9" s="68">
        <f>inputs!$C$66*(inputs!$C$62/1000)</f>
        <v>8.2000000000000011</v>
      </c>
      <c r="J9" s="68">
        <f>inputs!$C$66*(inputs!$C$61/1000)</f>
        <v>2.5</v>
      </c>
      <c r="K9" s="69">
        <f t="shared" si="0"/>
        <v>0.27068823660744123</v>
      </c>
      <c r="L9" s="69">
        <f t="shared" si="3"/>
        <v>8.2526901404707698E-2</v>
      </c>
      <c r="M9" s="69">
        <f>IF((((0.065*F9^0.726)/3.7-(0.301*F9^0.751)/(1-H9)*H9)*(MAX('Max rate concentrations'!$P$3:$P$368)))/F9&gt;0, (((0.065*F9^0.726)/3.7-(0.301*F9^0.751)/(1-H9)*H9)*(MAX('Max rate concentrations'!$P$3:$P$368)))/F9, 0)</f>
        <v>0</v>
      </c>
      <c r="N9" s="69">
        <f>IF((((0.065*F9^0.726)/3.7-(0.301*F9^0.751)/(1-H9)*H9)*(MAX('Max rate concentrations'!$Q$3:$Q$368)))/F9&gt;0, (((0.065*F9^0.726)/3.7-(0.301*F9^0.751)/(1-H9)*H9)*(MAX('Max rate concentrations'!$Q$3:$Q$368)))/F9, 0)</f>
        <v>0</v>
      </c>
      <c r="O9" s="69" t="s">
        <v>13</v>
      </c>
      <c r="P9" s="69" t="s">
        <v>13</v>
      </c>
      <c r="Q9" s="69">
        <f>(inputs!$C$18*11.2)*(1.131*F9^0.579)*0.5*1/F9</f>
        <v>6.4535954141461485</v>
      </c>
      <c r="R9" s="59">
        <f>(60*76.9*((F9/1000)^0.76)*3*24*(MAX('Max rate concentrations'!$R$3:$R$368))/F9)</f>
        <v>7.2587423364886931E-3</v>
      </c>
      <c r="S9" s="59">
        <f>(IF(inputs!$C$17="aerial",((0.025*0.112*inputs!$C$18/3.3)*(3*60*76.9*((F9/1000)^0.76))*MAX(inputs!$I$14:$I$16))/F9,((0.0083*0.112*inputs!$C$18/1)*(3*60*76.9*((F9/1000)^0.76))*MAX(inputs!$I$14:$I$16))/F9))</f>
        <v>3.0649813868421524E-2</v>
      </c>
      <c r="T9" s="63">
        <f>IF((((inputs!$P$13/(V9/MAX(K9:S9)))^(1/inputs!$O$13))-1)/inputs!$N$13&lt;0, 0, IF((((inputs!$P$13/(V9/MAX(K9:S9)))^(1/inputs!$O$13))-1)/inputs!$N$13&lt;inputs!$I$17, (((inputs!$P$13/(V9/MAX(K9:S9)))^(1/inputs!$O$13))-1)/inputs!$N$13, inputs!$I$17))</f>
        <v>1000</v>
      </c>
      <c r="U9" s="63">
        <f>IF((((inputs!$P$13/(X9/MAX(K9:S9)))^(1/inputs!$O$13))-1)/inputs!$N$13&lt;0, 0, IF((((inputs!$P$13/(X9/MAX(K9:S9)))^(1/inputs!$O$13))-1)/inputs!$N$13&lt;inputs!$I$17, (((inputs!$P$13/(X9/MAX(K9:S9)))^(1/inputs!$O$13))-1)/inputs!$N$13, inputs!$I$17))</f>
        <v>1000</v>
      </c>
      <c r="V9" s="21">
        <f>inputs!$E$87*(F9/inputs!$F$87)^(1)</f>
        <v>2.47E-3</v>
      </c>
      <c r="W9" s="21">
        <f>inputs!$E$90*(F9/inputs!$F$90)^(1)</f>
        <v>2.6000000000000003E-3</v>
      </c>
      <c r="X9" s="21">
        <f>inputs!$E$89*(F9/inputs!$F$89)^(1)</f>
        <v>9.7088607594936708E-3</v>
      </c>
      <c r="Y9" s="21" t="s">
        <v>13</v>
      </c>
      <c r="Z9" s="63">
        <f t="shared" si="1"/>
        <v>2612.7916656462139</v>
      </c>
      <c r="AA9" s="63">
        <f t="shared" si="2"/>
        <v>2482.152082363903</v>
      </c>
    </row>
    <row r="10" spans="1:476" ht="13.2" x14ac:dyDescent="0.25">
      <c r="A10" s="103" t="s">
        <v>687</v>
      </c>
      <c r="B10" s="20" t="s">
        <v>688</v>
      </c>
      <c r="C10" s="21" t="s">
        <v>702</v>
      </c>
      <c r="D10" s="15" t="s">
        <v>704</v>
      </c>
      <c r="E10" s="15">
        <v>206</v>
      </c>
      <c r="F10" s="21">
        <v>13</v>
      </c>
      <c r="G10" s="21" t="s">
        <v>138</v>
      </c>
      <c r="H10" s="20">
        <v>0.68</v>
      </c>
      <c r="I10" s="68">
        <f>MAX('Max rate concentrations'!$L$3:$L$368)</f>
        <v>350.52744091332482</v>
      </c>
      <c r="J10" s="68">
        <f>MAX('Max rate concentrations'!AD:AD)</f>
        <v>242.38599637623525</v>
      </c>
      <c r="K10" s="69">
        <f t="shared" si="0"/>
        <v>7.9551844778720762</v>
      </c>
      <c r="L10" s="69">
        <f t="shared" si="3"/>
        <v>5.500925436826436</v>
      </c>
      <c r="M10" s="69">
        <f>IF((((0.065*F10^0.726)/3.7-(0.301*F10^0.751)/(1-H10)*H10)*(MAX('Max rate concentrations'!$P$3:$P$368)))/F10&gt;0, (((0.065*F10^0.726)/3.7-(0.301*F10^0.751)/(1-H10)*H10)*(MAX('Max rate concentrations'!$P$3:$P$368)))/F10, 0)</f>
        <v>0</v>
      </c>
      <c r="N10" s="69">
        <f>IF((((0.065*F10^0.726)/3.7-(0.301*F10^0.751)/(1-H10)*H10)*(MAX('Max rate concentrations'!$Q$3:$Q$368)))/F10&gt;0, (((0.065*F10^0.726)/3.7-(0.301*F10^0.751)/(1-H10)*H10)*(MAX('Max rate concentrations'!$Q$3:$Q$368)))/F10, 0)</f>
        <v>0</v>
      </c>
      <c r="O10" s="69" t="s">
        <v>13</v>
      </c>
      <c r="P10" s="69" t="s">
        <v>13</v>
      </c>
      <c r="Q10" s="69">
        <f>(inputs!$C$18*11.2)*(1.131*F10^0.579)*0.5*1/F10</f>
        <v>6.4535954141461485</v>
      </c>
      <c r="R10" s="59">
        <f>(60*76.9*((F10/1000)^0.76)*3*24*(MAX('Max rate concentrations'!$R$3:$R$368))/F10)</f>
        <v>7.2587423364886931E-3</v>
      </c>
      <c r="S10" s="59">
        <f>(IF(inputs!$C$17="aerial",((0.025*0.112*inputs!$C$18/3.3)*(3*60*76.9*((F10/1000)^0.76))*MAX(inputs!$I$14:$I$16))/F10,((0.0083*0.112*inputs!$C$18/1)*(3*60*76.9*((F10/1000)^0.76))*MAX(inputs!$I$14:$I$16))/F10))</f>
        <v>3.0649813868421524E-2</v>
      </c>
      <c r="T10" s="63">
        <f>IF((((inputs!$P$13/(V10/MAX(K10:S10)))^(1/inputs!$O$13))-1)/inputs!$N$13&lt;0, 0, IF((((inputs!$P$13/(V10/MAX(K10:S10)))^(1/inputs!$O$13))-1)/inputs!$N$13&lt;inputs!$I$17, (((inputs!$P$13/(V10/MAX(K10:S10)))^(1/inputs!$O$13))-1)/inputs!$N$13, inputs!$I$17))</f>
        <v>1000</v>
      </c>
      <c r="U10" s="63">
        <f>IF((((inputs!$P$13/(X10/MAX(K10:S10)))^(1/inputs!$O$13))-1)/inputs!$N$13&lt;0, 0, IF((((inputs!$P$13/(X10/MAX(K10:S10)))^(1/inputs!$O$13))-1)/inputs!$N$13&lt;inputs!$I$17, (((inputs!$P$13/(X10/MAX(K10:S10)))^(1/inputs!$O$13))-1)/inputs!$N$13, inputs!$I$17))</f>
        <v>1000</v>
      </c>
      <c r="V10" s="21">
        <f>inputs!$E$87*(F10/inputs!$F$87)^(1)</f>
        <v>2.47E-3</v>
      </c>
      <c r="W10" s="21">
        <f>inputs!$E$90*(F10/inputs!$F$90)^(1)</f>
        <v>2.6000000000000003E-3</v>
      </c>
      <c r="X10" s="21">
        <f>inputs!$E$89*(F10/inputs!$F$89)^(1)</f>
        <v>9.7088607594936708E-3</v>
      </c>
      <c r="Y10" s="21" t="s">
        <v>13</v>
      </c>
      <c r="Z10" s="63">
        <f t="shared" si="1"/>
        <v>3220.7224606769541</v>
      </c>
      <c r="AA10" s="63">
        <f t="shared" si="2"/>
        <v>3059.6863376431061</v>
      </c>
    </row>
    <row r="11" spans="1:476" ht="26.4" x14ac:dyDescent="0.25">
      <c r="A11" s="103" t="s">
        <v>687</v>
      </c>
      <c r="B11" s="20" t="s">
        <v>688</v>
      </c>
      <c r="C11" s="21" t="s">
        <v>702</v>
      </c>
      <c r="D11" s="15" t="s">
        <v>704</v>
      </c>
      <c r="E11" s="15">
        <v>206</v>
      </c>
      <c r="F11" s="21">
        <v>13</v>
      </c>
      <c r="G11" s="21" t="s">
        <v>634</v>
      </c>
      <c r="H11" s="21">
        <v>0.75</v>
      </c>
      <c r="I11" s="68">
        <f>inputs!$C$66*inputs!$C$64/1000</f>
        <v>21.3</v>
      </c>
      <c r="J11" s="68">
        <f>inputs!$C$66*inputs!$C$63/1000</f>
        <v>8.8000000000000007</v>
      </c>
      <c r="K11" s="69">
        <f t="shared" si="0"/>
        <v>0.61875369597193619</v>
      </c>
      <c r="L11" s="69">
        <f t="shared" si="3"/>
        <v>0.25563532979122255</v>
      </c>
      <c r="M11" s="69">
        <f>IF((((0.065*F11^0.726)/3.7-(0.301*F11^0.751)/(1-H11)*H11)*(MAX('Max rate concentrations'!$P$3:$P$368)))/F11&gt;0, (((0.065*F11^0.726)/3.7-(0.301*F11^0.751)/(1-H11)*H11)*(MAX('Max rate concentrations'!$P$3:$P$368)))/F11, 0)</f>
        <v>0</v>
      </c>
      <c r="N11" s="69">
        <f>IF((((0.065*F11^0.726)/3.7-(0.301*F11^0.751)/(1-H11)*H11)*(MAX('Max rate concentrations'!$Q$3:$Q$368)))/F11&gt;0, (((0.065*F11^0.726)/3.7-(0.301*F11^0.751)/(1-H11)*H11)*(MAX('Max rate concentrations'!$Q$3:$Q$368)))/F11, 0)</f>
        <v>0</v>
      </c>
      <c r="O11" s="69" t="s">
        <v>13</v>
      </c>
      <c r="P11" s="69" t="s">
        <v>13</v>
      </c>
      <c r="Q11" s="69">
        <f>(inputs!$C$18*11.2)*(1.131*F11^0.579)*0.5*1/F11</f>
        <v>6.4535954141461485</v>
      </c>
      <c r="R11" s="59">
        <f>(60*76.9*((F11/1000)^0.76)*3*24*(MAX('Max rate concentrations'!$R$3:$R$368))/F11)</f>
        <v>7.2587423364886931E-3</v>
      </c>
      <c r="S11" s="59">
        <f>(IF(inputs!$C$17="aerial",((0.025*0.112*inputs!$C$18/3.3)*(3*60*76.9*((F11/1000)^0.76))*MAX(inputs!$I$14:$I$16))/F11,((0.0083*0.112*inputs!$C$18/1)*(3*60*76.9*((F11/1000)^0.76))*MAX(inputs!$I$14:$I$16))/F11))</f>
        <v>3.0649813868421524E-2</v>
      </c>
      <c r="T11" s="63">
        <f>IF((((inputs!$P$13/(V11/MAX(K11:S11)))^(1/inputs!$O$13))-1)/inputs!$N$13&lt;0, 0, IF((((inputs!$P$13/(V11/MAX(K11:S11)))^(1/inputs!$O$13))-1)/inputs!$N$13&lt;inputs!$I$17, (((inputs!$P$13/(V11/MAX(K11:S11)))^(1/inputs!$O$13))-1)/inputs!$N$13, inputs!$I$17))</f>
        <v>1000</v>
      </c>
      <c r="U11" s="63">
        <f>IF((((inputs!$P$13/(X11/MAX(K11:S11)))^(1/inputs!$O$13))-1)/inputs!$N$13&lt;0, 0, IF((((inputs!$P$13/(X11/MAX(K11:S11)))^(1/inputs!$O$13))-1)/inputs!$N$13&lt;inputs!$I$17, (((inputs!$P$13/(X11/MAX(K11:S11)))^(1/inputs!$O$13))-1)/inputs!$N$13, inputs!$I$17))</f>
        <v>1000</v>
      </c>
      <c r="V11" s="21">
        <f>inputs!$E$87*(F11/inputs!$F$87)^(1)</f>
        <v>2.47E-3</v>
      </c>
      <c r="W11" s="21">
        <f>inputs!$E$90*(F11/inputs!$F$90)^(1)</f>
        <v>2.6000000000000003E-3</v>
      </c>
      <c r="X11" s="21">
        <f>inputs!$E$89*(F11/inputs!$F$89)^(1)</f>
        <v>9.7088607594936708E-3</v>
      </c>
      <c r="Y11" s="21" t="s">
        <v>13</v>
      </c>
      <c r="Z11" s="63">
        <f t="shared" si="1"/>
        <v>2612.7916656462139</v>
      </c>
      <c r="AA11" s="63">
        <f t="shared" si="2"/>
        <v>2482.152082363903</v>
      </c>
    </row>
    <row r="12" spans="1:476" ht="13.2" x14ac:dyDescent="0.25">
      <c r="A12" s="103" t="s">
        <v>691</v>
      </c>
      <c r="B12" s="20" t="s">
        <v>692</v>
      </c>
      <c r="C12" s="21" t="s">
        <v>702</v>
      </c>
      <c r="D12" s="15" t="s">
        <v>704</v>
      </c>
      <c r="E12" s="15">
        <v>5819</v>
      </c>
      <c r="F12" s="21">
        <v>11</v>
      </c>
      <c r="G12" s="21" t="s">
        <v>182</v>
      </c>
      <c r="H12" s="21">
        <v>0.85</v>
      </c>
      <c r="I12" s="68">
        <f>MAX('Max rate concentrations'!$M$3:$M$368)</f>
        <v>17.092910873809167</v>
      </c>
      <c r="J12" s="68">
        <f>MAX('Max rate concentrations'!AE:AE)</f>
        <v>11.81956602976166</v>
      </c>
      <c r="K12" s="69">
        <f t="shared" si="0"/>
        <v>0.85955165695855096</v>
      </c>
      <c r="L12" s="69">
        <f t="shared" si="3"/>
        <v>0.59437082662027474</v>
      </c>
      <c r="M12" s="69">
        <f>IF((((0.065*F12^0.726)/3.7-(0.301*F12^0.751)/(1-H12)*H12)*(MAX('Max rate concentrations'!$P$3:$P$368)))/F12&gt;0, (((0.065*F12^0.726)/3.7-(0.301*F12^0.751)/(1-H12)*H12)*(MAX('Max rate concentrations'!$P$3:$P$368)))/F12, 0)</f>
        <v>0</v>
      </c>
      <c r="N12" s="69">
        <f>IF((((0.065*F12^0.726)/3.7-(0.301*F12^0.751)/(1-H12)*H12)*(MAX('Max rate concentrations'!$Q$3:$Q$368)))/F12&gt;0, (((0.065*F12^0.726)/3.7-(0.301*F12^0.751)/(1-H12)*H12)*(MAX('Max rate concentrations'!$Q$3:$Q$368)))/F12, 0)</f>
        <v>0</v>
      </c>
      <c r="O12" s="69" t="s">
        <v>13</v>
      </c>
      <c r="P12" s="69" t="s">
        <v>13</v>
      </c>
      <c r="Q12" s="69">
        <f>(inputs!$C$18*11.2)*(1.131*F12^0.579)*0.5*1/F12</f>
        <v>6.9238167683273693</v>
      </c>
      <c r="R12" s="59">
        <f>(60*76.9*((F12/1000)^0.76)*3*24*(MAX('Max rate concentrations'!$R$3:$R$368))/F12)</f>
        <v>7.5556797277567265E-3</v>
      </c>
      <c r="S12" s="59">
        <f>(IF(inputs!$C$17="aerial",((0.025*0.112*inputs!$C$18/3.3)*(3*60*76.9*((F12/1000)^0.76))*MAX(inputs!$I$14:$I$16))/F12,((0.0083*0.112*inputs!$C$18/1)*(3*60*76.9*((F12/1000)^0.76))*MAX(inputs!$I$14:$I$16))/F12))</f>
        <v>3.1903622772367593E-2</v>
      </c>
      <c r="T12" s="63">
        <f>IF((((inputs!$P$13/(V12/MAX(K12:S12)))^(1/inputs!$O$13))-1)/inputs!$N$13&lt;0, 0, IF((((inputs!$P$13/(V12/MAX(K12:S12)))^(1/inputs!$O$13))-1)/inputs!$N$13&lt;inputs!$I$17, (((inputs!$P$13/(V12/MAX(K12:S12)))^(1/inputs!$O$13))-1)/inputs!$N$13, inputs!$I$17))</f>
        <v>1000</v>
      </c>
      <c r="U12" s="63">
        <f>IF((((inputs!$P$13/(X12/MAX(K12:S12)))^(1/inputs!$O$13))-1)/inputs!$N$13&lt;0, 0, IF((((inputs!$P$13/(X12/MAX(K12:S12)))^(1/inputs!$O$13))-1)/inputs!$N$13&lt;inputs!$I$17, (((inputs!$P$13/(X12/MAX(K12:S12)))^(1/inputs!$O$13))-1)/inputs!$N$13, inputs!$I$17))</f>
        <v>1000</v>
      </c>
      <c r="V12" s="21">
        <f>inputs!$E$87*(F12/inputs!$F$87)^(1)</f>
        <v>2.0899999999999998E-3</v>
      </c>
      <c r="W12" s="21">
        <f>inputs!$E$90*(F12/inputs!$F$90)^(1)</f>
        <v>2.2000000000000001E-3</v>
      </c>
      <c r="X12" s="21">
        <f>inputs!$E$89*(F12/inputs!$F$89)^(1)</f>
        <v>8.2151898734177213E-3</v>
      </c>
      <c r="Y12" s="21" t="s">
        <v>13</v>
      </c>
      <c r="Z12" s="63">
        <f t="shared" si="1"/>
        <v>3312.8309896303203</v>
      </c>
      <c r="AA12" s="63">
        <f t="shared" si="2"/>
        <v>3147.1894401488039</v>
      </c>
    </row>
    <row r="13" spans="1:476" ht="13.2" x14ac:dyDescent="0.25">
      <c r="A13" s="103" t="s">
        <v>691</v>
      </c>
      <c r="B13" s="20" t="s">
        <v>692</v>
      </c>
      <c r="C13" s="21" t="s">
        <v>702</v>
      </c>
      <c r="D13" s="15" t="s">
        <v>704</v>
      </c>
      <c r="E13" s="15">
        <v>5819</v>
      </c>
      <c r="F13" s="21">
        <v>11</v>
      </c>
      <c r="G13" s="21" t="s">
        <v>142</v>
      </c>
      <c r="H13" s="21">
        <v>0.69</v>
      </c>
      <c r="I13" s="68">
        <f>MAX('Max rate concentrations'!$H$3:$H$368)</f>
        <v>282</v>
      </c>
      <c r="J13" s="68">
        <f>MAX('Max rate concentrations'!AA:AA)</f>
        <v>195</v>
      </c>
      <c r="K13" s="69">
        <f t="shared" si="0"/>
        <v>6.8617458332009083</v>
      </c>
      <c r="L13" s="69">
        <f t="shared" si="3"/>
        <v>4.7448242463623309</v>
      </c>
      <c r="M13" s="69">
        <f>IF((((0.065*F13^0.726)/3.7-(0.301*F13^0.751)/(1-H13)*H13)*(MAX('Max rate concentrations'!$P$3:$P$368)))/F13&gt;0, (((0.065*F13^0.726)/3.7-(0.301*F13^0.751)/(1-H13)*H13)*(MAX('Max rate concentrations'!$P$3:$P$368)))/F13, 0)</f>
        <v>0</v>
      </c>
      <c r="N13" s="69">
        <f>IF((((0.065*F13^0.726)/3.7-(0.301*F13^0.751)/(1-H13)*H13)*(MAX('Max rate concentrations'!$Q$3:$Q$368)))/F13&gt;0, (((0.065*F13^0.726)/3.7-(0.301*F13^0.751)/(1-H13)*H13)*(MAX('Max rate concentrations'!$Q$3:$Q$368)))/F13, 0)</f>
        <v>0</v>
      </c>
      <c r="O13" s="69" t="s">
        <v>13</v>
      </c>
      <c r="P13" s="69" t="s">
        <v>13</v>
      </c>
      <c r="Q13" s="69">
        <f>(inputs!$C$18*11.2)*(1.131*F13^0.579)*0.5*1/F13</f>
        <v>6.9238167683273693</v>
      </c>
      <c r="R13" s="59">
        <f>(60*76.9*((F13/1000)^0.76)*3*24*(MAX('Max rate concentrations'!$R$3:$R$368))/F13)</f>
        <v>7.5556797277567265E-3</v>
      </c>
      <c r="S13" s="59">
        <f>(IF(inputs!$C$17="aerial",((0.025*0.112*inputs!$C$18/3.3)*(3*60*76.9*((F13/1000)^0.76))*MAX(inputs!$I$14:$I$16))/F13,((0.0083*0.112*inputs!$C$18/1)*(3*60*76.9*((F13/1000)^0.76))*MAX(inputs!$I$14:$I$16))/F13))</f>
        <v>3.1903622772367593E-2</v>
      </c>
      <c r="T13" s="63">
        <f>IF((((inputs!$P$13/(V13/MAX(K13:S13)))^(1/inputs!$O$13))-1)/inputs!$N$13&lt;0, 0, IF((((inputs!$P$13/(V13/MAX(K13:S13)))^(1/inputs!$O$13))-1)/inputs!$N$13&lt;inputs!$I$17, (((inputs!$P$13/(V13/MAX(K13:S13)))^(1/inputs!$O$13))-1)/inputs!$N$13, inputs!$I$17))</f>
        <v>1000</v>
      </c>
      <c r="U13" s="63">
        <f>IF((((inputs!$P$13/(X13/MAX(K13:S13)))^(1/inputs!$O$13))-1)/inputs!$N$13&lt;0, 0, IF((((inputs!$P$13/(X13/MAX(K13:S13)))^(1/inputs!$O$13))-1)/inputs!$N$13&lt;inputs!$I$17, (((inputs!$P$13/(X13/MAX(K13:S13)))^(1/inputs!$O$13))-1)/inputs!$N$13, inputs!$I$17))</f>
        <v>1000</v>
      </c>
      <c r="V13" s="21">
        <f>inputs!$E$87*(F13/inputs!$F$87)^(1)</f>
        <v>2.0899999999999998E-3</v>
      </c>
      <c r="W13" s="21">
        <f>inputs!$E$90*(F13/inputs!$F$90)^(1)</f>
        <v>2.2000000000000001E-3</v>
      </c>
      <c r="X13" s="21">
        <f>inputs!$E$89*(F13/inputs!$F$89)^(1)</f>
        <v>8.2151898734177213E-3</v>
      </c>
      <c r="Y13" s="21" t="s">
        <v>13</v>
      </c>
      <c r="Z13" s="63">
        <f t="shared" si="1"/>
        <v>3312.8309896303203</v>
      </c>
      <c r="AA13" s="63">
        <f t="shared" si="2"/>
        <v>3147.1894401488039</v>
      </c>
    </row>
    <row r="14" spans="1:476" ht="13.2" x14ac:dyDescent="0.25">
      <c r="A14" s="103" t="s">
        <v>691</v>
      </c>
      <c r="B14" s="20" t="s">
        <v>692</v>
      </c>
      <c r="C14" s="21" t="s">
        <v>702</v>
      </c>
      <c r="D14" s="15" t="s">
        <v>704</v>
      </c>
      <c r="E14" s="15">
        <v>5819</v>
      </c>
      <c r="F14" s="21">
        <v>11</v>
      </c>
      <c r="G14" s="21" t="s">
        <v>195</v>
      </c>
      <c r="H14" s="20">
        <v>0.82</v>
      </c>
      <c r="I14" s="68">
        <f>inputs!$C$66*(inputs!$C$62/1000)</f>
        <v>8.2000000000000011</v>
      </c>
      <c r="J14" s="68">
        <f>inputs!$C$66*(inputs!$C$61/1000)</f>
        <v>2.5</v>
      </c>
      <c r="K14" s="69">
        <f t="shared" si="0"/>
        <v>0.34362801237188156</v>
      </c>
      <c r="L14" s="69">
        <f t="shared" si="3"/>
        <v>0.10476463791825656</v>
      </c>
      <c r="M14" s="69">
        <f>IF((((0.065*F14^0.726)/3.7-(0.301*F14^0.751)/(1-H14)*H14)*(MAX('Max rate concentrations'!$P$3:$P$368)))/F14&gt;0, (((0.065*F14^0.726)/3.7-(0.301*F14^0.751)/(1-H14)*H14)*(MAX('Max rate concentrations'!$P$3:$P$368)))/F14, 0)</f>
        <v>0</v>
      </c>
      <c r="N14" s="69">
        <f>IF((((0.065*F14^0.726)/3.7-(0.301*F14^0.751)/(1-H14)*H14)*(MAX('Max rate concentrations'!$Q$3:$Q$368)))/F14&gt;0, (((0.065*F14^0.726)/3.7-(0.301*F14^0.751)/(1-H14)*H14)*(MAX('Max rate concentrations'!$Q$3:$Q$368)))/F14, 0)</f>
        <v>0</v>
      </c>
      <c r="O14" s="69" t="s">
        <v>13</v>
      </c>
      <c r="P14" s="69" t="s">
        <v>13</v>
      </c>
      <c r="Q14" s="69">
        <f>(inputs!$C$18*11.2)*(1.131*F14^0.579)*0.5*1/F14</f>
        <v>6.9238167683273693</v>
      </c>
      <c r="R14" s="59">
        <f>(60*76.9*((F14/1000)^0.76)*3*24*(MAX('Max rate concentrations'!$R$3:$R$368))/F14)</f>
        <v>7.5556797277567265E-3</v>
      </c>
      <c r="S14" s="59">
        <f>(IF(inputs!$C$17="aerial",((0.025*0.112*inputs!$C$18/3.3)*(3*60*76.9*((F14/1000)^0.76))*MAX(inputs!$I$14:$I$16))/F14,((0.0083*0.112*inputs!$C$18/1)*(3*60*76.9*((F14/1000)^0.76))*MAX(inputs!$I$14:$I$16))/F14))</f>
        <v>3.1903622772367593E-2</v>
      </c>
      <c r="T14" s="63">
        <f>IF((((inputs!$P$13/(V14/MAX(K14:S14)))^(1/inputs!$O$13))-1)/inputs!$N$13&lt;0, 0, IF((((inputs!$P$13/(V14/MAX(K14:S14)))^(1/inputs!$O$13))-1)/inputs!$N$13&lt;inputs!$I$17, (((inputs!$P$13/(V14/MAX(K14:S14)))^(1/inputs!$O$13))-1)/inputs!$N$13, inputs!$I$17))</f>
        <v>1000</v>
      </c>
      <c r="U14" s="63">
        <f>IF((((inputs!$P$13/(X14/MAX(K14:S14)))^(1/inputs!$O$13))-1)/inputs!$N$13&lt;0, 0, IF((((inputs!$P$13/(X14/MAX(K14:S14)))^(1/inputs!$O$13))-1)/inputs!$N$13&lt;inputs!$I$17, (((inputs!$P$13/(X14/MAX(K14:S14)))^(1/inputs!$O$13))-1)/inputs!$N$13, inputs!$I$17))</f>
        <v>1000</v>
      </c>
      <c r="V14" s="21">
        <f>inputs!$E$87*(F14/inputs!$F$87)^(1)</f>
        <v>2.0899999999999998E-3</v>
      </c>
      <c r="W14" s="21">
        <f>inputs!$E$90*(F14/inputs!$F$90)^(1)</f>
        <v>2.2000000000000001E-3</v>
      </c>
      <c r="X14" s="21">
        <f>inputs!$E$89*(F14/inputs!$F$89)^(1)</f>
        <v>8.2151898734177213E-3</v>
      </c>
      <c r="Y14" s="21" t="s">
        <v>13</v>
      </c>
      <c r="Z14" s="63">
        <f t="shared" si="1"/>
        <v>3312.8309896303203</v>
      </c>
      <c r="AA14" s="63">
        <f t="shared" si="2"/>
        <v>3147.1894401488039</v>
      </c>
    </row>
    <row r="15" spans="1:476" ht="13.2" x14ac:dyDescent="0.25">
      <c r="A15" s="103" t="s">
        <v>698</v>
      </c>
      <c r="B15" s="20" t="s">
        <v>699</v>
      </c>
      <c r="C15" s="21" t="s">
        <v>702</v>
      </c>
      <c r="D15" s="15" t="s">
        <v>704</v>
      </c>
      <c r="E15" s="15">
        <v>208</v>
      </c>
      <c r="F15" s="21">
        <v>21</v>
      </c>
      <c r="G15" s="21" t="s">
        <v>182</v>
      </c>
      <c r="H15" s="21">
        <v>0.85</v>
      </c>
      <c r="I15" s="68">
        <f>MAX('Max rate concentrations'!$M$3:$M$368)</f>
        <v>17.092910873809167</v>
      </c>
      <c r="J15" s="68">
        <f>MAX('Max rate concentrations'!AE:AE)</f>
        <v>11.81956602976166</v>
      </c>
      <c r="K15" s="69">
        <f t="shared" si="0"/>
        <v>0.74220579595582381</v>
      </c>
      <c r="L15" s="69">
        <f t="shared" si="3"/>
        <v>0.51322741209711231</v>
      </c>
      <c r="M15" s="69">
        <f>IF((((0.065*F15^0.726)/3.7-(0.301*F15^0.751)/(1-H15)*H15)*(MAX('Max rate concentrations'!$P$3:$P$368)))/F15&gt;0, (((0.065*F15^0.726)/3.7-(0.301*F15^0.751)/(1-H15)*H15)*(MAX('Max rate concentrations'!$P$3:$P$368)))/F15, 0)</f>
        <v>0</v>
      </c>
      <c r="N15" s="69">
        <f>IF((((0.065*F15^0.726)/3.7-(0.301*F15^0.751)/(1-H15)*H15)*(MAX('Max rate concentrations'!$Q$3:$Q$368)))/F15&gt;0, (((0.065*F15^0.726)/3.7-(0.301*F15^0.751)/(1-H15)*H15)*(MAX('Max rate concentrations'!$Q$3:$Q$368)))/F15, 0)</f>
        <v>0</v>
      </c>
      <c r="O15" s="69" t="s">
        <v>13</v>
      </c>
      <c r="P15" s="69" t="s">
        <v>13</v>
      </c>
      <c r="Q15" s="69">
        <f>(inputs!$C$18*11.2)*(1.131*F15^0.579)*0.5*1/F15</f>
        <v>5.2737260192860722</v>
      </c>
      <c r="R15" s="59">
        <f>(60*76.9*((F15/1000)^0.76)*3*24*(MAX('Max rate concentrations'!$R$3:$R$368))/F15)</f>
        <v>6.4695660986045312E-3</v>
      </c>
      <c r="S15" s="59">
        <f>(IF(inputs!$C$17="aerial",((0.025*0.112*inputs!$C$18/3.3)*(3*60*76.9*((F15/1000)^0.76))*MAX(inputs!$I$14:$I$16))/F15,((0.0083*0.112*inputs!$C$18/1)*(3*60*76.9*((F15/1000)^0.76))*MAX(inputs!$I$14:$I$16))/F15))</f>
        <v>2.7317541736520595E-2</v>
      </c>
      <c r="T15" s="63">
        <f>IF((((inputs!$P$13/(V15/MAX(K15:S15)))^(1/inputs!$O$13))-1)/inputs!$N$13&lt;0, 0, IF((((inputs!$P$13/(V15/MAX(K15:S15)))^(1/inputs!$O$13))-1)/inputs!$N$13&lt;inputs!$I$17, (((inputs!$P$13/(V15/MAX(K15:S15)))^(1/inputs!$O$13))-1)/inputs!$N$13, inputs!$I$17))</f>
        <v>1000</v>
      </c>
      <c r="U15" s="63">
        <f>IF((((inputs!$P$13/(X15/MAX(K15:S15)))^(1/inputs!$O$13))-1)/inputs!$N$13&lt;0, 0, IF((((inputs!$P$13/(X15/MAX(K15:S15)))^(1/inputs!$O$13))-1)/inputs!$N$13&lt;inputs!$I$17, (((inputs!$P$13/(X15/MAX(K15:S15)))^(1/inputs!$O$13))-1)/inputs!$N$13, inputs!$I$17))</f>
        <v>597.88378849386572</v>
      </c>
      <c r="V15" s="21">
        <f>inputs!$E$87*(F15/inputs!$F$87)^(1)</f>
        <v>3.9899999999999996E-3</v>
      </c>
      <c r="W15" s="21">
        <f>inputs!$E$90*(F15/inputs!$F$90)^(1)</f>
        <v>4.1999999999999997E-3</v>
      </c>
      <c r="X15" s="21">
        <f>inputs!$E$89*(F15/inputs!$F$89)^(1)</f>
        <v>1.5683544303797467E-2</v>
      </c>
      <c r="Y15" s="21" t="s">
        <v>13</v>
      </c>
      <c r="Z15" s="63">
        <f t="shared" si="1"/>
        <v>1321.7358444325996</v>
      </c>
      <c r="AA15" s="63">
        <f t="shared" si="2"/>
        <v>1255.6490522109696</v>
      </c>
    </row>
    <row r="16" spans="1:476" ht="13.2" x14ac:dyDescent="0.25">
      <c r="A16" s="103" t="s">
        <v>698</v>
      </c>
      <c r="B16" s="20" t="s">
        <v>699</v>
      </c>
      <c r="C16" s="21" t="s">
        <v>702</v>
      </c>
      <c r="D16" s="15" t="s">
        <v>704</v>
      </c>
      <c r="E16" s="15">
        <v>208</v>
      </c>
      <c r="F16" s="21">
        <v>21</v>
      </c>
      <c r="G16" s="21" t="s">
        <v>142</v>
      </c>
      <c r="H16" s="21">
        <v>0.69</v>
      </c>
      <c r="I16" s="68">
        <f>MAX('Max rate concentrations'!$H$3:$H$368)</f>
        <v>282</v>
      </c>
      <c r="J16" s="68">
        <f>MAX('Max rate concentrations'!AA:AA)</f>
        <v>195</v>
      </c>
      <c r="K16" s="69">
        <f t="shared" si="0"/>
        <v>5.9249813394554618</v>
      </c>
      <c r="L16" s="69">
        <f t="shared" si="3"/>
        <v>4.0970615645170749</v>
      </c>
      <c r="M16" s="69">
        <f>IF((((0.065*F16^0.726)/3.7-(0.301*F16^0.751)/(1-H16)*H16)*(MAX('Max rate concentrations'!$P$3:$P$368)))/F16&gt;0, (((0.065*F16^0.726)/3.7-(0.301*F16^0.751)/(1-H16)*H16)*(MAX('Max rate concentrations'!$P$3:$P$368)))/F16, 0)</f>
        <v>0</v>
      </c>
      <c r="N16" s="69">
        <f>IF((((0.065*F16^0.726)/3.7-(0.301*F16^0.751)/(1-H16)*H16)*(MAX('Max rate concentrations'!$Q$3:$Q$368)))/F16&gt;0, (((0.065*F16^0.726)/3.7-(0.301*F16^0.751)/(1-H16)*H16)*(MAX('Max rate concentrations'!$Q$3:$Q$368)))/F16, 0)</f>
        <v>0</v>
      </c>
      <c r="O16" s="69" t="s">
        <v>13</v>
      </c>
      <c r="P16" s="69" t="s">
        <v>13</v>
      </c>
      <c r="Q16" s="69">
        <f>(inputs!$C$18*11.2)*(1.131*F16^0.579)*0.5*1/F16</f>
        <v>5.2737260192860722</v>
      </c>
      <c r="R16" s="59">
        <f>(60*76.9*((F16/1000)^0.76)*3*24*(MAX('Max rate concentrations'!$R$3:$R$368))/F16)</f>
        <v>6.4695660986045312E-3</v>
      </c>
      <c r="S16" s="59">
        <f>(IF(inputs!$C$17="aerial",((0.025*0.112*inputs!$C$18/3.3)*(3*60*76.9*((F16/1000)^0.76))*MAX(inputs!$I$14:$I$16))/F16,((0.0083*0.112*inputs!$C$18/1)*(3*60*76.9*((F16/1000)^0.76))*MAX(inputs!$I$14:$I$16))/F16))</f>
        <v>2.7317541736520595E-2</v>
      </c>
      <c r="T16" s="63">
        <f>IF((((inputs!$P$13/(V16/MAX(K16:S16)))^(1/inputs!$O$13))-1)/inputs!$N$13&lt;0, 0, IF((((inputs!$P$13/(V16/MAX(K16:S16)))^(1/inputs!$O$13))-1)/inputs!$N$13&lt;inputs!$I$17, (((inputs!$P$13/(V16/MAX(K16:S16)))^(1/inputs!$O$13))-1)/inputs!$N$13, inputs!$I$17))</f>
        <v>1000</v>
      </c>
      <c r="U16" s="63">
        <f>IF((((inputs!$P$13/(X16/MAX(K16:S16)))^(1/inputs!$O$13))-1)/inputs!$N$13&lt;0, 0, IF((((inputs!$P$13/(X16/MAX(K16:S16)))^(1/inputs!$O$13))-1)/inputs!$N$13&lt;inputs!$I$17, (((inputs!$P$13/(X16/MAX(K16:S16)))^(1/inputs!$O$13))-1)/inputs!$N$13, inputs!$I$17))</f>
        <v>657.43343929408093</v>
      </c>
      <c r="V16" s="21">
        <f>inputs!$E$87*(F16/inputs!$F$87)^(1)</f>
        <v>3.9899999999999996E-3</v>
      </c>
      <c r="W16" s="21">
        <f>inputs!$E$90*(F16/inputs!$F$90)^(1)</f>
        <v>4.1999999999999997E-3</v>
      </c>
      <c r="X16" s="21">
        <f>inputs!$E$89*(F16/inputs!$F$89)^(1)</f>
        <v>1.5683544303797467E-2</v>
      </c>
      <c r="Y16" s="21" t="s">
        <v>13</v>
      </c>
      <c r="Z16" s="63">
        <f t="shared" si="1"/>
        <v>1484.9577291868327</v>
      </c>
      <c r="AA16" s="63">
        <f t="shared" si="2"/>
        <v>1410.7098427274909</v>
      </c>
    </row>
    <row r="17" spans="1:476" ht="13.2" x14ac:dyDescent="0.25">
      <c r="A17" s="103" t="s">
        <v>698</v>
      </c>
      <c r="B17" s="20" t="s">
        <v>699</v>
      </c>
      <c r="C17" s="21" t="s">
        <v>702</v>
      </c>
      <c r="D17" s="15" t="s">
        <v>704</v>
      </c>
      <c r="E17" s="15">
        <v>208</v>
      </c>
      <c r="F17" s="21">
        <v>21</v>
      </c>
      <c r="G17" s="21" t="s">
        <v>146</v>
      </c>
      <c r="H17" s="20">
        <v>0.84</v>
      </c>
      <c r="I17" s="68">
        <f>MAX('Max rate concentrations'!$I$3:$I$368)</f>
        <v>56.865414300472793</v>
      </c>
      <c r="J17" s="68" t="s">
        <v>13</v>
      </c>
      <c r="K17" s="69">
        <f t="shared" si="0"/>
        <v>2.3148763467003226</v>
      </c>
      <c r="L17" s="69" t="s">
        <v>13</v>
      </c>
      <c r="M17" s="69">
        <f>IF((((0.065*F17^0.726)/3.7-(0.301*F17^0.751)/(1-H17)*H17)*(MAX('Max rate concentrations'!$P$3:$P$368)))/F17&gt;0, (((0.065*F17^0.726)/3.7-(0.301*F17^0.751)/(1-H17)*H17)*(MAX('Max rate concentrations'!$P$3:$P$368)))/F17, 0)</f>
        <v>0</v>
      </c>
      <c r="N17" s="69">
        <f>IF((((0.065*F17^0.726)/3.7-(0.301*F17^0.751)/(1-H17)*H17)*(MAX('Max rate concentrations'!$Q$3:$Q$368)))/F17&gt;0, (((0.065*F17^0.726)/3.7-(0.301*F17^0.751)/(1-H17)*H17)*(MAX('Max rate concentrations'!$Q$3:$Q$368)))/F17, 0)</f>
        <v>0</v>
      </c>
      <c r="O17" s="69" t="s">
        <v>13</v>
      </c>
      <c r="P17" s="69" t="s">
        <v>13</v>
      </c>
      <c r="Q17" s="69">
        <f>(inputs!$C$18*11.2)*(1.131*F17^0.579)*0.5*1/F17</f>
        <v>5.2737260192860722</v>
      </c>
      <c r="R17" s="59">
        <f>(60*76.9*((F17/1000)^0.76)*3*24*(MAX('Max rate concentrations'!$R$3:$R$368))/F17)</f>
        <v>6.4695660986045312E-3</v>
      </c>
      <c r="S17" s="59">
        <f>(IF(inputs!$C$17="aerial",((0.025*0.112*inputs!$C$18/3.3)*(3*60*76.9*((F17/1000)^0.76))*MAX(inputs!$I$14:$I$16))/F17,((0.0083*0.112*inputs!$C$18/1)*(3*60*76.9*((F17/1000)^0.76))*MAX(inputs!$I$14:$I$16))/F17))</f>
        <v>2.7317541736520595E-2</v>
      </c>
      <c r="T17" s="63">
        <f>IF((((inputs!$P$13/(V17/MAX(K17:S17)))^(1/inputs!$O$13))-1)/inputs!$N$13&lt;0, 0, IF((((inputs!$P$13/(V17/MAX(K17:S17)))^(1/inputs!$O$13))-1)/inputs!$N$13&lt;inputs!$I$17, (((inputs!$P$13/(V17/MAX(K17:S17)))^(1/inputs!$O$13))-1)/inputs!$N$13, inputs!$I$17))</f>
        <v>1000</v>
      </c>
      <c r="U17" s="63">
        <f>IF((((inputs!$P$13/(X17/MAX(K17:S17)))^(1/inputs!$O$13))-1)/inputs!$N$13&lt;0, 0, IF((((inputs!$P$13/(X17/MAX(K17:S17)))^(1/inputs!$O$13))-1)/inputs!$N$13&lt;inputs!$I$17, (((inputs!$P$13/(X17/MAX(K17:S17)))^(1/inputs!$O$13))-1)/inputs!$N$13, inputs!$I$17))</f>
        <v>597.88378849386572</v>
      </c>
      <c r="V17" s="21">
        <f>inputs!$E$87*(F17/inputs!$F$87)^(1)</f>
        <v>3.9899999999999996E-3</v>
      </c>
      <c r="W17" s="21">
        <f>inputs!$E$90*(F17/inputs!$F$90)^(1)</f>
        <v>4.1999999999999997E-3</v>
      </c>
      <c r="X17" s="21">
        <f>inputs!$E$89*(F17/inputs!$F$89)^(1)</f>
        <v>1.5683544303797467E-2</v>
      </c>
      <c r="Y17" s="21" t="s">
        <v>13</v>
      </c>
      <c r="Z17" s="63">
        <f t="shared" si="1"/>
        <v>1321.7358444325996</v>
      </c>
      <c r="AA17" s="63">
        <f t="shared" si="2"/>
        <v>1255.6490522109696</v>
      </c>
    </row>
    <row r="18" spans="1:476" ht="13.2" x14ac:dyDescent="0.25">
      <c r="A18" s="103" t="s">
        <v>667</v>
      </c>
      <c r="B18" s="20" t="s">
        <v>668</v>
      </c>
      <c r="C18" s="21" t="s">
        <v>702</v>
      </c>
      <c r="D18" s="15" t="s">
        <v>704</v>
      </c>
      <c r="E18" s="15">
        <v>193</v>
      </c>
      <c r="F18" s="21">
        <v>3.9</v>
      </c>
      <c r="G18" s="21" t="s">
        <v>142</v>
      </c>
      <c r="H18" s="21">
        <v>0.69</v>
      </c>
      <c r="I18" s="68">
        <f>MAX('Max rate concentrations'!$H$3:$H$368)</f>
        <v>282</v>
      </c>
      <c r="J18" s="68">
        <f>MAX('Max rate concentrations'!AA:AA)</f>
        <v>195</v>
      </c>
      <c r="K18" s="69">
        <f t="shared" si="0"/>
        <v>8.6827860733140483</v>
      </c>
      <c r="L18" s="69">
        <f t="shared" ref="L18:L30" si="4">(((0.013*F18^0.773)/(1-H18)))*J18/F18</f>
        <v>6.004054199632054</v>
      </c>
      <c r="M18" s="69">
        <f>IF((((0.065*F18^0.726)/3.7-(0.301*F18^0.751)/(1-H18)*H18)*(MAX('Max rate concentrations'!$P$3:$P$368)))/F18&gt;0, (((0.065*F18^0.726)/3.7-(0.301*F18^0.751)/(1-H18)*H18)*(MAX('Max rate concentrations'!$P$3:$P$368)))/F18, 0)</f>
        <v>0</v>
      </c>
      <c r="N18" s="69">
        <f>IF((((0.065*F18^0.726)/3.7-(0.301*F18^0.751)/(1-H18)*H18)*(MAX('Max rate concentrations'!$Q$3:$Q$368)))/F18&gt;0, (((0.065*F18^0.726)/3.7-(0.301*F18^0.751)/(1-H18)*H18)*(MAX('Max rate concentrations'!$Q$3:$Q$368)))/F18, 0)</f>
        <v>0</v>
      </c>
      <c r="O18" s="69" t="s">
        <v>13</v>
      </c>
      <c r="P18" s="69" t="s">
        <v>13</v>
      </c>
      <c r="Q18" s="69">
        <f>(inputs!$C$18*11.2)*(1.131*F18^0.579)*0.5*1/F18</f>
        <v>10.713557062550633</v>
      </c>
      <c r="R18" s="59">
        <f>(60*76.9*((F18/1000)^0.76)*3*24*(MAX('Max rate concentrations'!$R$3:$R$368))/F18)</f>
        <v>9.6906359666274495E-3</v>
      </c>
      <c r="S18" s="59">
        <f>(IF(inputs!$C$17="aerial",((0.025*0.112*inputs!$C$18/3.3)*(3*60*76.9*((F18/1000)^0.76))*MAX(inputs!$I$14:$I$16))/F18,((0.0083*0.112*inputs!$C$18/1)*(3*60*76.9*((F18/1000)^0.76))*MAX(inputs!$I$14:$I$16))/F18))</f>
        <v>4.0918409123120843E-2</v>
      </c>
      <c r="T18" s="63">
        <f>IF((((inputs!$P$13/(V18/MAX(K18:S18)))^(1/inputs!$O$13))-1)/inputs!$N$13&lt;0, 0, IF((((inputs!$P$13/(V18/MAX(K18:S18)))^(1/inputs!$O$13))-1)/inputs!$N$13&lt;inputs!$I$17, (((inputs!$P$13/(V18/MAX(K18:S18)))^(1/inputs!$O$13))-1)/inputs!$N$13, inputs!$I$17))</f>
        <v>1000</v>
      </c>
      <c r="U18" s="63">
        <f>IF((((inputs!$P$13/(X18/MAX(K18:S18)))^(1/inputs!$O$13))-1)/inputs!$N$13&lt;0, 0, IF((((inputs!$P$13/(X18/MAX(K18:S18)))^(1/inputs!$O$13))-1)/inputs!$N$13&lt;inputs!$I$17, (((inputs!$P$13/(X18/MAX(K18:S18)))^(1/inputs!$O$13))-1)/inputs!$N$13, inputs!$I$17))</f>
        <v>1000</v>
      </c>
      <c r="V18" s="21">
        <f>inputs!$E$87*(F18/inputs!$F$87)^(1)</f>
        <v>7.4100000000000001E-4</v>
      </c>
      <c r="W18" s="21">
        <f>inputs!$E$90*(F18/inputs!$F$90)^(1)</f>
        <v>7.7999999999999999E-4</v>
      </c>
      <c r="X18" s="21">
        <f>inputs!$E$89*(F18/inputs!$F$89)^(1)</f>
        <v>2.9126582278481013E-3</v>
      </c>
      <c r="Y18" s="21" t="s">
        <v>13</v>
      </c>
      <c r="Z18" s="63">
        <f t="shared" si="1"/>
        <v>14458.2416498659</v>
      </c>
      <c r="AA18" s="63">
        <f t="shared" si="2"/>
        <v>13735.329567372606</v>
      </c>
    </row>
    <row r="19" spans="1:476" ht="13.2" x14ac:dyDescent="0.25">
      <c r="A19" s="103" t="s">
        <v>665</v>
      </c>
      <c r="B19" s="20" t="s">
        <v>666</v>
      </c>
      <c r="C19" s="21" t="s">
        <v>702</v>
      </c>
      <c r="D19" s="15" t="s">
        <v>704</v>
      </c>
      <c r="E19" s="15">
        <v>196</v>
      </c>
      <c r="F19" s="21">
        <v>8.9</v>
      </c>
      <c r="G19" s="21" t="s">
        <v>142</v>
      </c>
      <c r="H19" s="21">
        <v>0.69</v>
      </c>
      <c r="I19" s="68">
        <f>MAX('Max rate concentrations'!$H$3:$H$368)</f>
        <v>282</v>
      </c>
      <c r="J19" s="68">
        <f>MAX('Max rate concentrations'!AA:AA)</f>
        <v>195</v>
      </c>
      <c r="K19" s="69">
        <f t="shared" si="0"/>
        <v>7.1997801519246289</v>
      </c>
      <c r="L19" s="69">
        <f t="shared" si="4"/>
        <v>4.978571381650009</v>
      </c>
      <c r="M19" s="69">
        <f>IF((((0.065*F19^0.726)/3.7-(0.301*F19^0.751)/(1-H19)*H19)*(MAX('Max rate concentrations'!$P$3:$P$368)))/F19&gt;0, (((0.065*F19^0.726)/3.7-(0.301*F19^0.751)/(1-H19)*H19)*(MAX('Max rate concentrations'!$P$3:$P$368)))/F19, 0)</f>
        <v>0</v>
      </c>
      <c r="N19" s="69">
        <f>IF((((0.065*F19^0.726)/3.7-(0.301*F19^0.751)/(1-H19)*H19)*(MAX('Max rate concentrations'!$Q$3:$Q$368)))/F19&gt;0, (((0.065*F19^0.726)/3.7-(0.301*F19^0.751)/(1-H19)*H19)*(MAX('Max rate concentrations'!$Q$3:$Q$368)))/F19, 0)</f>
        <v>0</v>
      </c>
      <c r="O19" s="69" t="s">
        <v>13</v>
      </c>
      <c r="P19" s="69" t="s">
        <v>13</v>
      </c>
      <c r="Q19" s="69">
        <f>(inputs!$C$18*11.2)*(1.131*F19^0.579)*0.5*1/F19</f>
        <v>7.5697004503311973</v>
      </c>
      <c r="R19" s="59">
        <f>(60*76.9*((F19/1000)^0.76)*3*24*(MAX('Max rate concentrations'!$R$3:$R$368))/F19)</f>
        <v>7.9497630350920407E-3</v>
      </c>
      <c r="S19" s="59">
        <f>(IF(inputs!$C$17="aerial",((0.025*0.112*inputs!$C$18/3.3)*(3*60*76.9*((F19/1000)^0.76))*MAX(inputs!$I$14:$I$16))/F19,((0.0083*0.112*inputs!$C$18/1)*(3*60*76.9*((F19/1000)^0.76))*MAX(inputs!$I$14:$I$16))/F19))</f>
        <v>3.3567627287001217E-2</v>
      </c>
      <c r="T19" s="63">
        <f>IF((((inputs!$P$13/(V19/MAX(K19:S19)))^(1/inputs!$O$13))-1)/inputs!$N$13&lt;0, 0, IF((((inputs!$P$13/(V19/MAX(K19:S19)))^(1/inputs!$O$13))-1)/inputs!$N$13&lt;inputs!$I$17, (((inputs!$P$13/(V19/MAX(K19:S19)))^(1/inputs!$O$13))-1)/inputs!$N$13, inputs!$I$17))</f>
        <v>1000</v>
      </c>
      <c r="U19" s="63">
        <f>IF((((inputs!$P$13/(X19/MAX(K19:S19)))^(1/inputs!$O$13))-1)/inputs!$N$13&lt;0, 0, IF((((inputs!$P$13/(X19/MAX(K19:S19)))^(1/inputs!$O$13))-1)/inputs!$N$13&lt;inputs!$I$17, (((inputs!$P$13/(X19/MAX(K19:S19)))^(1/inputs!$O$13))-1)/inputs!$N$13, inputs!$I$17))</f>
        <v>1000</v>
      </c>
      <c r="V19" s="21">
        <f>inputs!$E$87*(F19/inputs!$F$87)^(1)</f>
        <v>1.6910000000000002E-3</v>
      </c>
      <c r="W19" s="21">
        <f>inputs!$E$90*(F19/inputs!$F$90)^(1)</f>
        <v>1.7800000000000001E-3</v>
      </c>
      <c r="X19" s="21">
        <f>inputs!$E$89*(F19/inputs!$F$89)^(1)</f>
        <v>6.6468354430379746E-3</v>
      </c>
      <c r="Y19" s="21" t="s">
        <v>13</v>
      </c>
      <c r="Z19" s="63">
        <f t="shared" si="1"/>
        <v>4476.4638972981647</v>
      </c>
      <c r="AA19" s="63">
        <f t="shared" si="2"/>
        <v>4252.6407024332566</v>
      </c>
    </row>
    <row r="20" spans="1:476" ht="13.2" x14ac:dyDescent="0.25">
      <c r="A20" s="103" t="s">
        <v>663</v>
      </c>
      <c r="B20" s="20" t="s">
        <v>664</v>
      </c>
      <c r="C20" s="21" t="s">
        <v>702</v>
      </c>
      <c r="D20" s="15" t="s">
        <v>704</v>
      </c>
      <c r="E20" s="15">
        <v>190</v>
      </c>
      <c r="F20" s="21">
        <v>8</v>
      </c>
      <c r="G20" s="21" t="s">
        <v>182</v>
      </c>
      <c r="H20" s="21">
        <v>0.85</v>
      </c>
      <c r="I20" s="68">
        <f>MAX('Max rate concentrations'!$M$3:$M$368)</f>
        <v>17.092910873809167</v>
      </c>
      <c r="J20" s="68">
        <f>MAX('Max rate concentrations'!AE:AE)</f>
        <v>11.81956602976166</v>
      </c>
      <c r="K20" s="69">
        <f t="shared" si="0"/>
        <v>0.9239887730177937</v>
      </c>
      <c r="L20" s="69">
        <f t="shared" si="4"/>
        <v>0.63892840687400632</v>
      </c>
      <c r="M20" s="69">
        <f>IF((((0.065*F20^0.726)/3.7-(0.301*F20^0.751)/(1-H20)*H20)*(MAX('Max rate concentrations'!$P$3:$P$368)))/F20&gt;0, (((0.065*F20^0.726)/3.7-(0.301*F20^0.751)/(1-H20)*H20)*(MAX('Max rate concentrations'!$P$3:$P$368)))/F20, 0)</f>
        <v>0</v>
      </c>
      <c r="N20" s="69">
        <f>IF((((0.065*F20^0.726)/3.7-(0.301*F20^0.751)/(1-H20)*H20)*(MAX('Max rate concentrations'!$Q$3:$Q$368)))/F20&gt;0, (((0.065*F20^0.726)/3.7-(0.301*F20^0.751)/(1-H20)*H20)*(MAX('Max rate concentrations'!$Q$3:$Q$368)))/F20, 0)</f>
        <v>0</v>
      </c>
      <c r="O20" s="69" t="s">
        <v>13</v>
      </c>
      <c r="P20" s="69" t="s">
        <v>13</v>
      </c>
      <c r="Q20" s="69">
        <f>(inputs!$C$18*11.2)*(1.131*F20^0.579)*0.5*1/F20</f>
        <v>7.9171888092954363</v>
      </c>
      <c r="R20" s="59">
        <f>(60*76.9*((F20/1000)^0.76)*3*24*(MAX('Max rate concentrations'!$R$3:$R$368))/F20)</f>
        <v>8.1557928811495147E-3</v>
      </c>
      <c r="S20" s="59">
        <f>(IF(inputs!$C$17="aerial",((0.025*0.112*inputs!$C$18/3.3)*(3*60*76.9*((F20/1000)^0.76))*MAX(inputs!$I$14:$I$16))/F20,((0.0083*0.112*inputs!$C$18/1)*(3*60*76.9*((F20/1000)^0.76))*MAX(inputs!$I$14:$I$16))/F20))</f>
        <v>3.4437581907274417E-2</v>
      </c>
      <c r="T20" s="63">
        <f>IF((((inputs!$P$13/(V20/MAX(K20:S20)))^(1/inputs!$O$13))-1)/inputs!$N$13&lt;0, 0, IF((((inputs!$P$13/(V20/MAX(K20:S20)))^(1/inputs!$O$13))-1)/inputs!$N$13&lt;inputs!$I$17, (((inputs!$P$13/(V20/MAX(K20:S20)))^(1/inputs!$O$13))-1)/inputs!$N$13, inputs!$I$17))</f>
        <v>1000</v>
      </c>
      <c r="U20" s="63">
        <f>IF((((inputs!$P$13/(X20/MAX(K20:S20)))^(1/inputs!$O$13))-1)/inputs!$N$13&lt;0, 0, IF((((inputs!$P$13/(X20/MAX(K20:S20)))^(1/inputs!$O$13))-1)/inputs!$N$13&lt;inputs!$I$17, (((inputs!$P$13/(X20/MAX(K20:S20)))^(1/inputs!$O$13))-1)/inputs!$N$13, inputs!$I$17))</f>
        <v>1000</v>
      </c>
      <c r="V20" s="21">
        <f>inputs!$E$87*(F20/inputs!$F$87)^(1)</f>
        <v>1.5200000000000001E-3</v>
      </c>
      <c r="W20" s="21">
        <f>inputs!$E$90*(F20/inputs!$F$90)^(1)</f>
        <v>1.6000000000000001E-3</v>
      </c>
      <c r="X20" s="21">
        <f>inputs!$E$89*(F20/inputs!$F$89)^(1)</f>
        <v>5.9746835443037971E-3</v>
      </c>
      <c r="Y20" s="21" t="s">
        <v>13</v>
      </c>
      <c r="Z20" s="63">
        <f t="shared" si="1"/>
        <v>5208.6768482206817</v>
      </c>
      <c r="AA20" s="63">
        <f t="shared" si="2"/>
        <v>4948.2430058096479</v>
      </c>
    </row>
    <row r="21" spans="1:476" ht="13.2" x14ac:dyDescent="0.25">
      <c r="A21" s="103" t="s">
        <v>663</v>
      </c>
      <c r="B21" s="20" t="s">
        <v>664</v>
      </c>
      <c r="C21" s="21" t="s">
        <v>702</v>
      </c>
      <c r="D21" s="15" t="s">
        <v>704</v>
      </c>
      <c r="E21" s="15">
        <v>190</v>
      </c>
      <c r="F21" s="21">
        <v>8</v>
      </c>
      <c r="G21" s="21" t="s">
        <v>142</v>
      </c>
      <c r="H21" s="21">
        <v>0.69</v>
      </c>
      <c r="I21" s="68">
        <f>MAX('Max rate concentrations'!$H$3:$H$368)</f>
        <v>282</v>
      </c>
      <c r="J21" s="68">
        <f>MAX('Max rate concentrations'!AA:AA)</f>
        <v>195</v>
      </c>
      <c r="K21" s="69">
        <f t="shared" si="0"/>
        <v>7.3761432042530499</v>
      </c>
      <c r="L21" s="69">
        <f t="shared" si="4"/>
        <v>5.1005245561324282</v>
      </c>
      <c r="M21" s="69">
        <f>IF((((0.065*F21^0.726)/3.7-(0.301*F21^0.751)/(1-H21)*H21)*(MAX('Max rate concentrations'!$P$3:$P$368)))/F21&gt;0, (((0.065*F21^0.726)/3.7-(0.301*F21^0.751)/(1-H21)*H21)*(MAX('Max rate concentrations'!$P$3:$P$368)))/F21, 0)</f>
        <v>0</v>
      </c>
      <c r="N21" s="69">
        <f>IF((((0.065*F21^0.726)/3.7-(0.301*F21^0.751)/(1-H21)*H21)*(MAX('Max rate concentrations'!$Q$3:$Q$368)))/F21&gt;0, (((0.065*F21^0.726)/3.7-(0.301*F21^0.751)/(1-H21)*H21)*(MAX('Max rate concentrations'!$Q$3:$Q$368)))/F21, 0)</f>
        <v>0</v>
      </c>
      <c r="O21" s="69" t="s">
        <v>13</v>
      </c>
      <c r="P21" s="69" t="s">
        <v>13</v>
      </c>
      <c r="Q21" s="69">
        <f>(inputs!$C$18*11.2)*(1.131*F21^0.579)*0.5*1/F21</f>
        <v>7.9171888092954363</v>
      </c>
      <c r="R21" s="59">
        <f>(60*76.9*((F21/1000)^0.76)*3*24*(MAX('Max rate concentrations'!$R$3:$R$368))/F21)</f>
        <v>8.1557928811495147E-3</v>
      </c>
      <c r="S21" s="59">
        <f>(IF(inputs!$C$17="aerial",((0.025*0.112*inputs!$C$18/3.3)*(3*60*76.9*((F21/1000)^0.76))*MAX(inputs!$I$14:$I$16))/F21,((0.0083*0.112*inputs!$C$18/1)*(3*60*76.9*((F21/1000)^0.76))*MAX(inputs!$I$14:$I$16))/F21))</f>
        <v>3.4437581907274417E-2</v>
      </c>
      <c r="T21" s="63">
        <f>IF((((inputs!$P$13/(V21/MAX(K21:S21)))^(1/inputs!$O$13))-1)/inputs!$N$13&lt;0, 0, IF((((inputs!$P$13/(V21/MAX(K21:S21)))^(1/inputs!$O$13))-1)/inputs!$N$13&lt;inputs!$I$17, (((inputs!$P$13/(V21/MAX(K21:S21)))^(1/inputs!$O$13))-1)/inputs!$N$13, inputs!$I$17))</f>
        <v>1000</v>
      </c>
      <c r="U21" s="63">
        <f>IF((((inputs!$P$13/(X21/MAX(K21:S21)))^(1/inputs!$O$13))-1)/inputs!$N$13&lt;0, 0, IF((((inputs!$P$13/(X21/MAX(K21:S21)))^(1/inputs!$O$13))-1)/inputs!$N$13&lt;inputs!$I$17, (((inputs!$P$13/(X21/MAX(K21:S21)))^(1/inputs!$O$13))-1)/inputs!$N$13, inputs!$I$17))</f>
        <v>1000</v>
      </c>
      <c r="V21" s="21">
        <f>inputs!$E$87*(F21/inputs!$F$87)^(1)</f>
        <v>1.5200000000000001E-3</v>
      </c>
      <c r="W21" s="21">
        <f>inputs!$E$90*(F21/inputs!$F$90)^(1)</f>
        <v>1.6000000000000001E-3</v>
      </c>
      <c r="X21" s="21">
        <f>inputs!$E$89*(F21/inputs!$F$89)^(1)</f>
        <v>5.9746835443037971E-3</v>
      </c>
      <c r="Y21" s="21" t="s">
        <v>13</v>
      </c>
      <c r="Z21" s="63">
        <f t="shared" si="1"/>
        <v>5208.6768482206817</v>
      </c>
      <c r="AA21" s="63">
        <f t="shared" si="2"/>
        <v>4948.2430058096479</v>
      </c>
    </row>
    <row r="22" spans="1:476" ht="13.2" x14ac:dyDescent="0.25">
      <c r="A22" s="103" t="s">
        <v>669</v>
      </c>
      <c r="B22" s="20" t="s">
        <v>670</v>
      </c>
      <c r="C22" s="21" t="s">
        <v>702</v>
      </c>
      <c r="D22" s="15" t="s">
        <v>704</v>
      </c>
      <c r="E22" s="15">
        <v>9378</v>
      </c>
      <c r="F22" s="21">
        <v>3</v>
      </c>
      <c r="G22" s="21" t="s">
        <v>142</v>
      </c>
      <c r="H22" s="21">
        <v>0.69</v>
      </c>
      <c r="I22" s="68">
        <f>MAX('Max rate concentrations'!$H$3:$H$368)</f>
        <v>282</v>
      </c>
      <c r="J22" s="68">
        <f>MAX('Max rate concentrations'!AA:AA)</f>
        <v>195</v>
      </c>
      <c r="K22" s="69">
        <f t="shared" si="0"/>
        <v>9.2156132811541518</v>
      </c>
      <c r="L22" s="69">
        <f t="shared" si="4"/>
        <v>6.3724985454789342</v>
      </c>
      <c r="M22" s="69">
        <f>IF((((0.065*F22^0.726)/3.7-(0.301*F22^0.751)/(1-H22)*H22)*(MAX('Max rate concentrations'!$P$3:$P$368)))/F22&gt;0, (((0.065*F22^0.726)/3.7-(0.301*F22^0.751)/(1-H22)*H22)*(MAX('Max rate concentrations'!$P$3:$P$368)))/F22, 0)</f>
        <v>0</v>
      </c>
      <c r="N22" s="69">
        <f>IF((((0.065*F22^0.726)/3.7-(0.301*F22^0.751)/(1-H22)*H22)*(MAX('Max rate concentrations'!$Q$3:$Q$368)))/F22&gt;0, (((0.065*F22^0.726)/3.7-(0.301*F22^0.751)/(1-H22)*H22)*(MAX('Max rate concentrations'!$Q$3:$Q$368)))/F22, 0)</f>
        <v>0</v>
      </c>
      <c r="O22" s="69" t="s">
        <v>13</v>
      </c>
      <c r="P22" s="69" t="s">
        <v>13</v>
      </c>
      <c r="Q22" s="69">
        <f>(inputs!$C$18*11.2)*(1.131*F22^0.579)*0.5*1/F22</f>
        <v>11.964755780732583</v>
      </c>
      <c r="R22" s="59">
        <f>(60*76.9*((F22/1000)^0.76)*3*24*(MAX('Max rate concentrations'!$R$3:$R$368))/F22)</f>
        <v>1.0320451183737278E-2</v>
      </c>
      <c r="S22" s="59">
        <f>(IF(inputs!$C$17="aerial",((0.025*0.112*inputs!$C$18/3.3)*(3*60*76.9*((F22/1000)^0.76))*MAX(inputs!$I$14:$I$16))/F22,((0.0083*0.112*inputs!$C$18/1)*(3*60*76.9*((F22/1000)^0.76))*MAX(inputs!$I$14:$I$16))/F22))</f>
        <v>4.3577784298745759E-2</v>
      </c>
      <c r="T22" s="63">
        <f>IF((((inputs!$P$13/(V22/MAX(K22:S22)))^(1/inputs!$O$13))-1)/inputs!$N$13&lt;0, 0, IF((((inputs!$P$13/(V22/MAX(K22:S22)))^(1/inputs!$O$13))-1)/inputs!$N$13&lt;inputs!$I$17, (((inputs!$P$13/(V22/MAX(K22:S22)))^(1/inputs!$O$13))-1)/inputs!$N$13, inputs!$I$17))</f>
        <v>1000</v>
      </c>
      <c r="U22" s="63">
        <f>IF((((inputs!$P$13/(X22/MAX(K22:S22)))^(1/inputs!$O$13))-1)/inputs!$N$13&lt;0, 0, IF((((inputs!$P$13/(X22/MAX(K22:S22)))^(1/inputs!$O$13))-1)/inputs!$N$13&lt;inputs!$I$17, (((inputs!$P$13/(X22/MAX(K22:S22)))^(1/inputs!$O$13))-1)/inputs!$N$13, inputs!$I$17))</f>
        <v>1000</v>
      </c>
      <c r="V22" s="21">
        <f>inputs!$E$87*(F22/inputs!$F$87)^(1)</f>
        <v>5.6999999999999998E-4</v>
      </c>
      <c r="W22" s="21">
        <f>inputs!$E$90*(F22/inputs!$F$90)^(1)</f>
        <v>5.9999999999999995E-4</v>
      </c>
      <c r="X22" s="21">
        <f>inputs!$E$89*(F22/inputs!$F$89)^(1)</f>
        <v>2.2405063291139238E-3</v>
      </c>
      <c r="Y22" s="21" t="s">
        <v>13</v>
      </c>
      <c r="Z22" s="63">
        <f t="shared" si="1"/>
        <v>20990.79961532032</v>
      </c>
      <c r="AA22" s="63">
        <f t="shared" si="2"/>
        <v>19941.259634554306</v>
      </c>
    </row>
    <row r="23" spans="1:476" ht="13.2" x14ac:dyDescent="0.25">
      <c r="A23" s="103" t="s">
        <v>669</v>
      </c>
      <c r="B23" s="20" t="s">
        <v>670</v>
      </c>
      <c r="C23" s="21" t="s">
        <v>702</v>
      </c>
      <c r="D23" s="15" t="s">
        <v>704</v>
      </c>
      <c r="E23" s="15">
        <v>9378</v>
      </c>
      <c r="F23" s="21">
        <v>3</v>
      </c>
      <c r="G23" s="21" t="s">
        <v>164</v>
      </c>
      <c r="H23" s="21">
        <v>0.78</v>
      </c>
      <c r="I23" s="68">
        <f>inputs!$C$66*(inputs!$C$62/1000)</f>
        <v>8.2000000000000011</v>
      </c>
      <c r="J23" s="68">
        <f>inputs!$C$66*(inputs!$C$61/1000)</f>
        <v>2.5</v>
      </c>
      <c r="K23" s="69">
        <f t="shared" si="0"/>
        <v>0.37759653386031372</v>
      </c>
      <c r="L23" s="69">
        <f t="shared" si="4"/>
        <v>0.11512089446960783</v>
      </c>
      <c r="M23" s="69">
        <f>IF((((0.065*F23^0.726)/3.7-(0.301*F23^0.751)/(1-H23)*H23)*(MAX('Max rate concentrations'!$P$3:$P$368)))/F23&gt;0, (((0.065*F23^0.726)/3.7-(0.301*F23^0.751)/(1-H23)*H23)*(MAX('Max rate concentrations'!$P$3:$P$368)))/F23, 0)</f>
        <v>0</v>
      </c>
      <c r="N23" s="69">
        <f>IF((((0.065*F23^0.726)/3.7-(0.301*F23^0.751)/(1-H23)*H23)*(MAX('Max rate concentrations'!$Q$3:$Q$368)))/F23&gt;0, (((0.065*F23^0.726)/3.7-(0.301*F23^0.751)/(1-H23)*H23)*(MAX('Max rate concentrations'!$Q$3:$Q$368)))/F23, 0)</f>
        <v>0</v>
      </c>
      <c r="O23" s="69" t="s">
        <v>13</v>
      </c>
      <c r="P23" s="69" t="s">
        <v>13</v>
      </c>
      <c r="Q23" s="69">
        <f>(inputs!$C$18*11.2)*(1.131*F23^0.579)*0.5*1/F23</f>
        <v>11.964755780732583</v>
      </c>
      <c r="R23" s="59">
        <f>(60*76.9*((F23/1000)^0.76)*3*24*(MAX('Max rate concentrations'!$R$3:$R$368))/F23)</f>
        <v>1.0320451183737278E-2</v>
      </c>
      <c r="S23" s="59">
        <f>(IF(inputs!$C$17="aerial",((0.025*0.112*inputs!$C$18/3.3)*(3*60*76.9*((F23/1000)^0.76))*MAX(inputs!$I$14:$I$16))/F23,((0.0083*0.112*inputs!$C$18/1)*(3*60*76.9*((F23/1000)^0.76))*MAX(inputs!$I$14:$I$16))/F23))</f>
        <v>4.3577784298745759E-2</v>
      </c>
      <c r="T23" s="63">
        <f>IF((((inputs!$P$13/(V23/MAX(K23:S23)))^(1/inputs!$O$13))-1)/inputs!$N$13&lt;0, 0, IF((((inputs!$P$13/(V23/MAX(K23:S23)))^(1/inputs!$O$13))-1)/inputs!$N$13&lt;inputs!$I$17, (((inputs!$P$13/(V23/MAX(K23:S23)))^(1/inputs!$O$13))-1)/inputs!$N$13, inputs!$I$17))</f>
        <v>1000</v>
      </c>
      <c r="U23" s="63">
        <f>IF((((inputs!$P$13/(X23/MAX(K23:S23)))^(1/inputs!$O$13))-1)/inputs!$N$13&lt;0, 0, IF((((inputs!$P$13/(X23/MAX(K23:S23)))^(1/inputs!$O$13))-1)/inputs!$N$13&lt;inputs!$I$17, (((inputs!$P$13/(X23/MAX(K23:S23)))^(1/inputs!$O$13))-1)/inputs!$N$13, inputs!$I$17))</f>
        <v>1000</v>
      </c>
      <c r="V23" s="21">
        <f>inputs!$E$87*(F23/inputs!$F$87)^(1)</f>
        <v>5.6999999999999998E-4</v>
      </c>
      <c r="W23" s="21">
        <f>inputs!$E$90*(F23/inputs!$F$90)^(1)</f>
        <v>5.9999999999999995E-4</v>
      </c>
      <c r="X23" s="21">
        <f>inputs!$E$89*(F23/inputs!$F$89)^(1)</f>
        <v>2.2405063291139238E-3</v>
      </c>
      <c r="Y23" s="21" t="s">
        <v>13</v>
      </c>
      <c r="Z23" s="63">
        <f t="shared" si="1"/>
        <v>20990.79961532032</v>
      </c>
      <c r="AA23" s="63">
        <f t="shared" si="2"/>
        <v>19941.259634554306</v>
      </c>
    </row>
    <row r="24" spans="1:476" ht="26.4" x14ac:dyDescent="0.25">
      <c r="A24" s="103" t="s">
        <v>693</v>
      </c>
      <c r="B24" s="20" t="s">
        <v>694</v>
      </c>
      <c r="C24" s="21" t="s">
        <v>702</v>
      </c>
      <c r="D24" s="15" t="s">
        <v>704</v>
      </c>
      <c r="E24" s="15">
        <v>1740</v>
      </c>
      <c r="F24" s="21">
        <v>13.84</v>
      </c>
      <c r="G24" s="21" t="s">
        <v>142</v>
      </c>
      <c r="H24" s="21">
        <v>0.69</v>
      </c>
      <c r="I24" s="68">
        <f>MAX('Max rate concentrations'!$H$3:$H$368)</f>
        <v>282</v>
      </c>
      <c r="J24" s="68">
        <f>MAX('Max rate concentrations'!AA:AA)</f>
        <v>195</v>
      </c>
      <c r="K24" s="69">
        <f t="shared" si="0"/>
        <v>6.5131769063147642</v>
      </c>
      <c r="L24" s="69">
        <f t="shared" si="4"/>
        <v>4.5037925416006344</v>
      </c>
      <c r="M24" s="69">
        <f>IF((((0.065*F24^0.726)/3.7-(0.301*F24^0.751)/(1-H24)*H24)*(MAX('Max rate concentrations'!$P$3:$P$368)))/F24&gt;0, (((0.065*F24^0.726)/3.7-(0.301*F24^0.751)/(1-H24)*H24)*(MAX('Max rate concentrations'!$P$3:$P$368)))/F24, 0)</f>
        <v>0</v>
      </c>
      <c r="N24" s="69">
        <f>IF((((0.065*F24^0.726)/3.7-(0.301*F24^0.751)/(1-H24)*H24)*(MAX('Max rate concentrations'!$Q$3:$Q$368)))/F24&gt;0, (((0.065*F24^0.726)/3.7-(0.301*F24^0.751)/(1-H24)*H24)*(MAX('Max rate concentrations'!$Q$3:$Q$368)))/F24, 0)</f>
        <v>0</v>
      </c>
      <c r="O24" s="69" t="s">
        <v>13</v>
      </c>
      <c r="P24" s="69" t="s">
        <v>13</v>
      </c>
      <c r="Q24" s="69">
        <f>(inputs!$C$18*11.2)*(1.131*F24^0.579)*0.5*1/F24</f>
        <v>6.2856991789638972</v>
      </c>
      <c r="R24" s="59">
        <f>(60*76.9*((F24/1000)^0.76)*3*24*(MAX('Max rate concentrations'!$R$3:$R$368))/F24)</f>
        <v>7.1504788013455672E-3</v>
      </c>
      <c r="S24" s="59">
        <f>(IF(inputs!$C$17="aerial",((0.025*0.112*inputs!$C$18/3.3)*(3*60*76.9*((F24/1000)^0.76))*MAX(inputs!$I$14:$I$16))/F24,((0.0083*0.112*inputs!$C$18/1)*(3*60*76.9*((F24/1000)^0.76))*MAX(inputs!$I$14:$I$16))/F24))</f>
        <v>3.0192674456791812E-2</v>
      </c>
      <c r="T24" s="63">
        <f>IF((((inputs!$P$13/(V24/MAX(K24:S24)))^(1/inputs!$O$13))-1)/inputs!$N$13&lt;0, 0, IF((((inputs!$P$13/(V24/MAX(K24:S24)))^(1/inputs!$O$13))-1)/inputs!$N$13&lt;inputs!$I$17, (((inputs!$P$13/(V24/MAX(K24:S24)))^(1/inputs!$O$13))-1)/inputs!$N$13, inputs!$I$17))</f>
        <v>1000</v>
      </c>
      <c r="U24" s="63">
        <f>IF((((inputs!$P$13/(X24/MAX(K24:S24)))^(1/inputs!$O$13))-1)/inputs!$N$13&lt;0, 0, IF((((inputs!$P$13/(X24/MAX(K24:S24)))^(1/inputs!$O$13))-1)/inputs!$N$13&lt;inputs!$I$17, (((inputs!$P$13/(X24/MAX(K24:S24)))^(1/inputs!$O$13))-1)/inputs!$N$13, inputs!$I$17))</f>
        <v>997.00564950231092</v>
      </c>
      <c r="V24" s="21">
        <f>inputs!$E$87*(F24/inputs!$F$87)^(1)</f>
        <v>2.6295999999999997E-3</v>
      </c>
      <c r="W24" s="21">
        <f>inputs!$E$90*(F24/inputs!$F$90)^(1)</f>
        <v>2.7680000000000001E-3</v>
      </c>
      <c r="X24" s="21">
        <f>inputs!$E$89*(F24/inputs!$F$89)^(1)</f>
        <v>1.0336202531645569E-2</v>
      </c>
      <c r="Y24" s="21" t="s">
        <v>13</v>
      </c>
      <c r="Z24" s="63">
        <f t="shared" si="1"/>
        <v>2476.8698305121557</v>
      </c>
      <c r="AA24" s="63">
        <f t="shared" si="2"/>
        <v>2353.0263389865477</v>
      </c>
    </row>
    <row r="25" spans="1:476" ht="26.4" x14ac:dyDescent="0.25">
      <c r="A25" s="103" t="s">
        <v>693</v>
      </c>
      <c r="B25" s="20" t="s">
        <v>694</v>
      </c>
      <c r="C25" s="21" t="s">
        <v>702</v>
      </c>
      <c r="D25" s="15" t="s">
        <v>704</v>
      </c>
      <c r="E25" s="15">
        <v>1740</v>
      </c>
      <c r="F25" s="21">
        <v>13.84</v>
      </c>
      <c r="G25" s="21" t="s">
        <v>164</v>
      </c>
      <c r="H25" s="21">
        <v>0.78</v>
      </c>
      <c r="I25" s="68">
        <f>inputs!$C$66*(inputs!$C$62/1000)</f>
        <v>8.2000000000000011</v>
      </c>
      <c r="J25" s="68">
        <f>inputs!$C$66*(inputs!$C$61/1000)</f>
        <v>2.5</v>
      </c>
      <c r="K25" s="69">
        <f t="shared" si="0"/>
        <v>0.2668680802039351</v>
      </c>
      <c r="L25" s="69">
        <f t="shared" si="4"/>
        <v>8.1362219574370453E-2</v>
      </c>
      <c r="M25" s="69">
        <f>IF((((0.065*F25^0.726)/3.7-(0.301*F25^0.751)/(1-H25)*H25)*(MAX('Max rate concentrations'!$P$3:$P$368)))/F25&gt;0, (((0.065*F25^0.726)/3.7-(0.301*F25^0.751)/(1-H25)*H25)*(MAX('Max rate concentrations'!$P$3:$P$368)))/F25, 0)</f>
        <v>0</v>
      </c>
      <c r="N25" s="69">
        <f>IF((((0.065*F25^0.726)/3.7-(0.301*F25^0.751)/(1-H25)*H25)*(MAX('Max rate concentrations'!$Q$3:$Q$368)))/F25&gt;0, (((0.065*F25^0.726)/3.7-(0.301*F25^0.751)/(1-H25)*H25)*(MAX('Max rate concentrations'!$Q$3:$Q$368)))/F25, 0)</f>
        <v>0</v>
      </c>
      <c r="O25" s="69" t="s">
        <v>13</v>
      </c>
      <c r="P25" s="69" t="s">
        <v>13</v>
      </c>
      <c r="Q25" s="69">
        <f>(inputs!$C$18*11.2)*(1.131*F25^0.579)*0.5*1/F25</f>
        <v>6.2856991789638972</v>
      </c>
      <c r="R25" s="59">
        <f>(60*76.9*((F25/1000)^0.76)*3*24*(MAX('Max rate concentrations'!$R$3:$R$368))/F25)</f>
        <v>7.1504788013455672E-3</v>
      </c>
      <c r="S25" s="59">
        <f>(IF(inputs!$C$17="aerial",((0.025*0.112*inputs!$C$18/3.3)*(3*60*76.9*((F25/1000)^0.76))*MAX(inputs!$I$14:$I$16))/F25,((0.0083*0.112*inputs!$C$18/1)*(3*60*76.9*((F25/1000)^0.76))*MAX(inputs!$I$14:$I$16))/F25))</f>
        <v>3.0192674456791812E-2</v>
      </c>
      <c r="T25" s="63">
        <f>IF((((inputs!$P$13/(V25/MAX(K25:S25)))^(1/inputs!$O$13))-1)/inputs!$N$13&lt;0, 0, IF((((inputs!$P$13/(V25/MAX(K25:S25)))^(1/inputs!$O$13))-1)/inputs!$N$13&lt;inputs!$I$17, (((inputs!$P$13/(V25/MAX(K25:S25)))^(1/inputs!$O$13))-1)/inputs!$N$13, inputs!$I$17))</f>
        <v>1000</v>
      </c>
      <c r="U25" s="63">
        <f>IF((((inputs!$P$13/(X25/MAX(K25:S25)))^(1/inputs!$O$13))-1)/inputs!$N$13&lt;0, 0, IF((((inputs!$P$13/(X25/MAX(K25:S25)))^(1/inputs!$O$13))-1)/inputs!$N$13&lt;inputs!$I$17, (((inputs!$P$13/(X25/MAX(K25:S25)))^(1/inputs!$O$13))-1)/inputs!$N$13, inputs!$I$17))</f>
        <v>968.60327996967794</v>
      </c>
      <c r="V25" s="21">
        <f>inputs!$E$87*(F25/inputs!$F$87)^(1)</f>
        <v>2.6295999999999997E-3</v>
      </c>
      <c r="W25" s="21">
        <f>inputs!$E$90*(F25/inputs!$F$90)^(1)</f>
        <v>2.7680000000000001E-3</v>
      </c>
      <c r="X25" s="21">
        <f>inputs!$E$89*(F25/inputs!$F$89)^(1)</f>
        <v>1.0336202531645569E-2</v>
      </c>
      <c r="Y25" s="21" t="s">
        <v>13</v>
      </c>
      <c r="Z25" s="63">
        <f t="shared" si="1"/>
        <v>2390.3632411636363</v>
      </c>
      <c r="AA25" s="63">
        <f t="shared" si="2"/>
        <v>2270.8450791054543</v>
      </c>
    </row>
    <row r="26" spans="1:476" ht="26.4" x14ac:dyDescent="0.25">
      <c r="A26" s="103" t="s">
        <v>693</v>
      </c>
      <c r="B26" s="20" t="s">
        <v>695</v>
      </c>
      <c r="C26" s="21" t="s">
        <v>702</v>
      </c>
      <c r="D26" s="15" t="s">
        <v>704</v>
      </c>
      <c r="E26" s="15">
        <v>207</v>
      </c>
      <c r="F26" s="21">
        <v>13.84</v>
      </c>
      <c r="G26" s="21" t="s">
        <v>142</v>
      </c>
      <c r="H26" s="21">
        <v>0.69</v>
      </c>
      <c r="I26" s="68">
        <f>MAX('Max rate concentrations'!$H$3:$H$368)</f>
        <v>282</v>
      </c>
      <c r="J26" s="68">
        <f>MAX('Max rate concentrations'!AA:AA)</f>
        <v>195</v>
      </c>
      <c r="K26" s="69">
        <f t="shared" si="0"/>
        <v>6.5131769063147642</v>
      </c>
      <c r="L26" s="69">
        <f t="shared" si="4"/>
        <v>4.5037925416006344</v>
      </c>
      <c r="M26" s="69">
        <f>IF((((0.065*F26^0.726)/3.7-(0.301*F26^0.751)/(1-H26)*H26)*(MAX('Max rate concentrations'!$P$3:$P$368)))/F26&gt;0, (((0.065*F26^0.726)/3.7-(0.301*F26^0.751)/(1-H26)*H26)*(MAX('Max rate concentrations'!$P$3:$P$368)))/F26, 0)</f>
        <v>0</v>
      </c>
      <c r="N26" s="69">
        <f>IF((((0.065*F26^0.726)/3.7-(0.301*F26^0.751)/(1-H26)*H26)*(MAX('Max rate concentrations'!$Q$3:$Q$368)))/F26&gt;0, (((0.065*F26^0.726)/3.7-(0.301*F26^0.751)/(1-H26)*H26)*(MAX('Max rate concentrations'!$Q$3:$Q$368)))/F26, 0)</f>
        <v>0</v>
      </c>
      <c r="O26" s="69" t="s">
        <v>13</v>
      </c>
      <c r="P26" s="69" t="s">
        <v>13</v>
      </c>
      <c r="Q26" s="69">
        <f>(inputs!$C$18*11.2)*(1.131*F26^0.579)*0.5*1/F26</f>
        <v>6.2856991789638972</v>
      </c>
      <c r="R26" s="59">
        <f>(60*76.9*((F26/1000)^0.76)*3*24*(MAX('Max rate concentrations'!$R$3:$R$368))/F26)</f>
        <v>7.1504788013455672E-3</v>
      </c>
      <c r="S26" s="59">
        <f>(IF(inputs!$C$17="aerial",((0.025*0.112*inputs!$C$18/3.3)*(3*60*76.9*((F26/1000)^0.76))*MAX(inputs!$I$14:$I$16))/F26,((0.0083*0.112*inputs!$C$18/1)*(3*60*76.9*((F26/1000)^0.76))*MAX(inputs!$I$14:$I$16))/F26))</f>
        <v>3.0192674456791812E-2</v>
      </c>
      <c r="T26" s="63">
        <f>IF((((inputs!$P$13/(V26/MAX(K26:S26)))^(1/inputs!$O$13))-1)/inputs!$N$13&lt;0, 0, IF((((inputs!$P$13/(V26/MAX(K26:S26)))^(1/inputs!$O$13))-1)/inputs!$N$13&lt;inputs!$I$17, (((inputs!$P$13/(V26/MAX(K26:S26)))^(1/inputs!$O$13))-1)/inputs!$N$13, inputs!$I$17))</f>
        <v>1000</v>
      </c>
      <c r="U26" s="63">
        <f>IF((((inputs!$P$13/(X26/MAX(K26:S26)))^(1/inputs!$O$13))-1)/inputs!$N$13&lt;0, 0, IF((((inputs!$P$13/(X26/MAX(K26:S26)))^(1/inputs!$O$13))-1)/inputs!$N$13&lt;inputs!$I$17, (((inputs!$P$13/(X26/MAX(K26:S26)))^(1/inputs!$O$13))-1)/inputs!$N$13, inputs!$I$17))</f>
        <v>997.00564950231092</v>
      </c>
      <c r="V26" s="21">
        <f>inputs!$E$87*(F26/inputs!$F$87)^(1)</f>
        <v>2.6295999999999997E-3</v>
      </c>
      <c r="W26" s="21">
        <f>inputs!$E$90*(F26/inputs!$F$90)^(1)</f>
        <v>2.7680000000000001E-3</v>
      </c>
      <c r="X26" s="21">
        <f>inputs!$E$89*(F26/inputs!$F$89)^(1)</f>
        <v>1.0336202531645569E-2</v>
      </c>
      <c r="Y26" s="21" t="s">
        <v>13</v>
      </c>
      <c r="Z26" s="63">
        <f t="shared" si="1"/>
        <v>2476.8698305121557</v>
      </c>
      <c r="AA26" s="63">
        <f t="shared" si="2"/>
        <v>2353.0263389865477</v>
      </c>
    </row>
    <row r="27" spans="1:476" ht="26.4" x14ac:dyDescent="0.25">
      <c r="A27" s="103" t="s">
        <v>693</v>
      </c>
      <c r="B27" s="20" t="s">
        <v>695</v>
      </c>
      <c r="C27" s="21" t="s">
        <v>702</v>
      </c>
      <c r="D27" s="15" t="s">
        <v>704</v>
      </c>
      <c r="E27" s="15">
        <v>207</v>
      </c>
      <c r="F27" s="21">
        <v>13.84</v>
      </c>
      <c r="G27" s="21" t="s">
        <v>164</v>
      </c>
      <c r="H27" s="21">
        <v>0.78</v>
      </c>
      <c r="I27" s="68">
        <f>inputs!$C$66*(inputs!$C$62/1000)</f>
        <v>8.2000000000000011</v>
      </c>
      <c r="J27" s="68">
        <f>inputs!$C$66*(inputs!$C$61/1000)</f>
        <v>2.5</v>
      </c>
      <c r="K27" s="69">
        <f t="shared" si="0"/>
        <v>0.2668680802039351</v>
      </c>
      <c r="L27" s="69">
        <f t="shared" si="4"/>
        <v>8.1362219574370453E-2</v>
      </c>
      <c r="M27" s="69">
        <f>IF((((0.065*F27^0.726)/3.7-(0.301*F27^0.751)/(1-H27)*H27)*(MAX('Max rate concentrations'!$P$3:$P$368)))/F27&gt;0, (((0.065*F27^0.726)/3.7-(0.301*F27^0.751)/(1-H27)*H27)*(MAX('Max rate concentrations'!$P$3:$P$368)))/F27, 0)</f>
        <v>0</v>
      </c>
      <c r="N27" s="69">
        <f>IF((((0.065*F27^0.726)/3.7-(0.301*F27^0.751)/(1-H27)*H27)*(MAX('Max rate concentrations'!$Q$3:$Q$368)))/F27&gt;0, (((0.065*F27^0.726)/3.7-(0.301*F27^0.751)/(1-H27)*H27)*(MAX('Max rate concentrations'!$Q$3:$Q$368)))/F27, 0)</f>
        <v>0</v>
      </c>
      <c r="O27" s="69" t="s">
        <v>13</v>
      </c>
      <c r="P27" s="69" t="s">
        <v>13</v>
      </c>
      <c r="Q27" s="69">
        <f>(inputs!$C$18*11.2)*(1.131*F27^0.579)*0.5*1/F27</f>
        <v>6.2856991789638972</v>
      </c>
      <c r="R27" s="59">
        <f>(60*76.9*((F27/1000)^0.76)*3*24*(MAX('Max rate concentrations'!$R$3:$R$368))/F27)</f>
        <v>7.1504788013455672E-3</v>
      </c>
      <c r="S27" s="59">
        <f>(IF(inputs!$C$17="aerial",((0.025*0.112*inputs!$C$18/3.3)*(3*60*76.9*((F27/1000)^0.76))*MAX(inputs!$I$14:$I$16))/F27,((0.0083*0.112*inputs!$C$18/1)*(3*60*76.9*((F27/1000)^0.76))*MAX(inputs!$I$14:$I$16))/F27))</f>
        <v>3.0192674456791812E-2</v>
      </c>
      <c r="T27" s="63">
        <f>IF((((inputs!$P$13/(V27/MAX(K27:S27)))^(1/inputs!$O$13))-1)/inputs!$N$13&lt;0, 0, IF((((inputs!$P$13/(V27/MAX(K27:S27)))^(1/inputs!$O$13))-1)/inputs!$N$13&lt;inputs!$I$17, (((inputs!$P$13/(V27/MAX(K27:S27)))^(1/inputs!$O$13))-1)/inputs!$N$13, inputs!$I$17))</f>
        <v>1000</v>
      </c>
      <c r="U27" s="63">
        <f>IF((((inputs!$P$13/(X27/MAX(K27:S27)))^(1/inputs!$O$13))-1)/inputs!$N$13&lt;0, 0, IF((((inputs!$P$13/(X27/MAX(K27:S27)))^(1/inputs!$O$13))-1)/inputs!$N$13&lt;inputs!$I$17, (((inputs!$P$13/(X27/MAX(K27:S27)))^(1/inputs!$O$13))-1)/inputs!$N$13, inputs!$I$17))</f>
        <v>968.60327996967794</v>
      </c>
      <c r="V27" s="21">
        <f>inputs!$E$87*(F27/inputs!$F$87)^(1)</f>
        <v>2.6295999999999997E-3</v>
      </c>
      <c r="W27" s="21">
        <f>inputs!$E$90*(F27/inputs!$F$90)^(1)</f>
        <v>2.7680000000000001E-3</v>
      </c>
      <c r="X27" s="21">
        <f>inputs!$E$89*(F27/inputs!$F$89)^(1)</f>
        <v>1.0336202531645569E-2</v>
      </c>
      <c r="Y27" s="21" t="s">
        <v>13</v>
      </c>
      <c r="Z27" s="63">
        <f t="shared" si="1"/>
        <v>2390.3632411636363</v>
      </c>
      <c r="AA27" s="63">
        <f t="shared" si="2"/>
        <v>2270.8450791054543</v>
      </c>
    </row>
    <row r="28" spans="1:476" ht="13.2" x14ac:dyDescent="0.25">
      <c r="A28" s="103" t="s">
        <v>696</v>
      </c>
      <c r="B28" s="20" t="s">
        <v>697</v>
      </c>
      <c r="C28" s="21" t="s">
        <v>702</v>
      </c>
      <c r="D28" s="15" t="s">
        <v>704</v>
      </c>
      <c r="E28" s="15">
        <v>4090</v>
      </c>
      <c r="F28" s="21">
        <v>8</v>
      </c>
      <c r="G28" s="21" t="s">
        <v>182</v>
      </c>
      <c r="H28" s="21">
        <v>0.85</v>
      </c>
      <c r="I28" s="68">
        <f>MAX('Max rate concentrations'!$M$3:$M$368)</f>
        <v>17.092910873809167</v>
      </c>
      <c r="J28" s="68">
        <f>MAX('Max rate concentrations'!AE:AE)</f>
        <v>11.81956602976166</v>
      </c>
      <c r="K28" s="69">
        <f t="shared" si="0"/>
        <v>0.9239887730177937</v>
      </c>
      <c r="L28" s="69">
        <f t="shared" si="4"/>
        <v>0.63892840687400632</v>
      </c>
      <c r="M28" s="69">
        <f>IF((((0.065*F28^0.726)/3.7-(0.301*F28^0.751)/(1-H28)*H28)*(MAX('Max rate concentrations'!$P$3:$P$368)))/F28&gt;0, (((0.065*F28^0.726)/3.7-(0.301*F28^0.751)/(1-H28)*H28)*(MAX('Max rate concentrations'!$P$3:$P$368)))/F28, 0)</f>
        <v>0</v>
      </c>
      <c r="N28" s="69">
        <f>IF((((0.065*F28^0.726)/3.7-(0.301*F28^0.751)/(1-H28)*H28)*(MAX('Max rate concentrations'!$Q$3:$Q$368)))/F28&gt;0, (((0.065*F28^0.726)/3.7-(0.301*F28^0.751)/(1-H28)*H28)*(MAX('Max rate concentrations'!$Q$3:$Q$368)))/F28, 0)</f>
        <v>0</v>
      </c>
      <c r="O28" s="69" t="s">
        <v>13</v>
      </c>
      <c r="P28" s="69" t="s">
        <v>13</v>
      </c>
      <c r="Q28" s="69">
        <f>(inputs!$C$18*11.2)*(1.131*F28^0.579)*0.5*1/F28</f>
        <v>7.9171888092954363</v>
      </c>
      <c r="R28" s="59">
        <f>(60*76.9*((F28/1000)^0.76)*3*24*(MAX('Max rate concentrations'!$R$3:$R$368))/F28)</f>
        <v>8.1557928811495147E-3</v>
      </c>
      <c r="S28" s="59">
        <f>(IF(inputs!$C$17="aerial",((0.025*0.112*inputs!$C$18/3.3)*(3*60*76.9*((F28/1000)^0.76))*MAX(inputs!$I$14:$I$16))/F28,((0.0083*0.112*inputs!$C$18/1)*(3*60*76.9*((F28/1000)^0.76))*MAX(inputs!$I$14:$I$16))/F28))</f>
        <v>3.4437581907274417E-2</v>
      </c>
      <c r="T28" s="63">
        <f>IF((((inputs!$P$13/(V28/MAX(K28:S28)))^(1/inputs!$O$13))-1)/inputs!$N$13&lt;0, 0, IF((((inputs!$P$13/(V28/MAX(K28:S28)))^(1/inputs!$O$13))-1)/inputs!$N$13&lt;inputs!$I$17, (((inputs!$P$13/(V28/MAX(K28:S28)))^(1/inputs!$O$13))-1)/inputs!$N$13, inputs!$I$17))</f>
        <v>1000</v>
      </c>
      <c r="U28" s="63">
        <f>IF((((inputs!$P$13/(X28/MAX(K28:S28)))^(1/inputs!$O$13))-1)/inputs!$N$13&lt;0, 0, IF((((inputs!$P$13/(X28/MAX(K28:S28)))^(1/inputs!$O$13))-1)/inputs!$N$13&lt;inputs!$I$17, (((inputs!$P$13/(X28/MAX(K28:S28)))^(1/inputs!$O$13))-1)/inputs!$N$13, inputs!$I$17))</f>
        <v>1000</v>
      </c>
      <c r="V28" s="21">
        <f>inputs!$E$87*(F28/inputs!$F$87)^(1)</f>
        <v>1.5200000000000001E-3</v>
      </c>
      <c r="W28" s="21">
        <f>inputs!$E$90*(F28/inputs!$F$90)^(1)</f>
        <v>1.6000000000000001E-3</v>
      </c>
      <c r="X28" s="21">
        <f>inputs!$E$89*(F28/inputs!$F$89)^(1)</f>
        <v>5.9746835443037971E-3</v>
      </c>
      <c r="Y28" s="21" t="s">
        <v>13</v>
      </c>
      <c r="Z28" s="63">
        <f t="shared" si="1"/>
        <v>5208.6768482206817</v>
      </c>
      <c r="AA28" s="63">
        <f t="shared" si="2"/>
        <v>4948.2430058096479</v>
      </c>
    </row>
    <row r="29" spans="1:476" ht="13.2" x14ac:dyDescent="0.25">
      <c r="A29" s="103" t="s">
        <v>696</v>
      </c>
      <c r="B29" s="20" t="s">
        <v>697</v>
      </c>
      <c r="C29" s="21" t="s">
        <v>702</v>
      </c>
      <c r="D29" s="15" t="s">
        <v>704</v>
      </c>
      <c r="E29" s="15">
        <v>4090</v>
      </c>
      <c r="F29" s="21">
        <v>8</v>
      </c>
      <c r="G29" s="21" t="s">
        <v>142</v>
      </c>
      <c r="H29" s="21">
        <v>0.69</v>
      </c>
      <c r="I29" s="68">
        <f>MAX('Max rate concentrations'!$H$3:$H$368)</f>
        <v>282</v>
      </c>
      <c r="J29" s="68">
        <f>MAX('Max rate concentrations'!AA:AA)</f>
        <v>195</v>
      </c>
      <c r="K29" s="69">
        <f t="shared" si="0"/>
        <v>7.3761432042530499</v>
      </c>
      <c r="L29" s="69">
        <f t="shared" si="4"/>
        <v>5.1005245561324282</v>
      </c>
      <c r="M29" s="69">
        <f>IF((((0.065*F29^0.726)/3.7-(0.301*F29^0.751)/(1-H29)*H29)*(MAX('Max rate concentrations'!$P$3:$P$368)))/F29&gt;0, (((0.065*F29^0.726)/3.7-(0.301*F29^0.751)/(1-H29)*H29)*(MAX('Max rate concentrations'!$P$3:$P$368)))/F29, 0)</f>
        <v>0</v>
      </c>
      <c r="N29" s="69">
        <f>IF((((0.065*F29^0.726)/3.7-(0.301*F29^0.751)/(1-H29)*H29)*(MAX('Max rate concentrations'!$Q$3:$Q$368)))/F29&gt;0, (((0.065*F29^0.726)/3.7-(0.301*F29^0.751)/(1-H29)*H29)*(MAX('Max rate concentrations'!$Q$3:$Q$368)))/F29, 0)</f>
        <v>0</v>
      </c>
      <c r="O29" s="69" t="s">
        <v>13</v>
      </c>
      <c r="P29" s="69" t="s">
        <v>13</v>
      </c>
      <c r="Q29" s="69">
        <f>(inputs!$C$18*11.2)*(1.131*F29^0.579)*0.5*1/F29</f>
        <v>7.9171888092954363</v>
      </c>
      <c r="R29" s="59">
        <f>(60*76.9*((F29/1000)^0.76)*3*24*(MAX('Max rate concentrations'!$R$3:$R$368))/F29)</f>
        <v>8.1557928811495147E-3</v>
      </c>
      <c r="S29" s="59">
        <f>(IF(inputs!$C$17="aerial",((0.025*0.112*inputs!$C$18/3.3)*(3*60*76.9*((F29/1000)^0.76))*MAX(inputs!$I$14:$I$16))/F29,((0.0083*0.112*inputs!$C$18/1)*(3*60*76.9*((F29/1000)^0.76))*MAX(inputs!$I$14:$I$16))/F29))</f>
        <v>3.4437581907274417E-2</v>
      </c>
      <c r="T29" s="63">
        <f>IF((((inputs!$P$13/(V29/MAX(K29:S29)))^(1/inputs!$O$13))-1)/inputs!$N$13&lt;0, 0, IF((((inputs!$P$13/(V29/MAX(K29:S29)))^(1/inputs!$O$13))-1)/inputs!$N$13&lt;inputs!$I$17, (((inputs!$P$13/(V29/MAX(K29:S29)))^(1/inputs!$O$13))-1)/inputs!$N$13, inputs!$I$17))</f>
        <v>1000</v>
      </c>
      <c r="U29" s="63">
        <f>IF((((inputs!$P$13/(X29/MAX(K29:S29)))^(1/inputs!$O$13))-1)/inputs!$N$13&lt;0, 0, IF((((inputs!$P$13/(X29/MAX(K29:S29)))^(1/inputs!$O$13))-1)/inputs!$N$13&lt;inputs!$I$17, (((inputs!$P$13/(X29/MAX(K29:S29)))^(1/inputs!$O$13))-1)/inputs!$N$13, inputs!$I$17))</f>
        <v>1000</v>
      </c>
      <c r="V29" s="21">
        <f>inputs!$E$87*(F29/inputs!$F$87)^(1)</f>
        <v>1.5200000000000001E-3</v>
      </c>
      <c r="W29" s="21">
        <f>inputs!$E$90*(F29/inputs!$F$90)^(1)</f>
        <v>1.6000000000000001E-3</v>
      </c>
      <c r="X29" s="21">
        <f>inputs!$E$89*(F29/inputs!$F$89)^(1)</f>
        <v>5.9746835443037971E-3</v>
      </c>
      <c r="Y29" s="21" t="s">
        <v>13</v>
      </c>
      <c r="Z29" s="63">
        <f t="shared" si="1"/>
        <v>5208.6768482206817</v>
      </c>
      <c r="AA29" s="63">
        <f t="shared" si="2"/>
        <v>4948.2430058096479</v>
      </c>
    </row>
    <row r="30" spans="1:476" ht="13.2" x14ac:dyDescent="0.25">
      <c r="A30" s="103" t="s">
        <v>677</v>
      </c>
      <c r="B30" s="20" t="s">
        <v>678</v>
      </c>
      <c r="C30" s="21" t="s">
        <v>702</v>
      </c>
      <c r="D30" s="15" t="s">
        <v>704</v>
      </c>
      <c r="E30" s="15">
        <v>195</v>
      </c>
      <c r="F30" s="21">
        <v>57</v>
      </c>
      <c r="G30" s="21" t="s">
        <v>142</v>
      </c>
      <c r="H30" s="21">
        <v>0.69</v>
      </c>
      <c r="I30" s="68">
        <f>MAX('Max rate concentrations'!$H$3:$H$368)</f>
        <v>282</v>
      </c>
      <c r="J30" s="68">
        <f>MAX('Max rate concentrations'!AA:AA)</f>
        <v>195</v>
      </c>
      <c r="K30" s="69">
        <f t="shared" si="0"/>
        <v>4.7233178790254113</v>
      </c>
      <c r="L30" s="69">
        <f t="shared" si="4"/>
        <v>3.2661240652835293</v>
      </c>
      <c r="M30" s="69">
        <f>IF((((0.065*F30^0.726)/3.7-(0.301*F30^0.751)/(1-H30)*H30)*(MAX('Max rate concentrations'!$P$3:$P$368)))/F30&gt;0, (((0.065*F30^0.726)/3.7-(0.301*F30^0.751)/(1-H30)*H30)*(MAX('Max rate concentrations'!$P$3:$P$368)))/F30, 0)</f>
        <v>0</v>
      </c>
      <c r="N30" s="69">
        <f>IF((((0.065*F30^0.726)/3.7-(0.301*F30^0.751)/(1-H30)*H30)*(MAX('Max rate concentrations'!$Q$3:$Q$368)))/F30&gt;0, (((0.065*F30^0.726)/3.7-(0.301*F30^0.751)/(1-H30)*H30)*(MAX('Max rate concentrations'!$Q$3:$Q$368)))/F30, 0)</f>
        <v>0</v>
      </c>
      <c r="O30" s="69" t="s">
        <v>13</v>
      </c>
      <c r="P30" s="69" t="s">
        <v>13</v>
      </c>
      <c r="Q30" s="69">
        <f>(inputs!$C$18*11.2)*(1.131*F30^0.579)*0.5*1/F30</f>
        <v>3.4637662193583938</v>
      </c>
      <c r="R30" s="59">
        <f>(60*76.9*((F30/1000)^0.76)*3*24*(MAX('Max rate concentrations'!$R$3:$R$368))/F30)</f>
        <v>5.0909381372522561E-3</v>
      </c>
      <c r="S30" s="59">
        <f>(IF(inputs!$C$17="aerial",((0.025*0.112*inputs!$C$18/3.3)*(3*60*76.9*((F30/1000)^0.76))*MAX(inputs!$I$14:$I$16))/F30,((0.0083*0.112*inputs!$C$18/1)*(3*60*76.9*((F30/1000)^0.76))*MAX(inputs!$I$14:$I$16))/F30))</f>
        <v>2.1496328026145432E-2</v>
      </c>
      <c r="T30" s="63">
        <f>IF((((inputs!$P$13/(V30/MAX(K30:S30)))^(1/inputs!$O$13))-1)/inputs!$N$13&lt;0, 0, IF((((inputs!$P$13/(V30/MAX(K30:S30)))^(1/inputs!$O$13))-1)/inputs!$N$13&lt;inputs!$I$17, (((inputs!$P$13/(V30/MAX(K30:S30)))^(1/inputs!$O$13))-1)/inputs!$N$13, inputs!$I$17))</f>
        <v>739.04650984381237</v>
      </c>
      <c r="U30" s="63">
        <f>IF((((inputs!$P$13/(X30/MAX(K30:S30)))^(1/inputs!$O$13))-1)/inputs!$N$13&lt;0, 0, IF((((inputs!$P$13/(X30/MAX(K30:S30)))^(1/inputs!$O$13))-1)/inputs!$N$13&lt;inputs!$I$17, (((inputs!$P$13/(X30/MAX(K30:S30)))^(1/inputs!$O$13))-1)/inputs!$N$13, inputs!$I$17))</f>
        <v>240.81067415286284</v>
      </c>
      <c r="V30" s="21">
        <f>inputs!$E$87*(F30/inputs!$F$87)^(1)</f>
        <v>1.0829999999999999E-2</v>
      </c>
      <c r="W30" s="21">
        <f>inputs!$E$90*(F30/inputs!$F$90)^(1)</f>
        <v>1.1399999999999999E-2</v>
      </c>
      <c r="X30" s="21">
        <f>inputs!$E$89*(F30/inputs!$F$89)^(1)</f>
        <v>4.2569620253164554E-2</v>
      </c>
      <c r="Y30" s="21" t="s">
        <v>13</v>
      </c>
      <c r="Z30" s="63">
        <f t="shared" si="1"/>
        <v>436.13276814639073</v>
      </c>
      <c r="AA30" s="63">
        <f t="shared" si="2"/>
        <v>414.32612973907123</v>
      </c>
      <c r="AB30" s="107"/>
      <c r="AC30" s="107"/>
      <c r="AD30" s="107"/>
      <c r="AE30" s="107"/>
      <c r="AF30" s="107"/>
      <c r="AG30" s="107"/>
      <c r="AH30" s="107"/>
      <c r="AI30" s="107"/>
      <c r="AJ30" s="107"/>
      <c r="AK30" s="107"/>
      <c r="AL30" s="107"/>
      <c r="AM30" s="107"/>
      <c r="AN30" s="107"/>
      <c r="AO30" s="107"/>
      <c r="AP30" s="107"/>
      <c r="AQ30" s="107"/>
      <c r="AR30" s="107"/>
      <c r="AS30" s="107"/>
      <c r="AT30" s="107"/>
      <c r="AU30" s="107"/>
      <c r="AV30" s="107"/>
      <c r="AW30" s="107"/>
      <c r="AX30" s="107"/>
      <c r="AY30" s="107"/>
      <c r="AZ30" s="107"/>
      <c r="BA30" s="107"/>
      <c r="BB30" s="107"/>
      <c r="BC30" s="107"/>
      <c r="BD30" s="107"/>
      <c r="BE30" s="107"/>
      <c r="BF30" s="107"/>
      <c r="BG30" s="107"/>
      <c r="BH30" s="107"/>
      <c r="BI30" s="107"/>
      <c r="BJ30" s="107"/>
      <c r="BK30" s="107"/>
      <c r="BL30" s="107"/>
      <c r="BM30" s="107"/>
      <c r="BN30" s="107"/>
      <c r="BO30" s="107"/>
      <c r="BP30" s="107"/>
      <c r="BQ30" s="107"/>
      <c r="BR30" s="107"/>
      <c r="BS30" s="107"/>
      <c r="BT30" s="107"/>
      <c r="BU30" s="107"/>
      <c r="BV30" s="107"/>
      <c r="BW30" s="107"/>
      <c r="BX30" s="107"/>
      <c r="BY30" s="107"/>
      <c r="BZ30" s="107"/>
      <c r="CA30" s="107"/>
      <c r="CB30" s="107"/>
      <c r="CC30" s="107"/>
      <c r="CD30" s="107"/>
      <c r="CE30" s="107"/>
      <c r="CF30" s="107"/>
      <c r="CG30" s="107"/>
      <c r="CH30" s="107"/>
      <c r="CI30" s="107"/>
      <c r="CJ30" s="107"/>
      <c r="CK30" s="107"/>
      <c r="CL30" s="107"/>
      <c r="CM30" s="107"/>
      <c r="CN30" s="107"/>
      <c r="CO30" s="107"/>
      <c r="CP30" s="107"/>
      <c r="CQ30" s="107"/>
      <c r="CR30" s="107"/>
      <c r="CS30" s="107"/>
      <c r="CT30" s="107"/>
      <c r="CU30" s="107"/>
      <c r="CV30" s="107"/>
      <c r="CW30" s="107"/>
      <c r="CX30" s="107"/>
      <c r="CY30" s="107"/>
      <c r="CZ30" s="107"/>
      <c r="DA30" s="107"/>
      <c r="DB30" s="107"/>
      <c r="DC30" s="107"/>
      <c r="DD30" s="107"/>
      <c r="DE30" s="107"/>
      <c r="DF30" s="107"/>
      <c r="DG30" s="107"/>
      <c r="DH30" s="107"/>
      <c r="DI30" s="107"/>
      <c r="DJ30" s="107"/>
      <c r="DK30" s="107"/>
      <c r="DL30" s="107"/>
      <c r="DM30" s="107"/>
      <c r="DN30" s="107"/>
      <c r="DO30" s="107"/>
      <c r="DP30" s="107"/>
      <c r="DQ30" s="107"/>
      <c r="DR30" s="107"/>
      <c r="DS30" s="107"/>
      <c r="DT30" s="107"/>
      <c r="DU30" s="107"/>
      <c r="DV30" s="107"/>
      <c r="DW30" s="107"/>
      <c r="DX30" s="107"/>
      <c r="DY30" s="107"/>
      <c r="DZ30" s="107"/>
      <c r="EA30" s="107"/>
      <c r="EB30" s="107"/>
      <c r="EC30" s="107"/>
      <c r="ED30" s="107"/>
      <c r="EE30" s="107"/>
      <c r="EF30" s="107"/>
      <c r="EG30" s="107"/>
      <c r="EH30" s="107"/>
      <c r="EI30" s="107"/>
      <c r="EJ30" s="107"/>
      <c r="EK30" s="107"/>
      <c r="EL30" s="107"/>
      <c r="EM30" s="107"/>
      <c r="EN30" s="107"/>
      <c r="EO30" s="107"/>
      <c r="EP30" s="107"/>
      <c r="EQ30" s="107"/>
      <c r="ER30" s="107"/>
      <c r="ES30" s="107"/>
      <c r="ET30" s="107"/>
      <c r="EU30" s="107"/>
      <c r="EV30" s="107"/>
      <c r="EW30" s="107"/>
      <c r="EX30" s="107"/>
      <c r="EY30" s="107"/>
      <c r="EZ30" s="107"/>
      <c r="FA30" s="107"/>
      <c r="FB30" s="107"/>
      <c r="FC30" s="107"/>
      <c r="FD30" s="107"/>
      <c r="FE30" s="107"/>
      <c r="FF30" s="107"/>
      <c r="FG30" s="107"/>
      <c r="FH30" s="107"/>
      <c r="FI30" s="107"/>
      <c r="FJ30" s="107"/>
      <c r="FK30" s="107"/>
      <c r="FL30" s="107"/>
      <c r="FM30" s="107"/>
      <c r="FN30" s="107"/>
      <c r="FO30" s="107"/>
      <c r="FP30" s="107"/>
      <c r="FQ30" s="107"/>
      <c r="FR30" s="107"/>
      <c r="FS30" s="107"/>
      <c r="FT30" s="107"/>
      <c r="FU30" s="107"/>
      <c r="FV30" s="107"/>
      <c r="FW30" s="107"/>
      <c r="FX30" s="107"/>
      <c r="FY30" s="107"/>
      <c r="FZ30" s="107"/>
      <c r="GA30" s="107"/>
      <c r="GB30" s="107"/>
      <c r="GC30" s="107"/>
      <c r="GD30" s="107"/>
      <c r="GE30" s="107"/>
      <c r="GF30" s="107"/>
      <c r="GG30" s="107"/>
      <c r="GH30" s="107"/>
      <c r="GI30" s="107"/>
      <c r="GJ30" s="107"/>
      <c r="GK30" s="107"/>
      <c r="GL30" s="107"/>
      <c r="GM30" s="107"/>
      <c r="GN30" s="107"/>
      <c r="GO30" s="107"/>
      <c r="GP30" s="107"/>
      <c r="GQ30" s="107"/>
      <c r="GR30" s="107"/>
      <c r="GS30" s="107"/>
      <c r="GT30" s="107"/>
      <c r="GU30" s="107"/>
      <c r="GV30" s="107"/>
      <c r="GW30" s="107"/>
      <c r="GX30" s="107"/>
      <c r="GY30" s="107"/>
      <c r="GZ30" s="107"/>
      <c r="HA30" s="107"/>
      <c r="HB30" s="107"/>
      <c r="HC30" s="107"/>
      <c r="HD30" s="107"/>
      <c r="HE30" s="107"/>
      <c r="HF30" s="107"/>
      <c r="HG30" s="107"/>
      <c r="HH30" s="107"/>
      <c r="HI30" s="107"/>
      <c r="HJ30" s="107"/>
      <c r="HK30" s="107"/>
      <c r="HL30" s="107"/>
      <c r="HM30" s="107"/>
      <c r="HN30" s="107"/>
      <c r="HO30" s="107"/>
      <c r="HP30" s="107"/>
      <c r="HQ30" s="107"/>
      <c r="HR30" s="107"/>
      <c r="HS30" s="107"/>
      <c r="HT30" s="107"/>
      <c r="HU30" s="107"/>
      <c r="HV30" s="107"/>
      <c r="HW30" s="107"/>
      <c r="HX30" s="107"/>
      <c r="HY30" s="107"/>
      <c r="HZ30" s="107"/>
      <c r="IA30" s="107"/>
      <c r="IB30" s="107"/>
      <c r="IC30" s="107"/>
      <c r="ID30" s="107"/>
      <c r="IE30" s="107"/>
      <c r="IF30" s="107"/>
      <c r="IG30" s="107"/>
      <c r="IH30" s="107"/>
      <c r="II30" s="107"/>
      <c r="IJ30" s="107"/>
      <c r="IK30" s="107"/>
      <c r="IL30" s="107"/>
      <c r="IM30" s="107"/>
      <c r="IN30" s="107"/>
      <c r="IO30" s="107"/>
      <c r="IP30" s="107"/>
      <c r="IQ30" s="107"/>
      <c r="IR30" s="107"/>
      <c r="IS30" s="107"/>
      <c r="IT30" s="107"/>
      <c r="IU30" s="107"/>
      <c r="IV30" s="107"/>
      <c r="IW30" s="107"/>
      <c r="IX30" s="107"/>
      <c r="IY30" s="107"/>
      <c r="IZ30" s="107"/>
      <c r="JA30" s="107"/>
      <c r="JB30" s="107"/>
      <c r="JC30" s="107"/>
      <c r="JD30" s="107"/>
      <c r="JE30" s="107"/>
      <c r="JF30" s="107"/>
      <c r="JG30" s="107"/>
      <c r="JH30" s="107"/>
      <c r="JI30" s="107"/>
      <c r="JJ30" s="107"/>
      <c r="JK30" s="107"/>
      <c r="JL30" s="107"/>
      <c r="JM30" s="107"/>
      <c r="JN30" s="107"/>
      <c r="JO30" s="107"/>
      <c r="JP30" s="107"/>
      <c r="JQ30" s="107"/>
      <c r="JR30" s="107"/>
      <c r="JS30" s="107"/>
      <c r="JT30" s="107"/>
      <c r="JU30" s="107"/>
      <c r="JV30" s="107"/>
      <c r="JW30" s="107"/>
      <c r="JX30" s="107"/>
      <c r="JY30" s="107"/>
      <c r="JZ30" s="107"/>
      <c r="KA30" s="107"/>
      <c r="KB30" s="107"/>
      <c r="KC30" s="107"/>
      <c r="KD30" s="107"/>
      <c r="KE30" s="107"/>
      <c r="KF30" s="107"/>
      <c r="KG30" s="107"/>
      <c r="KH30" s="107"/>
      <c r="KI30" s="107"/>
      <c r="KJ30" s="107"/>
      <c r="KK30" s="107"/>
      <c r="KL30" s="107"/>
      <c r="KM30" s="107"/>
      <c r="KN30" s="107"/>
      <c r="KO30" s="107"/>
      <c r="KP30" s="107"/>
      <c r="KQ30" s="107"/>
      <c r="KR30" s="107"/>
      <c r="KS30" s="107"/>
      <c r="KT30" s="107"/>
      <c r="KU30" s="107"/>
      <c r="KV30" s="107"/>
      <c r="KW30" s="107"/>
      <c r="KX30" s="107"/>
      <c r="KY30" s="107"/>
      <c r="KZ30" s="107"/>
      <c r="LA30" s="107"/>
      <c r="LB30" s="107"/>
      <c r="LC30" s="107"/>
      <c r="LD30" s="107"/>
      <c r="LE30" s="107"/>
      <c r="LF30" s="107"/>
      <c r="LG30" s="107"/>
      <c r="LH30" s="107"/>
      <c r="LI30" s="107"/>
      <c r="LJ30" s="107"/>
      <c r="LK30" s="107"/>
      <c r="LL30" s="107"/>
      <c r="LM30" s="107"/>
      <c r="LN30" s="107"/>
      <c r="LO30" s="107"/>
      <c r="LP30" s="107"/>
      <c r="LQ30" s="107"/>
      <c r="LR30" s="107"/>
      <c r="LS30" s="107"/>
      <c r="LT30" s="107"/>
      <c r="LU30" s="107"/>
      <c r="LV30" s="107"/>
      <c r="LW30" s="107"/>
      <c r="LX30" s="107"/>
      <c r="LY30" s="107"/>
      <c r="LZ30" s="107"/>
      <c r="MA30" s="107"/>
      <c r="MB30" s="107"/>
      <c r="MC30" s="107"/>
      <c r="MD30" s="107"/>
      <c r="ME30" s="107"/>
      <c r="MF30" s="107"/>
      <c r="MG30" s="107"/>
      <c r="MH30" s="107"/>
      <c r="MI30" s="107"/>
      <c r="MJ30" s="107"/>
      <c r="MK30" s="107"/>
      <c r="ML30" s="107"/>
      <c r="MM30" s="107"/>
      <c r="MN30" s="107"/>
      <c r="MO30" s="107"/>
      <c r="MP30" s="107"/>
      <c r="MQ30" s="107"/>
      <c r="MR30" s="107"/>
      <c r="MS30" s="107"/>
      <c r="MT30" s="107"/>
      <c r="MU30" s="107"/>
      <c r="MV30" s="107"/>
      <c r="MW30" s="107"/>
      <c r="MX30" s="107"/>
      <c r="MY30" s="107"/>
      <c r="MZ30" s="107"/>
      <c r="NA30" s="107"/>
      <c r="NB30" s="107"/>
      <c r="NC30" s="107"/>
      <c r="ND30" s="107"/>
      <c r="NE30" s="107"/>
      <c r="NF30" s="107"/>
      <c r="NG30" s="107"/>
      <c r="NH30" s="107"/>
      <c r="NI30" s="107"/>
      <c r="NJ30" s="107"/>
      <c r="NK30" s="107"/>
      <c r="NL30" s="107"/>
      <c r="NM30" s="107"/>
      <c r="NN30" s="107"/>
      <c r="NO30" s="107"/>
      <c r="NP30" s="107"/>
      <c r="NQ30" s="107"/>
      <c r="NR30" s="107"/>
      <c r="NS30" s="107"/>
      <c r="NT30" s="107"/>
      <c r="NU30" s="107"/>
      <c r="NV30" s="107"/>
      <c r="NW30" s="107"/>
      <c r="NX30" s="107"/>
      <c r="NY30" s="107"/>
      <c r="NZ30" s="107"/>
      <c r="OA30" s="107"/>
      <c r="OB30" s="107"/>
      <c r="OC30" s="107"/>
      <c r="OD30" s="107"/>
      <c r="OE30" s="107"/>
      <c r="OF30" s="107"/>
      <c r="OG30" s="107"/>
      <c r="OH30" s="107"/>
      <c r="OI30" s="107"/>
      <c r="OJ30" s="107"/>
      <c r="OK30" s="107"/>
      <c r="OL30" s="107"/>
      <c r="OM30" s="107"/>
      <c r="ON30" s="107"/>
      <c r="OO30" s="107"/>
      <c r="OP30" s="107"/>
      <c r="OQ30" s="107"/>
      <c r="OR30" s="107"/>
      <c r="OS30" s="107"/>
      <c r="OT30" s="107"/>
      <c r="OU30" s="107"/>
      <c r="OV30" s="107"/>
      <c r="OW30" s="107"/>
      <c r="OX30" s="107"/>
      <c r="OY30" s="107"/>
      <c r="OZ30" s="107"/>
      <c r="PA30" s="107"/>
      <c r="PB30" s="107"/>
      <c r="PC30" s="107"/>
      <c r="PD30" s="107"/>
      <c r="PE30" s="107"/>
      <c r="PF30" s="107"/>
      <c r="PG30" s="107"/>
      <c r="PH30" s="107"/>
      <c r="PI30" s="107"/>
      <c r="PJ30" s="107"/>
      <c r="PK30" s="107"/>
      <c r="PL30" s="107"/>
      <c r="PM30" s="107"/>
      <c r="PN30" s="107"/>
      <c r="PO30" s="107"/>
      <c r="PP30" s="107"/>
      <c r="PQ30" s="107"/>
      <c r="PR30" s="107"/>
      <c r="PS30" s="107"/>
      <c r="PT30" s="107"/>
      <c r="PU30" s="107"/>
      <c r="PV30" s="107"/>
      <c r="PW30" s="107"/>
      <c r="PX30" s="107"/>
      <c r="PY30" s="107"/>
      <c r="PZ30" s="107"/>
      <c r="QA30" s="107"/>
      <c r="QB30" s="107"/>
      <c r="QC30" s="107"/>
      <c r="QD30" s="107"/>
      <c r="QE30" s="107"/>
      <c r="QF30" s="107"/>
      <c r="QG30" s="107"/>
      <c r="QH30" s="107"/>
      <c r="QI30" s="107"/>
      <c r="QJ30" s="107"/>
      <c r="QK30" s="107"/>
      <c r="QL30" s="107"/>
      <c r="QM30" s="107"/>
      <c r="QN30" s="107"/>
      <c r="QO30" s="107"/>
      <c r="QP30" s="107"/>
      <c r="QQ30" s="107"/>
      <c r="QR30" s="107"/>
      <c r="QS30" s="107"/>
      <c r="QT30" s="107"/>
      <c r="QU30" s="107"/>
      <c r="QV30" s="107"/>
      <c r="QW30" s="107"/>
      <c r="QX30" s="107"/>
      <c r="QY30" s="107"/>
      <c r="QZ30" s="107"/>
      <c r="RA30" s="107"/>
      <c r="RB30" s="107"/>
      <c r="RC30" s="107"/>
      <c r="RD30" s="107"/>
      <c r="RE30" s="107"/>
      <c r="RF30" s="107"/>
      <c r="RG30" s="107"/>
      <c r="RH30" s="107"/>
    </row>
    <row r="31" spans="1:476" ht="13.2" x14ac:dyDescent="0.25">
      <c r="A31" s="103" t="s">
        <v>677</v>
      </c>
      <c r="B31" s="20" t="s">
        <v>678</v>
      </c>
      <c r="C31" s="21" t="s">
        <v>702</v>
      </c>
      <c r="D31" s="15" t="s">
        <v>704</v>
      </c>
      <c r="E31" s="15">
        <v>195</v>
      </c>
      <c r="F31" s="21">
        <v>57</v>
      </c>
      <c r="G31" s="21" t="s">
        <v>146</v>
      </c>
      <c r="H31" s="20">
        <v>0.84</v>
      </c>
      <c r="I31" s="68">
        <f>MAX('Max rate concentrations'!$I$3:$I$368)</f>
        <v>56.865414300472793</v>
      </c>
      <c r="J31" s="68" t="s">
        <v>13</v>
      </c>
      <c r="K31" s="69">
        <f t="shared" si="0"/>
        <v>1.845389244231366</v>
      </c>
      <c r="L31" s="69" t="s">
        <v>13</v>
      </c>
      <c r="M31" s="69">
        <f>IF((((0.065*F31^0.726)/3.7-(0.301*F31^0.751)/(1-H31)*H31)*(MAX('Max rate concentrations'!$P$3:$P$368)))/F31&gt;0, (((0.065*F31^0.726)/3.7-(0.301*F31^0.751)/(1-H31)*H31)*(MAX('Max rate concentrations'!$P$3:$P$368)))/F31, 0)</f>
        <v>0</v>
      </c>
      <c r="N31" s="69">
        <f>IF((((0.065*F31^0.726)/3.7-(0.301*F31^0.751)/(1-H31)*H31)*(MAX('Max rate concentrations'!$Q$3:$Q$368)))/F31&gt;0, (((0.065*F31^0.726)/3.7-(0.301*F31^0.751)/(1-H31)*H31)*(MAX('Max rate concentrations'!$Q$3:$Q$368)))/F31, 0)</f>
        <v>0</v>
      </c>
      <c r="O31" s="69" t="s">
        <v>13</v>
      </c>
      <c r="P31" s="69" t="s">
        <v>13</v>
      </c>
      <c r="Q31" s="69">
        <f>(inputs!$C$18*11.2)*(1.131*F31^0.579)*0.5*1/F31</f>
        <v>3.4637662193583938</v>
      </c>
      <c r="R31" s="59">
        <f>(60*76.9*((F31/1000)^0.76)*3*24*(MAX('Max rate concentrations'!$R$3:$R$368))/F31)</f>
        <v>5.0909381372522561E-3</v>
      </c>
      <c r="S31" s="59">
        <f>(IF(inputs!$C$17="aerial",((0.025*0.112*inputs!$C$18/3.3)*(3*60*76.9*((F31/1000)^0.76))*MAX(inputs!$I$14:$I$16))/F31,((0.0083*0.112*inputs!$C$18/1)*(3*60*76.9*((F31/1000)^0.76))*MAX(inputs!$I$14:$I$16))/F31))</f>
        <v>2.1496328026145432E-2</v>
      </c>
      <c r="T31" s="63">
        <f>IF((((inputs!$P$13/(V31/MAX(K31:S31)))^(1/inputs!$O$13))-1)/inputs!$N$13&lt;0, 0, IF((((inputs!$P$13/(V31/MAX(K31:S31)))^(1/inputs!$O$13))-1)/inputs!$N$13&lt;inputs!$I$17, (((inputs!$P$13/(V31/MAX(K31:S31)))^(1/inputs!$O$13))-1)/inputs!$N$13, inputs!$I$17))</f>
        <v>573.94281873960301</v>
      </c>
      <c r="U31" s="63">
        <f>IF((((inputs!$P$13/(X31/MAX(K31:S31)))^(1/inputs!$O$13))-1)/inputs!$N$13&lt;0, 0, IF((((inputs!$P$13/(X31/MAX(K31:S31)))^(1/inputs!$O$13))-1)/inputs!$N$13&lt;inputs!$I$17, (((inputs!$P$13/(X31/MAX(K31:S31)))^(1/inputs!$O$13))-1)/inputs!$N$13, inputs!$I$17))</f>
        <v>186.23158341546255</v>
      </c>
      <c r="V31" s="21">
        <f>inputs!$E$87*(F31/inputs!$F$87)^(1)</f>
        <v>1.0829999999999999E-2</v>
      </c>
      <c r="W31" s="21">
        <f>inputs!$E$90*(F31/inputs!$F$90)^(1)</f>
        <v>1.1399999999999999E-2</v>
      </c>
      <c r="X31" s="21">
        <f>inputs!$E$89*(F31/inputs!$F$89)^(1)</f>
        <v>4.2569620253164554E-2</v>
      </c>
      <c r="Y31" s="21" t="s">
        <v>13</v>
      </c>
      <c r="Z31" s="63">
        <f t="shared" si="1"/>
        <v>319.83067584103361</v>
      </c>
      <c r="AA31" s="63">
        <f t="shared" si="2"/>
        <v>303.83914204898196</v>
      </c>
    </row>
    <row r="32" spans="1:476" ht="13.2" x14ac:dyDescent="0.25">
      <c r="A32" s="103" t="s">
        <v>673</v>
      </c>
      <c r="B32" s="20" t="s">
        <v>674</v>
      </c>
      <c r="C32" s="21" t="s">
        <v>702</v>
      </c>
      <c r="D32" s="15" t="s">
        <v>704</v>
      </c>
      <c r="E32" s="15">
        <v>3628</v>
      </c>
      <c r="F32" s="21">
        <v>1.4E-2</v>
      </c>
      <c r="G32" s="21" t="s">
        <v>142</v>
      </c>
      <c r="H32" s="21">
        <v>0.69</v>
      </c>
      <c r="I32" s="68">
        <f>MAX('Max rate concentrations'!$H$3:$H$368)</f>
        <v>282</v>
      </c>
      <c r="J32" s="68">
        <f>MAX('Max rate concentrations'!AA:AA)</f>
        <v>195</v>
      </c>
      <c r="K32" s="69">
        <f t="shared" si="0"/>
        <v>31.164466932405091</v>
      </c>
      <c r="L32" s="69">
        <f t="shared" ref="L32:L38" si="5">(((0.013*F32^0.773)/(1-H32)))*J32/F32</f>
        <v>21.549897346875863</v>
      </c>
      <c r="M32" s="69">
        <f>IF((((0.065*F32^0.726)/3.7-(0.301*F32^0.751)/(1-H32)*H32)*(MAX('Max rate concentrations'!$P$3:$P$368)))/F32&gt;0, (((0.065*F32^0.726)/3.7-(0.301*F32^0.751)/(1-H32)*H32)*(MAX('Max rate concentrations'!$P$3:$P$368)))/F32, 0)</f>
        <v>0</v>
      </c>
      <c r="N32" s="69">
        <f>IF((((0.065*F32^0.726)/3.7-(0.301*F32^0.751)/(1-H32)*H32)*(MAX('Max rate concentrations'!$Q$3:$Q$368)))/F32&gt;0, (((0.065*F32^0.726)/3.7-(0.301*F32^0.751)/(1-H32)*H32)*(MAX('Max rate concentrations'!$Q$3:$Q$368)))/F32, 0)</f>
        <v>0</v>
      </c>
      <c r="O32" s="69" t="s">
        <v>13</v>
      </c>
      <c r="P32" s="69" t="s">
        <v>13</v>
      </c>
      <c r="Q32" s="69">
        <f>(inputs!$C$18*11.2)*(1.131*F32^0.579)*0.5*1/F32</f>
        <v>114.61777766617718</v>
      </c>
      <c r="R32" s="59">
        <f>(60*76.9*((F32/1000)^0.76)*3*24*(MAX('Max rate concentrations'!$R$3:$R$368))/F32)</f>
        <v>3.7422867033195639E-2</v>
      </c>
      <c r="S32" s="59">
        <f>(IF(inputs!$C$17="aerial",((0.025*0.112*inputs!$C$18/3.3)*(3*60*76.9*((F32/1000)^0.76))*MAX(inputs!$I$14:$I$16))/F32,((0.0083*0.112*inputs!$C$18/1)*(3*60*76.9*((F32/1000)^0.76))*MAX(inputs!$I$14:$I$16))/F32))</f>
        <v>0.15801689270940289</v>
      </c>
      <c r="T32" s="63">
        <f>IF((((inputs!$P$13/(V32/MAX(K32:S32)))^(1/inputs!$O$13))-1)/inputs!$N$13&lt;0, 0, IF((((inputs!$P$13/(V32/MAX(K32:S32)))^(1/inputs!$O$13))-1)/inputs!$N$13&lt;inputs!$I$17, (((inputs!$P$13/(V32/MAX(K32:S32)))^(1/inputs!$O$13))-1)/inputs!$N$13, inputs!$I$17))</f>
        <v>1000</v>
      </c>
      <c r="U32" s="63">
        <f>IF((((inputs!$P$13/(X32/MAX(K32:S32)))^(1/inputs!$O$13))-1)/inputs!$N$13&lt;0, 0, IF((((inputs!$P$13/(X32/MAX(K32:S32)))^(1/inputs!$O$13))-1)/inputs!$N$13&lt;inputs!$I$17, (((inputs!$P$13/(X32/MAX(K32:S32)))^(1/inputs!$O$13))-1)/inputs!$N$13, inputs!$I$17))</f>
        <v>1000</v>
      </c>
      <c r="V32" s="21">
        <f>inputs!$E$87*(F32/inputs!$F$87)^(1)</f>
        <v>2.6600000000000004E-6</v>
      </c>
      <c r="W32" s="21">
        <f>inputs!$E$90*(F32/inputs!$F$90)^(1)</f>
        <v>2.7999999999999999E-6</v>
      </c>
      <c r="X32" s="21">
        <f>inputs!$E$89*(F32/inputs!$F$89)^(1)</f>
        <v>1.0455696202531645E-5</v>
      </c>
      <c r="Y32" s="21" t="s">
        <v>13</v>
      </c>
      <c r="Z32" s="63">
        <f t="shared" si="1"/>
        <v>43089390.100066602</v>
      </c>
      <c r="AA32" s="63">
        <f t="shared" si="2"/>
        <v>40934920.595063277</v>
      </c>
    </row>
    <row r="33" spans="1:476" ht="13.2" x14ac:dyDescent="0.25">
      <c r="A33" s="103" t="s">
        <v>700</v>
      </c>
      <c r="B33" s="20" t="s">
        <v>701</v>
      </c>
      <c r="C33" s="21" t="s">
        <v>702</v>
      </c>
      <c r="D33" s="15" t="s">
        <v>704</v>
      </c>
      <c r="E33" s="15">
        <v>10517</v>
      </c>
      <c r="F33" s="21">
        <v>6</v>
      </c>
      <c r="G33" s="21" t="s">
        <v>142</v>
      </c>
      <c r="H33" s="21">
        <v>0.69</v>
      </c>
      <c r="I33" s="68">
        <f>MAX('Max rate concentrations'!$H$3:$H$368)</f>
        <v>282</v>
      </c>
      <c r="J33" s="68">
        <f>MAX('Max rate concentrations'!AA:AA)</f>
        <v>195</v>
      </c>
      <c r="K33" s="69">
        <f t="shared" si="0"/>
        <v>7.8739097556908995</v>
      </c>
      <c r="L33" s="69">
        <f t="shared" si="5"/>
        <v>5.4447248310628567</v>
      </c>
      <c r="M33" s="69">
        <f>IF((((0.065*F33^0.726)/3.7-(0.301*F33^0.751)/(1-H33)*H33)*(MAX('Max rate concentrations'!$P$3:$P$368)))/F33&gt;0, (((0.065*F33^0.726)/3.7-(0.301*F33^0.751)/(1-H33)*H33)*(MAX('Max rate concentrations'!$P$3:$P$368)))/F33, 0)</f>
        <v>0</v>
      </c>
      <c r="N33" s="69">
        <f>IF((((0.065*F33^0.726)/3.7-(0.301*F33^0.751)/(1-H33)*H33)*(MAX('Max rate concentrations'!$Q$3:$Q$368)))/F33&gt;0, (((0.065*F33^0.726)/3.7-(0.301*F33^0.751)/(1-H33)*H33)*(MAX('Max rate concentrations'!$Q$3:$Q$368)))/F33, 0)</f>
        <v>0</v>
      </c>
      <c r="O33" s="69" t="s">
        <v>13</v>
      </c>
      <c r="P33" s="69" t="s">
        <v>13</v>
      </c>
      <c r="Q33" s="69">
        <f>(inputs!$C$18*11.2)*(1.131*F33^0.579)*0.5*1/F33</f>
        <v>8.9365565981605126</v>
      </c>
      <c r="R33" s="59">
        <f>(60*76.9*((F33/1000)^0.76)*3*24*(MAX('Max rate concentrations'!$R$3:$R$368))/F33)</f>
        <v>8.7387936612958322E-3</v>
      </c>
      <c r="S33" s="59">
        <f>(IF(inputs!$C$17="aerial",((0.025*0.112*inputs!$C$18/3.3)*(3*60*76.9*((F33/1000)^0.76))*MAX(inputs!$I$14:$I$16))/F33,((0.0083*0.112*inputs!$C$18/1)*(3*60*76.9*((F33/1000)^0.76))*MAX(inputs!$I$14:$I$16))/F33))</f>
        <v>3.6899284578108309E-2</v>
      </c>
      <c r="T33" s="63">
        <f>IF((((inputs!$P$13/(V33/MAX(K33:S33)))^(1/inputs!$O$13))-1)/inputs!$N$13&lt;0, 0, IF((((inputs!$P$13/(V33/MAX(K33:S33)))^(1/inputs!$O$13))-1)/inputs!$N$13&lt;inputs!$I$17, (((inputs!$P$13/(V33/MAX(K33:S33)))^(1/inputs!$O$13))-1)/inputs!$N$13, inputs!$I$17))</f>
        <v>1000</v>
      </c>
      <c r="U33" s="63">
        <f>IF((((inputs!$P$13/(X33/MAX(K33:S33)))^(1/inputs!$O$13))-1)/inputs!$N$13&lt;0, 0, IF((((inputs!$P$13/(X33/MAX(K33:S33)))^(1/inputs!$O$13))-1)/inputs!$N$13&lt;inputs!$I$17, (((inputs!$P$13/(X33/MAX(K33:S33)))^(1/inputs!$O$13))-1)/inputs!$N$13, inputs!$I$17))</f>
        <v>1000</v>
      </c>
      <c r="V33" s="21">
        <f>inputs!$E$87*(F33/inputs!$F$87)^(1)</f>
        <v>1.14E-3</v>
      </c>
      <c r="W33" s="21">
        <f>inputs!$E$90*(F33/inputs!$F$90)^(1)</f>
        <v>1.1999999999999999E-3</v>
      </c>
      <c r="X33" s="21">
        <f>inputs!$E$89*(F33/inputs!$F$89)^(1)</f>
        <v>4.4810126582278476E-3</v>
      </c>
      <c r="Y33" s="21" t="s">
        <v>13</v>
      </c>
      <c r="Z33" s="63">
        <f t="shared" si="1"/>
        <v>7839.08473522852</v>
      </c>
      <c r="AA33" s="63">
        <f t="shared" si="2"/>
        <v>7447.1304984670942</v>
      </c>
    </row>
    <row r="34" spans="1:476" ht="13.2" x14ac:dyDescent="0.25">
      <c r="A34" s="103" t="s">
        <v>700</v>
      </c>
      <c r="B34" s="20" t="s">
        <v>701</v>
      </c>
      <c r="C34" s="21" t="s">
        <v>702</v>
      </c>
      <c r="D34" s="15" t="s">
        <v>704</v>
      </c>
      <c r="E34" s="15">
        <v>10517</v>
      </c>
      <c r="F34" s="21">
        <v>6</v>
      </c>
      <c r="G34" s="21" t="s">
        <v>164</v>
      </c>
      <c r="H34" s="21">
        <v>0.78</v>
      </c>
      <c r="I34" s="68">
        <f>inputs!$C$66*(inputs!$C$62/1000)</f>
        <v>8.2000000000000011</v>
      </c>
      <c r="J34" s="68">
        <f>inputs!$C$66*(inputs!$C$61/1000)</f>
        <v>2.5</v>
      </c>
      <c r="K34" s="69">
        <f t="shared" si="0"/>
        <v>0.32262215665645189</v>
      </c>
      <c r="L34" s="69">
        <f t="shared" si="5"/>
        <v>9.8360413614771894E-2</v>
      </c>
      <c r="M34" s="69">
        <f>IF((((0.065*F34^0.726)/3.7-(0.301*F34^0.751)/(1-H34)*H34)*(MAX('Max rate concentrations'!$P$3:$P$368)))/F34&gt;0, (((0.065*F34^0.726)/3.7-(0.301*F34^0.751)/(1-H34)*H34)*(MAX('Max rate concentrations'!$P$3:$P$368)))/F34, 0)</f>
        <v>0</v>
      </c>
      <c r="N34" s="69">
        <f>IF((((0.065*F34^0.726)/3.7-(0.301*F34^0.751)/(1-H34)*H34)*(MAX('Max rate concentrations'!$Q$3:$Q$368)))/F34&gt;0, (((0.065*F34^0.726)/3.7-(0.301*F34^0.751)/(1-H34)*H34)*(MAX('Max rate concentrations'!$Q$3:$Q$368)))/F34, 0)</f>
        <v>0</v>
      </c>
      <c r="O34" s="69" t="s">
        <v>13</v>
      </c>
      <c r="P34" s="69" t="s">
        <v>13</v>
      </c>
      <c r="Q34" s="69">
        <f>(inputs!$C$18*11.2)*(1.131*F34^0.579)*0.5*1/F34</f>
        <v>8.9365565981605126</v>
      </c>
      <c r="R34" s="59">
        <f>(60*76.9*((F34/1000)^0.76)*3*24*(MAX('Max rate concentrations'!$R$3:$R$368))/F34)</f>
        <v>8.7387936612958322E-3</v>
      </c>
      <c r="S34" s="59">
        <f>(IF(inputs!$C$17="aerial",((0.025*0.112*inputs!$C$18/3.3)*(3*60*76.9*((F34/1000)^0.76))*MAX(inputs!$I$14:$I$16))/F34,((0.0083*0.112*inputs!$C$18/1)*(3*60*76.9*((F34/1000)^0.76))*MAX(inputs!$I$14:$I$16))/F34))</f>
        <v>3.6899284578108309E-2</v>
      </c>
      <c r="T34" s="63">
        <f>IF((((inputs!$P$13/(V34/MAX(K34:S34)))^(1/inputs!$O$13))-1)/inputs!$N$13&lt;0, 0, IF((((inputs!$P$13/(V34/MAX(K34:S34)))^(1/inputs!$O$13))-1)/inputs!$N$13&lt;inputs!$I$17, (((inputs!$P$13/(V34/MAX(K34:S34)))^(1/inputs!$O$13))-1)/inputs!$N$13, inputs!$I$17))</f>
        <v>1000</v>
      </c>
      <c r="U34" s="63">
        <f>IF((((inputs!$P$13/(X34/MAX(K34:S34)))^(1/inputs!$O$13))-1)/inputs!$N$13&lt;0, 0, IF((((inputs!$P$13/(X34/MAX(K34:S34)))^(1/inputs!$O$13))-1)/inputs!$N$13&lt;inputs!$I$17, (((inputs!$P$13/(X34/MAX(K34:S34)))^(1/inputs!$O$13))-1)/inputs!$N$13, inputs!$I$17))</f>
        <v>1000</v>
      </c>
      <c r="V34" s="21">
        <f>inputs!$E$87*(F34/inputs!$F$87)^(1)</f>
        <v>1.14E-3</v>
      </c>
      <c r="W34" s="21">
        <f>inputs!$E$90*(F34/inputs!$F$90)^(1)</f>
        <v>1.1999999999999999E-3</v>
      </c>
      <c r="X34" s="21">
        <f>inputs!$E$89*(F34/inputs!$F$89)^(1)</f>
        <v>4.4810126582278476E-3</v>
      </c>
      <c r="Y34" s="21" t="s">
        <v>13</v>
      </c>
      <c r="Z34" s="63">
        <f t="shared" si="1"/>
        <v>7839.08473522852</v>
      </c>
      <c r="AA34" s="63">
        <f t="shared" si="2"/>
        <v>7447.1304984670942</v>
      </c>
    </row>
    <row r="35" spans="1:476" ht="13.2" x14ac:dyDescent="0.25">
      <c r="A35" s="103" t="s">
        <v>655</v>
      </c>
      <c r="B35" s="20" t="s">
        <v>656</v>
      </c>
      <c r="C35" s="21" t="s">
        <v>702</v>
      </c>
      <c r="D35" s="15" t="s">
        <v>704</v>
      </c>
      <c r="E35" s="15">
        <v>202</v>
      </c>
      <c r="F35" s="21">
        <v>15</v>
      </c>
      <c r="G35" s="21" t="s">
        <v>142</v>
      </c>
      <c r="H35" s="21">
        <v>0.69</v>
      </c>
      <c r="I35" s="68">
        <f>MAX('Max rate concentrations'!$H$3:$H$368)</f>
        <v>282</v>
      </c>
      <c r="J35" s="68">
        <f>MAX('Max rate concentrations'!AA:AA)</f>
        <v>195</v>
      </c>
      <c r="K35" s="69">
        <f t="shared" si="0"/>
        <v>6.3952577252244449</v>
      </c>
      <c r="L35" s="69">
        <f t="shared" si="5"/>
        <v>4.4222526823360528</v>
      </c>
      <c r="M35" s="69">
        <f>IF((((0.065*F35^0.726)/3.7-(0.301*F35^0.751)/(1-H35)*H35)*(MAX('Max rate concentrations'!$P$3:$P$368)))/F35&gt;0, (((0.065*F35^0.726)/3.7-(0.301*F35^0.751)/(1-H35)*H35)*(MAX('Max rate concentrations'!$P$3:$P$368)))/F35, 0)</f>
        <v>0</v>
      </c>
      <c r="N35" s="69">
        <f>IF((((0.065*F35^0.726)/3.7-(0.301*F35^0.751)/(1-H35)*H35)*(MAX('Max rate concentrations'!$Q$3:$Q$368)))/F35&gt;0, (((0.065*F35^0.726)/3.7-(0.301*F35^0.751)/(1-H35)*H35)*(MAX('Max rate concentrations'!$Q$3:$Q$368)))/F35, 0)</f>
        <v>0</v>
      </c>
      <c r="O35" s="69" t="s">
        <v>13</v>
      </c>
      <c r="P35" s="69" t="s">
        <v>13</v>
      </c>
      <c r="Q35" s="69">
        <f>(inputs!$C$18*11.2)*(1.131*F35^0.579)*0.5*1/F35</f>
        <v>6.0762756388009187</v>
      </c>
      <c r="R35" s="59">
        <f>(60*76.9*((F35/1000)^0.76)*3*24*(MAX('Max rate concentrations'!$R$3:$R$368))/F35)</f>
        <v>7.0136789607856921E-3</v>
      </c>
      <c r="S35" s="59">
        <f>(IF(inputs!$C$17="aerial",((0.025*0.112*inputs!$C$18/3.3)*(3*60*76.9*((F35/1000)^0.76))*MAX(inputs!$I$14:$I$16))/F35,((0.0083*0.112*inputs!$C$18/1)*(3*60*76.9*((F35/1000)^0.76))*MAX(inputs!$I$14:$I$16))/F35))</f>
        <v>2.9615041382627869E-2</v>
      </c>
      <c r="T35" s="63">
        <f>IF((((inputs!$P$13/(V35/MAX(K35:S35)))^(1/inputs!$O$13))-1)/inputs!$N$13&lt;0, 0, IF((((inputs!$P$13/(V35/MAX(K35:S35)))^(1/inputs!$O$13))-1)/inputs!$N$13&lt;inputs!$I$17, (((inputs!$P$13/(V35/MAX(K35:S35)))^(1/inputs!$O$13))-1)/inputs!$N$13, inputs!$I$17))</f>
        <v>1000</v>
      </c>
      <c r="U35" s="63">
        <f>IF((((inputs!$P$13/(X35/MAX(K35:S35)))^(1/inputs!$O$13))-1)/inputs!$N$13&lt;0, 0, IF((((inputs!$P$13/(X35/MAX(K35:S35)))^(1/inputs!$O$13))-1)/inputs!$N$13&lt;inputs!$I$17, (((inputs!$P$13/(X35/MAX(K35:S35)))^(1/inputs!$O$13))-1)/inputs!$N$13, inputs!$I$17))</f>
        <v>920.07761499668061</v>
      </c>
      <c r="V35" s="21">
        <f>inputs!$E$87*(F35/inputs!$F$87)^(1)</f>
        <v>2.8499999999999997E-3</v>
      </c>
      <c r="W35" s="21">
        <f>inputs!$E$90*(F35/inputs!$F$90)^(1)</f>
        <v>3.0000000000000001E-3</v>
      </c>
      <c r="X35" s="21">
        <f>inputs!$E$89*(F35/inputs!$F$89)^(1)</f>
        <v>1.120253164556962E-2</v>
      </c>
      <c r="Y35" s="21" t="s">
        <v>13</v>
      </c>
      <c r="Z35" s="63">
        <f t="shared" si="1"/>
        <v>2243.9500790261213</v>
      </c>
      <c r="AA35" s="63">
        <f t="shared" si="2"/>
        <v>2131.752575074815</v>
      </c>
    </row>
    <row r="36" spans="1:476" ht="13.2" x14ac:dyDescent="0.25">
      <c r="A36" s="103" t="s">
        <v>659</v>
      </c>
      <c r="B36" s="20" t="s">
        <v>660</v>
      </c>
      <c r="C36" s="21" t="s">
        <v>702</v>
      </c>
      <c r="D36" s="15" t="s">
        <v>704</v>
      </c>
      <c r="E36" s="15">
        <v>1707</v>
      </c>
      <c r="F36" s="21">
        <v>2.2999999999999998</v>
      </c>
      <c r="G36" s="21" t="s">
        <v>142</v>
      </c>
      <c r="H36" s="21">
        <v>0.69</v>
      </c>
      <c r="I36" s="68">
        <f>MAX('Max rate concentrations'!$H$3:$H$368)</f>
        <v>282</v>
      </c>
      <c r="J36" s="68">
        <f>MAX('Max rate concentrations'!AA:AA)</f>
        <v>195</v>
      </c>
      <c r="K36" s="69">
        <f t="shared" si="0"/>
        <v>9.7885541577642012</v>
      </c>
      <c r="L36" s="69">
        <f t="shared" si="5"/>
        <v>6.7686810665390755</v>
      </c>
      <c r="M36" s="69">
        <f>IF((((0.065*F36^0.726)/3.7-(0.301*F36^0.751)/(1-H36)*H36)*(MAX('Max rate concentrations'!$P$3:$P$368)))/F36&gt;0, (((0.065*F36^0.726)/3.7-(0.301*F36^0.751)/(1-H36)*H36)*(MAX('Max rate concentrations'!$P$3:$P$368)))/F36, 0)</f>
        <v>0</v>
      </c>
      <c r="N36" s="69">
        <f>IF((((0.065*F36^0.726)/3.7-(0.301*F36^0.751)/(1-H36)*H36)*(MAX('Max rate concentrations'!$Q$3:$Q$368)))/F36&gt;0, (((0.065*F36^0.726)/3.7-(0.301*F36^0.751)/(1-H36)*H36)*(MAX('Max rate concentrations'!$Q$3:$Q$368)))/F36, 0)</f>
        <v>0</v>
      </c>
      <c r="O36" s="69" t="s">
        <v>13</v>
      </c>
      <c r="P36" s="69" t="s">
        <v>13</v>
      </c>
      <c r="Q36" s="69">
        <f>(inputs!$C$18*11.2)*(1.131*F36^0.579)*0.5*1/F36</f>
        <v>13.38087358312686</v>
      </c>
      <c r="R36" s="59">
        <f>(60*76.9*((F36/1000)^0.76)*3*24*(MAX('Max rate concentrations'!$R$3:$R$368))/F36)</f>
        <v>1.1000010619731734E-2</v>
      </c>
      <c r="S36" s="59">
        <f>(IF(inputs!$C$17="aerial",((0.025*0.112*inputs!$C$18/3.3)*(3*60*76.9*((F36/1000)^0.76))*MAX(inputs!$I$14:$I$16))/F36,((0.0083*0.112*inputs!$C$18/1)*(3*60*76.9*((F36/1000)^0.76))*MAX(inputs!$I$14:$I$16))/F36))</f>
        <v>4.6447202892247595E-2</v>
      </c>
      <c r="T36" s="63">
        <f>IF((((inputs!$P$13/(V36/MAX(K36:S36)))^(1/inputs!$O$13))-1)/inputs!$N$13&lt;0, 0, IF((((inputs!$P$13/(V36/MAX(K36:S36)))^(1/inputs!$O$13))-1)/inputs!$N$13&lt;inputs!$I$17, (((inputs!$P$13/(V36/MAX(K36:S36)))^(1/inputs!$O$13))-1)/inputs!$N$13, inputs!$I$17))</f>
        <v>1000</v>
      </c>
      <c r="U36" s="63">
        <f>IF((((inputs!$P$13/(X36/MAX(K36:S36)))^(1/inputs!$O$13))-1)/inputs!$N$13&lt;0, 0, IF((((inputs!$P$13/(X36/MAX(K36:S36)))^(1/inputs!$O$13))-1)/inputs!$N$13&lt;inputs!$I$17, (((inputs!$P$13/(X36/MAX(K36:S36)))^(1/inputs!$O$13))-1)/inputs!$N$13, inputs!$I$17))</f>
        <v>1000</v>
      </c>
      <c r="V36" s="21">
        <f>inputs!$E$87*(F36/inputs!$F$87)^(1)</f>
        <v>4.37E-4</v>
      </c>
      <c r="W36" s="21">
        <f>inputs!$E$90*(F36/inputs!$F$90)^(1)</f>
        <v>4.6000000000000001E-4</v>
      </c>
      <c r="X36" s="21">
        <f>inputs!$E$89*(F36/inputs!$F$89)^(1)</f>
        <v>1.7177215189873418E-3</v>
      </c>
      <c r="Y36" s="21" t="s">
        <v>13</v>
      </c>
      <c r="Z36" s="63">
        <f t="shared" si="1"/>
        <v>30619.848016308602</v>
      </c>
      <c r="AA36" s="63">
        <f t="shared" si="2"/>
        <v>29088.855615493172</v>
      </c>
    </row>
    <row r="37" spans="1:476" ht="26.4" x14ac:dyDescent="0.25">
      <c r="A37" s="103" t="s">
        <v>645</v>
      </c>
      <c r="B37" s="20" t="s">
        <v>648</v>
      </c>
      <c r="C37" s="21" t="s">
        <v>702</v>
      </c>
      <c r="D37" s="15" t="s">
        <v>703</v>
      </c>
      <c r="E37" s="15">
        <v>4773</v>
      </c>
      <c r="F37" s="21">
        <v>31</v>
      </c>
      <c r="G37" s="21" t="s">
        <v>182</v>
      </c>
      <c r="H37" s="21">
        <v>0.85</v>
      </c>
      <c r="I37" s="68">
        <f>MAX('Max rate concentrations'!$M$3:$M$368)</f>
        <v>17.092910873809167</v>
      </c>
      <c r="J37" s="68">
        <f>MAX('Max rate concentrations'!AE:AE)</f>
        <v>11.81956602976166</v>
      </c>
      <c r="K37" s="69">
        <f t="shared" si="0"/>
        <v>0.67940543520199403</v>
      </c>
      <c r="L37" s="69">
        <f t="shared" si="5"/>
        <v>0.4698016307247832</v>
      </c>
      <c r="M37" s="69">
        <f>IF((((0.065*F37^0.726)/3.7-(0.301*F37^0.751)/(1-H37)*H37)*(MAX('Max rate concentrations'!$P$3:$P$368)))/F37&gt;0, (((0.065*F37^0.726)/3.7-(0.301*F37^0.751)/(1-H37)*H37)*(MAX('Max rate concentrations'!$P$3:$P$368)))/F37, 0)</f>
        <v>0</v>
      </c>
      <c r="N37" s="69">
        <f>IF((((0.065*F37^0.726)/3.7-(0.301*F37^0.751)/(1-H37)*H37)*(MAX('Max rate concentrations'!$Q$3:$Q$368)))/F37&gt;0, (((0.065*F37^0.726)/3.7-(0.301*F37^0.751)/(1-H37)*H37)*(MAX('Max rate concentrations'!$Q$3:$Q$368)))/F37, 0)</f>
        <v>0</v>
      </c>
      <c r="O37" s="69" t="s">
        <v>13</v>
      </c>
      <c r="P37" s="69" t="s">
        <v>13</v>
      </c>
      <c r="Q37" s="69">
        <f>(inputs!$C$18*11.2)*(8.42*F37^0.694)*0.5*1/F37</f>
        <v>49.461205255852171</v>
      </c>
      <c r="R37" s="59">
        <f>(60*76.9*((F37/1000)^0.76)*3*24*(MAX('Max rate concentrations'!$R$3:$R$368))/F37)</f>
        <v>5.8922474695248285E-3</v>
      </c>
      <c r="S37" s="59">
        <f>(IF(inputs!$C$17="aerial",((0.025*0.112*inputs!$C$18/3.3)*(3*60*76.9*((F37/1000)^0.76))*MAX(inputs!$I$14:$I$16))/F37,((0.0083*0.112*inputs!$C$18/1)*(3*60*76.9*((F37/1000)^0.76))*MAX(inputs!$I$14:$I$16))/F37))</f>
        <v>2.4879831771928471E-2</v>
      </c>
      <c r="T37" s="63">
        <f>IF((((inputs!$P$13/(V37/MAX(K37:S37)))^(1/inputs!$O$13))-1)/inputs!$N$13&lt;0, 0, IF((((inputs!$P$13/(V37/MAX(K37:S37)))^(1/inputs!$O$13))-1)/inputs!$N$13&lt;inputs!$I$17, (((inputs!$P$13/(V37/MAX(K37:S37)))^(1/inputs!$O$13))-1)/inputs!$N$13, inputs!$I$17))</f>
        <v>1000</v>
      </c>
      <c r="U37" s="63">
        <f>IF((((inputs!$P$13/(X37/MAX(K37:S37)))^(1/inputs!$O$13))-1)/inputs!$N$13&lt;0, 0, IF((((inputs!$P$13/(X37/MAX(K37:S37)))^(1/inputs!$O$13))-1)/inputs!$N$13&lt;inputs!$I$17, (((inputs!$P$13/(X37/MAX(K37:S37)))^(1/inputs!$O$13))-1)/inputs!$N$13, inputs!$I$17))</f>
        <v>1000</v>
      </c>
      <c r="V37" s="21">
        <f>inputs!$E$87*(F37/inputs!$F$87)^(1)</f>
        <v>5.8899999999999994E-3</v>
      </c>
      <c r="W37" s="21">
        <f>inputs!$E$90*(F37/inputs!$F$90)^(1)</f>
        <v>6.1999999999999998E-3</v>
      </c>
      <c r="X37" s="21">
        <f>inputs!$E$89*(F37/inputs!$F$89)^(1)</f>
        <v>2.3151898734177216E-2</v>
      </c>
      <c r="Y37" s="21" t="s">
        <v>13</v>
      </c>
      <c r="Z37" s="63">
        <f t="shared" si="1"/>
        <v>8397.4881588883145</v>
      </c>
      <c r="AA37" s="63">
        <f t="shared" si="2"/>
        <v>7977.6137509438986</v>
      </c>
    </row>
    <row r="38" spans="1:476" ht="26.4" x14ac:dyDescent="0.25">
      <c r="A38" s="103" t="s">
        <v>645</v>
      </c>
      <c r="B38" s="20" t="s">
        <v>648</v>
      </c>
      <c r="C38" s="21" t="s">
        <v>702</v>
      </c>
      <c r="D38" s="15" t="s">
        <v>703</v>
      </c>
      <c r="E38" s="15">
        <v>4773</v>
      </c>
      <c r="F38" s="21">
        <v>31</v>
      </c>
      <c r="G38" s="21" t="s">
        <v>142</v>
      </c>
      <c r="H38" s="21">
        <v>0.69</v>
      </c>
      <c r="I38" s="68">
        <f>MAX('Max rate concentrations'!$H$3:$H$368)</f>
        <v>282</v>
      </c>
      <c r="J38" s="68">
        <f>MAX('Max rate concentrations'!AA:AA)</f>
        <v>195</v>
      </c>
      <c r="K38" s="69">
        <f t="shared" si="0"/>
        <v>5.4236500811912656</v>
      </c>
      <c r="L38" s="69">
        <f t="shared" si="5"/>
        <v>3.7503963327386414</v>
      </c>
      <c r="M38" s="69">
        <f>IF((((0.065*F38^0.726)/3.7-(0.301*F38^0.751)/(1-H38)*H38)*(MAX('Max rate concentrations'!$P$3:$P$368)))/F38&gt;0, (((0.065*F38^0.726)/3.7-(0.301*F38^0.751)/(1-H38)*H38)*(MAX('Max rate concentrations'!$P$3:$P$368)))/F38, 0)</f>
        <v>0</v>
      </c>
      <c r="N38" s="69">
        <f>IF((((0.065*F38^0.726)/3.7-(0.301*F38^0.751)/(1-H38)*H38)*(MAX('Max rate concentrations'!$Q$3:$Q$368)))/F38&gt;0, (((0.065*F38^0.726)/3.7-(0.301*F38^0.751)/(1-H38)*H38)*(MAX('Max rate concentrations'!$Q$3:$Q$368)))/F38, 0)</f>
        <v>0</v>
      </c>
      <c r="O38" s="69" t="s">
        <v>13</v>
      </c>
      <c r="P38" s="69" t="s">
        <v>13</v>
      </c>
      <c r="Q38" s="69">
        <f>(inputs!$C$18*11.2)*(8.42*F38^0.694)*0.5*1/F38</f>
        <v>49.461205255852171</v>
      </c>
      <c r="R38" s="59">
        <f>(60*76.9*((F38/1000)^0.76)*3*24*(MAX('Max rate concentrations'!$R$3:$R$368))/F38)</f>
        <v>5.8922474695248285E-3</v>
      </c>
      <c r="S38" s="59">
        <f>(IF(inputs!$C$17="aerial",((0.025*0.112*inputs!$C$18/3.3)*(3*60*76.9*((F38/1000)^0.76))*MAX(inputs!$I$14:$I$16))/F38,((0.0083*0.112*inputs!$C$18/1)*(3*60*76.9*((F38/1000)^0.76))*MAX(inputs!$I$14:$I$16))/F38))</f>
        <v>2.4879831771928471E-2</v>
      </c>
      <c r="T38" s="63">
        <f>IF((((inputs!$P$13/(V38/MAX(K38:S38)))^(1/inputs!$O$13))-1)/inputs!$N$13&lt;0, 0, IF((((inputs!$P$13/(V38/MAX(K38:S38)))^(1/inputs!$O$13))-1)/inputs!$N$13&lt;inputs!$I$17, (((inputs!$P$13/(V38/MAX(K38:S38)))^(1/inputs!$O$13))-1)/inputs!$N$13, inputs!$I$17))</f>
        <v>1000</v>
      </c>
      <c r="U38" s="63">
        <f>IF((((inputs!$P$13/(X38/MAX(K38:S38)))^(1/inputs!$O$13))-1)/inputs!$N$13&lt;0, 0, IF((((inputs!$P$13/(X38/MAX(K38:S38)))^(1/inputs!$O$13))-1)/inputs!$N$13&lt;inputs!$I$17, (((inputs!$P$13/(X38/MAX(K38:S38)))^(1/inputs!$O$13))-1)/inputs!$N$13, inputs!$I$17))</f>
        <v>1000</v>
      </c>
      <c r="V38" s="21">
        <f>inputs!$E$87*(F38/inputs!$F$87)^(1)</f>
        <v>5.8899999999999994E-3</v>
      </c>
      <c r="W38" s="21">
        <f>inputs!$E$90*(F38/inputs!$F$90)^(1)</f>
        <v>6.1999999999999998E-3</v>
      </c>
      <c r="X38" s="21">
        <f>inputs!$E$89*(F38/inputs!$F$89)^(1)</f>
        <v>2.3151898734177216E-2</v>
      </c>
      <c r="Y38" s="21" t="s">
        <v>13</v>
      </c>
      <c r="Z38" s="63">
        <f t="shared" si="1"/>
        <v>8397.4881588883145</v>
      </c>
      <c r="AA38" s="63">
        <f t="shared" si="2"/>
        <v>7977.6137509438986</v>
      </c>
    </row>
    <row r="39" spans="1:476" ht="26.4" x14ac:dyDescent="0.25">
      <c r="A39" s="103" t="s">
        <v>645</v>
      </c>
      <c r="B39" s="20" t="s">
        <v>648</v>
      </c>
      <c r="C39" s="21" t="s">
        <v>702</v>
      </c>
      <c r="D39" s="15" t="s">
        <v>703</v>
      </c>
      <c r="E39" s="15">
        <v>4773</v>
      </c>
      <c r="F39" s="21">
        <v>31</v>
      </c>
      <c r="G39" s="21" t="s">
        <v>146</v>
      </c>
      <c r="H39" s="20">
        <v>0.84</v>
      </c>
      <c r="I39" s="68">
        <f>MAX('Max rate concentrations'!$I$3:$I$368)</f>
        <v>56.865414300472793</v>
      </c>
      <c r="J39" s="68" t="s">
        <v>13</v>
      </c>
      <c r="K39" s="69">
        <f t="shared" si="0"/>
        <v>2.1190073970566847</v>
      </c>
      <c r="L39" s="69" t="s">
        <v>13</v>
      </c>
      <c r="M39" s="69">
        <f>IF((((0.065*F39^0.726)/3.7-(0.301*F39^0.751)/(1-H39)*H39)*(MAX('Max rate concentrations'!$P$3:$P$368)))/F39&gt;0, (((0.065*F39^0.726)/3.7-(0.301*F39^0.751)/(1-H39)*H39)*(MAX('Max rate concentrations'!$P$3:$P$368)))/F39, 0)</f>
        <v>0</v>
      </c>
      <c r="N39" s="69">
        <f>IF((((0.065*F39^0.726)/3.7-(0.301*F39^0.751)/(1-H39)*H39)*(MAX('Max rate concentrations'!$Q$3:$Q$368)))/F39&gt;0, (((0.065*F39^0.726)/3.7-(0.301*F39^0.751)/(1-H39)*H39)*(MAX('Max rate concentrations'!$Q$3:$Q$368)))/F39, 0)</f>
        <v>0</v>
      </c>
      <c r="O39" s="69" t="s">
        <v>13</v>
      </c>
      <c r="P39" s="69" t="s">
        <v>13</v>
      </c>
      <c r="Q39" s="69">
        <f>(inputs!$C$18*11.2)*(8.42*F39^0.694)*0.5*1/F39</f>
        <v>49.461205255852171</v>
      </c>
      <c r="R39" s="59">
        <f>(60*76.9*((F39/1000)^0.76)*3*24*(MAX('Max rate concentrations'!$R$3:$R$368))/F39)</f>
        <v>5.8922474695248285E-3</v>
      </c>
      <c r="S39" s="59">
        <f>(IF(inputs!$C$17="aerial",((0.025*0.112*inputs!$C$18/3.3)*(3*60*76.9*((F39/1000)^0.76))*MAX(inputs!$I$14:$I$16))/F39,((0.0083*0.112*inputs!$C$18/1)*(3*60*76.9*((F39/1000)^0.76))*MAX(inputs!$I$14:$I$16))/F39))</f>
        <v>2.4879831771928471E-2</v>
      </c>
      <c r="T39" s="63">
        <f>IF((((inputs!$P$13/(V39/MAX(K39:S39)))^(1/inputs!$O$13))-1)/inputs!$N$13&lt;0, 0, IF((((inputs!$P$13/(V39/MAX(K39:S39)))^(1/inputs!$O$13))-1)/inputs!$N$13&lt;inputs!$I$17, (((inputs!$P$13/(V39/MAX(K39:S39)))^(1/inputs!$O$13))-1)/inputs!$N$13, inputs!$I$17))</f>
        <v>1000</v>
      </c>
      <c r="U39" s="63">
        <f>IF((((inputs!$P$13/(X39/MAX(K39:S39)))^(1/inputs!$O$13))-1)/inputs!$N$13&lt;0, 0, IF((((inputs!$P$13/(X39/MAX(K39:S39)))^(1/inputs!$O$13))-1)/inputs!$N$13&lt;inputs!$I$17, (((inputs!$P$13/(X39/MAX(K39:S39)))^(1/inputs!$O$13))-1)/inputs!$N$13, inputs!$I$17))</f>
        <v>1000</v>
      </c>
      <c r="V39" s="21">
        <f>inputs!$E$87*(F39/inputs!$F$87)^(1)</f>
        <v>5.8899999999999994E-3</v>
      </c>
      <c r="W39" s="21">
        <f>inputs!$E$90*(F39/inputs!$F$90)^(1)</f>
        <v>6.1999999999999998E-3</v>
      </c>
      <c r="X39" s="21">
        <f>inputs!$E$89*(F39/inputs!$F$89)^(1)</f>
        <v>2.3151898734177216E-2</v>
      </c>
      <c r="Y39" s="21" t="s">
        <v>13</v>
      </c>
      <c r="Z39" s="63">
        <f t="shared" si="1"/>
        <v>8397.4881588883145</v>
      </c>
      <c r="AA39" s="63">
        <f t="shared" si="2"/>
        <v>7977.6137509438986</v>
      </c>
      <c r="AB39" s="107"/>
      <c r="AC39" s="107"/>
      <c r="AD39" s="107"/>
      <c r="AE39" s="107"/>
      <c r="AF39" s="107"/>
      <c r="AG39" s="107"/>
      <c r="AH39" s="107"/>
      <c r="AI39" s="107"/>
      <c r="AJ39" s="107"/>
      <c r="AK39" s="107"/>
      <c r="AL39" s="107"/>
      <c r="AM39" s="107"/>
      <c r="AN39" s="107"/>
      <c r="AO39" s="107"/>
      <c r="AP39" s="107"/>
      <c r="AQ39" s="107"/>
      <c r="AR39" s="107"/>
      <c r="AS39" s="107"/>
      <c r="AT39" s="107"/>
      <c r="AU39" s="107"/>
      <c r="AV39" s="107"/>
      <c r="AW39" s="107"/>
      <c r="AX39" s="107"/>
      <c r="AY39" s="107"/>
      <c r="AZ39" s="107"/>
      <c r="BA39" s="107"/>
      <c r="BB39" s="107"/>
      <c r="BC39" s="107"/>
      <c r="BD39" s="107"/>
      <c r="BE39" s="107"/>
      <c r="BF39" s="107"/>
      <c r="BG39" s="107"/>
      <c r="BH39" s="107"/>
      <c r="BI39" s="107"/>
      <c r="BJ39" s="107"/>
      <c r="BK39" s="107"/>
      <c r="BL39" s="107"/>
      <c r="BM39" s="107"/>
      <c r="BN39" s="107"/>
      <c r="BO39" s="107"/>
      <c r="BP39" s="107"/>
      <c r="BQ39" s="107"/>
      <c r="BR39" s="107"/>
      <c r="BS39" s="107"/>
      <c r="BT39" s="107"/>
      <c r="BU39" s="107"/>
      <c r="BV39" s="107"/>
      <c r="BW39" s="107"/>
      <c r="BX39" s="107"/>
      <c r="BY39" s="107"/>
      <c r="BZ39" s="107"/>
      <c r="CA39" s="107"/>
      <c r="CB39" s="107"/>
      <c r="CC39" s="107"/>
      <c r="CD39" s="107"/>
      <c r="CE39" s="107"/>
      <c r="CF39" s="107"/>
      <c r="CG39" s="107"/>
      <c r="CH39" s="107"/>
      <c r="CI39" s="107"/>
      <c r="CJ39" s="107"/>
      <c r="CK39" s="107"/>
      <c r="CL39" s="107"/>
      <c r="CM39" s="107"/>
      <c r="CN39" s="107"/>
      <c r="CO39" s="107"/>
      <c r="CP39" s="107"/>
      <c r="CQ39" s="107"/>
      <c r="CR39" s="107"/>
      <c r="CS39" s="107"/>
      <c r="CT39" s="107"/>
      <c r="CU39" s="107"/>
      <c r="CV39" s="107"/>
      <c r="CW39" s="107"/>
      <c r="CX39" s="107"/>
      <c r="CY39" s="107"/>
      <c r="CZ39" s="107"/>
      <c r="DA39" s="107"/>
      <c r="DB39" s="107"/>
      <c r="DC39" s="107"/>
      <c r="DD39" s="107"/>
      <c r="DE39" s="107"/>
      <c r="DF39" s="107"/>
      <c r="DG39" s="107"/>
      <c r="DH39" s="107"/>
      <c r="DI39" s="107"/>
      <c r="DJ39" s="107"/>
      <c r="DK39" s="107"/>
      <c r="DL39" s="107"/>
      <c r="DM39" s="107"/>
      <c r="DN39" s="107"/>
      <c r="DO39" s="107"/>
      <c r="DP39" s="107"/>
      <c r="DQ39" s="107"/>
      <c r="DR39" s="107"/>
      <c r="DS39" s="107"/>
      <c r="DT39" s="107"/>
      <c r="DU39" s="107"/>
      <c r="DV39" s="107"/>
      <c r="DW39" s="107"/>
      <c r="DX39" s="107"/>
      <c r="DY39" s="107"/>
      <c r="DZ39" s="107"/>
      <c r="EA39" s="107"/>
      <c r="EB39" s="107"/>
      <c r="EC39" s="107"/>
      <c r="ED39" s="107"/>
      <c r="EE39" s="107"/>
      <c r="EF39" s="107"/>
      <c r="EG39" s="107"/>
      <c r="EH39" s="107"/>
      <c r="EI39" s="107"/>
      <c r="EJ39" s="107"/>
      <c r="EK39" s="107"/>
      <c r="EL39" s="107"/>
      <c r="EM39" s="107"/>
      <c r="EN39" s="107"/>
      <c r="EO39" s="107"/>
      <c r="EP39" s="107"/>
      <c r="EQ39" s="107"/>
      <c r="ER39" s="107"/>
      <c r="ES39" s="107"/>
      <c r="ET39" s="107"/>
      <c r="EU39" s="107"/>
      <c r="EV39" s="107"/>
      <c r="EW39" s="107"/>
      <c r="EX39" s="107"/>
      <c r="EY39" s="107"/>
      <c r="EZ39" s="107"/>
      <c r="FA39" s="107"/>
      <c r="FB39" s="107"/>
      <c r="FC39" s="107"/>
      <c r="FD39" s="107"/>
      <c r="FE39" s="107"/>
      <c r="FF39" s="107"/>
      <c r="FG39" s="107"/>
      <c r="FH39" s="107"/>
      <c r="FI39" s="107"/>
      <c r="FJ39" s="107"/>
      <c r="FK39" s="107"/>
      <c r="FL39" s="107"/>
      <c r="FM39" s="107"/>
      <c r="FN39" s="107"/>
      <c r="FO39" s="107"/>
      <c r="FP39" s="107"/>
      <c r="FQ39" s="107"/>
      <c r="FR39" s="107"/>
      <c r="FS39" s="107"/>
      <c r="FT39" s="107"/>
      <c r="FU39" s="107"/>
      <c r="FV39" s="107"/>
      <c r="FW39" s="107"/>
      <c r="FX39" s="107"/>
      <c r="FY39" s="107"/>
      <c r="FZ39" s="107"/>
      <c r="GA39" s="107"/>
      <c r="GB39" s="107"/>
      <c r="GC39" s="107"/>
      <c r="GD39" s="107"/>
      <c r="GE39" s="107"/>
      <c r="GF39" s="107"/>
      <c r="GG39" s="107"/>
      <c r="GH39" s="107"/>
      <c r="GI39" s="107"/>
      <c r="GJ39" s="107"/>
      <c r="GK39" s="107"/>
      <c r="GL39" s="107"/>
      <c r="GM39" s="107"/>
      <c r="GN39" s="107"/>
      <c r="GO39" s="107"/>
      <c r="GP39" s="107"/>
      <c r="GQ39" s="107"/>
      <c r="GR39" s="107"/>
      <c r="GS39" s="107"/>
      <c r="GT39" s="107"/>
      <c r="GU39" s="107"/>
      <c r="GV39" s="107"/>
      <c r="GW39" s="107"/>
      <c r="GX39" s="107"/>
      <c r="GY39" s="107"/>
      <c r="GZ39" s="107"/>
      <c r="HA39" s="107"/>
      <c r="HB39" s="107"/>
      <c r="HC39" s="107"/>
      <c r="HD39" s="107"/>
      <c r="HE39" s="107"/>
      <c r="HF39" s="107"/>
      <c r="HG39" s="107"/>
      <c r="HH39" s="107"/>
      <c r="HI39" s="107"/>
      <c r="HJ39" s="107"/>
      <c r="HK39" s="107"/>
      <c r="HL39" s="107"/>
      <c r="HM39" s="107"/>
      <c r="HN39" s="107"/>
      <c r="HO39" s="107"/>
      <c r="HP39" s="107"/>
      <c r="HQ39" s="107"/>
      <c r="HR39" s="107"/>
      <c r="HS39" s="107"/>
      <c r="HT39" s="107"/>
      <c r="HU39" s="107"/>
      <c r="HV39" s="107"/>
      <c r="HW39" s="107"/>
      <c r="HX39" s="107"/>
      <c r="HY39" s="107"/>
      <c r="HZ39" s="107"/>
      <c r="IA39" s="107"/>
      <c r="IB39" s="107"/>
      <c r="IC39" s="107"/>
      <c r="ID39" s="107"/>
      <c r="IE39" s="107"/>
      <c r="IF39" s="107"/>
      <c r="IG39" s="107"/>
      <c r="IH39" s="107"/>
      <c r="II39" s="107"/>
      <c r="IJ39" s="107"/>
      <c r="IK39" s="107"/>
      <c r="IL39" s="107"/>
      <c r="IM39" s="107"/>
      <c r="IN39" s="107"/>
      <c r="IO39" s="107"/>
      <c r="IP39" s="107"/>
      <c r="IQ39" s="107"/>
      <c r="IR39" s="107"/>
      <c r="IS39" s="107"/>
      <c r="IT39" s="107"/>
      <c r="IU39" s="107"/>
      <c r="IV39" s="107"/>
      <c r="IW39" s="107"/>
      <c r="IX39" s="107"/>
      <c r="IY39" s="107"/>
      <c r="IZ39" s="107"/>
      <c r="JA39" s="107"/>
      <c r="JB39" s="107"/>
      <c r="JC39" s="107"/>
      <c r="JD39" s="107"/>
      <c r="JE39" s="107"/>
      <c r="JF39" s="107"/>
      <c r="JG39" s="107"/>
      <c r="JH39" s="107"/>
      <c r="JI39" s="107"/>
      <c r="JJ39" s="107"/>
      <c r="JK39" s="107"/>
      <c r="JL39" s="107"/>
      <c r="JM39" s="107"/>
      <c r="JN39" s="107"/>
      <c r="JO39" s="107"/>
      <c r="JP39" s="107"/>
      <c r="JQ39" s="107"/>
      <c r="JR39" s="107"/>
      <c r="JS39" s="107"/>
      <c r="JT39" s="107"/>
      <c r="JU39" s="107"/>
      <c r="JV39" s="107"/>
      <c r="JW39" s="107"/>
      <c r="JX39" s="107"/>
      <c r="JY39" s="107"/>
      <c r="JZ39" s="107"/>
      <c r="KA39" s="107"/>
      <c r="KB39" s="107"/>
      <c r="KC39" s="107"/>
      <c r="KD39" s="107"/>
      <c r="KE39" s="107"/>
      <c r="KF39" s="107"/>
      <c r="KG39" s="107"/>
      <c r="KH39" s="107"/>
      <c r="KI39" s="107"/>
      <c r="KJ39" s="107"/>
      <c r="KK39" s="107"/>
      <c r="KL39" s="107"/>
      <c r="KM39" s="107"/>
      <c r="KN39" s="107"/>
      <c r="KO39" s="107"/>
      <c r="KP39" s="107"/>
      <c r="KQ39" s="107"/>
      <c r="KR39" s="107"/>
      <c r="KS39" s="107"/>
      <c r="KT39" s="107"/>
      <c r="KU39" s="107"/>
      <c r="KV39" s="107"/>
      <c r="KW39" s="107"/>
      <c r="KX39" s="107"/>
      <c r="KY39" s="107"/>
      <c r="KZ39" s="107"/>
      <c r="LA39" s="107"/>
      <c r="LB39" s="107"/>
      <c r="LC39" s="107"/>
      <c r="LD39" s="107"/>
      <c r="LE39" s="107"/>
      <c r="LF39" s="107"/>
      <c r="LG39" s="107"/>
      <c r="LH39" s="107"/>
      <c r="LI39" s="107"/>
      <c r="LJ39" s="107"/>
      <c r="LK39" s="107"/>
      <c r="LL39" s="107"/>
      <c r="LM39" s="107"/>
      <c r="LN39" s="107"/>
      <c r="LO39" s="107"/>
      <c r="LP39" s="107"/>
      <c r="LQ39" s="107"/>
      <c r="LR39" s="107"/>
      <c r="LS39" s="107"/>
      <c r="LT39" s="107"/>
      <c r="LU39" s="107"/>
      <c r="LV39" s="107"/>
      <c r="LW39" s="107"/>
      <c r="LX39" s="107"/>
      <c r="LY39" s="107"/>
      <c r="LZ39" s="107"/>
      <c r="MA39" s="107"/>
      <c r="MB39" s="107"/>
      <c r="MC39" s="107"/>
      <c r="MD39" s="107"/>
      <c r="ME39" s="107"/>
      <c r="MF39" s="107"/>
      <c r="MG39" s="107"/>
      <c r="MH39" s="107"/>
      <c r="MI39" s="107"/>
      <c r="MJ39" s="107"/>
      <c r="MK39" s="107"/>
      <c r="ML39" s="107"/>
      <c r="MM39" s="107"/>
      <c r="MN39" s="107"/>
      <c r="MO39" s="107"/>
      <c r="MP39" s="107"/>
      <c r="MQ39" s="107"/>
      <c r="MR39" s="107"/>
      <c r="MS39" s="107"/>
      <c r="MT39" s="107"/>
      <c r="MU39" s="107"/>
      <c r="MV39" s="107"/>
      <c r="MW39" s="107"/>
      <c r="MX39" s="107"/>
      <c r="MY39" s="107"/>
      <c r="MZ39" s="107"/>
      <c r="NA39" s="107"/>
      <c r="NB39" s="107"/>
      <c r="NC39" s="107"/>
      <c r="ND39" s="107"/>
      <c r="NE39" s="107"/>
      <c r="NF39" s="107"/>
      <c r="NG39" s="107"/>
      <c r="NH39" s="107"/>
      <c r="NI39" s="107"/>
      <c r="NJ39" s="107"/>
      <c r="NK39" s="107"/>
      <c r="NL39" s="107"/>
      <c r="NM39" s="107"/>
      <c r="NN39" s="107"/>
      <c r="NO39" s="107"/>
      <c r="NP39" s="107"/>
      <c r="NQ39" s="107"/>
      <c r="NR39" s="107"/>
      <c r="NS39" s="107"/>
      <c r="NT39" s="107"/>
      <c r="NU39" s="107"/>
      <c r="NV39" s="107"/>
      <c r="NW39" s="107"/>
      <c r="NX39" s="107"/>
      <c r="NY39" s="107"/>
      <c r="NZ39" s="107"/>
      <c r="OA39" s="107"/>
      <c r="OB39" s="107"/>
      <c r="OC39" s="107"/>
      <c r="OD39" s="107"/>
      <c r="OE39" s="107"/>
      <c r="OF39" s="107"/>
      <c r="OG39" s="107"/>
      <c r="OH39" s="107"/>
      <c r="OI39" s="107"/>
      <c r="OJ39" s="107"/>
      <c r="OK39" s="107"/>
      <c r="OL39" s="107"/>
      <c r="OM39" s="107"/>
      <c r="ON39" s="107"/>
      <c r="OO39" s="107"/>
      <c r="OP39" s="107"/>
      <c r="OQ39" s="107"/>
      <c r="OR39" s="107"/>
      <c r="OS39" s="107"/>
      <c r="OT39" s="107"/>
      <c r="OU39" s="107"/>
      <c r="OV39" s="107"/>
      <c r="OW39" s="107"/>
      <c r="OX39" s="107"/>
      <c r="OY39" s="107"/>
      <c r="OZ39" s="107"/>
      <c r="PA39" s="107"/>
      <c r="PB39" s="107"/>
      <c r="PC39" s="107"/>
      <c r="PD39" s="107"/>
      <c r="PE39" s="107"/>
      <c r="PF39" s="107"/>
      <c r="PG39" s="107"/>
      <c r="PH39" s="107"/>
      <c r="PI39" s="107"/>
      <c r="PJ39" s="107"/>
      <c r="PK39" s="107"/>
      <c r="PL39" s="107"/>
      <c r="PM39" s="107"/>
      <c r="PN39" s="107"/>
      <c r="PO39" s="107"/>
      <c r="PP39" s="107"/>
      <c r="PQ39" s="107"/>
      <c r="PR39" s="107"/>
      <c r="PS39" s="107"/>
      <c r="PT39" s="107"/>
      <c r="PU39" s="107"/>
      <c r="PV39" s="107"/>
      <c r="PW39" s="107"/>
      <c r="PX39" s="107"/>
      <c r="PY39" s="107"/>
      <c r="PZ39" s="107"/>
      <c r="QA39" s="107"/>
      <c r="QB39" s="107"/>
      <c r="QC39" s="107"/>
      <c r="QD39" s="107"/>
      <c r="QE39" s="107"/>
      <c r="QF39" s="107"/>
      <c r="QG39" s="107"/>
      <c r="QH39" s="107"/>
      <c r="QI39" s="107"/>
      <c r="QJ39" s="107"/>
      <c r="QK39" s="107"/>
      <c r="QL39" s="107"/>
      <c r="QM39" s="107"/>
      <c r="QN39" s="107"/>
      <c r="QO39" s="107"/>
      <c r="QP39" s="107"/>
      <c r="QQ39" s="107"/>
      <c r="QR39" s="107"/>
      <c r="QS39" s="107"/>
      <c r="QT39" s="107"/>
      <c r="QU39" s="107"/>
      <c r="QV39" s="107"/>
      <c r="QW39" s="107"/>
      <c r="QX39" s="107"/>
      <c r="QY39" s="107"/>
      <c r="QZ39" s="107"/>
      <c r="RA39" s="107"/>
      <c r="RB39" s="107"/>
      <c r="RC39" s="107"/>
      <c r="RD39" s="107"/>
      <c r="RE39" s="107"/>
      <c r="RF39" s="107"/>
      <c r="RG39" s="107"/>
      <c r="RH39" s="107"/>
    </row>
    <row r="40" spans="1:476" ht="26.4" x14ac:dyDescent="0.25">
      <c r="A40" s="103" t="s">
        <v>645</v>
      </c>
      <c r="B40" s="20" t="s">
        <v>646</v>
      </c>
      <c r="C40" s="21" t="s">
        <v>702</v>
      </c>
      <c r="D40" s="15" t="s">
        <v>703</v>
      </c>
      <c r="E40" s="15">
        <v>8395</v>
      </c>
      <c r="F40" s="21">
        <v>31</v>
      </c>
      <c r="G40" s="21" t="s">
        <v>182</v>
      </c>
      <c r="H40" s="21">
        <v>0.85</v>
      </c>
      <c r="I40" s="68">
        <f>MAX('Max rate concentrations'!$M$3:$M$368)</f>
        <v>17.092910873809167</v>
      </c>
      <c r="J40" s="68">
        <f>MAX('Max rate concentrations'!AE:AE)</f>
        <v>11.81956602976166</v>
      </c>
      <c r="K40" s="69">
        <f t="shared" si="0"/>
        <v>0.67940543520199403</v>
      </c>
      <c r="L40" s="69">
        <f>(((0.013*F40^0.773)/(1-H40)))*J40/F40</f>
        <v>0.4698016307247832</v>
      </c>
      <c r="M40" s="69">
        <f>IF((((0.065*F40^0.726)/3.7-(0.301*F40^0.751)/(1-H40)*H40)*(MAX('Max rate concentrations'!$P$3:$P$368)))/F40&gt;0, (((0.065*F40^0.726)/3.7-(0.301*F40^0.751)/(1-H40)*H40)*(MAX('Max rate concentrations'!$P$3:$P$368)))/F40, 0)</f>
        <v>0</v>
      </c>
      <c r="N40" s="69">
        <f>IF((((0.065*F40^0.726)/3.7-(0.301*F40^0.751)/(1-H40)*H40)*(MAX('Max rate concentrations'!$Q$3:$Q$368)))/F40&gt;0, (((0.065*F40^0.726)/3.7-(0.301*F40^0.751)/(1-H40)*H40)*(MAX('Max rate concentrations'!$Q$3:$Q$368)))/F40, 0)</f>
        <v>0</v>
      </c>
      <c r="O40" s="69" t="s">
        <v>13</v>
      </c>
      <c r="P40" s="69" t="s">
        <v>13</v>
      </c>
      <c r="Q40" s="69">
        <f>(inputs!$C$18*11.2)*(8.42*F40^0.694)*0.5*1/F40</f>
        <v>49.461205255852171</v>
      </c>
      <c r="R40" s="59">
        <f>(60*76.9*((F40/1000)^0.76)*3*24*(MAX('Max rate concentrations'!$R$3:$R$368))/F40)</f>
        <v>5.8922474695248285E-3</v>
      </c>
      <c r="S40" s="59">
        <f>(IF(inputs!$C$17="aerial",((0.025*0.112*inputs!$C$18/3.3)*(3*60*76.9*((F40/1000)^0.76))*MAX(inputs!$I$14:$I$16))/F40,((0.0083*0.112*inputs!$C$18/1)*(3*60*76.9*((F40/1000)^0.76))*MAX(inputs!$I$14:$I$16))/F40))</f>
        <v>2.4879831771928471E-2</v>
      </c>
      <c r="T40" s="63">
        <f>IF((((inputs!$P$13/(V40/MAX(K40:S40)))^(1/inputs!$O$13))-1)/inputs!$N$13&lt;0, 0, IF((((inputs!$P$13/(V40/MAX(K40:S40)))^(1/inputs!$O$13))-1)/inputs!$N$13&lt;inputs!$I$17, (((inputs!$P$13/(V40/MAX(K40:S40)))^(1/inputs!$O$13))-1)/inputs!$N$13, inputs!$I$17))</f>
        <v>1000</v>
      </c>
      <c r="U40" s="63">
        <f>IF((((inputs!$P$13/(X40/MAX(K40:S40)))^(1/inputs!$O$13))-1)/inputs!$N$13&lt;0, 0, IF((((inputs!$P$13/(X40/MAX(K40:S40)))^(1/inputs!$O$13))-1)/inputs!$N$13&lt;inputs!$I$17, (((inputs!$P$13/(X40/MAX(K40:S40)))^(1/inputs!$O$13))-1)/inputs!$N$13, inputs!$I$17))</f>
        <v>1000</v>
      </c>
      <c r="V40" s="21">
        <f>inputs!$E$87*(F40/inputs!$F$87)^(1)</f>
        <v>5.8899999999999994E-3</v>
      </c>
      <c r="W40" s="21">
        <f>inputs!$E$90*(F40/inputs!$F$90)^(1)</f>
        <v>6.1999999999999998E-3</v>
      </c>
      <c r="X40" s="21">
        <f>inputs!$E$89*(F40/inputs!$F$89)^(1)</f>
        <v>2.3151898734177216E-2</v>
      </c>
      <c r="Y40" s="21" t="s">
        <v>13</v>
      </c>
      <c r="Z40" s="63">
        <f t="shared" si="1"/>
        <v>8397.4881588883145</v>
      </c>
      <c r="AA40" s="63">
        <f t="shared" si="2"/>
        <v>7977.6137509438986</v>
      </c>
    </row>
    <row r="41" spans="1:476" ht="26.4" x14ac:dyDescent="0.25">
      <c r="A41" s="103" t="s">
        <v>645</v>
      </c>
      <c r="B41" s="20" t="s">
        <v>646</v>
      </c>
      <c r="C41" s="21" t="s">
        <v>702</v>
      </c>
      <c r="D41" s="15" t="s">
        <v>703</v>
      </c>
      <c r="E41" s="15">
        <v>8395</v>
      </c>
      <c r="F41" s="21">
        <v>31</v>
      </c>
      <c r="G41" s="21" t="s">
        <v>142</v>
      </c>
      <c r="H41" s="21">
        <v>0.69</v>
      </c>
      <c r="I41" s="68">
        <f>MAX('Max rate concentrations'!$H$3:$H$368)</f>
        <v>282</v>
      </c>
      <c r="J41" s="68">
        <f>MAX('Max rate concentrations'!AA:AA)</f>
        <v>195</v>
      </c>
      <c r="K41" s="69">
        <f t="shared" si="0"/>
        <v>5.4236500811912656</v>
      </c>
      <c r="L41" s="69">
        <f>(((0.013*F41^0.773)/(1-H41)))*J41/F41</f>
        <v>3.7503963327386414</v>
      </c>
      <c r="M41" s="69">
        <f>IF((((0.065*F41^0.726)/3.7-(0.301*F41^0.751)/(1-H41)*H41)*(MAX('Max rate concentrations'!$P$3:$P$368)))/F41&gt;0, (((0.065*F41^0.726)/3.7-(0.301*F41^0.751)/(1-H41)*H41)*(MAX('Max rate concentrations'!$P$3:$P$368)))/F41, 0)</f>
        <v>0</v>
      </c>
      <c r="N41" s="69">
        <f>IF((((0.065*F41^0.726)/3.7-(0.301*F41^0.751)/(1-H41)*H41)*(MAX('Max rate concentrations'!$Q$3:$Q$368)))/F41&gt;0, (((0.065*F41^0.726)/3.7-(0.301*F41^0.751)/(1-H41)*H41)*(MAX('Max rate concentrations'!$Q$3:$Q$368)))/F41, 0)</f>
        <v>0</v>
      </c>
      <c r="O41" s="69" t="s">
        <v>13</v>
      </c>
      <c r="P41" s="69" t="s">
        <v>13</v>
      </c>
      <c r="Q41" s="69">
        <f>(inputs!$C$18*11.2)*(8.42*F41^0.694)*0.5*1/F41</f>
        <v>49.461205255852171</v>
      </c>
      <c r="R41" s="59">
        <f>(60*76.9*((F41/1000)^0.76)*3*24*(MAX('Max rate concentrations'!$R$3:$R$368))/F41)</f>
        <v>5.8922474695248285E-3</v>
      </c>
      <c r="S41" s="59">
        <f>(IF(inputs!$C$17="aerial",((0.025*0.112*inputs!$C$18/3.3)*(3*60*76.9*((F41/1000)^0.76))*MAX(inputs!$I$14:$I$16))/F41,((0.0083*0.112*inputs!$C$18/1)*(3*60*76.9*((F41/1000)^0.76))*MAX(inputs!$I$14:$I$16))/F41))</f>
        <v>2.4879831771928471E-2</v>
      </c>
      <c r="T41" s="63">
        <f>IF((((inputs!$P$13/(V41/MAX(K41:S41)))^(1/inputs!$O$13))-1)/inputs!$N$13&lt;0, 0, IF((((inputs!$P$13/(V41/MAX(K41:S41)))^(1/inputs!$O$13))-1)/inputs!$N$13&lt;inputs!$I$17, (((inputs!$P$13/(V41/MAX(K41:S41)))^(1/inputs!$O$13))-1)/inputs!$N$13, inputs!$I$17))</f>
        <v>1000</v>
      </c>
      <c r="U41" s="63">
        <f>IF((((inputs!$P$13/(X41/MAX(K41:S41)))^(1/inputs!$O$13))-1)/inputs!$N$13&lt;0, 0, IF((((inputs!$P$13/(X41/MAX(K41:S41)))^(1/inputs!$O$13))-1)/inputs!$N$13&lt;inputs!$I$17, (((inputs!$P$13/(X41/MAX(K41:S41)))^(1/inputs!$O$13))-1)/inputs!$N$13, inputs!$I$17))</f>
        <v>1000</v>
      </c>
      <c r="V41" s="21">
        <f>inputs!$E$87*(F41/inputs!$F$87)^(1)</f>
        <v>5.8899999999999994E-3</v>
      </c>
      <c r="W41" s="21">
        <f>inputs!$E$90*(F41/inputs!$F$90)^(1)</f>
        <v>6.1999999999999998E-3</v>
      </c>
      <c r="X41" s="21">
        <f>inputs!$E$89*(F41/inputs!$F$89)^(1)</f>
        <v>2.3151898734177216E-2</v>
      </c>
      <c r="Y41" s="21" t="s">
        <v>13</v>
      </c>
      <c r="Z41" s="63">
        <f t="shared" si="1"/>
        <v>8397.4881588883145</v>
      </c>
      <c r="AA41" s="63">
        <f t="shared" si="2"/>
        <v>7977.6137509438986</v>
      </c>
    </row>
    <row r="42" spans="1:476" ht="26.4" x14ac:dyDescent="0.25">
      <c r="A42" s="103" t="s">
        <v>645</v>
      </c>
      <c r="B42" s="20" t="s">
        <v>646</v>
      </c>
      <c r="C42" s="21" t="s">
        <v>702</v>
      </c>
      <c r="D42" s="15" t="s">
        <v>703</v>
      </c>
      <c r="E42" s="15">
        <v>8395</v>
      </c>
      <c r="F42" s="21">
        <v>31</v>
      </c>
      <c r="G42" s="21" t="s">
        <v>146</v>
      </c>
      <c r="H42" s="20">
        <v>0.84</v>
      </c>
      <c r="I42" s="68">
        <f>MAX('Max rate concentrations'!$I$3:$I$368)</f>
        <v>56.865414300472793</v>
      </c>
      <c r="J42" s="68" t="s">
        <v>13</v>
      </c>
      <c r="K42" s="69">
        <f t="shared" si="0"/>
        <v>2.1190073970566847</v>
      </c>
      <c r="L42" s="69" t="s">
        <v>13</v>
      </c>
      <c r="M42" s="69">
        <f>IF((((0.065*F42^0.726)/3.7-(0.301*F42^0.751)/(1-H42)*H42)*(MAX('Max rate concentrations'!$P$3:$P$368)))/F42&gt;0, (((0.065*F42^0.726)/3.7-(0.301*F42^0.751)/(1-H42)*H42)*(MAX('Max rate concentrations'!$P$3:$P$368)))/F42, 0)</f>
        <v>0</v>
      </c>
      <c r="N42" s="69">
        <f>IF((((0.065*F42^0.726)/3.7-(0.301*F42^0.751)/(1-H42)*H42)*(MAX('Max rate concentrations'!$Q$3:$Q$368)))/F42&gt;0, (((0.065*F42^0.726)/3.7-(0.301*F42^0.751)/(1-H42)*H42)*(MAX('Max rate concentrations'!$Q$3:$Q$368)))/F42, 0)</f>
        <v>0</v>
      </c>
      <c r="O42" s="69" t="s">
        <v>13</v>
      </c>
      <c r="P42" s="69" t="s">
        <v>13</v>
      </c>
      <c r="Q42" s="69">
        <f>(inputs!$C$18*11.2)*(8.42*F42^0.694)*0.5*1/F42</f>
        <v>49.461205255852171</v>
      </c>
      <c r="R42" s="59">
        <f>(60*76.9*((F42/1000)^0.76)*3*24*(MAX('Max rate concentrations'!$R$3:$R$368))/F42)</f>
        <v>5.8922474695248285E-3</v>
      </c>
      <c r="S42" s="59">
        <f>(IF(inputs!$C$17="aerial",((0.025*0.112*inputs!$C$18/3.3)*(3*60*76.9*((F42/1000)^0.76))*MAX(inputs!$I$14:$I$16))/F42,((0.0083*0.112*inputs!$C$18/1)*(3*60*76.9*((F42/1000)^0.76))*MAX(inputs!$I$14:$I$16))/F42))</f>
        <v>2.4879831771928471E-2</v>
      </c>
      <c r="T42" s="63">
        <f>IF((((inputs!$P$13/(V42/MAX(K42:S42)))^(1/inputs!$O$13))-1)/inputs!$N$13&lt;0, 0, IF((((inputs!$P$13/(V42/MAX(K42:S42)))^(1/inputs!$O$13))-1)/inputs!$N$13&lt;inputs!$I$17, (((inputs!$P$13/(V42/MAX(K42:S42)))^(1/inputs!$O$13))-1)/inputs!$N$13, inputs!$I$17))</f>
        <v>1000</v>
      </c>
      <c r="U42" s="63">
        <f>IF((((inputs!$P$13/(X42/MAX(K42:S42)))^(1/inputs!$O$13))-1)/inputs!$N$13&lt;0, 0, IF((((inputs!$P$13/(X42/MAX(K42:S42)))^(1/inputs!$O$13))-1)/inputs!$N$13&lt;inputs!$I$17, (((inputs!$P$13/(X42/MAX(K42:S42)))^(1/inputs!$O$13))-1)/inputs!$N$13, inputs!$I$17))</f>
        <v>1000</v>
      </c>
      <c r="V42" s="21">
        <f>inputs!$E$87*(F42/inputs!$F$87)^(1)</f>
        <v>5.8899999999999994E-3</v>
      </c>
      <c r="W42" s="21">
        <f>inputs!$E$90*(F42/inputs!$F$90)^(1)</f>
        <v>6.1999999999999998E-3</v>
      </c>
      <c r="X42" s="21">
        <f>inputs!$E$89*(F42/inputs!$F$89)^(1)</f>
        <v>2.3151898734177216E-2</v>
      </c>
      <c r="Y42" s="21" t="s">
        <v>13</v>
      </c>
      <c r="Z42" s="63">
        <f t="shared" si="1"/>
        <v>8397.4881588883145</v>
      </c>
      <c r="AA42" s="63">
        <f t="shared" si="2"/>
        <v>7977.6137509438986</v>
      </c>
    </row>
    <row r="43" spans="1:476" ht="26.4" x14ac:dyDescent="0.25">
      <c r="A43" s="103" t="s">
        <v>645</v>
      </c>
      <c r="B43" s="20" t="s">
        <v>647</v>
      </c>
      <c r="C43" s="21" t="s">
        <v>702</v>
      </c>
      <c r="D43" s="15" t="s">
        <v>703</v>
      </c>
      <c r="E43" s="15">
        <v>203</v>
      </c>
      <c r="F43" s="21">
        <v>31</v>
      </c>
      <c r="G43" s="21" t="s">
        <v>182</v>
      </c>
      <c r="H43" s="21">
        <v>0.85</v>
      </c>
      <c r="I43" s="68">
        <f>MAX('Max rate concentrations'!$M$3:$M$368)</f>
        <v>17.092910873809167</v>
      </c>
      <c r="J43" s="68">
        <f>MAX('Max rate concentrations'!AE:AE)</f>
        <v>11.81956602976166</v>
      </c>
      <c r="K43" s="69">
        <f t="shared" si="0"/>
        <v>0.67940543520199403</v>
      </c>
      <c r="L43" s="69">
        <f>(((0.013*F43^0.773)/(1-H43)))*J43/F43</f>
        <v>0.4698016307247832</v>
      </c>
      <c r="M43" s="69">
        <f>IF((((0.065*F43^0.726)/3.7-(0.301*F43^0.751)/(1-H43)*H43)*(MAX('Max rate concentrations'!$P$3:$P$368)))/F43&gt;0, (((0.065*F43^0.726)/3.7-(0.301*F43^0.751)/(1-H43)*H43)*(MAX('Max rate concentrations'!$P$3:$P$368)))/F43, 0)</f>
        <v>0</v>
      </c>
      <c r="N43" s="69">
        <f>IF((((0.065*F43^0.726)/3.7-(0.301*F43^0.751)/(1-H43)*H43)*(MAX('Max rate concentrations'!$Q$3:$Q$368)))/F43&gt;0, (((0.065*F43^0.726)/3.7-(0.301*F43^0.751)/(1-H43)*H43)*(MAX('Max rate concentrations'!$Q$3:$Q$368)))/F43, 0)</f>
        <v>0</v>
      </c>
      <c r="O43" s="69" t="s">
        <v>13</v>
      </c>
      <c r="P43" s="69" t="s">
        <v>13</v>
      </c>
      <c r="Q43" s="69">
        <f>(inputs!$C$18*11.2)*(8.42*F43^0.694)*0.5*1/F43</f>
        <v>49.461205255852171</v>
      </c>
      <c r="R43" s="59">
        <f>(60*76.9*((F43/1000)^0.76)*3*24*(MAX('Max rate concentrations'!$R$3:$R$368))/F43)</f>
        <v>5.8922474695248285E-3</v>
      </c>
      <c r="S43" s="59">
        <f>(IF(inputs!$C$17="aerial",((0.025*0.112*inputs!$C$18/3.3)*(3*60*76.9*((F43/1000)^0.76))*MAX(inputs!$I$14:$I$16))/F43,((0.0083*0.112*inputs!$C$18/1)*(3*60*76.9*((F43/1000)^0.76))*MAX(inputs!$I$14:$I$16))/F43))</f>
        <v>2.4879831771928471E-2</v>
      </c>
      <c r="T43" s="63">
        <f>IF((((inputs!$P$13/(V43/MAX(K43:S43)))^(1/inputs!$O$13))-1)/inputs!$N$13&lt;0, 0, IF((((inputs!$P$13/(V43/MAX(K43:S43)))^(1/inputs!$O$13))-1)/inputs!$N$13&lt;inputs!$I$17, (((inputs!$P$13/(V43/MAX(K43:S43)))^(1/inputs!$O$13))-1)/inputs!$N$13, inputs!$I$17))</f>
        <v>1000</v>
      </c>
      <c r="U43" s="63">
        <f>IF((((inputs!$P$13/(X43/MAX(K43:S43)))^(1/inputs!$O$13))-1)/inputs!$N$13&lt;0, 0, IF((((inputs!$P$13/(X43/MAX(K43:S43)))^(1/inputs!$O$13))-1)/inputs!$N$13&lt;inputs!$I$17, (((inputs!$P$13/(X43/MAX(K43:S43)))^(1/inputs!$O$13))-1)/inputs!$N$13, inputs!$I$17))</f>
        <v>1000</v>
      </c>
      <c r="V43" s="21">
        <f>inputs!$E$87*(F43/inputs!$F$87)^(1)</f>
        <v>5.8899999999999994E-3</v>
      </c>
      <c r="W43" s="21">
        <f>inputs!$E$90*(F43/inputs!$F$90)^(1)</f>
        <v>6.1999999999999998E-3</v>
      </c>
      <c r="X43" s="21">
        <f>inputs!$E$89*(F43/inputs!$F$89)^(1)</f>
        <v>2.3151898734177216E-2</v>
      </c>
      <c r="Y43" s="21" t="s">
        <v>13</v>
      </c>
      <c r="Z43" s="63">
        <f t="shared" si="1"/>
        <v>8397.4881588883145</v>
      </c>
      <c r="AA43" s="63">
        <f t="shared" si="2"/>
        <v>7977.6137509438986</v>
      </c>
    </row>
    <row r="44" spans="1:476" ht="26.4" x14ac:dyDescent="0.25">
      <c r="A44" s="103" t="s">
        <v>645</v>
      </c>
      <c r="B44" s="20" t="s">
        <v>647</v>
      </c>
      <c r="C44" s="21" t="s">
        <v>702</v>
      </c>
      <c r="D44" s="15" t="s">
        <v>703</v>
      </c>
      <c r="E44" s="15">
        <v>203</v>
      </c>
      <c r="F44" s="21">
        <v>31</v>
      </c>
      <c r="G44" s="21" t="s">
        <v>142</v>
      </c>
      <c r="H44" s="21">
        <v>0.69</v>
      </c>
      <c r="I44" s="68">
        <f>MAX('Max rate concentrations'!$H$3:$H$368)</f>
        <v>282</v>
      </c>
      <c r="J44" s="68">
        <f>MAX('Max rate concentrations'!AA:AA)</f>
        <v>195</v>
      </c>
      <c r="K44" s="69">
        <f t="shared" si="0"/>
        <v>5.4236500811912656</v>
      </c>
      <c r="L44" s="69">
        <f>(((0.013*F44^0.773)/(1-H44)))*J44/F44</f>
        <v>3.7503963327386414</v>
      </c>
      <c r="M44" s="69">
        <f>IF((((0.065*F44^0.726)/3.7-(0.301*F44^0.751)/(1-H44)*H44)*(MAX('Max rate concentrations'!$P$3:$P$368)))/F44&gt;0, (((0.065*F44^0.726)/3.7-(0.301*F44^0.751)/(1-H44)*H44)*(MAX('Max rate concentrations'!$P$3:$P$368)))/F44, 0)</f>
        <v>0</v>
      </c>
      <c r="N44" s="69">
        <f>IF((((0.065*F44^0.726)/3.7-(0.301*F44^0.751)/(1-H44)*H44)*(MAX('Max rate concentrations'!$Q$3:$Q$368)))/F44&gt;0, (((0.065*F44^0.726)/3.7-(0.301*F44^0.751)/(1-H44)*H44)*(MAX('Max rate concentrations'!$Q$3:$Q$368)))/F44, 0)</f>
        <v>0</v>
      </c>
      <c r="O44" s="69" t="s">
        <v>13</v>
      </c>
      <c r="P44" s="69" t="s">
        <v>13</v>
      </c>
      <c r="Q44" s="69">
        <f>(inputs!$C$18*11.2)*(8.42*F44^0.694)*0.5*1/F44</f>
        <v>49.461205255852171</v>
      </c>
      <c r="R44" s="59">
        <f>(60*76.9*((F44/1000)^0.76)*3*24*(MAX('Max rate concentrations'!$R$3:$R$368))/F44)</f>
        <v>5.8922474695248285E-3</v>
      </c>
      <c r="S44" s="59">
        <f>(IF(inputs!$C$17="aerial",((0.025*0.112*inputs!$C$18/3.3)*(3*60*76.9*((F44/1000)^0.76))*MAX(inputs!$I$14:$I$16))/F44,((0.0083*0.112*inputs!$C$18/1)*(3*60*76.9*((F44/1000)^0.76))*MAX(inputs!$I$14:$I$16))/F44))</f>
        <v>2.4879831771928471E-2</v>
      </c>
      <c r="T44" s="63">
        <f>IF((((inputs!$P$13/(V44/MAX(K44:S44)))^(1/inputs!$O$13))-1)/inputs!$N$13&lt;0, 0, IF((((inputs!$P$13/(V44/MAX(K44:S44)))^(1/inputs!$O$13))-1)/inputs!$N$13&lt;inputs!$I$17, (((inputs!$P$13/(V44/MAX(K44:S44)))^(1/inputs!$O$13))-1)/inputs!$N$13, inputs!$I$17))</f>
        <v>1000</v>
      </c>
      <c r="U44" s="63">
        <f>IF((((inputs!$P$13/(X44/MAX(K44:S44)))^(1/inputs!$O$13))-1)/inputs!$N$13&lt;0, 0, IF((((inputs!$P$13/(X44/MAX(K44:S44)))^(1/inputs!$O$13))-1)/inputs!$N$13&lt;inputs!$I$17, (((inputs!$P$13/(X44/MAX(K44:S44)))^(1/inputs!$O$13))-1)/inputs!$N$13, inputs!$I$17))</f>
        <v>1000</v>
      </c>
      <c r="V44" s="21">
        <f>inputs!$E$87*(F44/inputs!$F$87)^(1)</f>
        <v>5.8899999999999994E-3</v>
      </c>
      <c r="W44" s="21">
        <f>inputs!$E$90*(F44/inputs!$F$90)^(1)</f>
        <v>6.1999999999999998E-3</v>
      </c>
      <c r="X44" s="21">
        <f>inputs!$E$89*(F44/inputs!$F$89)^(1)</f>
        <v>2.3151898734177216E-2</v>
      </c>
      <c r="Y44" s="21" t="s">
        <v>13</v>
      </c>
      <c r="Z44" s="63">
        <f t="shared" si="1"/>
        <v>8397.4881588883145</v>
      </c>
      <c r="AA44" s="63">
        <f t="shared" si="2"/>
        <v>7977.6137509438986</v>
      </c>
    </row>
    <row r="45" spans="1:476" ht="26.4" x14ac:dyDescent="0.25">
      <c r="A45" s="103" t="s">
        <v>645</v>
      </c>
      <c r="B45" s="20" t="s">
        <v>647</v>
      </c>
      <c r="C45" s="21" t="s">
        <v>702</v>
      </c>
      <c r="D45" s="15" t="s">
        <v>703</v>
      </c>
      <c r="E45" s="15">
        <v>203</v>
      </c>
      <c r="F45" s="21">
        <v>31</v>
      </c>
      <c r="G45" s="21" t="s">
        <v>146</v>
      </c>
      <c r="H45" s="20">
        <v>0.84</v>
      </c>
      <c r="I45" s="68">
        <f>MAX('Max rate concentrations'!$I$3:$I$368)</f>
        <v>56.865414300472793</v>
      </c>
      <c r="J45" s="68" t="s">
        <v>13</v>
      </c>
      <c r="K45" s="69">
        <f t="shared" si="0"/>
        <v>2.1190073970566847</v>
      </c>
      <c r="L45" s="69" t="s">
        <v>13</v>
      </c>
      <c r="M45" s="69">
        <f>IF((((0.065*F45^0.726)/3.7-(0.301*F45^0.751)/(1-H45)*H45)*(MAX('Max rate concentrations'!$P$3:$P$368)))/F45&gt;0, (((0.065*F45^0.726)/3.7-(0.301*F45^0.751)/(1-H45)*H45)*(MAX('Max rate concentrations'!$P$3:$P$368)))/F45, 0)</f>
        <v>0</v>
      </c>
      <c r="N45" s="69">
        <f>IF((((0.065*F45^0.726)/3.7-(0.301*F45^0.751)/(1-H45)*H45)*(MAX('Max rate concentrations'!$Q$3:$Q$368)))/F45&gt;0, (((0.065*F45^0.726)/3.7-(0.301*F45^0.751)/(1-H45)*H45)*(MAX('Max rate concentrations'!$Q$3:$Q$368)))/F45, 0)</f>
        <v>0</v>
      </c>
      <c r="O45" s="69" t="s">
        <v>13</v>
      </c>
      <c r="P45" s="69" t="s">
        <v>13</v>
      </c>
      <c r="Q45" s="69">
        <f>(inputs!$C$18*11.2)*(8.42*F45^0.694)*0.5*1/F45</f>
        <v>49.461205255852171</v>
      </c>
      <c r="R45" s="59">
        <f>(60*76.9*((F45/1000)^0.76)*3*24*(MAX('Max rate concentrations'!$R$3:$R$368))/F45)</f>
        <v>5.8922474695248285E-3</v>
      </c>
      <c r="S45" s="59">
        <f>(IF(inputs!$C$17="aerial",((0.025*0.112*inputs!$C$18/3.3)*(3*60*76.9*((F45/1000)^0.76))*MAX(inputs!$I$14:$I$16))/F45,((0.0083*0.112*inputs!$C$18/1)*(3*60*76.9*((F45/1000)^0.76))*MAX(inputs!$I$14:$I$16))/F45))</f>
        <v>2.4879831771928471E-2</v>
      </c>
      <c r="T45" s="63">
        <f>IF((((inputs!$P$13/(V45/MAX(K45:S45)))^(1/inputs!$O$13))-1)/inputs!$N$13&lt;0, 0, IF((((inputs!$P$13/(V45/MAX(K45:S45)))^(1/inputs!$O$13))-1)/inputs!$N$13&lt;inputs!$I$17, (((inputs!$P$13/(V45/MAX(K45:S45)))^(1/inputs!$O$13))-1)/inputs!$N$13, inputs!$I$17))</f>
        <v>1000</v>
      </c>
      <c r="U45" s="63">
        <f>IF((((inputs!$P$13/(X45/MAX(K45:S45)))^(1/inputs!$O$13))-1)/inputs!$N$13&lt;0, 0, IF((((inputs!$P$13/(X45/MAX(K45:S45)))^(1/inputs!$O$13))-1)/inputs!$N$13&lt;inputs!$I$17, (((inputs!$P$13/(X45/MAX(K45:S45)))^(1/inputs!$O$13))-1)/inputs!$N$13, inputs!$I$17))</f>
        <v>1000</v>
      </c>
      <c r="V45" s="21">
        <f>inputs!$E$87*(F45/inputs!$F$87)^(1)</f>
        <v>5.8899999999999994E-3</v>
      </c>
      <c r="W45" s="21">
        <f>inputs!$E$90*(F45/inputs!$F$90)^(1)</f>
        <v>6.1999999999999998E-3</v>
      </c>
      <c r="X45" s="21">
        <f>inputs!$E$89*(F45/inputs!$F$89)^(1)</f>
        <v>2.3151898734177216E-2</v>
      </c>
      <c r="Y45" s="21" t="s">
        <v>13</v>
      </c>
      <c r="Z45" s="63">
        <f t="shared" si="1"/>
        <v>8397.4881588883145</v>
      </c>
      <c r="AA45" s="63">
        <f t="shared" si="2"/>
        <v>7977.6137509438986</v>
      </c>
    </row>
    <row r="46" spans="1:476" ht="13.2" x14ac:dyDescent="0.25">
      <c r="A46" s="103" t="s">
        <v>683</v>
      </c>
      <c r="B46" s="20" t="s">
        <v>684</v>
      </c>
      <c r="C46" s="21" t="s">
        <v>702</v>
      </c>
      <c r="D46" s="15" t="s">
        <v>703</v>
      </c>
      <c r="E46" s="15">
        <v>198</v>
      </c>
      <c r="F46" s="21">
        <v>1.2</v>
      </c>
      <c r="G46" s="21" t="s">
        <v>142</v>
      </c>
      <c r="H46" s="21">
        <v>0.69</v>
      </c>
      <c r="I46" s="68">
        <f>MAX('Max rate concentrations'!$H$3:$H$368)</f>
        <v>282</v>
      </c>
      <c r="J46" s="68">
        <f>MAX('Max rate concentrations'!AA:AA)</f>
        <v>195</v>
      </c>
      <c r="K46" s="69">
        <f t="shared" si="0"/>
        <v>11.346361700631489</v>
      </c>
      <c r="L46" s="69">
        <f>(((0.013*F46^0.773)/(1-H46)))*J46/F46</f>
        <v>7.8458884100111366</v>
      </c>
      <c r="M46" s="69">
        <f>IF((((0.065*F46^0.726)/3.7-(0.301*F46^0.751)/(1-H46)*H46)*(MAX('Max rate concentrations'!$P$3:$P$368)))/F46&gt;0, (((0.065*F46^0.726)/3.7-(0.301*F46^0.751)/(1-H46)*H46)*(MAX('Max rate concentrations'!$P$3:$P$368)))/F46, 0)</f>
        <v>0</v>
      </c>
      <c r="N46" s="69">
        <f>IF((((0.065*F46^0.726)/3.7-(0.301*F46^0.751)/(1-H46)*H46)*(MAX('Max rate concentrations'!$Q$3:$Q$368)))/F46&gt;0, (((0.065*F46^0.726)/3.7-(0.301*F46^0.751)/(1-H46)*H46)*(MAX('Max rate concentrations'!$Q$3:$Q$368)))/F46, 0)</f>
        <v>0</v>
      </c>
      <c r="O46" s="69" t="s">
        <v>13</v>
      </c>
      <c r="P46" s="69" t="s">
        <v>13</v>
      </c>
      <c r="Q46" s="69">
        <f>(inputs!$C$18*11.2)*(8.42*F46^0.694)*0.5*1/F46</f>
        <v>133.78022188692094</v>
      </c>
      <c r="R46" s="59">
        <f>(60*76.9*((F46/1000)^0.76)*3*24*(MAX('Max rate concentrations'!$R$3:$R$368))/F46)</f>
        <v>1.2858913829733268E-2</v>
      </c>
      <c r="S46" s="59">
        <f>(IF(inputs!$C$17="aerial",((0.025*0.112*inputs!$C$18/3.3)*(3*60*76.9*((F46/1000)^0.76))*MAX(inputs!$I$14:$I$16))/F46,((0.0083*0.112*inputs!$C$18/1)*(3*60*76.9*((F46/1000)^0.76))*MAX(inputs!$I$14:$I$16))/F46))</f>
        <v>5.4296363910066446E-2</v>
      </c>
      <c r="T46" s="63">
        <f>IF((((inputs!$P$13/(V46/MAX(K46:S46)))^(1/inputs!$O$13))-1)/inputs!$N$13&lt;0, 0, IF((((inputs!$P$13/(V46/MAX(K46:S46)))^(1/inputs!$O$13))-1)/inputs!$N$13&lt;inputs!$I$17, (((inputs!$P$13/(V46/MAX(K46:S46)))^(1/inputs!$O$13))-1)/inputs!$N$13, inputs!$I$17))</f>
        <v>1000</v>
      </c>
      <c r="U46" s="63">
        <f>IF((((inputs!$P$13/(X46/MAX(K46:S46)))^(1/inputs!$O$13))-1)/inputs!$N$13&lt;0, 0, IF((((inputs!$P$13/(X46/MAX(K46:S46)))^(1/inputs!$O$13))-1)/inputs!$N$13&lt;inputs!$I$17, (((inputs!$P$13/(X46/MAX(K46:S46)))^(1/inputs!$O$13))-1)/inputs!$N$13, inputs!$I$17))</f>
        <v>1000</v>
      </c>
      <c r="V46" s="21">
        <f>inputs!$E$87*(F46/inputs!$F$87)^(1)</f>
        <v>2.2800000000000001E-4</v>
      </c>
      <c r="W46" s="21">
        <f>inputs!$E$90*(F46/inputs!$F$90)^(1)</f>
        <v>2.4000000000000001E-4</v>
      </c>
      <c r="X46" s="21">
        <f>inputs!$E$89*(F46/inputs!$F$89)^(1)</f>
        <v>8.962025316455696E-4</v>
      </c>
      <c r="Y46" s="21" t="s">
        <v>13</v>
      </c>
      <c r="Z46" s="63">
        <f t="shared" si="1"/>
        <v>586755.35915316199</v>
      </c>
      <c r="AA46" s="63">
        <f t="shared" si="2"/>
        <v>557417.59119550395</v>
      </c>
    </row>
    <row r="47" spans="1:476" ht="13.2" x14ac:dyDescent="0.25">
      <c r="A47" s="103" t="s">
        <v>661</v>
      </c>
      <c r="B47" s="20" t="s">
        <v>662</v>
      </c>
      <c r="C47" s="21" t="s">
        <v>702</v>
      </c>
      <c r="D47" s="15" t="s">
        <v>703</v>
      </c>
      <c r="E47" s="15">
        <v>191</v>
      </c>
      <c r="F47" s="21">
        <v>2.2999999999999998</v>
      </c>
      <c r="G47" s="21" t="s">
        <v>142</v>
      </c>
      <c r="H47" s="21">
        <v>0.69</v>
      </c>
      <c r="I47" s="68">
        <f>MAX('Max rate concentrations'!$H$3:$H$368)</f>
        <v>282</v>
      </c>
      <c r="J47" s="68">
        <f>MAX('Max rate concentrations'!AA:AA)</f>
        <v>195</v>
      </c>
      <c r="K47" s="69">
        <f t="shared" si="0"/>
        <v>9.7885541577642012</v>
      </c>
      <c r="L47" s="69">
        <f>(((0.013*F47^0.773)/(1-H47)))*J47/F47</f>
        <v>6.7686810665390755</v>
      </c>
      <c r="M47" s="69">
        <f>IF((((0.065*F47^0.726)/3.7-(0.301*F47^0.751)/(1-H47)*H47)*(MAX('Max rate concentrations'!$P$3:$P$368)))/F47&gt;0, (((0.065*F47^0.726)/3.7-(0.301*F47^0.751)/(1-H47)*H47)*(MAX('Max rate concentrations'!$P$3:$P$368)))/F47, 0)</f>
        <v>0</v>
      </c>
      <c r="N47" s="69">
        <f>IF((((0.065*F47^0.726)/3.7-(0.301*F47^0.751)/(1-H47)*H47)*(MAX('Max rate concentrations'!$Q$3:$Q$368)))/F47&gt;0, (((0.065*F47^0.726)/3.7-(0.301*F47^0.751)/(1-H47)*H47)*(MAX('Max rate concentrations'!$Q$3:$Q$368)))/F47, 0)</f>
        <v>0</v>
      </c>
      <c r="O47" s="69" t="s">
        <v>13</v>
      </c>
      <c r="P47" s="69" t="s">
        <v>13</v>
      </c>
      <c r="Q47" s="69">
        <f>(inputs!$C$18*11.2)*(8.42*F47^0.694)*0.5*1/F47</f>
        <v>109.6308182110849</v>
      </c>
      <c r="R47" s="59">
        <f>(60*76.9*((F47/1000)^0.76)*3*24*(MAX('Max rate concentrations'!$R$3:$R$368))/F47)</f>
        <v>1.1000010619731734E-2</v>
      </c>
      <c r="S47" s="59">
        <f>(IF(inputs!$C$17="aerial",((0.025*0.112*inputs!$C$18/3.3)*(3*60*76.9*((F47/1000)^0.76))*MAX(inputs!$I$14:$I$16))/F47,((0.0083*0.112*inputs!$C$18/1)*(3*60*76.9*((F47/1000)^0.76))*MAX(inputs!$I$14:$I$16))/F47))</f>
        <v>4.6447202892247595E-2</v>
      </c>
      <c r="T47" s="63">
        <f>IF((((inputs!$P$13/(V47/MAX(K47:S47)))^(1/inputs!$O$13))-1)/inputs!$N$13&lt;0, 0, IF((((inputs!$P$13/(V47/MAX(K47:S47)))^(1/inputs!$O$13))-1)/inputs!$N$13&lt;inputs!$I$17, (((inputs!$P$13/(V47/MAX(K47:S47)))^(1/inputs!$O$13))-1)/inputs!$N$13, inputs!$I$17))</f>
        <v>1000</v>
      </c>
      <c r="U47" s="63">
        <f>IF((((inputs!$P$13/(X47/MAX(K47:S47)))^(1/inputs!$O$13))-1)/inputs!$N$13&lt;0, 0, IF((((inputs!$P$13/(X47/MAX(K47:S47)))^(1/inputs!$O$13))-1)/inputs!$N$13&lt;inputs!$I$17, (((inputs!$P$13/(X47/MAX(K47:S47)))^(1/inputs!$O$13))-1)/inputs!$N$13, inputs!$I$17))</f>
        <v>1000</v>
      </c>
      <c r="V47" s="21">
        <f>inputs!$E$87*(F47/inputs!$F$87)^(1)</f>
        <v>4.37E-4</v>
      </c>
      <c r="W47" s="21">
        <f>inputs!$E$90*(F47/inputs!$F$90)^(1)</f>
        <v>4.6000000000000001E-4</v>
      </c>
      <c r="X47" s="21">
        <f>inputs!$E$89*(F47/inputs!$F$89)^(1)</f>
        <v>1.7177215189873418E-3</v>
      </c>
      <c r="Y47" s="21" t="s">
        <v>13</v>
      </c>
      <c r="Z47" s="63">
        <f t="shared" si="1"/>
        <v>250871.43755397003</v>
      </c>
      <c r="AA47" s="63">
        <f t="shared" si="2"/>
        <v>238327.86567627153</v>
      </c>
    </row>
    <row r="48" spans="1:476" ht="13.2" x14ac:dyDescent="0.25">
      <c r="A48" s="103" t="s">
        <v>649</v>
      </c>
      <c r="B48" s="20" t="s">
        <v>650</v>
      </c>
      <c r="C48" s="21" t="s">
        <v>702</v>
      </c>
      <c r="D48" s="15" t="s">
        <v>703</v>
      </c>
      <c r="E48" s="15">
        <v>199</v>
      </c>
      <c r="F48" s="21">
        <v>3.9</v>
      </c>
      <c r="G48" s="21" t="s">
        <v>146</v>
      </c>
      <c r="H48" s="20">
        <v>0.84</v>
      </c>
      <c r="I48" s="68">
        <f>MAX('Max rate concentrations'!$I$3:$I$368)</f>
        <v>56.865414300472793</v>
      </c>
      <c r="J48" s="68" t="s">
        <v>13</v>
      </c>
      <c r="K48" s="69">
        <f t="shared" si="0"/>
        <v>3.3923442038082308</v>
      </c>
      <c r="L48" s="69" t="s">
        <v>13</v>
      </c>
      <c r="M48" s="69">
        <f>IF((((0.065*F48^0.726)/3.7-(0.301*F48^0.751)/(1-H48)*H48)*(MAX('Max rate concentrations'!$P$3:$P$368)))/F48&gt;0, (((0.065*F48^0.726)/3.7-(0.301*F48^0.751)/(1-H48)*H48)*(MAX('Max rate concentrations'!$P$3:$P$368)))/F48, 0)</f>
        <v>0</v>
      </c>
      <c r="N48" s="69">
        <f>IF((((0.065*F48^0.726)/3.7-(0.301*F48^0.751)/(1-H48)*H48)*(MAX('Max rate concentrations'!$Q$3:$Q$368)))/F48&gt;0, (((0.065*F48^0.726)/3.7-(0.301*F48^0.751)/(1-H48)*H48)*(MAX('Max rate concentrations'!$Q$3:$Q$368)))/F48, 0)</f>
        <v>0</v>
      </c>
      <c r="O48" s="69" t="s">
        <v>13</v>
      </c>
      <c r="P48" s="69" t="s">
        <v>13</v>
      </c>
      <c r="Q48" s="69">
        <f>(inputs!$C$18*11.2)*(8.42*F48^0.694)*0.5*1/F48</f>
        <v>93.272926547473972</v>
      </c>
      <c r="R48" s="59">
        <f>(60*76.9*((F48/1000)^0.76)*3*24*(MAX('Max rate concentrations'!$R$3:$R$368))/F48)</f>
        <v>9.6906359666274495E-3</v>
      </c>
      <c r="S48" s="59">
        <f>(IF(inputs!$C$17="aerial",((0.025*0.112*inputs!$C$18/3.3)*(3*60*76.9*((F48/1000)^0.76))*MAX(inputs!$I$14:$I$16))/F48,((0.0083*0.112*inputs!$C$18/1)*(3*60*76.9*((F48/1000)^0.76))*MAX(inputs!$I$14:$I$16))/F48))</f>
        <v>4.0918409123120843E-2</v>
      </c>
      <c r="T48" s="63">
        <f>IF((((inputs!$P$13/(V48/MAX(K48:S48)))^(1/inputs!$O$13))-1)/inputs!$N$13&lt;0, 0, IF((((inputs!$P$13/(V48/MAX(K48:S48)))^(1/inputs!$O$13))-1)/inputs!$N$13&lt;inputs!$I$17, (((inputs!$P$13/(V48/MAX(K48:S48)))^(1/inputs!$O$13))-1)/inputs!$N$13, inputs!$I$17))</f>
        <v>1000</v>
      </c>
      <c r="U48" s="63">
        <f>IF((((inputs!$P$13/(X48/MAX(K48:S48)))^(1/inputs!$O$13))-1)/inputs!$N$13&lt;0, 0, IF((((inputs!$P$13/(X48/MAX(K48:S48)))^(1/inputs!$O$13))-1)/inputs!$N$13&lt;inputs!$I$17, (((inputs!$P$13/(X48/MAX(K48:S48)))^(1/inputs!$O$13))-1)/inputs!$N$13, inputs!$I$17))</f>
        <v>1000</v>
      </c>
      <c r="V48" s="21">
        <f>inputs!$E$87*(F48/inputs!$F$87)^(1)</f>
        <v>7.4100000000000001E-4</v>
      </c>
      <c r="W48" s="21">
        <f>inputs!$E$90*(F48/inputs!$F$90)^(1)</f>
        <v>7.7999999999999999E-4</v>
      </c>
      <c r="X48" s="21">
        <f>inputs!$E$89*(F48/inputs!$F$89)^(1)</f>
        <v>2.9126582278481013E-3</v>
      </c>
      <c r="Y48" s="21" t="s">
        <v>13</v>
      </c>
      <c r="Z48" s="63">
        <f t="shared" si="1"/>
        <v>125874.39480090955</v>
      </c>
      <c r="AA48" s="63">
        <f t="shared" si="2"/>
        <v>119580.67506086407</v>
      </c>
    </row>
    <row r="49" spans="1:27" ht="13.2" x14ac:dyDescent="0.25">
      <c r="A49" s="103" t="s">
        <v>681</v>
      </c>
      <c r="B49" s="20" t="s">
        <v>682</v>
      </c>
      <c r="C49" s="21" t="s">
        <v>702</v>
      </c>
      <c r="D49" s="15" t="s">
        <v>703</v>
      </c>
      <c r="E49" s="15">
        <v>3849</v>
      </c>
      <c r="F49" s="21">
        <v>8.1</v>
      </c>
      <c r="G49" s="21" t="s">
        <v>142</v>
      </c>
      <c r="H49" s="21">
        <v>0.69</v>
      </c>
      <c r="I49" s="68">
        <f>MAX('Max rate concentrations'!$H$3:$H$368)</f>
        <v>282</v>
      </c>
      <c r="J49" s="68">
        <f>MAX('Max rate concentrations'!AA:AA)</f>
        <v>195</v>
      </c>
      <c r="K49" s="69">
        <f t="shared" si="0"/>
        <v>7.355372428868753</v>
      </c>
      <c r="L49" s="69">
        <f>(((0.013*F49^0.773)/(1-H49)))*J49/F49</f>
        <v>5.0861617859198818</v>
      </c>
      <c r="M49" s="69">
        <f>IF((((0.065*F49^0.726)/3.7-(0.301*F49^0.751)/(1-H49)*H49)*(MAX('Max rate concentrations'!$P$3:$P$368)))/F49&gt;0, (((0.065*F49^0.726)/3.7-(0.301*F49^0.751)/(1-H49)*H49)*(MAX('Max rate concentrations'!$P$3:$P$368)))/F49, 0)</f>
        <v>0</v>
      </c>
      <c r="N49" s="69">
        <f>IF((((0.065*F49^0.726)/3.7-(0.301*F49^0.751)/(1-H49)*H49)*(MAX('Max rate concentrations'!$Q$3:$Q$368)))/F49&gt;0, (((0.065*F49^0.726)/3.7-(0.301*F49^0.751)/(1-H49)*H49)*(MAX('Max rate concentrations'!$Q$3:$Q$368)))/F49, 0)</f>
        <v>0</v>
      </c>
      <c r="O49" s="69" t="s">
        <v>13</v>
      </c>
      <c r="P49" s="69" t="s">
        <v>13</v>
      </c>
      <c r="Q49" s="69">
        <f>(inputs!$C$18*11.2)*(8.42*F49^0.694)*0.5*1/F49</f>
        <v>74.580442785696874</v>
      </c>
      <c r="R49" s="59">
        <f>(60*76.9*((F49/1000)^0.76)*3*24*(MAX('Max rate concentrations'!$R$3:$R$368))/F49)</f>
        <v>8.1315133726149059E-3</v>
      </c>
      <c r="S49" s="59">
        <f>(IF(inputs!$C$17="aerial",((0.025*0.112*inputs!$C$18/3.3)*(3*60*76.9*((F49/1000)^0.76))*MAX(inputs!$I$14:$I$16))/F49,((0.0083*0.112*inputs!$C$18/1)*(3*60*76.9*((F49/1000)^0.76))*MAX(inputs!$I$14:$I$16))/F49))</f>
        <v>3.4335062437246988E-2</v>
      </c>
      <c r="T49" s="63">
        <f>IF((((inputs!$P$13/(V49/MAX(K49:S49)))^(1/inputs!$O$13))-1)/inputs!$N$13&lt;0, 0, IF((((inputs!$P$13/(V49/MAX(K49:S49)))^(1/inputs!$O$13))-1)/inputs!$N$13&lt;inputs!$I$17, (((inputs!$P$13/(V49/MAX(K49:S49)))^(1/inputs!$O$13))-1)/inputs!$N$13, inputs!$I$17))</f>
        <v>1000</v>
      </c>
      <c r="U49" s="63">
        <f>IF((((inputs!$P$13/(X49/MAX(K49:S49)))^(1/inputs!$O$13))-1)/inputs!$N$13&lt;0, 0, IF((((inputs!$P$13/(X49/MAX(K49:S49)))^(1/inputs!$O$13))-1)/inputs!$N$13&lt;inputs!$I$17, (((inputs!$P$13/(X49/MAX(K49:S49)))^(1/inputs!$O$13))-1)/inputs!$N$13, inputs!$I$17))</f>
        <v>1000</v>
      </c>
      <c r="V49" s="21">
        <f>inputs!$E$87*(F49/inputs!$F$87)^(1)</f>
        <v>1.539E-3</v>
      </c>
      <c r="W49" s="21">
        <f>inputs!$E$90*(F49/inputs!$F$90)^(1)</f>
        <v>1.6200000000000001E-3</v>
      </c>
      <c r="X49" s="21">
        <f>inputs!$E$89*(F49/inputs!$F$89)^(1)</f>
        <v>6.0493670886075943E-3</v>
      </c>
      <c r="Y49" s="21" t="s">
        <v>13</v>
      </c>
      <c r="Z49" s="63">
        <f t="shared" si="1"/>
        <v>48460.32669635924</v>
      </c>
      <c r="AA49" s="63">
        <f t="shared" si="2"/>
        <v>46037.310361541277</v>
      </c>
    </row>
    <row r="50" spans="1:27" ht="13.2" x14ac:dyDescent="0.25">
      <c r="A50" s="103" t="s">
        <v>679</v>
      </c>
      <c r="B50" s="20" t="s">
        <v>680</v>
      </c>
      <c r="C50" s="21" t="s">
        <v>702</v>
      </c>
      <c r="D50" s="15" t="s">
        <v>703</v>
      </c>
      <c r="E50" s="15">
        <v>192</v>
      </c>
      <c r="F50" s="21">
        <v>0.24</v>
      </c>
      <c r="G50" s="21" t="s">
        <v>142</v>
      </c>
      <c r="H50" s="21">
        <v>0.69</v>
      </c>
      <c r="I50" s="68">
        <f>MAX('Max rate concentrations'!$H$3:$H$368)</f>
        <v>282</v>
      </c>
      <c r="J50" s="68">
        <f>MAX('Max rate concentrations'!AA:AA)</f>
        <v>195</v>
      </c>
      <c r="K50" s="69">
        <f t="shared" si="0"/>
        <v>16.3501904182366</v>
      </c>
      <c r="L50" s="69">
        <f>(((0.013*F50^0.773)/(1-H50)))*J50/F50</f>
        <v>11.305982736014672</v>
      </c>
      <c r="M50" s="69">
        <f>IF((((0.065*F50^0.726)/3.7-(0.301*F50^0.751)/(1-H50)*H50)*(MAX('Max rate concentrations'!$P$3:$P$368)))/F50&gt;0, (((0.065*F50^0.726)/3.7-(0.301*F50^0.751)/(1-H50)*H50)*(MAX('Max rate concentrations'!$P$3:$P$368)))/F50, 0)</f>
        <v>0</v>
      </c>
      <c r="N50" s="69">
        <f>IF((((0.065*F50^0.726)/3.7-(0.301*F50^0.751)/(1-H50)*H50)*(MAX('Max rate concentrations'!$Q$3:$Q$368)))/F50&gt;0, (((0.065*F50^0.726)/3.7-(0.301*F50^0.751)/(1-H50)*H50)*(MAX('Max rate concentrations'!$Q$3:$Q$368)))/F50, 0)</f>
        <v>0</v>
      </c>
      <c r="O50" s="69" t="s">
        <v>13</v>
      </c>
      <c r="P50" s="69" t="s">
        <v>13</v>
      </c>
      <c r="Q50" s="69">
        <f>(inputs!$C$18*11.2)*(8.42*F50^0.694)*0.5*1/F50</f>
        <v>218.91561140151359</v>
      </c>
      <c r="R50" s="59">
        <f>(60*76.9*((F50/1000)^0.76)*3*24*(MAX('Max rate concentrations'!$R$3:$R$368))/F50)</f>
        <v>1.8921566441469948E-2</v>
      </c>
      <c r="S50" s="59">
        <f>(IF(inputs!$C$17="aerial",((0.025*0.112*inputs!$C$18/3.3)*(3*60*76.9*((F50/1000)^0.76))*MAX(inputs!$I$14:$I$16))/F50,((0.0083*0.112*inputs!$C$18/1)*(3*60*76.9*((F50/1000)^0.76))*MAX(inputs!$I$14:$I$16))/F50))</f>
        <v>7.9895726097720013E-2</v>
      </c>
      <c r="T50" s="63">
        <f>IF((((inputs!$P$13/(V50/MAX(K50:S50)))^(1/inputs!$O$13))-1)/inputs!$N$13&lt;0, 0, IF((((inputs!$P$13/(V50/MAX(K50:S50)))^(1/inputs!$O$13))-1)/inputs!$N$13&lt;inputs!$I$17, (((inputs!$P$13/(V50/MAX(K50:S50)))^(1/inputs!$O$13))-1)/inputs!$N$13, inputs!$I$17))</f>
        <v>1000</v>
      </c>
      <c r="U50" s="63">
        <f>IF((((inputs!$P$13/(X50/MAX(K50:S50)))^(1/inputs!$O$13))-1)/inputs!$N$13&lt;0, 0, IF((((inputs!$P$13/(X50/MAX(K50:S50)))^(1/inputs!$O$13))-1)/inputs!$N$13&lt;inputs!$I$17, (((inputs!$P$13/(X50/MAX(K50:S50)))^(1/inputs!$O$13))-1)/inputs!$N$13, inputs!$I$17))</f>
        <v>1000</v>
      </c>
      <c r="V50" s="21">
        <f>inputs!$E$87*(F50/inputs!$F$87)^(1)</f>
        <v>4.5599999999999997E-5</v>
      </c>
      <c r="W50" s="21">
        <f>inputs!$E$90*(F50/inputs!$F$90)^(1)</f>
        <v>4.7999999999999994E-5</v>
      </c>
      <c r="X50" s="21">
        <f>inputs!$E$89*(F50/inputs!$F$89)^(1)</f>
        <v>1.7924050632911389E-4</v>
      </c>
      <c r="Y50" s="21" t="s">
        <v>13</v>
      </c>
      <c r="Z50" s="63">
        <f t="shared" si="1"/>
        <v>4800780.9517875789</v>
      </c>
      <c r="AA50" s="63">
        <f t="shared" si="2"/>
        <v>4560741.9041982004</v>
      </c>
    </row>
    <row r="51" spans="1:27" ht="13.2" x14ac:dyDescent="0.25">
      <c r="A51" s="103" t="s">
        <v>643</v>
      </c>
      <c r="B51" s="20" t="s">
        <v>644</v>
      </c>
      <c r="C51" s="21" t="s">
        <v>702</v>
      </c>
      <c r="D51" s="15" t="s">
        <v>703</v>
      </c>
      <c r="E51" s="15">
        <v>9943</v>
      </c>
      <c r="F51" s="21">
        <v>4.3</v>
      </c>
      <c r="G51" s="21" t="s">
        <v>164</v>
      </c>
      <c r="H51" s="21">
        <v>0.78</v>
      </c>
      <c r="I51" s="68">
        <f>inputs!$C$66*(inputs!$C$62/1000)</f>
        <v>8.2000000000000011</v>
      </c>
      <c r="J51" s="68">
        <f>inputs!$C$66*(inputs!$C$61/1000)</f>
        <v>2.5</v>
      </c>
      <c r="K51" s="69">
        <f t="shared" si="0"/>
        <v>0.34796629937502521</v>
      </c>
      <c r="L51" s="69">
        <f>(((0.013*F51^0.773)/(1-H51)))*J51/F51</f>
        <v>0.10608728639482475</v>
      </c>
      <c r="M51" s="69">
        <f>IF((((0.065*F51^0.726)/3.7-(0.301*F51^0.751)/(1-H51)*H51)*(MAX('Max rate concentrations'!$P$3:$P$368)))/F51&gt;0, (((0.065*F51^0.726)/3.7-(0.301*F51^0.751)/(1-H51)*H51)*(MAX('Max rate concentrations'!$P$3:$P$368)))/F51, 0)</f>
        <v>0</v>
      </c>
      <c r="N51" s="69">
        <f>IF((((0.065*F51^0.726)/3.7-(0.301*F51^0.751)/(1-H51)*H51)*(MAX('Max rate concentrations'!$Q$3:$Q$368)))/F51&gt;0, (((0.065*F51^0.726)/3.7-(0.301*F51^0.751)/(1-H51)*H51)*(MAX('Max rate concentrations'!$Q$3:$Q$368)))/F51, 0)</f>
        <v>0</v>
      </c>
      <c r="O51" s="69" t="s">
        <v>13</v>
      </c>
      <c r="P51" s="69" t="s">
        <v>13</v>
      </c>
      <c r="Q51" s="69">
        <f>(inputs!$C$18*11.2)*(8.42*F51^0.694)*0.5*1/F51</f>
        <v>90.527395510191653</v>
      </c>
      <c r="R51" s="59">
        <f>(60*76.9*((F51/1000)^0.76)*3*24*(MAX('Max rate concentrations'!$R$3:$R$368))/F51)</f>
        <v>9.4661930212859083E-3</v>
      </c>
      <c r="S51" s="59">
        <f>(IF(inputs!$C$17="aerial",((0.025*0.112*inputs!$C$18/3.3)*(3*60*76.9*((F51/1000)^0.76))*MAX(inputs!$I$14:$I$16))/F51,((0.0083*0.112*inputs!$C$18/1)*(3*60*76.9*((F51/1000)^0.76))*MAX(inputs!$I$14:$I$16))/F51))</f>
        <v>3.9970705763515677E-2</v>
      </c>
      <c r="T51" s="63">
        <f>IF((((inputs!$P$13/(V51/MAX(K51:S51)))^(1/inputs!$O$13))-1)/inputs!$N$13&lt;0, 0, IF((((inputs!$P$13/(V51/MAX(K51:S51)))^(1/inputs!$O$13))-1)/inputs!$N$13&lt;inputs!$I$17, (((inputs!$P$13/(V51/MAX(K51:S51)))^(1/inputs!$O$13))-1)/inputs!$N$13, inputs!$I$17))</f>
        <v>1000</v>
      </c>
      <c r="U51" s="63">
        <f>IF((((inputs!$P$13/(X51/MAX(K51:S51)))^(1/inputs!$O$13))-1)/inputs!$N$13&lt;0, 0, IF((((inputs!$P$13/(X51/MAX(K51:S51)))^(1/inputs!$O$13))-1)/inputs!$N$13&lt;inputs!$I$17, (((inputs!$P$13/(X51/MAX(K51:S51)))^(1/inputs!$O$13))-1)/inputs!$N$13, inputs!$I$17))</f>
        <v>1000</v>
      </c>
      <c r="V51" s="21">
        <f>inputs!$E$87*(F51/inputs!$F$87)^(1)</f>
        <v>8.1699999999999991E-4</v>
      </c>
      <c r="W51" s="21">
        <f>inputs!$E$90*(F51/inputs!$F$90)^(1)</f>
        <v>8.5999999999999998E-4</v>
      </c>
      <c r="X51" s="21">
        <f>inputs!$E$89*(F51/inputs!$F$89)^(1)</f>
        <v>3.211392405063291E-3</v>
      </c>
      <c r="Y51" s="21" t="s">
        <v>13</v>
      </c>
      <c r="Z51" s="63">
        <f t="shared" si="1"/>
        <v>110804.64566730926</v>
      </c>
      <c r="AA51" s="63">
        <f t="shared" si="2"/>
        <v>105264.41338394379</v>
      </c>
    </row>
    <row r="52" spans="1:27" ht="26.4" x14ac:dyDescent="0.25">
      <c r="A52" s="103" t="s">
        <v>643</v>
      </c>
      <c r="B52" s="20" t="s">
        <v>644</v>
      </c>
      <c r="C52" s="21" t="s">
        <v>702</v>
      </c>
      <c r="D52" s="15" t="s">
        <v>703</v>
      </c>
      <c r="E52" s="15">
        <v>9943</v>
      </c>
      <c r="F52" s="21">
        <v>4.3</v>
      </c>
      <c r="G52" s="21" t="s">
        <v>634</v>
      </c>
      <c r="H52" s="21">
        <v>0.75</v>
      </c>
      <c r="I52" s="68">
        <f>inputs!$C$66*inputs!$C$64/1000</f>
        <v>21.3</v>
      </c>
      <c r="J52" s="68">
        <f>inputs!$C$66*inputs!$C$63/1000</f>
        <v>8.8000000000000007</v>
      </c>
      <c r="K52" s="69">
        <f t="shared" si="0"/>
        <v>0.795400038473838</v>
      </c>
      <c r="L52" s="69">
        <f>(((0.013*F52^0.773)/(1-H52)))*J52/F52</f>
        <v>0.3286159783366091</v>
      </c>
      <c r="M52" s="69">
        <f>IF((((0.065*F52^0.726)/3.7-(0.301*F52^0.751)/(1-H52)*H52)*(MAX('Max rate concentrations'!$P$3:$P$368)))/F52&gt;0, (((0.065*F52^0.726)/3.7-(0.301*F52^0.751)/(1-H52)*H52)*(MAX('Max rate concentrations'!$P$3:$P$368)))/F52, 0)</f>
        <v>0</v>
      </c>
      <c r="N52" s="69">
        <f>IF((((0.065*F52^0.726)/3.7-(0.301*F52^0.751)/(1-H52)*H52)*(MAX('Max rate concentrations'!$Q$3:$Q$368)))/F52&gt;0, (((0.065*F52^0.726)/3.7-(0.301*F52^0.751)/(1-H52)*H52)*(MAX('Max rate concentrations'!$Q$3:$Q$368)))/F52, 0)</f>
        <v>0</v>
      </c>
      <c r="O52" s="69" t="s">
        <v>13</v>
      </c>
      <c r="P52" s="69" t="s">
        <v>13</v>
      </c>
      <c r="Q52" s="69">
        <f>(inputs!$C$18*11.2)*(8.42*F52^0.694)*0.5*1/F52</f>
        <v>90.527395510191653</v>
      </c>
      <c r="R52" s="59">
        <f>(60*76.9*((F52/1000)^0.76)*3*24*(MAX('Max rate concentrations'!$R$3:$R$368))/F52)</f>
        <v>9.4661930212859083E-3</v>
      </c>
      <c r="S52" s="59">
        <f>(IF(inputs!$C$17="aerial",((0.025*0.112*inputs!$C$18/3.3)*(3*60*76.9*((F52/1000)^0.76))*MAX(inputs!$I$14:$I$16))/F52,((0.0083*0.112*inputs!$C$18/1)*(3*60*76.9*((F52/1000)^0.76))*MAX(inputs!$I$14:$I$16))/F52))</f>
        <v>3.9970705763515677E-2</v>
      </c>
      <c r="T52" s="63">
        <f>IF((((inputs!$P$13/(V52/MAX(K52:S52)))^(1/inputs!$O$13))-1)/inputs!$N$13&lt;0, 0, IF((((inputs!$P$13/(V52/MAX(K52:S52)))^(1/inputs!$O$13))-1)/inputs!$N$13&lt;inputs!$I$17, (((inputs!$P$13/(V52/MAX(K52:S52)))^(1/inputs!$O$13))-1)/inputs!$N$13, inputs!$I$17))</f>
        <v>1000</v>
      </c>
      <c r="U52" s="63">
        <f>IF((((inputs!$P$13/(X52/MAX(K52:S52)))^(1/inputs!$O$13))-1)/inputs!$N$13&lt;0, 0, IF((((inputs!$P$13/(X52/MAX(K52:S52)))^(1/inputs!$O$13))-1)/inputs!$N$13&lt;inputs!$I$17, (((inputs!$P$13/(X52/MAX(K52:S52)))^(1/inputs!$O$13))-1)/inputs!$N$13, inputs!$I$17))</f>
        <v>1000</v>
      </c>
      <c r="V52" s="21">
        <f>inputs!$E$87*(F52/inputs!$F$87)^(1)</f>
        <v>8.1699999999999991E-4</v>
      </c>
      <c r="W52" s="21">
        <f>inputs!$E$90*(F52/inputs!$F$90)^(1)</f>
        <v>8.5999999999999998E-4</v>
      </c>
      <c r="X52" s="21">
        <f>inputs!$E$89*(F52/inputs!$F$89)^(1)</f>
        <v>3.211392405063291E-3</v>
      </c>
      <c r="Y52" s="21" t="s">
        <v>13</v>
      </c>
      <c r="Z52" s="63">
        <f t="shared" si="1"/>
        <v>110804.64566730926</v>
      </c>
      <c r="AA52" s="63">
        <f t="shared" si="2"/>
        <v>105264.41338394379</v>
      </c>
    </row>
    <row r="53" spans="1:27" ht="13.2" x14ac:dyDescent="0.25">
      <c r="A53" s="103" t="s">
        <v>643</v>
      </c>
      <c r="B53" s="20" t="s">
        <v>644</v>
      </c>
      <c r="C53" s="21" t="s">
        <v>702</v>
      </c>
      <c r="D53" s="15" t="s">
        <v>703</v>
      </c>
      <c r="E53" s="15">
        <v>9943</v>
      </c>
      <c r="F53" s="21">
        <v>4.3</v>
      </c>
      <c r="G53" s="21" t="s">
        <v>146</v>
      </c>
      <c r="H53" s="20">
        <v>0.84</v>
      </c>
      <c r="I53" s="68">
        <f>MAX('Max rate concentrations'!$I$3:$I$368)</f>
        <v>56.865414300472793</v>
      </c>
      <c r="J53" s="68" t="s">
        <v>13</v>
      </c>
      <c r="K53" s="69">
        <f t="shared" si="0"/>
        <v>3.3179836210700402</v>
      </c>
      <c r="L53" s="69" t="s">
        <v>13</v>
      </c>
      <c r="M53" s="69">
        <f>IF((((0.065*F53^0.726)/3.7-(0.301*F53^0.751)/(1-H53)*H53)*(MAX('Max rate concentrations'!$P$3:$P$368)))/F53&gt;0, (((0.065*F53^0.726)/3.7-(0.301*F53^0.751)/(1-H53)*H53)*(MAX('Max rate concentrations'!$P$3:$P$368)))/F53, 0)</f>
        <v>0</v>
      </c>
      <c r="N53" s="69">
        <f>IF((((0.065*F53^0.726)/3.7-(0.301*F53^0.751)/(1-H53)*H53)*(MAX('Max rate concentrations'!$Q$3:$Q$368)))/F53&gt;0, (((0.065*F53^0.726)/3.7-(0.301*F53^0.751)/(1-H53)*H53)*(MAX('Max rate concentrations'!$Q$3:$Q$368)))/F53, 0)</f>
        <v>0</v>
      </c>
      <c r="O53" s="69" t="s">
        <v>13</v>
      </c>
      <c r="P53" s="69" t="s">
        <v>13</v>
      </c>
      <c r="Q53" s="69">
        <f>(inputs!$C$18*11.2)*(8.42*F53^0.694)*0.5*1/F53</f>
        <v>90.527395510191653</v>
      </c>
      <c r="R53" s="59">
        <f>(60*76.9*((F53/1000)^0.76)*3*24*(MAX('Max rate concentrations'!$R$3:$R$368))/F53)</f>
        <v>9.4661930212859083E-3</v>
      </c>
      <c r="S53" s="59">
        <f>(IF(inputs!$C$17="aerial",((0.025*0.112*inputs!$C$18/3.3)*(3*60*76.9*((F53/1000)^0.76))*MAX(inputs!$I$14:$I$16))/F53,((0.0083*0.112*inputs!$C$18/1)*(3*60*76.9*((F53/1000)^0.76))*MAX(inputs!$I$14:$I$16))/F53))</f>
        <v>3.9970705763515677E-2</v>
      </c>
      <c r="T53" s="63">
        <f>IF((((inputs!$P$13/(V53/MAX(K53:S53)))^(1/inputs!$O$13))-1)/inputs!$N$13&lt;0, 0, IF((((inputs!$P$13/(V53/MAX(K53:S53)))^(1/inputs!$O$13))-1)/inputs!$N$13&lt;inputs!$I$17, (((inputs!$P$13/(V53/MAX(K53:S53)))^(1/inputs!$O$13))-1)/inputs!$N$13, inputs!$I$17))</f>
        <v>1000</v>
      </c>
      <c r="U53" s="63">
        <f>IF((((inputs!$P$13/(X53/MAX(K53:S53)))^(1/inputs!$O$13))-1)/inputs!$N$13&lt;0, 0, IF((((inputs!$P$13/(X53/MAX(K53:S53)))^(1/inputs!$O$13))-1)/inputs!$N$13&lt;inputs!$I$17, (((inputs!$P$13/(X53/MAX(K53:S53)))^(1/inputs!$O$13))-1)/inputs!$N$13, inputs!$I$17))</f>
        <v>1000</v>
      </c>
      <c r="V53" s="21">
        <f>inputs!$E$87*(F53/inputs!$F$87)^(1)</f>
        <v>8.1699999999999991E-4</v>
      </c>
      <c r="W53" s="21">
        <f>inputs!$E$90*(F53/inputs!$F$90)^(1)</f>
        <v>8.5999999999999998E-4</v>
      </c>
      <c r="X53" s="21">
        <f>inputs!$E$89*(F53/inputs!$F$89)^(1)</f>
        <v>3.211392405063291E-3</v>
      </c>
      <c r="Y53" s="21" t="s">
        <v>13</v>
      </c>
      <c r="Z53" s="63">
        <f t="shared" si="1"/>
        <v>110804.64566730926</v>
      </c>
      <c r="AA53" s="63">
        <f t="shared" si="2"/>
        <v>105264.41338394379</v>
      </c>
    </row>
    <row r="54" spans="1:27" ht="13.2" x14ac:dyDescent="0.25">
      <c r="A54" s="103" t="s">
        <v>651</v>
      </c>
      <c r="B54" s="20" t="s">
        <v>652</v>
      </c>
      <c r="C54" s="21" t="s">
        <v>702</v>
      </c>
      <c r="D54" s="15" t="s">
        <v>703</v>
      </c>
      <c r="E54" s="15">
        <v>188</v>
      </c>
      <c r="F54" s="21">
        <v>3</v>
      </c>
      <c r="G54" s="21" t="s">
        <v>142</v>
      </c>
      <c r="H54" s="21">
        <v>0.69</v>
      </c>
      <c r="I54" s="68">
        <f>MAX('Max rate concentrations'!$H$3:$H$368)</f>
        <v>282</v>
      </c>
      <c r="J54" s="68">
        <f>MAX('Max rate concentrations'!AA:AA)</f>
        <v>195</v>
      </c>
      <c r="K54" s="69">
        <f t="shared" si="0"/>
        <v>9.2156132811541518</v>
      </c>
      <c r="L54" s="69">
        <f>(((0.013*F54^0.773)/(1-H54)))*J54/F54</f>
        <v>6.3724985454789342</v>
      </c>
      <c r="M54" s="69">
        <f>IF((((0.065*F54^0.726)/3.7-(0.301*F54^0.751)/(1-H54)*H54)*(MAX('Max rate concentrations'!$P$3:$P$368)))/F54&gt;0, (((0.065*F54^0.726)/3.7-(0.301*F54^0.751)/(1-H54)*H54)*(MAX('Max rate concentrations'!$P$3:$P$368)))/F54, 0)</f>
        <v>0</v>
      </c>
      <c r="N54" s="69">
        <f>IF((((0.065*F54^0.726)/3.7-(0.301*F54^0.751)/(1-H54)*H54)*(MAX('Max rate concentrations'!$Q$3:$Q$368)))/F54&gt;0, (((0.065*F54^0.726)/3.7-(0.301*F54^0.751)/(1-H54)*H54)*(MAX('Max rate concentrations'!$Q$3:$Q$368)))/F54, 0)</f>
        <v>0</v>
      </c>
      <c r="O54" s="69" t="s">
        <v>13</v>
      </c>
      <c r="P54" s="69" t="s">
        <v>13</v>
      </c>
      <c r="Q54" s="69">
        <f>(inputs!$C$18*11.2)*(8.42*F54^0.694)*0.5*1/F54</f>
        <v>101.07000083326511</v>
      </c>
      <c r="R54" s="59">
        <f>(60*76.9*((F54/1000)^0.76)*3*24*(MAX('Max rate concentrations'!$R$3:$R$368))/F54)</f>
        <v>1.0320451183737278E-2</v>
      </c>
      <c r="S54" s="59">
        <f>(IF(inputs!$C$17="aerial",((0.025*0.112*inputs!$C$18/3.3)*(3*60*76.9*((F54/1000)^0.76))*MAX(inputs!$I$14:$I$16))/F54,((0.0083*0.112*inputs!$C$18/1)*(3*60*76.9*((F54/1000)^0.76))*MAX(inputs!$I$14:$I$16))/F54))</f>
        <v>4.3577784298745759E-2</v>
      </c>
      <c r="T54" s="63">
        <f>IF((((inputs!$P$13/(V54/MAX(K54:S54)))^(1/inputs!$O$13))-1)/inputs!$N$13&lt;0, 0, IF((((inputs!$P$13/(V54/MAX(K54:S54)))^(1/inputs!$O$13))-1)/inputs!$N$13&lt;inputs!$I$17, (((inputs!$P$13/(V54/MAX(K54:S54)))^(1/inputs!$O$13))-1)/inputs!$N$13, inputs!$I$17))</f>
        <v>1000</v>
      </c>
      <c r="U54" s="63">
        <f>IF((((inputs!$P$13/(X54/MAX(K54:S54)))^(1/inputs!$O$13))-1)/inputs!$N$13&lt;0, 0, IF((((inputs!$P$13/(X54/MAX(K54:S54)))^(1/inputs!$O$13))-1)/inputs!$N$13&lt;inputs!$I$17, (((inputs!$P$13/(X54/MAX(K54:S54)))^(1/inputs!$O$13))-1)/inputs!$N$13, inputs!$I$17))</f>
        <v>1000</v>
      </c>
      <c r="V54" s="21">
        <f>inputs!$E$87*(F54/inputs!$F$87)^(1)</f>
        <v>5.6999999999999998E-4</v>
      </c>
      <c r="W54" s="21">
        <f>inputs!$E$90*(F54/inputs!$F$90)^(1)</f>
        <v>5.9999999999999995E-4</v>
      </c>
      <c r="X54" s="21">
        <f>inputs!$E$89*(F54/inputs!$F$89)^(1)</f>
        <v>2.2405063291139238E-3</v>
      </c>
      <c r="Y54" s="21" t="s">
        <v>13</v>
      </c>
      <c r="Z54" s="63">
        <f t="shared" si="1"/>
        <v>177315.79093555282</v>
      </c>
      <c r="AA54" s="63">
        <f t="shared" si="2"/>
        <v>168450.00138877521</v>
      </c>
    </row>
    <row r="55" spans="1:27" ht="13.2" x14ac:dyDescent="0.25">
      <c r="A55" s="103" t="s">
        <v>651</v>
      </c>
      <c r="B55" s="20" t="s">
        <v>652</v>
      </c>
      <c r="C55" s="21" t="s">
        <v>702</v>
      </c>
      <c r="D55" s="15" t="s">
        <v>703</v>
      </c>
      <c r="E55" s="15">
        <v>188</v>
      </c>
      <c r="F55" s="21">
        <v>3</v>
      </c>
      <c r="G55" s="21" t="s">
        <v>146</v>
      </c>
      <c r="H55" s="20">
        <v>0.84</v>
      </c>
      <c r="I55" s="68">
        <f>MAX('Max rate concentrations'!$I$3:$I$368)</f>
        <v>56.865414300472793</v>
      </c>
      <c r="J55" s="68" t="s">
        <v>13</v>
      </c>
      <c r="K55" s="69">
        <f t="shared" si="0"/>
        <v>3.6005185472603896</v>
      </c>
      <c r="L55" s="69" t="s">
        <v>13</v>
      </c>
      <c r="M55" s="69">
        <f>IF((((0.065*F55^0.726)/3.7-(0.301*F55^0.751)/(1-H55)*H55)*(MAX('Max rate concentrations'!$P$3:$P$368)))/F55&gt;0, (((0.065*F55^0.726)/3.7-(0.301*F55^0.751)/(1-H55)*H55)*(MAX('Max rate concentrations'!$P$3:$P$368)))/F55, 0)</f>
        <v>0</v>
      </c>
      <c r="N55" s="69">
        <f>IF((((0.065*F55^0.726)/3.7-(0.301*F55^0.751)/(1-H55)*H55)*(MAX('Max rate concentrations'!$Q$3:$Q$368)))/F55&gt;0, (((0.065*F55^0.726)/3.7-(0.301*F55^0.751)/(1-H55)*H55)*(MAX('Max rate concentrations'!$Q$3:$Q$368)))/F55, 0)</f>
        <v>0</v>
      </c>
      <c r="O55" s="69" t="s">
        <v>13</v>
      </c>
      <c r="P55" s="69" t="s">
        <v>13</v>
      </c>
      <c r="Q55" s="69">
        <f>(inputs!$C$18*11.2)*(8.42*F55^0.694)*0.5*1/F55</f>
        <v>101.07000083326511</v>
      </c>
      <c r="R55" s="59">
        <f>(60*76.9*((F55/1000)^0.76)*3*24*(MAX('Max rate concentrations'!$R$3:$R$368))/F55)</f>
        <v>1.0320451183737278E-2</v>
      </c>
      <c r="S55" s="59">
        <f>(IF(inputs!$C$17="aerial",((0.025*0.112*inputs!$C$18/3.3)*(3*60*76.9*((F55/1000)^0.76))*MAX(inputs!$I$14:$I$16))/F55,((0.0083*0.112*inputs!$C$18/1)*(3*60*76.9*((F55/1000)^0.76))*MAX(inputs!$I$14:$I$16))/F55))</f>
        <v>4.3577784298745759E-2</v>
      </c>
      <c r="T55" s="63">
        <f>IF((((inputs!$P$13/(V55/MAX(K55:S55)))^(1/inputs!$O$13))-1)/inputs!$N$13&lt;0, 0, IF((((inputs!$P$13/(V55/MAX(K55:S55)))^(1/inputs!$O$13))-1)/inputs!$N$13&lt;inputs!$I$17, (((inputs!$P$13/(V55/MAX(K55:S55)))^(1/inputs!$O$13))-1)/inputs!$N$13, inputs!$I$17))</f>
        <v>1000</v>
      </c>
      <c r="U55" s="63">
        <f>IF((((inputs!$P$13/(X55/MAX(K55:S55)))^(1/inputs!$O$13))-1)/inputs!$N$13&lt;0, 0, IF((((inputs!$P$13/(X55/MAX(K55:S55)))^(1/inputs!$O$13))-1)/inputs!$N$13&lt;inputs!$I$17, (((inputs!$P$13/(X55/MAX(K55:S55)))^(1/inputs!$O$13))-1)/inputs!$N$13, inputs!$I$17))</f>
        <v>1000</v>
      </c>
      <c r="V55" s="21">
        <f>inputs!$E$87*(F55/inputs!$F$87)^(1)</f>
        <v>5.6999999999999998E-4</v>
      </c>
      <c r="W55" s="21">
        <f>inputs!$E$90*(F55/inputs!$F$90)^(1)</f>
        <v>5.9999999999999995E-4</v>
      </c>
      <c r="X55" s="21">
        <f>inputs!$E$89*(F55/inputs!$F$89)^(1)</f>
        <v>2.2405063291139238E-3</v>
      </c>
      <c r="Y55" s="21" t="s">
        <v>13</v>
      </c>
      <c r="Z55" s="63">
        <f t="shared" si="1"/>
        <v>177315.79093555282</v>
      </c>
      <c r="AA55" s="63">
        <f t="shared" si="2"/>
        <v>168450.00138877521</v>
      </c>
    </row>
    <row r="56" spans="1:27" ht="13.2" x14ac:dyDescent="0.25">
      <c r="A56" s="103" t="s">
        <v>685</v>
      </c>
      <c r="B56" s="20" t="s">
        <v>686</v>
      </c>
      <c r="C56" s="21" t="s">
        <v>702</v>
      </c>
      <c r="D56" s="15" t="s">
        <v>703</v>
      </c>
      <c r="E56" s="15">
        <v>200</v>
      </c>
      <c r="F56" s="21">
        <v>1.3</v>
      </c>
      <c r="G56" s="21" t="s">
        <v>142</v>
      </c>
      <c r="H56" s="21">
        <v>0.69</v>
      </c>
      <c r="I56" s="68">
        <f>MAX('Max rate concentrations'!$H$3:$H$368)</f>
        <v>282</v>
      </c>
      <c r="J56" s="68">
        <f>MAX('Max rate concentrations'!AA:AA)</f>
        <v>195</v>
      </c>
      <c r="K56" s="69">
        <f t="shared" si="0"/>
        <v>11.142063412508156</v>
      </c>
      <c r="L56" s="69">
        <f>(((0.013*F56^0.773)/(1-H56)))*J56/F56</f>
        <v>7.7046183171598956</v>
      </c>
      <c r="M56" s="69">
        <f>IF((((0.065*F56^0.726)/3.7-(0.301*F56^0.751)/(1-H56)*H56)*(MAX('Max rate concentrations'!$P$3:$P$368)))/F56&gt;0, (((0.065*F56^0.726)/3.7-(0.301*F56^0.751)/(1-H56)*H56)*(MAX('Max rate concentrations'!$P$3:$P$368)))/F56, 0)</f>
        <v>0</v>
      </c>
      <c r="N56" s="69">
        <f>IF((((0.065*F56^0.726)/3.7-(0.301*F56^0.751)/(1-H56)*H56)*(MAX('Max rate concentrations'!$Q$3:$Q$368)))/F56&gt;0, (((0.065*F56^0.726)/3.7-(0.301*F56^0.751)/(1-H56)*H56)*(MAX('Max rate concentrations'!$Q$3:$Q$368)))/F56, 0)</f>
        <v>0</v>
      </c>
      <c r="O56" s="69" t="s">
        <v>13</v>
      </c>
      <c r="P56" s="69" t="s">
        <v>13</v>
      </c>
      <c r="Q56" s="69">
        <f>(inputs!$C$18*11.2)*(8.42*F56^0.694)*0.5*1/F56</f>
        <v>130.54333619196865</v>
      </c>
      <c r="R56" s="59">
        <f>(60*76.9*((F56/1000)^0.76)*3*24*(MAX('Max rate concentrations'!$R$3:$R$368))/F56)</f>
        <v>1.2614248448028227E-2</v>
      </c>
      <c r="S56" s="59">
        <f>(IF(inputs!$C$17="aerial",((0.025*0.112*inputs!$C$18/3.3)*(3*60*76.9*((F56/1000)^0.76))*MAX(inputs!$I$14:$I$16))/F56,((0.0083*0.112*inputs!$C$18/1)*(3*60*76.9*((F56/1000)^0.76))*MAX(inputs!$I$14:$I$16))/F56))</f>
        <v>5.3263271941557014E-2</v>
      </c>
      <c r="T56" s="63">
        <f>IF((((inputs!$P$13/(V56/MAX(K56:S56)))^(1/inputs!$O$13))-1)/inputs!$N$13&lt;0, 0, IF((((inputs!$P$13/(V56/MAX(K56:S56)))^(1/inputs!$O$13))-1)/inputs!$N$13&lt;inputs!$I$17, (((inputs!$P$13/(V56/MAX(K56:S56)))^(1/inputs!$O$13))-1)/inputs!$N$13, inputs!$I$17))</f>
        <v>1000</v>
      </c>
      <c r="U56" s="63">
        <f>IF((((inputs!$P$13/(X56/MAX(K56:S56)))^(1/inputs!$O$13))-1)/inputs!$N$13&lt;0, 0, IF((((inputs!$P$13/(X56/MAX(K56:S56)))^(1/inputs!$O$13))-1)/inputs!$N$13&lt;inputs!$I$17, (((inputs!$P$13/(X56/MAX(K56:S56)))^(1/inputs!$O$13))-1)/inputs!$N$13, inputs!$I$17))</f>
        <v>1000</v>
      </c>
      <c r="V56" s="21">
        <f>inputs!$E$87*(F56/inputs!$F$87)^(1)</f>
        <v>2.4700000000000004E-4</v>
      </c>
      <c r="W56" s="21">
        <f>inputs!$E$90*(F56/inputs!$F$90)^(1)</f>
        <v>2.5999999999999998E-4</v>
      </c>
      <c r="X56" s="21">
        <f>inputs!$E$89*(F56/inputs!$F$89)^(1)</f>
        <v>9.7088607594936704E-4</v>
      </c>
      <c r="Y56" s="21" t="s">
        <v>13</v>
      </c>
      <c r="Z56" s="63">
        <f t="shared" si="1"/>
        <v>528515.53114157345</v>
      </c>
      <c r="AA56" s="63">
        <f t="shared" si="2"/>
        <v>502089.75458449486</v>
      </c>
    </row>
    <row r="57" spans="1:27" ht="13.2" x14ac:dyDescent="0.25">
      <c r="A57" s="103" t="s">
        <v>653</v>
      </c>
      <c r="B57" s="20" t="s">
        <v>654</v>
      </c>
      <c r="C57" s="21" t="s">
        <v>702</v>
      </c>
      <c r="D57" s="15" t="s">
        <v>703</v>
      </c>
      <c r="E57" s="15">
        <v>201</v>
      </c>
      <c r="F57" s="21">
        <v>4.5999999999999996</v>
      </c>
      <c r="G57" s="21" t="s">
        <v>142</v>
      </c>
      <c r="H57" s="21">
        <v>0.69</v>
      </c>
      <c r="I57" s="68">
        <f>MAX('Max rate concentrations'!$H$3:$H$368)</f>
        <v>282</v>
      </c>
      <c r="J57" s="68">
        <f>MAX('Max rate concentrations'!AA:AA)</f>
        <v>195</v>
      </c>
      <c r="K57" s="69">
        <f t="shared" si="0"/>
        <v>8.36343602162043</v>
      </c>
      <c r="L57" s="69">
        <f>(((0.013*F57^0.773)/(1-H57)))*J57/F57</f>
        <v>5.7832270362268927</v>
      </c>
      <c r="M57" s="69">
        <f>IF((((0.065*F57^0.726)/3.7-(0.301*F57^0.751)/(1-H57)*H57)*(MAX('Max rate concentrations'!$P$3:$P$368)))/F57&gt;0, (((0.065*F57^0.726)/3.7-(0.301*F57^0.751)/(1-H57)*H57)*(MAX('Max rate concentrations'!$P$3:$P$368)))/F57, 0)</f>
        <v>0</v>
      </c>
      <c r="N57" s="69">
        <f>IF((((0.065*F57^0.726)/3.7-(0.301*F57^0.751)/(1-H57)*H57)*(MAX('Max rate concentrations'!$Q$3:$Q$368)))/F57&gt;0, (((0.065*F57^0.726)/3.7-(0.301*F57^0.751)/(1-H57)*H57)*(MAX('Max rate concentrations'!$Q$3:$Q$368)))/F57, 0)</f>
        <v>0</v>
      </c>
      <c r="O57" s="69" t="s">
        <v>13</v>
      </c>
      <c r="P57" s="69" t="s">
        <v>13</v>
      </c>
      <c r="Q57" s="69">
        <f>(inputs!$C$18*11.2)*(8.42*F57^0.694)*0.5*1/F57</f>
        <v>88.678324056583023</v>
      </c>
      <c r="R57" s="59">
        <f>(60*76.9*((F57/1000)^0.76)*3*24*(MAX('Max rate concentrations'!$R$3:$R$368))/F57)</f>
        <v>9.3142074281958708E-3</v>
      </c>
      <c r="S57" s="59">
        <f>(IF(inputs!$C$17="aerial",((0.025*0.112*inputs!$C$18/3.3)*(3*60*76.9*((F57/1000)^0.76))*MAX(inputs!$I$14:$I$16))/F57,((0.0083*0.112*inputs!$C$18/1)*(3*60*76.9*((F57/1000)^0.76))*MAX(inputs!$I$14:$I$16))/F57))</f>
        <v>3.9328951321361896E-2</v>
      </c>
      <c r="T57" s="63">
        <f>IF((((inputs!$P$13/(V57/MAX(K57:S57)))^(1/inputs!$O$13))-1)/inputs!$N$13&lt;0, 0, IF((((inputs!$P$13/(V57/MAX(K57:S57)))^(1/inputs!$O$13))-1)/inputs!$N$13&lt;inputs!$I$17, (((inputs!$P$13/(V57/MAX(K57:S57)))^(1/inputs!$O$13))-1)/inputs!$N$13, inputs!$I$17))</f>
        <v>1000</v>
      </c>
      <c r="U57" s="63">
        <f>IF((((inputs!$P$13/(X57/MAX(K57:S57)))^(1/inputs!$O$13))-1)/inputs!$N$13&lt;0, 0, IF((((inputs!$P$13/(X57/MAX(K57:S57)))^(1/inputs!$O$13))-1)/inputs!$N$13&lt;inputs!$I$17, (((inputs!$P$13/(X57/MAX(K57:S57)))^(1/inputs!$O$13))-1)/inputs!$N$13, inputs!$I$17))</f>
        <v>1000</v>
      </c>
      <c r="V57" s="21">
        <f>inputs!$E$87*(F57/inputs!$F$87)^(1)</f>
        <v>8.7399999999999999E-4</v>
      </c>
      <c r="W57" s="21">
        <f>inputs!$E$90*(F57/inputs!$F$90)^(1)</f>
        <v>9.2000000000000003E-4</v>
      </c>
      <c r="X57" s="21">
        <f>inputs!$E$89*(F57/inputs!$F$89)^(1)</f>
        <v>3.4354430379746836E-3</v>
      </c>
      <c r="Y57" s="21" t="s">
        <v>13</v>
      </c>
      <c r="Z57" s="63">
        <f t="shared" si="1"/>
        <v>101462.61333705152</v>
      </c>
      <c r="AA57" s="63">
        <f t="shared" si="2"/>
        <v>96389.482670198937</v>
      </c>
    </row>
    <row r="58" spans="1:27" ht="13.2" x14ac:dyDescent="0.25">
      <c r="A58" s="103" t="s">
        <v>653</v>
      </c>
      <c r="B58" s="20" t="s">
        <v>654</v>
      </c>
      <c r="C58" s="21" t="s">
        <v>702</v>
      </c>
      <c r="D58" s="15" t="s">
        <v>703</v>
      </c>
      <c r="E58" s="15">
        <v>201</v>
      </c>
      <c r="F58" s="21">
        <v>4.5999999999999996</v>
      </c>
      <c r="G58" s="21" t="s">
        <v>164</v>
      </c>
      <c r="H58" s="21">
        <v>0.78</v>
      </c>
      <c r="I58" s="68">
        <f>inputs!$C$66*(inputs!$C$62/1000)</f>
        <v>8.2000000000000011</v>
      </c>
      <c r="J58" s="68">
        <f>inputs!$C$66*(inputs!$C$61/1000)</f>
        <v>2.5</v>
      </c>
      <c r="K58" s="69">
        <f t="shared" si="0"/>
        <v>0.34267979314892227</v>
      </c>
      <c r="L58" s="69">
        <f>(((0.013*F58^0.773)/(1-H58)))*J58/F58</f>
        <v>0.10447554669174459</v>
      </c>
      <c r="M58" s="69">
        <f>IF((((0.065*F58^0.726)/3.7-(0.301*F58^0.751)/(1-H58)*H58)*(MAX('Max rate concentrations'!$P$3:$P$368)))/F58&gt;0, (((0.065*F58^0.726)/3.7-(0.301*F58^0.751)/(1-H58)*H58)*(MAX('Max rate concentrations'!$P$3:$P$368)))/F58, 0)</f>
        <v>0</v>
      </c>
      <c r="N58" s="69">
        <f>IF((((0.065*F58^0.726)/3.7-(0.301*F58^0.751)/(1-H58)*H58)*(MAX('Max rate concentrations'!$Q$3:$Q$368)))/F58&gt;0, (((0.065*F58^0.726)/3.7-(0.301*F58^0.751)/(1-H58)*H58)*(MAX('Max rate concentrations'!$Q$3:$Q$368)))/F58, 0)</f>
        <v>0</v>
      </c>
      <c r="O58" s="69" t="s">
        <v>13</v>
      </c>
      <c r="P58" s="69" t="s">
        <v>13</v>
      </c>
      <c r="Q58" s="69">
        <f>(inputs!$C$18*11.2)*(8.42*F58^0.694)*0.5*1/F58</f>
        <v>88.678324056583023</v>
      </c>
      <c r="R58" s="59">
        <f>(60*76.9*((F58/1000)^0.76)*3*24*(MAX('Max rate concentrations'!$R$3:$R$368))/F58)</f>
        <v>9.3142074281958708E-3</v>
      </c>
      <c r="S58" s="59">
        <f>(IF(inputs!$C$17="aerial",((0.025*0.112*inputs!$C$18/3.3)*(3*60*76.9*((F58/1000)^0.76))*MAX(inputs!$I$14:$I$16))/F58,((0.0083*0.112*inputs!$C$18/1)*(3*60*76.9*((F58/1000)^0.76))*MAX(inputs!$I$14:$I$16))/F58))</f>
        <v>3.9328951321361896E-2</v>
      </c>
      <c r="T58" s="63">
        <f>IF((((inputs!$P$13/(V58/MAX(K58:S58)))^(1/inputs!$O$13))-1)/inputs!$N$13&lt;0, 0, IF((((inputs!$P$13/(V58/MAX(K58:S58)))^(1/inputs!$O$13))-1)/inputs!$N$13&lt;inputs!$I$17, (((inputs!$P$13/(V58/MAX(K58:S58)))^(1/inputs!$O$13))-1)/inputs!$N$13, inputs!$I$17))</f>
        <v>1000</v>
      </c>
      <c r="U58" s="63">
        <f>IF((((inputs!$P$13/(X58/MAX(K58:S58)))^(1/inputs!$O$13))-1)/inputs!$N$13&lt;0, 0, IF((((inputs!$P$13/(X58/MAX(K58:S58)))^(1/inputs!$O$13))-1)/inputs!$N$13&lt;inputs!$I$17, (((inputs!$P$13/(X58/MAX(K58:S58)))^(1/inputs!$O$13))-1)/inputs!$N$13, inputs!$I$17))</f>
        <v>1000</v>
      </c>
      <c r="V58" s="21">
        <f>inputs!$E$87*(F58/inputs!$F$87)^(1)</f>
        <v>8.7399999999999999E-4</v>
      </c>
      <c r="W58" s="21">
        <f>inputs!$E$90*(F58/inputs!$F$90)^(1)</f>
        <v>9.2000000000000003E-4</v>
      </c>
      <c r="X58" s="21">
        <f>inputs!$E$89*(F58/inputs!$F$89)^(1)</f>
        <v>3.4354430379746836E-3</v>
      </c>
      <c r="Y58" s="21" t="s">
        <v>13</v>
      </c>
      <c r="Z58" s="63">
        <f t="shared" si="1"/>
        <v>101462.61333705152</v>
      </c>
      <c r="AA58" s="63">
        <f t="shared" si="2"/>
        <v>96389.482670198937</v>
      </c>
    </row>
    <row r="59" spans="1:27" ht="13.2" x14ac:dyDescent="0.25">
      <c r="A59" s="103" t="s">
        <v>675</v>
      </c>
      <c r="B59" s="20" t="s">
        <v>676</v>
      </c>
      <c r="C59" s="21" t="s">
        <v>702</v>
      </c>
      <c r="D59" s="15" t="s">
        <v>703</v>
      </c>
      <c r="E59" s="15">
        <v>7482</v>
      </c>
      <c r="F59" s="21">
        <v>0.8</v>
      </c>
      <c r="G59" s="21" t="s">
        <v>142</v>
      </c>
      <c r="H59" s="21">
        <v>0.69</v>
      </c>
      <c r="I59" s="68">
        <f>MAX('Max rate concentrations'!$H$3:$H$368)</f>
        <v>282</v>
      </c>
      <c r="J59" s="68">
        <f>MAX('Max rate concentrations'!AA:AA)</f>
        <v>195</v>
      </c>
      <c r="K59" s="69">
        <f t="shared" si="0"/>
        <v>12.440256636833583</v>
      </c>
      <c r="L59" s="69">
        <f>(((0.013*F59^0.773)/(1-H59)))*J59/F59</f>
        <v>8.6023051212147124</v>
      </c>
      <c r="M59" s="69">
        <f>IF((((0.065*F59^0.726)/3.7-(0.301*F59^0.751)/(1-H59)*H59)*(MAX('Max rate concentrations'!$P$3:$P$368)))/F59&gt;0, (((0.065*F59^0.726)/3.7-(0.301*F59^0.751)/(1-H59)*H59)*(MAX('Max rate concentrations'!$P$3:$P$368)))/F59, 0)</f>
        <v>0</v>
      </c>
      <c r="N59" s="69">
        <f>IF((((0.065*F59^0.726)/3.7-(0.301*F59^0.751)/(1-H59)*H59)*(MAX('Max rate concentrations'!$Q$3:$Q$368)))/F59&gt;0, (((0.065*F59^0.726)/3.7-(0.301*F59^0.751)/(1-H59)*H59)*(MAX('Max rate concentrations'!$Q$3:$Q$368)))/F59, 0)</f>
        <v>0</v>
      </c>
      <c r="O59" s="69" t="s">
        <v>13</v>
      </c>
      <c r="P59" s="69" t="s">
        <v>13</v>
      </c>
      <c r="Q59" s="69">
        <f>(inputs!$C$18*11.2)*(8.42*F59^0.694)*0.5*1/F59</f>
        <v>151.45228750177148</v>
      </c>
      <c r="R59" s="59">
        <f>(60*76.9*((F59/1000)^0.76)*3*24*(MAX('Max rate concentrations'!$R$3:$R$368))/F59)</f>
        <v>1.4173143627969889E-2</v>
      </c>
      <c r="S59" s="59">
        <f>(IF(inputs!$C$17="aerial",((0.025*0.112*inputs!$C$18/3.3)*(3*60*76.9*((F59/1000)^0.76))*MAX(inputs!$I$14:$I$16))/F59,((0.0083*0.112*inputs!$C$18/1)*(3*60*76.9*((F59/1000)^0.76))*MAX(inputs!$I$14:$I$16))/F59))</f>
        <v>5.9845658378586027E-2</v>
      </c>
      <c r="T59" s="63">
        <f>IF((((inputs!$P$13/(V59/MAX(K59:S59)))^(1/inputs!$O$13))-1)/inputs!$N$13&lt;0, 0, IF((((inputs!$P$13/(V59/MAX(K59:S59)))^(1/inputs!$O$13))-1)/inputs!$N$13&lt;inputs!$I$17, (((inputs!$P$13/(V59/MAX(K59:S59)))^(1/inputs!$O$13))-1)/inputs!$N$13, inputs!$I$17))</f>
        <v>1000</v>
      </c>
      <c r="U59" s="63">
        <f>IF((((inputs!$P$13/(X59/MAX(K59:S59)))^(1/inputs!$O$13))-1)/inputs!$N$13&lt;0, 0, IF((((inputs!$P$13/(X59/MAX(K59:S59)))^(1/inputs!$O$13))-1)/inputs!$N$13&lt;inputs!$I$17, (((inputs!$P$13/(X59/MAX(K59:S59)))^(1/inputs!$O$13))-1)/inputs!$N$13, inputs!$I$17))</f>
        <v>1000</v>
      </c>
      <c r="V59" s="21">
        <f>inputs!$E$87*(F59/inputs!$F$87)^(1)</f>
        <v>1.5200000000000001E-4</v>
      </c>
      <c r="W59" s="21">
        <f>inputs!$E$90*(F59/inputs!$F$90)^(1)</f>
        <v>1.6000000000000001E-4</v>
      </c>
      <c r="X59" s="21">
        <f>inputs!$E$89*(F59/inputs!$F$89)^(1)</f>
        <v>5.9746835443037977E-4</v>
      </c>
      <c r="Y59" s="21" t="s">
        <v>13</v>
      </c>
      <c r="Z59" s="63">
        <f t="shared" si="1"/>
        <v>996396.62830112805</v>
      </c>
      <c r="AA59" s="63">
        <f t="shared" si="2"/>
        <v>946576.79688607168</v>
      </c>
    </row>
    <row r="60" spans="1:27" ht="13.2" x14ac:dyDescent="0.25">
      <c r="A60" s="103" t="s">
        <v>675</v>
      </c>
      <c r="B60" s="20" t="s">
        <v>676</v>
      </c>
      <c r="C60" s="21" t="s">
        <v>702</v>
      </c>
      <c r="D60" s="15" t="s">
        <v>703</v>
      </c>
      <c r="E60" s="15">
        <v>7482</v>
      </c>
      <c r="F60" s="21">
        <v>0.8</v>
      </c>
      <c r="G60" s="21" t="s">
        <v>164</v>
      </c>
      <c r="H60" s="21">
        <v>0.78</v>
      </c>
      <c r="I60" s="68">
        <f>inputs!$C$66*(inputs!$C$62/1000)</f>
        <v>8.2000000000000011</v>
      </c>
      <c r="J60" s="68">
        <f>inputs!$C$66*(inputs!$C$61/1000)</f>
        <v>2.5</v>
      </c>
      <c r="K60" s="69">
        <f t="shared" si="0"/>
        <v>0.50972166942022856</v>
      </c>
      <c r="L60" s="69">
        <f>(((0.013*F60^0.773)/(1-H60)))*J60/F60</f>
        <v>0.15540294799397211</v>
      </c>
      <c r="M60" s="69">
        <f>IF((((0.065*F60^0.726)/3.7-(0.301*F60^0.751)/(1-H60)*H60)*(MAX('Max rate concentrations'!$P$3:$P$368)))/F60&gt;0, (((0.065*F60^0.726)/3.7-(0.301*F60^0.751)/(1-H60)*H60)*(MAX('Max rate concentrations'!$P$3:$P$368)))/F60, 0)</f>
        <v>0</v>
      </c>
      <c r="N60" s="69">
        <f>IF((((0.065*F60^0.726)/3.7-(0.301*F60^0.751)/(1-H60)*H60)*(MAX('Max rate concentrations'!$Q$3:$Q$368)))/F60&gt;0, (((0.065*F60^0.726)/3.7-(0.301*F60^0.751)/(1-H60)*H60)*(MAX('Max rate concentrations'!$Q$3:$Q$368)))/F60, 0)</f>
        <v>0</v>
      </c>
      <c r="O60" s="69" t="s">
        <v>13</v>
      </c>
      <c r="P60" s="69" t="s">
        <v>13</v>
      </c>
      <c r="Q60" s="69">
        <f>(inputs!$C$18*11.2)*(8.42*F60^0.694)*0.5*1/F60</f>
        <v>151.45228750177148</v>
      </c>
      <c r="R60" s="59">
        <f>(60*76.9*((F60/1000)^0.76)*3*24*(MAX('Max rate concentrations'!$R$3:$R$368))/F60)</f>
        <v>1.4173143627969889E-2</v>
      </c>
      <c r="S60" s="59">
        <f>(IF(inputs!$C$17="aerial",((0.025*0.112*inputs!$C$18/3.3)*(3*60*76.9*((F60/1000)^0.76))*MAX(inputs!$I$14:$I$16))/F60,((0.0083*0.112*inputs!$C$18/1)*(3*60*76.9*((F60/1000)^0.76))*MAX(inputs!$I$14:$I$16))/F60))</f>
        <v>5.9845658378586027E-2</v>
      </c>
      <c r="T60" s="63">
        <f>IF((((inputs!$P$13/(V60/MAX(K60:S60)))^(1/inputs!$O$13))-1)/inputs!$N$13&lt;0, 0, IF((((inputs!$P$13/(V60/MAX(K60:S60)))^(1/inputs!$O$13))-1)/inputs!$N$13&lt;inputs!$I$17, (((inputs!$P$13/(V60/MAX(K60:S60)))^(1/inputs!$O$13))-1)/inputs!$N$13, inputs!$I$17))</f>
        <v>1000</v>
      </c>
      <c r="U60" s="63">
        <f>IF((((inputs!$P$13/(X60/MAX(K60:S60)))^(1/inputs!$O$13))-1)/inputs!$N$13&lt;0, 0, IF((((inputs!$P$13/(X60/MAX(K60:S60)))^(1/inputs!$O$13))-1)/inputs!$N$13&lt;inputs!$I$17, (((inputs!$P$13/(X60/MAX(K60:S60)))^(1/inputs!$O$13))-1)/inputs!$N$13, inputs!$I$17))</f>
        <v>1000</v>
      </c>
      <c r="V60" s="21">
        <f>inputs!$E$87*(F60/inputs!$F$87)^(1)</f>
        <v>1.5200000000000001E-4</v>
      </c>
      <c r="W60" s="21">
        <f>inputs!$E$90*(F60/inputs!$F$90)^(1)</f>
        <v>1.6000000000000001E-4</v>
      </c>
      <c r="X60" s="21">
        <f>inputs!$E$89*(F60/inputs!$F$89)^(1)</f>
        <v>5.9746835443037977E-4</v>
      </c>
      <c r="Y60" s="21" t="s">
        <v>13</v>
      </c>
      <c r="Z60" s="63">
        <f t="shared" si="1"/>
        <v>996396.62830112805</v>
      </c>
      <c r="AA60" s="63">
        <f t="shared" si="2"/>
        <v>946576.79688607168</v>
      </c>
    </row>
    <row r="61" spans="1:27" ht="13.2" x14ac:dyDescent="0.25">
      <c r="A61" s="103" t="s">
        <v>675</v>
      </c>
      <c r="B61" s="20" t="s">
        <v>676</v>
      </c>
      <c r="C61" s="21" t="s">
        <v>702</v>
      </c>
      <c r="D61" s="15" t="s">
        <v>703</v>
      </c>
      <c r="E61" s="15">
        <v>7482</v>
      </c>
      <c r="F61" s="21">
        <v>0.8</v>
      </c>
      <c r="G61" s="21" t="s">
        <v>146</v>
      </c>
      <c r="H61" s="20">
        <v>0.84</v>
      </c>
      <c r="I61" s="68">
        <f>MAX('Max rate concentrations'!$I$3:$I$368)</f>
        <v>56.865414300472793</v>
      </c>
      <c r="J61" s="68" t="s">
        <v>13</v>
      </c>
      <c r="K61" s="69">
        <f t="shared" si="0"/>
        <v>4.8603791616556276</v>
      </c>
      <c r="L61" s="69" t="s">
        <v>13</v>
      </c>
      <c r="M61" s="69">
        <f>IF((((0.065*F61^0.726)/3.7-(0.301*F61^0.751)/(1-H61)*H61)*(MAX('Max rate concentrations'!$P$3:$P$368)))/F61&gt;0, (((0.065*F61^0.726)/3.7-(0.301*F61^0.751)/(1-H61)*H61)*(MAX('Max rate concentrations'!$P$3:$P$368)))/F61, 0)</f>
        <v>0</v>
      </c>
      <c r="N61" s="69">
        <f>IF((((0.065*F61^0.726)/3.7-(0.301*F61^0.751)/(1-H61)*H61)*(MAX('Max rate concentrations'!$Q$3:$Q$368)))/F61&gt;0, (((0.065*F61^0.726)/3.7-(0.301*F61^0.751)/(1-H61)*H61)*(MAX('Max rate concentrations'!$Q$3:$Q$368)))/F61, 0)</f>
        <v>0</v>
      </c>
      <c r="O61" s="69" t="s">
        <v>13</v>
      </c>
      <c r="P61" s="69" t="s">
        <v>13</v>
      </c>
      <c r="Q61" s="69">
        <f>(inputs!$C$18*11.2)*(8.42*F61^0.694)*0.5*1/F61</f>
        <v>151.45228750177148</v>
      </c>
      <c r="R61" s="59">
        <f>(60*76.9*((F61/1000)^0.76)*3*24*(MAX('Max rate concentrations'!$R$3:$R$368))/F61)</f>
        <v>1.4173143627969889E-2</v>
      </c>
      <c r="S61" s="59">
        <f>(IF(inputs!$C$17="aerial",((0.025*0.112*inputs!$C$18/3.3)*(3*60*76.9*((F61/1000)^0.76))*MAX(inputs!$I$14:$I$16))/F61,((0.0083*0.112*inputs!$C$18/1)*(3*60*76.9*((F61/1000)^0.76))*MAX(inputs!$I$14:$I$16))/F61))</f>
        <v>5.9845658378586027E-2</v>
      </c>
      <c r="T61" s="63">
        <f>IF((((inputs!$P$13/(V61/MAX(K61:S61)))^(1/inputs!$O$13))-1)/inputs!$N$13&lt;0, 0, IF((((inputs!$P$13/(V61/MAX(K61:S61)))^(1/inputs!$O$13))-1)/inputs!$N$13&lt;inputs!$I$17, (((inputs!$P$13/(V61/MAX(K61:S61)))^(1/inputs!$O$13))-1)/inputs!$N$13, inputs!$I$17))</f>
        <v>1000</v>
      </c>
      <c r="U61" s="63">
        <f>IF((((inputs!$P$13/(X61/MAX(K61:S61)))^(1/inputs!$O$13))-1)/inputs!$N$13&lt;0, 0, IF((((inputs!$P$13/(X61/MAX(K61:S61)))^(1/inputs!$O$13))-1)/inputs!$N$13&lt;inputs!$I$17, (((inputs!$P$13/(X61/MAX(K61:S61)))^(1/inputs!$O$13))-1)/inputs!$N$13, inputs!$I$17))</f>
        <v>1000</v>
      </c>
      <c r="V61" s="21">
        <f>inputs!$E$87*(F61/inputs!$F$87)^(1)</f>
        <v>1.5200000000000001E-4</v>
      </c>
      <c r="W61" s="21">
        <f>inputs!$E$90*(F61/inputs!$F$90)^(1)</f>
        <v>1.6000000000000001E-4</v>
      </c>
      <c r="X61" s="21">
        <f>inputs!$E$89*(F61/inputs!$F$89)^(1)</f>
        <v>5.9746835443037977E-4</v>
      </c>
      <c r="Y61" s="21" t="s">
        <v>13</v>
      </c>
      <c r="Z61" s="63">
        <f t="shared" si="1"/>
        <v>996396.62830112805</v>
      </c>
      <c r="AA61" s="63">
        <f t="shared" si="2"/>
        <v>946576.79688607168</v>
      </c>
    </row>
    <row r="62" spans="1:27" ht="13.2" x14ac:dyDescent="0.25">
      <c r="A62" s="114" t="s">
        <v>338</v>
      </c>
      <c r="B62" s="20" t="s">
        <v>339</v>
      </c>
      <c r="C62" s="20" t="s">
        <v>73</v>
      </c>
      <c r="D62" s="48" t="s">
        <v>137</v>
      </c>
      <c r="E62" s="15">
        <v>1221</v>
      </c>
      <c r="F62" s="15">
        <v>380</v>
      </c>
      <c r="G62" s="20" t="s">
        <v>164</v>
      </c>
      <c r="H62" s="20">
        <v>0.78</v>
      </c>
      <c r="I62" s="68">
        <f>inputs!$C$66*(inputs!$C$62/1000)</f>
        <v>8.2000000000000011</v>
      </c>
      <c r="J62" s="68">
        <f>inputs!$C$66*(inputs!$C$61/1000)</f>
        <v>2.5</v>
      </c>
      <c r="K62" s="69">
        <f t="shared" ref="K62:K125" si="6">((0.301*F62^0.751)/(1-H62))*I62/F62</f>
        <v>2.556180700823838</v>
      </c>
      <c r="L62" s="69">
        <f t="shared" ref="L62:L76" si="7">((0.301*F62^0.751)/(1-H62))*J62/F62</f>
        <v>0.77932338439751148</v>
      </c>
      <c r="M62" s="69">
        <f>IF((((1.18*F62^0.874)/3.7-(0.301*F62^0.751)/(1-H62)*H62)*(MAX('Max rate concentrations'!$P$3:$P$368)))/F62&gt;0, (((1.18*F62^0.874)/3.7-(0.301*F62^0.751)/(1-H62)*H62)*(MAX('Max rate concentrations'!$P$3:$P$368)))/F62, 0)</f>
        <v>0</v>
      </c>
      <c r="N62" s="69">
        <f>IF((((1.18*F62^0.874)/3.7-(0.301*F62^0.751)/(1-H62)*H62)*(MAX('Max rate concentrations'!$Q$3:$Q$368)))/F62&gt;0, (((1.18*F62^0.874)/3.7-(0.301*F62^0.751)/(1-H62)*H62)*(MAX('Max rate concentrations'!$Q$3:$Q$368)))/F62, 0)</f>
        <v>0</v>
      </c>
      <c r="O62" s="69">
        <f>((MAX('Max rate concentrations'!$F$3:$F$368))*0.62*6.01*8*(10*F62^0.667)*0.079*0.1/F62)*inputs!$E$80/(10^(0.84+0.62*LOG10(inputs!$E$80)))</f>
        <v>20.308857302866461</v>
      </c>
      <c r="P62" s="69">
        <f>((MAX('Max rate concentrations'!Y:Y))*0.62*6.01*8*(10*F62^0.667)*0.079*0.1/F62)*inputs!$E$80/(10^(0.84+0.62*LOG10(inputs!$E$80)))</f>
        <v>6.7696191009554898</v>
      </c>
      <c r="Q62" s="69">
        <f>(inputs!$C$18*11.2*(10*F62^0.667)*0.5/F62)*inputs!$E$80/(10^(0.84+0.62*LOG10(inputs!$E$80)))</f>
        <v>3.5773094255886009</v>
      </c>
      <c r="R62" s="59">
        <f>(60*284*((F62/1000)^0.77)*3*24*(MAX('Max rate concentrations'!$R$3:$R$368))/F62)*(inputs!$E$73*3.4/inputs!$E$75)</f>
        <v>3.5134722533676541E-2</v>
      </c>
      <c r="S62" s="59">
        <f>(IF(inputs!$C$17="aerial",((0.025*0.112*inputs!$C$18/3.3)*(3*60*284*((F62/1000)^0.77))*MAX(inputs!$I$14:$I$16))/F62,((0.0083*0.112*inputs!$C$18/1)*(3*60*284*((F62/1000)^0.77))*MAX(inputs!$I$14:$I$16))/F62))*(inputs!E$75*3.4/inputs!$E$73)</f>
        <v>0.19377015339117348</v>
      </c>
      <c r="T62" s="63">
        <f>IF((((inputs!$P$13/(V62/MAX(K62:S62)))^(1/inputs!$O$13))-1)/inputs!$N$13&lt;0, 0, IF((((inputs!$P$13/(V62/MAX(K62:S62)))^(1/inputs!$O$13))-1)/inputs!$N$13&lt;inputs!$I$17, (((inputs!$P$13/(V62/MAX(K62:S62)))^(1/inputs!$O$13))-1)/inputs!$N$13, inputs!$I$17))</f>
        <v>1000</v>
      </c>
      <c r="U62" s="63">
        <f>IF((((inputs!$P$13/(X62/MAX(K62:S62)))^(1/inputs!$O$13))-1)/inputs!$N$13&lt;0, 0, IF((((inputs!$P$13/(X62/MAX(K62:S62)))^(1/inputs!$O$13))-1)/inputs!$N$13&lt;inputs!$I$17, (((inputs!$P$13/(X62/MAX(K62:S62)))^(1/inputs!$O$13))-1)/inputs!$N$13, inputs!$I$17))</f>
        <v>30.363546196211441</v>
      </c>
      <c r="V62" s="21">
        <f>inputs!$E$78*(F62/inputs!$F$78)^(inputs!$E$84-1)</f>
        <v>1.1594009988906985E-2</v>
      </c>
      <c r="W62" s="21">
        <f>inputs!$E$85*(F62/inputs!$F$85)^(inputs!$E$84-1)</f>
        <v>0.53539002324690754</v>
      </c>
      <c r="X62" s="21">
        <f>inputs!$E$80*(F62/inputs!$F$80)^(inputs!$E$84-1)</f>
        <v>1.9992412260485786</v>
      </c>
      <c r="Y62" s="21">
        <f>inputs!$E$82*(F62/inputs!$F$82)^(inputs!$E$84-1)</f>
        <v>0.92141868859208143</v>
      </c>
      <c r="Z62" s="63">
        <f t="shared" si="1"/>
        <v>1751.6680874259848</v>
      </c>
      <c r="AA62" s="63">
        <f t="shared" si="2"/>
        <v>37.932827324091839</v>
      </c>
    </row>
    <row r="63" spans="1:27" ht="13.2" x14ac:dyDescent="0.25">
      <c r="A63" s="103" t="s">
        <v>191</v>
      </c>
      <c r="B63" s="20" t="s">
        <v>192</v>
      </c>
      <c r="C63" s="20" t="s">
        <v>73</v>
      </c>
      <c r="D63" s="104" t="s">
        <v>137</v>
      </c>
      <c r="E63" s="15">
        <v>8386</v>
      </c>
      <c r="F63" s="15">
        <v>441</v>
      </c>
      <c r="G63" s="20" t="s">
        <v>142</v>
      </c>
      <c r="H63" s="20">
        <v>0.69</v>
      </c>
      <c r="I63" s="68">
        <f>MAX('Max rate concentrations'!$H$3:$H$368)</f>
        <v>282</v>
      </c>
      <c r="J63" s="68">
        <f>MAX('Max rate concentrations'!AA:AA)</f>
        <v>195</v>
      </c>
      <c r="K63" s="69">
        <f t="shared" si="6"/>
        <v>60.11580974215952</v>
      </c>
      <c r="L63" s="69">
        <f t="shared" si="7"/>
        <v>41.569442906812434</v>
      </c>
      <c r="M63" s="69">
        <f>IF((((1.18*F63^0.874)/3.7-(0.301*F63^0.751)/(1-H63)*H63)*(MAX('Max rate concentrations'!$P$3:$P$368)))/F63&gt;0, (((1.18*F63^0.874)/3.7-(0.301*F63^0.751)/(1-H63)*H63)*(MAX('Max rate concentrations'!$P$3:$P$368)))/F63, 0)</f>
        <v>8.5597813847526985E-4</v>
      </c>
      <c r="N63" s="69">
        <f>IF((((1.18*F63^0.874)/3.7-(0.301*F63^0.751)/(1-H63)*H63)*(MAX('Max rate concentrations'!$Q$3:$Q$368)))/F63&gt;0, (((1.18*F63^0.874)/3.7-(0.301*F63^0.751)/(1-H63)*H63)*(MAX('Max rate concentrations'!$Q$3:$Q$368)))/F63, 0)</f>
        <v>3.2596107444616404E-3</v>
      </c>
      <c r="O63" s="69">
        <f>((MAX('Max rate concentrations'!$F$3:$F$368))*0.62*6.01*8*(10*F63^0.667)*0.079*0.1/F63)*inputs!$E$80/(10^(0.84+0.62*LOG10(inputs!$E$80)))</f>
        <v>19.326596318359169</v>
      </c>
      <c r="P63" s="69">
        <f>((MAX('Max rate concentrations'!Y:Y))*0.62*6.01*8*(10*F63^0.667)*0.079*0.1/F63)*inputs!$E$80/(10^(0.84+0.62*LOG10(inputs!$E$80)))</f>
        <v>6.4421987727863907</v>
      </c>
      <c r="Q63" s="69">
        <f>(inputs!$C$18*11.2*(10*F63^0.667)*0.5/F63)*inputs!$E$80/(10^(0.84+0.62*LOG10(inputs!$E$80)))</f>
        <v>3.404288786078276</v>
      </c>
      <c r="R63" s="59">
        <f>(60*284*((F63/1000)^0.77)*3*24*(MAX('Max rate concentrations'!$R$3:$R$368))/F63)*(inputs!$E$73*3.4/inputs!$E$75)</f>
        <v>3.3952040464205122E-2</v>
      </c>
      <c r="S63" s="59">
        <f>(IF(inputs!$C$17="aerial",((0.025*0.112*inputs!$C$18/3.3)*(3*60*284*((F63/1000)^0.77))*MAX(inputs!$I$14:$I$16))/F63,((0.0083*0.112*inputs!$C$18/1)*(3*60*284*((F63/1000)^0.77))*MAX(inputs!$I$14:$I$16))/F63))*(inputs!E$75*3.4/inputs!$E$73)</f>
        <v>0.18724758911605199</v>
      </c>
      <c r="T63" s="63">
        <f>IF((((inputs!$P$13/(V63/MAX(K63:S63)))^(1/inputs!$O$13))-1)/inputs!$N$13&lt;0, 0, IF((((inputs!$P$13/(V63/MAX(K63:S63)))^(1/inputs!$O$13))-1)/inputs!$N$13&lt;inputs!$I$17, (((inputs!$P$13/(V63/MAX(K63:S63)))^(1/inputs!$O$13))-1)/inputs!$N$13, inputs!$I$17))</f>
        <v>1000</v>
      </c>
      <c r="U63" s="63">
        <f>IF((((inputs!$P$13/(X63/MAX(K63:S63)))^(1/inputs!$O$13))-1)/inputs!$N$13&lt;0, 0, IF((((inputs!$P$13/(X63/MAX(K63:S63)))^(1/inputs!$O$13))-1)/inputs!$N$13&lt;inputs!$I$17, (((inputs!$P$13/(X63/MAX(K63:S63)))^(1/inputs!$O$13))-1)/inputs!$N$13, inputs!$I$17))</f>
        <v>84.270531189676802</v>
      </c>
      <c r="V63" s="21">
        <f>inputs!$E$78*(F63/inputs!$F$78)^(inputs!$E$84-1)</f>
        <v>1.0972644854266207E-2</v>
      </c>
      <c r="W63" s="21">
        <f>inputs!$E$85*(F63/inputs!$F$85)^(inputs!$E$84-1)</f>
        <v>0.50669652598423132</v>
      </c>
      <c r="X63" s="21">
        <f>inputs!$E$80*(F63/inputs!$F$80)^(inputs!$E$84-1)</f>
        <v>1.8920946223461801</v>
      </c>
      <c r="Y63" s="21">
        <f>inputs!$E$82*(F63/inputs!$F$82)^(inputs!$E$84-1)</f>
        <v>0.87203651210220912</v>
      </c>
      <c r="Z63" s="63">
        <f t="shared" si="1"/>
        <v>5478.6982118341557</v>
      </c>
      <c r="AA63" s="63">
        <f t="shared" si="2"/>
        <v>118.64263254102192</v>
      </c>
    </row>
    <row r="64" spans="1:27" ht="13.2" x14ac:dyDescent="0.25">
      <c r="A64" s="103" t="s">
        <v>191</v>
      </c>
      <c r="B64" s="20" t="s">
        <v>192</v>
      </c>
      <c r="C64" s="20" t="s">
        <v>73</v>
      </c>
      <c r="D64" s="104" t="s">
        <v>137</v>
      </c>
      <c r="E64" s="15">
        <v>8386</v>
      </c>
      <c r="F64" s="15">
        <v>441</v>
      </c>
      <c r="G64" s="20" t="s">
        <v>138</v>
      </c>
      <c r="H64" s="20">
        <v>0.68</v>
      </c>
      <c r="I64" s="68">
        <f>MAX('Max rate concentrations'!$L$3:$L$368)</f>
        <v>350.52744091332482</v>
      </c>
      <c r="J64" s="68">
        <f>MAX('Max rate concentrations'!AD:AD)</f>
        <v>242.38599637623525</v>
      </c>
      <c r="K64" s="69">
        <f t="shared" si="6"/>
        <v>72.389125594846703</v>
      </c>
      <c r="L64" s="69">
        <f t="shared" si="7"/>
        <v>50.056310251755704</v>
      </c>
      <c r="M64" s="69">
        <f>IF((((1.18*F64^0.874)/3.7-(0.301*F64^0.751)/(1-H64)*H64)*(MAX('Max rate concentrations'!$P$3:$P$368)))/F64&gt;0, (((1.18*F64^0.874)/3.7-(0.301*F64^0.751)/(1-H64)*H64)*(MAX('Max rate concentrations'!$P$3:$P$368)))/F64, 0)</f>
        <v>6.6576346627341444E-3</v>
      </c>
      <c r="N64" s="69">
        <f>IF((((1.18*F64^0.874)/3.7-(0.301*F64^0.751)/(1-H64)*H64)*(MAX('Max rate concentrations'!$Q$3:$Q$368)))/F64&gt;0, (((1.18*F64^0.874)/3.7-(0.301*F64^0.751)/(1-H64)*H64)*(MAX('Max rate concentrations'!$Q$3:$Q$368)))/F64, 0)</f>
        <v>2.5352630521621015E-2</v>
      </c>
      <c r="O64" s="69">
        <f>((MAX('Max rate concentrations'!$F$3:$F$368))*0.62*6.01*8*(10*F64^0.667)*0.079*0.1/F64)*inputs!$E$80/(10^(0.84+0.62*LOG10(inputs!$E$80)))</f>
        <v>19.326596318359169</v>
      </c>
      <c r="P64" s="69">
        <f>((MAX('Max rate concentrations'!Y:Y))*0.62*6.01*8*(10*F64^0.667)*0.079*0.1/F64)*inputs!$E$80/(10^(0.84+0.62*LOG10(inputs!$E$80)))</f>
        <v>6.4421987727863907</v>
      </c>
      <c r="Q64" s="69">
        <f>(inputs!$C$18*11.2*(10*F64^0.667)*0.5/F64)*inputs!$E$80/(10^(0.84+0.62*LOG10(inputs!$E$80)))</f>
        <v>3.404288786078276</v>
      </c>
      <c r="R64" s="59">
        <f>(60*284*((F64/1000)^0.77)*3*24*(MAX('Max rate concentrations'!$R$3:$R$368))/F64)*(inputs!$E$73*3.4/inputs!$E$75)</f>
        <v>3.3952040464205122E-2</v>
      </c>
      <c r="S64" s="59">
        <f>(IF(inputs!$C$17="aerial",((0.025*0.112*inputs!$C$18/3.3)*(3*60*284*((F64/1000)^0.77))*MAX(inputs!$I$14:$I$16))/F64,((0.0083*0.112*inputs!$C$18/1)*(3*60*284*((F64/1000)^0.77))*MAX(inputs!$I$14:$I$16))/F64))*(inputs!E$75*3.4/inputs!$E$73)</f>
        <v>0.18724758911605199</v>
      </c>
      <c r="T64" s="63">
        <f>IF((((inputs!$P$13/(V64/MAX(K64:S64)))^(1/inputs!$O$13))-1)/inputs!$N$13&lt;0, 0, IF((((inputs!$P$13/(V64/MAX(K64:S64)))^(1/inputs!$O$13))-1)/inputs!$N$13&lt;inputs!$I$17, (((inputs!$P$13/(V64/MAX(K64:S64)))^(1/inputs!$O$13))-1)/inputs!$N$13, inputs!$I$17))</f>
        <v>1000</v>
      </c>
      <c r="U64" s="63">
        <f>IF((((inputs!$P$13/(X64/MAX(K64:S64)))^(1/inputs!$O$13))-1)/inputs!$N$13&lt;0, 0, IF((((inputs!$P$13/(X64/MAX(K64:S64)))^(1/inputs!$O$13))-1)/inputs!$N$13&lt;inputs!$I$17, (((inputs!$P$13/(X64/MAX(K64:S64)))^(1/inputs!$O$13))-1)/inputs!$N$13, inputs!$I$17))</f>
        <v>98.77901901140666</v>
      </c>
      <c r="V64" s="21">
        <f>inputs!$E$78*(F64/inputs!$F$78)^(inputs!$E$84-1)</f>
        <v>1.0972644854266207E-2</v>
      </c>
      <c r="W64" s="21">
        <f>inputs!$E$85*(F64/inputs!$F$85)^(inputs!$E$84-1)</f>
        <v>0.50669652598423132</v>
      </c>
      <c r="X64" s="21">
        <f>inputs!$E$80*(F64/inputs!$F$80)^(inputs!$E$84-1)</f>
        <v>1.8920946223461801</v>
      </c>
      <c r="Y64" s="21">
        <f>inputs!$E$82*(F64/inputs!$F$82)^(inputs!$E$84-1)</f>
        <v>0.87203651210220912</v>
      </c>
      <c r="Z64" s="63">
        <f t="shared" si="1"/>
        <v>6597.235812904446</v>
      </c>
      <c r="AA64" s="63">
        <f t="shared" si="2"/>
        <v>142.86485476535415</v>
      </c>
    </row>
    <row r="65" spans="1:27" ht="13.2" x14ac:dyDescent="0.25">
      <c r="A65" s="103" t="s">
        <v>191</v>
      </c>
      <c r="B65" s="20" t="s">
        <v>192</v>
      </c>
      <c r="C65" s="20" t="s">
        <v>73</v>
      </c>
      <c r="D65" s="104" t="s">
        <v>137</v>
      </c>
      <c r="E65" s="15">
        <v>8386</v>
      </c>
      <c r="F65" s="15">
        <v>441</v>
      </c>
      <c r="G65" s="21" t="s">
        <v>456</v>
      </c>
      <c r="H65" s="20">
        <v>0.68</v>
      </c>
      <c r="I65" s="68">
        <f>MAX('Max rate concentrations'!$J$3:$J$368)</f>
        <v>686.46486205830786</v>
      </c>
      <c r="J65" s="68">
        <f>MAX('Max rate concentrations'!AB:AB)</f>
        <v>243.122971978984</v>
      </c>
      <c r="K65" s="69">
        <f t="shared" si="6"/>
        <v>141.76519529115978</v>
      </c>
      <c r="L65" s="69">
        <f t="shared" si="7"/>
        <v>50.20850666561909</v>
      </c>
      <c r="M65" s="69">
        <f>IF((((1.18*F65^0.874)/3.7-(0.301*F65^0.751)/(1-H65)*H65)*(MAX('Max rate concentrations'!$P$3:$P$368)))/F65&gt;0, (((1.18*F65^0.874)/3.7-(0.301*F65^0.751)/(1-H65)*H65)*(MAX('Max rate concentrations'!$P$3:$P$368)))/F65, 0)</f>
        <v>6.6576346627341444E-3</v>
      </c>
      <c r="N65" s="69">
        <f>IF((((1.18*F65^0.874)/3.7-(0.301*F65^0.751)/(1-H65)*H65)*(MAX('Max rate concentrations'!$Q$3:$Q$368)))/F65&gt;0, (((1.18*F65^0.874)/3.7-(0.301*F65^0.751)/(1-H65)*H65)*(MAX('Max rate concentrations'!$Q$3:$Q$368)))/F65, 0)</f>
        <v>2.5352630521621015E-2</v>
      </c>
      <c r="O65" s="69">
        <f>((MAX('Max rate concentrations'!$F$3:$F$368))*0.62*6.01*8*(10*F65^0.667)*0.079*0.1/F65)*inputs!$E$80/(10^(0.84+0.62*LOG10(inputs!$E$80)))</f>
        <v>19.326596318359169</v>
      </c>
      <c r="P65" s="69">
        <f>((MAX('Max rate concentrations'!Y:Y))*0.62*6.01*8*(10*F65^0.667)*0.079*0.1/F65)*inputs!$E$80/(10^(0.84+0.62*LOG10(inputs!$E$80)))</f>
        <v>6.4421987727863907</v>
      </c>
      <c r="Q65" s="69">
        <f>(inputs!$C$18*11.2*(10*F65^0.667)*0.5/F65)*inputs!$E$80/(10^(0.84+0.62*LOG10(inputs!$E$80)))</f>
        <v>3.404288786078276</v>
      </c>
      <c r="R65" s="59">
        <f>(60*284*((F65/1000)^0.77)*3*24*(MAX('Max rate concentrations'!$R$3:$R$368))/F65)*(inputs!$E$73*3.4/inputs!$E$75)</f>
        <v>3.3952040464205122E-2</v>
      </c>
      <c r="S65" s="59">
        <f>(IF(inputs!$C$17="aerial",((0.025*0.112*inputs!$C$18/3.3)*(3*60*284*((F65/1000)^0.77))*MAX(inputs!$I$14:$I$16))/F65,((0.0083*0.112*inputs!$C$18/1)*(3*60*284*((F65/1000)^0.77))*MAX(inputs!$I$14:$I$16))/F65))*(inputs!E$75*3.4/inputs!$E$73)</f>
        <v>0.18724758911605199</v>
      </c>
      <c r="T65" s="63">
        <f>IF((((inputs!$P$13/(V65/MAX(K65:S65)))^(1/inputs!$O$13))-1)/inputs!$N$13&lt;0, 0, IF((((inputs!$P$13/(V65/MAX(K65:S65)))^(1/inputs!$O$13))-1)/inputs!$N$13&lt;inputs!$I$17, (((inputs!$P$13/(V65/MAX(K65:S65)))^(1/inputs!$O$13))-1)/inputs!$N$13, inputs!$I$17))</f>
        <v>1000</v>
      </c>
      <c r="U65" s="63">
        <f>IF((((inputs!$P$13/(X65/MAX(K65:S65)))^(1/inputs!$O$13))-1)/inputs!$N$13&lt;0, 0, IF((((inputs!$P$13/(X65/MAX(K65:S65)))^(1/inputs!$O$13))-1)/inputs!$N$13&lt;inputs!$I$17, (((inputs!$P$13/(X65/MAX(K65:S65)))^(1/inputs!$O$13))-1)/inputs!$N$13, inputs!$I$17))</f>
        <v>173.87755026833705</v>
      </c>
      <c r="V65" s="21">
        <f>inputs!$E$78*(F65/inputs!$F$78)^(inputs!$E$84-1)</f>
        <v>1.0972644854266207E-2</v>
      </c>
      <c r="W65" s="21">
        <f>inputs!$E$85*(F65/inputs!$F$85)^(inputs!$E$84-1)</f>
        <v>0.50669652598423132</v>
      </c>
      <c r="X65" s="21">
        <f>inputs!$E$80*(F65/inputs!$F$80)^(inputs!$E$84-1)</f>
        <v>1.8920946223461801</v>
      </c>
      <c r="Y65" s="21">
        <f>inputs!$E$82*(F65/inputs!$F$82)^(inputs!$E$84-1)</f>
        <v>0.87203651210220912</v>
      </c>
      <c r="Z65" s="63">
        <f t="shared" si="1"/>
        <v>12919.87457664238</v>
      </c>
      <c r="AA65" s="63">
        <f t="shared" si="2"/>
        <v>279.78323912086898</v>
      </c>
    </row>
    <row r="66" spans="1:27" ht="13.2" x14ac:dyDescent="0.25">
      <c r="A66" s="103" t="s">
        <v>189</v>
      </c>
      <c r="B66" s="20" t="s">
        <v>190</v>
      </c>
      <c r="C66" s="20" t="s">
        <v>73</v>
      </c>
      <c r="D66" s="104" t="s">
        <v>137</v>
      </c>
      <c r="E66" s="15">
        <v>127</v>
      </c>
      <c r="F66" s="15">
        <v>380</v>
      </c>
      <c r="G66" s="20" t="s">
        <v>182</v>
      </c>
      <c r="H66" s="20">
        <v>0.85</v>
      </c>
      <c r="I66" s="68">
        <f>MAX('Max rate concentrations'!$M$3:$M$368)</f>
        <v>17.092910873809167</v>
      </c>
      <c r="J66" s="68">
        <f>MAX('Max rate concentrations'!AE:AE)</f>
        <v>11.81956602976166</v>
      </c>
      <c r="K66" s="69">
        <f t="shared" si="6"/>
        <v>7.814931022144096</v>
      </c>
      <c r="L66" s="69">
        <f t="shared" si="7"/>
        <v>5.4039416642485776</v>
      </c>
      <c r="M66" s="69">
        <f>IF((((1.18*F66^0.874)/3.7-(0.301*F66^0.751)/(1-H66)*H66)*(MAX('Max rate concentrations'!$P$3:$P$368)))/F66&gt;0, (((1.18*F66^0.874)/3.7-(0.301*F66^0.751)/(1-H66)*H66)*(MAX('Max rate concentrations'!$P$3:$P$368)))/F66, 0)</f>
        <v>0</v>
      </c>
      <c r="N66" s="69">
        <f>IF((((1.18*F66^0.874)/3.7-(0.301*F66^0.751)/(1-H66)*H66)*(MAX('Max rate concentrations'!$Q$3:$Q$368)))/F66&gt;0, (((1.18*F66^0.874)/3.7-(0.301*F66^0.751)/(1-H66)*H66)*(MAX('Max rate concentrations'!$Q$3:$Q$368)))/F66, 0)</f>
        <v>0</v>
      </c>
      <c r="O66" s="69">
        <f>((MAX('Max rate concentrations'!$F$3:$F$368))*0.62*6.01*8*(10*F66^0.667)*0.079*0.1/F66)*inputs!$E$80/(10^(0.84+0.62*LOG10(inputs!$E$80)))</f>
        <v>20.308857302866461</v>
      </c>
      <c r="P66" s="69">
        <f>((MAX('Max rate concentrations'!Y:Y))*0.62*6.01*8*(10*F66^0.667)*0.079*0.1/F66)*inputs!$E$80/(10^(0.84+0.62*LOG10(inputs!$E$80)))</f>
        <v>6.7696191009554898</v>
      </c>
      <c r="Q66" s="69">
        <f>(inputs!$C$18*11.2*(10*F66^0.667)*0.5/F66)*inputs!$E$80/(10^(0.84+0.62*LOG10(inputs!$E$80)))</f>
        <v>3.5773094255886009</v>
      </c>
      <c r="R66" s="59">
        <f>(60*284*((F66/1000)^0.77)*3*24*(MAX('Max rate concentrations'!$R$3:$R$368))/F66)*(inputs!$E$73*3.4/inputs!$E$75)</f>
        <v>3.5134722533676541E-2</v>
      </c>
      <c r="S66" s="59">
        <f>(IF(inputs!$C$17="aerial",((0.025*0.112*inputs!$C$18/3.3)*(3*60*284*((F66/1000)^0.77))*MAX(inputs!$I$14:$I$16))/F66,((0.0083*0.112*inputs!$C$18/1)*(3*60*284*((F66/1000)^0.77))*MAX(inputs!$I$14:$I$16))/F66))*(inputs!E$75*3.4/inputs!$E$73)</f>
        <v>0.19377015339117348</v>
      </c>
      <c r="T66" s="63">
        <f>IF((((inputs!$P$13/(V66/MAX(K66:S66)))^(1/inputs!$O$13))-1)/inputs!$N$13&lt;0, 0, IF((((inputs!$P$13/(V66/MAX(K66:S66)))^(1/inputs!$O$13))-1)/inputs!$N$13&lt;inputs!$I$17, (((inputs!$P$13/(V66/MAX(K66:S66)))^(1/inputs!$O$13))-1)/inputs!$N$13, inputs!$I$17))</f>
        <v>1000</v>
      </c>
      <c r="U66" s="63">
        <f>IF((((inputs!$P$13/(X66/MAX(K66:S66)))^(1/inputs!$O$13))-1)/inputs!$N$13&lt;0, 0, IF((((inputs!$P$13/(X66/MAX(K66:S66)))^(1/inputs!$O$13))-1)/inputs!$N$13&lt;inputs!$I$17, (((inputs!$P$13/(X66/MAX(K66:S66)))^(1/inputs!$O$13))-1)/inputs!$N$13, inputs!$I$17))</f>
        <v>30.363546196211441</v>
      </c>
      <c r="V66" s="21">
        <f>inputs!$E$78*(F66/inputs!$F$78)^(inputs!$E$84-1)</f>
        <v>1.1594009988906985E-2</v>
      </c>
      <c r="W66" s="21">
        <f>inputs!$E$85*(F66/inputs!$F$85)^(inputs!$E$84-1)</f>
        <v>0.53539002324690754</v>
      </c>
      <c r="X66" s="21">
        <f>inputs!$E$80*(F66/inputs!$F$80)^(inputs!$E$84-1)</f>
        <v>1.9992412260485786</v>
      </c>
      <c r="Y66" s="21">
        <f>inputs!$E$82*(F66/inputs!$F$82)^(inputs!$E$84-1)</f>
        <v>0.92141868859208143</v>
      </c>
      <c r="Z66" s="63">
        <f t="shared" ref="Z66:Z129" si="8">MAX(K66:S66)/V66</f>
        <v>1751.6680874259848</v>
      </c>
      <c r="AA66" s="63">
        <f t="shared" ref="AA66:AA129" si="9">MAX(K66:S66)/W66</f>
        <v>37.932827324091839</v>
      </c>
    </row>
    <row r="67" spans="1:27" ht="13.2" x14ac:dyDescent="0.25">
      <c r="A67" s="103" t="s">
        <v>189</v>
      </c>
      <c r="B67" s="20" t="s">
        <v>190</v>
      </c>
      <c r="C67" s="20" t="s">
        <v>73</v>
      </c>
      <c r="D67" s="104" t="s">
        <v>137</v>
      </c>
      <c r="E67" s="15">
        <v>127</v>
      </c>
      <c r="F67" s="15">
        <v>380</v>
      </c>
      <c r="G67" s="20" t="s">
        <v>142</v>
      </c>
      <c r="H67" s="20">
        <v>0.69</v>
      </c>
      <c r="I67" s="68">
        <f>MAX('Max rate concentrations'!$H$3:$H$368)</f>
        <v>282</v>
      </c>
      <c r="J67" s="68">
        <f>MAX('Max rate concentrations'!AA:AA)</f>
        <v>195</v>
      </c>
      <c r="K67" s="69">
        <f t="shared" si="6"/>
        <v>62.386093894221418</v>
      </c>
      <c r="L67" s="69">
        <f t="shared" si="7"/>
        <v>43.139320246004175</v>
      </c>
      <c r="M67" s="69">
        <f>IF((((1.18*F67^0.874)/3.7-(0.301*F67^0.751)/(1-H67)*H67)*(MAX('Max rate concentrations'!$P$3:$P$368)))/F67&gt;0, (((1.18*F67^0.874)/3.7-(0.301*F67^0.751)/(1-H67)*H67)*(MAX('Max rate concentrations'!$P$3:$P$368)))/F67, 0)</f>
        <v>0</v>
      </c>
      <c r="N67" s="69">
        <f>IF((((1.18*F67^0.874)/3.7-(0.301*F67^0.751)/(1-H67)*H67)*(MAX('Max rate concentrations'!$Q$3:$Q$368)))/F67&gt;0, (((1.18*F67^0.874)/3.7-(0.301*F67^0.751)/(1-H67)*H67)*(MAX('Max rate concentrations'!$Q$3:$Q$368)))/F67, 0)</f>
        <v>0</v>
      </c>
      <c r="O67" s="69">
        <f>((MAX('Max rate concentrations'!$F$3:$F$368))*0.62*6.01*8*(10*F67^0.667)*0.079*0.1/F67)*inputs!$E$80/(10^(0.84+0.62*LOG10(inputs!$E$80)))</f>
        <v>20.308857302866461</v>
      </c>
      <c r="P67" s="69">
        <f>((MAX('Max rate concentrations'!Y:Y))*0.62*6.01*8*(10*F67^0.667)*0.079*0.1/F67)*inputs!$E$80/(10^(0.84+0.62*LOG10(inputs!$E$80)))</f>
        <v>6.7696191009554898</v>
      </c>
      <c r="Q67" s="69">
        <f>(inputs!$C$18*11.2*(10*F67^0.667)*0.5/F67)*inputs!$E$80/(10^(0.84+0.62*LOG10(inputs!$E$80)))</f>
        <v>3.5773094255886009</v>
      </c>
      <c r="R67" s="59">
        <f>(60*284*((F67/1000)^0.77)*3*24*(MAX('Max rate concentrations'!$R$3:$R$368))/F67)*(inputs!$E$73*3.4/inputs!$E$75)</f>
        <v>3.5134722533676541E-2</v>
      </c>
      <c r="S67" s="59">
        <f>(IF(inputs!$C$17="aerial",((0.025*0.112*inputs!$C$18/3.3)*(3*60*284*((F67/1000)^0.77))*MAX(inputs!$I$14:$I$16))/F67,((0.0083*0.112*inputs!$C$18/1)*(3*60*284*((F67/1000)^0.77))*MAX(inputs!$I$14:$I$16))/F67))*(inputs!E$75*3.4/inputs!$E$73)</f>
        <v>0.19377015339117348</v>
      </c>
      <c r="T67" s="63">
        <f>IF((((inputs!$P$13/(V67/MAX(K67:S67)))^(1/inputs!$O$13))-1)/inputs!$N$13&lt;0, 0, IF((((inputs!$P$13/(V67/MAX(K67:S67)))^(1/inputs!$O$13))-1)/inputs!$N$13&lt;inputs!$I$17, (((inputs!$P$13/(V67/MAX(K67:S67)))^(1/inputs!$O$13))-1)/inputs!$N$13, inputs!$I$17))</f>
        <v>1000</v>
      </c>
      <c r="U67" s="63">
        <f>IF((((inputs!$P$13/(X67/MAX(K67:S67)))^(1/inputs!$O$13))-1)/inputs!$N$13&lt;0, 0, IF((((inputs!$P$13/(X67/MAX(K67:S67)))^(1/inputs!$O$13))-1)/inputs!$N$13&lt;inputs!$I$17, (((inputs!$P$13/(X67/MAX(K67:S67)))^(1/inputs!$O$13))-1)/inputs!$N$13, inputs!$I$17))</f>
        <v>82.976253488713894</v>
      </c>
      <c r="V67" s="21">
        <f>inputs!$E$78*(F67/inputs!$F$78)^(inputs!$E$84-1)</f>
        <v>1.1594009988906985E-2</v>
      </c>
      <c r="W67" s="21">
        <f>inputs!$E$85*(F67/inputs!$F$85)^(inputs!$E$84-1)</f>
        <v>0.53539002324690754</v>
      </c>
      <c r="X67" s="21">
        <f>inputs!$E$80*(F67/inputs!$F$80)^(inputs!$E$84-1)</f>
        <v>1.9992412260485786</v>
      </c>
      <c r="Y67" s="21">
        <f>inputs!$E$82*(F67/inputs!$F$82)^(inputs!$E$84-1)</f>
        <v>0.92141868859208143</v>
      </c>
      <c r="Z67" s="63">
        <f t="shared" si="8"/>
        <v>5380.8901280843911</v>
      </c>
      <c r="AA67" s="63">
        <f t="shared" si="9"/>
        <v>116.52457308762854</v>
      </c>
    </row>
    <row r="68" spans="1:27" ht="13.2" x14ac:dyDescent="0.25">
      <c r="A68" s="103" t="s">
        <v>189</v>
      </c>
      <c r="B68" s="20" t="s">
        <v>190</v>
      </c>
      <c r="C68" s="20" t="s">
        <v>73</v>
      </c>
      <c r="D68" s="104" t="s">
        <v>137</v>
      </c>
      <c r="E68" s="15">
        <v>127</v>
      </c>
      <c r="F68" s="15">
        <v>380</v>
      </c>
      <c r="G68" s="20" t="s">
        <v>138</v>
      </c>
      <c r="H68" s="20">
        <v>0.68</v>
      </c>
      <c r="I68" s="68">
        <f>MAX('Max rate concentrations'!$L$3:$L$368)</f>
        <v>350.52744091332482</v>
      </c>
      <c r="J68" s="68">
        <f>MAX('Max rate concentrations'!AD:AD)</f>
        <v>242.38599637623525</v>
      </c>
      <c r="K68" s="69">
        <f t="shared" si="6"/>
        <v>75.122913683612026</v>
      </c>
      <c r="L68" s="69">
        <f t="shared" si="7"/>
        <v>51.946695632284921</v>
      </c>
      <c r="M68" s="69">
        <f>IF((((1.18*F68^0.874)/3.7-(0.301*F68^0.751)/(1-H68)*H68)*(MAX('Max rate concentrations'!$P$3:$P$368)))/F68&gt;0, (((1.18*F68^0.874)/3.7-(0.301*F68^0.751)/(1-H68)*H68)*(MAX('Max rate concentrations'!$P$3:$P$368)))/F68, 0)</f>
        <v>4.4808015156363361E-3</v>
      </c>
      <c r="N68" s="69">
        <f>IF((((1.18*F68^0.874)/3.7-(0.301*F68^0.751)/(1-H68)*H68)*(MAX('Max rate concentrations'!$Q$3:$Q$368)))/F68&gt;0, (((1.18*F68^0.874)/3.7-(0.301*F68^0.751)/(1-H68)*H68)*(MAX('Max rate concentrations'!$Q$3:$Q$368)))/F68, 0)</f>
        <v>1.7063132932559327E-2</v>
      </c>
      <c r="O68" s="69">
        <f>((MAX('Max rate concentrations'!$F$3:$F$368))*0.62*6.01*8*(10*F68^0.667)*0.079*0.1/F68)*inputs!$E$80/(10^(0.84+0.62*LOG10(inputs!$E$80)))</f>
        <v>20.308857302866461</v>
      </c>
      <c r="P68" s="69">
        <f>((MAX('Max rate concentrations'!Y:Y))*0.62*6.01*8*(10*F68^0.667)*0.079*0.1/F68)*inputs!$E$80/(10^(0.84+0.62*LOG10(inputs!$E$80)))</f>
        <v>6.7696191009554898</v>
      </c>
      <c r="Q68" s="69">
        <f>(inputs!$C$18*11.2*(10*F68^0.667)*0.5/F68)*inputs!$E$80/(10^(0.84+0.62*LOG10(inputs!$E$80)))</f>
        <v>3.5773094255886009</v>
      </c>
      <c r="R68" s="59">
        <f>(60*284*((F68/1000)^0.77)*3*24*(MAX('Max rate concentrations'!$R$3:$R$368))/F68)*(inputs!$E$73*3.4/inputs!$E$75)</f>
        <v>3.5134722533676541E-2</v>
      </c>
      <c r="S68" s="59">
        <f>(IF(inputs!$C$17="aerial",((0.025*0.112*inputs!$C$18/3.3)*(3*60*284*((F68/1000)^0.77))*MAX(inputs!$I$14:$I$16))/F68,((0.0083*0.112*inputs!$C$18/1)*(3*60*284*((F68/1000)^0.77))*MAX(inputs!$I$14:$I$16))/F68))*(inputs!E$75*3.4/inputs!$E$73)</f>
        <v>0.19377015339117348</v>
      </c>
      <c r="T68" s="63">
        <f>IF((((inputs!$P$13/(V68/MAX(K68:S68)))^(1/inputs!$O$13))-1)/inputs!$N$13&lt;0, 0, IF((((inputs!$P$13/(V68/MAX(K68:S68)))^(1/inputs!$O$13))-1)/inputs!$N$13&lt;inputs!$I$17, (((inputs!$P$13/(V68/MAX(K68:S68)))^(1/inputs!$O$13))-1)/inputs!$N$13, inputs!$I$17))</f>
        <v>1000</v>
      </c>
      <c r="U68" s="63">
        <f>IF((((inputs!$P$13/(X68/MAX(K68:S68)))^(1/inputs!$O$13))-1)/inputs!$N$13&lt;0, 0, IF((((inputs!$P$13/(X68/MAX(K68:S68)))^(1/inputs!$O$13))-1)/inputs!$N$13&lt;inputs!$I$17, (((inputs!$P$13/(X68/MAX(K68:S68)))^(1/inputs!$O$13))-1)/inputs!$N$13, inputs!$I$17))</f>
        <v>97.274926247798902</v>
      </c>
      <c r="V68" s="21">
        <f>inputs!$E$78*(F68/inputs!$F$78)^(inputs!$E$84-1)</f>
        <v>1.1594009988906985E-2</v>
      </c>
      <c r="W68" s="21">
        <f>inputs!$E$85*(F68/inputs!$F$85)^(inputs!$E$84-1)</f>
        <v>0.53539002324690754</v>
      </c>
      <c r="X68" s="21">
        <f>inputs!$E$80*(F68/inputs!$F$80)^(inputs!$E$84-1)</f>
        <v>1.9992412260485786</v>
      </c>
      <c r="Y68" s="21">
        <f>inputs!$E$82*(F68/inputs!$F$82)^(inputs!$E$84-1)</f>
        <v>0.92141868859208143</v>
      </c>
      <c r="Z68" s="63">
        <f t="shared" si="8"/>
        <v>6479.4591134119055</v>
      </c>
      <c r="AA68" s="63">
        <f t="shared" si="9"/>
        <v>140.3143697523989</v>
      </c>
    </row>
    <row r="69" spans="1:27" ht="13.2" x14ac:dyDescent="0.25">
      <c r="A69" s="103" t="s">
        <v>189</v>
      </c>
      <c r="B69" s="20" t="s">
        <v>190</v>
      </c>
      <c r="C69" s="20" t="s">
        <v>73</v>
      </c>
      <c r="D69" s="104" t="s">
        <v>137</v>
      </c>
      <c r="E69" s="15">
        <v>127</v>
      </c>
      <c r="F69" s="15">
        <v>380</v>
      </c>
      <c r="G69" s="21" t="s">
        <v>456</v>
      </c>
      <c r="H69" s="20">
        <v>0.68</v>
      </c>
      <c r="I69" s="68">
        <f>MAX('Max rate concentrations'!$J$3:$J$368)</f>
        <v>686.46486205830786</v>
      </c>
      <c r="J69" s="68">
        <f>MAX('Max rate concentrations'!AB:AB)</f>
        <v>243.122971978984</v>
      </c>
      <c r="K69" s="69">
        <f t="shared" si="6"/>
        <v>147.11898288154413</v>
      </c>
      <c r="L69" s="69">
        <f t="shared" si="7"/>
        <v>52.104639770546868</v>
      </c>
      <c r="M69" s="69">
        <f>IF((((1.18*F69^0.874)/3.7-(0.301*F69^0.751)/(1-H69)*H69)*(MAX('Max rate concentrations'!$P$3:$P$368)))/F69&gt;0, (((1.18*F69^0.874)/3.7-(0.301*F69^0.751)/(1-H69)*H69)*(MAX('Max rate concentrations'!$P$3:$P$368)))/F69, 0)</f>
        <v>4.4808015156363361E-3</v>
      </c>
      <c r="N69" s="69">
        <f>IF((((1.18*F69^0.874)/3.7-(0.301*F69^0.751)/(1-H69)*H69)*(MAX('Max rate concentrations'!$Q$3:$Q$368)))/F69&gt;0, (((1.18*F69^0.874)/3.7-(0.301*F69^0.751)/(1-H69)*H69)*(MAX('Max rate concentrations'!$Q$3:$Q$368)))/F69, 0)</f>
        <v>1.7063132932559327E-2</v>
      </c>
      <c r="O69" s="69">
        <f>((MAX('Max rate concentrations'!$F$3:$F$368))*0.62*6.01*8*(10*F69^0.667)*0.079*0.1/F69)*inputs!$E$80/(10^(0.84+0.62*LOG10(inputs!$E$80)))</f>
        <v>20.308857302866461</v>
      </c>
      <c r="P69" s="69">
        <f>((MAX('Max rate concentrations'!Y:Y))*0.62*6.01*8*(10*F69^0.667)*0.079*0.1/F69)*inputs!$E$80/(10^(0.84+0.62*LOG10(inputs!$E$80)))</f>
        <v>6.7696191009554898</v>
      </c>
      <c r="Q69" s="69">
        <f>(inputs!$C$18*11.2*(10*F69^0.667)*0.5/F69)*inputs!$E$80/(10^(0.84+0.62*LOG10(inputs!$E$80)))</f>
        <v>3.5773094255886009</v>
      </c>
      <c r="R69" s="59">
        <f>(60*284*((F69/1000)^0.77)*3*24*(MAX('Max rate concentrations'!$R$3:$R$368))/F69)*(inputs!$E$73*3.4/inputs!$E$75)</f>
        <v>3.5134722533676541E-2</v>
      </c>
      <c r="S69" s="59">
        <f>(IF(inputs!$C$17="aerial",((0.025*0.112*inputs!$C$18/3.3)*(3*60*284*((F69/1000)^0.77))*MAX(inputs!$I$14:$I$16))/F69,((0.0083*0.112*inputs!$C$18/1)*(3*60*284*((F69/1000)^0.77))*MAX(inputs!$I$14:$I$16))/F69))*(inputs!E$75*3.4/inputs!$E$73)</f>
        <v>0.19377015339117348</v>
      </c>
      <c r="T69" s="63">
        <f>IF((((inputs!$P$13/(V69/MAX(K69:S69)))^(1/inputs!$O$13))-1)/inputs!$N$13&lt;0, 0, IF((((inputs!$P$13/(V69/MAX(K69:S69)))^(1/inputs!$O$13))-1)/inputs!$N$13&lt;inputs!$I$17, (((inputs!$P$13/(V69/MAX(K69:S69)))^(1/inputs!$O$13))-1)/inputs!$N$13, inputs!$I$17))</f>
        <v>1000</v>
      </c>
      <c r="U69" s="63">
        <f>IF((((inputs!$P$13/(X69/MAX(K69:S69)))^(1/inputs!$O$13))-1)/inputs!$N$13&lt;0, 0, IF((((inputs!$P$13/(X69/MAX(K69:S69)))^(1/inputs!$O$13))-1)/inputs!$N$13&lt;inputs!$I$17, (((inputs!$P$13/(X69/MAX(K69:S69)))^(1/inputs!$O$13))-1)/inputs!$N$13, inputs!$I$17))</f>
        <v>171.28741716518317</v>
      </c>
      <c r="V69" s="21">
        <f>inputs!$E$78*(F69/inputs!$F$78)^(inputs!$E$84-1)</f>
        <v>1.1594009988906985E-2</v>
      </c>
      <c r="W69" s="21">
        <f>inputs!$E$85*(F69/inputs!$F$85)^(inputs!$E$84-1)</f>
        <v>0.53539002324690754</v>
      </c>
      <c r="X69" s="21">
        <f>inputs!$E$80*(F69/inputs!$F$80)^(inputs!$E$84-1)</f>
        <v>1.9992412260485786</v>
      </c>
      <c r="Y69" s="21">
        <f>inputs!$E$82*(F69/inputs!$F$82)^(inputs!$E$84-1)</f>
        <v>0.92141868859208143</v>
      </c>
      <c r="Z69" s="63">
        <f t="shared" si="8"/>
        <v>12689.223402628244</v>
      </c>
      <c r="AA69" s="63">
        <f t="shared" si="9"/>
        <v>274.78842804976364</v>
      </c>
    </row>
    <row r="70" spans="1:27" ht="13.2" x14ac:dyDescent="0.25">
      <c r="A70" s="103" t="s">
        <v>189</v>
      </c>
      <c r="B70" s="20" t="s">
        <v>190</v>
      </c>
      <c r="C70" s="20" t="s">
        <v>73</v>
      </c>
      <c r="D70" s="104" t="s">
        <v>137</v>
      </c>
      <c r="E70" s="15">
        <v>127</v>
      </c>
      <c r="F70" s="15">
        <v>380</v>
      </c>
      <c r="G70" s="20" t="s">
        <v>145</v>
      </c>
      <c r="H70" s="20">
        <v>0.66</v>
      </c>
      <c r="I70" s="68">
        <f>MAX('Max rate concentrations'!$M$3:$M$368)</f>
        <v>17.092910873809167</v>
      </c>
      <c r="J70" s="68">
        <f>MAX('Max rate concentrations'!AE:AE)</f>
        <v>11.81956602976166</v>
      </c>
      <c r="K70" s="69">
        <f t="shared" si="6"/>
        <v>3.4477636862400427</v>
      </c>
      <c r="L70" s="69">
        <f t="shared" si="7"/>
        <v>2.3840919106979026</v>
      </c>
      <c r="M70" s="69">
        <f>IF((((1.18*F70^0.874)/3.7-(0.301*F70^0.751)/(1-H70)*H70)*(MAX('Max rate concentrations'!$P$3:$P$368)))/F70&gt;0, (((1.18*F70^0.874)/3.7-(0.301*F70^0.751)/(1-H70)*H70)*(MAX('Max rate concentrations'!$P$3:$P$368)))/F70, 0)</f>
        <v>1.5459829178802498E-2</v>
      </c>
      <c r="N70" s="69">
        <f>IF((((1.18*F70^0.874)/3.7-(0.301*F70^0.751)/(1-H70)*H70)*(MAX('Max rate concentrations'!$Q$3:$Q$368)))/F70&gt;0, (((1.18*F70^0.874)/3.7-(0.301*F70^0.751)/(1-H70)*H70)*(MAX('Max rate concentrations'!$Q$3:$Q$368)))/F70, 0)</f>
        <v>5.8871860195553474E-2</v>
      </c>
      <c r="O70" s="69">
        <f>((MAX('Max rate concentrations'!$F$3:$F$368))*0.62*6.01*8*(10*F70^0.667)*0.079*0.1/F70)*inputs!$E$80/(10^(0.84+0.62*LOG10(inputs!$E$80)))</f>
        <v>20.308857302866461</v>
      </c>
      <c r="P70" s="69">
        <f>((MAX('Max rate concentrations'!Y:Y))*0.62*6.01*8*(10*F70^0.667)*0.079*0.1/F70)*inputs!$E$80/(10^(0.84+0.62*LOG10(inputs!$E$80)))</f>
        <v>6.7696191009554898</v>
      </c>
      <c r="Q70" s="69">
        <f>(inputs!$C$18*11.2*(10*F70^0.667)*0.5/F70)*inputs!$E$80/(10^(0.84+0.62*LOG10(inputs!$E$80)))</f>
        <v>3.5773094255886009</v>
      </c>
      <c r="R70" s="59">
        <f>(60*284*((F70/1000)^0.77)*3*24*(MAX('Max rate concentrations'!$R$3:$R$368))/F70)*(inputs!$E$73*3.4/inputs!$E$75)</f>
        <v>3.5134722533676541E-2</v>
      </c>
      <c r="S70" s="59">
        <f>(IF(inputs!$C$17="aerial",((0.025*0.112*inputs!$C$18/3.3)*(3*60*284*((F70/1000)^0.77))*MAX(inputs!$I$14:$I$16))/F70,((0.0083*0.112*inputs!$C$18/1)*(3*60*284*((F70/1000)^0.77))*MAX(inputs!$I$14:$I$16))/F70))*(inputs!E$75*3.4/inputs!$E$73)</f>
        <v>0.19377015339117348</v>
      </c>
      <c r="T70" s="63">
        <f>IF((((inputs!$P$13/(V70/MAX(K70:S70)))^(1/inputs!$O$13))-1)/inputs!$N$13&lt;0, 0, IF((((inputs!$P$13/(V70/MAX(K70:S70)))^(1/inputs!$O$13))-1)/inputs!$N$13&lt;inputs!$I$17, (((inputs!$P$13/(V70/MAX(K70:S70)))^(1/inputs!$O$13))-1)/inputs!$N$13, inputs!$I$17))</f>
        <v>1000</v>
      </c>
      <c r="U70" s="63">
        <f>IF((((inputs!$P$13/(X70/MAX(K70:S70)))^(1/inputs!$O$13))-1)/inputs!$N$13&lt;0, 0, IF((((inputs!$P$13/(X70/MAX(K70:S70)))^(1/inputs!$O$13))-1)/inputs!$N$13&lt;inputs!$I$17, (((inputs!$P$13/(X70/MAX(K70:S70)))^(1/inputs!$O$13))-1)/inputs!$N$13, inputs!$I$17))</f>
        <v>30.363546196211441</v>
      </c>
      <c r="V70" s="21">
        <f>inputs!$E$78*(F70/inputs!$F$78)^(inputs!$E$84-1)</f>
        <v>1.1594009988906985E-2</v>
      </c>
      <c r="W70" s="21">
        <f>inputs!$E$85*(F70/inputs!$F$85)^(inputs!$E$84-1)</f>
        <v>0.53539002324690754</v>
      </c>
      <c r="X70" s="21">
        <f>inputs!$E$80*(F70/inputs!$F$80)^(inputs!$E$84-1)</f>
        <v>1.9992412260485786</v>
      </c>
      <c r="Y70" s="21">
        <f>inputs!$E$82*(F70/inputs!$F$82)^(inputs!$E$84-1)</f>
        <v>0.92141868859208143</v>
      </c>
      <c r="Z70" s="63">
        <f t="shared" si="8"/>
        <v>1751.6680874259848</v>
      </c>
      <c r="AA70" s="63">
        <f t="shared" si="9"/>
        <v>37.932827324091839</v>
      </c>
    </row>
    <row r="71" spans="1:27" ht="13.2" x14ac:dyDescent="0.25">
      <c r="A71" s="103" t="s">
        <v>135</v>
      </c>
      <c r="B71" s="20" t="s">
        <v>136</v>
      </c>
      <c r="C71" s="20" t="s">
        <v>73</v>
      </c>
      <c r="D71" s="104" t="s">
        <v>137</v>
      </c>
      <c r="E71" s="15">
        <v>128</v>
      </c>
      <c r="F71" s="15">
        <v>82</v>
      </c>
      <c r="G71" s="20" t="s">
        <v>138</v>
      </c>
      <c r="H71" s="20">
        <v>0.68</v>
      </c>
      <c r="I71" s="68">
        <f>MAX('Max rate concentrations'!$L$3:$L$368)</f>
        <v>350.52744091332482</v>
      </c>
      <c r="J71" s="68">
        <f>MAX('Max rate concentrations'!AD:AD)</f>
        <v>242.38599637623525</v>
      </c>
      <c r="K71" s="69">
        <f t="shared" si="6"/>
        <v>110.05224092578614</v>
      </c>
      <c r="L71" s="69">
        <f t="shared" si="7"/>
        <v>76.099953831660628</v>
      </c>
      <c r="M71" s="69">
        <f>IF((((1.18*F71^0.874)/3.7-(0.301*F71^0.751)/(1-H71)*H71)*(MAX('Max rate concentrations'!$P$3:$P$368)))/F71&gt;0, (((1.18*F71^0.874)/3.7-(0.301*F71^0.751)/(1-H71)*H71)*(MAX('Max rate concentrations'!$P$3:$P$368)))/F71, 0)</f>
        <v>0</v>
      </c>
      <c r="N71" s="69">
        <f>IF((((1.18*F71^0.874)/3.7-(0.301*F71^0.751)/(1-H71)*H71)*(MAX('Max rate concentrations'!$Q$3:$Q$368)))/F71&gt;0, (((1.18*F71^0.874)/3.7-(0.301*F71^0.751)/(1-H71)*H71)*(MAX('Max rate concentrations'!$Q$3:$Q$368)))/F71, 0)</f>
        <v>0</v>
      </c>
      <c r="O71" s="69">
        <f>((MAX('Max rate concentrations'!$F$3:$F$368))*0.62*6.01*8*(10*F71^0.667)*0.079*0.1/F71)*inputs!$E$80/(10^(0.84+0.62*LOG10(inputs!$E$80)))</f>
        <v>33.841796758974091</v>
      </c>
      <c r="P71" s="69">
        <f>((MAX('Max rate concentrations'!Y:Y))*0.62*6.01*8*(10*F71^0.667)*0.079*0.1/F71)*inputs!$E$80/(10^(0.84+0.62*LOG10(inputs!$E$80)))</f>
        <v>11.280598919658027</v>
      </c>
      <c r="Q71" s="69">
        <f>(inputs!$C$18*11.2*(10*F71^0.667)*0.5/F71)*inputs!$E$80/(10^(0.84+0.62*LOG10(inputs!$E$80)))</f>
        <v>5.9610728816162677</v>
      </c>
      <c r="R71" s="59">
        <f>(60*284*((F71/1000)^0.77)*3*24*(MAX('Max rate concentrations'!$R$3:$R$368))/F71)*(inputs!$E$73*3.4/inputs!$E$75)</f>
        <v>4.9993042648639421E-2</v>
      </c>
      <c r="S71" s="59">
        <f>(IF(inputs!$C$17="aerial",((0.025*0.112*inputs!$C$18/3.3)*(3*60*284*((F71/1000)^0.77))*MAX(inputs!$I$14:$I$16))/F71,((0.0083*0.112*inputs!$C$18/1)*(3*60*284*((F71/1000)^0.77))*MAX(inputs!$I$14:$I$16))/F71))*(inputs!E$75*3.4/inputs!$E$73)</f>
        <v>0.27571470169525952</v>
      </c>
      <c r="T71" s="63">
        <f>IF((((inputs!$P$13/(V71/MAX(K71:S71)))^(1/inputs!$O$13))-1)/inputs!$N$13&lt;0, 0, IF((((inputs!$P$13/(V71/MAX(K71:S71)))^(1/inputs!$O$13))-1)/inputs!$N$13&lt;inputs!$I$17, (((inputs!$P$13/(V71/MAX(K71:S71)))^(1/inputs!$O$13))-1)/inputs!$N$13, inputs!$I$17))</f>
        <v>1000</v>
      </c>
      <c r="U71" s="63">
        <f>IF((((inputs!$P$13/(X71/MAX(K71:S71)))^(1/inputs!$O$13))-1)/inputs!$N$13&lt;0, 0, IF((((inputs!$P$13/(X71/MAX(K71:S71)))^(1/inputs!$O$13))-1)/inputs!$N$13&lt;inputs!$I$17, (((inputs!$P$13/(X71/MAX(K71:S71)))^(1/inputs!$O$13))-1)/inputs!$N$13, inputs!$I$17))</f>
        <v>82.993055027354544</v>
      </c>
      <c r="V71" s="21">
        <f>inputs!$E$78*(F71/inputs!$F$78)^(inputs!$E$84-1)</f>
        <v>2.0447606345010017E-2</v>
      </c>
      <c r="W71" s="21">
        <f>inputs!$E$85*(F71/inputs!$F$85)^(inputs!$E$84-1)</f>
        <v>0.94423279321588605</v>
      </c>
      <c r="X71" s="21">
        <f>inputs!$E$80*(F71/inputs!$F$80)^(inputs!$E$84-1)</f>
        <v>3.5259325822618526</v>
      </c>
      <c r="Y71" s="21">
        <f>inputs!$E$82*(F71/inputs!$F$82)^(inputs!$E$84-1)</f>
        <v>1.6250466095244802</v>
      </c>
      <c r="Z71" s="63">
        <f t="shared" si="8"/>
        <v>5382.1576505771791</v>
      </c>
      <c r="AA71" s="63">
        <f t="shared" si="9"/>
        <v>116.55202161637293</v>
      </c>
    </row>
    <row r="72" spans="1:27" ht="13.2" x14ac:dyDescent="0.25">
      <c r="A72" s="103" t="s">
        <v>175</v>
      </c>
      <c r="B72" s="20" t="s">
        <v>176</v>
      </c>
      <c r="C72" s="20" t="s">
        <v>73</v>
      </c>
      <c r="D72" s="104" t="s">
        <v>172</v>
      </c>
      <c r="E72" s="15">
        <v>69</v>
      </c>
      <c r="F72" s="15">
        <v>460</v>
      </c>
      <c r="G72" s="20" t="s">
        <v>173</v>
      </c>
      <c r="H72" s="20">
        <v>0.8</v>
      </c>
      <c r="I72" s="68">
        <f>inputs!$C$66*inputs!$C$60/1000</f>
        <v>28</v>
      </c>
      <c r="J72" s="68">
        <f>inputs!$C$66*inputs!$C$59/1000</f>
        <v>28</v>
      </c>
      <c r="K72" s="69">
        <f t="shared" si="6"/>
        <v>9.1551998958237792</v>
      </c>
      <c r="L72" s="69">
        <f t="shared" si="7"/>
        <v>9.1551998958237792</v>
      </c>
      <c r="M72" s="69">
        <f>IF((((1.18*F72^0.874)/3.7-(0.301*F72^0.751)/(1-H72)*H72)*(MAX('Max rate concentrations'!$P$3:$P$368)))/F72&gt;0, (((1.18*F72^0.874)/3.7-(0.301*F72^0.751)/(1-H72)*H72)*(MAX('Max rate concentrations'!$P$3:$P$368)))/F72, 0)</f>
        <v>0</v>
      </c>
      <c r="N72" s="69">
        <f>IF((((1.18*F72^0.874)/3.7-(0.301*F72^0.751)/(1-H72)*H72)*(MAX('Max rate concentrations'!$Q$3:$Q$368)))/F72&gt;0, (((1.18*F72^0.874)/3.7-(0.301*F72^0.751)/(1-H72)*H72)*(MAX('Max rate concentrations'!$Q$3:$Q$368)))/F72, 0)</f>
        <v>0</v>
      </c>
      <c r="O72" s="69">
        <f>((MAX('Max rate concentrations'!$F$3:$F$368))*0.62*6.01*8*(10*F72^0.667)*0.079*0.1/F72)*inputs!$E$80/(10^(0.84+0.62*LOG10(inputs!$E$80)))</f>
        <v>19.05702342559783</v>
      </c>
      <c r="P72" s="69">
        <f>((MAX('Max rate concentrations'!Y:Y))*0.62*6.01*8*(10*F72^0.667)*0.079*0.1/F72)*inputs!$E$80/(10^(0.84+0.62*LOG10(inputs!$E$80)))</f>
        <v>6.3523411418659421</v>
      </c>
      <c r="Q72" s="69">
        <f>(inputs!$C$18*11.2*(10*F72^0.667)*0.5/F72)*inputs!$E$80/(10^(0.84+0.62*LOG10(inputs!$E$80)))</f>
        <v>3.3568047924799655</v>
      </c>
      <c r="R72" s="59">
        <f>(60*284*((F72/1000)^0.77)*3*24*(MAX('Max rate concentrations'!$R$3:$R$368))/F72)*(inputs!$E$73*3.4/inputs!$E$75)</f>
        <v>3.3624238237170555E-2</v>
      </c>
      <c r="S72" s="59">
        <f>(IF(inputs!$C$17="aerial",((0.025*0.112*inputs!$C$18/3.3)*(3*60*284*((F72/1000)^0.77))*MAX(inputs!$I$14:$I$16))/F72,((0.0083*0.112*inputs!$C$18/1)*(3*60*284*((F72/1000)^0.77))*MAX(inputs!$I$14:$I$16))/F72))*(inputs!E$75*3.4/inputs!$E$73)</f>
        <v>0.18543973969434169</v>
      </c>
      <c r="T72" s="63">
        <f>IF((((inputs!$P$13/(V72/MAX(K72:S72)))^(1/inputs!$O$13))-1)/inputs!$N$13&lt;0, 0, IF((((inputs!$P$13/(V72/MAX(K72:S72)))^(1/inputs!$O$13))-1)/inputs!$N$13&lt;inputs!$I$17, (((inputs!$P$13/(V72/MAX(K72:S72)))^(1/inputs!$O$13))-1)/inputs!$N$13, inputs!$I$17))</f>
        <v>1000</v>
      </c>
      <c r="U72" s="63">
        <f>IF((((inputs!$P$13/(X72/MAX(K72:S72)))^(1/inputs!$O$13))-1)/inputs!$N$13&lt;0, 0, IF((((inputs!$P$13/(X72/MAX(K72:S72)))^(1/inputs!$O$13))-1)/inputs!$N$13&lt;inputs!$I$17, (((inputs!$P$13/(X72/MAX(K72:S72)))^(1/inputs!$O$13))-1)/inputs!$N$13, inputs!$I$17))</f>
        <v>30.567585003253168</v>
      </c>
      <c r="V72" s="21">
        <f>inputs!$E$78*(F72/inputs!$F$78)^(inputs!$E$84-1)</f>
        <v>1.0802722080610554E-2</v>
      </c>
      <c r="W72" s="21">
        <f>inputs!$E$85*(F72/inputs!$F$85)^(inputs!$E$84-1)</f>
        <v>0.49884980532203388</v>
      </c>
      <c r="X72" s="21">
        <f>inputs!$E$80*(F72/inputs!$F$80)^(inputs!$E$84-1)</f>
        <v>1.8627935768354429</v>
      </c>
      <c r="Y72" s="21">
        <f>inputs!$E$82*(F72/inputs!$F$82)^(inputs!$E$84-1)</f>
        <v>0.85853212324852302</v>
      </c>
      <c r="Z72" s="63">
        <f t="shared" si="8"/>
        <v>1764.0945757368549</v>
      </c>
      <c r="AA72" s="63">
        <f t="shared" si="9"/>
        <v>38.201926155499883</v>
      </c>
    </row>
    <row r="73" spans="1:27" ht="13.2" x14ac:dyDescent="0.25">
      <c r="A73" s="103" t="s">
        <v>175</v>
      </c>
      <c r="B73" s="20" t="s">
        <v>176</v>
      </c>
      <c r="C73" s="20" t="s">
        <v>73</v>
      </c>
      <c r="D73" s="104" t="s">
        <v>172</v>
      </c>
      <c r="E73" s="15">
        <v>69</v>
      </c>
      <c r="F73" s="15">
        <v>460</v>
      </c>
      <c r="G73" s="20" t="s">
        <v>164</v>
      </c>
      <c r="H73" s="20">
        <v>0.78</v>
      </c>
      <c r="I73" s="68">
        <f>inputs!$C$66*(inputs!$C$62/1000)</f>
        <v>8.2000000000000011</v>
      </c>
      <c r="J73" s="68">
        <f>inputs!$C$66*(inputs!$C$61/1000)</f>
        <v>2.5</v>
      </c>
      <c r="K73" s="69">
        <f t="shared" si="6"/>
        <v>2.4374233488881494</v>
      </c>
      <c r="L73" s="69">
        <f t="shared" si="7"/>
        <v>0.74311687466102105</v>
      </c>
      <c r="M73" s="69">
        <f>IF((((1.18*F73^0.874)/3.7-(0.301*F73^0.751)/(1-H73)*H73)*(MAX('Max rate concentrations'!$P$3:$P$368)))/F73&gt;0, (((1.18*F73^0.874)/3.7-(0.301*F73^0.751)/(1-H73)*H73)*(MAX('Max rate concentrations'!$P$3:$P$368)))/F73, 0)</f>
        <v>0</v>
      </c>
      <c r="N73" s="69">
        <f>IF((((1.18*F73^0.874)/3.7-(0.301*F73^0.751)/(1-H73)*H73)*(MAX('Max rate concentrations'!$Q$3:$Q$368)))/F73&gt;0, (((1.18*F73^0.874)/3.7-(0.301*F73^0.751)/(1-H73)*H73)*(MAX('Max rate concentrations'!$Q$3:$Q$368)))/F73, 0)</f>
        <v>0</v>
      </c>
      <c r="O73" s="69">
        <f>((MAX('Max rate concentrations'!$F$3:$F$368))*0.62*6.01*8*(10*F73^0.667)*0.079*0.1/F73)*inputs!$E$80/(10^(0.84+0.62*LOG10(inputs!$E$80)))</f>
        <v>19.05702342559783</v>
      </c>
      <c r="P73" s="69">
        <f>((MAX('Max rate concentrations'!Y:Y))*0.62*6.01*8*(10*F73^0.667)*0.079*0.1/F73)*inputs!$E$80/(10^(0.84+0.62*LOG10(inputs!$E$80)))</f>
        <v>6.3523411418659421</v>
      </c>
      <c r="Q73" s="69">
        <f>(inputs!$C$18*11.2*(10*F73^0.667)*0.5/F73)*inputs!$E$80/(10^(0.84+0.62*LOG10(inputs!$E$80)))</f>
        <v>3.3568047924799655</v>
      </c>
      <c r="R73" s="59">
        <f>(60*284*((F73/1000)^0.77)*3*24*(MAX('Max rate concentrations'!$R$3:$R$368))/F73)*(inputs!$E$73*3.4/inputs!$E$75)</f>
        <v>3.3624238237170555E-2</v>
      </c>
      <c r="S73" s="59">
        <f>(IF(inputs!$C$17="aerial",((0.025*0.112*inputs!$C$18/3.3)*(3*60*284*((F73/1000)^0.77))*MAX(inputs!$I$14:$I$16))/F73,((0.0083*0.112*inputs!$C$18/1)*(3*60*284*((F73/1000)^0.77))*MAX(inputs!$I$14:$I$16))/F73))*(inputs!E$75*3.4/inputs!$E$73)</f>
        <v>0.18543973969434169</v>
      </c>
      <c r="T73" s="63">
        <f>IF((((inputs!$P$13/(V73/MAX(K73:S73)))^(1/inputs!$O$13))-1)/inputs!$N$13&lt;0, 0, IF((((inputs!$P$13/(V73/MAX(K73:S73)))^(1/inputs!$O$13))-1)/inputs!$N$13&lt;inputs!$I$17, (((inputs!$P$13/(V73/MAX(K73:S73)))^(1/inputs!$O$13))-1)/inputs!$N$13, inputs!$I$17))</f>
        <v>1000</v>
      </c>
      <c r="U73" s="63">
        <f>IF((((inputs!$P$13/(X73/MAX(K73:S73)))^(1/inputs!$O$13))-1)/inputs!$N$13&lt;0, 0, IF((((inputs!$P$13/(X73/MAX(K73:S73)))^(1/inputs!$O$13))-1)/inputs!$N$13&lt;inputs!$I$17, (((inputs!$P$13/(X73/MAX(K73:S73)))^(1/inputs!$O$13))-1)/inputs!$N$13, inputs!$I$17))</f>
        <v>30.567585003253168</v>
      </c>
      <c r="V73" s="21">
        <f>inputs!$E$78*(F73/inputs!$F$78)^(inputs!$E$84-1)</f>
        <v>1.0802722080610554E-2</v>
      </c>
      <c r="W73" s="21">
        <f>inputs!$E$85*(F73/inputs!$F$85)^(inputs!$E$84-1)</f>
        <v>0.49884980532203388</v>
      </c>
      <c r="X73" s="21">
        <f>inputs!$E$80*(F73/inputs!$F$80)^(inputs!$E$84-1)</f>
        <v>1.8627935768354429</v>
      </c>
      <c r="Y73" s="21">
        <f>inputs!$E$82*(F73/inputs!$F$82)^(inputs!$E$84-1)</f>
        <v>0.85853212324852302</v>
      </c>
      <c r="Z73" s="63">
        <f t="shared" si="8"/>
        <v>1764.0945757368549</v>
      </c>
      <c r="AA73" s="63">
        <f t="shared" si="9"/>
        <v>38.201926155499883</v>
      </c>
    </row>
    <row r="74" spans="1:27" ht="13.2" x14ac:dyDescent="0.25">
      <c r="A74" s="103" t="s">
        <v>175</v>
      </c>
      <c r="B74" s="20" t="s">
        <v>176</v>
      </c>
      <c r="C74" s="20" t="s">
        <v>73</v>
      </c>
      <c r="D74" s="104" t="s">
        <v>172</v>
      </c>
      <c r="E74" s="15">
        <v>69</v>
      </c>
      <c r="F74" s="15">
        <v>460</v>
      </c>
      <c r="G74" s="20" t="s">
        <v>169</v>
      </c>
      <c r="H74" s="20">
        <v>0.79</v>
      </c>
      <c r="I74" s="68">
        <f>MAX('Max rate concentrations'!$D$3:$D$368)</f>
        <v>720</v>
      </c>
      <c r="J74" s="68">
        <f>MAX('Max rate concentrations'!W:W)</f>
        <v>255</v>
      </c>
      <c r="K74" s="69">
        <f t="shared" si="6"/>
        <v>224.20897704058234</v>
      </c>
      <c r="L74" s="69">
        <f t="shared" si="7"/>
        <v>79.407346035206245</v>
      </c>
      <c r="M74" s="69">
        <f>IF((((1.18*F74^0.874)/3.7-(0.301*F74^0.751)/(1-H74)*H74)*(MAX('Max rate concentrations'!$P$3:$P$368)))/F74&gt;0, (((1.18*F74^0.874)/3.7-(0.301*F74^0.751)/(1-H74)*H74)*(MAX('Max rate concentrations'!$P$3:$P$368)))/F74, 0)</f>
        <v>0</v>
      </c>
      <c r="N74" s="69">
        <f>IF((((1.18*F74^0.874)/3.7-(0.301*F74^0.751)/(1-H74)*H74)*(MAX('Max rate concentrations'!$Q$3:$Q$368)))/F74&gt;0, (((1.18*F74^0.874)/3.7-(0.301*F74^0.751)/(1-H74)*H74)*(MAX('Max rate concentrations'!$Q$3:$Q$368)))/F74, 0)</f>
        <v>0</v>
      </c>
      <c r="O74" s="69">
        <f>((MAX('Max rate concentrations'!$F$3:$F$368))*0.62*6.01*8*(10*F74^0.667)*0.079*0.1/F74)*inputs!$E$80/(10^(0.84+0.62*LOG10(inputs!$E$80)))</f>
        <v>19.05702342559783</v>
      </c>
      <c r="P74" s="69">
        <f>((MAX('Max rate concentrations'!Y:Y))*0.62*6.01*8*(10*F74^0.667)*0.079*0.1/F74)*inputs!$E$80/(10^(0.84+0.62*LOG10(inputs!$E$80)))</f>
        <v>6.3523411418659421</v>
      </c>
      <c r="Q74" s="69">
        <f>(inputs!$C$18*11.2*(10*F74^0.667)*0.5/F74)*inputs!$E$80/(10^(0.84+0.62*LOG10(inputs!$E$80)))</f>
        <v>3.3568047924799655</v>
      </c>
      <c r="R74" s="59">
        <f>(60*284*((F74/1000)^0.77)*3*24*(MAX('Max rate concentrations'!$R$3:$R$368))/F74)*(inputs!$E$73*3.4/inputs!$E$75)</f>
        <v>3.3624238237170555E-2</v>
      </c>
      <c r="S74" s="59">
        <f>(IF(inputs!$C$17="aerial",((0.025*0.112*inputs!$C$18/3.3)*(3*60*284*((F74/1000)^0.77))*MAX(inputs!$I$14:$I$16))/F74,((0.0083*0.112*inputs!$C$18/1)*(3*60*284*((F74/1000)^0.77))*MAX(inputs!$I$14:$I$16))/F74))*(inputs!E$75*3.4/inputs!$E$73)</f>
        <v>0.18543973969434169</v>
      </c>
      <c r="T74" s="63">
        <f>IF((((inputs!$P$13/(V74/MAX(K74:S74)))^(1/inputs!$O$13))-1)/inputs!$N$13&lt;0, 0, IF((((inputs!$P$13/(V74/MAX(K74:S74)))^(1/inputs!$O$13))-1)/inputs!$N$13&lt;inputs!$I$17, (((inputs!$P$13/(V74/MAX(K74:S74)))^(1/inputs!$O$13))-1)/inputs!$N$13, inputs!$I$17))</f>
        <v>1000</v>
      </c>
      <c r="U74" s="63">
        <f>IF((((inputs!$P$13/(X74/MAX(K74:S74)))^(1/inputs!$O$13))-1)/inputs!$N$13&lt;0, 0, IF((((inputs!$P$13/(X74/MAX(K74:S74)))^(1/inputs!$O$13))-1)/inputs!$N$13&lt;inputs!$I$17, (((inputs!$P$13/(X74/MAX(K74:S74)))^(1/inputs!$O$13))-1)/inputs!$N$13, inputs!$I$17))</f>
        <v>257.54598709681323</v>
      </c>
      <c r="V74" s="21">
        <f>inputs!$E$78*(F74/inputs!$F$78)^(inputs!$E$84-1)</f>
        <v>1.0802722080610554E-2</v>
      </c>
      <c r="W74" s="21">
        <f>inputs!$E$85*(F74/inputs!$F$85)^(inputs!$E$84-1)</f>
        <v>0.49884980532203388</v>
      </c>
      <c r="X74" s="21">
        <f>inputs!$E$80*(F74/inputs!$F$80)^(inputs!$E$84-1)</f>
        <v>1.8627935768354429</v>
      </c>
      <c r="Y74" s="21">
        <f>inputs!$E$82*(F74/inputs!$F$82)^(inputs!$E$84-1)</f>
        <v>0.85853212324852302</v>
      </c>
      <c r="Z74" s="63">
        <f t="shared" si="8"/>
        <v>20754.85931856079</v>
      </c>
      <c r="AA74" s="63">
        <f t="shared" si="9"/>
        <v>449.45186837517878</v>
      </c>
    </row>
    <row r="75" spans="1:27" ht="13.2" x14ac:dyDescent="0.25">
      <c r="A75" s="103" t="s">
        <v>175</v>
      </c>
      <c r="B75" s="20" t="s">
        <v>176</v>
      </c>
      <c r="C75" s="20" t="s">
        <v>73</v>
      </c>
      <c r="D75" s="104" t="s">
        <v>172</v>
      </c>
      <c r="E75" s="15">
        <v>69</v>
      </c>
      <c r="F75" s="15">
        <v>460</v>
      </c>
      <c r="G75" s="20" t="s">
        <v>177</v>
      </c>
      <c r="H75" s="20">
        <v>0.85</v>
      </c>
      <c r="I75" s="68">
        <f>MAX('Max rate concentrations'!$F$3:$F$368)</f>
        <v>405</v>
      </c>
      <c r="J75" s="68">
        <f>MAX('Max rate concentrations'!Y:Y)</f>
        <v>135</v>
      </c>
      <c r="K75" s="69">
        <f t="shared" si="6"/>
        <v>176.56456941945854</v>
      </c>
      <c r="L75" s="69">
        <f t="shared" si="7"/>
        <v>58.85485647315285</v>
      </c>
      <c r="M75" s="69">
        <f>IF((((1.18*F75^0.874)/3.7-(0.301*F75^0.751)/(1-H75)*H75)*(MAX('Max rate concentrations'!$P$3:$P$368)))/F75&gt;0, (((1.18*F75^0.874)/3.7-(0.301*F75^0.751)/(1-H75)*H75)*(MAX('Max rate concentrations'!$P$3:$P$368)))/F75, 0)</f>
        <v>0</v>
      </c>
      <c r="N75" s="69">
        <f>IF((((1.18*F75^0.874)/3.7-(0.301*F75^0.751)/(1-H75)*H75)*(MAX('Max rate concentrations'!$Q$3:$Q$368)))/F75&gt;0, (((1.18*F75^0.874)/3.7-(0.301*F75^0.751)/(1-H75)*H75)*(MAX('Max rate concentrations'!$Q$3:$Q$368)))/F75, 0)</f>
        <v>0</v>
      </c>
      <c r="O75" s="69">
        <f>((MAX('Max rate concentrations'!$F$3:$F$368))*0.62*6.01*8*(10*F75^0.667)*0.079*0.1/F75)*inputs!$E$80/(10^(0.84+0.62*LOG10(inputs!$E$80)))</f>
        <v>19.05702342559783</v>
      </c>
      <c r="P75" s="69">
        <f>((MAX('Max rate concentrations'!Y:Y))*0.62*6.01*8*(10*F75^0.667)*0.079*0.1/F75)*inputs!$E$80/(10^(0.84+0.62*LOG10(inputs!$E$80)))</f>
        <v>6.3523411418659421</v>
      </c>
      <c r="Q75" s="69">
        <f>(inputs!$C$18*11.2*(10*F75^0.667)*0.5/F75)*inputs!$E$80/(10^(0.84+0.62*LOG10(inputs!$E$80)))</f>
        <v>3.3568047924799655</v>
      </c>
      <c r="R75" s="59">
        <f>(60*284*((F75/1000)^0.77)*3*24*(MAX('Max rate concentrations'!$R$3:$R$368))/F75)*(inputs!$E$73*3.4/inputs!$E$75)</f>
        <v>3.3624238237170555E-2</v>
      </c>
      <c r="S75" s="59">
        <f>(IF(inputs!$C$17="aerial",((0.025*0.112*inputs!$C$18/3.3)*(3*60*284*((F75/1000)^0.77))*MAX(inputs!$I$14:$I$16))/F75,((0.0083*0.112*inputs!$C$18/1)*(3*60*284*((F75/1000)^0.77))*MAX(inputs!$I$14:$I$16))/F75))*(inputs!E$75*3.4/inputs!$E$73)</f>
        <v>0.18543973969434169</v>
      </c>
      <c r="T75" s="63">
        <f>IF((((inputs!$P$13/(V75/MAX(K75:S75)))^(1/inputs!$O$13))-1)/inputs!$N$13&lt;0, 0, IF((((inputs!$P$13/(V75/MAX(K75:S75)))^(1/inputs!$O$13))-1)/inputs!$N$13&lt;inputs!$I$17, (((inputs!$P$13/(V75/MAX(K75:S75)))^(1/inputs!$O$13))-1)/inputs!$N$13, inputs!$I$17))</f>
        <v>1000</v>
      </c>
      <c r="U75" s="63">
        <f>IF((((inputs!$P$13/(X75/MAX(K75:S75)))^(1/inputs!$O$13))-1)/inputs!$N$13&lt;0, 0, IF((((inputs!$P$13/(X75/MAX(K75:S75)))^(1/inputs!$O$13))-1)/inputs!$N$13&lt;inputs!$I$17, (((inputs!$P$13/(X75/MAX(K75:S75)))^(1/inputs!$O$13))-1)/inputs!$N$13, inputs!$I$17))</f>
        <v>211.38456162076506</v>
      </c>
      <c r="V75" s="21">
        <f>inputs!$E$78*(F75/inputs!$F$78)^(inputs!$E$84-1)</f>
        <v>1.0802722080610554E-2</v>
      </c>
      <c r="W75" s="21">
        <f>inputs!$E$85*(F75/inputs!$F$85)^(inputs!$E$84-1)</f>
        <v>0.49884980532203388</v>
      </c>
      <c r="X75" s="21">
        <f>inputs!$E$80*(F75/inputs!$F$80)^(inputs!$E$84-1)</f>
        <v>1.8627935768354429</v>
      </c>
      <c r="Y75" s="21">
        <f>inputs!$E$82*(F75/inputs!$F$82)^(inputs!$E$84-1)</f>
        <v>0.85853212324852302</v>
      </c>
      <c r="Z75" s="63">
        <f t="shared" si="8"/>
        <v>16344.451713366616</v>
      </c>
      <c r="AA75" s="63">
        <f t="shared" si="9"/>
        <v>353.94334634545316</v>
      </c>
    </row>
    <row r="76" spans="1:27" ht="13.2" x14ac:dyDescent="0.25">
      <c r="A76" s="103" t="s">
        <v>175</v>
      </c>
      <c r="B76" s="20" t="s">
        <v>176</v>
      </c>
      <c r="C76" s="20" t="s">
        <v>73</v>
      </c>
      <c r="D76" s="104" t="s">
        <v>172</v>
      </c>
      <c r="E76" s="15">
        <v>69</v>
      </c>
      <c r="F76" s="15">
        <v>460</v>
      </c>
      <c r="G76" s="20" t="s">
        <v>154</v>
      </c>
      <c r="H76" s="20">
        <v>9.2999999999999999E-2</v>
      </c>
      <c r="I76" s="68">
        <f>MAX('Max rate concentrations'!$G$3:$G$368)</f>
        <v>45</v>
      </c>
      <c r="J76" s="68">
        <f>MAX('Max rate concentrations'!Z:Z)</f>
        <v>21</v>
      </c>
      <c r="K76" s="69">
        <f t="shared" si="6"/>
        <v>3.2444794086633326</v>
      </c>
      <c r="L76" s="69">
        <f t="shared" si="7"/>
        <v>1.5140903907095551</v>
      </c>
      <c r="M76" s="69">
        <f>IF((((1.18*F76^0.874)/3.7-(0.301*F76^0.751)/(1-H76)*H76)*(MAX('Max rate concentrations'!$P$3:$P$368)))/F76&gt;0, (((1.18*F76^0.874)/3.7-(0.301*F76^0.751)/(1-H76)*H76)*(MAX('Max rate concentrations'!$P$3:$P$368)))/F76, 0)</f>
        <v>0.12243345381766631</v>
      </c>
      <c r="N76" s="69">
        <f>IF((((1.18*F76^0.874)/3.7-(0.301*F76^0.751)/(1-H76)*H76)*(MAX('Max rate concentrations'!$Q$3:$Q$368)))/F76&gt;0, (((1.18*F76^0.874)/3.7-(0.301*F76^0.751)/(1-H76)*H76)*(MAX('Max rate concentrations'!$Q$3:$Q$368)))/F76, 0)</f>
        <v>0.46623317069346298</v>
      </c>
      <c r="O76" s="69">
        <f>((MAX('Max rate concentrations'!$F$3:$F$368))*0.62*6.01*8*(10*F76^0.667)*0.079*0.1/F76)*inputs!$E$80/(10^(0.84+0.62*LOG10(inputs!$E$80)))</f>
        <v>19.05702342559783</v>
      </c>
      <c r="P76" s="69">
        <f>((MAX('Max rate concentrations'!Y:Y))*0.62*6.01*8*(10*F76^0.667)*0.079*0.1/F76)*inputs!$E$80/(10^(0.84+0.62*LOG10(inputs!$E$80)))</f>
        <v>6.3523411418659421</v>
      </c>
      <c r="Q76" s="69">
        <f>(inputs!$C$18*11.2*(10*F76^0.667)*0.5/F76)*inputs!$E$80/(10^(0.84+0.62*LOG10(inputs!$E$80)))</f>
        <v>3.3568047924799655</v>
      </c>
      <c r="R76" s="59">
        <f>(60*284*((F76/1000)^0.77)*3*24*(MAX('Max rate concentrations'!$R$3:$R$368))/F76)*(inputs!$E$73*3.4/inputs!$E$75)</f>
        <v>3.3624238237170555E-2</v>
      </c>
      <c r="S76" s="59">
        <f>(IF(inputs!$C$17="aerial",((0.025*0.112*inputs!$C$18/3.3)*(3*60*284*((F76/1000)^0.77))*MAX(inputs!$I$14:$I$16))/F76,((0.0083*0.112*inputs!$C$18/1)*(3*60*284*((F76/1000)^0.77))*MAX(inputs!$I$14:$I$16))/F76))*(inputs!E$75*3.4/inputs!$E$73)</f>
        <v>0.18543973969434169</v>
      </c>
      <c r="T76" s="63">
        <f>IF((((inputs!$P$13/(V76/MAX(K76:S76)))^(1/inputs!$O$13))-1)/inputs!$N$13&lt;0, 0, IF((((inputs!$P$13/(V76/MAX(K76:S76)))^(1/inputs!$O$13))-1)/inputs!$N$13&lt;inputs!$I$17, (((inputs!$P$13/(V76/MAX(K76:S76)))^(1/inputs!$O$13))-1)/inputs!$N$13, inputs!$I$17))</f>
        <v>1000</v>
      </c>
      <c r="U76" s="63">
        <f>IF((((inputs!$P$13/(X76/MAX(K76:S76)))^(1/inputs!$O$13))-1)/inputs!$N$13&lt;0, 0, IF((((inputs!$P$13/(X76/MAX(K76:S76)))^(1/inputs!$O$13))-1)/inputs!$N$13&lt;inputs!$I$17, (((inputs!$P$13/(X76/MAX(K76:S76)))^(1/inputs!$O$13))-1)/inputs!$N$13, inputs!$I$17))</f>
        <v>30.567585003253168</v>
      </c>
      <c r="V76" s="21">
        <f>inputs!$E$78*(F76/inputs!$F$78)^(inputs!$E$84-1)</f>
        <v>1.0802722080610554E-2</v>
      </c>
      <c r="W76" s="21">
        <f>inputs!$E$85*(F76/inputs!$F$85)^(inputs!$E$84-1)</f>
        <v>0.49884980532203388</v>
      </c>
      <c r="X76" s="21">
        <f>inputs!$E$80*(F76/inputs!$F$80)^(inputs!$E$84-1)</f>
        <v>1.8627935768354429</v>
      </c>
      <c r="Y76" s="21">
        <f>inputs!$E$82*(F76/inputs!$F$82)^(inputs!$E$84-1)</f>
        <v>0.85853212324852302</v>
      </c>
      <c r="Z76" s="63">
        <f t="shared" si="8"/>
        <v>1764.0945757368549</v>
      </c>
      <c r="AA76" s="63">
        <f t="shared" si="9"/>
        <v>38.201926155499883</v>
      </c>
    </row>
    <row r="77" spans="1:27" ht="13.2" x14ac:dyDescent="0.25">
      <c r="A77" s="103" t="s">
        <v>175</v>
      </c>
      <c r="B77" s="20" t="s">
        <v>176</v>
      </c>
      <c r="C77" s="20" t="s">
        <v>73</v>
      </c>
      <c r="D77" s="104" t="s">
        <v>172</v>
      </c>
      <c r="E77" s="15">
        <v>69</v>
      </c>
      <c r="F77" s="15">
        <v>460</v>
      </c>
      <c r="G77" s="20" t="s">
        <v>146</v>
      </c>
      <c r="H77" s="20">
        <v>0.84</v>
      </c>
      <c r="I77" s="68">
        <f>MAX('Max rate concentrations'!$I$3:$I$368)</f>
        <v>56.865414300472793</v>
      </c>
      <c r="J77" s="68" t="s">
        <v>13</v>
      </c>
      <c r="K77" s="69">
        <f t="shared" si="6"/>
        <v>23.241706923199299</v>
      </c>
      <c r="L77" s="69" t="s">
        <v>13</v>
      </c>
      <c r="M77" s="69">
        <f>IF((((1.18*F77^0.874)/3.7-(0.301*F77^0.751)/(1-H77)*H77)*(MAX('Max rate concentrations'!$P$3:$P$368)))/F77&gt;0, (((1.18*F77^0.874)/3.7-(0.301*F77^0.751)/(1-H77)*H77)*(MAX('Max rate concentrations'!$P$3:$P$368)))/F77, 0)</f>
        <v>0</v>
      </c>
      <c r="N77" s="69">
        <f>IF((((1.18*F77^0.874)/3.7-(0.301*F77^0.751)/(1-H77)*H77)*(MAX('Max rate concentrations'!$Q$3:$Q$368)))/F77&gt;0, (((1.18*F77^0.874)/3.7-(0.301*F77^0.751)/(1-H77)*H77)*(MAX('Max rate concentrations'!$Q$3:$Q$368)))/F77, 0)</f>
        <v>0</v>
      </c>
      <c r="O77" s="69">
        <f>((MAX('Max rate concentrations'!$F$3:$F$368))*0.62*6.01*8*(10*F77^0.667)*0.079*0.1/F77)*inputs!$E$80/(10^(0.84+0.62*LOG10(inputs!$E$80)))</f>
        <v>19.05702342559783</v>
      </c>
      <c r="P77" s="69">
        <f>((MAX('Max rate concentrations'!Y:Y))*0.62*6.01*8*(10*F77^0.667)*0.079*0.1/F77)*inputs!$E$80/(10^(0.84+0.62*LOG10(inputs!$E$80)))</f>
        <v>6.3523411418659421</v>
      </c>
      <c r="Q77" s="69">
        <f>(inputs!$C$18*11.2*(10*F77^0.667)*0.5/F77)*inputs!$E$80/(10^(0.84+0.62*LOG10(inputs!$E$80)))</f>
        <v>3.3568047924799655</v>
      </c>
      <c r="R77" s="59">
        <f>(60*284*((F77/1000)^0.77)*3*24*(MAX('Max rate concentrations'!$R$3:$R$368))/F77)*(inputs!$E$73*3.4/inputs!$E$75)</f>
        <v>3.3624238237170555E-2</v>
      </c>
      <c r="S77" s="59">
        <f>(IF(inputs!$C$17="aerial",((0.025*0.112*inputs!$C$18/3.3)*(3*60*284*((F77/1000)^0.77))*MAX(inputs!$I$14:$I$16))/F77,((0.0083*0.112*inputs!$C$18/1)*(3*60*284*((F77/1000)^0.77))*MAX(inputs!$I$14:$I$16))/F77))*(inputs!E$75*3.4/inputs!$E$73)</f>
        <v>0.18543973969434169</v>
      </c>
      <c r="T77" s="63">
        <f>IF((((inputs!$P$13/(V77/MAX(K77:S77)))^(1/inputs!$O$13))-1)/inputs!$N$13&lt;0, 0, IF((((inputs!$P$13/(V77/MAX(K77:S77)))^(1/inputs!$O$13))-1)/inputs!$N$13&lt;inputs!$I$17, (((inputs!$P$13/(V77/MAX(K77:S77)))^(1/inputs!$O$13))-1)/inputs!$N$13, inputs!$I$17))</f>
        <v>1000</v>
      </c>
      <c r="U77" s="63">
        <f>IF((((inputs!$P$13/(X77/MAX(K77:S77)))^(1/inputs!$O$13))-1)/inputs!$N$13&lt;0, 0, IF((((inputs!$P$13/(X77/MAX(K77:S77)))^(1/inputs!$O$13))-1)/inputs!$N$13&lt;inputs!$I$17, (((inputs!$P$13/(X77/MAX(K77:S77)))^(1/inputs!$O$13))-1)/inputs!$N$13, inputs!$I$17))</f>
        <v>36.800714406446104</v>
      </c>
      <c r="V77" s="21">
        <f>inputs!$E$78*(F77/inputs!$F$78)^(inputs!$E$84-1)</f>
        <v>1.0802722080610554E-2</v>
      </c>
      <c r="W77" s="21">
        <f>inputs!$E$85*(F77/inputs!$F$85)^(inputs!$E$84-1)</f>
        <v>0.49884980532203388</v>
      </c>
      <c r="X77" s="21">
        <f>inputs!$E$80*(F77/inputs!$F$80)^(inputs!$E$84-1)</f>
        <v>1.8627935768354429</v>
      </c>
      <c r="Y77" s="21">
        <f>inputs!$E$82*(F77/inputs!$F$82)^(inputs!$E$84-1)</f>
        <v>0.85853212324852302</v>
      </c>
      <c r="Z77" s="63">
        <f t="shared" si="8"/>
        <v>2151.4676347098725</v>
      </c>
      <c r="AA77" s="63">
        <f t="shared" si="9"/>
        <v>46.590590344513714</v>
      </c>
    </row>
    <row r="78" spans="1:27" ht="13.2" x14ac:dyDescent="0.25">
      <c r="A78" s="103" t="s">
        <v>187</v>
      </c>
      <c r="B78" s="20" t="s">
        <v>188</v>
      </c>
      <c r="C78" s="20" t="s">
        <v>73</v>
      </c>
      <c r="D78" s="104" t="s">
        <v>172</v>
      </c>
      <c r="E78" s="15">
        <v>73</v>
      </c>
      <c r="F78" s="15">
        <v>1500</v>
      </c>
      <c r="G78" s="20" t="s">
        <v>152</v>
      </c>
      <c r="H78" s="20">
        <v>0.77</v>
      </c>
      <c r="I78" s="68">
        <f>MAX('Max rate concentrations'!$G$3:$G$368)</f>
        <v>45</v>
      </c>
      <c r="J78" s="68">
        <f>MAX('Max rate concentrations'!Z:Z)</f>
        <v>21</v>
      </c>
      <c r="K78" s="69">
        <f t="shared" si="6"/>
        <v>9.5324481096050793</v>
      </c>
      <c r="L78" s="69">
        <f t="shared" ref="L78:L126" si="10">((0.301*F78^0.751)/(1-H78))*J78/F78</f>
        <v>4.4484757844823699</v>
      </c>
      <c r="M78" s="69">
        <f>IF((((1.18*F78^0.874)/3.7-(0.301*F78^0.751)/(1-H78)*H78)*(MAX('Max rate concentrations'!$P$3:$P$368)))/F78&gt;0, (((1.18*F78^0.874)/3.7-(0.301*F78^0.751)/(1-H78)*H78)*(MAX('Max rate concentrations'!$P$3:$P$368)))/F78, 0)</f>
        <v>0</v>
      </c>
      <c r="N78" s="69">
        <f>IF((((1.18*F78^0.874)/3.7-(0.301*F78^0.751)/(1-H78)*H78)*(MAX('Max rate concentrations'!$Q$3:$Q$368)))/F78&gt;0, (((1.18*F78^0.874)/3.7-(0.301*F78^0.751)/(1-H78)*H78)*(MAX('Max rate concentrations'!$Q$3:$Q$368)))/F78, 0)</f>
        <v>0</v>
      </c>
      <c r="O78" s="69">
        <f>((MAX('Max rate concentrations'!$F$3:$F$368))*0.62*6.01*8*(10*F78^0.667)*0.079*0.1/F78)*inputs!$E$80/(10^(0.84+0.62*LOG10(inputs!$E$80)))</f>
        <v>12.85627153502943</v>
      </c>
      <c r="P78" s="69">
        <f>((MAX('Max rate concentrations'!Y:Y))*0.62*6.01*8*(10*F78^0.667)*0.079*0.1/F78)*inputs!$E$80/(10^(0.84+0.62*LOG10(inputs!$E$80)))</f>
        <v>4.2854238450098094</v>
      </c>
      <c r="Q78" s="69">
        <f>(inputs!$C$18*11.2*(10*F78^0.667)*0.5/F78)*inputs!$E$80/(10^(0.84+0.62*LOG10(inputs!$E$80)))</f>
        <v>2.2645715932868313</v>
      </c>
      <c r="R78" s="59">
        <f>(60*284*((F78/1000)^0.77)*3*24*(MAX('Max rate concentrations'!$R$3:$R$368))/F78)*(inputs!$E$73*3.4/inputs!$E$75)</f>
        <v>2.5620391735113674E-2</v>
      </c>
      <c r="S78" s="59">
        <f>(IF(inputs!$C$17="aerial",((0.025*0.112*inputs!$C$18/3.3)*(3*60*284*((F78/1000)^0.77))*MAX(inputs!$I$14:$I$16))/F78,((0.0083*0.112*inputs!$C$18/1)*(3*60*284*((F78/1000)^0.77))*MAX(inputs!$I$14:$I$16))/F78))*(inputs!E$75*3.4/inputs!$E$73)</f>
        <v>0.1412980344927017</v>
      </c>
      <c r="T78" s="63">
        <f>IF((((inputs!$P$13/(V78/MAX(K78:S78)))^(1/inputs!$O$13))-1)/inputs!$N$13&lt;0, 0, IF((((inputs!$P$13/(V78/MAX(K78:S78)))^(1/inputs!$O$13))-1)/inputs!$N$13&lt;inputs!$I$17, (((inputs!$P$13/(V78/MAX(K78:S78)))^(1/inputs!$O$13))-1)/inputs!$N$13, inputs!$I$17))</f>
        <v>1000</v>
      </c>
      <c r="U78" s="63">
        <f>IF((((inputs!$P$13/(X78/MAX(K78:S78)))^(1/inputs!$O$13))-1)/inputs!$N$13&lt;0, 0, IF((((inputs!$P$13/(X78/MAX(K78:S78)))^(1/inputs!$O$13))-1)/inputs!$N$13&lt;inputs!$I$17, (((inputs!$P$13/(X78/MAX(K78:S78)))^(1/inputs!$O$13))-1)/inputs!$N$13, inputs!$I$17))</f>
        <v>31.856167097191108</v>
      </c>
      <c r="V78" s="21">
        <f>inputs!$E$78*(F78/inputs!$F$78)^(inputs!$E$84-1)</f>
        <v>6.9758933946425274E-3</v>
      </c>
      <c r="W78" s="21">
        <f>inputs!$E$85*(F78/inputs!$F$85)^(inputs!$E$84-1)</f>
        <v>0.32213390624115795</v>
      </c>
      <c r="X78" s="21">
        <f>inputs!$E$80*(F78/inputs!$F$80)^(inputs!$E$84-1)</f>
        <v>1.2029050929258429</v>
      </c>
      <c r="Y78" s="21">
        <f>inputs!$E$82*(F78/inputs!$F$82)^(inputs!$E$84-1)</f>
        <v>0.55439994873211673</v>
      </c>
      <c r="Z78" s="63">
        <f t="shared" si="8"/>
        <v>1842.9569960032677</v>
      </c>
      <c r="AA78" s="63">
        <f t="shared" si="9"/>
        <v>39.909712346159814</v>
      </c>
    </row>
    <row r="79" spans="1:27" ht="13.2" x14ac:dyDescent="0.25">
      <c r="A79" s="103" t="s">
        <v>187</v>
      </c>
      <c r="B79" s="20" t="s">
        <v>188</v>
      </c>
      <c r="C79" s="20" t="s">
        <v>73</v>
      </c>
      <c r="D79" s="104" t="s">
        <v>172</v>
      </c>
      <c r="E79" s="15">
        <v>73</v>
      </c>
      <c r="F79" s="15">
        <v>1500</v>
      </c>
      <c r="G79" s="20" t="s">
        <v>169</v>
      </c>
      <c r="H79" s="20">
        <v>0.79</v>
      </c>
      <c r="I79" s="68">
        <f>MAX('Max rate concentrations'!$D$3:$D$368)</f>
        <v>720</v>
      </c>
      <c r="J79" s="68">
        <f>MAX('Max rate concentrations'!W:W)</f>
        <v>255</v>
      </c>
      <c r="K79" s="69">
        <f t="shared" si="6"/>
        <v>167.04480496831758</v>
      </c>
      <c r="L79" s="69">
        <f t="shared" si="10"/>
        <v>59.161701759612477</v>
      </c>
      <c r="M79" s="69">
        <f>IF((((1.18*F79^0.874)/3.7-(0.301*F79^0.751)/(1-H79)*H79)*(MAX('Max rate concentrations'!$P$3:$P$368)))/F79&gt;0, (((1.18*F79^0.874)/3.7-(0.301*F79^0.751)/(1-H79)*H79)*(MAX('Max rate concentrations'!$P$3:$P$368)))/F79, 0)</f>
        <v>0</v>
      </c>
      <c r="N79" s="69">
        <f>IF((((1.18*F79^0.874)/3.7-(0.301*F79^0.751)/(1-H79)*H79)*(MAX('Max rate concentrations'!$Q$3:$Q$368)))/F79&gt;0, (((1.18*F79^0.874)/3.7-(0.301*F79^0.751)/(1-H79)*H79)*(MAX('Max rate concentrations'!$Q$3:$Q$368)))/F79, 0)</f>
        <v>0</v>
      </c>
      <c r="O79" s="69">
        <f>((MAX('Max rate concentrations'!$F$3:$F$368))*0.62*6.01*8*(10*F79^0.667)*0.079*0.1/F79)*inputs!$E$80/(10^(0.84+0.62*LOG10(inputs!$E$80)))</f>
        <v>12.85627153502943</v>
      </c>
      <c r="P79" s="69">
        <f>((MAX('Max rate concentrations'!Y:Y))*0.62*6.01*8*(10*F79^0.667)*0.079*0.1/F79)*inputs!$E$80/(10^(0.84+0.62*LOG10(inputs!$E$80)))</f>
        <v>4.2854238450098094</v>
      </c>
      <c r="Q79" s="69">
        <f>(inputs!$C$18*11.2*(10*F79^0.667)*0.5/F79)*inputs!$E$80/(10^(0.84+0.62*LOG10(inputs!$E$80)))</f>
        <v>2.2645715932868313</v>
      </c>
      <c r="R79" s="59">
        <f>(60*284*((F79/1000)^0.77)*3*24*(MAX('Max rate concentrations'!$R$3:$R$368))/F79)*(inputs!$E$73*3.4/inputs!$E$75)</f>
        <v>2.5620391735113674E-2</v>
      </c>
      <c r="S79" s="59">
        <f>(IF(inputs!$C$17="aerial",((0.025*0.112*inputs!$C$18/3.3)*(3*60*284*((F79/1000)^0.77))*MAX(inputs!$I$14:$I$16))/F79,((0.0083*0.112*inputs!$C$18/1)*(3*60*284*((F79/1000)^0.77))*MAX(inputs!$I$14:$I$16))/F79))*(inputs!E$75*3.4/inputs!$E$73)</f>
        <v>0.1412980344927017</v>
      </c>
      <c r="T79" s="63">
        <f>IF((((inputs!$P$13/(V79/MAX(K79:S79)))^(1/inputs!$O$13))-1)/inputs!$N$13&lt;0, 0, IF((((inputs!$P$13/(V79/MAX(K79:S79)))^(1/inputs!$O$13))-1)/inputs!$N$13&lt;inputs!$I$17, (((inputs!$P$13/(V79/MAX(K79:S79)))^(1/inputs!$O$13))-1)/inputs!$N$13, inputs!$I$17))</f>
        <v>1000</v>
      </c>
      <c r="U79" s="63">
        <f>IF((((inputs!$P$13/(X79/MAX(K79:S79)))^(1/inputs!$O$13))-1)/inputs!$N$13&lt;0, 0, IF((((inputs!$P$13/(X79/MAX(K79:S79)))^(1/inputs!$O$13))-1)/inputs!$N$13&lt;inputs!$I$17, (((inputs!$P$13/(X79/MAX(K79:S79)))^(1/inputs!$O$13))-1)/inputs!$N$13, inputs!$I$17))</f>
        <v>289.76478425444532</v>
      </c>
      <c r="V79" s="21">
        <f>inputs!$E$78*(F79/inputs!$F$78)^(inputs!$E$84-1)</f>
        <v>6.9758933946425274E-3</v>
      </c>
      <c r="W79" s="21">
        <f>inputs!$E$85*(F79/inputs!$F$85)^(inputs!$E$84-1)</f>
        <v>0.32213390624115795</v>
      </c>
      <c r="X79" s="21">
        <f>inputs!$E$80*(F79/inputs!$F$80)^(inputs!$E$84-1)</f>
        <v>1.2029050929258429</v>
      </c>
      <c r="Y79" s="21">
        <f>inputs!$E$82*(F79/inputs!$F$82)^(inputs!$E$84-1)</f>
        <v>0.55439994873211673</v>
      </c>
      <c r="Z79" s="63">
        <f t="shared" si="8"/>
        <v>23946.00885050905</v>
      </c>
      <c r="AA79" s="63">
        <f t="shared" si="9"/>
        <v>518.55704019949837</v>
      </c>
    </row>
    <row r="80" spans="1:27" ht="13.2" x14ac:dyDescent="0.25">
      <c r="A80" s="103" t="s">
        <v>187</v>
      </c>
      <c r="B80" s="20" t="s">
        <v>188</v>
      </c>
      <c r="C80" s="20" t="s">
        <v>73</v>
      </c>
      <c r="D80" s="104" t="s">
        <v>172</v>
      </c>
      <c r="E80" s="15">
        <v>73</v>
      </c>
      <c r="F80" s="15">
        <v>1500</v>
      </c>
      <c r="G80" s="20" t="s">
        <v>158</v>
      </c>
      <c r="H80" s="20">
        <v>0.85</v>
      </c>
      <c r="I80" s="68">
        <f>MAX('Max rate concentrations'!$F$3:$F$368)</f>
        <v>405</v>
      </c>
      <c r="J80" s="68">
        <f>MAX('Max rate concentrations'!Y:Y)</f>
        <v>135</v>
      </c>
      <c r="K80" s="69">
        <f t="shared" si="6"/>
        <v>131.54778391255005</v>
      </c>
      <c r="L80" s="69">
        <f t="shared" si="10"/>
        <v>43.849261304183351</v>
      </c>
      <c r="M80" s="69">
        <f>IF((((1.18*F80^0.874)/3.7-(0.301*F80^0.751)/(1-H80)*H80)*(MAX('Max rate concentrations'!$P$3:$P$368)))/F80&gt;0, (((1.18*F80^0.874)/3.7-(0.301*F80^0.751)/(1-H80)*H80)*(MAX('Max rate concentrations'!$P$3:$P$368)))/F80, 0)</f>
        <v>0</v>
      </c>
      <c r="N80" s="69">
        <f>IF((((1.18*F80^0.874)/3.7-(0.301*F80^0.751)/(1-H80)*H80)*(MAX('Max rate concentrations'!$Q$3:$Q$368)))/F80&gt;0, (((1.18*F80^0.874)/3.7-(0.301*F80^0.751)/(1-H80)*H80)*(MAX('Max rate concentrations'!$Q$3:$Q$368)))/F80, 0)</f>
        <v>0</v>
      </c>
      <c r="O80" s="69">
        <f>((MAX('Max rate concentrations'!$F$3:$F$368))*0.62*6.01*8*(10*F80^0.667)*0.079*0.1/F80)*inputs!$E$80/(10^(0.84+0.62*LOG10(inputs!$E$80)))</f>
        <v>12.85627153502943</v>
      </c>
      <c r="P80" s="69">
        <f>((MAX('Max rate concentrations'!Y:Y))*0.62*6.01*8*(10*F80^0.667)*0.079*0.1/F80)*inputs!$E$80/(10^(0.84+0.62*LOG10(inputs!$E$80)))</f>
        <v>4.2854238450098094</v>
      </c>
      <c r="Q80" s="69">
        <f>(inputs!$C$18*11.2*(10*F80^0.667)*0.5/F80)*inputs!$E$80/(10^(0.84+0.62*LOG10(inputs!$E$80)))</f>
        <v>2.2645715932868313</v>
      </c>
      <c r="R80" s="59">
        <f>(60*284*((F80/1000)^0.77)*3*24*(MAX('Max rate concentrations'!$R$3:$R$368))/F80)*(inputs!$E$73*3.4/inputs!$E$75)</f>
        <v>2.5620391735113674E-2</v>
      </c>
      <c r="S80" s="59">
        <f>(IF(inputs!$C$17="aerial",((0.025*0.112*inputs!$C$18/3.3)*(3*60*284*((F80/1000)^0.77))*MAX(inputs!$I$14:$I$16))/F80,((0.0083*0.112*inputs!$C$18/1)*(3*60*284*((F80/1000)^0.77))*MAX(inputs!$I$14:$I$16))/F80))*(inputs!E$75*3.4/inputs!$E$73)</f>
        <v>0.1412980344927017</v>
      </c>
      <c r="T80" s="63">
        <f>IF((((inputs!$P$13/(V80/MAX(K80:S80)))^(1/inputs!$O$13))-1)/inputs!$N$13&lt;0, 0, IF((((inputs!$P$13/(V80/MAX(K80:S80)))^(1/inputs!$O$13))-1)/inputs!$N$13&lt;inputs!$I$17, (((inputs!$P$13/(V80/MAX(K80:S80)))^(1/inputs!$O$13))-1)/inputs!$N$13, inputs!$I$17))</f>
        <v>1000</v>
      </c>
      <c r="U80" s="63">
        <f>IF((((inputs!$P$13/(X80/MAX(K80:S80)))^(1/inputs!$O$13))-1)/inputs!$N$13&lt;0, 0, IF((((inputs!$P$13/(X80/MAX(K80:S80)))^(1/inputs!$O$13))-1)/inputs!$N$13&lt;inputs!$I$17, (((inputs!$P$13/(X80/MAX(K80:S80)))^(1/inputs!$O$13))-1)/inputs!$N$13, inputs!$I$17))</f>
        <v>237.94347948741708</v>
      </c>
      <c r="V80" s="21">
        <f>inputs!$E$78*(F80/inputs!$F$78)^(inputs!$E$84-1)</f>
        <v>6.9758933946425274E-3</v>
      </c>
      <c r="W80" s="21">
        <f>inputs!$E$85*(F80/inputs!$F$85)^(inputs!$E$84-1)</f>
        <v>0.32213390624115795</v>
      </c>
      <c r="X80" s="21">
        <f>inputs!$E$80*(F80/inputs!$F$80)^(inputs!$E$84-1)</f>
        <v>1.2029050929258429</v>
      </c>
      <c r="Y80" s="21">
        <f>inputs!$E$82*(F80/inputs!$F$82)^(inputs!$E$84-1)</f>
        <v>0.55439994873211673</v>
      </c>
      <c r="Z80" s="63">
        <f t="shared" si="8"/>
        <v>18857.481969775868</v>
      </c>
      <c r="AA80" s="63">
        <f t="shared" si="9"/>
        <v>408.36366915710482</v>
      </c>
    </row>
    <row r="81" spans="1:27" ht="13.2" x14ac:dyDescent="0.25">
      <c r="A81" s="103" t="s">
        <v>187</v>
      </c>
      <c r="B81" s="20" t="s">
        <v>188</v>
      </c>
      <c r="C81" s="20" t="s">
        <v>73</v>
      </c>
      <c r="D81" s="104" t="s">
        <v>172</v>
      </c>
      <c r="E81" s="15">
        <v>73</v>
      </c>
      <c r="F81" s="15">
        <v>1500</v>
      </c>
      <c r="G81" s="20" t="s">
        <v>154</v>
      </c>
      <c r="H81" s="20">
        <v>9.2999999999999999E-2</v>
      </c>
      <c r="I81" s="68">
        <f>MAX('Max rate concentrations'!$G$3:$G$368)</f>
        <v>45</v>
      </c>
      <c r="J81" s="68">
        <f>MAX('Max rate concentrations'!Z:Z)</f>
        <v>21</v>
      </c>
      <c r="K81" s="69">
        <f t="shared" si="6"/>
        <v>2.4172690906385532</v>
      </c>
      <c r="L81" s="69">
        <f t="shared" si="10"/>
        <v>1.1280589089646582</v>
      </c>
      <c r="M81" s="69">
        <f>IF((((1.18*F81^0.874)/3.7-(0.301*F81^0.751)/(1-H81)*H81)*(MAX('Max rate concentrations'!$P$3:$P$368)))/F81&gt;0, (((1.18*F81^0.874)/3.7-(0.301*F81^0.751)/(1-H81)*H81)*(MAX('Max rate concentrations'!$P$3:$P$368)))/F81, 0)</f>
        <v>0.10617295409741251</v>
      </c>
      <c r="N81" s="69">
        <f>IF((((1.18*F81^0.874)/3.7-(0.301*F81^0.751)/(1-H81)*H81)*(MAX('Max rate concentrations'!$Q$3:$Q$368)))/F81&gt;0, (((1.18*F81^0.874)/3.7-(0.301*F81^0.751)/(1-H81)*H81)*(MAX('Max rate concentrations'!$Q$3:$Q$368)))/F81, 0)</f>
        <v>0.40431231405468548</v>
      </c>
      <c r="O81" s="69">
        <f>((MAX('Max rate concentrations'!$F$3:$F$368))*0.62*6.01*8*(10*F81^0.667)*0.079*0.1/F81)*inputs!$E$80/(10^(0.84+0.62*LOG10(inputs!$E$80)))</f>
        <v>12.85627153502943</v>
      </c>
      <c r="P81" s="69">
        <f>((MAX('Max rate concentrations'!Y:Y))*0.62*6.01*8*(10*F81^0.667)*0.079*0.1/F81)*inputs!$E$80/(10^(0.84+0.62*LOG10(inputs!$E$80)))</f>
        <v>4.2854238450098094</v>
      </c>
      <c r="Q81" s="69">
        <f>(inputs!$C$18*11.2*(10*F81^0.667)*0.5/F81)*inputs!$E$80/(10^(0.84+0.62*LOG10(inputs!$E$80)))</f>
        <v>2.2645715932868313</v>
      </c>
      <c r="R81" s="59">
        <f>(60*284*((F81/1000)^0.77)*3*24*(MAX('Max rate concentrations'!$R$3:$R$368))/F81)*(inputs!$E$73*3.4/inputs!$E$75)</f>
        <v>2.5620391735113674E-2</v>
      </c>
      <c r="S81" s="59">
        <f>(IF(inputs!$C$17="aerial",((0.025*0.112*inputs!$C$18/3.3)*(3*60*284*((F81/1000)^0.77))*MAX(inputs!$I$14:$I$16))/F81,((0.0083*0.112*inputs!$C$18/1)*(3*60*284*((F81/1000)^0.77))*MAX(inputs!$I$14:$I$16))/F81))*(inputs!E$75*3.4/inputs!$E$73)</f>
        <v>0.1412980344927017</v>
      </c>
      <c r="T81" s="63">
        <f>IF((((inputs!$P$13/(V81/MAX(K81:S81)))^(1/inputs!$O$13))-1)/inputs!$N$13&lt;0, 0, IF((((inputs!$P$13/(V81/MAX(K81:S81)))^(1/inputs!$O$13))-1)/inputs!$N$13&lt;inputs!$I$17, (((inputs!$P$13/(V81/MAX(K81:S81)))^(1/inputs!$O$13))-1)/inputs!$N$13, inputs!$I$17))</f>
        <v>1000</v>
      </c>
      <c r="U81" s="63">
        <f>IF((((inputs!$P$13/(X81/MAX(K81:S81)))^(1/inputs!$O$13))-1)/inputs!$N$13&lt;0, 0, IF((((inputs!$P$13/(X81/MAX(K81:S81)))^(1/inputs!$O$13))-1)/inputs!$N$13&lt;inputs!$I$17, (((inputs!$P$13/(X81/MAX(K81:S81)))^(1/inputs!$O$13))-1)/inputs!$N$13, inputs!$I$17))</f>
        <v>31.856167097191108</v>
      </c>
      <c r="V81" s="21">
        <f>inputs!$E$78*(F81/inputs!$F$78)^(inputs!$E$84-1)</f>
        <v>6.9758933946425274E-3</v>
      </c>
      <c r="W81" s="21">
        <f>inputs!$E$85*(F81/inputs!$F$85)^(inputs!$E$84-1)</f>
        <v>0.32213390624115795</v>
      </c>
      <c r="X81" s="21">
        <f>inputs!$E$80*(F81/inputs!$F$80)^(inputs!$E$84-1)</f>
        <v>1.2029050929258429</v>
      </c>
      <c r="Y81" s="21">
        <f>inputs!$E$82*(F81/inputs!$F$82)^(inputs!$E$84-1)</f>
        <v>0.55439994873211673</v>
      </c>
      <c r="Z81" s="63">
        <f t="shared" si="8"/>
        <v>1842.9569960032677</v>
      </c>
      <c r="AA81" s="63">
        <f t="shared" si="9"/>
        <v>39.909712346159814</v>
      </c>
    </row>
    <row r="82" spans="1:27" ht="13.2" x14ac:dyDescent="0.25">
      <c r="A82" s="103" t="s">
        <v>170</v>
      </c>
      <c r="B82" s="20" t="s">
        <v>171</v>
      </c>
      <c r="C82" s="20" t="s">
        <v>73</v>
      </c>
      <c r="D82" s="104" t="s">
        <v>172</v>
      </c>
      <c r="E82" s="15">
        <v>70</v>
      </c>
      <c r="F82" s="15">
        <v>420</v>
      </c>
      <c r="G82" s="20" t="s">
        <v>173</v>
      </c>
      <c r="H82" s="20">
        <v>0.8</v>
      </c>
      <c r="I82" s="68">
        <f>inputs!$C$66*inputs!$C$60/1000</f>
        <v>28</v>
      </c>
      <c r="J82" s="68">
        <f>inputs!$C$66*inputs!$C$59/1000</f>
        <v>28</v>
      </c>
      <c r="K82" s="69">
        <f t="shared" si="6"/>
        <v>9.3649498915020448</v>
      </c>
      <c r="L82" s="69">
        <f t="shared" si="10"/>
        <v>9.3649498915020448</v>
      </c>
      <c r="M82" s="69">
        <f>IF((((1.18*F82^0.874)/3.7-(0.301*F82^0.751)/(1-H82)*H82)*(MAX('Max rate concentrations'!$P$3:$P$368)))/F82&gt;0, (((1.18*F82^0.874)/3.7-(0.301*F82^0.751)/(1-H82)*H82)*(MAX('Max rate concentrations'!$P$3:$P$368)))/F82, 0)</f>
        <v>0</v>
      </c>
      <c r="N82" s="69">
        <f>IF((((1.18*F82^0.874)/3.7-(0.301*F82^0.751)/(1-H82)*H82)*(MAX('Max rate concentrations'!$Q$3:$Q$368)))/F82&gt;0, (((1.18*F82^0.874)/3.7-(0.301*F82^0.751)/(1-H82)*H82)*(MAX('Max rate concentrations'!$Q$3:$Q$368)))/F82, 0)</f>
        <v>0</v>
      </c>
      <c r="O82" s="69">
        <f>((MAX('Max rate concentrations'!$F$3:$F$368))*0.62*6.01*8*(10*F82^0.667)*0.079*0.1/F82)*inputs!$E$80/(10^(0.84+0.62*LOG10(inputs!$E$80)))</f>
        <v>19.643162620637447</v>
      </c>
      <c r="P82" s="69">
        <f>((MAX('Max rate concentrations'!Y:Y))*0.62*6.01*8*(10*F82^0.667)*0.079*0.1/F82)*inputs!$E$80/(10^(0.84+0.62*LOG10(inputs!$E$80)))</f>
        <v>6.5477208735458179</v>
      </c>
      <c r="Q82" s="69">
        <f>(inputs!$C$18*11.2*(10*F82^0.667)*0.5/F82)*inputs!$E$80/(10^(0.84+0.62*LOG10(inputs!$E$80)))</f>
        <v>3.4600504471149103</v>
      </c>
      <c r="R82" s="59">
        <f>(60*284*((F82/1000)^0.77)*3*24*(MAX('Max rate concentrations'!$R$3:$R$368))/F82)*(inputs!$E$73*3.4/inputs!$E$75)</f>
        <v>3.4335187123630595E-2</v>
      </c>
      <c r="S82" s="59">
        <f>(IF(inputs!$C$17="aerial",((0.025*0.112*inputs!$C$18/3.3)*(3*60*284*((F82/1000)^0.77))*MAX(inputs!$I$14:$I$16))/F82,((0.0083*0.112*inputs!$C$18/1)*(3*60*284*((F82/1000)^0.77))*MAX(inputs!$I$14:$I$16))/F82))*(inputs!E$75*3.4/inputs!$E$73)</f>
        <v>0.18936066648266645</v>
      </c>
      <c r="T82" s="63">
        <f>IF((((inputs!$P$13/(V82/MAX(K82:S82)))^(1/inputs!$O$13))-1)/inputs!$N$13&lt;0, 0, IF((((inputs!$P$13/(V82/MAX(K82:S82)))^(1/inputs!$O$13))-1)/inputs!$N$13&lt;inputs!$I$17, (((inputs!$P$13/(V82/MAX(K82:S82)))^(1/inputs!$O$13))-1)/inputs!$N$13, inputs!$I$17))</f>
        <v>1000</v>
      </c>
      <c r="U82" s="63">
        <f>IF((((inputs!$P$13/(X82/MAX(K82:S82)))^(1/inputs!$O$13))-1)/inputs!$N$13&lt;0, 0, IF((((inputs!$P$13/(X82/MAX(K82:S82)))^(1/inputs!$O$13))-1)/inputs!$N$13&lt;inputs!$I$17, (((inputs!$P$13/(X82/MAX(K82:S82)))^(1/inputs!$O$13))-1)/inputs!$N$13, inputs!$I$17))</f>
        <v>30.470285568057196</v>
      </c>
      <c r="V82" s="21">
        <f>inputs!$E$78*(F82/inputs!$F$78)^(inputs!$E$84-1)</f>
        <v>1.117252573011749E-2</v>
      </c>
      <c r="W82" s="21">
        <f>inputs!$E$85*(F82/inputs!$F$85)^(inputs!$E$84-1)</f>
        <v>0.51592665661815518</v>
      </c>
      <c r="X82" s="21">
        <f>inputs!$E$80*(F82/inputs!$F$80)^(inputs!$E$84-1)</f>
        <v>1.9265615658526047</v>
      </c>
      <c r="Y82" s="21">
        <f>inputs!$E$82*(F82/inputs!$F$82)^(inputs!$E$84-1)</f>
        <v>0.88792178170933744</v>
      </c>
      <c r="Z82" s="63">
        <f t="shared" si="8"/>
        <v>1758.1666934707414</v>
      </c>
      <c r="AA82" s="63">
        <f t="shared" si="9"/>
        <v>38.073556325614781</v>
      </c>
    </row>
    <row r="83" spans="1:27" ht="13.2" x14ac:dyDescent="0.25">
      <c r="A83" s="103" t="s">
        <v>170</v>
      </c>
      <c r="B83" s="20" t="s">
        <v>171</v>
      </c>
      <c r="C83" s="20" t="s">
        <v>73</v>
      </c>
      <c r="D83" s="104" t="s">
        <v>172</v>
      </c>
      <c r="E83" s="15">
        <v>70</v>
      </c>
      <c r="F83" s="15">
        <v>420</v>
      </c>
      <c r="G83" s="20" t="s">
        <v>142</v>
      </c>
      <c r="H83" s="20">
        <v>0.69</v>
      </c>
      <c r="I83" s="68">
        <f>MAX('Max rate concentrations'!$H$3:$H$368)</f>
        <v>282</v>
      </c>
      <c r="J83" s="68">
        <f>MAX('Max rate concentrations'!AA:AA)</f>
        <v>195</v>
      </c>
      <c r="K83" s="69">
        <f t="shared" si="6"/>
        <v>60.850596069206802</v>
      </c>
      <c r="L83" s="69">
        <f t="shared" si="10"/>
        <v>42.077539835089809</v>
      </c>
      <c r="M83" s="69">
        <f>IF((((1.18*F83^0.874)/3.7-(0.301*F83^0.751)/(1-H83)*H83)*(MAX('Max rate concentrations'!$P$3:$P$368)))/F83&gt;0, (((1.18*F83^0.874)/3.7-(0.301*F83^0.751)/(1-H83)*H83)*(MAX('Max rate concentrations'!$P$3:$P$368)))/F83, 0)</f>
        <v>8.543447373375674E-5</v>
      </c>
      <c r="N83" s="69">
        <f>IF((((1.18*F83^0.874)/3.7-(0.301*F83^0.751)/(1-H83)*H83)*(MAX('Max rate concentrations'!$Q$3:$Q$368)))/F83&gt;0, (((1.18*F83^0.874)/3.7-(0.301*F83^0.751)/(1-H83)*H83)*(MAX('Max rate concentrations'!$Q$3:$Q$368)))/F83, 0)</f>
        <v>3.2533906651638741E-4</v>
      </c>
      <c r="O83" s="69">
        <f>((MAX('Max rate concentrations'!$F$3:$F$368))*0.62*6.01*8*(10*F83^0.667)*0.079*0.1/F83)*inputs!$E$80/(10^(0.84+0.62*LOG10(inputs!$E$80)))</f>
        <v>19.643162620637447</v>
      </c>
      <c r="P83" s="69">
        <f>((MAX('Max rate concentrations'!Y:Y))*0.62*6.01*8*(10*F83^0.667)*0.079*0.1/F83)*inputs!$E$80/(10^(0.84+0.62*LOG10(inputs!$E$80)))</f>
        <v>6.5477208735458179</v>
      </c>
      <c r="Q83" s="69">
        <f>(inputs!$C$18*11.2*(10*F83^0.667)*0.5/F83)*inputs!$E$80/(10^(0.84+0.62*LOG10(inputs!$E$80)))</f>
        <v>3.4600504471149103</v>
      </c>
      <c r="R83" s="59">
        <f>(60*284*((F83/1000)^0.77)*3*24*(MAX('Max rate concentrations'!$R$3:$R$368))/F83)*(inputs!$E$73*3.4/inputs!$E$75)</f>
        <v>3.4335187123630595E-2</v>
      </c>
      <c r="S83" s="59">
        <f>(IF(inputs!$C$17="aerial",((0.025*0.112*inputs!$C$18/3.3)*(3*60*284*((F83/1000)^0.77))*MAX(inputs!$I$14:$I$16))/F83,((0.0083*0.112*inputs!$C$18/1)*(3*60*284*((F83/1000)^0.77))*MAX(inputs!$I$14:$I$16))/F83))*(inputs!E$75*3.4/inputs!$E$73)</f>
        <v>0.18936066648266645</v>
      </c>
      <c r="T83" s="63">
        <f>IF((((inputs!$P$13/(V83/MAX(K83:S83)))^(1/inputs!$O$13))-1)/inputs!$N$13&lt;0, 0, IF((((inputs!$P$13/(V83/MAX(K83:S83)))^(1/inputs!$O$13))-1)/inputs!$N$13&lt;inputs!$I$17, (((inputs!$P$13/(V83/MAX(K83:S83)))^(1/inputs!$O$13))-1)/inputs!$N$13, inputs!$I$17))</f>
        <v>1000</v>
      </c>
      <c r="U83" s="63">
        <f>IF((((inputs!$P$13/(X83/MAX(K83:S83)))^(1/inputs!$O$13))-1)/inputs!$N$13&lt;0, 0, IF((((inputs!$P$13/(X83/MAX(K83:S83)))^(1/inputs!$O$13))-1)/inputs!$N$13&lt;inputs!$I$17, (((inputs!$P$13/(X83/MAX(K83:S83)))^(1/inputs!$O$13))-1)/inputs!$N$13, inputs!$I$17))</f>
        <v>83.844280494708556</v>
      </c>
      <c r="V83" s="21">
        <f>inputs!$E$78*(F83/inputs!$F$78)^(inputs!$E$84-1)</f>
        <v>1.117252573011749E-2</v>
      </c>
      <c r="W83" s="21">
        <f>inputs!$E$85*(F83/inputs!$F$85)^(inputs!$E$84-1)</f>
        <v>0.51592665661815518</v>
      </c>
      <c r="X83" s="21">
        <f>inputs!$E$80*(F83/inputs!$F$80)^(inputs!$E$84-1)</f>
        <v>1.9265615658526047</v>
      </c>
      <c r="Y83" s="21">
        <f>inputs!$E$82*(F83/inputs!$F$82)^(inputs!$E$84-1)</f>
        <v>0.88792178170933744</v>
      </c>
      <c r="Z83" s="63">
        <f t="shared" si="8"/>
        <v>5446.4494008882357</v>
      </c>
      <c r="AA83" s="63">
        <f t="shared" si="9"/>
        <v>117.9442761652907</v>
      </c>
    </row>
    <row r="84" spans="1:27" ht="13.2" x14ac:dyDescent="0.25">
      <c r="A84" s="103" t="s">
        <v>170</v>
      </c>
      <c r="B84" s="20" t="s">
        <v>171</v>
      </c>
      <c r="C84" s="20" t="s">
        <v>73</v>
      </c>
      <c r="D84" s="104" t="s">
        <v>172</v>
      </c>
      <c r="E84" s="15">
        <v>70</v>
      </c>
      <c r="F84" s="15">
        <v>420</v>
      </c>
      <c r="G84" s="20" t="s">
        <v>169</v>
      </c>
      <c r="H84" s="20">
        <v>0.79</v>
      </c>
      <c r="I84" s="68">
        <f>MAX('Max rate concentrations'!$D$3:$D$368)</f>
        <v>720</v>
      </c>
      <c r="J84" s="68">
        <f>MAX('Max rate concentrations'!W:W)</f>
        <v>255</v>
      </c>
      <c r="K84" s="69">
        <f t="shared" si="6"/>
        <v>229.34571162862144</v>
      </c>
      <c r="L84" s="69">
        <f t="shared" si="10"/>
        <v>81.226606201803435</v>
      </c>
      <c r="M84" s="69">
        <f>IF((((1.18*F84^0.874)/3.7-(0.301*F84^0.751)/(1-H84)*H84)*(MAX('Max rate concentrations'!$P$3:$P$368)))/F84&gt;0, (((1.18*F84^0.874)/3.7-(0.301*F84^0.751)/(1-H84)*H84)*(MAX('Max rate concentrations'!$P$3:$P$368)))/F84, 0)</f>
        <v>0</v>
      </c>
      <c r="N84" s="69">
        <f>IF((((1.18*F84^0.874)/3.7-(0.301*F84^0.751)/(1-H84)*H84)*(MAX('Max rate concentrations'!$Q$3:$Q$368)))/F84&gt;0, (((1.18*F84^0.874)/3.7-(0.301*F84^0.751)/(1-H84)*H84)*(MAX('Max rate concentrations'!$Q$3:$Q$368)))/F84, 0)</f>
        <v>0</v>
      </c>
      <c r="O84" s="69">
        <f>((MAX('Max rate concentrations'!$F$3:$F$368))*0.62*6.01*8*(10*F84^0.667)*0.079*0.1/F84)*inputs!$E$80/(10^(0.84+0.62*LOG10(inputs!$E$80)))</f>
        <v>19.643162620637447</v>
      </c>
      <c r="P84" s="69">
        <f>((MAX('Max rate concentrations'!Y:Y))*0.62*6.01*8*(10*F84^0.667)*0.079*0.1/F84)*inputs!$E$80/(10^(0.84+0.62*LOG10(inputs!$E$80)))</f>
        <v>6.5477208735458179</v>
      </c>
      <c r="Q84" s="69">
        <f>(inputs!$C$18*11.2*(10*F84^0.667)*0.5/F84)*inputs!$E$80/(10^(0.84+0.62*LOG10(inputs!$E$80)))</f>
        <v>3.4600504471149103</v>
      </c>
      <c r="R84" s="59">
        <f>(60*284*((F84/1000)^0.77)*3*24*(MAX('Max rate concentrations'!$R$3:$R$368))/F84)*(inputs!$E$73*3.4/inputs!$E$75)</f>
        <v>3.4335187123630595E-2</v>
      </c>
      <c r="S84" s="59">
        <f>(IF(inputs!$C$17="aerial",((0.025*0.112*inputs!$C$18/3.3)*(3*60*284*((F84/1000)^0.77))*MAX(inputs!$I$14:$I$16))/F84,((0.0083*0.112*inputs!$C$18/1)*(3*60*284*((F84/1000)^0.77))*MAX(inputs!$I$14:$I$16))/F84))*(inputs!E$75*3.4/inputs!$E$73)</f>
        <v>0.18936066648266645</v>
      </c>
      <c r="T84" s="63">
        <f>IF((((inputs!$P$13/(V84/MAX(K84:S84)))^(1/inputs!$O$13))-1)/inputs!$N$13&lt;0, 0, IF((((inputs!$P$13/(V84/MAX(K84:S84)))^(1/inputs!$O$13))-1)/inputs!$N$13&lt;inputs!$I$17, (((inputs!$P$13/(V84/MAX(K84:S84)))^(1/inputs!$O$13))-1)/inputs!$N$13, inputs!$I$17))</f>
        <v>1000</v>
      </c>
      <c r="U84" s="63">
        <f>IF((((inputs!$P$13/(X84/MAX(K84:S84)))^(1/inputs!$O$13))-1)/inputs!$N$13&lt;0, 0, IF((((inputs!$P$13/(X84/MAX(K84:S84)))^(1/inputs!$O$13))-1)/inputs!$N$13&lt;inputs!$I$17, (((inputs!$P$13/(X84/MAX(K84:S84)))^(1/inputs!$O$13))-1)/inputs!$N$13, inputs!$I$17))</f>
        <v>255.2172917441917</v>
      </c>
      <c r="V84" s="21">
        <f>inputs!$E$78*(F84/inputs!$F$78)^(inputs!$E$84-1)</f>
        <v>1.117252573011749E-2</v>
      </c>
      <c r="W84" s="21">
        <f>inputs!$E$85*(F84/inputs!$F$85)^(inputs!$E$84-1)</f>
        <v>0.51592665661815518</v>
      </c>
      <c r="X84" s="21">
        <f>inputs!$E$80*(F84/inputs!$F$80)^(inputs!$E$84-1)</f>
        <v>1.9265615658526047</v>
      </c>
      <c r="Y84" s="21">
        <f>inputs!$E$82*(F84/inputs!$F$82)^(inputs!$E$84-1)</f>
        <v>0.88792178170933744</v>
      </c>
      <c r="Z84" s="63">
        <f t="shared" si="8"/>
        <v>20527.651237390317</v>
      </c>
      <c r="AA84" s="63">
        <f t="shared" si="9"/>
        <v>444.53161837374017</v>
      </c>
    </row>
    <row r="85" spans="1:27" ht="13.2" x14ac:dyDescent="0.25">
      <c r="A85" s="103" t="s">
        <v>170</v>
      </c>
      <c r="B85" s="20" t="s">
        <v>171</v>
      </c>
      <c r="C85" s="20" t="s">
        <v>73</v>
      </c>
      <c r="D85" s="104" t="s">
        <v>172</v>
      </c>
      <c r="E85" s="15">
        <v>70</v>
      </c>
      <c r="F85" s="15">
        <v>420</v>
      </c>
      <c r="G85" s="20" t="s">
        <v>158</v>
      </c>
      <c r="H85" s="20">
        <v>0.85</v>
      </c>
      <c r="I85" s="68">
        <f>MAX('Max rate concentrations'!$F$3:$F$368)</f>
        <v>405</v>
      </c>
      <c r="J85" s="68">
        <f>MAX('Max rate concentrations'!Y:Y)</f>
        <v>135</v>
      </c>
      <c r="K85" s="69">
        <f t="shared" si="6"/>
        <v>180.60974790753934</v>
      </c>
      <c r="L85" s="69">
        <f t="shared" si="10"/>
        <v>60.203249302513115</v>
      </c>
      <c r="M85" s="69">
        <f>IF((((1.18*F85^0.874)/3.7-(0.301*F85^0.751)/(1-H85)*H85)*(MAX('Max rate concentrations'!$P$3:$P$368)))/F85&gt;0, (((1.18*F85^0.874)/3.7-(0.301*F85^0.751)/(1-H85)*H85)*(MAX('Max rate concentrations'!$P$3:$P$368)))/F85, 0)</f>
        <v>0</v>
      </c>
      <c r="N85" s="69">
        <f>IF((((1.18*F85^0.874)/3.7-(0.301*F85^0.751)/(1-H85)*H85)*(MAX('Max rate concentrations'!$Q$3:$Q$368)))/F85&gt;0, (((1.18*F85^0.874)/3.7-(0.301*F85^0.751)/(1-H85)*H85)*(MAX('Max rate concentrations'!$Q$3:$Q$368)))/F85, 0)</f>
        <v>0</v>
      </c>
      <c r="O85" s="69">
        <f>((MAX('Max rate concentrations'!$F$3:$F$368))*0.62*6.01*8*(10*F85^0.667)*0.079*0.1/F85)*inputs!$E$80/(10^(0.84+0.62*LOG10(inputs!$E$80)))</f>
        <v>19.643162620637447</v>
      </c>
      <c r="P85" s="69">
        <f>((MAX('Max rate concentrations'!Y:Y))*0.62*6.01*8*(10*F85^0.667)*0.079*0.1/F85)*inputs!$E$80/(10^(0.84+0.62*LOG10(inputs!$E$80)))</f>
        <v>6.5477208735458179</v>
      </c>
      <c r="Q85" s="69">
        <f>(inputs!$C$18*11.2*(10*F85^0.667)*0.5/F85)*inputs!$E$80/(10^(0.84+0.62*LOG10(inputs!$E$80)))</f>
        <v>3.4600504471149103</v>
      </c>
      <c r="R85" s="59">
        <f>(60*284*((F85/1000)^0.77)*3*24*(MAX('Max rate concentrations'!$R$3:$R$368))/F85)*(inputs!$E$73*3.4/inputs!$E$75)</f>
        <v>3.4335187123630595E-2</v>
      </c>
      <c r="S85" s="59">
        <f>(IF(inputs!$C$17="aerial",((0.025*0.112*inputs!$C$18/3.3)*(3*60*284*((F85/1000)^0.77))*MAX(inputs!$I$14:$I$16))/F85,((0.0083*0.112*inputs!$C$18/1)*(3*60*284*((F85/1000)^0.77))*MAX(inputs!$I$14:$I$16))/F85))*(inputs!E$75*3.4/inputs!$E$73)</f>
        <v>0.18936066648266645</v>
      </c>
      <c r="T85" s="63">
        <f>IF((((inputs!$P$13/(V85/MAX(K85:S85)))^(1/inputs!$O$13))-1)/inputs!$N$13&lt;0, 0, IF((((inputs!$P$13/(V85/MAX(K85:S85)))^(1/inputs!$O$13))-1)/inputs!$N$13&lt;inputs!$I$17, (((inputs!$P$13/(V85/MAX(K85:S85)))^(1/inputs!$O$13))-1)/inputs!$N$13, inputs!$I$17))</f>
        <v>1000</v>
      </c>
      <c r="U85" s="63">
        <f>IF((((inputs!$P$13/(X85/MAX(K85:S85)))^(1/inputs!$O$13))-1)/inputs!$N$13&lt;0, 0, IF((((inputs!$P$13/(X85/MAX(K85:S85)))^(1/inputs!$O$13))-1)/inputs!$N$13&lt;inputs!$I$17, (((inputs!$P$13/(X85/MAX(K85:S85)))^(1/inputs!$O$13))-1)/inputs!$N$13, inputs!$I$17))</f>
        <v>209.46494841161453</v>
      </c>
      <c r="V85" s="21">
        <f>inputs!$E$78*(F85/inputs!$F$78)^(inputs!$E$84-1)</f>
        <v>1.117252573011749E-2</v>
      </c>
      <c r="W85" s="21">
        <f>inputs!$E$85*(F85/inputs!$F$85)^(inputs!$E$84-1)</f>
        <v>0.51592665661815518</v>
      </c>
      <c r="X85" s="21">
        <f>inputs!$E$80*(F85/inputs!$F$80)^(inputs!$E$84-1)</f>
        <v>1.9265615658526047</v>
      </c>
      <c r="Y85" s="21">
        <f>inputs!$E$82*(F85/inputs!$F$82)^(inputs!$E$84-1)</f>
        <v>0.88792178170933744</v>
      </c>
      <c r="Z85" s="63">
        <f t="shared" si="8"/>
        <v>16165.52534944487</v>
      </c>
      <c r="AA85" s="63">
        <f t="shared" si="9"/>
        <v>350.06864946932029</v>
      </c>
    </row>
    <row r="86" spans="1:27" ht="13.2" x14ac:dyDescent="0.25">
      <c r="A86" s="103" t="s">
        <v>170</v>
      </c>
      <c r="B86" s="20" t="s">
        <v>171</v>
      </c>
      <c r="C86" s="20" t="s">
        <v>73</v>
      </c>
      <c r="D86" s="104" t="s">
        <v>172</v>
      </c>
      <c r="E86" s="15">
        <v>70</v>
      </c>
      <c r="F86" s="15">
        <v>420</v>
      </c>
      <c r="G86" s="20" t="s">
        <v>154</v>
      </c>
      <c r="H86" s="20">
        <v>9.2999999999999999E-2</v>
      </c>
      <c r="I86" s="68">
        <f>MAX('Max rate concentrations'!$G$3:$G$368)</f>
        <v>45</v>
      </c>
      <c r="J86" s="68">
        <f>MAX('Max rate concentrations'!Z:Z)</f>
        <v>21</v>
      </c>
      <c r="K86" s="69">
        <f t="shared" si="6"/>
        <v>3.3188119791903596</v>
      </c>
      <c r="L86" s="69">
        <f t="shared" si="10"/>
        <v>1.5487789236221678</v>
      </c>
      <c r="M86" s="69">
        <f>IF((((1.18*F86^0.874)/3.7-(0.301*F86^0.751)/(1-H86)*H86)*(MAX('Max rate concentrations'!$P$3:$P$368)))/F86&gt;0, (((1.18*F86^0.874)/3.7-(0.301*F86^0.751)/(1-H86)*H86)*(MAX('Max rate concentrations'!$P$3:$P$368)))/F86, 0)</f>
        <v>0.12377844833772506</v>
      </c>
      <c r="N86" s="69">
        <f>IF((((1.18*F86^0.874)/3.7-(0.301*F86^0.751)/(1-H86)*H86)*(MAX('Max rate concentrations'!$Q$3:$Q$368)))/F86&gt;0, (((1.18*F86^0.874)/3.7-(0.301*F86^0.751)/(1-H86)*H86)*(MAX('Max rate concentrations'!$Q$3:$Q$368)))/F86, 0)</f>
        <v>0.4713549820946687</v>
      </c>
      <c r="O86" s="69">
        <f>((MAX('Max rate concentrations'!$F$3:$F$368))*0.62*6.01*8*(10*F86^0.667)*0.079*0.1/F86)*inputs!$E$80/(10^(0.84+0.62*LOG10(inputs!$E$80)))</f>
        <v>19.643162620637447</v>
      </c>
      <c r="P86" s="69">
        <f>((MAX('Max rate concentrations'!Y:Y))*0.62*6.01*8*(10*F86^0.667)*0.079*0.1/F86)*inputs!$E$80/(10^(0.84+0.62*LOG10(inputs!$E$80)))</f>
        <v>6.5477208735458179</v>
      </c>
      <c r="Q86" s="69">
        <f>(inputs!$C$18*11.2*(10*F86^0.667)*0.5/F86)*inputs!$E$80/(10^(0.84+0.62*LOG10(inputs!$E$80)))</f>
        <v>3.4600504471149103</v>
      </c>
      <c r="R86" s="59">
        <f>(60*284*((F86/1000)^0.77)*3*24*(MAX('Max rate concentrations'!$R$3:$R$368))/F86)*(inputs!$E$73*3.4/inputs!$E$75)</f>
        <v>3.4335187123630595E-2</v>
      </c>
      <c r="S86" s="59">
        <f>(IF(inputs!$C$17="aerial",((0.025*0.112*inputs!$C$18/3.3)*(3*60*284*((F86/1000)^0.77))*MAX(inputs!$I$14:$I$16))/F86,((0.0083*0.112*inputs!$C$18/1)*(3*60*284*((F86/1000)^0.77))*MAX(inputs!$I$14:$I$16))/F86))*(inputs!E$75*3.4/inputs!$E$73)</f>
        <v>0.18936066648266645</v>
      </c>
      <c r="T86" s="63">
        <f>IF((((inputs!$P$13/(V86/MAX(K86:S86)))^(1/inputs!$O$13))-1)/inputs!$N$13&lt;0, 0, IF((((inputs!$P$13/(V86/MAX(K86:S86)))^(1/inputs!$O$13))-1)/inputs!$N$13&lt;inputs!$I$17, (((inputs!$P$13/(V86/MAX(K86:S86)))^(1/inputs!$O$13))-1)/inputs!$N$13, inputs!$I$17))</f>
        <v>1000</v>
      </c>
      <c r="U86" s="63">
        <f>IF((((inputs!$P$13/(X86/MAX(K86:S86)))^(1/inputs!$O$13))-1)/inputs!$N$13&lt;0, 0, IF((((inputs!$P$13/(X86/MAX(K86:S86)))^(1/inputs!$O$13))-1)/inputs!$N$13&lt;inputs!$I$17, (((inputs!$P$13/(X86/MAX(K86:S86)))^(1/inputs!$O$13))-1)/inputs!$N$13, inputs!$I$17))</f>
        <v>30.470285568057196</v>
      </c>
      <c r="V86" s="21">
        <f>inputs!$E$78*(F86/inputs!$F$78)^(inputs!$E$84-1)</f>
        <v>1.117252573011749E-2</v>
      </c>
      <c r="W86" s="21">
        <f>inputs!$E$85*(F86/inputs!$F$85)^(inputs!$E$84-1)</f>
        <v>0.51592665661815518</v>
      </c>
      <c r="X86" s="21">
        <f>inputs!$E$80*(F86/inputs!$F$80)^(inputs!$E$84-1)</f>
        <v>1.9265615658526047</v>
      </c>
      <c r="Y86" s="21">
        <f>inputs!$E$82*(F86/inputs!$F$82)^(inputs!$E$84-1)</f>
        <v>0.88792178170933744</v>
      </c>
      <c r="Z86" s="63">
        <f t="shared" si="8"/>
        <v>1758.1666934707414</v>
      </c>
      <c r="AA86" s="63">
        <f t="shared" si="9"/>
        <v>38.073556325614781</v>
      </c>
    </row>
    <row r="87" spans="1:27" ht="13.2" x14ac:dyDescent="0.25">
      <c r="A87" s="103" t="s">
        <v>170</v>
      </c>
      <c r="B87" s="20" t="s">
        <v>171</v>
      </c>
      <c r="C87" s="20" t="s">
        <v>73</v>
      </c>
      <c r="D87" s="104" t="s">
        <v>172</v>
      </c>
      <c r="E87" s="15">
        <v>70</v>
      </c>
      <c r="F87" s="15">
        <v>420</v>
      </c>
      <c r="G87" s="20" t="s">
        <v>174</v>
      </c>
      <c r="H87" s="20">
        <v>0.83</v>
      </c>
      <c r="I87" s="68">
        <f>inputs!$C$66*(inputs!$C$62/1000)</f>
        <v>8.2000000000000011</v>
      </c>
      <c r="J87" s="68">
        <f>inputs!$C$66*(inputs!$C$61/1000)</f>
        <v>2.5</v>
      </c>
      <c r="K87" s="69">
        <f t="shared" si="6"/>
        <v>3.2265793743830566</v>
      </c>
      <c r="L87" s="69">
        <f t="shared" si="10"/>
        <v>0.98371322389727311</v>
      </c>
      <c r="M87" s="69">
        <f>IF((((1.18*F87^0.874)/3.7-(0.301*F87^0.751)/(1-H87)*H87)*(MAX('Max rate concentrations'!$P$3:$P$368)))/F87&gt;0, (((1.18*F87^0.874)/3.7-(0.301*F87^0.751)/(1-H87)*H87)*(MAX('Max rate concentrations'!$P$3:$P$368)))/F87, 0)</f>
        <v>0</v>
      </c>
      <c r="N87" s="69">
        <f>IF((((1.18*F87^0.874)/3.7-(0.301*F87^0.751)/(1-H87)*H87)*(MAX('Max rate concentrations'!$Q$3:$Q$368)))/F87&gt;0, (((1.18*F87^0.874)/3.7-(0.301*F87^0.751)/(1-H87)*H87)*(MAX('Max rate concentrations'!$Q$3:$Q$368)))/F87, 0)</f>
        <v>0</v>
      </c>
      <c r="O87" s="69">
        <f>((MAX('Max rate concentrations'!$F$3:$F$368))*0.62*6.01*8*(10*F87^0.667)*0.079*0.1/F87)*inputs!$E$80/(10^(0.84+0.62*LOG10(inputs!$E$80)))</f>
        <v>19.643162620637447</v>
      </c>
      <c r="P87" s="69">
        <f>((MAX('Max rate concentrations'!Y:Y))*0.62*6.01*8*(10*F87^0.667)*0.079*0.1/F87)*inputs!$E$80/(10^(0.84+0.62*LOG10(inputs!$E$80)))</f>
        <v>6.5477208735458179</v>
      </c>
      <c r="Q87" s="69">
        <f>(inputs!$C$18*11.2*(10*F87^0.667)*0.5/F87)*inputs!$E$80/(10^(0.84+0.62*LOG10(inputs!$E$80)))</f>
        <v>3.4600504471149103</v>
      </c>
      <c r="R87" s="59">
        <f>(60*284*((F87/1000)^0.77)*3*24*(MAX('Max rate concentrations'!$R$3:$R$368))/F87)*(inputs!$E$73*3.4/inputs!$E$75)</f>
        <v>3.4335187123630595E-2</v>
      </c>
      <c r="S87" s="59">
        <f>(IF(inputs!$C$17="aerial",((0.025*0.112*inputs!$C$18/3.3)*(3*60*284*((F87/1000)^0.77))*MAX(inputs!$I$14:$I$16))/F87,((0.0083*0.112*inputs!$C$18/1)*(3*60*284*((F87/1000)^0.77))*MAX(inputs!$I$14:$I$16))/F87))*(inputs!E$75*3.4/inputs!$E$73)</f>
        <v>0.18936066648266645</v>
      </c>
      <c r="T87" s="63">
        <f>IF((((inputs!$P$13/(V87/MAX(K87:S87)))^(1/inputs!$O$13))-1)/inputs!$N$13&lt;0, 0, IF((((inputs!$P$13/(V87/MAX(K87:S87)))^(1/inputs!$O$13))-1)/inputs!$N$13&lt;inputs!$I$17, (((inputs!$P$13/(V87/MAX(K87:S87)))^(1/inputs!$O$13))-1)/inputs!$N$13, inputs!$I$17))</f>
        <v>1000</v>
      </c>
      <c r="U87" s="63">
        <f>IF((((inputs!$P$13/(X87/MAX(K87:S87)))^(1/inputs!$O$13))-1)/inputs!$N$13&lt;0, 0, IF((((inputs!$P$13/(X87/MAX(K87:S87)))^(1/inputs!$O$13))-1)/inputs!$N$13&lt;inputs!$I$17, (((inputs!$P$13/(X87/MAX(K87:S87)))^(1/inputs!$O$13))-1)/inputs!$N$13, inputs!$I$17))</f>
        <v>30.470285568057196</v>
      </c>
      <c r="V87" s="21">
        <f>inputs!$E$78*(F87/inputs!$F$78)^(inputs!$E$84-1)</f>
        <v>1.117252573011749E-2</v>
      </c>
      <c r="W87" s="21">
        <f>inputs!$E$85*(F87/inputs!$F$85)^(inputs!$E$84-1)</f>
        <v>0.51592665661815518</v>
      </c>
      <c r="X87" s="21">
        <f>inputs!$E$80*(F87/inputs!$F$80)^(inputs!$E$84-1)</f>
        <v>1.9265615658526047</v>
      </c>
      <c r="Y87" s="21">
        <f>inputs!$E$82*(F87/inputs!$F$82)^(inputs!$E$84-1)</f>
        <v>0.88792178170933744</v>
      </c>
      <c r="Z87" s="63">
        <f t="shared" si="8"/>
        <v>1758.1666934707414</v>
      </c>
      <c r="AA87" s="63">
        <f t="shared" si="9"/>
        <v>38.073556325614781</v>
      </c>
    </row>
    <row r="88" spans="1:27" ht="13.2" x14ac:dyDescent="0.25">
      <c r="A88" s="103" t="s">
        <v>342</v>
      </c>
      <c r="B88" s="20" t="s">
        <v>343</v>
      </c>
      <c r="C88" s="20" t="s">
        <v>73</v>
      </c>
      <c r="D88" s="104" t="s">
        <v>172</v>
      </c>
      <c r="E88" s="15">
        <v>146</v>
      </c>
      <c r="F88" s="15">
        <v>1075</v>
      </c>
      <c r="G88" s="20" t="s">
        <v>241</v>
      </c>
      <c r="H88" s="20">
        <v>0.8</v>
      </c>
      <c r="I88" s="68">
        <f>inputs!$C$66*inputs!$C$60/1000</f>
        <v>28</v>
      </c>
      <c r="J88" s="68">
        <f>inputs!$C$66*inputs!$C$59/1000</f>
        <v>28</v>
      </c>
      <c r="K88" s="69">
        <f t="shared" si="6"/>
        <v>7.4109489843852359</v>
      </c>
      <c r="L88" s="69">
        <f t="shared" si="10"/>
        <v>7.4109489843852359</v>
      </c>
      <c r="M88" s="69">
        <f>IF((((1.18*F88^0.874)/3.7-(0.301*F88^0.751)/(1-H88)*H88)*(MAX('Max rate concentrations'!$P$3:$P$368)))/F88&gt;0, (((1.18*F88^0.874)/3.7-(0.301*F88^0.751)/(1-H88)*H88)*(MAX('Max rate concentrations'!$P$3:$P$368)))/F88, 0)</f>
        <v>0</v>
      </c>
      <c r="N88" s="69">
        <f>IF((((1.18*F88^0.874)/3.7-(0.301*F88^0.751)/(1-H88)*H88)*(MAX('Max rate concentrations'!$Q$3:$Q$368)))/F88&gt;0, (((1.18*F88^0.874)/3.7-(0.301*F88^0.751)/(1-H88)*H88)*(MAX('Max rate concentrations'!$Q$3:$Q$368)))/F88, 0)</f>
        <v>0</v>
      </c>
      <c r="O88" s="69">
        <f>((MAX('Max rate concentrations'!$F$3:$F$368))*0.62*6.01*8*(10*F88^0.667)*0.079*0.1/F88)*inputs!$E$80/(10^(0.84+0.62*LOG10(inputs!$E$80)))</f>
        <v>14.364628780782477</v>
      </c>
      <c r="P88" s="69">
        <f>((MAX('Max rate concentrations'!Y:Y))*0.62*6.01*8*(10*F88^0.667)*0.079*0.1/F88)*inputs!$E$80/(10^(0.84+0.62*LOG10(inputs!$E$80)))</f>
        <v>4.7882095935941589</v>
      </c>
      <c r="Q88" s="69">
        <f>(inputs!$C$18*11.2*(10*F88^0.667)*0.5/F88)*inputs!$E$80/(10^(0.84+0.62*LOG10(inputs!$E$80)))</f>
        <v>2.5302616078414988</v>
      </c>
      <c r="R88" s="59">
        <f>(60*284*((F88/1000)^0.77)*3*24*(MAX('Max rate concentrations'!$R$3:$R$368))/F88)*(inputs!$E$73*3.4/inputs!$E$75)</f>
        <v>2.7660677208735225E-2</v>
      </c>
      <c r="S88" s="59">
        <f>(IF(inputs!$C$17="aerial",((0.025*0.112*inputs!$C$18/3.3)*(3*60*284*((F88/1000)^0.77))*MAX(inputs!$I$14:$I$16))/F88,((0.0083*0.112*inputs!$C$18/1)*(3*60*284*((F88/1000)^0.77))*MAX(inputs!$I$14:$I$16))/F88))*(inputs!E$75*3.4/inputs!$E$73)</f>
        <v>0.15255033423141437</v>
      </c>
      <c r="T88" s="63">
        <f>IF((((inputs!$P$13/(V88/MAX(K88:S88)))^(1/inputs!$O$13))-1)/inputs!$N$13&lt;0, 0, IF((((inputs!$P$13/(V88/MAX(K88:S88)))^(1/inputs!$O$13))-1)/inputs!$N$13&lt;inputs!$I$17, (((inputs!$P$13/(V88/MAX(K88:S88)))^(1/inputs!$O$13))-1)/inputs!$N$13, inputs!$I$17))</f>
        <v>1000</v>
      </c>
      <c r="U88" s="63">
        <f>IF((((inputs!$P$13/(X88/MAX(K88:S88)))^(1/inputs!$O$13))-1)/inputs!$N$13&lt;0, 0, IF((((inputs!$P$13/(X88/MAX(K88:S88)))^(1/inputs!$O$13))-1)/inputs!$N$13&lt;inputs!$I$17, (((inputs!$P$13/(X88/MAX(K88:S88)))^(1/inputs!$O$13))-1)/inputs!$N$13, inputs!$I$17))</f>
        <v>31.488356911035243</v>
      </c>
      <c r="V88" s="21">
        <f>inputs!$E$78*(F88/inputs!$F$78)^(inputs!$E$84-1)</f>
        <v>7.8910077366186188E-3</v>
      </c>
      <c r="W88" s="21">
        <f>inputs!$E$85*(F88/inputs!$F$85)^(inputs!$E$84-1)</f>
        <v>0.36439220076504825</v>
      </c>
      <c r="X88" s="21">
        <f>inputs!$E$80*(F88/inputs!$F$80)^(inputs!$E$84-1)</f>
        <v>1.3607050534897371</v>
      </c>
      <c r="Y88" s="21">
        <f>inputs!$E$82*(F88/inputs!$F$82)^(inputs!$E$84-1)</f>
        <v>0.62712745696284811</v>
      </c>
      <c r="Z88" s="63">
        <f t="shared" si="8"/>
        <v>1820.3795079458221</v>
      </c>
      <c r="AA88" s="63">
        <f t="shared" si="9"/>
        <v>39.420790979125428</v>
      </c>
    </row>
    <row r="89" spans="1:27" ht="13.2" x14ac:dyDescent="0.25">
      <c r="A89" s="103" t="s">
        <v>342</v>
      </c>
      <c r="B89" s="20" t="s">
        <v>343</v>
      </c>
      <c r="C89" s="20" t="s">
        <v>73</v>
      </c>
      <c r="D89" s="104" t="s">
        <v>172</v>
      </c>
      <c r="E89" s="15">
        <v>146</v>
      </c>
      <c r="F89" s="15">
        <v>1075</v>
      </c>
      <c r="G89" s="20" t="s">
        <v>164</v>
      </c>
      <c r="H89" s="20">
        <v>0.78</v>
      </c>
      <c r="I89" s="68">
        <f>inputs!$C$66*(inputs!$C$62/1000)</f>
        <v>8.2000000000000011</v>
      </c>
      <c r="J89" s="68">
        <f>inputs!$C$66*(inputs!$C$61/1000)</f>
        <v>2.5</v>
      </c>
      <c r="K89" s="69">
        <f t="shared" si="6"/>
        <v>1.9730448594791863</v>
      </c>
      <c r="L89" s="69">
        <f t="shared" si="10"/>
        <v>0.60153806691438605</v>
      </c>
      <c r="M89" s="69">
        <f>IF((((1.18*F89^0.874)/3.7-(0.301*F89^0.751)/(1-H89)*H89)*(MAX('Max rate concentrations'!$P$3:$P$368)))/F89&gt;0, (((1.18*F89^0.874)/3.7-(0.301*F89^0.751)/(1-H89)*H89)*(MAX('Max rate concentrations'!$P$3:$P$368)))/F89, 0)</f>
        <v>0</v>
      </c>
      <c r="N89" s="69">
        <f>IF((((1.18*F89^0.874)/3.7-(0.301*F89^0.751)/(1-H89)*H89)*(MAX('Max rate concentrations'!$Q$3:$Q$368)))/F89&gt;0, (((1.18*F89^0.874)/3.7-(0.301*F89^0.751)/(1-H89)*H89)*(MAX('Max rate concentrations'!$Q$3:$Q$368)))/F89, 0)</f>
        <v>0</v>
      </c>
      <c r="O89" s="69">
        <f>((MAX('Max rate concentrations'!$F$3:$F$368))*0.62*6.01*8*(10*F89^0.667)*0.079*0.1/F89)*inputs!$E$80/(10^(0.84+0.62*LOG10(inputs!$E$80)))</f>
        <v>14.364628780782477</v>
      </c>
      <c r="P89" s="69">
        <f>((MAX('Max rate concentrations'!Y:Y))*0.62*6.01*8*(10*F89^0.667)*0.079*0.1/F89)*inputs!$E$80/(10^(0.84+0.62*LOG10(inputs!$E$80)))</f>
        <v>4.7882095935941589</v>
      </c>
      <c r="Q89" s="69">
        <f>(inputs!$C$18*11.2*(10*F89^0.667)*0.5/F89)*inputs!$E$80/(10^(0.84+0.62*LOG10(inputs!$E$80)))</f>
        <v>2.5302616078414988</v>
      </c>
      <c r="R89" s="59">
        <f>(60*284*((F89/1000)^0.77)*3*24*(MAX('Max rate concentrations'!$R$3:$R$368))/F89)*(inputs!$E$73*3.4/inputs!$E$75)</f>
        <v>2.7660677208735225E-2</v>
      </c>
      <c r="S89" s="59">
        <f>(IF(inputs!$C$17="aerial",((0.025*0.112*inputs!$C$18/3.3)*(3*60*284*((F89/1000)^0.77))*MAX(inputs!$I$14:$I$16))/F89,((0.0083*0.112*inputs!$C$18/1)*(3*60*284*((F89/1000)^0.77))*MAX(inputs!$I$14:$I$16))/F89))*(inputs!E$75*3.4/inputs!$E$73)</f>
        <v>0.15255033423141437</v>
      </c>
      <c r="T89" s="63">
        <f>IF((((inputs!$P$13/(V89/MAX(K89:S89)))^(1/inputs!$O$13))-1)/inputs!$N$13&lt;0, 0, IF((((inputs!$P$13/(V89/MAX(K89:S89)))^(1/inputs!$O$13))-1)/inputs!$N$13&lt;inputs!$I$17, (((inputs!$P$13/(V89/MAX(K89:S89)))^(1/inputs!$O$13))-1)/inputs!$N$13, inputs!$I$17))</f>
        <v>1000</v>
      </c>
      <c r="U89" s="63">
        <f>IF((((inputs!$P$13/(X89/MAX(K89:S89)))^(1/inputs!$O$13))-1)/inputs!$N$13&lt;0, 0, IF((((inputs!$P$13/(X89/MAX(K89:S89)))^(1/inputs!$O$13))-1)/inputs!$N$13&lt;inputs!$I$17, (((inputs!$P$13/(X89/MAX(K89:S89)))^(1/inputs!$O$13))-1)/inputs!$N$13, inputs!$I$17))</f>
        <v>31.488356911035243</v>
      </c>
      <c r="V89" s="21">
        <f>inputs!$E$78*(F89/inputs!$F$78)^(inputs!$E$84-1)</f>
        <v>7.8910077366186188E-3</v>
      </c>
      <c r="W89" s="21">
        <f>inputs!$E$85*(F89/inputs!$F$85)^(inputs!$E$84-1)</f>
        <v>0.36439220076504825</v>
      </c>
      <c r="X89" s="21">
        <f>inputs!$E$80*(F89/inputs!$F$80)^(inputs!$E$84-1)</f>
        <v>1.3607050534897371</v>
      </c>
      <c r="Y89" s="21">
        <f>inputs!$E$82*(F89/inputs!$F$82)^(inputs!$E$84-1)</f>
        <v>0.62712745696284811</v>
      </c>
      <c r="Z89" s="63">
        <f t="shared" si="8"/>
        <v>1820.3795079458221</v>
      </c>
      <c r="AA89" s="63">
        <f t="shared" si="9"/>
        <v>39.420790979125428</v>
      </c>
    </row>
    <row r="90" spans="1:27" ht="13.2" x14ac:dyDescent="0.25">
      <c r="A90" s="103" t="s">
        <v>342</v>
      </c>
      <c r="B90" s="20" t="s">
        <v>343</v>
      </c>
      <c r="C90" s="20" t="s">
        <v>73</v>
      </c>
      <c r="D90" s="104" t="s">
        <v>172</v>
      </c>
      <c r="E90" s="15">
        <v>146</v>
      </c>
      <c r="F90" s="15">
        <v>1075</v>
      </c>
      <c r="G90" s="20" t="s">
        <v>177</v>
      </c>
      <c r="H90" s="20">
        <v>0.85</v>
      </c>
      <c r="I90" s="68">
        <f>MAX('Max rate concentrations'!$F$3:$F$368)</f>
        <v>405</v>
      </c>
      <c r="J90" s="68">
        <f>MAX('Max rate concentrations'!Y:Y)</f>
        <v>135</v>
      </c>
      <c r="K90" s="69">
        <f t="shared" si="6"/>
        <v>142.92544469885806</v>
      </c>
      <c r="L90" s="69">
        <f t="shared" si="10"/>
        <v>47.641814899619362</v>
      </c>
      <c r="M90" s="69">
        <f>IF((((1.18*F90^0.874)/3.7-(0.301*F90^0.751)/(1-H90)*H90)*(MAX('Max rate concentrations'!$P$3:$P$368)))/F90&gt;0, (((1.18*F90^0.874)/3.7-(0.301*F90^0.751)/(1-H90)*H90)*(MAX('Max rate concentrations'!$P$3:$P$368)))/F90, 0)</f>
        <v>0</v>
      </c>
      <c r="N90" s="69">
        <f>IF((((1.18*F90^0.874)/3.7-(0.301*F90^0.751)/(1-H90)*H90)*(MAX('Max rate concentrations'!$Q$3:$Q$368)))/F90&gt;0, (((1.18*F90^0.874)/3.7-(0.301*F90^0.751)/(1-H90)*H90)*(MAX('Max rate concentrations'!$Q$3:$Q$368)))/F90, 0)</f>
        <v>0</v>
      </c>
      <c r="O90" s="69">
        <f>((MAX('Max rate concentrations'!$F$3:$F$368))*0.62*6.01*8*(10*F90^0.667)*0.079*0.1/F90)*inputs!$E$80/(10^(0.84+0.62*LOG10(inputs!$E$80)))</f>
        <v>14.364628780782477</v>
      </c>
      <c r="P90" s="69">
        <f>((MAX('Max rate concentrations'!Y:Y))*0.62*6.01*8*(10*F90^0.667)*0.079*0.1/F90)*inputs!$E$80/(10^(0.84+0.62*LOG10(inputs!$E$80)))</f>
        <v>4.7882095935941589</v>
      </c>
      <c r="Q90" s="69">
        <f>(inputs!$C$18*11.2*(10*F90^0.667)*0.5/F90)*inputs!$E$80/(10^(0.84+0.62*LOG10(inputs!$E$80)))</f>
        <v>2.5302616078414988</v>
      </c>
      <c r="R90" s="59">
        <f>(60*284*((F90/1000)^0.77)*3*24*(MAX('Max rate concentrations'!$R$3:$R$368))/F90)*(inputs!$E$73*3.4/inputs!$E$75)</f>
        <v>2.7660677208735225E-2</v>
      </c>
      <c r="S90" s="59">
        <f>(IF(inputs!$C$17="aerial",((0.025*0.112*inputs!$C$18/3.3)*(3*60*284*((F90/1000)^0.77))*MAX(inputs!$I$14:$I$16))/F90,((0.0083*0.112*inputs!$C$18/1)*(3*60*284*((F90/1000)^0.77))*MAX(inputs!$I$14:$I$16))/F90))*(inputs!E$75*3.4/inputs!$E$73)</f>
        <v>0.15255033423141437</v>
      </c>
      <c r="T90" s="63">
        <f>IF((((inputs!$P$13/(V90/MAX(K90:S90)))^(1/inputs!$O$13))-1)/inputs!$N$13&lt;0, 0, IF((((inputs!$P$13/(V90/MAX(K90:S90)))^(1/inputs!$O$13))-1)/inputs!$N$13&lt;inputs!$I$17, (((inputs!$P$13/(V90/MAX(K90:S90)))^(1/inputs!$O$13))-1)/inputs!$N$13, inputs!$I$17))</f>
        <v>1000</v>
      </c>
      <c r="U90" s="63">
        <f>IF((((inputs!$P$13/(X90/MAX(K90:S90)))^(1/inputs!$O$13))-1)/inputs!$N$13&lt;0, 0, IF((((inputs!$P$13/(X90/MAX(K90:S90)))^(1/inputs!$O$13))-1)/inputs!$N$13&lt;inputs!$I$17, (((inputs!$P$13/(X90/MAX(K90:S90)))^(1/inputs!$O$13))-1)/inputs!$N$13, inputs!$I$17))</f>
        <v>230.14444293051181</v>
      </c>
      <c r="V90" s="21">
        <f>inputs!$E$78*(F90/inputs!$F$78)^(inputs!$E$84-1)</f>
        <v>7.8910077366186188E-3</v>
      </c>
      <c r="W90" s="21">
        <f>inputs!$E$85*(F90/inputs!$F$85)^(inputs!$E$84-1)</f>
        <v>0.36439220076504825</v>
      </c>
      <c r="X90" s="21">
        <f>inputs!$E$80*(F90/inputs!$F$80)^(inputs!$E$84-1)</f>
        <v>1.3607050534897371</v>
      </c>
      <c r="Y90" s="21">
        <f>inputs!$E$82*(F90/inputs!$F$82)^(inputs!$E$84-1)</f>
        <v>0.62712745696284811</v>
      </c>
      <c r="Z90" s="63">
        <f t="shared" si="8"/>
        <v>18112.44513620299</v>
      </c>
      <c r="AA90" s="63">
        <f t="shared" si="9"/>
        <v>392.22970304738521</v>
      </c>
    </row>
    <row r="91" spans="1:27" ht="13.2" x14ac:dyDescent="0.25">
      <c r="A91" s="114" t="s">
        <v>317</v>
      </c>
      <c r="B91" s="48" t="s">
        <v>318</v>
      </c>
      <c r="C91" s="20" t="s">
        <v>73</v>
      </c>
      <c r="D91" s="48" t="s">
        <v>172</v>
      </c>
      <c r="E91" s="15">
        <v>147</v>
      </c>
      <c r="F91" s="15">
        <v>773</v>
      </c>
      <c r="G91" s="20" t="s">
        <v>241</v>
      </c>
      <c r="H91" s="20">
        <v>0.8</v>
      </c>
      <c r="I91" s="68">
        <f>inputs!$C$66*inputs!$C$60/1000</f>
        <v>28</v>
      </c>
      <c r="J91" s="68">
        <f>inputs!$C$66*inputs!$C$59/1000</f>
        <v>28</v>
      </c>
      <c r="K91" s="69">
        <f t="shared" si="6"/>
        <v>8.0452183831489101</v>
      </c>
      <c r="L91" s="69">
        <f t="shared" si="10"/>
        <v>8.0452183831489101</v>
      </c>
      <c r="M91" s="69">
        <f>IF((((1.18*F91^0.874)/3.7-(0.301*F91^0.751)/(1-H91)*H91)*(MAX('Max rate concentrations'!$P$3:$P$368)))/F91&gt;0, (((1.18*F91^0.874)/3.7-(0.301*F91^0.751)/(1-H91)*H91)*(MAX('Max rate concentrations'!$P$3:$P$368)))/F91, 0)</f>
        <v>0</v>
      </c>
      <c r="N91" s="69">
        <f>IF((((1.18*F91^0.874)/3.7-(0.301*F91^0.751)/(1-H91)*H91)*(MAX('Max rate concentrations'!$Q$3:$Q$368)))/F91&gt;0, (((1.18*F91^0.874)/3.7-(0.301*F91^0.751)/(1-H91)*H91)*(MAX('Max rate concentrations'!$Q$3:$Q$368)))/F91, 0)</f>
        <v>0</v>
      </c>
      <c r="O91" s="69">
        <f>((MAX('Max rate concentrations'!$F$3:$F$368))*0.62*6.01*8*(10*F91^0.667)*0.079*0.1/F91)*inputs!$E$80/(10^(0.84+0.62*LOG10(inputs!$E$80)))</f>
        <v>16.032071988647854</v>
      </c>
      <c r="P91" s="69">
        <f>((MAX('Max rate concentrations'!Y:Y))*0.62*6.01*8*(10*F91^0.667)*0.079*0.1/F91)*inputs!$E$80/(10^(0.84+0.62*LOG10(inputs!$E$80)))</f>
        <v>5.3440239962159497</v>
      </c>
      <c r="Q91" s="69">
        <f>(inputs!$C$18*11.2*(10*F91^0.667)*0.5/F91)*inputs!$E$80/(10^(0.84+0.62*LOG10(inputs!$E$80)))</f>
        <v>2.8239738642808883</v>
      </c>
      <c r="R91" s="59">
        <f>(60*284*((F91/1000)^0.77)*3*24*(MAX('Max rate concentrations'!$R$3:$R$368))/F91)*(inputs!$E$73*3.4/inputs!$E$75)</f>
        <v>2.9840457124824679E-2</v>
      </c>
      <c r="S91" s="59">
        <f>(IF(inputs!$C$17="aerial",((0.025*0.112*inputs!$C$18/3.3)*(3*60*284*((F91/1000)^0.77))*MAX(inputs!$I$14:$I$16))/F91,((0.0083*0.112*inputs!$C$18/1)*(3*60*284*((F91/1000)^0.77))*MAX(inputs!$I$14:$I$16))/F91))*(inputs!E$75*3.4/inputs!$E$73)</f>
        <v>0.16457195439064023</v>
      </c>
      <c r="T91" s="63">
        <f>IF((((inputs!$P$13/(V91/MAX(K91:S91)))^(1/inputs!$O$13))-1)/inputs!$N$13&lt;0, 0, IF((((inputs!$P$13/(V91/MAX(K91:S91)))^(1/inputs!$O$13))-1)/inputs!$N$13&lt;inputs!$I$17, (((inputs!$P$13/(V91/MAX(K91:S91)))^(1/inputs!$O$13))-1)/inputs!$N$13, inputs!$I$17))</f>
        <v>1000</v>
      </c>
      <c r="U91" s="63">
        <f>IF((((inputs!$P$13/(X91/MAX(K91:S91)))^(1/inputs!$O$13))-1)/inputs!$N$13&lt;0, 0, IF((((inputs!$P$13/(X91/MAX(K91:S91)))^(1/inputs!$O$13))-1)/inputs!$N$13&lt;inputs!$I$17, (((inputs!$P$13/(X91/MAX(K91:S91)))^(1/inputs!$O$13))-1)/inputs!$N$13, inputs!$I$17))</f>
        <v>31.127836025673453</v>
      </c>
      <c r="V91" s="21">
        <f>inputs!$E$78*(F91/inputs!$F$78)^(inputs!$E$84-1)</f>
        <v>8.9151198958738638E-3</v>
      </c>
      <c r="W91" s="21">
        <f>inputs!$E$85*(F91/inputs!$F$85)^(inputs!$E$84-1)</f>
        <v>0.41168381369928875</v>
      </c>
      <c r="X91" s="21">
        <f>inputs!$E$80*(F91/inputs!$F$80)^(inputs!$E$84-1)</f>
        <v>1.5373003169783566</v>
      </c>
      <c r="Y91" s="21">
        <f>inputs!$E$82*(F91/inputs!$F$82)^(inputs!$E$84-1)</f>
        <v>0.70851742330365974</v>
      </c>
      <c r="Z91" s="63">
        <f t="shared" si="8"/>
        <v>1798.3013325561544</v>
      </c>
      <c r="AA91" s="63">
        <f t="shared" si="9"/>
        <v>38.942682357578327</v>
      </c>
    </row>
    <row r="92" spans="1:27" ht="13.2" x14ac:dyDescent="0.25">
      <c r="A92" s="114" t="s">
        <v>317</v>
      </c>
      <c r="B92" s="48" t="s">
        <v>318</v>
      </c>
      <c r="C92" s="20" t="s">
        <v>73</v>
      </c>
      <c r="D92" s="48" t="s">
        <v>172</v>
      </c>
      <c r="E92" s="15">
        <v>147</v>
      </c>
      <c r="F92" s="15">
        <v>773</v>
      </c>
      <c r="G92" s="20" t="s">
        <v>164</v>
      </c>
      <c r="H92" s="20">
        <v>0.78</v>
      </c>
      <c r="I92" s="68">
        <f>inputs!$C$66*(inputs!$C$62/1000)</f>
        <v>8.2000000000000011</v>
      </c>
      <c r="J92" s="68">
        <f>inputs!$C$66*(inputs!$C$61/1000)</f>
        <v>2.5</v>
      </c>
      <c r="K92" s="69">
        <f t="shared" si="6"/>
        <v>2.1419087903188658</v>
      </c>
      <c r="L92" s="69">
        <f t="shared" si="10"/>
        <v>0.6530209726581907</v>
      </c>
      <c r="M92" s="69">
        <f>IF((((1.18*F92^0.874)/3.7-(0.301*F92^0.751)/(1-H92)*H92)*(MAX('Max rate concentrations'!$P$3:$P$368)))/F92&gt;0, (((1.18*F92^0.874)/3.7-(0.301*F92^0.751)/(1-H92)*H92)*(MAX('Max rate concentrations'!$P$3:$P$368)))/F92, 0)</f>
        <v>0</v>
      </c>
      <c r="N92" s="69">
        <f>IF((((1.18*F92^0.874)/3.7-(0.301*F92^0.751)/(1-H92)*H92)*(MAX('Max rate concentrations'!$Q$3:$Q$368)))/F92&gt;0, (((1.18*F92^0.874)/3.7-(0.301*F92^0.751)/(1-H92)*H92)*(MAX('Max rate concentrations'!$Q$3:$Q$368)))/F92, 0)</f>
        <v>0</v>
      </c>
      <c r="O92" s="69">
        <f>((MAX('Max rate concentrations'!$F$3:$F$368))*0.62*6.01*8*(10*F92^0.667)*0.079*0.1/F92)*inputs!$E$80/(10^(0.84+0.62*LOG10(inputs!$E$80)))</f>
        <v>16.032071988647854</v>
      </c>
      <c r="P92" s="69">
        <f>((MAX('Max rate concentrations'!Y:Y))*0.62*6.01*8*(10*F92^0.667)*0.079*0.1/F92)*inputs!$E$80/(10^(0.84+0.62*LOG10(inputs!$E$80)))</f>
        <v>5.3440239962159497</v>
      </c>
      <c r="Q92" s="69">
        <f>(inputs!$C$18*11.2*(10*F92^0.667)*0.5/F92)*inputs!$E$80/(10^(0.84+0.62*LOG10(inputs!$E$80)))</f>
        <v>2.8239738642808883</v>
      </c>
      <c r="R92" s="59">
        <f>(60*284*((F92/1000)^0.77)*3*24*(MAX('Max rate concentrations'!$R$3:$R$368))/F92)*(inputs!$E$73*3.4/inputs!$E$75)</f>
        <v>2.9840457124824679E-2</v>
      </c>
      <c r="S92" s="59">
        <f>(IF(inputs!$C$17="aerial",((0.025*0.112*inputs!$C$18/3.3)*(3*60*284*((F92/1000)^0.77))*MAX(inputs!$I$14:$I$16))/F92,((0.0083*0.112*inputs!$C$18/1)*(3*60*284*((F92/1000)^0.77))*MAX(inputs!$I$14:$I$16))/F92))*(inputs!E$75*3.4/inputs!$E$73)</f>
        <v>0.16457195439064023</v>
      </c>
      <c r="T92" s="63">
        <f>IF((((inputs!$P$13/(V92/MAX(K92:S92)))^(1/inputs!$O$13))-1)/inputs!$N$13&lt;0, 0, IF((((inputs!$P$13/(V92/MAX(K92:S92)))^(1/inputs!$O$13))-1)/inputs!$N$13&lt;inputs!$I$17, (((inputs!$P$13/(V92/MAX(K92:S92)))^(1/inputs!$O$13))-1)/inputs!$N$13, inputs!$I$17))</f>
        <v>1000</v>
      </c>
      <c r="U92" s="63">
        <f>IF((((inputs!$P$13/(X92/MAX(K92:S92)))^(1/inputs!$O$13))-1)/inputs!$N$13&lt;0, 0, IF((((inputs!$P$13/(X92/MAX(K92:S92)))^(1/inputs!$O$13))-1)/inputs!$N$13&lt;inputs!$I$17, (((inputs!$P$13/(X92/MAX(K92:S92)))^(1/inputs!$O$13))-1)/inputs!$N$13, inputs!$I$17))</f>
        <v>31.127836025673453</v>
      </c>
      <c r="V92" s="21">
        <f>inputs!$E$78*(F92/inputs!$F$78)^(inputs!$E$84-1)</f>
        <v>8.9151198958738638E-3</v>
      </c>
      <c r="W92" s="21">
        <f>inputs!$E$85*(F92/inputs!$F$85)^(inputs!$E$84-1)</f>
        <v>0.41168381369928875</v>
      </c>
      <c r="X92" s="21">
        <f>inputs!$E$80*(F92/inputs!$F$80)^(inputs!$E$84-1)</f>
        <v>1.5373003169783566</v>
      </c>
      <c r="Y92" s="21">
        <f>inputs!$E$82*(F92/inputs!$F$82)^(inputs!$E$84-1)</f>
        <v>0.70851742330365974</v>
      </c>
      <c r="Z92" s="63">
        <f t="shared" si="8"/>
        <v>1798.3013325561544</v>
      </c>
      <c r="AA92" s="63">
        <f t="shared" si="9"/>
        <v>38.942682357578327</v>
      </c>
    </row>
    <row r="93" spans="1:27" ht="13.2" x14ac:dyDescent="0.25">
      <c r="A93" s="103" t="s">
        <v>147</v>
      </c>
      <c r="B93" s="20" t="s">
        <v>148</v>
      </c>
      <c r="C93" s="20" t="s">
        <v>73</v>
      </c>
      <c r="D93" s="104" t="s">
        <v>149</v>
      </c>
      <c r="E93" s="15">
        <v>148</v>
      </c>
      <c r="F93" s="15">
        <v>6.4</v>
      </c>
      <c r="G93" s="20" t="s">
        <v>142</v>
      </c>
      <c r="H93" s="20">
        <v>0.69</v>
      </c>
      <c r="I93" s="68">
        <f>MAX('Max rate concentrations'!$H$3:$H$368)</f>
        <v>282</v>
      </c>
      <c r="J93" s="68">
        <f>MAX('Max rate concentrations'!AA:AA)</f>
        <v>195</v>
      </c>
      <c r="K93" s="69">
        <f t="shared" si="6"/>
        <v>172.47060887251024</v>
      </c>
      <c r="L93" s="69">
        <f t="shared" si="10"/>
        <v>119.26159124162943</v>
      </c>
      <c r="M93" s="69">
        <f>IF((((1.18*F93^0.874)/3.7-(0.301*F93^0.751)/(1-H93)*H93)*(MAX('Max rate concentrations'!$P$3:$P$368)))/F93&gt;0, (((1.18*F93^0.874)/3.7-(0.301*F93^0.751)/(1-H93)*H93)*(MAX('Max rate concentrations'!$P$3:$P$368)))/F93, 0)</f>
        <v>0</v>
      </c>
      <c r="N93" s="69">
        <f>IF((((1.18*F93^0.874)/3.7-(0.301*F93^0.751)/(1-H93)*H93)*(MAX('Max rate concentrations'!$Q$3:$Q$368)))/F93&gt;0, (((1.18*F93^0.874)/3.7-(0.301*F93^0.751)/(1-H93)*H93)*(MAX('Max rate concentrations'!$Q$3:$Q$368)))/F93, 0)</f>
        <v>0</v>
      </c>
      <c r="O93" s="69">
        <f>((MAX('Max rate concentrations'!$F$3:$F$368))*0.62*6.01*8*(10*F93^0.667)*0.079*0.1/F93)*inputs!$E$80/(10^(0.84+0.62*LOG10(inputs!$E$80)))</f>
        <v>79.121678966023026</v>
      </c>
      <c r="P93" s="69">
        <f>((MAX('Max rate concentrations'!Y:Y))*0.62*6.01*8*(10*F93^0.667)*0.079*0.1/F93)*inputs!$E$80/(10^(0.84+0.62*LOG10(inputs!$E$80)))</f>
        <v>26.373892988674346</v>
      </c>
      <c r="Q93" s="69">
        <f>(inputs!$C$18*11.2*(10*F93^0.667)*0.5/F93)*inputs!$E$80/(10^(0.84+0.62*LOG10(inputs!$E$80)))</f>
        <v>13.936910566287738</v>
      </c>
      <c r="R93" s="59">
        <f>(60*284*((F93/1000)^0.77)*3*24*(MAX('Max rate concentrations'!$R$3:$R$368))/F93)*(inputs!$E$73*3.4/inputs!$E$75)</f>
        <v>8.9880475510377159E-2</v>
      </c>
      <c r="S93" s="59">
        <f>(IF(inputs!$C$17="aerial",((0.025*0.112*inputs!$C$18/3.3)*(3*60*284*((F93/1000)^0.77))*MAX(inputs!$I$14:$I$16))/F93,((0.0083*0.112*inputs!$C$18/1)*(3*60*284*((F93/1000)^0.77))*MAX(inputs!$I$14:$I$16))/F93))*(inputs!E$75*3.4/inputs!$E$73)</f>
        <v>0.49569634454417738</v>
      </c>
      <c r="T93" s="63">
        <f>IF((((inputs!$P$13/(V93/MAX(K93:S93)))^(1/inputs!$O$13))-1)/inputs!$N$13&lt;0, 0, IF((((inputs!$P$13/(V93/MAX(K93:S93)))^(1/inputs!$O$13))-1)/inputs!$N$13&lt;inputs!$I$17, (((inputs!$P$13/(V93/MAX(K93:S93)))^(1/inputs!$O$13))-1)/inputs!$N$13, inputs!$I$17))</f>
        <v>1000</v>
      </c>
      <c r="U93" s="63">
        <f>IF((((inputs!$P$13/(X93/MAX(K93:S93)))^(1/inputs!$O$13))-1)/inputs!$N$13&lt;0, 0, IF((((inputs!$P$13/(X93/MAX(K93:S93)))^(1/inputs!$O$13))-1)/inputs!$N$13&lt;inputs!$I$17, (((inputs!$P$13/(X93/MAX(K93:S93)))^(1/inputs!$O$13))-1)/inputs!$N$13, inputs!$I$17))</f>
        <v>53.920776387669946</v>
      </c>
      <c r="V93" s="21">
        <f>inputs!$E$78*(F93/inputs!$F$78)^(inputs!$E$84-1)</f>
        <v>5.2537210583032415E-2</v>
      </c>
      <c r="W93" s="21">
        <f>inputs!$E$85*(F93/inputs!$F$85)^(inputs!$E$84-1)</f>
        <v>2.426071602688789</v>
      </c>
      <c r="X93" s="21">
        <f>inputs!$E$80*(F93/inputs!$F$80)^(inputs!$E$84-1)</f>
        <v>9.0593813011796538</v>
      </c>
      <c r="Y93" s="21">
        <f>inputs!$E$82*(F93/inputs!$F$82)^(inputs!$E$84-1)</f>
        <v>4.1753256831778396</v>
      </c>
      <c r="Z93" s="63">
        <f t="shared" si="8"/>
        <v>3282.8276750614527</v>
      </c>
      <c r="AA93" s="63">
        <f t="shared" si="9"/>
        <v>71.090485821342995</v>
      </c>
    </row>
    <row r="94" spans="1:27" ht="13.2" x14ac:dyDescent="0.25">
      <c r="A94" s="103" t="s">
        <v>199</v>
      </c>
      <c r="B94" s="20" t="s">
        <v>200</v>
      </c>
      <c r="C94" s="20" t="s">
        <v>73</v>
      </c>
      <c r="D94" s="104" t="s">
        <v>201</v>
      </c>
      <c r="E94" s="15">
        <v>111</v>
      </c>
      <c r="F94" s="15">
        <v>33.799999999999997</v>
      </c>
      <c r="G94" s="20" t="s">
        <v>142</v>
      </c>
      <c r="H94" s="20">
        <v>0.69</v>
      </c>
      <c r="I94" s="68">
        <f>MAX('Max rate concentrations'!$H$3:$H$368)</f>
        <v>282</v>
      </c>
      <c r="J94" s="68">
        <f>MAX('Max rate concentrations'!AA:AA)</f>
        <v>195</v>
      </c>
      <c r="K94" s="69">
        <f t="shared" si="6"/>
        <v>113.96031780734305</v>
      </c>
      <c r="L94" s="69">
        <f t="shared" si="10"/>
        <v>78.802347419971255</v>
      </c>
      <c r="M94" s="69">
        <f>IF((((1.18*F94^0.874)/3.7-(0.301*F94^0.751)/(1-H94)*H94)*(MAX('Max rate concentrations'!$P$3:$P$368)))/F94&gt;0, (((1.18*F94^0.874)/3.7-(0.301*F94^0.751)/(1-H94)*H94)*(MAX('Max rate concentrations'!$P$3:$P$368)))/F94, 0)</f>
        <v>0</v>
      </c>
      <c r="N94" s="69">
        <f>IF((((1.18*F94^0.874)/3.7-(0.301*F94^0.751)/(1-H94)*H94)*(MAX('Max rate concentrations'!$Q$3:$Q$368)))/F94&gt;0, (((1.18*F94^0.874)/3.7-(0.301*F94^0.751)/(1-H94)*H94)*(MAX('Max rate concentrations'!$Q$3:$Q$368)))/F94, 0)</f>
        <v>0</v>
      </c>
      <c r="O94" s="69">
        <f>((MAX('Max rate concentrations'!$F$3:$F$368))*0.62*6.01*8*(10*F94^0.667)*0.079*0.1/F94)*inputs!$E$80/(10^(0.84+0.62*LOG10(inputs!$E$80)))</f>
        <v>45.459448697586438</v>
      </c>
      <c r="P94" s="69">
        <f>((MAX('Max rate concentrations'!Y:Y))*0.62*6.01*8*(10*F94^0.667)*0.079*0.1/F94)*inputs!$E$80/(10^(0.84+0.62*LOG10(inputs!$E$80)))</f>
        <v>15.153149565862146</v>
      </c>
      <c r="Q94" s="69">
        <f>(inputs!$C$18*11.2*(10*F94^0.667)*0.5/F94)*inputs!$E$80/(10^(0.84+0.62*LOG10(inputs!$E$80)))</f>
        <v>8.0074674750402774</v>
      </c>
      <c r="R94" s="59">
        <f>(60*284*((F94/1000)^0.77)*3*24*(MAX('Max rate concentrations'!$R$3:$R$368))/F94)*(inputs!$E$73*3.4/inputs!$E$75)</f>
        <v>6.1296533465032603E-2</v>
      </c>
      <c r="S94" s="59">
        <f>(IF(inputs!$C$17="aerial",((0.025*0.112*inputs!$C$18/3.3)*(3*60*284*((F94/1000)^0.77))*MAX(inputs!$I$14:$I$16))/F94,((0.0083*0.112*inputs!$C$18/1)*(3*60*284*((F94/1000)^0.77))*MAX(inputs!$I$14:$I$16))/F94))*(inputs!E$75*3.4/inputs!$E$73)</f>
        <v>0.33805414801503186</v>
      </c>
      <c r="T94" s="63">
        <f>IF((((inputs!$P$13/(V94/MAX(K94:S94)))^(1/inputs!$O$13))-1)/inputs!$N$13&lt;0, 0, IF((((inputs!$P$13/(V94/MAX(K94:S94)))^(1/inputs!$O$13))-1)/inputs!$N$13&lt;inputs!$I$17, (((inputs!$P$13/(V94/MAX(K94:S94)))^(1/inputs!$O$13))-1)/inputs!$N$13, inputs!$I$17))</f>
        <v>1000</v>
      </c>
      <c r="U94" s="63">
        <f>IF((((inputs!$P$13/(X94/MAX(K94:S94)))^(1/inputs!$O$13))-1)/inputs!$N$13&lt;0, 0, IF((((inputs!$P$13/(X94/MAX(K94:S94)))^(1/inputs!$O$13))-1)/inputs!$N$13&lt;inputs!$I$17, (((inputs!$P$13/(X94/MAX(K94:S94)))^(1/inputs!$O$13))-1)/inputs!$N$13, inputs!$I$17))</f>
        <v>64.380795118068647</v>
      </c>
      <c r="V94" s="21">
        <f>inputs!$E$78*(F94/inputs!$F$78)^(inputs!$E$84-1)</f>
        <v>2.8382746730274414E-2</v>
      </c>
      <c r="W94" s="21">
        <f>inputs!$E$85*(F94/inputs!$F$85)^(inputs!$E$84-1)</f>
        <v>1.3106629583959224</v>
      </c>
      <c r="X94" s="21">
        <f>inputs!$E$80*(F94/inputs!$F$80)^(inputs!$E$84-1)</f>
        <v>4.8942477560354058</v>
      </c>
      <c r="Y94" s="21">
        <f>inputs!$E$82*(F94/inputs!$F$82)^(inputs!$E$84-1)</f>
        <v>2.2556814506691771</v>
      </c>
      <c r="Z94" s="63">
        <f t="shared" si="8"/>
        <v>4015.126474203691</v>
      </c>
      <c r="AA94" s="63">
        <f t="shared" si="9"/>
        <v>86.948606487525481</v>
      </c>
    </row>
    <row r="95" spans="1:27" ht="13.2" x14ac:dyDescent="0.25">
      <c r="A95" s="114" t="s">
        <v>977</v>
      </c>
      <c r="B95" s="20" t="s">
        <v>347</v>
      </c>
      <c r="C95" s="20" t="s">
        <v>73</v>
      </c>
      <c r="D95" s="48" t="s">
        <v>185</v>
      </c>
      <c r="E95" s="15">
        <v>96</v>
      </c>
      <c r="F95" s="15">
        <v>39</v>
      </c>
      <c r="G95" s="20" t="s">
        <v>186</v>
      </c>
      <c r="H95" s="49">
        <v>0.75</v>
      </c>
      <c r="I95" s="68">
        <f>inputs!$C$66*inputs!$C$64/1000</f>
        <v>21.3</v>
      </c>
      <c r="J95" s="68">
        <f>inputs!$C$66*inputs!$C$63/1000</f>
        <v>8.8000000000000007</v>
      </c>
      <c r="K95" s="69">
        <f t="shared" si="6"/>
        <v>10.299852448202287</v>
      </c>
      <c r="L95" s="69">
        <f t="shared" si="10"/>
        <v>4.2553381006657345</v>
      </c>
      <c r="M95" s="69">
        <f>IF((((1.18*F95^0.874)/3.7-(0.301*F95^0.751)/(1-H95)*H95)*(MAX('Max rate concentrations'!$P$3:$P$368)))/F95&gt;0, (((1.18*F95^0.874)/3.7-(0.301*F95^0.751)/(1-H95)*H95)*(MAX('Max rate concentrations'!$P$3:$P$368)))/F95, 0)</f>
        <v>0</v>
      </c>
      <c r="N95" s="69">
        <f>IF((((1.18*F95^0.874)/3.7-(0.301*F95^0.751)/(1-H95)*H95)*(MAX('Max rate concentrations'!$Q$3:$Q$368)))/F95&gt;0, (((1.18*F95^0.874)/3.7-(0.301*F95^0.751)/(1-H95)*H95)*(MAX('Max rate concentrations'!$Q$3:$Q$368)))/F95, 0)</f>
        <v>0</v>
      </c>
      <c r="O95" s="69">
        <f>((MAX('Max rate concentrations'!$F$3:$F$368))*0.62*6.01*8*(10*F95^0.667)*0.079*0.1/F95)*inputs!$E$80/(10^(0.84+0.62*LOG10(inputs!$E$80)))</f>
        <v>43.343992409510264</v>
      </c>
      <c r="P95" s="69">
        <f>((MAX('Max rate concentrations'!Y:Y))*0.62*6.01*8*(10*F95^0.667)*0.079*0.1/F95)*inputs!$E$80/(10^(0.84+0.62*LOG10(inputs!$E$80)))</f>
        <v>14.447997469836752</v>
      </c>
      <c r="Q95" s="69">
        <f>(inputs!$C$18*11.2*(10*F95^0.667)*0.5/F95)*inputs!$E$80/(10^(0.84+0.62*LOG10(inputs!$E$80)))</f>
        <v>7.6348398276104303</v>
      </c>
      <c r="R95" s="59">
        <f>(60*284*((F95/1000)^0.77)*3*24*(MAX('Max rate concentrations'!$R$3:$R$368))/F95)*(inputs!$E$73*3.4/inputs!$E$75)</f>
        <v>5.9311908100378188E-2</v>
      </c>
      <c r="S95" s="59">
        <f>(IF(inputs!$C$17="aerial",((0.025*0.112*inputs!$C$18/3.3)*(3*60*284*((F95/1000)^0.77))*MAX(inputs!$I$14:$I$16))/F95,((0.0083*0.112*inputs!$C$18/1)*(3*60*284*((F95/1000)^0.77))*MAX(inputs!$I$14:$I$16))/F95))*(inputs!E$75*3.4/inputs!$E$73)</f>
        <v>0.32710881719693613</v>
      </c>
      <c r="T95" s="63">
        <f>IF((((inputs!$P$13/(V95/MAX(K95:S95)))^(1/inputs!$O$13))-1)/inputs!$N$13&lt;0, 0, IF((((inputs!$P$13/(V95/MAX(K95:S95)))^(1/inputs!$O$13))-1)/inputs!$N$13&lt;inputs!$I$17, (((inputs!$P$13/(V95/MAX(K95:S95)))^(1/inputs!$O$13))-1)/inputs!$N$13, inputs!$I$17))</f>
        <v>1000</v>
      </c>
      <c r="U95" s="63">
        <f>IF((((inputs!$P$13/(X95/MAX(K95:S95)))^(1/inputs!$O$13))-1)/inputs!$N$13&lt;0, 0, IF((((inputs!$P$13/(X95/MAX(K95:S95)))^(1/inputs!$O$13))-1)/inputs!$N$13&lt;inputs!$I$17, (((inputs!$P$13/(X95/MAX(K95:S95)))^(1/inputs!$O$13))-1)/inputs!$N$13, inputs!$I$17))</f>
        <v>28.019895786179433</v>
      </c>
      <c r="V95" s="21">
        <f>inputs!$E$78*(F95/inputs!$F$78)^(inputs!$E$84-1)</f>
        <v>2.6919047967817342E-2</v>
      </c>
      <c r="W95" s="21">
        <f>inputs!$E$85*(F95/inputs!$F$85)^(inputs!$E$84-1)</f>
        <v>1.2430720459154132</v>
      </c>
      <c r="X95" s="21">
        <f>inputs!$E$80*(F95/inputs!$F$80)^(inputs!$E$84-1)</f>
        <v>4.6418513106967962</v>
      </c>
      <c r="Y95" s="21">
        <f>inputs!$E$82*(F95/inputs!$F$82)^(inputs!$E$84-1)</f>
        <v>2.1393559174423253</v>
      </c>
      <c r="Z95" s="63">
        <f t="shared" si="8"/>
        <v>1610.1606736363601</v>
      </c>
      <c r="AA95" s="63">
        <f t="shared" si="9"/>
        <v>34.868447530401369</v>
      </c>
    </row>
    <row r="96" spans="1:27" ht="13.2" x14ac:dyDescent="0.25">
      <c r="A96" s="103" t="s">
        <v>292</v>
      </c>
      <c r="B96" s="20" t="s">
        <v>293</v>
      </c>
      <c r="C96" s="20" t="s">
        <v>73</v>
      </c>
      <c r="D96" s="104" t="s">
        <v>185</v>
      </c>
      <c r="E96" s="15">
        <v>91</v>
      </c>
      <c r="F96" s="15">
        <v>270</v>
      </c>
      <c r="G96" s="20" t="s">
        <v>142</v>
      </c>
      <c r="H96" s="20">
        <v>0.69</v>
      </c>
      <c r="I96" s="68">
        <f>MAX('Max rate concentrations'!$H$3:$H$368)</f>
        <v>282</v>
      </c>
      <c r="J96" s="68">
        <f>MAX('Max rate concentrations'!AA:AA)</f>
        <v>195</v>
      </c>
      <c r="K96" s="69">
        <f t="shared" si="6"/>
        <v>67.927296929828131</v>
      </c>
      <c r="L96" s="69">
        <f t="shared" si="10"/>
        <v>46.971003196157753</v>
      </c>
      <c r="M96" s="69">
        <f>IF((((1.18*F96^0.874)/3.7-(0.301*F96^0.751)/(1-H96)*H96)*(MAX('Max rate concentrations'!$P$3:$P$368)))/F96&gt;0, (((1.18*F96^0.874)/3.7-(0.301*F96^0.751)/(1-H96)*H96)*(MAX('Max rate concentrations'!$P$3:$P$368)))/F96, 0)</f>
        <v>0</v>
      </c>
      <c r="N96" s="69">
        <f>IF((((1.18*F96^0.874)/3.7-(0.301*F96^0.751)/(1-H96)*H96)*(MAX('Max rate concentrations'!$Q$3:$Q$368)))/F96&gt;0, (((1.18*F96^0.874)/3.7-(0.301*F96^0.751)/(1-H96)*H96)*(MAX('Max rate concentrations'!$Q$3:$Q$368)))/F96, 0)</f>
        <v>0</v>
      </c>
      <c r="O96" s="69">
        <f>((MAX('Max rate concentrations'!$F$3:$F$368))*0.62*6.01*8*(10*F96^0.667)*0.079*0.1/F96)*inputs!$E$80/(10^(0.84+0.62*LOG10(inputs!$E$80)))</f>
        <v>22.756700421048166</v>
      </c>
      <c r="P96" s="69">
        <f>((MAX('Max rate concentrations'!Y:Y))*0.62*6.01*8*(10*F96^0.667)*0.079*0.1/F96)*inputs!$E$80/(10^(0.84+0.62*LOG10(inputs!$E$80)))</f>
        <v>7.5855668070160549</v>
      </c>
      <c r="Q96" s="69">
        <f>(inputs!$C$18*11.2*(10*F96^0.667)*0.5/F96)*inputs!$E$80/(10^(0.84+0.62*LOG10(inputs!$E$80)))</f>
        <v>4.008485445413096</v>
      </c>
      <c r="R96" s="59">
        <f>(60*284*((F96/1000)^0.77)*3*24*(MAX('Max rate concentrations'!$R$3:$R$368))/F96)*(inputs!$E$73*3.4/inputs!$E$75)</f>
        <v>3.8007831288017109E-2</v>
      </c>
      <c r="S96" s="59">
        <f>(IF(inputs!$C$17="aerial",((0.025*0.112*inputs!$C$18/3.3)*(3*60*284*((F96/1000)^0.77))*MAX(inputs!$I$14:$I$16))/F96,((0.0083*0.112*inputs!$C$18/1)*(3*60*284*((F96/1000)^0.77))*MAX(inputs!$I$14:$I$16))/F96))*(inputs!E$75*3.4/inputs!$E$73)</f>
        <v>0.20961552469030581</v>
      </c>
      <c r="T96" s="63">
        <f>IF((((inputs!$P$13/(V96/MAX(K96:S96)))^(1/inputs!$O$13))-1)/inputs!$N$13&lt;0, 0, IF((((inputs!$P$13/(V96/MAX(K96:S96)))^(1/inputs!$O$13))-1)/inputs!$N$13&lt;inputs!$I$17, (((inputs!$P$13/(V96/MAX(K96:S96)))^(1/inputs!$O$13))-1)/inputs!$N$13, inputs!$I$17))</f>
        <v>1000</v>
      </c>
      <c r="U96" s="63">
        <f>IF((((inputs!$P$13/(X96/MAX(K96:S96)))^(1/inputs!$O$13))-1)/inputs!$N$13&lt;0, 0, IF((((inputs!$P$13/(X96/MAX(K96:S96)))^(1/inputs!$O$13))-1)/inputs!$N$13&lt;inputs!$I$17, (((inputs!$P$13/(X96/MAX(K96:S96)))^(1/inputs!$O$13))-1)/inputs!$N$13, inputs!$I$17))</f>
        <v>80.075511111786881</v>
      </c>
      <c r="V96" s="21">
        <f>inputs!$E$78*(F96/inputs!$F$78)^(inputs!$E$84-1)</f>
        <v>1.3156761686377191E-2</v>
      </c>
      <c r="W96" s="21">
        <f>inputs!$E$85*(F96/inputs!$F$85)^(inputs!$E$84-1)</f>
        <v>0.60755501779480292</v>
      </c>
      <c r="X96" s="21">
        <f>inputs!$E$80*(F96/inputs!$F$80)^(inputs!$E$84-1)</f>
        <v>2.2687181044236309</v>
      </c>
      <c r="Y96" s="21">
        <f>inputs!$E$82*(F96/inputs!$F$82)^(inputs!$E$84-1)</f>
        <v>1.0456163234962925</v>
      </c>
      <c r="Z96" s="63">
        <f t="shared" si="8"/>
        <v>5162.9191551110634</v>
      </c>
      <c r="AA96" s="63">
        <f t="shared" si="9"/>
        <v>111.8043550629847</v>
      </c>
    </row>
    <row r="97" spans="1:476" ht="13.2" x14ac:dyDescent="0.25">
      <c r="A97" s="103" t="s">
        <v>292</v>
      </c>
      <c r="B97" s="20" t="s">
        <v>293</v>
      </c>
      <c r="C97" s="20" t="s">
        <v>73</v>
      </c>
      <c r="D97" s="104" t="s">
        <v>185</v>
      </c>
      <c r="E97" s="15">
        <v>91</v>
      </c>
      <c r="F97" s="15">
        <v>270</v>
      </c>
      <c r="G97" s="20" t="s">
        <v>152</v>
      </c>
      <c r="H97" s="20">
        <v>0.77</v>
      </c>
      <c r="I97" s="68">
        <f>MAX('Max rate concentrations'!$G$3:$G$368)</f>
        <v>45</v>
      </c>
      <c r="J97" s="68">
        <f>MAX('Max rate concentrations'!Z:Z)</f>
        <v>21</v>
      </c>
      <c r="K97" s="69">
        <f t="shared" si="6"/>
        <v>14.609710024222984</v>
      </c>
      <c r="L97" s="69">
        <f t="shared" si="10"/>
        <v>6.8178646779707259</v>
      </c>
      <c r="M97" s="69">
        <f>IF((((1.18*F97^0.874)/3.7-(0.301*F97^0.751)/(1-H97)*H97)*(MAX('Max rate concentrations'!$P$3:$P$368)))/F97&gt;0, (((1.18*F97^0.874)/3.7-(0.301*F97^0.751)/(1-H97)*H97)*(MAX('Max rate concentrations'!$P$3:$P$368)))/F97, 0)</f>
        <v>0</v>
      </c>
      <c r="N97" s="69">
        <f>IF((((1.18*F97^0.874)/3.7-(0.301*F97^0.751)/(1-H97)*H97)*(MAX('Max rate concentrations'!$Q$3:$Q$368)))/F97&gt;0, (((1.18*F97^0.874)/3.7-(0.301*F97^0.751)/(1-H97)*H97)*(MAX('Max rate concentrations'!$Q$3:$Q$368)))/F97, 0)</f>
        <v>0</v>
      </c>
      <c r="O97" s="69">
        <f>((MAX('Max rate concentrations'!$F$3:$F$368))*0.62*6.01*8*(10*F97^0.667)*0.079*0.1/F97)*inputs!$E$80/(10^(0.84+0.62*LOG10(inputs!$E$80)))</f>
        <v>22.756700421048166</v>
      </c>
      <c r="P97" s="69">
        <f>((MAX('Max rate concentrations'!Y:Y))*0.62*6.01*8*(10*F97^0.667)*0.079*0.1/F97)*inputs!$E$80/(10^(0.84+0.62*LOG10(inputs!$E$80)))</f>
        <v>7.5855668070160549</v>
      </c>
      <c r="Q97" s="69">
        <f>(inputs!$C$18*11.2*(10*F97^0.667)*0.5/F97)*inputs!$E$80/(10^(0.84+0.62*LOG10(inputs!$E$80)))</f>
        <v>4.008485445413096</v>
      </c>
      <c r="R97" s="59">
        <f>(60*284*((F97/1000)^0.77)*3*24*(MAX('Max rate concentrations'!$R$3:$R$368))/F97)*(inputs!$E$73*3.4/inputs!$E$75)</f>
        <v>3.8007831288017109E-2</v>
      </c>
      <c r="S97" s="59">
        <f>(IF(inputs!$C$17="aerial",((0.025*0.112*inputs!$C$18/3.3)*(3*60*284*((F97/1000)^0.77))*MAX(inputs!$I$14:$I$16))/F97,((0.0083*0.112*inputs!$C$18/1)*(3*60*284*((F97/1000)^0.77))*MAX(inputs!$I$14:$I$16))/F97))*(inputs!E$75*3.4/inputs!$E$73)</f>
        <v>0.20961552469030581</v>
      </c>
      <c r="T97" s="63">
        <f>IF((((inputs!$P$13/(V97/MAX(K97:S97)))^(1/inputs!$O$13))-1)/inputs!$N$13&lt;0, 0, IF((((inputs!$P$13/(V97/MAX(K97:S97)))^(1/inputs!$O$13))-1)/inputs!$N$13&lt;inputs!$I$17, (((inputs!$P$13/(V97/MAX(K97:S97)))^(1/inputs!$O$13))-1)/inputs!$N$13, inputs!$I$17))</f>
        <v>1000</v>
      </c>
      <c r="U97" s="63">
        <f>IF((((inputs!$P$13/(X97/MAX(K97:S97)))^(1/inputs!$O$13))-1)/inputs!$N$13&lt;0, 0, IF((((inputs!$P$13/(X97/MAX(K97:S97)))^(1/inputs!$O$13))-1)/inputs!$N$13&lt;inputs!$I$17, (((inputs!$P$13/(X97/MAX(K97:S97)))^(1/inputs!$O$13))-1)/inputs!$N$13, inputs!$I$17))</f>
        <v>30.001469133112153</v>
      </c>
      <c r="V97" s="21">
        <f>inputs!$E$78*(F97/inputs!$F$78)^(inputs!$E$84-1)</f>
        <v>1.3156761686377191E-2</v>
      </c>
      <c r="W97" s="21">
        <f>inputs!$E$85*(F97/inputs!$F$85)^(inputs!$E$84-1)</f>
        <v>0.60755501779480292</v>
      </c>
      <c r="X97" s="21">
        <f>inputs!$E$80*(F97/inputs!$F$80)^(inputs!$E$84-1)</f>
        <v>2.2687181044236309</v>
      </c>
      <c r="Y97" s="21">
        <f>inputs!$E$82*(F97/inputs!$F$82)^(inputs!$E$84-1)</f>
        <v>1.0456163234962925</v>
      </c>
      <c r="Z97" s="63">
        <f t="shared" si="8"/>
        <v>1729.6581760396989</v>
      </c>
      <c r="AA97" s="63">
        <f t="shared" si="9"/>
        <v>37.456196977265471</v>
      </c>
    </row>
    <row r="98" spans="1:476" ht="13.2" x14ac:dyDescent="0.25">
      <c r="A98" s="114" t="s">
        <v>978</v>
      </c>
      <c r="B98" s="48" t="s">
        <v>266</v>
      </c>
      <c r="C98" s="20" t="s">
        <v>73</v>
      </c>
      <c r="D98" s="48" t="s">
        <v>185</v>
      </c>
      <c r="E98" s="15">
        <v>104</v>
      </c>
      <c r="F98" s="15">
        <v>166</v>
      </c>
      <c r="G98" s="20" t="s">
        <v>164</v>
      </c>
      <c r="H98" s="20">
        <v>0.78</v>
      </c>
      <c r="I98" s="68">
        <f>inputs!$C$66*(inputs!$C$62/1000)</f>
        <v>8.2000000000000011</v>
      </c>
      <c r="J98" s="68">
        <f>inputs!$C$66*(inputs!$C$61/1000)</f>
        <v>2.5</v>
      </c>
      <c r="K98" s="69">
        <f t="shared" si="6"/>
        <v>3.1415990232273274</v>
      </c>
      <c r="L98" s="69">
        <f t="shared" si="10"/>
        <v>0.95780458025223381</v>
      </c>
      <c r="M98" s="69">
        <f>IF((((1.18*F98^0.874)/3.7-(0.301*F98^0.751)/(1-H98)*H98)*(MAX('Max rate concentrations'!$P$3:$P$368)))/F98&gt;0, (((1.18*F98^0.874)/3.7-(0.301*F98^0.751)/(1-H98)*H98)*(MAX('Max rate concentrations'!$P$3:$P$368)))/F98, 0)</f>
        <v>0</v>
      </c>
      <c r="N98" s="69">
        <f>IF((((1.18*F98^0.874)/3.7-(0.301*F98^0.751)/(1-H98)*H98)*(MAX('Max rate concentrations'!$Q$3:$Q$368)))/F98&gt;0, (((1.18*F98^0.874)/3.7-(0.301*F98^0.751)/(1-H98)*H98)*(MAX('Max rate concentrations'!$Q$3:$Q$368)))/F98, 0)</f>
        <v>0</v>
      </c>
      <c r="O98" s="69">
        <f>((MAX('Max rate concentrations'!$F$3:$F$368))*0.62*6.01*8*(10*F98^0.667)*0.079*0.1/F98)*inputs!$E$80/(10^(0.84+0.62*LOG10(inputs!$E$80)))</f>
        <v>26.758233084807596</v>
      </c>
      <c r="P98" s="69">
        <f>((MAX('Max rate concentrations'!Y:Y))*0.62*6.01*8*(10*F98^0.667)*0.079*0.1/F98)*inputs!$E$80/(10^(0.84+0.62*LOG10(inputs!$E$80)))</f>
        <v>8.9194110282691987</v>
      </c>
      <c r="Q98" s="69">
        <f>(inputs!$C$18*11.2*(10*F98^0.667)*0.5/F98)*inputs!$E$80/(10^(0.84+0.62*LOG10(inputs!$E$80)))</f>
        <v>4.7133365505930431</v>
      </c>
      <c r="R98" s="59">
        <f>(60*284*((F98/1000)^0.77)*3*24*(MAX('Max rate concentrations'!$R$3:$R$368))/F98)*(inputs!$E$73*3.4/inputs!$E$75)</f>
        <v>4.2507140954196485E-2</v>
      </c>
      <c r="S98" s="59">
        <f>(IF(inputs!$C$17="aerial",((0.025*0.112*inputs!$C$18/3.3)*(3*60*284*((F98/1000)^0.77))*MAX(inputs!$I$14:$I$16))/F98,((0.0083*0.112*inputs!$C$18/1)*(3*60*284*((F98/1000)^0.77))*MAX(inputs!$I$14:$I$16))/F98))*(inputs!E$75*3.4/inputs!$E$73)</f>
        <v>0.23442949392926365</v>
      </c>
      <c r="T98" s="63">
        <f>IF((((inputs!$P$13/(V98/MAX(K98:S98)))^(1/inputs!$O$13))-1)/inputs!$N$13&lt;0, 0, IF((((inputs!$P$13/(V98/MAX(K98:S98)))^(1/inputs!$O$13))-1)/inputs!$N$13&lt;inputs!$I$17, (((inputs!$P$13/(V98/MAX(K98:S98)))^(1/inputs!$O$13))-1)/inputs!$N$13, inputs!$I$17))</f>
        <v>1000</v>
      </c>
      <c r="U98" s="63">
        <f>IF((((inputs!$P$13/(X98/MAX(K98:S98)))^(1/inputs!$O$13))-1)/inputs!$N$13&lt;0, 0, IF((((inputs!$P$13/(X98/MAX(K98:S98)))^(1/inputs!$O$13))-1)/inputs!$N$13&lt;inputs!$I$17, (((inputs!$P$13/(X98/MAX(K98:S98)))^(1/inputs!$O$13))-1)/inputs!$N$13, inputs!$I$17))</f>
        <v>29.492444822770739</v>
      </c>
      <c r="V98" s="21">
        <f>inputs!$E$78*(F98/inputs!$F$78)^(inputs!$E$84-1)</f>
        <v>1.5751198636649078E-2</v>
      </c>
      <c r="W98" s="21">
        <f>inputs!$E$85*(F98/inputs!$F$85)^(inputs!$E$84-1)</f>
        <v>0.72736133678605042</v>
      </c>
      <c r="X98" s="21">
        <f>inputs!$E$80*(F98/inputs!$F$80)^(inputs!$E$84-1)</f>
        <v>2.7160961310365175</v>
      </c>
      <c r="Y98" s="21">
        <f>inputs!$E$82*(F98/inputs!$F$82)^(inputs!$E$84-1)</f>
        <v>1.2518057863863215</v>
      </c>
      <c r="Z98" s="63">
        <f t="shared" si="8"/>
        <v>1698.8061481586499</v>
      </c>
      <c r="AA98" s="63">
        <f t="shared" si="9"/>
        <v>36.788088301534771</v>
      </c>
    </row>
    <row r="99" spans="1:476" ht="13.2" x14ac:dyDescent="0.25">
      <c r="A99" s="114" t="s">
        <v>978</v>
      </c>
      <c r="B99" s="48" t="s">
        <v>266</v>
      </c>
      <c r="C99" s="20" t="s">
        <v>73</v>
      </c>
      <c r="D99" s="48" t="s">
        <v>185</v>
      </c>
      <c r="E99" s="15">
        <v>104</v>
      </c>
      <c r="F99" s="15">
        <v>166</v>
      </c>
      <c r="G99" s="49" t="s">
        <v>186</v>
      </c>
      <c r="H99" s="49">
        <v>0.75</v>
      </c>
      <c r="I99" s="68">
        <f>inputs!$C$66*inputs!$C$64/1000</f>
        <v>21.3</v>
      </c>
      <c r="J99" s="68">
        <f>inputs!$C$66*inputs!$C$63/1000</f>
        <v>8.8000000000000007</v>
      </c>
      <c r="K99" s="69">
        <f t="shared" si="6"/>
        <v>7.1812356208991464</v>
      </c>
      <c r="L99" s="69">
        <f t="shared" si="10"/>
        <v>2.9668954677893189</v>
      </c>
      <c r="M99" s="69">
        <f>IF((((1.18*F99^0.874)/3.7-(0.301*F99^0.751)/(1-H99)*H99)*(MAX('Max rate concentrations'!$P$3:$P$368)))/F99&gt;0, (((1.18*F99^0.874)/3.7-(0.301*F99^0.751)/(1-H99)*H99)*(MAX('Max rate concentrations'!$P$3:$P$368)))/F99, 0)</f>
        <v>0</v>
      </c>
      <c r="N99" s="69">
        <f>IF((((1.18*F99^0.874)/3.7-(0.301*F99^0.751)/(1-H99)*H99)*(MAX('Max rate concentrations'!$Q$3:$Q$368)))/F99&gt;0, (((1.18*F99^0.874)/3.7-(0.301*F99^0.751)/(1-H99)*H99)*(MAX('Max rate concentrations'!$Q$3:$Q$368)))/F99, 0)</f>
        <v>0</v>
      </c>
      <c r="O99" s="69">
        <f>((MAX('Max rate concentrations'!$F$3:$F$368))*0.62*6.01*8*(10*F99^0.667)*0.079*0.1/F99)*inputs!$E$80/(10^(0.84+0.62*LOG10(inputs!$E$80)))</f>
        <v>26.758233084807596</v>
      </c>
      <c r="P99" s="69">
        <f>((MAX('Max rate concentrations'!Y:Y))*0.62*6.01*8*(10*F99^0.667)*0.079*0.1/F99)*inputs!$E$80/(10^(0.84+0.62*LOG10(inputs!$E$80)))</f>
        <v>8.9194110282691987</v>
      </c>
      <c r="Q99" s="69">
        <f>(inputs!$C$18*11.2*(10*F99^0.667)*0.5/F99)*inputs!$E$80/(10^(0.84+0.62*LOG10(inputs!$E$80)))</f>
        <v>4.7133365505930431</v>
      </c>
      <c r="R99" s="59">
        <f>(60*284*((F99/1000)^0.77)*3*24*(MAX('Max rate concentrations'!$R$3:$R$368))/F99)*(inputs!$E$73*3.4/inputs!$E$75)</f>
        <v>4.2507140954196485E-2</v>
      </c>
      <c r="S99" s="59">
        <f>(IF(inputs!$C$17="aerial",((0.025*0.112*inputs!$C$18/3.3)*(3*60*284*((F99/1000)^0.77))*MAX(inputs!$I$14:$I$16))/F99,((0.0083*0.112*inputs!$C$18/1)*(3*60*284*((F99/1000)^0.77))*MAX(inputs!$I$14:$I$16))/F99))*(inputs!E$75*3.4/inputs!$E$73)</f>
        <v>0.23442949392926365</v>
      </c>
      <c r="T99" s="63">
        <f>IF((((inputs!$P$13/(V99/MAX(K99:S99)))^(1/inputs!$O$13))-1)/inputs!$N$13&lt;0, 0, IF((((inputs!$P$13/(V99/MAX(K99:S99)))^(1/inputs!$O$13))-1)/inputs!$N$13&lt;inputs!$I$17, (((inputs!$P$13/(V99/MAX(K99:S99)))^(1/inputs!$O$13))-1)/inputs!$N$13, inputs!$I$17))</f>
        <v>1000</v>
      </c>
      <c r="U99" s="63">
        <f>IF((((inputs!$P$13/(X99/MAX(K99:S99)))^(1/inputs!$O$13))-1)/inputs!$N$13&lt;0, 0, IF((((inputs!$P$13/(X99/MAX(K99:S99)))^(1/inputs!$O$13))-1)/inputs!$N$13&lt;inputs!$I$17, (((inputs!$P$13/(X99/MAX(K99:S99)))^(1/inputs!$O$13))-1)/inputs!$N$13, inputs!$I$17))</f>
        <v>29.492444822770739</v>
      </c>
      <c r="V99" s="21">
        <f>inputs!$E$78*(F99/inputs!$F$78)^(inputs!$E$84-1)</f>
        <v>1.5751198636649078E-2</v>
      </c>
      <c r="W99" s="21">
        <f>inputs!$E$85*(F99/inputs!$F$85)^(inputs!$E$84-1)</f>
        <v>0.72736133678605042</v>
      </c>
      <c r="X99" s="21">
        <f>inputs!$E$80*(F99/inputs!$F$80)^(inputs!$E$84-1)</f>
        <v>2.7160961310365175</v>
      </c>
      <c r="Y99" s="21">
        <f>inputs!$E$82*(F99/inputs!$F$82)^(inputs!$E$84-1)</f>
        <v>1.2518057863863215</v>
      </c>
      <c r="Z99" s="63">
        <f t="shared" si="8"/>
        <v>1698.8061481586499</v>
      </c>
      <c r="AA99" s="63">
        <f t="shared" si="9"/>
        <v>36.788088301534771</v>
      </c>
    </row>
    <row r="100" spans="1:476" ht="13.2" x14ac:dyDescent="0.25">
      <c r="A100" s="114" t="s">
        <v>979</v>
      </c>
      <c r="B100" s="20" t="s">
        <v>345</v>
      </c>
      <c r="C100" s="20" t="s">
        <v>73</v>
      </c>
      <c r="D100" s="48" t="s">
        <v>185</v>
      </c>
      <c r="E100" s="15">
        <v>134</v>
      </c>
      <c r="F100" s="15">
        <v>39</v>
      </c>
      <c r="G100" s="20" t="s">
        <v>186</v>
      </c>
      <c r="H100" s="49">
        <v>0.75</v>
      </c>
      <c r="I100" s="68">
        <f>inputs!$C$66*inputs!$C$64/1000</f>
        <v>21.3</v>
      </c>
      <c r="J100" s="68">
        <f>inputs!$C$66*inputs!$C$63/1000</f>
        <v>8.8000000000000007</v>
      </c>
      <c r="K100" s="69">
        <f t="shared" si="6"/>
        <v>10.299852448202287</v>
      </c>
      <c r="L100" s="69">
        <f t="shared" si="10"/>
        <v>4.2553381006657345</v>
      </c>
      <c r="M100" s="69">
        <f>IF((((1.18*F100^0.874)/3.7-(0.301*F100^0.751)/(1-H100)*H100)*(MAX('Max rate concentrations'!$P$3:$P$368)))/F100&gt;0, (((1.18*F100^0.874)/3.7-(0.301*F100^0.751)/(1-H100)*H100)*(MAX('Max rate concentrations'!$P$3:$P$368)))/F100, 0)</f>
        <v>0</v>
      </c>
      <c r="N100" s="69">
        <f>IF((((1.18*F100^0.874)/3.7-(0.301*F100^0.751)/(1-H100)*H100)*(MAX('Max rate concentrations'!$Q$3:$Q$368)))/F100&gt;0, (((1.18*F100^0.874)/3.7-(0.301*F100^0.751)/(1-H100)*H100)*(MAX('Max rate concentrations'!$Q$3:$Q$368)))/F100, 0)</f>
        <v>0</v>
      </c>
      <c r="O100" s="69">
        <f>((MAX('Max rate concentrations'!$F$3:$F$368))*0.62*6.01*8*(10*F100^0.667)*0.079*0.1/F100)*inputs!$E$80/(10^(0.84+0.62*LOG10(inputs!$E$80)))</f>
        <v>43.343992409510264</v>
      </c>
      <c r="P100" s="69">
        <f>((MAX('Max rate concentrations'!Y:Y))*0.62*6.01*8*(10*F100^0.667)*0.079*0.1/F100)*inputs!$E$80/(10^(0.84+0.62*LOG10(inputs!$E$80)))</f>
        <v>14.447997469836752</v>
      </c>
      <c r="Q100" s="69">
        <f>(inputs!$C$18*11.2*(10*F100^0.667)*0.5/F100)*inputs!$E$80/(10^(0.84+0.62*LOG10(inputs!$E$80)))</f>
        <v>7.6348398276104303</v>
      </c>
      <c r="R100" s="59">
        <f>(60*284*((F100/1000)^0.77)*3*24*(MAX('Max rate concentrations'!$R$3:$R$368))/F100)*(inputs!$E$73*3.4/inputs!$E$75)</f>
        <v>5.9311908100378188E-2</v>
      </c>
      <c r="S100" s="59">
        <f>(IF(inputs!$C$17="aerial",((0.025*0.112*inputs!$C$18/3.3)*(3*60*284*((F100/1000)^0.77))*MAX(inputs!$I$14:$I$16))/F100,((0.0083*0.112*inputs!$C$18/1)*(3*60*284*((F100/1000)^0.77))*MAX(inputs!$I$14:$I$16))/F100))*(inputs!E$75*3.4/inputs!$E$73)</f>
        <v>0.32710881719693613</v>
      </c>
      <c r="T100" s="63">
        <f>IF((((inputs!$P$13/(V100/MAX(K100:S100)))^(1/inputs!$O$13))-1)/inputs!$N$13&lt;0, 0, IF((((inputs!$P$13/(V100/MAX(K100:S100)))^(1/inputs!$O$13))-1)/inputs!$N$13&lt;inputs!$I$17, (((inputs!$P$13/(V100/MAX(K100:S100)))^(1/inputs!$O$13))-1)/inputs!$N$13, inputs!$I$17))</f>
        <v>1000</v>
      </c>
      <c r="U100" s="63">
        <f>IF((((inputs!$P$13/(X100/MAX(K100:S100)))^(1/inputs!$O$13))-1)/inputs!$N$13&lt;0, 0, IF((((inputs!$P$13/(X100/MAX(K100:S100)))^(1/inputs!$O$13))-1)/inputs!$N$13&lt;inputs!$I$17, (((inputs!$P$13/(X100/MAX(K100:S100)))^(1/inputs!$O$13))-1)/inputs!$N$13, inputs!$I$17))</f>
        <v>28.019895786179433</v>
      </c>
      <c r="V100" s="21">
        <f>inputs!$E$78*(F100/inputs!$F$78)^(inputs!$E$84-1)</f>
        <v>2.6919047967817342E-2</v>
      </c>
      <c r="W100" s="21">
        <f>inputs!$E$85*(F100/inputs!$F$85)^(inputs!$E$84-1)</f>
        <v>1.2430720459154132</v>
      </c>
      <c r="X100" s="21">
        <f>inputs!$E$80*(F100/inputs!$F$80)^(inputs!$E$84-1)</f>
        <v>4.6418513106967962</v>
      </c>
      <c r="Y100" s="21">
        <f>inputs!$E$82*(F100/inputs!$F$82)^(inputs!$E$84-1)</f>
        <v>2.1393559174423253</v>
      </c>
      <c r="Z100" s="63">
        <f t="shared" si="8"/>
        <v>1610.1606736363601</v>
      </c>
      <c r="AA100" s="63">
        <f t="shared" si="9"/>
        <v>34.868447530401369</v>
      </c>
    </row>
    <row r="101" spans="1:476" ht="13.2" x14ac:dyDescent="0.25">
      <c r="A101" s="114" t="s">
        <v>183</v>
      </c>
      <c r="B101" s="20" t="s">
        <v>184</v>
      </c>
      <c r="C101" s="20" t="s">
        <v>73</v>
      </c>
      <c r="D101" s="48" t="s">
        <v>185</v>
      </c>
      <c r="E101" s="15">
        <v>143</v>
      </c>
      <c r="F101" s="15">
        <v>222</v>
      </c>
      <c r="G101" s="20" t="s">
        <v>164</v>
      </c>
      <c r="H101" s="20">
        <v>0.78</v>
      </c>
      <c r="I101" s="68">
        <f>inputs!$C$66*(inputs!$C$62/1000)</f>
        <v>8.2000000000000011</v>
      </c>
      <c r="J101" s="68">
        <f>inputs!$C$66*(inputs!$C$61/1000)</f>
        <v>2.5</v>
      </c>
      <c r="K101" s="69">
        <f t="shared" si="6"/>
        <v>2.9222392960363837</v>
      </c>
      <c r="L101" s="69">
        <f t="shared" si="10"/>
        <v>0.89092661464523892</v>
      </c>
      <c r="M101" s="69">
        <f>IF((((1.18*F101^0.874)/3.7-(0.301*F101^0.751)/(1-H101)*H101)*(MAX('Max rate concentrations'!$P$3:$P$368)))/F101&gt;0, (((1.18*F101^0.874)/3.7-(0.301*F101^0.751)/(1-H101)*H101)*(MAX('Max rate concentrations'!$P$3:$P$368)))/F101, 0)</f>
        <v>0</v>
      </c>
      <c r="N101" s="69">
        <f>IF((((1.18*F101^0.874)/3.7-(0.301*F101^0.751)/(1-H101)*H101)*(MAX('Max rate concentrations'!$Q$3:$Q$368)))/F101&gt;0, (((1.18*F101^0.874)/3.7-(0.301*F101^0.751)/(1-H101)*H101)*(MAX('Max rate concentrations'!$Q$3:$Q$368)))/F101, 0)</f>
        <v>0</v>
      </c>
      <c r="O101" s="69">
        <f>((MAX('Max rate concentrations'!$F$3:$F$368))*0.62*6.01*8*(10*F101^0.667)*0.079*0.1/F101)*inputs!$E$80/(10^(0.84+0.62*LOG10(inputs!$E$80)))</f>
        <v>24.289461428763406</v>
      </c>
      <c r="P101" s="69">
        <f>((MAX('Max rate concentrations'!Y:Y))*0.62*6.01*8*(10*F101^0.667)*0.079*0.1/F101)*inputs!$E$80/(10^(0.84+0.62*LOG10(inputs!$E$80)))</f>
        <v>8.0964871429211343</v>
      </c>
      <c r="Q101" s="69">
        <f>(inputs!$C$18*11.2*(10*F101^0.667)*0.5/F101)*inputs!$E$80/(10^(0.84+0.62*LOG10(inputs!$E$80)))</f>
        <v>4.2784740675351536</v>
      </c>
      <c r="R101" s="59">
        <f>(60*284*((F101/1000)^0.77)*3*24*(MAX('Max rate concentrations'!$R$3:$R$368))/F101)*(inputs!$E$73*3.4/inputs!$E$75)</f>
        <v>3.9758095381421582E-2</v>
      </c>
      <c r="S101" s="59">
        <f>(IF(inputs!$C$17="aerial",((0.025*0.112*inputs!$C$18/3.3)*(3*60*284*((F101/1000)^0.77))*MAX(inputs!$I$14:$I$16))/F101,((0.0083*0.112*inputs!$C$18/1)*(3*60*284*((F101/1000)^0.77))*MAX(inputs!$I$14:$I$16))/F101))*(inputs!E$75*3.4/inputs!$E$73)</f>
        <v>0.21926833869869811</v>
      </c>
      <c r="T101" s="63">
        <f>IF((((inputs!$P$13/(V101/MAX(K101:S101)))^(1/inputs!$O$13))-1)/inputs!$N$13&lt;0, 0, IF((((inputs!$P$13/(V101/MAX(K101:S101)))^(1/inputs!$O$13))-1)/inputs!$N$13&lt;inputs!$I$17, (((inputs!$P$13/(V101/MAX(K101:S101)))^(1/inputs!$O$13))-1)/inputs!$N$13, inputs!$I$17))</f>
        <v>1000</v>
      </c>
      <c r="U101" s="63">
        <f>IF((((inputs!$P$13/(X101/MAX(K101:S101)))^(1/inputs!$O$13))-1)/inputs!$N$13&lt;0, 0, IF((((inputs!$P$13/(X101/MAX(K101:S101)))^(1/inputs!$O$13))-1)/inputs!$N$13&lt;inputs!$I$17, (((inputs!$P$13/(X101/MAX(K101:S101)))^(1/inputs!$O$13))-1)/inputs!$N$13, inputs!$I$17))</f>
        <v>29.795742913094724</v>
      </c>
      <c r="V101" s="21">
        <f>inputs!$E$78*(F101/inputs!$F$78)^(inputs!$E$84-1)</f>
        <v>1.4145001583331419E-2</v>
      </c>
      <c r="W101" s="21">
        <f>inputs!$E$85*(F101/inputs!$F$85)^(inputs!$E$84-1)</f>
        <v>0.65319011573848906</v>
      </c>
      <c r="X101" s="21">
        <f>inputs!$E$80*(F101/inputs!$F$80)^(inputs!$E$84-1)</f>
        <v>2.439127647377902</v>
      </c>
      <c r="Y101" s="21">
        <f>inputs!$E$82*(F101/inputs!$F$82)^(inputs!$E$84-1)</f>
        <v>1.124155388991076</v>
      </c>
      <c r="Z101" s="63">
        <f t="shared" si="8"/>
        <v>1717.1762962109738</v>
      </c>
      <c r="AA101" s="63">
        <f t="shared" si="9"/>
        <v>37.185898628153652</v>
      </c>
    </row>
    <row r="102" spans="1:476" ht="13.2" x14ac:dyDescent="0.25">
      <c r="A102" s="114" t="s">
        <v>183</v>
      </c>
      <c r="B102" s="20" t="s">
        <v>184</v>
      </c>
      <c r="C102" s="20" t="s">
        <v>73</v>
      </c>
      <c r="D102" s="48" t="s">
        <v>185</v>
      </c>
      <c r="E102" s="15">
        <v>143</v>
      </c>
      <c r="F102" s="15">
        <v>222</v>
      </c>
      <c r="G102" s="49" t="s">
        <v>186</v>
      </c>
      <c r="H102" s="49">
        <v>0.75</v>
      </c>
      <c r="I102" s="68">
        <f>inputs!$C$66*inputs!$C$64/1000</f>
        <v>21.3</v>
      </c>
      <c r="J102" s="68">
        <f>inputs!$C$66*inputs!$C$63/1000</f>
        <v>8.8000000000000007</v>
      </c>
      <c r="K102" s="69">
        <f t="shared" si="6"/>
        <v>6.6798113859641433</v>
      </c>
      <c r="L102" s="69">
        <f t="shared" si="10"/>
        <v>2.759734281525092</v>
      </c>
      <c r="M102" s="69">
        <f>IF((((1.18*F102^0.874)/3.7-(0.301*F102^0.751)/(1-H102)*H102)*(MAX('Max rate concentrations'!$P$3:$P$368)))/F102&gt;0, (((1.18*F102^0.874)/3.7-(0.301*F102^0.751)/(1-H102)*H102)*(MAX('Max rate concentrations'!$P$3:$P$368)))/F102, 0)</f>
        <v>0</v>
      </c>
      <c r="N102" s="69">
        <f>IF((((1.18*F102^0.874)/3.7-(0.301*F102^0.751)/(1-H102)*H102)*(MAX('Max rate concentrations'!$Q$3:$Q$368)))/F102&gt;0, (((1.18*F102^0.874)/3.7-(0.301*F102^0.751)/(1-H102)*H102)*(MAX('Max rate concentrations'!$Q$3:$Q$368)))/F102, 0)</f>
        <v>0</v>
      </c>
      <c r="O102" s="69">
        <f>((MAX('Max rate concentrations'!$F$3:$F$368))*0.62*6.01*8*(10*F102^0.667)*0.079*0.1/F102)*inputs!$E$80/(10^(0.84+0.62*LOG10(inputs!$E$80)))</f>
        <v>24.289461428763406</v>
      </c>
      <c r="P102" s="69">
        <f>((MAX('Max rate concentrations'!Y:Y))*0.62*6.01*8*(10*F102^0.667)*0.079*0.1/F102)*inputs!$E$80/(10^(0.84+0.62*LOG10(inputs!$E$80)))</f>
        <v>8.0964871429211343</v>
      </c>
      <c r="Q102" s="69">
        <f>(inputs!$C$18*11.2*(10*F102^0.667)*0.5/F102)*inputs!$E$80/(10^(0.84+0.62*LOG10(inputs!$E$80)))</f>
        <v>4.2784740675351536</v>
      </c>
      <c r="R102" s="59">
        <f>(60*284*((F102/1000)^0.77)*3*24*(MAX('Max rate concentrations'!$R$3:$R$368))/F102)*(inputs!$E$73*3.4/inputs!$E$75)</f>
        <v>3.9758095381421582E-2</v>
      </c>
      <c r="S102" s="59">
        <f>(IF(inputs!$C$17="aerial",((0.025*0.112*inputs!$C$18/3.3)*(3*60*284*((F102/1000)^0.77))*MAX(inputs!$I$14:$I$16))/F102,((0.0083*0.112*inputs!$C$18/1)*(3*60*284*((F102/1000)^0.77))*MAX(inputs!$I$14:$I$16))/F102))*(inputs!E$75*3.4/inputs!$E$73)</f>
        <v>0.21926833869869811</v>
      </c>
      <c r="T102" s="63">
        <f>IF((((inputs!$P$13/(V102/MAX(K102:S102)))^(1/inputs!$O$13))-1)/inputs!$N$13&lt;0, 0, IF((((inputs!$P$13/(V102/MAX(K102:S102)))^(1/inputs!$O$13))-1)/inputs!$N$13&lt;inputs!$I$17, (((inputs!$P$13/(V102/MAX(K102:S102)))^(1/inputs!$O$13))-1)/inputs!$N$13, inputs!$I$17))</f>
        <v>1000</v>
      </c>
      <c r="U102" s="63">
        <f>IF((((inputs!$P$13/(X102/MAX(K102:S102)))^(1/inputs!$O$13))-1)/inputs!$N$13&lt;0, 0, IF((((inputs!$P$13/(X102/MAX(K102:S102)))^(1/inputs!$O$13))-1)/inputs!$N$13&lt;inputs!$I$17, (((inputs!$P$13/(X102/MAX(K102:S102)))^(1/inputs!$O$13))-1)/inputs!$N$13, inputs!$I$17))</f>
        <v>29.795742913094724</v>
      </c>
      <c r="V102" s="21">
        <f>inputs!$E$78*(F102/inputs!$F$78)^(inputs!$E$84-1)</f>
        <v>1.4145001583331419E-2</v>
      </c>
      <c r="W102" s="21">
        <f>inputs!$E$85*(F102/inputs!$F$85)^(inputs!$E$84-1)</f>
        <v>0.65319011573848906</v>
      </c>
      <c r="X102" s="21">
        <f>inputs!$E$80*(F102/inputs!$F$80)^(inputs!$E$84-1)</f>
        <v>2.439127647377902</v>
      </c>
      <c r="Y102" s="21">
        <f>inputs!$E$82*(F102/inputs!$F$82)^(inputs!$E$84-1)</f>
        <v>1.124155388991076</v>
      </c>
      <c r="Z102" s="63">
        <f t="shared" si="8"/>
        <v>1717.1762962109738</v>
      </c>
      <c r="AA102" s="63">
        <f t="shared" si="9"/>
        <v>37.185898628153652</v>
      </c>
    </row>
    <row r="103" spans="1:476" ht="26.4" x14ac:dyDescent="0.25">
      <c r="A103" s="103" t="s">
        <v>210</v>
      </c>
      <c r="B103" s="20" t="s">
        <v>212</v>
      </c>
      <c r="C103" s="20" t="s">
        <v>73</v>
      </c>
      <c r="D103" s="104" t="s">
        <v>185</v>
      </c>
      <c r="E103" s="15">
        <v>131</v>
      </c>
      <c r="F103" s="15">
        <v>40</v>
      </c>
      <c r="G103" s="20" t="s">
        <v>142</v>
      </c>
      <c r="H103" s="20">
        <v>0.69</v>
      </c>
      <c r="I103" s="68">
        <f>MAX('Max rate concentrations'!$H$3:$H$368)</f>
        <v>282</v>
      </c>
      <c r="J103" s="68">
        <f>MAX('Max rate concentrations'!AA:AA)</f>
        <v>195</v>
      </c>
      <c r="K103" s="69">
        <f t="shared" si="6"/>
        <v>109.28007194024399</v>
      </c>
      <c r="L103" s="69">
        <f t="shared" si="10"/>
        <v>75.566007192721898</v>
      </c>
      <c r="M103" s="69">
        <f>IF((((1.18*F103^0.874)/3.7-(0.301*F103^0.751)/(1-H103)*H103)*(MAX('Max rate concentrations'!$P$3:$P$368)))/F103&gt;0, (((1.18*F103^0.874)/3.7-(0.301*F103^0.751)/(1-H103)*H103)*(MAX('Max rate concentrations'!$P$3:$P$368)))/F103, 0)</f>
        <v>0</v>
      </c>
      <c r="N103" s="69">
        <f>IF((((1.18*F103^0.874)/3.7-(0.301*F103^0.751)/(1-H103)*H103)*(MAX('Max rate concentrations'!$Q$3:$Q$368)))/F103&gt;0, (((1.18*F103^0.874)/3.7-(0.301*F103^0.751)/(1-H103)*H103)*(MAX('Max rate concentrations'!$Q$3:$Q$368)))/F103, 0)</f>
        <v>0</v>
      </c>
      <c r="O103" s="69">
        <f>((MAX('Max rate concentrations'!$F$3:$F$368))*0.62*6.01*8*(10*F103^0.667)*0.079*0.1/F103)*inputs!$E$80/(10^(0.84+0.62*LOG10(inputs!$E$80)))</f>
        <v>42.980102677088347</v>
      </c>
      <c r="P103" s="69">
        <f>((MAX('Max rate concentrations'!Y:Y))*0.62*6.01*8*(10*F103^0.667)*0.079*0.1/F103)*inputs!$E$80/(10^(0.84+0.62*LOG10(inputs!$E$80)))</f>
        <v>14.326700892362783</v>
      </c>
      <c r="Q103" s="69">
        <f>(inputs!$C$18*11.2*(10*F103^0.667)*0.5/F103)*inputs!$E$80/(10^(0.84+0.62*LOG10(inputs!$E$80)))</f>
        <v>7.5707423675586494</v>
      </c>
      <c r="R103" s="59">
        <f>(60*284*((F103/1000)^0.77)*3*24*(MAX('Max rate concentrations'!$R$3:$R$368))/F103)*(inputs!$E$73*3.4/inputs!$E$75)</f>
        <v>5.8967532813522246E-2</v>
      </c>
      <c r="S103" s="59">
        <f>(IF(inputs!$C$17="aerial",((0.025*0.112*inputs!$C$18/3.3)*(3*60*284*((F103/1000)^0.77))*MAX(inputs!$I$14:$I$16))/F103,((0.0083*0.112*inputs!$C$18/1)*(3*60*284*((F103/1000)^0.77))*MAX(inputs!$I$14:$I$16))/F103))*(inputs!E$75*3.4/inputs!$E$73)</f>
        <v>0.32520956633209019</v>
      </c>
      <c r="T103" s="63">
        <f>IF((((inputs!$P$13/(V103/MAX(K103:S103)))^(1/inputs!$O$13))-1)/inputs!$N$13&lt;0, 0, IF((((inputs!$P$13/(V103/MAX(K103:S103)))^(1/inputs!$O$13))-1)/inputs!$N$13&lt;inputs!$I$17, (((inputs!$P$13/(V103/MAX(K103:S103)))^(1/inputs!$O$13))-1)/inputs!$N$13, inputs!$I$17))</f>
        <v>1000</v>
      </c>
      <c r="U103" s="63">
        <f>IF((((inputs!$P$13/(X103/MAX(K103:S103)))^(1/inputs!$O$13))-1)/inputs!$N$13&lt;0, 0, IF((((inputs!$P$13/(X103/MAX(K103:S103)))^(1/inputs!$O$13))-1)/inputs!$N$13&lt;inputs!$I$17, (((inputs!$P$13/(X103/MAX(K103:S103)))^(1/inputs!$O$13))-1)/inputs!$N$13, inputs!$I$17))</f>
        <v>65.537413380912994</v>
      </c>
      <c r="V103" s="21">
        <f>inputs!$E$78*(F103/inputs!$F$78)^(inputs!$E$84-1)</f>
        <v>2.6668058808446828E-2</v>
      </c>
      <c r="W103" s="21">
        <f>inputs!$E$85*(F103/inputs!$F$85)^(inputs!$E$84-1)</f>
        <v>1.2314818288982921</v>
      </c>
      <c r="X103" s="21">
        <f>inputs!$E$80*(F103/inputs!$F$80)^(inputs!$E$84-1)</f>
        <v>4.5985713863923561</v>
      </c>
      <c r="Y103" s="21">
        <f>inputs!$E$82*(F103/inputs!$F$82)^(inputs!$E$84-1)</f>
        <v>2.1194088842502481</v>
      </c>
      <c r="Z103" s="63">
        <f t="shared" si="8"/>
        <v>4097.7887713983391</v>
      </c>
      <c r="AA103" s="63">
        <f t="shared" si="9"/>
        <v>88.738679999856828</v>
      </c>
    </row>
    <row r="104" spans="1:476" ht="26.4" x14ac:dyDescent="0.25">
      <c r="A104" s="103" t="s">
        <v>210</v>
      </c>
      <c r="B104" s="20" t="s">
        <v>212</v>
      </c>
      <c r="C104" s="20" t="s">
        <v>73</v>
      </c>
      <c r="D104" s="104" t="s">
        <v>185</v>
      </c>
      <c r="E104" s="15">
        <v>131</v>
      </c>
      <c r="F104" s="15">
        <v>40</v>
      </c>
      <c r="G104" s="20" t="s">
        <v>164</v>
      </c>
      <c r="H104" s="20">
        <v>0.78</v>
      </c>
      <c r="I104" s="68">
        <f>inputs!$C$66*(inputs!$C$62/1000)</f>
        <v>8.2000000000000011</v>
      </c>
      <c r="J104" s="68">
        <f>inputs!$C$66*(inputs!$C$61/1000)</f>
        <v>2.5</v>
      </c>
      <c r="K104" s="69">
        <f t="shared" si="6"/>
        <v>4.4775941791118683</v>
      </c>
      <c r="L104" s="69">
        <f t="shared" si="10"/>
        <v>1.3651201765584962</v>
      </c>
      <c r="M104" s="69">
        <f>IF((((1.18*F104^0.874)/3.7-(0.301*F104^0.751)/(1-H104)*H104)*(MAX('Max rate concentrations'!$P$3:$P$368)))/F104&gt;0, (((1.18*F104^0.874)/3.7-(0.301*F104^0.751)/(1-H104)*H104)*(MAX('Max rate concentrations'!$P$3:$P$368)))/F104, 0)</f>
        <v>0</v>
      </c>
      <c r="N104" s="69">
        <f>IF((((1.18*F104^0.874)/3.7-(0.301*F104^0.751)/(1-H104)*H104)*(MAX('Max rate concentrations'!$Q$3:$Q$368)))/F104&gt;0, (((1.18*F104^0.874)/3.7-(0.301*F104^0.751)/(1-H104)*H104)*(MAX('Max rate concentrations'!$Q$3:$Q$368)))/F104, 0)</f>
        <v>0</v>
      </c>
      <c r="O104" s="69">
        <f>((MAX('Max rate concentrations'!$F$3:$F$368))*0.62*6.01*8*(10*F104^0.667)*0.079*0.1/F104)*inputs!$E$80/(10^(0.84+0.62*LOG10(inputs!$E$80)))</f>
        <v>42.980102677088347</v>
      </c>
      <c r="P104" s="69">
        <f>((MAX('Max rate concentrations'!Y:Y))*0.62*6.01*8*(10*F104^0.667)*0.079*0.1/F104)*inputs!$E$80/(10^(0.84+0.62*LOG10(inputs!$E$80)))</f>
        <v>14.326700892362783</v>
      </c>
      <c r="Q104" s="69">
        <f>(inputs!$C$18*11.2*(10*F104^0.667)*0.5/F104)*inputs!$E$80/(10^(0.84+0.62*LOG10(inputs!$E$80)))</f>
        <v>7.5707423675586494</v>
      </c>
      <c r="R104" s="59">
        <f>(60*284*((F104/1000)^0.77)*3*24*(MAX('Max rate concentrations'!$R$3:$R$368))/F104)*(inputs!$E$73*3.4/inputs!$E$75)</f>
        <v>5.8967532813522246E-2</v>
      </c>
      <c r="S104" s="59">
        <f>(IF(inputs!$C$17="aerial",((0.025*0.112*inputs!$C$18/3.3)*(3*60*284*((F104/1000)^0.77))*MAX(inputs!$I$14:$I$16))/F104,((0.0083*0.112*inputs!$C$18/1)*(3*60*284*((F104/1000)^0.77))*MAX(inputs!$I$14:$I$16))/F104))*(inputs!E$75*3.4/inputs!$E$73)</f>
        <v>0.32520956633209019</v>
      </c>
      <c r="T104" s="63">
        <f>IF((((inputs!$P$13/(V104/MAX(K104:S104)))^(1/inputs!$O$13))-1)/inputs!$N$13&lt;0, 0, IF((((inputs!$P$13/(V104/MAX(K104:S104)))^(1/inputs!$O$13))-1)/inputs!$N$13&lt;inputs!$I$17, (((inputs!$P$13/(V104/MAX(K104:S104)))^(1/inputs!$O$13))-1)/inputs!$N$13, inputs!$I$17))</f>
        <v>1000</v>
      </c>
      <c r="U104" s="63">
        <f>IF((((inputs!$P$13/(X104/MAX(K104:S104)))^(1/inputs!$O$13))-1)/inputs!$N$13&lt;0, 0, IF((((inputs!$P$13/(X104/MAX(K104:S104)))^(1/inputs!$O$13))-1)/inputs!$N$13&lt;inputs!$I$17, (((inputs!$P$13/(X104/MAX(K104:S104)))^(1/inputs!$O$13))-1)/inputs!$N$13, inputs!$I$17))</f>
        <v>28.045091072939961</v>
      </c>
      <c r="V104" s="21">
        <f>inputs!$E$78*(F104/inputs!$F$78)^(inputs!$E$84-1)</f>
        <v>2.6668058808446828E-2</v>
      </c>
      <c r="W104" s="21">
        <f>inputs!$E$85*(F104/inputs!$F$85)^(inputs!$E$84-1)</f>
        <v>1.2314818288982921</v>
      </c>
      <c r="X104" s="21">
        <f>inputs!$E$80*(F104/inputs!$F$80)^(inputs!$E$84-1)</f>
        <v>4.5985713863923561</v>
      </c>
      <c r="Y104" s="21">
        <f>inputs!$E$82*(F104/inputs!$F$82)^(inputs!$E$84-1)</f>
        <v>2.1194088842502481</v>
      </c>
      <c r="Z104" s="63">
        <f t="shared" si="8"/>
        <v>1611.6697126629572</v>
      </c>
      <c r="AA104" s="63">
        <f t="shared" si="9"/>
        <v>34.901126162404843</v>
      </c>
    </row>
    <row r="105" spans="1:476" ht="26.4" x14ac:dyDescent="0.25">
      <c r="A105" s="103" t="s">
        <v>210</v>
      </c>
      <c r="B105" s="20" t="s">
        <v>211</v>
      </c>
      <c r="C105" s="20" t="s">
        <v>73</v>
      </c>
      <c r="D105" s="104" t="s">
        <v>185</v>
      </c>
      <c r="E105" s="15">
        <v>130</v>
      </c>
      <c r="F105" s="15">
        <v>40</v>
      </c>
      <c r="G105" s="20" t="s">
        <v>142</v>
      </c>
      <c r="H105" s="20">
        <v>0.69</v>
      </c>
      <c r="I105" s="68">
        <f>MAX('Max rate concentrations'!$H$3:$H$368)</f>
        <v>282</v>
      </c>
      <c r="J105" s="68">
        <f>MAX('Max rate concentrations'!AA:AA)</f>
        <v>195</v>
      </c>
      <c r="K105" s="69">
        <f t="shared" si="6"/>
        <v>109.28007194024399</v>
      </c>
      <c r="L105" s="69">
        <f t="shared" si="10"/>
        <v>75.566007192721898</v>
      </c>
      <c r="M105" s="69">
        <f>IF((((1.18*F105^0.874)/3.7-(0.301*F105^0.751)/(1-H105)*H105)*(MAX('Max rate concentrations'!$P$3:$P$368)))/F105&gt;0, (((1.18*F105^0.874)/3.7-(0.301*F105^0.751)/(1-H105)*H105)*(MAX('Max rate concentrations'!$P$3:$P$368)))/F105, 0)</f>
        <v>0</v>
      </c>
      <c r="N105" s="69">
        <f>IF((((1.18*F105^0.874)/3.7-(0.301*F105^0.751)/(1-H105)*H105)*(MAX('Max rate concentrations'!$Q$3:$Q$368)))/F105&gt;0, (((1.18*F105^0.874)/3.7-(0.301*F105^0.751)/(1-H105)*H105)*(MAX('Max rate concentrations'!$Q$3:$Q$368)))/F105, 0)</f>
        <v>0</v>
      </c>
      <c r="O105" s="69">
        <f>((MAX('Max rate concentrations'!$F$3:$F$368))*0.62*6.01*8*(10*F105^0.667)*0.079*0.1/F105)*inputs!$E$80/(10^(0.84+0.62*LOG10(inputs!$E$80)))</f>
        <v>42.980102677088347</v>
      </c>
      <c r="P105" s="69">
        <f>((MAX('Max rate concentrations'!Y:Y))*0.62*6.01*8*(10*F105^0.667)*0.079*0.1/F105)*inputs!$E$80/(10^(0.84+0.62*LOG10(inputs!$E$80)))</f>
        <v>14.326700892362783</v>
      </c>
      <c r="Q105" s="69">
        <f>(inputs!$C$18*11.2*(10*F105^0.667)*0.5/F105)*inputs!$E$80/(10^(0.84+0.62*LOG10(inputs!$E$80)))</f>
        <v>7.5707423675586494</v>
      </c>
      <c r="R105" s="59">
        <f>(60*284*((F105/1000)^0.77)*3*24*(MAX('Max rate concentrations'!$R$3:$R$368))/F105)*(inputs!$E$73*3.4/inputs!$E$75)</f>
        <v>5.8967532813522246E-2</v>
      </c>
      <c r="S105" s="59">
        <f>(IF(inputs!$C$17="aerial",((0.025*0.112*inputs!$C$18/3.3)*(3*60*284*((F105/1000)^0.77))*MAX(inputs!$I$14:$I$16))/F105,((0.0083*0.112*inputs!$C$18/1)*(3*60*284*((F105/1000)^0.77))*MAX(inputs!$I$14:$I$16))/F105))*(inputs!E$75*3.4/inputs!$E$73)</f>
        <v>0.32520956633209019</v>
      </c>
      <c r="T105" s="63">
        <f>IF((((inputs!$P$13/(V105/MAX(K105:S105)))^(1/inputs!$O$13))-1)/inputs!$N$13&lt;0, 0, IF((((inputs!$P$13/(V105/MAX(K105:S105)))^(1/inputs!$O$13))-1)/inputs!$N$13&lt;inputs!$I$17, (((inputs!$P$13/(V105/MAX(K105:S105)))^(1/inputs!$O$13))-1)/inputs!$N$13, inputs!$I$17))</f>
        <v>1000</v>
      </c>
      <c r="U105" s="63">
        <f>IF((((inputs!$P$13/(X105/MAX(K105:S105)))^(1/inputs!$O$13))-1)/inputs!$N$13&lt;0, 0, IF((((inputs!$P$13/(X105/MAX(K105:S105)))^(1/inputs!$O$13))-1)/inputs!$N$13&lt;inputs!$I$17, (((inputs!$P$13/(X105/MAX(K105:S105)))^(1/inputs!$O$13))-1)/inputs!$N$13, inputs!$I$17))</f>
        <v>65.537413380912994</v>
      </c>
      <c r="V105" s="21">
        <f>inputs!$E$78*(F105/inputs!$F$78)^(inputs!$E$84-1)</f>
        <v>2.6668058808446828E-2</v>
      </c>
      <c r="W105" s="21">
        <f>inputs!$E$85*(F105/inputs!$F$85)^(inputs!$E$84-1)</f>
        <v>1.2314818288982921</v>
      </c>
      <c r="X105" s="21">
        <f>inputs!$E$80*(F105/inputs!$F$80)^(inputs!$E$84-1)</f>
        <v>4.5985713863923561</v>
      </c>
      <c r="Y105" s="21">
        <f>inputs!$E$82*(F105/inputs!$F$82)^(inputs!$E$84-1)</f>
        <v>2.1194088842502481</v>
      </c>
      <c r="Z105" s="63">
        <f t="shared" si="8"/>
        <v>4097.7887713983391</v>
      </c>
      <c r="AA105" s="63">
        <f t="shared" si="9"/>
        <v>88.738679999856828</v>
      </c>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L105" s="107"/>
      <c r="BM105" s="107"/>
      <c r="BN105" s="107"/>
      <c r="BO105" s="107"/>
      <c r="BP105" s="107"/>
      <c r="BQ105" s="107"/>
      <c r="BR105" s="107"/>
      <c r="BS105" s="107"/>
      <c r="BT105" s="107"/>
      <c r="BU105" s="107"/>
      <c r="BV105" s="107"/>
      <c r="BW105" s="107"/>
      <c r="BX105" s="107"/>
      <c r="BY105" s="107"/>
      <c r="BZ105" s="107"/>
      <c r="CA105" s="107"/>
      <c r="CB105" s="107"/>
      <c r="CC105" s="107"/>
      <c r="CD105" s="107"/>
      <c r="CE105" s="107"/>
      <c r="CF105" s="107"/>
      <c r="CG105" s="107"/>
      <c r="CH105" s="107"/>
      <c r="CI105" s="107"/>
      <c r="CJ105" s="107"/>
      <c r="CK105" s="107"/>
      <c r="CL105" s="107"/>
      <c r="CM105" s="107"/>
      <c r="CN105" s="107"/>
      <c r="CO105" s="107"/>
      <c r="CP105" s="107"/>
      <c r="CQ105" s="107"/>
      <c r="CR105" s="107"/>
      <c r="CS105" s="107"/>
      <c r="CT105" s="107"/>
      <c r="CU105" s="107"/>
      <c r="CV105" s="107"/>
      <c r="CW105" s="107"/>
      <c r="CX105" s="107"/>
      <c r="CY105" s="107"/>
      <c r="CZ105" s="107"/>
      <c r="DA105" s="107"/>
      <c r="DB105" s="107"/>
      <c r="DC105" s="107"/>
      <c r="DD105" s="107"/>
      <c r="DE105" s="107"/>
      <c r="DF105" s="107"/>
      <c r="DG105" s="107"/>
      <c r="DH105" s="107"/>
      <c r="DI105" s="107"/>
      <c r="DJ105" s="107"/>
      <c r="DK105" s="107"/>
      <c r="DL105" s="107"/>
      <c r="DM105" s="107"/>
      <c r="DN105" s="107"/>
      <c r="DO105" s="107"/>
      <c r="DP105" s="107"/>
      <c r="DQ105" s="107"/>
      <c r="DR105" s="107"/>
      <c r="DS105" s="107"/>
      <c r="DT105" s="107"/>
      <c r="DU105" s="107"/>
      <c r="DV105" s="107"/>
      <c r="DW105" s="107"/>
      <c r="DX105" s="107"/>
      <c r="DY105" s="107"/>
      <c r="DZ105" s="107"/>
      <c r="EA105" s="107"/>
      <c r="EB105" s="107"/>
      <c r="EC105" s="107"/>
      <c r="ED105" s="107"/>
      <c r="EE105" s="107"/>
      <c r="EF105" s="107"/>
      <c r="EG105" s="107"/>
      <c r="EH105" s="107"/>
      <c r="EI105" s="107"/>
      <c r="EJ105" s="107"/>
      <c r="EK105" s="107"/>
      <c r="EL105" s="107"/>
      <c r="EM105" s="107"/>
      <c r="EN105" s="107"/>
      <c r="EO105" s="107"/>
      <c r="EP105" s="107"/>
      <c r="EQ105" s="107"/>
      <c r="ER105" s="107"/>
      <c r="ES105" s="107"/>
      <c r="ET105" s="107"/>
      <c r="EU105" s="107"/>
      <c r="EV105" s="107"/>
      <c r="EW105" s="107"/>
      <c r="EX105" s="107"/>
      <c r="EY105" s="107"/>
      <c r="EZ105" s="107"/>
      <c r="FA105" s="107"/>
      <c r="FB105" s="107"/>
      <c r="FC105" s="107"/>
      <c r="FD105" s="107"/>
      <c r="FE105" s="107"/>
      <c r="FF105" s="107"/>
      <c r="FG105" s="107"/>
      <c r="FH105" s="107"/>
      <c r="FI105" s="107"/>
      <c r="FJ105" s="107"/>
      <c r="FK105" s="107"/>
      <c r="FL105" s="107"/>
      <c r="FM105" s="107"/>
      <c r="FN105" s="107"/>
      <c r="FO105" s="107"/>
      <c r="FP105" s="107"/>
      <c r="FQ105" s="107"/>
      <c r="FR105" s="107"/>
      <c r="FS105" s="107"/>
      <c r="FT105" s="107"/>
      <c r="FU105" s="107"/>
      <c r="FV105" s="107"/>
      <c r="FW105" s="107"/>
      <c r="FX105" s="107"/>
      <c r="FY105" s="107"/>
      <c r="FZ105" s="107"/>
      <c r="GA105" s="107"/>
      <c r="GB105" s="107"/>
      <c r="GC105" s="107"/>
      <c r="GD105" s="107"/>
      <c r="GE105" s="107"/>
      <c r="GF105" s="107"/>
      <c r="GG105" s="107"/>
      <c r="GH105" s="107"/>
      <c r="GI105" s="107"/>
      <c r="GJ105" s="107"/>
      <c r="GK105" s="107"/>
      <c r="GL105" s="107"/>
      <c r="GM105" s="107"/>
      <c r="GN105" s="107"/>
      <c r="GO105" s="107"/>
      <c r="GP105" s="107"/>
      <c r="GQ105" s="107"/>
      <c r="GR105" s="107"/>
      <c r="GS105" s="107"/>
      <c r="GT105" s="107"/>
      <c r="GU105" s="107"/>
      <c r="GV105" s="107"/>
      <c r="GW105" s="107"/>
      <c r="GX105" s="107"/>
      <c r="GY105" s="107"/>
      <c r="GZ105" s="107"/>
      <c r="HA105" s="107"/>
      <c r="HB105" s="107"/>
      <c r="HC105" s="107"/>
      <c r="HD105" s="107"/>
      <c r="HE105" s="107"/>
      <c r="HF105" s="107"/>
      <c r="HG105" s="107"/>
      <c r="HH105" s="107"/>
      <c r="HI105" s="107"/>
      <c r="HJ105" s="107"/>
      <c r="HK105" s="107"/>
      <c r="HL105" s="107"/>
      <c r="HM105" s="107"/>
      <c r="HN105" s="107"/>
      <c r="HO105" s="107"/>
      <c r="HP105" s="107"/>
      <c r="HQ105" s="107"/>
      <c r="HR105" s="107"/>
      <c r="HS105" s="107"/>
      <c r="HT105" s="107"/>
      <c r="HU105" s="107"/>
      <c r="HV105" s="107"/>
      <c r="HW105" s="107"/>
      <c r="HX105" s="107"/>
      <c r="HY105" s="107"/>
      <c r="HZ105" s="107"/>
      <c r="IA105" s="107"/>
      <c r="IB105" s="107"/>
      <c r="IC105" s="107"/>
      <c r="ID105" s="107"/>
      <c r="IE105" s="107"/>
      <c r="IF105" s="107"/>
      <c r="IG105" s="107"/>
      <c r="IH105" s="107"/>
      <c r="II105" s="107"/>
      <c r="IJ105" s="107"/>
      <c r="IK105" s="107"/>
      <c r="IL105" s="107"/>
      <c r="IM105" s="107"/>
      <c r="IN105" s="107"/>
      <c r="IO105" s="107"/>
      <c r="IP105" s="107"/>
      <c r="IQ105" s="107"/>
      <c r="IR105" s="107"/>
      <c r="IS105" s="107"/>
      <c r="IT105" s="107"/>
      <c r="IU105" s="107"/>
      <c r="IV105" s="107"/>
      <c r="IW105" s="107"/>
      <c r="IX105" s="107"/>
      <c r="IY105" s="107"/>
      <c r="IZ105" s="107"/>
      <c r="JA105" s="107"/>
      <c r="JB105" s="107"/>
      <c r="JC105" s="107"/>
      <c r="JD105" s="107"/>
      <c r="JE105" s="107"/>
      <c r="JF105" s="107"/>
      <c r="JG105" s="107"/>
      <c r="JH105" s="107"/>
      <c r="JI105" s="107"/>
      <c r="JJ105" s="107"/>
      <c r="JK105" s="107"/>
      <c r="JL105" s="107"/>
      <c r="JM105" s="107"/>
      <c r="JN105" s="107"/>
      <c r="JO105" s="107"/>
      <c r="JP105" s="107"/>
      <c r="JQ105" s="107"/>
      <c r="JR105" s="107"/>
      <c r="JS105" s="107"/>
      <c r="JT105" s="107"/>
      <c r="JU105" s="107"/>
      <c r="JV105" s="107"/>
      <c r="JW105" s="107"/>
      <c r="JX105" s="107"/>
      <c r="JY105" s="107"/>
      <c r="JZ105" s="107"/>
      <c r="KA105" s="107"/>
      <c r="KB105" s="107"/>
      <c r="KC105" s="107"/>
      <c r="KD105" s="107"/>
      <c r="KE105" s="107"/>
      <c r="KF105" s="107"/>
      <c r="KG105" s="107"/>
      <c r="KH105" s="107"/>
      <c r="KI105" s="107"/>
      <c r="KJ105" s="107"/>
      <c r="KK105" s="107"/>
      <c r="KL105" s="107"/>
      <c r="KM105" s="107"/>
      <c r="KN105" s="107"/>
      <c r="KO105" s="107"/>
      <c r="KP105" s="107"/>
      <c r="KQ105" s="107"/>
      <c r="KR105" s="107"/>
      <c r="KS105" s="107"/>
      <c r="KT105" s="107"/>
      <c r="KU105" s="107"/>
      <c r="KV105" s="107"/>
      <c r="KW105" s="107"/>
      <c r="KX105" s="107"/>
      <c r="KY105" s="107"/>
      <c r="KZ105" s="107"/>
      <c r="LA105" s="107"/>
      <c r="LB105" s="107"/>
      <c r="LC105" s="107"/>
      <c r="LD105" s="107"/>
      <c r="LE105" s="107"/>
      <c r="LF105" s="107"/>
      <c r="LG105" s="107"/>
      <c r="LH105" s="107"/>
      <c r="LI105" s="107"/>
      <c r="LJ105" s="107"/>
      <c r="LK105" s="107"/>
      <c r="LL105" s="107"/>
      <c r="LM105" s="107"/>
      <c r="LN105" s="107"/>
      <c r="LO105" s="107"/>
      <c r="LP105" s="107"/>
      <c r="LQ105" s="107"/>
      <c r="LR105" s="107"/>
      <c r="LS105" s="107"/>
      <c r="LT105" s="107"/>
      <c r="LU105" s="107"/>
      <c r="LV105" s="107"/>
      <c r="LW105" s="107"/>
      <c r="LX105" s="107"/>
      <c r="LY105" s="107"/>
      <c r="LZ105" s="107"/>
      <c r="MA105" s="107"/>
      <c r="MB105" s="107"/>
      <c r="MC105" s="107"/>
      <c r="MD105" s="107"/>
      <c r="ME105" s="107"/>
      <c r="MF105" s="107"/>
      <c r="MG105" s="107"/>
      <c r="MH105" s="107"/>
      <c r="MI105" s="107"/>
      <c r="MJ105" s="107"/>
      <c r="MK105" s="107"/>
      <c r="ML105" s="107"/>
      <c r="MM105" s="107"/>
      <c r="MN105" s="107"/>
      <c r="MO105" s="107"/>
      <c r="MP105" s="107"/>
      <c r="MQ105" s="107"/>
      <c r="MR105" s="107"/>
      <c r="MS105" s="107"/>
      <c r="MT105" s="107"/>
      <c r="MU105" s="107"/>
      <c r="MV105" s="107"/>
      <c r="MW105" s="107"/>
      <c r="MX105" s="107"/>
      <c r="MY105" s="107"/>
      <c r="MZ105" s="107"/>
      <c r="NA105" s="107"/>
      <c r="NB105" s="107"/>
      <c r="NC105" s="107"/>
      <c r="ND105" s="107"/>
      <c r="NE105" s="107"/>
      <c r="NF105" s="107"/>
      <c r="NG105" s="107"/>
      <c r="NH105" s="107"/>
      <c r="NI105" s="107"/>
      <c r="NJ105" s="107"/>
      <c r="NK105" s="107"/>
      <c r="NL105" s="107"/>
      <c r="NM105" s="107"/>
      <c r="NN105" s="107"/>
      <c r="NO105" s="107"/>
      <c r="NP105" s="107"/>
      <c r="NQ105" s="107"/>
      <c r="NR105" s="107"/>
      <c r="NS105" s="107"/>
      <c r="NT105" s="107"/>
      <c r="NU105" s="107"/>
      <c r="NV105" s="107"/>
      <c r="NW105" s="107"/>
      <c r="NX105" s="107"/>
      <c r="NY105" s="107"/>
      <c r="NZ105" s="107"/>
      <c r="OA105" s="107"/>
      <c r="OB105" s="107"/>
      <c r="OC105" s="107"/>
      <c r="OD105" s="107"/>
      <c r="OE105" s="107"/>
      <c r="OF105" s="107"/>
      <c r="OG105" s="107"/>
      <c r="OH105" s="107"/>
      <c r="OI105" s="107"/>
      <c r="OJ105" s="107"/>
      <c r="OK105" s="107"/>
      <c r="OL105" s="107"/>
      <c r="OM105" s="107"/>
      <c r="ON105" s="107"/>
      <c r="OO105" s="107"/>
      <c r="OP105" s="107"/>
      <c r="OQ105" s="107"/>
      <c r="OR105" s="107"/>
      <c r="OS105" s="107"/>
      <c r="OT105" s="107"/>
      <c r="OU105" s="107"/>
      <c r="OV105" s="107"/>
      <c r="OW105" s="107"/>
      <c r="OX105" s="107"/>
      <c r="OY105" s="107"/>
      <c r="OZ105" s="107"/>
      <c r="PA105" s="107"/>
      <c r="PB105" s="107"/>
      <c r="PC105" s="107"/>
      <c r="PD105" s="107"/>
      <c r="PE105" s="107"/>
      <c r="PF105" s="107"/>
      <c r="PG105" s="107"/>
      <c r="PH105" s="107"/>
      <c r="PI105" s="107"/>
      <c r="PJ105" s="107"/>
      <c r="PK105" s="107"/>
      <c r="PL105" s="107"/>
      <c r="PM105" s="107"/>
      <c r="PN105" s="107"/>
      <c r="PO105" s="107"/>
      <c r="PP105" s="107"/>
      <c r="PQ105" s="107"/>
      <c r="PR105" s="107"/>
      <c r="PS105" s="107"/>
      <c r="PT105" s="107"/>
      <c r="PU105" s="107"/>
      <c r="PV105" s="107"/>
      <c r="PW105" s="107"/>
      <c r="PX105" s="107"/>
      <c r="PY105" s="107"/>
      <c r="PZ105" s="107"/>
      <c r="QA105" s="107"/>
      <c r="QB105" s="107"/>
      <c r="QC105" s="107"/>
      <c r="QD105" s="107"/>
      <c r="QE105" s="107"/>
      <c r="QF105" s="107"/>
      <c r="QG105" s="107"/>
      <c r="QH105" s="107"/>
      <c r="QI105" s="107"/>
      <c r="QJ105" s="107"/>
      <c r="QK105" s="107"/>
      <c r="QL105" s="107"/>
      <c r="QM105" s="107"/>
      <c r="QN105" s="107"/>
      <c r="QO105" s="107"/>
      <c r="QP105" s="107"/>
      <c r="QQ105" s="107"/>
      <c r="QR105" s="107"/>
      <c r="QS105" s="107"/>
      <c r="QT105" s="107"/>
      <c r="QU105" s="107"/>
      <c r="QV105" s="107"/>
      <c r="QW105" s="107"/>
      <c r="QX105" s="107"/>
      <c r="QY105" s="107"/>
      <c r="QZ105" s="107"/>
      <c r="RA105" s="107"/>
      <c r="RB105" s="107"/>
      <c r="RC105" s="107"/>
      <c r="RD105" s="107"/>
      <c r="RE105" s="107"/>
      <c r="RF105" s="107"/>
      <c r="RG105" s="107"/>
      <c r="RH105" s="107"/>
    </row>
    <row r="106" spans="1:476" ht="26.4" x14ac:dyDescent="0.25">
      <c r="A106" s="103" t="s">
        <v>210</v>
      </c>
      <c r="B106" s="20" t="s">
        <v>211</v>
      </c>
      <c r="C106" s="20" t="s">
        <v>73</v>
      </c>
      <c r="D106" s="104" t="s">
        <v>185</v>
      </c>
      <c r="E106" s="15">
        <v>130</v>
      </c>
      <c r="F106" s="15">
        <v>40</v>
      </c>
      <c r="G106" s="20" t="s">
        <v>164</v>
      </c>
      <c r="H106" s="20">
        <v>0.78</v>
      </c>
      <c r="I106" s="68">
        <f>inputs!$C$66*(inputs!$C$62/1000)</f>
        <v>8.2000000000000011</v>
      </c>
      <c r="J106" s="68">
        <f>inputs!$C$66*(inputs!$C$61/1000)</f>
        <v>2.5</v>
      </c>
      <c r="K106" s="69">
        <f t="shared" si="6"/>
        <v>4.4775941791118683</v>
      </c>
      <c r="L106" s="69">
        <f t="shared" si="10"/>
        <v>1.3651201765584962</v>
      </c>
      <c r="M106" s="69">
        <f>IF((((1.18*F106^0.874)/3.7-(0.301*F106^0.751)/(1-H106)*H106)*(MAX('Max rate concentrations'!$P$3:$P$368)))/F106&gt;0, (((1.18*F106^0.874)/3.7-(0.301*F106^0.751)/(1-H106)*H106)*(MAX('Max rate concentrations'!$P$3:$P$368)))/F106, 0)</f>
        <v>0</v>
      </c>
      <c r="N106" s="69">
        <f>IF((((1.18*F106^0.874)/3.7-(0.301*F106^0.751)/(1-H106)*H106)*(MAX('Max rate concentrations'!$Q$3:$Q$368)))/F106&gt;0, (((1.18*F106^0.874)/3.7-(0.301*F106^0.751)/(1-H106)*H106)*(MAX('Max rate concentrations'!$Q$3:$Q$368)))/F106, 0)</f>
        <v>0</v>
      </c>
      <c r="O106" s="69">
        <f>((MAX('Max rate concentrations'!$F$3:$F$368))*0.62*6.01*8*(10*F106^0.667)*0.079*0.1/F106)*inputs!$E$80/(10^(0.84+0.62*LOG10(inputs!$E$80)))</f>
        <v>42.980102677088347</v>
      </c>
      <c r="P106" s="69">
        <f>((MAX('Max rate concentrations'!Y:Y))*0.62*6.01*8*(10*F106^0.667)*0.079*0.1/F106)*inputs!$E$80/(10^(0.84+0.62*LOG10(inputs!$E$80)))</f>
        <v>14.326700892362783</v>
      </c>
      <c r="Q106" s="69">
        <f>(inputs!$C$18*11.2*(10*F106^0.667)*0.5/F106)*inputs!$E$80/(10^(0.84+0.62*LOG10(inputs!$E$80)))</f>
        <v>7.5707423675586494</v>
      </c>
      <c r="R106" s="59">
        <f>(60*284*((F106/1000)^0.77)*3*24*(MAX('Max rate concentrations'!$R$3:$R$368))/F106)*(inputs!$E$73*3.4/inputs!$E$75)</f>
        <v>5.8967532813522246E-2</v>
      </c>
      <c r="S106" s="59">
        <f>(IF(inputs!$C$17="aerial",((0.025*0.112*inputs!$C$18/3.3)*(3*60*284*((F106/1000)^0.77))*MAX(inputs!$I$14:$I$16))/F106,((0.0083*0.112*inputs!$C$18/1)*(3*60*284*((F106/1000)^0.77))*MAX(inputs!$I$14:$I$16))/F106))*(inputs!E$75*3.4/inputs!$E$73)</f>
        <v>0.32520956633209019</v>
      </c>
      <c r="T106" s="63">
        <f>IF((((inputs!$P$13/(V106/MAX(K106:S106)))^(1/inputs!$O$13))-1)/inputs!$N$13&lt;0, 0, IF((((inputs!$P$13/(V106/MAX(K106:S106)))^(1/inputs!$O$13))-1)/inputs!$N$13&lt;inputs!$I$17, (((inputs!$P$13/(V106/MAX(K106:S106)))^(1/inputs!$O$13))-1)/inputs!$N$13, inputs!$I$17))</f>
        <v>1000</v>
      </c>
      <c r="U106" s="63">
        <f>IF((((inputs!$P$13/(X106/MAX(K106:S106)))^(1/inputs!$O$13))-1)/inputs!$N$13&lt;0, 0, IF((((inputs!$P$13/(X106/MAX(K106:S106)))^(1/inputs!$O$13))-1)/inputs!$N$13&lt;inputs!$I$17, (((inputs!$P$13/(X106/MAX(K106:S106)))^(1/inputs!$O$13))-1)/inputs!$N$13, inputs!$I$17))</f>
        <v>28.045091072939961</v>
      </c>
      <c r="V106" s="21">
        <f>inputs!$E$78*(F106/inputs!$F$78)^(inputs!$E$84-1)</f>
        <v>2.6668058808446828E-2</v>
      </c>
      <c r="W106" s="21">
        <f>inputs!$E$85*(F106/inputs!$F$85)^(inputs!$E$84-1)</f>
        <v>1.2314818288982921</v>
      </c>
      <c r="X106" s="21">
        <f>inputs!$E$80*(F106/inputs!$F$80)^(inputs!$E$84-1)</f>
        <v>4.5985713863923561</v>
      </c>
      <c r="Y106" s="21">
        <f>inputs!$E$82*(F106/inputs!$F$82)^(inputs!$E$84-1)</f>
        <v>2.1194088842502481</v>
      </c>
      <c r="Z106" s="63">
        <f t="shared" si="8"/>
        <v>1611.6697126629572</v>
      </c>
      <c r="AA106" s="63">
        <f t="shared" si="9"/>
        <v>34.901126162404843</v>
      </c>
    </row>
    <row r="107" spans="1:476" ht="13.2" x14ac:dyDescent="0.25">
      <c r="A107" s="112" t="s">
        <v>980</v>
      </c>
      <c r="B107" s="20" t="s">
        <v>194</v>
      </c>
      <c r="C107" s="20" t="s">
        <v>73</v>
      </c>
      <c r="D107" s="48" t="s">
        <v>185</v>
      </c>
      <c r="E107" s="15">
        <v>8621</v>
      </c>
      <c r="F107" s="15">
        <v>90</v>
      </c>
      <c r="G107" s="20" t="s">
        <v>164</v>
      </c>
      <c r="H107" s="20">
        <v>0.78</v>
      </c>
      <c r="I107" s="68">
        <f>inputs!$C$66*(inputs!$C$62/1000)</f>
        <v>8.2000000000000011</v>
      </c>
      <c r="J107" s="68">
        <f>inputs!$C$66*(inputs!$C$61/1000)</f>
        <v>2.5</v>
      </c>
      <c r="K107" s="69">
        <f t="shared" si="6"/>
        <v>3.658906252927991</v>
      </c>
      <c r="L107" s="69">
        <f t="shared" si="10"/>
        <v>1.1155201990634118</v>
      </c>
      <c r="M107" s="69">
        <f>IF((((1.18*F107^0.874)/3.7-(0.301*F107^0.751)/(1-H107)*H107)*(MAX('Max rate concentrations'!$P$3:$P$368)))/F107&gt;0, (((1.18*F107^0.874)/3.7-(0.301*F107^0.751)/(1-H107)*H107)*(MAX('Max rate concentrations'!$P$3:$P$368)))/F107, 0)</f>
        <v>0</v>
      </c>
      <c r="N107" s="69">
        <f>IF((((1.18*F107^0.874)/3.7-(0.301*F107^0.751)/(1-H107)*H107)*(MAX('Max rate concentrations'!$Q$3:$Q$368)))/F107&gt;0, (((1.18*F107^0.874)/3.7-(0.301*F107^0.751)/(1-H107)*H107)*(MAX('Max rate concentrations'!$Q$3:$Q$368)))/F107, 0)</f>
        <v>0</v>
      </c>
      <c r="O107" s="69">
        <f>((MAX('Max rate concentrations'!$F$3:$F$368))*0.62*6.01*8*(10*F107^0.667)*0.079*0.1/F107)*inputs!$E$80/(10^(0.84+0.62*LOG10(inputs!$E$80)))</f>
        <v>32.808824477765633</v>
      </c>
      <c r="P107" s="69">
        <f>((MAX('Max rate concentrations'!Y:Y))*0.62*6.01*8*(10*F107^0.667)*0.079*0.1/F107)*inputs!$E$80/(10^(0.84+0.62*LOG10(inputs!$E$80)))</f>
        <v>10.936274825921876</v>
      </c>
      <c r="Q107" s="69">
        <f>(inputs!$C$18*11.2*(10*F107^0.667)*0.5/F107)*inputs!$E$80/(10^(0.84+0.62*LOG10(inputs!$E$80)))</f>
        <v>5.7791196863758225</v>
      </c>
      <c r="R107" s="59">
        <f>(60*284*((F107/1000)^0.77)*3*24*(MAX('Max rate concentrations'!$R$3:$R$368))/F107)*(inputs!$E$73*3.4/inputs!$E$75)</f>
        <v>4.8934029361201732E-2</v>
      </c>
      <c r="S107" s="59">
        <f>(IF(inputs!$C$17="aerial",((0.025*0.112*inputs!$C$18/3.3)*(3*60*284*((F107/1000)^0.77))*MAX(inputs!$I$14:$I$16))/F107,((0.0083*0.112*inputs!$C$18/1)*(3*60*284*((F107/1000)^0.77))*MAX(inputs!$I$14:$I$16))/F107))*(inputs!E$75*3.4/inputs!$E$73)</f>
        <v>0.26987417835105493</v>
      </c>
      <c r="T107" s="63">
        <f>IF((((inputs!$P$13/(V107/MAX(K107:S107)))^(1/inputs!$O$13))-1)/inputs!$N$13&lt;0, 0, IF((((inputs!$P$13/(V107/MAX(K107:S107)))^(1/inputs!$O$13))-1)/inputs!$N$13&lt;inputs!$I$17, (((inputs!$P$13/(V107/MAX(K107:S107)))^(1/inputs!$O$13))-1)/inputs!$N$13, inputs!$I$17))</f>
        <v>1000</v>
      </c>
      <c r="U107" s="63">
        <f>IF((((inputs!$P$13/(X107/MAX(K107:S107)))^(1/inputs!$O$13))-1)/inputs!$N$13&lt;0, 0, IF((((inputs!$P$13/(X107/MAX(K107:S107)))^(1/inputs!$O$13))-1)/inputs!$N$13&lt;inputs!$I$17, (((inputs!$P$13/(X107/MAX(K107:S107)))^(1/inputs!$O$13))-1)/inputs!$N$13, inputs!$I$17))</f>
        <v>28.862276489263756</v>
      </c>
      <c r="V107" s="21">
        <f>inputs!$E$78*(F107/inputs!$F$78)^(inputs!$E$84-1)</f>
        <v>1.9755311066585041E-2</v>
      </c>
      <c r="W107" s="21">
        <f>inputs!$E$85*(F107/inputs!$F$85)^(inputs!$E$84-1)</f>
        <v>0.91226387257804753</v>
      </c>
      <c r="X107" s="21">
        <f>inputs!$E$80*(F107/inputs!$F$80)^(inputs!$E$84-1)</f>
        <v>3.4065549672218229</v>
      </c>
      <c r="Y107" s="21">
        <f>inputs!$E$82*(F107/inputs!$F$82)^(inputs!$E$84-1)</f>
        <v>1.5700273531864954</v>
      </c>
      <c r="Z107" s="63">
        <f t="shared" si="8"/>
        <v>1660.7596998692595</v>
      </c>
      <c r="AA107" s="63">
        <f t="shared" si="9"/>
        <v>35.9641825835416</v>
      </c>
    </row>
    <row r="108" spans="1:476" ht="13.2" x14ac:dyDescent="0.25">
      <c r="A108" s="112" t="s">
        <v>980</v>
      </c>
      <c r="B108" s="20" t="s">
        <v>194</v>
      </c>
      <c r="C108" s="20" t="s">
        <v>73</v>
      </c>
      <c r="D108" s="48" t="s">
        <v>185</v>
      </c>
      <c r="E108" s="15">
        <v>8621</v>
      </c>
      <c r="F108" s="15">
        <v>90</v>
      </c>
      <c r="G108" s="20" t="s">
        <v>195</v>
      </c>
      <c r="H108" s="20">
        <v>0.82</v>
      </c>
      <c r="I108" s="68">
        <f>inputs!$C$66*(inputs!$C$62/1000)</f>
        <v>8.2000000000000011</v>
      </c>
      <c r="J108" s="68">
        <f>inputs!$C$66*(inputs!$C$61/1000)</f>
        <v>2.5</v>
      </c>
      <c r="K108" s="69">
        <f t="shared" si="6"/>
        <v>4.4719965313564316</v>
      </c>
      <c r="L108" s="69">
        <f t="shared" si="10"/>
        <v>1.3634135766330582</v>
      </c>
      <c r="M108" s="69">
        <f>IF((((1.18*F108^0.874)/3.7-(0.301*F108^0.751)/(1-H108)*H108)*(MAX('Max rate concentrations'!$P$3:$P$368)))/F108&gt;0, (((1.18*F108^0.874)/3.7-(0.301*F108^0.751)/(1-H108)*H108)*(MAX('Max rate concentrations'!$P$3:$P$368)))/F108, 0)</f>
        <v>0</v>
      </c>
      <c r="N108" s="69">
        <f>IF((((1.18*F108^0.874)/3.7-(0.301*F108^0.751)/(1-H108)*H108)*(MAX('Max rate concentrations'!$Q$3:$Q$368)))/F108&gt;0, (((1.18*F108^0.874)/3.7-(0.301*F108^0.751)/(1-H108)*H108)*(MAX('Max rate concentrations'!$Q$3:$Q$368)))/F108, 0)</f>
        <v>0</v>
      </c>
      <c r="O108" s="69">
        <f>((MAX('Max rate concentrations'!$F$3:$F$368))*0.62*6.01*8*(10*F108^0.667)*0.079*0.1/F108)*inputs!$E$80/(10^(0.84+0.62*LOG10(inputs!$E$80)))</f>
        <v>32.808824477765633</v>
      </c>
      <c r="P108" s="69">
        <f>((MAX('Max rate concentrations'!Y:Y))*0.62*6.01*8*(10*F108^0.667)*0.079*0.1/F108)*inputs!$E$80/(10^(0.84+0.62*LOG10(inputs!$E$80)))</f>
        <v>10.936274825921876</v>
      </c>
      <c r="Q108" s="69">
        <f>(inputs!$C$18*11.2*(10*F108^0.667)*0.5/F108)*inputs!$E$80/(10^(0.84+0.62*LOG10(inputs!$E$80)))</f>
        <v>5.7791196863758225</v>
      </c>
      <c r="R108" s="59">
        <f>(60*284*((F108/1000)^0.77)*3*24*(MAX('Max rate concentrations'!$R$3:$R$368))/F108)*(inputs!$E$73*3.4/inputs!$E$75)</f>
        <v>4.8934029361201732E-2</v>
      </c>
      <c r="S108" s="59">
        <f>(IF(inputs!$C$17="aerial",((0.025*0.112*inputs!$C$18/3.3)*(3*60*284*((F108/1000)^0.77))*MAX(inputs!$I$14:$I$16))/F108,((0.0083*0.112*inputs!$C$18/1)*(3*60*284*((F108/1000)^0.77))*MAX(inputs!$I$14:$I$16))/F108))*(inputs!E$75*3.4/inputs!$E$73)</f>
        <v>0.26987417835105493</v>
      </c>
      <c r="T108" s="63">
        <f>IF((((inputs!$P$13/(V108/MAX(K108:S108)))^(1/inputs!$O$13))-1)/inputs!$N$13&lt;0, 0, IF((((inputs!$P$13/(V108/MAX(K108:S108)))^(1/inputs!$O$13))-1)/inputs!$N$13&lt;inputs!$I$17, (((inputs!$P$13/(V108/MAX(K108:S108)))^(1/inputs!$O$13))-1)/inputs!$N$13, inputs!$I$17))</f>
        <v>1000</v>
      </c>
      <c r="U108" s="63">
        <f>IF((((inputs!$P$13/(X108/MAX(K108:S108)))^(1/inputs!$O$13))-1)/inputs!$N$13&lt;0, 0, IF((((inputs!$P$13/(X108/MAX(K108:S108)))^(1/inputs!$O$13))-1)/inputs!$N$13&lt;inputs!$I$17, (((inputs!$P$13/(X108/MAX(K108:S108)))^(1/inputs!$O$13))-1)/inputs!$N$13, inputs!$I$17))</f>
        <v>28.862276489263756</v>
      </c>
      <c r="V108" s="21">
        <f>inputs!$E$78*(F108/inputs!$F$78)^(inputs!$E$84-1)</f>
        <v>1.9755311066585041E-2</v>
      </c>
      <c r="W108" s="21">
        <f>inputs!$E$85*(F108/inputs!$F$85)^(inputs!$E$84-1)</f>
        <v>0.91226387257804753</v>
      </c>
      <c r="X108" s="21">
        <f>inputs!$E$80*(F108/inputs!$F$80)^(inputs!$E$84-1)</f>
        <v>3.4065549672218229</v>
      </c>
      <c r="Y108" s="21">
        <f>inputs!$E$82*(F108/inputs!$F$82)^(inputs!$E$84-1)</f>
        <v>1.5700273531864954</v>
      </c>
      <c r="Z108" s="63">
        <f t="shared" si="8"/>
        <v>1660.7596998692595</v>
      </c>
      <c r="AA108" s="63">
        <f t="shared" si="9"/>
        <v>35.9641825835416</v>
      </c>
    </row>
    <row r="109" spans="1:476" ht="13.2" x14ac:dyDescent="0.25">
      <c r="A109" s="114" t="s">
        <v>348</v>
      </c>
      <c r="B109" s="20" t="s">
        <v>349</v>
      </c>
      <c r="C109" s="20" t="s">
        <v>73</v>
      </c>
      <c r="D109" s="48" t="s">
        <v>185</v>
      </c>
      <c r="E109" s="15">
        <v>136</v>
      </c>
      <c r="F109" s="15">
        <v>100</v>
      </c>
      <c r="G109" s="20" t="s">
        <v>186</v>
      </c>
      <c r="H109" s="49">
        <v>0.75</v>
      </c>
      <c r="I109" s="68">
        <f>inputs!$C$66*inputs!$C$64/1000</f>
        <v>21.3</v>
      </c>
      <c r="J109" s="68">
        <f>inputs!$C$66*inputs!$C$63/1000</f>
        <v>8.8000000000000007</v>
      </c>
      <c r="K109" s="69">
        <f t="shared" si="6"/>
        <v>8.147157091662752</v>
      </c>
      <c r="L109" s="69">
        <f t="shared" si="10"/>
        <v>3.3659616153348462</v>
      </c>
      <c r="M109" s="69">
        <f>IF((((1.18*F109^0.874)/3.7-(0.301*F109^0.751)/(1-H109)*H109)*(MAX('Max rate concentrations'!$P$3:$P$368)))/F109&gt;0, (((1.18*F109^0.874)/3.7-(0.301*F109^0.751)/(1-H109)*H109)*(MAX('Max rate concentrations'!$P$3:$P$368)))/F109, 0)</f>
        <v>0</v>
      </c>
      <c r="N109" s="69">
        <f>IF((((1.18*F109^0.874)/3.7-(0.301*F109^0.751)/(1-H109)*H109)*(MAX('Max rate concentrations'!$Q$3:$Q$368)))/F109&gt;0, (((1.18*F109^0.874)/3.7-(0.301*F109^0.751)/(1-H109)*H109)*(MAX('Max rate concentrations'!$Q$3:$Q$368)))/F109, 0)</f>
        <v>0</v>
      </c>
      <c r="O109" s="69">
        <f>((MAX('Max rate concentrations'!$F$3:$F$368))*0.62*6.01*8*(10*F109^0.667)*0.079*0.1/F109)*inputs!$E$80/(10^(0.84+0.62*LOG10(inputs!$E$80)))</f>
        <v>31.67768426085243</v>
      </c>
      <c r="P109" s="69">
        <f>((MAX('Max rate concentrations'!Y:Y))*0.62*6.01*8*(10*F109^0.667)*0.079*0.1/F109)*inputs!$E$80/(10^(0.84+0.62*LOG10(inputs!$E$80)))</f>
        <v>10.55922808695081</v>
      </c>
      <c r="Q109" s="69">
        <f>(inputs!$C$18*11.2*(10*F109^0.667)*0.5/F109)*inputs!$E$80/(10^(0.84+0.62*LOG10(inputs!$E$80)))</f>
        <v>5.5798746722777244</v>
      </c>
      <c r="R109" s="59">
        <f>(60*284*((F109/1000)^0.77)*3*24*(MAX('Max rate concentrations'!$R$3:$R$368))/F109)*(inputs!$E$73*3.4/inputs!$E$75)</f>
        <v>4.7762467523401853E-2</v>
      </c>
      <c r="S109" s="59">
        <f>(IF(inputs!$C$17="aerial",((0.025*0.112*inputs!$C$18/3.3)*(3*60*284*((F109/1000)^0.77))*MAX(inputs!$I$14:$I$16))/F109,((0.0083*0.112*inputs!$C$18/1)*(3*60*284*((F109/1000)^0.77))*MAX(inputs!$I$14:$I$16))/F109))*(inputs!E$75*3.4/inputs!$E$73)</f>
        <v>0.26341294283681005</v>
      </c>
      <c r="T109" s="63">
        <f>IF((((inputs!$P$13/(V109/MAX(K109:S109)))^(1/inputs!$O$13))-1)/inputs!$N$13&lt;0, 0, IF((((inputs!$P$13/(V109/MAX(K109:S109)))^(1/inputs!$O$13))-1)/inputs!$N$13&lt;inputs!$I$17, (((inputs!$P$13/(V109/MAX(K109:S109)))^(1/inputs!$O$13))-1)/inputs!$N$13, inputs!$I$17))</f>
        <v>1000</v>
      </c>
      <c r="U109" s="63">
        <f>IF((((inputs!$P$13/(X109/MAX(K109:S109)))^(1/inputs!$O$13))-1)/inputs!$N$13&lt;0, 0, IF((((inputs!$P$13/(X109/MAX(K109:S109)))^(1/inputs!$O$13))-1)/inputs!$N$13&lt;inputs!$I$17, (((inputs!$P$13/(X109/MAX(K109:S109)))^(1/inputs!$O$13))-1)/inputs!$N$13, inputs!$I$17))</f>
        <v>28.969912568661432</v>
      </c>
      <c r="V109" s="21">
        <f>inputs!$E$78*(F109/inputs!$F$78)^(inputs!$E$84-1)</f>
        <v>1.9E-2</v>
      </c>
      <c r="W109" s="21">
        <f>inputs!$E$85*(F109/inputs!$F$85)^(inputs!$E$84-1)</f>
        <v>0.87738499892824706</v>
      </c>
      <c r="X109" s="21">
        <f>inputs!$E$80*(F109/inputs!$F$80)^(inputs!$E$84-1)</f>
        <v>3.2763110719472515</v>
      </c>
      <c r="Y109" s="21">
        <f>inputs!$E$82*(F109/inputs!$F$82)^(inputs!$E$84-1)</f>
        <v>1.51</v>
      </c>
      <c r="Z109" s="63">
        <f t="shared" si="8"/>
        <v>1667.2465400448648</v>
      </c>
      <c r="AA109" s="63">
        <f t="shared" si="9"/>
        <v>36.104656792112586</v>
      </c>
    </row>
    <row r="110" spans="1:476" ht="13.2" x14ac:dyDescent="0.25">
      <c r="A110" s="114" t="s">
        <v>981</v>
      </c>
      <c r="B110" s="20" t="s">
        <v>351</v>
      </c>
      <c r="C110" s="20" t="s">
        <v>73</v>
      </c>
      <c r="D110" s="48" t="s">
        <v>185</v>
      </c>
      <c r="E110" s="15">
        <v>135</v>
      </c>
      <c r="F110" s="15">
        <v>110</v>
      </c>
      <c r="G110" s="20" t="s">
        <v>186</v>
      </c>
      <c r="H110" s="49">
        <v>0.75</v>
      </c>
      <c r="I110" s="68">
        <f>inputs!$C$66*inputs!$C$64/1000</f>
        <v>21.3</v>
      </c>
      <c r="J110" s="68">
        <f>inputs!$C$66*inputs!$C$63/1000</f>
        <v>8.8000000000000007</v>
      </c>
      <c r="K110" s="69">
        <f t="shared" si="6"/>
        <v>7.9560831209667455</v>
      </c>
      <c r="L110" s="69">
        <f t="shared" si="10"/>
        <v>3.287020256549642</v>
      </c>
      <c r="M110" s="69">
        <f>IF((((1.18*F110^0.874)/3.7-(0.301*F110^0.751)/(1-H110)*H110)*(MAX('Max rate concentrations'!$P$3:$P$368)))/F110&gt;0, (((1.18*F110^0.874)/3.7-(0.301*F110^0.751)/(1-H110)*H110)*(MAX('Max rate concentrations'!$P$3:$P$368)))/F110, 0)</f>
        <v>0</v>
      </c>
      <c r="N110" s="69">
        <f>IF((((1.18*F110^0.874)/3.7-(0.301*F110^0.751)/(1-H110)*H110)*(MAX('Max rate concentrations'!$Q$3:$Q$368)))/F110&gt;0, (((1.18*F110^0.874)/3.7-(0.301*F110^0.751)/(1-H110)*H110)*(MAX('Max rate concentrations'!$Q$3:$Q$368)))/F110, 0)</f>
        <v>0</v>
      </c>
      <c r="O110" s="69">
        <f>((MAX('Max rate concentrations'!$F$3:$F$368))*0.62*6.01*8*(10*F110^0.667)*0.079*0.1/F110)*inputs!$E$80/(10^(0.84+0.62*LOG10(inputs!$E$80)))</f>
        <v>30.688076041028705</v>
      </c>
      <c r="P110" s="69">
        <f>((MAX('Max rate concentrations'!Y:Y))*0.62*6.01*8*(10*F110^0.667)*0.079*0.1/F110)*inputs!$E$80/(10^(0.84+0.62*LOG10(inputs!$E$80)))</f>
        <v>10.229358680342907</v>
      </c>
      <c r="Q110" s="69">
        <f>(inputs!$C$18*11.2*(10*F110^0.667)*0.5/F110)*inputs!$E$80/(10^(0.84+0.62*LOG10(inputs!$E$80)))</f>
        <v>5.4055598519202208</v>
      </c>
      <c r="R110" s="59">
        <f>(60*284*((F110/1000)^0.77)*3*24*(MAX('Max rate concentrations'!$R$3:$R$368))/F110)*(inputs!$E$73*3.4/inputs!$E$75)</f>
        <v>4.6726842782307078E-2</v>
      </c>
      <c r="S110" s="59">
        <f>(IF(inputs!$C$17="aerial",((0.025*0.112*inputs!$C$18/3.3)*(3*60*284*((F110/1000)^0.77))*MAX(inputs!$I$14:$I$16))/F110,((0.0083*0.112*inputs!$C$18/1)*(3*60*284*((F110/1000)^0.77))*MAX(inputs!$I$14:$I$16))/F110))*(inputs!E$75*3.4/inputs!$E$73)</f>
        <v>0.25770140876263931</v>
      </c>
      <c r="T110" s="63">
        <f>IF((((inputs!$P$13/(V110/MAX(K110:S110)))^(1/inputs!$O$13))-1)/inputs!$N$13&lt;0, 0, IF((((inputs!$P$13/(V110/MAX(K110:S110)))^(1/inputs!$O$13))-1)/inputs!$N$13&lt;inputs!$I$17, (((inputs!$P$13/(V110/MAX(K110:S110)))^(1/inputs!$O$13))-1)/inputs!$N$13, inputs!$I$17))</f>
        <v>1000</v>
      </c>
      <c r="U110" s="63">
        <f>IF((((inputs!$P$13/(X110/MAX(K110:S110)))^(1/inputs!$O$13))-1)/inputs!$N$13&lt;0, 0, IF((((inputs!$P$13/(X110/MAX(K110:S110)))^(1/inputs!$O$13))-1)/inputs!$N$13&lt;inputs!$I$17, (((inputs!$P$13/(X110/MAX(K110:S110)))^(1/inputs!$O$13))-1)/inputs!$N$13, inputs!$I$17))</f>
        <v>29.067573989502268</v>
      </c>
      <c r="V110" s="21">
        <f>inputs!$E$78*(F110/inputs!$F$78)^(inputs!$E$84-1)</f>
        <v>1.8341646012025203E-2</v>
      </c>
      <c r="W110" s="21">
        <f>inputs!$E$85*(F110/inputs!$F$85)^(inputs!$E$84-1)</f>
        <v>0.84698342455805364</v>
      </c>
      <c r="X110" s="21">
        <f>inputs!$E$80*(F110/inputs!$F$80)^(inputs!$E$84-1)</f>
        <v>3.162786205628175</v>
      </c>
      <c r="Y110" s="21">
        <f>inputs!$E$82*(F110/inputs!$F$82)^(inputs!$E$84-1)</f>
        <v>1.4576781830609504</v>
      </c>
      <c r="Z110" s="63">
        <f t="shared" si="8"/>
        <v>1673.1364252100875</v>
      </c>
      <c r="AA110" s="63">
        <f t="shared" si="9"/>
        <v>36.232203784910425</v>
      </c>
    </row>
    <row r="111" spans="1:476" ht="13.2" x14ac:dyDescent="0.25">
      <c r="A111" s="103" t="s">
        <v>208</v>
      </c>
      <c r="B111" s="20" t="s">
        <v>209</v>
      </c>
      <c r="C111" s="20" t="s">
        <v>73</v>
      </c>
      <c r="D111" s="104" t="s">
        <v>185</v>
      </c>
      <c r="E111" s="15">
        <v>132</v>
      </c>
      <c r="F111" s="15">
        <v>34</v>
      </c>
      <c r="G111" s="20" t="s">
        <v>142</v>
      </c>
      <c r="H111" s="20">
        <v>0.69</v>
      </c>
      <c r="I111" s="68">
        <f>MAX('Max rate concentrations'!$H$3:$H$368)</f>
        <v>282</v>
      </c>
      <c r="J111" s="68">
        <f>MAX('Max rate concentrations'!AA:AA)</f>
        <v>195</v>
      </c>
      <c r="K111" s="69">
        <f t="shared" si="6"/>
        <v>113.79302949533124</v>
      </c>
      <c r="L111" s="69">
        <f t="shared" si="10"/>
        <v>78.68666933187798</v>
      </c>
      <c r="M111" s="69">
        <f>IF((((1.18*F111^0.874)/3.7-(0.301*F111^0.751)/(1-H111)*H111)*(MAX('Max rate concentrations'!$P$3:$P$368)))/F111&gt;0, (((1.18*F111^0.874)/3.7-(0.301*F111^0.751)/(1-H111)*H111)*(MAX('Max rate concentrations'!$P$3:$P$368)))/F111, 0)</f>
        <v>0</v>
      </c>
      <c r="N111" s="69">
        <f>IF((((1.18*F111^0.874)/3.7-(0.301*F111^0.751)/(1-H111)*H111)*(MAX('Max rate concentrations'!$Q$3:$Q$368)))/F111&gt;0, (((1.18*F111^0.874)/3.7-(0.301*F111^0.751)/(1-H111)*H111)*(MAX('Max rate concentrations'!$Q$3:$Q$368)))/F111, 0)</f>
        <v>0</v>
      </c>
      <c r="O111" s="69">
        <f>((MAX('Max rate concentrations'!$F$3:$F$368))*0.62*6.01*8*(10*F111^0.667)*0.079*0.1/F111)*inputs!$E$80/(10^(0.84+0.62*LOG10(inputs!$E$80)))</f>
        <v>45.370226397264176</v>
      </c>
      <c r="P111" s="69">
        <f>((MAX('Max rate concentrations'!Y:Y))*0.62*6.01*8*(10*F111^0.667)*0.079*0.1/F111)*inputs!$E$80/(10^(0.84+0.62*LOG10(inputs!$E$80)))</f>
        <v>15.123408799088054</v>
      </c>
      <c r="Q111" s="69">
        <f>(inputs!$C$18*11.2*(10*F111^0.667)*0.5/F111)*inputs!$E$80/(10^(0.84+0.62*LOG10(inputs!$E$80)))</f>
        <v>7.9917513876624557</v>
      </c>
      <c r="R111" s="59">
        <f>(60*284*((F111/1000)^0.77)*3*24*(MAX('Max rate concentrations'!$R$3:$R$368))/F111)*(inputs!$E$73*3.4/inputs!$E$75)</f>
        <v>6.121341439301578E-2</v>
      </c>
      <c r="S111" s="59">
        <f>(IF(inputs!$C$17="aerial",((0.025*0.112*inputs!$C$18/3.3)*(3*60*284*((F111/1000)^0.77))*MAX(inputs!$I$14:$I$16))/F111,((0.0083*0.112*inputs!$C$18/1)*(3*60*284*((F111/1000)^0.77))*MAX(inputs!$I$14:$I$16))/F111))*(inputs!E$75*3.4/inputs!$E$73)</f>
        <v>0.33759574122616398</v>
      </c>
      <c r="T111" s="63">
        <f>IF((((inputs!$P$13/(V111/MAX(K111:S111)))^(1/inputs!$O$13))-1)/inputs!$N$13&lt;0, 0, IF((((inputs!$P$13/(V111/MAX(K111:S111)))^(1/inputs!$O$13))-1)/inputs!$N$13&lt;inputs!$I$17, (((inputs!$P$13/(V111/MAX(K111:S111)))^(1/inputs!$O$13))-1)/inputs!$N$13, inputs!$I$17))</f>
        <v>1000</v>
      </c>
      <c r="U111" s="63">
        <f>IF((((inputs!$P$13/(X111/MAX(K111:S111)))^(1/inputs!$O$13))-1)/inputs!$N$13&lt;0, 0, IF((((inputs!$P$13/(X111/MAX(K111:S111)))^(1/inputs!$O$13))-1)/inputs!$N$13&lt;inputs!$I$17, (((inputs!$P$13/(X111/MAX(K111:S111)))^(1/inputs!$O$13))-1)/inputs!$N$13, inputs!$I$17))</f>
        <v>64.420990241498657</v>
      </c>
      <c r="V111" s="21">
        <f>inputs!$E$78*(F111/inputs!$F$78)^(inputs!$E$84-1)</f>
        <v>2.832085768556198E-2</v>
      </c>
      <c r="W111" s="21">
        <f>inputs!$E$85*(F111/inputs!$F$85)^(inputs!$E$84-1)</f>
        <v>1.3078050363207285</v>
      </c>
      <c r="X111" s="21">
        <f>inputs!$E$80*(F111/inputs!$F$80)^(inputs!$E$84-1)</f>
        <v>4.883575768539429</v>
      </c>
      <c r="Y111" s="21">
        <f>inputs!$E$82*(F111/inputs!$F$82)^(inputs!$E$84-1)</f>
        <v>2.2507629002736103</v>
      </c>
      <c r="Z111" s="63">
        <f t="shared" si="8"/>
        <v>4017.993761302756</v>
      </c>
      <c r="AA111" s="63">
        <f t="shared" si="9"/>
        <v>87.010698334261832</v>
      </c>
    </row>
    <row r="112" spans="1:476" ht="13.2" x14ac:dyDescent="0.25">
      <c r="A112" s="112" t="s">
        <v>982</v>
      </c>
      <c r="B112" s="113" t="s">
        <v>358</v>
      </c>
      <c r="C112" s="20" t="s">
        <v>73</v>
      </c>
      <c r="D112" s="48" t="s">
        <v>185</v>
      </c>
      <c r="E112" s="118">
        <v>6618</v>
      </c>
      <c r="F112" s="15">
        <v>148</v>
      </c>
      <c r="G112" s="20" t="s">
        <v>186</v>
      </c>
      <c r="H112" s="49">
        <v>0.75</v>
      </c>
      <c r="I112" s="68">
        <f>inputs!$C$66*inputs!$C$64/1000</f>
        <v>21.3</v>
      </c>
      <c r="J112" s="68">
        <f>inputs!$C$66*inputs!$C$63/1000</f>
        <v>8.8000000000000007</v>
      </c>
      <c r="K112" s="69">
        <f t="shared" si="6"/>
        <v>7.3894297244323432</v>
      </c>
      <c r="L112" s="69">
        <f t="shared" si="10"/>
        <v>3.0529099330988085</v>
      </c>
      <c r="M112" s="69">
        <f>IF((((1.18*F112^0.874)/3.7-(0.301*F112^0.751)/(1-H112)*H112)*(MAX('Max rate concentrations'!$P$3:$P$368)))/F112&gt;0, (((1.18*F112^0.874)/3.7-(0.301*F112^0.751)/(1-H112)*H112)*(MAX('Max rate concentrations'!$P$3:$P$368)))/F112, 0)</f>
        <v>0</v>
      </c>
      <c r="N112" s="69">
        <f>IF((((1.18*F112^0.874)/3.7-(0.301*F112^0.751)/(1-H112)*H112)*(MAX('Max rate concentrations'!$Q$3:$Q$368)))/F112&gt;0, (((1.18*F112^0.874)/3.7-(0.301*F112^0.751)/(1-H112)*H112)*(MAX('Max rate concentrations'!$Q$3:$Q$368)))/F112, 0)</f>
        <v>0</v>
      </c>
      <c r="O112" s="69">
        <f>((MAX('Max rate concentrations'!$F$3:$F$368))*0.62*6.01*8*(10*F112^0.667)*0.079*0.1/F112)*inputs!$E$80/(10^(0.84+0.62*LOG10(inputs!$E$80)))</f>
        <v>27.800734778216651</v>
      </c>
      <c r="P112" s="69">
        <f>((MAX('Max rate concentrations'!Y:Y))*0.62*6.01*8*(10*F112^0.667)*0.079*0.1/F112)*inputs!$E$80/(10^(0.84+0.62*LOG10(inputs!$E$80)))</f>
        <v>9.2669115927388823</v>
      </c>
      <c r="Q112" s="69">
        <f>(inputs!$C$18*11.2*(10*F112^0.667)*0.5/F112)*inputs!$E$80/(10^(0.84+0.62*LOG10(inputs!$E$80)))</f>
        <v>4.8969683068464063</v>
      </c>
      <c r="R112" s="59">
        <f>(60*284*((F112/1000)^0.77)*3*24*(MAX('Max rate concentrations'!$R$3:$R$368))/F112)*(inputs!$E$73*3.4/inputs!$E$75)</f>
        <v>4.3644202370333056E-2</v>
      </c>
      <c r="S112" s="59">
        <f>(IF(inputs!$C$17="aerial",((0.025*0.112*inputs!$C$18/3.3)*(3*60*284*((F112/1000)^0.77))*MAX(inputs!$I$14:$I$16))/F112,((0.0083*0.112*inputs!$C$18/1)*(3*60*284*((F112/1000)^0.77))*MAX(inputs!$I$14:$I$16))/F112))*(inputs!E$75*3.4/inputs!$E$73)</f>
        <v>0.2407004574983877</v>
      </c>
      <c r="T112" s="63">
        <f>IF((((inputs!$P$13/(V112/MAX(K112:S112)))^(1/inputs!$O$13))-1)/inputs!$N$13&lt;0, 0, IF((((inputs!$P$13/(V112/MAX(K112:S112)))^(1/inputs!$O$13))-1)/inputs!$N$13&lt;inputs!$I$17, (((inputs!$P$13/(V112/MAX(K112:S112)))^(1/inputs!$O$13))-1)/inputs!$N$13, inputs!$I$17))</f>
        <v>1000</v>
      </c>
      <c r="U112" s="63">
        <f>IF((((inputs!$P$13/(X112/MAX(K112:S112)))^(1/inputs!$O$13))-1)/inputs!$N$13&lt;0, 0, IF((((inputs!$P$13/(X112/MAX(K112:S112)))^(1/inputs!$O$13))-1)/inputs!$N$13&lt;inputs!$I$17, (((inputs!$P$13/(X112/MAX(K112:S112)))^(1/inputs!$O$13))-1)/inputs!$N$13, inputs!$I$17))</f>
        <v>29.373415519085608</v>
      </c>
      <c r="V112" s="21">
        <f>inputs!$E$78*(F112/inputs!$F$78)^(inputs!$E$84-1)</f>
        <v>1.6434510237281978E-2</v>
      </c>
      <c r="W112" s="21">
        <f>inputs!$E$85*(F112/inputs!$F$85)^(inputs!$E$84-1)</f>
        <v>0.75891540773283761</v>
      </c>
      <c r="X112" s="21">
        <f>inputs!$E$80*(F112/inputs!$F$80)^(inputs!$E$84-1)</f>
        <v>2.8339246238124951</v>
      </c>
      <c r="Y112" s="21">
        <f>inputs!$E$82*(F112/inputs!$F$82)^(inputs!$E$84-1)</f>
        <v>1.30611107675241</v>
      </c>
      <c r="Z112" s="63">
        <f t="shared" si="8"/>
        <v>1691.6071350365032</v>
      </c>
      <c r="AA112" s="63">
        <f t="shared" si="9"/>
        <v>36.632191802862167</v>
      </c>
    </row>
    <row r="113" spans="1:476" ht="13.2" x14ac:dyDescent="0.25">
      <c r="A113" s="112" t="s">
        <v>982</v>
      </c>
      <c r="B113" s="113" t="s">
        <v>358</v>
      </c>
      <c r="C113" s="20" t="s">
        <v>73</v>
      </c>
      <c r="D113" s="48" t="s">
        <v>185</v>
      </c>
      <c r="E113" s="118">
        <v>6618</v>
      </c>
      <c r="F113" s="15">
        <v>148</v>
      </c>
      <c r="G113" s="20" t="s">
        <v>174</v>
      </c>
      <c r="H113" s="20">
        <v>0.83</v>
      </c>
      <c r="I113" s="68">
        <f>inputs!$C$66*(inputs!$C$62/1000)</f>
        <v>8.2000000000000011</v>
      </c>
      <c r="J113" s="68">
        <f>inputs!$C$66*(inputs!$C$61/1000)</f>
        <v>2.5</v>
      </c>
      <c r="K113" s="69">
        <f t="shared" si="6"/>
        <v>4.1834661516394087</v>
      </c>
      <c r="L113" s="69">
        <f t="shared" si="10"/>
        <v>1.2754469974510392</v>
      </c>
      <c r="M113" s="69">
        <f>IF((((1.18*F113^0.874)/3.7-(0.301*F113^0.751)/(1-H113)*H113)*(MAX('Max rate concentrations'!$P$3:$P$368)))/F113&gt;0, (((1.18*F113^0.874)/3.7-(0.301*F113^0.751)/(1-H113)*H113)*(MAX('Max rate concentrations'!$P$3:$P$368)))/F113, 0)</f>
        <v>0</v>
      </c>
      <c r="N113" s="69">
        <f>IF((((1.18*F113^0.874)/3.7-(0.301*F113^0.751)/(1-H113)*H113)*(MAX('Max rate concentrations'!$Q$3:$Q$368)))/F113&gt;0, (((1.18*F113^0.874)/3.7-(0.301*F113^0.751)/(1-H113)*H113)*(MAX('Max rate concentrations'!$Q$3:$Q$368)))/F113, 0)</f>
        <v>0</v>
      </c>
      <c r="O113" s="69">
        <f>((MAX('Max rate concentrations'!$F$3:$F$368))*0.62*6.01*8*(10*F113^0.667)*0.079*0.1/F113)*inputs!$E$80/(10^(0.84+0.62*LOG10(inputs!$E$80)))</f>
        <v>27.800734778216651</v>
      </c>
      <c r="P113" s="69">
        <f>((MAX('Max rate concentrations'!Y:Y))*0.62*6.01*8*(10*F113^0.667)*0.079*0.1/F113)*inputs!$E$80/(10^(0.84+0.62*LOG10(inputs!$E$80)))</f>
        <v>9.2669115927388823</v>
      </c>
      <c r="Q113" s="69">
        <f>(inputs!$C$18*11.2*(10*F113^0.667)*0.5/F113)*inputs!$E$80/(10^(0.84+0.62*LOG10(inputs!$E$80)))</f>
        <v>4.8969683068464063</v>
      </c>
      <c r="R113" s="59">
        <f>(60*284*((F113/1000)^0.77)*3*24*(MAX('Max rate concentrations'!$R$3:$R$368))/F113)*(inputs!$E$73*3.4/inputs!$E$75)</f>
        <v>4.3644202370333056E-2</v>
      </c>
      <c r="S113" s="59">
        <f>(IF(inputs!$C$17="aerial",((0.025*0.112*inputs!$C$18/3.3)*(3*60*284*((F113/1000)^0.77))*MAX(inputs!$I$14:$I$16))/F113,((0.0083*0.112*inputs!$C$18/1)*(3*60*284*((F113/1000)^0.77))*MAX(inputs!$I$14:$I$16))/F113))*(inputs!E$75*3.4/inputs!$E$73)</f>
        <v>0.2407004574983877</v>
      </c>
      <c r="T113" s="63">
        <f>IF((((inputs!$P$13/(V113/MAX(K113:S113)))^(1/inputs!$O$13))-1)/inputs!$N$13&lt;0, 0, IF((((inputs!$P$13/(V113/MAX(K113:S113)))^(1/inputs!$O$13))-1)/inputs!$N$13&lt;inputs!$I$17, (((inputs!$P$13/(V113/MAX(K113:S113)))^(1/inputs!$O$13))-1)/inputs!$N$13, inputs!$I$17))</f>
        <v>1000</v>
      </c>
      <c r="U113" s="63">
        <f>IF((((inputs!$P$13/(X113/MAX(K113:S113)))^(1/inputs!$O$13))-1)/inputs!$N$13&lt;0, 0, IF((((inputs!$P$13/(X113/MAX(K113:S113)))^(1/inputs!$O$13))-1)/inputs!$N$13&lt;inputs!$I$17, (((inputs!$P$13/(X113/MAX(K113:S113)))^(1/inputs!$O$13))-1)/inputs!$N$13, inputs!$I$17))</f>
        <v>29.373415519085608</v>
      </c>
      <c r="V113" s="21">
        <f>inputs!$E$78*(F113/inputs!$F$78)^(inputs!$E$84-1)</f>
        <v>1.6434510237281978E-2</v>
      </c>
      <c r="W113" s="21">
        <f>inputs!$E$85*(F113/inputs!$F$85)^(inputs!$E$84-1)</f>
        <v>0.75891540773283761</v>
      </c>
      <c r="X113" s="21">
        <f>inputs!$E$80*(F113/inputs!$F$80)^(inputs!$E$84-1)</f>
        <v>2.8339246238124951</v>
      </c>
      <c r="Y113" s="21">
        <f>inputs!$E$82*(F113/inputs!$F$82)^(inputs!$E$84-1)</f>
        <v>1.30611107675241</v>
      </c>
      <c r="Z113" s="63">
        <f t="shared" si="8"/>
        <v>1691.6071350365032</v>
      </c>
      <c r="AA113" s="63">
        <f t="shared" si="9"/>
        <v>36.632191802862167</v>
      </c>
    </row>
    <row r="114" spans="1:476" ht="13.2" x14ac:dyDescent="0.25">
      <c r="A114" s="114" t="s">
        <v>983</v>
      </c>
      <c r="B114" s="20" t="s">
        <v>290</v>
      </c>
      <c r="C114" s="20" t="s">
        <v>73</v>
      </c>
      <c r="D114" s="48" t="s">
        <v>291</v>
      </c>
      <c r="E114" s="15">
        <v>124</v>
      </c>
      <c r="F114" s="15">
        <v>2050</v>
      </c>
      <c r="G114" s="49" t="s">
        <v>186</v>
      </c>
      <c r="H114" s="49">
        <v>0.75</v>
      </c>
      <c r="I114" s="68">
        <f>inputs!$C$66*inputs!$C$64/1000</f>
        <v>21.3</v>
      </c>
      <c r="J114" s="68">
        <f>inputs!$C$66*inputs!$C$63/1000</f>
        <v>8.8000000000000007</v>
      </c>
      <c r="K114" s="69">
        <f t="shared" si="6"/>
        <v>3.8404258029650342</v>
      </c>
      <c r="L114" s="69">
        <f t="shared" si="10"/>
        <v>1.5866547918353193</v>
      </c>
      <c r="M114" s="69">
        <f>IF((((1.18*F114^0.874)/3.7-(0.301*F114^0.751)/(1-H114)*H114)*(MAX('Max rate concentrations'!$P$3:$P$368)))/F114&gt;0, (((1.18*F114^0.874)/3.7-(0.301*F114^0.751)/(1-H114)*H114)*(MAX('Max rate concentrations'!$P$3:$P$368)))/F114, 0)</f>
        <v>0</v>
      </c>
      <c r="N114" s="69">
        <f>IF((((1.18*F114^0.874)/3.7-(0.301*F114^0.751)/(1-H114)*H114)*(MAX('Max rate concentrations'!$Q$3:$Q$368)))/F114&gt;0, (((1.18*F114^0.874)/3.7-(0.301*F114^0.751)/(1-H114)*H114)*(MAX('Max rate concentrations'!$Q$3:$Q$368)))/F114, 0)</f>
        <v>0</v>
      </c>
      <c r="O114" s="69">
        <f>((MAX('Max rate concentrations'!$F$3:$F$368))*0.62*6.01*8*(10*F114^0.667)*0.079*0.1/F114)*inputs!$E$80/(10^(0.84+0.62*LOG10(inputs!$E$80)))</f>
        <v>11.58615648953606</v>
      </c>
      <c r="P114" s="69">
        <f>((MAX('Max rate concentrations'!Y:Y))*0.62*6.01*8*(10*F114^0.667)*0.079*0.1/F114)*inputs!$E$80/(10^(0.84+0.62*LOG10(inputs!$E$80)))</f>
        <v>3.8620521631786868</v>
      </c>
      <c r="Q114" s="69">
        <f>(inputs!$C$18*11.2*(10*F114^0.667)*0.5/F114)*inputs!$E$80/(10^(0.84+0.62*LOG10(inputs!$E$80)))</f>
        <v>2.0408468186199662</v>
      </c>
      <c r="R114" s="59">
        <f>(60*284*((F114/1000)^0.77)*3*24*(MAX('Max rate concentrations'!$R$3:$R$368))/F114)*(inputs!$E$73*3.4/inputs!$E$75)</f>
        <v>2.3844233568425206E-2</v>
      </c>
      <c r="S114" s="59">
        <f>(IF(inputs!$C$17="aerial",((0.025*0.112*inputs!$C$18/3.3)*(3*60*284*((F114/1000)^0.77))*MAX(inputs!$I$14:$I$16))/F114,((0.0083*0.112*inputs!$C$18/1)*(3*60*284*((F114/1000)^0.77))*MAX(inputs!$I$14:$I$16))/F114))*(inputs!E$75*3.4/inputs!$E$73)</f>
        <v>0.13150241307926011</v>
      </c>
      <c r="T114" s="63">
        <f>IF((((inputs!$P$13/(V114/MAX(K114:S114)))^(1/inputs!$O$13))-1)/inputs!$N$13&lt;0, 0, IF((((inputs!$P$13/(V114/MAX(K114:S114)))^(1/inputs!$O$13))-1)/inputs!$N$13&lt;inputs!$I$17, (((inputs!$P$13/(V114/MAX(K114:S114)))^(1/inputs!$O$13))-1)/inputs!$N$13, inputs!$I$17))</f>
        <v>1000</v>
      </c>
      <c r="U114" s="63">
        <f>IF((((inputs!$P$13/(X114/MAX(K114:S114)))^(1/inputs!$O$13))-1)/inputs!$N$13&lt;0, 0, IF((((inputs!$P$13/(X114/MAX(K114:S114)))^(1/inputs!$O$13))-1)/inputs!$N$13&lt;inputs!$I$17, (((inputs!$P$13/(X114/MAX(K114:S114)))^(1/inputs!$O$13))-1)/inputs!$N$13, inputs!$I$17))</f>
        <v>32.204392829835299</v>
      </c>
      <c r="V114" s="21">
        <f>inputs!$E$78*(F114/inputs!$F$78)^(inputs!$E$84-1)</f>
        <v>6.2144782498448634E-3</v>
      </c>
      <c r="W114" s="21">
        <f>inputs!$E$85*(F114/inputs!$F$85)^(inputs!$E$84-1)</f>
        <v>0.28697315750419744</v>
      </c>
      <c r="X114" s="21">
        <f>inputs!$E$80*(F114/inputs!$F$80)^(inputs!$E$84-1)</f>
        <v>1.0716086261232689</v>
      </c>
      <c r="Y114" s="21">
        <f>inputs!$E$82*(F114/inputs!$F$82)^(inputs!$E$84-1)</f>
        <v>0.4938874819613549</v>
      </c>
      <c r="Z114" s="63">
        <f t="shared" si="8"/>
        <v>1864.3812117011262</v>
      </c>
      <c r="AA114" s="63">
        <f t="shared" si="9"/>
        <v>40.373659300753921</v>
      </c>
    </row>
    <row r="115" spans="1:476" ht="13.2" x14ac:dyDescent="0.25">
      <c r="A115" s="103" t="s">
        <v>242</v>
      </c>
      <c r="B115" s="20" t="s">
        <v>243</v>
      </c>
      <c r="C115" s="20" t="s">
        <v>73</v>
      </c>
      <c r="D115" s="104" t="s">
        <v>223</v>
      </c>
      <c r="E115" s="15">
        <v>5170</v>
      </c>
      <c r="F115" s="15">
        <v>58</v>
      </c>
      <c r="G115" s="20" t="s">
        <v>142</v>
      </c>
      <c r="H115" s="20">
        <v>0.69</v>
      </c>
      <c r="I115" s="68">
        <f>MAX('Max rate concentrations'!$H$3:$H$368)</f>
        <v>282</v>
      </c>
      <c r="J115" s="68">
        <f>MAX('Max rate concentrations'!AA:AA)</f>
        <v>195</v>
      </c>
      <c r="K115" s="69">
        <f t="shared" si="6"/>
        <v>99.623166067214257</v>
      </c>
      <c r="L115" s="69">
        <f t="shared" si="10"/>
        <v>68.888359514563049</v>
      </c>
      <c r="M115" s="69">
        <f>IF((((1.18*F115^0.874)/3.7-(0.301*F115^0.751)/(1-H115)*H115)*(MAX('Max rate concentrations'!$P$3:$P$368)))/F115&gt;0, (((1.18*F115^0.874)/3.7-(0.301*F115^0.751)/(1-H115)*H115)*(MAX('Max rate concentrations'!$P$3:$P$368)))/F115, 0)</f>
        <v>0</v>
      </c>
      <c r="N115" s="69">
        <f>IF((((1.18*F115^0.874)/3.7-(0.301*F115^0.751)/(1-H115)*H115)*(MAX('Max rate concentrations'!$Q$3:$Q$368)))/F115&gt;0, (((1.18*F115^0.874)/3.7-(0.301*F115^0.751)/(1-H115)*H115)*(MAX('Max rate concentrations'!$Q$3:$Q$368)))/F115, 0)</f>
        <v>0</v>
      </c>
      <c r="O115" s="69">
        <f>((MAX('Max rate concentrations'!$F$3:$F$368))*0.62*6.01*8*(10*F115^0.667)*0.079*0.1/F115)*inputs!$E$80/(10^(0.84+0.62*LOG10(inputs!$E$80)))</f>
        <v>37.977983713771373</v>
      </c>
      <c r="P115" s="69">
        <f>((MAX('Max rate concentrations'!Y:Y))*0.62*6.01*8*(10*F115^0.667)*0.079*0.1/F115)*inputs!$E$80/(10^(0.84+0.62*LOG10(inputs!$E$80)))</f>
        <v>12.659327904590455</v>
      </c>
      <c r="Q115" s="69">
        <f>(inputs!$C$18*11.2*(10*F115^0.667)*0.5/F115)*inputs!$E$80/(10^(0.84+0.62*LOG10(inputs!$E$80)))</f>
        <v>6.6896427050550535</v>
      </c>
      <c r="R115" s="59">
        <f>(60*284*((F115/1000)^0.77)*3*24*(MAX('Max rate concentrations'!$R$3:$R$368))/F115)*(inputs!$E$73*3.4/inputs!$E$75)</f>
        <v>5.4137514975703842E-2</v>
      </c>
      <c r="S115" s="59">
        <f>(IF(inputs!$C$17="aerial",((0.025*0.112*inputs!$C$18/3.3)*(3*60*284*((F115/1000)^0.77))*MAX(inputs!$I$14:$I$16))/F115,((0.0083*0.112*inputs!$C$18/1)*(3*60*284*((F115/1000)^0.77))*MAX(inputs!$I$14:$I$16))/F115))*(inputs!E$75*3.4/inputs!$E$73)</f>
        <v>0.29857172120839226</v>
      </c>
      <c r="T115" s="63">
        <f>IF((((inputs!$P$13/(V115/MAX(K115:S115)))^(1/inputs!$O$13))-1)/inputs!$N$13&lt;0, 0, IF((((inputs!$P$13/(V115/MAX(K115:S115)))^(1/inputs!$O$13))-1)/inputs!$N$13&lt;inputs!$I$17, (((inputs!$P$13/(V115/MAX(K115:S115)))^(1/inputs!$O$13))-1)/inputs!$N$13, inputs!$I$17))</f>
        <v>1000</v>
      </c>
      <c r="U115" s="63">
        <f>IF((((inputs!$P$13/(X115/MAX(K115:S115)))^(1/inputs!$O$13))-1)/inputs!$N$13&lt;0, 0, IF((((inputs!$P$13/(X115/MAX(K115:S115)))^(1/inputs!$O$13))-1)/inputs!$N$13&lt;inputs!$I$17, (((inputs!$P$13/(X115/MAX(K115:S115)))^(1/inputs!$O$13))-1)/inputs!$N$13, inputs!$I$17))</f>
        <v>68.157558321639982</v>
      </c>
      <c r="V115" s="21">
        <f>inputs!$E$78*(F115/inputs!$F$78)^(inputs!$E$84-1)</f>
        <v>2.3242628641364116E-2</v>
      </c>
      <c r="W115" s="21">
        <f>inputs!$E$85*(F115/inputs!$F$85)^(inputs!$E$84-1)</f>
        <v>1.073301773978574</v>
      </c>
      <c r="X115" s="21">
        <f>inputs!$E$80*(F115/inputs!$F$80)^(inputs!$E$84-1)</f>
        <v>4.0078990294136618</v>
      </c>
      <c r="Y115" s="21">
        <f>inputs!$E$82*(F115/inputs!$F$82)^(inputs!$E$84-1)</f>
        <v>1.847177328866306</v>
      </c>
      <c r="Z115" s="63">
        <f t="shared" si="8"/>
        <v>4286.2262958466881</v>
      </c>
      <c r="AA115" s="63">
        <f t="shared" si="9"/>
        <v>92.819343527147666</v>
      </c>
    </row>
    <row r="116" spans="1:476" ht="13.2" x14ac:dyDescent="0.25">
      <c r="A116" s="103" t="s">
        <v>242</v>
      </c>
      <c r="B116" s="20" t="s">
        <v>243</v>
      </c>
      <c r="C116" s="20" t="s">
        <v>73</v>
      </c>
      <c r="D116" s="104" t="s">
        <v>223</v>
      </c>
      <c r="E116" s="15">
        <v>5170</v>
      </c>
      <c r="F116" s="15">
        <v>58</v>
      </c>
      <c r="G116" s="20" t="s">
        <v>152</v>
      </c>
      <c r="H116" s="20">
        <v>0.77</v>
      </c>
      <c r="I116" s="68">
        <f>MAX('Max rate concentrations'!$G$3:$G$368)</f>
        <v>45</v>
      </c>
      <c r="J116" s="68">
        <f>MAX('Max rate concentrations'!Z:Z)</f>
        <v>21</v>
      </c>
      <c r="K116" s="69">
        <f t="shared" si="6"/>
        <v>21.426814163392528</v>
      </c>
      <c r="L116" s="69">
        <f t="shared" si="10"/>
        <v>9.9991799429165127</v>
      </c>
      <c r="M116" s="69">
        <f>IF((((1.18*F116^0.874)/3.7-(0.301*F116^0.751)/(1-H116)*H116)*(MAX('Max rate concentrations'!$P$3:$P$368)))/F116&gt;0, (((1.18*F116^0.874)/3.7-(0.301*F116^0.751)/(1-H116)*H116)*(MAX('Max rate concentrations'!$P$3:$P$368)))/F116, 0)</f>
        <v>0</v>
      </c>
      <c r="N116" s="69">
        <f>IF((((1.18*F116^0.874)/3.7-(0.301*F116^0.751)/(1-H116)*H116)*(MAX('Max rate concentrations'!$Q$3:$Q$368)))/F116&gt;0, (((1.18*F116^0.874)/3.7-(0.301*F116^0.751)/(1-H116)*H116)*(MAX('Max rate concentrations'!$Q$3:$Q$368)))/F116, 0)</f>
        <v>0</v>
      </c>
      <c r="O116" s="69">
        <f>((MAX('Max rate concentrations'!$F$3:$F$368))*0.62*6.01*8*(10*F116^0.667)*0.079*0.1/F116)*inputs!$E$80/(10^(0.84+0.62*LOG10(inputs!$E$80)))</f>
        <v>37.977983713771373</v>
      </c>
      <c r="P116" s="69">
        <f>((MAX('Max rate concentrations'!Y:Y))*0.62*6.01*8*(10*F116^0.667)*0.079*0.1/F116)*inputs!$E$80/(10^(0.84+0.62*LOG10(inputs!$E$80)))</f>
        <v>12.659327904590455</v>
      </c>
      <c r="Q116" s="69">
        <f>(inputs!$C$18*11.2*(10*F116^0.667)*0.5/F116)*inputs!$E$80/(10^(0.84+0.62*LOG10(inputs!$E$80)))</f>
        <v>6.6896427050550535</v>
      </c>
      <c r="R116" s="59">
        <f>(60*284*((F116/1000)^0.77)*3*24*(MAX('Max rate concentrations'!$R$3:$R$368))/F116)*(inputs!$E$73*3.4/inputs!$E$75)</f>
        <v>5.4137514975703842E-2</v>
      </c>
      <c r="S116" s="59">
        <f>(IF(inputs!$C$17="aerial",((0.025*0.112*inputs!$C$18/3.3)*(3*60*284*((F116/1000)^0.77))*MAX(inputs!$I$14:$I$16))/F116,((0.0083*0.112*inputs!$C$18/1)*(3*60*284*((F116/1000)^0.77))*MAX(inputs!$I$14:$I$16))/F116))*(inputs!E$75*3.4/inputs!$E$73)</f>
        <v>0.29857172120839226</v>
      </c>
      <c r="T116" s="63">
        <f>IF((((inputs!$P$13/(V116/MAX(K116:S116)))^(1/inputs!$O$13))-1)/inputs!$N$13&lt;0, 0, IF((((inputs!$P$13/(V116/MAX(K116:S116)))^(1/inputs!$O$13))-1)/inputs!$N$13&lt;inputs!$I$17, (((inputs!$P$13/(V116/MAX(K116:S116)))^(1/inputs!$O$13))-1)/inputs!$N$13, inputs!$I$17))</f>
        <v>1000</v>
      </c>
      <c r="U116" s="63">
        <f>IF((((inputs!$P$13/(X116/MAX(K116:S116)))^(1/inputs!$O$13))-1)/inputs!$N$13&lt;0, 0, IF((((inputs!$P$13/(X116/MAX(K116:S116)))^(1/inputs!$O$13))-1)/inputs!$N$13&lt;inputs!$I$17, (((inputs!$P$13/(X116/MAX(K116:S116)))^(1/inputs!$O$13))-1)/inputs!$N$13, inputs!$I$17))</f>
        <v>28.417060428335031</v>
      </c>
      <c r="V116" s="21">
        <f>inputs!$E$78*(F116/inputs!$F$78)^(inputs!$E$84-1)</f>
        <v>2.3242628641364116E-2</v>
      </c>
      <c r="W116" s="21">
        <f>inputs!$E$85*(F116/inputs!$F$85)^(inputs!$E$84-1)</f>
        <v>1.073301773978574</v>
      </c>
      <c r="X116" s="21">
        <f>inputs!$E$80*(F116/inputs!$F$80)^(inputs!$E$84-1)</f>
        <v>4.0078990294136618</v>
      </c>
      <c r="Y116" s="21">
        <f>inputs!$E$82*(F116/inputs!$F$82)^(inputs!$E$84-1)</f>
        <v>1.847177328866306</v>
      </c>
      <c r="Z116" s="63">
        <f t="shared" si="8"/>
        <v>1633.9797145914574</v>
      </c>
      <c r="AA116" s="63">
        <f t="shared" si="9"/>
        <v>35.384255047853408</v>
      </c>
      <c r="AB116" s="107"/>
      <c r="AC116" s="107"/>
      <c r="AD116" s="107"/>
      <c r="AE116" s="107"/>
      <c r="AF116" s="107"/>
      <c r="AG116" s="107"/>
      <c r="AH116" s="107"/>
      <c r="AI116" s="107"/>
      <c r="AJ116" s="107"/>
      <c r="AK116" s="107"/>
      <c r="AL116" s="107"/>
      <c r="AM116" s="107"/>
      <c r="AN116" s="107"/>
      <c r="AO116" s="107"/>
      <c r="AP116" s="107"/>
      <c r="AQ116" s="107"/>
      <c r="AR116" s="107"/>
      <c r="AS116" s="107"/>
      <c r="AT116" s="107"/>
      <c r="AU116" s="107"/>
      <c r="AV116" s="107"/>
      <c r="AW116" s="107"/>
      <c r="AX116" s="107"/>
      <c r="AY116" s="107"/>
      <c r="AZ116" s="107"/>
      <c r="BA116" s="107"/>
      <c r="BB116" s="107"/>
      <c r="BC116" s="107"/>
      <c r="BD116" s="107"/>
      <c r="BE116" s="107"/>
      <c r="BF116" s="107"/>
      <c r="BG116" s="107"/>
      <c r="BH116" s="107"/>
      <c r="BI116" s="107"/>
      <c r="BJ116" s="107"/>
      <c r="BK116" s="107"/>
      <c r="BL116" s="107"/>
      <c r="BM116" s="107"/>
      <c r="BN116" s="107"/>
      <c r="BO116" s="107"/>
      <c r="BP116" s="107"/>
      <c r="BQ116" s="107"/>
      <c r="BR116" s="107"/>
      <c r="BS116" s="107"/>
      <c r="BT116" s="107"/>
      <c r="BU116" s="107"/>
      <c r="BV116" s="107"/>
      <c r="BW116" s="107"/>
      <c r="BX116" s="107"/>
      <c r="BY116" s="107"/>
      <c r="BZ116" s="107"/>
      <c r="CA116" s="107"/>
      <c r="CB116" s="107"/>
      <c r="CC116" s="107"/>
      <c r="CD116" s="107"/>
      <c r="CE116" s="107"/>
      <c r="CF116" s="107"/>
      <c r="CG116" s="107"/>
      <c r="CH116" s="107"/>
      <c r="CI116" s="107"/>
      <c r="CJ116" s="107"/>
      <c r="CK116" s="107"/>
      <c r="CL116" s="107"/>
      <c r="CM116" s="107"/>
      <c r="CN116" s="107"/>
      <c r="CO116" s="107"/>
      <c r="CP116" s="107"/>
      <c r="CQ116" s="107"/>
      <c r="CR116" s="107"/>
      <c r="CS116" s="107"/>
      <c r="CT116" s="107"/>
      <c r="CU116" s="107"/>
      <c r="CV116" s="107"/>
      <c r="CW116" s="107"/>
      <c r="CX116" s="107"/>
      <c r="CY116" s="107"/>
      <c r="CZ116" s="107"/>
      <c r="DA116" s="107"/>
      <c r="DB116" s="107"/>
      <c r="DC116" s="107"/>
      <c r="DD116" s="107"/>
      <c r="DE116" s="107"/>
      <c r="DF116" s="107"/>
      <c r="DG116" s="107"/>
      <c r="DH116" s="107"/>
      <c r="DI116" s="107"/>
      <c r="DJ116" s="107"/>
      <c r="DK116" s="107"/>
      <c r="DL116" s="107"/>
      <c r="DM116" s="107"/>
      <c r="DN116" s="107"/>
      <c r="DO116" s="107"/>
      <c r="DP116" s="107"/>
      <c r="DQ116" s="107"/>
      <c r="DR116" s="107"/>
      <c r="DS116" s="107"/>
      <c r="DT116" s="107"/>
      <c r="DU116" s="107"/>
      <c r="DV116" s="107"/>
      <c r="DW116" s="107"/>
      <c r="DX116" s="107"/>
      <c r="DY116" s="107"/>
      <c r="DZ116" s="107"/>
      <c r="EA116" s="107"/>
      <c r="EB116" s="107"/>
      <c r="EC116" s="107"/>
      <c r="ED116" s="107"/>
      <c r="EE116" s="107"/>
      <c r="EF116" s="107"/>
      <c r="EG116" s="107"/>
      <c r="EH116" s="107"/>
      <c r="EI116" s="107"/>
      <c r="EJ116" s="107"/>
      <c r="EK116" s="107"/>
      <c r="EL116" s="107"/>
      <c r="EM116" s="107"/>
      <c r="EN116" s="107"/>
      <c r="EO116" s="107"/>
      <c r="EP116" s="107"/>
      <c r="EQ116" s="107"/>
      <c r="ER116" s="107"/>
      <c r="ES116" s="107"/>
      <c r="ET116" s="107"/>
      <c r="EU116" s="107"/>
      <c r="EV116" s="107"/>
      <c r="EW116" s="107"/>
      <c r="EX116" s="107"/>
      <c r="EY116" s="107"/>
      <c r="EZ116" s="107"/>
      <c r="FA116" s="107"/>
      <c r="FB116" s="107"/>
      <c r="FC116" s="107"/>
      <c r="FD116" s="107"/>
      <c r="FE116" s="107"/>
      <c r="FF116" s="107"/>
      <c r="FG116" s="107"/>
      <c r="FH116" s="107"/>
      <c r="FI116" s="107"/>
      <c r="FJ116" s="107"/>
      <c r="FK116" s="107"/>
      <c r="FL116" s="107"/>
      <c r="FM116" s="107"/>
      <c r="FN116" s="107"/>
      <c r="FO116" s="107"/>
      <c r="FP116" s="107"/>
      <c r="FQ116" s="107"/>
      <c r="FR116" s="107"/>
      <c r="FS116" s="107"/>
      <c r="FT116" s="107"/>
      <c r="FU116" s="107"/>
      <c r="FV116" s="107"/>
      <c r="FW116" s="107"/>
      <c r="FX116" s="107"/>
      <c r="FY116" s="107"/>
      <c r="FZ116" s="107"/>
      <c r="GA116" s="107"/>
      <c r="GB116" s="107"/>
      <c r="GC116" s="107"/>
      <c r="GD116" s="107"/>
      <c r="GE116" s="107"/>
      <c r="GF116" s="107"/>
      <c r="GG116" s="107"/>
      <c r="GH116" s="107"/>
      <c r="GI116" s="107"/>
      <c r="GJ116" s="107"/>
      <c r="GK116" s="107"/>
      <c r="GL116" s="107"/>
      <c r="GM116" s="107"/>
      <c r="GN116" s="107"/>
      <c r="GO116" s="107"/>
      <c r="GP116" s="107"/>
      <c r="GQ116" s="107"/>
      <c r="GR116" s="107"/>
      <c r="GS116" s="107"/>
      <c r="GT116" s="107"/>
      <c r="GU116" s="107"/>
      <c r="GV116" s="107"/>
      <c r="GW116" s="107"/>
      <c r="GX116" s="107"/>
      <c r="GY116" s="107"/>
      <c r="GZ116" s="107"/>
      <c r="HA116" s="107"/>
      <c r="HB116" s="107"/>
      <c r="HC116" s="107"/>
      <c r="HD116" s="107"/>
      <c r="HE116" s="107"/>
      <c r="HF116" s="107"/>
      <c r="HG116" s="107"/>
      <c r="HH116" s="107"/>
      <c r="HI116" s="107"/>
      <c r="HJ116" s="107"/>
      <c r="HK116" s="107"/>
      <c r="HL116" s="107"/>
      <c r="HM116" s="107"/>
      <c r="HN116" s="107"/>
      <c r="HO116" s="107"/>
      <c r="HP116" s="107"/>
      <c r="HQ116" s="107"/>
      <c r="HR116" s="107"/>
      <c r="HS116" s="107"/>
      <c r="HT116" s="107"/>
      <c r="HU116" s="107"/>
      <c r="HV116" s="107"/>
      <c r="HW116" s="107"/>
      <c r="HX116" s="107"/>
      <c r="HY116" s="107"/>
      <c r="HZ116" s="107"/>
      <c r="IA116" s="107"/>
      <c r="IB116" s="107"/>
      <c r="IC116" s="107"/>
      <c r="ID116" s="107"/>
      <c r="IE116" s="107"/>
      <c r="IF116" s="107"/>
      <c r="IG116" s="107"/>
      <c r="IH116" s="107"/>
      <c r="II116" s="107"/>
      <c r="IJ116" s="107"/>
      <c r="IK116" s="107"/>
      <c r="IL116" s="107"/>
      <c r="IM116" s="107"/>
      <c r="IN116" s="107"/>
      <c r="IO116" s="107"/>
      <c r="IP116" s="107"/>
      <c r="IQ116" s="107"/>
      <c r="IR116" s="107"/>
      <c r="IS116" s="107"/>
      <c r="IT116" s="107"/>
      <c r="IU116" s="107"/>
      <c r="IV116" s="107"/>
      <c r="IW116" s="107"/>
      <c r="IX116" s="107"/>
      <c r="IY116" s="107"/>
      <c r="IZ116" s="107"/>
      <c r="JA116" s="107"/>
      <c r="JB116" s="107"/>
      <c r="JC116" s="107"/>
      <c r="JD116" s="107"/>
      <c r="JE116" s="107"/>
      <c r="JF116" s="107"/>
      <c r="JG116" s="107"/>
      <c r="JH116" s="107"/>
      <c r="JI116" s="107"/>
      <c r="JJ116" s="107"/>
      <c r="JK116" s="107"/>
      <c r="JL116" s="107"/>
      <c r="JM116" s="107"/>
      <c r="JN116" s="107"/>
      <c r="JO116" s="107"/>
      <c r="JP116" s="107"/>
      <c r="JQ116" s="107"/>
      <c r="JR116" s="107"/>
      <c r="JS116" s="107"/>
      <c r="JT116" s="107"/>
      <c r="JU116" s="107"/>
      <c r="JV116" s="107"/>
      <c r="JW116" s="107"/>
      <c r="JX116" s="107"/>
      <c r="JY116" s="107"/>
      <c r="JZ116" s="107"/>
      <c r="KA116" s="107"/>
      <c r="KB116" s="107"/>
      <c r="KC116" s="107"/>
      <c r="KD116" s="107"/>
      <c r="KE116" s="107"/>
      <c r="KF116" s="107"/>
      <c r="KG116" s="107"/>
      <c r="KH116" s="107"/>
      <c r="KI116" s="107"/>
      <c r="KJ116" s="107"/>
      <c r="KK116" s="107"/>
      <c r="KL116" s="107"/>
      <c r="KM116" s="107"/>
      <c r="KN116" s="107"/>
      <c r="KO116" s="107"/>
      <c r="KP116" s="107"/>
      <c r="KQ116" s="107"/>
      <c r="KR116" s="107"/>
      <c r="KS116" s="107"/>
      <c r="KT116" s="107"/>
      <c r="KU116" s="107"/>
      <c r="KV116" s="107"/>
      <c r="KW116" s="107"/>
      <c r="KX116" s="107"/>
      <c r="KY116" s="107"/>
      <c r="KZ116" s="107"/>
      <c r="LA116" s="107"/>
      <c r="LB116" s="107"/>
      <c r="LC116" s="107"/>
      <c r="LD116" s="107"/>
      <c r="LE116" s="107"/>
      <c r="LF116" s="107"/>
      <c r="LG116" s="107"/>
      <c r="LH116" s="107"/>
      <c r="LI116" s="107"/>
      <c r="LJ116" s="107"/>
      <c r="LK116" s="107"/>
      <c r="LL116" s="107"/>
      <c r="LM116" s="107"/>
      <c r="LN116" s="107"/>
      <c r="LO116" s="107"/>
      <c r="LP116" s="107"/>
      <c r="LQ116" s="107"/>
      <c r="LR116" s="107"/>
      <c r="LS116" s="107"/>
      <c r="LT116" s="107"/>
      <c r="LU116" s="107"/>
      <c r="LV116" s="107"/>
      <c r="LW116" s="107"/>
      <c r="LX116" s="107"/>
      <c r="LY116" s="107"/>
      <c r="LZ116" s="107"/>
      <c r="MA116" s="107"/>
      <c r="MB116" s="107"/>
      <c r="MC116" s="107"/>
      <c r="MD116" s="107"/>
      <c r="ME116" s="107"/>
      <c r="MF116" s="107"/>
      <c r="MG116" s="107"/>
      <c r="MH116" s="107"/>
      <c r="MI116" s="107"/>
      <c r="MJ116" s="107"/>
      <c r="MK116" s="107"/>
      <c r="ML116" s="107"/>
      <c r="MM116" s="107"/>
      <c r="MN116" s="107"/>
      <c r="MO116" s="107"/>
      <c r="MP116" s="107"/>
      <c r="MQ116" s="107"/>
      <c r="MR116" s="107"/>
      <c r="MS116" s="107"/>
      <c r="MT116" s="107"/>
      <c r="MU116" s="107"/>
      <c r="MV116" s="107"/>
      <c r="MW116" s="107"/>
      <c r="MX116" s="107"/>
      <c r="MY116" s="107"/>
      <c r="MZ116" s="107"/>
      <c r="NA116" s="107"/>
      <c r="NB116" s="107"/>
      <c r="NC116" s="107"/>
      <c r="ND116" s="107"/>
      <c r="NE116" s="107"/>
      <c r="NF116" s="107"/>
      <c r="NG116" s="107"/>
      <c r="NH116" s="107"/>
      <c r="NI116" s="107"/>
      <c r="NJ116" s="107"/>
      <c r="NK116" s="107"/>
      <c r="NL116" s="107"/>
      <c r="NM116" s="107"/>
      <c r="NN116" s="107"/>
      <c r="NO116" s="107"/>
      <c r="NP116" s="107"/>
      <c r="NQ116" s="107"/>
      <c r="NR116" s="107"/>
      <c r="NS116" s="107"/>
      <c r="NT116" s="107"/>
      <c r="NU116" s="107"/>
      <c r="NV116" s="107"/>
      <c r="NW116" s="107"/>
      <c r="NX116" s="107"/>
      <c r="NY116" s="107"/>
      <c r="NZ116" s="107"/>
      <c r="OA116" s="107"/>
      <c r="OB116" s="107"/>
      <c r="OC116" s="107"/>
      <c r="OD116" s="107"/>
      <c r="OE116" s="107"/>
      <c r="OF116" s="107"/>
      <c r="OG116" s="107"/>
      <c r="OH116" s="107"/>
      <c r="OI116" s="107"/>
      <c r="OJ116" s="107"/>
      <c r="OK116" s="107"/>
      <c r="OL116" s="107"/>
      <c r="OM116" s="107"/>
      <c r="ON116" s="107"/>
      <c r="OO116" s="107"/>
      <c r="OP116" s="107"/>
      <c r="OQ116" s="107"/>
      <c r="OR116" s="107"/>
      <c r="OS116" s="107"/>
      <c r="OT116" s="107"/>
      <c r="OU116" s="107"/>
      <c r="OV116" s="107"/>
      <c r="OW116" s="107"/>
      <c r="OX116" s="107"/>
      <c r="OY116" s="107"/>
      <c r="OZ116" s="107"/>
      <c r="PA116" s="107"/>
      <c r="PB116" s="107"/>
      <c r="PC116" s="107"/>
      <c r="PD116" s="107"/>
      <c r="PE116" s="107"/>
      <c r="PF116" s="107"/>
      <c r="PG116" s="107"/>
      <c r="PH116" s="107"/>
      <c r="PI116" s="107"/>
      <c r="PJ116" s="107"/>
      <c r="PK116" s="107"/>
      <c r="PL116" s="107"/>
      <c r="PM116" s="107"/>
      <c r="PN116" s="107"/>
      <c r="PO116" s="107"/>
      <c r="PP116" s="107"/>
      <c r="PQ116" s="107"/>
      <c r="PR116" s="107"/>
      <c r="PS116" s="107"/>
      <c r="PT116" s="107"/>
      <c r="PU116" s="107"/>
      <c r="PV116" s="107"/>
      <c r="PW116" s="107"/>
      <c r="PX116" s="107"/>
      <c r="PY116" s="107"/>
      <c r="PZ116" s="107"/>
      <c r="QA116" s="107"/>
      <c r="QB116" s="107"/>
      <c r="QC116" s="107"/>
      <c r="QD116" s="107"/>
      <c r="QE116" s="107"/>
      <c r="QF116" s="107"/>
      <c r="QG116" s="107"/>
      <c r="QH116" s="107"/>
      <c r="QI116" s="107"/>
      <c r="QJ116" s="107"/>
      <c r="QK116" s="107"/>
      <c r="QL116" s="107"/>
      <c r="QM116" s="107"/>
      <c r="QN116" s="107"/>
      <c r="QO116" s="107"/>
      <c r="QP116" s="107"/>
      <c r="QQ116" s="107"/>
      <c r="QR116" s="107"/>
      <c r="QS116" s="107"/>
      <c r="QT116" s="107"/>
      <c r="QU116" s="107"/>
      <c r="QV116" s="107"/>
      <c r="QW116" s="107"/>
      <c r="QX116" s="107"/>
      <c r="QY116" s="107"/>
      <c r="QZ116" s="107"/>
      <c r="RA116" s="107"/>
      <c r="RB116" s="107"/>
      <c r="RC116" s="107"/>
      <c r="RD116" s="107"/>
      <c r="RE116" s="107"/>
      <c r="RF116" s="107"/>
      <c r="RG116" s="107"/>
      <c r="RH116" s="107"/>
    </row>
    <row r="117" spans="1:476" ht="13.2" x14ac:dyDescent="0.25">
      <c r="A117" s="103" t="s">
        <v>242</v>
      </c>
      <c r="B117" s="20" t="s">
        <v>243</v>
      </c>
      <c r="C117" s="20" t="s">
        <v>73</v>
      </c>
      <c r="D117" s="104" t="s">
        <v>223</v>
      </c>
      <c r="E117" s="15">
        <v>5170</v>
      </c>
      <c r="F117" s="15">
        <v>58</v>
      </c>
      <c r="G117" s="20" t="s">
        <v>177</v>
      </c>
      <c r="H117" s="20">
        <v>0.85</v>
      </c>
      <c r="I117" s="68">
        <f>MAX('Max rate concentrations'!$F$3:$F$368)</f>
        <v>405</v>
      </c>
      <c r="J117" s="68">
        <f>MAX('Max rate concentrations'!Y:Y)</f>
        <v>135</v>
      </c>
      <c r="K117" s="69">
        <f t="shared" si="6"/>
        <v>295.69003545481678</v>
      </c>
      <c r="L117" s="69">
        <f t="shared" si="10"/>
        <v>98.563345151605617</v>
      </c>
      <c r="M117" s="69">
        <f>IF((((1.18*F117^0.874)/3.7-(0.301*F117^0.751)/(1-H117)*H117)*(MAX('Max rate concentrations'!$P$3:$P$368)))/F117&gt;0, (((1.18*F117^0.874)/3.7-(0.301*F117^0.751)/(1-H117)*H117)*(MAX('Max rate concentrations'!$P$3:$P$368)))/F117, 0)</f>
        <v>0</v>
      </c>
      <c r="N117" s="69">
        <f>IF((((1.18*F117^0.874)/3.7-(0.301*F117^0.751)/(1-H117)*H117)*(MAX('Max rate concentrations'!$Q$3:$Q$368)))/F117&gt;0, (((1.18*F117^0.874)/3.7-(0.301*F117^0.751)/(1-H117)*H117)*(MAX('Max rate concentrations'!$Q$3:$Q$368)))/F117, 0)</f>
        <v>0</v>
      </c>
      <c r="O117" s="69">
        <f>((MAX('Max rate concentrations'!$F$3:$F$368))*0.62*6.01*8*(10*F117^0.667)*0.079*0.1/F117)*inputs!$E$80/(10^(0.84+0.62*LOG10(inputs!$E$80)))</f>
        <v>37.977983713771373</v>
      </c>
      <c r="P117" s="69">
        <f>((MAX('Max rate concentrations'!Y:Y))*0.62*6.01*8*(10*F117^0.667)*0.079*0.1/F117)*inputs!$E$80/(10^(0.84+0.62*LOG10(inputs!$E$80)))</f>
        <v>12.659327904590455</v>
      </c>
      <c r="Q117" s="69">
        <f>(inputs!$C$18*11.2*(10*F117^0.667)*0.5/F117)*inputs!$E$80/(10^(0.84+0.62*LOG10(inputs!$E$80)))</f>
        <v>6.6896427050550535</v>
      </c>
      <c r="R117" s="59">
        <f>(60*284*((F117/1000)^0.77)*3*24*(MAX('Max rate concentrations'!$R$3:$R$368))/F117)*(inputs!$E$73*3.4/inputs!$E$75)</f>
        <v>5.4137514975703842E-2</v>
      </c>
      <c r="S117" s="59">
        <f>(IF(inputs!$C$17="aerial",((0.025*0.112*inputs!$C$18/3.3)*(3*60*284*((F117/1000)^0.77))*MAX(inputs!$I$14:$I$16))/F117,((0.0083*0.112*inputs!$C$18/1)*(3*60*284*((F117/1000)^0.77))*MAX(inputs!$I$14:$I$16))/F117))*(inputs!E$75*3.4/inputs!$E$73)</f>
        <v>0.29857172120839226</v>
      </c>
      <c r="T117" s="63">
        <f>IF((((inputs!$P$13/(V117/MAX(K117:S117)))^(1/inputs!$O$13))-1)/inputs!$N$13&lt;0, 0, IF((((inputs!$P$13/(V117/MAX(K117:S117)))^(1/inputs!$O$13))-1)/inputs!$N$13&lt;inputs!$I$17, (((inputs!$P$13/(V117/MAX(K117:S117)))^(1/inputs!$O$13))-1)/inputs!$N$13, inputs!$I$17))</f>
        <v>1000</v>
      </c>
      <c r="U117" s="63">
        <f>IF((((inputs!$P$13/(X117/MAX(K117:S117)))^(1/inputs!$O$13))-1)/inputs!$N$13&lt;0, 0, IF((((inputs!$P$13/(X117/MAX(K117:S117)))^(1/inputs!$O$13))-1)/inputs!$N$13&lt;inputs!$I$17, (((inputs!$P$13/(X117/MAX(K117:S117)))^(1/inputs!$O$13))-1)/inputs!$N$13, inputs!$I$17))</f>
        <v>171.65473319100096</v>
      </c>
      <c r="V117" s="21">
        <f>inputs!$E$78*(F117/inputs!$F$78)^(inputs!$E$84-1)</f>
        <v>2.3242628641364116E-2</v>
      </c>
      <c r="W117" s="21">
        <f>inputs!$E$85*(F117/inputs!$F$85)^(inputs!$E$84-1)</f>
        <v>1.073301773978574</v>
      </c>
      <c r="X117" s="21">
        <f>inputs!$E$80*(F117/inputs!$F$80)^(inputs!$E$84-1)</f>
        <v>4.0078990294136618</v>
      </c>
      <c r="Y117" s="21">
        <f>inputs!$E$82*(F117/inputs!$F$82)^(inputs!$E$84-1)</f>
        <v>1.847177328866306</v>
      </c>
      <c r="Z117" s="63">
        <f t="shared" si="8"/>
        <v>12721.884431289638</v>
      </c>
      <c r="AA117" s="63">
        <f t="shared" si="9"/>
        <v>275.49571110717233</v>
      </c>
    </row>
    <row r="118" spans="1:476" ht="13.2" x14ac:dyDescent="0.25">
      <c r="A118" s="103" t="s">
        <v>242</v>
      </c>
      <c r="B118" s="20" t="s">
        <v>243</v>
      </c>
      <c r="C118" s="20" t="s">
        <v>73</v>
      </c>
      <c r="D118" s="104" t="s">
        <v>223</v>
      </c>
      <c r="E118" s="15">
        <v>5170</v>
      </c>
      <c r="F118" s="15">
        <v>58</v>
      </c>
      <c r="G118" s="20" t="s">
        <v>154</v>
      </c>
      <c r="H118" s="20">
        <v>9.2999999999999999E-2</v>
      </c>
      <c r="I118" s="68">
        <f>MAX('Max rate concentrations'!$G$3:$G$368)</f>
        <v>45</v>
      </c>
      <c r="J118" s="68">
        <f>MAX('Max rate concentrations'!Z:Z)</f>
        <v>21</v>
      </c>
      <c r="K118" s="69">
        <f t="shared" si="6"/>
        <v>5.4334809896144227</v>
      </c>
      <c r="L118" s="69">
        <f t="shared" si="10"/>
        <v>2.5356244618200638</v>
      </c>
      <c r="M118" s="69">
        <f>IF((((1.18*F118^0.874)/3.7-(0.301*F118^0.751)/(1-H118)*H118)*(MAX('Max rate concentrations'!$P$3:$P$368)))/F118&gt;0, (((1.18*F118^0.874)/3.7-(0.301*F118^0.751)/(1-H118)*H118)*(MAX('Max rate concentrations'!$P$3:$P$368)))/F118, 0)</f>
        <v>0.15673462814623854</v>
      </c>
      <c r="N118" s="69">
        <f>IF((((1.18*F118^0.874)/3.7-(0.301*F118^0.751)/(1-H118)*H118)*(MAX('Max rate concentrations'!$Q$3:$Q$368)))/F118&gt;0, (((1.18*F118^0.874)/3.7-(0.301*F118^0.751)/(1-H118)*H118)*(MAX('Max rate concentrations'!$Q$3:$Q$368)))/F118, 0)</f>
        <v>0.59685388559656449</v>
      </c>
      <c r="O118" s="69">
        <f>((MAX('Max rate concentrations'!$F$3:$F$368))*0.62*6.01*8*(10*F118^0.667)*0.079*0.1/F118)*inputs!$E$80/(10^(0.84+0.62*LOG10(inputs!$E$80)))</f>
        <v>37.977983713771373</v>
      </c>
      <c r="P118" s="69">
        <f>((MAX('Max rate concentrations'!Y:Y))*0.62*6.01*8*(10*F118^0.667)*0.079*0.1/F118)*inputs!$E$80/(10^(0.84+0.62*LOG10(inputs!$E$80)))</f>
        <v>12.659327904590455</v>
      </c>
      <c r="Q118" s="69">
        <f>(inputs!$C$18*11.2*(10*F118^0.667)*0.5/F118)*inputs!$E$80/(10^(0.84+0.62*LOG10(inputs!$E$80)))</f>
        <v>6.6896427050550535</v>
      </c>
      <c r="R118" s="59">
        <f>(60*284*((F118/1000)^0.77)*3*24*(MAX('Max rate concentrations'!$R$3:$R$368))/F118)*(inputs!$E$73*3.4/inputs!$E$75)</f>
        <v>5.4137514975703842E-2</v>
      </c>
      <c r="S118" s="59">
        <f>(IF(inputs!$C$17="aerial",((0.025*0.112*inputs!$C$18/3.3)*(3*60*284*((F118/1000)^0.77))*MAX(inputs!$I$14:$I$16))/F118,((0.0083*0.112*inputs!$C$18/1)*(3*60*284*((F118/1000)^0.77))*MAX(inputs!$I$14:$I$16))/F118))*(inputs!E$75*3.4/inputs!$E$73)</f>
        <v>0.29857172120839226</v>
      </c>
      <c r="T118" s="63">
        <f>IF((((inputs!$P$13/(V118/MAX(K118:S118)))^(1/inputs!$O$13))-1)/inputs!$N$13&lt;0, 0, IF((((inputs!$P$13/(V118/MAX(K118:S118)))^(1/inputs!$O$13))-1)/inputs!$N$13&lt;inputs!$I$17, (((inputs!$P$13/(V118/MAX(K118:S118)))^(1/inputs!$O$13))-1)/inputs!$N$13, inputs!$I$17))</f>
        <v>1000</v>
      </c>
      <c r="U118" s="63">
        <f>IF((((inputs!$P$13/(X118/MAX(K118:S118)))^(1/inputs!$O$13))-1)/inputs!$N$13&lt;0, 0, IF((((inputs!$P$13/(X118/MAX(K118:S118)))^(1/inputs!$O$13))-1)/inputs!$N$13&lt;inputs!$I$17, (((inputs!$P$13/(X118/MAX(K118:S118)))^(1/inputs!$O$13))-1)/inputs!$N$13, inputs!$I$17))</f>
        <v>28.417060428335031</v>
      </c>
      <c r="V118" s="21">
        <f>inputs!$E$78*(F118/inputs!$F$78)^(inputs!$E$84-1)</f>
        <v>2.3242628641364116E-2</v>
      </c>
      <c r="W118" s="21">
        <f>inputs!$E$85*(F118/inputs!$F$85)^(inputs!$E$84-1)</f>
        <v>1.073301773978574</v>
      </c>
      <c r="X118" s="21">
        <f>inputs!$E$80*(F118/inputs!$F$80)^(inputs!$E$84-1)</f>
        <v>4.0078990294136618</v>
      </c>
      <c r="Y118" s="21">
        <f>inputs!$E$82*(F118/inputs!$F$82)^(inputs!$E$84-1)</f>
        <v>1.847177328866306</v>
      </c>
      <c r="Z118" s="63">
        <f t="shared" si="8"/>
        <v>1633.9797145914574</v>
      </c>
      <c r="AA118" s="63">
        <f t="shared" si="9"/>
        <v>35.384255047853408</v>
      </c>
    </row>
    <row r="119" spans="1:476" ht="13.2" x14ac:dyDescent="0.25">
      <c r="A119" s="103" t="s">
        <v>221</v>
      </c>
      <c r="B119" s="20" t="s">
        <v>222</v>
      </c>
      <c r="C119" s="20" t="s">
        <v>73</v>
      </c>
      <c r="D119" s="104" t="s">
        <v>223</v>
      </c>
      <c r="E119" s="15">
        <v>101</v>
      </c>
      <c r="F119" s="15">
        <v>494</v>
      </c>
      <c r="G119" s="20" t="s">
        <v>177</v>
      </c>
      <c r="H119" s="20">
        <v>0.85</v>
      </c>
      <c r="I119" s="68">
        <f>MAX('Max rate concentrations'!$F$3:$F$368)</f>
        <v>405</v>
      </c>
      <c r="J119" s="68">
        <f>MAX('Max rate concentrations'!Y:Y)</f>
        <v>135</v>
      </c>
      <c r="K119" s="69">
        <f t="shared" si="6"/>
        <v>173.45716719983318</v>
      </c>
      <c r="L119" s="69">
        <f t="shared" si="10"/>
        <v>57.819055733277729</v>
      </c>
      <c r="M119" s="69">
        <f>IF((((1.18*F119^0.874)/3.7-(0.301*F119^0.751)/(1-H119)*H119)*(MAX('Max rate concentrations'!$P$3:$P$368)))/F119&gt;0, (((1.18*F119^0.874)/3.7-(0.301*F119^0.751)/(1-H119)*H119)*(MAX('Max rate concentrations'!$P$3:$P$368)))/F119, 0)</f>
        <v>0</v>
      </c>
      <c r="N119" s="69">
        <f>IF((((1.18*F119^0.874)/3.7-(0.301*F119^0.751)/(1-H119)*H119)*(MAX('Max rate concentrations'!$Q$3:$Q$368)))/F119&gt;0, (((1.18*F119^0.874)/3.7-(0.301*F119^0.751)/(1-H119)*H119)*(MAX('Max rate concentrations'!$Q$3:$Q$368)))/F119, 0)</f>
        <v>0</v>
      </c>
      <c r="O119" s="69">
        <f>((MAX('Max rate concentrations'!$F$3:$F$368))*0.62*6.01*8*(10*F119^0.667)*0.079*0.1/F119)*inputs!$E$80/(10^(0.84+0.62*LOG10(inputs!$E$80)))</f>
        <v>18.609827681579425</v>
      </c>
      <c r="P119" s="69">
        <f>((MAX('Max rate concentrations'!Y:Y))*0.62*6.01*8*(10*F119^0.667)*0.079*0.1/F119)*inputs!$E$80/(10^(0.84+0.62*LOG10(inputs!$E$80)))</f>
        <v>6.2032758938598072</v>
      </c>
      <c r="Q119" s="69">
        <f>(inputs!$C$18*11.2*(10*F119^0.667)*0.5/F119)*inputs!$E$80/(10^(0.84+0.62*LOG10(inputs!$E$80)))</f>
        <v>3.2780333714047689</v>
      </c>
      <c r="R119" s="59">
        <f>(60*284*((F119/1000)^0.77)*3*24*(MAX('Max rate concentrations'!$R$3:$R$368))/F119)*(inputs!$E$73*3.4/inputs!$E$75)</f>
        <v>3.3077262296089142E-2</v>
      </c>
      <c r="S119" s="59">
        <f>(IF(inputs!$C$17="aerial",((0.025*0.112*inputs!$C$18/3.3)*(3*60*284*((F119/1000)^0.77))*MAX(inputs!$I$14:$I$16))/F119,((0.0083*0.112*inputs!$C$18/1)*(3*60*284*((F119/1000)^0.77))*MAX(inputs!$I$14:$I$16))/F119))*(inputs!E$75*3.4/inputs!$E$73)</f>
        <v>0.18242313377400082</v>
      </c>
      <c r="T119" s="63">
        <f>IF((((inputs!$P$13/(V119/MAX(K119:S119)))^(1/inputs!$O$13))-1)/inputs!$N$13&lt;0, 0, IF((((inputs!$P$13/(V119/MAX(K119:S119)))^(1/inputs!$O$13))-1)/inputs!$N$13&lt;inputs!$I$17, (((inputs!$P$13/(V119/MAX(K119:S119)))^(1/inputs!$O$13))-1)/inputs!$N$13, inputs!$I$17))</f>
        <v>1000</v>
      </c>
      <c r="U119" s="63">
        <f>IF((((inputs!$P$13/(X119/MAX(K119:S119)))^(1/inputs!$O$13))-1)/inputs!$N$13&lt;0, 0, IF((((inputs!$P$13/(X119/MAX(K119:S119)))^(1/inputs!$O$13))-1)/inputs!$N$13&lt;inputs!$I$17, (((inputs!$P$13/(X119/MAX(K119:S119)))^(1/inputs!$O$13))-1)/inputs!$N$13, inputs!$I$17))</f>
        <v>212.90125953681226</v>
      </c>
      <c r="V119" s="21">
        <f>inputs!$E$78*(F119/inputs!$F$78)^(inputs!$E$84-1)</f>
        <v>1.0521426601493024E-2</v>
      </c>
      <c r="W119" s="21">
        <f>inputs!$E$85*(F119/inputs!$F$85)^(inputs!$E$84-1)</f>
        <v>0.48586009828813626</v>
      </c>
      <c r="X119" s="21">
        <f>inputs!$E$80*(F119/inputs!$F$80)^(inputs!$E$84-1)</f>
        <v>1.8142877087974707</v>
      </c>
      <c r="Y119" s="21">
        <f>inputs!$E$82*(F119/inputs!$F$82)^(inputs!$E$84-1)</f>
        <v>0.83617653517128765</v>
      </c>
      <c r="Z119" s="63">
        <f t="shared" si="8"/>
        <v>16486.088224501709</v>
      </c>
      <c r="AA119" s="63">
        <f t="shared" si="9"/>
        <v>357.01052177568511</v>
      </c>
    </row>
    <row r="120" spans="1:476" ht="13.2" x14ac:dyDescent="0.25">
      <c r="A120" s="103" t="s">
        <v>221</v>
      </c>
      <c r="B120" s="20" t="s">
        <v>222</v>
      </c>
      <c r="C120" s="20" t="s">
        <v>73</v>
      </c>
      <c r="D120" s="104" t="s">
        <v>223</v>
      </c>
      <c r="E120" s="15">
        <v>101</v>
      </c>
      <c r="F120" s="15">
        <v>494</v>
      </c>
      <c r="G120" s="20" t="s">
        <v>154</v>
      </c>
      <c r="H120" s="20">
        <v>9.2999999999999999E-2</v>
      </c>
      <c r="I120" s="68">
        <f>MAX('Max rate concentrations'!$G$3:$G$368)</f>
        <v>45</v>
      </c>
      <c r="J120" s="68">
        <f>MAX('Max rate concentrations'!Z:Z)</f>
        <v>21</v>
      </c>
      <c r="K120" s="69">
        <f t="shared" si="6"/>
        <v>3.1873790371156416</v>
      </c>
      <c r="L120" s="69">
        <f t="shared" si="10"/>
        <v>1.4874435506539661</v>
      </c>
      <c r="M120" s="69">
        <f>IF((((1.18*F120^0.874)/3.7-(0.301*F120^0.751)/(1-H120)*H120)*(MAX('Max rate concentrations'!$P$3:$P$368)))/F120&gt;0, (((1.18*F120^0.874)/3.7-(0.301*F120^0.751)/(1-H120)*H120)*(MAX('Max rate concentrations'!$P$3:$P$368)))/F120, 0)</f>
        <v>0.12138886257051898</v>
      </c>
      <c r="N120" s="69">
        <f>IF((((1.18*F120^0.874)/3.7-(0.301*F120^0.751)/(1-H120)*H120)*(MAX('Max rate concentrations'!$Q$3:$Q$368)))/F120&gt;0, (((1.18*F120^0.874)/3.7-(0.301*F120^0.751)/(1-H120)*H120)*(MAX('Max rate concentrations'!$Q$3:$Q$368)))/F120, 0)</f>
        <v>0.46225531109667795</v>
      </c>
      <c r="O120" s="69">
        <f>((MAX('Max rate concentrations'!$F$3:$F$368))*0.62*6.01*8*(10*F120^0.667)*0.079*0.1/F120)*inputs!$E$80/(10^(0.84+0.62*LOG10(inputs!$E$80)))</f>
        <v>18.609827681579425</v>
      </c>
      <c r="P120" s="69">
        <f>((MAX('Max rate concentrations'!Y:Y))*0.62*6.01*8*(10*F120^0.667)*0.079*0.1/F120)*inputs!$E$80/(10^(0.84+0.62*LOG10(inputs!$E$80)))</f>
        <v>6.2032758938598072</v>
      </c>
      <c r="Q120" s="69">
        <f>(inputs!$C$18*11.2*(10*F120^0.667)*0.5/F120)*inputs!$E$80/(10^(0.84+0.62*LOG10(inputs!$E$80)))</f>
        <v>3.2780333714047689</v>
      </c>
      <c r="R120" s="59">
        <f>(60*284*((F120/1000)^0.77)*3*24*(MAX('Max rate concentrations'!$R$3:$R$368))/F120)*(inputs!$E$73*3.4/inputs!$E$75)</f>
        <v>3.3077262296089142E-2</v>
      </c>
      <c r="S120" s="59">
        <f>(IF(inputs!$C$17="aerial",((0.025*0.112*inputs!$C$18/3.3)*(3*60*284*((F120/1000)^0.77))*MAX(inputs!$I$14:$I$16))/F120,((0.0083*0.112*inputs!$C$18/1)*(3*60*284*((F120/1000)^0.77))*MAX(inputs!$I$14:$I$16))/F120))*(inputs!E$75*3.4/inputs!$E$73)</f>
        <v>0.18242313377400082</v>
      </c>
      <c r="T120" s="63">
        <f>IF((((inputs!$P$13/(V120/MAX(K120:S120)))^(1/inputs!$O$13))-1)/inputs!$N$13&lt;0, 0, IF((((inputs!$P$13/(V120/MAX(K120:S120)))^(1/inputs!$O$13))-1)/inputs!$N$13&lt;inputs!$I$17, (((inputs!$P$13/(V120/MAX(K120:S120)))^(1/inputs!$O$13))-1)/inputs!$N$13, inputs!$I$17))</f>
        <v>1000</v>
      </c>
      <c r="U120" s="63">
        <f>IF((((inputs!$P$13/(X120/MAX(K120:S120)))^(1/inputs!$O$13))-1)/inputs!$N$13&lt;0, 0, IF((((inputs!$P$13/(X120/MAX(K120:S120)))^(1/inputs!$O$13))-1)/inputs!$N$13&lt;inputs!$I$17, (((inputs!$P$13/(X120/MAX(K120:S120)))^(1/inputs!$O$13))-1)/inputs!$N$13, inputs!$I$17))</f>
        <v>30.644039400869495</v>
      </c>
      <c r="V120" s="21">
        <f>inputs!$E$78*(F120/inputs!$F$78)^(inputs!$E$84-1)</f>
        <v>1.0521426601493024E-2</v>
      </c>
      <c r="W120" s="21">
        <f>inputs!$E$85*(F120/inputs!$F$85)^(inputs!$E$84-1)</f>
        <v>0.48586009828813626</v>
      </c>
      <c r="X120" s="21">
        <f>inputs!$E$80*(F120/inputs!$F$80)^(inputs!$E$84-1)</f>
        <v>1.8142877087974707</v>
      </c>
      <c r="Y120" s="21">
        <f>inputs!$E$82*(F120/inputs!$F$82)^(inputs!$E$84-1)</f>
        <v>0.83617653517128765</v>
      </c>
      <c r="Z120" s="63">
        <f t="shared" si="8"/>
        <v>1768.7551685185572</v>
      </c>
      <c r="AA120" s="63">
        <f t="shared" si="9"/>
        <v>38.302852502497508</v>
      </c>
    </row>
    <row r="121" spans="1:476" ht="13.2" x14ac:dyDescent="0.25">
      <c r="A121" s="103" t="s">
        <v>258</v>
      </c>
      <c r="B121" s="20" t="s">
        <v>259</v>
      </c>
      <c r="C121" s="20" t="s">
        <v>73</v>
      </c>
      <c r="D121" s="104" t="s">
        <v>260</v>
      </c>
      <c r="E121" s="15">
        <v>119</v>
      </c>
      <c r="F121" s="15">
        <v>50.5</v>
      </c>
      <c r="G121" s="20" t="s">
        <v>142</v>
      </c>
      <c r="H121" s="20">
        <v>0.69</v>
      </c>
      <c r="I121" s="68">
        <f>MAX('Max rate concentrations'!$H$3:$H$368)</f>
        <v>282</v>
      </c>
      <c r="J121" s="68">
        <f>MAX('Max rate concentrations'!AA:AA)</f>
        <v>195</v>
      </c>
      <c r="K121" s="69">
        <f t="shared" si="6"/>
        <v>103.11797049904291</v>
      </c>
      <c r="L121" s="69">
        <f t="shared" si="10"/>
        <v>71.304979600402021</v>
      </c>
      <c r="M121" s="69">
        <f>IF((((1.18*F121^0.874)/3.7-(0.301*F121^0.751)/(1-H121)*H121)*(MAX('Max rate concentrations'!$P$3:$P$368)))/F121&gt;0, (((1.18*F121^0.874)/3.7-(0.301*F121^0.751)/(1-H121)*H121)*(MAX('Max rate concentrations'!$P$3:$P$368)))/F121, 0)</f>
        <v>0</v>
      </c>
      <c r="N121" s="69">
        <f>IF((((1.18*F121^0.874)/3.7-(0.301*F121^0.751)/(1-H121)*H121)*(MAX('Max rate concentrations'!$Q$3:$Q$368)))/F121&gt;0, (((1.18*F121^0.874)/3.7-(0.301*F121^0.751)/(1-H121)*H121)*(MAX('Max rate concentrations'!$Q$3:$Q$368)))/F121, 0)</f>
        <v>0</v>
      </c>
      <c r="O121" s="69">
        <f>((MAX('Max rate concentrations'!$F$3:$F$368))*0.62*6.01*8*(10*F121^0.667)*0.079*0.1/F121)*inputs!$E$80/(10^(0.84+0.62*LOG10(inputs!$E$80)))</f>
        <v>39.770165371185442</v>
      </c>
      <c r="P121" s="69">
        <f>((MAX('Max rate concentrations'!Y:Y))*0.62*6.01*8*(10*F121^0.667)*0.079*0.1/F121)*inputs!$E$80/(10^(0.84+0.62*LOG10(inputs!$E$80)))</f>
        <v>13.256721790395146</v>
      </c>
      <c r="Q121" s="69">
        <f>(inputs!$C$18*11.2*(10*F121^0.667)*0.5/F121)*inputs!$E$80/(10^(0.84+0.62*LOG10(inputs!$E$80)))</f>
        <v>7.0053270510438077</v>
      </c>
      <c r="R121" s="59">
        <f>(60*284*((F121/1000)^0.77)*3*24*(MAX('Max rate concentrations'!$R$3:$R$368))/F121)*(inputs!$E$73*3.4/inputs!$E$75)</f>
        <v>5.5889437467944204E-2</v>
      </c>
      <c r="S121" s="59">
        <f>(IF(inputs!$C$17="aerial",((0.025*0.112*inputs!$C$18/3.3)*(3*60*284*((F121/1000)^0.77))*MAX(inputs!$I$14:$I$16))/F121,((0.0083*0.112*inputs!$C$18/1)*(3*60*284*((F121/1000)^0.77))*MAX(inputs!$I$14:$I$16))/F121))*(inputs!E$75*3.4/inputs!$E$73)</f>
        <v>0.30823368138825363</v>
      </c>
      <c r="T121" s="63">
        <f>IF((((inputs!$P$13/(V121/MAX(K121:S121)))^(1/inputs!$O$13))-1)/inputs!$N$13&lt;0, 0, IF((((inputs!$P$13/(V121/MAX(K121:S121)))^(1/inputs!$O$13))-1)/inputs!$N$13&lt;inputs!$I$17, (((inputs!$P$13/(V121/MAX(K121:S121)))^(1/inputs!$O$13))-1)/inputs!$N$13, inputs!$I$17))</f>
        <v>1000</v>
      </c>
      <c r="U121" s="63">
        <f>IF((((inputs!$P$13/(X121/MAX(K121:S121)))^(1/inputs!$O$13))-1)/inputs!$N$13&lt;0, 0, IF((((inputs!$P$13/(X121/MAX(K121:S121)))^(1/inputs!$O$13))-1)/inputs!$N$13&lt;inputs!$I$17, (((inputs!$P$13/(X121/MAX(K121:S121)))^(1/inputs!$O$13))-1)/inputs!$N$13, inputs!$I$17))</f>
        <v>67.169963121735762</v>
      </c>
      <c r="V121" s="21">
        <f>inputs!$E$78*(F121/inputs!$F$78)^(inputs!$E$84-1)</f>
        <v>2.4464468841670566E-2</v>
      </c>
      <c r="W121" s="21">
        <f>inputs!$E$85*(F121/inputs!$F$85)^(inputs!$E$84-1)</f>
        <v>1.1297241036015404</v>
      </c>
      <c r="X121" s="21">
        <f>inputs!$E$80*(F121/inputs!$F$80)^(inputs!$E$84-1)</f>
        <v>4.2185900071196754</v>
      </c>
      <c r="Y121" s="21">
        <f>inputs!$E$82*(F121/inputs!$F$82)^(inputs!$E$84-1)</f>
        <v>1.9442814711011871</v>
      </c>
      <c r="Z121" s="63">
        <f t="shared" si="8"/>
        <v>4215.0095784381419</v>
      </c>
      <c r="AA121" s="63">
        <f t="shared" si="9"/>
        <v>91.277127017388267</v>
      </c>
    </row>
    <row r="122" spans="1:476" ht="13.2" x14ac:dyDescent="0.25">
      <c r="A122" s="103" t="s">
        <v>258</v>
      </c>
      <c r="B122" s="20" t="s">
        <v>259</v>
      </c>
      <c r="C122" s="20" t="s">
        <v>73</v>
      </c>
      <c r="D122" s="104" t="s">
        <v>260</v>
      </c>
      <c r="E122" s="15">
        <v>119</v>
      </c>
      <c r="F122" s="15">
        <v>50.5</v>
      </c>
      <c r="G122" s="20" t="s">
        <v>164</v>
      </c>
      <c r="H122" s="20">
        <v>0.78</v>
      </c>
      <c r="I122" s="68">
        <f>inputs!$C$66*(inputs!$C$62/1000)</f>
        <v>8.2000000000000011</v>
      </c>
      <c r="J122" s="68">
        <f>inputs!$C$66*(inputs!$C$61/1000)</f>
        <v>2.5</v>
      </c>
      <c r="K122" s="69">
        <f t="shared" si="6"/>
        <v>4.2251109124527275</v>
      </c>
      <c r="L122" s="69">
        <f t="shared" si="10"/>
        <v>1.2881435708697337</v>
      </c>
      <c r="M122" s="69">
        <f>IF((((1.18*F122^0.874)/3.7-(0.301*F122^0.751)/(1-H122)*H122)*(MAX('Max rate concentrations'!$P$3:$P$368)))/F122&gt;0, (((1.18*F122^0.874)/3.7-(0.301*F122^0.751)/(1-H122)*H122)*(MAX('Max rate concentrations'!$P$3:$P$368)))/F122, 0)</f>
        <v>0</v>
      </c>
      <c r="N122" s="69">
        <f>IF((((1.18*F122^0.874)/3.7-(0.301*F122^0.751)/(1-H122)*H122)*(MAX('Max rate concentrations'!$Q$3:$Q$368)))/F122&gt;0, (((1.18*F122^0.874)/3.7-(0.301*F122^0.751)/(1-H122)*H122)*(MAX('Max rate concentrations'!$Q$3:$Q$368)))/F122, 0)</f>
        <v>0</v>
      </c>
      <c r="O122" s="69">
        <f>((MAX('Max rate concentrations'!$F$3:$F$368))*0.62*6.01*8*(10*F122^0.667)*0.079*0.1/F122)*inputs!$E$80/(10^(0.84+0.62*LOG10(inputs!$E$80)))</f>
        <v>39.770165371185442</v>
      </c>
      <c r="P122" s="69">
        <f>((MAX('Max rate concentrations'!Y:Y))*0.62*6.01*8*(10*F122^0.667)*0.079*0.1/F122)*inputs!$E$80/(10^(0.84+0.62*LOG10(inputs!$E$80)))</f>
        <v>13.256721790395146</v>
      </c>
      <c r="Q122" s="69">
        <f>(inputs!$C$18*11.2*(10*F122^0.667)*0.5/F122)*inputs!$E$80/(10^(0.84+0.62*LOG10(inputs!$E$80)))</f>
        <v>7.0053270510438077</v>
      </c>
      <c r="R122" s="59">
        <f>(60*284*((F122/1000)^0.77)*3*24*(MAX('Max rate concentrations'!$R$3:$R$368))/F122)*(inputs!$E$73*3.4/inputs!$E$75)</f>
        <v>5.5889437467944204E-2</v>
      </c>
      <c r="S122" s="59">
        <f>(IF(inputs!$C$17="aerial",((0.025*0.112*inputs!$C$18/3.3)*(3*60*284*((F122/1000)^0.77))*MAX(inputs!$I$14:$I$16))/F122,((0.0083*0.112*inputs!$C$18/1)*(3*60*284*((F122/1000)^0.77))*MAX(inputs!$I$14:$I$16))/F122))*(inputs!E$75*3.4/inputs!$E$73)</f>
        <v>0.30823368138825363</v>
      </c>
      <c r="T122" s="63">
        <f>IF((((inputs!$P$13/(V122/MAX(K122:S122)))^(1/inputs!$O$13))-1)/inputs!$N$13&lt;0, 0, IF((((inputs!$P$13/(V122/MAX(K122:S122)))^(1/inputs!$O$13))-1)/inputs!$N$13&lt;inputs!$I$17, (((inputs!$P$13/(V122/MAX(K122:S122)))^(1/inputs!$O$13))-1)/inputs!$N$13, inputs!$I$17))</f>
        <v>1000</v>
      </c>
      <c r="U122" s="63">
        <f>IF((((inputs!$P$13/(X122/MAX(K122:S122)))^(1/inputs!$O$13))-1)/inputs!$N$13&lt;0, 0, IF((((inputs!$P$13/(X122/MAX(K122:S122)))^(1/inputs!$O$13))-1)/inputs!$N$13&lt;inputs!$I$17, (((inputs!$P$13/(X122/MAX(K122:S122)))^(1/inputs!$O$13))-1)/inputs!$N$13, inputs!$I$17))</f>
        <v>28.277955904115018</v>
      </c>
      <c r="V122" s="21">
        <f>inputs!$E$78*(F122/inputs!$F$78)^(inputs!$E$84-1)</f>
        <v>2.4464468841670566E-2</v>
      </c>
      <c r="W122" s="21">
        <f>inputs!$E$85*(F122/inputs!$F$85)^(inputs!$E$84-1)</f>
        <v>1.1297241036015404</v>
      </c>
      <c r="X122" s="21">
        <f>inputs!$E$80*(F122/inputs!$F$80)^(inputs!$E$84-1)</f>
        <v>4.2185900071196754</v>
      </c>
      <c r="Y122" s="21">
        <f>inputs!$E$82*(F122/inputs!$F$82)^(inputs!$E$84-1)</f>
        <v>1.9442814711011871</v>
      </c>
      <c r="Z122" s="63">
        <f t="shared" si="8"/>
        <v>1625.6296275455829</v>
      </c>
      <c r="AA122" s="63">
        <f t="shared" si="9"/>
        <v>35.203431744439953</v>
      </c>
      <c r="AB122" s="107"/>
      <c r="AC122" s="107"/>
      <c r="AD122" s="107"/>
      <c r="AE122" s="107"/>
      <c r="AF122" s="107"/>
      <c r="AG122" s="107"/>
      <c r="AH122" s="107"/>
      <c r="AI122" s="107"/>
      <c r="AJ122" s="107"/>
      <c r="AK122" s="107"/>
      <c r="AL122" s="107"/>
      <c r="AM122" s="107"/>
      <c r="AN122" s="107"/>
      <c r="AO122" s="107"/>
      <c r="AP122" s="107"/>
      <c r="AQ122" s="107"/>
      <c r="AR122" s="107"/>
      <c r="AS122" s="107"/>
      <c r="AT122" s="107"/>
      <c r="AU122" s="107"/>
      <c r="AV122" s="107"/>
      <c r="AW122" s="107"/>
      <c r="AX122" s="107"/>
      <c r="AY122" s="107"/>
      <c r="AZ122" s="107"/>
      <c r="BA122" s="107"/>
      <c r="BB122" s="107"/>
      <c r="BC122" s="107"/>
      <c r="BD122" s="107"/>
      <c r="BE122" s="107"/>
      <c r="BF122" s="107"/>
      <c r="BG122" s="107"/>
      <c r="BH122" s="107"/>
      <c r="BI122" s="107"/>
      <c r="BJ122" s="107"/>
      <c r="BK122" s="107"/>
      <c r="BL122" s="107"/>
      <c r="BM122" s="107"/>
      <c r="BN122" s="107"/>
      <c r="BO122" s="107"/>
      <c r="BP122" s="107"/>
      <c r="BQ122" s="107"/>
      <c r="BR122" s="107"/>
      <c r="BS122" s="107"/>
      <c r="BT122" s="107"/>
      <c r="BU122" s="107"/>
      <c r="BV122" s="107"/>
      <c r="BW122" s="107"/>
      <c r="BX122" s="107"/>
      <c r="BY122" s="107"/>
      <c r="BZ122" s="107"/>
      <c r="CA122" s="107"/>
      <c r="CB122" s="107"/>
      <c r="CC122" s="107"/>
      <c r="CD122" s="107"/>
      <c r="CE122" s="107"/>
      <c r="CF122" s="107"/>
      <c r="CG122" s="107"/>
      <c r="CH122" s="107"/>
      <c r="CI122" s="107"/>
      <c r="CJ122" s="107"/>
      <c r="CK122" s="107"/>
      <c r="CL122" s="107"/>
      <c r="CM122" s="107"/>
      <c r="CN122" s="107"/>
      <c r="CO122" s="107"/>
      <c r="CP122" s="107"/>
      <c r="CQ122" s="107"/>
      <c r="CR122" s="107"/>
      <c r="CS122" s="107"/>
      <c r="CT122" s="107"/>
      <c r="CU122" s="107"/>
      <c r="CV122" s="107"/>
      <c r="CW122" s="107"/>
      <c r="CX122" s="107"/>
      <c r="CY122" s="107"/>
      <c r="CZ122" s="107"/>
      <c r="DA122" s="107"/>
      <c r="DB122" s="107"/>
      <c r="DC122" s="107"/>
      <c r="DD122" s="107"/>
      <c r="DE122" s="107"/>
      <c r="DF122" s="107"/>
      <c r="DG122" s="107"/>
      <c r="DH122" s="107"/>
      <c r="DI122" s="107"/>
      <c r="DJ122" s="107"/>
      <c r="DK122" s="107"/>
      <c r="DL122" s="107"/>
      <c r="DM122" s="107"/>
      <c r="DN122" s="107"/>
      <c r="DO122" s="107"/>
      <c r="DP122" s="107"/>
      <c r="DQ122" s="107"/>
      <c r="DR122" s="107"/>
      <c r="DS122" s="107"/>
      <c r="DT122" s="107"/>
      <c r="DU122" s="107"/>
      <c r="DV122" s="107"/>
      <c r="DW122" s="107"/>
      <c r="DX122" s="107"/>
      <c r="DY122" s="107"/>
      <c r="DZ122" s="107"/>
      <c r="EA122" s="107"/>
      <c r="EB122" s="107"/>
      <c r="EC122" s="107"/>
      <c r="ED122" s="107"/>
      <c r="EE122" s="107"/>
      <c r="EF122" s="107"/>
      <c r="EG122" s="107"/>
      <c r="EH122" s="107"/>
      <c r="EI122" s="107"/>
      <c r="EJ122" s="107"/>
      <c r="EK122" s="107"/>
      <c r="EL122" s="107"/>
      <c r="EM122" s="107"/>
      <c r="EN122" s="107"/>
      <c r="EO122" s="107"/>
      <c r="EP122" s="107"/>
      <c r="EQ122" s="107"/>
      <c r="ER122" s="107"/>
      <c r="ES122" s="107"/>
      <c r="ET122" s="107"/>
      <c r="EU122" s="107"/>
      <c r="EV122" s="107"/>
      <c r="EW122" s="107"/>
      <c r="EX122" s="107"/>
      <c r="EY122" s="107"/>
      <c r="EZ122" s="107"/>
      <c r="FA122" s="107"/>
      <c r="FB122" s="107"/>
      <c r="FC122" s="107"/>
      <c r="FD122" s="107"/>
      <c r="FE122" s="107"/>
      <c r="FF122" s="107"/>
      <c r="FG122" s="107"/>
      <c r="FH122" s="107"/>
      <c r="FI122" s="107"/>
      <c r="FJ122" s="107"/>
      <c r="FK122" s="107"/>
      <c r="FL122" s="107"/>
      <c r="FM122" s="107"/>
      <c r="FN122" s="107"/>
      <c r="FO122" s="107"/>
      <c r="FP122" s="107"/>
      <c r="FQ122" s="107"/>
      <c r="FR122" s="107"/>
      <c r="FS122" s="107"/>
      <c r="FT122" s="107"/>
      <c r="FU122" s="107"/>
      <c r="FV122" s="107"/>
      <c r="FW122" s="107"/>
      <c r="FX122" s="107"/>
      <c r="FY122" s="107"/>
      <c r="FZ122" s="107"/>
      <c r="GA122" s="107"/>
      <c r="GB122" s="107"/>
      <c r="GC122" s="107"/>
      <c r="GD122" s="107"/>
      <c r="GE122" s="107"/>
      <c r="GF122" s="107"/>
      <c r="GG122" s="107"/>
      <c r="GH122" s="107"/>
      <c r="GI122" s="107"/>
      <c r="GJ122" s="107"/>
      <c r="GK122" s="107"/>
      <c r="GL122" s="107"/>
      <c r="GM122" s="107"/>
      <c r="GN122" s="107"/>
      <c r="GO122" s="107"/>
      <c r="GP122" s="107"/>
      <c r="GQ122" s="107"/>
      <c r="GR122" s="107"/>
      <c r="GS122" s="107"/>
      <c r="GT122" s="107"/>
      <c r="GU122" s="107"/>
      <c r="GV122" s="107"/>
      <c r="GW122" s="107"/>
      <c r="GX122" s="107"/>
      <c r="GY122" s="107"/>
      <c r="GZ122" s="107"/>
      <c r="HA122" s="107"/>
      <c r="HB122" s="107"/>
      <c r="HC122" s="107"/>
      <c r="HD122" s="107"/>
      <c r="HE122" s="107"/>
      <c r="HF122" s="107"/>
      <c r="HG122" s="107"/>
      <c r="HH122" s="107"/>
      <c r="HI122" s="107"/>
      <c r="HJ122" s="107"/>
      <c r="HK122" s="107"/>
      <c r="HL122" s="107"/>
      <c r="HM122" s="107"/>
      <c r="HN122" s="107"/>
      <c r="HO122" s="107"/>
      <c r="HP122" s="107"/>
      <c r="HQ122" s="107"/>
      <c r="HR122" s="107"/>
      <c r="HS122" s="107"/>
      <c r="HT122" s="107"/>
      <c r="HU122" s="107"/>
      <c r="HV122" s="107"/>
      <c r="HW122" s="107"/>
      <c r="HX122" s="107"/>
      <c r="HY122" s="107"/>
      <c r="HZ122" s="107"/>
      <c r="IA122" s="107"/>
      <c r="IB122" s="107"/>
      <c r="IC122" s="107"/>
      <c r="ID122" s="107"/>
      <c r="IE122" s="107"/>
      <c r="IF122" s="107"/>
      <c r="IG122" s="107"/>
      <c r="IH122" s="107"/>
      <c r="II122" s="107"/>
      <c r="IJ122" s="107"/>
      <c r="IK122" s="107"/>
      <c r="IL122" s="107"/>
      <c r="IM122" s="107"/>
      <c r="IN122" s="107"/>
      <c r="IO122" s="107"/>
      <c r="IP122" s="107"/>
      <c r="IQ122" s="107"/>
      <c r="IR122" s="107"/>
      <c r="IS122" s="107"/>
      <c r="IT122" s="107"/>
      <c r="IU122" s="107"/>
      <c r="IV122" s="107"/>
      <c r="IW122" s="107"/>
      <c r="IX122" s="107"/>
      <c r="IY122" s="107"/>
      <c r="IZ122" s="107"/>
      <c r="JA122" s="107"/>
      <c r="JB122" s="107"/>
      <c r="JC122" s="107"/>
      <c r="JD122" s="107"/>
      <c r="JE122" s="107"/>
      <c r="JF122" s="107"/>
      <c r="JG122" s="107"/>
      <c r="JH122" s="107"/>
      <c r="JI122" s="107"/>
      <c r="JJ122" s="107"/>
      <c r="JK122" s="107"/>
      <c r="JL122" s="107"/>
      <c r="JM122" s="107"/>
      <c r="JN122" s="107"/>
      <c r="JO122" s="107"/>
      <c r="JP122" s="107"/>
      <c r="JQ122" s="107"/>
      <c r="JR122" s="107"/>
      <c r="JS122" s="107"/>
      <c r="JT122" s="107"/>
      <c r="JU122" s="107"/>
      <c r="JV122" s="107"/>
      <c r="JW122" s="107"/>
      <c r="JX122" s="107"/>
      <c r="JY122" s="107"/>
      <c r="JZ122" s="107"/>
      <c r="KA122" s="107"/>
      <c r="KB122" s="107"/>
      <c r="KC122" s="107"/>
      <c r="KD122" s="107"/>
      <c r="KE122" s="107"/>
      <c r="KF122" s="107"/>
      <c r="KG122" s="107"/>
      <c r="KH122" s="107"/>
      <c r="KI122" s="107"/>
      <c r="KJ122" s="107"/>
      <c r="KK122" s="107"/>
      <c r="KL122" s="107"/>
      <c r="KM122" s="107"/>
      <c r="KN122" s="107"/>
      <c r="KO122" s="107"/>
      <c r="KP122" s="107"/>
      <c r="KQ122" s="107"/>
      <c r="KR122" s="107"/>
      <c r="KS122" s="107"/>
      <c r="KT122" s="107"/>
      <c r="KU122" s="107"/>
      <c r="KV122" s="107"/>
      <c r="KW122" s="107"/>
      <c r="KX122" s="107"/>
      <c r="KY122" s="107"/>
      <c r="KZ122" s="107"/>
      <c r="LA122" s="107"/>
      <c r="LB122" s="107"/>
      <c r="LC122" s="107"/>
      <c r="LD122" s="107"/>
      <c r="LE122" s="107"/>
      <c r="LF122" s="107"/>
      <c r="LG122" s="107"/>
      <c r="LH122" s="107"/>
      <c r="LI122" s="107"/>
      <c r="LJ122" s="107"/>
      <c r="LK122" s="107"/>
      <c r="LL122" s="107"/>
      <c r="LM122" s="107"/>
      <c r="LN122" s="107"/>
      <c r="LO122" s="107"/>
      <c r="LP122" s="107"/>
      <c r="LQ122" s="107"/>
      <c r="LR122" s="107"/>
      <c r="LS122" s="107"/>
      <c r="LT122" s="107"/>
      <c r="LU122" s="107"/>
      <c r="LV122" s="107"/>
      <c r="LW122" s="107"/>
      <c r="LX122" s="107"/>
      <c r="LY122" s="107"/>
      <c r="LZ122" s="107"/>
      <c r="MA122" s="107"/>
      <c r="MB122" s="107"/>
      <c r="MC122" s="107"/>
      <c r="MD122" s="107"/>
      <c r="ME122" s="107"/>
      <c r="MF122" s="107"/>
      <c r="MG122" s="107"/>
      <c r="MH122" s="107"/>
      <c r="MI122" s="107"/>
      <c r="MJ122" s="107"/>
      <c r="MK122" s="107"/>
      <c r="ML122" s="107"/>
      <c r="MM122" s="107"/>
      <c r="MN122" s="107"/>
      <c r="MO122" s="107"/>
      <c r="MP122" s="107"/>
      <c r="MQ122" s="107"/>
      <c r="MR122" s="107"/>
      <c r="MS122" s="107"/>
      <c r="MT122" s="107"/>
      <c r="MU122" s="107"/>
      <c r="MV122" s="107"/>
      <c r="MW122" s="107"/>
      <c r="MX122" s="107"/>
      <c r="MY122" s="107"/>
      <c r="MZ122" s="107"/>
      <c r="NA122" s="107"/>
      <c r="NB122" s="107"/>
      <c r="NC122" s="107"/>
      <c r="ND122" s="107"/>
      <c r="NE122" s="107"/>
      <c r="NF122" s="107"/>
      <c r="NG122" s="107"/>
      <c r="NH122" s="107"/>
      <c r="NI122" s="107"/>
      <c r="NJ122" s="107"/>
      <c r="NK122" s="107"/>
      <c r="NL122" s="107"/>
      <c r="NM122" s="107"/>
      <c r="NN122" s="107"/>
      <c r="NO122" s="107"/>
      <c r="NP122" s="107"/>
      <c r="NQ122" s="107"/>
      <c r="NR122" s="107"/>
      <c r="NS122" s="107"/>
      <c r="NT122" s="107"/>
      <c r="NU122" s="107"/>
      <c r="NV122" s="107"/>
      <c r="NW122" s="107"/>
      <c r="NX122" s="107"/>
      <c r="NY122" s="107"/>
      <c r="NZ122" s="107"/>
      <c r="OA122" s="107"/>
      <c r="OB122" s="107"/>
      <c r="OC122" s="107"/>
      <c r="OD122" s="107"/>
      <c r="OE122" s="107"/>
      <c r="OF122" s="107"/>
      <c r="OG122" s="107"/>
      <c r="OH122" s="107"/>
      <c r="OI122" s="107"/>
      <c r="OJ122" s="107"/>
      <c r="OK122" s="107"/>
      <c r="OL122" s="107"/>
      <c r="OM122" s="107"/>
      <c r="ON122" s="107"/>
      <c r="OO122" s="107"/>
      <c r="OP122" s="107"/>
      <c r="OQ122" s="107"/>
      <c r="OR122" s="107"/>
      <c r="OS122" s="107"/>
      <c r="OT122" s="107"/>
      <c r="OU122" s="107"/>
      <c r="OV122" s="107"/>
      <c r="OW122" s="107"/>
      <c r="OX122" s="107"/>
      <c r="OY122" s="107"/>
      <c r="OZ122" s="107"/>
      <c r="PA122" s="107"/>
      <c r="PB122" s="107"/>
      <c r="PC122" s="107"/>
      <c r="PD122" s="107"/>
      <c r="PE122" s="107"/>
      <c r="PF122" s="107"/>
      <c r="PG122" s="107"/>
      <c r="PH122" s="107"/>
      <c r="PI122" s="107"/>
      <c r="PJ122" s="107"/>
      <c r="PK122" s="107"/>
      <c r="PL122" s="107"/>
      <c r="PM122" s="107"/>
      <c r="PN122" s="107"/>
      <c r="PO122" s="107"/>
      <c r="PP122" s="107"/>
      <c r="PQ122" s="107"/>
      <c r="PR122" s="107"/>
      <c r="PS122" s="107"/>
      <c r="PT122" s="107"/>
      <c r="PU122" s="107"/>
      <c r="PV122" s="107"/>
      <c r="PW122" s="107"/>
      <c r="PX122" s="107"/>
      <c r="PY122" s="107"/>
      <c r="PZ122" s="107"/>
      <c r="QA122" s="107"/>
      <c r="QB122" s="107"/>
      <c r="QC122" s="107"/>
      <c r="QD122" s="107"/>
      <c r="QE122" s="107"/>
      <c r="QF122" s="107"/>
      <c r="QG122" s="107"/>
      <c r="QH122" s="107"/>
      <c r="QI122" s="107"/>
      <c r="QJ122" s="107"/>
      <c r="QK122" s="107"/>
      <c r="QL122" s="107"/>
      <c r="QM122" s="107"/>
      <c r="QN122" s="107"/>
      <c r="QO122" s="107"/>
      <c r="QP122" s="107"/>
      <c r="QQ122" s="107"/>
      <c r="QR122" s="107"/>
      <c r="QS122" s="107"/>
      <c r="QT122" s="107"/>
      <c r="QU122" s="107"/>
      <c r="QV122" s="107"/>
      <c r="QW122" s="107"/>
      <c r="QX122" s="107"/>
      <c r="QY122" s="107"/>
      <c r="QZ122" s="107"/>
      <c r="RA122" s="107"/>
      <c r="RB122" s="107"/>
      <c r="RC122" s="107"/>
      <c r="RD122" s="107"/>
      <c r="RE122" s="107"/>
      <c r="RF122" s="107"/>
      <c r="RG122" s="107"/>
      <c r="RH122" s="107"/>
    </row>
    <row r="123" spans="1:476" ht="13.2" x14ac:dyDescent="0.25">
      <c r="A123" s="103" t="s">
        <v>258</v>
      </c>
      <c r="B123" s="20" t="s">
        <v>259</v>
      </c>
      <c r="C123" s="20" t="s">
        <v>73</v>
      </c>
      <c r="D123" s="104" t="s">
        <v>260</v>
      </c>
      <c r="E123" s="15">
        <v>119</v>
      </c>
      <c r="F123" s="15">
        <v>50.5</v>
      </c>
      <c r="G123" s="20" t="s">
        <v>138</v>
      </c>
      <c r="H123" s="20">
        <v>0.68</v>
      </c>
      <c r="I123" s="68">
        <f>MAX('Max rate concentrations'!$L$3:$L$368)</f>
        <v>350.52744091332482</v>
      </c>
      <c r="J123" s="68">
        <f>MAX('Max rate concentrations'!AD:AD)</f>
        <v>242.38599637623525</v>
      </c>
      <c r="K123" s="69">
        <f t="shared" si="6"/>
        <v>124.17065909212799</v>
      </c>
      <c r="L123" s="69">
        <f t="shared" si="10"/>
        <v>85.862689797748061</v>
      </c>
      <c r="M123" s="69">
        <f>IF((((1.18*F123^0.874)/3.7-(0.301*F123^0.751)/(1-H123)*H123)*(MAX('Max rate concentrations'!$P$3:$P$368)))/F123&gt;0, (((1.18*F123^0.874)/3.7-(0.301*F123^0.751)/(1-H123)*H123)*(MAX('Max rate concentrations'!$P$3:$P$368)))/F123, 0)</f>
        <v>0</v>
      </c>
      <c r="N123" s="69">
        <f>IF((((1.18*F123^0.874)/3.7-(0.301*F123^0.751)/(1-H123)*H123)*(MAX('Max rate concentrations'!$Q$3:$Q$368)))/F123&gt;0, (((1.18*F123^0.874)/3.7-(0.301*F123^0.751)/(1-H123)*H123)*(MAX('Max rate concentrations'!$Q$3:$Q$368)))/F123, 0)</f>
        <v>0</v>
      </c>
      <c r="O123" s="69">
        <f>((MAX('Max rate concentrations'!$F$3:$F$368))*0.62*6.01*8*(10*F123^0.667)*0.079*0.1/F123)*inputs!$E$80/(10^(0.84+0.62*LOG10(inputs!$E$80)))</f>
        <v>39.770165371185442</v>
      </c>
      <c r="P123" s="69">
        <f>((MAX('Max rate concentrations'!Y:Y))*0.62*6.01*8*(10*F123^0.667)*0.079*0.1/F123)*inputs!$E$80/(10^(0.84+0.62*LOG10(inputs!$E$80)))</f>
        <v>13.256721790395146</v>
      </c>
      <c r="Q123" s="69">
        <f>(inputs!$C$18*11.2*(10*F123^0.667)*0.5/F123)*inputs!$E$80/(10^(0.84+0.62*LOG10(inputs!$E$80)))</f>
        <v>7.0053270510438077</v>
      </c>
      <c r="R123" s="59">
        <f>(60*284*((F123/1000)^0.77)*3*24*(MAX('Max rate concentrations'!$R$3:$R$368))/F123)*(inputs!$E$73*3.4/inputs!$E$75)</f>
        <v>5.5889437467944204E-2</v>
      </c>
      <c r="S123" s="59">
        <f>(IF(inputs!$C$17="aerial",((0.025*0.112*inputs!$C$18/3.3)*(3*60*284*((F123/1000)^0.77))*MAX(inputs!$I$14:$I$16))/F123,((0.0083*0.112*inputs!$C$18/1)*(3*60*284*((F123/1000)^0.77))*MAX(inputs!$I$14:$I$16))/F123))*(inputs!E$75*3.4/inputs!$E$73)</f>
        <v>0.30823368138825363</v>
      </c>
      <c r="T123" s="63">
        <f>IF((((inputs!$P$13/(V123/MAX(K123:S123)))^(1/inputs!$O$13))-1)/inputs!$N$13&lt;0, 0, IF((((inputs!$P$13/(V123/MAX(K123:S123)))^(1/inputs!$O$13))-1)/inputs!$N$13&lt;inputs!$I$17, (((inputs!$P$13/(V123/MAX(K123:S123)))^(1/inputs!$O$13))-1)/inputs!$N$13, inputs!$I$17))</f>
        <v>1000</v>
      </c>
      <c r="U123" s="63">
        <f>IF((((inputs!$P$13/(X123/MAX(K123:S123)))^(1/inputs!$O$13))-1)/inputs!$N$13&lt;0, 0, IF((((inputs!$P$13/(X123/MAX(K123:S123)))^(1/inputs!$O$13))-1)/inputs!$N$13&lt;inputs!$I$17, (((inputs!$P$13/(X123/MAX(K123:S123)))^(1/inputs!$O$13))-1)/inputs!$N$13, inputs!$I$17))</f>
        <v>78.90628175769605</v>
      </c>
      <c r="V123" s="21">
        <f>inputs!$E$78*(F123/inputs!$F$78)^(inputs!$E$84-1)</f>
        <v>2.4464468841670566E-2</v>
      </c>
      <c r="W123" s="21">
        <f>inputs!$E$85*(F123/inputs!$F$85)^(inputs!$E$84-1)</f>
        <v>1.1297241036015404</v>
      </c>
      <c r="X123" s="21">
        <f>inputs!$E$80*(F123/inputs!$F$80)^(inputs!$E$84-1)</f>
        <v>4.2185900071196754</v>
      </c>
      <c r="Y123" s="21">
        <f>inputs!$E$82*(F123/inputs!$F$82)^(inputs!$E$84-1)</f>
        <v>1.9442814711011871</v>
      </c>
      <c r="Z123" s="63">
        <f t="shared" si="8"/>
        <v>5075.5509917561303</v>
      </c>
      <c r="AA123" s="63">
        <f t="shared" si="9"/>
        <v>109.91237479688549</v>
      </c>
    </row>
    <row r="124" spans="1:476" ht="13.2" x14ac:dyDescent="0.25">
      <c r="A124" s="103" t="s">
        <v>258</v>
      </c>
      <c r="B124" s="20" t="s">
        <v>259</v>
      </c>
      <c r="C124" s="20" t="s">
        <v>73</v>
      </c>
      <c r="D124" s="104" t="s">
        <v>260</v>
      </c>
      <c r="E124" s="15">
        <v>119</v>
      </c>
      <c r="F124" s="15">
        <v>50.5</v>
      </c>
      <c r="G124" s="49" t="s">
        <v>186</v>
      </c>
      <c r="H124" s="49">
        <v>0.75</v>
      </c>
      <c r="I124" s="68">
        <f>inputs!$C$66*inputs!$C$64/1000</f>
        <v>21.3</v>
      </c>
      <c r="J124" s="68">
        <f>inputs!$C$66*inputs!$C$63/1000</f>
        <v>8.8000000000000007</v>
      </c>
      <c r="K124" s="69">
        <f t="shared" si="6"/>
        <v>9.657985236952916</v>
      </c>
      <c r="L124" s="69">
        <f t="shared" si="10"/>
        <v>3.9901535251260878</v>
      </c>
      <c r="M124" s="69">
        <f>IF((((1.18*F124^0.874)/3.7-(0.301*F124^0.751)/(1-H124)*H124)*(MAX('Max rate concentrations'!$P$3:$P$368)))/F124&gt;0, (((1.18*F124^0.874)/3.7-(0.301*F124^0.751)/(1-H124)*H124)*(MAX('Max rate concentrations'!$P$3:$P$368)))/F124, 0)</f>
        <v>0</v>
      </c>
      <c r="N124" s="69">
        <f>IF((((1.18*F124^0.874)/3.7-(0.301*F124^0.751)/(1-H124)*H124)*(MAX('Max rate concentrations'!$Q$3:$Q$368)))/F124&gt;0, (((1.18*F124^0.874)/3.7-(0.301*F124^0.751)/(1-H124)*H124)*(MAX('Max rate concentrations'!$Q$3:$Q$368)))/F124, 0)</f>
        <v>0</v>
      </c>
      <c r="O124" s="69">
        <f>((MAX('Max rate concentrations'!$F$3:$F$368))*0.62*6.01*8*(10*F124^0.667)*0.079*0.1/F124)*inputs!$E$80/(10^(0.84+0.62*LOG10(inputs!$E$80)))</f>
        <v>39.770165371185442</v>
      </c>
      <c r="P124" s="69">
        <f>((MAX('Max rate concentrations'!Y:Y))*0.62*6.01*8*(10*F124^0.667)*0.079*0.1/F124)*inputs!$E$80/(10^(0.84+0.62*LOG10(inputs!$E$80)))</f>
        <v>13.256721790395146</v>
      </c>
      <c r="Q124" s="69">
        <f>(inputs!$C$18*11.2*(10*F124^0.667)*0.5/F124)*inputs!$E$80/(10^(0.84+0.62*LOG10(inputs!$E$80)))</f>
        <v>7.0053270510438077</v>
      </c>
      <c r="R124" s="59">
        <f>(60*284*((F124/1000)^0.77)*3*24*(MAX('Max rate concentrations'!$R$3:$R$368))/F124)*(inputs!$E$73*3.4/inputs!$E$75)</f>
        <v>5.5889437467944204E-2</v>
      </c>
      <c r="S124" s="59">
        <f>(IF(inputs!$C$17="aerial",((0.025*0.112*inputs!$C$18/3.3)*(3*60*284*((F124/1000)^0.77))*MAX(inputs!$I$14:$I$16))/F124,((0.0083*0.112*inputs!$C$18/1)*(3*60*284*((F124/1000)^0.77))*MAX(inputs!$I$14:$I$16))/F124))*(inputs!E$75*3.4/inputs!$E$73)</f>
        <v>0.30823368138825363</v>
      </c>
      <c r="T124" s="63">
        <f>IF((((inputs!$P$13/(V124/MAX(K124:S124)))^(1/inputs!$O$13))-1)/inputs!$N$13&lt;0, 0, IF((((inputs!$P$13/(V124/MAX(K124:S124)))^(1/inputs!$O$13))-1)/inputs!$N$13&lt;inputs!$I$17, (((inputs!$P$13/(V124/MAX(K124:S124)))^(1/inputs!$O$13))-1)/inputs!$N$13, inputs!$I$17))</f>
        <v>1000</v>
      </c>
      <c r="U124" s="63">
        <f>IF((((inputs!$P$13/(X124/MAX(K124:S124)))^(1/inputs!$O$13))-1)/inputs!$N$13&lt;0, 0, IF((((inputs!$P$13/(X124/MAX(K124:S124)))^(1/inputs!$O$13))-1)/inputs!$N$13&lt;inputs!$I$17, (((inputs!$P$13/(X124/MAX(K124:S124)))^(1/inputs!$O$13))-1)/inputs!$N$13, inputs!$I$17))</f>
        <v>28.277955904115018</v>
      </c>
      <c r="V124" s="21">
        <f>inputs!$E$78*(F124/inputs!$F$78)^(inputs!$E$84-1)</f>
        <v>2.4464468841670566E-2</v>
      </c>
      <c r="W124" s="21">
        <f>inputs!$E$85*(F124/inputs!$F$85)^(inputs!$E$84-1)</f>
        <v>1.1297241036015404</v>
      </c>
      <c r="X124" s="21">
        <f>inputs!$E$80*(F124/inputs!$F$80)^(inputs!$E$84-1)</f>
        <v>4.2185900071196754</v>
      </c>
      <c r="Y124" s="21">
        <f>inputs!$E$82*(F124/inputs!$F$82)^(inputs!$E$84-1)</f>
        <v>1.9442814711011871</v>
      </c>
      <c r="Z124" s="63">
        <f t="shared" si="8"/>
        <v>1625.6296275455829</v>
      </c>
      <c r="AA124" s="63">
        <f t="shared" si="9"/>
        <v>35.203431744439953</v>
      </c>
    </row>
    <row r="125" spans="1:476" ht="13.2" x14ac:dyDescent="0.25">
      <c r="A125" s="103" t="s">
        <v>258</v>
      </c>
      <c r="B125" s="20" t="s">
        <v>259</v>
      </c>
      <c r="C125" s="20" t="s">
        <v>73</v>
      </c>
      <c r="D125" s="104" t="s">
        <v>260</v>
      </c>
      <c r="E125" s="15">
        <v>119</v>
      </c>
      <c r="F125" s="15">
        <v>50.5</v>
      </c>
      <c r="G125" s="21" t="s">
        <v>456</v>
      </c>
      <c r="H125" s="20">
        <v>0.68</v>
      </c>
      <c r="I125" s="68">
        <f>MAX('Max rate concentrations'!$J$3:$J$368)</f>
        <v>686.46486205830786</v>
      </c>
      <c r="J125" s="68">
        <f>MAX('Max rate concentrations'!AB:AB)</f>
        <v>243.122971978984</v>
      </c>
      <c r="K125" s="69">
        <f t="shared" si="6"/>
        <v>243.17295713930673</v>
      </c>
      <c r="L125" s="69">
        <f t="shared" si="10"/>
        <v>86.123755653504446</v>
      </c>
      <c r="M125" s="69">
        <f>IF((((1.18*F125^0.874)/3.7-(0.301*F125^0.751)/(1-H125)*H125)*(MAX('Max rate concentrations'!$P$3:$P$368)))/F125&gt;0, (((1.18*F125^0.874)/3.7-(0.301*F125^0.751)/(1-H125)*H125)*(MAX('Max rate concentrations'!$P$3:$P$368)))/F125, 0)</f>
        <v>0</v>
      </c>
      <c r="N125" s="69">
        <f>IF((((1.18*F125^0.874)/3.7-(0.301*F125^0.751)/(1-H125)*H125)*(MAX('Max rate concentrations'!$Q$3:$Q$368)))/F125&gt;0, (((1.18*F125^0.874)/3.7-(0.301*F125^0.751)/(1-H125)*H125)*(MAX('Max rate concentrations'!$Q$3:$Q$368)))/F125, 0)</f>
        <v>0</v>
      </c>
      <c r="O125" s="69">
        <f>((MAX('Max rate concentrations'!$F$3:$F$368))*0.62*6.01*8*(10*F125^0.667)*0.079*0.1/F125)*inputs!$E$80/(10^(0.84+0.62*LOG10(inputs!$E$80)))</f>
        <v>39.770165371185442</v>
      </c>
      <c r="P125" s="69">
        <f>((MAX('Max rate concentrations'!Y:Y))*0.62*6.01*8*(10*F125^0.667)*0.079*0.1/F125)*inputs!$E$80/(10^(0.84+0.62*LOG10(inputs!$E$80)))</f>
        <v>13.256721790395146</v>
      </c>
      <c r="Q125" s="69">
        <f>(inputs!$C$18*11.2*(10*F125^0.667)*0.5/F125)*inputs!$E$80/(10^(0.84+0.62*LOG10(inputs!$E$80)))</f>
        <v>7.0053270510438077</v>
      </c>
      <c r="R125" s="59">
        <f>(60*284*((F125/1000)^0.77)*3*24*(MAX('Max rate concentrations'!$R$3:$R$368))/F125)*(inputs!$E$73*3.4/inputs!$E$75)</f>
        <v>5.5889437467944204E-2</v>
      </c>
      <c r="S125" s="59">
        <f>(IF(inputs!$C$17="aerial",((0.025*0.112*inputs!$C$18/3.3)*(3*60*284*((F125/1000)^0.77))*MAX(inputs!$I$14:$I$16))/F125,((0.0083*0.112*inputs!$C$18/1)*(3*60*284*((F125/1000)^0.77))*MAX(inputs!$I$14:$I$16))/F125))*(inputs!E$75*3.4/inputs!$E$73)</f>
        <v>0.30823368138825363</v>
      </c>
      <c r="T125" s="63">
        <f>IF((((inputs!$P$13/(V125/MAX(K125:S125)))^(1/inputs!$O$13))-1)/inputs!$N$13&lt;0, 0, IF((((inputs!$P$13/(V125/MAX(K125:S125)))^(1/inputs!$O$13))-1)/inputs!$N$13&lt;inputs!$I$17, (((inputs!$P$13/(V125/MAX(K125:S125)))^(1/inputs!$O$13))-1)/inputs!$N$13, inputs!$I$17))</f>
        <v>1000</v>
      </c>
      <c r="U125" s="63">
        <f>IF((((inputs!$P$13/(X125/MAX(K125:S125)))^(1/inputs!$O$13))-1)/inputs!$N$13&lt;0, 0, IF((((inputs!$P$13/(X125/MAX(K125:S125)))^(1/inputs!$O$13))-1)/inputs!$N$13&lt;inputs!$I$17, (((inputs!$P$13/(X125/MAX(K125:S125)))^(1/inputs!$O$13))-1)/inputs!$N$13, inputs!$I$17))</f>
        <v>139.65556884769043</v>
      </c>
      <c r="V125" s="21">
        <f>inputs!$E$78*(F125/inputs!$F$78)^(inputs!$E$84-1)</f>
        <v>2.4464468841670566E-2</v>
      </c>
      <c r="W125" s="21">
        <f>inputs!$E$85*(F125/inputs!$F$85)^(inputs!$E$84-1)</f>
        <v>1.1297241036015404</v>
      </c>
      <c r="X125" s="21">
        <f>inputs!$E$80*(F125/inputs!$F$80)^(inputs!$E$84-1)</f>
        <v>4.2185900071196754</v>
      </c>
      <c r="Y125" s="21">
        <f>inputs!$E$82*(F125/inputs!$F$82)^(inputs!$E$84-1)</f>
        <v>1.9442814711011871</v>
      </c>
      <c r="Z125" s="63">
        <f t="shared" si="8"/>
        <v>9939.8420915277711</v>
      </c>
      <c r="AA125" s="63">
        <f t="shared" si="9"/>
        <v>215.24986177074177</v>
      </c>
    </row>
    <row r="126" spans="1:476" ht="13.2" x14ac:dyDescent="0.25">
      <c r="A126" s="103" t="s">
        <v>258</v>
      </c>
      <c r="B126" s="20" t="s">
        <v>259</v>
      </c>
      <c r="C126" s="20" t="s">
        <v>73</v>
      </c>
      <c r="D126" s="104" t="s">
        <v>260</v>
      </c>
      <c r="E126" s="15">
        <v>119</v>
      </c>
      <c r="F126" s="15">
        <v>50.5</v>
      </c>
      <c r="G126" s="20" t="s">
        <v>145</v>
      </c>
      <c r="H126" s="20">
        <v>0.66</v>
      </c>
      <c r="I126" s="68">
        <f>MAX('Max rate concentrations'!$M$3:$M$368)</f>
        <v>17.092910873809167</v>
      </c>
      <c r="J126" s="68">
        <f>MAX('Max rate concentrations'!AE:AE)</f>
        <v>11.81956602976166</v>
      </c>
      <c r="K126" s="69">
        <f t="shared" ref="K126:K189" si="11">((0.301*F126^0.751)/(1-H126))*I126/F126</f>
        <v>5.6988083704708954</v>
      </c>
      <c r="L126" s="69">
        <f t="shared" si="10"/>
        <v>3.9406653625596619</v>
      </c>
      <c r="M126" s="69">
        <f>IF((((1.18*F126^0.874)/3.7-(0.301*F126^0.751)/(1-H126)*H126)*(MAX('Max rate concentrations'!$P$3:$P$368)))/F126&gt;0, (((1.18*F126^0.874)/3.7-(0.301*F126^0.751)/(1-H126)*H126)*(MAX('Max rate concentrations'!$P$3:$P$368)))/F126, 0)</f>
        <v>0</v>
      </c>
      <c r="N126" s="69">
        <f>IF((((1.18*F126^0.874)/3.7-(0.301*F126^0.751)/(1-H126)*H126)*(MAX('Max rate concentrations'!$Q$3:$Q$368)))/F126&gt;0, (((1.18*F126^0.874)/3.7-(0.301*F126^0.751)/(1-H126)*H126)*(MAX('Max rate concentrations'!$Q$3:$Q$368)))/F126, 0)</f>
        <v>0</v>
      </c>
      <c r="O126" s="69">
        <f>((MAX('Max rate concentrations'!$F$3:$F$368))*0.62*6.01*8*(10*F126^0.667)*0.079*0.1/F126)*inputs!$E$80/(10^(0.84+0.62*LOG10(inputs!$E$80)))</f>
        <v>39.770165371185442</v>
      </c>
      <c r="P126" s="69">
        <f>((MAX('Max rate concentrations'!Y:Y))*0.62*6.01*8*(10*F126^0.667)*0.079*0.1/F126)*inputs!$E$80/(10^(0.84+0.62*LOG10(inputs!$E$80)))</f>
        <v>13.256721790395146</v>
      </c>
      <c r="Q126" s="69">
        <f>(inputs!$C$18*11.2*(10*F126^0.667)*0.5/F126)*inputs!$E$80/(10^(0.84+0.62*LOG10(inputs!$E$80)))</f>
        <v>7.0053270510438077</v>
      </c>
      <c r="R126" s="59">
        <f>(60*284*((F126/1000)^0.77)*3*24*(MAX('Max rate concentrations'!$R$3:$R$368))/F126)*(inputs!$E$73*3.4/inputs!$E$75)</f>
        <v>5.5889437467944204E-2</v>
      </c>
      <c r="S126" s="59">
        <f>(IF(inputs!$C$17="aerial",((0.025*0.112*inputs!$C$18/3.3)*(3*60*284*((F126/1000)^0.77))*MAX(inputs!$I$14:$I$16))/F126,((0.0083*0.112*inputs!$C$18/1)*(3*60*284*((F126/1000)^0.77))*MAX(inputs!$I$14:$I$16))/F126))*(inputs!E$75*3.4/inputs!$E$73)</f>
        <v>0.30823368138825363</v>
      </c>
      <c r="T126" s="63">
        <f>IF((((inputs!$P$13/(V126/MAX(K126:S126)))^(1/inputs!$O$13))-1)/inputs!$N$13&lt;0, 0, IF((((inputs!$P$13/(V126/MAX(K126:S126)))^(1/inputs!$O$13))-1)/inputs!$N$13&lt;inputs!$I$17, (((inputs!$P$13/(V126/MAX(K126:S126)))^(1/inputs!$O$13))-1)/inputs!$N$13, inputs!$I$17))</f>
        <v>1000</v>
      </c>
      <c r="U126" s="63">
        <f>IF((((inputs!$P$13/(X126/MAX(K126:S126)))^(1/inputs!$O$13))-1)/inputs!$N$13&lt;0, 0, IF((((inputs!$P$13/(X126/MAX(K126:S126)))^(1/inputs!$O$13))-1)/inputs!$N$13&lt;inputs!$I$17, (((inputs!$P$13/(X126/MAX(K126:S126)))^(1/inputs!$O$13))-1)/inputs!$N$13, inputs!$I$17))</f>
        <v>28.277955904115018</v>
      </c>
      <c r="V126" s="21">
        <f>inputs!$E$78*(F126/inputs!$F$78)^(inputs!$E$84-1)</f>
        <v>2.4464468841670566E-2</v>
      </c>
      <c r="W126" s="21">
        <f>inputs!$E$85*(F126/inputs!$F$85)^(inputs!$E$84-1)</f>
        <v>1.1297241036015404</v>
      </c>
      <c r="X126" s="21">
        <f>inputs!$E$80*(F126/inputs!$F$80)^(inputs!$E$84-1)</f>
        <v>4.2185900071196754</v>
      </c>
      <c r="Y126" s="21">
        <f>inputs!$E$82*(F126/inputs!$F$82)^(inputs!$E$84-1)</f>
        <v>1.9442814711011871</v>
      </c>
      <c r="Z126" s="63">
        <f t="shared" si="8"/>
        <v>1625.6296275455829</v>
      </c>
      <c r="AA126" s="63">
        <f t="shared" si="9"/>
        <v>35.203431744439953</v>
      </c>
    </row>
    <row r="127" spans="1:476" ht="13.2" x14ac:dyDescent="0.25">
      <c r="A127" s="103" t="s">
        <v>258</v>
      </c>
      <c r="B127" s="20" t="s">
        <v>259</v>
      </c>
      <c r="C127" s="20" t="s">
        <v>73</v>
      </c>
      <c r="D127" s="104" t="s">
        <v>260</v>
      </c>
      <c r="E127" s="15">
        <v>119</v>
      </c>
      <c r="F127" s="15">
        <v>50.5</v>
      </c>
      <c r="G127" s="20" t="s">
        <v>146</v>
      </c>
      <c r="H127" s="20">
        <v>0.84</v>
      </c>
      <c r="I127" s="68">
        <f>MAX('Max rate concentrations'!$I$3:$I$368)</f>
        <v>56.865414300472793</v>
      </c>
      <c r="J127" s="68" t="s">
        <v>13</v>
      </c>
      <c r="K127" s="69">
        <f t="shared" si="11"/>
        <v>40.287949809798803</v>
      </c>
      <c r="L127" s="69" t="s">
        <v>13</v>
      </c>
      <c r="M127" s="69">
        <f>IF((((1.18*F127^0.874)/3.7-(0.301*F127^0.751)/(1-H127)*H127)*(MAX('Max rate concentrations'!$P$3:$P$368)))/F127&gt;0, (((1.18*F127^0.874)/3.7-(0.301*F127^0.751)/(1-H127)*H127)*(MAX('Max rate concentrations'!$P$3:$P$368)))/F127, 0)</f>
        <v>0</v>
      </c>
      <c r="N127" s="69">
        <f>IF((((1.18*F127^0.874)/3.7-(0.301*F127^0.751)/(1-H127)*H127)*(MAX('Max rate concentrations'!$Q$3:$Q$368)))/F127&gt;0, (((1.18*F127^0.874)/3.7-(0.301*F127^0.751)/(1-H127)*H127)*(MAX('Max rate concentrations'!$Q$3:$Q$368)))/F127, 0)</f>
        <v>0</v>
      </c>
      <c r="O127" s="69">
        <f>((MAX('Max rate concentrations'!$F$3:$F$368))*0.62*6.01*8*(10*F127^0.667)*0.079*0.1/F127)*inputs!$E$80/(10^(0.84+0.62*LOG10(inputs!$E$80)))</f>
        <v>39.770165371185442</v>
      </c>
      <c r="P127" s="69">
        <f>((MAX('Max rate concentrations'!Y:Y))*0.62*6.01*8*(10*F127^0.667)*0.079*0.1/F127)*inputs!$E$80/(10^(0.84+0.62*LOG10(inputs!$E$80)))</f>
        <v>13.256721790395146</v>
      </c>
      <c r="Q127" s="69">
        <f>(inputs!$C$18*11.2*(10*F127^0.667)*0.5/F127)*inputs!$E$80/(10^(0.84+0.62*LOG10(inputs!$E$80)))</f>
        <v>7.0053270510438077</v>
      </c>
      <c r="R127" s="59">
        <f>(60*284*((F127/1000)^0.77)*3*24*(MAX('Max rate concentrations'!$R$3:$R$368))/F127)*(inputs!$E$73*3.4/inputs!$E$75)</f>
        <v>5.5889437467944204E-2</v>
      </c>
      <c r="S127" s="59">
        <f>(IF(inputs!$C$17="aerial",((0.025*0.112*inputs!$C$18/3.3)*(3*60*284*((F127/1000)^0.77))*MAX(inputs!$I$14:$I$16))/F127,((0.0083*0.112*inputs!$C$18/1)*(3*60*284*((F127/1000)^0.77))*MAX(inputs!$I$14:$I$16))/F127))*(inputs!E$75*3.4/inputs!$E$73)</f>
        <v>0.30823368138825363</v>
      </c>
      <c r="T127" s="63">
        <f>IF((((inputs!$P$13/(V127/MAX(K127:S127)))^(1/inputs!$O$13))-1)/inputs!$N$13&lt;0, 0, IF((((inputs!$P$13/(V127/MAX(K127:S127)))^(1/inputs!$O$13))-1)/inputs!$N$13&lt;inputs!$I$17, (((inputs!$P$13/(V127/MAX(K127:S127)))^(1/inputs!$O$13))-1)/inputs!$N$13, inputs!$I$17))</f>
        <v>1000</v>
      </c>
      <c r="U127" s="63">
        <f>IF((((inputs!$P$13/(X127/MAX(K127:S127)))^(1/inputs!$O$13))-1)/inputs!$N$13&lt;0, 0, IF((((inputs!$P$13/(X127/MAX(K127:S127)))^(1/inputs!$O$13))-1)/inputs!$N$13&lt;inputs!$I$17, (((inputs!$P$13/(X127/MAX(K127:S127)))^(1/inputs!$O$13))-1)/inputs!$N$13, inputs!$I$17))</f>
        <v>28.630276479051346</v>
      </c>
      <c r="V127" s="21">
        <f>inputs!$E$78*(F127/inputs!$F$78)^(inputs!$E$84-1)</f>
        <v>2.4464468841670566E-2</v>
      </c>
      <c r="W127" s="21">
        <f>inputs!$E$85*(F127/inputs!$F$85)^(inputs!$E$84-1)</f>
        <v>1.1297241036015404</v>
      </c>
      <c r="X127" s="21">
        <f>inputs!$E$80*(F127/inputs!$F$80)^(inputs!$E$84-1)</f>
        <v>4.2185900071196754</v>
      </c>
      <c r="Y127" s="21">
        <f>inputs!$E$82*(F127/inputs!$F$82)^(inputs!$E$84-1)</f>
        <v>1.9442814711011871</v>
      </c>
      <c r="Z127" s="63">
        <f t="shared" si="8"/>
        <v>1646.7943804762256</v>
      </c>
      <c r="AA127" s="63">
        <f t="shared" si="9"/>
        <v>35.661759965430086</v>
      </c>
    </row>
    <row r="128" spans="1:476" ht="13.2" x14ac:dyDescent="0.25">
      <c r="A128" s="103" t="s">
        <v>215</v>
      </c>
      <c r="B128" s="20" t="s">
        <v>216</v>
      </c>
      <c r="C128" s="20" t="s">
        <v>73</v>
      </c>
      <c r="D128" s="104" t="s">
        <v>217</v>
      </c>
      <c r="E128" s="15">
        <v>6901</v>
      </c>
      <c r="F128" s="15">
        <v>52.3</v>
      </c>
      <c r="G128" s="20" t="s">
        <v>182</v>
      </c>
      <c r="H128" s="20">
        <v>0.85</v>
      </c>
      <c r="I128" s="68">
        <f>MAX('Max rate concentrations'!$M$3:$M$368)</f>
        <v>17.092910873809167</v>
      </c>
      <c r="J128" s="68">
        <f>MAX('Max rate concentrations'!AE:AE)</f>
        <v>11.81956602976166</v>
      </c>
      <c r="K128" s="69">
        <f t="shared" si="11"/>
        <v>12.805140386755852</v>
      </c>
      <c r="L128" s="69">
        <f t="shared" ref="L128:L142" si="12">((0.301*F128^0.751)/(1-H128))*J128/F128</f>
        <v>8.854618352543941</v>
      </c>
      <c r="M128" s="69">
        <f>IF((((1.18*F128^0.874)/3.7-(0.301*F128^0.751)/(1-H128)*H128)*(MAX('Max rate concentrations'!$P$3:$P$368)))/F128&gt;0, (((1.18*F128^0.874)/3.7-(0.301*F128^0.751)/(1-H128)*H128)*(MAX('Max rate concentrations'!$P$3:$P$368)))/F128, 0)</f>
        <v>0</v>
      </c>
      <c r="N128" s="69">
        <f>IF((((1.18*F128^0.874)/3.7-(0.301*F128^0.751)/(1-H128)*H128)*(MAX('Max rate concentrations'!$Q$3:$Q$368)))/F128&gt;0, (((1.18*F128^0.874)/3.7-(0.301*F128^0.751)/(1-H128)*H128)*(MAX('Max rate concentrations'!$Q$3:$Q$368)))/F128, 0)</f>
        <v>0</v>
      </c>
      <c r="O128" s="69">
        <f>((MAX('Max rate concentrations'!$F$3:$F$368))*0.62*6.01*8*(10*F128^0.667)*0.079*0.1/F128)*inputs!$E$80/(10^(0.84+0.62*LOG10(inputs!$E$80)))</f>
        <v>39.309033276053327</v>
      </c>
      <c r="P128" s="69">
        <f>((MAX('Max rate concentrations'!Y:Y))*0.62*6.01*8*(10*F128^0.667)*0.079*0.1/F128)*inputs!$E$80/(10^(0.84+0.62*LOG10(inputs!$E$80)))</f>
        <v>13.103011092017779</v>
      </c>
      <c r="Q128" s="69">
        <f>(inputs!$C$18*11.2*(10*F128^0.667)*0.5/F128)*inputs!$E$80/(10^(0.84+0.62*LOG10(inputs!$E$80)))</f>
        <v>6.9241008074518229</v>
      </c>
      <c r="R128" s="59">
        <f>(60*284*((F128/1000)^0.77)*3*24*(MAX('Max rate concentrations'!$R$3:$R$368))/F128)*(inputs!$E$73*3.4/inputs!$E$75)</f>
        <v>5.5441039807015646E-2</v>
      </c>
      <c r="S128" s="59">
        <f>(IF(inputs!$C$17="aerial",((0.025*0.112*inputs!$C$18/3.3)*(3*60*284*((F128/1000)^0.77))*MAX(inputs!$I$14:$I$16))/F128,((0.0083*0.112*inputs!$C$18/1)*(3*60*284*((F128/1000)^0.77))*MAX(inputs!$I$14:$I$16))/F128))*(inputs!E$75*3.4/inputs!$E$73)</f>
        <v>0.30576074073943849</v>
      </c>
      <c r="T128" s="63">
        <f>IF((((inputs!$P$13/(V128/MAX(K128:S128)))^(1/inputs!$O$13))-1)/inputs!$N$13&lt;0, 0, IF((((inputs!$P$13/(V128/MAX(K128:S128)))^(1/inputs!$O$13))-1)/inputs!$N$13&lt;inputs!$I$17, (((inputs!$P$13/(V128/MAX(K128:S128)))^(1/inputs!$O$13))-1)/inputs!$N$13, inputs!$I$17))</f>
        <v>1000</v>
      </c>
      <c r="U128" s="63">
        <f>IF((((inputs!$P$13/(X128/MAX(K128:S128)))^(1/inputs!$O$13))-1)/inputs!$N$13&lt;0, 0, IF((((inputs!$P$13/(X128/MAX(K128:S128)))^(1/inputs!$O$13))-1)/inputs!$N$13&lt;inputs!$I$17, (((inputs!$P$13/(X128/MAX(K128:S128)))^(1/inputs!$O$13))-1)/inputs!$N$13, inputs!$I$17))</f>
        <v>28.313085079470266</v>
      </c>
      <c r="V128" s="21">
        <f>inputs!$E$78*(F128/inputs!$F$78)^(inputs!$E$84-1)</f>
        <v>2.4149490696052035E-2</v>
      </c>
      <c r="W128" s="21">
        <f>inputs!$E$85*(F128/inputs!$F$85)^(inputs!$E$84-1)</f>
        <v>1.115178993077544</v>
      </c>
      <c r="X128" s="21">
        <f>inputs!$E$80*(F128/inputs!$F$80)^(inputs!$E$84-1)</f>
        <v>4.1642759868085495</v>
      </c>
      <c r="Y128" s="21">
        <f>inputs!$E$82*(F128/inputs!$F$82)^(inputs!$E$84-1)</f>
        <v>1.9192489974230829</v>
      </c>
      <c r="Z128" s="63">
        <f t="shared" si="8"/>
        <v>1627.7375689119431</v>
      </c>
      <c r="AA128" s="63">
        <f t="shared" si="9"/>
        <v>35.249079762140006</v>
      </c>
    </row>
    <row r="129" spans="1:27" ht="13.2" x14ac:dyDescent="0.25">
      <c r="A129" s="103" t="s">
        <v>215</v>
      </c>
      <c r="B129" s="20" t="s">
        <v>216</v>
      </c>
      <c r="C129" s="20" t="s">
        <v>73</v>
      </c>
      <c r="D129" s="104" t="s">
        <v>217</v>
      </c>
      <c r="E129" s="15">
        <v>6901</v>
      </c>
      <c r="F129" s="15">
        <v>52.3</v>
      </c>
      <c r="G129" s="20" t="s">
        <v>142</v>
      </c>
      <c r="H129" s="20">
        <v>0.69</v>
      </c>
      <c r="I129" s="68">
        <f>MAX('Max rate concentrations'!$H$3:$H$368)</f>
        <v>282</v>
      </c>
      <c r="J129" s="68">
        <f>MAX('Max rate concentrations'!AA:AA)</f>
        <v>195</v>
      </c>
      <c r="K129" s="69">
        <f t="shared" si="11"/>
        <v>102.22261568697277</v>
      </c>
      <c r="L129" s="69">
        <f t="shared" si="12"/>
        <v>70.685851272906703</v>
      </c>
      <c r="M129" s="69">
        <f>IF((((1.18*F129^0.874)/3.7-(0.301*F129^0.751)/(1-H129)*H129)*(MAX('Max rate concentrations'!$P$3:$P$368)))/F129&gt;0, (((1.18*F129^0.874)/3.7-(0.301*F129^0.751)/(1-H129)*H129)*(MAX('Max rate concentrations'!$P$3:$P$368)))/F129, 0)</f>
        <v>0</v>
      </c>
      <c r="N129" s="69">
        <f>IF((((1.18*F129^0.874)/3.7-(0.301*F129^0.751)/(1-H129)*H129)*(MAX('Max rate concentrations'!$Q$3:$Q$368)))/F129&gt;0, (((1.18*F129^0.874)/3.7-(0.301*F129^0.751)/(1-H129)*H129)*(MAX('Max rate concentrations'!$Q$3:$Q$368)))/F129, 0)</f>
        <v>0</v>
      </c>
      <c r="O129" s="69">
        <f>((MAX('Max rate concentrations'!$F$3:$F$368))*0.62*6.01*8*(10*F129^0.667)*0.079*0.1/F129)*inputs!$E$80/(10^(0.84+0.62*LOG10(inputs!$E$80)))</f>
        <v>39.309033276053327</v>
      </c>
      <c r="P129" s="69">
        <f>((MAX('Max rate concentrations'!Y:Y))*0.62*6.01*8*(10*F129^0.667)*0.079*0.1/F129)*inputs!$E$80/(10^(0.84+0.62*LOG10(inputs!$E$80)))</f>
        <v>13.103011092017779</v>
      </c>
      <c r="Q129" s="69">
        <f>(inputs!$C$18*11.2*(10*F129^0.667)*0.5/F129)*inputs!$E$80/(10^(0.84+0.62*LOG10(inputs!$E$80)))</f>
        <v>6.9241008074518229</v>
      </c>
      <c r="R129" s="59">
        <f>(60*284*((F129/1000)^0.77)*3*24*(MAX('Max rate concentrations'!$R$3:$R$368))/F129)*(inputs!$E$73*3.4/inputs!$E$75)</f>
        <v>5.5441039807015646E-2</v>
      </c>
      <c r="S129" s="59">
        <f>(IF(inputs!$C$17="aerial",((0.025*0.112*inputs!$C$18/3.3)*(3*60*284*((F129/1000)^0.77))*MAX(inputs!$I$14:$I$16))/F129,((0.0083*0.112*inputs!$C$18/1)*(3*60*284*((F129/1000)^0.77))*MAX(inputs!$I$14:$I$16))/F129))*(inputs!E$75*3.4/inputs!$E$73)</f>
        <v>0.30576074073943849</v>
      </c>
      <c r="T129" s="63">
        <f>IF((((inputs!$P$13/(V129/MAX(K129:S129)))^(1/inputs!$O$13))-1)/inputs!$N$13&lt;0, 0, IF((((inputs!$P$13/(V129/MAX(K129:S129)))^(1/inputs!$O$13))-1)/inputs!$N$13&lt;inputs!$I$17, (((inputs!$P$13/(V129/MAX(K129:S129)))^(1/inputs!$O$13))-1)/inputs!$N$13, inputs!$I$17))</f>
        <v>1000</v>
      </c>
      <c r="U129" s="63">
        <f>IF((((inputs!$P$13/(X129/MAX(K129:S129)))^(1/inputs!$O$13))-1)/inputs!$N$13&lt;0, 0, IF((((inputs!$P$13/(X129/MAX(K129:S129)))^(1/inputs!$O$13))-1)/inputs!$N$13&lt;inputs!$I$17, (((inputs!$P$13/(X129/MAX(K129:S129)))^(1/inputs!$O$13))-1)/inputs!$N$13, inputs!$I$17))</f>
        <v>67.41849206331932</v>
      </c>
      <c r="V129" s="21">
        <f>inputs!$E$78*(F129/inputs!$F$78)^(inputs!$E$84-1)</f>
        <v>2.4149490696052035E-2</v>
      </c>
      <c r="W129" s="21">
        <f>inputs!$E$85*(F129/inputs!$F$85)^(inputs!$E$84-1)</f>
        <v>1.115178993077544</v>
      </c>
      <c r="X129" s="21">
        <f>inputs!$E$80*(F129/inputs!$F$80)^(inputs!$E$84-1)</f>
        <v>4.1642759868085495</v>
      </c>
      <c r="Y129" s="21">
        <f>inputs!$E$82*(F129/inputs!$F$82)^(inputs!$E$84-1)</f>
        <v>1.9192489974230829</v>
      </c>
      <c r="Z129" s="63">
        <f t="shared" si="8"/>
        <v>4232.9097939810445</v>
      </c>
      <c r="AA129" s="63">
        <f t="shared" si="9"/>
        <v>91.664760833478795</v>
      </c>
    </row>
    <row r="130" spans="1:27" ht="13.2" x14ac:dyDescent="0.25">
      <c r="A130" s="103" t="s">
        <v>215</v>
      </c>
      <c r="B130" s="20" t="s">
        <v>216</v>
      </c>
      <c r="C130" s="20" t="s">
        <v>73</v>
      </c>
      <c r="D130" s="104" t="s">
        <v>217</v>
      </c>
      <c r="E130" s="15">
        <v>6901</v>
      </c>
      <c r="F130" s="15">
        <v>52.3</v>
      </c>
      <c r="G130" s="20" t="s">
        <v>138</v>
      </c>
      <c r="H130" s="20">
        <v>0.68</v>
      </c>
      <c r="I130" s="68">
        <f>MAX('Max rate concentrations'!$L$3:$L$368)</f>
        <v>350.52744091332482</v>
      </c>
      <c r="J130" s="68">
        <f>MAX('Max rate concentrations'!AD:AD)</f>
        <v>242.38599637623525</v>
      </c>
      <c r="K130" s="69">
        <f t="shared" si="11"/>
        <v>123.09250756724813</v>
      </c>
      <c r="L130" s="69">
        <f t="shared" si="12"/>
        <v>85.117159487990733</v>
      </c>
      <c r="M130" s="69">
        <f>IF((((1.18*F130^0.874)/3.7-(0.301*F130^0.751)/(1-H130)*H130)*(MAX('Max rate concentrations'!$P$3:$P$368)))/F130&gt;0, (((1.18*F130^0.874)/3.7-(0.301*F130^0.751)/(1-H130)*H130)*(MAX('Max rate concentrations'!$P$3:$P$368)))/F130, 0)</f>
        <v>0</v>
      </c>
      <c r="N130" s="69">
        <f>IF((((1.18*F130^0.874)/3.7-(0.301*F130^0.751)/(1-H130)*H130)*(MAX('Max rate concentrations'!$Q$3:$Q$368)))/F130&gt;0, (((1.18*F130^0.874)/3.7-(0.301*F130^0.751)/(1-H130)*H130)*(MAX('Max rate concentrations'!$Q$3:$Q$368)))/F130, 0)</f>
        <v>0</v>
      </c>
      <c r="O130" s="69">
        <f>((MAX('Max rate concentrations'!$F$3:$F$368))*0.62*6.01*8*(10*F130^0.667)*0.079*0.1/F130)*inputs!$E$80/(10^(0.84+0.62*LOG10(inputs!$E$80)))</f>
        <v>39.309033276053327</v>
      </c>
      <c r="P130" s="69">
        <f>((MAX('Max rate concentrations'!Y:Y))*0.62*6.01*8*(10*F130^0.667)*0.079*0.1/F130)*inputs!$E$80/(10^(0.84+0.62*LOG10(inputs!$E$80)))</f>
        <v>13.103011092017779</v>
      </c>
      <c r="Q130" s="69">
        <f>(inputs!$C$18*11.2*(10*F130^0.667)*0.5/F130)*inputs!$E$80/(10^(0.84+0.62*LOG10(inputs!$E$80)))</f>
        <v>6.9241008074518229</v>
      </c>
      <c r="R130" s="59">
        <f>(60*284*((F130/1000)^0.77)*3*24*(MAX('Max rate concentrations'!$R$3:$R$368))/F130)*(inputs!$E$73*3.4/inputs!$E$75)</f>
        <v>5.5441039807015646E-2</v>
      </c>
      <c r="S130" s="59">
        <f>(IF(inputs!$C$17="aerial",((0.025*0.112*inputs!$C$18/3.3)*(3*60*284*((F130/1000)^0.77))*MAX(inputs!$I$14:$I$16))/F130,((0.0083*0.112*inputs!$C$18/1)*(3*60*284*((F130/1000)^0.77))*MAX(inputs!$I$14:$I$16))/F130))*(inputs!E$75*3.4/inputs!$E$73)</f>
        <v>0.30576074073943849</v>
      </c>
      <c r="T130" s="63">
        <f>IF((((inputs!$P$13/(V130/MAX(K130:S130)))^(1/inputs!$O$13))-1)/inputs!$N$13&lt;0, 0, IF((((inputs!$P$13/(V130/MAX(K130:S130)))^(1/inputs!$O$13))-1)/inputs!$N$13&lt;inputs!$I$17, (((inputs!$P$13/(V130/MAX(K130:S130)))^(1/inputs!$O$13))-1)/inputs!$N$13, inputs!$I$17))</f>
        <v>1000</v>
      </c>
      <c r="U130" s="63">
        <f>IF((((inputs!$P$13/(X130/MAX(K130:S130)))^(1/inputs!$O$13))-1)/inputs!$N$13&lt;0, 0, IF((((inputs!$P$13/(X130/MAX(K130:S130)))^(1/inputs!$O$13))-1)/inputs!$N$13&lt;inputs!$I$17, (((inputs!$P$13/(X130/MAX(K130:S130)))^(1/inputs!$O$13))-1)/inputs!$N$13, inputs!$I$17))</f>
        <v>79.195099669265431</v>
      </c>
      <c r="V130" s="21">
        <f>inputs!$E$78*(F130/inputs!$F$78)^(inputs!$E$84-1)</f>
        <v>2.4149490696052035E-2</v>
      </c>
      <c r="W130" s="21">
        <f>inputs!$E$85*(F130/inputs!$F$85)^(inputs!$E$84-1)</f>
        <v>1.115178993077544</v>
      </c>
      <c r="X130" s="21">
        <f>inputs!$E$80*(F130/inputs!$F$80)^(inputs!$E$84-1)</f>
        <v>4.1642759868085495</v>
      </c>
      <c r="Y130" s="21">
        <f>inputs!$E$82*(F130/inputs!$F$82)^(inputs!$E$84-1)</f>
        <v>1.9192489974230829</v>
      </c>
      <c r="Z130" s="63">
        <f t="shared" ref="Z130:Z193" si="13">MAX(K130:S130)/V130</f>
        <v>5097.1057367835638</v>
      </c>
      <c r="AA130" s="63">
        <f t="shared" ref="AA130:AA193" si="14">MAX(K130:S130)/W130</f>
        <v>110.3791483980087</v>
      </c>
    </row>
    <row r="131" spans="1:27" ht="13.2" x14ac:dyDescent="0.25">
      <c r="A131" s="103" t="s">
        <v>215</v>
      </c>
      <c r="B131" s="20" t="s">
        <v>216</v>
      </c>
      <c r="C131" s="20" t="s">
        <v>73</v>
      </c>
      <c r="D131" s="104" t="s">
        <v>217</v>
      </c>
      <c r="E131" s="15">
        <v>6901</v>
      </c>
      <c r="F131" s="15">
        <v>52.3</v>
      </c>
      <c r="G131" s="20" t="s">
        <v>218</v>
      </c>
      <c r="H131" s="20">
        <v>0.68</v>
      </c>
      <c r="I131" s="68">
        <f>MAX('Max rate concentrations'!$K$3:$K$368)</f>
        <v>110.00035859694511</v>
      </c>
      <c r="J131" s="68">
        <f>MAX('Max rate concentrations'!AC:AC)</f>
        <v>38.958460336418057</v>
      </c>
      <c r="K131" s="69">
        <f t="shared" si="11"/>
        <v>38.628131189142977</v>
      </c>
      <c r="L131" s="69">
        <f t="shared" si="12"/>
        <v>13.680796462821471</v>
      </c>
      <c r="M131" s="69">
        <f>IF((((1.18*F131^0.874)/3.7-(0.301*F131^0.751)/(1-H131)*H131)*(MAX('Max rate concentrations'!$P$3:$P$368)))/F131&gt;0, (((1.18*F131^0.874)/3.7-(0.301*F131^0.751)/(1-H131)*H131)*(MAX('Max rate concentrations'!$P$3:$P$368)))/F131, 0)</f>
        <v>0</v>
      </c>
      <c r="N131" s="69">
        <f>IF((((1.18*F131^0.874)/3.7-(0.301*F131^0.751)/(1-H131)*H131)*(MAX('Max rate concentrations'!$Q$3:$Q$368)))/F131&gt;0, (((1.18*F131^0.874)/3.7-(0.301*F131^0.751)/(1-H131)*H131)*(MAX('Max rate concentrations'!$Q$3:$Q$368)))/F131, 0)</f>
        <v>0</v>
      </c>
      <c r="O131" s="69">
        <f>((MAX('Max rate concentrations'!$F$3:$F$368))*0.62*6.01*8*(10*F131^0.667)*0.079*0.1/F131)*inputs!$E$80/(10^(0.84+0.62*LOG10(inputs!$E$80)))</f>
        <v>39.309033276053327</v>
      </c>
      <c r="P131" s="69">
        <f>((MAX('Max rate concentrations'!Y:Y))*0.62*6.01*8*(10*F131^0.667)*0.079*0.1/F131)*inputs!$E$80/(10^(0.84+0.62*LOG10(inputs!$E$80)))</f>
        <v>13.103011092017779</v>
      </c>
      <c r="Q131" s="69">
        <f>(inputs!$C$18*11.2*(10*F131^0.667)*0.5/F131)*inputs!$E$80/(10^(0.84+0.62*LOG10(inputs!$E$80)))</f>
        <v>6.9241008074518229</v>
      </c>
      <c r="R131" s="59">
        <f>(60*284*((F131/1000)^0.77)*3*24*(MAX('Max rate concentrations'!$R$3:$R$368))/F131)*(inputs!$E$73*3.4/inputs!$E$75)</f>
        <v>5.5441039807015646E-2</v>
      </c>
      <c r="S131" s="59">
        <f>(IF(inputs!$C$17="aerial",((0.025*0.112*inputs!$C$18/3.3)*(3*60*284*((F131/1000)^0.77))*MAX(inputs!$I$14:$I$16))/F131,((0.0083*0.112*inputs!$C$18/1)*(3*60*284*((F131/1000)^0.77))*MAX(inputs!$I$14:$I$16))/F131))*(inputs!E$75*3.4/inputs!$E$73)</f>
        <v>0.30576074073943849</v>
      </c>
      <c r="T131" s="63">
        <f>IF((((inputs!$P$13/(V131/MAX(K131:S131)))^(1/inputs!$O$13))-1)/inputs!$N$13&lt;0, 0, IF((((inputs!$P$13/(V131/MAX(K131:S131)))^(1/inputs!$O$13))-1)/inputs!$N$13&lt;inputs!$I$17, (((inputs!$P$13/(V131/MAX(K131:S131)))^(1/inputs!$O$13))-1)/inputs!$N$13, inputs!$I$17))</f>
        <v>1000</v>
      </c>
      <c r="U131" s="63">
        <f>IF((((inputs!$P$13/(X131/MAX(K131:S131)))^(1/inputs!$O$13))-1)/inputs!$N$13&lt;0, 0, IF((((inputs!$P$13/(X131/MAX(K131:S131)))^(1/inputs!$O$13))-1)/inputs!$N$13&lt;inputs!$I$17, (((inputs!$P$13/(X131/MAX(K131:S131)))^(1/inputs!$O$13))-1)/inputs!$N$13, inputs!$I$17))</f>
        <v>28.313085079470266</v>
      </c>
      <c r="V131" s="21">
        <f>inputs!$E$78*(F131/inputs!$F$78)^(inputs!$E$84-1)</f>
        <v>2.4149490696052035E-2</v>
      </c>
      <c r="W131" s="21">
        <f>inputs!$E$85*(F131/inputs!$F$85)^(inputs!$E$84-1)</f>
        <v>1.115178993077544</v>
      </c>
      <c r="X131" s="21">
        <f>inputs!$E$80*(F131/inputs!$F$80)^(inputs!$E$84-1)</f>
        <v>4.1642759868085495</v>
      </c>
      <c r="Y131" s="21">
        <f>inputs!$E$82*(F131/inputs!$F$82)^(inputs!$E$84-1)</f>
        <v>1.9192489974230829</v>
      </c>
      <c r="Z131" s="63">
        <f t="shared" si="13"/>
        <v>1627.7375689119431</v>
      </c>
      <c r="AA131" s="63">
        <f t="shared" si="14"/>
        <v>35.249079762140006</v>
      </c>
    </row>
    <row r="132" spans="1:27" ht="13.2" x14ac:dyDescent="0.25">
      <c r="A132" s="103" t="s">
        <v>215</v>
      </c>
      <c r="B132" s="20" t="s">
        <v>216</v>
      </c>
      <c r="C132" s="20" t="s">
        <v>73</v>
      </c>
      <c r="D132" s="104" t="s">
        <v>217</v>
      </c>
      <c r="E132" s="15">
        <v>6901</v>
      </c>
      <c r="F132" s="15">
        <v>52.3</v>
      </c>
      <c r="G132" s="20" t="s">
        <v>152</v>
      </c>
      <c r="H132" s="20">
        <v>0.77</v>
      </c>
      <c r="I132" s="68">
        <f>MAX('Max rate concentrations'!$G$3:$G$368)</f>
        <v>45</v>
      </c>
      <c r="J132" s="68">
        <f>MAX('Max rate concentrations'!Z:Z)</f>
        <v>21</v>
      </c>
      <c r="K132" s="69">
        <f t="shared" si="11"/>
        <v>21.985900228696739</v>
      </c>
      <c r="L132" s="69">
        <f t="shared" si="12"/>
        <v>10.260086773391812</v>
      </c>
      <c r="M132" s="69">
        <f>IF((((1.18*F132^0.874)/3.7-(0.301*F132^0.751)/(1-H132)*H132)*(MAX('Max rate concentrations'!$P$3:$P$368)))/F132&gt;0, (((1.18*F132^0.874)/3.7-(0.301*F132^0.751)/(1-H132)*H132)*(MAX('Max rate concentrations'!$P$3:$P$368)))/F132, 0)</f>
        <v>0</v>
      </c>
      <c r="N132" s="69">
        <f>IF((((1.18*F132^0.874)/3.7-(0.301*F132^0.751)/(1-H132)*H132)*(MAX('Max rate concentrations'!$Q$3:$Q$368)))/F132&gt;0, (((1.18*F132^0.874)/3.7-(0.301*F132^0.751)/(1-H132)*H132)*(MAX('Max rate concentrations'!$Q$3:$Q$368)))/F132, 0)</f>
        <v>0</v>
      </c>
      <c r="O132" s="69">
        <f>((MAX('Max rate concentrations'!$F$3:$F$368))*0.62*6.01*8*(10*F132^0.667)*0.079*0.1/F132)*inputs!$E$80/(10^(0.84+0.62*LOG10(inputs!$E$80)))</f>
        <v>39.309033276053327</v>
      </c>
      <c r="P132" s="69">
        <f>((MAX('Max rate concentrations'!Y:Y))*0.62*6.01*8*(10*F132^0.667)*0.079*0.1/F132)*inputs!$E$80/(10^(0.84+0.62*LOG10(inputs!$E$80)))</f>
        <v>13.103011092017779</v>
      </c>
      <c r="Q132" s="69">
        <f>(inputs!$C$18*11.2*(10*F132^0.667)*0.5/F132)*inputs!$E$80/(10^(0.84+0.62*LOG10(inputs!$E$80)))</f>
        <v>6.9241008074518229</v>
      </c>
      <c r="R132" s="59">
        <f>(60*284*((F132/1000)^0.77)*3*24*(MAX('Max rate concentrations'!$R$3:$R$368))/F132)*(inputs!$E$73*3.4/inputs!$E$75)</f>
        <v>5.5441039807015646E-2</v>
      </c>
      <c r="S132" s="59">
        <f>(IF(inputs!$C$17="aerial",((0.025*0.112*inputs!$C$18/3.3)*(3*60*284*((F132/1000)^0.77))*MAX(inputs!$I$14:$I$16))/F132,((0.0083*0.112*inputs!$C$18/1)*(3*60*284*((F132/1000)^0.77))*MAX(inputs!$I$14:$I$16))/F132))*(inputs!E$75*3.4/inputs!$E$73)</f>
        <v>0.30576074073943849</v>
      </c>
      <c r="T132" s="63">
        <f>IF((((inputs!$P$13/(V132/MAX(K132:S132)))^(1/inputs!$O$13))-1)/inputs!$N$13&lt;0, 0, IF((((inputs!$P$13/(V132/MAX(K132:S132)))^(1/inputs!$O$13))-1)/inputs!$N$13&lt;inputs!$I$17, (((inputs!$P$13/(V132/MAX(K132:S132)))^(1/inputs!$O$13))-1)/inputs!$N$13, inputs!$I$17))</f>
        <v>1000</v>
      </c>
      <c r="U132" s="63">
        <f>IF((((inputs!$P$13/(X132/MAX(K132:S132)))^(1/inputs!$O$13))-1)/inputs!$N$13&lt;0, 0, IF((((inputs!$P$13/(X132/MAX(K132:S132)))^(1/inputs!$O$13))-1)/inputs!$N$13&lt;inputs!$I$17, (((inputs!$P$13/(X132/MAX(K132:S132)))^(1/inputs!$O$13))-1)/inputs!$N$13, inputs!$I$17))</f>
        <v>28.313085079470266</v>
      </c>
      <c r="V132" s="21">
        <f>inputs!$E$78*(F132/inputs!$F$78)^(inputs!$E$84-1)</f>
        <v>2.4149490696052035E-2</v>
      </c>
      <c r="W132" s="21">
        <f>inputs!$E$85*(F132/inputs!$F$85)^(inputs!$E$84-1)</f>
        <v>1.115178993077544</v>
      </c>
      <c r="X132" s="21">
        <f>inputs!$E$80*(F132/inputs!$F$80)^(inputs!$E$84-1)</f>
        <v>4.1642759868085495</v>
      </c>
      <c r="Y132" s="21">
        <f>inputs!$E$82*(F132/inputs!$F$82)^(inputs!$E$84-1)</f>
        <v>1.9192489974230829</v>
      </c>
      <c r="Z132" s="63">
        <f t="shared" si="13"/>
        <v>1627.7375689119431</v>
      </c>
      <c r="AA132" s="63">
        <f t="shared" si="14"/>
        <v>35.249079762140006</v>
      </c>
    </row>
    <row r="133" spans="1:27" ht="13.2" x14ac:dyDescent="0.25">
      <c r="A133" s="103" t="s">
        <v>215</v>
      </c>
      <c r="B133" s="20" t="s">
        <v>216</v>
      </c>
      <c r="C133" s="20" t="s">
        <v>73</v>
      </c>
      <c r="D133" s="104" t="s">
        <v>217</v>
      </c>
      <c r="E133" s="15">
        <v>6901</v>
      </c>
      <c r="F133" s="15">
        <v>52.3</v>
      </c>
      <c r="G133" s="20" t="s">
        <v>145</v>
      </c>
      <c r="H133" s="20">
        <v>0.66</v>
      </c>
      <c r="I133" s="68">
        <f>MAX('Max rate concentrations'!$M$3:$M$368)</f>
        <v>17.092910873809167</v>
      </c>
      <c r="J133" s="68">
        <f>MAX('Max rate concentrations'!AE:AE)</f>
        <v>11.81956602976166</v>
      </c>
      <c r="K133" s="69">
        <f t="shared" si="11"/>
        <v>5.6493266412158176</v>
      </c>
      <c r="L133" s="69">
        <f t="shared" si="12"/>
        <v>3.9064492731811513</v>
      </c>
      <c r="M133" s="69">
        <f>IF((((1.18*F133^0.874)/3.7-(0.301*F133^0.751)/(1-H133)*H133)*(MAX('Max rate concentrations'!$P$3:$P$368)))/F133&gt;0, (((1.18*F133^0.874)/3.7-(0.301*F133^0.751)/(1-H133)*H133)*(MAX('Max rate concentrations'!$P$3:$P$368)))/F133, 0)</f>
        <v>0</v>
      </c>
      <c r="N133" s="69">
        <f>IF((((1.18*F133^0.874)/3.7-(0.301*F133^0.751)/(1-H133)*H133)*(MAX('Max rate concentrations'!$Q$3:$Q$368)))/F133&gt;0, (((1.18*F133^0.874)/3.7-(0.301*F133^0.751)/(1-H133)*H133)*(MAX('Max rate concentrations'!$Q$3:$Q$368)))/F133, 0)</f>
        <v>0</v>
      </c>
      <c r="O133" s="69">
        <f>((MAX('Max rate concentrations'!$F$3:$F$368))*0.62*6.01*8*(10*F133^0.667)*0.079*0.1/F133)*inputs!$E$80/(10^(0.84+0.62*LOG10(inputs!$E$80)))</f>
        <v>39.309033276053327</v>
      </c>
      <c r="P133" s="69">
        <f>((MAX('Max rate concentrations'!Y:Y))*0.62*6.01*8*(10*F133^0.667)*0.079*0.1/F133)*inputs!$E$80/(10^(0.84+0.62*LOG10(inputs!$E$80)))</f>
        <v>13.103011092017779</v>
      </c>
      <c r="Q133" s="69">
        <f>(inputs!$C$18*11.2*(10*F133^0.667)*0.5/F133)*inputs!$E$80/(10^(0.84+0.62*LOG10(inputs!$E$80)))</f>
        <v>6.9241008074518229</v>
      </c>
      <c r="R133" s="59">
        <f>(60*284*((F133/1000)^0.77)*3*24*(MAX('Max rate concentrations'!$R$3:$R$368))/F133)*(inputs!$E$73*3.4/inputs!$E$75)</f>
        <v>5.5441039807015646E-2</v>
      </c>
      <c r="S133" s="59">
        <f>(IF(inputs!$C$17="aerial",((0.025*0.112*inputs!$C$18/3.3)*(3*60*284*((F133/1000)^0.77))*MAX(inputs!$I$14:$I$16))/F133,((0.0083*0.112*inputs!$C$18/1)*(3*60*284*((F133/1000)^0.77))*MAX(inputs!$I$14:$I$16))/F133))*(inputs!E$75*3.4/inputs!$E$73)</f>
        <v>0.30576074073943849</v>
      </c>
      <c r="T133" s="63">
        <f>IF((((inputs!$P$13/(V133/MAX(K133:S133)))^(1/inputs!$O$13))-1)/inputs!$N$13&lt;0, 0, IF((((inputs!$P$13/(V133/MAX(K133:S133)))^(1/inputs!$O$13))-1)/inputs!$N$13&lt;inputs!$I$17, (((inputs!$P$13/(V133/MAX(K133:S133)))^(1/inputs!$O$13))-1)/inputs!$N$13, inputs!$I$17))</f>
        <v>1000</v>
      </c>
      <c r="U133" s="63">
        <f>IF((((inputs!$P$13/(X133/MAX(K133:S133)))^(1/inputs!$O$13))-1)/inputs!$N$13&lt;0, 0, IF((((inputs!$P$13/(X133/MAX(K133:S133)))^(1/inputs!$O$13))-1)/inputs!$N$13&lt;inputs!$I$17, (((inputs!$P$13/(X133/MAX(K133:S133)))^(1/inputs!$O$13))-1)/inputs!$N$13, inputs!$I$17))</f>
        <v>28.313085079470266</v>
      </c>
      <c r="V133" s="21">
        <f>inputs!$E$78*(F133/inputs!$F$78)^(inputs!$E$84-1)</f>
        <v>2.4149490696052035E-2</v>
      </c>
      <c r="W133" s="21">
        <f>inputs!$E$85*(F133/inputs!$F$85)^(inputs!$E$84-1)</f>
        <v>1.115178993077544</v>
      </c>
      <c r="X133" s="21">
        <f>inputs!$E$80*(F133/inputs!$F$80)^(inputs!$E$84-1)</f>
        <v>4.1642759868085495</v>
      </c>
      <c r="Y133" s="21">
        <f>inputs!$E$82*(F133/inputs!$F$82)^(inputs!$E$84-1)</f>
        <v>1.9192489974230829</v>
      </c>
      <c r="Z133" s="63">
        <f t="shared" si="13"/>
        <v>1627.7375689119431</v>
      </c>
      <c r="AA133" s="63">
        <f t="shared" si="14"/>
        <v>35.249079762140006</v>
      </c>
    </row>
    <row r="134" spans="1:27" ht="13.2" x14ac:dyDescent="0.25">
      <c r="A134" s="103" t="s">
        <v>215</v>
      </c>
      <c r="B134" s="20" t="s">
        <v>216</v>
      </c>
      <c r="C134" s="20" t="s">
        <v>73</v>
      </c>
      <c r="D134" s="104" t="s">
        <v>217</v>
      </c>
      <c r="E134" s="15">
        <v>6901</v>
      </c>
      <c r="F134" s="15">
        <v>52.3</v>
      </c>
      <c r="G134" s="20" t="s">
        <v>154</v>
      </c>
      <c r="H134" s="20">
        <v>9.2999999999999999E-2</v>
      </c>
      <c r="I134" s="68">
        <f>MAX('Max rate concentrations'!$G$3:$G$368)</f>
        <v>45</v>
      </c>
      <c r="J134" s="68">
        <f>MAX('Max rate concentrations'!Z:Z)</f>
        <v>21</v>
      </c>
      <c r="K134" s="69">
        <f t="shared" si="11"/>
        <v>5.5752558463067814</v>
      </c>
      <c r="L134" s="69">
        <f t="shared" si="12"/>
        <v>2.6017860616098312</v>
      </c>
      <c r="M134" s="69">
        <f>IF((((1.18*F134^0.874)/3.7-(0.301*F134^0.751)/(1-H134)*H134)*(MAX('Max rate concentrations'!$P$3:$P$368)))/F134&gt;0, (((1.18*F134^0.874)/3.7-(0.301*F134^0.751)/(1-H134)*H134)*(MAX('Max rate concentrations'!$P$3:$P$368)))/F134, 0)</f>
        <v>0.15866405263617658</v>
      </c>
      <c r="N134" s="69">
        <f>IF((((1.18*F134^0.874)/3.7-(0.301*F134^0.751)/(1-H134)*H134)*(MAX('Max rate concentrations'!$Q$3:$Q$368)))/F134&gt;0, (((1.18*F134^0.874)/3.7-(0.301*F134^0.751)/(1-H134)*H134)*(MAX('Max rate concentrations'!$Q$3:$Q$368)))/F134, 0)</f>
        <v>0.60420123772547785</v>
      </c>
      <c r="O134" s="69">
        <f>((MAX('Max rate concentrations'!$F$3:$F$368))*0.62*6.01*8*(10*F134^0.667)*0.079*0.1/F134)*inputs!$E$80/(10^(0.84+0.62*LOG10(inputs!$E$80)))</f>
        <v>39.309033276053327</v>
      </c>
      <c r="P134" s="69">
        <f>((MAX('Max rate concentrations'!Y:Y))*0.62*6.01*8*(10*F134^0.667)*0.079*0.1/F134)*inputs!$E$80/(10^(0.84+0.62*LOG10(inputs!$E$80)))</f>
        <v>13.103011092017779</v>
      </c>
      <c r="Q134" s="69">
        <f>(inputs!$C$18*11.2*(10*F134^0.667)*0.5/F134)*inputs!$E$80/(10^(0.84+0.62*LOG10(inputs!$E$80)))</f>
        <v>6.9241008074518229</v>
      </c>
      <c r="R134" s="59">
        <f>(60*284*((F134/1000)^0.77)*3*24*(MAX('Max rate concentrations'!$R$3:$R$368))/F134)*(inputs!$E$73*3.4/inputs!$E$75)</f>
        <v>5.5441039807015646E-2</v>
      </c>
      <c r="S134" s="59">
        <f>(IF(inputs!$C$17="aerial",((0.025*0.112*inputs!$C$18/3.3)*(3*60*284*((F134/1000)^0.77))*MAX(inputs!$I$14:$I$16))/F134,((0.0083*0.112*inputs!$C$18/1)*(3*60*284*((F134/1000)^0.77))*MAX(inputs!$I$14:$I$16))/F134))*(inputs!E$75*3.4/inputs!$E$73)</f>
        <v>0.30576074073943849</v>
      </c>
      <c r="T134" s="63">
        <f>IF((((inputs!$P$13/(V134/MAX(K134:S134)))^(1/inputs!$O$13))-1)/inputs!$N$13&lt;0, 0, IF((((inputs!$P$13/(V134/MAX(K134:S134)))^(1/inputs!$O$13))-1)/inputs!$N$13&lt;inputs!$I$17, (((inputs!$P$13/(V134/MAX(K134:S134)))^(1/inputs!$O$13))-1)/inputs!$N$13, inputs!$I$17))</f>
        <v>1000</v>
      </c>
      <c r="U134" s="63">
        <f>IF((((inputs!$P$13/(X134/MAX(K134:S134)))^(1/inputs!$O$13))-1)/inputs!$N$13&lt;0, 0, IF((((inputs!$P$13/(X134/MAX(K134:S134)))^(1/inputs!$O$13))-1)/inputs!$N$13&lt;inputs!$I$17, (((inputs!$P$13/(X134/MAX(K134:S134)))^(1/inputs!$O$13))-1)/inputs!$N$13, inputs!$I$17))</f>
        <v>28.313085079470266</v>
      </c>
      <c r="V134" s="21">
        <f>inputs!$E$78*(F134/inputs!$F$78)^(inputs!$E$84-1)</f>
        <v>2.4149490696052035E-2</v>
      </c>
      <c r="W134" s="21">
        <f>inputs!$E$85*(F134/inputs!$F$85)^(inputs!$E$84-1)</f>
        <v>1.115178993077544</v>
      </c>
      <c r="X134" s="21">
        <f>inputs!$E$80*(F134/inputs!$F$80)^(inputs!$E$84-1)</f>
        <v>4.1642759868085495</v>
      </c>
      <c r="Y134" s="21">
        <f>inputs!$E$82*(F134/inputs!$F$82)^(inputs!$E$84-1)</f>
        <v>1.9192489974230829</v>
      </c>
      <c r="Z134" s="63">
        <f t="shared" si="13"/>
        <v>1627.7375689119431</v>
      </c>
      <c r="AA134" s="63">
        <f t="shared" si="14"/>
        <v>35.249079762140006</v>
      </c>
    </row>
    <row r="135" spans="1:27" ht="13.2" x14ac:dyDescent="0.25">
      <c r="A135" s="103" t="s">
        <v>315</v>
      </c>
      <c r="B135" s="20" t="s">
        <v>316</v>
      </c>
      <c r="C135" s="20" t="s">
        <v>73</v>
      </c>
      <c r="D135" s="104" t="s">
        <v>236</v>
      </c>
      <c r="E135" s="15">
        <v>125</v>
      </c>
      <c r="F135" s="15">
        <v>834</v>
      </c>
      <c r="G135" s="20" t="s">
        <v>182</v>
      </c>
      <c r="H135" s="20">
        <v>0.85</v>
      </c>
      <c r="I135" s="68">
        <f>MAX('Max rate concentrations'!$M$3:$M$368)</f>
        <v>17.092910873809167</v>
      </c>
      <c r="J135" s="68">
        <f>MAX('Max rate concentrations'!AE:AE)</f>
        <v>11.81956602976166</v>
      </c>
      <c r="K135" s="69">
        <f t="shared" si="11"/>
        <v>6.4257069909748932</v>
      </c>
      <c r="L135" s="69">
        <f t="shared" si="12"/>
        <v>4.4433080256741295</v>
      </c>
      <c r="M135" s="69">
        <f>IF((((1.18*F135^0.874)/3.7-(0.301*F135^0.751)/(1-H135)*H135)*(MAX('Max rate concentrations'!$P$3:$P$368)))/F135&gt;0, (((1.18*F135^0.874)/3.7-(0.301*F135^0.751)/(1-H135)*H135)*(MAX('Max rate concentrations'!$P$3:$P$368)))/F135, 0)</f>
        <v>0</v>
      </c>
      <c r="N135" s="69">
        <f>IF((((1.18*F135^0.874)/3.7-(0.301*F135^0.751)/(1-H135)*H135)*(MAX('Max rate concentrations'!$Q$3:$Q$368)))/F135&gt;0, (((1.18*F135^0.874)/3.7-(0.301*F135^0.751)/(1-H135)*H135)*(MAX('Max rate concentrations'!$Q$3:$Q$368)))/F135, 0)</f>
        <v>0</v>
      </c>
      <c r="O135" s="69">
        <f>((MAX('Max rate concentrations'!$F$3:$F$368))*0.62*6.01*8*(10*F135^0.667)*0.079*0.1/F135)*inputs!$E$80/(10^(0.84+0.62*LOG10(inputs!$E$80)))</f>
        <v>15.631661103413768</v>
      </c>
      <c r="P135" s="69">
        <f>((MAX('Max rate concentrations'!Y:Y))*0.62*6.01*8*(10*F135^0.667)*0.079*0.1/F135)*inputs!$E$80/(10^(0.84+0.62*LOG10(inputs!$E$80)))</f>
        <v>5.2105537011379237</v>
      </c>
      <c r="Q135" s="69">
        <f>(inputs!$C$18*11.2*(10*F135^0.667)*0.5/F135)*inputs!$E$80/(10^(0.84+0.62*LOG10(inputs!$E$80)))</f>
        <v>2.7534433754161114</v>
      </c>
      <c r="R135" s="59">
        <f>(60*284*((F135/1000)^0.77)*3*24*(MAX('Max rate concentrations'!$R$3:$R$368))/F135)*(inputs!$E$73*3.4/inputs!$E$75)</f>
        <v>2.9323686225671445E-2</v>
      </c>
      <c r="S135" s="59">
        <f>(IF(inputs!$C$17="aerial",((0.025*0.112*inputs!$C$18/3.3)*(3*60*284*((F135/1000)^0.77))*MAX(inputs!$I$14:$I$16))/F135,((0.0083*0.112*inputs!$C$18/1)*(3*60*284*((F135/1000)^0.77))*MAX(inputs!$I$14:$I$16))/F135))*(inputs!E$75*3.4/inputs!$E$73)</f>
        <v>0.16172193113227987</v>
      </c>
      <c r="T135" s="63">
        <f>IF((((inputs!$P$13/(V135/MAX(K135:S135)))^(1/inputs!$O$13))-1)/inputs!$N$13&lt;0, 0, IF((((inputs!$P$13/(V135/MAX(K135:S135)))^(1/inputs!$O$13))-1)/inputs!$N$13&lt;inputs!$I$17, (((inputs!$P$13/(V135/MAX(K135:S135)))^(1/inputs!$O$13))-1)/inputs!$N$13, inputs!$I$17))</f>
        <v>1000</v>
      </c>
      <c r="U135" s="63">
        <f>IF((((inputs!$P$13/(X135/MAX(K135:S135)))^(1/inputs!$O$13))-1)/inputs!$N$13&lt;0, 0, IF((((inputs!$P$13/(X135/MAX(K135:S135)))^(1/inputs!$O$13))-1)/inputs!$N$13&lt;inputs!$I$17, (((inputs!$P$13/(X135/MAX(K135:S135)))^(1/inputs!$O$13))-1)/inputs!$N$13, inputs!$I$17))</f>
        <v>31.210551279547914</v>
      </c>
      <c r="V135" s="21">
        <f>inputs!$E$78*(F135/inputs!$F$78)^(inputs!$E$84-1)</f>
        <v>8.6680650573563271E-3</v>
      </c>
      <c r="W135" s="21">
        <f>inputs!$E$85*(F135/inputs!$F$85)^(inputs!$E$84-1)</f>
        <v>0.40027527637150312</v>
      </c>
      <c r="X135" s="21">
        <f>inputs!$E$80*(F135/inputs!$F$80)^(inputs!$E$84-1)</f>
        <v>1.4946988168302964</v>
      </c>
      <c r="Y135" s="21">
        <f>inputs!$E$82*(F135/inputs!$F$82)^(inputs!$E$84-1)</f>
        <v>0.68888306508463437</v>
      </c>
      <c r="Z135" s="63">
        <f t="shared" si="13"/>
        <v>1803.3622267460539</v>
      </c>
      <c r="AA135" s="63">
        <f t="shared" si="14"/>
        <v>39.052277335524778</v>
      </c>
    </row>
    <row r="136" spans="1:27" ht="13.2" x14ac:dyDescent="0.25">
      <c r="A136" s="103" t="s">
        <v>315</v>
      </c>
      <c r="B136" s="20" t="s">
        <v>316</v>
      </c>
      <c r="C136" s="20" t="s">
        <v>73</v>
      </c>
      <c r="D136" s="104" t="s">
        <v>236</v>
      </c>
      <c r="E136" s="15">
        <v>125</v>
      </c>
      <c r="F136" s="15">
        <v>834</v>
      </c>
      <c r="G136" s="20" t="s">
        <v>142</v>
      </c>
      <c r="H136" s="20">
        <v>0.69</v>
      </c>
      <c r="I136" s="68">
        <f>MAX('Max rate concentrations'!$H$3:$H$368)</f>
        <v>282</v>
      </c>
      <c r="J136" s="68">
        <f>MAX('Max rate concentrations'!AA:AA)</f>
        <v>195</v>
      </c>
      <c r="K136" s="69">
        <f t="shared" si="11"/>
        <v>51.296007417059855</v>
      </c>
      <c r="L136" s="69">
        <f t="shared" si="12"/>
        <v>35.470643426690323</v>
      </c>
      <c r="M136" s="69">
        <f>IF((((1.18*F136^0.874)/3.7-(0.301*F136^0.751)/(1-H136)*H136)*(MAX('Max rate concentrations'!$P$3:$P$368)))/F136&gt;0, (((1.18*F136^0.874)/3.7-(0.301*F136^0.751)/(1-H136)*H136)*(MAX('Max rate concentrations'!$P$3:$P$368)))/F136, 0)</f>
        <v>9.701402210740102E-3</v>
      </c>
      <c r="N136" s="69">
        <f>IF((((1.18*F136^0.874)/3.7-(0.301*F136^0.751)/(1-H136)*H136)*(MAX('Max rate concentrations'!$Q$3:$Q$368)))/F136&gt;0, (((1.18*F136^0.874)/3.7-(0.301*F136^0.751)/(1-H136)*H136)*(MAX('Max rate concentrations'!$Q$3:$Q$368)))/F136, 0)</f>
        <v>3.6943460891187198E-2</v>
      </c>
      <c r="O136" s="69">
        <f>((MAX('Max rate concentrations'!$F$3:$F$368))*0.62*6.01*8*(10*F136^0.667)*0.079*0.1/F136)*inputs!$E$80/(10^(0.84+0.62*LOG10(inputs!$E$80)))</f>
        <v>15.631661103413768</v>
      </c>
      <c r="P136" s="69">
        <f>((MAX('Max rate concentrations'!Y:Y))*0.62*6.01*8*(10*F136^0.667)*0.079*0.1/F136)*inputs!$E$80/(10^(0.84+0.62*LOG10(inputs!$E$80)))</f>
        <v>5.2105537011379237</v>
      </c>
      <c r="Q136" s="69">
        <f>(inputs!$C$18*11.2*(10*F136^0.667)*0.5/F136)*inputs!$E$80/(10^(0.84+0.62*LOG10(inputs!$E$80)))</f>
        <v>2.7534433754161114</v>
      </c>
      <c r="R136" s="59">
        <f>(60*284*((F136/1000)^0.77)*3*24*(MAX('Max rate concentrations'!$R$3:$R$368))/F136)*(inputs!$E$73*3.4/inputs!$E$75)</f>
        <v>2.9323686225671445E-2</v>
      </c>
      <c r="S136" s="59">
        <f>(IF(inputs!$C$17="aerial",((0.025*0.112*inputs!$C$18/3.3)*(3*60*284*((F136/1000)^0.77))*MAX(inputs!$I$14:$I$16))/F136,((0.0083*0.112*inputs!$C$18/1)*(3*60*284*((F136/1000)^0.77))*MAX(inputs!$I$14:$I$16))/F136))*(inputs!E$75*3.4/inputs!$E$73)</f>
        <v>0.16172193113227987</v>
      </c>
      <c r="T136" s="63">
        <f>IF((((inputs!$P$13/(V136/MAX(K136:S136)))^(1/inputs!$O$13))-1)/inputs!$N$13&lt;0, 0, IF((((inputs!$P$13/(V136/MAX(K136:S136)))^(1/inputs!$O$13))-1)/inputs!$N$13&lt;inputs!$I$17, (((inputs!$P$13/(V136/MAX(K136:S136)))^(1/inputs!$O$13))-1)/inputs!$N$13, inputs!$I$17))</f>
        <v>1000</v>
      </c>
      <c r="U136" s="63">
        <f>IF((((inputs!$P$13/(X136/MAX(K136:S136)))^(1/inputs!$O$13))-1)/inputs!$N$13&lt;0, 0, IF((((inputs!$P$13/(X136/MAX(K136:S136)))^(1/inputs!$O$13))-1)/inputs!$N$13&lt;inputs!$I$17, (((inputs!$P$13/(X136/MAX(K136:S136)))^(1/inputs!$O$13))-1)/inputs!$N$13, inputs!$I$17))</f>
        <v>90.028192523802659</v>
      </c>
      <c r="V136" s="21">
        <f>inputs!$E$78*(F136/inputs!$F$78)^(inputs!$E$84-1)</f>
        <v>8.6680650573563271E-3</v>
      </c>
      <c r="W136" s="21">
        <f>inputs!$E$85*(F136/inputs!$F$85)^(inputs!$E$84-1)</f>
        <v>0.40027527637150312</v>
      </c>
      <c r="X136" s="21">
        <f>inputs!$E$80*(F136/inputs!$F$80)^(inputs!$E$84-1)</f>
        <v>1.4946988168302964</v>
      </c>
      <c r="Y136" s="21">
        <f>inputs!$E$82*(F136/inputs!$F$82)^(inputs!$E$84-1)</f>
        <v>0.68888306508463437</v>
      </c>
      <c r="Z136" s="63">
        <f t="shared" si="13"/>
        <v>5917.8152306928605</v>
      </c>
      <c r="AA136" s="63">
        <f t="shared" si="14"/>
        <v>128.15182561875505</v>
      </c>
    </row>
    <row r="137" spans="1:27" ht="13.2" x14ac:dyDescent="0.25">
      <c r="A137" s="103" t="s">
        <v>315</v>
      </c>
      <c r="B137" s="20" t="s">
        <v>316</v>
      </c>
      <c r="C137" s="20" t="s">
        <v>73</v>
      </c>
      <c r="D137" s="104" t="s">
        <v>236</v>
      </c>
      <c r="E137" s="15">
        <v>125</v>
      </c>
      <c r="F137" s="15">
        <v>834</v>
      </c>
      <c r="G137" s="20" t="s">
        <v>164</v>
      </c>
      <c r="H137" s="20">
        <v>0.78</v>
      </c>
      <c r="I137" s="68">
        <f>inputs!$C$66*(inputs!$C$62/1000)</f>
        <v>8.2000000000000011</v>
      </c>
      <c r="J137" s="68">
        <f>inputs!$C$66*(inputs!$C$61/1000)</f>
        <v>2.5</v>
      </c>
      <c r="K137" s="69">
        <f t="shared" si="11"/>
        <v>2.1017803167982945</v>
      </c>
      <c r="L137" s="69">
        <f t="shared" si="12"/>
        <v>0.64078668195069943</v>
      </c>
      <c r="M137" s="69">
        <f>IF((((1.18*F137^0.874)/3.7-(0.301*F137^0.751)/(1-H137)*H137)*(MAX('Max rate concentrations'!$P$3:$P$368)))/F137&gt;0, (((1.18*F137^0.874)/3.7-(0.301*F137^0.751)/(1-H137)*H137)*(MAX('Max rate concentrations'!$P$3:$P$368)))/F137, 0)</f>
        <v>0</v>
      </c>
      <c r="N137" s="69">
        <f>IF((((1.18*F137^0.874)/3.7-(0.301*F137^0.751)/(1-H137)*H137)*(MAX('Max rate concentrations'!$Q$3:$Q$368)))/F137&gt;0, (((1.18*F137^0.874)/3.7-(0.301*F137^0.751)/(1-H137)*H137)*(MAX('Max rate concentrations'!$Q$3:$Q$368)))/F137, 0)</f>
        <v>0</v>
      </c>
      <c r="O137" s="69">
        <f>((MAX('Max rate concentrations'!$F$3:$F$368))*0.62*6.01*8*(10*F137^0.667)*0.079*0.1/F137)*inputs!$E$80/(10^(0.84+0.62*LOG10(inputs!$E$80)))</f>
        <v>15.631661103413768</v>
      </c>
      <c r="P137" s="69">
        <f>((MAX('Max rate concentrations'!Y:Y))*0.62*6.01*8*(10*F137^0.667)*0.079*0.1/F137)*inputs!$E$80/(10^(0.84+0.62*LOG10(inputs!$E$80)))</f>
        <v>5.2105537011379237</v>
      </c>
      <c r="Q137" s="69">
        <f>(inputs!$C$18*11.2*(10*F137^0.667)*0.5/F137)*inputs!$E$80/(10^(0.84+0.62*LOG10(inputs!$E$80)))</f>
        <v>2.7534433754161114</v>
      </c>
      <c r="R137" s="59">
        <f>(60*284*((F137/1000)^0.77)*3*24*(MAX('Max rate concentrations'!$R$3:$R$368))/F137)*(inputs!$E$73*3.4/inputs!$E$75)</f>
        <v>2.9323686225671445E-2</v>
      </c>
      <c r="S137" s="59">
        <f>(IF(inputs!$C$17="aerial",((0.025*0.112*inputs!$C$18/3.3)*(3*60*284*((F137/1000)^0.77))*MAX(inputs!$I$14:$I$16))/F137,((0.0083*0.112*inputs!$C$18/1)*(3*60*284*((F137/1000)^0.77))*MAX(inputs!$I$14:$I$16))/F137))*(inputs!E$75*3.4/inputs!$E$73)</f>
        <v>0.16172193113227987</v>
      </c>
      <c r="T137" s="63">
        <f>IF((((inputs!$P$13/(V137/MAX(K137:S137)))^(1/inputs!$O$13))-1)/inputs!$N$13&lt;0, 0, IF((((inputs!$P$13/(V137/MAX(K137:S137)))^(1/inputs!$O$13))-1)/inputs!$N$13&lt;inputs!$I$17, (((inputs!$P$13/(V137/MAX(K137:S137)))^(1/inputs!$O$13))-1)/inputs!$N$13, inputs!$I$17))</f>
        <v>1000</v>
      </c>
      <c r="U137" s="63">
        <f>IF((((inputs!$P$13/(X137/MAX(K137:S137)))^(1/inputs!$O$13))-1)/inputs!$N$13&lt;0, 0, IF((((inputs!$P$13/(X137/MAX(K137:S137)))^(1/inputs!$O$13))-1)/inputs!$N$13&lt;inputs!$I$17, (((inputs!$P$13/(X137/MAX(K137:S137)))^(1/inputs!$O$13))-1)/inputs!$N$13, inputs!$I$17))</f>
        <v>31.210551279547914</v>
      </c>
      <c r="V137" s="21">
        <f>inputs!$E$78*(F137/inputs!$F$78)^(inputs!$E$84-1)</f>
        <v>8.6680650573563271E-3</v>
      </c>
      <c r="W137" s="21">
        <f>inputs!$E$85*(F137/inputs!$F$85)^(inputs!$E$84-1)</f>
        <v>0.40027527637150312</v>
      </c>
      <c r="X137" s="21">
        <f>inputs!$E$80*(F137/inputs!$F$80)^(inputs!$E$84-1)</f>
        <v>1.4946988168302964</v>
      </c>
      <c r="Y137" s="21">
        <f>inputs!$E$82*(F137/inputs!$F$82)^(inputs!$E$84-1)</f>
        <v>0.68888306508463437</v>
      </c>
      <c r="Z137" s="63">
        <f t="shared" si="13"/>
        <v>1803.3622267460539</v>
      </c>
      <c r="AA137" s="63">
        <f t="shared" si="14"/>
        <v>39.052277335524778</v>
      </c>
    </row>
    <row r="138" spans="1:27" ht="13.2" x14ac:dyDescent="0.25">
      <c r="A138" s="103" t="s">
        <v>315</v>
      </c>
      <c r="B138" s="20" t="s">
        <v>316</v>
      </c>
      <c r="C138" s="20" t="s">
        <v>73</v>
      </c>
      <c r="D138" s="104" t="s">
        <v>236</v>
      </c>
      <c r="E138" s="15">
        <v>125</v>
      </c>
      <c r="F138" s="15">
        <v>834</v>
      </c>
      <c r="G138" s="20" t="s">
        <v>138</v>
      </c>
      <c r="H138" s="20">
        <v>0.68</v>
      </c>
      <c r="I138" s="68">
        <f>MAX('Max rate concentrations'!$L$3:$L$368)</f>
        <v>350.52744091332482</v>
      </c>
      <c r="J138" s="68">
        <f>MAX('Max rate concentrations'!AD:AD)</f>
        <v>242.38599637623525</v>
      </c>
      <c r="K138" s="69">
        <f t="shared" si="11"/>
        <v>61.768661843767809</v>
      </c>
      <c r="L138" s="69">
        <f t="shared" si="12"/>
        <v>42.71237255154157</v>
      </c>
      <c r="M138" s="69">
        <f>IF((((1.18*F138^0.874)/3.7-(0.301*F138^0.751)/(1-H138)*H138)*(MAX('Max rate concentrations'!$P$3:$P$368)))/F138&gt;0, (((1.18*F138^0.874)/3.7-(0.301*F138^0.751)/(1-H138)*H138)*(MAX('Max rate concentrations'!$P$3:$P$368)))/F138, 0)</f>
        <v>1.4651877258419741E-2</v>
      </c>
      <c r="N138" s="69">
        <f>IF((((1.18*F138^0.874)/3.7-(0.301*F138^0.751)/(1-H138)*H138)*(MAX('Max rate concentrations'!$Q$3:$Q$368)))/F138&gt;0, (((1.18*F138^0.874)/3.7-(0.301*F138^0.751)/(1-H138)*H138)*(MAX('Max rate concentrations'!$Q$3:$Q$368)))/F138, 0)</f>
        <v>5.5795135870117758E-2</v>
      </c>
      <c r="O138" s="69">
        <f>((MAX('Max rate concentrations'!$F$3:$F$368))*0.62*6.01*8*(10*F138^0.667)*0.079*0.1/F138)*inputs!$E$80/(10^(0.84+0.62*LOG10(inputs!$E$80)))</f>
        <v>15.631661103413768</v>
      </c>
      <c r="P138" s="69">
        <f>((MAX('Max rate concentrations'!Y:Y))*0.62*6.01*8*(10*F138^0.667)*0.079*0.1/F138)*inputs!$E$80/(10^(0.84+0.62*LOG10(inputs!$E$80)))</f>
        <v>5.2105537011379237</v>
      </c>
      <c r="Q138" s="69">
        <f>(inputs!$C$18*11.2*(10*F138^0.667)*0.5/F138)*inputs!$E$80/(10^(0.84+0.62*LOG10(inputs!$E$80)))</f>
        <v>2.7534433754161114</v>
      </c>
      <c r="R138" s="59">
        <f>(60*284*((F138/1000)^0.77)*3*24*(MAX('Max rate concentrations'!$R$3:$R$368))/F138)*(inputs!$E$73*3.4/inputs!$E$75)</f>
        <v>2.9323686225671445E-2</v>
      </c>
      <c r="S138" s="59">
        <f>(IF(inputs!$C$17="aerial",((0.025*0.112*inputs!$C$18/3.3)*(3*60*284*((F138/1000)^0.77))*MAX(inputs!$I$14:$I$16))/F138,((0.0083*0.112*inputs!$C$18/1)*(3*60*284*((F138/1000)^0.77))*MAX(inputs!$I$14:$I$16))/F138))*(inputs!E$75*3.4/inputs!$E$73)</f>
        <v>0.16172193113227987</v>
      </c>
      <c r="T138" s="63">
        <f>IF((((inputs!$P$13/(V138/MAX(K138:S138)))^(1/inputs!$O$13))-1)/inputs!$N$13&lt;0, 0, IF((((inputs!$P$13/(V138/MAX(K138:S138)))^(1/inputs!$O$13))-1)/inputs!$N$13&lt;inputs!$I$17, (((inputs!$P$13/(V138/MAX(K138:S138)))^(1/inputs!$O$13))-1)/inputs!$N$13, inputs!$I$17))</f>
        <v>1000</v>
      </c>
      <c r="U138" s="63">
        <f>IF((((inputs!$P$13/(X138/MAX(K138:S138)))^(1/inputs!$O$13))-1)/inputs!$N$13&lt;0, 0, IF((((inputs!$P$13/(X138/MAX(K138:S138)))^(1/inputs!$O$13))-1)/inputs!$N$13&lt;inputs!$I$17, (((inputs!$P$13/(X138/MAX(K138:S138)))^(1/inputs!$O$13))-1)/inputs!$N$13, inputs!$I$17))</f>
        <v>105.4700535100465</v>
      </c>
      <c r="V138" s="21">
        <f>inputs!$E$78*(F138/inputs!$F$78)^(inputs!$E$84-1)</f>
        <v>8.6680650573563271E-3</v>
      </c>
      <c r="W138" s="21">
        <f>inputs!$E$85*(F138/inputs!$F$85)^(inputs!$E$84-1)</f>
        <v>0.40027527637150312</v>
      </c>
      <c r="X138" s="21">
        <f>inputs!$E$80*(F138/inputs!$F$80)^(inputs!$E$84-1)</f>
        <v>1.4946988168302964</v>
      </c>
      <c r="Y138" s="21">
        <f>inputs!$E$82*(F138/inputs!$F$82)^(inputs!$E$84-1)</f>
        <v>0.68888306508463437</v>
      </c>
      <c r="Z138" s="63">
        <f t="shared" si="13"/>
        <v>7126.0034892500717</v>
      </c>
      <c r="AA138" s="63">
        <f t="shared" si="14"/>
        <v>154.31545611235589</v>
      </c>
    </row>
    <row r="139" spans="1:27" ht="13.2" x14ac:dyDescent="0.25">
      <c r="A139" s="103" t="s">
        <v>315</v>
      </c>
      <c r="B139" s="20" t="s">
        <v>316</v>
      </c>
      <c r="C139" s="20" t="s">
        <v>73</v>
      </c>
      <c r="D139" s="104" t="s">
        <v>236</v>
      </c>
      <c r="E139" s="15">
        <v>125</v>
      </c>
      <c r="F139" s="15">
        <v>834</v>
      </c>
      <c r="G139" s="20" t="s">
        <v>218</v>
      </c>
      <c r="H139" s="20">
        <v>0.68</v>
      </c>
      <c r="I139" s="68">
        <f>MAX('Max rate concentrations'!$K$3:$K$368)</f>
        <v>110.00035859694511</v>
      </c>
      <c r="J139" s="68">
        <f>MAX('Max rate concentrations'!AC:AC)</f>
        <v>38.958460336418057</v>
      </c>
      <c r="K139" s="69">
        <f t="shared" si="11"/>
        <v>19.383860319648981</v>
      </c>
      <c r="L139" s="69">
        <f t="shared" si="12"/>
        <v>6.8651171965423465</v>
      </c>
      <c r="M139" s="69">
        <f>IF((((1.18*F139^0.874)/3.7-(0.301*F139^0.751)/(1-H139)*H139)*(MAX('Max rate concentrations'!$P$3:$P$368)))/F139&gt;0, (((1.18*F139^0.874)/3.7-(0.301*F139^0.751)/(1-H139)*H139)*(MAX('Max rate concentrations'!$P$3:$P$368)))/F139, 0)</f>
        <v>1.4651877258419741E-2</v>
      </c>
      <c r="N139" s="69">
        <f>IF((((1.18*F139^0.874)/3.7-(0.301*F139^0.751)/(1-H139)*H139)*(MAX('Max rate concentrations'!$Q$3:$Q$368)))/F139&gt;0, (((1.18*F139^0.874)/3.7-(0.301*F139^0.751)/(1-H139)*H139)*(MAX('Max rate concentrations'!$Q$3:$Q$368)))/F139, 0)</f>
        <v>5.5795135870117758E-2</v>
      </c>
      <c r="O139" s="69">
        <f>((MAX('Max rate concentrations'!$F$3:$F$368))*0.62*6.01*8*(10*F139^0.667)*0.079*0.1/F139)*inputs!$E$80/(10^(0.84+0.62*LOG10(inputs!$E$80)))</f>
        <v>15.631661103413768</v>
      </c>
      <c r="P139" s="69">
        <f>((MAX('Max rate concentrations'!Y:Y))*0.62*6.01*8*(10*F139^0.667)*0.079*0.1/F139)*inputs!$E$80/(10^(0.84+0.62*LOG10(inputs!$E$80)))</f>
        <v>5.2105537011379237</v>
      </c>
      <c r="Q139" s="69">
        <f>(inputs!$C$18*11.2*(10*F139^0.667)*0.5/F139)*inputs!$E$80/(10^(0.84+0.62*LOG10(inputs!$E$80)))</f>
        <v>2.7534433754161114</v>
      </c>
      <c r="R139" s="59">
        <f>(60*284*((F139/1000)^0.77)*3*24*(MAX('Max rate concentrations'!$R$3:$R$368))/F139)*(inputs!$E$73*3.4/inputs!$E$75)</f>
        <v>2.9323686225671445E-2</v>
      </c>
      <c r="S139" s="59">
        <f>(IF(inputs!$C$17="aerial",((0.025*0.112*inputs!$C$18/3.3)*(3*60*284*((F139/1000)^0.77))*MAX(inputs!$I$14:$I$16))/F139,((0.0083*0.112*inputs!$C$18/1)*(3*60*284*((F139/1000)^0.77))*MAX(inputs!$I$14:$I$16))/F139))*(inputs!E$75*3.4/inputs!$E$73)</f>
        <v>0.16172193113227987</v>
      </c>
      <c r="T139" s="63">
        <f>IF((((inputs!$P$13/(V139/MAX(K139:S139)))^(1/inputs!$O$13))-1)/inputs!$N$13&lt;0, 0, IF((((inputs!$P$13/(V139/MAX(K139:S139)))^(1/inputs!$O$13))-1)/inputs!$N$13&lt;inputs!$I$17, (((inputs!$P$13/(V139/MAX(K139:S139)))^(1/inputs!$O$13))-1)/inputs!$N$13, inputs!$I$17))</f>
        <v>1000</v>
      </c>
      <c r="U139" s="63">
        <f>IF((((inputs!$P$13/(X139/MAX(K139:S139)))^(1/inputs!$O$13))-1)/inputs!$N$13&lt;0, 0, IF((((inputs!$P$13/(X139/MAX(K139:S139)))^(1/inputs!$O$13))-1)/inputs!$N$13&lt;inputs!$I$17, (((inputs!$P$13/(X139/MAX(K139:S139)))^(1/inputs!$O$13))-1)/inputs!$N$13, inputs!$I$17))</f>
        <v>38.1348720717303</v>
      </c>
      <c r="V139" s="21">
        <f>inputs!$E$78*(F139/inputs!$F$78)^(inputs!$E$84-1)</f>
        <v>8.6680650573563271E-3</v>
      </c>
      <c r="W139" s="21">
        <f>inputs!$E$85*(F139/inputs!$F$85)^(inputs!$E$84-1)</f>
        <v>0.40027527637150312</v>
      </c>
      <c r="X139" s="21">
        <f>inputs!$E$80*(F139/inputs!$F$80)^(inputs!$E$84-1)</f>
        <v>1.4946988168302964</v>
      </c>
      <c r="Y139" s="21">
        <f>inputs!$E$82*(F139/inputs!$F$82)^(inputs!$E$84-1)</f>
        <v>0.68888306508463437</v>
      </c>
      <c r="Z139" s="63">
        <f t="shared" si="13"/>
        <v>2236.2384443802116</v>
      </c>
      <c r="AA139" s="63">
        <f t="shared" si="14"/>
        <v>48.426324242065981</v>
      </c>
    </row>
    <row r="140" spans="1:27" ht="13.2" x14ac:dyDescent="0.25">
      <c r="A140" s="103" t="s">
        <v>315</v>
      </c>
      <c r="B140" s="20" t="s">
        <v>316</v>
      </c>
      <c r="C140" s="20" t="s">
        <v>73</v>
      </c>
      <c r="D140" s="104" t="s">
        <v>236</v>
      </c>
      <c r="E140" s="15">
        <v>125</v>
      </c>
      <c r="F140" s="15">
        <v>834</v>
      </c>
      <c r="G140" s="49" t="s">
        <v>186</v>
      </c>
      <c r="H140" s="49">
        <v>0.75</v>
      </c>
      <c r="I140" s="68">
        <f>inputs!$C$66*inputs!$C$64/1000</f>
        <v>21.3</v>
      </c>
      <c r="J140" s="68">
        <f>inputs!$C$66*inputs!$C$63/1000</f>
        <v>8.8000000000000007</v>
      </c>
      <c r="K140" s="69">
        <f t="shared" si="11"/>
        <v>4.8043622265935637</v>
      </c>
      <c r="L140" s="69">
        <f t="shared" si="12"/>
        <v>1.9849008260104866</v>
      </c>
      <c r="M140" s="69">
        <f>IF((((1.18*F140^0.874)/3.7-(0.301*F140^0.751)/(1-H140)*H140)*(MAX('Max rate concentrations'!$P$3:$P$368)))/F140&gt;0, (((1.18*F140^0.874)/3.7-(0.301*F140^0.751)/(1-H140)*H140)*(MAX('Max rate concentrations'!$P$3:$P$368)))/F140, 0)</f>
        <v>0</v>
      </c>
      <c r="N140" s="69">
        <f>IF((((1.18*F140^0.874)/3.7-(0.301*F140^0.751)/(1-H140)*H140)*(MAX('Max rate concentrations'!$Q$3:$Q$368)))/F140&gt;0, (((1.18*F140^0.874)/3.7-(0.301*F140^0.751)/(1-H140)*H140)*(MAX('Max rate concentrations'!$Q$3:$Q$368)))/F140, 0)</f>
        <v>0</v>
      </c>
      <c r="O140" s="69">
        <f>((MAX('Max rate concentrations'!$F$3:$F$368))*0.62*6.01*8*(10*F140^0.667)*0.079*0.1/F140)*inputs!$E$80/(10^(0.84+0.62*LOG10(inputs!$E$80)))</f>
        <v>15.631661103413768</v>
      </c>
      <c r="P140" s="69">
        <f>((MAX('Max rate concentrations'!Y:Y))*0.62*6.01*8*(10*F140^0.667)*0.079*0.1/F140)*inputs!$E$80/(10^(0.84+0.62*LOG10(inputs!$E$80)))</f>
        <v>5.2105537011379237</v>
      </c>
      <c r="Q140" s="69">
        <f>(inputs!$C$18*11.2*(10*F140^0.667)*0.5/F140)*inputs!$E$80/(10^(0.84+0.62*LOG10(inputs!$E$80)))</f>
        <v>2.7534433754161114</v>
      </c>
      <c r="R140" s="59">
        <f>(60*284*((F140/1000)^0.77)*3*24*(MAX('Max rate concentrations'!$R$3:$R$368))/F140)*(inputs!$E$73*3.4/inputs!$E$75)</f>
        <v>2.9323686225671445E-2</v>
      </c>
      <c r="S140" s="59">
        <f>(IF(inputs!$C$17="aerial",((0.025*0.112*inputs!$C$18/3.3)*(3*60*284*((F140/1000)^0.77))*MAX(inputs!$I$14:$I$16))/F140,((0.0083*0.112*inputs!$C$18/1)*(3*60*284*((F140/1000)^0.77))*MAX(inputs!$I$14:$I$16))/F140))*(inputs!E$75*3.4/inputs!$E$73)</f>
        <v>0.16172193113227987</v>
      </c>
      <c r="T140" s="63">
        <f>IF((((inputs!$P$13/(V140/MAX(K140:S140)))^(1/inputs!$O$13))-1)/inputs!$N$13&lt;0, 0, IF((((inputs!$P$13/(V140/MAX(K140:S140)))^(1/inputs!$O$13))-1)/inputs!$N$13&lt;inputs!$I$17, (((inputs!$P$13/(V140/MAX(K140:S140)))^(1/inputs!$O$13))-1)/inputs!$N$13, inputs!$I$17))</f>
        <v>1000</v>
      </c>
      <c r="U140" s="63">
        <f>IF((((inputs!$P$13/(X140/MAX(K140:S140)))^(1/inputs!$O$13))-1)/inputs!$N$13&lt;0, 0, IF((((inputs!$P$13/(X140/MAX(K140:S140)))^(1/inputs!$O$13))-1)/inputs!$N$13&lt;inputs!$I$17, (((inputs!$P$13/(X140/MAX(K140:S140)))^(1/inputs!$O$13))-1)/inputs!$N$13, inputs!$I$17))</f>
        <v>31.210551279547914</v>
      </c>
      <c r="V140" s="21">
        <f>inputs!$E$78*(F140/inputs!$F$78)^(inputs!$E$84-1)</f>
        <v>8.6680650573563271E-3</v>
      </c>
      <c r="W140" s="21">
        <f>inputs!$E$85*(F140/inputs!$F$85)^(inputs!$E$84-1)</f>
        <v>0.40027527637150312</v>
      </c>
      <c r="X140" s="21">
        <f>inputs!$E$80*(F140/inputs!$F$80)^(inputs!$E$84-1)</f>
        <v>1.4946988168302964</v>
      </c>
      <c r="Y140" s="21">
        <f>inputs!$E$82*(F140/inputs!$F$82)^(inputs!$E$84-1)</f>
        <v>0.68888306508463437</v>
      </c>
      <c r="Z140" s="63">
        <f t="shared" si="13"/>
        <v>1803.3622267460539</v>
      </c>
      <c r="AA140" s="63">
        <f t="shared" si="14"/>
        <v>39.052277335524778</v>
      </c>
    </row>
    <row r="141" spans="1:27" ht="13.2" x14ac:dyDescent="0.25">
      <c r="A141" s="103" t="s">
        <v>315</v>
      </c>
      <c r="B141" s="20" t="s">
        <v>316</v>
      </c>
      <c r="C141" s="20" t="s">
        <v>73</v>
      </c>
      <c r="D141" s="104" t="s">
        <v>236</v>
      </c>
      <c r="E141" s="15">
        <v>125</v>
      </c>
      <c r="F141" s="15">
        <v>834</v>
      </c>
      <c r="G141" s="21" t="s">
        <v>456</v>
      </c>
      <c r="H141" s="20">
        <v>0.68</v>
      </c>
      <c r="I141" s="68">
        <f>MAX('Max rate concentrations'!$J$3:$J$368)</f>
        <v>686.46486205830786</v>
      </c>
      <c r="J141" s="68">
        <f>MAX('Max rate concentrations'!AB:AB)</f>
        <v>243.122971978984</v>
      </c>
      <c r="K141" s="69">
        <f t="shared" si="11"/>
        <v>120.96632383937413</v>
      </c>
      <c r="L141" s="69">
        <f t="shared" si="12"/>
        <v>42.842239693111665</v>
      </c>
      <c r="M141" s="69">
        <f>IF((((1.18*F141^0.874)/3.7-(0.301*F141^0.751)/(1-H141)*H141)*(MAX('Max rate concentrations'!$P$3:$P$368)))/F141&gt;0, (((1.18*F141^0.874)/3.7-(0.301*F141^0.751)/(1-H141)*H141)*(MAX('Max rate concentrations'!$P$3:$P$368)))/F141, 0)</f>
        <v>1.4651877258419741E-2</v>
      </c>
      <c r="N141" s="69">
        <f>IF((((1.18*F141^0.874)/3.7-(0.301*F141^0.751)/(1-H141)*H141)*(MAX('Max rate concentrations'!$Q$3:$Q$368)))/F141&gt;0, (((1.18*F141^0.874)/3.7-(0.301*F141^0.751)/(1-H141)*H141)*(MAX('Max rate concentrations'!$Q$3:$Q$368)))/F141, 0)</f>
        <v>5.5795135870117758E-2</v>
      </c>
      <c r="O141" s="69">
        <f>((MAX('Max rate concentrations'!$F$3:$F$368))*0.62*6.01*8*(10*F141^0.667)*0.079*0.1/F141)*inputs!$E$80/(10^(0.84+0.62*LOG10(inputs!$E$80)))</f>
        <v>15.631661103413768</v>
      </c>
      <c r="P141" s="69">
        <f>((MAX('Max rate concentrations'!Y:Y))*0.62*6.01*8*(10*F141^0.667)*0.079*0.1/F141)*inputs!$E$80/(10^(0.84+0.62*LOG10(inputs!$E$80)))</f>
        <v>5.2105537011379237</v>
      </c>
      <c r="Q141" s="69">
        <f>(inputs!$C$18*11.2*(10*F141^0.667)*0.5/F141)*inputs!$E$80/(10^(0.84+0.62*LOG10(inputs!$E$80)))</f>
        <v>2.7534433754161114</v>
      </c>
      <c r="R141" s="59">
        <f>(60*284*((F141/1000)^0.77)*3*24*(MAX('Max rate concentrations'!$R$3:$R$368))/F141)*(inputs!$E$73*3.4/inputs!$E$75)</f>
        <v>2.9323686225671445E-2</v>
      </c>
      <c r="S141" s="59">
        <f>(IF(inputs!$C$17="aerial",((0.025*0.112*inputs!$C$18/3.3)*(3*60*284*((F141/1000)^0.77))*MAX(inputs!$I$14:$I$16))/F141,((0.0083*0.112*inputs!$C$18/1)*(3*60*284*((F141/1000)^0.77))*MAX(inputs!$I$14:$I$16))/F141))*(inputs!E$75*3.4/inputs!$E$73)</f>
        <v>0.16172193113227987</v>
      </c>
      <c r="T141" s="63">
        <f>IF((((inputs!$P$13/(V141/MAX(K141:S141)))^(1/inputs!$O$13))-1)/inputs!$N$13&lt;0, 0, IF((((inputs!$P$13/(V141/MAX(K141:S141)))^(1/inputs!$O$13))-1)/inputs!$N$13&lt;inputs!$I$17, (((inputs!$P$13/(V141/MAX(K141:S141)))^(1/inputs!$O$13))-1)/inputs!$N$13, inputs!$I$17))</f>
        <v>1000</v>
      </c>
      <c r="U141" s="63">
        <f>IF((((inputs!$P$13/(X141/MAX(K141:S141)))^(1/inputs!$O$13))-1)/inputs!$N$13&lt;0, 0, IF((((inputs!$P$13/(X141/MAX(K141:S141)))^(1/inputs!$O$13))-1)/inputs!$N$13&lt;inputs!$I$17, (((inputs!$P$13/(X141/MAX(K141:S141)))^(1/inputs!$O$13))-1)/inputs!$N$13, inputs!$I$17))</f>
        <v>185.39989142215069</v>
      </c>
      <c r="V141" s="21">
        <f>inputs!$E$78*(F141/inputs!$F$78)^(inputs!$E$84-1)</f>
        <v>8.6680650573563271E-3</v>
      </c>
      <c r="W141" s="21">
        <f>inputs!$E$85*(F141/inputs!$F$85)^(inputs!$E$84-1)</f>
        <v>0.40027527637150312</v>
      </c>
      <c r="X141" s="21">
        <f>inputs!$E$80*(F141/inputs!$F$80)^(inputs!$E$84-1)</f>
        <v>1.4946988168302964</v>
      </c>
      <c r="Y141" s="21">
        <f>inputs!$E$82*(F141/inputs!$F$82)^(inputs!$E$84-1)</f>
        <v>0.68888306508463437</v>
      </c>
      <c r="Z141" s="63">
        <f t="shared" si="13"/>
        <v>13955.401008061612</v>
      </c>
      <c r="AA141" s="63">
        <f t="shared" si="14"/>
        <v>302.20783290922765</v>
      </c>
    </row>
    <row r="142" spans="1:27" ht="13.2" x14ac:dyDescent="0.25">
      <c r="A142" s="103" t="s">
        <v>315</v>
      </c>
      <c r="B142" s="20" t="s">
        <v>316</v>
      </c>
      <c r="C142" s="20" t="s">
        <v>73</v>
      </c>
      <c r="D142" s="104" t="s">
        <v>236</v>
      </c>
      <c r="E142" s="15">
        <v>125</v>
      </c>
      <c r="F142" s="15">
        <v>834</v>
      </c>
      <c r="G142" s="20" t="s">
        <v>145</v>
      </c>
      <c r="H142" s="20">
        <v>0.66</v>
      </c>
      <c r="I142" s="68">
        <f>MAX('Max rate concentrations'!$M$3:$M$368)</f>
        <v>17.092910873809167</v>
      </c>
      <c r="J142" s="68">
        <f>MAX('Max rate concentrations'!AE:AE)</f>
        <v>11.81956602976166</v>
      </c>
      <c r="K142" s="69">
        <f t="shared" si="11"/>
        <v>2.8348707313124537</v>
      </c>
      <c r="L142" s="69">
        <f t="shared" si="12"/>
        <v>1.9602829525032925</v>
      </c>
      <c r="M142" s="69">
        <f>IF((((1.18*F142^0.874)/3.7-(0.301*F142^0.751)/(1-H142)*H142)*(MAX('Max rate concentrations'!$P$3:$P$368)))/F142&gt;0, (((1.18*F142^0.874)/3.7-(0.301*F142^0.751)/(1-H142)*H142)*(MAX('Max rate concentrations'!$P$3:$P$368)))/F142, 0)</f>
        <v>2.3679214110070953E-2</v>
      </c>
      <c r="N142" s="69">
        <f>IF((((1.18*F142^0.874)/3.7-(0.301*F142^0.751)/(1-H142)*H142)*(MAX('Max rate concentrations'!$Q$3:$Q$368)))/F142&gt;0, (((1.18*F142^0.874)/3.7-(0.301*F142^0.751)/(1-H142)*H142)*(MAX('Max rate concentrations'!$Q$3:$Q$368)))/F142, 0)</f>
        <v>9.0171719655226829E-2</v>
      </c>
      <c r="O142" s="69">
        <f>((MAX('Max rate concentrations'!$F$3:$F$368))*0.62*6.01*8*(10*F142^0.667)*0.079*0.1/F142)*inputs!$E$80/(10^(0.84+0.62*LOG10(inputs!$E$80)))</f>
        <v>15.631661103413768</v>
      </c>
      <c r="P142" s="69">
        <f>((MAX('Max rate concentrations'!Y:Y))*0.62*6.01*8*(10*F142^0.667)*0.079*0.1/F142)*inputs!$E$80/(10^(0.84+0.62*LOG10(inputs!$E$80)))</f>
        <v>5.2105537011379237</v>
      </c>
      <c r="Q142" s="69">
        <f>(inputs!$C$18*11.2*(10*F142^0.667)*0.5/F142)*inputs!$E$80/(10^(0.84+0.62*LOG10(inputs!$E$80)))</f>
        <v>2.7534433754161114</v>
      </c>
      <c r="R142" s="59">
        <f>(60*284*((F142/1000)^0.77)*3*24*(MAX('Max rate concentrations'!$R$3:$R$368))/F142)*(inputs!$E$73*3.4/inputs!$E$75)</f>
        <v>2.9323686225671445E-2</v>
      </c>
      <c r="S142" s="59">
        <f>(IF(inputs!$C$17="aerial",((0.025*0.112*inputs!$C$18/3.3)*(3*60*284*((F142/1000)^0.77))*MAX(inputs!$I$14:$I$16))/F142,((0.0083*0.112*inputs!$C$18/1)*(3*60*284*((F142/1000)^0.77))*MAX(inputs!$I$14:$I$16))/F142))*(inputs!E$75*3.4/inputs!$E$73)</f>
        <v>0.16172193113227987</v>
      </c>
      <c r="T142" s="63">
        <f>IF((((inputs!$P$13/(V142/MAX(K142:S142)))^(1/inputs!$O$13))-1)/inputs!$N$13&lt;0, 0, IF((((inputs!$P$13/(V142/MAX(K142:S142)))^(1/inputs!$O$13))-1)/inputs!$N$13&lt;inputs!$I$17, (((inputs!$P$13/(V142/MAX(K142:S142)))^(1/inputs!$O$13))-1)/inputs!$N$13, inputs!$I$17))</f>
        <v>1000</v>
      </c>
      <c r="U142" s="63">
        <f>IF((((inputs!$P$13/(X142/MAX(K142:S142)))^(1/inputs!$O$13))-1)/inputs!$N$13&lt;0, 0, IF((((inputs!$P$13/(X142/MAX(K142:S142)))^(1/inputs!$O$13))-1)/inputs!$N$13&lt;inputs!$I$17, (((inputs!$P$13/(X142/MAX(K142:S142)))^(1/inputs!$O$13))-1)/inputs!$N$13, inputs!$I$17))</f>
        <v>31.210551279547914</v>
      </c>
      <c r="V142" s="21">
        <f>inputs!$E$78*(F142/inputs!$F$78)^(inputs!$E$84-1)</f>
        <v>8.6680650573563271E-3</v>
      </c>
      <c r="W142" s="21">
        <f>inputs!$E$85*(F142/inputs!$F$85)^(inputs!$E$84-1)</f>
        <v>0.40027527637150312</v>
      </c>
      <c r="X142" s="21">
        <f>inputs!$E$80*(F142/inputs!$F$80)^(inputs!$E$84-1)</f>
        <v>1.4946988168302964</v>
      </c>
      <c r="Y142" s="21">
        <f>inputs!$E$82*(F142/inputs!$F$82)^(inputs!$E$84-1)</f>
        <v>0.68888306508463437</v>
      </c>
      <c r="Z142" s="63">
        <f t="shared" si="13"/>
        <v>1803.3622267460539</v>
      </c>
      <c r="AA142" s="63">
        <f t="shared" si="14"/>
        <v>39.052277335524778</v>
      </c>
    </row>
    <row r="143" spans="1:27" ht="13.2" x14ac:dyDescent="0.25">
      <c r="A143" s="103" t="s">
        <v>315</v>
      </c>
      <c r="B143" s="20" t="s">
        <v>316</v>
      </c>
      <c r="C143" s="20" t="s">
        <v>73</v>
      </c>
      <c r="D143" s="104" t="s">
        <v>236</v>
      </c>
      <c r="E143" s="15">
        <v>125</v>
      </c>
      <c r="F143" s="15">
        <v>834</v>
      </c>
      <c r="G143" s="20" t="s">
        <v>146</v>
      </c>
      <c r="H143" s="20">
        <v>0.84</v>
      </c>
      <c r="I143" s="68">
        <f>MAX('Max rate concentrations'!$I$3:$I$368)</f>
        <v>56.865414300472793</v>
      </c>
      <c r="J143" s="68" t="s">
        <v>13</v>
      </c>
      <c r="K143" s="69">
        <f t="shared" si="11"/>
        <v>20.041230081043494</v>
      </c>
      <c r="L143" s="69" t="s">
        <v>13</v>
      </c>
      <c r="M143" s="69">
        <f>IF((((1.18*F143^0.874)/3.7-(0.301*F143^0.751)/(1-H143)*H143)*(MAX('Max rate concentrations'!$P$3:$P$368)))/F143&gt;0, (((1.18*F143^0.874)/3.7-(0.301*F143^0.751)/(1-H143)*H143)*(MAX('Max rate concentrations'!$P$3:$P$368)))/F143, 0)</f>
        <v>0</v>
      </c>
      <c r="N143" s="69">
        <f>IF((((1.18*F143^0.874)/3.7-(0.301*F143^0.751)/(1-H143)*H143)*(MAX('Max rate concentrations'!$Q$3:$Q$368)))/F143&gt;0, (((1.18*F143^0.874)/3.7-(0.301*F143^0.751)/(1-H143)*H143)*(MAX('Max rate concentrations'!$Q$3:$Q$368)))/F143, 0)</f>
        <v>0</v>
      </c>
      <c r="O143" s="69">
        <f>((MAX('Max rate concentrations'!$F$3:$F$368))*0.62*6.01*8*(10*F143^0.667)*0.079*0.1/F143)*inputs!$E$80/(10^(0.84+0.62*LOG10(inputs!$E$80)))</f>
        <v>15.631661103413768</v>
      </c>
      <c r="P143" s="69">
        <f>((MAX('Max rate concentrations'!Y:Y))*0.62*6.01*8*(10*F143^0.667)*0.079*0.1/F143)*inputs!$E$80/(10^(0.84+0.62*LOG10(inputs!$E$80)))</f>
        <v>5.2105537011379237</v>
      </c>
      <c r="Q143" s="69">
        <f>(inputs!$C$18*11.2*(10*F143^0.667)*0.5/F143)*inputs!$E$80/(10^(0.84+0.62*LOG10(inputs!$E$80)))</f>
        <v>2.7534433754161114</v>
      </c>
      <c r="R143" s="59">
        <f>(60*284*((F143/1000)^0.77)*3*24*(MAX('Max rate concentrations'!$R$3:$R$368))/F143)*(inputs!$E$73*3.4/inputs!$E$75)</f>
        <v>2.9323686225671445E-2</v>
      </c>
      <c r="S143" s="59">
        <f>(IF(inputs!$C$17="aerial",((0.025*0.112*inputs!$C$18/3.3)*(3*60*284*((F143/1000)^0.77))*MAX(inputs!$I$14:$I$16))/F143,((0.0083*0.112*inputs!$C$18/1)*(3*60*284*((F143/1000)^0.77))*MAX(inputs!$I$14:$I$16))/F143))*(inputs!E$75*3.4/inputs!$E$73)</f>
        <v>0.16172193113227987</v>
      </c>
      <c r="T143" s="63">
        <f>IF((((inputs!$P$13/(V143/MAX(K143:S143)))^(1/inputs!$O$13))-1)/inputs!$N$13&lt;0, 0, IF((((inputs!$P$13/(V143/MAX(K143:S143)))^(1/inputs!$O$13))-1)/inputs!$N$13&lt;inputs!$I$17, (((inputs!$P$13/(V143/MAX(K143:S143)))^(1/inputs!$O$13))-1)/inputs!$N$13, inputs!$I$17))</f>
        <v>1000</v>
      </c>
      <c r="U143" s="63">
        <f>IF((((inputs!$P$13/(X143/MAX(K143:S143)))^(1/inputs!$O$13))-1)/inputs!$N$13&lt;0, 0, IF((((inputs!$P$13/(X143/MAX(K143:S143)))^(1/inputs!$O$13))-1)/inputs!$N$13&lt;inputs!$I$17, (((inputs!$P$13/(X143/MAX(K143:S143)))^(1/inputs!$O$13))-1)/inputs!$N$13, inputs!$I$17))</f>
        <v>39.320257433640585</v>
      </c>
      <c r="V143" s="21">
        <f>inputs!$E$78*(F143/inputs!$F$78)^(inputs!$E$84-1)</f>
        <v>8.6680650573563271E-3</v>
      </c>
      <c r="W143" s="21">
        <f>inputs!$E$85*(F143/inputs!$F$85)^(inputs!$E$84-1)</f>
        <v>0.40027527637150312</v>
      </c>
      <c r="X143" s="21">
        <f>inputs!$E$80*(F143/inputs!$F$80)^(inputs!$E$84-1)</f>
        <v>1.4946988168302964</v>
      </c>
      <c r="Y143" s="21">
        <f>inputs!$E$82*(F143/inputs!$F$82)^(inputs!$E$84-1)</f>
        <v>0.68888306508463437</v>
      </c>
      <c r="Z143" s="63">
        <f t="shared" si="13"/>
        <v>2312.0765647732537</v>
      </c>
      <c r="AA143" s="63">
        <f t="shared" si="14"/>
        <v>50.068618433587304</v>
      </c>
    </row>
    <row r="144" spans="1:27" ht="13.2" x14ac:dyDescent="0.25">
      <c r="A144" s="103" t="s">
        <v>255</v>
      </c>
      <c r="B144" s="20" t="s">
        <v>257</v>
      </c>
      <c r="C144" s="20" t="s">
        <v>73</v>
      </c>
      <c r="D144" s="104" t="s">
        <v>236</v>
      </c>
      <c r="E144" s="15">
        <v>66</v>
      </c>
      <c r="F144" s="15">
        <v>8500</v>
      </c>
      <c r="G144" s="20" t="s">
        <v>218</v>
      </c>
      <c r="H144" s="20">
        <v>0.68</v>
      </c>
      <c r="I144" s="68">
        <f>MAX('Max rate concentrations'!$K$3:$K$368)</f>
        <v>110.00035859694511</v>
      </c>
      <c r="J144" s="68">
        <f>MAX('Max rate concentrations'!AC:AC)</f>
        <v>38.958460336418057</v>
      </c>
      <c r="K144" s="69">
        <f t="shared" si="11"/>
        <v>10.873899272577424</v>
      </c>
      <c r="L144" s="69">
        <f t="shared" ref="L144:L181" si="15">((0.301*F144^0.751)/(1-H144))*J144/F144</f>
        <v>3.8511726590378372</v>
      </c>
      <c r="M144" s="69">
        <f>IF((((1.18*F144^0.874)/3.7-(0.301*F144^0.751)/(1-H144)*H144)*(MAX('Max rate concentrations'!$P$3:$P$368)))/F144&gt;0, (((1.18*F144^0.874)/3.7-(0.301*F144^0.751)/(1-H144)*H144)*(MAX('Max rate concentrations'!$P$3:$P$368)))/F144, 0)</f>
        <v>3.0283818602130495E-2</v>
      </c>
      <c r="N144" s="69">
        <f>IF((((1.18*F144^0.874)/3.7-(0.301*F144^0.751)/(1-H144)*H144)*(MAX('Max rate concentrations'!$Q$3:$Q$368)))/F144&gt;0, (((1.18*F144^0.874)/3.7-(0.301*F144^0.751)/(1-H144)*H144)*(MAX('Max rate concentrations'!$Q$3:$Q$368)))/F144, 0)</f>
        <v>0.11532240843751852</v>
      </c>
      <c r="O144" s="69">
        <f>((MAX('Max rate concentrations'!$F$3:$F$368))*0.62*6.01*8*(10*F144^0.667)*0.079*0.1/F144)*inputs!$E$80/(10^(0.84+0.62*LOG10(inputs!$E$80)))</f>
        <v>7.2153420410315867</v>
      </c>
      <c r="P144" s="69">
        <f>((MAX('Max rate concentrations'!Y:Y))*0.62*6.01*8*(10*F144^0.667)*0.079*0.1/F144)*inputs!$E$80/(10^(0.84+0.62*LOG10(inputs!$E$80)))</f>
        <v>2.4051140136771965</v>
      </c>
      <c r="Q144" s="69">
        <f>(inputs!$C$18*11.2*(10*F144^0.667)*0.5/F144)*inputs!$E$80/(10^(0.84+0.62*LOG10(inputs!$E$80)))</f>
        <v>1.2709484688035533</v>
      </c>
      <c r="R144" s="59">
        <f>(60*284*((F144/1000)^0.77)*3*24*(MAX('Max rate concentrations'!$R$3:$R$368))/F144)*(inputs!$E$73*3.4/inputs!$E$75)</f>
        <v>1.7191762485214389E-2</v>
      </c>
      <c r="S144" s="59">
        <f>(IF(inputs!$C$17="aerial",((0.025*0.112*inputs!$C$18/3.3)*(3*60*284*((F144/1000)^0.77))*MAX(inputs!$I$14:$I$16))/F144,((0.0083*0.112*inputs!$C$18/1)*(3*60*284*((F144/1000)^0.77))*MAX(inputs!$I$14:$I$16))/F144))*(inputs!E$75*3.4/inputs!$E$73)</f>
        <v>9.4813626338776977E-2</v>
      </c>
      <c r="T144" s="63">
        <f>IF((((inputs!$P$13/(V144/MAX(K144:S144)))^(1/inputs!$O$13))-1)/inputs!$N$13&lt;0, 0, IF((((inputs!$P$13/(V144/MAX(K144:S144)))^(1/inputs!$O$13))-1)/inputs!$N$13&lt;inputs!$I$17, (((inputs!$P$13/(V144/MAX(K144:S144)))^(1/inputs!$O$13))-1)/inputs!$N$13, inputs!$I$17))</f>
        <v>1000</v>
      </c>
      <c r="U144" s="63">
        <f>IF((((inputs!$P$13/(X144/MAX(K144:S144)))^(1/inputs!$O$13))-1)/inputs!$N$13&lt;0, 0, IF((((inputs!$P$13/(X144/MAX(K144:S144)))^(1/inputs!$O$13))-1)/inputs!$N$13&lt;inputs!$I$17, (((inputs!$P$13/(X144/MAX(K144:S144)))^(1/inputs!$O$13))-1)/inputs!$N$13, inputs!$I$17))</f>
        <v>49.193846952413985</v>
      </c>
      <c r="V144" s="21">
        <f>inputs!$E$78*(F144/inputs!$F$78)^(inputs!$E$84-1)</f>
        <v>3.6717119117145279E-3</v>
      </c>
      <c r="W144" s="21">
        <f>inputs!$E$85*(F144/inputs!$F$85)^(inputs!$E$84-1)</f>
        <v>0.16955289219602543</v>
      </c>
      <c r="X144" s="21">
        <f>inputs!$E$80*(F144/inputs!$F$80)^(inputs!$E$84-1)</f>
        <v>0.63314054680794307</v>
      </c>
      <c r="Y144" s="21">
        <f>inputs!$E$82*(F144/inputs!$F$82)^(inputs!$E$84-1)</f>
        <v>0.29180447298362827</v>
      </c>
      <c r="Z144" s="63">
        <f t="shared" si="13"/>
        <v>2961.5338931914707</v>
      </c>
      <c r="AA144" s="63">
        <f t="shared" si="14"/>
        <v>64.132785538130292</v>
      </c>
    </row>
    <row r="145" spans="1:27" ht="26.4" x14ac:dyDescent="0.25">
      <c r="A145" s="103" t="s">
        <v>255</v>
      </c>
      <c r="B145" s="20" t="s">
        <v>256</v>
      </c>
      <c r="C145" s="20" t="s">
        <v>73</v>
      </c>
      <c r="D145" s="104" t="s">
        <v>236</v>
      </c>
      <c r="E145" s="15">
        <v>1737</v>
      </c>
      <c r="F145" s="15">
        <v>8500</v>
      </c>
      <c r="G145" s="20" t="s">
        <v>218</v>
      </c>
      <c r="H145" s="20">
        <v>0.68</v>
      </c>
      <c r="I145" s="68">
        <f>MAX('Max rate concentrations'!$K$3:$K$368)</f>
        <v>110.00035859694511</v>
      </c>
      <c r="J145" s="68">
        <f>MAX('Max rate concentrations'!AC:AC)</f>
        <v>38.958460336418057</v>
      </c>
      <c r="K145" s="69">
        <f t="shared" si="11"/>
        <v>10.873899272577424</v>
      </c>
      <c r="L145" s="69">
        <f t="shared" si="15"/>
        <v>3.8511726590378372</v>
      </c>
      <c r="M145" s="69">
        <f>IF((((1.18*F145^0.874)/3.7-(0.301*F145^0.751)/(1-H145)*H145)*(MAX('Max rate concentrations'!$P$3:$P$368)))/F145&gt;0, (((1.18*F145^0.874)/3.7-(0.301*F145^0.751)/(1-H145)*H145)*(MAX('Max rate concentrations'!$P$3:$P$368)))/F145, 0)</f>
        <v>3.0283818602130495E-2</v>
      </c>
      <c r="N145" s="69">
        <f>IF((((1.18*F145^0.874)/3.7-(0.301*F145^0.751)/(1-H145)*H145)*(MAX('Max rate concentrations'!$Q$3:$Q$368)))/F145&gt;0, (((1.18*F145^0.874)/3.7-(0.301*F145^0.751)/(1-H145)*H145)*(MAX('Max rate concentrations'!$Q$3:$Q$368)))/F145, 0)</f>
        <v>0.11532240843751852</v>
      </c>
      <c r="O145" s="69">
        <f>((MAX('Max rate concentrations'!$F$3:$F$368))*0.62*6.01*8*(10*F145^0.667)*0.079*0.1/F145)*inputs!$E$80/(10^(0.84+0.62*LOG10(inputs!$E$80)))</f>
        <v>7.2153420410315867</v>
      </c>
      <c r="P145" s="69">
        <f>((MAX('Max rate concentrations'!Y:Y))*0.62*6.01*8*(10*F145^0.667)*0.079*0.1/F145)*inputs!$E$80/(10^(0.84+0.62*LOG10(inputs!$E$80)))</f>
        <v>2.4051140136771965</v>
      </c>
      <c r="Q145" s="69">
        <f>(inputs!$C$18*11.2*(10*F145^0.667)*0.5/F145)*inputs!$E$80/(10^(0.84+0.62*LOG10(inputs!$E$80)))</f>
        <v>1.2709484688035533</v>
      </c>
      <c r="R145" s="59">
        <f>(60*284*((F145/1000)^0.77)*3*24*(MAX('Max rate concentrations'!$R$3:$R$368))/F145)*(inputs!$E$73*3.4/inputs!$E$75)</f>
        <v>1.7191762485214389E-2</v>
      </c>
      <c r="S145" s="59">
        <f>(IF(inputs!$C$17="aerial",((0.025*0.112*inputs!$C$18/3.3)*(3*60*284*((F145/1000)^0.77))*MAX(inputs!$I$14:$I$16))/F145,((0.0083*0.112*inputs!$C$18/1)*(3*60*284*((F145/1000)^0.77))*MAX(inputs!$I$14:$I$16))/F145))*(inputs!E$75*3.4/inputs!$E$73)</f>
        <v>9.4813626338776977E-2</v>
      </c>
      <c r="T145" s="63">
        <f>IF((((inputs!$P$13/(V145/MAX(K145:S145)))^(1/inputs!$O$13))-1)/inputs!$N$13&lt;0, 0, IF((((inputs!$P$13/(V145/MAX(K145:S145)))^(1/inputs!$O$13))-1)/inputs!$N$13&lt;inputs!$I$17, (((inputs!$P$13/(V145/MAX(K145:S145)))^(1/inputs!$O$13))-1)/inputs!$N$13, inputs!$I$17))</f>
        <v>1000</v>
      </c>
      <c r="U145" s="63">
        <f>IF((((inputs!$P$13/(X145/MAX(K145:S145)))^(1/inputs!$O$13))-1)/inputs!$N$13&lt;0, 0, IF((((inputs!$P$13/(X145/MAX(K145:S145)))^(1/inputs!$O$13))-1)/inputs!$N$13&lt;inputs!$I$17, (((inputs!$P$13/(X145/MAX(K145:S145)))^(1/inputs!$O$13))-1)/inputs!$N$13, inputs!$I$17))</f>
        <v>49.193846952413985</v>
      </c>
      <c r="V145" s="21">
        <f>inputs!$E$78*(F145/inputs!$F$78)^(inputs!$E$84-1)</f>
        <v>3.6717119117145279E-3</v>
      </c>
      <c r="W145" s="21">
        <f>inputs!$E$85*(F145/inputs!$F$85)^(inputs!$E$84-1)</f>
        <v>0.16955289219602543</v>
      </c>
      <c r="X145" s="21">
        <f>inputs!$E$80*(F145/inputs!$F$80)^(inputs!$E$84-1)</f>
        <v>0.63314054680794307</v>
      </c>
      <c r="Y145" s="21">
        <f>inputs!$E$82*(F145/inputs!$F$82)^(inputs!$E$84-1)</f>
        <v>0.29180447298362827</v>
      </c>
      <c r="Z145" s="63">
        <f t="shared" si="13"/>
        <v>2961.5338931914707</v>
      </c>
      <c r="AA145" s="63">
        <f t="shared" si="14"/>
        <v>64.132785538130292</v>
      </c>
    </row>
    <row r="146" spans="1:27" ht="13.2" x14ac:dyDescent="0.25">
      <c r="A146" s="103" t="s">
        <v>234</v>
      </c>
      <c r="B146" s="20" t="s">
        <v>237</v>
      </c>
      <c r="C146" s="20" t="s">
        <v>73</v>
      </c>
      <c r="D146" s="104" t="s">
        <v>236</v>
      </c>
      <c r="E146" s="15">
        <v>126</v>
      </c>
      <c r="F146" s="15">
        <v>325</v>
      </c>
      <c r="G146" s="20" t="s">
        <v>142</v>
      </c>
      <c r="H146" s="20">
        <v>0.69</v>
      </c>
      <c r="I146" s="68">
        <f>MAX('Max rate concentrations'!$H$3:$H$368)</f>
        <v>282</v>
      </c>
      <c r="J146" s="68">
        <f>MAX('Max rate concentrations'!AA:AA)</f>
        <v>195</v>
      </c>
      <c r="K146" s="69">
        <f t="shared" si="11"/>
        <v>64.862689600748226</v>
      </c>
      <c r="L146" s="69">
        <f t="shared" si="15"/>
        <v>44.851859830304633</v>
      </c>
      <c r="M146" s="69">
        <f>IF((((1.18*F146^0.874)/3.7-(0.301*F146^0.751)/(1-H146)*H146)*(MAX('Max rate concentrations'!$P$3:$P$368)))/F146&gt;0, (((1.18*F146^0.874)/3.7-(0.301*F146^0.751)/(1-H146)*H146)*(MAX('Max rate concentrations'!$P$3:$P$368)))/F146, 0)</f>
        <v>0</v>
      </c>
      <c r="N146" s="69">
        <f>IF((((1.18*F146^0.874)/3.7-(0.301*F146^0.751)/(1-H146)*H146)*(MAX('Max rate concentrations'!$Q$3:$Q$368)))/F146&gt;0, (((1.18*F146^0.874)/3.7-(0.301*F146^0.751)/(1-H146)*H146)*(MAX('Max rate concentrations'!$Q$3:$Q$368)))/F146, 0)</f>
        <v>0</v>
      </c>
      <c r="O146" s="69">
        <f>((MAX('Max rate concentrations'!$F$3:$F$368))*0.62*6.01*8*(10*F146^0.667)*0.079*0.1/F146)*inputs!$E$80/(10^(0.84+0.62*LOG10(inputs!$E$80)))</f>
        <v>21.394210598911073</v>
      </c>
      <c r="P146" s="69">
        <f>((MAX('Max rate concentrations'!Y:Y))*0.62*6.01*8*(10*F146^0.667)*0.079*0.1/F146)*inputs!$E$80/(10^(0.84+0.62*LOG10(inputs!$E$80)))</f>
        <v>7.1314035329703582</v>
      </c>
      <c r="Q146" s="69">
        <f>(inputs!$C$18*11.2*(10*F146^0.667)*0.5/F146)*inputs!$E$80/(10^(0.84+0.62*LOG10(inputs!$E$80)))</f>
        <v>3.7684892895332864</v>
      </c>
      <c r="R146" s="59">
        <f>(60*284*((F146/1000)^0.77)*3*24*(MAX('Max rate concentrations'!$R$3:$R$368))/F146)*(inputs!$E$73*3.4/inputs!$E$75)</f>
        <v>3.6421143946658498E-2</v>
      </c>
      <c r="S146" s="59">
        <f>(IF(inputs!$C$17="aerial",((0.025*0.112*inputs!$C$18/3.3)*(3*60*284*((F146/1000)^0.77))*MAX(inputs!$I$14:$I$16))/F146,((0.0083*0.112*inputs!$C$18/1)*(3*60*284*((F146/1000)^0.77))*MAX(inputs!$I$14:$I$16))/F146))*(inputs!E$75*3.4/inputs!$E$73)</f>
        <v>0.20086484651932554</v>
      </c>
      <c r="T146" s="63">
        <f>IF((((inputs!$P$13/(V146/MAX(K146:S146)))^(1/inputs!$O$13))-1)/inputs!$N$13&lt;0, 0, IF((((inputs!$P$13/(V146/MAX(K146:S146)))^(1/inputs!$O$13))-1)/inputs!$N$13&lt;inputs!$I$17, (((inputs!$P$13/(V146/MAX(K146:S146)))^(1/inputs!$O$13))-1)/inputs!$N$13, inputs!$I$17))</f>
        <v>1000</v>
      </c>
      <c r="U146" s="63">
        <f>IF((((inputs!$P$13/(X146/MAX(K146:S146)))^(1/inputs!$O$13))-1)/inputs!$N$13&lt;0, 0, IF((((inputs!$P$13/(X146/MAX(K146:S146)))^(1/inputs!$O$13))-1)/inputs!$N$13&lt;inputs!$I$17, (((inputs!$P$13/(X146/MAX(K146:S146)))^(1/inputs!$O$13))-1)/inputs!$N$13, inputs!$I$17))</f>
        <v>81.637156963748808</v>
      </c>
      <c r="V146" s="21">
        <f>inputs!$E$78*(F146/inputs!$F$78)^(inputs!$E$84-1)</f>
        <v>1.2284479428588334E-2</v>
      </c>
      <c r="W146" s="21">
        <f>inputs!$E$85*(F146/inputs!$F$85)^(inputs!$E$84-1)</f>
        <v>0.56727463001505529</v>
      </c>
      <c r="X146" s="21">
        <f>inputs!$E$80*(F146/inputs!$F$80)^(inputs!$E$84-1)</f>
        <v>2.1183039981574847</v>
      </c>
      <c r="Y146" s="21">
        <f>inputs!$E$82*(F146/inputs!$F$82)^(inputs!$E$84-1)</f>
        <v>0.97629283879833606</v>
      </c>
      <c r="Z146" s="63">
        <f t="shared" si="13"/>
        <v>5280.0519531825121</v>
      </c>
      <c r="AA146" s="63">
        <f t="shared" si="14"/>
        <v>114.3408962234514</v>
      </c>
    </row>
    <row r="147" spans="1:27" ht="13.2" x14ac:dyDescent="0.25">
      <c r="A147" s="103" t="s">
        <v>234</v>
      </c>
      <c r="B147" s="20" t="s">
        <v>237</v>
      </c>
      <c r="C147" s="20" t="s">
        <v>73</v>
      </c>
      <c r="D147" s="104" t="s">
        <v>236</v>
      </c>
      <c r="E147" s="15">
        <v>126</v>
      </c>
      <c r="F147" s="15">
        <v>325</v>
      </c>
      <c r="G147" s="20" t="s">
        <v>138</v>
      </c>
      <c r="H147" s="20">
        <v>0.68</v>
      </c>
      <c r="I147" s="68">
        <f>MAX('Max rate concentrations'!$L$3:$L$368)</f>
        <v>350.52744091332482</v>
      </c>
      <c r="J147" s="68">
        <f>MAX('Max rate concentrations'!AD:AD)</f>
        <v>242.38599637623525</v>
      </c>
      <c r="K147" s="69">
        <f t="shared" si="11"/>
        <v>78.105134141364559</v>
      </c>
      <c r="L147" s="69">
        <f t="shared" si="15"/>
        <v>54.008869353071248</v>
      </c>
      <c r="M147" s="69">
        <f>IF((((1.18*F147^0.874)/3.7-(0.301*F147^0.751)/(1-H147)*H147)*(MAX('Max rate concentrations'!$P$3:$P$368)))/F147&gt;0, (((1.18*F147^0.874)/3.7-(0.301*F147^0.751)/(1-H147)*H147)*(MAX('Max rate concentrations'!$P$3:$P$368)))/F147, 0)</f>
        <v>2.0566036007968291E-3</v>
      </c>
      <c r="N147" s="69">
        <f>IF((((1.18*F147^0.874)/3.7-(0.301*F147^0.751)/(1-H147)*H147)*(MAX('Max rate concentrations'!$Q$3:$Q$368)))/F147&gt;0, (((1.18*F147^0.874)/3.7-(0.301*F147^0.751)/(1-H147)*H147)*(MAX('Max rate concentrations'!$Q$3:$Q$368)))/F147, 0)</f>
        <v>7.8316570166114367E-3</v>
      </c>
      <c r="O147" s="69">
        <f>((MAX('Max rate concentrations'!$F$3:$F$368))*0.62*6.01*8*(10*F147^0.667)*0.079*0.1/F147)*inputs!$E$80/(10^(0.84+0.62*LOG10(inputs!$E$80)))</f>
        <v>21.394210598911073</v>
      </c>
      <c r="P147" s="69">
        <f>((MAX('Max rate concentrations'!Y:Y))*0.62*6.01*8*(10*F147^0.667)*0.079*0.1/F147)*inputs!$E$80/(10^(0.84+0.62*LOG10(inputs!$E$80)))</f>
        <v>7.1314035329703582</v>
      </c>
      <c r="Q147" s="69">
        <f>(inputs!$C$18*11.2*(10*F147^0.667)*0.5/F147)*inputs!$E$80/(10^(0.84+0.62*LOG10(inputs!$E$80)))</f>
        <v>3.7684892895332864</v>
      </c>
      <c r="R147" s="59">
        <f>(60*284*((F147/1000)^0.77)*3*24*(MAX('Max rate concentrations'!$R$3:$R$368))/F147)*(inputs!$E$73*3.4/inputs!$E$75)</f>
        <v>3.6421143946658498E-2</v>
      </c>
      <c r="S147" s="59">
        <f>(IF(inputs!$C$17="aerial",((0.025*0.112*inputs!$C$18/3.3)*(3*60*284*((F147/1000)^0.77))*MAX(inputs!$I$14:$I$16))/F147,((0.0083*0.112*inputs!$C$18/1)*(3*60*284*((F147/1000)^0.77))*MAX(inputs!$I$14:$I$16))/F147))*(inputs!E$75*3.4/inputs!$E$73)</f>
        <v>0.20086484651932554</v>
      </c>
      <c r="T147" s="63">
        <f>IF((((inputs!$P$13/(V147/MAX(K147:S147)))^(1/inputs!$O$13))-1)/inputs!$N$13&lt;0, 0, IF((((inputs!$P$13/(V147/MAX(K147:S147)))^(1/inputs!$O$13))-1)/inputs!$N$13&lt;inputs!$I$17, (((inputs!$P$13/(V147/MAX(K147:S147)))^(1/inputs!$O$13))-1)/inputs!$N$13, inputs!$I$17))</f>
        <v>1000</v>
      </c>
      <c r="U147" s="63">
        <f>IF((((inputs!$P$13/(X147/MAX(K147:S147)))^(1/inputs!$O$13))-1)/inputs!$N$13&lt;0, 0, IF((((inputs!$P$13/(X147/MAX(K147:S147)))^(1/inputs!$O$13))-1)/inputs!$N$13&lt;inputs!$I$17, (((inputs!$P$13/(X147/MAX(K147:S147)))^(1/inputs!$O$13))-1)/inputs!$N$13, inputs!$I$17))</f>
        <v>95.718749090861166</v>
      </c>
      <c r="V147" s="21">
        <f>inputs!$E$78*(F147/inputs!$F$78)^(inputs!$E$84-1)</f>
        <v>1.2284479428588334E-2</v>
      </c>
      <c r="W147" s="21">
        <f>inputs!$E$85*(F147/inputs!$F$85)^(inputs!$E$84-1)</f>
        <v>0.56727463001505529</v>
      </c>
      <c r="X147" s="21">
        <f>inputs!$E$80*(F147/inputs!$F$80)^(inputs!$E$84-1)</f>
        <v>2.1183039981574847</v>
      </c>
      <c r="Y147" s="21">
        <f>inputs!$E$82*(F147/inputs!$F$82)^(inputs!$E$84-1)</f>
        <v>0.97629283879833606</v>
      </c>
      <c r="Z147" s="63">
        <f t="shared" si="13"/>
        <v>6358.0336957216896</v>
      </c>
      <c r="AA147" s="63">
        <f t="shared" si="14"/>
        <v>137.68487079933695</v>
      </c>
    </row>
    <row r="148" spans="1:27" ht="13.2" x14ac:dyDescent="0.25">
      <c r="A148" s="103" t="s">
        <v>234</v>
      </c>
      <c r="B148" s="20" t="s">
        <v>237</v>
      </c>
      <c r="C148" s="20" t="s">
        <v>73</v>
      </c>
      <c r="D148" s="104" t="s">
        <v>236</v>
      </c>
      <c r="E148" s="15">
        <v>126</v>
      </c>
      <c r="F148" s="15">
        <v>325</v>
      </c>
      <c r="G148" s="21" t="s">
        <v>456</v>
      </c>
      <c r="H148" s="20">
        <v>0.68</v>
      </c>
      <c r="I148" s="68">
        <f>MAX('Max rate concentrations'!$J$3:$J$368)</f>
        <v>686.46486205830786</v>
      </c>
      <c r="J148" s="68">
        <f>MAX('Max rate concentrations'!AB:AB)</f>
        <v>243.122971978984</v>
      </c>
      <c r="K148" s="69">
        <f t="shared" si="11"/>
        <v>152.95929469800123</v>
      </c>
      <c r="L148" s="69">
        <f t="shared" si="15"/>
        <v>54.173083538875417</v>
      </c>
      <c r="M148" s="69">
        <f>IF((((1.18*F148^0.874)/3.7-(0.301*F148^0.751)/(1-H148)*H148)*(MAX('Max rate concentrations'!$P$3:$P$368)))/F148&gt;0, (((1.18*F148^0.874)/3.7-(0.301*F148^0.751)/(1-H148)*H148)*(MAX('Max rate concentrations'!$P$3:$P$368)))/F148, 0)</f>
        <v>2.0566036007968291E-3</v>
      </c>
      <c r="N148" s="69">
        <f>IF((((1.18*F148^0.874)/3.7-(0.301*F148^0.751)/(1-H148)*H148)*(MAX('Max rate concentrations'!$Q$3:$Q$368)))/F148&gt;0, (((1.18*F148^0.874)/3.7-(0.301*F148^0.751)/(1-H148)*H148)*(MAX('Max rate concentrations'!$Q$3:$Q$368)))/F148, 0)</f>
        <v>7.8316570166114367E-3</v>
      </c>
      <c r="O148" s="69">
        <f>((MAX('Max rate concentrations'!$F$3:$F$368))*0.62*6.01*8*(10*F148^0.667)*0.079*0.1/F148)*inputs!$E$80/(10^(0.84+0.62*LOG10(inputs!$E$80)))</f>
        <v>21.394210598911073</v>
      </c>
      <c r="P148" s="69">
        <f>((MAX('Max rate concentrations'!Y:Y))*0.62*6.01*8*(10*F148^0.667)*0.079*0.1/F148)*inputs!$E$80/(10^(0.84+0.62*LOG10(inputs!$E$80)))</f>
        <v>7.1314035329703582</v>
      </c>
      <c r="Q148" s="69">
        <f>(inputs!$C$18*11.2*(10*F148^0.667)*0.5/F148)*inputs!$E$80/(10^(0.84+0.62*LOG10(inputs!$E$80)))</f>
        <v>3.7684892895332864</v>
      </c>
      <c r="R148" s="59">
        <f>(60*284*((F148/1000)^0.77)*3*24*(MAX('Max rate concentrations'!$R$3:$R$368))/F148)*(inputs!$E$73*3.4/inputs!$E$75)</f>
        <v>3.6421143946658498E-2</v>
      </c>
      <c r="S148" s="59">
        <f>(IF(inputs!$C$17="aerial",((0.025*0.112*inputs!$C$18/3.3)*(3*60*284*((F148/1000)^0.77))*MAX(inputs!$I$14:$I$16))/F148,((0.0083*0.112*inputs!$C$18/1)*(3*60*284*((F148/1000)^0.77))*MAX(inputs!$I$14:$I$16))/F148))*(inputs!E$75*3.4/inputs!$E$73)</f>
        <v>0.20086484651932554</v>
      </c>
      <c r="T148" s="63">
        <f>IF((((inputs!$P$13/(V148/MAX(K148:S148)))^(1/inputs!$O$13))-1)/inputs!$N$13&lt;0, 0, IF((((inputs!$P$13/(V148/MAX(K148:S148)))^(1/inputs!$O$13))-1)/inputs!$N$13&lt;inputs!$I$17, (((inputs!$P$13/(V148/MAX(K148:S148)))^(1/inputs!$O$13))-1)/inputs!$N$13, inputs!$I$17))</f>
        <v>1000</v>
      </c>
      <c r="U148" s="63">
        <f>IF((((inputs!$P$13/(X148/MAX(K148:S148)))^(1/inputs!$O$13))-1)/inputs!$N$13&lt;0, 0, IF((((inputs!$P$13/(X148/MAX(K148:S148)))^(1/inputs!$O$13))-1)/inputs!$N$13&lt;inputs!$I$17, (((inputs!$P$13/(X148/MAX(K148:S148)))^(1/inputs!$O$13))-1)/inputs!$N$13, inputs!$I$17))</f>
        <v>168.60759178068506</v>
      </c>
      <c r="V148" s="21">
        <f>inputs!$E$78*(F148/inputs!$F$78)^(inputs!$E$84-1)</f>
        <v>1.2284479428588334E-2</v>
      </c>
      <c r="W148" s="21">
        <f>inputs!$E$85*(F148/inputs!$F$85)^(inputs!$E$84-1)</f>
        <v>0.56727463001505529</v>
      </c>
      <c r="X148" s="21">
        <f>inputs!$E$80*(F148/inputs!$F$80)^(inputs!$E$84-1)</f>
        <v>2.1183039981574847</v>
      </c>
      <c r="Y148" s="21">
        <f>inputs!$E$82*(F148/inputs!$F$82)^(inputs!$E$84-1)</f>
        <v>0.97629283879833606</v>
      </c>
      <c r="Z148" s="63">
        <f t="shared" si="13"/>
        <v>12451.426662983837</v>
      </c>
      <c r="AA148" s="63">
        <f t="shared" si="14"/>
        <v>269.63887789930203</v>
      </c>
    </row>
    <row r="149" spans="1:27" ht="13.2" x14ac:dyDescent="0.25">
      <c r="A149" s="103" t="s">
        <v>234</v>
      </c>
      <c r="B149" s="20" t="s">
        <v>237</v>
      </c>
      <c r="C149" s="20" t="s">
        <v>73</v>
      </c>
      <c r="D149" s="104" t="s">
        <v>236</v>
      </c>
      <c r="E149" s="15">
        <v>126</v>
      </c>
      <c r="F149" s="15">
        <v>325</v>
      </c>
      <c r="G149" s="20" t="s">
        <v>145</v>
      </c>
      <c r="H149" s="20">
        <v>0.66</v>
      </c>
      <c r="I149" s="68">
        <f>MAX('Max rate concentrations'!$M$3:$M$368)</f>
        <v>17.092910873809167</v>
      </c>
      <c r="J149" s="68">
        <f>MAX('Max rate concentrations'!AE:AE)</f>
        <v>11.81956602976166</v>
      </c>
      <c r="K149" s="69">
        <f t="shared" si="11"/>
        <v>3.5846325973941693</v>
      </c>
      <c r="L149" s="69">
        <f t="shared" si="15"/>
        <v>2.4787353067087343</v>
      </c>
      <c r="M149" s="69">
        <f>IF((((1.18*F149^0.874)/3.7-(0.301*F149^0.751)/(1-H149)*H149)*(MAX('Max rate concentrations'!$P$3:$P$368)))/F149&gt;0, (((1.18*F149^0.874)/3.7-(0.301*F149^0.751)/(1-H149)*H149)*(MAX('Max rate concentrations'!$P$3:$P$368)))/F149, 0)</f>
        <v>1.3471475393241837E-2</v>
      </c>
      <c r="N149" s="69">
        <f>IF((((1.18*F149^0.874)/3.7-(0.301*F149^0.751)/(1-H149)*H149)*(MAX('Max rate concentrations'!$Q$3:$Q$368)))/F149&gt;0, (((1.18*F149^0.874)/3.7-(0.301*F149^0.751)/(1-H149)*H149)*(MAX('Max rate concentrations'!$Q$3:$Q$368)))/F149, 0)</f>
        <v>5.130010214253896E-2</v>
      </c>
      <c r="O149" s="69">
        <f>((MAX('Max rate concentrations'!$F$3:$F$368))*0.62*6.01*8*(10*F149^0.667)*0.079*0.1/F149)*inputs!$E$80/(10^(0.84+0.62*LOG10(inputs!$E$80)))</f>
        <v>21.394210598911073</v>
      </c>
      <c r="P149" s="69">
        <f>((MAX('Max rate concentrations'!Y:Y))*0.62*6.01*8*(10*F149^0.667)*0.079*0.1/F149)*inputs!$E$80/(10^(0.84+0.62*LOG10(inputs!$E$80)))</f>
        <v>7.1314035329703582</v>
      </c>
      <c r="Q149" s="69">
        <f>(inputs!$C$18*11.2*(10*F149^0.667)*0.5/F149)*inputs!$E$80/(10^(0.84+0.62*LOG10(inputs!$E$80)))</f>
        <v>3.7684892895332864</v>
      </c>
      <c r="R149" s="59">
        <f>(60*284*((F149/1000)^0.77)*3*24*(MAX('Max rate concentrations'!$R$3:$R$368))/F149)*(inputs!$E$73*3.4/inputs!$E$75)</f>
        <v>3.6421143946658498E-2</v>
      </c>
      <c r="S149" s="59">
        <f>(IF(inputs!$C$17="aerial",((0.025*0.112*inputs!$C$18/3.3)*(3*60*284*((F149/1000)^0.77))*MAX(inputs!$I$14:$I$16))/F149,((0.0083*0.112*inputs!$C$18/1)*(3*60*284*((F149/1000)^0.77))*MAX(inputs!$I$14:$I$16))/F149))*(inputs!E$75*3.4/inputs!$E$73)</f>
        <v>0.20086484651932554</v>
      </c>
      <c r="T149" s="63">
        <f>IF((((inputs!$P$13/(V149/MAX(K149:S149)))^(1/inputs!$O$13))-1)/inputs!$N$13&lt;0, 0, IF((((inputs!$P$13/(V149/MAX(K149:S149)))^(1/inputs!$O$13))-1)/inputs!$N$13&lt;inputs!$I$17, (((inputs!$P$13/(V149/MAX(K149:S149)))^(1/inputs!$O$13))-1)/inputs!$N$13, inputs!$I$17))</f>
        <v>1000</v>
      </c>
      <c r="U149" s="63">
        <f>IF((((inputs!$P$13/(X149/MAX(K149:S149)))^(1/inputs!$O$13))-1)/inputs!$N$13&lt;0, 0, IF((((inputs!$P$13/(X149/MAX(K149:S149)))^(1/inputs!$O$13))-1)/inputs!$N$13&lt;inputs!$I$17, (((inputs!$P$13/(X149/MAX(K149:S149)))^(1/inputs!$O$13))-1)/inputs!$N$13, inputs!$I$17))</f>
        <v>30.197440905466912</v>
      </c>
      <c r="V149" s="21">
        <f>inputs!$E$78*(F149/inputs!$F$78)^(inputs!$E$84-1)</f>
        <v>1.2284479428588334E-2</v>
      </c>
      <c r="W149" s="21">
        <f>inputs!$E$85*(F149/inputs!$F$85)^(inputs!$E$84-1)</f>
        <v>0.56727463001505529</v>
      </c>
      <c r="X149" s="21">
        <f>inputs!$E$80*(F149/inputs!$F$80)^(inputs!$E$84-1)</f>
        <v>2.1183039981574847</v>
      </c>
      <c r="Y149" s="21">
        <f>inputs!$E$82*(F149/inputs!$F$82)^(inputs!$E$84-1)</f>
        <v>0.97629283879833606</v>
      </c>
      <c r="Z149" s="63">
        <f t="shared" si="13"/>
        <v>1741.5642822538048</v>
      </c>
      <c r="AA149" s="63">
        <f t="shared" si="14"/>
        <v>37.714026799229991</v>
      </c>
    </row>
    <row r="150" spans="1:27" ht="13.2" x14ac:dyDescent="0.25">
      <c r="A150" s="103" t="s">
        <v>234</v>
      </c>
      <c r="B150" s="20" t="s">
        <v>235</v>
      </c>
      <c r="C150" s="20" t="s">
        <v>73</v>
      </c>
      <c r="D150" s="104" t="s">
        <v>236</v>
      </c>
      <c r="E150" s="15">
        <v>9122</v>
      </c>
      <c r="F150" s="15">
        <v>325</v>
      </c>
      <c r="G150" s="20" t="s">
        <v>142</v>
      </c>
      <c r="H150" s="20">
        <v>0.69</v>
      </c>
      <c r="I150" s="68">
        <f>MAX('Max rate concentrations'!$H$3:$H$368)</f>
        <v>282</v>
      </c>
      <c r="J150" s="68">
        <f>MAX('Max rate concentrations'!AA:AA)</f>
        <v>195</v>
      </c>
      <c r="K150" s="69">
        <f t="shared" si="11"/>
        <v>64.862689600748226</v>
      </c>
      <c r="L150" s="69">
        <f t="shared" si="15"/>
        <v>44.851859830304633</v>
      </c>
      <c r="M150" s="69">
        <f>IF((((1.18*F150^0.874)/3.7-(0.301*F150^0.751)/(1-H150)*H150)*(MAX('Max rate concentrations'!$P$3:$P$368)))/F150&gt;0, (((1.18*F150^0.874)/3.7-(0.301*F150^0.751)/(1-H150)*H150)*(MAX('Max rate concentrations'!$P$3:$P$368)))/F150, 0)</f>
        <v>0</v>
      </c>
      <c r="N150" s="69">
        <f>IF((((1.18*F150^0.874)/3.7-(0.301*F150^0.751)/(1-H150)*H150)*(MAX('Max rate concentrations'!$Q$3:$Q$368)))/F150&gt;0, (((1.18*F150^0.874)/3.7-(0.301*F150^0.751)/(1-H150)*H150)*(MAX('Max rate concentrations'!$Q$3:$Q$368)))/F150, 0)</f>
        <v>0</v>
      </c>
      <c r="O150" s="69">
        <f>((MAX('Max rate concentrations'!$F$3:$F$368))*0.62*6.01*8*(10*F150^0.667)*0.079*0.1/F150)*inputs!$E$80/(10^(0.84+0.62*LOG10(inputs!$E$80)))</f>
        <v>21.394210598911073</v>
      </c>
      <c r="P150" s="69">
        <f>((MAX('Max rate concentrations'!Y:Y))*0.62*6.01*8*(10*F150^0.667)*0.079*0.1/F150)*inputs!$E$80/(10^(0.84+0.62*LOG10(inputs!$E$80)))</f>
        <v>7.1314035329703582</v>
      </c>
      <c r="Q150" s="69">
        <f>(inputs!$C$18*11.2*(10*F150^0.667)*0.5/F150)*inputs!$E$80/(10^(0.84+0.62*LOG10(inputs!$E$80)))</f>
        <v>3.7684892895332864</v>
      </c>
      <c r="R150" s="59">
        <f>(60*284*((F150/1000)^0.77)*3*24*(MAX('Max rate concentrations'!$R$3:$R$368))/F150)*(inputs!$E$73*3.4/inputs!$E$75)</f>
        <v>3.6421143946658498E-2</v>
      </c>
      <c r="S150" s="59">
        <f>(IF(inputs!$C$17="aerial",((0.025*0.112*inputs!$C$18/3.3)*(3*60*284*((F150/1000)^0.77))*MAX(inputs!$I$14:$I$16))/F150,((0.0083*0.112*inputs!$C$18/1)*(3*60*284*((F150/1000)^0.77))*MAX(inputs!$I$14:$I$16))/F150))*(inputs!E$75*3.4/inputs!$E$73)</f>
        <v>0.20086484651932554</v>
      </c>
      <c r="T150" s="63">
        <f>IF((((inputs!$P$13/(V150/MAX(K150:S150)))^(1/inputs!$O$13))-1)/inputs!$N$13&lt;0, 0, IF((((inputs!$P$13/(V150/MAX(K150:S150)))^(1/inputs!$O$13))-1)/inputs!$N$13&lt;inputs!$I$17, (((inputs!$P$13/(V150/MAX(K150:S150)))^(1/inputs!$O$13))-1)/inputs!$N$13, inputs!$I$17))</f>
        <v>1000</v>
      </c>
      <c r="U150" s="63">
        <f>IF((((inputs!$P$13/(X150/MAX(K150:S150)))^(1/inputs!$O$13))-1)/inputs!$N$13&lt;0, 0, IF((((inputs!$P$13/(X150/MAX(K150:S150)))^(1/inputs!$O$13))-1)/inputs!$N$13&lt;inputs!$I$17, (((inputs!$P$13/(X150/MAX(K150:S150)))^(1/inputs!$O$13))-1)/inputs!$N$13, inputs!$I$17))</f>
        <v>81.637156963748808</v>
      </c>
      <c r="V150" s="21">
        <f>inputs!$E$78*(F150/inputs!$F$78)^(inputs!$E$84-1)</f>
        <v>1.2284479428588334E-2</v>
      </c>
      <c r="W150" s="21">
        <f>inputs!$E$85*(F150/inputs!$F$85)^(inputs!$E$84-1)</f>
        <v>0.56727463001505529</v>
      </c>
      <c r="X150" s="21">
        <f>inputs!$E$80*(F150/inputs!$F$80)^(inputs!$E$84-1)</f>
        <v>2.1183039981574847</v>
      </c>
      <c r="Y150" s="21">
        <f>inputs!$E$82*(F150/inputs!$F$82)^(inputs!$E$84-1)</f>
        <v>0.97629283879833606</v>
      </c>
      <c r="Z150" s="63">
        <f t="shared" si="13"/>
        <v>5280.0519531825121</v>
      </c>
      <c r="AA150" s="63">
        <f t="shared" si="14"/>
        <v>114.3408962234514</v>
      </c>
    </row>
    <row r="151" spans="1:27" ht="13.2" x14ac:dyDescent="0.25">
      <c r="A151" s="103" t="s">
        <v>234</v>
      </c>
      <c r="B151" s="20" t="s">
        <v>235</v>
      </c>
      <c r="C151" s="20" t="s">
        <v>73</v>
      </c>
      <c r="D151" s="104" t="s">
        <v>236</v>
      </c>
      <c r="E151" s="15">
        <v>9122</v>
      </c>
      <c r="F151" s="15">
        <v>325</v>
      </c>
      <c r="G151" s="20" t="s">
        <v>138</v>
      </c>
      <c r="H151" s="20">
        <v>0.68</v>
      </c>
      <c r="I151" s="68">
        <f>MAX('Max rate concentrations'!$L$3:$L$368)</f>
        <v>350.52744091332482</v>
      </c>
      <c r="J151" s="68">
        <f>MAX('Max rate concentrations'!AD:AD)</f>
        <v>242.38599637623525</v>
      </c>
      <c r="K151" s="69">
        <f t="shared" si="11"/>
        <v>78.105134141364559</v>
      </c>
      <c r="L151" s="69">
        <f t="shared" si="15"/>
        <v>54.008869353071248</v>
      </c>
      <c r="M151" s="69">
        <f>IF((((1.18*F151^0.874)/3.7-(0.301*F151^0.751)/(1-H151)*H151)*(MAX('Max rate concentrations'!$P$3:$P$368)))/F151&gt;0, (((1.18*F151^0.874)/3.7-(0.301*F151^0.751)/(1-H151)*H151)*(MAX('Max rate concentrations'!$P$3:$P$368)))/F151, 0)</f>
        <v>2.0566036007968291E-3</v>
      </c>
      <c r="N151" s="69">
        <f>IF((((1.18*F151^0.874)/3.7-(0.301*F151^0.751)/(1-H151)*H151)*(MAX('Max rate concentrations'!$Q$3:$Q$368)))/F151&gt;0, (((1.18*F151^0.874)/3.7-(0.301*F151^0.751)/(1-H151)*H151)*(MAX('Max rate concentrations'!$Q$3:$Q$368)))/F151, 0)</f>
        <v>7.8316570166114367E-3</v>
      </c>
      <c r="O151" s="69">
        <f>((MAX('Max rate concentrations'!$F$3:$F$368))*0.62*6.01*8*(10*F151^0.667)*0.079*0.1/F151)*inputs!$E$80/(10^(0.84+0.62*LOG10(inputs!$E$80)))</f>
        <v>21.394210598911073</v>
      </c>
      <c r="P151" s="69">
        <f>((MAX('Max rate concentrations'!Y:Y))*0.62*6.01*8*(10*F151^0.667)*0.079*0.1/F151)*inputs!$E$80/(10^(0.84+0.62*LOG10(inputs!$E$80)))</f>
        <v>7.1314035329703582</v>
      </c>
      <c r="Q151" s="69">
        <f>(inputs!$C$18*11.2*(10*F151^0.667)*0.5/F151)*inputs!$E$80/(10^(0.84+0.62*LOG10(inputs!$E$80)))</f>
        <v>3.7684892895332864</v>
      </c>
      <c r="R151" s="59">
        <f>(60*284*((F151/1000)^0.77)*3*24*(MAX('Max rate concentrations'!$R$3:$R$368))/F151)*(inputs!$E$73*3.4/inputs!$E$75)</f>
        <v>3.6421143946658498E-2</v>
      </c>
      <c r="S151" s="59">
        <f>(IF(inputs!$C$17="aerial",((0.025*0.112*inputs!$C$18/3.3)*(3*60*284*((F151/1000)^0.77))*MAX(inputs!$I$14:$I$16))/F151,((0.0083*0.112*inputs!$C$18/1)*(3*60*284*((F151/1000)^0.77))*MAX(inputs!$I$14:$I$16))/F151))*(inputs!E$75*3.4/inputs!$E$73)</f>
        <v>0.20086484651932554</v>
      </c>
      <c r="T151" s="63">
        <f>IF((((inputs!$P$13/(V151/MAX(K151:S151)))^(1/inputs!$O$13))-1)/inputs!$N$13&lt;0, 0, IF((((inputs!$P$13/(V151/MAX(K151:S151)))^(1/inputs!$O$13))-1)/inputs!$N$13&lt;inputs!$I$17, (((inputs!$P$13/(V151/MAX(K151:S151)))^(1/inputs!$O$13))-1)/inputs!$N$13, inputs!$I$17))</f>
        <v>1000</v>
      </c>
      <c r="U151" s="63">
        <f>IF((((inputs!$P$13/(X151/MAX(K151:S151)))^(1/inputs!$O$13))-1)/inputs!$N$13&lt;0, 0, IF((((inputs!$P$13/(X151/MAX(K151:S151)))^(1/inputs!$O$13))-1)/inputs!$N$13&lt;inputs!$I$17, (((inputs!$P$13/(X151/MAX(K151:S151)))^(1/inputs!$O$13))-1)/inputs!$N$13, inputs!$I$17))</f>
        <v>95.718749090861166</v>
      </c>
      <c r="V151" s="21">
        <f>inputs!$E$78*(F151/inputs!$F$78)^(inputs!$E$84-1)</f>
        <v>1.2284479428588334E-2</v>
      </c>
      <c r="W151" s="21">
        <f>inputs!$E$85*(F151/inputs!$F$85)^(inputs!$E$84-1)</f>
        <v>0.56727463001505529</v>
      </c>
      <c r="X151" s="21">
        <f>inputs!$E$80*(F151/inputs!$F$80)^(inputs!$E$84-1)</f>
        <v>2.1183039981574847</v>
      </c>
      <c r="Y151" s="21">
        <f>inputs!$E$82*(F151/inputs!$F$82)^(inputs!$E$84-1)</f>
        <v>0.97629283879833606</v>
      </c>
      <c r="Z151" s="63">
        <f t="shared" si="13"/>
        <v>6358.0336957216896</v>
      </c>
      <c r="AA151" s="63">
        <f t="shared" si="14"/>
        <v>137.68487079933695</v>
      </c>
    </row>
    <row r="152" spans="1:27" ht="13.2" x14ac:dyDescent="0.25">
      <c r="A152" s="103" t="s">
        <v>234</v>
      </c>
      <c r="B152" s="20" t="s">
        <v>235</v>
      </c>
      <c r="C152" s="20" t="s">
        <v>73</v>
      </c>
      <c r="D152" s="104" t="s">
        <v>236</v>
      </c>
      <c r="E152" s="15">
        <v>9122</v>
      </c>
      <c r="F152" s="15">
        <v>325</v>
      </c>
      <c r="G152" s="21" t="s">
        <v>456</v>
      </c>
      <c r="H152" s="20">
        <v>0.68</v>
      </c>
      <c r="I152" s="68">
        <f>MAX('Max rate concentrations'!$J$3:$J$368)</f>
        <v>686.46486205830786</v>
      </c>
      <c r="J152" s="68">
        <f>MAX('Max rate concentrations'!AB:AB)</f>
        <v>243.122971978984</v>
      </c>
      <c r="K152" s="69">
        <f t="shared" si="11"/>
        <v>152.95929469800123</v>
      </c>
      <c r="L152" s="69">
        <f t="shared" si="15"/>
        <v>54.173083538875417</v>
      </c>
      <c r="M152" s="69">
        <f>IF((((1.18*F152^0.874)/3.7-(0.301*F152^0.751)/(1-H152)*H152)*(MAX('Max rate concentrations'!$P$3:$P$368)))/F152&gt;0, (((1.18*F152^0.874)/3.7-(0.301*F152^0.751)/(1-H152)*H152)*(MAX('Max rate concentrations'!$P$3:$P$368)))/F152, 0)</f>
        <v>2.0566036007968291E-3</v>
      </c>
      <c r="N152" s="69">
        <f>IF((((1.18*F152^0.874)/3.7-(0.301*F152^0.751)/(1-H152)*H152)*(MAX('Max rate concentrations'!$Q$3:$Q$368)))/F152&gt;0, (((1.18*F152^0.874)/3.7-(0.301*F152^0.751)/(1-H152)*H152)*(MAX('Max rate concentrations'!$Q$3:$Q$368)))/F152, 0)</f>
        <v>7.8316570166114367E-3</v>
      </c>
      <c r="O152" s="69">
        <f>((MAX('Max rate concentrations'!$F$3:$F$368))*0.62*6.01*8*(10*F152^0.667)*0.079*0.1/F152)*inputs!$E$80/(10^(0.84+0.62*LOG10(inputs!$E$80)))</f>
        <v>21.394210598911073</v>
      </c>
      <c r="P152" s="69">
        <f>((MAX('Max rate concentrations'!Y:Y))*0.62*6.01*8*(10*F152^0.667)*0.079*0.1/F152)*inputs!$E$80/(10^(0.84+0.62*LOG10(inputs!$E$80)))</f>
        <v>7.1314035329703582</v>
      </c>
      <c r="Q152" s="69">
        <f>(inputs!$C$18*11.2*(10*F152^0.667)*0.5/F152)*inputs!$E$80/(10^(0.84+0.62*LOG10(inputs!$E$80)))</f>
        <v>3.7684892895332864</v>
      </c>
      <c r="R152" s="59">
        <f>(60*284*((F152/1000)^0.77)*3*24*(MAX('Max rate concentrations'!$R$3:$R$368))/F152)*(inputs!$E$73*3.4/inputs!$E$75)</f>
        <v>3.6421143946658498E-2</v>
      </c>
      <c r="S152" s="59">
        <f>(IF(inputs!$C$17="aerial",((0.025*0.112*inputs!$C$18/3.3)*(3*60*284*((F152/1000)^0.77))*MAX(inputs!$I$14:$I$16))/F152,((0.0083*0.112*inputs!$C$18/1)*(3*60*284*((F152/1000)^0.77))*MAX(inputs!$I$14:$I$16))/F152))*(inputs!E$75*3.4/inputs!$E$73)</f>
        <v>0.20086484651932554</v>
      </c>
      <c r="T152" s="63">
        <f>IF((((inputs!$P$13/(V152/MAX(K152:S152)))^(1/inputs!$O$13))-1)/inputs!$N$13&lt;0, 0, IF((((inputs!$P$13/(V152/MAX(K152:S152)))^(1/inputs!$O$13))-1)/inputs!$N$13&lt;inputs!$I$17, (((inputs!$P$13/(V152/MAX(K152:S152)))^(1/inputs!$O$13))-1)/inputs!$N$13, inputs!$I$17))</f>
        <v>1000</v>
      </c>
      <c r="U152" s="63">
        <f>IF((((inputs!$P$13/(X152/MAX(K152:S152)))^(1/inputs!$O$13))-1)/inputs!$N$13&lt;0, 0, IF((((inputs!$P$13/(X152/MAX(K152:S152)))^(1/inputs!$O$13))-1)/inputs!$N$13&lt;inputs!$I$17, (((inputs!$P$13/(X152/MAX(K152:S152)))^(1/inputs!$O$13))-1)/inputs!$N$13, inputs!$I$17))</f>
        <v>168.60759178068506</v>
      </c>
      <c r="V152" s="21">
        <f>inputs!$E$78*(F152/inputs!$F$78)^(inputs!$E$84-1)</f>
        <v>1.2284479428588334E-2</v>
      </c>
      <c r="W152" s="21">
        <f>inputs!$E$85*(F152/inputs!$F$85)^(inputs!$E$84-1)</f>
        <v>0.56727463001505529</v>
      </c>
      <c r="X152" s="21">
        <f>inputs!$E$80*(F152/inputs!$F$80)^(inputs!$E$84-1)</f>
        <v>2.1183039981574847</v>
      </c>
      <c r="Y152" s="21">
        <f>inputs!$E$82*(F152/inputs!$F$82)^(inputs!$E$84-1)</f>
        <v>0.97629283879833606</v>
      </c>
      <c r="Z152" s="63">
        <f t="shared" si="13"/>
        <v>12451.426662983837</v>
      </c>
      <c r="AA152" s="63">
        <f t="shared" si="14"/>
        <v>269.63887789930203</v>
      </c>
    </row>
    <row r="153" spans="1:27" ht="13.2" x14ac:dyDescent="0.25">
      <c r="A153" s="103" t="s">
        <v>234</v>
      </c>
      <c r="B153" s="20" t="s">
        <v>235</v>
      </c>
      <c r="C153" s="20" t="s">
        <v>73</v>
      </c>
      <c r="D153" s="104" t="s">
        <v>236</v>
      </c>
      <c r="E153" s="15">
        <v>9122</v>
      </c>
      <c r="F153" s="15">
        <v>325</v>
      </c>
      <c r="G153" s="20" t="s">
        <v>145</v>
      </c>
      <c r="H153" s="20">
        <v>0.66</v>
      </c>
      <c r="I153" s="68">
        <f>MAX('Max rate concentrations'!$M$3:$M$368)</f>
        <v>17.092910873809167</v>
      </c>
      <c r="J153" s="68">
        <f>MAX('Max rate concentrations'!AE:AE)</f>
        <v>11.81956602976166</v>
      </c>
      <c r="K153" s="69">
        <f t="shared" si="11"/>
        <v>3.5846325973941693</v>
      </c>
      <c r="L153" s="69">
        <f t="shared" si="15"/>
        <v>2.4787353067087343</v>
      </c>
      <c r="M153" s="69">
        <f>IF((((1.18*F153^0.874)/3.7-(0.301*F153^0.751)/(1-H153)*H153)*(MAX('Max rate concentrations'!$P$3:$P$368)))/F153&gt;0, (((1.18*F153^0.874)/3.7-(0.301*F153^0.751)/(1-H153)*H153)*(MAX('Max rate concentrations'!$P$3:$P$368)))/F153, 0)</f>
        <v>1.3471475393241837E-2</v>
      </c>
      <c r="N153" s="69">
        <f>IF((((1.18*F153^0.874)/3.7-(0.301*F153^0.751)/(1-H153)*H153)*(MAX('Max rate concentrations'!$Q$3:$Q$368)))/F153&gt;0, (((1.18*F153^0.874)/3.7-(0.301*F153^0.751)/(1-H153)*H153)*(MAX('Max rate concentrations'!$Q$3:$Q$368)))/F153, 0)</f>
        <v>5.130010214253896E-2</v>
      </c>
      <c r="O153" s="69">
        <f>((MAX('Max rate concentrations'!$F$3:$F$368))*0.62*6.01*8*(10*F153^0.667)*0.079*0.1/F153)*inputs!$E$80/(10^(0.84+0.62*LOG10(inputs!$E$80)))</f>
        <v>21.394210598911073</v>
      </c>
      <c r="P153" s="69">
        <f>((MAX('Max rate concentrations'!Y:Y))*0.62*6.01*8*(10*F153^0.667)*0.079*0.1/F153)*inputs!$E$80/(10^(0.84+0.62*LOG10(inputs!$E$80)))</f>
        <v>7.1314035329703582</v>
      </c>
      <c r="Q153" s="69">
        <f>(inputs!$C$18*11.2*(10*F153^0.667)*0.5/F153)*inputs!$E$80/(10^(0.84+0.62*LOG10(inputs!$E$80)))</f>
        <v>3.7684892895332864</v>
      </c>
      <c r="R153" s="59">
        <f>(60*284*((F153/1000)^0.77)*3*24*(MAX('Max rate concentrations'!$R$3:$R$368))/F153)*(inputs!$E$73*3.4/inputs!$E$75)</f>
        <v>3.6421143946658498E-2</v>
      </c>
      <c r="S153" s="59">
        <f>(IF(inputs!$C$17="aerial",((0.025*0.112*inputs!$C$18/3.3)*(3*60*284*((F153/1000)^0.77))*MAX(inputs!$I$14:$I$16))/F153,((0.0083*0.112*inputs!$C$18/1)*(3*60*284*((F153/1000)^0.77))*MAX(inputs!$I$14:$I$16))/F153))*(inputs!E$75*3.4/inputs!$E$73)</f>
        <v>0.20086484651932554</v>
      </c>
      <c r="T153" s="63">
        <f>IF((((inputs!$P$13/(V153/MAX(K153:S153)))^(1/inputs!$O$13))-1)/inputs!$N$13&lt;0, 0, IF((((inputs!$P$13/(V153/MAX(K153:S153)))^(1/inputs!$O$13))-1)/inputs!$N$13&lt;inputs!$I$17, (((inputs!$P$13/(V153/MAX(K153:S153)))^(1/inputs!$O$13))-1)/inputs!$N$13, inputs!$I$17))</f>
        <v>1000</v>
      </c>
      <c r="U153" s="63">
        <f>IF((((inputs!$P$13/(X153/MAX(K153:S153)))^(1/inputs!$O$13))-1)/inputs!$N$13&lt;0, 0, IF((((inputs!$P$13/(X153/MAX(K153:S153)))^(1/inputs!$O$13))-1)/inputs!$N$13&lt;inputs!$I$17, (((inputs!$P$13/(X153/MAX(K153:S153)))^(1/inputs!$O$13))-1)/inputs!$N$13, inputs!$I$17))</f>
        <v>30.197440905466912</v>
      </c>
      <c r="V153" s="21">
        <f>inputs!$E$78*(F153/inputs!$F$78)^(inputs!$E$84-1)</f>
        <v>1.2284479428588334E-2</v>
      </c>
      <c r="W153" s="21">
        <f>inputs!$E$85*(F153/inputs!$F$85)^(inputs!$E$84-1)</f>
        <v>0.56727463001505529</v>
      </c>
      <c r="X153" s="21">
        <f>inputs!$E$80*(F153/inputs!$F$80)^(inputs!$E$84-1)</f>
        <v>2.1183039981574847</v>
      </c>
      <c r="Y153" s="21">
        <f>inputs!$E$82*(F153/inputs!$F$82)^(inputs!$E$84-1)</f>
        <v>0.97629283879833606</v>
      </c>
      <c r="Z153" s="63">
        <f t="shared" si="13"/>
        <v>1741.5642822538048</v>
      </c>
      <c r="AA153" s="63">
        <f t="shared" si="14"/>
        <v>37.714026799229991</v>
      </c>
    </row>
    <row r="154" spans="1:27" ht="13.2" x14ac:dyDescent="0.25">
      <c r="A154" s="103" t="s">
        <v>364</v>
      </c>
      <c r="B154" s="20" t="s">
        <v>365</v>
      </c>
      <c r="C154" s="20" t="s">
        <v>73</v>
      </c>
      <c r="D154" s="104" t="s">
        <v>204</v>
      </c>
      <c r="E154" s="15">
        <v>83</v>
      </c>
      <c r="F154" s="15">
        <v>737</v>
      </c>
      <c r="G154" s="20" t="s">
        <v>142</v>
      </c>
      <c r="H154" s="20">
        <v>0.69</v>
      </c>
      <c r="I154" s="68">
        <f>MAX('Max rate concentrations'!$H$3:$H$368)</f>
        <v>282</v>
      </c>
      <c r="J154" s="68">
        <f>MAX('Max rate concentrations'!AA:AA)</f>
        <v>195</v>
      </c>
      <c r="K154" s="69">
        <f t="shared" si="11"/>
        <v>52.89985792075705</v>
      </c>
      <c r="L154" s="69">
        <f t="shared" si="15"/>
        <v>36.579688987757535</v>
      </c>
      <c r="M154" s="69">
        <f>IF((((1.18*F154^0.874)/3.7-(0.301*F154^0.751)/(1-H154)*H154)*(MAX('Max rate concentrations'!$P$3:$P$368)))/F154&gt;0, (((1.18*F154^0.874)/3.7-(0.301*F154^0.751)/(1-H154)*H154)*(MAX('Max rate concentrations'!$P$3:$P$368)))/F154, 0)</f>
        <v>8.1523441403862935E-3</v>
      </c>
      <c r="N154" s="69">
        <f>IF((((1.18*F154^0.874)/3.7-(0.301*F154^0.751)/(1-H154)*H154)*(MAX('Max rate concentrations'!$Q$3:$Q$368)))/F154&gt;0, (((1.18*F154^0.874)/3.7-(0.301*F154^0.751)/(1-H154)*H154)*(MAX('Max rate concentrations'!$Q$3:$Q$368)))/F154, 0)</f>
        <v>3.1044564525779406E-2</v>
      </c>
      <c r="O154" s="69">
        <f>((MAX('Max rate concentrations'!$F$3:$F$368))*0.62*6.01*8*(10*F154^0.667)*0.079*0.1/F154)*inputs!$E$80/(10^(0.84+0.62*LOG10(inputs!$E$80)))</f>
        <v>16.288712288424577</v>
      </c>
      <c r="P154" s="69">
        <f>((MAX('Max rate concentrations'!Y:Y))*0.62*6.01*8*(10*F154^0.667)*0.079*0.1/F154)*inputs!$E$80/(10^(0.84+0.62*LOG10(inputs!$E$80)))</f>
        <v>5.4295707628081917</v>
      </c>
      <c r="Q154" s="69">
        <f>(inputs!$C$18*11.2*(10*F154^0.667)*0.5/F154)*inputs!$E$80/(10^(0.84+0.62*LOG10(inputs!$E$80)))</f>
        <v>2.8691798426225441</v>
      </c>
      <c r="R154" s="59">
        <f>(60*284*((F154/1000)^0.77)*3*24*(MAX('Max rate concentrations'!$R$3:$R$368))/F154)*(inputs!$E$73*3.4/inputs!$E$75)</f>
        <v>3.0169577840640699E-2</v>
      </c>
      <c r="S154" s="59">
        <f>(IF(inputs!$C$17="aerial",((0.025*0.112*inputs!$C$18/3.3)*(3*60*284*((F154/1000)^0.77))*MAX(inputs!$I$14:$I$16))/F154,((0.0083*0.112*inputs!$C$18/1)*(3*60*284*((F154/1000)^0.77))*MAX(inputs!$I$14:$I$16))/F154))*(inputs!E$75*3.4/inputs!$E$73)</f>
        <v>0.16638707535898592</v>
      </c>
      <c r="T154" s="63">
        <f>IF((((inputs!$P$13/(V154/MAX(K154:S154)))^(1/inputs!$O$13))-1)/inputs!$N$13&lt;0, 0, IF((((inputs!$P$13/(V154/MAX(K154:S154)))^(1/inputs!$O$13))-1)/inputs!$N$13&lt;inputs!$I$17, (((inputs!$P$13/(V154/MAX(K154:S154)))^(1/inputs!$O$13))-1)/inputs!$N$13, inputs!$I$17))</f>
        <v>1000</v>
      </c>
      <c r="U154" s="63">
        <f>IF((((inputs!$P$13/(X154/MAX(K154:S154)))^(1/inputs!$O$13))-1)/inputs!$N$13&lt;0, 0, IF((((inputs!$P$13/(X154/MAX(K154:S154)))^(1/inputs!$O$13))-1)/inputs!$N$13&lt;inputs!$I$17, (((inputs!$P$13/(X154/MAX(K154:S154)))^(1/inputs!$O$13))-1)/inputs!$N$13, inputs!$I$17))</f>
        <v>88.882678531990464</v>
      </c>
      <c r="V154" s="21">
        <f>inputs!$E$78*(F154/inputs!$F$78)^(inputs!$E$84-1)</f>
        <v>9.0738298335181038E-3</v>
      </c>
      <c r="W154" s="21">
        <f>inputs!$E$85*(F154/inputs!$F$85)^(inputs!$E$84-1)</f>
        <v>0.41901274625033585</v>
      </c>
      <c r="X154" s="21">
        <f>inputs!$E$80*(F154/inputs!$F$80)^(inputs!$E$84-1)</f>
        <v>1.5646678499221403</v>
      </c>
      <c r="Y154" s="21">
        <f>inputs!$E$82*(F154/inputs!$F$82)^(inputs!$E$84-1)</f>
        <v>0.72113068676907044</v>
      </c>
      <c r="Z154" s="63">
        <f t="shared" si="13"/>
        <v>5829.937181028964</v>
      </c>
      <c r="AA154" s="63">
        <f t="shared" si="14"/>
        <v>126.2488036322228</v>
      </c>
    </row>
    <row r="155" spans="1:27" ht="13.2" x14ac:dyDescent="0.25">
      <c r="A155" s="103" t="s">
        <v>364</v>
      </c>
      <c r="B155" s="20" t="s">
        <v>365</v>
      </c>
      <c r="C155" s="20" t="s">
        <v>73</v>
      </c>
      <c r="D155" s="104" t="s">
        <v>204</v>
      </c>
      <c r="E155" s="15">
        <v>83</v>
      </c>
      <c r="F155" s="15">
        <v>737</v>
      </c>
      <c r="G155" s="20" t="s">
        <v>169</v>
      </c>
      <c r="H155" s="20">
        <v>0.79</v>
      </c>
      <c r="I155" s="68">
        <f>MAX('Max rate concentrations'!$D$3:$D$368)</f>
        <v>720</v>
      </c>
      <c r="J155" s="68">
        <f>MAX('Max rate concentrations'!W:W)</f>
        <v>255</v>
      </c>
      <c r="K155" s="69">
        <f t="shared" si="11"/>
        <v>199.37940371349171</v>
      </c>
      <c r="L155" s="69">
        <f t="shared" si="15"/>
        <v>70.613538815194985</v>
      </c>
      <c r="M155" s="69">
        <f>IF((((1.18*F155^0.874)/3.7-(0.301*F155^0.751)/(1-H155)*H155)*(MAX('Max rate concentrations'!$P$3:$P$368)))/F155&gt;0, (((1.18*F155^0.874)/3.7-(0.301*F155^0.751)/(1-H155)*H155)*(MAX('Max rate concentrations'!$P$3:$P$368)))/F155, 0)</f>
        <v>0</v>
      </c>
      <c r="N155" s="69">
        <f>IF((((1.18*F155^0.874)/3.7-(0.301*F155^0.751)/(1-H155)*H155)*(MAX('Max rate concentrations'!$Q$3:$Q$368)))/F155&gt;0, (((1.18*F155^0.874)/3.7-(0.301*F155^0.751)/(1-H155)*H155)*(MAX('Max rate concentrations'!$Q$3:$Q$368)))/F155, 0)</f>
        <v>0</v>
      </c>
      <c r="O155" s="69">
        <f>((MAX('Max rate concentrations'!$F$3:$F$368))*0.62*6.01*8*(10*F155^0.667)*0.079*0.1/F155)*inputs!$E$80/(10^(0.84+0.62*LOG10(inputs!$E$80)))</f>
        <v>16.288712288424577</v>
      </c>
      <c r="P155" s="69">
        <f>((MAX('Max rate concentrations'!Y:Y))*0.62*6.01*8*(10*F155^0.667)*0.079*0.1/F155)*inputs!$E$80/(10^(0.84+0.62*LOG10(inputs!$E$80)))</f>
        <v>5.4295707628081917</v>
      </c>
      <c r="Q155" s="69">
        <f>(inputs!$C$18*11.2*(10*F155^0.667)*0.5/F155)*inputs!$E$80/(10^(0.84+0.62*LOG10(inputs!$E$80)))</f>
        <v>2.8691798426225441</v>
      </c>
      <c r="R155" s="59">
        <f>(60*284*((F155/1000)^0.77)*3*24*(MAX('Max rate concentrations'!$R$3:$R$368))/F155)*(inputs!$E$73*3.4/inputs!$E$75)</f>
        <v>3.0169577840640699E-2</v>
      </c>
      <c r="S155" s="59">
        <f>(IF(inputs!$C$17="aerial",((0.025*0.112*inputs!$C$18/3.3)*(3*60*284*((F155/1000)^0.77))*MAX(inputs!$I$14:$I$16))/F155,((0.0083*0.112*inputs!$C$18/1)*(3*60*284*((F155/1000)^0.77))*MAX(inputs!$I$14:$I$16))/F155))*(inputs!E$75*3.4/inputs!$E$73)</f>
        <v>0.16638707535898592</v>
      </c>
      <c r="T155" s="63">
        <f>IF((((inputs!$P$13/(V155/MAX(K155:S155)))^(1/inputs!$O$13))-1)/inputs!$N$13&lt;0, 0, IF((((inputs!$P$13/(V155/MAX(K155:S155)))^(1/inputs!$O$13))-1)/inputs!$N$13&lt;inputs!$I$17, (((inputs!$P$13/(V155/MAX(K155:S155)))^(1/inputs!$O$13))-1)/inputs!$N$13, inputs!$I$17))</f>
        <v>1000</v>
      </c>
      <c r="U155" s="63">
        <f>IF((((inputs!$P$13/(X155/MAX(K155:S155)))^(1/inputs!$O$13))-1)/inputs!$N$13&lt;0, 0, IF((((inputs!$P$13/(X155/MAX(K155:S155)))^(1/inputs!$O$13))-1)/inputs!$N$13&lt;inputs!$I$17, (((inputs!$P$13/(X155/MAX(K155:S155)))^(1/inputs!$O$13))-1)/inputs!$N$13, inputs!$I$17))</f>
        <v>269.94951750334695</v>
      </c>
      <c r="V155" s="21">
        <f>inputs!$E$78*(F155/inputs!$F$78)^(inputs!$E$84-1)</f>
        <v>9.0738298335181038E-3</v>
      </c>
      <c r="W155" s="21">
        <f>inputs!$E$85*(F155/inputs!$F$85)^(inputs!$E$84-1)</f>
        <v>0.41901274625033585</v>
      </c>
      <c r="X155" s="21">
        <f>inputs!$E$80*(F155/inputs!$F$80)^(inputs!$E$84-1)</f>
        <v>1.5646678499221403</v>
      </c>
      <c r="Y155" s="21">
        <f>inputs!$E$82*(F155/inputs!$F$82)^(inputs!$E$84-1)</f>
        <v>0.72113068676907044</v>
      </c>
      <c r="Z155" s="63">
        <f t="shared" si="13"/>
        <v>21973.015515124374</v>
      </c>
      <c r="AA155" s="63">
        <f t="shared" si="14"/>
        <v>475.83135715488248</v>
      </c>
    </row>
    <row r="156" spans="1:27" ht="13.2" x14ac:dyDescent="0.25">
      <c r="A156" s="103" t="s">
        <v>364</v>
      </c>
      <c r="B156" s="20" t="s">
        <v>365</v>
      </c>
      <c r="C156" s="20" t="s">
        <v>73</v>
      </c>
      <c r="D156" s="104" t="s">
        <v>204</v>
      </c>
      <c r="E156" s="15">
        <v>83</v>
      </c>
      <c r="F156" s="15">
        <v>737</v>
      </c>
      <c r="G156" s="20" t="s">
        <v>158</v>
      </c>
      <c r="H156" s="20">
        <v>0.85</v>
      </c>
      <c r="I156" s="68">
        <f>MAX('Max rate concentrations'!$F$3:$F$368)</f>
        <v>405</v>
      </c>
      <c r="J156" s="68">
        <f>MAX('Max rate concentrations'!Y:Y)</f>
        <v>135</v>
      </c>
      <c r="K156" s="69">
        <f t="shared" si="11"/>
        <v>157.01128042437469</v>
      </c>
      <c r="L156" s="69">
        <f t="shared" si="15"/>
        <v>52.337093474791558</v>
      </c>
      <c r="M156" s="69">
        <f>IF((((1.18*F156^0.874)/3.7-(0.301*F156^0.751)/(1-H156)*H156)*(MAX('Max rate concentrations'!$P$3:$P$368)))/F156&gt;0, (((1.18*F156^0.874)/3.7-(0.301*F156^0.751)/(1-H156)*H156)*(MAX('Max rate concentrations'!$P$3:$P$368)))/F156, 0)</f>
        <v>0</v>
      </c>
      <c r="N156" s="69">
        <f>IF((((1.18*F156^0.874)/3.7-(0.301*F156^0.751)/(1-H156)*H156)*(MAX('Max rate concentrations'!$Q$3:$Q$368)))/F156&gt;0, (((1.18*F156^0.874)/3.7-(0.301*F156^0.751)/(1-H156)*H156)*(MAX('Max rate concentrations'!$Q$3:$Q$368)))/F156, 0)</f>
        <v>0</v>
      </c>
      <c r="O156" s="69">
        <f>((MAX('Max rate concentrations'!$F$3:$F$368))*0.62*6.01*8*(10*F156^0.667)*0.079*0.1/F156)*inputs!$E$80/(10^(0.84+0.62*LOG10(inputs!$E$80)))</f>
        <v>16.288712288424577</v>
      </c>
      <c r="P156" s="69">
        <f>((MAX('Max rate concentrations'!Y:Y))*0.62*6.01*8*(10*F156^0.667)*0.079*0.1/F156)*inputs!$E$80/(10^(0.84+0.62*LOG10(inputs!$E$80)))</f>
        <v>5.4295707628081917</v>
      </c>
      <c r="Q156" s="69">
        <f>(inputs!$C$18*11.2*(10*F156^0.667)*0.5/F156)*inputs!$E$80/(10^(0.84+0.62*LOG10(inputs!$E$80)))</f>
        <v>2.8691798426225441</v>
      </c>
      <c r="R156" s="59">
        <f>(60*284*((F156/1000)^0.77)*3*24*(MAX('Max rate concentrations'!$R$3:$R$368))/F156)*(inputs!$E$73*3.4/inputs!$E$75)</f>
        <v>3.0169577840640699E-2</v>
      </c>
      <c r="S156" s="59">
        <f>(IF(inputs!$C$17="aerial",((0.025*0.112*inputs!$C$18/3.3)*(3*60*284*((F156/1000)^0.77))*MAX(inputs!$I$14:$I$16))/F156,((0.0083*0.112*inputs!$C$18/1)*(3*60*284*((F156/1000)^0.77))*MAX(inputs!$I$14:$I$16))/F156))*(inputs!E$75*3.4/inputs!$E$73)</f>
        <v>0.16638707535898592</v>
      </c>
      <c r="T156" s="63">
        <f>IF((((inputs!$P$13/(V156/MAX(K156:S156)))^(1/inputs!$O$13))-1)/inputs!$N$13&lt;0, 0, IF((((inputs!$P$13/(V156/MAX(K156:S156)))^(1/inputs!$O$13))-1)/inputs!$N$13&lt;inputs!$I$17, (((inputs!$P$13/(V156/MAX(K156:S156)))^(1/inputs!$O$13))-1)/inputs!$N$13, inputs!$I$17))</f>
        <v>1000</v>
      </c>
      <c r="U156" s="63">
        <f>IF((((inputs!$P$13/(X156/MAX(K156:S156)))^(1/inputs!$O$13))-1)/inputs!$N$13&lt;0, 0, IF((((inputs!$P$13/(X156/MAX(K156:S156)))^(1/inputs!$O$13))-1)/inputs!$N$13&lt;inputs!$I$17, (((inputs!$P$13/(X156/MAX(K156:S156)))^(1/inputs!$O$13))-1)/inputs!$N$13, inputs!$I$17))</f>
        <v>221.60916261104788</v>
      </c>
      <c r="V156" s="21">
        <f>inputs!$E$78*(F156/inputs!$F$78)^(inputs!$E$84-1)</f>
        <v>9.0738298335181038E-3</v>
      </c>
      <c r="W156" s="21">
        <f>inputs!$E$85*(F156/inputs!$F$85)^(inputs!$E$84-1)</f>
        <v>0.41901274625033585</v>
      </c>
      <c r="X156" s="21">
        <f>inputs!$E$80*(F156/inputs!$F$80)^(inputs!$E$84-1)</f>
        <v>1.5646678499221403</v>
      </c>
      <c r="Y156" s="21">
        <f>inputs!$E$82*(F156/inputs!$F$82)^(inputs!$E$84-1)</f>
        <v>0.72113068676907044</v>
      </c>
      <c r="Z156" s="63">
        <f t="shared" si="13"/>
        <v>17303.749718160441</v>
      </c>
      <c r="AA156" s="63">
        <f t="shared" si="14"/>
        <v>374.71719375946986</v>
      </c>
    </row>
    <row r="157" spans="1:27" ht="13.2" x14ac:dyDescent="0.25">
      <c r="A157" s="103" t="s">
        <v>205</v>
      </c>
      <c r="B157" s="20" t="s">
        <v>206</v>
      </c>
      <c r="C157" s="20" t="s">
        <v>73</v>
      </c>
      <c r="D157" s="104" t="s">
        <v>204</v>
      </c>
      <c r="E157" s="15">
        <v>4120</v>
      </c>
      <c r="F157" s="15">
        <v>1300</v>
      </c>
      <c r="G157" s="20" t="s">
        <v>142</v>
      </c>
      <c r="H157" s="20">
        <v>0.69</v>
      </c>
      <c r="I157" s="68">
        <f>MAX('Max rate concentrations'!$H$3:$H$368)</f>
        <v>282</v>
      </c>
      <c r="J157" s="68">
        <f>MAX('Max rate concentrations'!AA:AA)</f>
        <v>195</v>
      </c>
      <c r="K157" s="69">
        <f t="shared" si="11"/>
        <v>45.92847393455677</v>
      </c>
      <c r="L157" s="69">
        <f t="shared" si="15"/>
        <v>31.759051124959463</v>
      </c>
      <c r="M157" s="69">
        <f>IF((((1.18*F157^0.874)/3.7-(0.301*F157^0.751)/(1-H157)*H157)*(MAX('Max rate concentrations'!$P$3:$P$368)))/F157&gt;0, (((1.18*F157^0.874)/3.7-(0.301*F157^0.751)/(1-H157)*H157)*(MAX('Max rate concentrations'!$P$3:$P$368)))/F157, 0)</f>
        <v>1.4665704697145367E-2</v>
      </c>
      <c r="N157" s="69">
        <f>IF((((1.18*F157^0.874)/3.7-(0.301*F157^0.751)/(1-H157)*H157)*(MAX('Max rate concentrations'!$Q$3:$Q$368)))/F157&gt;0, (((1.18*F157^0.874)/3.7-(0.301*F157^0.751)/(1-H157)*H157)*(MAX('Max rate concentrations'!$Q$3:$Q$368)))/F157, 0)</f>
        <v>5.5847791499756522E-2</v>
      </c>
      <c r="O157" s="69">
        <f>((MAX('Max rate concentrations'!$F$3:$F$368))*0.62*6.01*8*(10*F157^0.667)*0.079*0.1/F157)*inputs!$E$80/(10^(0.84+0.62*LOG10(inputs!$E$80)))</f>
        <v>13.483737510084032</v>
      </c>
      <c r="P157" s="69">
        <f>((MAX('Max rate concentrations'!Y:Y))*0.62*6.01*8*(10*F157^0.667)*0.079*0.1/F157)*inputs!$E$80/(10^(0.84+0.62*LOG10(inputs!$E$80)))</f>
        <v>4.4945791700280111</v>
      </c>
      <c r="Q157" s="69">
        <f>(inputs!$C$18*11.2*(10*F157^0.667)*0.5/F157)*inputs!$E$80/(10^(0.84+0.62*LOG10(inputs!$E$80)))</f>
        <v>2.3750967653004316</v>
      </c>
      <c r="R157" s="59">
        <f>(60*284*((F157/1000)^0.77)*3*24*(MAX('Max rate concentrations'!$R$3:$R$368))/F157)*(inputs!$E$73*3.4/inputs!$E$75)</f>
        <v>2.6477671173904222E-2</v>
      </c>
      <c r="S157" s="59">
        <f>(IF(inputs!$C$17="aerial",((0.025*0.112*inputs!$C$18/3.3)*(3*60*284*((F157/1000)^0.77))*MAX(inputs!$I$14:$I$16))/F157,((0.0083*0.112*inputs!$C$18/1)*(3*60*284*((F157/1000)^0.77))*MAX(inputs!$I$14:$I$16))/F157))*(inputs!E$75*3.4/inputs!$E$73)</f>
        <v>0.14602598326743083</v>
      </c>
      <c r="T157" s="63">
        <f>IF((((inputs!$P$13/(V157/MAX(K157:S157)))^(1/inputs!$O$13))-1)/inputs!$N$13&lt;0, 0, IF((((inputs!$P$13/(V157/MAX(K157:S157)))^(1/inputs!$O$13))-1)/inputs!$N$13&lt;inputs!$I$17, (((inputs!$P$13/(V157/MAX(K157:S157)))^(1/inputs!$O$13))-1)/inputs!$N$13, inputs!$I$17))</f>
        <v>1000</v>
      </c>
      <c r="U157" s="63">
        <f>IF((((inputs!$P$13/(X157/MAX(K157:S157)))^(1/inputs!$O$13))-1)/inputs!$N$13&lt;0, 0, IF((((inputs!$P$13/(X157/MAX(K157:S157)))^(1/inputs!$O$13))-1)/inputs!$N$13&lt;inputs!$I$17, (((inputs!$P$13/(X157/MAX(K157:S157)))^(1/inputs!$O$13))-1)/inputs!$N$13, inputs!$I$17))</f>
        <v>94.256668059340726</v>
      </c>
      <c r="V157" s="21">
        <f>inputs!$E$78*(F157/inputs!$F$78)^(inputs!$E$84-1)</f>
        <v>7.3552012565319168E-3</v>
      </c>
      <c r="W157" s="21">
        <f>inputs!$E$85*(F157/inputs!$F$85)^(inputs!$E$84-1)</f>
        <v>0.33964964455680513</v>
      </c>
      <c r="X157" s="21">
        <f>inputs!$E$80*(F157/inputs!$F$80)^(inputs!$E$84-1)</f>
        <v>1.2683119638513609</v>
      </c>
      <c r="Y157" s="21">
        <f>inputs!$E$82*(F157/inputs!$F$82)^(inputs!$E$84-1)</f>
        <v>0.58454494196648399</v>
      </c>
      <c r="Z157" s="63">
        <f t="shared" si="13"/>
        <v>6244.3531227332733</v>
      </c>
      <c r="AA157" s="63">
        <f t="shared" si="14"/>
        <v>135.22308846955207</v>
      </c>
    </row>
    <row r="158" spans="1:27" ht="13.2" x14ac:dyDescent="0.25">
      <c r="A158" s="103" t="s">
        <v>205</v>
      </c>
      <c r="B158" s="20" t="s">
        <v>206</v>
      </c>
      <c r="C158" s="20" t="s">
        <v>73</v>
      </c>
      <c r="D158" s="104" t="s">
        <v>204</v>
      </c>
      <c r="E158" s="15">
        <v>4120</v>
      </c>
      <c r="F158" s="15">
        <v>1300</v>
      </c>
      <c r="G158" s="20" t="s">
        <v>152</v>
      </c>
      <c r="H158" s="20">
        <v>0.77</v>
      </c>
      <c r="I158" s="68">
        <f>MAX('Max rate concentrations'!$G$3:$G$368)</f>
        <v>45</v>
      </c>
      <c r="J158" s="68">
        <f>MAX('Max rate concentrations'!Z:Z)</f>
        <v>21</v>
      </c>
      <c r="K158" s="69">
        <f t="shared" si="11"/>
        <v>9.8782332930475967</v>
      </c>
      <c r="L158" s="69">
        <f t="shared" si="15"/>
        <v>4.609842203422212</v>
      </c>
      <c r="M158" s="69">
        <f>IF((((1.18*F158^0.874)/3.7-(0.301*F158^0.751)/(1-H158)*H158)*(MAX('Max rate concentrations'!$P$3:$P$368)))/F158&gt;0, (((1.18*F158^0.874)/3.7-(0.301*F158^0.751)/(1-H158)*H158)*(MAX('Max rate concentrations'!$P$3:$P$368)))/F158, 0)</f>
        <v>0</v>
      </c>
      <c r="N158" s="69">
        <f>IF((((1.18*F158^0.874)/3.7-(0.301*F158^0.751)/(1-H158)*H158)*(MAX('Max rate concentrations'!$Q$3:$Q$368)))/F158&gt;0, (((1.18*F158^0.874)/3.7-(0.301*F158^0.751)/(1-H158)*H158)*(MAX('Max rate concentrations'!$Q$3:$Q$368)))/F158, 0)</f>
        <v>0</v>
      </c>
      <c r="O158" s="69">
        <f>((MAX('Max rate concentrations'!$F$3:$F$368))*0.62*6.01*8*(10*F158^0.667)*0.079*0.1/F158)*inputs!$E$80/(10^(0.84+0.62*LOG10(inputs!$E$80)))</f>
        <v>13.483737510084032</v>
      </c>
      <c r="P158" s="69">
        <f>((MAX('Max rate concentrations'!Y:Y))*0.62*6.01*8*(10*F158^0.667)*0.079*0.1/F158)*inputs!$E$80/(10^(0.84+0.62*LOG10(inputs!$E$80)))</f>
        <v>4.4945791700280111</v>
      </c>
      <c r="Q158" s="69">
        <f>(inputs!$C$18*11.2*(10*F158^0.667)*0.5/F158)*inputs!$E$80/(10^(0.84+0.62*LOG10(inputs!$E$80)))</f>
        <v>2.3750967653004316</v>
      </c>
      <c r="R158" s="59">
        <f>(60*284*((F158/1000)^0.77)*3*24*(MAX('Max rate concentrations'!$R$3:$R$368))/F158)*(inputs!$E$73*3.4/inputs!$E$75)</f>
        <v>2.6477671173904222E-2</v>
      </c>
      <c r="S158" s="59">
        <f>(IF(inputs!$C$17="aerial",((0.025*0.112*inputs!$C$18/3.3)*(3*60*284*((F158/1000)^0.77))*MAX(inputs!$I$14:$I$16))/F158,((0.0083*0.112*inputs!$C$18/1)*(3*60*284*((F158/1000)^0.77))*MAX(inputs!$I$14:$I$16))/F158))*(inputs!E$75*3.4/inputs!$E$73)</f>
        <v>0.14602598326743083</v>
      </c>
      <c r="T158" s="63">
        <f>IF((((inputs!$P$13/(V158/MAX(K158:S158)))^(1/inputs!$O$13))-1)/inputs!$N$13&lt;0, 0, IF((((inputs!$P$13/(V158/MAX(K158:S158)))^(1/inputs!$O$13))-1)/inputs!$N$13&lt;inputs!$I$17, (((inputs!$P$13/(V158/MAX(K158:S158)))^(1/inputs!$O$13))-1)/inputs!$N$13, inputs!$I$17))</f>
        <v>1000</v>
      </c>
      <c r="U158" s="63">
        <f>IF((((inputs!$P$13/(X158/MAX(K158:S158)))^(1/inputs!$O$13))-1)/inputs!$N$13&lt;0, 0, IF((((inputs!$P$13/(X158/MAX(K158:S158)))^(1/inputs!$O$13))-1)/inputs!$N$13&lt;inputs!$I$17, (((inputs!$P$13/(X158/MAX(K158:S158)))^(1/inputs!$O$13))-1)/inputs!$N$13, inputs!$I$17))</f>
        <v>31.697726432681403</v>
      </c>
      <c r="V158" s="21">
        <f>inputs!$E$78*(F158/inputs!$F$78)^(inputs!$E$84-1)</f>
        <v>7.3552012565319168E-3</v>
      </c>
      <c r="W158" s="21">
        <f>inputs!$E$85*(F158/inputs!$F$85)^(inputs!$E$84-1)</f>
        <v>0.33964964455680513</v>
      </c>
      <c r="X158" s="21">
        <f>inputs!$E$80*(F158/inputs!$F$80)^(inputs!$E$84-1)</f>
        <v>1.2683119638513609</v>
      </c>
      <c r="Y158" s="21">
        <f>inputs!$E$82*(F158/inputs!$F$82)^(inputs!$E$84-1)</f>
        <v>0.58454494196648399</v>
      </c>
      <c r="Z158" s="63">
        <f t="shared" si="13"/>
        <v>1833.2248214295373</v>
      </c>
      <c r="AA158" s="63">
        <f t="shared" si="14"/>
        <v>39.698959578416186</v>
      </c>
    </row>
    <row r="159" spans="1:27" ht="13.2" x14ac:dyDescent="0.25">
      <c r="A159" s="103" t="s">
        <v>205</v>
      </c>
      <c r="B159" s="20" t="s">
        <v>206</v>
      </c>
      <c r="C159" s="20" t="s">
        <v>73</v>
      </c>
      <c r="D159" s="104" t="s">
        <v>204</v>
      </c>
      <c r="E159" s="15">
        <v>4120</v>
      </c>
      <c r="F159" s="15">
        <v>1300</v>
      </c>
      <c r="G159" s="20" t="s">
        <v>158</v>
      </c>
      <c r="H159" s="20">
        <v>0.85</v>
      </c>
      <c r="I159" s="68">
        <f>MAX('Max rate concentrations'!$F$3:$F$368)</f>
        <v>405</v>
      </c>
      <c r="J159" s="68">
        <f>MAX('Max rate concentrations'!Y:Y)</f>
        <v>135</v>
      </c>
      <c r="K159" s="69">
        <f t="shared" si="11"/>
        <v>136.31961944405683</v>
      </c>
      <c r="L159" s="69">
        <f t="shared" si="15"/>
        <v>45.43987314801894</v>
      </c>
      <c r="M159" s="69">
        <f>IF((((1.18*F159^0.874)/3.7-(0.301*F159^0.751)/(1-H159)*H159)*(MAX('Max rate concentrations'!$P$3:$P$368)))/F159&gt;0, (((1.18*F159^0.874)/3.7-(0.301*F159^0.751)/(1-H159)*H159)*(MAX('Max rate concentrations'!$P$3:$P$368)))/F159, 0)</f>
        <v>0</v>
      </c>
      <c r="N159" s="69">
        <f>IF((((1.18*F159^0.874)/3.7-(0.301*F159^0.751)/(1-H159)*H159)*(MAX('Max rate concentrations'!$Q$3:$Q$368)))/F159&gt;0, (((1.18*F159^0.874)/3.7-(0.301*F159^0.751)/(1-H159)*H159)*(MAX('Max rate concentrations'!$Q$3:$Q$368)))/F159, 0)</f>
        <v>0</v>
      </c>
      <c r="O159" s="69">
        <f>((MAX('Max rate concentrations'!$F$3:$F$368))*0.62*6.01*8*(10*F159^0.667)*0.079*0.1/F159)*inputs!$E$80/(10^(0.84+0.62*LOG10(inputs!$E$80)))</f>
        <v>13.483737510084032</v>
      </c>
      <c r="P159" s="69">
        <f>((MAX('Max rate concentrations'!Y:Y))*0.62*6.01*8*(10*F159^0.667)*0.079*0.1/F159)*inputs!$E$80/(10^(0.84+0.62*LOG10(inputs!$E$80)))</f>
        <v>4.4945791700280111</v>
      </c>
      <c r="Q159" s="69">
        <f>(inputs!$C$18*11.2*(10*F159^0.667)*0.5/F159)*inputs!$E$80/(10^(0.84+0.62*LOG10(inputs!$E$80)))</f>
        <v>2.3750967653004316</v>
      </c>
      <c r="R159" s="59">
        <f>(60*284*((F159/1000)^0.77)*3*24*(MAX('Max rate concentrations'!$R$3:$R$368))/F159)*(inputs!$E$73*3.4/inputs!$E$75)</f>
        <v>2.6477671173904222E-2</v>
      </c>
      <c r="S159" s="59">
        <f>(IF(inputs!$C$17="aerial",((0.025*0.112*inputs!$C$18/3.3)*(3*60*284*((F159/1000)^0.77))*MAX(inputs!$I$14:$I$16))/F159,((0.0083*0.112*inputs!$C$18/1)*(3*60*284*((F159/1000)^0.77))*MAX(inputs!$I$14:$I$16))/F159))*(inputs!E$75*3.4/inputs!$E$73)</f>
        <v>0.14602598326743083</v>
      </c>
      <c r="T159" s="63">
        <f>IF((((inputs!$P$13/(V159/MAX(K159:S159)))^(1/inputs!$O$13))-1)/inputs!$N$13&lt;0, 0, IF((((inputs!$P$13/(V159/MAX(K159:S159)))^(1/inputs!$O$13))-1)/inputs!$N$13&lt;inputs!$I$17, (((inputs!$P$13/(V159/MAX(K159:S159)))^(1/inputs!$O$13))-1)/inputs!$N$13, inputs!$I$17))</f>
        <v>1000</v>
      </c>
      <c r="U159" s="63">
        <f>IF((((inputs!$P$13/(X159/MAX(K159:S159)))^(1/inputs!$O$13))-1)/inputs!$N$13&lt;0, 0, IF((((inputs!$P$13/(X159/MAX(K159:S159)))^(1/inputs!$O$13))-1)/inputs!$N$13&lt;inputs!$I$17, (((inputs!$P$13/(X159/MAX(K159:S159)))^(1/inputs!$O$13))-1)/inputs!$N$13, inputs!$I$17))</f>
        <v>234.56226386321913</v>
      </c>
      <c r="V159" s="21">
        <f>inputs!$E$78*(F159/inputs!$F$78)^(inputs!$E$84-1)</f>
        <v>7.3552012565319168E-3</v>
      </c>
      <c r="W159" s="21">
        <f>inputs!$E$85*(F159/inputs!$F$85)^(inputs!$E$84-1)</f>
        <v>0.33964964455680513</v>
      </c>
      <c r="X159" s="21">
        <f>inputs!$E$80*(F159/inputs!$F$80)^(inputs!$E$84-1)</f>
        <v>1.2683119638513609</v>
      </c>
      <c r="Y159" s="21">
        <f>inputs!$E$82*(F159/inputs!$F$82)^(inputs!$E$84-1)</f>
        <v>0.58454494196648399</v>
      </c>
      <c r="Z159" s="63">
        <f t="shared" si="13"/>
        <v>18533.771502580676</v>
      </c>
      <c r="AA159" s="63">
        <f t="shared" si="14"/>
        <v>401.35363492558542</v>
      </c>
    </row>
    <row r="160" spans="1:27" ht="13.2" x14ac:dyDescent="0.25">
      <c r="A160" s="103" t="s">
        <v>205</v>
      </c>
      <c r="B160" s="20" t="s">
        <v>207</v>
      </c>
      <c r="C160" s="20" t="s">
        <v>73</v>
      </c>
      <c r="D160" s="104" t="s">
        <v>204</v>
      </c>
      <c r="E160" s="15">
        <v>8741</v>
      </c>
      <c r="F160" s="15">
        <v>1200</v>
      </c>
      <c r="G160" s="20" t="s">
        <v>142</v>
      </c>
      <c r="H160" s="20">
        <v>0.69</v>
      </c>
      <c r="I160" s="68">
        <f>MAX('Max rate concentrations'!$H$3:$H$368)</f>
        <v>282</v>
      </c>
      <c r="J160" s="68">
        <f>MAX('Max rate concentrations'!AA:AA)</f>
        <v>195</v>
      </c>
      <c r="K160" s="69">
        <f t="shared" si="11"/>
        <v>46.853040542558922</v>
      </c>
      <c r="L160" s="69">
        <f t="shared" si="15"/>
        <v>32.398379098577983</v>
      </c>
      <c r="M160" s="69">
        <f>IF((((1.18*F160^0.874)/3.7-(0.301*F160^0.751)/(1-H160)*H160)*(MAX('Max rate concentrations'!$P$3:$P$368)))/F160&gt;0, (((1.18*F160^0.874)/3.7-(0.301*F160^0.751)/(1-H160)*H160)*(MAX('Max rate concentrations'!$P$3:$P$368)))/F160, 0)</f>
        <v>1.3836245019787977E-2</v>
      </c>
      <c r="N160" s="69">
        <f>IF((((1.18*F160^0.874)/3.7-(0.301*F160^0.751)/(1-H160)*H160)*(MAX('Max rate concentrations'!$Q$3:$Q$368)))/F160&gt;0, (((1.18*F160^0.874)/3.7-(0.301*F160^0.751)/(1-H160)*H160)*(MAX('Max rate concentrations'!$Q$3:$Q$368)))/F160, 0)</f>
        <v>5.2689164480113369E-2</v>
      </c>
      <c r="O160" s="69">
        <f>((MAX('Max rate concentrations'!$F$3:$F$368))*0.62*6.01*8*(10*F160^0.667)*0.079*0.1/F160)*inputs!$E$80/(10^(0.84+0.62*LOG10(inputs!$E$80)))</f>
        <v>13.847968623161096</v>
      </c>
      <c r="P160" s="69">
        <f>((MAX('Max rate concentrations'!Y:Y))*0.62*6.01*8*(10*F160^0.667)*0.079*0.1/F160)*inputs!$E$80/(10^(0.84+0.62*LOG10(inputs!$E$80)))</f>
        <v>4.6159895410536995</v>
      </c>
      <c r="Q160" s="69">
        <f>(inputs!$C$18*11.2*(10*F160^0.667)*0.5/F160)*inputs!$E$80/(10^(0.84+0.62*LOG10(inputs!$E$80)))</f>
        <v>2.4392543579444701</v>
      </c>
      <c r="R160" s="59">
        <f>(60*284*((F160/1000)^0.77)*3*24*(MAX('Max rate concentrations'!$R$3:$R$368))/F160)*(inputs!$E$73*3.4/inputs!$E$75)</f>
        <v>2.696963499614629E-2</v>
      </c>
      <c r="S160" s="59">
        <f>(IF(inputs!$C$17="aerial",((0.025*0.112*inputs!$C$18/3.3)*(3*60*284*((F160/1000)^0.77))*MAX(inputs!$I$14:$I$16))/F160,((0.0083*0.112*inputs!$C$18/1)*(3*60*284*((F160/1000)^0.77))*MAX(inputs!$I$14:$I$16))/F160))*(inputs!E$75*3.4/inputs!$E$73)</f>
        <v>0.14873919397252125</v>
      </c>
      <c r="T160" s="63">
        <f>IF((((inputs!$P$13/(V160/MAX(K160:S160)))^(1/inputs!$O$13))-1)/inputs!$N$13&lt;0, 0, IF((((inputs!$P$13/(V160/MAX(K160:S160)))^(1/inputs!$O$13))-1)/inputs!$N$13&lt;inputs!$I$17, (((inputs!$P$13/(V160/MAX(K160:S160)))^(1/inputs!$O$13))-1)/inputs!$N$13, inputs!$I$17))</f>
        <v>1000</v>
      </c>
      <c r="U160" s="63">
        <f>IF((((inputs!$P$13/(X160/MAX(K160:S160)))^(1/inputs!$O$13))-1)/inputs!$N$13&lt;0, 0, IF((((inputs!$P$13/(X160/MAX(K160:S160)))^(1/inputs!$O$13))-1)/inputs!$N$13&lt;inputs!$I$17, (((inputs!$P$13/(X160/MAX(K160:S160)))^(1/inputs!$O$13))-1)/inputs!$N$13, inputs!$I$17))</f>
        <v>93.480542848252895</v>
      </c>
      <c r="V160" s="21">
        <f>inputs!$E$78*(F160/inputs!$F$78)^(inputs!$E$84-1)</f>
        <v>7.5762891273526475E-3</v>
      </c>
      <c r="W160" s="21">
        <f>inputs!$E$85*(F160/inputs!$F$85)^(inputs!$E$84-1)</f>
        <v>0.34985907515170483</v>
      </c>
      <c r="X160" s="21">
        <f>inputs!$E$80*(F160/inputs!$F$80)^(inputs!$E$84-1)</f>
        <v>1.3064357869588976</v>
      </c>
      <c r="Y160" s="21">
        <f>inputs!$E$82*(F160/inputs!$F$82)^(inputs!$E$84-1)</f>
        <v>0.60211560959486832</v>
      </c>
      <c r="Z160" s="63">
        <f t="shared" si="13"/>
        <v>6184.1674406808961</v>
      </c>
      <c r="AA160" s="63">
        <f t="shared" si="14"/>
        <v>133.91975189508133</v>
      </c>
    </row>
    <row r="161" spans="1:27" ht="13.2" x14ac:dyDescent="0.25">
      <c r="A161" s="103" t="s">
        <v>205</v>
      </c>
      <c r="B161" s="20" t="s">
        <v>207</v>
      </c>
      <c r="C161" s="20" t="s">
        <v>73</v>
      </c>
      <c r="D161" s="104" t="s">
        <v>204</v>
      </c>
      <c r="E161" s="15">
        <v>8741</v>
      </c>
      <c r="F161" s="15">
        <v>1200</v>
      </c>
      <c r="G161" s="20" t="s">
        <v>152</v>
      </c>
      <c r="H161" s="20">
        <v>0.77</v>
      </c>
      <c r="I161" s="68">
        <f>MAX('Max rate concentrations'!$G$3:$G$368)</f>
        <v>45</v>
      </c>
      <c r="J161" s="68">
        <f>MAX('Max rate concentrations'!Z:Z)</f>
        <v>21</v>
      </c>
      <c r="K161" s="69">
        <f t="shared" si="11"/>
        <v>10.077087813270078</v>
      </c>
      <c r="L161" s="69">
        <f t="shared" si="15"/>
        <v>4.702640979526036</v>
      </c>
      <c r="M161" s="69">
        <f>IF((((1.18*F161^0.874)/3.7-(0.301*F161^0.751)/(1-H161)*H161)*(MAX('Max rate concentrations'!$P$3:$P$368)))/F161&gt;0, (((1.18*F161^0.874)/3.7-(0.301*F161^0.751)/(1-H161)*H161)*(MAX('Max rate concentrations'!$P$3:$P$368)))/F161, 0)</f>
        <v>0</v>
      </c>
      <c r="N161" s="69">
        <f>IF((((1.18*F161^0.874)/3.7-(0.301*F161^0.751)/(1-H161)*H161)*(MAX('Max rate concentrations'!$Q$3:$Q$368)))/F161&gt;0, (((1.18*F161^0.874)/3.7-(0.301*F161^0.751)/(1-H161)*H161)*(MAX('Max rate concentrations'!$Q$3:$Q$368)))/F161, 0)</f>
        <v>0</v>
      </c>
      <c r="O161" s="69">
        <f>((MAX('Max rate concentrations'!$F$3:$F$368))*0.62*6.01*8*(10*F161^0.667)*0.079*0.1/F161)*inputs!$E$80/(10^(0.84+0.62*LOG10(inputs!$E$80)))</f>
        <v>13.847968623161096</v>
      </c>
      <c r="P161" s="69">
        <f>((MAX('Max rate concentrations'!Y:Y))*0.62*6.01*8*(10*F161^0.667)*0.079*0.1/F161)*inputs!$E$80/(10^(0.84+0.62*LOG10(inputs!$E$80)))</f>
        <v>4.6159895410536995</v>
      </c>
      <c r="Q161" s="69">
        <f>(inputs!$C$18*11.2*(10*F161^0.667)*0.5/F161)*inputs!$E$80/(10^(0.84+0.62*LOG10(inputs!$E$80)))</f>
        <v>2.4392543579444701</v>
      </c>
      <c r="R161" s="59">
        <f>(60*284*((F161/1000)^0.77)*3*24*(MAX('Max rate concentrations'!$R$3:$R$368))/F161)*(inputs!$E$73*3.4/inputs!$E$75)</f>
        <v>2.696963499614629E-2</v>
      </c>
      <c r="S161" s="59">
        <f>(IF(inputs!$C$17="aerial",((0.025*0.112*inputs!$C$18/3.3)*(3*60*284*((F161/1000)^0.77))*MAX(inputs!$I$14:$I$16))/F161,((0.0083*0.112*inputs!$C$18/1)*(3*60*284*((F161/1000)^0.77))*MAX(inputs!$I$14:$I$16))/F161))*(inputs!E$75*3.4/inputs!$E$73)</f>
        <v>0.14873919397252125</v>
      </c>
      <c r="T161" s="63">
        <f>IF((((inputs!$P$13/(V161/MAX(K161:S161)))^(1/inputs!$O$13))-1)/inputs!$N$13&lt;0, 0, IF((((inputs!$P$13/(V161/MAX(K161:S161)))^(1/inputs!$O$13))-1)/inputs!$N$13&lt;inputs!$I$17, (((inputs!$P$13/(V161/MAX(K161:S161)))^(1/inputs!$O$13))-1)/inputs!$N$13, inputs!$I$17))</f>
        <v>1000</v>
      </c>
      <c r="U161" s="63">
        <f>IF((((inputs!$P$13/(X161/MAX(K161:S161)))^(1/inputs!$O$13))-1)/inputs!$N$13&lt;0, 0, IF((((inputs!$P$13/(X161/MAX(K161:S161)))^(1/inputs!$O$13))-1)/inputs!$N$13&lt;inputs!$I$17, (((inputs!$P$13/(X161/MAX(K161:S161)))^(1/inputs!$O$13))-1)/inputs!$N$13, inputs!$I$17))</f>
        <v>31.609398880618787</v>
      </c>
      <c r="V161" s="21">
        <f>inputs!$E$78*(F161/inputs!$F$78)^(inputs!$E$84-1)</f>
        <v>7.5762891273526475E-3</v>
      </c>
      <c r="W161" s="21">
        <f>inputs!$E$85*(F161/inputs!$F$85)^(inputs!$E$84-1)</f>
        <v>0.34985907515170483</v>
      </c>
      <c r="X161" s="21">
        <f>inputs!$E$80*(F161/inputs!$F$80)^(inputs!$E$84-1)</f>
        <v>1.3064357869588976</v>
      </c>
      <c r="Y161" s="21">
        <f>inputs!$E$82*(F161/inputs!$F$82)^(inputs!$E$84-1)</f>
        <v>0.60211560959486832</v>
      </c>
      <c r="Z161" s="63">
        <f t="shared" si="13"/>
        <v>1827.8036107631938</v>
      </c>
      <c r="AA161" s="63">
        <f t="shared" si="14"/>
        <v>39.581561853601713</v>
      </c>
    </row>
    <row r="162" spans="1:27" ht="13.2" x14ac:dyDescent="0.25">
      <c r="A162" s="103" t="s">
        <v>205</v>
      </c>
      <c r="B162" s="20" t="s">
        <v>207</v>
      </c>
      <c r="C162" s="20" t="s">
        <v>73</v>
      </c>
      <c r="D162" s="104" t="s">
        <v>204</v>
      </c>
      <c r="E162" s="15">
        <v>8741</v>
      </c>
      <c r="F162" s="15">
        <v>1200</v>
      </c>
      <c r="G162" s="20" t="s">
        <v>158</v>
      </c>
      <c r="H162" s="20">
        <v>0.85</v>
      </c>
      <c r="I162" s="68">
        <f>MAX('Max rate concentrations'!$F$3:$F$368)</f>
        <v>405</v>
      </c>
      <c r="J162" s="68">
        <f>MAX('Max rate concentrations'!Y:Y)</f>
        <v>135</v>
      </c>
      <c r="K162" s="69">
        <f t="shared" si="11"/>
        <v>139.06381182312703</v>
      </c>
      <c r="L162" s="69">
        <f t="shared" si="15"/>
        <v>46.354603941042349</v>
      </c>
      <c r="M162" s="69">
        <f>IF((((1.18*F162^0.874)/3.7-(0.301*F162^0.751)/(1-H162)*H162)*(MAX('Max rate concentrations'!$P$3:$P$368)))/F162&gt;0, (((1.18*F162^0.874)/3.7-(0.301*F162^0.751)/(1-H162)*H162)*(MAX('Max rate concentrations'!$P$3:$P$368)))/F162, 0)</f>
        <v>0</v>
      </c>
      <c r="N162" s="69">
        <f>IF((((1.18*F162^0.874)/3.7-(0.301*F162^0.751)/(1-H162)*H162)*(MAX('Max rate concentrations'!$Q$3:$Q$368)))/F162&gt;0, (((1.18*F162^0.874)/3.7-(0.301*F162^0.751)/(1-H162)*H162)*(MAX('Max rate concentrations'!$Q$3:$Q$368)))/F162, 0)</f>
        <v>0</v>
      </c>
      <c r="O162" s="69">
        <f>((MAX('Max rate concentrations'!$F$3:$F$368))*0.62*6.01*8*(10*F162^0.667)*0.079*0.1/F162)*inputs!$E$80/(10^(0.84+0.62*LOG10(inputs!$E$80)))</f>
        <v>13.847968623161096</v>
      </c>
      <c r="P162" s="69">
        <f>((MAX('Max rate concentrations'!Y:Y))*0.62*6.01*8*(10*F162^0.667)*0.079*0.1/F162)*inputs!$E$80/(10^(0.84+0.62*LOG10(inputs!$E$80)))</f>
        <v>4.6159895410536995</v>
      </c>
      <c r="Q162" s="69">
        <f>(inputs!$C$18*11.2*(10*F162^0.667)*0.5/F162)*inputs!$E$80/(10^(0.84+0.62*LOG10(inputs!$E$80)))</f>
        <v>2.4392543579444701</v>
      </c>
      <c r="R162" s="59">
        <f>(60*284*((F162/1000)^0.77)*3*24*(MAX('Max rate concentrations'!$R$3:$R$368))/F162)*(inputs!$E$73*3.4/inputs!$E$75)</f>
        <v>2.696963499614629E-2</v>
      </c>
      <c r="S162" s="59">
        <f>(IF(inputs!$C$17="aerial",((0.025*0.112*inputs!$C$18/3.3)*(3*60*284*((F162/1000)^0.77))*MAX(inputs!$I$14:$I$16))/F162,((0.0083*0.112*inputs!$C$18/1)*(3*60*284*((F162/1000)^0.77))*MAX(inputs!$I$14:$I$16))/F162))*(inputs!E$75*3.4/inputs!$E$73)</f>
        <v>0.14873919397252125</v>
      </c>
      <c r="T162" s="63">
        <f>IF((((inputs!$P$13/(V162/MAX(K162:S162)))^(1/inputs!$O$13))-1)/inputs!$N$13&lt;0, 0, IF((((inputs!$P$13/(V162/MAX(K162:S162)))^(1/inputs!$O$13))-1)/inputs!$N$13&lt;inputs!$I$17, (((inputs!$P$13/(V162/MAX(K162:S162)))^(1/inputs!$O$13))-1)/inputs!$N$13, inputs!$I$17))</f>
        <v>1000</v>
      </c>
      <c r="U162" s="63">
        <f>IF((((inputs!$P$13/(X162/MAX(K162:S162)))^(1/inputs!$O$13))-1)/inputs!$N$13&lt;0, 0, IF((((inputs!$P$13/(X162/MAX(K162:S162)))^(1/inputs!$O$13))-1)/inputs!$N$13&lt;inputs!$I$17, (((inputs!$P$13/(X162/MAX(K162:S162)))^(1/inputs!$O$13))-1)/inputs!$N$13, inputs!$I$17))</f>
        <v>232.69154409489474</v>
      </c>
      <c r="V162" s="21">
        <f>inputs!$E$78*(F162/inputs!$F$78)^(inputs!$E$84-1)</f>
        <v>7.5762891273526475E-3</v>
      </c>
      <c r="W162" s="21">
        <f>inputs!$E$85*(F162/inputs!$F$85)^(inputs!$E$84-1)</f>
        <v>0.34985907515170483</v>
      </c>
      <c r="X162" s="21">
        <f>inputs!$E$80*(F162/inputs!$F$80)^(inputs!$E$84-1)</f>
        <v>1.3064357869588976</v>
      </c>
      <c r="Y162" s="21">
        <f>inputs!$E$82*(F162/inputs!$F$82)^(inputs!$E$84-1)</f>
        <v>0.60211560959486832</v>
      </c>
      <c r="Z162" s="63">
        <f t="shared" si="13"/>
        <v>18355.135276063513</v>
      </c>
      <c r="AA162" s="63">
        <f t="shared" si="14"/>
        <v>397.48522105029457</v>
      </c>
    </row>
    <row r="163" spans="1:27" ht="13.2" x14ac:dyDescent="0.25">
      <c r="A163" s="103" t="s">
        <v>202</v>
      </c>
      <c r="B163" s="20" t="s">
        <v>203</v>
      </c>
      <c r="C163" s="20" t="s">
        <v>73</v>
      </c>
      <c r="D163" s="104" t="s">
        <v>204</v>
      </c>
      <c r="E163" s="15">
        <v>4064</v>
      </c>
      <c r="F163" s="15">
        <v>1100</v>
      </c>
      <c r="G163" s="20" t="s">
        <v>142</v>
      </c>
      <c r="H163" s="20">
        <v>0.69</v>
      </c>
      <c r="I163" s="68">
        <f>MAX('Max rate concentrations'!$H$3:$H$368)</f>
        <v>282</v>
      </c>
      <c r="J163" s="68">
        <f>MAX('Max rate concentrations'!AA:AA)</f>
        <v>195</v>
      </c>
      <c r="K163" s="69">
        <f t="shared" si="11"/>
        <v>47.87922714069343</v>
      </c>
      <c r="L163" s="69">
        <f t="shared" si="15"/>
        <v>33.107976214309282</v>
      </c>
      <c r="M163" s="69">
        <f>IF((((1.18*F163^0.874)/3.7-(0.301*F163^0.751)/(1-H163)*H163)*(MAX('Max rate concentrations'!$P$3:$P$368)))/F163&gt;0, (((1.18*F163^0.874)/3.7-(0.301*F163^0.751)/(1-H163)*H163)*(MAX('Max rate concentrations'!$P$3:$P$368)))/F163, 0)</f>
        <v>1.2902675035644439E-2</v>
      </c>
      <c r="N163" s="69">
        <f>IF((((1.18*F163^0.874)/3.7-(0.301*F163^0.751)/(1-H163)*H163)*(MAX('Max rate concentrations'!$Q$3:$Q$368)))/F163&gt;0, (((1.18*F163^0.874)/3.7-(0.301*F163^0.751)/(1-H163)*H163)*(MAX('Max rate concentrations'!$Q$3:$Q$368)))/F163, 0)</f>
        <v>4.9134079818206347E-2</v>
      </c>
      <c r="O163" s="69">
        <f>((MAX('Max rate concentrations'!$F$3:$F$368))*0.62*6.01*8*(10*F163^0.667)*0.079*0.1/F163)*inputs!$E$80/(10^(0.84+0.62*LOG10(inputs!$E$80)))</f>
        <v>14.255080088255108</v>
      </c>
      <c r="P163" s="69">
        <f>((MAX('Max rate concentrations'!Y:Y))*0.62*6.01*8*(10*F163^0.667)*0.079*0.1/F163)*inputs!$E$80/(10^(0.84+0.62*LOG10(inputs!$E$80)))</f>
        <v>4.751693362751702</v>
      </c>
      <c r="Q163" s="69">
        <f>(inputs!$C$18*11.2*(10*F163^0.667)*0.5/F163)*inputs!$E$80/(10^(0.84+0.62*LOG10(inputs!$E$80)))</f>
        <v>2.5109651223477645</v>
      </c>
      <c r="R163" s="59">
        <f>(60*284*((F163/1000)^0.77)*3*24*(MAX('Max rate concentrations'!$R$3:$R$368))/F163)*(inputs!$E$73*3.4/inputs!$E$75)</f>
        <v>2.7514804907159619E-2</v>
      </c>
      <c r="S163" s="59">
        <f>(IF(inputs!$C$17="aerial",((0.025*0.112*inputs!$C$18/3.3)*(3*60*284*((F163/1000)^0.77))*MAX(inputs!$I$14:$I$16))/F163,((0.0083*0.112*inputs!$C$18/1)*(3*60*284*((F163/1000)^0.77))*MAX(inputs!$I$14:$I$16))/F163))*(inputs!E$75*3.4/inputs!$E$73)</f>
        <v>0.15174583952607734</v>
      </c>
      <c r="T163" s="63">
        <f>IF((((inputs!$P$13/(V163/MAX(K163:S163)))^(1/inputs!$O$13))-1)/inputs!$N$13&lt;0, 0, IF((((inputs!$P$13/(V163/MAX(K163:S163)))^(1/inputs!$O$13))-1)/inputs!$N$13&lt;inputs!$I$17, (((inputs!$P$13/(V163/MAX(K163:S163)))^(1/inputs!$O$13))-1)/inputs!$N$13, inputs!$I$17))</f>
        <v>1000</v>
      </c>
      <c r="U163" s="63">
        <f>IF((((inputs!$P$13/(X163/MAX(K163:S163)))^(1/inputs!$O$13))-1)/inputs!$N$13&lt;0, 0, IF((((inputs!$P$13/(X163/MAX(K163:S163)))^(1/inputs!$O$13))-1)/inputs!$N$13&lt;inputs!$I$17, (((inputs!$P$13/(X163/MAX(K163:S163)))^(1/inputs!$O$13))-1)/inputs!$N$13, inputs!$I$17))</f>
        <v>92.643713775548136</v>
      </c>
      <c r="V163" s="21">
        <f>inputs!$E$78*(F163/inputs!$F$78)^(inputs!$E$84-1)</f>
        <v>7.8241705298388586E-3</v>
      </c>
      <c r="W163" s="21">
        <f>inputs!$E$85*(F163/inputs!$F$85)^(inputs!$E$84-1)</f>
        <v>0.36130578168089961</v>
      </c>
      <c r="X163" s="21">
        <f>inputs!$E$80*(F163/inputs!$F$80)^(inputs!$E$84-1)</f>
        <v>1.3491798176691818</v>
      </c>
      <c r="Y163" s="21">
        <f>inputs!$E$82*(F163/inputs!$F$82)^(inputs!$E$84-1)</f>
        <v>0.62181565789771986</v>
      </c>
      <c r="Z163" s="63">
        <f t="shared" si="13"/>
        <v>6119.399744432656</v>
      </c>
      <c r="AA163" s="63">
        <f t="shared" si="14"/>
        <v>132.5171906132953</v>
      </c>
    </row>
    <row r="164" spans="1:27" ht="13.2" x14ac:dyDescent="0.25">
      <c r="A164" s="103" t="s">
        <v>202</v>
      </c>
      <c r="B164" s="20" t="s">
        <v>203</v>
      </c>
      <c r="C164" s="20" t="s">
        <v>73</v>
      </c>
      <c r="D164" s="104" t="s">
        <v>204</v>
      </c>
      <c r="E164" s="15">
        <v>4064</v>
      </c>
      <c r="F164" s="15">
        <v>1100</v>
      </c>
      <c r="G164" s="20" t="s">
        <v>177</v>
      </c>
      <c r="H164" s="20">
        <v>0.85</v>
      </c>
      <c r="I164" s="68">
        <f>MAX('Max rate concentrations'!$F$3:$F$368)</f>
        <v>405</v>
      </c>
      <c r="J164" s="68">
        <f>MAX('Max rate concentrations'!Y:Y)</f>
        <v>135</v>
      </c>
      <c r="K164" s="69">
        <f t="shared" si="11"/>
        <v>142.10962098141988</v>
      </c>
      <c r="L164" s="69">
        <f t="shared" si="15"/>
        <v>47.369873660473296</v>
      </c>
      <c r="M164" s="69">
        <f>IF((((1.18*F164^0.874)/3.7-(0.301*F164^0.751)/(1-H164)*H164)*(MAX('Max rate concentrations'!$P$3:$P$368)))/F164&gt;0, (((1.18*F164^0.874)/3.7-(0.301*F164^0.751)/(1-H164)*H164)*(MAX('Max rate concentrations'!$P$3:$P$368)))/F164, 0)</f>
        <v>0</v>
      </c>
      <c r="N164" s="69">
        <f>IF((((1.18*F164^0.874)/3.7-(0.301*F164^0.751)/(1-H164)*H164)*(MAX('Max rate concentrations'!$Q$3:$Q$368)))/F164&gt;0, (((1.18*F164^0.874)/3.7-(0.301*F164^0.751)/(1-H164)*H164)*(MAX('Max rate concentrations'!$Q$3:$Q$368)))/F164, 0)</f>
        <v>0</v>
      </c>
      <c r="O164" s="69">
        <f>((MAX('Max rate concentrations'!$F$3:$F$368))*0.62*6.01*8*(10*F164^0.667)*0.079*0.1/F164)*inputs!$E$80/(10^(0.84+0.62*LOG10(inputs!$E$80)))</f>
        <v>14.255080088255108</v>
      </c>
      <c r="P164" s="69">
        <f>((MAX('Max rate concentrations'!Y:Y))*0.62*6.01*8*(10*F164^0.667)*0.079*0.1/F164)*inputs!$E$80/(10^(0.84+0.62*LOG10(inputs!$E$80)))</f>
        <v>4.751693362751702</v>
      </c>
      <c r="Q164" s="69">
        <f>(inputs!$C$18*11.2*(10*F164^0.667)*0.5/F164)*inputs!$E$80/(10^(0.84+0.62*LOG10(inputs!$E$80)))</f>
        <v>2.5109651223477645</v>
      </c>
      <c r="R164" s="59">
        <f>(60*284*((F164/1000)^0.77)*3*24*(MAX('Max rate concentrations'!$R$3:$R$368))/F164)*(inputs!$E$73*3.4/inputs!$E$75)</f>
        <v>2.7514804907159619E-2</v>
      </c>
      <c r="S164" s="59">
        <f>(IF(inputs!$C$17="aerial",((0.025*0.112*inputs!$C$18/3.3)*(3*60*284*((F164/1000)^0.77))*MAX(inputs!$I$14:$I$16))/F164,((0.0083*0.112*inputs!$C$18/1)*(3*60*284*((F164/1000)^0.77))*MAX(inputs!$I$14:$I$16))/F164))*(inputs!E$75*3.4/inputs!$E$73)</f>
        <v>0.15174583952607734</v>
      </c>
      <c r="T164" s="63">
        <f>IF((((inputs!$P$13/(V164/MAX(K164:S164)))^(1/inputs!$O$13))-1)/inputs!$N$13&lt;0, 0, IF((((inputs!$P$13/(V164/MAX(K164:S164)))^(1/inputs!$O$13))-1)/inputs!$N$13&lt;inputs!$I$17, (((inputs!$P$13/(V164/MAX(K164:S164)))^(1/inputs!$O$13))-1)/inputs!$N$13, inputs!$I$17))</f>
        <v>1000</v>
      </c>
      <c r="U164" s="63">
        <f>IF((((inputs!$P$13/(X164/MAX(K164:S164)))^(1/inputs!$O$13))-1)/inputs!$N$13&lt;0, 0, IF((((inputs!$P$13/(X164/MAX(K164:S164)))^(1/inputs!$O$13))-1)/inputs!$N$13&lt;inputs!$I$17, (((inputs!$P$13/(X164/MAX(K164:S164)))^(1/inputs!$O$13))-1)/inputs!$N$13, inputs!$I$17))</f>
        <v>230.67450784010865</v>
      </c>
      <c r="V164" s="21">
        <f>inputs!$E$78*(F164/inputs!$F$78)^(inputs!$E$84-1)</f>
        <v>7.8241705298388586E-3</v>
      </c>
      <c r="W164" s="21">
        <f>inputs!$E$85*(F164/inputs!$F$85)^(inputs!$E$84-1)</f>
        <v>0.36130578168089961</v>
      </c>
      <c r="X164" s="21">
        <f>inputs!$E$80*(F164/inputs!$F$80)^(inputs!$E$84-1)</f>
        <v>1.3491798176691818</v>
      </c>
      <c r="Y164" s="21">
        <f>inputs!$E$82*(F164/inputs!$F$82)^(inputs!$E$84-1)</f>
        <v>0.62181565789771986</v>
      </c>
      <c r="Z164" s="63">
        <f t="shared" si="13"/>
        <v>18162.899241454375</v>
      </c>
      <c r="AA164" s="63">
        <f t="shared" si="14"/>
        <v>393.3222997990361</v>
      </c>
    </row>
    <row r="165" spans="1:27" ht="13.2" x14ac:dyDescent="0.25">
      <c r="A165" s="103" t="s">
        <v>366</v>
      </c>
      <c r="B165" s="20" t="s">
        <v>367</v>
      </c>
      <c r="C165" s="20" t="s">
        <v>73</v>
      </c>
      <c r="D165" s="104" t="s">
        <v>204</v>
      </c>
      <c r="E165" s="15">
        <v>2691</v>
      </c>
      <c r="F165" s="15">
        <v>628</v>
      </c>
      <c r="G165" s="20" t="s">
        <v>142</v>
      </c>
      <c r="H165" s="20">
        <v>0.69</v>
      </c>
      <c r="I165" s="68">
        <f>MAX('Max rate concentrations'!$H$3:$H$368)</f>
        <v>282</v>
      </c>
      <c r="J165" s="68">
        <f>MAX('Max rate concentrations'!AA:AA)</f>
        <v>195</v>
      </c>
      <c r="K165" s="69">
        <f t="shared" si="11"/>
        <v>55.050587584184179</v>
      </c>
      <c r="L165" s="69">
        <f t="shared" si="15"/>
        <v>38.066895669914587</v>
      </c>
      <c r="M165" s="69">
        <f>IF((((1.18*F165^0.874)/3.7-(0.301*F165^0.751)/(1-H165)*H165)*(MAX('Max rate concentrations'!$P$3:$P$368)))/F165&gt;0, (((1.18*F165^0.874)/3.7-(0.301*F165^0.751)/(1-H165)*H165)*(MAX('Max rate concentrations'!$P$3:$P$368)))/F165, 0)</f>
        <v>6.0317024904276055E-3</v>
      </c>
      <c r="N165" s="69">
        <f>IF((((1.18*F165^0.874)/3.7-(0.301*F165^0.751)/(1-H165)*H165)*(MAX('Max rate concentrations'!$Q$3:$Q$368)))/F165&gt;0, (((1.18*F165^0.874)/3.7-(0.301*F165^0.751)/(1-H165)*H165)*(MAX('Max rate concentrations'!$Q$3:$Q$368)))/F165, 0)</f>
        <v>2.2969047177087323E-2</v>
      </c>
      <c r="O165" s="69">
        <f>((MAX('Max rate concentrations'!$F$3:$F$368))*0.62*6.01*8*(10*F165^0.667)*0.079*0.1/F165)*inputs!$E$80/(10^(0.84+0.62*LOG10(inputs!$E$80)))</f>
        <v>17.180383915301274</v>
      </c>
      <c r="P165" s="69">
        <f>((MAX('Max rate concentrations'!Y:Y))*0.62*6.01*8*(10*F165^0.667)*0.079*0.1/F165)*inputs!$E$80/(10^(0.84+0.62*LOG10(inputs!$E$80)))</f>
        <v>5.72679463843376</v>
      </c>
      <c r="Q165" s="69">
        <f>(inputs!$C$18*11.2*(10*F165^0.667)*0.5/F165)*inputs!$E$80/(10^(0.84+0.62*LOG10(inputs!$E$80)))</f>
        <v>3.0262435940580188</v>
      </c>
      <c r="R165" s="59">
        <f>(60*284*((F165/1000)^0.77)*3*24*(MAX('Max rate concentrations'!$R$3:$R$368))/F165)*(inputs!$E$73*3.4/inputs!$E$75)</f>
        <v>3.1300843225723199E-2</v>
      </c>
      <c r="S165" s="59">
        <f>(IF(inputs!$C$17="aerial",((0.025*0.112*inputs!$C$18/3.3)*(3*60*284*((F165/1000)^0.77))*MAX(inputs!$I$14:$I$16))/F165,((0.0083*0.112*inputs!$C$18/1)*(3*60*284*((F165/1000)^0.77))*MAX(inputs!$I$14:$I$16))/F165))*(inputs!E$75*3.4/inputs!$E$73)</f>
        <v>0.17262607346074846</v>
      </c>
      <c r="T165" s="63">
        <f>IF((((inputs!$P$13/(V165/MAX(K165:S165)))^(1/inputs!$O$13))-1)/inputs!$N$13&lt;0, 0, IF((((inputs!$P$13/(V165/MAX(K165:S165)))^(1/inputs!$O$13))-1)/inputs!$N$13&lt;inputs!$I$17, (((inputs!$P$13/(V165/MAX(K165:S165)))^(1/inputs!$O$13))-1)/inputs!$N$13, inputs!$I$17))</f>
        <v>1000</v>
      </c>
      <c r="U165" s="63">
        <f>IF((((inputs!$P$13/(X165/MAX(K165:S165)))^(1/inputs!$O$13))-1)/inputs!$N$13&lt;0, 0, IF((((inputs!$P$13/(X165/MAX(K165:S165)))^(1/inputs!$O$13))-1)/inputs!$N$13&lt;inputs!$I$17, (((inputs!$P$13/(X165/MAX(K165:S165)))^(1/inputs!$O$13))-1)/inputs!$N$13, inputs!$I$17))</f>
        <v>87.420348040818268</v>
      </c>
      <c r="V165" s="21">
        <f>inputs!$E$78*(F165/inputs!$F$78)^(inputs!$E$84-1)</f>
        <v>9.6273892813238914E-3</v>
      </c>
      <c r="W165" s="21">
        <f>inputs!$E$85*(F165/inputs!$F$85)^(inputs!$E$84-1)</f>
        <v>0.4445751018040095</v>
      </c>
      <c r="X165" s="21">
        <f>inputs!$E$80*(F165/inputs!$F$80)^(inputs!$E$84-1)</f>
        <v>1.6601222155972506</v>
      </c>
      <c r="Y165" s="21">
        <f>inputs!$E$82*(F165/inputs!$F$82)^(inputs!$E$84-1)</f>
        <v>0.7651240955157409</v>
      </c>
      <c r="Z165" s="63">
        <f t="shared" si="13"/>
        <v>5718.1221175897026</v>
      </c>
      <c r="AA165" s="63">
        <f t="shared" si="14"/>
        <v>123.82741939617927</v>
      </c>
    </row>
    <row r="166" spans="1:27" ht="13.2" x14ac:dyDescent="0.25">
      <c r="A166" s="103" t="s">
        <v>366</v>
      </c>
      <c r="B166" s="20" t="s">
        <v>367</v>
      </c>
      <c r="C166" s="20" t="s">
        <v>73</v>
      </c>
      <c r="D166" s="104" t="s">
        <v>204</v>
      </c>
      <c r="E166" s="15">
        <v>2691</v>
      </c>
      <c r="F166" s="15">
        <v>628</v>
      </c>
      <c r="G166" s="20" t="s">
        <v>169</v>
      </c>
      <c r="H166" s="20">
        <v>0.79</v>
      </c>
      <c r="I166" s="68">
        <f>MAX('Max rate concentrations'!$D$3:$D$368)</f>
        <v>720</v>
      </c>
      <c r="J166" s="68">
        <f>MAX('Max rate concentrations'!W:W)</f>
        <v>255</v>
      </c>
      <c r="K166" s="69">
        <f t="shared" si="11"/>
        <v>207.48549727777629</v>
      </c>
      <c r="L166" s="69">
        <f t="shared" si="15"/>
        <v>73.484446952545767</v>
      </c>
      <c r="M166" s="69">
        <f>IF((((1.18*F166^0.874)/3.7-(0.301*F166^0.751)/(1-H166)*H166)*(MAX('Max rate concentrations'!$P$3:$P$368)))/F166&gt;0, (((1.18*F166^0.874)/3.7-(0.301*F166^0.751)/(1-H166)*H166)*(MAX('Max rate concentrations'!$P$3:$P$368)))/F166, 0)</f>
        <v>0</v>
      </c>
      <c r="N166" s="69">
        <f>IF((((1.18*F166^0.874)/3.7-(0.301*F166^0.751)/(1-H166)*H166)*(MAX('Max rate concentrations'!$Q$3:$Q$368)))/F166&gt;0, (((1.18*F166^0.874)/3.7-(0.301*F166^0.751)/(1-H166)*H166)*(MAX('Max rate concentrations'!$Q$3:$Q$368)))/F166, 0)</f>
        <v>0</v>
      </c>
      <c r="O166" s="69">
        <f>((MAX('Max rate concentrations'!$F$3:$F$368))*0.62*6.01*8*(10*F166^0.667)*0.079*0.1/F166)*inputs!$E$80/(10^(0.84+0.62*LOG10(inputs!$E$80)))</f>
        <v>17.180383915301274</v>
      </c>
      <c r="P166" s="69">
        <f>((MAX('Max rate concentrations'!Y:Y))*0.62*6.01*8*(10*F166^0.667)*0.079*0.1/F166)*inputs!$E$80/(10^(0.84+0.62*LOG10(inputs!$E$80)))</f>
        <v>5.72679463843376</v>
      </c>
      <c r="Q166" s="69">
        <f>(inputs!$C$18*11.2*(10*F166^0.667)*0.5/F166)*inputs!$E$80/(10^(0.84+0.62*LOG10(inputs!$E$80)))</f>
        <v>3.0262435940580188</v>
      </c>
      <c r="R166" s="59">
        <f>(60*284*((F166/1000)^0.77)*3*24*(MAX('Max rate concentrations'!$R$3:$R$368))/F166)*(inputs!$E$73*3.4/inputs!$E$75)</f>
        <v>3.1300843225723199E-2</v>
      </c>
      <c r="S166" s="59">
        <f>(IF(inputs!$C$17="aerial",((0.025*0.112*inputs!$C$18/3.3)*(3*60*284*((F166/1000)^0.77))*MAX(inputs!$I$14:$I$16))/F166,((0.0083*0.112*inputs!$C$18/1)*(3*60*284*((F166/1000)^0.77))*MAX(inputs!$I$14:$I$16))/F166))*(inputs!E$75*3.4/inputs!$E$73)</f>
        <v>0.17262607346074846</v>
      </c>
      <c r="T166" s="63">
        <f>IF((((inputs!$P$13/(V166/MAX(K166:S166)))^(1/inputs!$O$13))-1)/inputs!$N$13&lt;0, 0, IF((((inputs!$P$13/(V166/MAX(K166:S166)))^(1/inputs!$O$13))-1)/inputs!$N$13&lt;inputs!$I$17, (((inputs!$P$13/(V166/MAX(K166:S166)))^(1/inputs!$O$13))-1)/inputs!$N$13, inputs!$I$17))</f>
        <v>1000</v>
      </c>
      <c r="U166" s="63">
        <f>IF((((inputs!$P$13/(X166/MAX(K166:S166)))^(1/inputs!$O$13))-1)/inputs!$N$13&lt;0, 0, IF((((inputs!$P$13/(X166/MAX(K166:S166)))^(1/inputs!$O$13))-1)/inputs!$N$13&lt;inputs!$I$17, (((inputs!$P$13/(X166/MAX(K166:S166)))^(1/inputs!$O$13))-1)/inputs!$N$13, inputs!$I$17))</f>
        <v>265.67367768858145</v>
      </c>
      <c r="V166" s="21">
        <f>inputs!$E$78*(F166/inputs!$F$78)^(inputs!$E$84-1)</f>
        <v>9.6273892813238914E-3</v>
      </c>
      <c r="W166" s="21">
        <f>inputs!$E$85*(F166/inputs!$F$85)^(inputs!$E$84-1)</f>
        <v>0.4445751018040095</v>
      </c>
      <c r="X166" s="21">
        <f>inputs!$E$80*(F166/inputs!$F$80)^(inputs!$E$84-1)</f>
        <v>1.6601222155972506</v>
      </c>
      <c r="Y166" s="21">
        <f>inputs!$E$82*(F166/inputs!$F$82)^(inputs!$E$84-1)</f>
        <v>0.7651240955157409</v>
      </c>
      <c r="Z166" s="63">
        <f t="shared" si="13"/>
        <v>21551.58488088521</v>
      </c>
      <c r="AA166" s="63">
        <f t="shared" si="14"/>
        <v>466.70516732906486</v>
      </c>
    </row>
    <row r="167" spans="1:27" ht="13.2" x14ac:dyDescent="0.25">
      <c r="A167" s="103" t="s">
        <v>366</v>
      </c>
      <c r="B167" s="20" t="s">
        <v>367</v>
      </c>
      <c r="C167" s="20" t="s">
        <v>73</v>
      </c>
      <c r="D167" s="104" t="s">
        <v>204</v>
      </c>
      <c r="E167" s="15">
        <v>2691</v>
      </c>
      <c r="F167" s="15">
        <v>628</v>
      </c>
      <c r="G167" s="20" t="s">
        <v>158</v>
      </c>
      <c r="H167" s="20">
        <v>0.85</v>
      </c>
      <c r="I167" s="68">
        <f>MAX('Max rate concentrations'!$F$3:$F$368)</f>
        <v>405</v>
      </c>
      <c r="J167" s="68">
        <f>MAX('Max rate concentrations'!Y:Y)</f>
        <v>135</v>
      </c>
      <c r="K167" s="69">
        <f t="shared" si="11"/>
        <v>163.39482910624881</v>
      </c>
      <c r="L167" s="69">
        <f t="shared" si="15"/>
        <v>54.464943035416269</v>
      </c>
      <c r="M167" s="69">
        <f>IF((((1.18*F167^0.874)/3.7-(0.301*F167^0.751)/(1-H167)*H167)*(MAX('Max rate concentrations'!$P$3:$P$368)))/F167&gt;0, (((1.18*F167^0.874)/3.7-(0.301*F167^0.751)/(1-H167)*H167)*(MAX('Max rate concentrations'!$P$3:$P$368)))/F167, 0)</f>
        <v>0</v>
      </c>
      <c r="N167" s="69">
        <f>IF((((1.18*F167^0.874)/3.7-(0.301*F167^0.751)/(1-H167)*H167)*(MAX('Max rate concentrations'!$Q$3:$Q$368)))/F167&gt;0, (((1.18*F167^0.874)/3.7-(0.301*F167^0.751)/(1-H167)*H167)*(MAX('Max rate concentrations'!$Q$3:$Q$368)))/F167, 0)</f>
        <v>0</v>
      </c>
      <c r="O167" s="69">
        <f>((MAX('Max rate concentrations'!$F$3:$F$368))*0.62*6.01*8*(10*F167^0.667)*0.079*0.1/F167)*inputs!$E$80/(10^(0.84+0.62*LOG10(inputs!$E$80)))</f>
        <v>17.180383915301274</v>
      </c>
      <c r="P167" s="69">
        <f>((MAX('Max rate concentrations'!Y:Y))*0.62*6.01*8*(10*F167^0.667)*0.079*0.1/F167)*inputs!$E$80/(10^(0.84+0.62*LOG10(inputs!$E$80)))</f>
        <v>5.72679463843376</v>
      </c>
      <c r="Q167" s="69">
        <f>(inputs!$C$18*11.2*(10*F167^0.667)*0.5/F167)*inputs!$E$80/(10^(0.84+0.62*LOG10(inputs!$E$80)))</f>
        <v>3.0262435940580188</v>
      </c>
      <c r="R167" s="59">
        <f>(60*284*((F167/1000)^0.77)*3*24*(MAX('Max rate concentrations'!$R$3:$R$368))/F167)*(inputs!$E$73*3.4/inputs!$E$75)</f>
        <v>3.1300843225723199E-2</v>
      </c>
      <c r="S167" s="59">
        <f>(IF(inputs!$C$17="aerial",((0.025*0.112*inputs!$C$18/3.3)*(3*60*284*((F167/1000)^0.77))*MAX(inputs!$I$14:$I$16))/F167,((0.0083*0.112*inputs!$C$18/1)*(3*60*284*((F167/1000)^0.77))*MAX(inputs!$I$14:$I$16))/F167))*(inputs!E$75*3.4/inputs!$E$73)</f>
        <v>0.17262607346074846</v>
      </c>
      <c r="T167" s="63">
        <f>IF((((inputs!$P$13/(V167/MAX(K167:S167)))^(1/inputs!$O$13))-1)/inputs!$N$13&lt;0, 0, IF((((inputs!$P$13/(V167/MAX(K167:S167)))^(1/inputs!$O$13))-1)/inputs!$N$13&lt;inputs!$I$17, (((inputs!$P$13/(V167/MAX(K167:S167)))^(1/inputs!$O$13))-1)/inputs!$N$13, inputs!$I$17))</f>
        <v>1000</v>
      </c>
      <c r="U167" s="63">
        <f>IF((((inputs!$P$13/(X167/MAX(K167:S167)))^(1/inputs!$O$13))-1)/inputs!$N$13&lt;0, 0, IF((((inputs!$P$13/(X167/MAX(K167:S167)))^(1/inputs!$O$13))-1)/inputs!$N$13&lt;inputs!$I$17, (((inputs!$P$13/(X167/MAX(K167:S167)))^(1/inputs!$O$13))-1)/inputs!$N$13, inputs!$I$17))</f>
        <v>218.08446000046609</v>
      </c>
      <c r="V167" s="21">
        <f>inputs!$E$78*(F167/inputs!$F$78)^(inputs!$E$84-1)</f>
        <v>9.6273892813238914E-3</v>
      </c>
      <c r="W167" s="21">
        <f>inputs!$E$85*(F167/inputs!$F$85)^(inputs!$E$84-1)</f>
        <v>0.4445751018040095</v>
      </c>
      <c r="X167" s="21">
        <f>inputs!$E$80*(F167/inputs!$F$80)^(inputs!$E$84-1)</f>
        <v>1.6601222155972506</v>
      </c>
      <c r="Y167" s="21">
        <f>inputs!$E$82*(F167/inputs!$F$82)^(inputs!$E$84-1)</f>
        <v>0.7651240955157409</v>
      </c>
      <c r="Z167" s="63">
        <f t="shared" si="13"/>
        <v>16971.873093697101</v>
      </c>
      <c r="AA167" s="63">
        <f t="shared" si="14"/>
        <v>367.53031927163852</v>
      </c>
    </row>
    <row r="168" spans="1:27" ht="13.2" x14ac:dyDescent="0.25">
      <c r="A168" s="103" t="s">
        <v>366</v>
      </c>
      <c r="B168" s="20" t="s">
        <v>367</v>
      </c>
      <c r="C168" s="20" t="s">
        <v>73</v>
      </c>
      <c r="D168" s="104" t="s">
        <v>204</v>
      </c>
      <c r="E168" s="15">
        <v>2691</v>
      </c>
      <c r="F168" s="15">
        <v>628</v>
      </c>
      <c r="G168" s="20" t="s">
        <v>154</v>
      </c>
      <c r="H168" s="20">
        <v>9.2999999999999999E-2</v>
      </c>
      <c r="I168" s="68">
        <f>MAX('Max rate concentrations'!$G$3:$G$368)</f>
        <v>45</v>
      </c>
      <c r="J168" s="68">
        <f>MAX('Max rate concentrations'!Z:Z)</f>
        <v>21</v>
      </c>
      <c r="K168" s="69">
        <f t="shared" si="11"/>
        <v>3.0024775653481957</v>
      </c>
      <c r="L168" s="69">
        <f t="shared" si="15"/>
        <v>1.4011561971624913</v>
      </c>
      <c r="M168" s="69">
        <f>IF((((1.18*F168^0.874)/3.7-(0.301*F168^0.751)/(1-H168)*H168)*(MAX('Max rate concentrations'!$P$3:$P$368)))/F168&gt;0, (((1.18*F168^0.874)/3.7-(0.301*F168^0.751)/(1-H168)*H168)*(MAX('Max rate concentrations'!$P$3:$P$368)))/F168, 0)</f>
        <v>0.11793484778627485</v>
      </c>
      <c r="N168" s="69">
        <f>IF((((1.18*F168^0.874)/3.7-(0.301*F168^0.751)/(1-H168)*H168)*(MAX('Max rate concentrations'!$Q$3:$Q$368)))/F168&gt;0, (((1.18*F168^0.874)/3.7-(0.301*F168^0.751)/(1-H168)*H168)*(MAX('Max rate concentrations'!$Q$3:$Q$368)))/F168, 0)</f>
        <v>0.44910223720824149</v>
      </c>
      <c r="O168" s="69">
        <f>((MAX('Max rate concentrations'!$F$3:$F$368))*0.62*6.01*8*(10*F168^0.667)*0.079*0.1/F168)*inputs!$E$80/(10^(0.84+0.62*LOG10(inputs!$E$80)))</f>
        <v>17.180383915301274</v>
      </c>
      <c r="P168" s="69">
        <f>((MAX('Max rate concentrations'!Y:Y))*0.62*6.01*8*(10*F168^0.667)*0.079*0.1/F168)*inputs!$E$80/(10^(0.84+0.62*LOG10(inputs!$E$80)))</f>
        <v>5.72679463843376</v>
      </c>
      <c r="Q168" s="69">
        <f>(inputs!$C$18*11.2*(10*F168^0.667)*0.5/F168)*inputs!$E$80/(10^(0.84+0.62*LOG10(inputs!$E$80)))</f>
        <v>3.0262435940580188</v>
      </c>
      <c r="R168" s="59">
        <f>(60*284*((F168/1000)^0.77)*3*24*(MAX('Max rate concentrations'!$R$3:$R$368))/F168)*(inputs!$E$73*3.4/inputs!$E$75)</f>
        <v>3.1300843225723199E-2</v>
      </c>
      <c r="S168" s="59">
        <f>(IF(inputs!$C$17="aerial",((0.025*0.112*inputs!$C$18/3.3)*(3*60*284*((F168/1000)^0.77))*MAX(inputs!$I$14:$I$16))/F168,((0.0083*0.112*inputs!$C$18/1)*(3*60*284*((F168/1000)^0.77))*MAX(inputs!$I$14:$I$16))/F168))*(inputs!E$75*3.4/inputs!$E$73)</f>
        <v>0.17262607346074846</v>
      </c>
      <c r="T168" s="63">
        <f>IF((((inputs!$P$13/(V168/MAX(K168:S168)))^(1/inputs!$O$13))-1)/inputs!$N$13&lt;0, 0, IF((((inputs!$P$13/(V168/MAX(K168:S168)))^(1/inputs!$O$13))-1)/inputs!$N$13&lt;inputs!$I$17, (((inputs!$P$13/(V168/MAX(K168:S168)))^(1/inputs!$O$13))-1)/inputs!$N$13, inputs!$I$17))</f>
        <v>1000</v>
      </c>
      <c r="U168" s="63">
        <f>IF((((inputs!$P$13/(X168/MAX(K168:S168)))^(1/inputs!$O$13))-1)/inputs!$N$13&lt;0, 0, IF((((inputs!$P$13/(X168/MAX(K168:S168)))^(1/inputs!$O$13))-1)/inputs!$N$13&lt;inputs!$I$17, (((inputs!$P$13/(X168/MAX(K168:S168)))^(1/inputs!$O$13))-1)/inputs!$N$13, inputs!$I$17))</f>
        <v>30.902563558293032</v>
      </c>
      <c r="V168" s="21">
        <f>inputs!$E$78*(F168/inputs!$F$78)^(inputs!$E$84-1)</f>
        <v>9.6273892813238914E-3</v>
      </c>
      <c r="W168" s="21">
        <f>inputs!$E$85*(F168/inputs!$F$85)^(inputs!$E$84-1)</f>
        <v>0.4445751018040095</v>
      </c>
      <c r="X168" s="21">
        <f>inputs!$E$80*(F168/inputs!$F$80)^(inputs!$E$84-1)</f>
        <v>1.6601222155972506</v>
      </c>
      <c r="Y168" s="21">
        <f>inputs!$E$82*(F168/inputs!$F$82)^(inputs!$E$84-1)</f>
        <v>0.7651240955157409</v>
      </c>
      <c r="Z168" s="63">
        <f t="shared" si="13"/>
        <v>1784.5319653407375</v>
      </c>
      <c r="AA168" s="63">
        <f t="shared" si="14"/>
        <v>38.644503134759958</v>
      </c>
    </row>
    <row r="169" spans="1:27" ht="13.2" x14ac:dyDescent="0.25">
      <c r="A169" s="103" t="s">
        <v>219</v>
      </c>
      <c r="B169" s="20" t="s">
        <v>220</v>
      </c>
      <c r="C169" s="20" t="s">
        <v>73</v>
      </c>
      <c r="D169" s="104" t="s">
        <v>204</v>
      </c>
      <c r="E169" s="15">
        <v>89</v>
      </c>
      <c r="F169" s="15">
        <v>178</v>
      </c>
      <c r="G169" s="20" t="s">
        <v>142</v>
      </c>
      <c r="H169" s="20">
        <v>0.69</v>
      </c>
      <c r="I169" s="68">
        <f>MAX('Max rate concentrations'!$H$3:$H$368)</f>
        <v>282</v>
      </c>
      <c r="J169" s="68">
        <f>MAX('Max rate concentrations'!AA:AA)</f>
        <v>195</v>
      </c>
      <c r="K169" s="69">
        <f t="shared" si="11"/>
        <v>75.352788688234781</v>
      </c>
      <c r="L169" s="69">
        <f t="shared" si="15"/>
        <v>52.105651752502773</v>
      </c>
      <c r="M169" s="69">
        <f>IF((((1.18*F169^0.874)/3.7-(0.301*F169^0.751)/(1-H169)*H169)*(MAX('Max rate concentrations'!$P$3:$P$368)))/F169&gt;0, (((1.18*F169^0.874)/3.7-(0.301*F169^0.751)/(1-H169)*H169)*(MAX('Max rate concentrations'!$P$3:$P$368)))/F169, 0)</f>
        <v>0</v>
      </c>
      <c r="N169" s="69">
        <f>IF((((1.18*F169^0.874)/3.7-(0.301*F169^0.751)/(1-H169)*H169)*(MAX('Max rate concentrations'!$Q$3:$Q$368)))/F169&gt;0, (((1.18*F169^0.874)/3.7-(0.301*F169^0.751)/(1-H169)*H169)*(MAX('Max rate concentrations'!$Q$3:$Q$368)))/F169, 0)</f>
        <v>0</v>
      </c>
      <c r="O169" s="69">
        <f>((MAX('Max rate concentrations'!$F$3:$F$368))*0.62*6.01*8*(10*F169^0.667)*0.079*0.1/F169)*inputs!$E$80/(10^(0.84+0.62*LOG10(inputs!$E$80)))</f>
        <v>26.143490130487656</v>
      </c>
      <c r="P169" s="69">
        <f>((MAX('Max rate concentrations'!Y:Y))*0.62*6.01*8*(10*F169^0.667)*0.079*0.1/F169)*inputs!$E$80/(10^(0.84+0.62*LOG10(inputs!$E$80)))</f>
        <v>8.7144967101625532</v>
      </c>
      <c r="Q169" s="69">
        <f>(inputs!$C$18*11.2*(10*F169^0.667)*0.5/F169)*inputs!$E$80/(10^(0.84+0.62*LOG10(inputs!$E$80)))</f>
        <v>4.6050524786727332</v>
      </c>
      <c r="R169" s="59">
        <f>(60*284*((F169/1000)^0.77)*3*24*(MAX('Max rate concentrations'!$R$3:$R$368))/F169)*(inputs!$E$73*3.4/inputs!$E$75)</f>
        <v>4.1830220593955379E-2</v>
      </c>
      <c r="S169" s="59">
        <f>(IF(inputs!$C$17="aerial",((0.025*0.112*inputs!$C$18/3.3)*(3*60*284*((F169/1000)^0.77))*MAX(inputs!$I$14:$I$16))/F169,((0.0083*0.112*inputs!$C$18/1)*(3*60*284*((F169/1000)^0.77))*MAX(inputs!$I$14:$I$16))/F169))*(inputs!E$75*3.4/inputs!$E$73)</f>
        <v>0.23069623655369148</v>
      </c>
      <c r="T169" s="63">
        <f>IF((((inputs!$P$13/(V169/MAX(K169:S169)))^(1/inputs!$O$13))-1)/inputs!$N$13&lt;0, 0, IF((((inputs!$P$13/(V169/MAX(K169:S169)))^(1/inputs!$O$13))-1)/inputs!$N$13&lt;inputs!$I$17, (((inputs!$P$13/(V169/MAX(K169:S169)))^(1/inputs!$O$13))-1)/inputs!$N$13, inputs!$I$17))</f>
        <v>1000</v>
      </c>
      <c r="U169" s="63">
        <f>IF((((inputs!$P$13/(X169/MAX(K169:S169)))^(1/inputs!$O$13))-1)/inputs!$N$13&lt;0, 0, IF((((inputs!$P$13/(X169/MAX(K169:S169)))^(1/inputs!$O$13))-1)/inputs!$N$13&lt;inputs!$I$17, (((inputs!$P$13/(X169/MAX(K169:S169)))^(1/inputs!$O$13))-1)/inputs!$N$13, inputs!$I$17))</f>
        <v>76.667847332350064</v>
      </c>
      <c r="V169" s="21">
        <f>inputs!$E$78*(F169/inputs!$F$78)^(inputs!$E$84-1)</f>
        <v>1.5349640205447362E-2</v>
      </c>
      <c r="W169" s="21">
        <f>inputs!$E$85*(F169/inputs!$F$85)^(inputs!$E$84-1)</f>
        <v>0.70881810816870583</v>
      </c>
      <c r="X169" s="21">
        <f>inputs!$E$80*(F169/inputs!$F$80)^(inputs!$E$84-1)</f>
        <v>2.6468524292375721</v>
      </c>
      <c r="Y169" s="21">
        <f>inputs!$E$82*(F169/inputs!$F$82)^(inputs!$E$84-1)</f>
        <v>1.2198924584329218</v>
      </c>
      <c r="Z169" s="63">
        <f t="shared" si="13"/>
        <v>4909.0915278582997</v>
      </c>
      <c r="AA169" s="63">
        <f t="shared" si="14"/>
        <v>106.30765187830114</v>
      </c>
    </row>
    <row r="170" spans="1:27" ht="13.2" x14ac:dyDescent="0.25">
      <c r="A170" s="103" t="s">
        <v>219</v>
      </c>
      <c r="B170" s="20" t="s">
        <v>220</v>
      </c>
      <c r="C170" s="20" t="s">
        <v>73</v>
      </c>
      <c r="D170" s="104" t="s">
        <v>204</v>
      </c>
      <c r="E170" s="15">
        <v>89</v>
      </c>
      <c r="F170" s="15">
        <v>178</v>
      </c>
      <c r="G170" s="20" t="s">
        <v>152</v>
      </c>
      <c r="H170" s="20">
        <v>0.77</v>
      </c>
      <c r="I170" s="68">
        <f>MAX('Max rate concentrations'!$G$3:$G$368)</f>
        <v>45</v>
      </c>
      <c r="J170" s="68">
        <f>MAX('Max rate concentrations'!Z:Z)</f>
        <v>21</v>
      </c>
      <c r="K170" s="69">
        <f t="shared" si="11"/>
        <v>16.206774625360399</v>
      </c>
      <c r="L170" s="69">
        <f t="shared" si="15"/>
        <v>7.5631614918348529</v>
      </c>
      <c r="M170" s="69">
        <f>IF((((1.18*F170^0.874)/3.7-(0.301*F170^0.751)/(1-H170)*H170)*(MAX('Max rate concentrations'!$P$3:$P$368)))/F170&gt;0, (((1.18*F170^0.874)/3.7-(0.301*F170^0.751)/(1-H170)*H170)*(MAX('Max rate concentrations'!$P$3:$P$368)))/F170, 0)</f>
        <v>0</v>
      </c>
      <c r="N170" s="69">
        <f>IF((((1.18*F170^0.874)/3.7-(0.301*F170^0.751)/(1-H170)*H170)*(MAX('Max rate concentrations'!$Q$3:$Q$368)))/F170&gt;0, (((1.18*F170^0.874)/3.7-(0.301*F170^0.751)/(1-H170)*H170)*(MAX('Max rate concentrations'!$Q$3:$Q$368)))/F170, 0)</f>
        <v>0</v>
      </c>
      <c r="O170" s="69">
        <f>((MAX('Max rate concentrations'!$F$3:$F$368))*0.62*6.01*8*(10*F170^0.667)*0.079*0.1/F170)*inputs!$E$80/(10^(0.84+0.62*LOG10(inputs!$E$80)))</f>
        <v>26.143490130487656</v>
      </c>
      <c r="P170" s="69">
        <f>((MAX('Max rate concentrations'!Y:Y))*0.62*6.01*8*(10*F170^0.667)*0.079*0.1/F170)*inputs!$E$80/(10^(0.84+0.62*LOG10(inputs!$E$80)))</f>
        <v>8.7144967101625532</v>
      </c>
      <c r="Q170" s="69">
        <f>(inputs!$C$18*11.2*(10*F170^0.667)*0.5/F170)*inputs!$E$80/(10^(0.84+0.62*LOG10(inputs!$E$80)))</f>
        <v>4.6050524786727332</v>
      </c>
      <c r="R170" s="59">
        <f>(60*284*((F170/1000)^0.77)*3*24*(MAX('Max rate concentrations'!$R$3:$R$368))/F170)*(inputs!$E$73*3.4/inputs!$E$75)</f>
        <v>4.1830220593955379E-2</v>
      </c>
      <c r="S170" s="59">
        <f>(IF(inputs!$C$17="aerial",((0.025*0.112*inputs!$C$18/3.3)*(3*60*284*((F170/1000)^0.77))*MAX(inputs!$I$14:$I$16))/F170,((0.0083*0.112*inputs!$C$18/1)*(3*60*284*((F170/1000)^0.77))*MAX(inputs!$I$14:$I$16))/F170))*(inputs!E$75*3.4/inputs!$E$73)</f>
        <v>0.23069623655369148</v>
      </c>
      <c r="T170" s="63">
        <f>IF((((inputs!$P$13/(V170/MAX(K170:S170)))^(1/inputs!$O$13))-1)/inputs!$N$13&lt;0, 0, IF((((inputs!$P$13/(V170/MAX(K170:S170)))^(1/inputs!$O$13))-1)/inputs!$N$13&lt;inputs!$I$17, (((inputs!$P$13/(V170/MAX(K170:S170)))^(1/inputs!$O$13))-1)/inputs!$N$13, inputs!$I$17))</f>
        <v>1000</v>
      </c>
      <c r="U170" s="63">
        <f>IF((((inputs!$P$13/(X170/MAX(K170:S170)))^(1/inputs!$O$13))-1)/inputs!$N$13&lt;0, 0, IF((((inputs!$P$13/(X170/MAX(K170:S170)))^(1/inputs!$O$13))-1)/inputs!$N$13&lt;inputs!$I$17, (((inputs!$P$13/(X170/MAX(K170:S170)))^(1/inputs!$O$13))-1)/inputs!$N$13, inputs!$I$17))</f>
        <v>29.565027462799588</v>
      </c>
      <c r="V170" s="21">
        <f>inputs!$E$78*(F170/inputs!$F$78)^(inputs!$E$84-1)</f>
        <v>1.5349640205447362E-2</v>
      </c>
      <c r="W170" s="21">
        <f>inputs!$E$85*(F170/inputs!$F$85)^(inputs!$E$84-1)</f>
        <v>0.70881810816870583</v>
      </c>
      <c r="X170" s="21">
        <f>inputs!$E$80*(F170/inputs!$F$80)^(inputs!$E$84-1)</f>
        <v>2.6468524292375721</v>
      </c>
      <c r="Y170" s="21">
        <f>inputs!$E$82*(F170/inputs!$F$82)^(inputs!$E$84-1)</f>
        <v>1.2198924584329218</v>
      </c>
      <c r="Z170" s="63">
        <f t="shared" si="13"/>
        <v>1703.1988880892279</v>
      </c>
      <c r="AA170" s="63">
        <f t="shared" si="14"/>
        <v>36.883214225482575</v>
      </c>
    </row>
    <row r="171" spans="1:27" ht="13.2" x14ac:dyDescent="0.25">
      <c r="A171" s="103" t="s">
        <v>219</v>
      </c>
      <c r="B171" s="20" t="s">
        <v>220</v>
      </c>
      <c r="C171" s="20" t="s">
        <v>73</v>
      </c>
      <c r="D171" s="104" t="s">
        <v>204</v>
      </c>
      <c r="E171" s="15">
        <v>89</v>
      </c>
      <c r="F171" s="15">
        <v>178</v>
      </c>
      <c r="G171" s="20" t="s">
        <v>169</v>
      </c>
      <c r="H171" s="20">
        <v>0.79</v>
      </c>
      <c r="I171" s="68">
        <f>MAX('Max rate concentrations'!$D$3:$D$368)</f>
        <v>720</v>
      </c>
      <c r="J171" s="68">
        <f>MAX('Max rate concentrations'!W:W)</f>
        <v>255</v>
      </c>
      <c r="K171" s="69">
        <f t="shared" si="11"/>
        <v>284.00443153012509</v>
      </c>
      <c r="L171" s="69">
        <f t="shared" si="15"/>
        <v>100.58490283358599</v>
      </c>
      <c r="M171" s="69">
        <f>IF((((1.18*F171^0.874)/3.7-(0.301*F171^0.751)/(1-H171)*H171)*(MAX('Max rate concentrations'!$P$3:$P$368)))/F171&gt;0, (((1.18*F171^0.874)/3.7-(0.301*F171^0.751)/(1-H171)*H171)*(MAX('Max rate concentrations'!$P$3:$P$368)))/F171, 0)</f>
        <v>0</v>
      </c>
      <c r="N171" s="69">
        <f>IF((((1.18*F171^0.874)/3.7-(0.301*F171^0.751)/(1-H171)*H171)*(MAX('Max rate concentrations'!$Q$3:$Q$368)))/F171&gt;0, (((1.18*F171^0.874)/3.7-(0.301*F171^0.751)/(1-H171)*H171)*(MAX('Max rate concentrations'!$Q$3:$Q$368)))/F171, 0)</f>
        <v>0</v>
      </c>
      <c r="O171" s="69">
        <f>((MAX('Max rate concentrations'!$F$3:$F$368))*0.62*6.01*8*(10*F171^0.667)*0.079*0.1/F171)*inputs!$E$80/(10^(0.84+0.62*LOG10(inputs!$E$80)))</f>
        <v>26.143490130487656</v>
      </c>
      <c r="P171" s="69">
        <f>((MAX('Max rate concentrations'!Y:Y))*0.62*6.01*8*(10*F171^0.667)*0.079*0.1/F171)*inputs!$E$80/(10^(0.84+0.62*LOG10(inputs!$E$80)))</f>
        <v>8.7144967101625532</v>
      </c>
      <c r="Q171" s="69">
        <f>(inputs!$C$18*11.2*(10*F171^0.667)*0.5/F171)*inputs!$E$80/(10^(0.84+0.62*LOG10(inputs!$E$80)))</f>
        <v>4.6050524786727332</v>
      </c>
      <c r="R171" s="59">
        <f>(60*284*((F171/1000)^0.77)*3*24*(MAX('Max rate concentrations'!$R$3:$R$368))/F171)*(inputs!$E$73*3.4/inputs!$E$75)</f>
        <v>4.1830220593955379E-2</v>
      </c>
      <c r="S171" s="59">
        <f>(IF(inputs!$C$17="aerial",((0.025*0.112*inputs!$C$18/3.3)*(3*60*284*((F171/1000)^0.77))*MAX(inputs!$I$14:$I$16))/F171,((0.0083*0.112*inputs!$C$18/1)*(3*60*284*((F171/1000)^0.77))*MAX(inputs!$I$14:$I$16))/F171))*(inputs!E$75*3.4/inputs!$E$73)</f>
        <v>0.23069623655369148</v>
      </c>
      <c r="T171" s="63">
        <f>IF((((inputs!$P$13/(V171/MAX(K171:S171)))^(1/inputs!$O$13))-1)/inputs!$N$13&lt;0, 0, IF((((inputs!$P$13/(V171/MAX(K171:S171)))^(1/inputs!$O$13))-1)/inputs!$N$13&lt;inputs!$I$17, (((inputs!$P$13/(V171/MAX(K171:S171)))^(1/inputs!$O$13))-1)/inputs!$N$13, inputs!$I$17))</f>
        <v>1000</v>
      </c>
      <c r="U171" s="63">
        <f>IF((((inputs!$P$13/(X171/MAX(K171:S171)))^(1/inputs!$O$13))-1)/inputs!$N$13&lt;0, 0, IF((((inputs!$P$13/(X171/MAX(K171:S171)))^(1/inputs!$O$13))-1)/inputs!$N$13&lt;inputs!$I$17, (((inputs!$P$13/(X171/MAX(K171:S171)))^(1/inputs!$O$13))-1)/inputs!$N$13, inputs!$I$17))</f>
        <v>234.23347253994532</v>
      </c>
      <c r="V171" s="21">
        <f>inputs!$E$78*(F171/inputs!$F$78)^(inputs!$E$84-1)</f>
        <v>1.5349640205447362E-2</v>
      </c>
      <c r="W171" s="21">
        <f>inputs!$E$85*(F171/inputs!$F$85)^(inputs!$E$84-1)</f>
        <v>0.70881810816870583</v>
      </c>
      <c r="X171" s="21">
        <f>inputs!$E$80*(F171/inputs!$F$80)^(inputs!$E$84-1)</f>
        <v>2.6468524292375721</v>
      </c>
      <c r="Y171" s="21">
        <f>inputs!$E$82*(F171/inputs!$F$82)^(inputs!$E$84-1)</f>
        <v>1.2198924584329218</v>
      </c>
      <c r="Z171" s="63">
        <f t="shared" si="13"/>
        <v>18502.351047247095</v>
      </c>
      <c r="AA171" s="63">
        <f t="shared" si="14"/>
        <v>400.67321680575515</v>
      </c>
    </row>
    <row r="172" spans="1:27" ht="13.2" x14ac:dyDescent="0.25">
      <c r="A172" s="103" t="s">
        <v>219</v>
      </c>
      <c r="B172" s="20" t="s">
        <v>220</v>
      </c>
      <c r="C172" s="20" t="s">
        <v>73</v>
      </c>
      <c r="D172" s="104" t="s">
        <v>204</v>
      </c>
      <c r="E172" s="15">
        <v>89</v>
      </c>
      <c r="F172" s="15">
        <v>178</v>
      </c>
      <c r="G172" s="20" t="s">
        <v>177</v>
      </c>
      <c r="H172" s="20">
        <v>0.85</v>
      </c>
      <c r="I172" s="68">
        <f>MAX('Max rate concentrations'!$F$3:$F$368)</f>
        <v>405</v>
      </c>
      <c r="J172" s="68">
        <f>MAX('Max rate concentrations'!Y:Y)</f>
        <v>135</v>
      </c>
      <c r="K172" s="69">
        <f t="shared" si="11"/>
        <v>223.65348982997341</v>
      </c>
      <c r="L172" s="69">
        <f t="shared" si="15"/>
        <v>74.551163276657803</v>
      </c>
      <c r="M172" s="69">
        <f>IF((((1.18*F172^0.874)/3.7-(0.301*F172^0.751)/(1-H172)*H172)*(MAX('Max rate concentrations'!$P$3:$P$368)))/F172&gt;0, (((1.18*F172^0.874)/3.7-(0.301*F172^0.751)/(1-H172)*H172)*(MAX('Max rate concentrations'!$P$3:$P$368)))/F172, 0)</f>
        <v>0</v>
      </c>
      <c r="N172" s="69">
        <f>IF((((1.18*F172^0.874)/3.7-(0.301*F172^0.751)/(1-H172)*H172)*(MAX('Max rate concentrations'!$Q$3:$Q$368)))/F172&gt;0, (((1.18*F172^0.874)/3.7-(0.301*F172^0.751)/(1-H172)*H172)*(MAX('Max rate concentrations'!$Q$3:$Q$368)))/F172, 0)</f>
        <v>0</v>
      </c>
      <c r="O172" s="69">
        <f>((MAX('Max rate concentrations'!$F$3:$F$368))*0.62*6.01*8*(10*F172^0.667)*0.079*0.1/F172)*inputs!$E$80/(10^(0.84+0.62*LOG10(inputs!$E$80)))</f>
        <v>26.143490130487656</v>
      </c>
      <c r="P172" s="69">
        <f>((MAX('Max rate concentrations'!Y:Y))*0.62*6.01*8*(10*F172^0.667)*0.079*0.1/F172)*inputs!$E$80/(10^(0.84+0.62*LOG10(inputs!$E$80)))</f>
        <v>8.7144967101625532</v>
      </c>
      <c r="Q172" s="69">
        <f>(inputs!$C$18*11.2*(10*F172^0.667)*0.5/F172)*inputs!$E$80/(10^(0.84+0.62*LOG10(inputs!$E$80)))</f>
        <v>4.6050524786727332</v>
      </c>
      <c r="R172" s="59">
        <f>(60*284*((F172/1000)^0.77)*3*24*(MAX('Max rate concentrations'!$R$3:$R$368))/F172)*(inputs!$E$73*3.4/inputs!$E$75)</f>
        <v>4.1830220593955379E-2</v>
      </c>
      <c r="S172" s="59">
        <f>(IF(inputs!$C$17="aerial",((0.025*0.112*inputs!$C$18/3.3)*(3*60*284*((F172/1000)^0.77))*MAX(inputs!$I$14:$I$16))/F172,((0.0083*0.112*inputs!$C$18/1)*(3*60*284*((F172/1000)^0.77))*MAX(inputs!$I$14:$I$16))/F172))*(inputs!E$75*3.4/inputs!$E$73)</f>
        <v>0.23069623655369148</v>
      </c>
      <c r="T172" s="63">
        <f>IF((((inputs!$P$13/(V172/MAX(K172:S172)))^(1/inputs!$O$13))-1)/inputs!$N$13&lt;0, 0, IF((((inputs!$P$13/(V172/MAX(K172:S172)))^(1/inputs!$O$13))-1)/inputs!$N$13&lt;inputs!$I$17, (((inputs!$P$13/(V172/MAX(K172:S172)))^(1/inputs!$O$13))-1)/inputs!$N$13, inputs!$I$17))</f>
        <v>1000</v>
      </c>
      <c r="U172" s="63">
        <f>IF((((inputs!$P$13/(X172/MAX(K172:S172)))^(1/inputs!$O$13))-1)/inputs!$N$13&lt;0, 0, IF((((inputs!$P$13/(X172/MAX(K172:S172)))^(1/inputs!$O$13))-1)/inputs!$N$13&lt;inputs!$I$17, (((inputs!$P$13/(X172/MAX(K172:S172)))^(1/inputs!$O$13))-1)/inputs!$N$13, inputs!$I$17))</f>
        <v>192.16735880739682</v>
      </c>
      <c r="V172" s="21">
        <f>inputs!$E$78*(F172/inputs!$F$78)^(inputs!$E$84-1)</f>
        <v>1.5349640205447362E-2</v>
      </c>
      <c r="W172" s="21">
        <f>inputs!$E$85*(F172/inputs!$F$85)^(inputs!$E$84-1)</f>
        <v>0.70881810816870583</v>
      </c>
      <c r="X172" s="21">
        <f>inputs!$E$80*(F172/inputs!$F$80)^(inputs!$E$84-1)</f>
        <v>2.6468524292375721</v>
      </c>
      <c r="Y172" s="21">
        <f>inputs!$E$82*(F172/inputs!$F$82)^(inputs!$E$84-1)</f>
        <v>1.2198924584329218</v>
      </c>
      <c r="Z172" s="63">
        <f t="shared" si="13"/>
        <v>14570.601449707079</v>
      </c>
      <c r="AA172" s="63">
        <f t="shared" si="14"/>
        <v>315.53015823453205</v>
      </c>
    </row>
    <row r="173" spans="1:27" ht="13.2" x14ac:dyDescent="0.25">
      <c r="A173" s="103" t="s">
        <v>219</v>
      </c>
      <c r="B173" s="20" t="s">
        <v>220</v>
      </c>
      <c r="C173" s="20" t="s">
        <v>73</v>
      </c>
      <c r="D173" s="104" t="s">
        <v>204</v>
      </c>
      <c r="E173" s="15">
        <v>89</v>
      </c>
      <c r="F173" s="15">
        <v>178</v>
      </c>
      <c r="G173" s="20" t="s">
        <v>154</v>
      </c>
      <c r="H173" s="20">
        <v>9.2999999999999999E-2</v>
      </c>
      <c r="I173" s="68">
        <f>MAX('Max rate concentrations'!$G$3:$G$368)</f>
        <v>45</v>
      </c>
      <c r="J173" s="68">
        <f>MAX('Max rate concentrations'!Z:Z)</f>
        <v>21</v>
      </c>
      <c r="K173" s="69">
        <f t="shared" si="11"/>
        <v>4.109766443035161</v>
      </c>
      <c r="L173" s="69">
        <f t="shared" si="15"/>
        <v>1.9178910067497417</v>
      </c>
      <c r="M173" s="69">
        <f>IF((((1.18*F173^0.874)/3.7-(0.301*F173^0.751)/(1-H173)*H173)*(MAX('Max rate concentrations'!$P$3:$P$368)))/F173&gt;0, (((1.18*F173^0.874)/3.7-(0.301*F173^0.751)/(1-H173)*H173)*(MAX('Max rate concentrations'!$P$3:$P$368)))/F173, 0)</f>
        <v>0.1371769512835446</v>
      </c>
      <c r="N173" s="69">
        <f>IF((((1.18*F173^0.874)/3.7-(0.301*F173^0.751)/(1-H173)*H173)*(MAX('Max rate concentrations'!$Q$3:$Q$368)))/F173&gt;0, (((1.18*F173^0.874)/3.7-(0.301*F173^0.751)/(1-H173)*H173)*(MAX('Max rate concentrations'!$Q$3:$Q$368)))/F173, 0)</f>
        <v>0.52237720123649101</v>
      </c>
      <c r="O173" s="69">
        <f>((MAX('Max rate concentrations'!$F$3:$F$368))*0.62*6.01*8*(10*F173^0.667)*0.079*0.1/F173)*inputs!$E$80/(10^(0.84+0.62*LOG10(inputs!$E$80)))</f>
        <v>26.143490130487656</v>
      </c>
      <c r="P173" s="69">
        <f>((MAX('Max rate concentrations'!Y:Y))*0.62*6.01*8*(10*F173^0.667)*0.079*0.1/F173)*inputs!$E$80/(10^(0.84+0.62*LOG10(inputs!$E$80)))</f>
        <v>8.7144967101625532</v>
      </c>
      <c r="Q173" s="69">
        <f>(inputs!$C$18*11.2*(10*F173^0.667)*0.5/F173)*inputs!$E$80/(10^(0.84+0.62*LOG10(inputs!$E$80)))</f>
        <v>4.6050524786727332</v>
      </c>
      <c r="R173" s="59">
        <f>(60*284*((F173/1000)^0.77)*3*24*(MAX('Max rate concentrations'!$R$3:$R$368))/F173)*(inputs!$E$73*3.4/inputs!$E$75)</f>
        <v>4.1830220593955379E-2</v>
      </c>
      <c r="S173" s="59">
        <f>(IF(inputs!$C$17="aerial",((0.025*0.112*inputs!$C$18/3.3)*(3*60*284*((F173/1000)^0.77))*MAX(inputs!$I$14:$I$16))/F173,((0.0083*0.112*inputs!$C$18/1)*(3*60*284*((F173/1000)^0.77))*MAX(inputs!$I$14:$I$16))/F173))*(inputs!E$75*3.4/inputs!$E$73)</f>
        <v>0.23069623655369148</v>
      </c>
      <c r="T173" s="63">
        <f>IF((((inputs!$P$13/(V173/MAX(K173:S173)))^(1/inputs!$O$13))-1)/inputs!$N$13&lt;0, 0, IF((((inputs!$P$13/(V173/MAX(K173:S173)))^(1/inputs!$O$13))-1)/inputs!$N$13&lt;inputs!$I$17, (((inputs!$P$13/(V173/MAX(K173:S173)))^(1/inputs!$O$13))-1)/inputs!$N$13, inputs!$I$17))</f>
        <v>1000</v>
      </c>
      <c r="U173" s="63">
        <f>IF((((inputs!$P$13/(X173/MAX(K173:S173)))^(1/inputs!$O$13))-1)/inputs!$N$13&lt;0, 0, IF((((inputs!$P$13/(X173/MAX(K173:S173)))^(1/inputs!$O$13))-1)/inputs!$N$13&lt;inputs!$I$17, (((inputs!$P$13/(X173/MAX(K173:S173)))^(1/inputs!$O$13))-1)/inputs!$N$13, inputs!$I$17))</f>
        <v>29.565027462799588</v>
      </c>
      <c r="V173" s="21">
        <f>inputs!$E$78*(F173/inputs!$F$78)^(inputs!$E$84-1)</f>
        <v>1.5349640205447362E-2</v>
      </c>
      <c r="W173" s="21">
        <f>inputs!$E$85*(F173/inputs!$F$85)^(inputs!$E$84-1)</f>
        <v>0.70881810816870583</v>
      </c>
      <c r="X173" s="21">
        <f>inputs!$E$80*(F173/inputs!$F$80)^(inputs!$E$84-1)</f>
        <v>2.6468524292375721</v>
      </c>
      <c r="Y173" s="21">
        <f>inputs!$E$82*(F173/inputs!$F$82)^(inputs!$E$84-1)</f>
        <v>1.2198924584329218</v>
      </c>
      <c r="Z173" s="63">
        <f t="shared" si="13"/>
        <v>1703.1988880892279</v>
      </c>
      <c r="AA173" s="63">
        <f t="shared" si="14"/>
        <v>36.883214225482575</v>
      </c>
    </row>
    <row r="174" spans="1:27" ht="13.2" x14ac:dyDescent="0.25">
      <c r="A174" s="103" t="s">
        <v>277</v>
      </c>
      <c r="B174" s="20" t="s">
        <v>278</v>
      </c>
      <c r="C174" s="20" t="s">
        <v>73</v>
      </c>
      <c r="D174" s="104" t="s">
        <v>204</v>
      </c>
      <c r="E174" s="15">
        <v>87</v>
      </c>
      <c r="F174" s="15">
        <v>350</v>
      </c>
      <c r="G174" s="20" t="s">
        <v>142</v>
      </c>
      <c r="H174" s="20">
        <v>0.69</v>
      </c>
      <c r="I174" s="68">
        <f>MAX('Max rate concentrations'!$H$3:$H$368)</f>
        <v>282</v>
      </c>
      <c r="J174" s="68">
        <f>MAX('Max rate concentrations'!AA:AA)</f>
        <v>195</v>
      </c>
      <c r="K174" s="69">
        <f t="shared" si="11"/>
        <v>63.676761394309224</v>
      </c>
      <c r="L174" s="69">
        <f t="shared" si="15"/>
        <v>44.031803091809572</v>
      </c>
      <c r="M174" s="69">
        <f>IF((((1.18*F174^0.874)/3.7-(0.301*F174^0.751)/(1-H174)*H174)*(MAX('Max rate concentrations'!$P$3:$P$368)))/F174&gt;0, (((1.18*F174^0.874)/3.7-(0.301*F174^0.751)/(1-H174)*H174)*(MAX('Max rate concentrations'!$P$3:$P$368)))/F174, 0)</f>
        <v>0</v>
      </c>
      <c r="N174" s="69">
        <f>IF((((1.18*F174^0.874)/3.7-(0.301*F174^0.751)/(1-H174)*H174)*(MAX('Max rate concentrations'!$Q$3:$Q$368)))/F174&gt;0, (((1.18*F174^0.874)/3.7-(0.301*F174^0.751)/(1-H174)*H174)*(MAX('Max rate concentrations'!$Q$3:$Q$368)))/F174, 0)</f>
        <v>0</v>
      </c>
      <c r="O174" s="69">
        <f>((MAX('Max rate concentrations'!$F$3:$F$368))*0.62*6.01*8*(10*F174^0.667)*0.079*0.1/F174)*inputs!$E$80/(10^(0.84+0.62*LOG10(inputs!$E$80)))</f>
        <v>20.872706531337791</v>
      </c>
      <c r="P174" s="69">
        <f>((MAX('Max rate concentrations'!Y:Y))*0.62*6.01*8*(10*F174^0.667)*0.079*0.1/F174)*inputs!$E$80/(10^(0.84+0.62*LOG10(inputs!$E$80)))</f>
        <v>6.9575688437792644</v>
      </c>
      <c r="Q174" s="69">
        <f>(inputs!$C$18*11.2*(10*F174^0.667)*0.5/F174)*inputs!$E$80/(10^(0.84+0.62*LOG10(inputs!$E$80)))</f>
        <v>3.676628807744911</v>
      </c>
      <c r="R174" s="59">
        <f>(60*284*((F174/1000)^0.77)*3*24*(MAX('Max rate concentrations'!$R$3:$R$368))/F174)*(inputs!$E$73*3.4/inputs!$E$75)</f>
        <v>3.5805612328015581E-2</v>
      </c>
      <c r="S174" s="59">
        <f>(IF(inputs!$C$17="aerial",((0.025*0.112*inputs!$C$18/3.3)*(3*60*284*((F174/1000)^0.77))*MAX(inputs!$I$14:$I$16))/F174,((0.0083*0.112*inputs!$C$18/1)*(3*60*284*((F174/1000)^0.77))*MAX(inputs!$I$14:$I$16))/F174))*(inputs!E$75*3.4/inputs!$E$73)</f>
        <v>0.19747015182528793</v>
      </c>
      <c r="T174" s="63">
        <f>IF((((inputs!$P$13/(V174/MAX(K174:S174)))^(1/inputs!$O$13))-1)/inputs!$N$13&lt;0, 0, IF((((inputs!$P$13/(V174/MAX(K174:S174)))^(1/inputs!$O$13))-1)/inputs!$N$13&lt;inputs!$I$17, (((inputs!$P$13/(V174/MAX(K174:S174)))^(1/inputs!$O$13))-1)/inputs!$N$13, inputs!$I$17))</f>
        <v>1000</v>
      </c>
      <c r="U174" s="63">
        <f>IF((((inputs!$P$13/(X174/MAX(K174:S174)))^(1/inputs!$O$13))-1)/inputs!$N$13&lt;0, 0, IF((((inputs!$P$13/(X174/MAX(K174:S174)))^(1/inputs!$O$13))-1)/inputs!$N$13&lt;inputs!$I$17, (((inputs!$P$13/(X174/MAX(K174:S174)))^(1/inputs!$O$13))-1)/inputs!$N$13, inputs!$I$17))</f>
        <v>82.269334696419264</v>
      </c>
      <c r="V174" s="21">
        <f>inputs!$E$78*(F174/inputs!$F$78)^(inputs!$E$84-1)</f>
        <v>1.1952215764623077E-2</v>
      </c>
      <c r="W174" s="21">
        <f>inputs!$E$85*(F174/inputs!$F$85)^(inputs!$E$84-1)</f>
        <v>0.55193130609652619</v>
      </c>
      <c r="X174" s="21">
        <f>inputs!$E$80*(F174/inputs!$F$80)^(inputs!$E$84-1)</f>
        <v>2.0610093075756355</v>
      </c>
      <c r="Y174" s="21">
        <f>inputs!$E$82*(F174/inputs!$F$82)^(inputs!$E$84-1)</f>
        <v>0.94988662129372869</v>
      </c>
      <c r="Z174" s="63">
        <f t="shared" si="13"/>
        <v>5327.6114360973743</v>
      </c>
      <c r="AA174" s="63">
        <f t="shared" si="14"/>
        <v>115.37080917670019</v>
      </c>
    </row>
    <row r="175" spans="1:27" ht="13.2" x14ac:dyDescent="0.25">
      <c r="A175" s="103" t="s">
        <v>277</v>
      </c>
      <c r="B175" s="20" t="s">
        <v>278</v>
      </c>
      <c r="C175" s="20" t="s">
        <v>73</v>
      </c>
      <c r="D175" s="104" t="s">
        <v>204</v>
      </c>
      <c r="E175" s="15">
        <v>87</v>
      </c>
      <c r="F175" s="15">
        <v>350</v>
      </c>
      <c r="G175" s="20" t="s">
        <v>154</v>
      </c>
      <c r="H175" s="20">
        <v>9.2999999999999999E-2</v>
      </c>
      <c r="I175" s="68">
        <f>MAX('Max rate concentrations'!$G$3:$G$368)</f>
        <v>45</v>
      </c>
      <c r="J175" s="68">
        <f>MAX('Max rate concentrations'!Z:Z)</f>
        <v>21</v>
      </c>
      <c r="K175" s="69">
        <f t="shared" si="11"/>
        <v>3.4729519867172343</v>
      </c>
      <c r="L175" s="69">
        <f t="shared" si="15"/>
        <v>1.6207109271347093</v>
      </c>
      <c r="M175" s="69">
        <f>IF((((1.18*F175^0.874)/3.7-(0.301*F175^0.751)/(1-H175)*H175)*(MAX('Max rate concentrations'!$P$3:$P$368)))/F175&gt;0, (((1.18*F175^0.874)/3.7-(0.301*F175^0.751)/(1-H175)*H175)*(MAX('Max rate concentrations'!$P$3:$P$368)))/F175, 0)</f>
        <v>0.12651624722379384</v>
      </c>
      <c r="N175" s="69">
        <f>IF((((1.18*F175^0.874)/3.7-(0.301*F175^0.751)/(1-H175)*H175)*(MAX('Max rate concentrations'!$Q$3:$Q$368)))/F175&gt;0, (((1.18*F175^0.874)/3.7-(0.301*F175^0.751)/(1-H175)*H175)*(MAX('Max rate concentrations'!$Q$3:$Q$368)))/F175, 0)</f>
        <v>0.48178066735936631</v>
      </c>
      <c r="O175" s="69">
        <f>((MAX('Max rate concentrations'!$F$3:$F$368))*0.62*6.01*8*(10*F175^0.667)*0.079*0.1/F175)*inputs!$E$80/(10^(0.84+0.62*LOG10(inputs!$E$80)))</f>
        <v>20.872706531337791</v>
      </c>
      <c r="P175" s="69">
        <f>((MAX('Max rate concentrations'!Y:Y))*0.62*6.01*8*(10*F175^0.667)*0.079*0.1/F175)*inputs!$E$80/(10^(0.84+0.62*LOG10(inputs!$E$80)))</f>
        <v>6.9575688437792644</v>
      </c>
      <c r="Q175" s="69">
        <f>(inputs!$C$18*11.2*(10*F175^0.667)*0.5/F175)*inputs!$E$80/(10^(0.84+0.62*LOG10(inputs!$E$80)))</f>
        <v>3.676628807744911</v>
      </c>
      <c r="R175" s="59">
        <f>(60*284*((F175/1000)^0.77)*3*24*(MAX('Max rate concentrations'!$R$3:$R$368))/F175)*(inputs!$E$73*3.4/inputs!$E$75)</f>
        <v>3.5805612328015581E-2</v>
      </c>
      <c r="S175" s="59">
        <f>(IF(inputs!$C$17="aerial",((0.025*0.112*inputs!$C$18/3.3)*(3*60*284*((F175/1000)^0.77))*MAX(inputs!$I$14:$I$16))/F175,((0.0083*0.112*inputs!$C$18/1)*(3*60*284*((F175/1000)^0.77))*MAX(inputs!$I$14:$I$16))/F175))*(inputs!E$75*3.4/inputs!$E$73)</f>
        <v>0.19747015182528793</v>
      </c>
      <c r="T175" s="63">
        <f>IF((((inputs!$P$13/(V175/MAX(K175:S175)))^(1/inputs!$O$13))-1)/inputs!$N$13&lt;0, 0, IF((((inputs!$P$13/(V175/MAX(K175:S175)))^(1/inputs!$O$13))-1)/inputs!$N$13&lt;inputs!$I$17, (((inputs!$P$13/(V175/MAX(K175:S175)))^(1/inputs!$O$13))-1)/inputs!$N$13, inputs!$I$17))</f>
        <v>1000</v>
      </c>
      <c r="U175" s="63">
        <f>IF((((inputs!$P$13/(X175/MAX(K175:S175)))^(1/inputs!$O$13))-1)/inputs!$N$13&lt;0, 0, IF((((inputs!$P$13/(X175/MAX(K175:S175)))^(1/inputs!$O$13))-1)/inputs!$N$13&lt;inputs!$I$17, (((inputs!$P$13/(X175/MAX(K175:S175)))^(1/inputs!$O$13))-1)/inputs!$N$13, inputs!$I$17))</f>
        <v>30.276077880719267</v>
      </c>
      <c r="V175" s="21">
        <f>inputs!$E$78*(F175/inputs!$F$78)^(inputs!$E$84-1)</f>
        <v>1.1952215764623077E-2</v>
      </c>
      <c r="W175" s="21">
        <f>inputs!$E$85*(F175/inputs!$F$85)^(inputs!$E$84-1)</f>
        <v>0.55193130609652619</v>
      </c>
      <c r="X175" s="21">
        <f>inputs!$E$80*(F175/inputs!$F$80)^(inputs!$E$84-1)</f>
        <v>2.0610093075756355</v>
      </c>
      <c r="Y175" s="21">
        <f>inputs!$E$82*(F175/inputs!$F$82)^(inputs!$E$84-1)</f>
        <v>0.94988662129372869</v>
      </c>
      <c r="Z175" s="63">
        <f t="shared" si="13"/>
        <v>1746.3461957504269</v>
      </c>
      <c r="AA175" s="63">
        <f t="shared" si="14"/>
        <v>37.817580377814998</v>
      </c>
    </row>
    <row r="176" spans="1:27" ht="13.2" x14ac:dyDescent="0.25">
      <c r="A176" s="103" t="s">
        <v>331</v>
      </c>
      <c r="B176" s="20" t="s">
        <v>332</v>
      </c>
      <c r="C176" s="20" t="s">
        <v>73</v>
      </c>
      <c r="D176" s="104" t="s">
        <v>240</v>
      </c>
      <c r="E176" s="15">
        <v>102</v>
      </c>
      <c r="F176" s="15">
        <v>248</v>
      </c>
      <c r="G176" s="20" t="s">
        <v>142</v>
      </c>
      <c r="H176" s="20">
        <v>0.69</v>
      </c>
      <c r="I176" s="68">
        <f>MAX('Max rate concentrations'!$H$3:$H$368)</f>
        <v>282</v>
      </c>
      <c r="J176" s="68">
        <f>MAX('Max rate concentrations'!AA:AA)</f>
        <v>195</v>
      </c>
      <c r="K176" s="69">
        <f t="shared" si="11"/>
        <v>69.380183085119413</v>
      </c>
      <c r="L176" s="69">
        <f t="shared" si="15"/>
        <v>47.975658516305977</v>
      </c>
      <c r="M176" s="69">
        <f>IF((((1.18*F176^0.874)/3.7-(0.301*F176^0.751)/(1-H176)*H176)*(MAX('Max rate concentrations'!$P$3:$P$368)))/F176&gt;0, (((1.18*F176^0.874)/3.7-(0.301*F176^0.751)/(1-H176)*H176)*(MAX('Max rate concentrations'!$P$3:$P$368)))/F176, 0)</f>
        <v>0</v>
      </c>
      <c r="N176" s="69">
        <f>IF((((1.18*F176^0.874)/3.7-(0.301*F176^0.751)/(1-H176)*H176)*(MAX('Max rate concentrations'!$Q$3:$Q$368)))/F176&gt;0, (((1.18*F176^0.874)/3.7-(0.301*F176^0.751)/(1-H176)*H176)*(MAX('Max rate concentrations'!$Q$3:$Q$368)))/F176, 0)</f>
        <v>0</v>
      </c>
      <c r="O176" s="69">
        <f>((MAX('Max rate concentrations'!$F$3:$F$368))*0.62*6.01*8*(10*F176^0.667)*0.079*0.1/F176)*inputs!$E$80/(10^(0.84+0.62*LOG10(inputs!$E$80)))</f>
        <v>23.409978565956553</v>
      </c>
      <c r="P176" s="69">
        <f>((MAX('Max rate concentrations'!Y:Y))*0.62*6.01*8*(10*F176^0.667)*0.079*0.1/F176)*inputs!$E$80/(10^(0.84+0.62*LOG10(inputs!$E$80)))</f>
        <v>7.803326188652183</v>
      </c>
      <c r="Q176" s="69">
        <f>(inputs!$C$18*11.2*(10*F176^0.667)*0.5/F176)*inputs!$E$80/(10^(0.84+0.62*LOG10(inputs!$E$80)))</f>
        <v>4.1235573094013249</v>
      </c>
      <c r="R176" s="59">
        <f>(60*284*((F176/1000)^0.77)*3*24*(MAX('Max rate concentrations'!$R$3:$R$368))/F176)*(inputs!$E$73*3.4/inputs!$E$75)</f>
        <v>3.8758134795437049E-2</v>
      </c>
      <c r="S176" s="59">
        <f>(IF(inputs!$C$17="aerial",((0.025*0.112*inputs!$C$18/3.3)*(3*60*284*((F176/1000)^0.77))*MAX(inputs!$I$14:$I$16))/F176,((0.0083*0.112*inputs!$C$18/1)*(3*60*284*((F176/1000)^0.77))*MAX(inputs!$I$14:$I$16))/F176))*(inputs!E$75*3.4/inputs!$E$73)</f>
        <v>0.21375349463110571</v>
      </c>
      <c r="T176" s="63">
        <f>IF((((inputs!$P$13/(V176/MAX(K176:S176)))^(1/inputs!$O$13))-1)/inputs!$N$13&lt;0, 0, IF((((inputs!$P$13/(V176/MAX(K176:S176)))^(1/inputs!$O$13))-1)/inputs!$N$13&lt;inputs!$I$17, (((inputs!$P$13/(V176/MAX(K176:S176)))^(1/inputs!$O$13))-1)/inputs!$N$13, inputs!$I$17))</f>
        <v>1000</v>
      </c>
      <c r="U176" s="63">
        <f>IF((((inputs!$P$13/(X176/MAX(K176:S176)))^(1/inputs!$O$13))-1)/inputs!$N$13&lt;0, 0, IF((((inputs!$P$13/(X176/MAX(K176:S176)))^(1/inputs!$O$13))-1)/inputs!$N$13&lt;inputs!$I$17, (((inputs!$P$13/(X176/MAX(K176:S176)))^(1/inputs!$O$13))-1)/inputs!$N$13, inputs!$I$17))</f>
        <v>79.369031665613448</v>
      </c>
      <c r="V176" s="21">
        <f>inputs!$E$78*(F176/inputs!$F$78)^(inputs!$E$84-1)</f>
        <v>1.3577083190374073E-2</v>
      </c>
      <c r="W176" s="21">
        <f>inputs!$E$85*(F176/inputs!$F$85)^(inputs!$E$84-1)</f>
        <v>0.62696469054921478</v>
      </c>
      <c r="X176" s="21">
        <f>inputs!$E$80*(F176/inputs!$F$80)^(inputs!$E$84-1)</f>
        <v>2.3411972621774475</v>
      </c>
      <c r="Y176" s="21">
        <f>inputs!$E$82*(F176/inputs!$F$82)^(inputs!$E$84-1)</f>
        <v>1.0790208219718342</v>
      </c>
      <c r="Z176" s="63">
        <f t="shared" si="13"/>
        <v>5110.0948644336813</v>
      </c>
      <c r="AA176" s="63">
        <f t="shared" si="14"/>
        <v>110.66043133042001</v>
      </c>
    </row>
    <row r="177" spans="1:27" ht="13.2" x14ac:dyDescent="0.25">
      <c r="A177" s="103" t="s">
        <v>331</v>
      </c>
      <c r="B177" s="20" t="s">
        <v>332</v>
      </c>
      <c r="C177" s="20" t="s">
        <v>73</v>
      </c>
      <c r="D177" s="104" t="s">
        <v>240</v>
      </c>
      <c r="E177" s="15">
        <v>102</v>
      </c>
      <c r="F177" s="15">
        <v>248</v>
      </c>
      <c r="G177" s="20" t="s">
        <v>195</v>
      </c>
      <c r="H177" s="20">
        <v>0.82</v>
      </c>
      <c r="I177" s="68">
        <f>inputs!$C$66*(inputs!$C$62/1000)</f>
        <v>8.2000000000000011</v>
      </c>
      <c r="J177" s="68">
        <f>inputs!$C$66*(inputs!$C$61/1000)</f>
        <v>2.5</v>
      </c>
      <c r="K177" s="69">
        <f t="shared" si="11"/>
        <v>3.4744764657678</v>
      </c>
      <c r="L177" s="69">
        <f t="shared" si="15"/>
        <v>1.0592916054170121</v>
      </c>
      <c r="M177" s="69">
        <f>IF((((1.18*F177^0.874)/3.7-(0.301*F177^0.751)/(1-H177)*H177)*(MAX('Max rate concentrations'!$P$3:$P$368)))/F177&gt;0, (((1.18*F177^0.874)/3.7-(0.301*F177^0.751)/(1-H177)*H177)*(MAX('Max rate concentrations'!$P$3:$P$368)))/F177, 0)</f>
        <v>0</v>
      </c>
      <c r="N177" s="69">
        <f>IF((((1.18*F177^0.874)/3.7-(0.301*F177^0.751)/(1-H177)*H177)*(MAX('Max rate concentrations'!$Q$3:$Q$368)))/F177&gt;0, (((1.18*F177^0.874)/3.7-(0.301*F177^0.751)/(1-H177)*H177)*(MAX('Max rate concentrations'!$Q$3:$Q$368)))/F177, 0)</f>
        <v>0</v>
      </c>
      <c r="O177" s="69">
        <f>((MAX('Max rate concentrations'!$F$3:$F$368))*0.62*6.01*8*(10*F177^0.667)*0.079*0.1/F177)*inputs!$E$80/(10^(0.84+0.62*LOG10(inputs!$E$80)))</f>
        <v>23.409978565956553</v>
      </c>
      <c r="P177" s="69">
        <f>((MAX('Max rate concentrations'!Y:Y))*0.62*6.01*8*(10*F177^0.667)*0.079*0.1/F177)*inputs!$E$80/(10^(0.84+0.62*LOG10(inputs!$E$80)))</f>
        <v>7.803326188652183</v>
      </c>
      <c r="Q177" s="69">
        <f>(inputs!$C$18*11.2*(10*F177^0.667)*0.5/F177)*inputs!$E$80/(10^(0.84+0.62*LOG10(inputs!$E$80)))</f>
        <v>4.1235573094013249</v>
      </c>
      <c r="R177" s="59">
        <f>(60*284*((F177/1000)^0.77)*3*24*(MAX('Max rate concentrations'!$R$3:$R$368))/F177)*(inputs!$E$73*3.4/inputs!$E$75)</f>
        <v>3.8758134795437049E-2</v>
      </c>
      <c r="S177" s="59">
        <f>(IF(inputs!$C$17="aerial",((0.025*0.112*inputs!$C$18/3.3)*(3*60*284*((F177/1000)^0.77))*MAX(inputs!$I$14:$I$16))/F177,((0.0083*0.112*inputs!$C$18/1)*(3*60*284*((F177/1000)^0.77))*MAX(inputs!$I$14:$I$16))/F177))*(inputs!E$75*3.4/inputs!$E$73)</f>
        <v>0.21375349463110571</v>
      </c>
      <c r="T177" s="63">
        <f>IF((((inputs!$P$13/(V177/MAX(K177:S177)))^(1/inputs!$O$13))-1)/inputs!$N$13&lt;0, 0, IF((((inputs!$P$13/(V177/MAX(K177:S177)))^(1/inputs!$O$13))-1)/inputs!$N$13&lt;inputs!$I$17, (((inputs!$P$13/(V177/MAX(K177:S177)))^(1/inputs!$O$13))-1)/inputs!$N$13, inputs!$I$17))</f>
        <v>1000</v>
      </c>
      <c r="U177" s="63">
        <f>IF((((inputs!$P$13/(X177/MAX(K177:S177)))^(1/inputs!$O$13))-1)/inputs!$N$13&lt;0, 0, IF((((inputs!$P$13/(X177/MAX(K177:S177)))^(1/inputs!$O$13))-1)/inputs!$N$13&lt;inputs!$I$17, (((inputs!$P$13/(X177/MAX(K177:S177)))^(1/inputs!$O$13))-1)/inputs!$N$13, inputs!$I$17))</f>
        <v>29.911993820470371</v>
      </c>
      <c r="V177" s="21">
        <f>inputs!$E$78*(F177/inputs!$F$78)^(inputs!$E$84-1)</f>
        <v>1.3577083190374073E-2</v>
      </c>
      <c r="W177" s="21">
        <f>inputs!$E$85*(F177/inputs!$F$85)^(inputs!$E$84-1)</f>
        <v>0.62696469054921478</v>
      </c>
      <c r="X177" s="21">
        <f>inputs!$E$80*(F177/inputs!$F$80)^(inputs!$E$84-1)</f>
        <v>2.3411972621774475</v>
      </c>
      <c r="Y177" s="21">
        <f>inputs!$E$82*(F177/inputs!$F$82)^(inputs!$E$84-1)</f>
        <v>1.0790208219718342</v>
      </c>
      <c r="Z177" s="63">
        <f t="shared" si="13"/>
        <v>1724.2273791585692</v>
      </c>
      <c r="AA177" s="63">
        <f t="shared" si="14"/>
        <v>37.338591660480347</v>
      </c>
    </row>
    <row r="178" spans="1:27" ht="13.2" x14ac:dyDescent="0.25">
      <c r="A178" s="103" t="s">
        <v>335</v>
      </c>
      <c r="B178" s="20" t="s">
        <v>337</v>
      </c>
      <c r="C178" s="20" t="s">
        <v>73</v>
      </c>
      <c r="D178" s="104" t="s">
        <v>240</v>
      </c>
      <c r="E178" s="15">
        <v>121</v>
      </c>
      <c r="F178" s="15">
        <v>67</v>
      </c>
      <c r="G178" s="20" t="s">
        <v>218</v>
      </c>
      <c r="H178" s="20">
        <v>0.68</v>
      </c>
      <c r="I178" s="68">
        <f>MAX('Max rate concentrations'!$K$3:$K$368)</f>
        <v>110.00035859694511</v>
      </c>
      <c r="J178" s="68">
        <f>MAX('Max rate concentrations'!AC:AC)</f>
        <v>38.958460336418057</v>
      </c>
      <c r="K178" s="69">
        <f t="shared" si="11"/>
        <v>36.317671190972504</v>
      </c>
      <c r="L178" s="69">
        <f t="shared" si="15"/>
        <v>12.862508546802761</v>
      </c>
      <c r="M178" s="69">
        <f>IF((((1.18*F178^0.874)/3.7-(0.301*F178^0.751)/(1-H178)*H178)*(MAX('Max rate concentrations'!$P$3:$P$368)))/F178&gt;0, (((1.18*F178^0.874)/3.7-(0.301*F178^0.751)/(1-H178)*H178)*(MAX('Max rate concentrations'!$P$3:$P$368)))/F178, 0)</f>
        <v>0</v>
      </c>
      <c r="N178" s="69">
        <f>IF((((1.18*F178^0.874)/3.7-(0.301*F178^0.751)/(1-H178)*H178)*(MAX('Max rate concentrations'!$Q$3:$Q$368)))/F178&gt;0, (((1.18*F178^0.874)/3.7-(0.301*F178^0.751)/(1-H178)*H178)*(MAX('Max rate concentrations'!$Q$3:$Q$368)))/F178, 0)</f>
        <v>0</v>
      </c>
      <c r="O178" s="69">
        <f>((MAX('Max rate concentrations'!$F$3:$F$368))*0.62*6.01*8*(10*F178^0.667)*0.079*0.1/F178)*inputs!$E$80/(10^(0.84+0.62*LOG10(inputs!$E$80)))</f>
        <v>36.196828196967367</v>
      </c>
      <c r="P178" s="69">
        <f>((MAX('Max rate concentrations'!Y:Y))*0.62*6.01*8*(10*F178^0.667)*0.079*0.1/F178)*inputs!$E$80/(10^(0.84+0.62*LOG10(inputs!$E$80)))</f>
        <v>12.065609398989123</v>
      </c>
      <c r="Q178" s="69">
        <f>(inputs!$C$18*11.2*(10*F178^0.667)*0.5/F178)*inputs!$E$80/(10^(0.84+0.62*LOG10(inputs!$E$80)))</f>
        <v>6.37590056172911</v>
      </c>
      <c r="R178" s="59">
        <f>(60*284*((F178/1000)^0.77)*3*24*(MAX('Max rate concentrations'!$R$3:$R$368))/F178)*(inputs!$E$73*3.4/inputs!$E$75)</f>
        <v>5.2370841322352618E-2</v>
      </c>
      <c r="S178" s="59">
        <f>(IF(inputs!$C$17="aerial",((0.025*0.112*inputs!$C$18/3.3)*(3*60*284*((F178/1000)^0.77))*MAX(inputs!$I$14:$I$16))/F178,((0.0083*0.112*inputs!$C$18/1)*(3*60*284*((F178/1000)^0.77))*MAX(inputs!$I$14:$I$16))/F178))*(inputs!E$75*3.4/inputs!$E$73)</f>
        <v>0.28882840746871796</v>
      </c>
      <c r="T178" s="63">
        <f>IF((((inputs!$P$13/(V178/MAX(K178:S178)))^(1/inputs!$O$13))-1)/inputs!$N$13&lt;0, 0, IF((((inputs!$P$13/(V178/MAX(K178:S178)))^(1/inputs!$O$13))-1)/inputs!$N$13&lt;inputs!$I$17, (((inputs!$P$13/(V178/MAX(K178:S178)))^(1/inputs!$O$13))-1)/inputs!$N$13, inputs!$I$17))</f>
        <v>1000</v>
      </c>
      <c r="U178" s="63">
        <f>IF((((inputs!$P$13/(X178/MAX(K178:S178)))^(1/inputs!$O$13))-1)/inputs!$N$13&lt;0, 0, IF((((inputs!$P$13/(X178/MAX(K178:S178)))^(1/inputs!$O$13))-1)/inputs!$N$13&lt;inputs!$I$17, (((inputs!$P$13/(X178/MAX(K178:S178)))^(1/inputs!$O$13))-1)/inputs!$N$13, inputs!$I$17))</f>
        <v>28.653780616581962</v>
      </c>
      <c r="V178" s="21">
        <f>inputs!$E$78*(F178/inputs!$F$78)^(inputs!$E$84-1)</f>
        <v>2.2034638199583647E-2</v>
      </c>
      <c r="W178" s="21">
        <f>inputs!$E$85*(F178/inputs!$F$85)^(inputs!$E$84-1)</f>
        <v>1.017519000690843</v>
      </c>
      <c r="X178" s="21">
        <f>inputs!$E$80*(F178/inputs!$F$80)^(inputs!$E$84-1)</f>
        <v>3.7995962684025146</v>
      </c>
      <c r="Y178" s="21">
        <f>inputs!$E$82*(F178/inputs!$F$82)^(inputs!$E$84-1)</f>
        <v>1.751173877966911</v>
      </c>
      <c r="Z178" s="63">
        <f t="shared" si="13"/>
        <v>1648.2081921208373</v>
      </c>
      <c r="AA178" s="63">
        <f t="shared" si="14"/>
        <v>35.692376423747049</v>
      </c>
    </row>
    <row r="179" spans="1:27" ht="13.2" x14ac:dyDescent="0.25">
      <c r="A179" s="103" t="s">
        <v>335</v>
      </c>
      <c r="B179" s="20" t="s">
        <v>337</v>
      </c>
      <c r="C179" s="20" t="s">
        <v>73</v>
      </c>
      <c r="D179" s="104" t="s">
        <v>240</v>
      </c>
      <c r="E179" s="15">
        <v>121</v>
      </c>
      <c r="F179" s="15">
        <v>67</v>
      </c>
      <c r="G179" s="20" t="s">
        <v>177</v>
      </c>
      <c r="H179" s="20">
        <v>0.85</v>
      </c>
      <c r="I179" s="68">
        <f>MAX('Max rate concentrations'!$F$3:$F$368)</f>
        <v>405</v>
      </c>
      <c r="J179" s="68">
        <f>MAX('Max rate concentrations'!Y:Y)</f>
        <v>135</v>
      </c>
      <c r="K179" s="69">
        <f t="shared" si="11"/>
        <v>285.25786923999777</v>
      </c>
      <c r="L179" s="69">
        <f t="shared" si="15"/>
        <v>95.085956413332596</v>
      </c>
      <c r="M179" s="69">
        <f>IF((((1.18*F179^0.874)/3.7-(0.301*F179^0.751)/(1-H179)*H179)*(MAX('Max rate concentrations'!$P$3:$P$368)))/F179&gt;0, (((1.18*F179^0.874)/3.7-(0.301*F179^0.751)/(1-H179)*H179)*(MAX('Max rate concentrations'!$P$3:$P$368)))/F179, 0)</f>
        <v>0</v>
      </c>
      <c r="N179" s="69">
        <f>IF((((1.18*F179^0.874)/3.7-(0.301*F179^0.751)/(1-H179)*H179)*(MAX('Max rate concentrations'!$Q$3:$Q$368)))/F179&gt;0, (((1.18*F179^0.874)/3.7-(0.301*F179^0.751)/(1-H179)*H179)*(MAX('Max rate concentrations'!$Q$3:$Q$368)))/F179, 0)</f>
        <v>0</v>
      </c>
      <c r="O179" s="69">
        <f>((MAX('Max rate concentrations'!$F$3:$F$368))*0.62*6.01*8*(10*F179^0.667)*0.079*0.1/F179)*inputs!$E$80/(10^(0.84+0.62*LOG10(inputs!$E$80)))</f>
        <v>36.196828196967367</v>
      </c>
      <c r="P179" s="69">
        <f>((MAX('Max rate concentrations'!Y:Y))*0.62*6.01*8*(10*F179^0.667)*0.079*0.1/F179)*inputs!$E$80/(10^(0.84+0.62*LOG10(inputs!$E$80)))</f>
        <v>12.065609398989123</v>
      </c>
      <c r="Q179" s="69">
        <f>(inputs!$C$18*11.2*(10*F179^0.667)*0.5/F179)*inputs!$E$80/(10^(0.84+0.62*LOG10(inputs!$E$80)))</f>
        <v>6.37590056172911</v>
      </c>
      <c r="R179" s="59">
        <f>(60*284*((F179/1000)^0.77)*3*24*(MAX('Max rate concentrations'!$R$3:$R$368))/F179)*(inputs!$E$73*3.4/inputs!$E$75)</f>
        <v>5.2370841322352618E-2</v>
      </c>
      <c r="S179" s="59">
        <f>(IF(inputs!$C$17="aerial",((0.025*0.112*inputs!$C$18/3.3)*(3*60*284*((F179/1000)^0.77))*MAX(inputs!$I$14:$I$16))/F179,((0.0083*0.112*inputs!$C$18/1)*(3*60*284*((F179/1000)^0.77))*MAX(inputs!$I$14:$I$16))/F179))*(inputs!E$75*3.4/inputs!$E$73)</f>
        <v>0.28882840746871796</v>
      </c>
      <c r="T179" s="63">
        <f>IF((((inputs!$P$13/(V179/MAX(K179:S179)))^(1/inputs!$O$13))-1)/inputs!$N$13&lt;0, 0, IF((((inputs!$P$13/(V179/MAX(K179:S179)))^(1/inputs!$O$13))-1)/inputs!$N$13&lt;inputs!$I$17, (((inputs!$P$13/(V179/MAX(K179:S179)))^(1/inputs!$O$13))-1)/inputs!$N$13, inputs!$I$17))</f>
        <v>1000</v>
      </c>
      <c r="U179" s="63">
        <f>IF((((inputs!$P$13/(X179/MAX(K179:S179)))^(1/inputs!$O$13))-1)/inputs!$N$13&lt;0, 0, IF((((inputs!$P$13/(X179/MAX(K179:S179)))^(1/inputs!$O$13))-1)/inputs!$N$13&lt;inputs!$I$17, (((inputs!$P$13/(X179/MAX(K179:S179)))^(1/inputs!$O$13))-1)/inputs!$N$13, inputs!$I$17))</f>
        <v>174.16906902965798</v>
      </c>
      <c r="V179" s="21">
        <f>inputs!$E$78*(F179/inputs!$F$78)^(inputs!$E$84-1)</f>
        <v>2.2034638199583647E-2</v>
      </c>
      <c r="W179" s="21">
        <f>inputs!$E$85*(F179/inputs!$F$85)^(inputs!$E$84-1)</f>
        <v>1.017519000690843</v>
      </c>
      <c r="X179" s="21">
        <f>inputs!$E$80*(F179/inputs!$F$80)^(inputs!$E$84-1)</f>
        <v>3.7995962684025146</v>
      </c>
      <c r="Y179" s="21">
        <f>inputs!$E$82*(F179/inputs!$F$82)^(inputs!$E$84-1)</f>
        <v>1.751173877966911</v>
      </c>
      <c r="Z179" s="63">
        <f t="shared" si="13"/>
        <v>12945.883960345118</v>
      </c>
      <c r="AA179" s="63">
        <f t="shared" si="14"/>
        <v>280.34647907933157</v>
      </c>
    </row>
    <row r="180" spans="1:27" ht="13.2" x14ac:dyDescent="0.25">
      <c r="A180" s="103" t="s">
        <v>335</v>
      </c>
      <c r="B180" s="20" t="s">
        <v>337</v>
      </c>
      <c r="C180" s="20" t="s">
        <v>73</v>
      </c>
      <c r="D180" s="104" t="s">
        <v>240</v>
      </c>
      <c r="E180" s="15">
        <v>121</v>
      </c>
      <c r="F180" s="15">
        <v>67</v>
      </c>
      <c r="G180" s="20" t="s">
        <v>145</v>
      </c>
      <c r="H180" s="20">
        <v>0.66</v>
      </c>
      <c r="I180" s="68">
        <f>MAX('Max rate concentrations'!$M$3:$M$368)</f>
        <v>17.092910873809167</v>
      </c>
      <c r="J180" s="68">
        <f>MAX('Max rate concentrations'!AE:AE)</f>
        <v>11.81956602976166</v>
      </c>
      <c r="K180" s="69">
        <f t="shared" si="11"/>
        <v>5.3114241121699273</v>
      </c>
      <c r="L180" s="69">
        <f t="shared" si="15"/>
        <v>3.6727932690536735</v>
      </c>
      <c r="M180" s="69">
        <f>IF((((1.18*F180^0.874)/3.7-(0.301*F180^0.751)/(1-H180)*H180)*(MAX('Max rate concentrations'!$P$3:$P$368)))/F180&gt;0, (((1.18*F180^0.874)/3.7-(0.301*F180^0.751)/(1-H180)*H180)*(MAX('Max rate concentrations'!$P$3:$P$368)))/F180, 0)</f>
        <v>0</v>
      </c>
      <c r="N180" s="69">
        <f>IF((((1.18*F180^0.874)/3.7-(0.301*F180^0.751)/(1-H180)*H180)*(MAX('Max rate concentrations'!$Q$3:$Q$368)))/F180&gt;0, (((1.18*F180^0.874)/3.7-(0.301*F180^0.751)/(1-H180)*H180)*(MAX('Max rate concentrations'!$Q$3:$Q$368)))/F180, 0)</f>
        <v>0</v>
      </c>
      <c r="O180" s="69">
        <f>((MAX('Max rate concentrations'!$F$3:$F$368))*0.62*6.01*8*(10*F180^0.667)*0.079*0.1/F180)*inputs!$E$80/(10^(0.84+0.62*LOG10(inputs!$E$80)))</f>
        <v>36.196828196967367</v>
      </c>
      <c r="P180" s="69">
        <f>((MAX('Max rate concentrations'!Y:Y))*0.62*6.01*8*(10*F180^0.667)*0.079*0.1/F180)*inputs!$E$80/(10^(0.84+0.62*LOG10(inputs!$E$80)))</f>
        <v>12.065609398989123</v>
      </c>
      <c r="Q180" s="69">
        <f>(inputs!$C$18*11.2*(10*F180^0.667)*0.5/F180)*inputs!$E$80/(10^(0.84+0.62*LOG10(inputs!$E$80)))</f>
        <v>6.37590056172911</v>
      </c>
      <c r="R180" s="59">
        <f>(60*284*((F180/1000)^0.77)*3*24*(MAX('Max rate concentrations'!$R$3:$R$368))/F180)*(inputs!$E$73*3.4/inputs!$E$75)</f>
        <v>5.2370841322352618E-2</v>
      </c>
      <c r="S180" s="59">
        <f>(IF(inputs!$C$17="aerial",((0.025*0.112*inputs!$C$18/3.3)*(3*60*284*((F180/1000)^0.77))*MAX(inputs!$I$14:$I$16))/F180,((0.0083*0.112*inputs!$C$18/1)*(3*60*284*((F180/1000)^0.77))*MAX(inputs!$I$14:$I$16))/F180))*(inputs!E$75*3.4/inputs!$E$73)</f>
        <v>0.28882840746871796</v>
      </c>
      <c r="T180" s="63">
        <f>IF((((inputs!$P$13/(V180/MAX(K180:S180)))^(1/inputs!$O$13))-1)/inputs!$N$13&lt;0, 0, IF((((inputs!$P$13/(V180/MAX(K180:S180)))^(1/inputs!$O$13))-1)/inputs!$N$13&lt;inputs!$I$17, (((inputs!$P$13/(V180/MAX(K180:S180)))^(1/inputs!$O$13))-1)/inputs!$N$13, inputs!$I$17))</f>
        <v>1000</v>
      </c>
      <c r="U180" s="63">
        <f>IF((((inputs!$P$13/(X180/MAX(K180:S180)))^(1/inputs!$O$13))-1)/inputs!$N$13&lt;0, 0, IF((((inputs!$P$13/(X180/MAX(K180:S180)))^(1/inputs!$O$13))-1)/inputs!$N$13&lt;inputs!$I$17, (((inputs!$P$13/(X180/MAX(K180:S180)))^(1/inputs!$O$13))-1)/inputs!$N$13, inputs!$I$17))</f>
        <v>28.562585607063046</v>
      </c>
      <c r="V180" s="21">
        <f>inputs!$E$78*(F180/inputs!$F$78)^(inputs!$E$84-1)</f>
        <v>2.2034638199583647E-2</v>
      </c>
      <c r="W180" s="21">
        <f>inputs!$E$85*(F180/inputs!$F$85)^(inputs!$E$84-1)</f>
        <v>1.017519000690843</v>
      </c>
      <c r="X180" s="21">
        <f>inputs!$E$80*(F180/inputs!$F$80)^(inputs!$E$84-1)</f>
        <v>3.7995962684025146</v>
      </c>
      <c r="Y180" s="21">
        <f>inputs!$E$82*(F180/inputs!$F$82)^(inputs!$E$84-1)</f>
        <v>1.751173877966911</v>
      </c>
      <c r="Z180" s="63">
        <f t="shared" si="13"/>
        <v>1642.7239634754394</v>
      </c>
      <c r="AA180" s="63">
        <f t="shared" si="14"/>
        <v>35.573614028231006</v>
      </c>
    </row>
    <row r="181" spans="1:27" ht="13.2" x14ac:dyDescent="0.25">
      <c r="A181" s="103" t="s">
        <v>335</v>
      </c>
      <c r="B181" s="20" t="s">
        <v>337</v>
      </c>
      <c r="C181" s="20" t="s">
        <v>73</v>
      </c>
      <c r="D181" s="104" t="s">
        <v>240</v>
      </c>
      <c r="E181" s="15">
        <v>121</v>
      </c>
      <c r="F181" s="15">
        <v>67</v>
      </c>
      <c r="G181" s="20" t="s">
        <v>154</v>
      </c>
      <c r="H181" s="20">
        <v>9.2999999999999999E-2</v>
      </c>
      <c r="I181" s="68">
        <f>MAX('Max rate concentrations'!$G$3:$G$368)</f>
        <v>45</v>
      </c>
      <c r="J181" s="68">
        <f>MAX('Max rate concentrations'!Z:Z)</f>
        <v>21</v>
      </c>
      <c r="K181" s="69">
        <f t="shared" si="11"/>
        <v>5.2417837052553811</v>
      </c>
      <c r="L181" s="69">
        <f t="shared" si="15"/>
        <v>2.4461657291191776</v>
      </c>
      <c r="M181" s="69">
        <f>IF((((1.18*F181^0.874)/3.7-(0.301*F181^0.751)/(1-H181)*H181)*(MAX('Max rate concentrations'!$P$3:$P$368)))/F181&gt;0, (((1.18*F181^0.874)/3.7-(0.301*F181^0.751)/(1-H181)*H181)*(MAX('Max rate concentrations'!$P$3:$P$368)))/F181, 0)</f>
        <v>0.15408052255389648</v>
      </c>
      <c r="N181" s="69">
        <f>IF((((1.18*F181^0.874)/3.7-(0.301*F181^0.751)/(1-H181)*H181)*(MAX('Max rate concentrations'!$Q$3:$Q$368)))/F181&gt;0, (((1.18*F181^0.874)/3.7-(0.301*F181^0.751)/(1-H181)*H181)*(MAX('Max rate concentrations'!$Q$3:$Q$368)))/F181, 0)</f>
        <v>0.58674690889135994</v>
      </c>
      <c r="O181" s="69">
        <f>((MAX('Max rate concentrations'!$F$3:$F$368))*0.62*6.01*8*(10*F181^0.667)*0.079*0.1/F181)*inputs!$E$80/(10^(0.84+0.62*LOG10(inputs!$E$80)))</f>
        <v>36.196828196967367</v>
      </c>
      <c r="P181" s="69">
        <f>((MAX('Max rate concentrations'!Y:Y))*0.62*6.01*8*(10*F181^0.667)*0.079*0.1/F181)*inputs!$E$80/(10^(0.84+0.62*LOG10(inputs!$E$80)))</f>
        <v>12.065609398989123</v>
      </c>
      <c r="Q181" s="69">
        <f>(inputs!$C$18*11.2*(10*F181^0.667)*0.5/F181)*inputs!$E$80/(10^(0.84+0.62*LOG10(inputs!$E$80)))</f>
        <v>6.37590056172911</v>
      </c>
      <c r="R181" s="59">
        <f>(60*284*((F181/1000)^0.77)*3*24*(MAX('Max rate concentrations'!$R$3:$R$368))/F181)*(inputs!$E$73*3.4/inputs!$E$75)</f>
        <v>5.2370841322352618E-2</v>
      </c>
      <c r="S181" s="59">
        <f>(IF(inputs!$C$17="aerial",((0.025*0.112*inputs!$C$18/3.3)*(3*60*284*((F181/1000)^0.77))*MAX(inputs!$I$14:$I$16))/F181,((0.0083*0.112*inputs!$C$18/1)*(3*60*284*((F181/1000)^0.77))*MAX(inputs!$I$14:$I$16))/F181))*(inputs!E$75*3.4/inputs!$E$73)</f>
        <v>0.28882840746871796</v>
      </c>
      <c r="T181" s="63">
        <f>IF((((inputs!$P$13/(V181/MAX(K181:S181)))^(1/inputs!$O$13))-1)/inputs!$N$13&lt;0, 0, IF((((inputs!$P$13/(V181/MAX(K181:S181)))^(1/inputs!$O$13))-1)/inputs!$N$13&lt;inputs!$I$17, (((inputs!$P$13/(V181/MAX(K181:S181)))^(1/inputs!$O$13))-1)/inputs!$N$13, inputs!$I$17))</f>
        <v>1000</v>
      </c>
      <c r="U181" s="63">
        <f>IF((((inputs!$P$13/(X181/MAX(K181:S181)))^(1/inputs!$O$13))-1)/inputs!$N$13&lt;0, 0, IF((((inputs!$P$13/(X181/MAX(K181:S181)))^(1/inputs!$O$13))-1)/inputs!$N$13&lt;inputs!$I$17, (((inputs!$P$13/(X181/MAX(K181:S181)))^(1/inputs!$O$13))-1)/inputs!$N$13, inputs!$I$17))</f>
        <v>28.562585607063046</v>
      </c>
      <c r="V181" s="21">
        <f>inputs!$E$78*(F181/inputs!$F$78)^(inputs!$E$84-1)</f>
        <v>2.2034638199583647E-2</v>
      </c>
      <c r="W181" s="21">
        <f>inputs!$E$85*(F181/inputs!$F$85)^(inputs!$E$84-1)</f>
        <v>1.017519000690843</v>
      </c>
      <c r="X181" s="21">
        <f>inputs!$E$80*(F181/inputs!$F$80)^(inputs!$E$84-1)</f>
        <v>3.7995962684025146</v>
      </c>
      <c r="Y181" s="21">
        <f>inputs!$E$82*(F181/inputs!$F$82)^(inputs!$E$84-1)</f>
        <v>1.751173877966911</v>
      </c>
      <c r="Z181" s="63">
        <f t="shared" si="13"/>
        <v>1642.7239634754394</v>
      </c>
      <c r="AA181" s="63">
        <f t="shared" si="14"/>
        <v>35.573614028231006</v>
      </c>
    </row>
    <row r="182" spans="1:27" ht="13.2" x14ac:dyDescent="0.25">
      <c r="A182" s="103" t="s">
        <v>335</v>
      </c>
      <c r="B182" s="20" t="s">
        <v>337</v>
      </c>
      <c r="C182" s="20" t="s">
        <v>73</v>
      </c>
      <c r="D182" s="104" t="s">
        <v>240</v>
      </c>
      <c r="E182" s="15">
        <v>121</v>
      </c>
      <c r="F182" s="15">
        <v>67</v>
      </c>
      <c r="G182" s="20" t="s">
        <v>146</v>
      </c>
      <c r="H182" s="20">
        <v>0.84</v>
      </c>
      <c r="I182" s="68">
        <f>MAX('Max rate concentrations'!$I$3:$I$368)</f>
        <v>56.865414300472793</v>
      </c>
      <c r="J182" s="68" t="s">
        <v>13</v>
      </c>
      <c r="K182" s="69">
        <f t="shared" si="11"/>
        <v>37.54932156667261</v>
      </c>
      <c r="L182" s="69" t="s">
        <v>13</v>
      </c>
      <c r="M182" s="69">
        <f>IF((((1.18*F182^0.874)/3.7-(0.301*F182^0.751)/(1-H182)*H182)*(MAX('Max rate concentrations'!$P$3:$P$368)))/F182&gt;0, (((1.18*F182^0.874)/3.7-(0.301*F182^0.751)/(1-H182)*H182)*(MAX('Max rate concentrations'!$P$3:$P$368)))/F182, 0)</f>
        <v>0</v>
      </c>
      <c r="N182" s="69">
        <f>IF((((1.18*F182^0.874)/3.7-(0.301*F182^0.751)/(1-H182)*H182)*(MAX('Max rate concentrations'!$Q$3:$Q$368)))/F182&gt;0, (((1.18*F182^0.874)/3.7-(0.301*F182^0.751)/(1-H182)*H182)*(MAX('Max rate concentrations'!$Q$3:$Q$368)))/F182, 0)</f>
        <v>0</v>
      </c>
      <c r="O182" s="69">
        <f>((MAX('Max rate concentrations'!$F$3:$F$368))*0.62*6.01*8*(10*F182^0.667)*0.079*0.1/F182)*inputs!$E$80/(10^(0.84+0.62*LOG10(inputs!$E$80)))</f>
        <v>36.196828196967367</v>
      </c>
      <c r="P182" s="69">
        <f>((MAX('Max rate concentrations'!Y:Y))*0.62*6.01*8*(10*F182^0.667)*0.079*0.1/F182)*inputs!$E$80/(10^(0.84+0.62*LOG10(inputs!$E$80)))</f>
        <v>12.065609398989123</v>
      </c>
      <c r="Q182" s="69">
        <f>(inputs!$C$18*11.2*(10*F182^0.667)*0.5/F182)*inputs!$E$80/(10^(0.84+0.62*LOG10(inputs!$E$80)))</f>
        <v>6.37590056172911</v>
      </c>
      <c r="R182" s="59">
        <f>(60*284*((F182/1000)^0.77)*3*24*(MAX('Max rate concentrations'!$R$3:$R$368))/F182)*(inputs!$E$73*3.4/inputs!$E$75)</f>
        <v>5.2370841322352618E-2</v>
      </c>
      <c r="S182" s="59">
        <f>(IF(inputs!$C$17="aerial",((0.025*0.112*inputs!$C$18/3.3)*(3*60*284*((F182/1000)^0.77))*MAX(inputs!$I$14:$I$16))/F182,((0.0083*0.112*inputs!$C$18/1)*(3*60*284*((F182/1000)^0.77))*MAX(inputs!$I$14:$I$16))/F182))*(inputs!E$75*3.4/inputs!$E$73)</f>
        <v>0.28882840746871796</v>
      </c>
      <c r="T182" s="63">
        <f>IF((((inputs!$P$13/(V182/MAX(K182:S182)))^(1/inputs!$O$13))-1)/inputs!$N$13&lt;0, 0, IF((((inputs!$P$13/(V182/MAX(K182:S182)))^(1/inputs!$O$13))-1)/inputs!$N$13&lt;inputs!$I$17, (((inputs!$P$13/(V182/MAX(K182:S182)))^(1/inputs!$O$13))-1)/inputs!$N$13, inputs!$I$17))</f>
        <v>1000</v>
      </c>
      <c r="U182" s="63">
        <f>IF((((inputs!$P$13/(X182/MAX(K182:S182)))^(1/inputs!$O$13))-1)/inputs!$N$13&lt;0, 0, IF((((inputs!$P$13/(X182/MAX(K182:S182)))^(1/inputs!$O$13))-1)/inputs!$N$13&lt;inputs!$I$17, (((inputs!$P$13/(X182/MAX(K182:S182)))^(1/inputs!$O$13))-1)/inputs!$N$13, inputs!$I$17))</f>
        <v>29.57998331384476</v>
      </c>
      <c r="V182" s="21">
        <f>inputs!$E$78*(F182/inputs!$F$78)^(inputs!$E$84-1)</f>
        <v>2.2034638199583647E-2</v>
      </c>
      <c r="W182" s="21">
        <f>inputs!$E$85*(F182/inputs!$F$85)^(inputs!$E$84-1)</f>
        <v>1.017519000690843</v>
      </c>
      <c r="X182" s="21">
        <f>inputs!$E$80*(F182/inputs!$F$80)^(inputs!$E$84-1)</f>
        <v>3.7995962684025146</v>
      </c>
      <c r="Y182" s="21">
        <f>inputs!$E$82*(F182/inputs!$F$82)^(inputs!$E$84-1)</f>
        <v>1.751173877966911</v>
      </c>
      <c r="Z182" s="63">
        <f t="shared" si="13"/>
        <v>1704.1042937288673</v>
      </c>
      <c r="AA182" s="63">
        <f t="shared" si="14"/>
        <v>36.902821019733835</v>
      </c>
    </row>
    <row r="183" spans="1:27" ht="13.2" x14ac:dyDescent="0.25">
      <c r="A183" s="103" t="s">
        <v>335</v>
      </c>
      <c r="B183" s="20" t="s">
        <v>336</v>
      </c>
      <c r="C183" s="20" t="s">
        <v>73</v>
      </c>
      <c r="D183" s="104" t="s">
        <v>240</v>
      </c>
      <c r="E183" s="15">
        <v>4889</v>
      </c>
      <c r="F183" s="15">
        <v>67</v>
      </c>
      <c r="G183" s="20" t="s">
        <v>218</v>
      </c>
      <c r="H183" s="20">
        <v>0.68</v>
      </c>
      <c r="I183" s="68">
        <f>MAX('Max rate concentrations'!$K$3:$K$368)</f>
        <v>110.00035859694511</v>
      </c>
      <c r="J183" s="68">
        <f>MAX('Max rate concentrations'!AC:AC)</f>
        <v>38.958460336418057</v>
      </c>
      <c r="K183" s="69">
        <f t="shared" si="11"/>
        <v>36.317671190972504</v>
      </c>
      <c r="L183" s="69">
        <f>((0.301*F183^0.751)/(1-H183))*J183/F183</f>
        <v>12.862508546802761</v>
      </c>
      <c r="M183" s="69">
        <f>IF((((1.18*F183^0.874)/3.7-(0.301*F183^0.751)/(1-H183)*H183)*(MAX('Max rate concentrations'!$P$3:$P$368)))/F183&gt;0, (((1.18*F183^0.874)/3.7-(0.301*F183^0.751)/(1-H183)*H183)*(MAX('Max rate concentrations'!$P$3:$P$368)))/F183, 0)</f>
        <v>0</v>
      </c>
      <c r="N183" s="69">
        <f>IF((((1.18*F183^0.874)/3.7-(0.301*F183^0.751)/(1-H183)*H183)*(MAX('Max rate concentrations'!$Q$3:$Q$368)))/F183&gt;0, (((1.18*F183^0.874)/3.7-(0.301*F183^0.751)/(1-H183)*H183)*(MAX('Max rate concentrations'!$Q$3:$Q$368)))/F183, 0)</f>
        <v>0</v>
      </c>
      <c r="O183" s="69">
        <f>((MAX('Max rate concentrations'!$F$3:$F$368))*0.62*6.01*8*(10*F183^0.667)*0.079*0.1/F183)*inputs!$E$80/(10^(0.84+0.62*LOG10(inputs!$E$80)))</f>
        <v>36.196828196967367</v>
      </c>
      <c r="P183" s="69">
        <f>((MAX('Max rate concentrations'!Y:Y))*0.62*6.01*8*(10*F183^0.667)*0.079*0.1/F183)*inputs!$E$80/(10^(0.84+0.62*LOG10(inputs!$E$80)))</f>
        <v>12.065609398989123</v>
      </c>
      <c r="Q183" s="69">
        <f>(inputs!$C$18*11.2*(10*F183^0.667)*0.5/F183)*inputs!$E$80/(10^(0.84+0.62*LOG10(inputs!$E$80)))</f>
        <v>6.37590056172911</v>
      </c>
      <c r="R183" s="59">
        <f>(60*284*((F183/1000)^0.77)*3*24*(MAX('Max rate concentrations'!$R$3:$R$368))/F183)*(inputs!$E$73*3.4/inputs!$E$75)</f>
        <v>5.2370841322352618E-2</v>
      </c>
      <c r="S183" s="59">
        <f>(IF(inputs!$C$17="aerial",((0.025*0.112*inputs!$C$18/3.3)*(3*60*284*((F183/1000)^0.77))*MAX(inputs!$I$14:$I$16))/F183,((0.0083*0.112*inputs!$C$18/1)*(3*60*284*((F183/1000)^0.77))*MAX(inputs!$I$14:$I$16))/F183))*(inputs!E$75*3.4/inputs!$E$73)</f>
        <v>0.28882840746871796</v>
      </c>
      <c r="T183" s="63">
        <f>IF((((inputs!$P$13/(V183/MAX(K183:S183)))^(1/inputs!$O$13))-1)/inputs!$N$13&lt;0, 0, IF((((inputs!$P$13/(V183/MAX(K183:S183)))^(1/inputs!$O$13))-1)/inputs!$N$13&lt;inputs!$I$17, (((inputs!$P$13/(V183/MAX(K183:S183)))^(1/inputs!$O$13))-1)/inputs!$N$13, inputs!$I$17))</f>
        <v>1000</v>
      </c>
      <c r="U183" s="63">
        <f>IF((((inputs!$P$13/(X183/MAX(K183:S183)))^(1/inputs!$O$13))-1)/inputs!$N$13&lt;0, 0, IF((((inputs!$P$13/(X183/MAX(K183:S183)))^(1/inputs!$O$13))-1)/inputs!$N$13&lt;inputs!$I$17, (((inputs!$P$13/(X183/MAX(K183:S183)))^(1/inputs!$O$13))-1)/inputs!$N$13, inputs!$I$17))</f>
        <v>28.653780616581962</v>
      </c>
      <c r="V183" s="21">
        <f>inputs!$E$78*(F183/inputs!$F$78)^(inputs!$E$84-1)</f>
        <v>2.2034638199583647E-2</v>
      </c>
      <c r="W183" s="21">
        <f>inputs!$E$85*(F183/inputs!$F$85)^(inputs!$E$84-1)</f>
        <v>1.017519000690843</v>
      </c>
      <c r="X183" s="21">
        <f>inputs!$E$80*(F183/inputs!$F$80)^(inputs!$E$84-1)</f>
        <v>3.7995962684025146</v>
      </c>
      <c r="Y183" s="21">
        <f>inputs!$E$82*(F183/inputs!$F$82)^(inputs!$E$84-1)</f>
        <v>1.751173877966911</v>
      </c>
      <c r="Z183" s="63">
        <f t="shared" si="13"/>
        <v>1648.2081921208373</v>
      </c>
      <c r="AA183" s="63">
        <f t="shared" si="14"/>
        <v>35.692376423747049</v>
      </c>
    </row>
    <row r="184" spans="1:27" ht="13.2" x14ac:dyDescent="0.25">
      <c r="A184" s="103" t="s">
        <v>335</v>
      </c>
      <c r="B184" s="20" t="s">
        <v>336</v>
      </c>
      <c r="C184" s="20" t="s">
        <v>73</v>
      </c>
      <c r="D184" s="104" t="s">
        <v>240</v>
      </c>
      <c r="E184" s="15">
        <v>4889</v>
      </c>
      <c r="F184" s="15">
        <v>67</v>
      </c>
      <c r="G184" s="20" t="s">
        <v>177</v>
      </c>
      <c r="H184" s="20">
        <v>0.85</v>
      </c>
      <c r="I184" s="68">
        <f>MAX('Max rate concentrations'!$F$3:$F$368)</f>
        <v>405</v>
      </c>
      <c r="J184" s="68">
        <f>MAX('Max rate concentrations'!Y:Y)</f>
        <v>135</v>
      </c>
      <c r="K184" s="69">
        <f t="shared" si="11"/>
        <v>285.25786923999777</v>
      </c>
      <c r="L184" s="69">
        <f>((0.301*F184^0.751)/(1-H184))*J184/F184</f>
        <v>95.085956413332596</v>
      </c>
      <c r="M184" s="69">
        <f>IF((((1.18*F184^0.874)/3.7-(0.301*F184^0.751)/(1-H184)*H184)*(MAX('Max rate concentrations'!$P$3:$P$368)))/F184&gt;0, (((1.18*F184^0.874)/3.7-(0.301*F184^0.751)/(1-H184)*H184)*(MAX('Max rate concentrations'!$P$3:$P$368)))/F184, 0)</f>
        <v>0</v>
      </c>
      <c r="N184" s="69">
        <f>IF((((1.18*F184^0.874)/3.7-(0.301*F184^0.751)/(1-H184)*H184)*(MAX('Max rate concentrations'!$Q$3:$Q$368)))/F184&gt;0, (((1.18*F184^0.874)/3.7-(0.301*F184^0.751)/(1-H184)*H184)*(MAX('Max rate concentrations'!$Q$3:$Q$368)))/F184, 0)</f>
        <v>0</v>
      </c>
      <c r="O184" s="69">
        <f>((MAX('Max rate concentrations'!$F$3:$F$368))*0.62*6.01*8*(10*F184^0.667)*0.079*0.1/F184)*inputs!$E$80/(10^(0.84+0.62*LOG10(inputs!$E$80)))</f>
        <v>36.196828196967367</v>
      </c>
      <c r="P184" s="69">
        <f>((MAX('Max rate concentrations'!Y:Y))*0.62*6.01*8*(10*F184^0.667)*0.079*0.1/F184)*inputs!$E$80/(10^(0.84+0.62*LOG10(inputs!$E$80)))</f>
        <v>12.065609398989123</v>
      </c>
      <c r="Q184" s="69">
        <f>(inputs!$C$18*11.2*(10*F184^0.667)*0.5/F184)*inputs!$E$80/(10^(0.84+0.62*LOG10(inputs!$E$80)))</f>
        <v>6.37590056172911</v>
      </c>
      <c r="R184" s="59">
        <f>(60*284*((F184/1000)^0.77)*3*24*(MAX('Max rate concentrations'!$R$3:$R$368))/F184)*(inputs!$E$73*3.4/inputs!$E$75)</f>
        <v>5.2370841322352618E-2</v>
      </c>
      <c r="S184" s="59">
        <f>(IF(inputs!$C$17="aerial",((0.025*0.112*inputs!$C$18/3.3)*(3*60*284*((F184/1000)^0.77))*MAX(inputs!$I$14:$I$16))/F184,((0.0083*0.112*inputs!$C$18/1)*(3*60*284*((F184/1000)^0.77))*MAX(inputs!$I$14:$I$16))/F184))*(inputs!E$75*3.4/inputs!$E$73)</f>
        <v>0.28882840746871796</v>
      </c>
      <c r="T184" s="63">
        <f>IF((((inputs!$P$13/(V184/MAX(K184:S184)))^(1/inputs!$O$13))-1)/inputs!$N$13&lt;0, 0, IF((((inputs!$P$13/(V184/MAX(K184:S184)))^(1/inputs!$O$13))-1)/inputs!$N$13&lt;inputs!$I$17, (((inputs!$P$13/(V184/MAX(K184:S184)))^(1/inputs!$O$13))-1)/inputs!$N$13, inputs!$I$17))</f>
        <v>1000</v>
      </c>
      <c r="U184" s="63">
        <f>IF((((inputs!$P$13/(X184/MAX(K184:S184)))^(1/inputs!$O$13))-1)/inputs!$N$13&lt;0, 0, IF((((inputs!$P$13/(X184/MAX(K184:S184)))^(1/inputs!$O$13))-1)/inputs!$N$13&lt;inputs!$I$17, (((inputs!$P$13/(X184/MAX(K184:S184)))^(1/inputs!$O$13))-1)/inputs!$N$13, inputs!$I$17))</f>
        <v>174.16906902965798</v>
      </c>
      <c r="V184" s="21">
        <f>inputs!$E$78*(F184/inputs!$F$78)^(inputs!$E$84-1)</f>
        <v>2.2034638199583647E-2</v>
      </c>
      <c r="W184" s="21">
        <f>inputs!$E$85*(F184/inputs!$F$85)^(inputs!$E$84-1)</f>
        <v>1.017519000690843</v>
      </c>
      <c r="X184" s="21">
        <f>inputs!$E$80*(F184/inputs!$F$80)^(inputs!$E$84-1)</f>
        <v>3.7995962684025146</v>
      </c>
      <c r="Y184" s="21">
        <f>inputs!$E$82*(F184/inputs!$F$82)^(inputs!$E$84-1)</f>
        <v>1.751173877966911</v>
      </c>
      <c r="Z184" s="63">
        <f t="shared" si="13"/>
        <v>12945.883960345118</v>
      </c>
      <c r="AA184" s="63">
        <f t="shared" si="14"/>
        <v>280.34647907933157</v>
      </c>
    </row>
    <row r="185" spans="1:27" ht="13.2" x14ac:dyDescent="0.25">
      <c r="A185" s="103" t="s">
        <v>335</v>
      </c>
      <c r="B185" s="20" t="s">
        <v>336</v>
      </c>
      <c r="C185" s="20" t="s">
        <v>73</v>
      </c>
      <c r="D185" s="104" t="s">
        <v>240</v>
      </c>
      <c r="E185" s="15">
        <v>4889</v>
      </c>
      <c r="F185" s="15">
        <v>67</v>
      </c>
      <c r="G185" s="20" t="s">
        <v>145</v>
      </c>
      <c r="H185" s="20">
        <v>0.66</v>
      </c>
      <c r="I185" s="68">
        <f>MAX('Max rate concentrations'!$M$3:$M$368)</f>
        <v>17.092910873809167</v>
      </c>
      <c r="J185" s="68">
        <f>MAX('Max rate concentrations'!AE:AE)</f>
        <v>11.81956602976166</v>
      </c>
      <c r="K185" s="69">
        <f t="shared" si="11"/>
        <v>5.3114241121699273</v>
      </c>
      <c r="L185" s="69">
        <f>((0.301*F185^0.751)/(1-H185))*J185/F185</f>
        <v>3.6727932690536735</v>
      </c>
      <c r="M185" s="69">
        <f>IF((((1.18*F185^0.874)/3.7-(0.301*F185^0.751)/(1-H185)*H185)*(MAX('Max rate concentrations'!$P$3:$P$368)))/F185&gt;0, (((1.18*F185^0.874)/3.7-(0.301*F185^0.751)/(1-H185)*H185)*(MAX('Max rate concentrations'!$P$3:$P$368)))/F185, 0)</f>
        <v>0</v>
      </c>
      <c r="N185" s="69">
        <f>IF((((1.18*F185^0.874)/3.7-(0.301*F185^0.751)/(1-H185)*H185)*(MAX('Max rate concentrations'!$Q$3:$Q$368)))/F185&gt;0, (((1.18*F185^0.874)/3.7-(0.301*F185^0.751)/(1-H185)*H185)*(MAX('Max rate concentrations'!$Q$3:$Q$368)))/F185, 0)</f>
        <v>0</v>
      </c>
      <c r="O185" s="69">
        <f>((MAX('Max rate concentrations'!$F$3:$F$368))*0.62*6.01*8*(10*F185^0.667)*0.079*0.1/F185)*inputs!$E$80/(10^(0.84+0.62*LOG10(inputs!$E$80)))</f>
        <v>36.196828196967367</v>
      </c>
      <c r="P185" s="69">
        <f>((MAX('Max rate concentrations'!Y:Y))*0.62*6.01*8*(10*F185^0.667)*0.079*0.1/F185)*inputs!$E$80/(10^(0.84+0.62*LOG10(inputs!$E$80)))</f>
        <v>12.065609398989123</v>
      </c>
      <c r="Q185" s="69">
        <f>(inputs!$C$18*11.2*(10*F185^0.667)*0.5/F185)*inputs!$E$80/(10^(0.84+0.62*LOG10(inputs!$E$80)))</f>
        <v>6.37590056172911</v>
      </c>
      <c r="R185" s="59">
        <f>(60*284*((F185/1000)^0.77)*3*24*(MAX('Max rate concentrations'!$R$3:$R$368))/F185)*(inputs!$E$73*3.4/inputs!$E$75)</f>
        <v>5.2370841322352618E-2</v>
      </c>
      <c r="S185" s="59">
        <f>(IF(inputs!$C$17="aerial",((0.025*0.112*inputs!$C$18/3.3)*(3*60*284*((F185/1000)^0.77))*MAX(inputs!$I$14:$I$16))/F185,((0.0083*0.112*inputs!$C$18/1)*(3*60*284*((F185/1000)^0.77))*MAX(inputs!$I$14:$I$16))/F185))*(inputs!E$75*3.4/inputs!$E$73)</f>
        <v>0.28882840746871796</v>
      </c>
      <c r="T185" s="63">
        <f>IF((((inputs!$P$13/(V185/MAX(K185:S185)))^(1/inputs!$O$13))-1)/inputs!$N$13&lt;0, 0, IF((((inputs!$P$13/(V185/MAX(K185:S185)))^(1/inputs!$O$13))-1)/inputs!$N$13&lt;inputs!$I$17, (((inputs!$P$13/(V185/MAX(K185:S185)))^(1/inputs!$O$13))-1)/inputs!$N$13, inputs!$I$17))</f>
        <v>1000</v>
      </c>
      <c r="U185" s="63">
        <f>IF((((inputs!$P$13/(X185/MAX(K185:S185)))^(1/inputs!$O$13))-1)/inputs!$N$13&lt;0, 0, IF((((inputs!$P$13/(X185/MAX(K185:S185)))^(1/inputs!$O$13))-1)/inputs!$N$13&lt;inputs!$I$17, (((inputs!$P$13/(X185/MAX(K185:S185)))^(1/inputs!$O$13))-1)/inputs!$N$13, inputs!$I$17))</f>
        <v>28.562585607063046</v>
      </c>
      <c r="V185" s="21">
        <f>inputs!$E$78*(F185/inputs!$F$78)^(inputs!$E$84-1)</f>
        <v>2.2034638199583647E-2</v>
      </c>
      <c r="W185" s="21">
        <f>inputs!$E$85*(F185/inputs!$F$85)^(inputs!$E$84-1)</f>
        <v>1.017519000690843</v>
      </c>
      <c r="X185" s="21">
        <f>inputs!$E$80*(F185/inputs!$F$80)^(inputs!$E$84-1)</f>
        <v>3.7995962684025146</v>
      </c>
      <c r="Y185" s="21">
        <f>inputs!$E$82*(F185/inputs!$F$82)^(inputs!$E$84-1)</f>
        <v>1.751173877966911</v>
      </c>
      <c r="Z185" s="63">
        <f t="shared" si="13"/>
        <v>1642.7239634754394</v>
      </c>
      <c r="AA185" s="63">
        <f t="shared" si="14"/>
        <v>35.573614028231006</v>
      </c>
    </row>
    <row r="186" spans="1:27" ht="13.2" x14ac:dyDescent="0.25">
      <c r="A186" s="103" t="s">
        <v>335</v>
      </c>
      <c r="B186" s="20" t="s">
        <v>336</v>
      </c>
      <c r="C186" s="20" t="s">
        <v>73</v>
      </c>
      <c r="D186" s="104" t="s">
        <v>240</v>
      </c>
      <c r="E186" s="15">
        <v>4889</v>
      </c>
      <c r="F186" s="15">
        <v>67</v>
      </c>
      <c r="G186" s="20" t="s">
        <v>154</v>
      </c>
      <c r="H186" s="20">
        <v>9.2999999999999999E-2</v>
      </c>
      <c r="I186" s="68">
        <f>MAX('Max rate concentrations'!$G$3:$G$368)</f>
        <v>45</v>
      </c>
      <c r="J186" s="68">
        <f>MAX('Max rate concentrations'!Z:Z)</f>
        <v>21</v>
      </c>
      <c r="K186" s="69">
        <f t="shared" si="11"/>
        <v>5.2417837052553811</v>
      </c>
      <c r="L186" s="69">
        <f>((0.301*F186^0.751)/(1-H186))*J186/F186</f>
        <v>2.4461657291191776</v>
      </c>
      <c r="M186" s="69">
        <f>IF((((1.18*F186^0.874)/3.7-(0.301*F186^0.751)/(1-H186)*H186)*(MAX('Max rate concentrations'!$P$3:$P$368)))/F186&gt;0, (((1.18*F186^0.874)/3.7-(0.301*F186^0.751)/(1-H186)*H186)*(MAX('Max rate concentrations'!$P$3:$P$368)))/F186, 0)</f>
        <v>0.15408052255389648</v>
      </c>
      <c r="N186" s="69">
        <f>IF((((1.18*F186^0.874)/3.7-(0.301*F186^0.751)/(1-H186)*H186)*(MAX('Max rate concentrations'!$Q$3:$Q$368)))/F186&gt;0, (((1.18*F186^0.874)/3.7-(0.301*F186^0.751)/(1-H186)*H186)*(MAX('Max rate concentrations'!$Q$3:$Q$368)))/F186, 0)</f>
        <v>0.58674690889135994</v>
      </c>
      <c r="O186" s="69">
        <f>((MAX('Max rate concentrations'!$F$3:$F$368))*0.62*6.01*8*(10*F186^0.667)*0.079*0.1/F186)*inputs!$E$80/(10^(0.84+0.62*LOG10(inputs!$E$80)))</f>
        <v>36.196828196967367</v>
      </c>
      <c r="P186" s="69">
        <f>((MAX('Max rate concentrations'!Y:Y))*0.62*6.01*8*(10*F186^0.667)*0.079*0.1/F186)*inputs!$E$80/(10^(0.84+0.62*LOG10(inputs!$E$80)))</f>
        <v>12.065609398989123</v>
      </c>
      <c r="Q186" s="69">
        <f>(inputs!$C$18*11.2*(10*F186^0.667)*0.5/F186)*inputs!$E$80/(10^(0.84+0.62*LOG10(inputs!$E$80)))</f>
        <v>6.37590056172911</v>
      </c>
      <c r="R186" s="59">
        <f>(60*284*((F186/1000)^0.77)*3*24*(MAX('Max rate concentrations'!$R$3:$R$368))/F186)*(inputs!$E$73*3.4/inputs!$E$75)</f>
        <v>5.2370841322352618E-2</v>
      </c>
      <c r="S186" s="59">
        <f>(IF(inputs!$C$17="aerial",((0.025*0.112*inputs!$C$18/3.3)*(3*60*284*((F186/1000)^0.77))*MAX(inputs!$I$14:$I$16))/F186,((0.0083*0.112*inputs!$C$18/1)*(3*60*284*((F186/1000)^0.77))*MAX(inputs!$I$14:$I$16))/F186))*(inputs!E$75*3.4/inputs!$E$73)</f>
        <v>0.28882840746871796</v>
      </c>
      <c r="T186" s="63">
        <f>IF((((inputs!$P$13/(V186/MAX(K186:S186)))^(1/inputs!$O$13))-1)/inputs!$N$13&lt;0, 0, IF((((inputs!$P$13/(V186/MAX(K186:S186)))^(1/inputs!$O$13))-1)/inputs!$N$13&lt;inputs!$I$17, (((inputs!$P$13/(V186/MAX(K186:S186)))^(1/inputs!$O$13))-1)/inputs!$N$13, inputs!$I$17))</f>
        <v>1000</v>
      </c>
      <c r="U186" s="63">
        <f>IF((((inputs!$P$13/(X186/MAX(K186:S186)))^(1/inputs!$O$13))-1)/inputs!$N$13&lt;0, 0, IF((((inputs!$P$13/(X186/MAX(K186:S186)))^(1/inputs!$O$13))-1)/inputs!$N$13&lt;inputs!$I$17, (((inputs!$P$13/(X186/MAX(K186:S186)))^(1/inputs!$O$13))-1)/inputs!$N$13, inputs!$I$17))</f>
        <v>28.562585607063046</v>
      </c>
      <c r="V186" s="21">
        <f>inputs!$E$78*(F186/inputs!$F$78)^(inputs!$E$84-1)</f>
        <v>2.2034638199583647E-2</v>
      </c>
      <c r="W186" s="21">
        <f>inputs!$E$85*(F186/inputs!$F$85)^(inputs!$E$84-1)</f>
        <v>1.017519000690843</v>
      </c>
      <c r="X186" s="21">
        <f>inputs!$E$80*(F186/inputs!$F$80)^(inputs!$E$84-1)</f>
        <v>3.7995962684025146</v>
      </c>
      <c r="Y186" s="21">
        <f>inputs!$E$82*(F186/inputs!$F$82)^(inputs!$E$84-1)</f>
        <v>1.751173877966911</v>
      </c>
      <c r="Z186" s="63">
        <f t="shared" si="13"/>
        <v>1642.7239634754394</v>
      </c>
      <c r="AA186" s="63">
        <f t="shared" si="14"/>
        <v>35.573614028231006</v>
      </c>
    </row>
    <row r="187" spans="1:27" ht="13.2" x14ac:dyDescent="0.25">
      <c r="A187" s="103" t="s">
        <v>335</v>
      </c>
      <c r="B187" s="20" t="s">
        <v>336</v>
      </c>
      <c r="C187" s="20" t="s">
        <v>73</v>
      </c>
      <c r="D187" s="104" t="s">
        <v>240</v>
      </c>
      <c r="E187" s="15">
        <v>4889</v>
      </c>
      <c r="F187" s="15">
        <v>67</v>
      </c>
      <c r="G187" s="20" t="s">
        <v>146</v>
      </c>
      <c r="H187" s="20">
        <v>0.84</v>
      </c>
      <c r="I187" s="68">
        <f>MAX('Max rate concentrations'!$I$3:$I$368)</f>
        <v>56.865414300472793</v>
      </c>
      <c r="J187" s="68" t="s">
        <v>13</v>
      </c>
      <c r="K187" s="69">
        <f t="shared" si="11"/>
        <v>37.54932156667261</v>
      </c>
      <c r="L187" s="69" t="s">
        <v>13</v>
      </c>
      <c r="M187" s="69">
        <f>IF((((1.18*F187^0.874)/3.7-(0.301*F187^0.751)/(1-H187)*H187)*(MAX('Max rate concentrations'!$P$3:$P$368)))/F187&gt;0, (((1.18*F187^0.874)/3.7-(0.301*F187^0.751)/(1-H187)*H187)*(MAX('Max rate concentrations'!$P$3:$P$368)))/F187, 0)</f>
        <v>0</v>
      </c>
      <c r="N187" s="69">
        <f>IF((((1.18*F187^0.874)/3.7-(0.301*F187^0.751)/(1-H187)*H187)*(MAX('Max rate concentrations'!$Q$3:$Q$368)))/F187&gt;0, (((1.18*F187^0.874)/3.7-(0.301*F187^0.751)/(1-H187)*H187)*(MAX('Max rate concentrations'!$Q$3:$Q$368)))/F187, 0)</f>
        <v>0</v>
      </c>
      <c r="O187" s="69">
        <f>((MAX('Max rate concentrations'!$F$3:$F$368))*0.62*6.01*8*(10*F187^0.667)*0.079*0.1/F187)*inputs!$E$80/(10^(0.84+0.62*LOG10(inputs!$E$80)))</f>
        <v>36.196828196967367</v>
      </c>
      <c r="P187" s="69">
        <f>((MAX('Max rate concentrations'!Y:Y))*0.62*6.01*8*(10*F187^0.667)*0.079*0.1/F187)*inputs!$E$80/(10^(0.84+0.62*LOG10(inputs!$E$80)))</f>
        <v>12.065609398989123</v>
      </c>
      <c r="Q187" s="69">
        <f>(inputs!$C$18*11.2*(10*F187^0.667)*0.5/F187)*inputs!$E$80/(10^(0.84+0.62*LOG10(inputs!$E$80)))</f>
        <v>6.37590056172911</v>
      </c>
      <c r="R187" s="59">
        <f>(60*284*((F187/1000)^0.77)*3*24*(MAX('Max rate concentrations'!$R$3:$R$368))/F187)*(inputs!$E$73*3.4/inputs!$E$75)</f>
        <v>5.2370841322352618E-2</v>
      </c>
      <c r="S187" s="59">
        <f>(IF(inputs!$C$17="aerial",((0.025*0.112*inputs!$C$18/3.3)*(3*60*284*((F187/1000)^0.77))*MAX(inputs!$I$14:$I$16))/F187,((0.0083*0.112*inputs!$C$18/1)*(3*60*284*((F187/1000)^0.77))*MAX(inputs!$I$14:$I$16))/F187))*(inputs!E$75*3.4/inputs!$E$73)</f>
        <v>0.28882840746871796</v>
      </c>
      <c r="T187" s="63">
        <f>IF((((inputs!$P$13/(V187/MAX(K187:S187)))^(1/inputs!$O$13))-1)/inputs!$N$13&lt;0, 0, IF((((inputs!$P$13/(V187/MAX(K187:S187)))^(1/inputs!$O$13))-1)/inputs!$N$13&lt;inputs!$I$17, (((inputs!$P$13/(V187/MAX(K187:S187)))^(1/inputs!$O$13))-1)/inputs!$N$13, inputs!$I$17))</f>
        <v>1000</v>
      </c>
      <c r="U187" s="63">
        <f>IF((((inputs!$P$13/(X187/MAX(K187:S187)))^(1/inputs!$O$13))-1)/inputs!$N$13&lt;0, 0, IF((((inputs!$P$13/(X187/MAX(K187:S187)))^(1/inputs!$O$13))-1)/inputs!$N$13&lt;inputs!$I$17, (((inputs!$P$13/(X187/MAX(K187:S187)))^(1/inputs!$O$13))-1)/inputs!$N$13, inputs!$I$17))</f>
        <v>29.57998331384476</v>
      </c>
      <c r="V187" s="21">
        <f>inputs!$E$78*(F187/inputs!$F$78)^(inputs!$E$84-1)</f>
        <v>2.2034638199583647E-2</v>
      </c>
      <c r="W187" s="21">
        <f>inputs!$E$85*(F187/inputs!$F$85)^(inputs!$E$84-1)</f>
        <v>1.017519000690843</v>
      </c>
      <c r="X187" s="21">
        <f>inputs!$E$80*(F187/inputs!$F$80)^(inputs!$E$84-1)</f>
        <v>3.7995962684025146</v>
      </c>
      <c r="Y187" s="21">
        <f>inputs!$E$82*(F187/inputs!$F$82)^(inputs!$E$84-1)</f>
        <v>1.751173877966911</v>
      </c>
      <c r="Z187" s="63">
        <f t="shared" si="13"/>
        <v>1704.1042937288673</v>
      </c>
      <c r="AA187" s="63">
        <f t="shared" si="14"/>
        <v>36.902821019733835</v>
      </c>
    </row>
    <row r="188" spans="1:27" ht="13.2" x14ac:dyDescent="0.25">
      <c r="A188" s="103" t="s">
        <v>246</v>
      </c>
      <c r="B188" s="20" t="s">
        <v>247</v>
      </c>
      <c r="C188" s="20" t="s">
        <v>73</v>
      </c>
      <c r="D188" s="104" t="s">
        <v>240</v>
      </c>
      <c r="E188" s="15">
        <v>76</v>
      </c>
      <c r="F188" s="15">
        <v>334</v>
      </c>
      <c r="G188" s="20" t="s">
        <v>173</v>
      </c>
      <c r="H188" s="20">
        <v>0.8</v>
      </c>
      <c r="I188" s="68">
        <f>inputs!$C$66*inputs!$C$60/1000</f>
        <v>28</v>
      </c>
      <c r="J188" s="68">
        <f>inputs!$C$66*inputs!$C$59/1000</f>
        <v>28</v>
      </c>
      <c r="K188" s="69">
        <f t="shared" si="11"/>
        <v>9.9147475589165435</v>
      </c>
      <c r="L188" s="69">
        <f t="shared" ref="L188:L214" si="16">((0.301*F188^0.751)/(1-H188))*J188/F188</f>
        <v>9.9147475589165435</v>
      </c>
      <c r="M188" s="69">
        <f>IF((((1.18*F188^0.874)/3.7-(0.301*F188^0.751)/(1-H188)*H188)*(MAX('Max rate concentrations'!$P$3:$P$368)))/F188&gt;0, (((1.18*F188^0.874)/3.7-(0.301*F188^0.751)/(1-H188)*H188)*(MAX('Max rate concentrations'!$P$3:$P$368)))/F188, 0)</f>
        <v>0</v>
      </c>
      <c r="N188" s="69">
        <f>IF((((1.18*F188^0.874)/3.7-(0.301*F188^0.751)/(1-H188)*H188)*(MAX('Max rate concentrations'!$Q$3:$Q$368)))/F188&gt;0, (((1.18*F188^0.874)/3.7-(0.301*F188^0.751)/(1-H188)*H188)*(MAX('Max rate concentrations'!$Q$3:$Q$368)))/F188, 0)</f>
        <v>0</v>
      </c>
      <c r="O188" s="69">
        <f>((MAX('Max rate concentrations'!$F$3:$F$368))*0.62*6.01*8*(10*F188^0.667)*0.079*0.1/F188)*inputs!$E$80/(10^(0.84+0.62*LOG10(inputs!$E$80)))</f>
        <v>21.200487733714517</v>
      </c>
      <c r="P188" s="69">
        <f>((MAX('Max rate concentrations'!Y:Y))*0.62*6.01*8*(10*F188^0.667)*0.079*0.1/F188)*inputs!$E$80/(10^(0.84+0.62*LOG10(inputs!$E$80)))</f>
        <v>7.0668292445715055</v>
      </c>
      <c r="Q188" s="69">
        <f>(inputs!$C$18*11.2*(10*F188^0.667)*0.5/F188)*inputs!$E$80/(10^(0.84+0.62*LOG10(inputs!$E$80)))</f>
        <v>3.7343659205379343</v>
      </c>
      <c r="R188" s="59">
        <f>(60*284*((F188/1000)^0.77)*3*24*(MAX('Max rate concentrations'!$R$3:$R$368))/F188)*(inputs!$E$73*3.4/inputs!$E$75)</f>
        <v>3.6193040436205484E-2</v>
      </c>
      <c r="S188" s="59">
        <f>(IF(inputs!$C$17="aerial",((0.025*0.112*inputs!$C$18/3.3)*(3*60*284*((F188/1000)^0.77))*MAX(inputs!$I$14:$I$16))/F188,((0.0083*0.112*inputs!$C$18/1)*(3*60*284*((F188/1000)^0.77))*MAX(inputs!$I$14:$I$16))/F188))*(inputs!E$75*3.4/inputs!$E$73)</f>
        <v>0.19960684164488321</v>
      </c>
      <c r="T188" s="63">
        <f>IF((((inputs!$P$13/(V188/MAX(K188:S188)))^(1/inputs!$O$13))-1)/inputs!$N$13&lt;0, 0, IF((((inputs!$P$13/(V188/MAX(K188:S188)))^(1/inputs!$O$13))-1)/inputs!$N$13&lt;inputs!$I$17, (((inputs!$P$13/(V188/MAX(K188:S188)))^(1/inputs!$O$13))-1)/inputs!$N$13, inputs!$I$17))</f>
        <v>1000</v>
      </c>
      <c r="U188" s="63">
        <f>IF((((inputs!$P$13/(X188/MAX(K188:S188)))^(1/inputs!$O$13))-1)/inputs!$N$13&lt;0, 0, IF((((inputs!$P$13/(X188/MAX(K188:S188)))^(1/inputs!$O$13))-1)/inputs!$N$13&lt;inputs!$I$17, (((inputs!$P$13/(X188/MAX(K188:S188)))^(1/inputs!$O$13))-1)/inputs!$N$13, inputs!$I$17))</f>
        <v>30.226405794479078</v>
      </c>
      <c r="V188" s="21">
        <f>inputs!$E$78*(F188/inputs!$F$78)^(inputs!$E$84-1)</f>
        <v>1.2160947350059152E-2</v>
      </c>
      <c r="W188" s="21">
        <f>inputs!$E$85*(F188/inputs!$F$85)^(inputs!$E$84-1)</f>
        <v>0.56157014619463785</v>
      </c>
      <c r="X188" s="21">
        <f>inputs!$E$80*(F188/inputs!$F$80)^(inputs!$E$84-1)</f>
        <v>2.0970024446508626</v>
      </c>
      <c r="Y188" s="21">
        <f>inputs!$E$82*(F188/inputs!$F$82)^(inputs!$E$84-1)</f>
        <v>0.96647528939943783</v>
      </c>
      <c r="Z188" s="63">
        <f t="shared" si="13"/>
        <v>1743.3253449297597</v>
      </c>
      <c r="AA188" s="63">
        <f t="shared" si="14"/>
        <v>37.752163068808358</v>
      </c>
    </row>
    <row r="189" spans="1:27" ht="13.2" x14ac:dyDescent="0.25">
      <c r="A189" s="103" t="s">
        <v>246</v>
      </c>
      <c r="B189" s="20" t="s">
        <v>247</v>
      </c>
      <c r="C189" s="20" t="s">
        <v>73</v>
      </c>
      <c r="D189" s="104" t="s">
        <v>240</v>
      </c>
      <c r="E189" s="15">
        <v>76</v>
      </c>
      <c r="F189" s="15">
        <v>334</v>
      </c>
      <c r="G189" s="20" t="s">
        <v>164</v>
      </c>
      <c r="H189" s="20">
        <v>0.78</v>
      </c>
      <c r="I189" s="68">
        <f>inputs!$C$66*(inputs!$C$62/1000)</f>
        <v>8.2000000000000011</v>
      </c>
      <c r="J189" s="68">
        <f>inputs!$C$66*(inputs!$C$61/1000)</f>
        <v>2.5</v>
      </c>
      <c r="K189" s="69">
        <f t="shared" si="11"/>
        <v>2.6396405838673922</v>
      </c>
      <c r="L189" s="69">
        <f t="shared" si="16"/>
        <v>0.80476847069127788</v>
      </c>
      <c r="M189" s="69">
        <f>IF((((1.18*F189^0.874)/3.7-(0.301*F189^0.751)/(1-H189)*H189)*(MAX('Max rate concentrations'!$P$3:$P$368)))/F189&gt;0, (((1.18*F189^0.874)/3.7-(0.301*F189^0.751)/(1-H189)*H189)*(MAX('Max rate concentrations'!$P$3:$P$368)))/F189, 0)</f>
        <v>0</v>
      </c>
      <c r="N189" s="69">
        <f>IF((((1.18*F189^0.874)/3.7-(0.301*F189^0.751)/(1-H189)*H189)*(MAX('Max rate concentrations'!$Q$3:$Q$368)))/F189&gt;0, (((1.18*F189^0.874)/3.7-(0.301*F189^0.751)/(1-H189)*H189)*(MAX('Max rate concentrations'!$Q$3:$Q$368)))/F189, 0)</f>
        <v>0</v>
      </c>
      <c r="O189" s="69">
        <f>((MAX('Max rate concentrations'!$F$3:$F$368))*0.62*6.01*8*(10*F189^0.667)*0.079*0.1/F189)*inputs!$E$80/(10^(0.84+0.62*LOG10(inputs!$E$80)))</f>
        <v>21.200487733714517</v>
      </c>
      <c r="P189" s="69">
        <f>((MAX('Max rate concentrations'!Y:Y))*0.62*6.01*8*(10*F189^0.667)*0.079*0.1/F189)*inputs!$E$80/(10^(0.84+0.62*LOG10(inputs!$E$80)))</f>
        <v>7.0668292445715055</v>
      </c>
      <c r="Q189" s="69">
        <f>(inputs!$C$18*11.2*(10*F189^0.667)*0.5/F189)*inputs!$E$80/(10^(0.84+0.62*LOG10(inputs!$E$80)))</f>
        <v>3.7343659205379343</v>
      </c>
      <c r="R189" s="59">
        <f>(60*284*((F189/1000)^0.77)*3*24*(MAX('Max rate concentrations'!$R$3:$R$368))/F189)*(inputs!$E$73*3.4/inputs!$E$75)</f>
        <v>3.6193040436205484E-2</v>
      </c>
      <c r="S189" s="59">
        <f>(IF(inputs!$C$17="aerial",((0.025*0.112*inputs!$C$18/3.3)*(3*60*284*((F189/1000)^0.77))*MAX(inputs!$I$14:$I$16))/F189,((0.0083*0.112*inputs!$C$18/1)*(3*60*284*((F189/1000)^0.77))*MAX(inputs!$I$14:$I$16))/F189))*(inputs!E$75*3.4/inputs!$E$73)</f>
        <v>0.19960684164488321</v>
      </c>
      <c r="T189" s="63">
        <f>IF((((inputs!$P$13/(V189/MAX(K189:S189)))^(1/inputs!$O$13))-1)/inputs!$N$13&lt;0, 0, IF((((inputs!$P$13/(V189/MAX(K189:S189)))^(1/inputs!$O$13))-1)/inputs!$N$13&lt;inputs!$I$17, (((inputs!$P$13/(V189/MAX(K189:S189)))^(1/inputs!$O$13))-1)/inputs!$N$13, inputs!$I$17))</f>
        <v>1000</v>
      </c>
      <c r="U189" s="63">
        <f>IF((((inputs!$P$13/(X189/MAX(K189:S189)))^(1/inputs!$O$13))-1)/inputs!$N$13&lt;0, 0, IF((((inputs!$P$13/(X189/MAX(K189:S189)))^(1/inputs!$O$13))-1)/inputs!$N$13&lt;inputs!$I$17, (((inputs!$P$13/(X189/MAX(K189:S189)))^(1/inputs!$O$13))-1)/inputs!$N$13, inputs!$I$17))</f>
        <v>30.226405794479078</v>
      </c>
      <c r="V189" s="21">
        <f>inputs!$E$78*(F189/inputs!$F$78)^(inputs!$E$84-1)</f>
        <v>1.2160947350059152E-2</v>
      </c>
      <c r="W189" s="21">
        <f>inputs!$E$85*(F189/inputs!$F$85)^(inputs!$E$84-1)</f>
        <v>0.56157014619463785</v>
      </c>
      <c r="X189" s="21">
        <f>inputs!$E$80*(F189/inputs!$F$80)^(inputs!$E$84-1)</f>
        <v>2.0970024446508626</v>
      </c>
      <c r="Y189" s="21">
        <f>inputs!$E$82*(F189/inputs!$F$82)^(inputs!$E$84-1)</f>
        <v>0.96647528939943783</v>
      </c>
      <c r="Z189" s="63">
        <f t="shared" si="13"/>
        <v>1743.3253449297597</v>
      </c>
      <c r="AA189" s="63">
        <f t="shared" si="14"/>
        <v>37.752163068808358</v>
      </c>
    </row>
    <row r="190" spans="1:27" ht="13.2" x14ac:dyDescent="0.25">
      <c r="A190" s="103" t="s">
        <v>246</v>
      </c>
      <c r="B190" s="20" t="s">
        <v>247</v>
      </c>
      <c r="C190" s="20" t="s">
        <v>73</v>
      </c>
      <c r="D190" s="104" t="s">
        <v>240</v>
      </c>
      <c r="E190" s="15">
        <v>76</v>
      </c>
      <c r="F190" s="15">
        <v>334</v>
      </c>
      <c r="G190" s="20" t="s">
        <v>195</v>
      </c>
      <c r="H190" s="20">
        <v>0.82</v>
      </c>
      <c r="I190" s="68">
        <f>inputs!$C$66*(inputs!$C$62/1000)</f>
        <v>8.2000000000000011</v>
      </c>
      <c r="J190" s="68">
        <f>inputs!$C$66*(inputs!$C$61/1000)</f>
        <v>2.5</v>
      </c>
      <c r="K190" s="69">
        <f t="shared" ref="K190:K253" si="17">((0.301*F190^0.751)/(1-H190))*I190/F190</f>
        <v>3.2262273802823667</v>
      </c>
      <c r="L190" s="69">
        <f t="shared" si="16"/>
        <v>0.98360590862267261</v>
      </c>
      <c r="M190" s="69">
        <f>IF((((1.18*F190^0.874)/3.7-(0.301*F190^0.751)/(1-H190)*H190)*(MAX('Max rate concentrations'!$P$3:$P$368)))/F190&gt;0, (((1.18*F190^0.874)/3.7-(0.301*F190^0.751)/(1-H190)*H190)*(MAX('Max rate concentrations'!$P$3:$P$368)))/F190, 0)</f>
        <v>0</v>
      </c>
      <c r="N190" s="69">
        <f>IF((((1.18*F190^0.874)/3.7-(0.301*F190^0.751)/(1-H190)*H190)*(MAX('Max rate concentrations'!$Q$3:$Q$368)))/F190&gt;0, (((1.18*F190^0.874)/3.7-(0.301*F190^0.751)/(1-H190)*H190)*(MAX('Max rate concentrations'!$Q$3:$Q$368)))/F190, 0)</f>
        <v>0</v>
      </c>
      <c r="O190" s="69">
        <f>((MAX('Max rate concentrations'!$F$3:$F$368))*0.62*6.01*8*(10*F190^0.667)*0.079*0.1/F190)*inputs!$E$80/(10^(0.84+0.62*LOG10(inputs!$E$80)))</f>
        <v>21.200487733714517</v>
      </c>
      <c r="P190" s="69">
        <f>((MAX('Max rate concentrations'!Y:Y))*0.62*6.01*8*(10*F190^0.667)*0.079*0.1/F190)*inputs!$E$80/(10^(0.84+0.62*LOG10(inputs!$E$80)))</f>
        <v>7.0668292445715055</v>
      </c>
      <c r="Q190" s="69">
        <f>(inputs!$C$18*11.2*(10*F190^0.667)*0.5/F190)*inputs!$E$80/(10^(0.84+0.62*LOG10(inputs!$E$80)))</f>
        <v>3.7343659205379343</v>
      </c>
      <c r="R190" s="59">
        <f>(60*284*((F190/1000)^0.77)*3*24*(MAX('Max rate concentrations'!$R$3:$R$368))/F190)*(inputs!$E$73*3.4/inputs!$E$75)</f>
        <v>3.6193040436205484E-2</v>
      </c>
      <c r="S190" s="59">
        <f>(IF(inputs!$C$17="aerial",((0.025*0.112*inputs!$C$18/3.3)*(3*60*284*((F190/1000)^0.77))*MAX(inputs!$I$14:$I$16))/F190,((0.0083*0.112*inputs!$C$18/1)*(3*60*284*((F190/1000)^0.77))*MAX(inputs!$I$14:$I$16))/F190))*(inputs!E$75*3.4/inputs!$E$73)</f>
        <v>0.19960684164488321</v>
      </c>
      <c r="T190" s="63">
        <f>IF((((inputs!$P$13/(V190/MAX(K190:S190)))^(1/inputs!$O$13))-1)/inputs!$N$13&lt;0, 0, IF((((inputs!$P$13/(V190/MAX(K190:S190)))^(1/inputs!$O$13))-1)/inputs!$N$13&lt;inputs!$I$17, (((inputs!$P$13/(V190/MAX(K190:S190)))^(1/inputs!$O$13))-1)/inputs!$N$13, inputs!$I$17))</f>
        <v>1000</v>
      </c>
      <c r="U190" s="63">
        <f>IF((((inputs!$P$13/(X190/MAX(K190:S190)))^(1/inputs!$O$13))-1)/inputs!$N$13&lt;0, 0, IF((((inputs!$P$13/(X190/MAX(K190:S190)))^(1/inputs!$O$13))-1)/inputs!$N$13&lt;inputs!$I$17, (((inputs!$P$13/(X190/MAX(K190:S190)))^(1/inputs!$O$13))-1)/inputs!$N$13, inputs!$I$17))</f>
        <v>30.226405794479078</v>
      </c>
      <c r="V190" s="21">
        <f>inputs!$E$78*(F190/inputs!$F$78)^(inputs!$E$84-1)</f>
        <v>1.2160947350059152E-2</v>
      </c>
      <c r="W190" s="21">
        <f>inputs!$E$85*(F190/inputs!$F$85)^(inputs!$E$84-1)</f>
        <v>0.56157014619463785</v>
      </c>
      <c r="X190" s="21">
        <f>inputs!$E$80*(F190/inputs!$F$80)^(inputs!$E$84-1)</f>
        <v>2.0970024446508626</v>
      </c>
      <c r="Y190" s="21">
        <f>inputs!$E$82*(F190/inputs!$F$82)^(inputs!$E$84-1)</f>
        <v>0.96647528939943783</v>
      </c>
      <c r="Z190" s="63">
        <f t="shared" si="13"/>
        <v>1743.3253449297597</v>
      </c>
      <c r="AA190" s="63">
        <f t="shared" si="14"/>
        <v>37.752163068808358</v>
      </c>
    </row>
    <row r="191" spans="1:27" ht="13.2" x14ac:dyDescent="0.25">
      <c r="A191" s="103" t="s">
        <v>246</v>
      </c>
      <c r="B191" s="20" t="s">
        <v>247</v>
      </c>
      <c r="C191" s="20" t="s">
        <v>73</v>
      </c>
      <c r="D191" s="104" t="s">
        <v>240</v>
      </c>
      <c r="E191" s="15">
        <v>76</v>
      </c>
      <c r="F191" s="15">
        <v>334</v>
      </c>
      <c r="G191" s="20" t="s">
        <v>152</v>
      </c>
      <c r="H191" s="20">
        <v>0.77</v>
      </c>
      <c r="I191" s="68">
        <f>MAX('Max rate concentrations'!$G$3:$G$368)</f>
        <v>45</v>
      </c>
      <c r="J191" s="68">
        <f>MAX('Max rate concentrations'!Z:Z)</f>
        <v>21</v>
      </c>
      <c r="K191" s="69">
        <f t="shared" si="17"/>
        <v>13.856013669293306</v>
      </c>
      <c r="L191" s="69">
        <f t="shared" si="16"/>
        <v>6.4661397123368767</v>
      </c>
      <c r="M191" s="69">
        <f>IF((((1.18*F191^0.874)/3.7-(0.301*F191^0.751)/(1-H191)*H191)*(MAX('Max rate concentrations'!$P$3:$P$368)))/F191&gt;0, (((1.18*F191^0.874)/3.7-(0.301*F191^0.751)/(1-H191)*H191)*(MAX('Max rate concentrations'!$P$3:$P$368)))/F191, 0)</f>
        <v>0</v>
      </c>
      <c r="N191" s="69">
        <f>IF((((1.18*F191^0.874)/3.7-(0.301*F191^0.751)/(1-H191)*H191)*(MAX('Max rate concentrations'!$Q$3:$Q$368)))/F191&gt;0, (((1.18*F191^0.874)/3.7-(0.301*F191^0.751)/(1-H191)*H191)*(MAX('Max rate concentrations'!$Q$3:$Q$368)))/F191, 0)</f>
        <v>0</v>
      </c>
      <c r="O191" s="69">
        <f>((MAX('Max rate concentrations'!$F$3:$F$368))*0.62*6.01*8*(10*F191^0.667)*0.079*0.1/F191)*inputs!$E$80/(10^(0.84+0.62*LOG10(inputs!$E$80)))</f>
        <v>21.200487733714517</v>
      </c>
      <c r="P191" s="69">
        <f>((MAX('Max rate concentrations'!Y:Y))*0.62*6.01*8*(10*F191^0.667)*0.079*0.1/F191)*inputs!$E$80/(10^(0.84+0.62*LOG10(inputs!$E$80)))</f>
        <v>7.0668292445715055</v>
      </c>
      <c r="Q191" s="69">
        <f>(inputs!$C$18*11.2*(10*F191^0.667)*0.5/F191)*inputs!$E$80/(10^(0.84+0.62*LOG10(inputs!$E$80)))</f>
        <v>3.7343659205379343</v>
      </c>
      <c r="R191" s="59">
        <f>(60*284*((F191/1000)^0.77)*3*24*(MAX('Max rate concentrations'!$R$3:$R$368))/F191)*(inputs!$E$73*3.4/inputs!$E$75)</f>
        <v>3.6193040436205484E-2</v>
      </c>
      <c r="S191" s="59">
        <f>(IF(inputs!$C$17="aerial",((0.025*0.112*inputs!$C$18/3.3)*(3*60*284*((F191/1000)^0.77))*MAX(inputs!$I$14:$I$16))/F191,((0.0083*0.112*inputs!$C$18/1)*(3*60*284*((F191/1000)^0.77))*MAX(inputs!$I$14:$I$16))/F191))*(inputs!E$75*3.4/inputs!$E$73)</f>
        <v>0.19960684164488321</v>
      </c>
      <c r="T191" s="63">
        <f>IF((((inputs!$P$13/(V191/MAX(K191:S191)))^(1/inputs!$O$13))-1)/inputs!$N$13&lt;0, 0, IF((((inputs!$P$13/(V191/MAX(K191:S191)))^(1/inputs!$O$13))-1)/inputs!$N$13&lt;inputs!$I$17, (((inputs!$P$13/(V191/MAX(K191:S191)))^(1/inputs!$O$13))-1)/inputs!$N$13, inputs!$I$17))</f>
        <v>1000</v>
      </c>
      <c r="U191" s="63">
        <f>IF((((inputs!$P$13/(X191/MAX(K191:S191)))^(1/inputs!$O$13))-1)/inputs!$N$13&lt;0, 0, IF((((inputs!$P$13/(X191/MAX(K191:S191)))^(1/inputs!$O$13))-1)/inputs!$N$13&lt;inputs!$I$17, (((inputs!$P$13/(X191/MAX(K191:S191)))^(1/inputs!$O$13))-1)/inputs!$N$13, inputs!$I$17))</f>
        <v>30.226405794479078</v>
      </c>
      <c r="V191" s="21">
        <f>inputs!$E$78*(F191/inputs!$F$78)^(inputs!$E$84-1)</f>
        <v>1.2160947350059152E-2</v>
      </c>
      <c r="W191" s="21">
        <f>inputs!$E$85*(F191/inputs!$F$85)^(inputs!$E$84-1)</f>
        <v>0.56157014619463785</v>
      </c>
      <c r="X191" s="21">
        <f>inputs!$E$80*(F191/inputs!$F$80)^(inputs!$E$84-1)</f>
        <v>2.0970024446508626</v>
      </c>
      <c r="Y191" s="21">
        <f>inputs!$E$82*(F191/inputs!$F$82)^(inputs!$E$84-1)</f>
        <v>0.96647528939943783</v>
      </c>
      <c r="Z191" s="63">
        <f t="shared" si="13"/>
        <v>1743.3253449297597</v>
      </c>
      <c r="AA191" s="63">
        <f t="shared" si="14"/>
        <v>37.752163068808358</v>
      </c>
    </row>
    <row r="192" spans="1:27" ht="13.2" x14ac:dyDescent="0.25">
      <c r="A192" s="103" t="s">
        <v>246</v>
      </c>
      <c r="B192" s="20" t="s">
        <v>247</v>
      </c>
      <c r="C192" s="20" t="s">
        <v>73</v>
      </c>
      <c r="D192" s="104" t="s">
        <v>240</v>
      </c>
      <c r="E192" s="15">
        <v>76</v>
      </c>
      <c r="F192" s="15">
        <v>334</v>
      </c>
      <c r="G192" s="20" t="s">
        <v>169</v>
      </c>
      <c r="H192" s="20">
        <v>0.79</v>
      </c>
      <c r="I192" s="68">
        <f>MAX('Max rate concentrations'!$D$3:$D$368)</f>
        <v>720</v>
      </c>
      <c r="J192" s="68">
        <f>MAX('Max rate concentrations'!W:W)</f>
        <v>255</v>
      </c>
      <c r="K192" s="69">
        <f t="shared" si="17"/>
        <v>242.81014429999698</v>
      </c>
      <c r="L192" s="69">
        <f t="shared" si="16"/>
        <v>85.99525943958227</v>
      </c>
      <c r="M192" s="69">
        <f>IF((((1.18*F192^0.874)/3.7-(0.301*F192^0.751)/(1-H192)*H192)*(MAX('Max rate concentrations'!$P$3:$P$368)))/F192&gt;0, (((1.18*F192^0.874)/3.7-(0.301*F192^0.751)/(1-H192)*H192)*(MAX('Max rate concentrations'!$P$3:$P$368)))/F192, 0)</f>
        <v>0</v>
      </c>
      <c r="N192" s="69">
        <f>IF((((1.18*F192^0.874)/3.7-(0.301*F192^0.751)/(1-H192)*H192)*(MAX('Max rate concentrations'!$Q$3:$Q$368)))/F192&gt;0, (((1.18*F192^0.874)/3.7-(0.301*F192^0.751)/(1-H192)*H192)*(MAX('Max rate concentrations'!$Q$3:$Q$368)))/F192, 0)</f>
        <v>0</v>
      </c>
      <c r="O192" s="69">
        <f>((MAX('Max rate concentrations'!$F$3:$F$368))*0.62*6.01*8*(10*F192^0.667)*0.079*0.1/F192)*inputs!$E$80/(10^(0.84+0.62*LOG10(inputs!$E$80)))</f>
        <v>21.200487733714517</v>
      </c>
      <c r="P192" s="69">
        <f>((MAX('Max rate concentrations'!Y:Y))*0.62*6.01*8*(10*F192^0.667)*0.079*0.1/F192)*inputs!$E$80/(10^(0.84+0.62*LOG10(inputs!$E$80)))</f>
        <v>7.0668292445715055</v>
      </c>
      <c r="Q192" s="69">
        <f>(inputs!$C$18*11.2*(10*F192^0.667)*0.5/F192)*inputs!$E$80/(10^(0.84+0.62*LOG10(inputs!$E$80)))</f>
        <v>3.7343659205379343</v>
      </c>
      <c r="R192" s="59">
        <f>(60*284*((F192/1000)^0.77)*3*24*(MAX('Max rate concentrations'!$R$3:$R$368))/F192)*(inputs!$E$73*3.4/inputs!$E$75)</f>
        <v>3.6193040436205484E-2</v>
      </c>
      <c r="S192" s="59">
        <f>(IF(inputs!$C$17="aerial",((0.025*0.112*inputs!$C$18/3.3)*(3*60*284*((F192/1000)^0.77))*MAX(inputs!$I$14:$I$16))/F192,((0.0083*0.112*inputs!$C$18/1)*(3*60*284*((F192/1000)^0.77))*MAX(inputs!$I$14:$I$16))/F192))*(inputs!E$75*3.4/inputs!$E$73)</f>
        <v>0.19960684164488321</v>
      </c>
      <c r="T192" s="63">
        <f>IF((((inputs!$P$13/(V192/MAX(K192:S192)))^(1/inputs!$O$13))-1)/inputs!$N$13&lt;0, 0, IF((((inputs!$P$13/(V192/MAX(K192:S192)))^(1/inputs!$O$13))-1)/inputs!$N$13&lt;inputs!$I$17, (((inputs!$P$13/(V192/MAX(K192:S192)))^(1/inputs!$O$13))-1)/inputs!$N$13, inputs!$I$17))</f>
        <v>1000</v>
      </c>
      <c r="U192" s="63">
        <f>IF((((inputs!$P$13/(X192/MAX(K192:S192)))^(1/inputs!$O$13))-1)/inputs!$N$13&lt;0, 0, IF((((inputs!$P$13/(X192/MAX(K192:S192)))^(1/inputs!$O$13))-1)/inputs!$N$13&lt;inputs!$I$17, (((inputs!$P$13/(X192/MAX(K192:S192)))^(1/inputs!$O$13))-1)/inputs!$N$13, inputs!$I$17))</f>
        <v>249.44346577416599</v>
      </c>
      <c r="V192" s="21">
        <f>inputs!$E$78*(F192/inputs!$F$78)^(inputs!$E$84-1)</f>
        <v>1.2160947350059152E-2</v>
      </c>
      <c r="W192" s="21">
        <f>inputs!$E$85*(F192/inputs!$F$85)^(inputs!$E$84-1)</f>
        <v>0.56157014619463785</v>
      </c>
      <c r="X192" s="21">
        <f>inputs!$E$80*(F192/inputs!$F$80)^(inputs!$E$84-1)</f>
        <v>2.0970024446508626</v>
      </c>
      <c r="Y192" s="21">
        <f>inputs!$E$82*(F192/inputs!$F$82)^(inputs!$E$84-1)</f>
        <v>0.96647528939943783</v>
      </c>
      <c r="Z192" s="63">
        <f t="shared" si="13"/>
        <v>19966.383975736557</v>
      </c>
      <c r="AA192" s="63">
        <f t="shared" si="14"/>
        <v>432.37723006706983</v>
      </c>
    </row>
    <row r="193" spans="1:27" ht="13.2" x14ac:dyDescent="0.25">
      <c r="A193" s="103" t="s">
        <v>246</v>
      </c>
      <c r="B193" s="20" t="s">
        <v>247</v>
      </c>
      <c r="C193" s="20" t="s">
        <v>73</v>
      </c>
      <c r="D193" s="104" t="s">
        <v>240</v>
      </c>
      <c r="E193" s="15">
        <v>76</v>
      </c>
      <c r="F193" s="15">
        <v>334</v>
      </c>
      <c r="G193" s="20" t="s">
        <v>158</v>
      </c>
      <c r="H193" s="20">
        <v>0.85</v>
      </c>
      <c r="I193" s="68">
        <f>MAX('Max rate concentrations'!$F$3:$F$368)</f>
        <v>405</v>
      </c>
      <c r="J193" s="68">
        <f>MAX('Max rate concentrations'!Y:Y)</f>
        <v>135</v>
      </c>
      <c r="K193" s="69">
        <f t="shared" si="17"/>
        <v>191.21298863624759</v>
      </c>
      <c r="L193" s="69">
        <f t="shared" si="16"/>
        <v>63.737662878749184</v>
      </c>
      <c r="M193" s="69">
        <f>IF((((1.18*F193^0.874)/3.7-(0.301*F193^0.751)/(1-H193)*H193)*(MAX('Max rate concentrations'!$P$3:$P$368)))/F193&gt;0, (((1.18*F193^0.874)/3.7-(0.301*F193^0.751)/(1-H193)*H193)*(MAX('Max rate concentrations'!$P$3:$P$368)))/F193, 0)</f>
        <v>0</v>
      </c>
      <c r="N193" s="69">
        <f>IF((((1.18*F193^0.874)/3.7-(0.301*F193^0.751)/(1-H193)*H193)*(MAX('Max rate concentrations'!$Q$3:$Q$368)))/F193&gt;0, (((1.18*F193^0.874)/3.7-(0.301*F193^0.751)/(1-H193)*H193)*(MAX('Max rate concentrations'!$Q$3:$Q$368)))/F193, 0)</f>
        <v>0</v>
      </c>
      <c r="O193" s="69">
        <f>((MAX('Max rate concentrations'!$F$3:$F$368))*0.62*6.01*8*(10*F193^0.667)*0.079*0.1/F193)*inputs!$E$80/(10^(0.84+0.62*LOG10(inputs!$E$80)))</f>
        <v>21.200487733714517</v>
      </c>
      <c r="P193" s="69">
        <f>((MAX('Max rate concentrations'!Y:Y))*0.62*6.01*8*(10*F193^0.667)*0.079*0.1/F193)*inputs!$E$80/(10^(0.84+0.62*LOG10(inputs!$E$80)))</f>
        <v>7.0668292445715055</v>
      </c>
      <c r="Q193" s="69">
        <f>(inputs!$C$18*11.2*(10*F193^0.667)*0.5/F193)*inputs!$E$80/(10^(0.84+0.62*LOG10(inputs!$E$80)))</f>
        <v>3.7343659205379343</v>
      </c>
      <c r="R193" s="59">
        <f>(60*284*((F193/1000)^0.77)*3*24*(MAX('Max rate concentrations'!$R$3:$R$368))/F193)*(inputs!$E$73*3.4/inputs!$E$75)</f>
        <v>3.6193040436205484E-2</v>
      </c>
      <c r="S193" s="59">
        <f>(IF(inputs!$C$17="aerial",((0.025*0.112*inputs!$C$18/3.3)*(3*60*284*((F193/1000)^0.77))*MAX(inputs!$I$14:$I$16))/F193,((0.0083*0.112*inputs!$C$18/1)*(3*60*284*((F193/1000)^0.77))*MAX(inputs!$I$14:$I$16))/F193))*(inputs!E$75*3.4/inputs!$E$73)</f>
        <v>0.19960684164488321</v>
      </c>
      <c r="T193" s="63">
        <f>IF((((inputs!$P$13/(V193/MAX(K193:S193)))^(1/inputs!$O$13))-1)/inputs!$N$13&lt;0, 0, IF((((inputs!$P$13/(V193/MAX(K193:S193)))^(1/inputs!$O$13))-1)/inputs!$N$13&lt;inputs!$I$17, (((inputs!$P$13/(V193/MAX(K193:S193)))^(1/inputs!$O$13))-1)/inputs!$N$13, inputs!$I$17))</f>
        <v>1000</v>
      </c>
      <c r="U193" s="63">
        <f>IF((((inputs!$P$13/(X193/MAX(K193:S193)))^(1/inputs!$O$13))-1)/inputs!$N$13&lt;0, 0, IF((((inputs!$P$13/(X193/MAX(K193:S193)))^(1/inputs!$O$13))-1)/inputs!$N$13&lt;inputs!$I$17, (((inputs!$P$13/(X193/MAX(K193:S193)))^(1/inputs!$O$13))-1)/inputs!$N$13, inputs!$I$17))</f>
        <v>204.70541102218331</v>
      </c>
      <c r="V193" s="21">
        <f>inputs!$E$78*(F193/inputs!$F$78)^(inputs!$E$84-1)</f>
        <v>1.2160947350059152E-2</v>
      </c>
      <c r="W193" s="21">
        <f>inputs!$E$85*(F193/inputs!$F$85)^(inputs!$E$84-1)</f>
        <v>0.56157014619463785</v>
      </c>
      <c r="X193" s="21">
        <f>inputs!$E$80*(F193/inputs!$F$80)^(inputs!$E$84-1)</f>
        <v>2.0970024446508626</v>
      </c>
      <c r="Y193" s="21">
        <f>inputs!$E$82*(F193/inputs!$F$82)^(inputs!$E$84-1)</f>
        <v>0.96647528939943783</v>
      </c>
      <c r="Z193" s="63">
        <f t="shared" si="13"/>
        <v>15723.527380892534</v>
      </c>
      <c r="AA193" s="63">
        <f t="shared" si="14"/>
        <v>340.49706867781742</v>
      </c>
    </row>
    <row r="194" spans="1:27" ht="13.2" x14ac:dyDescent="0.25">
      <c r="A194" s="103" t="s">
        <v>246</v>
      </c>
      <c r="B194" s="20" t="s">
        <v>247</v>
      </c>
      <c r="C194" s="20" t="s">
        <v>73</v>
      </c>
      <c r="D194" s="104" t="s">
        <v>240</v>
      </c>
      <c r="E194" s="15">
        <v>76</v>
      </c>
      <c r="F194" s="15">
        <v>334</v>
      </c>
      <c r="G194" s="20" t="s">
        <v>154</v>
      </c>
      <c r="H194" s="20">
        <v>9.2999999999999999E-2</v>
      </c>
      <c r="I194" s="68">
        <f>MAX('Max rate concentrations'!$G$3:$G$368)</f>
        <v>45</v>
      </c>
      <c r="J194" s="68">
        <f>MAX('Max rate concentrations'!Z:Z)</f>
        <v>21</v>
      </c>
      <c r="K194" s="69">
        <f t="shared" si="17"/>
        <v>3.5136528599089965</v>
      </c>
      <c r="L194" s="69">
        <f t="shared" si="16"/>
        <v>1.6397046679575318</v>
      </c>
      <c r="M194" s="69">
        <f>IF((((1.18*F194^0.874)/3.7-(0.301*F194^0.751)/(1-H194)*H194)*(MAX('Max rate concentrations'!$P$3:$P$368)))/F194&gt;0, (((1.18*F194^0.874)/3.7-(0.301*F194^0.751)/(1-H194)*H194)*(MAX('Max rate concentrations'!$P$3:$P$368)))/F194, 0)</f>
        <v>0.12722807367393626</v>
      </c>
      <c r="N194" s="69">
        <f>IF((((1.18*F194^0.874)/3.7-(0.301*F194^0.751)/(1-H194)*H194)*(MAX('Max rate concentrations'!$Q$3:$Q$368)))/F194&gt;0, (((1.18*F194^0.874)/3.7-(0.301*F194^0.751)/(1-H194)*H194)*(MAX('Max rate concentrations'!$Q$3:$Q$368)))/F194, 0)</f>
        <v>0.48449134072914335</v>
      </c>
      <c r="O194" s="69">
        <f>((MAX('Max rate concentrations'!$F$3:$F$368))*0.62*6.01*8*(10*F194^0.667)*0.079*0.1/F194)*inputs!$E$80/(10^(0.84+0.62*LOG10(inputs!$E$80)))</f>
        <v>21.200487733714517</v>
      </c>
      <c r="P194" s="69">
        <f>((MAX('Max rate concentrations'!Y:Y))*0.62*6.01*8*(10*F194^0.667)*0.079*0.1/F194)*inputs!$E$80/(10^(0.84+0.62*LOG10(inputs!$E$80)))</f>
        <v>7.0668292445715055</v>
      </c>
      <c r="Q194" s="69">
        <f>(inputs!$C$18*11.2*(10*F194^0.667)*0.5/F194)*inputs!$E$80/(10^(0.84+0.62*LOG10(inputs!$E$80)))</f>
        <v>3.7343659205379343</v>
      </c>
      <c r="R194" s="59">
        <f>(60*284*((F194/1000)^0.77)*3*24*(MAX('Max rate concentrations'!$R$3:$R$368))/F194)*(inputs!$E$73*3.4/inputs!$E$75)</f>
        <v>3.6193040436205484E-2</v>
      </c>
      <c r="S194" s="59">
        <f>(IF(inputs!$C$17="aerial",((0.025*0.112*inputs!$C$18/3.3)*(3*60*284*((F194/1000)^0.77))*MAX(inputs!$I$14:$I$16))/F194,((0.0083*0.112*inputs!$C$18/1)*(3*60*284*((F194/1000)^0.77))*MAX(inputs!$I$14:$I$16))/F194))*(inputs!E$75*3.4/inputs!$E$73)</f>
        <v>0.19960684164488321</v>
      </c>
      <c r="T194" s="63">
        <f>IF((((inputs!$P$13/(V194/MAX(K194:S194)))^(1/inputs!$O$13))-1)/inputs!$N$13&lt;0, 0, IF((((inputs!$P$13/(V194/MAX(K194:S194)))^(1/inputs!$O$13))-1)/inputs!$N$13&lt;inputs!$I$17, (((inputs!$P$13/(V194/MAX(K194:S194)))^(1/inputs!$O$13))-1)/inputs!$N$13, inputs!$I$17))</f>
        <v>1000</v>
      </c>
      <c r="U194" s="63">
        <f>IF((((inputs!$P$13/(X194/MAX(K194:S194)))^(1/inputs!$O$13))-1)/inputs!$N$13&lt;0, 0, IF((((inputs!$P$13/(X194/MAX(K194:S194)))^(1/inputs!$O$13))-1)/inputs!$N$13&lt;inputs!$I$17, (((inputs!$P$13/(X194/MAX(K194:S194)))^(1/inputs!$O$13))-1)/inputs!$N$13, inputs!$I$17))</f>
        <v>30.226405794479078</v>
      </c>
      <c r="V194" s="21">
        <f>inputs!$E$78*(F194/inputs!$F$78)^(inputs!$E$84-1)</f>
        <v>1.2160947350059152E-2</v>
      </c>
      <c r="W194" s="21">
        <f>inputs!$E$85*(F194/inputs!$F$85)^(inputs!$E$84-1)</f>
        <v>0.56157014619463785</v>
      </c>
      <c r="X194" s="21">
        <f>inputs!$E$80*(F194/inputs!$F$80)^(inputs!$E$84-1)</f>
        <v>2.0970024446508626</v>
      </c>
      <c r="Y194" s="21">
        <f>inputs!$E$82*(F194/inputs!$F$82)^(inputs!$E$84-1)</f>
        <v>0.96647528939943783</v>
      </c>
      <c r="Z194" s="63">
        <f t="shared" ref="Z194:Z257" si="18">MAX(K194:S194)/V194</f>
        <v>1743.3253449297597</v>
      </c>
      <c r="AA194" s="63">
        <f t="shared" ref="AA194:AA257" si="19">MAX(K194:S194)/W194</f>
        <v>37.752163068808358</v>
      </c>
    </row>
    <row r="195" spans="1:27" ht="13.2" x14ac:dyDescent="0.25">
      <c r="A195" s="103" t="s">
        <v>238</v>
      </c>
      <c r="B195" s="20" t="s">
        <v>239</v>
      </c>
      <c r="C195" s="20" t="s">
        <v>73</v>
      </c>
      <c r="D195" s="104" t="s">
        <v>240</v>
      </c>
      <c r="E195" s="15">
        <v>108</v>
      </c>
      <c r="F195" s="15">
        <v>427</v>
      </c>
      <c r="G195" s="20" t="s">
        <v>241</v>
      </c>
      <c r="H195" s="20">
        <v>0.8</v>
      </c>
      <c r="I195" s="68">
        <f>inputs!$C$66*inputs!$C$60/1000</f>
        <v>28</v>
      </c>
      <c r="J195" s="68">
        <f>inputs!$C$66*inputs!$C$59/1000</f>
        <v>28</v>
      </c>
      <c r="K195" s="69">
        <f t="shared" si="17"/>
        <v>9.3264848778352309</v>
      </c>
      <c r="L195" s="69">
        <f t="shared" si="16"/>
        <v>9.3264848778352309</v>
      </c>
      <c r="M195" s="69">
        <f>IF((((1.18*F195^0.874)/3.7-(0.301*F195^0.751)/(1-H195)*H195)*(MAX('Max rate concentrations'!$P$3:$P$368)))/F195&gt;0, (((1.18*F195^0.874)/3.7-(0.301*F195^0.751)/(1-H195)*H195)*(MAX('Max rate concentrations'!$P$3:$P$368)))/F195, 0)</f>
        <v>0</v>
      </c>
      <c r="N195" s="69">
        <f>IF((((1.18*F195^0.874)/3.7-(0.301*F195^0.751)/(1-H195)*H195)*(MAX('Max rate concentrations'!$Q$3:$Q$368)))/F195&gt;0, (((1.18*F195^0.874)/3.7-(0.301*F195^0.751)/(1-H195)*H195)*(MAX('Max rate concentrations'!$Q$3:$Q$368)))/F195, 0)</f>
        <v>0</v>
      </c>
      <c r="O195" s="69">
        <f>((MAX('Max rate concentrations'!$F$3:$F$368))*0.62*6.01*8*(10*F195^0.667)*0.079*0.1/F195)*inputs!$E$80/(10^(0.84+0.62*LOG10(inputs!$E$80)))</f>
        <v>19.535338612265036</v>
      </c>
      <c r="P195" s="69">
        <f>((MAX('Max rate concentrations'!Y:Y))*0.62*6.01*8*(10*F195^0.667)*0.079*0.1/F195)*inputs!$E$80/(10^(0.84+0.62*LOG10(inputs!$E$80)))</f>
        <v>6.5117795374216776</v>
      </c>
      <c r="Q195" s="69">
        <f>(inputs!$C$18*11.2*(10*F195^0.667)*0.5/F195)*inputs!$E$80/(10^(0.84+0.62*LOG10(inputs!$E$80)))</f>
        <v>3.4410577566004652</v>
      </c>
      <c r="R195" s="59">
        <f>(60*284*((F195/1000)^0.77)*3*24*(MAX('Max rate concentrations'!$R$3:$R$368))/F195)*(inputs!$E$73*3.4/inputs!$E$75)</f>
        <v>3.4204901501177297E-2</v>
      </c>
      <c r="S195" s="59">
        <f>(IF(inputs!$C$17="aerial",((0.025*0.112*inputs!$C$18/3.3)*(3*60*284*((F195/1000)^0.77))*MAX(inputs!$I$14:$I$16))/F195,((0.0083*0.112*inputs!$C$18/1)*(3*60*284*((F195/1000)^0.77))*MAX(inputs!$I$14:$I$16))/F195))*(inputs!E$75*3.4/inputs!$E$73)</f>
        <v>0.18864213327030813</v>
      </c>
      <c r="T195" s="63">
        <f>IF((((inputs!$P$13/(V195/MAX(K195:S195)))^(1/inputs!$O$13))-1)/inputs!$N$13&lt;0, 0, IF((((inputs!$P$13/(V195/MAX(K195:S195)))^(1/inputs!$O$13))-1)/inputs!$N$13&lt;inputs!$I$17, (((inputs!$P$13/(V195/MAX(K195:S195)))^(1/inputs!$O$13))-1)/inputs!$N$13, inputs!$I$17))</f>
        <v>1000</v>
      </c>
      <c r="U195" s="63">
        <f>IF((((inputs!$P$13/(X195/MAX(K195:S195)))^(1/inputs!$O$13))-1)/inputs!$N$13&lt;0, 0, IF((((inputs!$P$13/(X195/MAX(K195:S195)))^(1/inputs!$O$13))-1)/inputs!$N$13&lt;inputs!$I$17, (((inputs!$P$13/(X195/MAX(K195:S195)))^(1/inputs!$O$13))-1)/inputs!$N$13, inputs!$I$17))</f>
        <v>30.487944903281317</v>
      </c>
      <c r="V195" s="21">
        <f>inputs!$E$78*(F195/inputs!$F$78)^(inputs!$E$84-1)</f>
        <v>1.1104404851702795E-2</v>
      </c>
      <c r="W195" s="21">
        <f>inputs!$E$85*(F195/inputs!$F$85)^(inputs!$E$84-1)</f>
        <v>0.51278095994263584</v>
      </c>
      <c r="X195" s="21">
        <f>inputs!$E$80*(F195/inputs!$F$80)^(inputs!$E$84-1)</f>
        <v>1.9148149770009817</v>
      </c>
      <c r="Y195" s="21">
        <f>inputs!$E$82*(F195/inputs!$F$82)^(inputs!$E$84-1)</f>
        <v>0.88250796453006419</v>
      </c>
      <c r="Z195" s="63">
        <f t="shared" si="18"/>
        <v>1759.242289267705</v>
      </c>
      <c r="AA195" s="63">
        <f t="shared" si="19"/>
        <v>38.09684863191962</v>
      </c>
    </row>
    <row r="196" spans="1:27" ht="13.2" x14ac:dyDescent="0.25">
      <c r="A196" s="103" t="s">
        <v>238</v>
      </c>
      <c r="B196" s="20" t="s">
        <v>239</v>
      </c>
      <c r="C196" s="20" t="s">
        <v>73</v>
      </c>
      <c r="D196" s="104" t="s">
        <v>240</v>
      </c>
      <c r="E196" s="15">
        <v>108</v>
      </c>
      <c r="F196" s="15">
        <v>427</v>
      </c>
      <c r="G196" s="20" t="s">
        <v>142</v>
      </c>
      <c r="H196" s="20">
        <v>0.69</v>
      </c>
      <c r="I196" s="68">
        <f>MAX('Max rate concentrations'!$H$3:$H$368)</f>
        <v>282</v>
      </c>
      <c r="J196" s="68">
        <f>MAX('Max rate concentrations'!AA:AA)</f>
        <v>195</v>
      </c>
      <c r="K196" s="69">
        <f t="shared" si="17"/>
        <v>60.600662109436264</v>
      </c>
      <c r="L196" s="69">
        <f t="shared" si="16"/>
        <v>41.904713160780389</v>
      </c>
      <c r="M196" s="69">
        <f>IF((((1.18*F196^0.874)/3.7-(0.301*F196^0.751)/(1-H196)*H196)*(MAX('Max rate concentrations'!$P$3:$P$368)))/F196&gt;0, (((1.18*F196^0.874)/3.7-(0.301*F196^0.751)/(1-H196)*H196)*(MAX('Max rate concentrations'!$P$3:$P$368)))/F196, 0)</f>
        <v>3.480661484068439E-4</v>
      </c>
      <c r="N196" s="69">
        <f>IF((((1.18*F196^0.874)/3.7-(0.301*F196^0.751)/(1-H196)*H196)*(MAX('Max rate concentrations'!$Q$3:$Q$368)))/F196&gt;0, (((1.18*F196^0.874)/3.7-(0.301*F196^0.751)/(1-H196)*H196)*(MAX('Max rate concentrations'!$Q$3:$Q$368)))/F196, 0)</f>
        <v>1.3254545953139516E-3</v>
      </c>
      <c r="O196" s="69">
        <f>((MAX('Max rate concentrations'!$F$3:$F$368))*0.62*6.01*8*(10*F196^0.667)*0.079*0.1/F196)*inputs!$E$80/(10^(0.84+0.62*LOG10(inputs!$E$80)))</f>
        <v>19.535338612265036</v>
      </c>
      <c r="P196" s="69">
        <f>((MAX('Max rate concentrations'!Y:Y))*0.62*6.01*8*(10*F196^0.667)*0.079*0.1/F196)*inputs!$E$80/(10^(0.84+0.62*LOG10(inputs!$E$80)))</f>
        <v>6.5117795374216776</v>
      </c>
      <c r="Q196" s="69">
        <f>(inputs!$C$18*11.2*(10*F196^0.667)*0.5/F196)*inputs!$E$80/(10^(0.84+0.62*LOG10(inputs!$E$80)))</f>
        <v>3.4410577566004652</v>
      </c>
      <c r="R196" s="59">
        <f>(60*284*((F196/1000)^0.77)*3*24*(MAX('Max rate concentrations'!$R$3:$R$368))/F196)*(inputs!$E$73*3.4/inputs!$E$75)</f>
        <v>3.4204901501177297E-2</v>
      </c>
      <c r="S196" s="59">
        <f>(IF(inputs!$C$17="aerial",((0.025*0.112*inputs!$C$18/3.3)*(3*60*284*((F196/1000)^0.77))*MAX(inputs!$I$14:$I$16))/F196,((0.0083*0.112*inputs!$C$18/1)*(3*60*284*((F196/1000)^0.77))*MAX(inputs!$I$14:$I$16))/F196))*(inputs!E$75*3.4/inputs!$E$73)</f>
        <v>0.18864213327030813</v>
      </c>
      <c r="T196" s="63">
        <f>IF((((inputs!$P$13/(V196/MAX(K196:S196)))^(1/inputs!$O$13))-1)/inputs!$N$13&lt;0, 0, IF((((inputs!$P$13/(V196/MAX(K196:S196)))^(1/inputs!$O$13))-1)/inputs!$N$13&lt;inputs!$I$17, (((inputs!$P$13/(V196/MAX(K196:S196)))^(1/inputs!$O$13))-1)/inputs!$N$13, inputs!$I$17))</f>
        <v>1000</v>
      </c>
      <c r="U196" s="63">
        <f>IF((((inputs!$P$13/(X196/MAX(K196:S196)))^(1/inputs!$O$13))-1)/inputs!$N$13&lt;0, 0, IF((((inputs!$P$13/(X196/MAX(K196:S196)))^(1/inputs!$O$13))-1)/inputs!$N$13&lt;inputs!$I$17, (((inputs!$P$13/(X196/MAX(K196:S196)))^(1/inputs!$O$13))-1)/inputs!$N$13, inputs!$I$17))</f>
        <v>83.988459326406058</v>
      </c>
      <c r="V196" s="21">
        <f>inputs!$E$78*(F196/inputs!$F$78)^(inputs!$E$84-1)</f>
        <v>1.1104404851702795E-2</v>
      </c>
      <c r="W196" s="21">
        <f>inputs!$E$85*(F196/inputs!$F$85)^(inputs!$E$84-1)</f>
        <v>0.51278095994263584</v>
      </c>
      <c r="X196" s="21">
        <f>inputs!$E$80*(F196/inputs!$F$80)^(inputs!$E$84-1)</f>
        <v>1.9148149770009817</v>
      </c>
      <c r="Y196" s="21">
        <f>inputs!$E$82*(F196/inputs!$F$82)^(inputs!$E$84-1)</f>
        <v>0.88250796453006419</v>
      </c>
      <c r="Z196" s="63">
        <f t="shared" si="18"/>
        <v>5457.3534483609455</v>
      </c>
      <c r="AA196" s="63">
        <f t="shared" si="19"/>
        <v>118.18040614498554</v>
      </c>
    </row>
    <row r="197" spans="1:27" ht="13.2" x14ac:dyDescent="0.25">
      <c r="A197" s="103" t="s">
        <v>238</v>
      </c>
      <c r="B197" s="20" t="s">
        <v>239</v>
      </c>
      <c r="C197" s="20" t="s">
        <v>73</v>
      </c>
      <c r="D197" s="104" t="s">
        <v>240</v>
      </c>
      <c r="E197" s="15">
        <v>108</v>
      </c>
      <c r="F197" s="15">
        <v>427</v>
      </c>
      <c r="G197" s="20" t="s">
        <v>164</v>
      </c>
      <c r="H197" s="20">
        <v>0.78</v>
      </c>
      <c r="I197" s="68">
        <f>inputs!$C$66*(inputs!$C$62/1000)</f>
        <v>8.2000000000000011</v>
      </c>
      <c r="J197" s="68">
        <f>inputs!$C$66*(inputs!$C$61/1000)</f>
        <v>2.5</v>
      </c>
      <c r="K197" s="69">
        <f t="shared" si="17"/>
        <v>2.4830251947483406</v>
      </c>
      <c r="L197" s="69">
        <f t="shared" si="16"/>
        <v>0.75701987644766466</v>
      </c>
      <c r="M197" s="69">
        <f>IF((((1.18*F197^0.874)/3.7-(0.301*F197^0.751)/(1-H197)*H197)*(MAX('Max rate concentrations'!$P$3:$P$368)))/F197&gt;0, (((1.18*F197^0.874)/3.7-(0.301*F197^0.751)/(1-H197)*H197)*(MAX('Max rate concentrations'!$P$3:$P$368)))/F197, 0)</f>
        <v>0</v>
      </c>
      <c r="N197" s="69">
        <f>IF((((1.18*F197^0.874)/3.7-(0.301*F197^0.751)/(1-H197)*H197)*(MAX('Max rate concentrations'!$Q$3:$Q$368)))/F197&gt;0, (((1.18*F197^0.874)/3.7-(0.301*F197^0.751)/(1-H197)*H197)*(MAX('Max rate concentrations'!$Q$3:$Q$368)))/F197, 0)</f>
        <v>0</v>
      </c>
      <c r="O197" s="69">
        <f>((MAX('Max rate concentrations'!$F$3:$F$368))*0.62*6.01*8*(10*F197^0.667)*0.079*0.1/F197)*inputs!$E$80/(10^(0.84+0.62*LOG10(inputs!$E$80)))</f>
        <v>19.535338612265036</v>
      </c>
      <c r="P197" s="69">
        <f>((MAX('Max rate concentrations'!Y:Y))*0.62*6.01*8*(10*F197^0.667)*0.079*0.1/F197)*inputs!$E$80/(10^(0.84+0.62*LOG10(inputs!$E$80)))</f>
        <v>6.5117795374216776</v>
      </c>
      <c r="Q197" s="69">
        <f>(inputs!$C$18*11.2*(10*F197^0.667)*0.5/F197)*inputs!$E$80/(10^(0.84+0.62*LOG10(inputs!$E$80)))</f>
        <v>3.4410577566004652</v>
      </c>
      <c r="R197" s="59">
        <f>(60*284*((F197/1000)^0.77)*3*24*(MAX('Max rate concentrations'!$R$3:$R$368))/F197)*(inputs!$E$73*3.4/inputs!$E$75)</f>
        <v>3.4204901501177297E-2</v>
      </c>
      <c r="S197" s="59">
        <f>(IF(inputs!$C$17="aerial",((0.025*0.112*inputs!$C$18/3.3)*(3*60*284*((F197/1000)^0.77))*MAX(inputs!$I$14:$I$16))/F197,((0.0083*0.112*inputs!$C$18/1)*(3*60*284*((F197/1000)^0.77))*MAX(inputs!$I$14:$I$16))/F197))*(inputs!E$75*3.4/inputs!$E$73)</f>
        <v>0.18864213327030813</v>
      </c>
      <c r="T197" s="63">
        <f>IF((((inputs!$P$13/(V197/MAX(K197:S197)))^(1/inputs!$O$13))-1)/inputs!$N$13&lt;0, 0, IF((((inputs!$P$13/(V197/MAX(K197:S197)))^(1/inputs!$O$13))-1)/inputs!$N$13&lt;inputs!$I$17, (((inputs!$P$13/(V197/MAX(K197:S197)))^(1/inputs!$O$13))-1)/inputs!$N$13, inputs!$I$17))</f>
        <v>1000</v>
      </c>
      <c r="U197" s="63">
        <f>IF((((inputs!$P$13/(X197/MAX(K197:S197)))^(1/inputs!$O$13))-1)/inputs!$N$13&lt;0, 0, IF((((inputs!$P$13/(X197/MAX(K197:S197)))^(1/inputs!$O$13))-1)/inputs!$N$13&lt;inputs!$I$17, (((inputs!$P$13/(X197/MAX(K197:S197)))^(1/inputs!$O$13))-1)/inputs!$N$13, inputs!$I$17))</f>
        <v>30.487944903281317</v>
      </c>
      <c r="V197" s="21">
        <f>inputs!$E$78*(F197/inputs!$F$78)^(inputs!$E$84-1)</f>
        <v>1.1104404851702795E-2</v>
      </c>
      <c r="W197" s="21">
        <f>inputs!$E$85*(F197/inputs!$F$85)^(inputs!$E$84-1)</f>
        <v>0.51278095994263584</v>
      </c>
      <c r="X197" s="21">
        <f>inputs!$E$80*(F197/inputs!$F$80)^(inputs!$E$84-1)</f>
        <v>1.9148149770009817</v>
      </c>
      <c r="Y197" s="21">
        <f>inputs!$E$82*(F197/inputs!$F$82)^(inputs!$E$84-1)</f>
        <v>0.88250796453006419</v>
      </c>
      <c r="Z197" s="63">
        <f t="shared" si="18"/>
        <v>1759.242289267705</v>
      </c>
      <c r="AA197" s="63">
        <f t="shared" si="19"/>
        <v>38.09684863191962</v>
      </c>
    </row>
    <row r="198" spans="1:27" ht="13.2" x14ac:dyDescent="0.25">
      <c r="A198" s="103" t="s">
        <v>238</v>
      </c>
      <c r="B198" s="20" t="s">
        <v>239</v>
      </c>
      <c r="C198" s="20" t="s">
        <v>73</v>
      </c>
      <c r="D198" s="104" t="s">
        <v>240</v>
      </c>
      <c r="E198" s="15">
        <v>108</v>
      </c>
      <c r="F198" s="15">
        <v>427</v>
      </c>
      <c r="G198" s="49" t="s">
        <v>186</v>
      </c>
      <c r="H198" s="49">
        <v>0.75</v>
      </c>
      <c r="I198" s="68">
        <f>inputs!$C$66*inputs!$C$64/1000</f>
        <v>21.3</v>
      </c>
      <c r="J198" s="68">
        <f>inputs!$C$66*inputs!$C$63/1000</f>
        <v>8.8000000000000007</v>
      </c>
      <c r="K198" s="69">
        <f t="shared" si="17"/>
        <v>5.6758322256540099</v>
      </c>
      <c r="L198" s="69">
        <f t="shared" si="16"/>
        <v>2.344944769284286</v>
      </c>
      <c r="M198" s="69">
        <f>IF((((1.18*F198^0.874)/3.7-(0.301*F198^0.751)/(1-H198)*H198)*(MAX('Max rate concentrations'!$P$3:$P$368)))/F198&gt;0, (((1.18*F198^0.874)/3.7-(0.301*F198^0.751)/(1-H198)*H198)*(MAX('Max rate concentrations'!$P$3:$P$368)))/F198, 0)</f>
        <v>0</v>
      </c>
      <c r="N198" s="69">
        <f>IF((((1.18*F198^0.874)/3.7-(0.301*F198^0.751)/(1-H198)*H198)*(MAX('Max rate concentrations'!$Q$3:$Q$368)))/F198&gt;0, (((1.18*F198^0.874)/3.7-(0.301*F198^0.751)/(1-H198)*H198)*(MAX('Max rate concentrations'!$Q$3:$Q$368)))/F198, 0)</f>
        <v>0</v>
      </c>
      <c r="O198" s="69">
        <f>((MAX('Max rate concentrations'!$F$3:$F$368))*0.62*6.01*8*(10*F198^0.667)*0.079*0.1/F198)*inputs!$E$80/(10^(0.84+0.62*LOG10(inputs!$E$80)))</f>
        <v>19.535338612265036</v>
      </c>
      <c r="P198" s="69">
        <f>((MAX('Max rate concentrations'!Y:Y))*0.62*6.01*8*(10*F198^0.667)*0.079*0.1/F198)*inputs!$E$80/(10^(0.84+0.62*LOG10(inputs!$E$80)))</f>
        <v>6.5117795374216776</v>
      </c>
      <c r="Q198" s="69">
        <f>(inputs!$C$18*11.2*(10*F198^0.667)*0.5/F198)*inputs!$E$80/(10^(0.84+0.62*LOG10(inputs!$E$80)))</f>
        <v>3.4410577566004652</v>
      </c>
      <c r="R198" s="59">
        <f>(60*284*((F198/1000)^0.77)*3*24*(MAX('Max rate concentrations'!$R$3:$R$368))/F198)*(inputs!$E$73*3.4/inputs!$E$75)</f>
        <v>3.4204901501177297E-2</v>
      </c>
      <c r="S198" s="59">
        <f>(IF(inputs!$C$17="aerial",((0.025*0.112*inputs!$C$18/3.3)*(3*60*284*((F198/1000)^0.77))*MAX(inputs!$I$14:$I$16))/F198,((0.0083*0.112*inputs!$C$18/1)*(3*60*284*((F198/1000)^0.77))*MAX(inputs!$I$14:$I$16))/F198))*(inputs!E$75*3.4/inputs!$E$73)</f>
        <v>0.18864213327030813</v>
      </c>
      <c r="T198" s="63">
        <f>IF((((inputs!$P$13/(V198/MAX(K198:S198)))^(1/inputs!$O$13))-1)/inputs!$N$13&lt;0, 0, IF((((inputs!$P$13/(V198/MAX(K198:S198)))^(1/inputs!$O$13))-1)/inputs!$N$13&lt;inputs!$I$17, (((inputs!$P$13/(V198/MAX(K198:S198)))^(1/inputs!$O$13))-1)/inputs!$N$13, inputs!$I$17))</f>
        <v>1000</v>
      </c>
      <c r="U198" s="63">
        <f>IF((((inputs!$P$13/(X198/MAX(K198:S198)))^(1/inputs!$O$13))-1)/inputs!$N$13&lt;0, 0, IF((((inputs!$P$13/(X198/MAX(K198:S198)))^(1/inputs!$O$13))-1)/inputs!$N$13&lt;inputs!$I$17, (((inputs!$P$13/(X198/MAX(K198:S198)))^(1/inputs!$O$13))-1)/inputs!$N$13, inputs!$I$17))</f>
        <v>30.487944903281317</v>
      </c>
      <c r="V198" s="21">
        <f>inputs!$E$78*(F198/inputs!$F$78)^(inputs!$E$84-1)</f>
        <v>1.1104404851702795E-2</v>
      </c>
      <c r="W198" s="21">
        <f>inputs!$E$85*(F198/inputs!$F$85)^(inputs!$E$84-1)</f>
        <v>0.51278095994263584</v>
      </c>
      <c r="X198" s="21">
        <f>inputs!$E$80*(F198/inputs!$F$80)^(inputs!$E$84-1)</f>
        <v>1.9148149770009817</v>
      </c>
      <c r="Y198" s="21">
        <f>inputs!$E$82*(F198/inputs!$F$82)^(inputs!$E$84-1)</f>
        <v>0.88250796453006419</v>
      </c>
      <c r="Z198" s="63">
        <f t="shared" si="18"/>
        <v>1759.242289267705</v>
      </c>
      <c r="AA198" s="63">
        <f t="shared" si="19"/>
        <v>38.09684863191962</v>
      </c>
    </row>
    <row r="199" spans="1:27" ht="13.2" x14ac:dyDescent="0.25">
      <c r="A199" s="114" t="s">
        <v>329</v>
      </c>
      <c r="B199" s="48" t="s">
        <v>330</v>
      </c>
      <c r="C199" s="20" t="s">
        <v>73</v>
      </c>
      <c r="D199" s="48" t="s">
        <v>240</v>
      </c>
      <c r="E199" s="15">
        <v>103</v>
      </c>
      <c r="F199" s="15">
        <v>250</v>
      </c>
      <c r="G199" s="20" t="s">
        <v>164</v>
      </c>
      <c r="H199" s="20">
        <v>0.78</v>
      </c>
      <c r="I199" s="68">
        <f>inputs!$C$66*(inputs!$C$62/1000)</f>
        <v>8.2000000000000011</v>
      </c>
      <c r="J199" s="68">
        <f>inputs!$C$66*(inputs!$C$61/1000)</f>
        <v>2.5</v>
      </c>
      <c r="K199" s="69">
        <f t="shared" si="17"/>
        <v>2.8370736162603802</v>
      </c>
      <c r="L199" s="69">
        <f t="shared" si="16"/>
        <v>0.86496146837206711</v>
      </c>
      <c r="M199" s="69">
        <f>IF((((1.18*F199^0.874)/3.7-(0.301*F199^0.751)/(1-H199)*H199)*(MAX('Max rate concentrations'!$P$3:$P$368)))/F199&gt;0, (((1.18*F199^0.874)/3.7-(0.301*F199^0.751)/(1-H199)*H199)*(MAX('Max rate concentrations'!$P$3:$P$368)))/F199, 0)</f>
        <v>0</v>
      </c>
      <c r="N199" s="69">
        <f>IF((((1.18*F199^0.874)/3.7-(0.301*F199^0.751)/(1-H199)*H199)*(MAX('Max rate concentrations'!$Q$3:$Q$368)))/F199&gt;0, (((1.18*F199^0.874)/3.7-(0.301*F199^0.751)/(1-H199)*H199)*(MAX('Max rate concentrations'!$Q$3:$Q$368)))/F199, 0)</f>
        <v>0</v>
      </c>
      <c r="O199" s="69">
        <f>((MAX('Max rate concentrations'!$F$3:$F$368))*0.62*6.01*8*(10*F199^0.667)*0.079*0.1/F199)*inputs!$E$80/(10^(0.84+0.62*LOG10(inputs!$E$80)))</f>
        <v>23.34744725179975</v>
      </c>
      <c r="P199" s="69">
        <f>((MAX('Max rate concentrations'!Y:Y))*0.62*6.01*8*(10*F199^0.667)*0.079*0.1/F199)*inputs!$E$80/(10^(0.84+0.62*LOG10(inputs!$E$80)))</f>
        <v>7.782482417266583</v>
      </c>
      <c r="Q199" s="69">
        <f>(inputs!$C$18*11.2*(10*F199^0.667)*0.5/F199)*inputs!$E$80/(10^(0.84+0.62*LOG10(inputs!$E$80)))</f>
        <v>4.1125427133464303</v>
      </c>
      <c r="R199" s="59">
        <f>(60*284*((F199/1000)^0.77)*3*24*(MAX('Max rate concentrations'!$R$3:$R$368))/F199)*(inputs!$E$73*3.4/inputs!$E$75)</f>
        <v>3.8686599134784998E-2</v>
      </c>
      <c r="S199" s="59">
        <f>(IF(inputs!$C$17="aerial",((0.025*0.112*inputs!$C$18/3.3)*(3*60*284*((F199/1000)^0.77))*MAX(inputs!$I$14:$I$16))/F199,((0.0083*0.112*inputs!$C$18/1)*(3*60*284*((F199/1000)^0.77))*MAX(inputs!$I$14:$I$16))/F199))*(inputs!E$75*3.4/inputs!$E$73)</f>
        <v>0.21335897106757959</v>
      </c>
      <c r="T199" s="63">
        <f>IF((((inputs!$P$13/(V199/MAX(K199:S199)))^(1/inputs!$O$13))-1)/inputs!$N$13&lt;0, 0, IF((((inputs!$P$13/(V199/MAX(K199:S199)))^(1/inputs!$O$13))-1)/inputs!$N$13&lt;inputs!$I$17, (((inputs!$P$13/(V199/MAX(K199:S199)))^(1/inputs!$O$13))-1)/inputs!$N$13, inputs!$I$17))</f>
        <v>1000</v>
      </c>
      <c r="U199" s="63">
        <f>IF((((inputs!$P$13/(X199/MAX(K199:S199)))^(1/inputs!$O$13))-1)/inputs!$N$13&lt;0, 0, IF((((inputs!$P$13/(X199/MAX(K199:S199)))^(1/inputs!$O$13))-1)/inputs!$N$13&lt;inputs!$I$17, (((inputs!$P$13/(X199/MAX(K199:S199)))^(1/inputs!$O$13))-1)/inputs!$N$13, inputs!$I$17))</f>
        <v>29.920439834797254</v>
      </c>
      <c r="V199" s="21">
        <f>inputs!$E$78*(F199/inputs!$F$78)^(inputs!$E$84-1)</f>
        <v>1.3536793307417524E-2</v>
      </c>
      <c r="W199" s="21">
        <f>inputs!$E$85*(F199/inputs!$F$85)^(inputs!$E$84-1)</f>
        <v>0.62510417797475948</v>
      </c>
      <c r="X199" s="21">
        <f>inputs!$E$80*(F199/inputs!$F$80)^(inputs!$E$84-1)</f>
        <v>2.334249778513342</v>
      </c>
      <c r="Y199" s="21">
        <f>inputs!$E$82*(F199/inputs!$F$82)^(inputs!$E$84-1)</f>
        <v>1.0758188365368664</v>
      </c>
      <c r="Z199" s="63">
        <f t="shared" si="18"/>
        <v>1724.7398790529253</v>
      </c>
      <c r="AA199" s="63">
        <f t="shared" si="19"/>
        <v>37.349689978783786</v>
      </c>
    </row>
    <row r="200" spans="1:27" ht="13.2" x14ac:dyDescent="0.25">
      <c r="A200" s="103" t="s">
        <v>244</v>
      </c>
      <c r="B200" s="20" t="s">
        <v>245</v>
      </c>
      <c r="C200" s="20" t="s">
        <v>73</v>
      </c>
      <c r="D200" s="104" t="s">
        <v>240</v>
      </c>
      <c r="E200" s="15">
        <v>120</v>
      </c>
      <c r="F200" s="15">
        <v>334</v>
      </c>
      <c r="G200" s="20" t="s">
        <v>241</v>
      </c>
      <c r="H200" s="20">
        <v>0.8</v>
      </c>
      <c r="I200" s="68">
        <f>inputs!$C$66*inputs!$C$60/1000</f>
        <v>28</v>
      </c>
      <c r="J200" s="68">
        <f>inputs!$C$66*inputs!$C$59/1000</f>
        <v>28</v>
      </c>
      <c r="K200" s="69">
        <f t="shared" si="17"/>
        <v>9.9147475589165435</v>
      </c>
      <c r="L200" s="69">
        <f t="shared" si="16"/>
        <v>9.9147475589165435</v>
      </c>
      <c r="M200" s="69">
        <f>IF((((1.18*F200^0.874)/3.7-(0.301*F200^0.751)/(1-H200)*H200)*(MAX('Max rate concentrations'!$P$3:$P$368)))/F200&gt;0, (((1.18*F200^0.874)/3.7-(0.301*F200^0.751)/(1-H200)*H200)*(MAX('Max rate concentrations'!$P$3:$P$368)))/F200, 0)</f>
        <v>0</v>
      </c>
      <c r="N200" s="69">
        <f>IF((((1.18*F200^0.874)/3.7-(0.301*F200^0.751)/(1-H200)*H200)*(MAX('Max rate concentrations'!$Q$3:$Q$368)))/F200&gt;0, (((1.18*F200^0.874)/3.7-(0.301*F200^0.751)/(1-H200)*H200)*(MAX('Max rate concentrations'!$Q$3:$Q$368)))/F200, 0)</f>
        <v>0</v>
      </c>
      <c r="O200" s="69">
        <f>((MAX('Max rate concentrations'!$F$3:$F$368))*0.62*6.01*8*(10*F200^0.667)*0.079*0.1/F200)*inputs!$E$80/(10^(0.84+0.62*LOG10(inputs!$E$80)))</f>
        <v>21.200487733714517</v>
      </c>
      <c r="P200" s="69">
        <f>((MAX('Max rate concentrations'!Y:Y))*0.62*6.01*8*(10*F200^0.667)*0.079*0.1/F200)*inputs!$E$80/(10^(0.84+0.62*LOG10(inputs!$E$80)))</f>
        <v>7.0668292445715055</v>
      </c>
      <c r="Q200" s="69">
        <f>(inputs!$C$18*11.2*(10*F200^0.667)*0.5/F200)*inputs!$E$80/(10^(0.84+0.62*LOG10(inputs!$E$80)))</f>
        <v>3.7343659205379343</v>
      </c>
      <c r="R200" s="59">
        <f>(60*284*((F200/1000)^0.77)*3*24*(MAX('Max rate concentrations'!$R$3:$R$368))/F200)*(inputs!$E$73*3.4/inputs!$E$75)</f>
        <v>3.6193040436205484E-2</v>
      </c>
      <c r="S200" s="59">
        <f>(IF(inputs!$C$17="aerial",((0.025*0.112*inputs!$C$18/3.3)*(3*60*284*((F200/1000)^0.77))*MAX(inputs!$I$14:$I$16))/F200,((0.0083*0.112*inputs!$C$18/1)*(3*60*284*((F200/1000)^0.77))*MAX(inputs!$I$14:$I$16))/F200))*(inputs!E$75*3.4/inputs!$E$73)</f>
        <v>0.19960684164488321</v>
      </c>
      <c r="T200" s="63">
        <f>IF((((inputs!$P$13/(V200/MAX(K200:S200)))^(1/inputs!$O$13))-1)/inputs!$N$13&lt;0, 0, IF((((inputs!$P$13/(V200/MAX(K200:S200)))^(1/inputs!$O$13))-1)/inputs!$N$13&lt;inputs!$I$17, (((inputs!$P$13/(V200/MAX(K200:S200)))^(1/inputs!$O$13))-1)/inputs!$N$13, inputs!$I$17))</f>
        <v>1000</v>
      </c>
      <c r="U200" s="63">
        <f>IF((((inputs!$P$13/(X200/MAX(K200:S200)))^(1/inputs!$O$13))-1)/inputs!$N$13&lt;0, 0, IF((((inputs!$P$13/(X200/MAX(K200:S200)))^(1/inputs!$O$13))-1)/inputs!$N$13&lt;inputs!$I$17, (((inputs!$P$13/(X200/MAX(K200:S200)))^(1/inputs!$O$13))-1)/inputs!$N$13, inputs!$I$17))</f>
        <v>30.226405794479078</v>
      </c>
      <c r="V200" s="21">
        <f>inputs!$E$78*(F200/inputs!$F$78)^(inputs!$E$84-1)</f>
        <v>1.2160947350059152E-2</v>
      </c>
      <c r="W200" s="21">
        <f>inputs!$E$85*(F200/inputs!$F$85)^(inputs!$E$84-1)</f>
        <v>0.56157014619463785</v>
      </c>
      <c r="X200" s="21">
        <f>inputs!$E$80*(F200/inputs!$F$80)^(inputs!$E$84-1)</f>
        <v>2.0970024446508626</v>
      </c>
      <c r="Y200" s="21">
        <f>inputs!$E$82*(F200/inputs!$F$82)^(inputs!$E$84-1)</f>
        <v>0.96647528939943783</v>
      </c>
      <c r="Z200" s="63">
        <f t="shared" si="18"/>
        <v>1743.3253449297597</v>
      </c>
      <c r="AA200" s="63">
        <f t="shared" si="19"/>
        <v>37.752163068808358</v>
      </c>
    </row>
    <row r="201" spans="1:27" ht="13.2" x14ac:dyDescent="0.25">
      <c r="A201" s="103" t="s">
        <v>244</v>
      </c>
      <c r="B201" s="20" t="s">
        <v>245</v>
      </c>
      <c r="C201" s="20" t="s">
        <v>73</v>
      </c>
      <c r="D201" s="104" t="s">
        <v>240</v>
      </c>
      <c r="E201" s="15">
        <v>120</v>
      </c>
      <c r="F201" s="15">
        <v>334</v>
      </c>
      <c r="G201" s="20" t="s">
        <v>142</v>
      </c>
      <c r="H201" s="20">
        <v>0.69</v>
      </c>
      <c r="I201" s="68">
        <f>MAX('Max rate concentrations'!$H$3:$H$368)</f>
        <v>282</v>
      </c>
      <c r="J201" s="68">
        <f>MAX('Max rate concentrations'!AA:AA)</f>
        <v>195</v>
      </c>
      <c r="K201" s="69">
        <f t="shared" si="17"/>
        <v>64.423014092499187</v>
      </c>
      <c r="L201" s="69">
        <f t="shared" si="16"/>
        <v>44.547828893749433</v>
      </c>
      <c r="M201" s="69">
        <f>IF((((1.18*F201^0.874)/3.7-(0.301*F201^0.751)/(1-H201)*H201)*(MAX('Max rate concentrations'!$P$3:$P$368)))/F201&gt;0, (((1.18*F201^0.874)/3.7-(0.301*F201^0.751)/(1-H201)*H201)*(MAX('Max rate concentrations'!$P$3:$P$368)))/F201, 0)</f>
        <v>0</v>
      </c>
      <c r="N201" s="69">
        <f>IF((((1.18*F201^0.874)/3.7-(0.301*F201^0.751)/(1-H201)*H201)*(MAX('Max rate concentrations'!$Q$3:$Q$368)))/F201&gt;0, (((1.18*F201^0.874)/3.7-(0.301*F201^0.751)/(1-H201)*H201)*(MAX('Max rate concentrations'!$Q$3:$Q$368)))/F201, 0)</f>
        <v>0</v>
      </c>
      <c r="O201" s="69">
        <f>((MAX('Max rate concentrations'!$F$3:$F$368))*0.62*6.01*8*(10*F201^0.667)*0.079*0.1/F201)*inputs!$E$80/(10^(0.84+0.62*LOG10(inputs!$E$80)))</f>
        <v>21.200487733714517</v>
      </c>
      <c r="P201" s="69">
        <f>((MAX('Max rate concentrations'!Y:Y))*0.62*6.01*8*(10*F201^0.667)*0.079*0.1/F201)*inputs!$E$80/(10^(0.84+0.62*LOG10(inputs!$E$80)))</f>
        <v>7.0668292445715055</v>
      </c>
      <c r="Q201" s="69">
        <f>(inputs!$C$18*11.2*(10*F201^0.667)*0.5/F201)*inputs!$E$80/(10^(0.84+0.62*LOG10(inputs!$E$80)))</f>
        <v>3.7343659205379343</v>
      </c>
      <c r="R201" s="59">
        <f>(60*284*((F201/1000)^0.77)*3*24*(MAX('Max rate concentrations'!$R$3:$R$368))/F201)*(inputs!$E$73*3.4/inputs!$E$75)</f>
        <v>3.6193040436205484E-2</v>
      </c>
      <c r="S201" s="59">
        <f>(IF(inputs!$C$17="aerial",((0.025*0.112*inputs!$C$18/3.3)*(3*60*284*((F201/1000)^0.77))*MAX(inputs!$I$14:$I$16))/F201,((0.0083*0.112*inputs!$C$18/1)*(3*60*284*((F201/1000)^0.77))*MAX(inputs!$I$14:$I$16))/F201))*(inputs!E$75*3.4/inputs!$E$73)</f>
        <v>0.19960684164488321</v>
      </c>
      <c r="T201" s="63">
        <f>IF((((inputs!$P$13/(V201/MAX(K201:S201)))^(1/inputs!$O$13))-1)/inputs!$N$13&lt;0, 0, IF((((inputs!$P$13/(V201/MAX(K201:S201)))^(1/inputs!$O$13))-1)/inputs!$N$13&lt;inputs!$I$17, (((inputs!$P$13/(V201/MAX(K201:S201)))^(1/inputs!$O$13))-1)/inputs!$N$13, inputs!$I$17))</f>
        <v>1000</v>
      </c>
      <c r="U201" s="63">
        <f>IF((((inputs!$P$13/(X201/MAX(K201:S201)))^(1/inputs!$O$13))-1)/inputs!$N$13&lt;0, 0, IF((((inputs!$P$13/(X201/MAX(K201:S201)))^(1/inputs!$O$13))-1)/inputs!$N$13&lt;inputs!$I$17, (((inputs!$P$13/(X201/MAX(K201:S201)))^(1/inputs!$O$13))-1)/inputs!$N$13, inputs!$I$17))</f>
        <v>81.869641094622921</v>
      </c>
      <c r="V201" s="21">
        <f>inputs!$E$78*(F201/inputs!$F$78)^(inputs!$E$84-1)</f>
        <v>1.2160947350059152E-2</v>
      </c>
      <c r="W201" s="21">
        <f>inputs!$E$85*(F201/inputs!$F$85)^(inputs!$E$84-1)</f>
        <v>0.56157014619463785</v>
      </c>
      <c r="X201" s="21">
        <f>inputs!$E$80*(F201/inputs!$F$80)^(inputs!$E$84-1)</f>
        <v>2.0970024446508626</v>
      </c>
      <c r="Y201" s="21">
        <f>inputs!$E$82*(F201/inputs!$F$82)^(inputs!$E$84-1)</f>
        <v>0.96647528939943783</v>
      </c>
      <c r="Z201" s="63">
        <f t="shared" si="18"/>
        <v>5297.5325225946171</v>
      </c>
      <c r="AA201" s="63">
        <f t="shared" si="19"/>
        <v>114.71944249360158</v>
      </c>
    </row>
    <row r="202" spans="1:27" ht="13.2" x14ac:dyDescent="0.25">
      <c r="A202" s="103" t="s">
        <v>244</v>
      </c>
      <c r="B202" s="20" t="s">
        <v>245</v>
      </c>
      <c r="C202" s="20" t="s">
        <v>73</v>
      </c>
      <c r="D202" s="104" t="s">
        <v>240</v>
      </c>
      <c r="E202" s="15">
        <v>120</v>
      </c>
      <c r="F202" s="15">
        <v>334</v>
      </c>
      <c r="G202" s="20" t="s">
        <v>164</v>
      </c>
      <c r="H202" s="20">
        <v>0.78</v>
      </c>
      <c r="I202" s="68">
        <f>inputs!$C$66*(inputs!$C$62/1000)</f>
        <v>8.2000000000000011</v>
      </c>
      <c r="J202" s="68">
        <f>inputs!$C$66*(inputs!$C$61/1000)</f>
        <v>2.5</v>
      </c>
      <c r="K202" s="69">
        <f t="shared" si="17"/>
        <v>2.6396405838673922</v>
      </c>
      <c r="L202" s="69">
        <f t="shared" si="16"/>
        <v>0.80476847069127788</v>
      </c>
      <c r="M202" s="69">
        <f>IF((((1.18*F202^0.874)/3.7-(0.301*F202^0.751)/(1-H202)*H202)*(MAX('Max rate concentrations'!$P$3:$P$368)))/F202&gt;0, (((1.18*F202^0.874)/3.7-(0.301*F202^0.751)/(1-H202)*H202)*(MAX('Max rate concentrations'!$P$3:$P$368)))/F202, 0)</f>
        <v>0</v>
      </c>
      <c r="N202" s="69">
        <f>IF((((1.18*F202^0.874)/3.7-(0.301*F202^0.751)/(1-H202)*H202)*(MAX('Max rate concentrations'!$Q$3:$Q$368)))/F202&gt;0, (((1.18*F202^0.874)/3.7-(0.301*F202^0.751)/(1-H202)*H202)*(MAX('Max rate concentrations'!$Q$3:$Q$368)))/F202, 0)</f>
        <v>0</v>
      </c>
      <c r="O202" s="69">
        <f>((MAX('Max rate concentrations'!$F$3:$F$368))*0.62*6.01*8*(10*F202^0.667)*0.079*0.1/F202)*inputs!$E$80/(10^(0.84+0.62*LOG10(inputs!$E$80)))</f>
        <v>21.200487733714517</v>
      </c>
      <c r="P202" s="69">
        <f>((MAX('Max rate concentrations'!Y:Y))*0.62*6.01*8*(10*F202^0.667)*0.079*0.1/F202)*inputs!$E$80/(10^(0.84+0.62*LOG10(inputs!$E$80)))</f>
        <v>7.0668292445715055</v>
      </c>
      <c r="Q202" s="69">
        <f>(inputs!$C$18*11.2*(10*F202^0.667)*0.5/F202)*inputs!$E$80/(10^(0.84+0.62*LOG10(inputs!$E$80)))</f>
        <v>3.7343659205379343</v>
      </c>
      <c r="R202" s="59">
        <f>(60*284*((F202/1000)^0.77)*3*24*(MAX('Max rate concentrations'!$R$3:$R$368))/F202)*(inputs!$E$73*3.4/inputs!$E$75)</f>
        <v>3.6193040436205484E-2</v>
      </c>
      <c r="S202" s="59">
        <f>(IF(inputs!$C$17="aerial",((0.025*0.112*inputs!$C$18/3.3)*(3*60*284*((F202/1000)^0.77))*MAX(inputs!$I$14:$I$16))/F202,((0.0083*0.112*inputs!$C$18/1)*(3*60*284*((F202/1000)^0.77))*MAX(inputs!$I$14:$I$16))/F202))*(inputs!E$75*3.4/inputs!$E$73)</f>
        <v>0.19960684164488321</v>
      </c>
      <c r="T202" s="63">
        <f>IF((((inputs!$P$13/(V202/MAX(K202:S202)))^(1/inputs!$O$13))-1)/inputs!$N$13&lt;0, 0, IF((((inputs!$P$13/(V202/MAX(K202:S202)))^(1/inputs!$O$13))-1)/inputs!$N$13&lt;inputs!$I$17, (((inputs!$P$13/(V202/MAX(K202:S202)))^(1/inputs!$O$13))-1)/inputs!$N$13, inputs!$I$17))</f>
        <v>1000</v>
      </c>
      <c r="U202" s="63">
        <f>IF((((inputs!$P$13/(X202/MAX(K202:S202)))^(1/inputs!$O$13))-1)/inputs!$N$13&lt;0, 0, IF((((inputs!$P$13/(X202/MAX(K202:S202)))^(1/inputs!$O$13))-1)/inputs!$N$13&lt;inputs!$I$17, (((inputs!$P$13/(X202/MAX(K202:S202)))^(1/inputs!$O$13))-1)/inputs!$N$13, inputs!$I$17))</f>
        <v>30.226405794479078</v>
      </c>
      <c r="V202" s="21">
        <f>inputs!$E$78*(F202/inputs!$F$78)^(inputs!$E$84-1)</f>
        <v>1.2160947350059152E-2</v>
      </c>
      <c r="W202" s="21">
        <f>inputs!$E$85*(F202/inputs!$F$85)^(inputs!$E$84-1)</f>
        <v>0.56157014619463785</v>
      </c>
      <c r="X202" s="21">
        <f>inputs!$E$80*(F202/inputs!$F$80)^(inputs!$E$84-1)</f>
        <v>2.0970024446508626</v>
      </c>
      <c r="Y202" s="21">
        <f>inputs!$E$82*(F202/inputs!$F$82)^(inputs!$E$84-1)</f>
        <v>0.96647528939943783</v>
      </c>
      <c r="Z202" s="63">
        <f t="shared" si="18"/>
        <v>1743.3253449297597</v>
      </c>
      <c r="AA202" s="63">
        <f t="shared" si="19"/>
        <v>37.752163068808358</v>
      </c>
    </row>
    <row r="203" spans="1:27" ht="13.2" x14ac:dyDescent="0.25">
      <c r="A203" s="103" t="s">
        <v>244</v>
      </c>
      <c r="B203" s="20" t="s">
        <v>245</v>
      </c>
      <c r="C203" s="20" t="s">
        <v>73</v>
      </c>
      <c r="D203" s="104" t="s">
        <v>240</v>
      </c>
      <c r="E203" s="15">
        <v>120</v>
      </c>
      <c r="F203" s="15">
        <v>334</v>
      </c>
      <c r="G203" s="20" t="s">
        <v>169</v>
      </c>
      <c r="H203" s="20">
        <v>0.79</v>
      </c>
      <c r="I203" s="68">
        <f>MAX('Max rate concentrations'!$D$3:$D$368)</f>
        <v>720</v>
      </c>
      <c r="J203" s="68">
        <f>MAX('Max rate concentrations'!W:W)</f>
        <v>255</v>
      </c>
      <c r="K203" s="69">
        <f t="shared" si="17"/>
        <v>242.81014429999698</v>
      </c>
      <c r="L203" s="69">
        <f t="shared" si="16"/>
        <v>85.99525943958227</v>
      </c>
      <c r="M203" s="69">
        <f>IF((((1.18*F203^0.874)/3.7-(0.301*F203^0.751)/(1-H203)*H203)*(MAX('Max rate concentrations'!$P$3:$P$368)))/F203&gt;0, (((1.18*F203^0.874)/3.7-(0.301*F203^0.751)/(1-H203)*H203)*(MAX('Max rate concentrations'!$P$3:$P$368)))/F203, 0)</f>
        <v>0</v>
      </c>
      <c r="N203" s="69">
        <f>IF((((1.18*F203^0.874)/3.7-(0.301*F203^0.751)/(1-H203)*H203)*(MAX('Max rate concentrations'!$Q$3:$Q$368)))/F203&gt;0, (((1.18*F203^0.874)/3.7-(0.301*F203^0.751)/(1-H203)*H203)*(MAX('Max rate concentrations'!$Q$3:$Q$368)))/F203, 0)</f>
        <v>0</v>
      </c>
      <c r="O203" s="69">
        <f>((MAX('Max rate concentrations'!$F$3:$F$368))*0.62*6.01*8*(10*F203^0.667)*0.079*0.1/F203)*inputs!$E$80/(10^(0.84+0.62*LOG10(inputs!$E$80)))</f>
        <v>21.200487733714517</v>
      </c>
      <c r="P203" s="69">
        <f>((MAX('Max rate concentrations'!Y:Y))*0.62*6.01*8*(10*F203^0.667)*0.079*0.1/F203)*inputs!$E$80/(10^(0.84+0.62*LOG10(inputs!$E$80)))</f>
        <v>7.0668292445715055</v>
      </c>
      <c r="Q203" s="69">
        <f>(inputs!$C$18*11.2*(10*F203^0.667)*0.5/F203)*inputs!$E$80/(10^(0.84+0.62*LOG10(inputs!$E$80)))</f>
        <v>3.7343659205379343</v>
      </c>
      <c r="R203" s="59">
        <f>(60*284*((F203/1000)^0.77)*3*24*(MAX('Max rate concentrations'!$R$3:$R$368))/F203)*(inputs!$E$73*3.4/inputs!$E$75)</f>
        <v>3.6193040436205484E-2</v>
      </c>
      <c r="S203" s="59">
        <f>(IF(inputs!$C$17="aerial",((0.025*0.112*inputs!$C$18/3.3)*(3*60*284*((F203/1000)^0.77))*MAX(inputs!$I$14:$I$16))/F203,((0.0083*0.112*inputs!$C$18/1)*(3*60*284*((F203/1000)^0.77))*MAX(inputs!$I$14:$I$16))/F203))*(inputs!E$75*3.4/inputs!$E$73)</f>
        <v>0.19960684164488321</v>
      </c>
      <c r="T203" s="63">
        <f>IF((((inputs!$P$13/(V203/MAX(K203:S203)))^(1/inputs!$O$13))-1)/inputs!$N$13&lt;0, 0, IF((((inputs!$P$13/(V203/MAX(K203:S203)))^(1/inputs!$O$13))-1)/inputs!$N$13&lt;inputs!$I$17, (((inputs!$P$13/(V203/MAX(K203:S203)))^(1/inputs!$O$13))-1)/inputs!$N$13, inputs!$I$17))</f>
        <v>1000</v>
      </c>
      <c r="U203" s="63">
        <f>IF((((inputs!$P$13/(X203/MAX(K203:S203)))^(1/inputs!$O$13))-1)/inputs!$N$13&lt;0, 0, IF((((inputs!$P$13/(X203/MAX(K203:S203)))^(1/inputs!$O$13))-1)/inputs!$N$13&lt;inputs!$I$17, (((inputs!$P$13/(X203/MAX(K203:S203)))^(1/inputs!$O$13))-1)/inputs!$N$13, inputs!$I$17))</f>
        <v>249.44346577416599</v>
      </c>
      <c r="V203" s="21">
        <f>inputs!$E$78*(F203/inputs!$F$78)^(inputs!$E$84-1)</f>
        <v>1.2160947350059152E-2</v>
      </c>
      <c r="W203" s="21">
        <f>inputs!$E$85*(F203/inputs!$F$85)^(inputs!$E$84-1)</f>
        <v>0.56157014619463785</v>
      </c>
      <c r="X203" s="21">
        <f>inputs!$E$80*(F203/inputs!$F$80)^(inputs!$E$84-1)</f>
        <v>2.0970024446508626</v>
      </c>
      <c r="Y203" s="21">
        <f>inputs!$E$82*(F203/inputs!$F$82)^(inputs!$E$84-1)</f>
        <v>0.96647528939943783</v>
      </c>
      <c r="Z203" s="63">
        <f t="shared" si="18"/>
        <v>19966.383975736557</v>
      </c>
      <c r="AA203" s="63">
        <f t="shared" si="19"/>
        <v>432.37723006706983</v>
      </c>
    </row>
    <row r="204" spans="1:27" ht="13.2" x14ac:dyDescent="0.25">
      <c r="A204" s="103" t="s">
        <v>244</v>
      </c>
      <c r="B204" s="20" t="s">
        <v>245</v>
      </c>
      <c r="C204" s="20" t="s">
        <v>73</v>
      </c>
      <c r="D204" s="104" t="s">
        <v>240</v>
      </c>
      <c r="E204" s="15">
        <v>120</v>
      </c>
      <c r="F204" s="15">
        <v>334</v>
      </c>
      <c r="G204" s="20" t="s">
        <v>158</v>
      </c>
      <c r="H204" s="20">
        <v>0.85</v>
      </c>
      <c r="I204" s="68">
        <f>MAX('Max rate concentrations'!$F$3:$F$368)</f>
        <v>405</v>
      </c>
      <c r="J204" s="68">
        <f>MAX('Max rate concentrations'!Y:Y)</f>
        <v>135</v>
      </c>
      <c r="K204" s="69">
        <f t="shared" si="17"/>
        <v>191.21298863624759</v>
      </c>
      <c r="L204" s="69">
        <f t="shared" si="16"/>
        <v>63.737662878749184</v>
      </c>
      <c r="M204" s="69">
        <f>IF((((1.18*F204^0.874)/3.7-(0.301*F204^0.751)/(1-H204)*H204)*(MAX('Max rate concentrations'!$P$3:$P$368)))/F204&gt;0, (((1.18*F204^0.874)/3.7-(0.301*F204^0.751)/(1-H204)*H204)*(MAX('Max rate concentrations'!$P$3:$P$368)))/F204, 0)</f>
        <v>0</v>
      </c>
      <c r="N204" s="69">
        <f>IF((((1.18*F204^0.874)/3.7-(0.301*F204^0.751)/(1-H204)*H204)*(MAX('Max rate concentrations'!$Q$3:$Q$368)))/F204&gt;0, (((1.18*F204^0.874)/3.7-(0.301*F204^0.751)/(1-H204)*H204)*(MAX('Max rate concentrations'!$Q$3:$Q$368)))/F204, 0)</f>
        <v>0</v>
      </c>
      <c r="O204" s="69">
        <f>((MAX('Max rate concentrations'!$F$3:$F$368))*0.62*6.01*8*(10*F204^0.667)*0.079*0.1/F204)*inputs!$E$80/(10^(0.84+0.62*LOG10(inputs!$E$80)))</f>
        <v>21.200487733714517</v>
      </c>
      <c r="P204" s="69">
        <f>((MAX('Max rate concentrations'!Y:Y))*0.62*6.01*8*(10*F204^0.667)*0.079*0.1/F204)*inputs!$E$80/(10^(0.84+0.62*LOG10(inputs!$E$80)))</f>
        <v>7.0668292445715055</v>
      </c>
      <c r="Q204" s="69">
        <f>(inputs!$C$18*11.2*(10*F204^0.667)*0.5/F204)*inputs!$E$80/(10^(0.84+0.62*LOG10(inputs!$E$80)))</f>
        <v>3.7343659205379343</v>
      </c>
      <c r="R204" s="59">
        <f>(60*284*((F204/1000)^0.77)*3*24*(MAX('Max rate concentrations'!$R$3:$R$368))/F204)*(inputs!$E$73*3.4/inputs!$E$75)</f>
        <v>3.6193040436205484E-2</v>
      </c>
      <c r="S204" s="59">
        <f>(IF(inputs!$C$17="aerial",((0.025*0.112*inputs!$C$18/3.3)*(3*60*284*((F204/1000)^0.77))*MAX(inputs!$I$14:$I$16))/F204,((0.0083*0.112*inputs!$C$18/1)*(3*60*284*((F204/1000)^0.77))*MAX(inputs!$I$14:$I$16))/F204))*(inputs!E$75*3.4/inputs!$E$73)</f>
        <v>0.19960684164488321</v>
      </c>
      <c r="T204" s="63">
        <f>IF((((inputs!$P$13/(V204/MAX(K204:S204)))^(1/inputs!$O$13))-1)/inputs!$N$13&lt;0, 0, IF((((inputs!$P$13/(V204/MAX(K204:S204)))^(1/inputs!$O$13))-1)/inputs!$N$13&lt;inputs!$I$17, (((inputs!$P$13/(V204/MAX(K204:S204)))^(1/inputs!$O$13))-1)/inputs!$N$13, inputs!$I$17))</f>
        <v>1000</v>
      </c>
      <c r="U204" s="63">
        <f>IF((((inputs!$P$13/(X204/MAX(K204:S204)))^(1/inputs!$O$13))-1)/inputs!$N$13&lt;0, 0, IF((((inputs!$P$13/(X204/MAX(K204:S204)))^(1/inputs!$O$13))-1)/inputs!$N$13&lt;inputs!$I$17, (((inputs!$P$13/(X204/MAX(K204:S204)))^(1/inputs!$O$13))-1)/inputs!$N$13, inputs!$I$17))</f>
        <v>204.70541102218331</v>
      </c>
      <c r="V204" s="21">
        <f>inputs!$E$78*(F204/inputs!$F$78)^(inputs!$E$84-1)</f>
        <v>1.2160947350059152E-2</v>
      </c>
      <c r="W204" s="21">
        <f>inputs!$E$85*(F204/inputs!$F$85)^(inputs!$E$84-1)</f>
        <v>0.56157014619463785</v>
      </c>
      <c r="X204" s="21">
        <f>inputs!$E$80*(F204/inputs!$F$80)^(inputs!$E$84-1)</f>
        <v>2.0970024446508626</v>
      </c>
      <c r="Y204" s="21">
        <f>inputs!$E$82*(F204/inputs!$F$82)^(inputs!$E$84-1)</f>
        <v>0.96647528939943783</v>
      </c>
      <c r="Z204" s="63">
        <f t="shared" si="18"/>
        <v>15723.527380892534</v>
      </c>
      <c r="AA204" s="63">
        <f t="shared" si="19"/>
        <v>340.49706867781742</v>
      </c>
    </row>
    <row r="205" spans="1:27" ht="13.2" x14ac:dyDescent="0.25">
      <c r="A205" s="103" t="s">
        <v>253</v>
      </c>
      <c r="B205" s="20" t="s">
        <v>254</v>
      </c>
      <c r="C205" s="20" t="s">
        <v>73</v>
      </c>
      <c r="D205" s="104" t="s">
        <v>240</v>
      </c>
      <c r="E205" s="15">
        <v>110</v>
      </c>
      <c r="F205" s="15">
        <v>2450</v>
      </c>
      <c r="G205" s="20" t="s">
        <v>182</v>
      </c>
      <c r="H205" s="20">
        <v>0.85</v>
      </c>
      <c r="I205" s="68">
        <f>MAX('Max rate concentrations'!$M$3:$M$368)</f>
        <v>17.092910873809167</v>
      </c>
      <c r="J205" s="68">
        <f>MAX('Max rate concentrations'!AE:AE)</f>
        <v>11.81956602976166</v>
      </c>
      <c r="K205" s="69">
        <f t="shared" si="17"/>
        <v>4.9134767986023604</v>
      </c>
      <c r="L205" s="69">
        <f t="shared" si="16"/>
        <v>3.3976169352037604</v>
      </c>
      <c r="M205" s="69">
        <f>IF((((1.18*F205^0.874)/3.7-(0.301*F205^0.751)/(1-H205)*H205)*(MAX('Max rate concentrations'!$P$3:$P$368)))/F205&gt;0, (((1.18*F205^0.874)/3.7-(0.301*F205^0.751)/(1-H205)*H205)*(MAX('Max rate concentrations'!$P$3:$P$368)))/F205, 0)</f>
        <v>0</v>
      </c>
      <c r="N205" s="69">
        <f>IF((((1.18*F205^0.874)/3.7-(0.301*F205^0.751)/(1-H205)*H205)*(MAX('Max rate concentrations'!$Q$3:$Q$368)))/F205&gt;0, (((1.18*F205^0.874)/3.7-(0.301*F205^0.751)/(1-H205)*H205)*(MAX('Max rate concentrations'!$Q$3:$Q$368)))/F205, 0)</f>
        <v>0</v>
      </c>
      <c r="O205" s="69">
        <f>((MAX('Max rate concentrations'!$F$3:$F$368))*0.62*6.01*8*(10*F205^0.667)*0.079*0.1/F205)*inputs!$E$80/(10^(0.84+0.62*LOG10(inputs!$E$80)))</f>
        <v>10.918453269565923</v>
      </c>
      <c r="P205" s="69">
        <f>((MAX('Max rate concentrations'!Y:Y))*0.62*6.01*8*(10*F205^0.667)*0.079*0.1/F205)*inputs!$E$80/(10^(0.84+0.62*LOG10(inputs!$E$80)))</f>
        <v>3.6394844231886418</v>
      </c>
      <c r="Q205" s="69">
        <f>(inputs!$C$18*11.2*(10*F205^0.667)*0.5/F205)*inputs!$E$80/(10^(0.84+0.62*LOG10(inputs!$E$80)))</f>
        <v>1.9232340456966024</v>
      </c>
      <c r="R205" s="59">
        <f>(60*284*((F205/1000)^0.77)*3*24*(MAX('Max rate concentrations'!$R$3:$R$368))/F205)*(inputs!$E$73*3.4/inputs!$E$75)</f>
        <v>2.2886456485971929E-2</v>
      </c>
      <c r="S205" s="59">
        <f>(IF(inputs!$C$17="aerial",((0.025*0.112*inputs!$C$18/3.3)*(3*60*284*((F205/1000)^0.77))*MAX(inputs!$I$14:$I$16))/F205,((0.0083*0.112*inputs!$C$18/1)*(3*60*284*((F205/1000)^0.77))*MAX(inputs!$I$14:$I$16))/F205))*(inputs!E$75*3.4/inputs!$E$73)</f>
        <v>0.12622021362532576</v>
      </c>
      <c r="T205" s="63">
        <f>IF((((inputs!$P$13/(V205/MAX(K205:S205)))^(1/inputs!$O$13))-1)/inputs!$N$13&lt;0, 0, IF((((inputs!$P$13/(V205/MAX(K205:S205)))^(1/inputs!$O$13))-1)/inputs!$N$13&lt;inputs!$I$17, (((inputs!$P$13/(V205/MAX(K205:S205)))^(1/inputs!$O$13))-1)/inputs!$N$13, inputs!$I$17))</f>
        <v>1000</v>
      </c>
      <c r="U205" s="63">
        <f>IF((((inputs!$P$13/(X205/MAX(K205:S205)))^(1/inputs!$O$13))-1)/inputs!$N$13&lt;0, 0, IF((((inputs!$P$13/(X205/MAX(K205:S205)))^(1/inputs!$O$13))-1)/inputs!$N$13&lt;inputs!$I$17, (((inputs!$P$13/(X205/MAX(K205:S205)))^(1/inputs!$O$13))-1)/inputs!$N$13, inputs!$I$17))</f>
        <v>32.404561854133441</v>
      </c>
      <c r="V205" s="21">
        <f>inputs!$E$78*(F205/inputs!$F$78)^(inputs!$E$84-1)</f>
        <v>5.8178450431225284E-3</v>
      </c>
      <c r="W205" s="21">
        <f>inputs!$E$85*(F205/inputs!$F$85)^(inputs!$E$84-1)</f>
        <v>0.26865736668025103</v>
      </c>
      <c r="X205" s="21">
        <f>inputs!$E$80*(F205/inputs!$F$80)^(inputs!$E$84-1)</f>
        <v>1.0032142173503045</v>
      </c>
      <c r="Y205" s="21">
        <f>inputs!$E$82*(F205/inputs!$F$82)^(inputs!$E$84-1)</f>
        <v>0.46236557974289572</v>
      </c>
      <c r="Z205" s="63">
        <f t="shared" si="18"/>
        <v>1876.7177861625923</v>
      </c>
      <c r="AA205" s="63">
        <f t="shared" si="19"/>
        <v>40.640811024403362</v>
      </c>
    </row>
    <row r="206" spans="1:27" ht="13.2" x14ac:dyDescent="0.25">
      <c r="A206" s="103" t="s">
        <v>253</v>
      </c>
      <c r="B206" s="20" t="s">
        <v>254</v>
      </c>
      <c r="C206" s="20" t="s">
        <v>73</v>
      </c>
      <c r="D206" s="104" t="s">
        <v>240</v>
      </c>
      <c r="E206" s="15">
        <v>110</v>
      </c>
      <c r="F206" s="15">
        <v>2450</v>
      </c>
      <c r="G206" s="20" t="s">
        <v>142</v>
      </c>
      <c r="H206" s="20">
        <v>0.69</v>
      </c>
      <c r="I206" s="68">
        <f>MAX('Max rate concentrations'!$H$3:$H$368)</f>
        <v>282</v>
      </c>
      <c r="J206" s="68">
        <f>MAX('Max rate concentrations'!AA:AA)</f>
        <v>195</v>
      </c>
      <c r="K206" s="69">
        <f t="shared" si="17"/>
        <v>39.223970632127909</v>
      </c>
      <c r="L206" s="69">
        <f t="shared" si="16"/>
        <v>27.122958415833128</v>
      </c>
      <c r="M206" s="69">
        <f>IF((((1.18*F206^0.874)/3.7-(0.301*F206^0.751)/(1-H206)*H206)*(MAX('Max rate concentrations'!$P$3:$P$368)))/F206&gt;0, (((1.18*F206^0.874)/3.7-(0.301*F206^0.751)/(1-H206)*H206)*(MAX('Max rate concentrations'!$P$3:$P$368)))/F206, 0)</f>
        <v>2.0315909266728858E-2</v>
      </c>
      <c r="N206" s="69">
        <f>IF((((1.18*F206^0.874)/3.7-(0.301*F206^0.751)/(1-H206)*H206)*(MAX('Max rate concentrations'!$Q$3:$Q$368)))/F206&gt;0, (((1.18*F206^0.874)/3.7-(0.301*F206^0.751)/(1-H206)*H206)*(MAX('Max rate concentrations'!$Q$3:$Q$368)))/F206, 0)</f>
        <v>7.7364074095743293E-2</v>
      </c>
      <c r="O206" s="69">
        <f>((MAX('Max rate concentrations'!$F$3:$F$368))*0.62*6.01*8*(10*F206^0.667)*0.079*0.1/F206)*inputs!$E$80/(10^(0.84+0.62*LOG10(inputs!$E$80)))</f>
        <v>10.918453269565923</v>
      </c>
      <c r="P206" s="69">
        <f>((MAX('Max rate concentrations'!Y:Y))*0.62*6.01*8*(10*F206^0.667)*0.079*0.1/F206)*inputs!$E$80/(10^(0.84+0.62*LOG10(inputs!$E$80)))</f>
        <v>3.6394844231886418</v>
      </c>
      <c r="Q206" s="69">
        <f>(inputs!$C$18*11.2*(10*F206^0.667)*0.5/F206)*inputs!$E$80/(10^(0.84+0.62*LOG10(inputs!$E$80)))</f>
        <v>1.9232340456966024</v>
      </c>
      <c r="R206" s="59">
        <f>(60*284*((F206/1000)^0.77)*3*24*(MAX('Max rate concentrations'!$R$3:$R$368))/F206)*(inputs!$E$73*3.4/inputs!$E$75)</f>
        <v>2.2886456485971929E-2</v>
      </c>
      <c r="S206" s="59">
        <f>(IF(inputs!$C$17="aerial",((0.025*0.112*inputs!$C$18/3.3)*(3*60*284*((F206/1000)^0.77))*MAX(inputs!$I$14:$I$16))/F206,((0.0083*0.112*inputs!$C$18/1)*(3*60*284*((F206/1000)^0.77))*MAX(inputs!$I$14:$I$16))/F206))*(inputs!E$75*3.4/inputs!$E$73)</f>
        <v>0.12622021362532576</v>
      </c>
      <c r="T206" s="63">
        <f>IF((((inputs!$P$13/(V206/MAX(K206:S206)))^(1/inputs!$O$13))-1)/inputs!$N$13&lt;0, 0, IF((((inputs!$P$13/(V206/MAX(K206:S206)))^(1/inputs!$O$13))-1)/inputs!$N$13&lt;inputs!$I$17, (((inputs!$P$13/(V206/MAX(K206:S206)))^(1/inputs!$O$13))-1)/inputs!$N$13, inputs!$I$17))</f>
        <v>1000</v>
      </c>
      <c r="U206" s="63">
        <f>IF((((inputs!$P$13/(X206/MAX(K206:S206)))^(1/inputs!$O$13))-1)/inputs!$N$13&lt;0, 0, IF((((inputs!$P$13/(X206/MAX(K206:S206)))^(1/inputs!$O$13))-1)/inputs!$N$13&lt;inputs!$I$17, (((inputs!$P$13/(X206/MAX(K206:S206)))^(1/inputs!$O$13))-1)/inputs!$N$13, inputs!$I$17))</f>
        <v>100.62087542369413</v>
      </c>
      <c r="V206" s="21">
        <f>inputs!$E$78*(F206/inputs!$F$78)^(inputs!$E$84-1)</f>
        <v>5.8178450431225284E-3</v>
      </c>
      <c r="W206" s="21">
        <f>inputs!$E$85*(F206/inputs!$F$85)^(inputs!$E$84-1)</f>
        <v>0.26865736668025103</v>
      </c>
      <c r="X206" s="21">
        <f>inputs!$E$80*(F206/inputs!$F$80)^(inputs!$E$84-1)</f>
        <v>1.0032142173503045</v>
      </c>
      <c r="Y206" s="21">
        <f>inputs!$E$82*(F206/inputs!$F$82)^(inputs!$E$84-1)</f>
        <v>0.46236557974289572</v>
      </c>
      <c r="Z206" s="63">
        <f t="shared" si="18"/>
        <v>6742.0102016116589</v>
      </c>
      <c r="AA206" s="63">
        <f t="shared" si="19"/>
        <v>145.99998174928609</v>
      </c>
    </row>
    <row r="207" spans="1:27" ht="13.2" x14ac:dyDescent="0.25">
      <c r="A207" s="103" t="s">
        <v>253</v>
      </c>
      <c r="B207" s="20" t="s">
        <v>254</v>
      </c>
      <c r="C207" s="20" t="s">
        <v>73</v>
      </c>
      <c r="D207" s="104" t="s">
        <v>240</v>
      </c>
      <c r="E207" s="15">
        <v>110</v>
      </c>
      <c r="F207" s="15">
        <v>2450</v>
      </c>
      <c r="G207" s="20" t="s">
        <v>164</v>
      </c>
      <c r="H207" s="20">
        <v>0.78</v>
      </c>
      <c r="I207" s="68">
        <f>inputs!$C$66*(inputs!$C$62/1000)</f>
        <v>8.2000000000000011</v>
      </c>
      <c r="J207" s="68">
        <f>inputs!$C$66*(inputs!$C$61/1000)</f>
        <v>2.5</v>
      </c>
      <c r="K207" s="69">
        <f t="shared" si="17"/>
        <v>1.6071459275768727</v>
      </c>
      <c r="L207" s="69">
        <f t="shared" si="16"/>
        <v>0.48998351450514405</v>
      </c>
      <c r="M207" s="69">
        <f>IF((((1.18*F207^0.874)/3.7-(0.301*F207^0.751)/(1-H207)*H207)*(MAX('Max rate concentrations'!$P$3:$P$368)))/F207&gt;0, (((1.18*F207^0.874)/3.7-(0.301*F207^0.751)/(1-H207)*H207)*(MAX('Max rate concentrations'!$P$3:$P$368)))/F207, 0)</f>
        <v>0</v>
      </c>
      <c r="N207" s="69">
        <f>IF((((1.18*F207^0.874)/3.7-(0.301*F207^0.751)/(1-H207)*H207)*(MAX('Max rate concentrations'!$Q$3:$Q$368)))/F207&gt;0, (((1.18*F207^0.874)/3.7-(0.301*F207^0.751)/(1-H207)*H207)*(MAX('Max rate concentrations'!$Q$3:$Q$368)))/F207, 0)</f>
        <v>0</v>
      </c>
      <c r="O207" s="69">
        <f>((MAX('Max rate concentrations'!$F$3:$F$368))*0.62*6.01*8*(10*F207^0.667)*0.079*0.1/F207)*inputs!$E$80/(10^(0.84+0.62*LOG10(inputs!$E$80)))</f>
        <v>10.918453269565923</v>
      </c>
      <c r="P207" s="69">
        <f>((MAX('Max rate concentrations'!Y:Y))*0.62*6.01*8*(10*F207^0.667)*0.079*0.1/F207)*inputs!$E$80/(10^(0.84+0.62*LOG10(inputs!$E$80)))</f>
        <v>3.6394844231886418</v>
      </c>
      <c r="Q207" s="69">
        <f>(inputs!$C$18*11.2*(10*F207^0.667)*0.5/F207)*inputs!$E$80/(10^(0.84+0.62*LOG10(inputs!$E$80)))</f>
        <v>1.9232340456966024</v>
      </c>
      <c r="R207" s="59">
        <f>(60*284*((F207/1000)^0.77)*3*24*(MAX('Max rate concentrations'!$R$3:$R$368))/F207)*(inputs!$E$73*3.4/inputs!$E$75)</f>
        <v>2.2886456485971929E-2</v>
      </c>
      <c r="S207" s="59">
        <f>(IF(inputs!$C$17="aerial",((0.025*0.112*inputs!$C$18/3.3)*(3*60*284*((F207/1000)^0.77))*MAX(inputs!$I$14:$I$16))/F207,((0.0083*0.112*inputs!$C$18/1)*(3*60*284*((F207/1000)^0.77))*MAX(inputs!$I$14:$I$16))/F207))*(inputs!E$75*3.4/inputs!$E$73)</f>
        <v>0.12622021362532576</v>
      </c>
      <c r="T207" s="63">
        <f>IF((((inputs!$P$13/(V207/MAX(K207:S207)))^(1/inputs!$O$13))-1)/inputs!$N$13&lt;0, 0, IF((((inputs!$P$13/(V207/MAX(K207:S207)))^(1/inputs!$O$13))-1)/inputs!$N$13&lt;inputs!$I$17, (((inputs!$P$13/(V207/MAX(K207:S207)))^(1/inputs!$O$13))-1)/inputs!$N$13, inputs!$I$17))</f>
        <v>1000</v>
      </c>
      <c r="U207" s="63">
        <f>IF((((inputs!$P$13/(X207/MAX(K207:S207)))^(1/inputs!$O$13))-1)/inputs!$N$13&lt;0, 0, IF((((inputs!$P$13/(X207/MAX(K207:S207)))^(1/inputs!$O$13))-1)/inputs!$N$13&lt;inputs!$I$17, (((inputs!$P$13/(X207/MAX(K207:S207)))^(1/inputs!$O$13))-1)/inputs!$N$13, inputs!$I$17))</f>
        <v>32.404561854133441</v>
      </c>
      <c r="V207" s="21">
        <f>inputs!$E$78*(F207/inputs!$F$78)^(inputs!$E$84-1)</f>
        <v>5.8178450431225284E-3</v>
      </c>
      <c r="W207" s="21">
        <f>inputs!$E$85*(F207/inputs!$F$85)^(inputs!$E$84-1)</f>
        <v>0.26865736668025103</v>
      </c>
      <c r="X207" s="21">
        <f>inputs!$E$80*(F207/inputs!$F$80)^(inputs!$E$84-1)</f>
        <v>1.0032142173503045</v>
      </c>
      <c r="Y207" s="21">
        <f>inputs!$E$82*(F207/inputs!$F$82)^(inputs!$E$84-1)</f>
        <v>0.46236557974289572</v>
      </c>
      <c r="Z207" s="63">
        <f t="shared" si="18"/>
        <v>1876.7177861625923</v>
      </c>
      <c r="AA207" s="63">
        <f t="shared" si="19"/>
        <v>40.640811024403362</v>
      </c>
    </row>
    <row r="208" spans="1:27" ht="13.2" x14ac:dyDescent="0.25">
      <c r="A208" s="103" t="s">
        <v>253</v>
      </c>
      <c r="B208" s="20" t="s">
        <v>254</v>
      </c>
      <c r="C208" s="20" t="s">
        <v>73</v>
      </c>
      <c r="D208" s="104" t="s">
        <v>240</v>
      </c>
      <c r="E208" s="15">
        <v>110</v>
      </c>
      <c r="F208" s="15">
        <v>2450</v>
      </c>
      <c r="G208" s="20" t="s">
        <v>138</v>
      </c>
      <c r="H208" s="20">
        <v>0.68</v>
      </c>
      <c r="I208" s="68">
        <f>MAX('Max rate concentrations'!$L$3:$L$368)</f>
        <v>350.52744091332482</v>
      </c>
      <c r="J208" s="68">
        <f>MAX('Max rate concentrations'!AD:AD)</f>
        <v>242.38599637623525</v>
      </c>
      <c r="K208" s="69">
        <f t="shared" si="17"/>
        <v>47.231983543031404</v>
      </c>
      <c r="L208" s="69">
        <f t="shared" si="16"/>
        <v>32.66041415209618</v>
      </c>
      <c r="M208" s="69">
        <f>IF((((1.18*F208^0.874)/3.7-(0.301*F208^0.751)/(1-H208)*H208)*(MAX('Max rate concentrations'!$P$3:$P$368)))/F208&gt;0, (((1.18*F208^0.874)/3.7-(0.301*F208^0.751)/(1-H208)*H208)*(MAX('Max rate concentrations'!$P$3:$P$368)))/F208, 0)</f>
        <v>2.4101336196870209E-2</v>
      </c>
      <c r="N208" s="69">
        <f>IF((((1.18*F208^0.874)/3.7-(0.301*F208^0.751)/(1-H208)*H208)*(MAX('Max rate concentrations'!$Q$3:$Q$368)))/F208&gt;0, (((1.18*F208^0.874)/3.7-(0.301*F208^0.751)/(1-H208)*H208)*(MAX('Max rate concentrations'!$Q$3:$Q$368)))/F208, 0)</f>
        <v>9.1779183243089438E-2</v>
      </c>
      <c r="O208" s="69">
        <f>((MAX('Max rate concentrations'!$F$3:$F$368))*0.62*6.01*8*(10*F208^0.667)*0.079*0.1/F208)*inputs!$E$80/(10^(0.84+0.62*LOG10(inputs!$E$80)))</f>
        <v>10.918453269565923</v>
      </c>
      <c r="P208" s="69">
        <f>((MAX('Max rate concentrations'!Y:Y))*0.62*6.01*8*(10*F208^0.667)*0.079*0.1/F208)*inputs!$E$80/(10^(0.84+0.62*LOG10(inputs!$E$80)))</f>
        <v>3.6394844231886418</v>
      </c>
      <c r="Q208" s="69">
        <f>(inputs!$C$18*11.2*(10*F208^0.667)*0.5/F208)*inputs!$E$80/(10^(0.84+0.62*LOG10(inputs!$E$80)))</f>
        <v>1.9232340456966024</v>
      </c>
      <c r="R208" s="59">
        <f>(60*284*((F208/1000)^0.77)*3*24*(MAX('Max rate concentrations'!$R$3:$R$368))/F208)*(inputs!$E$73*3.4/inputs!$E$75)</f>
        <v>2.2886456485971929E-2</v>
      </c>
      <c r="S208" s="59">
        <f>(IF(inputs!$C$17="aerial",((0.025*0.112*inputs!$C$18/3.3)*(3*60*284*((F208/1000)^0.77))*MAX(inputs!$I$14:$I$16))/F208,((0.0083*0.112*inputs!$C$18/1)*(3*60*284*((F208/1000)^0.77))*MAX(inputs!$I$14:$I$16))/F208))*(inputs!E$75*3.4/inputs!$E$73)</f>
        <v>0.12622021362532576</v>
      </c>
      <c r="T208" s="63">
        <f>IF((((inputs!$P$13/(V208/MAX(K208:S208)))^(1/inputs!$O$13))-1)/inputs!$N$13&lt;0, 0, IF((((inputs!$P$13/(V208/MAX(K208:S208)))^(1/inputs!$O$13))-1)/inputs!$N$13&lt;inputs!$I$17, (((inputs!$P$13/(V208/MAX(K208:S208)))^(1/inputs!$O$13))-1)/inputs!$N$13, inputs!$I$17))</f>
        <v>1000</v>
      </c>
      <c r="U208" s="63">
        <f>IF((((inputs!$P$13/(X208/MAX(K208:S208)))^(1/inputs!$O$13))-1)/inputs!$N$13&lt;0, 0, IF((((inputs!$P$13/(X208/MAX(K208:S208)))^(1/inputs!$O$13))-1)/inputs!$N$13&lt;inputs!$I$17, (((inputs!$P$13/(X208/MAX(K208:S208)))^(1/inputs!$O$13))-1)/inputs!$N$13, inputs!$I$17))</f>
        <v>117.7799138167376</v>
      </c>
      <c r="V208" s="21">
        <f>inputs!$E$78*(F208/inputs!$F$78)^(inputs!$E$84-1)</f>
        <v>5.8178450431225284E-3</v>
      </c>
      <c r="W208" s="21">
        <f>inputs!$E$85*(F208/inputs!$F$85)^(inputs!$E$84-1)</f>
        <v>0.26865736668025103</v>
      </c>
      <c r="X208" s="21">
        <f>inputs!$E$80*(F208/inputs!$F$80)^(inputs!$E$84-1)</f>
        <v>1.0032142173503045</v>
      </c>
      <c r="Y208" s="21">
        <f>inputs!$E$82*(F208/inputs!$F$82)^(inputs!$E$84-1)</f>
        <v>0.46236557974289572</v>
      </c>
      <c r="Z208" s="63">
        <f t="shared" si="18"/>
        <v>8118.467094421143</v>
      </c>
      <c r="AA208" s="63">
        <f t="shared" si="19"/>
        <v>175.80751321532037</v>
      </c>
    </row>
    <row r="209" spans="1:27" ht="13.2" x14ac:dyDescent="0.25">
      <c r="A209" s="103" t="s">
        <v>253</v>
      </c>
      <c r="B209" s="20" t="s">
        <v>254</v>
      </c>
      <c r="C209" s="20" t="s">
        <v>73</v>
      </c>
      <c r="D209" s="104" t="s">
        <v>240</v>
      </c>
      <c r="E209" s="15">
        <v>110</v>
      </c>
      <c r="F209" s="15">
        <v>2450</v>
      </c>
      <c r="G209" s="20" t="s">
        <v>152</v>
      </c>
      <c r="H209" s="20">
        <v>0.77</v>
      </c>
      <c r="I209" s="68">
        <f>MAX('Max rate concentrations'!$G$3:$G$368)</f>
        <v>45</v>
      </c>
      <c r="J209" s="68">
        <f>MAX('Max rate concentrations'!Z:Z)</f>
        <v>21</v>
      </c>
      <c r="K209" s="69">
        <f t="shared" si="17"/>
        <v>8.4362379019146534</v>
      </c>
      <c r="L209" s="69">
        <f t="shared" si="16"/>
        <v>3.936911020893505</v>
      </c>
      <c r="M209" s="69">
        <f>IF((((1.18*F209^0.874)/3.7-(0.301*F209^0.751)/(1-H209)*H209)*(MAX('Max rate concentrations'!$P$3:$P$368)))/F209&gt;0, (((1.18*F209^0.874)/3.7-(0.301*F209^0.751)/(1-H209)*H209)*(MAX('Max rate concentrations'!$P$3:$P$368)))/F209, 0)</f>
        <v>0</v>
      </c>
      <c r="N209" s="69">
        <f>IF((((1.18*F209^0.874)/3.7-(0.301*F209^0.751)/(1-H209)*H209)*(MAX('Max rate concentrations'!$Q$3:$Q$368)))/F209&gt;0, (((1.18*F209^0.874)/3.7-(0.301*F209^0.751)/(1-H209)*H209)*(MAX('Max rate concentrations'!$Q$3:$Q$368)))/F209, 0)</f>
        <v>0</v>
      </c>
      <c r="O209" s="69">
        <f>((MAX('Max rate concentrations'!$F$3:$F$368))*0.62*6.01*8*(10*F209^0.667)*0.079*0.1/F209)*inputs!$E$80/(10^(0.84+0.62*LOG10(inputs!$E$80)))</f>
        <v>10.918453269565923</v>
      </c>
      <c r="P209" s="69">
        <f>((MAX('Max rate concentrations'!Y:Y))*0.62*6.01*8*(10*F209^0.667)*0.079*0.1/F209)*inputs!$E$80/(10^(0.84+0.62*LOG10(inputs!$E$80)))</f>
        <v>3.6394844231886418</v>
      </c>
      <c r="Q209" s="69">
        <f>(inputs!$C$18*11.2*(10*F209^0.667)*0.5/F209)*inputs!$E$80/(10^(0.84+0.62*LOG10(inputs!$E$80)))</f>
        <v>1.9232340456966024</v>
      </c>
      <c r="R209" s="59">
        <f>(60*284*((F209/1000)^0.77)*3*24*(MAX('Max rate concentrations'!$R$3:$R$368))/F209)*(inputs!$E$73*3.4/inputs!$E$75)</f>
        <v>2.2886456485971929E-2</v>
      </c>
      <c r="S209" s="59">
        <f>(IF(inputs!$C$17="aerial",((0.025*0.112*inputs!$C$18/3.3)*(3*60*284*((F209/1000)^0.77))*MAX(inputs!$I$14:$I$16))/F209,((0.0083*0.112*inputs!$C$18/1)*(3*60*284*((F209/1000)^0.77))*MAX(inputs!$I$14:$I$16))/F209))*(inputs!E$75*3.4/inputs!$E$73)</f>
        <v>0.12622021362532576</v>
      </c>
      <c r="T209" s="63">
        <f>IF((((inputs!$P$13/(V209/MAX(K209:S209)))^(1/inputs!$O$13))-1)/inputs!$N$13&lt;0, 0, IF((((inputs!$P$13/(V209/MAX(K209:S209)))^(1/inputs!$O$13))-1)/inputs!$N$13&lt;inputs!$I$17, (((inputs!$P$13/(V209/MAX(K209:S209)))^(1/inputs!$O$13))-1)/inputs!$N$13, inputs!$I$17))</f>
        <v>1000</v>
      </c>
      <c r="U209" s="63">
        <f>IF((((inputs!$P$13/(X209/MAX(K209:S209)))^(1/inputs!$O$13))-1)/inputs!$N$13&lt;0, 0, IF((((inputs!$P$13/(X209/MAX(K209:S209)))^(1/inputs!$O$13))-1)/inputs!$N$13&lt;inputs!$I$17, (((inputs!$P$13/(X209/MAX(K209:S209)))^(1/inputs!$O$13))-1)/inputs!$N$13, inputs!$I$17))</f>
        <v>32.404561854133441</v>
      </c>
      <c r="V209" s="21">
        <f>inputs!$E$78*(F209/inputs!$F$78)^(inputs!$E$84-1)</f>
        <v>5.8178450431225284E-3</v>
      </c>
      <c r="W209" s="21">
        <f>inputs!$E$85*(F209/inputs!$F$85)^(inputs!$E$84-1)</f>
        <v>0.26865736668025103</v>
      </c>
      <c r="X209" s="21">
        <f>inputs!$E$80*(F209/inputs!$F$80)^(inputs!$E$84-1)</f>
        <v>1.0032142173503045</v>
      </c>
      <c r="Y209" s="21">
        <f>inputs!$E$82*(F209/inputs!$F$82)^(inputs!$E$84-1)</f>
        <v>0.46236557974289572</v>
      </c>
      <c r="Z209" s="63">
        <f t="shared" si="18"/>
        <v>1876.7177861625923</v>
      </c>
      <c r="AA209" s="63">
        <f t="shared" si="19"/>
        <v>40.640811024403362</v>
      </c>
    </row>
    <row r="210" spans="1:27" ht="13.2" x14ac:dyDescent="0.25">
      <c r="A210" s="103" t="s">
        <v>253</v>
      </c>
      <c r="B210" s="20" t="s">
        <v>254</v>
      </c>
      <c r="C210" s="20" t="s">
        <v>73</v>
      </c>
      <c r="D210" s="104" t="s">
        <v>240</v>
      </c>
      <c r="E210" s="15">
        <v>110</v>
      </c>
      <c r="F210" s="15">
        <v>2450</v>
      </c>
      <c r="G210" s="20" t="s">
        <v>169</v>
      </c>
      <c r="H210" s="20">
        <v>0.79</v>
      </c>
      <c r="I210" s="68">
        <f>MAX('Max rate concentrations'!$D$3:$D$368)</f>
        <v>720</v>
      </c>
      <c r="J210" s="68">
        <f>MAX('Max rate concentrations'!W:W)</f>
        <v>255</v>
      </c>
      <c r="K210" s="69">
        <f t="shared" si="17"/>
        <v>147.8350260906949</v>
      </c>
      <c r="L210" s="69">
        <f t="shared" si="16"/>
        <v>52.358238407121107</v>
      </c>
      <c r="M210" s="69">
        <f>IF((((1.18*F210^0.874)/3.7-(0.301*F210^0.751)/(1-H210)*H210)*(MAX('Max rate concentrations'!$P$3:$P$368)))/F210&gt;0, (((1.18*F210^0.874)/3.7-(0.301*F210^0.751)/(1-H210)*H210)*(MAX('Max rate concentrations'!$P$3:$P$368)))/F210, 0)</f>
        <v>0</v>
      </c>
      <c r="N210" s="69">
        <f>IF((((1.18*F210^0.874)/3.7-(0.301*F210^0.751)/(1-H210)*H210)*(MAX('Max rate concentrations'!$Q$3:$Q$368)))/F210&gt;0, (((1.18*F210^0.874)/3.7-(0.301*F210^0.751)/(1-H210)*H210)*(MAX('Max rate concentrations'!$Q$3:$Q$368)))/F210, 0)</f>
        <v>0</v>
      </c>
      <c r="O210" s="69">
        <f>((MAX('Max rate concentrations'!$F$3:$F$368))*0.62*6.01*8*(10*F210^0.667)*0.079*0.1/F210)*inputs!$E$80/(10^(0.84+0.62*LOG10(inputs!$E$80)))</f>
        <v>10.918453269565923</v>
      </c>
      <c r="P210" s="69">
        <f>((MAX('Max rate concentrations'!Y:Y))*0.62*6.01*8*(10*F210^0.667)*0.079*0.1/F210)*inputs!$E$80/(10^(0.84+0.62*LOG10(inputs!$E$80)))</f>
        <v>3.6394844231886418</v>
      </c>
      <c r="Q210" s="69">
        <f>(inputs!$C$18*11.2*(10*F210^0.667)*0.5/F210)*inputs!$E$80/(10^(0.84+0.62*LOG10(inputs!$E$80)))</f>
        <v>1.9232340456966024</v>
      </c>
      <c r="R210" s="59">
        <f>(60*284*((F210/1000)^0.77)*3*24*(MAX('Max rate concentrations'!$R$3:$R$368))/F210)*(inputs!$E$73*3.4/inputs!$E$75)</f>
        <v>2.2886456485971929E-2</v>
      </c>
      <c r="S210" s="59">
        <f>(IF(inputs!$C$17="aerial",((0.025*0.112*inputs!$C$18/3.3)*(3*60*284*((F210/1000)^0.77))*MAX(inputs!$I$14:$I$16))/F210,((0.0083*0.112*inputs!$C$18/1)*(3*60*284*((F210/1000)^0.77))*MAX(inputs!$I$14:$I$16))/F210))*(inputs!E$75*3.4/inputs!$E$73)</f>
        <v>0.12622021362532576</v>
      </c>
      <c r="T210" s="63">
        <f>IF((((inputs!$P$13/(V210/MAX(K210:S210)))^(1/inputs!$O$13))-1)/inputs!$N$13&lt;0, 0, IF((((inputs!$P$13/(V210/MAX(K210:S210)))^(1/inputs!$O$13))-1)/inputs!$N$13&lt;inputs!$I$17, (((inputs!$P$13/(V210/MAX(K210:S210)))^(1/inputs!$O$13))-1)/inputs!$N$13, inputs!$I$17))</f>
        <v>1000</v>
      </c>
      <c r="U210" s="63">
        <f>IF((((inputs!$P$13/(X210/MAX(K210:S210)))^(1/inputs!$O$13))-1)/inputs!$N$13&lt;0, 0, IF((((inputs!$P$13/(X210/MAX(K210:S210)))^(1/inputs!$O$13))-1)/inputs!$N$13&lt;inputs!$I$17, (((inputs!$P$13/(X210/MAX(K210:S210)))^(1/inputs!$O$13))-1)/inputs!$N$13, inputs!$I$17))</f>
        <v>304.27188848999566</v>
      </c>
      <c r="V210" s="21">
        <f>inputs!$E$78*(F210/inputs!$F$78)^(inputs!$E$84-1)</f>
        <v>5.8178450431225284E-3</v>
      </c>
      <c r="W210" s="21">
        <f>inputs!$E$85*(F210/inputs!$F$85)^(inputs!$E$84-1)</f>
        <v>0.26865736668025103</v>
      </c>
      <c r="X210" s="21">
        <f>inputs!$E$80*(F210/inputs!$F$80)^(inputs!$E$84-1)</f>
        <v>1.0032142173503045</v>
      </c>
      <c r="Y210" s="21">
        <f>inputs!$E$82*(F210/inputs!$F$82)^(inputs!$E$84-1)</f>
        <v>0.46236557974289572</v>
      </c>
      <c r="Z210" s="63">
        <f t="shared" si="18"/>
        <v>25410.615957442125</v>
      </c>
      <c r="AA210" s="63">
        <f t="shared" si="19"/>
        <v>550.2734874441179</v>
      </c>
    </row>
    <row r="211" spans="1:27" ht="13.2" x14ac:dyDescent="0.25">
      <c r="A211" s="103" t="s">
        <v>253</v>
      </c>
      <c r="B211" s="20" t="s">
        <v>254</v>
      </c>
      <c r="C211" s="20" t="s">
        <v>73</v>
      </c>
      <c r="D211" s="104" t="s">
        <v>240</v>
      </c>
      <c r="E211" s="15">
        <v>110</v>
      </c>
      <c r="F211" s="15">
        <v>2450</v>
      </c>
      <c r="G211" s="20" t="s">
        <v>158</v>
      </c>
      <c r="H211" s="20">
        <v>0.85</v>
      </c>
      <c r="I211" s="68">
        <f>MAX('Max rate concentrations'!$F$3:$F$368)</f>
        <v>405</v>
      </c>
      <c r="J211" s="68">
        <f>MAX('Max rate concentrations'!Y:Y)</f>
        <v>135</v>
      </c>
      <c r="K211" s="69">
        <f t="shared" si="17"/>
        <v>116.42008304642219</v>
      </c>
      <c r="L211" s="69">
        <f t="shared" si="16"/>
        <v>38.806694348807397</v>
      </c>
      <c r="M211" s="69">
        <f>IF((((1.18*F211^0.874)/3.7-(0.301*F211^0.751)/(1-H211)*H211)*(MAX('Max rate concentrations'!$P$3:$P$368)))/F211&gt;0, (((1.18*F211^0.874)/3.7-(0.301*F211^0.751)/(1-H211)*H211)*(MAX('Max rate concentrations'!$P$3:$P$368)))/F211, 0)</f>
        <v>0</v>
      </c>
      <c r="N211" s="69">
        <f>IF((((1.18*F211^0.874)/3.7-(0.301*F211^0.751)/(1-H211)*H211)*(MAX('Max rate concentrations'!$Q$3:$Q$368)))/F211&gt;0, (((1.18*F211^0.874)/3.7-(0.301*F211^0.751)/(1-H211)*H211)*(MAX('Max rate concentrations'!$Q$3:$Q$368)))/F211, 0)</f>
        <v>0</v>
      </c>
      <c r="O211" s="69">
        <f>((MAX('Max rate concentrations'!$F$3:$F$368))*0.62*6.01*8*(10*F211^0.667)*0.079*0.1/F211)*inputs!$E$80/(10^(0.84+0.62*LOG10(inputs!$E$80)))</f>
        <v>10.918453269565923</v>
      </c>
      <c r="P211" s="69">
        <f>((MAX('Max rate concentrations'!Y:Y))*0.62*6.01*8*(10*F211^0.667)*0.079*0.1/F211)*inputs!$E$80/(10^(0.84+0.62*LOG10(inputs!$E$80)))</f>
        <v>3.6394844231886418</v>
      </c>
      <c r="Q211" s="69">
        <f>(inputs!$C$18*11.2*(10*F211^0.667)*0.5/F211)*inputs!$E$80/(10^(0.84+0.62*LOG10(inputs!$E$80)))</f>
        <v>1.9232340456966024</v>
      </c>
      <c r="R211" s="59">
        <f>(60*284*((F211/1000)^0.77)*3*24*(MAX('Max rate concentrations'!$R$3:$R$368))/F211)*(inputs!$E$73*3.4/inputs!$E$75)</f>
        <v>2.2886456485971929E-2</v>
      </c>
      <c r="S211" s="59">
        <f>(IF(inputs!$C$17="aerial",((0.025*0.112*inputs!$C$18/3.3)*(3*60*284*((F211/1000)^0.77))*MAX(inputs!$I$14:$I$16))/F211,((0.0083*0.112*inputs!$C$18/1)*(3*60*284*((F211/1000)^0.77))*MAX(inputs!$I$14:$I$16))/F211))*(inputs!E$75*3.4/inputs!$E$73)</f>
        <v>0.12622021362532576</v>
      </c>
      <c r="T211" s="63">
        <f>IF((((inputs!$P$13/(V211/MAX(K211:S211)))^(1/inputs!$O$13))-1)/inputs!$N$13&lt;0, 0, IF((((inputs!$P$13/(V211/MAX(K211:S211)))^(1/inputs!$O$13))-1)/inputs!$N$13&lt;inputs!$I$17, (((inputs!$P$13/(V211/MAX(K211:S211)))^(1/inputs!$O$13))-1)/inputs!$N$13, inputs!$I$17))</f>
        <v>1000</v>
      </c>
      <c r="U211" s="63">
        <f>IF((((inputs!$P$13/(X211/MAX(K211:S211)))^(1/inputs!$O$13))-1)/inputs!$N$13&lt;0, 0, IF((((inputs!$P$13/(X211/MAX(K211:S211)))^(1/inputs!$O$13))-1)/inputs!$N$13&lt;inputs!$I$17, (((inputs!$P$13/(X211/MAX(K211:S211)))^(1/inputs!$O$13))-1)/inputs!$N$13, inputs!$I$17))</f>
        <v>249.9021192836168</v>
      </c>
      <c r="V211" s="21">
        <f>inputs!$E$78*(F211/inputs!$F$78)^(inputs!$E$84-1)</f>
        <v>5.8178450431225284E-3</v>
      </c>
      <c r="W211" s="21">
        <f>inputs!$E$85*(F211/inputs!$F$85)^(inputs!$E$84-1)</f>
        <v>0.26865736668025103</v>
      </c>
      <c r="X211" s="21">
        <f>inputs!$E$80*(F211/inputs!$F$80)^(inputs!$E$84-1)</f>
        <v>1.0032142173503045</v>
      </c>
      <c r="Y211" s="21">
        <f>inputs!$E$82*(F211/inputs!$F$82)^(inputs!$E$84-1)</f>
        <v>0.46236557974289572</v>
      </c>
      <c r="Z211" s="63">
        <f t="shared" si="18"/>
        <v>20010.860066485668</v>
      </c>
      <c r="AA211" s="63">
        <f t="shared" si="19"/>
        <v>433.34037136224271</v>
      </c>
    </row>
    <row r="212" spans="1:27" ht="13.2" x14ac:dyDescent="0.25">
      <c r="A212" s="103" t="s">
        <v>253</v>
      </c>
      <c r="B212" s="20" t="s">
        <v>254</v>
      </c>
      <c r="C212" s="20" t="s">
        <v>73</v>
      </c>
      <c r="D212" s="104" t="s">
        <v>240</v>
      </c>
      <c r="E212" s="15">
        <v>110</v>
      </c>
      <c r="F212" s="15">
        <v>2450</v>
      </c>
      <c r="G212" s="21" t="s">
        <v>456</v>
      </c>
      <c r="H212" s="20">
        <v>0.68</v>
      </c>
      <c r="I212" s="68">
        <f>MAX('Max rate concentrations'!$J$3:$J$368)</f>
        <v>686.46486205830786</v>
      </c>
      <c r="J212" s="68">
        <f>MAX('Max rate concentrations'!AB:AB)</f>
        <v>243.122971978984</v>
      </c>
      <c r="K212" s="69">
        <f t="shared" si="17"/>
        <v>92.498028066295106</v>
      </c>
      <c r="L212" s="69">
        <f t="shared" si="16"/>
        <v>32.759718273479514</v>
      </c>
      <c r="M212" s="69">
        <f>IF((((1.18*F212^0.874)/3.7-(0.301*F212^0.751)/(1-H212)*H212)*(MAX('Max rate concentrations'!$P$3:$P$368)))/F212&gt;0, (((1.18*F212^0.874)/3.7-(0.301*F212^0.751)/(1-H212)*H212)*(MAX('Max rate concentrations'!$P$3:$P$368)))/F212, 0)</f>
        <v>2.4101336196870209E-2</v>
      </c>
      <c r="N212" s="69">
        <f>IF((((1.18*F212^0.874)/3.7-(0.301*F212^0.751)/(1-H212)*H212)*(MAX('Max rate concentrations'!$Q$3:$Q$368)))/F212&gt;0, (((1.18*F212^0.874)/3.7-(0.301*F212^0.751)/(1-H212)*H212)*(MAX('Max rate concentrations'!$Q$3:$Q$368)))/F212, 0)</f>
        <v>9.1779183243089438E-2</v>
      </c>
      <c r="O212" s="69">
        <f>((MAX('Max rate concentrations'!$F$3:$F$368))*0.62*6.01*8*(10*F212^0.667)*0.079*0.1/F212)*inputs!$E$80/(10^(0.84+0.62*LOG10(inputs!$E$80)))</f>
        <v>10.918453269565923</v>
      </c>
      <c r="P212" s="69">
        <f>((MAX('Max rate concentrations'!Y:Y))*0.62*6.01*8*(10*F212^0.667)*0.079*0.1/F212)*inputs!$E$80/(10^(0.84+0.62*LOG10(inputs!$E$80)))</f>
        <v>3.6394844231886418</v>
      </c>
      <c r="Q212" s="69">
        <f>(inputs!$C$18*11.2*(10*F212^0.667)*0.5/F212)*inputs!$E$80/(10^(0.84+0.62*LOG10(inputs!$E$80)))</f>
        <v>1.9232340456966024</v>
      </c>
      <c r="R212" s="59">
        <f>(60*284*((F212/1000)^0.77)*3*24*(MAX('Max rate concentrations'!$R$3:$R$368))/F212)*(inputs!$E$73*3.4/inputs!$E$75)</f>
        <v>2.2886456485971929E-2</v>
      </c>
      <c r="S212" s="59">
        <f>(IF(inputs!$C$17="aerial",((0.025*0.112*inputs!$C$18/3.3)*(3*60*284*((F212/1000)^0.77))*MAX(inputs!$I$14:$I$16))/F212,((0.0083*0.112*inputs!$C$18/1)*(3*60*284*((F212/1000)^0.77))*MAX(inputs!$I$14:$I$16))/F212))*(inputs!E$75*3.4/inputs!$E$73)</f>
        <v>0.12622021362532576</v>
      </c>
      <c r="T212" s="63">
        <f>IF((((inputs!$P$13/(V212/MAX(K212:S212)))^(1/inputs!$O$13))-1)/inputs!$N$13&lt;0, 0, IF((((inputs!$P$13/(V212/MAX(K212:S212)))^(1/inputs!$O$13))-1)/inputs!$N$13&lt;inputs!$I$17, (((inputs!$P$13/(V212/MAX(K212:S212)))^(1/inputs!$O$13))-1)/inputs!$N$13, inputs!$I$17))</f>
        <v>1000</v>
      </c>
      <c r="U212" s="63">
        <f>IF((((inputs!$P$13/(X212/MAX(K212:S212)))^(1/inputs!$O$13))-1)/inputs!$N$13&lt;0, 0, IF((((inputs!$P$13/(X212/MAX(K212:S212)))^(1/inputs!$O$13))-1)/inputs!$N$13&lt;inputs!$I$17, (((inputs!$P$13/(X212/MAX(K212:S212)))^(1/inputs!$O$13))-1)/inputs!$N$13, inputs!$I$17))</f>
        <v>206.5981695117822</v>
      </c>
      <c r="V212" s="21">
        <f>inputs!$E$78*(F212/inputs!$F$78)^(inputs!$E$84-1)</f>
        <v>5.8178450431225284E-3</v>
      </c>
      <c r="W212" s="21">
        <f>inputs!$E$85*(F212/inputs!$F$85)^(inputs!$E$84-1)</f>
        <v>0.26865736668025103</v>
      </c>
      <c r="X212" s="21">
        <f>inputs!$E$80*(F212/inputs!$F$80)^(inputs!$E$84-1)</f>
        <v>1.0032142173503045</v>
      </c>
      <c r="Y212" s="21">
        <f>inputs!$E$82*(F212/inputs!$F$82)^(inputs!$E$84-1)</f>
        <v>0.46236557974289572</v>
      </c>
      <c r="Z212" s="63">
        <f t="shared" si="18"/>
        <v>15899.018860194661</v>
      </c>
      <c r="AA212" s="63">
        <f t="shared" si="19"/>
        <v>344.29738223550686</v>
      </c>
    </row>
    <row r="213" spans="1:27" ht="13.2" x14ac:dyDescent="0.25">
      <c r="A213" s="103" t="s">
        <v>253</v>
      </c>
      <c r="B213" s="20" t="s">
        <v>254</v>
      </c>
      <c r="C213" s="20" t="s">
        <v>73</v>
      </c>
      <c r="D213" s="104" t="s">
        <v>240</v>
      </c>
      <c r="E213" s="15">
        <v>110</v>
      </c>
      <c r="F213" s="15">
        <v>2450</v>
      </c>
      <c r="G213" s="20" t="s">
        <v>145</v>
      </c>
      <c r="H213" s="20">
        <v>0.66</v>
      </c>
      <c r="I213" s="68">
        <f>MAX('Max rate concentrations'!$M$3:$M$368)</f>
        <v>17.092910873809167</v>
      </c>
      <c r="J213" s="68">
        <f>MAX('Max rate concentrations'!AE:AE)</f>
        <v>11.81956602976166</v>
      </c>
      <c r="K213" s="69">
        <f t="shared" si="17"/>
        <v>2.1677103523245713</v>
      </c>
      <c r="L213" s="69">
        <f t="shared" si="16"/>
        <v>1.4989486478840124</v>
      </c>
      <c r="M213" s="69">
        <f>IF((((1.18*F213^0.874)/3.7-(0.301*F213^0.751)/(1-H213)*H213)*(MAX('Max rate concentrations'!$P$3:$P$368)))/F213&gt;0, (((1.18*F213^0.874)/3.7-(0.301*F213^0.751)/(1-H213)*H213)*(MAX('Max rate concentrations'!$P$3:$P$368)))/F213, 0)</f>
        <v>3.1004173540069187E-2</v>
      </c>
      <c r="N213" s="69">
        <f>IF((((1.18*F213^0.874)/3.7-(0.301*F213^0.751)/(1-H213)*H213)*(MAX('Max rate concentrations'!$Q$3:$Q$368)))/F213&gt;0, (((1.18*F213^0.874)/3.7-(0.301*F213^0.751)/(1-H213)*H213)*(MAX('Max rate concentrations'!$Q$3:$Q$368)))/F213, 0)</f>
        <v>0.11806555874707376</v>
      </c>
      <c r="O213" s="69">
        <f>((MAX('Max rate concentrations'!$F$3:$F$368))*0.62*6.01*8*(10*F213^0.667)*0.079*0.1/F213)*inputs!$E$80/(10^(0.84+0.62*LOG10(inputs!$E$80)))</f>
        <v>10.918453269565923</v>
      </c>
      <c r="P213" s="69">
        <f>((MAX('Max rate concentrations'!Y:Y))*0.62*6.01*8*(10*F213^0.667)*0.079*0.1/F213)*inputs!$E$80/(10^(0.84+0.62*LOG10(inputs!$E$80)))</f>
        <v>3.6394844231886418</v>
      </c>
      <c r="Q213" s="69">
        <f>(inputs!$C$18*11.2*(10*F213^0.667)*0.5/F213)*inputs!$E$80/(10^(0.84+0.62*LOG10(inputs!$E$80)))</f>
        <v>1.9232340456966024</v>
      </c>
      <c r="R213" s="59">
        <f>(60*284*((F213/1000)^0.77)*3*24*(MAX('Max rate concentrations'!$R$3:$R$368))/F213)*(inputs!$E$73*3.4/inputs!$E$75)</f>
        <v>2.2886456485971929E-2</v>
      </c>
      <c r="S213" s="59">
        <f>(IF(inputs!$C$17="aerial",((0.025*0.112*inputs!$C$18/3.3)*(3*60*284*((F213/1000)^0.77))*MAX(inputs!$I$14:$I$16))/F213,((0.0083*0.112*inputs!$C$18/1)*(3*60*284*((F213/1000)^0.77))*MAX(inputs!$I$14:$I$16))/F213))*(inputs!E$75*3.4/inputs!$E$73)</f>
        <v>0.12622021362532576</v>
      </c>
      <c r="T213" s="63">
        <f>IF((((inputs!$P$13/(V213/MAX(K213:S213)))^(1/inputs!$O$13))-1)/inputs!$N$13&lt;0, 0, IF((((inputs!$P$13/(V213/MAX(K213:S213)))^(1/inputs!$O$13))-1)/inputs!$N$13&lt;inputs!$I$17, (((inputs!$P$13/(V213/MAX(K213:S213)))^(1/inputs!$O$13))-1)/inputs!$N$13, inputs!$I$17))</f>
        <v>1000</v>
      </c>
      <c r="U213" s="63">
        <f>IF((((inputs!$P$13/(X213/MAX(K213:S213)))^(1/inputs!$O$13))-1)/inputs!$N$13&lt;0, 0, IF((((inputs!$P$13/(X213/MAX(K213:S213)))^(1/inputs!$O$13))-1)/inputs!$N$13&lt;inputs!$I$17, (((inputs!$P$13/(X213/MAX(K213:S213)))^(1/inputs!$O$13))-1)/inputs!$N$13, inputs!$I$17))</f>
        <v>32.404561854133441</v>
      </c>
      <c r="V213" s="21">
        <f>inputs!$E$78*(F213/inputs!$F$78)^(inputs!$E$84-1)</f>
        <v>5.8178450431225284E-3</v>
      </c>
      <c r="W213" s="21">
        <f>inputs!$E$85*(F213/inputs!$F$85)^(inputs!$E$84-1)</f>
        <v>0.26865736668025103</v>
      </c>
      <c r="X213" s="21">
        <f>inputs!$E$80*(F213/inputs!$F$80)^(inputs!$E$84-1)</f>
        <v>1.0032142173503045</v>
      </c>
      <c r="Y213" s="21">
        <f>inputs!$E$82*(F213/inputs!$F$82)^(inputs!$E$84-1)</f>
        <v>0.46236557974289572</v>
      </c>
      <c r="Z213" s="63">
        <f t="shared" si="18"/>
        <v>1876.7177861625923</v>
      </c>
      <c r="AA213" s="63">
        <f t="shared" si="19"/>
        <v>40.640811024403362</v>
      </c>
    </row>
    <row r="214" spans="1:27" ht="13.2" x14ac:dyDescent="0.25">
      <c r="A214" s="103" t="s">
        <v>253</v>
      </c>
      <c r="B214" s="20" t="s">
        <v>254</v>
      </c>
      <c r="C214" s="20" t="s">
        <v>73</v>
      </c>
      <c r="D214" s="104" t="s">
        <v>240</v>
      </c>
      <c r="E214" s="15">
        <v>110</v>
      </c>
      <c r="F214" s="15">
        <v>2450</v>
      </c>
      <c r="G214" s="20" t="s">
        <v>154</v>
      </c>
      <c r="H214" s="20">
        <v>9.2999999999999999E-2</v>
      </c>
      <c r="I214" s="68">
        <f>MAX('Max rate concentrations'!$G$3:$G$368)</f>
        <v>45</v>
      </c>
      <c r="J214" s="68">
        <f>MAX('Max rate concentrations'!Z:Z)</f>
        <v>21</v>
      </c>
      <c r="K214" s="69">
        <f t="shared" si="17"/>
        <v>2.1392885528559762</v>
      </c>
      <c r="L214" s="69">
        <f t="shared" si="16"/>
        <v>0.99833465799945542</v>
      </c>
      <c r="M214" s="69">
        <f>IF((((1.18*F214^0.874)/3.7-(0.301*F214^0.751)/(1-H214)*H214)*(MAX('Max rate concentrations'!$P$3:$P$368)))/F214&gt;0, (((1.18*F214^0.874)/3.7-(0.301*F214^0.751)/(1-H214)*H214)*(MAX('Max rate concentrations'!$P$3:$P$368)))/F214, 0)</f>
        <v>0.10004776822309137</v>
      </c>
      <c r="N214" s="69">
        <f>IF((((1.18*F214^0.874)/3.7-(0.301*F214^0.751)/(1-H214)*H214)*(MAX('Max rate concentrations'!$Q$3:$Q$368)))/F214&gt;0, (((1.18*F214^0.874)/3.7-(0.301*F214^0.751)/(1-H214)*H214)*(MAX('Max rate concentrations'!$Q$3:$Q$368)))/F214, 0)</f>
        <v>0.38098727712871189</v>
      </c>
      <c r="O214" s="69">
        <f>((MAX('Max rate concentrations'!$F$3:$F$368))*0.62*6.01*8*(10*F214^0.667)*0.079*0.1/F214)*inputs!$E$80/(10^(0.84+0.62*LOG10(inputs!$E$80)))</f>
        <v>10.918453269565923</v>
      </c>
      <c r="P214" s="69">
        <f>((MAX('Max rate concentrations'!Y:Y))*0.62*6.01*8*(10*F214^0.667)*0.079*0.1/F214)*inputs!$E$80/(10^(0.84+0.62*LOG10(inputs!$E$80)))</f>
        <v>3.6394844231886418</v>
      </c>
      <c r="Q214" s="69">
        <f>(inputs!$C$18*11.2*(10*F214^0.667)*0.5/F214)*inputs!$E$80/(10^(0.84+0.62*LOG10(inputs!$E$80)))</f>
        <v>1.9232340456966024</v>
      </c>
      <c r="R214" s="59">
        <f>(60*284*((F214/1000)^0.77)*3*24*(MAX('Max rate concentrations'!$R$3:$R$368))/F214)*(inputs!$E$73*3.4/inputs!$E$75)</f>
        <v>2.2886456485971929E-2</v>
      </c>
      <c r="S214" s="59">
        <f>(IF(inputs!$C$17="aerial",((0.025*0.112*inputs!$C$18/3.3)*(3*60*284*((F214/1000)^0.77))*MAX(inputs!$I$14:$I$16))/F214,((0.0083*0.112*inputs!$C$18/1)*(3*60*284*((F214/1000)^0.77))*MAX(inputs!$I$14:$I$16))/F214))*(inputs!E$75*3.4/inputs!$E$73)</f>
        <v>0.12622021362532576</v>
      </c>
      <c r="T214" s="63">
        <f>IF((((inputs!$P$13/(V214/MAX(K214:S214)))^(1/inputs!$O$13))-1)/inputs!$N$13&lt;0, 0, IF((((inputs!$P$13/(V214/MAX(K214:S214)))^(1/inputs!$O$13))-1)/inputs!$N$13&lt;inputs!$I$17, (((inputs!$P$13/(V214/MAX(K214:S214)))^(1/inputs!$O$13))-1)/inputs!$N$13, inputs!$I$17))</f>
        <v>1000</v>
      </c>
      <c r="U214" s="63">
        <f>IF((((inputs!$P$13/(X214/MAX(K214:S214)))^(1/inputs!$O$13))-1)/inputs!$N$13&lt;0, 0, IF((((inputs!$P$13/(X214/MAX(K214:S214)))^(1/inputs!$O$13))-1)/inputs!$N$13&lt;inputs!$I$17, (((inputs!$P$13/(X214/MAX(K214:S214)))^(1/inputs!$O$13))-1)/inputs!$N$13, inputs!$I$17))</f>
        <v>32.404561854133441</v>
      </c>
      <c r="V214" s="21">
        <f>inputs!$E$78*(F214/inputs!$F$78)^(inputs!$E$84-1)</f>
        <v>5.8178450431225284E-3</v>
      </c>
      <c r="W214" s="21">
        <f>inputs!$E$85*(F214/inputs!$F$85)^(inputs!$E$84-1)</f>
        <v>0.26865736668025103</v>
      </c>
      <c r="X214" s="21">
        <f>inputs!$E$80*(F214/inputs!$F$80)^(inputs!$E$84-1)</f>
        <v>1.0032142173503045</v>
      </c>
      <c r="Y214" s="21">
        <f>inputs!$E$82*(F214/inputs!$F$82)^(inputs!$E$84-1)</f>
        <v>0.46236557974289572</v>
      </c>
      <c r="Z214" s="63">
        <f t="shared" si="18"/>
        <v>1876.7177861625923</v>
      </c>
      <c r="AA214" s="63">
        <f t="shared" si="19"/>
        <v>40.640811024403362</v>
      </c>
    </row>
    <row r="215" spans="1:27" ht="13.2" x14ac:dyDescent="0.25">
      <c r="A215" s="103" t="s">
        <v>253</v>
      </c>
      <c r="B215" s="20" t="s">
        <v>254</v>
      </c>
      <c r="C215" s="20" t="s">
        <v>73</v>
      </c>
      <c r="D215" s="104" t="s">
        <v>240</v>
      </c>
      <c r="E215" s="15">
        <v>110</v>
      </c>
      <c r="F215" s="15">
        <v>2450</v>
      </c>
      <c r="G215" s="20" t="s">
        <v>146</v>
      </c>
      <c r="H215" s="20">
        <v>0.84</v>
      </c>
      <c r="I215" s="68">
        <f>MAX('Max rate concentrations'!$I$3:$I$368)</f>
        <v>56.865414300472793</v>
      </c>
      <c r="J215" s="68" t="s">
        <v>13</v>
      </c>
      <c r="K215" s="69">
        <f t="shared" si="17"/>
        <v>15.324713554005198</v>
      </c>
      <c r="L215" s="69" t="s">
        <v>13</v>
      </c>
      <c r="M215" s="69">
        <f>IF((((1.18*F215^0.874)/3.7-(0.301*F215^0.751)/(1-H215)*H215)*(MAX('Max rate concentrations'!$P$3:$P$368)))/F215&gt;0, (((1.18*F215^0.874)/3.7-(0.301*F215^0.751)/(1-H215)*H215)*(MAX('Max rate concentrations'!$P$3:$P$368)))/F215, 0)</f>
        <v>0</v>
      </c>
      <c r="N215" s="69">
        <f>IF((((1.18*F215^0.874)/3.7-(0.301*F215^0.751)/(1-H215)*H215)*(MAX('Max rate concentrations'!$Q$3:$Q$368)))/F215&gt;0, (((1.18*F215^0.874)/3.7-(0.301*F215^0.751)/(1-H215)*H215)*(MAX('Max rate concentrations'!$Q$3:$Q$368)))/F215, 0)</f>
        <v>0</v>
      </c>
      <c r="O215" s="69">
        <f>((MAX('Max rate concentrations'!$F$3:$F$368))*0.62*6.01*8*(10*F215^0.667)*0.079*0.1/F215)*inputs!$E$80/(10^(0.84+0.62*LOG10(inputs!$E$80)))</f>
        <v>10.918453269565923</v>
      </c>
      <c r="P215" s="69">
        <f>((MAX('Max rate concentrations'!Y:Y))*0.62*6.01*8*(10*F215^0.667)*0.079*0.1/F215)*inputs!$E$80/(10^(0.84+0.62*LOG10(inputs!$E$80)))</f>
        <v>3.6394844231886418</v>
      </c>
      <c r="Q215" s="69">
        <f>(inputs!$C$18*11.2*(10*F215^0.667)*0.5/F215)*inputs!$E$80/(10^(0.84+0.62*LOG10(inputs!$E$80)))</f>
        <v>1.9232340456966024</v>
      </c>
      <c r="R215" s="59">
        <f>(60*284*((F215/1000)^0.77)*3*24*(MAX('Max rate concentrations'!$R$3:$R$368))/F215)*(inputs!$E$73*3.4/inputs!$E$75)</f>
        <v>2.2886456485971929E-2</v>
      </c>
      <c r="S215" s="59">
        <f>(IF(inputs!$C$17="aerial",((0.025*0.112*inputs!$C$18/3.3)*(3*60*284*((F215/1000)^0.77))*MAX(inputs!$I$14:$I$16))/F215,((0.0083*0.112*inputs!$C$18/1)*(3*60*284*((F215/1000)^0.77))*MAX(inputs!$I$14:$I$16))/F215))*(inputs!E$75*3.4/inputs!$E$73)</f>
        <v>0.12622021362532576</v>
      </c>
      <c r="T215" s="63">
        <f>IF((((inputs!$P$13/(V215/MAX(K215:S215)))^(1/inputs!$O$13))-1)/inputs!$N$13&lt;0, 0, IF((((inputs!$P$13/(V215/MAX(K215:S215)))^(1/inputs!$O$13))-1)/inputs!$N$13&lt;inputs!$I$17, (((inputs!$P$13/(V215/MAX(K215:S215)))^(1/inputs!$O$13))-1)/inputs!$N$13, inputs!$I$17))</f>
        <v>1000</v>
      </c>
      <c r="U215" s="63">
        <f>IF((((inputs!$P$13/(X215/MAX(K215:S215)))^(1/inputs!$O$13))-1)/inputs!$N$13&lt;0, 0, IF((((inputs!$P$13/(X215/MAX(K215:S215)))^(1/inputs!$O$13))-1)/inputs!$N$13&lt;inputs!$I$17, (((inputs!$P$13/(X215/MAX(K215:S215)))^(1/inputs!$O$13))-1)/inputs!$N$13, inputs!$I$17))</f>
        <v>44.274078504646397</v>
      </c>
      <c r="V215" s="21">
        <f>inputs!$E$78*(F215/inputs!$F$78)^(inputs!$E$84-1)</f>
        <v>5.8178450431225284E-3</v>
      </c>
      <c r="W215" s="21">
        <f>inputs!$E$85*(F215/inputs!$F$85)^(inputs!$E$84-1)</f>
        <v>0.26865736668025103</v>
      </c>
      <c r="X215" s="21">
        <f>inputs!$E$80*(F215/inputs!$F$80)^(inputs!$E$84-1)</f>
        <v>1.0032142173503045</v>
      </c>
      <c r="Y215" s="21">
        <f>inputs!$E$82*(F215/inputs!$F$82)^(inputs!$E$84-1)</f>
        <v>0.46236557974289572</v>
      </c>
      <c r="Z215" s="63">
        <f t="shared" si="18"/>
        <v>2634.0876115497545</v>
      </c>
      <c r="AA215" s="63">
        <f t="shared" si="19"/>
        <v>57.041851274617279</v>
      </c>
    </row>
    <row r="216" spans="1:27" ht="13.2" x14ac:dyDescent="0.25">
      <c r="A216" s="103" t="s">
        <v>319</v>
      </c>
      <c r="B216" s="20" t="s">
        <v>320</v>
      </c>
      <c r="C216" s="20" t="s">
        <v>73</v>
      </c>
      <c r="D216" s="104" t="s">
        <v>240</v>
      </c>
      <c r="E216" s="15">
        <v>1353</v>
      </c>
      <c r="F216" s="15">
        <v>44</v>
      </c>
      <c r="G216" s="20" t="s">
        <v>241</v>
      </c>
      <c r="H216" s="20">
        <v>0.8</v>
      </c>
      <c r="I216" s="68">
        <f>inputs!$C$66*inputs!$C$60/1000</f>
        <v>28</v>
      </c>
      <c r="J216" s="68">
        <f>inputs!$C$66*inputs!$C$59/1000</f>
        <v>28</v>
      </c>
      <c r="K216" s="69">
        <f t="shared" si="17"/>
        <v>16.423844133920852</v>
      </c>
      <c r="L216" s="69">
        <f>((0.301*F216^0.751)/(1-H216))*J216/F216</f>
        <v>16.423844133920852</v>
      </c>
      <c r="M216" s="69">
        <f>IF((((1.18*F216^0.874)/3.7-(0.301*F216^0.751)/(1-H216)*H216)*(MAX('Max rate concentrations'!$P$3:$P$368)))/F216&gt;0, (((1.18*F216^0.874)/3.7-(0.301*F216^0.751)/(1-H216)*H216)*(MAX('Max rate concentrations'!$P$3:$P$368)))/F216, 0)</f>
        <v>0</v>
      </c>
      <c r="N216" s="69">
        <f>IF((((1.18*F216^0.874)/3.7-(0.301*F216^0.751)/(1-H216)*H216)*(MAX('Max rate concentrations'!$Q$3:$Q$368)))/F216&gt;0, (((1.18*F216^0.874)/3.7-(0.301*F216^0.751)/(1-H216)*H216)*(MAX('Max rate concentrations'!$Q$3:$Q$368)))/F216, 0)</f>
        <v>0</v>
      </c>
      <c r="O216" s="69">
        <f>((MAX('Max rate concentrations'!$F$3:$F$368))*0.62*6.01*8*(10*F216^0.667)*0.079*0.1/F216)*inputs!$E$80/(10^(0.84+0.62*LOG10(inputs!$E$80)))</f>
        <v>41.637407846624441</v>
      </c>
      <c r="P216" s="69">
        <f>((MAX('Max rate concentrations'!Y:Y))*0.62*6.01*8*(10*F216^0.667)*0.079*0.1/F216)*inputs!$E$80/(10^(0.84+0.62*LOG10(inputs!$E$80)))</f>
        <v>13.879135948874811</v>
      </c>
      <c r="Q216" s="69">
        <f>(inputs!$C$18*11.2*(10*F216^0.667)*0.5/F216)*inputs!$E$80/(10^(0.84+0.62*LOG10(inputs!$E$80)))</f>
        <v>7.3342330060974454</v>
      </c>
      <c r="R216" s="59">
        <f>(60*284*((F216/1000)^0.77)*3*24*(MAX('Max rate concentrations'!$R$3:$R$368))/F216)*(inputs!$E$73*3.4/inputs!$E$75)</f>
        <v>5.7688950716123719E-2</v>
      </c>
      <c r="S216" s="59">
        <f>(IF(inputs!$C$17="aerial",((0.025*0.112*inputs!$C$18/3.3)*(3*60*284*((F216/1000)^0.77))*MAX(inputs!$I$14:$I$16))/F216,((0.0083*0.112*inputs!$C$18/1)*(3*60*284*((F216/1000)^0.77))*MAX(inputs!$I$14:$I$16))/F216))*(inputs!E$75*3.4/inputs!$E$73)</f>
        <v>0.31815810751101498</v>
      </c>
      <c r="T216" s="63">
        <f>IF((((inputs!$P$13/(V216/MAX(K216:S216)))^(1/inputs!$O$13))-1)/inputs!$N$13&lt;0, 0, IF((((inputs!$P$13/(V216/MAX(K216:S216)))^(1/inputs!$O$13))-1)/inputs!$N$13&lt;inputs!$I$17, (((inputs!$P$13/(V216/MAX(K216:S216)))^(1/inputs!$O$13))-1)/inputs!$N$13, inputs!$I$17))</f>
        <v>1000</v>
      </c>
      <c r="U216" s="63">
        <f>IF((((inputs!$P$13/(X216/MAX(K216:S216)))^(1/inputs!$O$13))-1)/inputs!$N$13&lt;0, 0, IF((((inputs!$P$13/(X216/MAX(K216:S216)))^(1/inputs!$O$13))-1)/inputs!$N$13&lt;inputs!$I$17, (((inputs!$P$13/(X216/MAX(K216:S216)))^(1/inputs!$O$13))-1)/inputs!$N$13, inputs!$I$17))</f>
        <v>28.140111368005737</v>
      </c>
      <c r="V216" s="21">
        <f>inputs!$E$78*(F216/inputs!$F$78)^(inputs!$E$84-1)</f>
        <v>2.5744004973284332E-2</v>
      </c>
      <c r="W216" s="21">
        <f>inputs!$E$85*(F216/inputs!$F$85)^(inputs!$E$84-1)</f>
        <v>1.1888107250470454</v>
      </c>
      <c r="X216" s="21">
        <f>inputs!$E$80*(F216/inputs!$F$80)^(inputs!$E$84-1)</f>
        <v>4.4392299226440306</v>
      </c>
      <c r="Y216" s="21">
        <f>inputs!$E$82*(F216/inputs!$F$82)^(inputs!$E$84-1)</f>
        <v>2.0459709215610178</v>
      </c>
      <c r="Z216" s="63">
        <f t="shared" si="18"/>
        <v>1617.3632614596438</v>
      </c>
      <c r="AA216" s="63">
        <f t="shared" si="19"/>
        <v>35.024421440155415</v>
      </c>
    </row>
    <row r="217" spans="1:27" ht="13.2" x14ac:dyDescent="0.25">
      <c r="A217" s="103" t="s">
        <v>319</v>
      </c>
      <c r="B217" s="20" t="s">
        <v>320</v>
      </c>
      <c r="C217" s="20" t="s">
        <v>73</v>
      </c>
      <c r="D217" s="104" t="s">
        <v>240</v>
      </c>
      <c r="E217" s="15">
        <v>1353</v>
      </c>
      <c r="F217" s="15">
        <v>44</v>
      </c>
      <c r="G217" s="20" t="s">
        <v>142</v>
      </c>
      <c r="H217" s="20">
        <v>0.69</v>
      </c>
      <c r="I217" s="68">
        <f>MAX('Max rate concentrations'!$H$3:$H$368)</f>
        <v>282</v>
      </c>
      <c r="J217" s="68">
        <f>MAX('Max rate concentrations'!AA:AA)</f>
        <v>195</v>
      </c>
      <c r="K217" s="69">
        <f t="shared" si="17"/>
        <v>106.71714391165156</v>
      </c>
      <c r="L217" s="69">
        <f>((0.301*F217^0.751)/(1-H217))*J217/F217</f>
        <v>73.793769726142045</v>
      </c>
      <c r="M217" s="69">
        <f>IF((((1.18*F217^0.874)/3.7-(0.301*F217^0.751)/(1-H217)*H217)*(MAX('Max rate concentrations'!$P$3:$P$368)))/F217&gt;0, (((1.18*F217^0.874)/3.7-(0.301*F217^0.751)/(1-H217)*H217)*(MAX('Max rate concentrations'!$P$3:$P$368)))/F217, 0)</f>
        <v>0</v>
      </c>
      <c r="N217" s="69">
        <f>IF((((1.18*F217^0.874)/3.7-(0.301*F217^0.751)/(1-H217)*H217)*(MAX('Max rate concentrations'!$Q$3:$Q$368)))/F217&gt;0, (((1.18*F217^0.874)/3.7-(0.301*F217^0.751)/(1-H217)*H217)*(MAX('Max rate concentrations'!$Q$3:$Q$368)))/F217, 0)</f>
        <v>0</v>
      </c>
      <c r="O217" s="69">
        <f>((MAX('Max rate concentrations'!$F$3:$F$368))*0.62*6.01*8*(10*F217^0.667)*0.079*0.1/F217)*inputs!$E$80/(10^(0.84+0.62*LOG10(inputs!$E$80)))</f>
        <v>41.637407846624441</v>
      </c>
      <c r="P217" s="69">
        <f>((MAX('Max rate concentrations'!Y:Y))*0.62*6.01*8*(10*F217^0.667)*0.079*0.1/F217)*inputs!$E$80/(10^(0.84+0.62*LOG10(inputs!$E$80)))</f>
        <v>13.879135948874811</v>
      </c>
      <c r="Q217" s="69">
        <f>(inputs!$C$18*11.2*(10*F217^0.667)*0.5/F217)*inputs!$E$80/(10^(0.84+0.62*LOG10(inputs!$E$80)))</f>
        <v>7.3342330060974454</v>
      </c>
      <c r="R217" s="59">
        <f>(60*284*((F217/1000)^0.77)*3*24*(MAX('Max rate concentrations'!$R$3:$R$368))/F217)*(inputs!$E$73*3.4/inputs!$E$75)</f>
        <v>5.7688950716123719E-2</v>
      </c>
      <c r="S217" s="59">
        <f>(IF(inputs!$C$17="aerial",((0.025*0.112*inputs!$C$18/3.3)*(3*60*284*((F217/1000)^0.77))*MAX(inputs!$I$14:$I$16))/F217,((0.0083*0.112*inputs!$C$18/1)*(3*60*284*((F217/1000)^0.77))*MAX(inputs!$I$14:$I$16))/F217))*(inputs!E$75*3.4/inputs!$E$73)</f>
        <v>0.31815810751101498</v>
      </c>
      <c r="T217" s="63">
        <f>IF((((inputs!$P$13/(V217/MAX(K217:S217)))^(1/inputs!$O$13))-1)/inputs!$N$13&lt;0, 0, IF((((inputs!$P$13/(V217/MAX(K217:S217)))^(1/inputs!$O$13))-1)/inputs!$N$13&lt;inputs!$I$17, (((inputs!$P$13/(V217/MAX(K217:S217)))^(1/inputs!$O$13))-1)/inputs!$N$13, inputs!$I$17))</f>
        <v>1000</v>
      </c>
      <c r="U217" s="63">
        <f>IF((((inputs!$P$13/(X217/MAX(K217:S217)))^(1/inputs!$O$13))-1)/inputs!$N$13&lt;0, 0, IF((((inputs!$P$13/(X217/MAX(K217:S217)))^(1/inputs!$O$13))-1)/inputs!$N$13&lt;inputs!$I$17, (((inputs!$P$13/(X217/MAX(K217:S217)))^(1/inputs!$O$13))-1)/inputs!$N$13, inputs!$I$17))</f>
        <v>66.200452908222289</v>
      </c>
      <c r="V217" s="21">
        <f>inputs!$E$78*(F217/inputs!$F$78)^(inputs!$E$84-1)</f>
        <v>2.5744004973284332E-2</v>
      </c>
      <c r="W217" s="21">
        <f>inputs!$E$85*(F217/inputs!$F$85)^(inputs!$E$84-1)</f>
        <v>1.1888107250470454</v>
      </c>
      <c r="X217" s="21">
        <f>inputs!$E$80*(F217/inputs!$F$80)^(inputs!$E$84-1)</f>
        <v>4.4392299226440306</v>
      </c>
      <c r="Y217" s="21">
        <f>inputs!$E$82*(F217/inputs!$F$82)^(inputs!$E$84-1)</f>
        <v>2.0459709215610178</v>
      </c>
      <c r="Z217" s="63">
        <f t="shared" si="18"/>
        <v>4145.3202026023755</v>
      </c>
      <c r="AA217" s="63">
        <f t="shared" si="19"/>
        <v>89.767985486022923</v>
      </c>
    </row>
    <row r="218" spans="1:27" ht="13.2" x14ac:dyDescent="0.25">
      <c r="A218" s="103" t="s">
        <v>319</v>
      </c>
      <c r="B218" s="20" t="s">
        <v>320</v>
      </c>
      <c r="C218" s="20" t="s">
        <v>73</v>
      </c>
      <c r="D218" s="104" t="s">
        <v>240</v>
      </c>
      <c r="E218" s="15">
        <v>1353</v>
      </c>
      <c r="F218" s="15">
        <v>44</v>
      </c>
      <c r="G218" s="20" t="s">
        <v>164</v>
      </c>
      <c r="H218" s="20">
        <v>0.78</v>
      </c>
      <c r="I218" s="68">
        <f>inputs!$C$66*(inputs!$C$62/1000)</f>
        <v>8.2000000000000011</v>
      </c>
      <c r="J218" s="68">
        <f>inputs!$C$66*(inputs!$C$61/1000)</f>
        <v>2.5</v>
      </c>
      <c r="K218" s="69">
        <f t="shared" si="17"/>
        <v>4.3725818798100979</v>
      </c>
      <c r="L218" s="69">
        <f>((0.301*F218^0.751)/(1-H218))*J218/F218</f>
        <v>1.3331042316494197</v>
      </c>
      <c r="M218" s="69">
        <f>IF((((1.18*F218^0.874)/3.7-(0.301*F218^0.751)/(1-H218)*H218)*(MAX('Max rate concentrations'!$P$3:$P$368)))/F218&gt;0, (((1.18*F218^0.874)/3.7-(0.301*F218^0.751)/(1-H218)*H218)*(MAX('Max rate concentrations'!$P$3:$P$368)))/F218, 0)</f>
        <v>0</v>
      </c>
      <c r="N218" s="69">
        <f>IF((((1.18*F218^0.874)/3.7-(0.301*F218^0.751)/(1-H218)*H218)*(MAX('Max rate concentrations'!$Q$3:$Q$368)))/F218&gt;0, (((1.18*F218^0.874)/3.7-(0.301*F218^0.751)/(1-H218)*H218)*(MAX('Max rate concentrations'!$Q$3:$Q$368)))/F218, 0)</f>
        <v>0</v>
      </c>
      <c r="O218" s="69">
        <f>((MAX('Max rate concentrations'!$F$3:$F$368))*0.62*6.01*8*(10*F218^0.667)*0.079*0.1/F218)*inputs!$E$80/(10^(0.84+0.62*LOG10(inputs!$E$80)))</f>
        <v>41.637407846624441</v>
      </c>
      <c r="P218" s="69">
        <f>((MAX('Max rate concentrations'!Y:Y))*0.62*6.01*8*(10*F218^0.667)*0.079*0.1/F218)*inputs!$E$80/(10^(0.84+0.62*LOG10(inputs!$E$80)))</f>
        <v>13.879135948874811</v>
      </c>
      <c r="Q218" s="69">
        <f>(inputs!$C$18*11.2*(10*F218^0.667)*0.5/F218)*inputs!$E$80/(10^(0.84+0.62*LOG10(inputs!$E$80)))</f>
        <v>7.3342330060974454</v>
      </c>
      <c r="R218" s="59">
        <f>(60*284*((F218/1000)^0.77)*3*24*(MAX('Max rate concentrations'!$R$3:$R$368))/F218)*(inputs!$E$73*3.4/inputs!$E$75)</f>
        <v>5.7688950716123719E-2</v>
      </c>
      <c r="S218" s="59">
        <f>(IF(inputs!$C$17="aerial",((0.025*0.112*inputs!$C$18/3.3)*(3*60*284*((F218/1000)^0.77))*MAX(inputs!$I$14:$I$16))/F218,((0.0083*0.112*inputs!$C$18/1)*(3*60*284*((F218/1000)^0.77))*MAX(inputs!$I$14:$I$16))/F218))*(inputs!E$75*3.4/inputs!$E$73)</f>
        <v>0.31815810751101498</v>
      </c>
      <c r="T218" s="63">
        <f>IF((((inputs!$P$13/(V218/MAX(K218:S218)))^(1/inputs!$O$13))-1)/inputs!$N$13&lt;0, 0, IF((((inputs!$P$13/(V218/MAX(K218:S218)))^(1/inputs!$O$13))-1)/inputs!$N$13&lt;inputs!$I$17, (((inputs!$P$13/(V218/MAX(K218:S218)))^(1/inputs!$O$13))-1)/inputs!$N$13, inputs!$I$17))</f>
        <v>1000</v>
      </c>
      <c r="U218" s="63">
        <f>IF((((inputs!$P$13/(X218/MAX(K218:S218)))^(1/inputs!$O$13))-1)/inputs!$N$13&lt;0, 0, IF((((inputs!$P$13/(X218/MAX(K218:S218)))^(1/inputs!$O$13))-1)/inputs!$N$13&lt;inputs!$I$17, (((inputs!$P$13/(X218/MAX(K218:S218)))^(1/inputs!$O$13))-1)/inputs!$N$13, inputs!$I$17))</f>
        <v>28.140111368005737</v>
      </c>
      <c r="V218" s="21">
        <f>inputs!$E$78*(F218/inputs!$F$78)^(inputs!$E$84-1)</f>
        <v>2.5744004973284332E-2</v>
      </c>
      <c r="W218" s="21">
        <f>inputs!$E$85*(F218/inputs!$F$85)^(inputs!$E$84-1)</f>
        <v>1.1888107250470454</v>
      </c>
      <c r="X218" s="21">
        <f>inputs!$E$80*(F218/inputs!$F$80)^(inputs!$E$84-1)</f>
        <v>4.4392299226440306</v>
      </c>
      <c r="Y218" s="21">
        <f>inputs!$E$82*(F218/inputs!$F$82)^(inputs!$E$84-1)</f>
        <v>2.0459709215610178</v>
      </c>
      <c r="Z218" s="63">
        <f t="shared" si="18"/>
        <v>1617.3632614596438</v>
      </c>
      <c r="AA218" s="63">
        <f t="shared" si="19"/>
        <v>35.024421440155415</v>
      </c>
    </row>
    <row r="219" spans="1:27" ht="13.2" x14ac:dyDescent="0.25">
      <c r="A219" s="103" t="s">
        <v>319</v>
      </c>
      <c r="B219" s="20" t="s">
        <v>320</v>
      </c>
      <c r="C219" s="20" t="s">
        <v>73</v>
      </c>
      <c r="D219" s="104" t="s">
        <v>240</v>
      </c>
      <c r="E219" s="15">
        <v>1353</v>
      </c>
      <c r="F219" s="15">
        <v>44</v>
      </c>
      <c r="G219" s="20" t="s">
        <v>152</v>
      </c>
      <c r="H219" s="20">
        <v>0.77</v>
      </c>
      <c r="I219" s="68">
        <f>MAX('Max rate concentrations'!$G$3:$G$368)</f>
        <v>45</v>
      </c>
      <c r="J219" s="68">
        <f>MAX('Max rate concentrations'!Z:Z)</f>
        <v>21</v>
      </c>
      <c r="K219" s="69">
        <f t="shared" si="17"/>
        <v>22.952577205790007</v>
      </c>
      <c r="L219" s="69">
        <f>((0.301*F219^0.751)/(1-H219))*J219/F219</f>
        <v>10.711202696035336</v>
      </c>
      <c r="M219" s="69">
        <f>IF((((1.18*F219^0.874)/3.7-(0.301*F219^0.751)/(1-H219)*H219)*(MAX('Max rate concentrations'!$P$3:$P$368)))/F219&gt;0, (((1.18*F219^0.874)/3.7-(0.301*F219^0.751)/(1-H219)*H219)*(MAX('Max rate concentrations'!$P$3:$P$368)))/F219, 0)</f>
        <v>0</v>
      </c>
      <c r="N219" s="69">
        <f>IF((((1.18*F219^0.874)/3.7-(0.301*F219^0.751)/(1-H219)*H219)*(MAX('Max rate concentrations'!$Q$3:$Q$368)))/F219&gt;0, (((1.18*F219^0.874)/3.7-(0.301*F219^0.751)/(1-H219)*H219)*(MAX('Max rate concentrations'!$Q$3:$Q$368)))/F219, 0)</f>
        <v>0</v>
      </c>
      <c r="O219" s="69">
        <f>((MAX('Max rate concentrations'!$F$3:$F$368))*0.62*6.01*8*(10*F219^0.667)*0.079*0.1/F219)*inputs!$E$80/(10^(0.84+0.62*LOG10(inputs!$E$80)))</f>
        <v>41.637407846624441</v>
      </c>
      <c r="P219" s="69">
        <f>((MAX('Max rate concentrations'!Y:Y))*0.62*6.01*8*(10*F219^0.667)*0.079*0.1/F219)*inputs!$E$80/(10^(0.84+0.62*LOG10(inputs!$E$80)))</f>
        <v>13.879135948874811</v>
      </c>
      <c r="Q219" s="69">
        <f>(inputs!$C$18*11.2*(10*F219^0.667)*0.5/F219)*inputs!$E$80/(10^(0.84+0.62*LOG10(inputs!$E$80)))</f>
        <v>7.3342330060974454</v>
      </c>
      <c r="R219" s="59">
        <f>(60*284*((F219/1000)^0.77)*3*24*(MAX('Max rate concentrations'!$R$3:$R$368))/F219)*(inputs!$E$73*3.4/inputs!$E$75)</f>
        <v>5.7688950716123719E-2</v>
      </c>
      <c r="S219" s="59">
        <f>(IF(inputs!$C$17="aerial",((0.025*0.112*inputs!$C$18/3.3)*(3*60*284*((F219/1000)^0.77))*MAX(inputs!$I$14:$I$16))/F219,((0.0083*0.112*inputs!$C$18/1)*(3*60*284*((F219/1000)^0.77))*MAX(inputs!$I$14:$I$16))/F219))*(inputs!E$75*3.4/inputs!$E$73)</f>
        <v>0.31815810751101498</v>
      </c>
      <c r="T219" s="63">
        <f>IF((((inputs!$P$13/(V219/MAX(K219:S219)))^(1/inputs!$O$13))-1)/inputs!$N$13&lt;0, 0, IF((((inputs!$P$13/(V219/MAX(K219:S219)))^(1/inputs!$O$13))-1)/inputs!$N$13&lt;inputs!$I$17, (((inputs!$P$13/(V219/MAX(K219:S219)))^(1/inputs!$O$13))-1)/inputs!$N$13, inputs!$I$17))</f>
        <v>1000</v>
      </c>
      <c r="U219" s="63">
        <f>IF((((inputs!$P$13/(X219/MAX(K219:S219)))^(1/inputs!$O$13))-1)/inputs!$N$13&lt;0, 0, IF((((inputs!$P$13/(X219/MAX(K219:S219)))^(1/inputs!$O$13))-1)/inputs!$N$13&lt;inputs!$I$17, (((inputs!$P$13/(X219/MAX(K219:S219)))^(1/inputs!$O$13))-1)/inputs!$N$13, inputs!$I$17))</f>
        <v>28.140111368005737</v>
      </c>
      <c r="V219" s="21">
        <f>inputs!$E$78*(F219/inputs!$F$78)^(inputs!$E$84-1)</f>
        <v>2.5744004973284332E-2</v>
      </c>
      <c r="W219" s="21">
        <f>inputs!$E$85*(F219/inputs!$F$85)^(inputs!$E$84-1)</f>
        <v>1.1888107250470454</v>
      </c>
      <c r="X219" s="21">
        <f>inputs!$E$80*(F219/inputs!$F$80)^(inputs!$E$84-1)</f>
        <v>4.4392299226440306</v>
      </c>
      <c r="Y219" s="21">
        <f>inputs!$E$82*(F219/inputs!$F$82)^(inputs!$E$84-1)</f>
        <v>2.0459709215610178</v>
      </c>
      <c r="Z219" s="63">
        <f t="shared" si="18"/>
        <v>1617.3632614596438</v>
      </c>
      <c r="AA219" s="63">
        <f t="shared" si="19"/>
        <v>35.024421440155415</v>
      </c>
    </row>
    <row r="220" spans="1:27" ht="13.2" x14ac:dyDescent="0.25">
      <c r="A220" s="103" t="s">
        <v>319</v>
      </c>
      <c r="B220" s="20" t="s">
        <v>320</v>
      </c>
      <c r="C220" s="20" t="s">
        <v>73</v>
      </c>
      <c r="D220" s="104" t="s">
        <v>240</v>
      </c>
      <c r="E220" s="15">
        <v>1353</v>
      </c>
      <c r="F220" s="15">
        <v>44</v>
      </c>
      <c r="G220" s="20" t="s">
        <v>154</v>
      </c>
      <c r="H220" s="20">
        <v>9.2999999999999999E-2</v>
      </c>
      <c r="I220" s="68">
        <f>MAX('Max rate concentrations'!$G$3:$G$368)</f>
        <v>45</v>
      </c>
      <c r="J220" s="68">
        <f>MAX('Max rate concentrations'!Z:Z)</f>
        <v>21</v>
      </c>
      <c r="K220" s="69">
        <f t="shared" si="17"/>
        <v>5.8203889275983469</v>
      </c>
      <c r="L220" s="69">
        <f>((0.301*F220^0.751)/(1-H220))*J220/F220</f>
        <v>2.7161814995458955</v>
      </c>
      <c r="M220" s="69">
        <f>IF((((1.18*F220^0.874)/3.7-(0.301*F220^0.751)/(1-H220)*H220)*(MAX('Max rate concentrations'!$P$3:$P$368)))/F220&gt;0, (((1.18*F220^0.874)/3.7-(0.301*F220^0.751)/(1-H220)*H220)*(MAX('Max rate concentrations'!$P$3:$P$368)))/F220, 0)</f>
        <v>0.16193631853454005</v>
      </c>
      <c r="N220" s="69">
        <f>IF((((1.18*F220^0.874)/3.7-(0.301*F220^0.751)/(1-H220)*H220)*(MAX('Max rate concentrations'!$Q$3:$Q$368)))/F220&gt;0, (((1.18*F220^0.874)/3.7-(0.301*F220^0.751)/(1-H220)*H220)*(MAX('Max rate concentrations'!$Q$3:$Q$368)))/F220, 0)</f>
        <v>0.6166622020908068</v>
      </c>
      <c r="O220" s="69">
        <f>((MAX('Max rate concentrations'!$F$3:$F$368))*0.62*6.01*8*(10*F220^0.667)*0.079*0.1/F220)*inputs!$E$80/(10^(0.84+0.62*LOG10(inputs!$E$80)))</f>
        <v>41.637407846624441</v>
      </c>
      <c r="P220" s="69">
        <f>((MAX('Max rate concentrations'!Y:Y))*0.62*6.01*8*(10*F220^0.667)*0.079*0.1/F220)*inputs!$E$80/(10^(0.84+0.62*LOG10(inputs!$E$80)))</f>
        <v>13.879135948874811</v>
      </c>
      <c r="Q220" s="69">
        <f>(inputs!$C$18*11.2*(10*F220^0.667)*0.5/F220)*inputs!$E$80/(10^(0.84+0.62*LOG10(inputs!$E$80)))</f>
        <v>7.3342330060974454</v>
      </c>
      <c r="R220" s="59">
        <f>(60*284*((F220/1000)^0.77)*3*24*(MAX('Max rate concentrations'!$R$3:$R$368))/F220)*(inputs!$E$73*3.4/inputs!$E$75)</f>
        <v>5.7688950716123719E-2</v>
      </c>
      <c r="S220" s="59">
        <f>(IF(inputs!$C$17="aerial",((0.025*0.112*inputs!$C$18/3.3)*(3*60*284*((F220/1000)^0.77))*MAX(inputs!$I$14:$I$16))/F220,((0.0083*0.112*inputs!$C$18/1)*(3*60*284*((F220/1000)^0.77))*MAX(inputs!$I$14:$I$16))/F220))*(inputs!E$75*3.4/inputs!$E$73)</f>
        <v>0.31815810751101498</v>
      </c>
      <c r="T220" s="63">
        <f>IF((((inputs!$P$13/(V220/MAX(K220:S220)))^(1/inputs!$O$13))-1)/inputs!$N$13&lt;0, 0, IF((((inputs!$P$13/(V220/MAX(K220:S220)))^(1/inputs!$O$13))-1)/inputs!$N$13&lt;inputs!$I$17, (((inputs!$P$13/(V220/MAX(K220:S220)))^(1/inputs!$O$13))-1)/inputs!$N$13, inputs!$I$17))</f>
        <v>1000</v>
      </c>
      <c r="U220" s="63">
        <f>IF((((inputs!$P$13/(X220/MAX(K220:S220)))^(1/inputs!$O$13))-1)/inputs!$N$13&lt;0, 0, IF((((inputs!$P$13/(X220/MAX(K220:S220)))^(1/inputs!$O$13))-1)/inputs!$N$13&lt;inputs!$I$17, (((inputs!$P$13/(X220/MAX(K220:S220)))^(1/inputs!$O$13))-1)/inputs!$N$13, inputs!$I$17))</f>
        <v>28.140111368005737</v>
      </c>
      <c r="V220" s="21">
        <f>inputs!$E$78*(F220/inputs!$F$78)^(inputs!$E$84-1)</f>
        <v>2.5744004973284332E-2</v>
      </c>
      <c r="W220" s="21">
        <f>inputs!$E$85*(F220/inputs!$F$85)^(inputs!$E$84-1)</f>
        <v>1.1888107250470454</v>
      </c>
      <c r="X220" s="21">
        <f>inputs!$E$80*(F220/inputs!$F$80)^(inputs!$E$84-1)</f>
        <v>4.4392299226440306</v>
      </c>
      <c r="Y220" s="21">
        <f>inputs!$E$82*(F220/inputs!$F$82)^(inputs!$E$84-1)</f>
        <v>2.0459709215610178</v>
      </c>
      <c r="Z220" s="63">
        <f t="shared" si="18"/>
        <v>1617.3632614596438</v>
      </c>
      <c r="AA220" s="63">
        <f t="shared" si="19"/>
        <v>35.024421440155415</v>
      </c>
    </row>
    <row r="221" spans="1:27" ht="13.2" x14ac:dyDescent="0.25">
      <c r="A221" s="103" t="s">
        <v>319</v>
      </c>
      <c r="B221" s="20" t="s">
        <v>320</v>
      </c>
      <c r="C221" s="20" t="s">
        <v>73</v>
      </c>
      <c r="D221" s="104" t="s">
        <v>240</v>
      </c>
      <c r="E221" s="15">
        <v>1353</v>
      </c>
      <c r="F221" s="15">
        <v>44</v>
      </c>
      <c r="G221" s="20" t="s">
        <v>146</v>
      </c>
      <c r="H221" s="20">
        <v>0.84</v>
      </c>
      <c r="I221" s="68">
        <f>MAX('Max rate concentrations'!$I$3:$I$368)</f>
        <v>56.865414300472793</v>
      </c>
      <c r="J221" s="68" t="s">
        <v>13</v>
      </c>
      <c r="K221" s="69">
        <f t="shared" si="17"/>
        <v>41.694138441151729</v>
      </c>
      <c r="L221" s="69" t="s">
        <v>13</v>
      </c>
      <c r="M221" s="69">
        <f>IF((((1.18*F221^0.874)/3.7-(0.301*F221^0.751)/(1-H221)*H221)*(MAX('Max rate concentrations'!$P$3:$P$368)))/F221&gt;0, (((1.18*F221^0.874)/3.7-(0.301*F221^0.751)/(1-H221)*H221)*(MAX('Max rate concentrations'!$P$3:$P$368)))/F221, 0)</f>
        <v>0</v>
      </c>
      <c r="N221" s="69">
        <f>IF((((1.18*F221^0.874)/3.7-(0.301*F221^0.751)/(1-H221)*H221)*(MAX('Max rate concentrations'!$Q$3:$Q$368)))/F221&gt;0, (((1.18*F221^0.874)/3.7-(0.301*F221^0.751)/(1-H221)*H221)*(MAX('Max rate concentrations'!$Q$3:$Q$368)))/F221, 0)</f>
        <v>0</v>
      </c>
      <c r="O221" s="69">
        <f>((MAX('Max rate concentrations'!$F$3:$F$368))*0.62*6.01*8*(10*F221^0.667)*0.079*0.1/F221)*inputs!$E$80/(10^(0.84+0.62*LOG10(inputs!$E$80)))</f>
        <v>41.637407846624441</v>
      </c>
      <c r="P221" s="69">
        <f>((MAX('Max rate concentrations'!Y:Y))*0.62*6.01*8*(10*F221^0.667)*0.079*0.1/F221)*inputs!$E$80/(10^(0.84+0.62*LOG10(inputs!$E$80)))</f>
        <v>13.879135948874811</v>
      </c>
      <c r="Q221" s="69">
        <f>(inputs!$C$18*11.2*(10*F221^0.667)*0.5/F221)*inputs!$E$80/(10^(0.84+0.62*LOG10(inputs!$E$80)))</f>
        <v>7.3342330060974454</v>
      </c>
      <c r="R221" s="59">
        <f>(60*284*((F221/1000)^0.77)*3*24*(MAX('Max rate concentrations'!$R$3:$R$368))/F221)*(inputs!$E$73*3.4/inputs!$E$75)</f>
        <v>5.7688950716123719E-2</v>
      </c>
      <c r="S221" s="59">
        <f>(IF(inputs!$C$17="aerial",((0.025*0.112*inputs!$C$18/3.3)*(3*60*284*((F221/1000)^0.77))*MAX(inputs!$I$14:$I$16))/F221,((0.0083*0.112*inputs!$C$18/1)*(3*60*284*((F221/1000)^0.77))*MAX(inputs!$I$14:$I$16))/F221))*(inputs!E$75*3.4/inputs!$E$73)</f>
        <v>0.31815810751101498</v>
      </c>
      <c r="T221" s="63">
        <f>IF((((inputs!$P$13/(V221/MAX(K221:S221)))^(1/inputs!$O$13))-1)/inputs!$N$13&lt;0, 0, IF((((inputs!$P$13/(V221/MAX(K221:S221)))^(1/inputs!$O$13))-1)/inputs!$N$13&lt;inputs!$I$17, (((inputs!$P$13/(V221/MAX(K221:S221)))^(1/inputs!$O$13))-1)/inputs!$N$13, inputs!$I$17))</f>
        <v>1000</v>
      </c>
      <c r="U221" s="63">
        <f>IF((((inputs!$P$13/(X221/MAX(K221:S221)))^(1/inputs!$O$13))-1)/inputs!$N$13&lt;0, 0, IF((((inputs!$P$13/(X221/MAX(K221:S221)))^(1/inputs!$O$13))-1)/inputs!$N$13&lt;inputs!$I$17, (((inputs!$P$13/(X221/MAX(K221:S221)))^(1/inputs!$O$13))-1)/inputs!$N$13, inputs!$I$17))</f>
        <v>28.176871032135939</v>
      </c>
      <c r="V221" s="21">
        <f>inputs!$E$78*(F221/inputs!$F$78)^(inputs!$E$84-1)</f>
        <v>2.5744004973284332E-2</v>
      </c>
      <c r="W221" s="21">
        <f>inputs!$E$85*(F221/inputs!$F$85)^(inputs!$E$84-1)</f>
        <v>1.1888107250470454</v>
      </c>
      <c r="X221" s="21">
        <f>inputs!$E$80*(F221/inputs!$F$80)^(inputs!$E$84-1)</f>
        <v>4.4392299226440306</v>
      </c>
      <c r="Y221" s="21">
        <f>inputs!$E$82*(F221/inputs!$F$82)^(inputs!$E$84-1)</f>
        <v>2.0459709215610178</v>
      </c>
      <c r="Z221" s="63">
        <f t="shared" si="18"/>
        <v>1619.5669043887904</v>
      </c>
      <c r="AA221" s="63">
        <f t="shared" si="19"/>
        <v>35.072141900050362</v>
      </c>
    </row>
    <row r="222" spans="1:27" ht="13.2" x14ac:dyDescent="0.25">
      <c r="A222" s="103" t="s">
        <v>248</v>
      </c>
      <c r="B222" s="20" t="s">
        <v>252</v>
      </c>
      <c r="C222" s="20" t="s">
        <v>73</v>
      </c>
      <c r="D222" s="104" t="s">
        <v>240</v>
      </c>
      <c r="E222" s="15">
        <v>67</v>
      </c>
      <c r="F222" s="15">
        <v>5400</v>
      </c>
      <c r="G222" s="20" t="s">
        <v>182</v>
      </c>
      <c r="H222" s="20">
        <v>0.85</v>
      </c>
      <c r="I222" s="68">
        <f>MAX('Max rate concentrations'!$M$3:$M$368)</f>
        <v>17.092910873809167</v>
      </c>
      <c r="J222" s="68">
        <f>MAX('Max rate concentrations'!AE:AE)</f>
        <v>11.81956602976166</v>
      </c>
      <c r="K222" s="69">
        <f t="shared" si="17"/>
        <v>4.0357589491229406</v>
      </c>
      <c r="L222" s="69">
        <f t="shared" ref="L222:L256" si="20">((0.301*F222^0.751)/(1-H222))*J222/F222</f>
        <v>2.7906843797126721</v>
      </c>
      <c r="M222" s="69">
        <f>IF((((1.18*F222^0.874)/3.7-(0.301*F222^0.751)/(1-H222)*H222)*(MAX('Max rate concentrations'!$P$3:$P$368)))/F222&gt;0, (((1.18*F222^0.874)/3.7-(0.301*F222^0.751)/(1-H222)*H222)*(MAX('Max rate concentrations'!$P$3:$P$368)))/F222, 0)</f>
        <v>0</v>
      </c>
      <c r="N222" s="69">
        <f>IF((((1.18*F222^0.874)/3.7-(0.301*F222^0.751)/(1-H222)*H222)*(MAX('Max rate concentrations'!$Q$3:$Q$368)))/F222&gt;0, (((1.18*F222^0.874)/3.7-(0.301*F222^0.751)/(1-H222)*H222)*(MAX('Max rate concentrations'!$Q$3:$Q$368)))/F222, 0)</f>
        <v>0</v>
      </c>
      <c r="O222" s="69">
        <f>((MAX('Max rate concentrations'!$F$3:$F$368))*0.62*6.01*8*(10*F222^0.667)*0.079*0.1/F222)*inputs!$E$80/(10^(0.84+0.62*LOG10(inputs!$E$80)))</f>
        <v>8.3920160106750359</v>
      </c>
      <c r="P222" s="69">
        <f>((MAX('Max rate concentrations'!Y:Y))*0.62*6.01*8*(10*F222^0.667)*0.079*0.1/F222)*inputs!$E$80/(10^(0.84+0.62*LOG10(inputs!$E$80)))</f>
        <v>2.7973386702250127</v>
      </c>
      <c r="Q222" s="69">
        <f>(inputs!$C$18*11.2*(10*F222^0.667)*0.5/F222)*inputs!$E$80/(10^(0.84+0.62*LOG10(inputs!$E$80)))</f>
        <v>1.4782140386815861</v>
      </c>
      <c r="R222" s="59">
        <f>(60*284*((F222/1000)^0.77)*3*24*(MAX('Max rate concentrations'!$R$3:$R$368))/F222)*(inputs!$E$73*3.4/inputs!$E$75)</f>
        <v>1.9082540405563651E-2</v>
      </c>
      <c r="S222" s="59">
        <f>(IF(inputs!$C$17="aerial",((0.025*0.112*inputs!$C$18/3.3)*(3*60*284*((F222/1000)^0.77))*MAX(inputs!$I$14:$I$16))/F222,((0.0083*0.112*inputs!$C$18/1)*(3*60*284*((F222/1000)^0.77))*MAX(inputs!$I$14:$I$16))/F222))*(inputs!E$75*3.4/inputs!$E$73)</f>
        <v>0.10524138273570169</v>
      </c>
      <c r="T222" s="63">
        <f>IF((((inputs!$P$13/(V222/MAX(K222:S222)))^(1/inputs!$O$13))-1)/inputs!$N$13&lt;0, 0, IF((((inputs!$P$13/(V222/MAX(K222:S222)))^(1/inputs!$O$13))-1)/inputs!$N$13&lt;inputs!$I$17, (((inputs!$P$13/(V222/MAX(K222:S222)))^(1/inputs!$O$13))-1)/inputs!$N$13, inputs!$I$17))</f>
        <v>1000</v>
      </c>
      <c r="U222" s="63">
        <f>IF((((inputs!$P$13/(X222/MAX(K222:S222)))^(1/inputs!$O$13))-1)/inputs!$N$13&lt;0, 0, IF((((inputs!$P$13/(X222/MAX(K222:S222)))^(1/inputs!$O$13))-1)/inputs!$N$13&lt;inputs!$I$17, (((inputs!$P$13/(X222/MAX(K222:S222)))^(1/inputs!$O$13))-1)/inputs!$N$13, inputs!$I$17))</f>
        <v>33.305037901220594</v>
      </c>
      <c r="V222" s="21">
        <f>inputs!$E$78*(F222/inputs!$F$78)^(inputs!$E$84-1)</f>
        <v>4.3427808073074944E-3</v>
      </c>
      <c r="W222" s="21">
        <f>inputs!$E$85*(F222/inputs!$F$85)^(inputs!$E$84-1)</f>
        <v>0.20054161757711042</v>
      </c>
      <c r="X222" s="21">
        <f>inputs!$E$80*(F222/inputs!$F$80)^(inputs!$E$84-1)</f>
        <v>0.74885793905376674</v>
      </c>
      <c r="Y222" s="21">
        <f>inputs!$E$82*(F222/inputs!$F$82)^(inputs!$E$84-1)</f>
        <v>0.34513679047549034</v>
      </c>
      <c r="Z222" s="63">
        <f t="shared" si="18"/>
        <v>1932.4060741343403</v>
      </c>
      <c r="AA222" s="63">
        <f t="shared" si="19"/>
        <v>41.846755362129336</v>
      </c>
    </row>
    <row r="223" spans="1:27" ht="13.2" x14ac:dyDescent="0.25">
      <c r="A223" s="103" t="s">
        <v>248</v>
      </c>
      <c r="B223" s="20" t="s">
        <v>252</v>
      </c>
      <c r="C223" s="20" t="s">
        <v>73</v>
      </c>
      <c r="D223" s="104" t="s">
        <v>240</v>
      </c>
      <c r="E223" s="15">
        <v>67</v>
      </c>
      <c r="F223" s="15">
        <v>5400</v>
      </c>
      <c r="G223" s="20" t="s">
        <v>142</v>
      </c>
      <c r="H223" s="20">
        <v>0.69</v>
      </c>
      <c r="I223" s="68">
        <f>MAX('Max rate concentrations'!$H$3:$H$368)</f>
        <v>282</v>
      </c>
      <c r="J223" s="68">
        <f>MAX('Max rate concentrations'!AA:AA)</f>
        <v>195</v>
      </c>
      <c r="K223" s="69">
        <f t="shared" si="17"/>
        <v>32.217205247366515</v>
      </c>
      <c r="L223" s="69">
        <f t="shared" si="20"/>
        <v>22.277854692327907</v>
      </c>
      <c r="M223" s="69">
        <f>IF((((1.18*F223^0.874)/3.7-(0.301*F223^0.751)/(1-H223)*H223)*(MAX('Max rate concentrations'!$P$3:$P$368)))/F223&gt;0, (((1.18*F223^0.874)/3.7-(0.301*F223^0.751)/(1-H223)*H223)*(MAX('Max rate concentrations'!$P$3:$P$368)))/F223, 0)</f>
        <v>2.5398957379465095E-2</v>
      </c>
      <c r="N223" s="69">
        <f>IF((((1.18*F223^0.874)/3.7-(0.301*F223^0.751)/(1-H223)*H223)*(MAX('Max rate concentrations'!$Q$3:$Q$368)))/F223&gt;0, (((1.18*F223^0.874)/3.7-(0.301*F223^0.751)/(1-H223)*H223)*(MAX('Max rate concentrations'!$Q$3:$Q$368)))/F223, 0)</f>
        <v>9.6720594429783577E-2</v>
      </c>
      <c r="O223" s="69">
        <f>((MAX('Max rate concentrations'!$F$3:$F$368))*0.62*6.01*8*(10*F223^0.667)*0.079*0.1/F223)*inputs!$E$80/(10^(0.84+0.62*LOG10(inputs!$E$80)))</f>
        <v>8.3920160106750359</v>
      </c>
      <c r="P223" s="69">
        <f>((MAX('Max rate concentrations'!Y:Y))*0.62*6.01*8*(10*F223^0.667)*0.079*0.1/F223)*inputs!$E$80/(10^(0.84+0.62*LOG10(inputs!$E$80)))</f>
        <v>2.7973386702250127</v>
      </c>
      <c r="Q223" s="69">
        <f>(inputs!$C$18*11.2*(10*F223^0.667)*0.5/F223)*inputs!$E$80/(10^(0.84+0.62*LOG10(inputs!$E$80)))</f>
        <v>1.4782140386815861</v>
      </c>
      <c r="R223" s="59">
        <f>(60*284*((F223/1000)^0.77)*3*24*(MAX('Max rate concentrations'!$R$3:$R$368))/F223)*(inputs!$E$73*3.4/inputs!$E$75)</f>
        <v>1.9082540405563651E-2</v>
      </c>
      <c r="S223" s="59">
        <f>(IF(inputs!$C$17="aerial",((0.025*0.112*inputs!$C$18/3.3)*(3*60*284*((F223/1000)^0.77))*MAX(inputs!$I$14:$I$16))/F223,((0.0083*0.112*inputs!$C$18/1)*(3*60*284*((F223/1000)^0.77))*MAX(inputs!$I$14:$I$16))/F223))*(inputs!E$75*3.4/inputs!$E$73)</f>
        <v>0.10524138273570169</v>
      </c>
      <c r="T223" s="63">
        <f>IF((((inputs!$P$13/(V223/MAX(K223:S223)))^(1/inputs!$O$13))-1)/inputs!$N$13&lt;0, 0, IF((((inputs!$P$13/(V223/MAX(K223:S223)))^(1/inputs!$O$13))-1)/inputs!$N$13&lt;inputs!$I$17, (((inputs!$P$13/(V223/MAX(K223:S223)))^(1/inputs!$O$13))-1)/inputs!$N$13, inputs!$I$17))</f>
        <v>1000</v>
      </c>
      <c r="U223" s="63">
        <f>IF((((inputs!$P$13/(X223/MAX(K223:S223)))^(1/inputs!$O$13))-1)/inputs!$N$13&lt;0, 0, IF((((inputs!$P$13/(X223/MAX(K223:S223)))^(1/inputs!$O$13))-1)/inputs!$N$13&lt;inputs!$I$17, (((inputs!$P$13/(X223/MAX(K223:S223)))^(1/inputs!$O$13))-1)/inputs!$N$13, inputs!$I$17))</f>
        <v>109.13104683936109</v>
      </c>
      <c r="V223" s="21">
        <f>inputs!$E$78*(F223/inputs!$F$78)^(inputs!$E$84-1)</f>
        <v>4.3427808073074944E-3</v>
      </c>
      <c r="W223" s="21">
        <f>inputs!$E$85*(F223/inputs!$F$85)^(inputs!$E$84-1)</f>
        <v>0.20054161757711042</v>
      </c>
      <c r="X223" s="21">
        <f>inputs!$E$80*(F223/inputs!$F$80)^(inputs!$E$84-1)</f>
        <v>0.74885793905376674</v>
      </c>
      <c r="Y223" s="21">
        <f>inputs!$E$82*(F223/inputs!$F$82)^(inputs!$E$84-1)</f>
        <v>0.34513679047549034</v>
      </c>
      <c r="Z223" s="63">
        <f t="shared" si="18"/>
        <v>7418.5658168967193</v>
      </c>
      <c r="AA223" s="63">
        <f t="shared" si="19"/>
        <v>160.65096929308777</v>
      </c>
    </row>
    <row r="224" spans="1:27" ht="13.2" x14ac:dyDescent="0.25">
      <c r="A224" s="103" t="s">
        <v>248</v>
      </c>
      <c r="B224" s="20" t="s">
        <v>252</v>
      </c>
      <c r="C224" s="20" t="s">
        <v>73</v>
      </c>
      <c r="D224" s="104" t="s">
        <v>240</v>
      </c>
      <c r="E224" s="15">
        <v>67</v>
      </c>
      <c r="F224" s="15">
        <v>5400</v>
      </c>
      <c r="G224" s="20" t="s">
        <v>164</v>
      </c>
      <c r="H224" s="20">
        <v>0.78</v>
      </c>
      <c r="I224" s="68">
        <f>inputs!$C$66*(inputs!$C$62/1000)</f>
        <v>8.2000000000000011</v>
      </c>
      <c r="J224" s="68">
        <f>inputs!$C$66*(inputs!$C$61/1000)</f>
        <v>2.5</v>
      </c>
      <c r="K224" s="69">
        <f t="shared" si="17"/>
        <v>1.3200537675500599</v>
      </c>
      <c r="L224" s="69">
        <f t="shared" si="20"/>
        <v>0.40245541693599385</v>
      </c>
      <c r="M224" s="69">
        <f>IF((((1.18*F224^0.874)/3.7-(0.301*F224^0.751)/(1-H224)*H224)*(MAX('Max rate concentrations'!$P$3:$P$368)))/F224&gt;0, (((1.18*F224^0.874)/3.7-(0.301*F224^0.751)/(1-H224)*H224)*(MAX('Max rate concentrations'!$P$3:$P$368)))/F224, 0)</f>
        <v>0</v>
      </c>
      <c r="N224" s="69">
        <f>IF((((1.18*F224^0.874)/3.7-(0.301*F224^0.751)/(1-H224)*H224)*(MAX('Max rate concentrations'!$Q$3:$Q$368)))/F224&gt;0, (((1.18*F224^0.874)/3.7-(0.301*F224^0.751)/(1-H224)*H224)*(MAX('Max rate concentrations'!$Q$3:$Q$368)))/F224, 0)</f>
        <v>0</v>
      </c>
      <c r="O224" s="69">
        <f>((MAX('Max rate concentrations'!$F$3:$F$368))*0.62*6.01*8*(10*F224^0.667)*0.079*0.1/F224)*inputs!$E$80/(10^(0.84+0.62*LOG10(inputs!$E$80)))</f>
        <v>8.3920160106750359</v>
      </c>
      <c r="P224" s="69">
        <f>((MAX('Max rate concentrations'!Y:Y))*0.62*6.01*8*(10*F224^0.667)*0.079*0.1/F224)*inputs!$E$80/(10^(0.84+0.62*LOG10(inputs!$E$80)))</f>
        <v>2.7973386702250127</v>
      </c>
      <c r="Q224" s="69">
        <f>(inputs!$C$18*11.2*(10*F224^0.667)*0.5/F224)*inputs!$E$80/(10^(0.84+0.62*LOG10(inputs!$E$80)))</f>
        <v>1.4782140386815861</v>
      </c>
      <c r="R224" s="59">
        <f>(60*284*((F224/1000)^0.77)*3*24*(MAX('Max rate concentrations'!$R$3:$R$368))/F224)*(inputs!$E$73*3.4/inputs!$E$75)</f>
        <v>1.9082540405563651E-2</v>
      </c>
      <c r="S224" s="59">
        <f>(IF(inputs!$C$17="aerial",((0.025*0.112*inputs!$C$18/3.3)*(3*60*284*((F224/1000)^0.77))*MAX(inputs!$I$14:$I$16))/F224,((0.0083*0.112*inputs!$C$18/1)*(3*60*284*((F224/1000)^0.77))*MAX(inputs!$I$14:$I$16))/F224))*(inputs!E$75*3.4/inputs!$E$73)</f>
        <v>0.10524138273570169</v>
      </c>
      <c r="T224" s="63">
        <f>IF((((inputs!$P$13/(V224/MAX(K224:S224)))^(1/inputs!$O$13))-1)/inputs!$N$13&lt;0, 0, IF((((inputs!$P$13/(V224/MAX(K224:S224)))^(1/inputs!$O$13))-1)/inputs!$N$13&lt;inputs!$I$17, (((inputs!$P$13/(V224/MAX(K224:S224)))^(1/inputs!$O$13))-1)/inputs!$N$13, inputs!$I$17))</f>
        <v>1000</v>
      </c>
      <c r="U224" s="63">
        <f>IF((((inputs!$P$13/(X224/MAX(K224:S224)))^(1/inputs!$O$13))-1)/inputs!$N$13&lt;0, 0, IF((((inputs!$P$13/(X224/MAX(K224:S224)))^(1/inputs!$O$13))-1)/inputs!$N$13&lt;inputs!$I$17, (((inputs!$P$13/(X224/MAX(K224:S224)))^(1/inputs!$O$13))-1)/inputs!$N$13, inputs!$I$17))</f>
        <v>33.305037901220594</v>
      </c>
      <c r="V224" s="21">
        <f>inputs!$E$78*(F224/inputs!$F$78)^(inputs!$E$84-1)</f>
        <v>4.3427808073074944E-3</v>
      </c>
      <c r="W224" s="21">
        <f>inputs!$E$85*(F224/inputs!$F$85)^(inputs!$E$84-1)</f>
        <v>0.20054161757711042</v>
      </c>
      <c r="X224" s="21">
        <f>inputs!$E$80*(F224/inputs!$F$80)^(inputs!$E$84-1)</f>
        <v>0.74885793905376674</v>
      </c>
      <c r="Y224" s="21">
        <f>inputs!$E$82*(F224/inputs!$F$82)^(inputs!$E$84-1)</f>
        <v>0.34513679047549034</v>
      </c>
      <c r="Z224" s="63">
        <f t="shared" si="18"/>
        <v>1932.4060741343403</v>
      </c>
      <c r="AA224" s="63">
        <f t="shared" si="19"/>
        <v>41.846755362129336</v>
      </c>
    </row>
    <row r="225" spans="1:27" ht="13.2" x14ac:dyDescent="0.25">
      <c r="A225" s="103" t="s">
        <v>248</v>
      </c>
      <c r="B225" s="20" t="s">
        <v>252</v>
      </c>
      <c r="C225" s="20" t="s">
        <v>73</v>
      </c>
      <c r="D225" s="104" t="s">
        <v>240</v>
      </c>
      <c r="E225" s="15">
        <v>67</v>
      </c>
      <c r="F225" s="15">
        <v>5400</v>
      </c>
      <c r="G225" s="20" t="s">
        <v>138</v>
      </c>
      <c r="H225" s="20">
        <v>0.68</v>
      </c>
      <c r="I225" s="68">
        <f>MAX('Max rate concentrations'!$L$3:$L$368)</f>
        <v>350.52744091332482</v>
      </c>
      <c r="J225" s="68">
        <f>MAX('Max rate concentrations'!AD:AD)</f>
        <v>242.38599637623525</v>
      </c>
      <c r="K225" s="69">
        <f t="shared" si="17"/>
        <v>38.794708529576745</v>
      </c>
      <c r="L225" s="69">
        <f t="shared" si="20"/>
        <v>26.826128238537112</v>
      </c>
      <c r="M225" s="69">
        <f>IF((((1.18*F225^0.874)/3.7-(0.301*F225^0.751)/(1-H225)*H225)*(MAX('Max rate concentrations'!$P$3:$P$368)))/F225&gt;0, (((1.18*F225^0.874)/3.7-(0.301*F225^0.751)/(1-H225)*H225)*(MAX('Max rate concentrations'!$P$3:$P$368)))/F225, 0)</f>
        <v>2.8508175400788503E-2</v>
      </c>
      <c r="N225" s="69">
        <f>IF((((1.18*F225^0.874)/3.7-(0.301*F225^0.751)/(1-H225)*H225)*(MAX('Max rate concentrations'!$Q$3:$Q$368)))/F225&gt;0, (((1.18*F225^0.874)/3.7-(0.301*F225^0.751)/(1-H225)*H225)*(MAX('Max rate concentrations'!$Q$3:$Q$368)))/F225, 0)</f>
        <v>0.10856066371850683</v>
      </c>
      <c r="O225" s="69">
        <f>((MAX('Max rate concentrations'!$F$3:$F$368))*0.62*6.01*8*(10*F225^0.667)*0.079*0.1/F225)*inputs!$E$80/(10^(0.84+0.62*LOG10(inputs!$E$80)))</f>
        <v>8.3920160106750359</v>
      </c>
      <c r="P225" s="69">
        <f>((MAX('Max rate concentrations'!Y:Y))*0.62*6.01*8*(10*F225^0.667)*0.079*0.1/F225)*inputs!$E$80/(10^(0.84+0.62*LOG10(inputs!$E$80)))</f>
        <v>2.7973386702250127</v>
      </c>
      <c r="Q225" s="69">
        <f>(inputs!$C$18*11.2*(10*F225^0.667)*0.5/F225)*inputs!$E$80/(10^(0.84+0.62*LOG10(inputs!$E$80)))</f>
        <v>1.4782140386815861</v>
      </c>
      <c r="R225" s="59">
        <f>(60*284*((F225/1000)^0.77)*3*24*(MAX('Max rate concentrations'!$R$3:$R$368))/F225)*(inputs!$E$73*3.4/inputs!$E$75)</f>
        <v>1.9082540405563651E-2</v>
      </c>
      <c r="S225" s="59">
        <f>(IF(inputs!$C$17="aerial",((0.025*0.112*inputs!$C$18/3.3)*(3*60*284*((F225/1000)^0.77))*MAX(inputs!$I$14:$I$16))/F225,((0.0083*0.112*inputs!$C$18/1)*(3*60*284*((F225/1000)^0.77))*MAX(inputs!$I$14:$I$16))/F225))*(inputs!E$75*3.4/inputs!$E$73)</f>
        <v>0.10524138273570169</v>
      </c>
      <c r="T225" s="63">
        <f>IF((((inputs!$P$13/(V225/MAX(K225:S225)))^(1/inputs!$O$13))-1)/inputs!$N$13&lt;0, 0, IF((((inputs!$P$13/(V225/MAX(K225:S225)))^(1/inputs!$O$13))-1)/inputs!$N$13&lt;inputs!$I$17, (((inputs!$P$13/(V225/MAX(K225:S225)))^(1/inputs!$O$13))-1)/inputs!$N$13, inputs!$I$17))</f>
        <v>1000</v>
      </c>
      <c r="U225" s="63">
        <f>IF((((inputs!$P$13/(X225/MAX(K225:S225)))^(1/inputs!$O$13))-1)/inputs!$N$13&lt;0, 0, IF((((inputs!$P$13/(X225/MAX(K225:S225)))^(1/inputs!$O$13))-1)/inputs!$N$13&lt;inputs!$I$17, (((inputs!$P$13/(X225/MAX(K225:S225)))^(1/inputs!$O$13))-1)/inputs!$N$13, inputs!$I$17))</f>
        <v>127.66966717789317</v>
      </c>
      <c r="V225" s="21">
        <f>inputs!$E$78*(F225/inputs!$F$78)^(inputs!$E$84-1)</f>
        <v>4.3427808073074944E-3</v>
      </c>
      <c r="W225" s="21">
        <f>inputs!$E$85*(F225/inputs!$F$85)^(inputs!$E$84-1)</f>
        <v>0.20054161757711042</v>
      </c>
      <c r="X225" s="21">
        <f>inputs!$E$80*(F225/inputs!$F$80)^(inputs!$E$84-1)</f>
        <v>0.74885793905376674</v>
      </c>
      <c r="Y225" s="21">
        <f>inputs!$E$82*(F225/inputs!$F$82)^(inputs!$E$84-1)</f>
        <v>0.34513679047549034</v>
      </c>
      <c r="Z225" s="63">
        <f t="shared" si="18"/>
        <v>8933.1491159530342</v>
      </c>
      <c r="AA225" s="63">
        <f t="shared" si="19"/>
        <v>193.44966395645912</v>
      </c>
    </row>
    <row r="226" spans="1:27" ht="13.2" x14ac:dyDescent="0.25">
      <c r="A226" s="103" t="s">
        <v>248</v>
      </c>
      <c r="B226" s="20" t="s">
        <v>252</v>
      </c>
      <c r="C226" s="20" t="s">
        <v>73</v>
      </c>
      <c r="D226" s="104" t="s">
        <v>240</v>
      </c>
      <c r="E226" s="15">
        <v>67</v>
      </c>
      <c r="F226" s="15">
        <v>5400</v>
      </c>
      <c r="G226" s="49" t="s">
        <v>186</v>
      </c>
      <c r="H226" s="49">
        <v>0.75</v>
      </c>
      <c r="I226" s="68">
        <f>inputs!$C$66*inputs!$C$64/1000</f>
        <v>21.3</v>
      </c>
      <c r="J226" s="68">
        <f>inputs!$C$66*inputs!$C$63/1000</f>
        <v>8.8000000000000007</v>
      </c>
      <c r="K226" s="69">
        <f t="shared" si="17"/>
        <v>3.0174497340193067</v>
      </c>
      <c r="L226" s="69">
        <f t="shared" si="20"/>
        <v>1.2466458995009344</v>
      </c>
      <c r="M226" s="69">
        <f>IF((((1.18*F226^0.874)/3.7-(0.301*F226^0.751)/(1-H226)*H226)*(MAX('Max rate concentrations'!$P$3:$P$368)))/F226&gt;0, (((1.18*F226^0.874)/3.7-(0.301*F226^0.751)/(1-H226)*H226)*(MAX('Max rate concentrations'!$P$3:$P$368)))/F226, 0)</f>
        <v>1.5201629757010946E-3</v>
      </c>
      <c r="N226" s="69">
        <f>IF((((1.18*F226^0.874)/3.7-(0.301*F226^0.751)/(1-H226)*H226)*(MAX('Max rate concentrations'!$Q$3:$Q$368)))/F226&gt;0, (((1.18*F226^0.874)/3.7-(0.301*F226^0.751)/(1-H226)*H226)*(MAX('Max rate concentrations'!$Q$3:$Q$368)))/F226, 0)</f>
        <v>5.788862292388122E-3</v>
      </c>
      <c r="O226" s="69">
        <f>((MAX('Max rate concentrations'!$F$3:$F$368))*0.62*6.01*8*(10*F226^0.667)*0.079*0.1/F226)*inputs!$E$80/(10^(0.84+0.62*LOG10(inputs!$E$80)))</f>
        <v>8.3920160106750359</v>
      </c>
      <c r="P226" s="69">
        <f>((MAX('Max rate concentrations'!Y:Y))*0.62*6.01*8*(10*F226^0.667)*0.079*0.1/F226)*inputs!$E$80/(10^(0.84+0.62*LOG10(inputs!$E$80)))</f>
        <v>2.7973386702250127</v>
      </c>
      <c r="Q226" s="69">
        <f>(inputs!$C$18*11.2*(10*F226^0.667)*0.5/F226)*inputs!$E$80/(10^(0.84+0.62*LOG10(inputs!$E$80)))</f>
        <v>1.4782140386815861</v>
      </c>
      <c r="R226" s="59">
        <f>(60*284*((F226/1000)^0.77)*3*24*(MAX('Max rate concentrations'!$R$3:$R$368))/F226)*(inputs!$E$73*3.4/inputs!$E$75)</f>
        <v>1.9082540405563651E-2</v>
      </c>
      <c r="S226" s="59">
        <f>(IF(inputs!$C$17="aerial",((0.025*0.112*inputs!$C$18/3.3)*(3*60*284*((F226/1000)^0.77))*MAX(inputs!$I$14:$I$16))/F226,((0.0083*0.112*inputs!$C$18/1)*(3*60*284*((F226/1000)^0.77))*MAX(inputs!$I$14:$I$16))/F226))*(inputs!E$75*3.4/inputs!$E$73)</f>
        <v>0.10524138273570169</v>
      </c>
      <c r="T226" s="63">
        <f>IF((((inputs!$P$13/(V226/MAX(K226:S226)))^(1/inputs!$O$13))-1)/inputs!$N$13&lt;0, 0, IF((((inputs!$P$13/(V226/MAX(K226:S226)))^(1/inputs!$O$13))-1)/inputs!$N$13&lt;inputs!$I$17, (((inputs!$P$13/(V226/MAX(K226:S226)))^(1/inputs!$O$13))-1)/inputs!$N$13, inputs!$I$17))</f>
        <v>1000</v>
      </c>
      <c r="U226" s="63">
        <f>IF((((inputs!$P$13/(X226/MAX(K226:S226)))^(1/inputs!$O$13))-1)/inputs!$N$13&lt;0, 0, IF((((inputs!$P$13/(X226/MAX(K226:S226)))^(1/inputs!$O$13))-1)/inputs!$N$13&lt;inputs!$I$17, (((inputs!$P$13/(X226/MAX(K226:S226)))^(1/inputs!$O$13))-1)/inputs!$N$13, inputs!$I$17))</f>
        <v>33.305037901220594</v>
      </c>
      <c r="V226" s="21">
        <f>inputs!$E$78*(F226/inputs!$F$78)^(inputs!$E$84-1)</f>
        <v>4.3427808073074944E-3</v>
      </c>
      <c r="W226" s="21">
        <f>inputs!$E$85*(F226/inputs!$F$85)^(inputs!$E$84-1)</f>
        <v>0.20054161757711042</v>
      </c>
      <c r="X226" s="21">
        <f>inputs!$E$80*(F226/inputs!$F$80)^(inputs!$E$84-1)</f>
        <v>0.74885793905376674</v>
      </c>
      <c r="Y226" s="21">
        <f>inputs!$E$82*(F226/inputs!$F$82)^(inputs!$E$84-1)</f>
        <v>0.34513679047549034</v>
      </c>
      <c r="Z226" s="63">
        <f t="shared" si="18"/>
        <v>1932.4060741343403</v>
      </c>
      <c r="AA226" s="63">
        <f t="shared" si="19"/>
        <v>41.846755362129336</v>
      </c>
    </row>
    <row r="227" spans="1:27" ht="13.2" x14ac:dyDescent="0.25">
      <c r="A227" s="103" t="s">
        <v>248</v>
      </c>
      <c r="B227" s="20" t="s">
        <v>252</v>
      </c>
      <c r="C227" s="20" t="s">
        <v>73</v>
      </c>
      <c r="D227" s="104" t="s">
        <v>240</v>
      </c>
      <c r="E227" s="15">
        <v>67</v>
      </c>
      <c r="F227" s="15">
        <v>5400</v>
      </c>
      <c r="G227" s="20" t="s">
        <v>152</v>
      </c>
      <c r="H227" s="20">
        <v>0.77</v>
      </c>
      <c r="I227" s="68">
        <f>MAX('Max rate concentrations'!$G$3:$G$368)</f>
        <v>45</v>
      </c>
      <c r="J227" s="68">
        <f>MAX('Max rate concentrations'!Z:Z)</f>
        <v>21</v>
      </c>
      <c r="K227" s="69">
        <f t="shared" si="17"/>
        <v>6.9292323959414581</v>
      </c>
      <c r="L227" s="69">
        <f t="shared" si="20"/>
        <v>3.2336417847726806</v>
      </c>
      <c r="M227" s="69">
        <f>IF((((1.18*F227^0.874)/3.7-(0.301*F227^0.751)/(1-H227)*H227)*(MAX('Max rate concentrations'!$P$3:$P$368)))/F227&gt;0, (((1.18*F227^0.874)/3.7-(0.301*F227^0.751)/(1-H227)*H227)*(MAX('Max rate concentrations'!$P$3:$P$368)))/F227, 0)</f>
        <v>0</v>
      </c>
      <c r="N227" s="69">
        <f>IF((((1.18*F227^0.874)/3.7-(0.301*F227^0.751)/(1-H227)*H227)*(MAX('Max rate concentrations'!$Q$3:$Q$368)))/F227&gt;0, (((1.18*F227^0.874)/3.7-(0.301*F227^0.751)/(1-H227)*H227)*(MAX('Max rate concentrations'!$Q$3:$Q$368)))/F227, 0)</f>
        <v>0</v>
      </c>
      <c r="O227" s="69">
        <f>((MAX('Max rate concentrations'!$F$3:$F$368))*0.62*6.01*8*(10*F227^0.667)*0.079*0.1/F227)*inputs!$E$80/(10^(0.84+0.62*LOG10(inputs!$E$80)))</f>
        <v>8.3920160106750359</v>
      </c>
      <c r="P227" s="69">
        <f>((MAX('Max rate concentrations'!Y:Y))*0.62*6.01*8*(10*F227^0.667)*0.079*0.1/F227)*inputs!$E$80/(10^(0.84+0.62*LOG10(inputs!$E$80)))</f>
        <v>2.7973386702250127</v>
      </c>
      <c r="Q227" s="69">
        <f>(inputs!$C$18*11.2*(10*F227^0.667)*0.5/F227)*inputs!$E$80/(10^(0.84+0.62*LOG10(inputs!$E$80)))</f>
        <v>1.4782140386815861</v>
      </c>
      <c r="R227" s="59">
        <f>(60*284*((F227/1000)^0.77)*3*24*(MAX('Max rate concentrations'!$R$3:$R$368))/F227)*(inputs!$E$73*3.4/inputs!$E$75)</f>
        <v>1.9082540405563651E-2</v>
      </c>
      <c r="S227" s="59">
        <f>(IF(inputs!$C$17="aerial",((0.025*0.112*inputs!$C$18/3.3)*(3*60*284*((F227/1000)^0.77))*MAX(inputs!$I$14:$I$16))/F227,((0.0083*0.112*inputs!$C$18/1)*(3*60*284*((F227/1000)^0.77))*MAX(inputs!$I$14:$I$16))/F227))*(inputs!E$75*3.4/inputs!$E$73)</f>
        <v>0.10524138273570169</v>
      </c>
      <c r="T227" s="63">
        <f>IF((((inputs!$P$13/(V227/MAX(K227:S227)))^(1/inputs!$O$13))-1)/inputs!$N$13&lt;0, 0, IF((((inputs!$P$13/(V227/MAX(K227:S227)))^(1/inputs!$O$13))-1)/inputs!$N$13&lt;inputs!$I$17, (((inputs!$P$13/(V227/MAX(K227:S227)))^(1/inputs!$O$13))-1)/inputs!$N$13, inputs!$I$17))</f>
        <v>1000</v>
      </c>
      <c r="U227" s="63">
        <f>IF((((inputs!$P$13/(X227/MAX(K227:S227)))^(1/inputs!$O$13))-1)/inputs!$N$13&lt;0, 0, IF((((inputs!$P$13/(X227/MAX(K227:S227)))^(1/inputs!$O$13))-1)/inputs!$N$13&lt;inputs!$I$17, (((inputs!$P$13/(X227/MAX(K227:S227)))^(1/inputs!$O$13))-1)/inputs!$N$13, inputs!$I$17))</f>
        <v>33.305037901220594</v>
      </c>
      <c r="V227" s="21">
        <f>inputs!$E$78*(F227/inputs!$F$78)^(inputs!$E$84-1)</f>
        <v>4.3427808073074944E-3</v>
      </c>
      <c r="W227" s="21">
        <f>inputs!$E$85*(F227/inputs!$F$85)^(inputs!$E$84-1)</f>
        <v>0.20054161757711042</v>
      </c>
      <c r="X227" s="21">
        <f>inputs!$E$80*(F227/inputs!$F$80)^(inputs!$E$84-1)</f>
        <v>0.74885793905376674</v>
      </c>
      <c r="Y227" s="21">
        <f>inputs!$E$82*(F227/inputs!$F$82)^(inputs!$E$84-1)</f>
        <v>0.34513679047549034</v>
      </c>
      <c r="Z227" s="63">
        <f t="shared" si="18"/>
        <v>1932.4060741343403</v>
      </c>
      <c r="AA227" s="63">
        <f t="shared" si="19"/>
        <v>41.846755362129336</v>
      </c>
    </row>
    <row r="228" spans="1:27" ht="13.2" x14ac:dyDescent="0.25">
      <c r="A228" s="103" t="s">
        <v>248</v>
      </c>
      <c r="B228" s="20" t="s">
        <v>252</v>
      </c>
      <c r="C228" s="20" t="s">
        <v>73</v>
      </c>
      <c r="D228" s="104" t="s">
        <v>240</v>
      </c>
      <c r="E228" s="15">
        <v>67</v>
      </c>
      <c r="F228" s="15">
        <v>5400</v>
      </c>
      <c r="G228" s="21" t="s">
        <v>456</v>
      </c>
      <c r="H228" s="20">
        <v>0.68</v>
      </c>
      <c r="I228" s="68">
        <f>MAX('Max rate concentrations'!$J$3:$J$368)</f>
        <v>686.46486205830786</v>
      </c>
      <c r="J228" s="68">
        <f>MAX('Max rate concentrations'!AB:AB)</f>
        <v>243.122971978984</v>
      </c>
      <c r="K228" s="69">
        <f t="shared" si="17"/>
        <v>75.974663124686074</v>
      </c>
      <c r="L228" s="69">
        <f t="shared" si="20"/>
        <v>26.907693189992983</v>
      </c>
      <c r="M228" s="69">
        <f>IF((((1.18*F228^0.874)/3.7-(0.301*F228^0.751)/(1-H228)*H228)*(MAX('Max rate concentrations'!$P$3:$P$368)))/F228&gt;0, (((1.18*F228^0.874)/3.7-(0.301*F228^0.751)/(1-H228)*H228)*(MAX('Max rate concentrations'!$P$3:$P$368)))/F228, 0)</f>
        <v>2.8508175400788503E-2</v>
      </c>
      <c r="N228" s="69">
        <f>IF((((1.18*F228^0.874)/3.7-(0.301*F228^0.751)/(1-H228)*H228)*(MAX('Max rate concentrations'!$Q$3:$Q$368)))/F228&gt;0, (((1.18*F228^0.874)/3.7-(0.301*F228^0.751)/(1-H228)*H228)*(MAX('Max rate concentrations'!$Q$3:$Q$368)))/F228, 0)</f>
        <v>0.10856066371850683</v>
      </c>
      <c r="O228" s="69">
        <f>((MAX('Max rate concentrations'!$F$3:$F$368))*0.62*6.01*8*(10*F228^0.667)*0.079*0.1/F228)*inputs!$E$80/(10^(0.84+0.62*LOG10(inputs!$E$80)))</f>
        <v>8.3920160106750359</v>
      </c>
      <c r="P228" s="69">
        <f>((MAX('Max rate concentrations'!Y:Y))*0.62*6.01*8*(10*F228^0.667)*0.079*0.1/F228)*inputs!$E$80/(10^(0.84+0.62*LOG10(inputs!$E$80)))</f>
        <v>2.7973386702250127</v>
      </c>
      <c r="Q228" s="69">
        <f>(inputs!$C$18*11.2*(10*F228^0.667)*0.5/F228)*inputs!$E$80/(10^(0.84+0.62*LOG10(inputs!$E$80)))</f>
        <v>1.4782140386815861</v>
      </c>
      <c r="R228" s="59">
        <f>(60*284*((F228/1000)^0.77)*3*24*(MAX('Max rate concentrations'!$R$3:$R$368))/F228)*(inputs!$E$73*3.4/inputs!$E$75)</f>
        <v>1.9082540405563651E-2</v>
      </c>
      <c r="S228" s="59">
        <f>(IF(inputs!$C$17="aerial",((0.025*0.112*inputs!$C$18/3.3)*(3*60*284*((F228/1000)^0.77))*MAX(inputs!$I$14:$I$16))/F228,((0.0083*0.112*inputs!$C$18/1)*(3*60*284*((F228/1000)^0.77))*MAX(inputs!$I$14:$I$16))/F228))*(inputs!E$75*3.4/inputs!$E$73)</f>
        <v>0.10524138273570169</v>
      </c>
      <c r="T228" s="63">
        <f>IF((((inputs!$P$13/(V228/MAX(K228:S228)))^(1/inputs!$O$13))-1)/inputs!$N$13&lt;0, 0, IF((((inputs!$P$13/(V228/MAX(K228:S228)))^(1/inputs!$O$13))-1)/inputs!$N$13&lt;inputs!$I$17, (((inputs!$P$13/(V228/MAX(K228:S228)))^(1/inputs!$O$13))-1)/inputs!$N$13, inputs!$I$17))</f>
        <v>1000</v>
      </c>
      <c r="U228" s="63">
        <f>IF((((inputs!$P$13/(X228/MAX(K228:S228)))^(1/inputs!$O$13))-1)/inputs!$N$13&lt;0, 0, IF((((inputs!$P$13/(X228/MAX(K228:S228)))^(1/inputs!$O$13))-1)/inputs!$N$13&lt;inputs!$I$17, (((inputs!$P$13/(X228/MAX(K228:S228)))^(1/inputs!$O$13))-1)/inputs!$N$13, inputs!$I$17))</f>
        <v>223.62888608893857</v>
      </c>
      <c r="V228" s="21">
        <f>inputs!$E$78*(F228/inputs!$F$78)^(inputs!$E$84-1)</f>
        <v>4.3427808073074944E-3</v>
      </c>
      <c r="W228" s="21">
        <f>inputs!$E$85*(F228/inputs!$F$85)^(inputs!$E$84-1)</f>
        <v>0.20054161757711042</v>
      </c>
      <c r="X228" s="21">
        <f>inputs!$E$80*(F228/inputs!$F$80)^(inputs!$E$84-1)</f>
        <v>0.74885793905376674</v>
      </c>
      <c r="Y228" s="21">
        <f>inputs!$E$82*(F228/inputs!$F$82)^(inputs!$E$84-1)</f>
        <v>0.34513679047549034</v>
      </c>
      <c r="Z228" s="63">
        <f t="shared" si="18"/>
        <v>17494.473356068378</v>
      </c>
      <c r="AA228" s="63">
        <f t="shared" si="19"/>
        <v>378.8473636674093</v>
      </c>
    </row>
    <row r="229" spans="1:27" ht="13.2" x14ac:dyDescent="0.25">
      <c r="A229" s="103" t="s">
        <v>248</v>
      </c>
      <c r="B229" s="20" t="s">
        <v>252</v>
      </c>
      <c r="C229" s="20" t="s">
        <v>73</v>
      </c>
      <c r="D229" s="104" t="s">
        <v>240</v>
      </c>
      <c r="E229" s="15">
        <v>67</v>
      </c>
      <c r="F229" s="15">
        <v>5400</v>
      </c>
      <c r="G229" s="20" t="s">
        <v>154</v>
      </c>
      <c r="H229" s="20">
        <v>9.2999999999999999E-2</v>
      </c>
      <c r="I229" s="68">
        <f>MAX('Max rate concentrations'!$G$3:$G$368)</f>
        <v>45</v>
      </c>
      <c r="J229" s="68">
        <f>MAX('Max rate concentrations'!Z:Z)</f>
        <v>21</v>
      </c>
      <c r="K229" s="69">
        <f t="shared" si="17"/>
        <v>1.7571372117602371</v>
      </c>
      <c r="L229" s="69">
        <f t="shared" si="20"/>
        <v>0.81999736548811075</v>
      </c>
      <c r="M229" s="69">
        <f>IF((((1.18*F229^0.874)/3.7-(0.301*F229^0.751)/(1-H229)*H229)*(MAX('Max rate concentrations'!$P$3:$P$368)))/F229&gt;0, (((1.18*F229^0.874)/3.7-(0.301*F229^0.751)/(1-H229)*H229)*(MAX('Max rate concentrations'!$P$3:$P$368)))/F229, 0)</f>
        <v>9.0887933211177191E-2</v>
      </c>
      <c r="N229" s="69">
        <f>IF((((1.18*F229^0.874)/3.7-(0.301*F229^0.751)/(1-H229)*H229)*(MAX('Max rate concentrations'!$Q$3:$Q$368)))/F229&gt;0, (((1.18*F229^0.874)/3.7-(0.301*F229^0.751)/(1-H229)*H229)*(MAX('Max rate concentrations'!$Q$3:$Q$368)))/F229, 0)</f>
        <v>0.34610613322997191</v>
      </c>
      <c r="O229" s="69">
        <f>((MAX('Max rate concentrations'!$F$3:$F$368))*0.62*6.01*8*(10*F229^0.667)*0.079*0.1/F229)*inputs!$E$80/(10^(0.84+0.62*LOG10(inputs!$E$80)))</f>
        <v>8.3920160106750359</v>
      </c>
      <c r="P229" s="69">
        <f>((MAX('Max rate concentrations'!Y:Y))*0.62*6.01*8*(10*F229^0.667)*0.079*0.1/F229)*inputs!$E$80/(10^(0.84+0.62*LOG10(inputs!$E$80)))</f>
        <v>2.7973386702250127</v>
      </c>
      <c r="Q229" s="69">
        <f>(inputs!$C$18*11.2*(10*F229^0.667)*0.5/F229)*inputs!$E$80/(10^(0.84+0.62*LOG10(inputs!$E$80)))</f>
        <v>1.4782140386815861</v>
      </c>
      <c r="R229" s="59">
        <f>(60*284*((F229/1000)^0.77)*3*24*(MAX('Max rate concentrations'!$R$3:$R$368))/F229)*(inputs!$E$73*3.4/inputs!$E$75)</f>
        <v>1.9082540405563651E-2</v>
      </c>
      <c r="S229" s="59">
        <f>(IF(inputs!$C$17="aerial",((0.025*0.112*inputs!$C$18/3.3)*(3*60*284*((F229/1000)^0.77))*MAX(inputs!$I$14:$I$16))/F229,((0.0083*0.112*inputs!$C$18/1)*(3*60*284*((F229/1000)^0.77))*MAX(inputs!$I$14:$I$16))/F229))*(inputs!E$75*3.4/inputs!$E$73)</f>
        <v>0.10524138273570169</v>
      </c>
      <c r="T229" s="63">
        <f>IF((((inputs!$P$13/(V229/MAX(K229:S229)))^(1/inputs!$O$13))-1)/inputs!$N$13&lt;0, 0, IF((((inputs!$P$13/(V229/MAX(K229:S229)))^(1/inputs!$O$13))-1)/inputs!$N$13&lt;inputs!$I$17, (((inputs!$P$13/(V229/MAX(K229:S229)))^(1/inputs!$O$13))-1)/inputs!$N$13, inputs!$I$17))</f>
        <v>1000</v>
      </c>
      <c r="U229" s="63">
        <f>IF((((inputs!$P$13/(X229/MAX(K229:S229)))^(1/inputs!$O$13))-1)/inputs!$N$13&lt;0, 0, IF((((inputs!$P$13/(X229/MAX(K229:S229)))^(1/inputs!$O$13))-1)/inputs!$N$13&lt;inputs!$I$17, (((inputs!$P$13/(X229/MAX(K229:S229)))^(1/inputs!$O$13))-1)/inputs!$N$13, inputs!$I$17))</f>
        <v>33.305037901220594</v>
      </c>
      <c r="V229" s="21">
        <f>inputs!$E$78*(F229/inputs!$F$78)^(inputs!$E$84-1)</f>
        <v>4.3427808073074944E-3</v>
      </c>
      <c r="W229" s="21">
        <f>inputs!$E$85*(F229/inputs!$F$85)^(inputs!$E$84-1)</f>
        <v>0.20054161757711042</v>
      </c>
      <c r="X229" s="21">
        <f>inputs!$E$80*(F229/inputs!$F$80)^(inputs!$E$84-1)</f>
        <v>0.74885793905376674</v>
      </c>
      <c r="Y229" s="21">
        <f>inputs!$E$82*(F229/inputs!$F$82)^(inputs!$E$84-1)</f>
        <v>0.34513679047549034</v>
      </c>
      <c r="Z229" s="63">
        <f t="shared" si="18"/>
        <v>1932.4060741343403</v>
      </c>
      <c r="AA229" s="63">
        <f t="shared" si="19"/>
        <v>41.846755362129336</v>
      </c>
    </row>
    <row r="230" spans="1:27" ht="39.6" x14ac:dyDescent="0.25">
      <c r="A230" s="103" t="s">
        <v>248</v>
      </c>
      <c r="B230" s="20" t="s">
        <v>249</v>
      </c>
      <c r="C230" s="20" t="s">
        <v>73</v>
      </c>
      <c r="D230" s="104" t="s">
        <v>240</v>
      </c>
      <c r="E230" s="15">
        <v>7342</v>
      </c>
      <c r="F230" s="15">
        <v>5400</v>
      </c>
      <c r="G230" s="20" t="s">
        <v>182</v>
      </c>
      <c r="H230" s="20">
        <v>0.85</v>
      </c>
      <c r="I230" s="68">
        <f>MAX('Max rate concentrations'!$M$3:$M$368)</f>
        <v>17.092910873809167</v>
      </c>
      <c r="J230" s="68">
        <f>MAX('Max rate concentrations'!AE:AE)</f>
        <v>11.81956602976166</v>
      </c>
      <c r="K230" s="69">
        <f t="shared" si="17"/>
        <v>4.0357589491229406</v>
      </c>
      <c r="L230" s="69">
        <f t="shared" si="20"/>
        <v>2.7906843797126721</v>
      </c>
      <c r="M230" s="69">
        <f>IF((((1.18*F230^0.874)/3.7-(0.301*F230^0.751)/(1-H230)*H230)*(MAX('Max rate concentrations'!$P$3:$P$368)))/F230&gt;0, (((1.18*F230^0.874)/3.7-(0.301*F230^0.751)/(1-H230)*H230)*(MAX('Max rate concentrations'!$P$3:$P$368)))/F230, 0)</f>
        <v>0</v>
      </c>
      <c r="N230" s="69">
        <f>IF((((1.18*F230^0.874)/3.7-(0.301*F230^0.751)/(1-H230)*H230)*(MAX('Max rate concentrations'!$Q$3:$Q$368)))/F230&gt;0, (((1.18*F230^0.874)/3.7-(0.301*F230^0.751)/(1-H230)*H230)*(MAX('Max rate concentrations'!$Q$3:$Q$368)))/F230, 0)</f>
        <v>0</v>
      </c>
      <c r="O230" s="69">
        <f>((MAX('Max rate concentrations'!$F$3:$F$368))*0.62*6.01*8*(10*F230^0.667)*0.079*0.1/F230)*inputs!$E$80/(10^(0.84+0.62*LOG10(inputs!$E$80)))</f>
        <v>8.3920160106750359</v>
      </c>
      <c r="P230" s="69">
        <f>((MAX('Max rate concentrations'!Y:Y))*0.62*6.01*8*(10*F230^0.667)*0.079*0.1/F230)*inputs!$E$80/(10^(0.84+0.62*LOG10(inputs!$E$80)))</f>
        <v>2.7973386702250127</v>
      </c>
      <c r="Q230" s="69">
        <f>(inputs!$C$18*11.2*(10*F230^0.667)*0.5/F230)*inputs!$E$80/(10^(0.84+0.62*LOG10(inputs!$E$80)))</f>
        <v>1.4782140386815861</v>
      </c>
      <c r="R230" s="59">
        <f>(60*284*((F230/1000)^0.77)*3*24*(MAX('Max rate concentrations'!$R$3:$R$368))/F230)*(inputs!$E$73*3.4/inputs!$E$75)</f>
        <v>1.9082540405563651E-2</v>
      </c>
      <c r="S230" s="59">
        <f>(IF(inputs!$C$17="aerial",((0.025*0.112*inputs!$C$18/3.3)*(3*60*284*((F230/1000)^0.77))*MAX(inputs!$I$14:$I$16))/F230,((0.0083*0.112*inputs!$C$18/1)*(3*60*284*((F230/1000)^0.77))*MAX(inputs!$I$14:$I$16))/F230))*(inputs!E$75*3.4/inputs!$E$73)</f>
        <v>0.10524138273570169</v>
      </c>
      <c r="T230" s="63">
        <f>IF((((inputs!$P$13/(V230/MAX(K230:S230)))^(1/inputs!$O$13))-1)/inputs!$N$13&lt;0, 0, IF((((inputs!$P$13/(V230/MAX(K230:S230)))^(1/inputs!$O$13))-1)/inputs!$N$13&lt;inputs!$I$17, (((inputs!$P$13/(V230/MAX(K230:S230)))^(1/inputs!$O$13))-1)/inputs!$N$13, inputs!$I$17))</f>
        <v>1000</v>
      </c>
      <c r="U230" s="63">
        <f>IF((((inputs!$P$13/(X230/MAX(K230:S230)))^(1/inputs!$O$13))-1)/inputs!$N$13&lt;0, 0, IF((((inputs!$P$13/(X230/MAX(K230:S230)))^(1/inputs!$O$13))-1)/inputs!$N$13&lt;inputs!$I$17, (((inputs!$P$13/(X230/MAX(K230:S230)))^(1/inputs!$O$13))-1)/inputs!$N$13, inputs!$I$17))</f>
        <v>33.305037901220594</v>
      </c>
      <c r="V230" s="21">
        <f>inputs!$E$78*(F230/inputs!$F$78)^(inputs!$E$84-1)</f>
        <v>4.3427808073074944E-3</v>
      </c>
      <c r="W230" s="21">
        <f>inputs!$E$85*(F230/inputs!$F$85)^(inputs!$E$84-1)</f>
        <v>0.20054161757711042</v>
      </c>
      <c r="X230" s="21">
        <f>inputs!$E$80*(F230/inputs!$F$80)^(inputs!$E$84-1)</f>
        <v>0.74885793905376674</v>
      </c>
      <c r="Y230" s="21">
        <f>inputs!$E$82*(F230/inputs!$F$82)^(inputs!$E$84-1)</f>
        <v>0.34513679047549034</v>
      </c>
      <c r="Z230" s="63">
        <f t="shared" si="18"/>
        <v>1932.4060741343403</v>
      </c>
      <c r="AA230" s="63">
        <f t="shared" si="19"/>
        <v>41.846755362129336</v>
      </c>
    </row>
    <row r="231" spans="1:27" ht="39.6" x14ac:dyDescent="0.25">
      <c r="A231" s="103" t="s">
        <v>248</v>
      </c>
      <c r="B231" s="20" t="s">
        <v>249</v>
      </c>
      <c r="C231" s="20" t="s">
        <v>73</v>
      </c>
      <c r="D231" s="104" t="s">
        <v>240</v>
      </c>
      <c r="E231" s="15">
        <v>7342</v>
      </c>
      <c r="F231" s="15">
        <v>5400</v>
      </c>
      <c r="G231" s="20" t="s">
        <v>142</v>
      </c>
      <c r="H231" s="20">
        <v>0.69</v>
      </c>
      <c r="I231" s="68">
        <f>MAX('Max rate concentrations'!$H$3:$H$368)</f>
        <v>282</v>
      </c>
      <c r="J231" s="68">
        <f>MAX('Max rate concentrations'!AA:AA)</f>
        <v>195</v>
      </c>
      <c r="K231" s="69">
        <f t="shared" si="17"/>
        <v>32.217205247366515</v>
      </c>
      <c r="L231" s="69">
        <f t="shared" si="20"/>
        <v>22.277854692327907</v>
      </c>
      <c r="M231" s="69">
        <f>IF((((1.18*F231^0.874)/3.7-(0.301*F231^0.751)/(1-H231)*H231)*(MAX('Max rate concentrations'!$P$3:$P$368)))/F231&gt;0, (((1.18*F231^0.874)/3.7-(0.301*F231^0.751)/(1-H231)*H231)*(MAX('Max rate concentrations'!$P$3:$P$368)))/F231, 0)</f>
        <v>2.5398957379465095E-2</v>
      </c>
      <c r="N231" s="69">
        <f>IF((((1.18*F231^0.874)/3.7-(0.301*F231^0.751)/(1-H231)*H231)*(MAX('Max rate concentrations'!$Q$3:$Q$368)))/F231&gt;0, (((1.18*F231^0.874)/3.7-(0.301*F231^0.751)/(1-H231)*H231)*(MAX('Max rate concentrations'!$Q$3:$Q$368)))/F231, 0)</f>
        <v>9.6720594429783577E-2</v>
      </c>
      <c r="O231" s="69">
        <f>((MAX('Max rate concentrations'!$F$3:$F$368))*0.62*6.01*8*(10*F231^0.667)*0.079*0.1/F231)*inputs!$E$80/(10^(0.84+0.62*LOG10(inputs!$E$80)))</f>
        <v>8.3920160106750359</v>
      </c>
      <c r="P231" s="69">
        <f>((MAX('Max rate concentrations'!Y:Y))*0.62*6.01*8*(10*F231^0.667)*0.079*0.1/F231)*inputs!$E$80/(10^(0.84+0.62*LOG10(inputs!$E$80)))</f>
        <v>2.7973386702250127</v>
      </c>
      <c r="Q231" s="69">
        <f>(inputs!$C$18*11.2*(10*F231^0.667)*0.5/F231)*inputs!$E$80/(10^(0.84+0.62*LOG10(inputs!$E$80)))</f>
        <v>1.4782140386815861</v>
      </c>
      <c r="R231" s="59">
        <f>(60*284*((F231/1000)^0.77)*3*24*(MAX('Max rate concentrations'!$R$3:$R$368))/F231)*(inputs!$E$73*3.4/inputs!$E$75)</f>
        <v>1.9082540405563651E-2</v>
      </c>
      <c r="S231" s="59">
        <f>(IF(inputs!$C$17="aerial",((0.025*0.112*inputs!$C$18/3.3)*(3*60*284*((F231/1000)^0.77))*MAX(inputs!$I$14:$I$16))/F231,((0.0083*0.112*inputs!$C$18/1)*(3*60*284*((F231/1000)^0.77))*MAX(inputs!$I$14:$I$16))/F231))*(inputs!E$75*3.4/inputs!$E$73)</f>
        <v>0.10524138273570169</v>
      </c>
      <c r="T231" s="63">
        <f>IF((((inputs!$P$13/(V231/MAX(K231:S231)))^(1/inputs!$O$13))-1)/inputs!$N$13&lt;0, 0, IF((((inputs!$P$13/(V231/MAX(K231:S231)))^(1/inputs!$O$13))-1)/inputs!$N$13&lt;inputs!$I$17, (((inputs!$P$13/(V231/MAX(K231:S231)))^(1/inputs!$O$13))-1)/inputs!$N$13, inputs!$I$17))</f>
        <v>1000</v>
      </c>
      <c r="U231" s="63">
        <f>IF((((inputs!$P$13/(X231/MAX(K231:S231)))^(1/inputs!$O$13))-1)/inputs!$N$13&lt;0, 0, IF((((inputs!$P$13/(X231/MAX(K231:S231)))^(1/inputs!$O$13))-1)/inputs!$N$13&lt;inputs!$I$17, (((inputs!$P$13/(X231/MAX(K231:S231)))^(1/inputs!$O$13))-1)/inputs!$N$13, inputs!$I$17))</f>
        <v>109.13104683936109</v>
      </c>
      <c r="V231" s="21">
        <f>inputs!$E$78*(F231/inputs!$F$78)^(inputs!$E$84-1)</f>
        <v>4.3427808073074944E-3</v>
      </c>
      <c r="W231" s="21">
        <f>inputs!$E$85*(F231/inputs!$F$85)^(inputs!$E$84-1)</f>
        <v>0.20054161757711042</v>
      </c>
      <c r="X231" s="21">
        <f>inputs!$E$80*(F231/inputs!$F$80)^(inputs!$E$84-1)</f>
        <v>0.74885793905376674</v>
      </c>
      <c r="Y231" s="21">
        <f>inputs!$E$82*(F231/inputs!$F$82)^(inputs!$E$84-1)</f>
        <v>0.34513679047549034</v>
      </c>
      <c r="Z231" s="63">
        <f t="shared" si="18"/>
        <v>7418.5658168967193</v>
      </c>
      <c r="AA231" s="63">
        <f t="shared" si="19"/>
        <v>160.65096929308777</v>
      </c>
    </row>
    <row r="232" spans="1:27" ht="39.6" x14ac:dyDescent="0.25">
      <c r="A232" s="103" t="s">
        <v>248</v>
      </c>
      <c r="B232" s="20" t="s">
        <v>249</v>
      </c>
      <c r="C232" s="20" t="s">
        <v>73</v>
      </c>
      <c r="D232" s="104" t="s">
        <v>240</v>
      </c>
      <c r="E232" s="15">
        <v>7342</v>
      </c>
      <c r="F232" s="15">
        <v>5400</v>
      </c>
      <c r="G232" s="20" t="s">
        <v>164</v>
      </c>
      <c r="H232" s="20">
        <v>0.78</v>
      </c>
      <c r="I232" s="68">
        <f>inputs!$C$66*(inputs!$C$62/1000)</f>
        <v>8.2000000000000011</v>
      </c>
      <c r="J232" s="68">
        <f>inputs!$C$66*(inputs!$C$61/1000)</f>
        <v>2.5</v>
      </c>
      <c r="K232" s="69">
        <f t="shared" si="17"/>
        <v>1.3200537675500599</v>
      </c>
      <c r="L232" s="69">
        <f t="shared" si="20"/>
        <v>0.40245541693599385</v>
      </c>
      <c r="M232" s="69">
        <f>IF((((1.18*F232^0.874)/3.7-(0.301*F232^0.751)/(1-H232)*H232)*(MAX('Max rate concentrations'!$P$3:$P$368)))/F232&gt;0, (((1.18*F232^0.874)/3.7-(0.301*F232^0.751)/(1-H232)*H232)*(MAX('Max rate concentrations'!$P$3:$P$368)))/F232, 0)</f>
        <v>0</v>
      </c>
      <c r="N232" s="69">
        <f>IF((((1.18*F232^0.874)/3.7-(0.301*F232^0.751)/(1-H232)*H232)*(MAX('Max rate concentrations'!$Q$3:$Q$368)))/F232&gt;0, (((1.18*F232^0.874)/3.7-(0.301*F232^0.751)/(1-H232)*H232)*(MAX('Max rate concentrations'!$Q$3:$Q$368)))/F232, 0)</f>
        <v>0</v>
      </c>
      <c r="O232" s="69">
        <f>((MAX('Max rate concentrations'!$F$3:$F$368))*0.62*6.01*8*(10*F232^0.667)*0.079*0.1/F232)*inputs!$E$80/(10^(0.84+0.62*LOG10(inputs!$E$80)))</f>
        <v>8.3920160106750359</v>
      </c>
      <c r="P232" s="69">
        <f>((MAX('Max rate concentrations'!Y:Y))*0.62*6.01*8*(10*F232^0.667)*0.079*0.1/F232)*inputs!$E$80/(10^(0.84+0.62*LOG10(inputs!$E$80)))</f>
        <v>2.7973386702250127</v>
      </c>
      <c r="Q232" s="69">
        <f>(inputs!$C$18*11.2*(10*F232^0.667)*0.5/F232)*inputs!$E$80/(10^(0.84+0.62*LOG10(inputs!$E$80)))</f>
        <v>1.4782140386815861</v>
      </c>
      <c r="R232" s="59">
        <f>(60*284*((F232/1000)^0.77)*3*24*(MAX('Max rate concentrations'!$R$3:$R$368))/F232)*(inputs!$E$73*3.4/inputs!$E$75)</f>
        <v>1.9082540405563651E-2</v>
      </c>
      <c r="S232" s="59">
        <f>(IF(inputs!$C$17="aerial",((0.025*0.112*inputs!$C$18/3.3)*(3*60*284*((F232/1000)^0.77))*MAX(inputs!$I$14:$I$16))/F232,((0.0083*0.112*inputs!$C$18/1)*(3*60*284*((F232/1000)^0.77))*MAX(inputs!$I$14:$I$16))/F232))*(inputs!E$75*3.4/inputs!$E$73)</f>
        <v>0.10524138273570169</v>
      </c>
      <c r="T232" s="63">
        <f>IF((((inputs!$P$13/(V232/MAX(K232:S232)))^(1/inputs!$O$13))-1)/inputs!$N$13&lt;0, 0, IF((((inputs!$P$13/(V232/MAX(K232:S232)))^(1/inputs!$O$13))-1)/inputs!$N$13&lt;inputs!$I$17, (((inputs!$P$13/(V232/MAX(K232:S232)))^(1/inputs!$O$13))-1)/inputs!$N$13, inputs!$I$17))</f>
        <v>1000</v>
      </c>
      <c r="U232" s="63">
        <f>IF((((inputs!$P$13/(X232/MAX(K232:S232)))^(1/inputs!$O$13))-1)/inputs!$N$13&lt;0, 0, IF((((inputs!$P$13/(X232/MAX(K232:S232)))^(1/inputs!$O$13))-1)/inputs!$N$13&lt;inputs!$I$17, (((inputs!$P$13/(X232/MAX(K232:S232)))^(1/inputs!$O$13))-1)/inputs!$N$13, inputs!$I$17))</f>
        <v>33.305037901220594</v>
      </c>
      <c r="V232" s="21">
        <f>inputs!$E$78*(F232/inputs!$F$78)^(inputs!$E$84-1)</f>
        <v>4.3427808073074944E-3</v>
      </c>
      <c r="W232" s="21">
        <f>inputs!$E$85*(F232/inputs!$F$85)^(inputs!$E$84-1)</f>
        <v>0.20054161757711042</v>
      </c>
      <c r="X232" s="21">
        <f>inputs!$E$80*(F232/inputs!$F$80)^(inputs!$E$84-1)</f>
        <v>0.74885793905376674</v>
      </c>
      <c r="Y232" s="21">
        <f>inputs!$E$82*(F232/inputs!$F$82)^(inputs!$E$84-1)</f>
        <v>0.34513679047549034</v>
      </c>
      <c r="Z232" s="63">
        <f t="shared" si="18"/>
        <v>1932.4060741343403</v>
      </c>
      <c r="AA232" s="63">
        <f t="shared" si="19"/>
        <v>41.846755362129336</v>
      </c>
    </row>
    <row r="233" spans="1:27" ht="39.6" x14ac:dyDescent="0.25">
      <c r="A233" s="103" t="s">
        <v>248</v>
      </c>
      <c r="B233" s="20" t="s">
        <v>249</v>
      </c>
      <c r="C233" s="20" t="s">
        <v>73</v>
      </c>
      <c r="D233" s="104" t="s">
        <v>240</v>
      </c>
      <c r="E233" s="15">
        <v>7342</v>
      </c>
      <c r="F233" s="15">
        <v>5400</v>
      </c>
      <c r="G233" s="20" t="s">
        <v>138</v>
      </c>
      <c r="H233" s="20">
        <v>0.68</v>
      </c>
      <c r="I233" s="68">
        <f>MAX('Max rate concentrations'!$L$3:$L$368)</f>
        <v>350.52744091332482</v>
      </c>
      <c r="J233" s="68">
        <f>MAX('Max rate concentrations'!AD:AD)</f>
        <v>242.38599637623525</v>
      </c>
      <c r="K233" s="69">
        <f t="shared" si="17"/>
        <v>38.794708529576745</v>
      </c>
      <c r="L233" s="69">
        <f t="shared" si="20"/>
        <v>26.826128238537112</v>
      </c>
      <c r="M233" s="69">
        <f>IF((((1.18*F233^0.874)/3.7-(0.301*F233^0.751)/(1-H233)*H233)*(MAX('Max rate concentrations'!$P$3:$P$368)))/F233&gt;0, (((1.18*F233^0.874)/3.7-(0.301*F233^0.751)/(1-H233)*H233)*(MAX('Max rate concentrations'!$P$3:$P$368)))/F233, 0)</f>
        <v>2.8508175400788503E-2</v>
      </c>
      <c r="N233" s="69">
        <f>IF((((1.18*F233^0.874)/3.7-(0.301*F233^0.751)/(1-H233)*H233)*(MAX('Max rate concentrations'!$Q$3:$Q$368)))/F233&gt;0, (((1.18*F233^0.874)/3.7-(0.301*F233^0.751)/(1-H233)*H233)*(MAX('Max rate concentrations'!$Q$3:$Q$368)))/F233, 0)</f>
        <v>0.10856066371850683</v>
      </c>
      <c r="O233" s="69">
        <f>((MAX('Max rate concentrations'!$F$3:$F$368))*0.62*6.01*8*(10*F233^0.667)*0.079*0.1/F233)*inputs!$E$80/(10^(0.84+0.62*LOG10(inputs!$E$80)))</f>
        <v>8.3920160106750359</v>
      </c>
      <c r="P233" s="69">
        <f>((MAX('Max rate concentrations'!Y:Y))*0.62*6.01*8*(10*F233^0.667)*0.079*0.1/F233)*inputs!$E$80/(10^(0.84+0.62*LOG10(inputs!$E$80)))</f>
        <v>2.7973386702250127</v>
      </c>
      <c r="Q233" s="69">
        <f>(inputs!$C$18*11.2*(10*F233^0.667)*0.5/F233)*inputs!$E$80/(10^(0.84+0.62*LOG10(inputs!$E$80)))</f>
        <v>1.4782140386815861</v>
      </c>
      <c r="R233" s="59">
        <f>(60*284*((F233/1000)^0.77)*3*24*(MAX('Max rate concentrations'!$R$3:$R$368))/F233)*(inputs!$E$73*3.4/inputs!$E$75)</f>
        <v>1.9082540405563651E-2</v>
      </c>
      <c r="S233" s="59">
        <f>(IF(inputs!$C$17="aerial",((0.025*0.112*inputs!$C$18/3.3)*(3*60*284*((F233/1000)^0.77))*MAX(inputs!$I$14:$I$16))/F233,((0.0083*0.112*inputs!$C$18/1)*(3*60*284*((F233/1000)^0.77))*MAX(inputs!$I$14:$I$16))/F233))*(inputs!E$75*3.4/inputs!$E$73)</f>
        <v>0.10524138273570169</v>
      </c>
      <c r="T233" s="63">
        <f>IF((((inputs!$P$13/(V233/MAX(K233:S233)))^(1/inputs!$O$13))-1)/inputs!$N$13&lt;0, 0, IF((((inputs!$P$13/(V233/MAX(K233:S233)))^(1/inputs!$O$13))-1)/inputs!$N$13&lt;inputs!$I$17, (((inputs!$P$13/(V233/MAX(K233:S233)))^(1/inputs!$O$13))-1)/inputs!$N$13, inputs!$I$17))</f>
        <v>1000</v>
      </c>
      <c r="U233" s="63">
        <f>IF((((inputs!$P$13/(X233/MAX(K233:S233)))^(1/inputs!$O$13))-1)/inputs!$N$13&lt;0, 0, IF((((inputs!$P$13/(X233/MAX(K233:S233)))^(1/inputs!$O$13))-1)/inputs!$N$13&lt;inputs!$I$17, (((inputs!$P$13/(X233/MAX(K233:S233)))^(1/inputs!$O$13))-1)/inputs!$N$13, inputs!$I$17))</f>
        <v>127.66966717789317</v>
      </c>
      <c r="V233" s="21">
        <f>inputs!$E$78*(F233/inputs!$F$78)^(inputs!$E$84-1)</f>
        <v>4.3427808073074944E-3</v>
      </c>
      <c r="W233" s="21">
        <f>inputs!$E$85*(F233/inputs!$F$85)^(inputs!$E$84-1)</f>
        <v>0.20054161757711042</v>
      </c>
      <c r="X233" s="21">
        <f>inputs!$E$80*(F233/inputs!$F$80)^(inputs!$E$84-1)</f>
        <v>0.74885793905376674</v>
      </c>
      <c r="Y233" s="21">
        <f>inputs!$E$82*(F233/inputs!$F$82)^(inputs!$E$84-1)</f>
        <v>0.34513679047549034</v>
      </c>
      <c r="Z233" s="63">
        <f t="shared" si="18"/>
        <v>8933.1491159530342</v>
      </c>
      <c r="AA233" s="63">
        <f t="shared" si="19"/>
        <v>193.44966395645912</v>
      </c>
    </row>
    <row r="234" spans="1:27" ht="39.6" x14ac:dyDescent="0.25">
      <c r="A234" s="103" t="s">
        <v>248</v>
      </c>
      <c r="B234" s="20" t="s">
        <v>249</v>
      </c>
      <c r="C234" s="20" t="s">
        <v>73</v>
      </c>
      <c r="D234" s="104" t="s">
        <v>240</v>
      </c>
      <c r="E234" s="15">
        <v>7342</v>
      </c>
      <c r="F234" s="15">
        <v>5400</v>
      </c>
      <c r="G234" s="49" t="s">
        <v>186</v>
      </c>
      <c r="H234" s="49">
        <v>0.75</v>
      </c>
      <c r="I234" s="68">
        <f>inputs!$C$66*inputs!$C$64/1000</f>
        <v>21.3</v>
      </c>
      <c r="J234" s="68">
        <f>inputs!$C$66*inputs!$C$63/1000</f>
        <v>8.8000000000000007</v>
      </c>
      <c r="K234" s="69">
        <f t="shared" si="17"/>
        <v>3.0174497340193067</v>
      </c>
      <c r="L234" s="69">
        <f t="shared" si="20"/>
        <v>1.2466458995009344</v>
      </c>
      <c r="M234" s="69">
        <f>IF((((1.18*F234^0.874)/3.7-(0.301*F234^0.751)/(1-H234)*H234)*(MAX('Max rate concentrations'!$P$3:$P$368)))/F234&gt;0, (((1.18*F234^0.874)/3.7-(0.301*F234^0.751)/(1-H234)*H234)*(MAX('Max rate concentrations'!$P$3:$P$368)))/F234, 0)</f>
        <v>1.5201629757010946E-3</v>
      </c>
      <c r="N234" s="69">
        <f>IF((((1.18*F234^0.874)/3.7-(0.301*F234^0.751)/(1-H234)*H234)*(MAX('Max rate concentrations'!$Q$3:$Q$368)))/F234&gt;0, (((1.18*F234^0.874)/3.7-(0.301*F234^0.751)/(1-H234)*H234)*(MAX('Max rate concentrations'!$Q$3:$Q$368)))/F234, 0)</f>
        <v>5.788862292388122E-3</v>
      </c>
      <c r="O234" s="69">
        <f>((MAX('Max rate concentrations'!$F$3:$F$368))*0.62*6.01*8*(10*F234^0.667)*0.079*0.1/F234)*inputs!$E$80/(10^(0.84+0.62*LOG10(inputs!$E$80)))</f>
        <v>8.3920160106750359</v>
      </c>
      <c r="P234" s="69">
        <f>((MAX('Max rate concentrations'!Y:Y))*0.62*6.01*8*(10*F234^0.667)*0.079*0.1/F234)*inputs!$E$80/(10^(0.84+0.62*LOG10(inputs!$E$80)))</f>
        <v>2.7973386702250127</v>
      </c>
      <c r="Q234" s="69">
        <f>(inputs!$C$18*11.2*(10*F234^0.667)*0.5/F234)*inputs!$E$80/(10^(0.84+0.62*LOG10(inputs!$E$80)))</f>
        <v>1.4782140386815861</v>
      </c>
      <c r="R234" s="59">
        <f>(60*284*((F234/1000)^0.77)*3*24*(MAX('Max rate concentrations'!$R$3:$R$368))/F234)*(inputs!$E$73*3.4/inputs!$E$75)</f>
        <v>1.9082540405563651E-2</v>
      </c>
      <c r="S234" s="59">
        <f>(IF(inputs!$C$17="aerial",((0.025*0.112*inputs!$C$18/3.3)*(3*60*284*((F234/1000)^0.77))*MAX(inputs!$I$14:$I$16))/F234,((0.0083*0.112*inputs!$C$18/1)*(3*60*284*((F234/1000)^0.77))*MAX(inputs!$I$14:$I$16))/F234))*(inputs!E$75*3.4/inputs!$E$73)</f>
        <v>0.10524138273570169</v>
      </c>
      <c r="T234" s="63">
        <f>IF((((inputs!$P$13/(V234/MAX(K234:S234)))^(1/inputs!$O$13))-1)/inputs!$N$13&lt;0, 0, IF((((inputs!$P$13/(V234/MAX(K234:S234)))^(1/inputs!$O$13))-1)/inputs!$N$13&lt;inputs!$I$17, (((inputs!$P$13/(V234/MAX(K234:S234)))^(1/inputs!$O$13))-1)/inputs!$N$13, inputs!$I$17))</f>
        <v>1000</v>
      </c>
      <c r="U234" s="63">
        <f>IF((((inputs!$P$13/(X234/MAX(K234:S234)))^(1/inputs!$O$13))-1)/inputs!$N$13&lt;0, 0, IF((((inputs!$P$13/(X234/MAX(K234:S234)))^(1/inputs!$O$13))-1)/inputs!$N$13&lt;inputs!$I$17, (((inputs!$P$13/(X234/MAX(K234:S234)))^(1/inputs!$O$13))-1)/inputs!$N$13, inputs!$I$17))</f>
        <v>33.305037901220594</v>
      </c>
      <c r="V234" s="21">
        <f>inputs!$E$78*(F234/inputs!$F$78)^(inputs!$E$84-1)</f>
        <v>4.3427808073074944E-3</v>
      </c>
      <c r="W234" s="21">
        <f>inputs!$E$85*(F234/inputs!$F$85)^(inputs!$E$84-1)</f>
        <v>0.20054161757711042</v>
      </c>
      <c r="X234" s="21">
        <f>inputs!$E$80*(F234/inputs!$F$80)^(inputs!$E$84-1)</f>
        <v>0.74885793905376674</v>
      </c>
      <c r="Y234" s="21">
        <f>inputs!$E$82*(F234/inputs!$F$82)^(inputs!$E$84-1)</f>
        <v>0.34513679047549034</v>
      </c>
      <c r="Z234" s="63">
        <f t="shared" si="18"/>
        <v>1932.4060741343403</v>
      </c>
      <c r="AA234" s="63">
        <f t="shared" si="19"/>
        <v>41.846755362129336</v>
      </c>
    </row>
    <row r="235" spans="1:27" ht="39.6" x14ac:dyDescent="0.25">
      <c r="A235" s="103" t="s">
        <v>248</v>
      </c>
      <c r="B235" s="20" t="s">
        <v>249</v>
      </c>
      <c r="C235" s="20" t="s">
        <v>73</v>
      </c>
      <c r="D235" s="104" t="s">
        <v>240</v>
      </c>
      <c r="E235" s="15">
        <v>7342</v>
      </c>
      <c r="F235" s="15">
        <v>5400</v>
      </c>
      <c r="G235" s="20" t="s">
        <v>152</v>
      </c>
      <c r="H235" s="20">
        <v>0.77</v>
      </c>
      <c r="I235" s="68">
        <f>MAX('Max rate concentrations'!$G$3:$G$368)</f>
        <v>45</v>
      </c>
      <c r="J235" s="68">
        <f>MAX('Max rate concentrations'!Z:Z)</f>
        <v>21</v>
      </c>
      <c r="K235" s="69">
        <f t="shared" si="17"/>
        <v>6.9292323959414581</v>
      </c>
      <c r="L235" s="69">
        <f t="shared" si="20"/>
        <v>3.2336417847726806</v>
      </c>
      <c r="M235" s="69">
        <f>IF((((1.18*F235^0.874)/3.7-(0.301*F235^0.751)/(1-H235)*H235)*(MAX('Max rate concentrations'!$P$3:$P$368)))/F235&gt;0, (((1.18*F235^0.874)/3.7-(0.301*F235^0.751)/(1-H235)*H235)*(MAX('Max rate concentrations'!$P$3:$P$368)))/F235, 0)</f>
        <v>0</v>
      </c>
      <c r="N235" s="69">
        <f>IF((((1.18*F235^0.874)/3.7-(0.301*F235^0.751)/(1-H235)*H235)*(MAX('Max rate concentrations'!$Q$3:$Q$368)))/F235&gt;0, (((1.18*F235^0.874)/3.7-(0.301*F235^0.751)/(1-H235)*H235)*(MAX('Max rate concentrations'!$Q$3:$Q$368)))/F235, 0)</f>
        <v>0</v>
      </c>
      <c r="O235" s="69">
        <f>((MAX('Max rate concentrations'!$F$3:$F$368))*0.62*6.01*8*(10*F235^0.667)*0.079*0.1/F235)*inputs!$E$80/(10^(0.84+0.62*LOG10(inputs!$E$80)))</f>
        <v>8.3920160106750359</v>
      </c>
      <c r="P235" s="69">
        <f>((MAX('Max rate concentrations'!Y:Y))*0.62*6.01*8*(10*F235^0.667)*0.079*0.1/F235)*inputs!$E$80/(10^(0.84+0.62*LOG10(inputs!$E$80)))</f>
        <v>2.7973386702250127</v>
      </c>
      <c r="Q235" s="69">
        <f>(inputs!$C$18*11.2*(10*F235^0.667)*0.5/F235)*inputs!$E$80/(10^(0.84+0.62*LOG10(inputs!$E$80)))</f>
        <v>1.4782140386815861</v>
      </c>
      <c r="R235" s="59">
        <f>(60*284*((F235/1000)^0.77)*3*24*(MAX('Max rate concentrations'!$R$3:$R$368))/F235)*(inputs!$E$73*3.4/inputs!$E$75)</f>
        <v>1.9082540405563651E-2</v>
      </c>
      <c r="S235" s="59">
        <f>(IF(inputs!$C$17="aerial",((0.025*0.112*inputs!$C$18/3.3)*(3*60*284*((F235/1000)^0.77))*MAX(inputs!$I$14:$I$16))/F235,((0.0083*0.112*inputs!$C$18/1)*(3*60*284*((F235/1000)^0.77))*MAX(inputs!$I$14:$I$16))/F235))*(inputs!E$75*3.4/inputs!$E$73)</f>
        <v>0.10524138273570169</v>
      </c>
      <c r="T235" s="63">
        <f>IF((((inputs!$P$13/(V235/MAX(K235:S235)))^(1/inputs!$O$13))-1)/inputs!$N$13&lt;0, 0, IF((((inputs!$P$13/(V235/MAX(K235:S235)))^(1/inputs!$O$13))-1)/inputs!$N$13&lt;inputs!$I$17, (((inputs!$P$13/(V235/MAX(K235:S235)))^(1/inputs!$O$13))-1)/inputs!$N$13, inputs!$I$17))</f>
        <v>1000</v>
      </c>
      <c r="U235" s="63">
        <f>IF((((inputs!$P$13/(X235/MAX(K235:S235)))^(1/inputs!$O$13))-1)/inputs!$N$13&lt;0, 0, IF((((inputs!$P$13/(X235/MAX(K235:S235)))^(1/inputs!$O$13))-1)/inputs!$N$13&lt;inputs!$I$17, (((inputs!$P$13/(X235/MAX(K235:S235)))^(1/inputs!$O$13))-1)/inputs!$N$13, inputs!$I$17))</f>
        <v>33.305037901220594</v>
      </c>
      <c r="V235" s="21">
        <f>inputs!$E$78*(F235/inputs!$F$78)^(inputs!$E$84-1)</f>
        <v>4.3427808073074944E-3</v>
      </c>
      <c r="W235" s="21">
        <f>inputs!$E$85*(F235/inputs!$F$85)^(inputs!$E$84-1)</f>
        <v>0.20054161757711042</v>
      </c>
      <c r="X235" s="21">
        <f>inputs!$E$80*(F235/inputs!$F$80)^(inputs!$E$84-1)</f>
        <v>0.74885793905376674</v>
      </c>
      <c r="Y235" s="21">
        <f>inputs!$E$82*(F235/inputs!$F$82)^(inputs!$E$84-1)</f>
        <v>0.34513679047549034</v>
      </c>
      <c r="Z235" s="63">
        <f t="shared" si="18"/>
        <v>1932.4060741343403</v>
      </c>
      <c r="AA235" s="63">
        <f t="shared" si="19"/>
        <v>41.846755362129336</v>
      </c>
    </row>
    <row r="236" spans="1:27" ht="39.6" x14ac:dyDescent="0.25">
      <c r="A236" s="103" t="s">
        <v>248</v>
      </c>
      <c r="B236" s="20" t="s">
        <v>249</v>
      </c>
      <c r="C236" s="20" t="s">
        <v>73</v>
      </c>
      <c r="D236" s="104" t="s">
        <v>240</v>
      </c>
      <c r="E236" s="15">
        <v>7342</v>
      </c>
      <c r="F236" s="15">
        <v>5400</v>
      </c>
      <c r="G236" s="21" t="s">
        <v>456</v>
      </c>
      <c r="H236" s="20">
        <v>0.68</v>
      </c>
      <c r="I236" s="68">
        <f>MAX('Max rate concentrations'!$J$3:$J$368)</f>
        <v>686.46486205830786</v>
      </c>
      <c r="J236" s="68">
        <f>MAX('Max rate concentrations'!AB:AB)</f>
        <v>243.122971978984</v>
      </c>
      <c r="K236" s="69">
        <f t="shared" si="17"/>
        <v>75.974663124686074</v>
      </c>
      <c r="L236" s="69">
        <f t="shared" si="20"/>
        <v>26.907693189992983</v>
      </c>
      <c r="M236" s="69">
        <f>IF((((1.18*F236^0.874)/3.7-(0.301*F236^0.751)/(1-H236)*H236)*(MAX('Max rate concentrations'!$P$3:$P$368)))/F236&gt;0, (((1.18*F236^0.874)/3.7-(0.301*F236^0.751)/(1-H236)*H236)*(MAX('Max rate concentrations'!$P$3:$P$368)))/F236, 0)</f>
        <v>2.8508175400788503E-2</v>
      </c>
      <c r="N236" s="69">
        <f>IF((((1.18*F236^0.874)/3.7-(0.301*F236^0.751)/(1-H236)*H236)*(MAX('Max rate concentrations'!$Q$3:$Q$368)))/F236&gt;0, (((1.18*F236^0.874)/3.7-(0.301*F236^0.751)/(1-H236)*H236)*(MAX('Max rate concentrations'!$Q$3:$Q$368)))/F236, 0)</f>
        <v>0.10856066371850683</v>
      </c>
      <c r="O236" s="69">
        <f>((MAX('Max rate concentrations'!$F$3:$F$368))*0.62*6.01*8*(10*F236^0.667)*0.079*0.1/F236)*inputs!$E$80/(10^(0.84+0.62*LOG10(inputs!$E$80)))</f>
        <v>8.3920160106750359</v>
      </c>
      <c r="P236" s="69">
        <f>((MAX('Max rate concentrations'!Y:Y))*0.62*6.01*8*(10*F236^0.667)*0.079*0.1/F236)*inputs!$E$80/(10^(0.84+0.62*LOG10(inputs!$E$80)))</f>
        <v>2.7973386702250127</v>
      </c>
      <c r="Q236" s="69">
        <f>(inputs!$C$18*11.2*(10*F236^0.667)*0.5/F236)*inputs!$E$80/(10^(0.84+0.62*LOG10(inputs!$E$80)))</f>
        <v>1.4782140386815861</v>
      </c>
      <c r="R236" s="59">
        <f>(60*284*((F236/1000)^0.77)*3*24*(MAX('Max rate concentrations'!$R$3:$R$368))/F236)*(inputs!$E$73*3.4/inputs!$E$75)</f>
        <v>1.9082540405563651E-2</v>
      </c>
      <c r="S236" s="59">
        <f>(IF(inputs!$C$17="aerial",((0.025*0.112*inputs!$C$18/3.3)*(3*60*284*((F236/1000)^0.77))*MAX(inputs!$I$14:$I$16))/F236,((0.0083*0.112*inputs!$C$18/1)*(3*60*284*((F236/1000)^0.77))*MAX(inputs!$I$14:$I$16))/F236))*(inputs!E$75*3.4/inputs!$E$73)</f>
        <v>0.10524138273570169</v>
      </c>
      <c r="T236" s="63">
        <f>IF((((inputs!$P$13/(V236/MAX(K236:S236)))^(1/inputs!$O$13))-1)/inputs!$N$13&lt;0, 0, IF((((inputs!$P$13/(V236/MAX(K236:S236)))^(1/inputs!$O$13))-1)/inputs!$N$13&lt;inputs!$I$17, (((inputs!$P$13/(V236/MAX(K236:S236)))^(1/inputs!$O$13))-1)/inputs!$N$13, inputs!$I$17))</f>
        <v>1000</v>
      </c>
      <c r="U236" s="63">
        <f>IF((((inputs!$P$13/(X236/MAX(K236:S236)))^(1/inputs!$O$13))-1)/inputs!$N$13&lt;0, 0, IF((((inputs!$P$13/(X236/MAX(K236:S236)))^(1/inputs!$O$13))-1)/inputs!$N$13&lt;inputs!$I$17, (((inputs!$P$13/(X236/MAX(K236:S236)))^(1/inputs!$O$13))-1)/inputs!$N$13, inputs!$I$17))</f>
        <v>223.62888608893857</v>
      </c>
      <c r="V236" s="21">
        <f>inputs!$E$78*(F236/inputs!$F$78)^(inputs!$E$84-1)</f>
        <v>4.3427808073074944E-3</v>
      </c>
      <c r="W236" s="21">
        <f>inputs!$E$85*(F236/inputs!$F$85)^(inputs!$E$84-1)</f>
        <v>0.20054161757711042</v>
      </c>
      <c r="X236" s="21">
        <f>inputs!$E$80*(F236/inputs!$F$80)^(inputs!$E$84-1)</f>
        <v>0.74885793905376674</v>
      </c>
      <c r="Y236" s="21">
        <f>inputs!$E$82*(F236/inputs!$F$82)^(inputs!$E$84-1)</f>
        <v>0.34513679047549034</v>
      </c>
      <c r="Z236" s="63">
        <f t="shared" si="18"/>
        <v>17494.473356068378</v>
      </c>
      <c r="AA236" s="63">
        <f t="shared" si="19"/>
        <v>378.8473636674093</v>
      </c>
    </row>
    <row r="237" spans="1:27" ht="39.6" x14ac:dyDescent="0.25">
      <c r="A237" s="103" t="s">
        <v>248</v>
      </c>
      <c r="B237" s="20" t="s">
        <v>249</v>
      </c>
      <c r="C237" s="20" t="s">
        <v>73</v>
      </c>
      <c r="D237" s="104" t="s">
        <v>240</v>
      </c>
      <c r="E237" s="15">
        <v>7342</v>
      </c>
      <c r="F237" s="15">
        <v>5400</v>
      </c>
      <c r="G237" s="20" t="s">
        <v>154</v>
      </c>
      <c r="H237" s="20">
        <v>9.2999999999999999E-2</v>
      </c>
      <c r="I237" s="68">
        <f>MAX('Max rate concentrations'!$G$3:$G$368)</f>
        <v>45</v>
      </c>
      <c r="J237" s="68">
        <f>MAX('Max rate concentrations'!Z:Z)</f>
        <v>21</v>
      </c>
      <c r="K237" s="69">
        <f t="shared" si="17"/>
        <v>1.7571372117602371</v>
      </c>
      <c r="L237" s="69">
        <f t="shared" si="20"/>
        <v>0.81999736548811075</v>
      </c>
      <c r="M237" s="69">
        <f>IF((((1.18*F237^0.874)/3.7-(0.301*F237^0.751)/(1-H237)*H237)*(MAX('Max rate concentrations'!$P$3:$P$368)))/F237&gt;0, (((1.18*F237^0.874)/3.7-(0.301*F237^0.751)/(1-H237)*H237)*(MAX('Max rate concentrations'!$P$3:$P$368)))/F237, 0)</f>
        <v>9.0887933211177191E-2</v>
      </c>
      <c r="N237" s="69">
        <f>IF((((1.18*F237^0.874)/3.7-(0.301*F237^0.751)/(1-H237)*H237)*(MAX('Max rate concentrations'!$Q$3:$Q$368)))/F237&gt;0, (((1.18*F237^0.874)/3.7-(0.301*F237^0.751)/(1-H237)*H237)*(MAX('Max rate concentrations'!$Q$3:$Q$368)))/F237, 0)</f>
        <v>0.34610613322997191</v>
      </c>
      <c r="O237" s="69">
        <f>((MAX('Max rate concentrations'!$F$3:$F$368))*0.62*6.01*8*(10*F237^0.667)*0.079*0.1/F237)*inputs!$E$80/(10^(0.84+0.62*LOG10(inputs!$E$80)))</f>
        <v>8.3920160106750359</v>
      </c>
      <c r="P237" s="69">
        <f>((MAX('Max rate concentrations'!Y:Y))*0.62*6.01*8*(10*F237^0.667)*0.079*0.1/F237)*inputs!$E$80/(10^(0.84+0.62*LOG10(inputs!$E$80)))</f>
        <v>2.7973386702250127</v>
      </c>
      <c r="Q237" s="69">
        <f>(inputs!$C$18*11.2*(10*F237^0.667)*0.5/F237)*inputs!$E$80/(10^(0.84+0.62*LOG10(inputs!$E$80)))</f>
        <v>1.4782140386815861</v>
      </c>
      <c r="R237" s="59">
        <f>(60*284*((F237/1000)^0.77)*3*24*(MAX('Max rate concentrations'!$R$3:$R$368))/F237)*(inputs!$E$73*3.4/inputs!$E$75)</f>
        <v>1.9082540405563651E-2</v>
      </c>
      <c r="S237" s="59">
        <f>(IF(inputs!$C$17="aerial",((0.025*0.112*inputs!$C$18/3.3)*(3*60*284*((F237/1000)^0.77))*MAX(inputs!$I$14:$I$16))/F237,((0.0083*0.112*inputs!$C$18/1)*(3*60*284*((F237/1000)^0.77))*MAX(inputs!$I$14:$I$16))/F237))*(inputs!E$75*3.4/inputs!$E$73)</f>
        <v>0.10524138273570169</v>
      </c>
      <c r="T237" s="63">
        <f>IF((((inputs!$P$13/(V237/MAX(K237:S237)))^(1/inputs!$O$13))-1)/inputs!$N$13&lt;0, 0, IF((((inputs!$P$13/(V237/MAX(K237:S237)))^(1/inputs!$O$13))-1)/inputs!$N$13&lt;inputs!$I$17, (((inputs!$P$13/(V237/MAX(K237:S237)))^(1/inputs!$O$13))-1)/inputs!$N$13, inputs!$I$17))</f>
        <v>1000</v>
      </c>
      <c r="U237" s="63">
        <f>IF((((inputs!$P$13/(X237/MAX(K237:S237)))^(1/inputs!$O$13))-1)/inputs!$N$13&lt;0, 0, IF((((inputs!$P$13/(X237/MAX(K237:S237)))^(1/inputs!$O$13))-1)/inputs!$N$13&lt;inputs!$I$17, (((inputs!$P$13/(X237/MAX(K237:S237)))^(1/inputs!$O$13))-1)/inputs!$N$13, inputs!$I$17))</f>
        <v>33.305037901220594</v>
      </c>
      <c r="V237" s="21">
        <f>inputs!$E$78*(F237/inputs!$F$78)^(inputs!$E$84-1)</f>
        <v>4.3427808073074944E-3</v>
      </c>
      <c r="W237" s="21">
        <f>inputs!$E$85*(F237/inputs!$F$85)^(inputs!$E$84-1)</f>
        <v>0.20054161757711042</v>
      </c>
      <c r="X237" s="21">
        <f>inputs!$E$80*(F237/inputs!$F$80)^(inputs!$E$84-1)</f>
        <v>0.74885793905376674</v>
      </c>
      <c r="Y237" s="21">
        <f>inputs!$E$82*(F237/inputs!$F$82)^(inputs!$E$84-1)</f>
        <v>0.34513679047549034</v>
      </c>
      <c r="Z237" s="63">
        <f t="shared" si="18"/>
        <v>1932.4060741343403</v>
      </c>
      <c r="AA237" s="63">
        <f t="shared" si="19"/>
        <v>41.846755362129336</v>
      </c>
    </row>
    <row r="238" spans="1:27" ht="26.4" x14ac:dyDescent="0.25">
      <c r="A238" s="103" t="s">
        <v>248</v>
      </c>
      <c r="B238" s="20" t="s">
        <v>251</v>
      </c>
      <c r="C238" s="20" t="s">
        <v>73</v>
      </c>
      <c r="D238" s="104" t="s">
        <v>240</v>
      </c>
      <c r="E238" s="15">
        <v>4679</v>
      </c>
      <c r="F238" s="15">
        <v>5400</v>
      </c>
      <c r="G238" s="20" t="s">
        <v>182</v>
      </c>
      <c r="H238" s="20">
        <v>0.85</v>
      </c>
      <c r="I238" s="68">
        <f>MAX('Max rate concentrations'!$M$3:$M$368)</f>
        <v>17.092910873809167</v>
      </c>
      <c r="J238" s="68">
        <f>MAX('Max rate concentrations'!AE:AE)</f>
        <v>11.81956602976166</v>
      </c>
      <c r="K238" s="69">
        <f t="shared" si="17"/>
        <v>4.0357589491229406</v>
      </c>
      <c r="L238" s="69">
        <f t="shared" si="20"/>
        <v>2.7906843797126721</v>
      </c>
      <c r="M238" s="69">
        <f>IF((((1.18*F238^0.874)/3.7-(0.301*F238^0.751)/(1-H238)*H238)*(MAX('Max rate concentrations'!$P$3:$P$368)))/F238&gt;0, (((1.18*F238^0.874)/3.7-(0.301*F238^0.751)/(1-H238)*H238)*(MAX('Max rate concentrations'!$P$3:$P$368)))/F238, 0)</f>
        <v>0</v>
      </c>
      <c r="N238" s="69">
        <f>IF((((1.18*F238^0.874)/3.7-(0.301*F238^0.751)/(1-H238)*H238)*(MAX('Max rate concentrations'!$Q$3:$Q$368)))/F238&gt;0, (((1.18*F238^0.874)/3.7-(0.301*F238^0.751)/(1-H238)*H238)*(MAX('Max rate concentrations'!$Q$3:$Q$368)))/F238, 0)</f>
        <v>0</v>
      </c>
      <c r="O238" s="69">
        <f>((MAX('Max rate concentrations'!$F$3:$F$368))*0.62*6.01*8*(10*F238^0.667)*0.079*0.1/F238)*inputs!$E$80/(10^(0.84+0.62*LOG10(inputs!$E$80)))</f>
        <v>8.3920160106750359</v>
      </c>
      <c r="P238" s="69">
        <f>((MAX('Max rate concentrations'!Y:Y))*0.62*6.01*8*(10*F238^0.667)*0.079*0.1/F238)*inputs!$E$80/(10^(0.84+0.62*LOG10(inputs!$E$80)))</f>
        <v>2.7973386702250127</v>
      </c>
      <c r="Q238" s="69">
        <f>(inputs!$C$18*11.2*(10*F238^0.667)*0.5/F238)*inputs!$E$80/(10^(0.84+0.62*LOG10(inputs!$E$80)))</f>
        <v>1.4782140386815861</v>
      </c>
      <c r="R238" s="59">
        <f>(60*284*((F238/1000)^0.77)*3*24*(MAX('Max rate concentrations'!$R$3:$R$368))/F238)*(inputs!$E$73*3.4/inputs!$E$75)</f>
        <v>1.9082540405563651E-2</v>
      </c>
      <c r="S238" s="59">
        <f>(IF(inputs!$C$17="aerial",((0.025*0.112*inputs!$C$18/3.3)*(3*60*284*((F238/1000)^0.77))*MAX(inputs!$I$14:$I$16))/F238,((0.0083*0.112*inputs!$C$18/1)*(3*60*284*((F238/1000)^0.77))*MAX(inputs!$I$14:$I$16))/F238))*(inputs!E$75*3.4/inputs!$E$73)</f>
        <v>0.10524138273570169</v>
      </c>
      <c r="T238" s="63">
        <f>IF((((inputs!$P$13/(V238/MAX(K238:S238)))^(1/inputs!$O$13))-1)/inputs!$N$13&lt;0, 0, IF((((inputs!$P$13/(V238/MAX(K238:S238)))^(1/inputs!$O$13))-1)/inputs!$N$13&lt;inputs!$I$17, (((inputs!$P$13/(V238/MAX(K238:S238)))^(1/inputs!$O$13))-1)/inputs!$N$13, inputs!$I$17))</f>
        <v>1000</v>
      </c>
      <c r="U238" s="63">
        <f>IF((((inputs!$P$13/(X238/MAX(K238:S238)))^(1/inputs!$O$13))-1)/inputs!$N$13&lt;0, 0, IF((((inputs!$P$13/(X238/MAX(K238:S238)))^(1/inputs!$O$13))-1)/inputs!$N$13&lt;inputs!$I$17, (((inputs!$P$13/(X238/MAX(K238:S238)))^(1/inputs!$O$13))-1)/inputs!$N$13, inputs!$I$17))</f>
        <v>33.305037901220594</v>
      </c>
      <c r="V238" s="21">
        <f>inputs!$E$78*(F238/inputs!$F$78)^(inputs!$E$84-1)</f>
        <v>4.3427808073074944E-3</v>
      </c>
      <c r="W238" s="21">
        <f>inputs!$E$85*(F238/inputs!$F$85)^(inputs!$E$84-1)</f>
        <v>0.20054161757711042</v>
      </c>
      <c r="X238" s="21">
        <f>inputs!$E$80*(F238/inputs!$F$80)^(inputs!$E$84-1)</f>
        <v>0.74885793905376674</v>
      </c>
      <c r="Y238" s="21">
        <f>inputs!$E$82*(F238/inputs!$F$82)^(inputs!$E$84-1)</f>
        <v>0.34513679047549034</v>
      </c>
      <c r="Z238" s="63">
        <f t="shared" si="18"/>
        <v>1932.4060741343403</v>
      </c>
      <c r="AA238" s="63">
        <f t="shared" si="19"/>
        <v>41.846755362129336</v>
      </c>
    </row>
    <row r="239" spans="1:27" ht="26.4" x14ac:dyDescent="0.25">
      <c r="A239" s="103" t="s">
        <v>248</v>
      </c>
      <c r="B239" s="20" t="s">
        <v>251</v>
      </c>
      <c r="C239" s="20" t="s">
        <v>73</v>
      </c>
      <c r="D239" s="104" t="s">
        <v>240</v>
      </c>
      <c r="E239" s="15">
        <v>4679</v>
      </c>
      <c r="F239" s="15">
        <v>5400</v>
      </c>
      <c r="G239" s="20" t="s">
        <v>142</v>
      </c>
      <c r="H239" s="20">
        <v>0.69</v>
      </c>
      <c r="I239" s="68">
        <f>MAX('Max rate concentrations'!$H$3:$H$368)</f>
        <v>282</v>
      </c>
      <c r="J239" s="68">
        <f>MAX('Max rate concentrations'!AA:AA)</f>
        <v>195</v>
      </c>
      <c r="K239" s="69">
        <f t="shared" si="17"/>
        <v>32.217205247366515</v>
      </c>
      <c r="L239" s="69">
        <f t="shared" si="20"/>
        <v>22.277854692327907</v>
      </c>
      <c r="M239" s="69">
        <f>IF((((1.18*F239^0.874)/3.7-(0.301*F239^0.751)/(1-H239)*H239)*(MAX('Max rate concentrations'!$P$3:$P$368)))/F239&gt;0, (((1.18*F239^0.874)/3.7-(0.301*F239^0.751)/(1-H239)*H239)*(MAX('Max rate concentrations'!$P$3:$P$368)))/F239, 0)</f>
        <v>2.5398957379465095E-2</v>
      </c>
      <c r="N239" s="69">
        <f>IF((((1.18*F239^0.874)/3.7-(0.301*F239^0.751)/(1-H239)*H239)*(MAX('Max rate concentrations'!$Q$3:$Q$368)))/F239&gt;0, (((1.18*F239^0.874)/3.7-(0.301*F239^0.751)/(1-H239)*H239)*(MAX('Max rate concentrations'!$Q$3:$Q$368)))/F239, 0)</f>
        <v>9.6720594429783577E-2</v>
      </c>
      <c r="O239" s="69">
        <f>((MAX('Max rate concentrations'!$F$3:$F$368))*0.62*6.01*8*(10*F239^0.667)*0.079*0.1/F239)*inputs!$E$80/(10^(0.84+0.62*LOG10(inputs!$E$80)))</f>
        <v>8.3920160106750359</v>
      </c>
      <c r="P239" s="69">
        <f>((MAX('Max rate concentrations'!Y:Y))*0.62*6.01*8*(10*F239^0.667)*0.079*0.1/F239)*inputs!$E$80/(10^(0.84+0.62*LOG10(inputs!$E$80)))</f>
        <v>2.7973386702250127</v>
      </c>
      <c r="Q239" s="69">
        <f>(inputs!$C$18*11.2*(10*F239^0.667)*0.5/F239)*inputs!$E$80/(10^(0.84+0.62*LOG10(inputs!$E$80)))</f>
        <v>1.4782140386815861</v>
      </c>
      <c r="R239" s="59">
        <f>(60*284*((F239/1000)^0.77)*3*24*(MAX('Max rate concentrations'!$R$3:$R$368))/F239)*(inputs!$E$73*3.4/inputs!$E$75)</f>
        <v>1.9082540405563651E-2</v>
      </c>
      <c r="S239" s="59">
        <f>(IF(inputs!$C$17="aerial",((0.025*0.112*inputs!$C$18/3.3)*(3*60*284*((F239/1000)^0.77))*MAX(inputs!$I$14:$I$16))/F239,((0.0083*0.112*inputs!$C$18/1)*(3*60*284*((F239/1000)^0.77))*MAX(inputs!$I$14:$I$16))/F239))*(inputs!E$75*3.4/inputs!$E$73)</f>
        <v>0.10524138273570169</v>
      </c>
      <c r="T239" s="63">
        <f>IF((((inputs!$P$13/(V239/MAX(K239:S239)))^(1/inputs!$O$13))-1)/inputs!$N$13&lt;0, 0, IF((((inputs!$P$13/(V239/MAX(K239:S239)))^(1/inputs!$O$13))-1)/inputs!$N$13&lt;inputs!$I$17, (((inputs!$P$13/(V239/MAX(K239:S239)))^(1/inputs!$O$13))-1)/inputs!$N$13, inputs!$I$17))</f>
        <v>1000</v>
      </c>
      <c r="U239" s="63">
        <f>IF((((inputs!$P$13/(X239/MAX(K239:S239)))^(1/inputs!$O$13))-1)/inputs!$N$13&lt;0, 0, IF((((inputs!$P$13/(X239/MAX(K239:S239)))^(1/inputs!$O$13))-1)/inputs!$N$13&lt;inputs!$I$17, (((inputs!$P$13/(X239/MAX(K239:S239)))^(1/inputs!$O$13))-1)/inputs!$N$13, inputs!$I$17))</f>
        <v>109.13104683936109</v>
      </c>
      <c r="V239" s="21">
        <f>inputs!$E$78*(F239/inputs!$F$78)^(inputs!$E$84-1)</f>
        <v>4.3427808073074944E-3</v>
      </c>
      <c r="W239" s="21">
        <f>inputs!$E$85*(F239/inputs!$F$85)^(inputs!$E$84-1)</f>
        <v>0.20054161757711042</v>
      </c>
      <c r="X239" s="21">
        <f>inputs!$E$80*(F239/inputs!$F$80)^(inputs!$E$84-1)</f>
        <v>0.74885793905376674</v>
      </c>
      <c r="Y239" s="21">
        <f>inputs!$E$82*(F239/inputs!$F$82)^(inputs!$E$84-1)</f>
        <v>0.34513679047549034</v>
      </c>
      <c r="Z239" s="63">
        <f t="shared" si="18"/>
        <v>7418.5658168967193</v>
      </c>
      <c r="AA239" s="63">
        <f t="shared" si="19"/>
        <v>160.65096929308777</v>
      </c>
    </row>
    <row r="240" spans="1:27" ht="26.4" x14ac:dyDescent="0.25">
      <c r="A240" s="103" t="s">
        <v>248</v>
      </c>
      <c r="B240" s="20" t="s">
        <v>251</v>
      </c>
      <c r="C240" s="20" t="s">
        <v>73</v>
      </c>
      <c r="D240" s="104" t="s">
        <v>240</v>
      </c>
      <c r="E240" s="15">
        <v>4679</v>
      </c>
      <c r="F240" s="15">
        <v>5400</v>
      </c>
      <c r="G240" s="20" t="s">
        <v>164</v>
      </c>
      <c r="H240" s="20">
        <v>0.78</v>
      </c>
      <c r="I240" s="68">
        <f>inputs!$C$66*(inputs!$C$62/1000)</f>
        <v>8.2000000000000011</v>
      </c>
      <c r="J240" s="68">
        <f>inputs!$C$66*(inputs!$C$61/1000)</f>
        <v>2.5</v>
      </c>
      <c r="K240" s="69">
        <f t="shared" si="17"/>
        <v>1.3200537675500599</v>
      </c>
      <c r="L240" s="69">
        <f t="shared" si="20"/>
        <v>0.40245541693599385</v>
      </c>
      <c r="M240" s="69">
        <f>IF((((1.18*F240^0.874)/3.7-(0.301*F240^0.751)/(1-H240)*H240)*(MAX('Max rate concentrations'!$P$3:$P$368)))/F240&gt;0, (((1.18*F240^0.874)/3.7-(0.301*F240^0.751)/(1-H240)*H240)*(MAX('Max rate concentrations'!$P$3:$P$368)))/F240, 0)</f>
        <v>0</v>
      </c>
      <c r="N240" s="69">
        <f>IF((((1.18*F240^0.874)/3.7-(0.301*F240^0.751)/(1-H240)*H240)*(MAX('Max rate concentrations'!$Q$3:$Q$368)))/F240&gt;0, (((1.18*F240^0.874)/3.7-(0.301*F240^0.751)/(1-H240)*H240)*(MAX('Max rate concentrations'!$Q$3:$Q$368)))/F240, 0)</f>
        <v>0</v>
      </c>
      <c r="O240" s="69">
        <f>((MAX('Max rate concentrations'!$F$3:$F$368))*0.62*6.01*8*(10*F240^0.667)*0.079*0.1/F240)*inputs!$E$80/(10^(0.84+0.62*LOG10(inputs!$E$80)))</f>
        <v>8.3920160106750359</v>
      </c>
      <c r="P240" s="69">
        <f>((MAX('Max rate concentrations'!Y:Y))*0.62*6.01*8*(10*F240^0.667)*0.079*0.1/F240)*inputs!$E$80/(10^(0.84+0.62*LOG10(inputs!$E$80)))</f>
        <v>2.7973386702250127</v>
      </c>
      <c r="Q240" s="69">
        <f>(inputs!$C$18*11.2*(10*F240^0.667)*0.5/F240)*inputs!$E$80/(10^(0.84+0.62*LOG10(inputs!$E$80)))</f>
        <v>1.4782140386815861</v>
      </c>
      <c r="R240" s="59">
        <f>(60*284*((F240/1000)^0.77)*3*24*(MAX('Max rate concentrations'!$R$3:$R$368))/F240)*(inputs!$E$73*3.4/inputs!$E$75)</f>
        <v>1.9082540405563651E-2</v>
      </c>
      <c r="S240" s="59">
        <f>(IF(inputs!$C$17="aerial",((0.025*0.112*inputs!$C$18/3.3)*(3*60*284*((F240/1000)^0.77))*MAX(inputs!$I$14:$I$16))/F240,((0.0083*0.112*inputs!$C$18/1)*(3*60*284*((F240/1000)^0.77))*MAX(inputs!$I$14:$I$16))/F240))*(inputs!E$75*3.4/inputs!$E$73)</f>
        <v>0.10524138273570169</v>
      </c>
      <c r="T240" s="63">
        <f>IF((((inputs!$P$13/(V240/MAX(K240:S240)))^(1/inputs!$O$13))-1)/inputs!$N$13&lt;0, 0, IF((((inputs!$P$13/(V240/MAX(K240:S240)))^(1/inputs!$O$13))-1)/inputs!$N$13&lt;inputs!$I$17, (((inputs!$P$13/(V240/MAX(K240:S240)))^(1/inputs!$O$13))-1)/inputs!$N$13, inputs!$I$17))</f>
        <v>1000</v>
      </c>
      <c r="U240" s="63">
        <f>IF((((inputs!$P$13/(X240/MAX(K240:S240)))^(1/inputs!$O$13))-1)/inputs!$N$13&lt;0, 0, IF((((inputs!$P$13/(X240/MAX(K240:S240)))^(1/inputs!$O$13))-1)/inputs!$N$13&lt;inputs!$I$17, (((inputs!$P$13/(X240/MAX(K240:S240)))^(1/inputs!$O$13))-1)/inputs!$N$13, inputs!$I$17))</f>
        <v>33.305037901220594</v>
      </c>
      <c r="V240" s="21">
        <f>inputs!$E$78*(F240/inputs!$F$78)^(inputs!$E$84-1)</f>
        <v>4.3427808073074944E-3</v>
      </c>
      <c r="W240" s="21">
        <f>inputs!$E$85*(F240/inputs!$F$85)^(inputs!$E$84-1)</f>
        <v>0.20054161757711042</v>
      </c>
      <c r="X240" s="21">
        <f>inputs!$E$80*(F240/inputs!$F$80)^(inputs!$E$84-1)</f>
        <v>0.74885793905376674</v>
      </c>
      <c r="Y240" s="21">
        <f>inputs!$E$82*(F240/inputs!$F$82)^(inputs!$E$84-1)</f>
        <v>0.34513679047549034</v>
      </c>
      <c r="Z240" s="63">
        <f t="shared" si="18"/>
        <v>1932.4060741343403</v>
      </c>
      <c r="AA240" s="63">
        <f t="shared" si="19"/>
        <v>41.846755362129336</v>
      </c>
    </row>
    <row r="241" spans="1:476" ht="26.4" x14ac:dyDescent="0.25">
      <c r="A241" s="103" t="s">
        <v>248</v>
      </c>
      <c r="B241" s="20" t="s">
        <v>251</v>
      </c>
      <c r="C241" s="20" t="s">
        <v>73</v>
      </c>
      <c r="D241" s="104" t="s">
        <v>240</v>
      </c>
      <c r="E241" s="15">
        <v>4679</v>
      </c>
      <c r="F241" s="15">
        <v>5400</v>
      </c>
      <c r="G241" s="20" t="s">
        <v>138</v>
      </c>
      <c r="H241" s="20">
        <v>0.68</v>
      </c>
      <c r="I241" s="68">
        <f>MAX('Max rate concentrations'!$L$3:$L$368)</f>
        <v>350.52744091332482</v>
      </c>
      <c r="J241" s="68">
        <f>MAX('Max rate concentrations'!AD:AD)</f>
        <v>242.38599637623525</v>
      </c>
      <c r="K241" s="69">
        <f t="shared" si="17"/>
        <v>38.794708529576745</v>
      </c>
      <c r="L241" s="69">
        <f t="shared" si="20"/>
        <v>26.826128238537112</v>
      </c>
      <c r="M241" s="69">
        <f>IF((((1.18*F241^0.874)/3.7-(0.301*F241^0.751)/(1-H241)*H241)*(MAX('Max rate concentrations'!$P$3:$P$368)))/F241&gt;0, (((1.18*F241^0.874)/3.7-(0.301*F241^0.751)/(1-H241)*H241)*(MAX('Max rate concentrations'!$P$3:$P$368)))/F241, 0)</f>
        <v>2.8508175400788503E-2</v>
      </c>
      <c r="N241" s="69">
        <f>IF((((1.18*F241^0.874)/3.7-(0.301*F241^0.751)/(1-H241)*H241)*(MAX('Max rate concentrations'!$Q$3:$Q$368)))/F241&gt;0, (((1.18*F241^0.874)/3.7-(0.301*F241^0.751)/(1-H241)*H241)*(MAX('Max rate concentrations'!$Q$3:$Q$368)))/F241, 0)</f>
        <v>0.10856066371850683</v>
      </c>
      <c r="O241" s="69">
        <f>((MAX('Max rate concentrations'!$F$3:$F$368))*0.62*6.01*8*(10*F241^0.667)*0.079*0.1/F241)*inputs!$E$80/(10^(0.84+0.62*LOG10(inputs!$E$80)))</f>
        <v>8.3920160106750359</v>
      </c>
      <c r="P241" s="69">
        <f>((MAX('Max rate concentrations'!Y:Y))*0.62*6.01*8*(10*F241^0.667)*0.079*0.1/F241)*inputs!$E$80/(10^(0.84+0.62*LOG10(inputs!$E$80)))</f>
        <v>2.7973386702250127</v>
      </c>
      <c r="Q241" s="69">
        <f>(inputs!$C$18*11.2*(10*F241^0.667)*0.5/F241)*inputs!$E$80/(10^(0.84+0.62*LOG10(inputs!$E$80)))</f>
        <v>1.4782140386815861</v>
      </c>
      <c r="R241" s="59">
        <f>(60*284*((F241/1000)^0.77)*3*24*(MAX('Max rate concentrations'!$R$3:$R$368))/F241)*(inputs!$E$73*3.4/inputs!$E$75)</f>
        <v>1.9082540405563651E-2</v>
      </c>
      <c r="S241" s="59">
        <f>(IF(inputs!$C$17="aerial",((0.025*0.112*inputs!$C$18/3.3)*(3*60*284*((F241/1000)^0.77))*MAX(inputs!$I$14:$I$16))/F241,((0.0083*0.112*inputs!$C$18/1)*(3*60*284*((F241/1000)^0.77))*MAX(inputs!$I$14:$I$16))/F241))*(inputs!E$75*3.4/inputs!$E$73)</f>
        <v>0.10524138273570169</v>
      </c>
      <c r="T241" s="63">
        <f>IF((((inputs!$P$13/(V241/MAX(K241:S241)))^(1/inputs!$O$13))-1)/inputs!$N$13&lt;0, 0, IF((((inputs!$P$13/(V241/MAX(K241:S241)))^(1/inputs!$O$13))-1)/inputs!$N$13&lt;inputs!$I$17, (((inputs!$P$13/(V241/MAX(K241:S241)))^(1/inputs!$O$13))-1)/inputs!$N$13, inputs!$I$17))</f>
        <v>1000</v>
      </c>
      <c r="U241" s="63">
        <f>IF((((inputs!$P$13/(X241/MAX(K241:S241)))^(1/inputs!$O$13))-1)/inputs!$N$13&lt;0, 0, IF((((inputs!$P$13/(X241/MAX(K241:S241)))^(1/inputs!$O$13))-1)/inputs!$N$13&lt;inputs!$I$17, (((inputs!$P$13/(X241/MAX(K241:S241)))^(1/inputs!$O$13))-1)/inputs!$N$13, inputs!$I$17))</f>
        <v>127.66966717789317</v>
      </c>
      <c r="V241" s="21">
        <f>inputs!$E$78*(F241/inputs!$F$78)^(inputs!$E$84-1)</f>
        <v>4.3427808073074944E-3</v>
      </c>
      <c r="W241" s="21">
        <f>inputs!$E$85*(F241/inputs!$F$85)^(inputs!$E$84-1)</f>
        <v>0.20054161757711042</v>
      </c>
      <c r="X241" s="21">
        <f>inputs!$E$80*(F241/inputs!$F$80)^(inputs!$E$84-1)</f>
        <v>0.74885793905376674</v>
      </c>
      <c r="Y241" s="21">
        <f>inputs!$E$82*(F241/inputs!$F$82)^(inputs!$E$84-1)</f>
        <v>0.34513679047549034</v>
      </c>
      <c r="Z241" s="63">
        <f t="shared" si="18"/>
        <v>8933.1491159530342</v>
      </c>
      <c r="AA241" s="63">
        <f t="shared" si="19"/>
        <v>193.44966395645912</v>
      </c>
    </row>
    <row r="242" spans="1:476" ht="26.4" x14ac:dyDescent="0.25">
      <c r="A242" s="103" t="s">
        <v>248</v>
      </c>
      <c r="B242" s="20" t="s">
        <v>251</v>
      </c>
      <c r="C242" s="20" t="s">
        <v>73</v>
      </c>
      <c r="D242" s="104" t="s">
        <v>240</v>
      </c>
      <c r="E242" s="15">
        <v>4679</v>
      </c>
      <c r="F242" s="15">
        <v>5400</v>
      </c>
      <c r="G242" s="49" t="s">
        <v>186</v>
      </c>
      <c r="H242" s="49">
        <v>0.75</v>
      </c>
      <c r="I242" s="68">
        <f>inputs!$C$66*inputs!$C$64/1000</f>
        <v>21.3</v>
      </c>
      <c r="J242" s="68">
        <f>inputs!$C$66*inputs!$C$63/1000</f>
        <v>8.8000000000000007</v>
      </c>
      <c r="K242" s="69">
        <f t="shared" si="17"/>
        <v>3.0174497340193067</v>
      </c>
      <c r="L242" s="69">
        <f t="shared" si="20"/>
        <v>1.2466458995009344</v>
      </c>
      <c r="M242" s="69">
        <f>IF((((1.18*F242^0.874)/3.7-(0.301*F242^0.751)/(1-H242)*H242)*(MAX('Max rate concentrations'!$P$3:$P$368)))/F242&gt;0, (((1.18*F242^0.874)/3.7-(0.301*F242^0.751)/(1-H242)*H242)*(MAX('Max rate concentrations'!$P$3:$P$368)))/F242, 0)</f>
        <v>1.5201629757010946E-3</v>
      </c>
      <c r="N242" s="69">
        <f>IF((((1.18*F242^0.874)/3.7-(0.301*F242^0.751)/(1-H242)*H242)*(MAX('Max rate concentrations'!$Q$3:$Q$368)))/F242&gt;0, (((1.18*F242^0.874)/3.7-(0.301*F242^0.751)/(1-H242)*H242)*(MAX('Max rate concentrations'!$Q$3:$Q$368)))/F242, 0)</f>
        <v>5.788862292388122E-3</v>
      </c>
      <c r="O242" s="69">
        <f>((MAX('Max rate concentrations'!$F$3:$F$368))*0.62*6.01*8*(10*F242^0.667)*0.079*0.1/F242)*inputs!$E$80/(10^(0.84+0.62*LOG10(inputs!$E$80)))</f>
        <v>8.3920160106750359</v>
      </c>
      <c r="P242" s="69">
        <f>((MAX('Max rate concentrations'!Y:Y))*0.62*6.01*8*(10*F242^0.667)*0.079*0.1/F242)*inputs!$E$80/(10^(0.84+0.62*LOG10(inputs!$E$80)))</f>
        <v>2.7973386702250127</v>
      </c>
      <c r="Q242" s="69">
        <f>(inputs!$C$18*11.2*(10*F242^0.667)*0.5/F242)*inputs!$E$80/(10^(0.84+0.62*LOG10(inputs!$E$80)))</f>
        <v>1.4782140386815861</v>
      </c>
      <c r="R242" s="59">
        <f>(60*284*((F242/1000)^0.77)*3*24*(MAX('Max rate concentrations'!$R$3:$R$368))/F242)*(inputs!$E$73*3.4/inputs!$E$75)</f>
        <v>1.9082540405563651E-2</v>
      </c>
      <c r="S242" s="59">
        <f>(IF(inputs!$C$17="aerial",((0.025*0.112*inputs!$C$18/3.3)*(3*60*284*((F242/1000)^0.77))*MAX(inputs!$I$14:$I$16))/F242,((0.0083*0.112*inputs!$C$18/1)*(3*60*284*((F242/1000)^0.77))*MAX(inputs!$I$14:$I$16))/F242))*(inputs!E$75*3.4/inputs!$E$73)</f>
        <v>0.10524138273570169</v>
      </c>
      <c r="T242" s="63">
        <f>IF((((inputs!$P$13/(V242/MAX(K242:S242)))^(1/inputs!$O$13))-1)/inputs!$N$13&lt;0, 0, IF((((inputs!$P$13/(V242/MAX(K242:S242)))^(1/inputs!$O$13))-1)/inputs!$N$13&lt;inputs!$I$17, (((inputs!$P$13/(V242/MAX(K242:S242)))^(1/inputs!$O$13))-1)/inputs!$N$13, inputs!$I$17))</f>
        <v>1000</v>
      </c>
      <c r="U242" s="63">
        <f>IF((((inputs!$P$13/(X242/MAX(K242:S242)))^(1/inputs!$O$13))-1)/inputs!$N$13&lt;0, 0, IF((((inputs!$P$13/(X242/MAX(K242:S242)))^(1/inputs!$O$13))-1)/inputs!$N$13&lt;inputs!$I$17, (((inputs!$P$13/(X242/MAX(K242:S242)))^(1/inputs!$O$13))-1)/inputs!$N$13, inputs!$I$17))</f>
        <v>33.305037901220594</v>
      </c>
      <c r="V242" s="21">
        <f>inputs!$E$78*(F242/inputs!$F$78)^(inputs!$E$84-1)</f>
        <v>4.3427808073074944E-3</v>
      </c>
      <c r="W242" s="21">
        <f>inputs!$E$85*(F242/inputs!$F$85)^(inputs!$E$84-1)</f>
        <v>0.20054161757711042</v>
      </c>
      <c r="X242" s="21">
        <f>inputs!$E$80*(F242/inputs!$F$80)^(inputs!$E$84-1)</f>
        <v>0.74885793905376674</v>
      </c>
      <c r="Y242" s="21">
        <f>inputs!$E$82*(F242/inputs!$F$82)^(inputs!$E$84-1)</f>
        <v>0.34513679047549034</v>
      </c>
      <c r="Z242" s="63">
        <f t="shared" si="18"/>
        <v>1932.4060741343403</v>
      </c>
      <c r="AA242" s="63">
        <f t="shared" si="19"/>
        <v>41.846755362129336</v>
      </c>
    </row>
    <row r="243" spans="1:476" ht="26.4" x14ac:dyDescent="0.25">
      <c r="A243" s="103" t="s">
        <v>248</v>
      </c>
      <c r="B243" s="20" t="s">
        <v>251</v>
      </c>
      <c r="C243" s="20" t="s">
        <v>73</v>
      </c>
      <c r="D243" s="104" t="s">
        <v>240</v>
      </c>
      <c r="E243" s="15">
        <v>4679</v>
      </c>
      <c r="F243" s="15">
        <v>5400</v>
      </c>
      <c r="G243" s="20" t="s">
        <v>152</v>
      </c>
      <c r="H243" s="20">
        <v>0.77</v>
      </c>
      <c r="I243" s="68">
        <f>MAX('Max rate concentrations'!$G$3:$G$368)</f>
        <v>45</v>
      </c>
      <c r="J243" s="68">
        <f>MAX('Max rate concentrations'!Z:Z)</f>
        <v>21</v>
      </c>
      <c r="K243" s="69">
        <f t="shared" si="17"/>
        <v>6.9292323959414581</v>
      </c>
      <c r="L243" s="69">
        <f t="shared" si="20"/>
        <v>3.2336417847726806</v>
      </c>
      <c r="M243" s="69">
        <f>IF((((1.18*F243^0.874)/3.7-(0.301*F243^0.751)/(1-H243)*H243)*(MAX('Max rate concentrations'!$P$3:$P$368)))/F243&gt;0, (((1.18*F243^0.874)/3.7-(0.301*F243^0.751)/(1-H243)*H243)*(MAX('Max rate concentrations'!$P$3:$P$368)))/F243, 0)</f>
        <v>0</v>
      </c>
      <c r="N243" s="69">
        <f>IF((((1.18*F243^0.874)/3.7-(0.301*F243^0.751)/(1-H243)*H243)*(MAX('Max rate concentrations'!$Q$3:$Q$368)))/F243&gt;0, (((1.18*F243^0.874)/3.7-(0.301*F243^0.751)/(1-H243)*H243)*(MAX('Max rate concentrations'!$Q$3:$Q$368)))/F243, 0)</f>
        <v>0</v>
      </c>
      <c r="O243" s="69">
        <f>((MAX('Max rate concentrations'!$F$3:$F$368))*0.62*6.01*8*(10*F243^0.667)*0.079*0.1/F243)*inputs!$E$80/(10^(0.84+0.62*LOG10(inputs!$E$80)))</f>
        <v>8.3920160106750359</v>
      </c>
      <c r="P243" s="69">
        <f>((MAX('Max rate concentrations'!Y:Y))*0.62*6.01*8*(10*F243^0.667)*0.079*0.1/F243)*inputs!$E$80/(10^(0.84+0.62*LOG10(inputs!$E$80)))</f>
        <v>2.7973386702250127</v>
      </c>
      <c r="Q243" s="69">
        <f>(inputs!$C$18*11.2*(10*F243^0.667)*0.5/F243)*inputs!$E$80/(10^(0.84+0.62*LOG10(inputs!$E$80)))</f>
        <v>1.4782140386815861</v>
      </c>
      <c r="R243" s="59">
        <f>(60*284*((F243/1000)^0.77)*3*24*(MAX('Max rate concentrations'!$R$3:$R$368))/F243)*(inputs!$E$73*3.4/inputs!$E$75)</f>
        <v>1.9082540405563651E-2</v>
      </c>
      <c r="S243" s="59">
        <f>(IF(inputs!$C$17="aerial",((0.025*0.112*inputs!$C$18/3.3)*(3*60*284*((F243/1000)^0.77))*MAX(inputs!$I$14:$I$16))/F243,((0.0083*0.112*inputs!$C$18/1)*(3*60*284*((F243/1000)^0.77))*MAX(inputs!$I$14:$I$16))/F243))*(inputs!E$75*3.4/inputs!$E$73)</f>
        <v>0.10524138273570169</v>
      </c>
      <c r="T243" s="63">
        <f>IF((((inputs!$P$13/(V243/MAX(K243:S243)))^(1/inputs!$O$13))-1)/inputs!$N$13&lt;0, 0, IF((((inputs!$P$13/(V243/MAX(K243:S243)))^(1/inputs!$O$13))-1)/inputs!$N$13&lt;inputs!$I$17, (((inputs!$P$13/(V243/MAX(K243:S243)))^(1/inputs!$O$13))-1)/inputs!$N$13, inputs!$I$17))</f>
        <v>1000</v>
      </c>
      <c r="U243" s="63">
        <f>IF((((inputs!$P$13/(X243/MAX(K243:S243)))^(1/inputs!$O$13))-1)/inputs!$N$13&lt;0, 0, IF((((inputs!$P$13/(X243/MAX(K243:S243)))^(1/inputs!$O$13))-1)/inputs!$N$13&lt;inputs!$I$17, (((inputs!$P$13/(X243/MAX(K243:S243)))^(1/inputs!$O$13))-1)/inputs!$N$13, inputs!$I$17))</f>
        <v>33.305037901220594</v>
      </c>
      <c r="V243" s="21">
        <f>inputs!$E$78*(F243/inputs!$F$78)^(inputs!$E$84-1)</f>
        <v>4.3427808073074944E-3</v>
      </c>
      <c r="W243" s="21">
        <f>inputs!$E$85*(F243/inputs!$F$85)^(inputs!$E$84-1)</f>
        <v>0.20054161757711042</v>
      </c>
      <c r="X243" s="21">
        <f>inputs!$E$80*(F243/inputs!$F$80)^(inputs!$E$84-1)</f>
        <v>0.74885793905376674</v>
      </c>
      <c r="Y243" s="21">
        <f>inputs!$E$82*(F243/inputs!$F$82)^(inputs!$E$84-1)</f>
        <v>0.34513679047549034</v>
      </c>
      <c r="Z243" s="63">
        <f t="shared" si="18"/>
        <v>1932.4060741343403</v>
      </c>
      <c r="AA243" s="63">
        <f t="shared" si="19"/>
        <v>41.846755362129336</v>
      </c>
    </row>
    <row r="244" spans="1:476" ht="26.4" x14ac:dyDescent="0.25">
      <c r="A244" s="103" t="s">
        <v>248</v>
      </c>
      <c r="B244" s="20" t="s">
        <v>251</v>
      </c>
      <c r="C244" s="20" t="s">
        <v>73</v>
      </c>
      <c r="D244" s="104" t="s">
        <v>240</v>
      </c>
      <c r="E244" s="15">
        <v>4679</v>
      </c>
      <c r="F244" s="15">
        <v>5400</v>
      </c>
      <c r="G244" s="21" t="s">
        <v>456</v>
      </c>
      <c r="H244" s="20">
        <v>0.68</v>
      </c>
      <c r="I244" s="68">
        <f>MAX('Max rate concentrations'!$J$3:$J$368)</f>
        <v>686.46486205830786</v>
      </c>
      <c r="J244" s="68">
        <f>MAX('Max rate concentrations'!AB:AB)</f>
        <v>243.122971978984</v>
      </c>
      <c r="K244" s="69">
        <f t="shared" si="17"/>
        <v>75.974663124686074</v>
      </c>
      <c r="L244" s="69">
        <f t="shared" si="20"/>
        <v>26.907693189992983</v>
      </c>
      <c r="M244" s="69">
        <f>IF((((1.18*F244^0.874)/3.7-(0.301*F244^0.751)/(1-H244)*H244)*(MAX('Max rate concentrations'!$P$3:$P$368)))/F244&gt;0, (((1.18*F244^0.874)/3.7-(0.301*F244^0.751)/(1-H244)*H244)*(MAX('Max rate concentrations'!$P$3:$P$368)))/F244, 0)</f>
        <v>2.8508175400788503E-2</v>
      </c>
      <c r="N244" s="69">
        <f>IF((((1.18*F244^0.874)/3.7-(0.301*F244^0.751)/(1-H244)*H244)*(MAX('Max rate concentrations'!$Q$3:$Q$368)))/F244&gt;0, (((1.18*F244^0.874)/3.7-(0.301*F244^0.751)/(1-H244)*H244)*(MAX('Max rate concentrations'!$Q$3:$Q$368)))/F244, 0)</f>
        <v>0.10856066371850683</v>
      </c>
      <c r="O244" s="69">
        <f>((MAX('Max rate concentrations'!$F$3:$F$368))*0.62*6.01*8*(10*F244^0.667)*0.079*0.1/F244)*inputs!$E$80/(10^(0.84+0.62*LOG10(inputs!$E$80)))</f>
        <v>8.3920160106750359</v>
      </c>
      <c r="P244" s="69">
        <f>((MAX('Max rate concentrations'!Y:Y))*0.62*6.01*8*(10*F244^0.667)*0.079*0.1/F244)*inputs!$E$80/(10^(0.84+0.62*LOG10(inputs!$E$80)))</f>
        <v>2.7973386702250127</v>
      </c>
      <c r="Q244" s="69">
        <f>(inputs!$C$18*11.2*(10*F244^0.667)*0.5/F244)*inputs!$E$80/(10^(0.84+0.62*LOG10(inputs!$E$80)))</f>
        <v>1.4782140386815861</v>
      </c>
      <c r="R244" s="59">
        <f>(60*284*((F244/1000)^0.77)*3*24*(MAX('Max rate concentrations'!$R$3:$R$368))/F244)*(inputs!$E$73*3.4/inputs!$E$75)</f>
        <v>1.9082540405563651E-2</v>
      </c>
      <c r="S244" s="59">
        <f>(IF(inputs!$C$17="aerial",((0.025*0.112*inputs!$C$18/3.3)*(3*60*284*((F244/1000)^0.77))*MAX(inputs!$I$14:$I$16))/F244,((0.0083*0.112*inputs!$C$18/1)*(3*60*284*((F244/1000)^0.77))*MAX(inputs!$I$14:$I$16))/F244))*(inputs!E$75*3.4/inputs!$E$73)</f>
        <v>0.10524138273570169</v>
      </c>
      <c r="T244" s="63">
        <f>IF((((inputs!$P$13/(V244/MAX(K244:S244)))^(1/inputs!$O$13))-1)/inputs!$N$13&lt;0, 0, IF((((inputs!$P$13/(V244/MAX(K244:S244)))^(1/inputs!$O$13))-1)/inputs!$N$13&lt;inputs!$I$17, (((inputs!$P$13/(V244/MAX(K244:S244)))^(1/inputs!$O$13))-1)/inputs!$N$13, inputs!$I$17))</f>
        <v>1000</v>
      </c>
      <c r="U244" s="63">
        <f>IF((((inputs!$P$13/(X244/MAX(K244:S244)))^(1/inputs!$O$13))-1)/inputs!$N$13&lt;0, 0, IF((((inputs!$P$13/(X244/MAX(K244:S244)))^(1/inputs!$O$13))-1)/inputs!$N$13&lt;inputs!$I$17, (((inputs!$P$13/(X244/MAX(K244:S244)))^(1/inputs!$O$13))-1)/inputs!$N$13, inputs!$I$17))</f>
        <v>223.62888608893857</v>
      </c>
      <c r="V244" s="21">
        <f>inputs!$E$78*(F244/inputs!$F$78)^(inputs!$E$84-1)</f>
        <v>4.3427808073074944E-3</v>
      </c>
      <c r="W244" s="21">
        <f>inputs!$E$85*(F244/inputs!$F$85)^(inputs!$E$84-1)</f>
        <v>0.20054161757711042</v>
      </c>
      <c r="X244" s="21">
        <f>inputs!$E$80*(F244/inputs!$F$80)^(inputs!$E$84-1)</f>
        <v>0.74885793905376674</v>
      </c>
      <c r="Y244" s="21">
        <f>inputs!$E$82*(F244/inputs!$F$82)^(inputs!$E$84-1)</f>
        <v>0.34513679047549034</v>
      </c>
      <c r="Z244" s="63">
        <f t="shared" si="18"/>
        <v>17494.473356068378</v>
      </c>
      <c r="AA244" s="63">
        <f t="shared" si="19"/>
        <v>378.8473636674093</v>
      </c>
    </row>
    <row r="245" spans="1:476" s="21" customFormat="1" ht="26.4" x14ac:dyDescent="0.25">
      <c r="A245" s="103" t="s">
        <v>248</v>
      </c>
      <c r="B245" s="20" t="s">
        <v>251</v>
      </c>
      <c r="C245" s="20" t="s">
        <v>73</v>
      </c>
      <c r="D245" s="104" t="s">
        <v>240</v>
      </c>
      <c r="E245" s="15">
        <v>4679</v>
      </c>
      <c r="F245" s="15">
        <v>5400</v>
      </c>
      <c r="G245" s="20" t="s">
        <v>154</v>
      </c>
      <c r="H245" s="20">
        <v>9.2999999999999999E-2</v>
      </c>
      <c r="I245" s="68">
        <f>MAX('Max rate concentrations'!$G$3:$G$368)</f>
        <v>45</v>
      </c>
      <c r="J245" s="68">
        <f>MAX('Max rate concentrations'!Z:Z)</f>
        <v>21</v>
      </c>
      <c r="K245" s="69">
        <f t="shared" si="17"/>
        <v>1.7571372117602371</v>
      </c>
      <c r="L245" s="69">
        <f t="shared" si="20"/>
        <v>0.81999736548811075</v>
      </c>
      <c r="M245" s="69">
        <f>IF((((1.18*F245^0.874)/3.7-(0.301*F245^0.751)/(1-H245)*H245)*(MAX('Max rate concentrations'!$P$3:$P$368)))/F245&gt;0, (((1.18*F245^0.874)/3.7-(0.301*F245^0.751)/(1-H245)*H245)*(MAX('Max rate concentrations'!$P$3:$P$368)))/F245, 0)</f>
        <v>9.0887933211177191E-2</v>
      </c>
      <c r="N245" s="69">
        <f>IF((((1.18*F245^0.874)/3.7-(0.301*F245^0.751)/(1-H245)*H245)*(MAX('Max rate concentrations'!$Q$3:$Q$368)))/F245&gt;0, (((1.18*F245^0.874)/3.7-(0.301*F245^0.751)/(1-H245)*H245)*(MAX('Max rate concentrations'!$Q$3:$Q$368)))/F245, 0)</f>
        <v>0.34610613322997191</v>
      </c>
      <c r="O245" s="69">
        <f>((MAX('Max rate concentrations'!$F$3:$F$368))*0.62*6.01*8*(10*F245^0.667)*0.079*0.1/F245)*inputs!$E$80/(10^(0.84+0.62*LOG10(inputs!$E$80)))</f>
        <v>8.3920160106750359</v>
      </c>
      <c r="P245" s="69">
        <f>((MAX('Max rate concentrations'!Y:Y))*0.62*6.01*8*(10*F245^0.667)*0.079*0.1/F245)*inputs!$E$80/(10^(0.84+0.62*LOG10(inputs!$E$80)))</f>
        <v>2.7973386702250127</v>
      </c>
      <c r="Q245" s="69">
        <f>(inputs!$C$18*11.2*(10*F245^0.667)*0.5/F245)*inputs!$E$80/(10^(0.84+0.62*LOG10(inputs!$E$80)))</f>
        <v>1.4782140386815861</v>
      </c>
      <c r="R245" s="59">
        <f>(60*284*((F245/1000)^0.77)*3*24*(MAX('Max rate concentrations'!$R$3:$R$368))/F245)*(inputs!$E$73*3.4/inputs!$E$75)</f>
        <v>1.9082540405563651E-2</v>
      </c>
      <c r="S245" s="59">
        <f>(IF(inputs!$C$17="aerial",((0.025*0.112*inputs!$C$18/3.3)*(3*60*284*((F245/1000)^0.77))*MAX(inputs!$I$14:$I$16))/F245,((0.0083*0.112*inputs!$C$18/1)*(3*60*284*((F245/1000)^0.77))*MAX(inputs!$I$14:$I$16))/F245))*(inputs!E$75*3.4/inputs!$E$73)</f>
        <v>0.10524138273570169</v>
      </c>
      <c r="T245" s="63">
        <f>IF((((inputs!$P$13/(V245/MAX(K245:S245)))^(1/inputs!$O$13))-1)/inputs!$N$13&lt;0, 0, IF((((inputs!$P$13/(V245/MAX(K245:S245)))^(1/inputs!$O$13))-1)/inputs!$N$13&lt;inputs!$I$17, (((inputs!$P$13/(V245/MAX(K245:S245)))^(1/inputs!$O$13))-1)/inputs!$N$13, inputs!$I$17))</f>
        <v>1000</v>
      </c>
      <c r="U245" s="63">
        <f>IF((((inputs!$P$13/(X245/MAX(K245:S245)))^(1/inputs!$O$13))-1)/inputs!$N$13&lt;0, 0, IF((((inputs!$P$13/(X245/MAX(K245:S245)))^(1/inputs!$O$13))-1)/inputs!$N$13&lt;inputs!$I$17, (((inputs!$P$13/(X245/MAX(K245:S245)))^(1/inputs!$O$13))-1)/inputs!$N$13, inputs!$I$17))</f>
        <v>33.305037901220594</v>
      </c>
      <c r="V245" s="21">
        <f>inputs!$E$78*(F245/inputs!$F$78)^(inputs!$E$84-1)</f>
        <v>4.3427808073074944E-3</v>
      </c>
      <c r="W245" s="21">
        <f>inputs!$E$85*(F245/inputs!$F$85)^(inputs!$E$84-1)</f>
        <v>0.20054161757711042</v>
      </c>
      <c r="X245" s="21">
        <f>inputs!$E$80*(F245/inputs!$F$80)^(inputs!$E$84-1)</f>
        <v>0.74885793905376674</v>
      </c>
      <c r="Y245" s="21">
        <f>inputs!$E$82*(F245/inputs!$F$82)^(inputs!$E$84-1)</f>
        <v>0.34513679047549034</v>
      </c>
      <c r="Z245" s="63">
        <f t="shared" si="18"/>
        <v>1932.4060741343403</v>
      </c>
      <c r="AA245" s="63">
        <f t="shared" si="19"/>
        <v>41.846755362129336</v>
      </c>
      <c r="AB245" s="107"/>
      <c r="AC245" s="107"/>
      <c r="AD245" s="107"/>
      <c r="AE245" s="107"/>
      <c r="AF245" s="107"/>
      <c r="AG245" s="107"/>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c r="DD245" s="107"/>
      <c r="DE245" s="107"/>
      <c r="DF245" s="107"/>
      <c r="DG245" s="107"/>
      <c r="DH245" s="107"/>
      <c r="DI245" s="107"/>
      <c r="DJ245" s="107"/>
      <c r="DK245" s="107"/>
      <c r="DL245" s="107"/>
      <c r="DM245" s="107"/>
      <c r="DN245" s="107"/>
      <c r="DO245" s="107"/>
      <c r="DP245" s="107"/>
      <c r="DQ245" s="107"/>
      <c r="DR245" s="107"/>
      <c r="DS245" s="107"/>
      <c r="DT245" s="107"/>
      <c r="DU245" s="107"/>
      <c r="DV245" s="107"/>
      <c r="DW245" s="107"/>
      <c r="DX245" s="107"/>
      <c r="DY245" s="107"/>
      <c r="DZ245" s="107"/>
      <c r="EA245" s="107"/>
      <c r="EB245" s="107"/>
      <c r="EC245" s="107"/>
      <c r="ED245" s="107"/>
      <c r="EE245" s="107"/>
      <c r="EF245" s="107"/>
      <c r="EG245" s="107"/>
      <c r="EH245" s="107"/>
      <c r="EI245" s="107"/>
      <c r="EJ245" s="107"/>
      <c r="EK245" s="107"/>
      <c r="EL245" s="107"/>
      <c r="EM245" s="107"/>
      <c r="EN245" s="107"/>
      <c r="EO245" s="107"/>
      <c r="EP245" s="107"/>
      <c r="EQ245" s="107"/>
      <c r="ER245" s="107"/>
      <c r="ES245" s="107"/>
      <c r="ET245" s="107"/>
      <c r="EU245" s="107"/>
      <c r="EV245" s="107"/>
      <c r="EW245" s="107"/>
      <c r="EX245" s="107"/>
      <c r="EY245" s="107"/>
      <c r="EZ245" s="107"/>
      <c r="FA245" s="107"/>
      <c r="FB245" s="107"/>
      <c r="FC245" s="107"/>
      <c r="FD245" s="107"/>
      <c r="FE245" s="107"/>
      <c r="FF245" s="107"/>
      <c r="FG245" s="107"/>
      <c r="FH245" s="107"/>
      <c r="FI245" s="107"/>
      <c r="FJ245" s="107"/>
      <c r="FK245" s="107"/>
      <c r="FL245" s="107"/>
      <c r="FM245" s="107"/>
      <c r="FN245" s="107"/>
      <c r="FO245" s="107"/>
      <c r="FP245" s="107"/>
      <c r="FQ245" s="107"/>
      <c r="FR245" s="107"/>
      <c r="FS245" s="107"/>
      <c r="FT245" s="107"/>
      <c r="FU245" s="107"/>
      <c r="FV245" s="107"/>
      <c r="FW245" s="107"/>
      <c r="FX245" s="107"/>
      <c r="FY245" s="107"/>
      <c r="FZ245" s="107"/>
      <c r="GA245" s="107"/>
      <c r="GB245" s="107"/>
      <c r="GC245" s="107"/>
      <c r="GD245" s="107"/>
      <c r="GE245" s="107"/>
      <c r="GF245" s="107"/>
      <c r="GG245" s="107"/>
      <c r="GH245" s="107"/>
      <c r="GI245" s="107"/>
      <c r="GJ245" s="107"/>
      <c r="GK245" s="107"/>
      <c r="GL245" s="107"/>
      <c r="GM245" s="107"/>
      <c r="GN245" s="107"/>
      <c r="GO245" s="107"/>
      <c r="GP245" s="107"/>
      <c r="GQ245" s="107"/>
      <c r="GR245" s="107"/>
      <c r="GS245" s="107"/>
      <c r="GT245" s="107"/>
      <c r="GU245" s="107"/>
      <c r="GV245" s="107"/>
      <c r="GW245" s="107"/>
      <c r="GX245" s="107"/>
      <c r="GY245" s="107"/>
      <c r="GZ245" s="107"/>
      <c r="HA245" s="107"/>
      <c r="HB245" s="107"/>
      <c r="HC245" s="107"/>
      <c r="HD245" s="107"/>
      <c r="HE245" s="107"/>
      <c r="HF245" s="107"/>
      <c r="HG245" s="107"/>
      <c r="HH245" s="107"/>
      <c r="HI245" s="107"/>
      <c r="HJ245" s="107"/>
      <c r="HK245" s="107"/>
      <c r="HL245" s="107"/>
      <c r="HM245" s="107"/>
      <c r="HN245" s="107"/>
      <c r="HO245" s="107"/>
      <c r="HP245" s="107"/>
      <c r="HQ245" s="107"/>
      <c r="HR245" s="107"/>
      <c r="HS245" s="107"/>
      <c r="HT245" s="107"/>
      <c r="HU245" s="107"/>
      <c r="HV245" s="107"/>
      <c r="HW245" s="107"/>
      <c r="HX245" s="107"/>
      <c r="HY245" s="107"/>
      <c r="HZ245" s="107"/>
      <c r="IA245" s="107"/>
      <c r="IB245" s="107"/>
      <c r="IC245" s="107"/>
      <c r="ID245" s="107"/>
      <c r="IE245" s="107"/>
      <c r="IF245" s="107"/>
      <c r="IG245" s="107"/>
      <c r="IH245" s="107"/>
      <c r="II245" s="107"/>
      <c r="IJ245" s="107"/>
      <c r="IK245" s="107"/>
      <c r="IL245" s="107"/>
      <c r="IM245" s="107"/>
      <c r="IN245" s="107"/>
      <c r="IO245" s="107"/>
      <c r="IP245" s="107"/>
      <c r="IQ245" s="107"/>
      <c r="IR245" s="107"/>
      <c r="IS245" s="107"/>
      <c r="IT245" s="107"/>
      <c r="IU245" s="107"/>
      <c r="IV245" s="107"/>
      <c r="IW245" s="107"/>
      <c r="IX245" s="107"/>
      <c r="IY245" s="107"/>
      <c r="IZ245" s="107"/>
      <c r="JA245" s="107"/>
      <c r="JB245" s="107"/>
      <c r="JC245" s="107"/>
      <c r="JD245" s="107"/>
      <c r="JE245" s="107"/>
      <c r="JF245" s="107"/>
      <c r="JG245" s="107"/>
      <c r="JH245" s="107"/>
      <c r="JI245" s="107"/>
      <c r="JJ245" s="107"/>
      <c r="JK245" s="107"/>
      <c r="JL245" s="107"/>
      <c r="JM245" s="107"/>
      <c r="JN245" s="107"/>
      <c r="JO245" s="107"/>
      <c r="JP245" s="107"/>
      <c r="JQ245" s="107"/>
      <c r="JR245" s="107"/>
      <c r="JS245" s="107"/>
      <c r="JT245" s="107"/>
      <c r="JU245" s="107"/>
      <c r="JV245" s="107"/>
      <c r="JW245" s="107"/>
      <c r="JX245" s="107"/>
      <c r="JY245" s="107"/>
      <c r="JZ245" s="107"/>
      <c r="KA245" s="107"/>
      <c r="KB245" s="107"/>
      <c r="KC245" s="107"/>
      <c r="KD245" s="107"/>
      <c r="KE245" s="107"/>
      <c r="KF245" s="107"/>
      <c r="KG245" s="107"/>
      <c r="KH245" s="107"/>
      <c r="KI245" s="107"/>
      <c r="KJ245" s="107"/>
      <c r="KK245" s="107"/>
      <c r="KL245" s="107"/>
      <c r="KM245" s="107"/>
      <c r="KN245" s="107"/>
      <c r="KO245" s="107"/>
      <c r="KP245" s="107"/>
      <c r="KQ245" s="107"/>
      <c r="KR245" s="107"/>
      <c r="KS245" s="107"/>
      <c r="KT245" s="107"/>
      <c r="KU245" s="107"/>
      <c r="KV245" s="107"/>
      <c r="KW245" s="107"/>
      <c r="KX245" s="107"/>
      <c r="KY245" s="107"/>
      <c r="KZ245" s="107"/>
      <c r="LA245" s="107"/>
      <c r="LB245" s="107"/>
      <c r="LC245" s="107"/>
      <c r="LD245" s="107"/>
      <c r="LE245" s="107"/>
      <c r="LF245" s="107"/>
      <c r="LG245" s="107"/>
      <c r="LH245" s="107"/>
      <c r="LI245" s="107"/>
      <c r="LJ245" s="107"/>
      <c r="LK245" s="107"/>
      <c r="LL245" s="107"/>
      <c r="LM245" s="107"/>
      <c r="LN245" s="107"/>
      <c r="LO245" s="107"/>
      <c r="LP245" s="107"/>
      <c r="LQ245" s="107"/>
      <c r="LR245" s="107"/>
      <c r="LS245" s="107"/>
      <c r="LT245" s="107"/>
      <c r="LU245" s="107"/>
      <c r="LV245" s="107"/>
      <c r="LW245" s="107"/>
      <c r="LX245" s="107"/>
      <c r="LY245" s="107"/>
      <c r="LZ245" s="107"/>
      <c r="MA245" s="107"/>
      <c r="MB245" s="107"/>
      <c r="MC245" s="107"/>
      <c r="MD245" s="107"/>
      <c r="ME245" s="107"/>
      <c r="MF245" s="107"/>
      <c r="MG245" s="107"/>
      <c r="MH245" s="107"/>
      <c r="MI245" s="107"/>
      <c r="MJ245" s="107"/>
      <c r="MK245" s="107"/>
      <c r="ML245" s="107"/>
      <c r="MM245" s="107"/>
      <c r="MN245" s="107"/>
      <c r="MO245" s="107"/>
      <c r="MP245" s="107"/>
      <c r="MQ245" s="107"/>
      <c r="MR245" s="107"/>
      <c r="MS245" s="107"/>
      <c r="MT245" s="107"/>
      <c r="MU245" s="107"/>
      <c r="MV245" s="107"/>
      <c r="MW245" s="107"/>
      <c r="MX245" s="107"/>
      <c r="MY245" s="107"/>
      <c r="MZ245" s="107"/>
      <c r="NA245" s="107"/>
      <c r="NB245" s="107"/>
      <c r="NC245" s="107"/>
      <c r="ND245" s="107"/>
      <c r="NE245" s="107"/>
      <c r="NF245" s="107"/>
      <c r="NG245" s="107"/>
      <c r="NH245" s="107"/>
      <c r="NI245" s="107"/>
      <c r="NJ245" s="107"/>
      <c r="NK245" s="107"/>
      <c r="NL245" s="107"/>
      <c r="NM245" s="107"/>
      <c r="NN245" s="107"/>
      <c r="NO245" s="107"/>
      <c r="NP245" s="107"/>
      <c r="NQ245" s="107"/>
      <c r="NR245" s="107"/>
      <c r="NS245" s="107"/>
      <c r="NT245" s="107"/>
      <c r="NU245" s="107"/>
      <c r="NV245" s="107"/>
      <c r="NW245" s="107"/>
      <c r="NX245" s="107"/>
      <c r="NY245" s="107"/>
      <c r="NZ245" s="107"/>
      <c r="OA245" s="107"/>
      <c r="OB245" s="107"/>
      <c r="OC245" s="107"/>
      <c r="OD245" s="107"/>
      <c r="OE245" s="107"/>
      <c r="OF245" s="107"/>
      <c r="OG245" s="107"/>
      <c r="OH245" s="107"/>
      <c r="OI245" s="107"/>
      <c r="OJ245" s="107"/>
      <c r="OK245" s="107"/>
      <c r="OL245" s="107"/>
      <c r="OM245" s="107"/>
      <c r="ON245" s="107"/>
      <c r="OO245" s="107"/>
      <c r="OP245" s="107"/>
      <c r="OQ245" s="107"/>
      <c r="OR245" s="107"/>
      <c r="OS245" s="107"/>
      <c r="OT245" s="107"/>
      <c r="OU245" s="107"/>
      <c r="OV245" s="107"/>
      <c r="OW245" s="107"/>
      <c r="OX245" s="107"/>
      <c r="OY245" s="107"/>
      <c r="OZ245" s="107"/>
      <c r="PA245" s="107"/>
      <c r="PB245" s="107"/>
      <c r="PC245" s="107"/>
      <c r="PD245" s="107"/>
      <c r="PE245" s="107"/>
      <c r="PF245" s="107"/>
      <c r="PG245" s="107"/>
      <c r="PH245" s="107"/>
      <c r="PI245" s="107"/>
      <c r="PJ245" s="107"/>
      <c r="PK245" s="107"/>
      <c r="PL245" s="107"/>
      <c r="PM245" s="107"/>
      <c r="PN245" s="107"/>
      <c r="PO245" s="107"/>
      <c r="PP245" s="107"/>
      <c r="PQ245" s="107"/>
      <c r="PR245" s="107"/>
      <c r="PS245" s="107"/>
      <c r="PT245" s="107"/>
      <c r="PU245" s="107"/>
      <c r="PV245" s="107"/>
      <c r="PW245" s="107"/>
      <c r="PX245" s="107"/>
      <c r="PY245" s="107"/>
      <c r="PZ245" s="107"/>
      <c r="QA245" s="107"/>
      <c r="QB245" s="107"/>
      <c r="QC245" s="107"/>
      <c r="QD245" s="107"/>
      <c r="QE245" s="107"/>
      <c r="QF245" s="107"/>
      <c r="QG245" s="107"/>
      <c r="QH245" s="107"/>
      <c r="QI245" s="107"/>
      <c r="QJ245" s="107"/>
      <c r="QK245" s="107"/>
      <c r="QL245" s="107"/>
      <c r="QM245" s="107"/>
      <c r="QN245" s="107"/>
      <c r="QO245" s="107"/>
      <c r="QP245" s="107"/>
      <c r="QQ245" s="107"/>
      <c r="QR245" s="107"/>
      <c r="QS245" s="107"/>
      <c r="QT245" s="107"/>
      <c r="QU245" s="107"/>
      <c r="QV245" s="107"/>
      <c r="QW245" s="107"/>
      <c r="QX245" s="107"/>
      <c r="QY245" s="107"/>
      <c r="QZ245" s="107"/>
      <c r="RA245" s="107"/>
      <c r="RB245" s="107"/>
      <c r="RC245" s="107"/>
      <c r="RD245" s="107"/>
      <c r="RE245" s="107"/>
      <c r="RF245" s="107"/>
      <c r="RG245" s="107"/>
      <c r="RH245" s="107"/>
    </row>
    <row r="246" spans="1:476" s="21" customFormat="1" ht="13.2" x14ac:dyDescent="0.25">
      <c r="A246" s="103" t="s">
        <v>248</v>
      </c>
      <c r="B246" s="20" t="s">
        <v>250</v>
      </c>
      <c r="C246" s="20" t="s">
        <v>73</v>
      </c>
      <c r="D246" s="104" t="s">
        <v>240</v>
      </c>
      <c r="E246" s="15">
        <v>10124</v>
      </c>
      <c r="F246" s="15">
        <v>5400</v>
      </c>
      <c r="G246" s="20" t="s">
        <v>182</v>
      </c>
      <c r="H246" s="20">
        <v>0.85</v>
      </c>
      <c r="I246" s="68">
        <f>MAX('Max rate concentrations'!$M$3:$M$368)</f>
        <v>17.092910873809167</v>
      </c>
      <c r="J246" s="68">
        <f>MAX('Max rate concentrations'!AE:AE)</f>
        <v>11.81956602976166</v>
      </c>
      <c r="K246" s="69">
        <f t="shared" si="17"/>
        <v>4.0357589491229406</v>
      </c>
      <c r="L246" s="69">
        <f t="shared" si="20"/>
        <v>2.7906843797126721</v>
      </c>
      <c r="M246" s="69">
        <f>IF((((1.18*F246^0.874)/3.7-(0.301*F246^0.751)/(1-H246)*H246)*(MAX('Max rate concentrations'!$P$3:$P$368)))/F246&gt;0, (((1.18*F246^0.874)/3.7-(0.301*F246^0.751)/(1-H246)*H246)*(MAX('Max rate concentrations'!$P$3:$P$368)))/F246, 0)</f>
        <v>0</v>
      </c>
      <c r="N246" s="69">
        <f>IF((((1.18*F246^0.874)/3.7-(0.301*F246^0.751)/(1-H246)*H246)*(MAX('Max rate concentrations'!$Q$3:$Q$368)))/F246&gt;0, (((1.18*F246^0.874)/3.7-(0.301*F246^0.751)/(1-H246)*H246)*(MAX('Max rate concentrations'!$Q$3:$Q$368)))/F246, 0)</f>
        <v>0</v>
      </c>
      <c r="O246" s="69">
        <f>((MAX('Max rate concentrations'!$F$3:$F$368))*0.62*6.01*8*(10*F246^0.667)*0.079*0.1/F246)*inputs!$E$80/(10^(0.84+0.62*LOG10(inputs!$E$80)))</f>
        <v>8.3920160106750359</v>
      </c>
      <c r="P246" s="69">
        <f>((MAX('Max rate concentrations'!Y:Y))*0.62*6.01*8*(10*F246^0.667)*0.079*0.1/F246)*inputs!$E$80/(10^(0.84+0.62*LOG10(inputs!$E$80)))</f>
        <v>2.7973386702250127</v>
      </c>
      <c r="Q246" s="69">
        <f>(inputs!$C$18*11.2*(10*F246^0.667)*0.5/F246)*inputs!$E$80/(10^(0.84+0.62*LOG10(inputs!$E$80)))</f>
        <v>1.4782140386815861</v>
      </c>
      <c r="R246" s="59">
        <f>(60*284*((F246/1000)^0.77)*3*24*(MAX('Max rate concentrations'!$R$3:$R$368))/F246)*(inputs!$E$73*3.4/inputs!$E$75)</f>
        <v>1.9082540405563651E-2</v>
      </c>
      <c r="S246" s="59">
        <f>(IF(inputs!$C$17="aerial",((0.025*0.112*inputs!$C$18/3.3)*(3*60*284*((F246/1000)^0.77))*MAX(inputs!$I$14:$I$16))/F246,((0.0083*0.112*inputs!$C$18/1)*(3*60*284*((F246/1000)^0.77))*MAX(inputs!$I$14:$I$16))/F246))*(inputs!E$75*3.4/inputs!$E$73)</f>
        <v>0.10524138273570169</v>
      </c>
      <c r="T246" s="63">
        <f>IF((((inputs!$P$13/(V246/MAX(K246:S246)))^(1/inputs!$O$13))-1)/inputs!$N$13&lt;0, 0, IF((((inputs!$P$13/(V246/MAX(K246:S246)))^(1/inputs!$O$13))-1)/inputs!$N$13&lt;inputs!$I$17, (((inputs!$P$13/(V246/MAX(K246:S246)))^(1/inputs!$O$13))-1)/inputs!$N$13, inputs!$I$17))</f>
        <v>1000</v>
      </c>
      <c r="U246" s="63">
        <f>IF((((inputs!$P$13/(X246/MAX(K246:S246)))^(1/inputs!$O$13))-1)/inputs!$N$13&lt;0, 0, IF((((inputs!$P$13/(X246/MAX(K246:S246)))^(1/inputs!$O$13))-1)/inputs!$N$13&lt;inputs!$I$17, (((inputs!$P$13/(X246/MAX(K246:S246)))^(1/inputs!$O$13))-1)/inputs!$N$13, inputs!$I$17))</f>
        <v>33.305037901220594</v>
      </c>
      <c r="V246" s="21">
        <f>inputs!$E$78*(F246/inputs!$F$78)^(inputs!$E$84-1)</f>
        <v>4.3427808073074944E-3</v>
      </c>
      <c r="W246" s="21">
        <f>inputs!$E$85*(F246/inputs!$F$85)^(inputs!$E$84-1)</f>
        <v>0.20054161757711042</v>
      </c>
      <c r="X246" s="21">
        <f>inputs!$E$80*(F246/inputs!$F$80)^(inputs!$E$84-1)</f>
        <v>0.74885793905376674</v>
      </c>
      <c r="Y246" s="21">
        <f>inputs!$E$82*(F246/inputs!$F$82)^(inputs!$E$84-1)</f>
        <v>0.34513679047549034</v>
      </c>
      <c r="Z246" s="63">
        <f t="shared" si="18"/>
        <v>1932.4060741343403</v>
      </c>
      <c r="AA246" s="63">
        <f t="shared" si="19"/>
        <v>41.846755362129336</v>
      </c>
      <c r="AB246" s="115"/>
      <c r="AC246" s="116"/>
      <c r="AD246" s="116"/>
      <c r="AE246" s="116"/>
      <c r="AF246" s="116"/>
      <c r="AG246" s="116"/>
      <c r="AH246" s="116"/>
      <c r="AI246" s="116"/>
      <c r="AJ246" s="116"/>
      <c r="AK246" s="116"/>
      <c r="AL246" s="116"/>
      <c r="AM246" s="116"/>
      <c r="AN246" s="116"/>
      <c r="AO246" s="116"/>
      <c r="AP246" s="116"/>
      <c r="AQ246" s="116"/>
      <c r="AR246" s="116"/>
      <c r="AS246" s="116"/>
      <c r="AT246" s="116"/>
      <c r="AU246" s="116"/>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116"/>
      <c r="CD246" s="116"/>
      <c r="CE246" s="116"/>
      <c r="CF246" s="116"/>
      <c r="CG246" s="116"/>
      <c r="CH246" s="116"/>
      <c r="CI246" s="116"/>
      <c r="CJ246" s="116"/>
      <c r="CK246" s="116"/>
      <c r="CL246" s="116"/>
      <c r="CM246" s="116"/>
      <c r="CN246" s="116"/>
      <c r="CO246" s="116"/>
      <c r="CP246" s="116"/>
      <c r="CQ246" s="116"/>
      <c r="CR246" s="116"/>
      <c r="CS246" s="116"/>
      <c r="CT246" s="116"/>
      <c r="CU246" s="116"/>
      <c r="CV246" s="116"/>
      <c r="CW246" s="116"/>
      <c r="CX246" s="116"/>
      <c r="CY246" s="116"/>
      <c r="CZ246" s="116"/>
      <c r="DA246" s="116"/>
      <c r="DB246" s="116"/>
      <c r="DC246" s="116"/>
      <c r="DD246" s="116"/>
      <c r="DE246" s="116"/>
      <c r="DF246" s="116"/>
      <c r="DG246" s="116"/>
      <c r="DH246" s="116"/>
      <c r="DI246" s="116"/>
      <c r="DJ246" s="116"/>
      <c r="DK246" s="116"/>
      <c r="DL246" s="116"/>
      <c r="DM246" s="116"/>
      <c r="DN246" s="116"/>
      <c r="DO246" s="116"/>
      <c r="DP246" s="116"/>
      <c r="DQ246" s="116"/>
      <c r="DR246" s="116"/>
      <c r="DS246" s="116"/>
      <c r="DT246" s="116"/>
      <c r="DU246" s="116"/>
      <c r="DV246" s="116"/>
      <c r="DW246" s="116"/>
      <c r="DX246" s="116"/>
      <c r="DY246" s="116"/>
      <c r="DZ246" s="116"/>
      <c r="EA246" s="116"/>
      <c r="EB246" s="116"/>
      <c r="EC246" s="116"/>
      <c r="ED246" s="116"/>
      <c r="EE246" s="116"/>
      <c r="EF246" s="116"/>
      <c r="EG246" s="116"/>
      <c r="EH246" s="116"/>
      <c r="EI246" s="116"/>
      <c r="EJ246" s="116"/>
      <c r="EK246" s="116"/>
      <c r="EL246" s="116"/>
      <c r="EM246" s="116"/>
      <c r="EN246" s="116"/>
      <c r="EO246" s="116"/>
      <c r="EP246" s="116"/>
      <c r="EQ246" s="116"/>
      <c r="ER246" s="116"/>
      <c r="ES246" s="116"/>
      <c r="ET246" s="116"/>
      <c r="EU246" s="116"/>
      <c r="EV246" s="116"/>
      <c r="EW246" s="116"/>
      <c r="EX246" s="116"/>
      <c r="EY246" s="116"/>
      <c r="EZ246" s="116"/>
      <c r="FA246" s="116"/>
      <c r="FB246" s="116"/>
      <c r="FC246" s="116"/>
      <c r="FD246" s="116"/>
      <c r="FE246" s="116"/>
      <c r="FF246" s="116"/>
      <c r="FG246" s="116"/>
      <c r="FH246" s="116"/>
      <c r="FI246" s="116"/>
      <c r="FJ246" s="116"/>
      <c r="FK246" s="116"/>
      <c r="FL246" s="116"/>
      <c r="FM246" s="116"/>
      <c r="FN246" s="116"/>
      <c r="FO246" s="116"/>
      <c r="FP246" s="116"/>
      <c r="FQ246" s="116"/>
      <c r="FR246" s="116"/>
      <c r="FS246" s="116"/>
      <c r="FT246" s="116"/>
      <c r="FU246" s="116"/>
      <c r="FV246" s="116"/>
      <c r="FW246" s="116"/>
      <c r="FX246" s="116"/>
      <c r="FY246" s="116"/>
      <c r="FZ246" s="116"/>
      <c r="GA246" s="116"/>
      <c r="GB246" s="116"/>
      <c r="GC246" s="116"/>
      <c r="GD246" s="116"/>
      <c r="GE246" s="116"/>
      <c r="GF246" s="116"/>
      <c r="GG246" s="116"/>
      <c r="GH246" s="116"/>
      <c r="GI246" s="116"/>
      <c r="GJ246" s="116"/>
      <c r="GK246" s="116"/>
      <c r="GL246" s="116"/>
      <c r="GM246" s="116"/>
      <c r="GN246" s="116"/>
      <c r="GO246" s="116"/>
      <c r="GP246" s="116"/>
      <c r="GQ246" s="116"/>
      <c r="GR246" s="116"/>
      <c r="GS246" s="116"/>
      <c r="GT246" s="116"/>
      <c r="GU246" s="116"/>
      <c r="GV246" s="116"/>
      <c r="GW246" s="116"/>
      <c r="GX246" s="116"/>
      <c r="GY246" s="116"/>
      <c r="GZ246" s="116"/>
      <c r="HA246" s="116"/>
      <c r="HB246" s="116"/>
      <c r="HC246" s="116"/>
      <c r="HD246" s="116"/>
      <c r="HE246" s="116"/>
      <c r="HF246" s="116"/>
      <c r="HG246" s="116"/>
      <c r="HH246" s="116"/>
      <c r="HI246" s="116"/>
      <c r="HJ246" s="116"/>
      <c r="HK246" s="116"/>
      <c r="HL246" s="116"/>
      <c r="HM246" s="116"/>
      <c r="HN246" s="116"/>
      <c r="HO246" s="116"/>
      <c r="HP246" s="116"/>
      <c r="HQ246" s="116"/>
      <c r="HR246" s="116"/>
      <c r="HS246" s="116"/>
      <c r="HT246" s="116"/>
      <c r="HU246" s="116"/>
      <c r="HV246" s="116"/>
      <c r="HW246" s="116"/>
      <c r="HX246" s="116"/>
      <c r="HY246" s="116"/>
      <c r="HZ246" s="116"/>
      <c r="IA246" s="116"/>
      <c r="IB246" s="116"/>
      <c r="IC246" s="116"/>
      <c r="ID246" s="116"/>
      <c r="IE246" s="116"/>
      <c r="IF246" s="116"/>
      <c r="IG246" s="116"/>
      <c r="IH246" s="116"/>
      <c r="II246" s="116"/>
      <c r="IJ246" s="116"/>
      <c r="IK246" s="116"/>
      <c r="IL246" s="116"/>
      <c r="IM246" s="116"/>
      <c r="IN246" s="116"/>
      <c r="IO246" s="116"/>
      <c r="IP246" s="116"/>
      <c r="IQ246" s="116"/>
      <c r="IR246" s="116"/>
      <c r="IS246" s="116"/>
      <c r="IT246" s="116"/>
      <c r="IU246" s="116"/>
      <c r="IV246" s="116"/>
      <c r="IW246" s="116"/>
      <c r="IX246" s="116"/>
      <c r="IY246" s="116"/>
      <c r="IZ246" s="116"/>
      <c r="JA246" s="116"/>
      <c r="JB246" s="116"/>
      <c r="JC246" s="116"/>
      <c r="JD246" s="116"/>
      <c r="JE246" s="116"/>
      <c r="JF246" s="116"/>
      <c r="JG246" s="116"/>
      <c r="JH246" s="116"/>
      <c r="JI246" s="116"/>
      <c r="JJ246" s="116"/>
      <c r="JK246" s="116"/>
      <c r="JL246" s="116"/>
      <c r="JM246" s="116"/>
      <c r="JN246" s="116"/>
      <c r="JO246" s="116"/>
      <c r="JP246" s="116"/>
      <c r="JQ246" s="116"/>
      <c r="JR246" s="116"/>
      <c r="JS246" s="116"/>
      <c r="JT246" s="116"/>
      <c r="JU246" s="116"/>
      <c r="JV246" s="116"/>
      <c r="JW246" s="116"/>
      <c r="JX246" s="116"/>
      <c r="JY246" s="116"/>
      <c r="JZ246" s="116"/>
      <c r="KA246" s="116"/>
      <c r="KB246" s="116"/>
      <c r="KC246" s="116"/>
      <c r="KD246" s="116"/>
      <c r="KE246" s="116"/>
      <c r="KF246" s="116"/>
      <c r="KG246" s="116"/>
      <c r="KH246" s="116"/>
      <c r="KI246" s="116"/>
      <c r="KJ246" s="116"/>
      <c r="KK246" s="116"/>
      <c r="KL246" s="116"/>
      <c r="KM246" s="116"/>
      <c r="KN246" s="116"/>
      <c r="KO246" s="116"/>
      <c r="KP246" s="116"/>
      <c r="KQ246" s="116"/>
      <c r="KR246" s="116"/>
      <c r="KS246" s="116"/>
      <c r="KT246" s="116"/>
      <c r="KU246" s="116"/>
      <c r="KV246" s="116"/>
      <c r="KW246" s="116"/>
      <c r="KX246" s="116"/>
      <c r="KY246" s="116"/>
      <c r="KZ246" s="116"/>
      <c r="LA246" s="116"/>
      <c r="LB246" s="116"/>
      <c r="LC246" s="116"/>
      <c r="LD246" s="116"/>
      <c r="LE246" s="116"/>
      <c r="LF246" s="116"/>
      <c r="LG246" s="116"/>
      <c r="LH246" s="116"/>
      <c r="LI246" s="116"/>
      <c r="LJ246" s="116"/>
      <c r="LK246" s="116"/>
      <c r="LL246" s="116"/>
      <c r="LM246" s="116"/>
      <c r="LN246" s="116"/>
      <c r="LO246" s="116"/>
      <c r="LP246" s="116"/>
      <c r="LQ246" s="116"/>
      <c r="LR246" s="116"/>
      <c r="LS246" s="116"/>
      <c r="LT246" s="116"/>
      <c r="LU246" s="116"/>
      <c r="LV246" s="116"/>
      <c r="LW246" s="116"/>
      <c r="LX246" s="116"/>
      <c r="LY246" s="116"/>
      <c r="LZ246" s="116"/>
      <c r="MA246" s="116"/>
      <c r="MB246" s="116"/>
      <c r="MC246" s="116"/>
      <c r="MD246" s="116"/>
      <c r="ME246" s="116"/>
      <c r="MF246" s="116"/>
      <c r="MG246" s="116"/>
      <c r="MH246" s="116"/>
      <c r="MI246" s="116"/>
      <c r="MJ246" s="116"/>
      <c r="MK246" s="116"/>
      <c r="ML246" s="116"/>
      <c r="MM246" s="116"/>
      <c r="MN246" s="116"/>
      <c r="MO246" s="116"/>
      <c r="MP246" s="116"/>
      <c r="MQ246" s="116"/>
      <c r="MR246" s="116"/>
      <c r="MS246" s="116"/>
      <c r="MT246" s="116"/>
      <c r="MU246" s="116"/>
      <c r="MV246" s="116"/>
      <c r="MW246" s="116"/>
      <c r="MX246" s="116"/>
      <c r="MY246" s="116"/>
      <c r="MZ246" s="116"/>
      <c r="NA246" s="116"/>
      <c r="NB246" s="116"/>
      <c r="NC246" s="116"/>
      <c r="ND246" s="116"/>
      <c r="NE246" s="116"/>
      <c r="NF246" s="116"/>
      <c r="NG246" s="116"/>
      <c r="NH246" s="116"/>
      <c r="NI246" s="116"/>
      <c r="NJ246" s="116"/>
      <c r="NK246" s="116"/>
      <c r="NL246" s="116"/>
      <c r="NM246" s="116"/>
      <c r="NN246" s="116"/>
      <c r="NO246" s="116"/>
      <c r="NP246" s="116"/>
      <c r="NQ246" s="116"/>
      <c r="NR246" s="116"/>
      <c r="NS246" s="116"/>
      <c r="NT246" s="116"/>
      <c r="NU246" s="116"/>
      <c r="NV246" s="116"/>
      <c r="NW246" s="116"/>
      <c r="NX246" s="116"/>
      <c r="NY246" s="116"/>
      <c r="NZ246" s="116"/>
      <c r="OA246" s="116"/>
      <c r="OB246" s="116"/>
      <c r="OC246" s="116"/>
      <c r="OD246" s="116"/>
      <c r="OE246" s="116"/>
      <c r="OF246" s="116"/>
      <c r="OG246" s="116"/>
      <c r="OH246" s="116"/>
      <c r="OI246" s="116"/>
      <c r="OJ246" s="116"/>
      <c r="OK246" s="116"/>
      <c r="OL246" s="116"/>
      <c r="OM246" s="116"/>
      <c r="ON246" s="116"/>
      <c r="OO246" s="116"/>
      <c r="OP246" s="116"/>
      <c r="OQ246" s="116"/>
      <c r="OR246" s="116"/>
      <c r="OS246" s="116"/>
      <c r="OT246" s="116"/>
      <c r="OU246" s="116"/>
      <c r="OV246" s="116"/>
      <c r="OW246" s="116"/>
      <c r="OX246" s="116"/>
      <c r="OY246" s="116"/>
      <c r="OZ246" s="116"/>
      <c r="PA246" s="116"/>
      <c r="PB246" s="116"/>
      <c r="PC246" s="116"/>
      <c r="PD246" s="116"/>
      <c r="PE246" s="116"/>
      <c r="PF246" s="116"/>
      <c r="PG246" s="116"/>
      <c r="PH246" s="116"/>
      <c r="PI246" s="116"/>
      <c r="PJ246" s="116"/>
      <c r="PK246" s="116"/>
      <c r="PL246" s="116"/>
      <c r="PM246" s="116"/>
      <c r="PN246" s="116"/>
      <c r="PO246" s="116"/>
      <c r="PP246" s="116"/>
      <c r="PQ246" s="116"/>
      <c r="PR246" s="116"/>
      <c r="PS246" s="116"/>
      <c r="PT246" s="116"/>
      <c r="PU246" s="116"/>
      <c r="PV246" s="116"/>
      <c r="PW246" s="116"/>
      <c r="PX246" s="116"/>
      <c r="PY246" s="116"/>
      <c r="PZ246" s="116"/>
      <c r="QA246" s="116"/>
      <c r="QB246" s="116"/>
      <c r="QC246" s="116"/>
      <c r="QD246" s="116"/>
      <c r="QE246" s="116"/>
      <c r="QF246" s="116"/>
      <c r="QG246" s="116"/>
      <c r="QH246" s="116"/>
      <c r="QI246" s="116"/>
      <c r="QJ246" s="116"/>
      <c r="QK246" s="116"/>
      <c r="QL246" s="116"/>
      <c r="QM246" s="116"/>
      <c r="QN246" s="116"/>
      <c r="QO246" s="116"/>
      <c r="QP246" s="116"/>
      <c r="QQ246" s="116"/>
      <c r="QR246" s="116"/>
      <c r="QS246" s="116"/>
      <c r="QT246" s="116"/>
      <c r="QU246" s="116"/>
      <c r="QV246" s="116"/>
      <c r="QW246" s="116"/>
      <c r="QX246" s="116"/>
      <c r="QY246" s="116"/>
      <c r="QZ246" s="116"/>
      <c r="RA246" s="116"/>
      <c r="RB246" s="116"/>
      <c r="RC246" s="116"/>
      <c r="RD246" s="116"/>
      <c r="RE246" s="116"/>
      <c r="RF246" s="116"/>
      <c r="RG246" s="116"/>
      <c r="RH246" s="116"/>
    </row>
    <row r="247" spans="1:476" s="21" customFormat="1" ht="13.2" x14ac:dyDescent="0.25">
      <c r="A247" s="103" t="s">
        <v>248</v>
      </c>
      <c r="B247" s="20" t="s">
        <v>250</v>
      </c>
      <c r="C247" s="20" t="s">
        <v>73</v>
      </c>
      <c r="D247" s="104" t="s">
        <v>240</v>
      </c>
      <c r="E247" s="15">
        <v>10124</v>
      </c>
      <c r="F247" s="15">
        <v>5400</v>
      </c>
      <c r="G247" s="20" t="s">
        <v>142</v>
      </c>
      <c r="H247" s="20">
        <v>0.69</v>
      </c>
      <c r="I247" s="68">
        <f>MAX('Max rate concentrations'!$H$3:$H$368)</f>
        <v>282</v>
      </c>
      <c r="J247" s="68">
        <f>MAX('Max rate concentrations'!AA:AA)</f>
        <v>195</v>
      </c>
      <c r="K247" s="69">
        <f t="shared" si="17"/>
        <v>32.217205247366515</v>
      </c>
      <c r="L247" s="69">
        <f t="shared" si="20"/>
        <v>22.277854692327907</v>
      </c>
      <c r="M247" s="69">
        <f>IF((((1.18*F247^0.874)/3.7-(0.301*F247^0.751)/(1-H247)*H247)*(MAX('Max rate concentrations'!$P$3:$P$368)))/F247&gt;0, (((1.18*F247^0.874)/3.7-(0.301*F247^0.751)/(1-H247)*H247)*(MAX('Max rate concentrations'!$P$3:$P$368)))/F247, 0)</f>
        <v>2.5398957379465095E-2</v>
      </c>
      <c r="N247" s="69">
        <f>IF((((1.18*F247^0.874)/3.7-(0.301*F247^0.751)/(1-H247)*H247)*(MAX('Max rate concentrations'!$Q$3:$Q$368)))/F247&gt;0, (((1.18*F247^0.874)/3.7-(0.301*F247^0.751)/(1-H247)*H247)*(MAX('Max rate concentrations'!$Q$3:$Q$368)))/F247, 0)</f>
        <v>9.6720594429783577E-2</v>
      </c>
      <c r="O247" s="69">
        <f>((MAX('Max rate concentrations'!$F$3:$F$368))*0.62*6.01*8*(10*F247^0.667)*0.079*0.1/F247)*inputs!$E$80/(10^(0.84+0.62*LOG10(inputs!$E$80)))</f>
        <v>8.3920160106750359</v>
      </c>
      <c r="P247" s="69">
        <f>((MAX('Max rate concentrations'!Y:Y))*0.62*6.01*8*(10*F247^0.667)*0.079*0.1/F247)*inputs!$E$80/(10^(0.84+0.62*LOG10(inputs!$E$80)))</f>
        <v>2.7973386702250127</v>
      </c>
      <c r="Q247" s="69">
        <f>(inputs!$C$18*11.2*(10*F247^0.667)*0.5/F247)*inputs!$E$80/(10^(0.84+0.62*LOG10(inputs!$E$80)))</f>
        <v>1.4782140386815861</v>
      </c>
      <c r="R247" s="59">
        <f>(60*284*((F247/1000)^0.77)*3*24*(MAX('Max rate concentrations'!$R$3:$R$368))/F247)*(inputs!$E$73*3.4/inputs!$E$75)</f>
        <v>1.9082540405563651E-2</v>
      </c>
      <c r="S247" s="59">
        <f>(IF(inputs!$C$17="aerial",((0.025*0.112*inputs!$C$18/3.3)*(3*60*284*((F247/1000)^0.77))*MAX(inputs!$I$14:$I$16))/F247,((0.0083*0.112*inputs!$C$18/1)*(3*60*284*((F247/1000)^0.77))*MAX(inputs!$I$14:$I$16))/F247))*(inputs!E$75*3.4/inputs!$E$73)</f>
        <v>0.10524138273570169</v>
      </c>
      <c r="T247" s="63">
        <f>IF((((inputs!$P$13/(V247/MAX(K247:S247)))^(1/inputs!$O$13))-1)/inputs!$N$13&lt;0, 0, IF((((inputs!$P$13/(V247/MAX(K247:S247)))^(1/inputs!$O$13))-1)/inputs!$N$13&lt;inputs!$I$17, (((inputs!$P$13/(V247/MAX(K247:S247)))^(1/inputs!$O$13))-1)/inputs!$N$13, inputs!$I$17))</f>
        <v>1000</v>
      </c>
      <c r="U247" s="63">
        <f>IF((((inputs!$P$13/(X247/MAX(K247:S247)))^(1/inputs!$O$13))-1)/inputs!$N$13&lt;0, 0, IF((((inputs!$P$13/(X247/MAX(K247:S247)))^(1/inputs!$O$13))-1)/inputs!$N$13&lt;inputs!$I$17, (((inputs!$P$13/(X247/MAX(K247:S247)))^(1/inputs!$O$13))-1)/inputs!$N$13, inputs!$I$17))</f>
        <v>109.13104683936109</v>
      </c>
      <c r="V247" s="21">
        <f>inputs!$E$78*(F247/inputs!$F$78)^(inputs!$E$84-1)</f>
        <v>4.3427808073074944E-3</v>
      </c>
      <c r="W247" s="21">
        <f>inputs!$E$85*(F247/inputs!$F$85)^(inputs!$E$84-1)</f>
        <v>0.20054161757711042</v>
      </c>
      <c r="X247" s="21">
        <f>inputs!$E$80*(F247/inputs!$F$80)^(inputs!$E$84-1)</f>
        <v>0.74885793905376674</v>
      </c>
      <c r="Y247" s="21">
        <f>inputs!$E$82*(F247/inputs!$F$82)^(inputs!$E$84-1)</f>
        <v>0.34513679047549034</v>
      </c>
      <c r="Z247" s="63">
        <f t="shared" si="18"/>
        <v>7418.5658168967193</v>
      </c>
      <c r="AA247" s="63">
        <f t="shared" si="19"/>
        <v>160.65096929308777</v>
      </c>
      <c r="AB247" s="117"/>
    </row>
    <row r="248" spans="1:476" s="21" customFormat="1" ht="13.2" x14ac:dyDescent="0.25">
      <c r="A248" s="103" t="s">
        <v>248</v>
      </c>
      <c r="B248" s="20" t="s">
        <v>250</v>
      </c>
      <c r="C248" s="20" t="s">
        <v>73</v>
      </c>
      <c r="D248" s="104" t="s">
        <v>240</v>
      </c>
      <c r="E248" s="15">
        <v>10124</v>
      </c>
      <c r="F248" s="15">
        <v>5400</v>
      </c>
      <c r="G248" s="20" t="s">
        <v>164</v>
      </c>
      <c r="H248" s="20">
        <v>0.78</v>
      </c>
      <c r="I248" s="68">
        <f>inputs!$C$66*(inputs!$C$62/1000)</f>
        <v>8.2000000000000011</v>
      </c>
      <c r="J248" s="68">
        <f>inputs!$C$66*(inputs!$C$61/1000)</f>
        <v>2.5</v>
      </c>
      <c r="K248" s="69">
        <f t="shared" si="17"/>
        <v>1.3200537675500599</v>
      </c>
      <c r="L248" s="69">
        <f t="shared" si="20"/>
        <v>0.40245541693599385</v>
      </c>
      <c r="M248" s="69">
        <f>IF((((1.18*F248^0.874)/3.7-(0.301*F248^0.751)/(1-H248)*H248)*(MAX('Max rate concentrations'!$P$3:$P$368)))/F248&gt;0, (((1.18*F248^0.874)/3.7-(0.301*F248^0.751)/(1-H248)*H248)*(MAX('Max rate concentrations'!$P$3:$P$368)))/F248, 0)</f>
        <v>0</v>
      </c>
      <c r="N248" s="69">
        <f>IF((((1.18*F248^0.874)/3.7-(0.301*F248^0.751)/(1-H248)*H248)*(MAX('Max rate concentrations'!$Q$3:$Q$368)))/F248&gt;0, (((1.18*F248^0.874)/3.7-(0.301*F248^0.751)/(1-H248)*H248)*(MAX('Max rate concentrations'!$Q$3:$Q$368)))/F248, 0)</f>
        <v>0</v>
      </c>
      <c r="O248" s="69">
        <f>((MAX('Max rate concentrations'!$F$3:$F$368))*0.62*6.01*8*(10*F248^0.667)*0.079*0.1/F248)*inputs!$E$80/(10^(0.84+0.62*LOG10(inputs!$E$80)))</f>
        <v>8.3920160106750359</v>
      </c>
      <c r="P248" s="69">
        <f>((MAX('Max rate concentrations'!Y:Y))*0.62*6.01*8*(10*F248^0.667)*0.079*0.1/F248)*inputs!$E$80/(10^(0.84+0.62*LOG10(inputs!$E$80)))</f>
        <v>2.7973386702250127</v>
      </c>
      <c r="Q248" s="69">
        <f>(inputs!$C$18*11.2*(10*F248^0.667)*0.5/F248)*inputs!$E$80/(10^(0.84+0.62*LOG10(inputs!$E$80)))</f>
        <v>1.4782140386815861</v>
      </c>
      <c r="R248" s="59">
        <f>(60*284*((F248/1000)^0.77)*3*24*(MAX('Max rate concentrations'!$R$3:$R$368))/F248)*(inputs!$E$73*3.4/inputs!$E$75)</f>
        <v>1.9082540405563651E-2</v>
      </c>
      <c r="S248" s="59">
        <f>(IF(inputs!$C$17="aerial",((0.025*0.112*inputs!$C$18/3.3)*(3*60*284*((F248/1000)^0.77))*MAX(inputs!$I$14:$I$16))/F248,((0.0083*0.112*inputs!$C$18/1)*(3*60*284*((F248/1000)^0.77))*MAX(inputs!$I$14:$I$16))/F248))*(inputs!E$75*3.4/inputs!$E$73)</f>
        <v>0.10524138273570169</v>
      </c>
      <c r="T248" s="63">
        <f>IF((((inputs!$P$13/(V248/MAX(K248:S248)))^(1/inputs!$O$13))-1)/inputs!$N$13&lt;0, 0, IF((((inputs!$P$13/(V248/MAX(K248:S248)))^(1/inputs!$O$13))-1)/inputs!$N$13&lt;inputs!$I$17, (((inputs!$P$13/(V248/MAX(K248:S248)))^(1/inputs!$O$13))-1)/inputs!$N$13, inputs!$I$17))</f>
        <v>1000</v>
      </c>
      <c r="U248" s="63">
        <f>IF((((inputs!$P$13/(X248/MAX(K248:S248)))^(1/inputs!$O$13))-1)/inputs!$N$13&lt;0, 0, IF((((inputs!$P$13/(X248/MAX(K248:S248)))^(1/inputs!$O$13))-1)/inputs!$N$13&lt;inputs!$I$17, (((inputs!$P$13/(X248/MAX(K248:S248)))^(1/inputs!$O$13))-1)/inputs!$N$13, inputs!$I$17))</f>
        <v>33.305037901220594</v>
      </c>
      <c r="V248" s="21">
        <f>inputs!$E$78*(F248/inputs!$F$78)^(inputs!$E$84-1)</f>
        <v>4.3427808073074944E-3</v>
      </c>
      <c r="W248" s="21">
        <f>inputs!$E$85*(F248/inputs!$F$85)^(inputs!$E$84-1)</f>
        <v>0.20054161757711042</v>
      </c>
      <c r="X248" s="21">
        <f>inputs!$E$80*(F248/inputs!$F$80)^(inputs!$E$84-1)</f>
        <v>0.74885793905376674</v>
      </c>
      <c r="Y248" s="21">
        <f>inputs!$E$82*(F248/inputs!$F$82)^(inputs!$E$84-1)</f>
        <v>0.34513679047549034</v>
      </c>
      <c r="Z248" s="63">
        <f t="shared" si="18"/>
        <v>1932.4060741343403</v>
      </c>
      <c r="AA248" s="63">
        <f t="shared" si="19"/>
        <v>41.846755362129336</v>
      </c>
      <c r="AB248" s="107"/>
      <c r="AC248" s="107"/>
      <c r="AD248" s="107"/>
      <c r="AE248" s="107"/>
      <c r="AF248" s="107"/>
      <c r="AG248" s="107"/>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c r="FB248" s="107"/>
      <c r="FC248" s="107"/>
      <c r="FD248" s="107"/>
      <c r="FE248" s="107"/>
      <c r="FF248" s="107"/>
      <c r="FG248" s="107"/>
      <c r="FH248" s="107"/>
      <c r="FI248" s="107"/>
      <c r="FJ248" s="107"/>
      <c r="FK248" s="107"/>
      <c r="FL248" s="107"/>
      <c r="FM248" s="107"/>
      <c r="FN248" s="107"/>
      <c r="FO248" s="107"/>
      <c r="FP248" s="107"/>
      <c r="FQ248" s="107"/>
      <c r="FR248" s="107"/>
      <c r="FS248" s="107"/>
      <c r="FT248" s="107"/>
      <c r="FU248" s="107"/>
      <c r="FV248" s="107"/>
      <c r="FW248" s="107"/>
      <c r="FX248" s="107"/>
      <c r="FY248" s="107"/>
      <c r="FZ248" s="107"/>
      <c r="GA248" s="107"/>
      <c r="GB248" s="107"/>
      <c r="GC248" s="107"/>
      <c r="GD248" s="107"/>
      <c r="GE248" s="107"/>
      <c r="GF248" s="107"/>
      <c r="GG248" s="107"/>
      <c r="GH248" s="107"/>
      <c r="GI248" s="107"/>
      <c r="GJ248" s="107"/>
      <c r="GK248" s="107"/>
      <c r="GL248" s="107"/>
      <c r="GM248" s="107"/>
      <c r="GN248" s="107"/>
      <c r="GO248" s="107"/>
      <c r="GP248" s="107"/>
      <c r="GQ248" s="107"/>
      <c r="GR248" s="107"/>
      <c r="GS248" s="107"/>
      <c r="GT248" s="107"/>
      <c r="GU248" s="107"/>
      <c r="GV248" s="107"/>
      <c r="GW248" s="107"/>
      <c r="GX248" s="107"/>
      <c r="GY248" s="107"/>
      <c r="GZ248" s="107"/>
      <c r="HA248" s="107"/>
      <c r="HB248" s="107"/>
      <c r="HC248" s="107"/>
      <c r="HD248" s="107"/>
      <c r="HE248" s="107"/>
      <c r="HF248" s="107"/>
      <c r="HG248" s="107"/>
      <c r="HH248" s="107"/>
      <c r="HI248" s="107"/>
      <c r="HJ248" s="107"/>
      <c r="HK248" s="107"/>
      <c r="HL248" s="107"/>
      <c r="HM248" s="107"/>
      <c r="HN248" s="107"/>
      <c r="HO248" s="107"/>
      <c r="HP248" s="107"/>
      <c r="HQ248" s="107"/>
      <c r="HR248" s="107"/>
      <c r="HS248" s="107"/>
      <c r="HT248" s="107"/>
      <c r="HU248" s="107"/>
      <c r="HV248" s="107"/>
      <c r="HW248" s="107"/>
      <c r="HX248" s="107"/>
      <c r="HY248" s="107"/>
      <c r="HZ248" s="107"/>
      <c r="IA248" s="107"/>
      <c r="IB248" s="107"/>
      <c r="IC248" s="107"/>
      <c r="ID248" s="107"/>
      <c r="IE248" s="107"/>
      <c r="IF248" s="107"/>
      <c r="IG248" s="107"/>
      <c r="IH248" s="107"/>
      <c r="II248" s="107"/>
      <c r="IJ248" s="107"/>
      <c r="IK248" s="107"/>
      <c r="IL248" s="107"/>
      <c r="IM248" s="107"/>
      <c r="IN248" s="107"/>
      <c r="IO248" s="107"/>
      <c r="IP248" s="107"/>
      <c r="IQ248" s="107"/>
      <c r="IR248" s="107"/>
      <c r="IS248" s="107"/>
      <c r="IT248" s="107"/>
      <c r="IU248" s="107"/>
      <c r="IV248" s="107"/>
      <c r="IW248" s="107"/>
      <c r="IX248" s="107"/>
      <c r="IY248" s="107"/>
      <c r="IZ248" s="107"/>
      <c r="JA248" s="107"/>
      <c r="JB248" s="107"/>
      <c r="JC248" s="107"/>
      <c r="JD248" s="107"/>
      <c r="JE248" s="107"/>
      <c r="JF248" s="107"/>
      <c r="JG248" s="107"/>
      <c r="JH248" s="107"/>
      <c r="JI248" s="107"/>
      <c r="JJ248" s="107"/>
      <c r="JK248" s="107"/>
      <c r="JL248" s="107"/>
      <c r="JM248" s="107"/>
      <c r="JN248" s="107"/>
      <c r="JO248" s="107"/>
      <c r="JP248" s="107"/>
      <c r="JQ248" s="107"/>
      <c r="JR248" s="107"/>
      <c r="JS248" s="107"/>
      <c r="JT248" s="107"/>
      <c r="JU248" s="107"/>
      <c r="JV248" s="107"/>
      <c r="JW248" s="107"/>
      <c r="JX248" s="107"/>
      <c r="JY248" s="107"/>
      <c r="JZ248" s="107"/>
      <c r="KA248" s="107"/>
      <c r="KB248" s="107"/>
      <c r="KC248" s="107"/>
      <c r="KD248" s="107"/>
      <c r="KE248" s="107"/>
      <c r="KF248" s="107"/>
      <c r="KG248" s="107"/>
      <c r="KH248" s="107"/>
      <c r="KI248" s="107"/>
      <c r="KJ248" s="107"/>
      <c r="KK248" s="107"/>
      <c r="KL248" s="107"/>
      <c r="KM248" s="107"/>
      <c r="KN248" s="107"/>
      <c r="KO248" s="107"/>
      <c r="KP248" s="107"/>
      <c r="KQ248" s="107"/>
      <c r="KR248" s="107"/>
      <c r="KS248" s="107"/>
      <c r="KT248" s="107"/>
      <c r="KU248" s="107"/>
      <c r="KV248" s="107"/>
      <c r="KW248" s="107"/>
      <c r="KX248" s="107"/>
      <c r="KY248" s="107"/>
      <c r="KZ248" s="107"/>
      <c r="LA248" s="107"/>
      <c r="LB248" s="107"/>
      <c r="LC248" s="107"/>
      <c r="LD248" s="107"/>
      <c r="LE248" s="107"/>
      <c r="LF248" s="107"/>
      <c r="LG248" s="107"/>
      <c r="LH248" s="107"/>
      <c r="LI248" s="107"/>
      <c r="LJ248" s="107"/>
      <c r="LK248" s="107"/>
      <c r="LL248" s="107"/>
      <c r="LM248" s="107"/>
      <c r="LN248" s="107"/>
      <c r="LO248" s="107"/>
      <c r="LP248" s="107"/>
      <c r="LQ248" s="107"/>
      <c r="LR248" s="107"/>
      <c r="LS248" s="107"/>
      <c r="LT248" s="107"/>
      <c r="LU248" s="107"/>
      <c r="LV248" s="107"/>
      <c r="LW248" s="107"/>
      <c r="LX248" s="107"/>
      <c r="LY248" s="107"/>
      <c r="LZ248" s="107"/>
      <c r="MA248" s="107"/>
      <c r="MB248" s="107"/>
      <c r="MC248" s="107"/>
      <c r="MD248" s="107"/>
      <c r="ME248" s="107"/>
      <c r="MF248" s="107"/>
      <c r="MG248" s="107"/>
      <c r="MH248" s="107"/>
      <c r="MI248" s="107"/>
      <c r="MJ248" s="107"/>
      <c r="MK248" s="107"/>
      <c r="ML248" s="107"/>
      <c r="MM248" s="107"/>
      <c r="MN248" s="107"/>
      <c r="MO248" s="107"/>
      <c r="MP248" s="107"/>
      <c r="MQ248" s="107"/>
      <c r="MR248" s="107"/>
      <c r="MS248" s="107"/>
      <c r="MT248" s="107"/>
      <c r="MU248" s="107"/>
      <c r="MV248" s="107"/>
      <c r="MW248" s="107"/>
      <c r="MX248" s="107"/>
      <c r="MY248" s="107"/>
      <c r="MZ248" s="107"/>
      <c r="NA248" s="107"/>
      <c r="NB248" s="107"/>
      <c r="NC248" s="107"/>
      <c r="ND248" s="107"/>
      <c r="NE248" s="107"/>
      <c r="NF248" s="107"/>
      <c r="NG248" s="107"/>
      <c r="NH248" s="107"/>
      <c r="NI248" s="107"/>
      <c r="NJ248" s="107"/>
      <c r="NK248" s="107"/>
      <c r="NL248" s="107"/>
      <c r="NM248" s="107"/>
      <c r="NN248" s="107"/>
      <c r="NO248" s="107"/>
      <c r="NP248" s="107"/>
      <c r="NQ248" s="107"/>
      <c r="NR248" s="107"/>
      <c r="NS248" s="107"/>
      <c r="NT248" s="107"/>
      <c r="NU248" s="107"/>
      <c r="NV248" s="107"/>
      <c r="NW248" s="107"/>
      <c r="NX248" s="107"/>
      <c r="NY248" s="107"/>
      <c r="NZ248" s="107"/>
      <c r="OA248" s="107"/>
      <c r="OB248" s="107"/>
      <c r="OC248" s="107"/>
      <c r="OD248" s="107"/>
      <c r="OE248" s="107"/>
      <c r="OF248" s="107"/>
      <c r="OG248" s="107"/>
      <c r="OH248" s="107"/>
      <c r="OI248" s="107"/>
      <c r="OJ248" s="107"/>
      <c r="OK248" s="107"/>
      <c r="OL248" s="107"/>
      <c r="OM248" s="107"/>
      <c r="ON248" s="107"/>
      <c r="OO248" s="107"/>
      <c r="OP248" s="107"/>
      <c r="OQ248" s="107"/>
      <c r="OR248" s="107"/>
      <c r="OS248" s="107"/>
      <c r="OT248" s="107"/>
      <c r="OU248" s="107"/>
      <c r="OV248" s="107"/>
      <c r="OW248" s="107"/>
      <c r="OX248" s="107"/>
      <c r="OY248" s="107"/>
      <c r="OZ248" s="107"/>
      <c r="PA248" s="107"/>
      <c r="PB248" s="107"/>
      <c r="PC248" s="107"/>
      <c r="PD248" s="107"/>
      <c r="PE248" s="107"/>
      <c r="PF248" s="107"/>
      <c r="PG248" s="107"/>
      <c r="PH248" s="107"/>
      <c r="PI248" s="107"/>
      <c r="PJ248" s="107"/>
      <c r="PK248" s="107"/>
      <c r="PL248" s="107"/>
      <c r="PM248" s="107"/>
      <c r="PN248" s="107"/>
      <c r="PO248" s="107"/>
      <c r="PP248" s="107"/>
      <c r="PQ248" s="107"/>
      <c r="PR248" s="107"/>
      <c r="PS248" s="107"/>
      <c r="PT248" s="107"/>
      <c r="PU248" s="107"/>
      <c r="PV248" s="107"/>
      <c r="PW248" s="107"/>
      <c r="PX248" s="107"/>
      <c r="PY248" s="107"/>
      <c r="PZ248" s="107"/>
      <c r="QA248" s="107"/>
      <c r="QB248" s="107"/>
      <c r="QC248" s="107"/>
      <c r="QD248" s="107"/>
      <c r="QE248" s="107"/>
      <c r="QF248" s="107"/>
      <c r="QG248" s="107"/>
      <c r="QH248" s="107"/>
      <c r="QI248" s="107"/>
      <c r="QJ248" s="107"/>
      <c r="QK248" s="107"/>
      <c r="QL248" s="107"/>
      <c r="QM248" s="107"/>
      <c r="QN248" s="107"/>
      <c r="QO248" s="107"/>
      <c r="QP248" s="107"/>
      <c r="QQ248" s="107"/>
      <c r="QR248" s="107"/>
      <c r="QS248" s="107"/>
      <c r="QT248" s="107"/>
      <c r="QU248" s="107"/>
      <c r="QV248" s="107"/>
      <c r="QW248" s="107"/>
      <c r="QX248" s="107"/>
      <c r="QY248" s="107"/>
      <c r="QZ248" s="107"/>
      <c r="RA248" s="107"/>
      <c r="RB248" s="107"/>
      <c r="RC248" s="107"/>
      <c r="RD248" s="107"/>
      <c r="RE248" s="107"/>
      <c r="RF248" s="107"/>
      <c r="RG248" s="107"/>
      <c r="RH248" s="107"/>
    </row>
    <row r="249" spans="1:476" s="21" customFormat="1" ht="13.2" x14ac:dyDescent="0.25">
      <c r="A249" s="103" t="s">
        <v>248</v>
      </c>
      <c r="B249" s="20" t="s">
        <v>250</v>
      </c>
      <c r="C249" s="20" t="s">
        <v>73</v>
      </c>
      <c r="D249" s="104" t="s">
        <v>240</v>
      </c>
      <c r="E249" s="15">
        <v>10124</v>
      </c>
      <c r="F249" s="15">
        <v>5400</v>
      </c>
      <c r="G249" s="20" t="s">
        <v>138</v>
      </c>
      <c r="H249" s="20">
        <v>0.68</v>
      </c>
      <c r="I249" s="68">
        <f>MAX('Max rate concentrations'!$L$3:$L$368)</f>
        <v>350.52744091332482</v>
      </c>
      <c r="J249" s="68">
        <f>MAX('Max rate concentrations'!AD:AD)</f>
        <v>242.38599637623525</v>
      </c>
      <c r="K249" s="69">
        <f t="shared" si="17"/>
        <v>38.794708529576745</v>
      </c>
      <c r="L249" s="69">
        <f t="shared" si="20"/>
        <v>26.826128238537112</v>
      </c>
      <c r="M249" s="69">
        <f>IF((((1.18*F249^0.874)/3.7-(0.301*F249^0.751)/(1-H249)*H249)*(MAX('Max rate concentrations'!$P$3:$P$368)))/F249&gt;0, (((1.18*F249^0.874)/3.7-(0.301*F249^0.751)/(1-H249)*H249)*(MAX('Max rate concentrations'!$P$3:$P$368)))/F249, 0)</f>
        <v>2.8508175400788503E-2</v>
      </c>
      <c r="N249" s="69">
        <f>IF((((1.18*F249^0.874)/3.7-(0.301*F249^0.751)/(1-H249)*H249)*(MAX('Max rate concentrations'!$Q$3:$Q$368)))/F249&gt;0, (((1.18*F249^0.874)/3.7-(0.301*F249^0.751)/(1-H249)*H249)*(MAX('Max rate concentrations'!$Q$3:$Q$368)))/F249, 0)</f>
        <v>0.10856066371850683</v>
      </c>
      <c r="O249" s="69">
        <f>((MAX('Max rate concentrations'!$F$3:$F$368))*0.62*6.01*8*(10*F249^0.667)*0.079*0.1/F249)*inputs!$E$80/(10^(0.84+0.62*LOG10(inputs!$E$80)))</f>
        <v>8.3920160106750359</v>
      </c>
      <c r="P249" s="69">
        <f>((MAX('Max rate concentrations'!Y:Y))*0.62*6.01*8*(10*F249^0.667)*0.079*0.1/F249)*inputs!$E$80/(10^(0.84+0.62*LOG10(inputs!$E$80)))</f>
        <v>2.7973386702250127</v>
      </c>
      <c r="Q249" s="69">
        <f>(inputs!$C$18*11.2*(10*F249^0.667)*0.5/F249)*inputs!$E$80/(10^(0.84+0.62*LOG10(inputs!$E$80)))</f>
        <v>1.4782140386815861</v>
      </c>
      <c r="R249" s="59">
        <f>(60*284*((F249/1000)^0.77)*3*24*(MAX('Max rate concentrations'!$R$3:$R$368))/F249)*(inputs!$E$73*3.4/inputs!$E$75)</f>
        <v>1.9082540405563651E-2</v>
      </c>
      <c r="S249" s="59">
        <f>(IF(inputs!$C$17="aerial",((0.025*0.112*inputs!$C$18/3.3)*(3*60*284*((F249/1000)^0.77))*MAX(inputs!$I$14:$I$16))/F249,((0.0083*0.112*inputs!$C$18/1)*(3*60*284*((F249/1000)^0.77))*MAX(inputs!$I$14:$I$16))/F249))*(inputs!E$75*3.4/inputs!$E$73)</f>
        <v>0.10524138273570169</v>
      </c>
      <c r="T249" s="63">
        <f>IF((((inputs!$P$13/(V249/MAX(K249:S249)))^(1/inputs!$O$13))-1)/inputs!$N$13&lt;0, 0, IF((((inputs!$P$13/(V249/MAX(K249:S249)))^(1/inputs!$O$13))-1)/inputs!$N$13&lt;inputs!$I$17, (((inputs!$P$13/(V249/MAX(K249:S249)))^(1/inputs!$O$13))-1)/inputs!$N$13, inputs!$I$17))</f>
        <v>1000</v>
      </c>
      <c r="U249" s="63">
        <f>IF((((inputs!$P$13/(X249/MAX(K249:S249)))^(1/inputs!$O$13))-1)/inputs!$N$13&lt;0, 0, IF((((inputs!$P$13/(X249/MAX(K249:S249)))^(1/inputs!$O$13))-1)/inputs!$N$13&lt;inputs!$I$17, (((inputs!$P$13/(X249/MAX(K249:S249)))^(1/inputs!$O$13))-1)/inputs!$N$13, inputs!$I$17))</f>
        <v>127.66966717789317</v>
      </c>
      <c r="V249" s="21">
        <f>inputs!$E$78*(F249/inputs!$F$78)^(inputs!$E$84-1)</f>
        <v>4.3427808073074944E-3</v>
      </c>
      <c r="W249" s="21">
        <f>inputs!$E$85*(F249/inputs!$F$85)^(inputs!$E$84-1)</f>
        <v>0.20054161757711042</v>
      </c>
      <c r="X249" s="21">
        <f>inputs!$E$80*(F249/inputs!$F$80)^(inputs!$E$84-1)</f>
        <v>0.74885793905376674</v>
      </c>
      <c r="Y249" s="21">
        <f>inputs!$E$82*(F249/inputs!$F$82)^(inputs!$E$84-1)</f>
        <v>0.34513679047549034</v>
      </c>
      <c r="Z249" s="63">
        <f t="shared" si="18"/>
        <v>8933.1491159530342</v>
      </c>
      <c r="AA249" s="63">
        <f t="shared" si="19"/>
        <v>193.44966395645912</v>
      </c>
      <c r="AB249" s="115"/>
      <c r="AC249" s="116"/>
      <c r="AD249" s="116"/>
      <c r="AE249" s="116"/>
      <c r="AF249" s="116"/>
      <c r="AG249" s="116"/>
      <c r="AH249" s="116"/>
      <c r="AI249" s="116"/>
      <c r="AJ249" s="116"/>
      <c r="AK249" s="116"/>
      <c r="AL249" s="116"/>
      <c r="AM249" s="116"/>
      <c r="AN249" s="116"/>
      <c r="AO249" s="116"/>
      <c r="AP249" s="116"/>
      <c r="AQ249" s="116"/>
      <c r="AR249" s="116"/>
      <c r="AS249" s="116"/>
      <c r="AT249" s="116"/>
      <c r="AU249" s="116"/>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116"/>
      <c r="CD249" s="116"/>
      <c r="CE249" s="116"/>
      <c r="CF249" s="116"/>
      <c r="CG249" s="116"/>
      <c r="CH249" s="116"/>
      <c r="CI249" s="116"/>
      <c r="CJ249" s="116"/>
      <c r="CK249" s="116"/>
      <c r="CL249" s="116"/>
      <c r="CM249" s="116"/>
      <c r="CN249" s="116"/>
      <c r="CO249" s="116"/>
      <c r="CP249" s="116"/>
      <c r="CQ249" s="116"/>
      <c r="CR249" s="116"/>
      <c r="CS249" s="116"/>
      <c r="CT249" s="116"/>
      <c r="CU249" s="116"/>
      <c r="CV249" s="116"/>
      <c r="CW249" s="116"/>
      <c r="CX249" s="116"/>
      <c r="CY249" s="116"/>
      <c r="CZ249" s="116"/>
      <c r="DA249" s="116"/>
      <c r="DB249" s="116"/>
      <c r="DC249" s="116"/>
      <c r="DD249" s="116"/>
      <c r="DE249" s="116"/>
      <c r="DF249" s="116"/>
      <c r="DG249" s="116"/>
      <c r="DH249" s="116"/>
      <c r="DI249" s="116"/>
      <c r="DJ249" s="116"/>
      <c r="DK249" s="116"/>
      <c r="DL249" s="116"/>
      <c r="DM249" s="116"/>
      <c r="DN249" s="116"/>
      <c r="DO249" s="116"/>
      <c r="DP249" s="116"/>
      <c r="DQ249" s="116"/>
      <c r="DR249" s="116"/>
      <c r="DS249" s="116"/>
      <c r="DT249" s="116"/>
      <c r="DU249" s="116"/>
      <c r="DV249" s="116"/>
      <c r="DW249" s="116"/>
      <c r="DX249" s="116"/>
      <c r="DY249" s="116"/>
      <c r="DZ249" s="116"/>
      <c r="EA249" s="116"/>
      <c r="EB249" s="116"/>
      <c r="EC249" s="116"/>
      <c r="ED249" s="116"/>
      <c r="EE249" s="116"/>
      <c r="EF249" s="116"/>
      <c r="EG249" s="116"/>
      <c r="EH249" s="116"/>
      <c r="EI249" s="116"/>
      <c r="EJ249" s="116"/>
      <c r="EK249" s="116"/>
      <c r="EL249" s="116"/>
      <c r="EM249" s="116"/>
      <c r="EN249" s="116"/>
      <c r="EO249" s="116"/>
      <c r="EP249" s="116"/>
      <c r="EQ249" s="116"/>
      <c r="ER249" s="116"/>
      <c r="ES249" s="116"/>
      <c r="ET249" s="116"/>
      <c r="EU249" s="116"/>
      <c r="EV249" s="116"/>
      <c r="EW249" s="116"/>
      <c r="EX249" s="116"/>
      <c r="EY249" s="116"/>
      <c r="EZ249" s="116"/>
      <c r="FA249" s="116"/>
      <c r="FB249" s="116"/>
      <c r="FC249" s="116"/>
      <c r="FD249" s="116"/>
      <c r="FE249" s="116"/>
      <c r="FF249" s="116"/>
      <c r="FG249" s="116"/>
      <c r="FH249" s="116"/>
      <c r="FI249" s="116"/>
      <c r="FJ249" s="116"/>
      <c r="FK249" s="116"/>
      <c r="FL249" s="116"/>
      <c r="FM249" s="116"/>
      <c r="FN249" s="116"/>
      <c r="FO249" s="116"/>
      <c r="FP249" s="116"/>
      <c r="FQ249" s="116"/>
      <c r="FR249" s="116"/>
      <c r="FS249" s="116"/>
      <c r="FT249" s="116"/>
      <c r="FU249" s="116"/>
      <c r="FV249" s="116"/>
      <c r="FW249" s="116"/>
      <c r="FX249" s="116"/>
      <c r="FY249" s="116"/>
      <c r="FZ249" s="116"/>
      <c r="GA249" s="116"/>
      <c r="GB249" s="116"/>
      <c r="GC249" s="116"/>
      <c r="GD249" s="116"/>
      <c r="GE249" s="116"/>
      <c r="GF249" s="116"/>
      <c r="GG249" s="116"/>
      <c r="GH249" s="116"/>
      <c r="GI249" s="116"/>
      <c r="GJ249" s="116"/>
      <c r="GK249" s="116"/>
      <c r="GL249" s="116"/>
      <c r="GM249" s="116"/>
      <c r="GN249" s="116"/>
      <c r="GO249" s="116"/>
      <c r="GP249" s="116"/>
      <c r="GQ249" s="116"/>
      <c r="GR249" s="116"/>
      <c r="GS249" s="116"/>
      <c r="GT249" s="116"/>
      <c r="GU249" s="116"/>
      <c r="GV249" s="116"/>
      <c r="GW249" s="116"/>
      <c r="GX249" s="116"/>
      <c r="GY249" s="116"/>
      <c r="GZ249" s="116"/>
      <c r="HA249" s="116"/>
      <c r="HB249" s="116"/>
      <c r="HC249" s="116"/>
      <c r="HD249" s="116"/>
      <c r="HE249" s="116"/>
      <c r="HF249" s="116"/>
      <c r="HG249" s="116"/>
      <c r="HH249" s="116"/>
      <c r="HI249" s="116"/>
      <c r="HJ249" s="116"/>
      <c r="HK249" s="116"/>
      <c r="HL249" s="116"/>
      <c r="HM249" s="116"/>
      <c r="HN249" s="116"/>
      <c r="HO249" s="116"/>
      <c r="HP249" s="116"/>
      <c r="HQ249" s="116"/>
      <c r="HR249" s="116"/>
      <c r="HS249" s="116"/>
      <c r="HT249" s="116"/>
      <c r="HU249" s="116"/>
      <c r="HV249" s="116"/>
      <c r="HW249" s="116"/>
      <c r="HX249" s="116"/>
      <c r="HY249" s="116"/>
      <c r="HZ249" s="116"/>
      <c r="IA249" s="116"/>
      <c r="IB249" s="116"/>
      <c r="IC249" s="116"/>
      <c r="ID249" s="116"/>
      <c r="IE249" s="116"/>
      <c r="IF249" s="116"/>
      <c r="IG249" s="116"/>
      <c r="IH249" s="116"/>
      <c r="II249" s="116"/>
      <c r="IJ249" s="116"/>
      <c r="IK249" s="116"/>
      <c r="IL249" s="116"/>
      <c r="IM249" s="116"/>
      <c r="IN249" s="116"/>
      <c r="IO249" s="116"/>
      <c r="IP249" s="116"/>
      <c r="IQ249" s="116"/>
      <c r="IR249" s="116"/>
      <c r="IS249" s="116"/>
      <c r="IT249" s="116"/>
      <c r="IU249" s="116"/>
      <c r="IV249" s="116"/>
      <c r="IW249" s="116"/>
      <c r="IX249" s="116"/>
      <c r="IY249" s="116"/>
      <c r="IZ249" s="116"/>
      <c r="JA249" s="116"/>
      <c r="JB249" s="116"/>
      <c r="JC249" s="116"/>
      <c r="JD249" s="116"/>
      <c r="JE249" s="116"/>
      <c r="JF249" s="116"/>
      <c r="JG249" s="116"/>
      <c r="JH249" s="116"/>
      <c r="JI249" s="116"/>
      <c r="JJ249" s="116"/>
      <c r="JK249" s="116"/>
      <c r="JL249" s="116"/>
      <c r="JM249" s="116"/>
      <c r="JN249" s="116"/>
      <c r="JO249" s="116"/>
      <c r="JP249" s="116"/>
      <c r="JQ249" s="116"/>
      <c r="JR249" s="116"/>
      <c r="JS249" s="116"/>
      <c r="JT249" s="116"/>
      <c r="JU249" s="116"/>
      <c r="JV249" s="116"/>
      <c r="JW249" s="116"/>
      <c r="JX249" s="116"/>
      <c r="JY249" s="116"/>
      <c r="JZ249" s="116"/>
      <c r="KA249" s="116"/>
      <c r="KB249" s="116"/>
      <c r="KC249" s="116"/>
      <c r="KD249" s="116"/>
      <c r="KE249" s="116"/>
      <c r="KF249" s="116"/>
      <c r="KG249" s="116"/>
      <c r="KH249" s="116"/>
      <c r="KI249" s="116"/>
      <c r="KJ249" s="116"/>
      <c r="KK249" s="116"/>
      <c r="KL249" s="116"/>
      <c r="KM249" s="116"/>
      <c r="KN249" s="116"/>
      <c r="KO249" s="116"/>
      <c r="KP249" s="116"/>
      <c r="KQ249" s="116"/>
      <c r="KR249" s="116"/>
      <c r="KS249" s="116"/>
      <c r="KT249" s="116"/>
      <c r="KU249" s="116"/>
      <c r="KV249" s="116"/>
      <c r="KW249" s="116"/>
      <c r="KX249" s="116"/>
      <c r="KY249" s="116"/>
      <c r="KZ249" s="116"/>
      <c r="LA249" s="116"/>
      <c r="LB249" s="116"/>
      <c r="LC249" s="116"/>
      <c r="LD249" s="116"/>
      <c r="LE249" s="116"/>
      <c r="LF249" s="116"/>
      <c r="LG249" s="116"/>
      <c r="LH249" s="116"/>
      <c r="LI249" s="116"/>
      <c r="LJ249" s="116"/>
      <c r="LK249" s="116"/>
      <c r="LL249" s="116"/>
      <c r="LM249" s="116"/>
      <c r="LN249" s="116"/>
      <c r="LO249" s="116"/>
      <c r="LP249" s="116"/>
      <c r="LQ249" s="116"/>
      <c r="LR249" s="116"/>
      <c r="LS249" s="116"/>
      <c r="LT249" s="116"/>
      <c r="LU249" s="116"/>
      <c r="LV249" s="116"/>
      <c r="LW249" s="116"/>
      <c r="LX249" s="116"/>
      <c r="LY249" s="116"/>
      <c r="LZ249" s="116"/>
      <c r="MA249" s="116"/>
      <c r="MB249" s="116"/>
      <c r="MC249" s="116"/>
      <c r="MD249" s="116"/>
      <c r="ME249" s="116"/>
      <c r="MF249" s="116"/>
      <c r="MG249" s="116"/>
      <c r="MH249" s="116"/>
      <c r="MI249" s="116"/>
      <c r="MJ249" s="116"/>
      <c r="MK249" s="116"/>
      <c r="ML249" s="116"/>
      <c r="MM249" s="116"/>
      <c r="MN249" s="116"/>
      <c r="MO249" s="116"/>
      <c r="MP249" s="116"/>
      <c r="MQ249" s="116"/>
      <c r="MR249" s="116"/>
      <c r="MS249" s="116"/>
      <c r="MT249" s="116"/>
      <c r="MU249" s="116"/>
      <c r="MV249" s="116"/>
      <c r="MW249" s="116"/>
      <c r="MX249" s="116"/>
      <c r="MY249" s="116"/>
      <c r="MZ249" s="116"/>
      <c r="NA249" s="116"/>
      <c r="NB249" s="116"/>
      <c r="NC249" s="116"/>
      <c r="ND249" s="116"/>
      <c r="NE249" s="116"/>
      <c r="NF249" s="116"/>
      <c r="NG249" s="116"/>
      <c r="NH249" s="116"/>
      <c r="NI249" s="116"/>
      <c r="NJ249" s="116"/>
      <c r="NK249" s="116"/>
      <c r="NL249" s="116"/>
      <c r="NM249" s="116"/>
      <c r="NN249" s="116"/>
      <c r="NO249" s="116"/>
      <c r="NP249" s="116"/>
      <c r="NQ249" s="116"/>
      <c r="NR249" s="116"/>
      <c r="NS249" s="116"/>
      <c r="NT249" s="116"/>
      <c r="NU249" s="116"/>
      <c r="NV249" s="116"/>
      <c r="NW249" s="116"/>
      <c r="NX249" s="116"/>
      <c r="NY249" s="116"/>
      <c r="NZ249" s="116"/>
      <c r="OA249" s="116"/>
      <c r="OB249" s="116"/>
      <c r="OC249" s="116"/>
      <c r="OD249" s="116"/>
      <c r="OE249" s="116"/>
      <c r="OF249" s="116"/>
      <c r="OG249" s="116"/>
      <c r="OH249" s="116"/>
      <c r="OI249" s="116"/>
      <c r="OJ249" s="116"/>
      <c r="OK249" s="116"/>
      <c r="OL249" s="116"/>
      <c r="OM249" s="116"/>
      <c r="ON249" s="116"/>
      <c r="OO249" s="116"/>
      <c r="OP249" s="116"/>
      <c r="OQ249" s="116"/>
      <c r="OR249" s="116"/>
      <c r="OS249" s="116"/>
      <c r="OT249" s="116"/>
      <c r="OU249" s="116"/>
      <c r="OV249" s="116"/>
      <c r="OW249" s="116"/>
      <c r="OX249" s="116"/>
      <c r="OY249" s="116"/>
      <c r="OZ249" s="116"/>
      <c r="PA249" s="116"/>
      <c r="PB249" s="116"/>
      <c r="PC249" s="116"/>
      <c r="PD249" s="116"/>
      <c r="PE249" s="116"/>
      <c r="PF249" s="116"/>
      <c r="PG249" s="116"/>
      <c r="PH249" s="116"/>
      <c r="PI249" s="116"/>
      <c r="PJ249" s="116"/>
      <c r="PK249" s="116"/>
      <c r="PL249" s="116"/>
      <c r="PM249" s="116"/>
      <c r="PN249" s="116"/>
      <c r="PO249" s="116"/>
      <c r="PP249" s="116"/>
      <c r="PQ249" s="116"/>
      <c r="PR249" s="116"/>
      <c r="PS249" s="116"/>
      <c r="PT249" s="116"/>
      <c r="PU249" s="116"/>
      <c r="PV249" s="116"/>
      <c r="PW249" s="116"/>
      <c r="PX249" s="116"/>
      <c r="PY249" s="116"/>
      <c r="PZ249" s="116"/>
      <c r="QA249" s="116"/>
      <c r="QB249" s="116"/>
      <c r="QC249" s="116"/>
      <c r="QD249" s="116"/>
      <c r="QE249" s="116"/>
      <c r="QF249" s="116"/>
      <c r="QG249" s="116"/>
      <c r="QH249" s="116"/>
      <c r="QI249" s="116"/>
      <c r="QJ249" s="116"/>
      <c r="QK249" s="116"/>
      <c r="QL249" s="116"/>
      <c r="QM249" s="116"/>
      <c r="QN249" s="116"/>
      <c r="QO249" s="116"/>
      <c r="QP249" s="116"/>
      <c r="QQ249" s="116"/>
      <c r="QR249" s="116"/>
      <c r="QS249" s="116"/>
      <c r="QT249" s="116"/>
      <c r="QU249" s="116"/>
      <c r="QV249" s="116"/>
      <c r="QW249" s="116"/>
      <c r="QX249" s="116"/>
      <c r="QY249" s="116"/>
      <c r="QZ249" s="116"/>
      <c r="RA249" s="116"/>
      <c r="RB249" s="116"/>
      <c r="RC249" s="116"/>
      <c r="RD249" s="116"/>
      <c r="RE249" s="116"/>
      <c r="RF249" s="116"/>
      <c r="RG249" s="116"/>
      <c r="RH249" s="116"/>
    </row>
    <row r="250" spans="1:476" s="21" customFormat="1" ht="13.2" x14ac:dyDescent="0.25">
      <c r="A250" s="103" t="s">
        <v>248</v>
      </c>
      <c r="B250" s="20" t="s">
        <v>250</v>
      </c>
      <c r="C250" s="20" t="s">
        <v>73</v>
      </c>
      <c r="D250" s="104" t="s">
        <v>240</v>
      </c>
      <c r="E250" s="15">
        <v>10124</v>
      </c>
      <c r="F250" s="15">
        <v>5400</v>
      </c>
      <c r="G250" s="49" t="s">
        <v>186</v>
      </c>
      <c r="H250" s="49">
        <v>0.75</v>
      </c>
      <c r="I250" s="68">
        <f>inputs!$C$66*inputs!$C$64/1000</f>
        <v>21.3</v>
      </c>
      <c r="J250" s="68">
        <f>inputs!$C$66*inputs!$C$63/1000</f>
        <v>8.8000000000000007</v>
      </c>
      <c r="K250" s="69">
        <f t="shared" si="17"/>
        <v>3.0174497340193067</v>
      </c>
      <c r="L250" s="69">
        <f t="shared" si="20"/>
        <v>1.2466458995009344</v>
      </c>
      <c r="M250" s="69">
        <f>IF((((1.18*F250^0.874)/3.7-(0.301*F250^0.751)/(1-H250)*H250)*(MAX('Max rate concentrations'!$P$3:$P$368)))/F250&gt;0, (((1.18*F250^0.874)/3.7-(0.301*F250^0.751)/(1-H250)*H250)*(MAX('Max rate concentrations'!$P$3:$P$368)))/F250, 0)</f>
        <v>1.5201629757010946E-3</v>
      </c>
      <c r="N250" s="69">
        <f>IF((((1.18*F250^0.874)/3.7-(0.301*F250^0.751)/(1-H250)*H250)*(MAX('Max rate concentrations'!$Q$3:$Q$368)))/F250&gt;0, (((1.18*F250^0.874)/3.7-(0.301*F250^0.751)/(1-H250)*H250)*(MAX('Max rate concentrations'!$Q$3:$Q$368)))/F250, 0)</f>
        <v>5.788862292388122E-3</v>
      </c>
      <c r="O250" s="69">
        <f>((MAX('Max rate concentrations'!$F$3:$F$368))*0.62*6.01*8*(10*F250^0.667)*0.079*0.1/F250)*inputs!$E$80/(10^(0.84+0.62*LOG10(inputs!$E$80)))</f>
        <v>8.3920160106750359</v>
      </c>
      <c r="P250" s="69">
        <f>((MAX('Max rate concentrations'!Y:Y))*0.62*6.01*8*(10*F250^0.667)*0.079*0.1/F250)*inputs!$E$80/(10^(0.84+0.62*LOG10(inputs!$E$80)))</f>
        <v>2.7973386702250127</v>
      </c>
      <c r="Q250" s="69">
        <f>(inputs!$C$18*11.2*(10*F250^0.667)*0.5/F250)*inputs!$E$80/(10^(0.84+0.62*LOG10(inputs!$E$80)))</f>
        <v>1.4782140386815861</v>
      </c>
      <c r="R250" s="59">
        <f>(60*284*((F250/1000)^0.77)*3*24*(MAX('Max rate concentrations'!$R$3:$R$368))/F250)*(inputs!$E$73*3.4/inputs!$E$75)</f>
        <v>1.9082540405563651E-2</v>
      </c>
      <c r="S250" s="59">
        <f>(IF(inputs!$C$17="aerial",((0.025*0.112*inputs!$C$18/3.3)*(3*60*284*((F250/1000)^0.77))*MAX(inputs!$I$14:$I$16))/F250,((0.0083*0.112*inputs!$C$18/1)*(3*60*284*((F250/1000)^0.77))*MAX(inputs!$I$14:$I$16))/F250))*(inputs!E$75*3.4/inputs!$E$73)</f>
        <v>0.10524138273570169</v>
      </c>
      <c r="T250" s="63">
        <f>IF((((inputs!$P$13/(V250/MAX(K250:S250)))^(1/inputs!$O$13))-1)/inputs!$N$13&lt;0, 0, IF((((inputs!$P$13/(V250/MAX(K250:S250)))^(1/inputs!$O$13))-1)/inputs!$N$13&lt;inputs!$I$17, (((inputs!$P$13/(V250/MAX(K250:S250)))^(1/inputs!$O$13))-1)/inputs!$N$13, inputs!$I$17))</f>
        <v>1000</v>
      </c>
      <c r="U250" s="63">
        <f>IF((((inputs!$P$13/(X250/MAX(K250:S250)))^(1/inputs!$O$13))-1)/inputs!$N$13&lt;0, 0, IF((((inputs!$P$13/(X250/MAX(K250:S250)))^(1/inputs!$O$13))-1)/inputs!$N$13&lt;inputs!$I$17, (((inputs!$P$13/(X250/MAX(K250:S250)))^(1/inputs!$O$13))-1)/inputs!$N$13, inputs!$I$17))</f>
        <v>33.305037901220594</v>
      </c>
      <c r="V250" s="21">
        <f>inputs!$E$78*(F250/inputs!$F$78)^(inputs!$E$84-1)</f>
        <v>4.3427808073074944E-3</v>
      </c>
      <c r="W250" s="21">
        <f>inputs!$E$85*(F250/inputs!$F$85)^(inputs!$E$84-1)</f>
        <v>0.20054161757711042</v>
      </c>
      <c r="X250" s="21">
        <f>inputs!$E$80*(F250/inputs!$F$80)^(inputs!$E$84-1)</f>
        <v>0.74885793905376674</v>
      </c>
      <c r="Y250" s="21">
        <f>inputs!$E$82*(F250/inputs!$F$82)^(inputs!$E$84-1)</f>
        <v>0.34513679047549034</v>
      </c>
      <c r="Z250" s="63">
        <f t="shared" si="18"/>
        <v>1932.4060741343403</v>
      </c>
      <c r="AA250" s="63">
        <f t="shared" si="19"/>
        <v>41.846755362129336</v>
      </c>
      <c r="AB250" s="117"/>
    </row>
    <row r="251" spans="1:476" s="21" customFormat="1" ht="13.2" x14ac:dyDescent="0.25">
      <c r="A251" s="103" t="s">
        <v>248</v>
      </c>
      <c r="B251" s="20" t="s">
        <v>250</v>
      </c>
      <c r="C251" s="20" t="s">
        <v>73</v>
      </c>
      <c r="D251" s="104" t="s">
        <v>240</v>
      </c>
      <c r="E251" s="15">
        <v>10124</v>
      </c>
      <c r="F251" s="15">
        <v>5400</v>
      </c>
      <c r="G251" s="20" t="s">
        <v>152</v>
      </c>
      <c r="H251" s="20">
        <v>0.77</v>
      </c>
      <c r="I251" s="68">
        <f>MAX('Max rate concentrations'!$G$3:$G$368)</f>
        <v>45</v>
      </c>
      <c r="J251" s="68">
        <f>MAX('Max rate concentrations'!Z:Z)</f>
        <v>21</v>
      </c>
      <c r="K251" s="69">
        <f t="shared" si="17"/>
        <v>6.9292323959414581</v>
      </c>
      <c r="L251" s="69">
        <f t="shared" si="20"/>
        <v>3.2336417847726806</v>
      </c>
      <c r="M251" s="69">
        <f>IF((((1.18*F251^0.874)/3.7-(0.301*F251^0.751)/(1-H251)*H251)*(MAX('Max rate concentrations'!$P$3:$P$368)))/F251&gt;0, (((1.18*F251^0.874)/3.7-(0.301*F251^0.751)/(1-H251)*H251)*(MAX('Max rate concentrations'!$P$3:$P$368)))/F251, 0)</f>
        <v>0</v>
      </c>
      <c r="N251" s="69">
        <f>IF((((1.18*F251^0.874)/3.7-(0.301*F251^0.751)/(1-H251)*H251)*(MAX('Max rate concentrations'!$Q$3:$Q$368)))/F251&gt;0, (((1.18*F251^0.874)/3.7-(0.301*F251^0.751)/(1-H251)*H251)*(MAX('Max rate concentrations'!$Q$3:$Q$368)))/F251, 0)</f>
        <v>0</v>
      </c>
      <c r="O251" s="69">
        <f>((MAX('Max rate concentrations'!$F$3:$F$368))*0.62*6.01*8*(10*F251^0.667)*0.079*0.1/F251)*inputs!$E$80/(10^(0.84+0.62*LOG10(inputs!$E$80)))</f>
        <v>8.3920160106750359</v>
      </c>
      <c r="P251" s="69">
        <f>((MAX('Max rate concentrations'!Y:Y))*0.62*6.01*8*(10*F251^0.667)*0.079*0.1/F251)*inputs!$E$80/(10^(0.84+0.62*LOG10(inputs!$E$80)))</f>
        <v>2.7973386702250127</v>
      </c>
      <c r="Q251" s="69">
        <f>(inputs!$C$18*11.2*(10*F251^0.667)*0.5/F251)*inputs!$E$80/(10^(0.84+0.62*LOG10(inputs!$E$80)))</f>
        <v>1.4782140386815861</v>
      </c>
      <c r="R251" s="59">
        <f>(60*284*((F251/1000)^0.77)*3*24*(MAX('Max rate concentrations'!$R$3:$R$368))/F251)*(inputs!$E$73*3.4/inputs!$E$75)</f>
        <v>1.9082540405563651E-2</v>
      </c>
      <c r="S251" s="59">
        <f>(IF(inputs!$C$17="aerial",((0.025*0.112*inputs!$C$18/3.3)*(3*60*284*((F251/1000)^0.77))*MAX(inputs!$I$14:$I$16))/F251,((0.0083*0.112*inputs!$C$18/1)*(3*60*284*((F251/1000)^0.77))*MAX(inputs!$I$14:$I$16))/F251))*(inputs!E$75*3.4/inputs!$E$73)</f>
        <v>0.10524138273570169</v>
      </c>
      <c r="T251" s="63">
        <f>IF((((inputs!$P$13/(V251/MAX(K251:S251)))^(1/inputs!$O$13))-1)/inputs!$N$13&lt;0, 0, IF((((inputs!$P$13/(V251/MAX(K251:S251)))^(1/inputs!$O$13))-1)/inputs!$N$13&lt;inputs!$I$17, (((inputs!$P$13/(V251/MAX(K251:S251)))^(1/inputs!$O$13))-1)/inputs!$N$13, inputs!$I$17))</f>
        <v>1000</v>
      </c>
      <c r="U251" s="63">
        <f>IF((((inputs!$P$13/(X251/MAX(K251:S251)))^(1/inputs!$O$13))-1)/inputs!$N$13&lt;0, 0, IF((((inputs!$P$13/(X251/MAX(K251:S251)))^(1/inputs!$O$13))-1)/inputs!$N$13&lt;inputs!$I$17, (((inputs!$P$13/(X251/MAX(K251:S251)))^(1/inputs!$O$13))-1)/inputs!$N$13, inputs!$I$17))</f>
        <v>33.305037901220594</v>
      </c>
      <c r="V251" s="21">
        <f>inputs!$E$78*(F251/inputs!$F$78)^(inputs!$E$84-1)</f>
        <v>4.3427808073074944E-3</v>
      </c>
      <c r="W251" s="21">
        <f>inputs!$E$85*(F251/inputs!$F$85)^(inputs!$E$84-1)</f>
        <v>0.20054161757711042</v>
      </c>
      <c r="X251" s="21">
        <f>inputs!$E$80*(F251/inputs!$F$80)^(inputs!$E$84-1)</f>
        <v>0.74885793905376674</v>
      </c>
      <c r="Y251" s="21">
        <f>inputs!$E$82*(F251/inputs!$F$82)^(inputs!$E$84-1)</f>
        <v>0.34513679047549034</v>
      </c>
      <c r="Z251" s="63">
        <f t="shared" si="18"/>
        <v>1932.4060741343403</v>
      </c>
      <c r="AA251" s="63">
        <f t="shared" si="19"/>
        <v>41.846755362129336</v>
      </c>
      <c r="AB251" s="117"/>
    </row>
    <row r="252" spans="1:476" s="21" customFormat="1" ht="13.2" x14ac:dyDescent="0.25">
      <c r="A252" s="103" t="s">
        <v>248</v>
      </c>
      <c r="B252" s="20" t="s">
        <v>250</v>
      </c>
      <c r="C252" s="20" t="s">
        <v>73</v>
      </c>
      <c r="D252" s="104" t="s">
        <v>240</v>
      </c>
      <c r="E252" s="15">
        <v>10124</v>
      </c>
      <c r="F252" s="15">
        <v>5400</v>
      </c>
      <c r="G252" s="21" t="s">
        <v>456</v>
      </c>
      <c r="H252" s="20">
        <v>0.68</v>
      </c>
      <c r="I252" s="68">
        <f>MAX('Max rate concentrations'!$J$3:$J$368)</f>
        <v>686.46486205830786</v>
      </c>
      <c r="J252" s="68">
        <f>MAX('Max rate concentrations'!AB:AB)</f>
        <v>243.122971978984</v>
      </c>
      <c r="K252" s="69">
        <f t="shared" si="17"/>
        <v>75.974663124686074</v>
      </c>
      <c r="L252" s="69">
        <f t="shared" si="20"/>
        <v>26.907693189992983</v>
      </c>
      <c r="M252" s="69">
        <f>IF((((1.18*F252^0.874)/3.7-(0.301*F252^0.751)/(1-H252)*H252)*(MAX('Max rate concentrations'!$P$3:$P$368)))/F252&gt;0, (((1.18*F252^0.874)/3.7-(0.301*F252^0.751)/(1-H252)*H252)*(MAX('Max rate concentrations'!$P$3:$P$368)))/F252, 0)</f>
        <v>2.8508175400788503E-2</v>
      </c>
      <c r="N252" s="69">
        <f>IF((((1.18*F252^0.874)/3.7-(0.301*F252^0.751)/(1-H252)*H252)*(MAX('Max rate concentrations'!$Q$3:$Q$368)))/F252&gt;0, (((1.18*F252^0.874)/3.7-(0.301*F252^0.751)/(1-H252)*H252)*(MAX('Max rate concentrations'!$Q$3:$Q$368)))/F252, 0)</f>
        <v>0.10856066371850683</v>
      </c>
      <c r="O252" s="69">
        <f>((MAX('Max rate concentrations'!$F$3:$F$368))*0.62*6.01*8*(10*F252^0.667)*0.079*0.1/F252)*inputs!$E$80/(10^(0.84+0.62*LOG10(inputs!$E$80)))</f>
        <v>8.3920160106750359</v>
      </c>
      <c r="P252" s="69">
        <f>((MAX('Max rate concentrations'!Y:Y))*0.62*6.01*8*(10*F252^0.667)*0.079*0.1/F252)*inputs!$E$80/(10^(0.84+0.62*LOG10(inputs!$E$80)))</f>
        <v>2.7973386702250127</v>
      </c>
      <c r="Q252" s="69">
        <f>(inputs!$C$18*11.2*(10*F252^0.667)*0.5/F252)*inputs!$E$80/(10^(0.84+0.62*LOG10(inputs!$E$80)))</f>
        <v>1.4782140386815861</v>
      </c>
      <c r="R252" s="59">
        <f>(60*284*((F252/1000)^0.77)*3*24*(MAX('Max rate concentrations'!$R$3:$R$368))/F252)*(inputs!$E$73*3.4/inputs!$E$75)</f>
        <v>1.9082540405563651E-2</v>
      </c>
      <c r="S252" s="59">
        <f>(IF(inputs!$C$17="aerial",((0.025*0.112*inputs!$C$18/3.3)*(3*60*284*((F252/1000)^0.77))*MAX(inputs!$I$14:$I$16))/F252,((0.0083*0.112*inputs!$C$18/1)*(3*60*284*((F252/1000)^0.77))*MAX(inputs!$I$14:$I$16))/F252))*(inputs!E$75*3.4/inputs!$E$73)</f>
        <v>0.10524138273570169</v>
      </c>
      <c r="T252" s="63">
        <f>IF((((inputs!$P$13/(V252/MAX(K252:S252)))^(1/inputs!$O$13))-1)/inputs!$N$13&lt;0, 0, IF((((inputs!$P$13/(V252/MAX(K252:S252)))^(1/inputs!$O$13))-1)/inputs!$N$13&lt;inputs!$I$17, (((inputs!$P$13/(V252/MAX(K252:S252)))^(1/inputs!$O$13))-1)/inputs!$N$13, inputs!$I$17))</f>
        <v>1000</v>
      </c>
      <c r="U252" s="63">
        <f>IF((((inputs!$P$13/(X252/MAX(K252:S252)))^(1/inputs!$O$13))-1)/inputs!$N$13&lt;0, 0, IF((((inputs!$P$13/(X252/MAX(K252:S252)))^(1/inputs!$O$13))-1)/inputs!$N$13&lt;inputs!$I$17, (((inputs!$P$13/(X252/MAX(K252:S252)))^(1/inputs!$O$13))-1)/inputs!$N$13, inputs!$I$17))</f>
        <v>223.62888608893857</v>
      </c>
      <c r="V252" s="21">
        <f>inputs!$E$78*(F252/inputs!$F$78)^(inputs!$E$84-1)</f>
        <v>4.3427808073074944E-3</v>
      </c>
      <c r="W252" s="21">
        <f>inputs!$E$85*(F252/inputs!$F$85)^(inputs!$E$84-1)</f>
        <v>0.20054161757711042</v>
      </c>
      <c r="X252" s="21">
        <f>inputs!$E$80*(F252/inputs!$F$80)^(inputs!$E$84-1)</f>
        <v>0.74885793905376674</v>
      </c>
      <c r="Y252" s="21">
        <f>inputs!$E$82*(F252/inputs!$F$82)^(inputs!$E$84-1)</f>
        <v>0.34513679047549034</v>
      </c>
      <c r="Z252" s="63">
        <f t="shared" si="18"/>
        <v>17494.473356068378</v>
      </c>
      <c r="AA252" s="63">
        <f t="shared" si="19"/>
        <v>378.8473636674093</v>
      </c>
      <c r="AB252" s="117"/>
    </row>
    <row r="253" spans="1:476" ht="13.2" x14ac:dyDescent="0.25">
      <c r="A253" s="103" t="s">
        <v>248</v>
      </c>
      <c r="B253" s="20" t="s">
        <v>250</v>
      </c>
      <c r="C253" s="20" t="s">
        <v>73</v>
      </c>
      <c r="D253" s="104" t="s">
        <v>240</v>
      </c>
      <c r="E253" s="15">
        <v>10124</v>
      </c>
      <c r="F253" s="15">
        <v>5400</v>
      </c>
      <c r="G253" s="20" t="s">
        <v>154</v>
      </c>
      <c r="H253" s="20">
        <v>9.2999999999999999E-2</v>
      </c>
      <c r="I253" s="68">
        <f>MAX('Max rate concentrations'!$G$3:$G$368)</f>
        <v>45</v>
      </c>
      <c r="J253" s="68">
        <f>MAX('Max rate concentrations'!Z:Z)</f>
        <v>21</v>
      </c>
      <c r="K253" s="69">
        <f t="shared" si="17"/>
        <v>1.7571372117602371</v>
      </c>
      <c r="L253" s="69">
        <f t="shared" si="20"/>
        <v>0.81999736548811075</v>
      </c>
      <c r="M253" s="69">
        <f>IF((((1.18*F253^0.874)/3.7-(0.301*F253^0.751)/(1-H253)*H253)*(MAX('Max rate concentrations'!$P$3:$P$368)))/F253&gt;0, (((1.18*F253^0.874)/3.7-(0.301*F253^0.751)/(1-H253)*H253)*(MAX('Max rate concentrations'!$P$3:$P$368)))/F253, 0)</f>
        <v>9.0887933211177191E-2</v>
      </c>
      <c r="N253" s="69">
        <f>IF((((1.18*F253^0.874)/3.7-(0.301*F253^0.751)/(1-H253)*H253)*(MAX('Max rate concentrations'!$Q$3:$Q$368)))/F253&gt;0, (((1.18*F253^0.874)/3.7-(0.301*F253^0.751)/(1-H253)*H253)*(MAX('Max rate concentrations'!$Q$3:$Q$368)))/F253, 0)</f>
        <v>0.34610613322997191</v>
      </c>
      <c r="O253" s="69">
        <f>((MAX('Max rate concentrations'!$F$3:$F$368))*0.62*6.01*8*(10*F253^0.667)*0.079*0.1/F253)*inputs!$E$80/(10^(0.84+0.62*LOG10(inputs!$E$80)))</f>
        <v>8.3920160106750359</v>
      </c>
      <c r="P253" s="69">
        <f>((MAX('Max rate concentrations'!Y:Y))*0.62*6.01*8*(10*F253^0.667)*0.079*0.1/F253)*inputs!$E$80/(10^(0.84+0.62*LOG10(inputs!$E$80)))</f>
        <v>2.7973386702250127</v>
      </c>
      <c r="Q253" s="69">
        <f>(inputs!$C$18*11.2*(10*F253^0.667)*0.5/F253)*inputs!$E$80/(10^(0.84+0.62*LOG10(inputs!$E$80)))</f>
        <v>1.4782140386815861</v>
      </c>
      <c r="R253" s="59">
        <f>(60*284*((F253/1000)^0.77)*3*24*(MAX('Max rate concentrations'!$R$3:$R$368))/F253)*(inputs!$E$73*3.4/inputs!$E$75)</f>
        <v>1.9082540405563651E-2</v>
      </c>
      <c r="S253" s="59">
        <f>(IF(inputs!$C$17="aerial",((0.025*0.112*inputs!$C$18/3.3)*(3*60*284*((F253/1000)^0.77))*MAX(inputs!$I$14:$I$16))/F253,((0.0083*0.112*inputs!$C$18/1)*(3*60*284*((F253/1000)^0.77))*MAX(inputs!$I$14:$I$16))/F253))*(inputs!E$75*3.4/inputs!$E$73)</f>
        <v>0.10524138273570169</v>
      </c>
      <c r="T253" s="63">
        <f>IF((((inputs!$P$13/(V253/MAX(K253:S253)))^(1/inputs!$O$13))-1)/inputs!$N$13&lt;0, 0, IF((((inputs!$P$13/(V253/MAX(K253:S253)))^(1/inputs!$O$13))-1)/inputs!$N$13&lt;inputs!$I$17, (((inputs!$P$13/(V253/MAX(K253:S253)))^(1/inputs!$O$13))-1)/inputs!$N$13, inputs!$I$17))</f>
        <v>1000</v>
      </c>
      <c r="U253" s="63">
        <f>IF((((inputs!$P$13/(X253/MAX(K253:S253)))^(1/inputs!$O$13))-1)/inputs!$N$13&lt;0, 0, IF((((inputs!$P$13/(X253/MAX(K253:S253)))^(1/inputs!$O$13))-1)/inputs!$N$13&lt;inputs!$I$17, (((inputs!$P$13/(X253/MAX(K253:S253)))^(1/inputs!$O$13))-1)/inputs!$N$13, inputs!$I$17))</f>
        <v>33.305037901220594</v>
      </c>
      <c r="V253" s="21">
        <f>inputs!$E$78*(F253/inputs!$F$78)^(inputs!$E$84-1)</f>
        <v>4.3427808073074944E-3</v>
      </c>
      <c r="W253" s="21">
        <f>inputs!$E$85*(F253/inputs!$F$85)^(inputs!$E$84-1)</f>
        <v>0.20054161757711042</v>
      </c>
      <c r="X253" s="21">
        <f>inputs!$E$80*(F253/inputs!$F$80)^(inputs!$E$84-1)</f>
        <v>0.74885793905376674</v>
      </c>
      <c r="Y253" s="21">
        <f>inputs!$E$82*(F253/inputs!$F$82)^(inputs!$E$84-1)</f>
        <v>0.34513679047549034</v>
      </c>
      <c r="Z253" s="63">
        <f t="shared" si="18"/>
        <v>1932.4060741343403</v>
      </c>
      <c r="AA253" s="63">
        <f t="shared" si="19"/>
        <v>41.846755362129336</v>
      </c>
    </row>
    <row r="254" spans="1:476" ht="13.2" x14ac:dyDescent="0.25">
      <c r="A254" s="114" t="s">
        <v>333</v>
      </c>
      <c r="B254" s="20" t="s">
        <v>334</v>
      </c>
      <c r="C254" s="20" t="s">
        <v>73</v>
      </c>
      <c r="D254" s="104" t="s">
        <v>240</v>
      </c>
      <c r="E254" s="15">
        <v>84</v>
      </c>
      <c r="F254" s="15">
        <v>226</v>
      </c>
      <c r="G254" s="20" t="s">
        <v>164</v>
      </c>
      <c r="H254" s="20">
        <v>0.78</v>
      </c>
      <c r="I254" s="68">
        <f>inputs!$C$66*(inputs!$C$62/1000)</f>
        <v>8.2000000000000011</v>
      </c>
      <c r="J254" s="68">
        <f>inputs!$C$66*(inputs!$C$61/1000)</f>
        <v>2.5</v>
      </c>
      <c r="K254" s="69">
        <f t="shared" ref="K254:K288" si="21">((0.301*F254^0.751)/(1-H254))*I254/F254</f>
        <v>2.9092742686046931</v>
      </c>
      <c r="L254" s="69">
        <f t="shared" si="20"/>
        <v>0.88697386237947939</v>
      </c>
      <c r="M254" s="69">
        <f>IF((((1.18*F254^0.874)/3.7-(0.301*F254^0.751)/(1-H254)*H254)*(MAX('Max rate concentrations'!$P$3:$P$368)))/F254&gt;0, (((1.18*F254^0.874)/3.7-(0.301*F254^0.751)/(1-H254)*H254)*(MAX('Max rate concentrations'!$P$3:$P$368)))/F254, 0)</f>
        <v>0</v>
      </c>
      <c r="N254" s="69">
        <f>IF((((1.18*F254^0.874)/3.7-(0.301*F254^0.751)/(1-H254)*H254)*(MAX('Max rate concentrations'!$Q$3:$Q$368)))/F254&gt;0, (((1.18*F254^0.874)/3.7-(0.301*F254^0.751)/(1-H254)*H254)*(MAX('Max rate concentrations'!$Q$3:$Q$368)))/F254, 0)</f>
        <v>0</v>
      </c>
      <c r="O254" s="69">
        <f>((MAX('Max rate concentrations'!$F$3:$F$368))*0.62*6.01*8*(10*F254^0.667)*0.079*0.1/F254)*inputs!$E$80/(10^(0.84+0.62*LOG10(inputs!$E$80)))</f>
        <v>24.145450653697157</v>
      </c>
      <c r="P254" s="69">
        <f>((MAX('Max rate concentrations'!Y:Y))*0.62*6.01*8*(10*F254^0.667)*0.079*0.1/F254)*inputs!$E$80/(10^(0.84+0.62*LOG10(inputs!$E$80)))</f>
        <v>8.0484835512323851</v>
      </c>
      <c r="Q254" s="69">
        <f>(inputs!$C$18*11.2*(10*F254^0.667)*0.5/F254)*inputs!$E$80/(10^(0.84+0.62*LOG10(inputs!$E$80)))</f>
        <v>4.2531072487453008</v>
      </c>
      <c r="R254" s="59">
        <f>(60*284*((F254/1000)^0.77)*3*24*(MAX('Max rate concentrations'!$R$3:$R$368))/F254)*(inputs!$E$73*3.4/inputs!$E$75)</f>
        <v>3.9595133755892124E-2</v>
      </c>
      <c r="S254" s="59">
        <f>(IF(inputs!$C$17="aerial",((0.025*0.112*inputs!$C$18/3.3)*(3*60*284*((F254/1000)^0.77))*MAX(inputs!$I$14:$I$16))/F254,((0.0083*0.112*inputs!$C$18/1)*(3*60*284*((F254/1000)^0.77))*MAX(inputs!$I$14:$I$16))/F254))*(inputs!E$75*3.4/inputs!$E$73)</f>
        <v>0.21836959532181638</v>
      </c>
      <c r="T254" s="63">
        <f>IF((((inputs!$P$13/(V254/MAX(K254:S254)))^(1/inputs!$O$13))-1)/inputs!$N$13&lt;0, 0, IF((((inputs!$P$13/(V254/MAX(K254:S254)))^(1/inputs!$O$13))-1)/inputs!$N$13&lt;inputs!$I$17, (((inputs!$P$13/(V254/MAX(K254:S254)))^(1/inputs!$O$13))-1)/inputs!$N$13, inputs!$I$17))</f>
        <v>1000</v>
      </c>
      <c r="U254" s="63">
        <f>IF((((inputs!$P$13/(X254/MAX(K254:S254)))^(1/inputs!$O$13))-1)/inputs!$N$13&lt;0, 0, IF((((inputs!$P$13/(X254/MAX(K254:S254)))^(1/inputs!$O$13))-1)/inputs!$N$13&lt;inputs!$I$17, (((inputs!$P$13/(X254/MAX(K254:S254)))^(1/inputs!$O$13))-1)/inputs!$N$13, inputs!$I$17))</f>
        <v>29.81446124039871</v>
      </c>
      <c r="V254" s="21">
        <f>inputs!$E$78*(F254/inputs!$F$78)^(inputs!$E$84-1)</f>
        <v>1.4051849136397839E-2</v>
      </c>
      <c r="W254" s="21">
        <f>inputs!$E$85*(F254/inputs!$F$85)^(inputs!$E$84-1)</f>
        <v>0.6488885073409637</v>
      </c>
      <c r="X254" s="21">
        <f>inputs!$E$80*(F254/inputs!$F$80)^(inputs!$E$84-1)</f>
        <v>2.4230646793111932</v>
      </c>
      <c r="Y254" s="21">
        <f>inputs!$E$82*(F254/inputs!$F$82)^(inputs!$E$84-1)</f>
        <v>1.1167522208400387</v>
      </c>
      <c r="Z254" s="63">
        <f t="shared" si="18"/>
        <v>1718.3112641847499</v>
      </c>
      <c r="AA254" s="63">
        <f t="shared" si="19"/>
        <v>37.210476654365735</v>
      </c>
    </row>
    <row r="255" spans="1:476" ht="13.2" x14ac:dyDescent="0.25">
      <c r="A255" s="114" t="s">
        <v>333</v>
      </c>
      <c r="B255" s="20" t="s">
        <v>334</v>
      </c>
      <c r="C255" s="20" t="s">
        <v>73</v>
      </c>
      <c r="D255" s="104" t="s">
        <v>240</v>
      </c>
      <c r="E255" s="15">
        <v>84</v>
      </c>
      <c r="F255" s="15">
        <v>226</v>
      </c>
      <c r="G255" s="20" t="s">
        <v>195</v>
      </c>
      <c r="H255" s="20">
        <v>0.82</v>
      </c>
      <c r="I255" s="68">
        <f>inputs!$C$66*(inputs!$C$62/1000)</f>
        <v>8.2000000000000011</v>
      </c>
      <c r="J255" s="68">
        <f>inputs!$C$66*(inputs!$C$61/1000)</f>
        <v>2.5</v>
      </c>
      <c r="K255" s="69">
        <f t="shared" si="21"/>
        <v>3.5557796616279562</v>
      </c>
      <c r="L255" s="69">
        <f t="shared" si="20"/>
        <v>1.0840791651304742</v>
      </c>
      <c r="M255" s="69">
        <f>IF((((1.18*F255^0.874)/3.7-(0.301*F255^0.751)/(1-H255)*H255)*(MAX('Max rate concentrations'!$P$3:$P$368)))/F255&gt;0, (((1.18*F255^0.874)/3.7-(0.301*F255^0.751)/(1-H255)*H255)*(MAX('Max rate concentrations'!$P$3:$P$368)))/F255, 0)</f>
        <v>0</v>
      </c>
      <c r="N255" s="69">
        <f>IF((((1.18*F255^0.874)/3.7-(0.301*F255^0.751)/(1-H255)*H255)*(MAX('Max rate concentrations'!$Q$3:$Q$368)))/F255&gt;0, (((1.18*F255^0.874)/3.7-(0.301*F255^0.751)/(1-H255)*H255)*(MAX('Max rate concentrations'!$Q$3:$Q$368)))/F255, 0)</f>
        <v>0</v>
      </c>
      <c r="O255" s="69">
        <f>((MAX('Max rate concentrations'!$F$3:$F$368))*0.62*6.01*8*(10*F255^0.667)*0.079*0.1/F255)*inputs!$E$80/(10^(0.84+0.62*LOG10(inputs!$E$80)))</f>
        <v>24.145450653697157</v>
      </c>
      <c r="P255" s="69">
        <f>((MAX('Max rate concentrations'!Y:Y))*0.62*6.01*8*(10*F255^0.667)*0.079*0.1/F255)*inputs!$E$80/(10^(0.84+0.62*LOG10(inputs!$E$80)))</f>
        <v>8.0484835512323851</v>
      </c>
      <c r="Q255" s="69">
        <f>(inputs!$C$18*11.2*(10*F255^0.667)*0.5/F255)*inputs!$E$80/(10^(0.84+0.62*LOG10(inputs!$E$80)))</f>
        <v>4.2531072487453008</v>
      </c>
      <c r="R255" s="59">
        <f>(60*284*((F255/1000)^0.77)*3*24*(MAX('Max rate concentrations'!$R$3:$R$368))/F255)*(inputs!$E$73*3.4/inputs!$E$75)</f>
        <v>3.9595133755892124E-2</v>
      </c>
      <c r="S255" s="59">
        <f>(IF(inputs!$C$17="aerial",((0.025*0.112*inputs!$C$18/3.3)*(3*60*284*((F255/1000)^0.77))*MAX(inputs!$I$14:$I$16))/F255,((0.0083*0.112*inputs!$C$18/1)*(3*60*284*((F255/1000)^0.77))*MAX(inputs!$I$14:$I$16))/F255))*(inputs!E$75*3.4/inputs!$E$73)</f>
        <v>0.21836959532181638</v>
      </c>
      <c r="T255" s="63">
        <f>IF((((inputs!$P$13/(V255/MAX(K255:S255)))^(1/inputs!$O$13))-1)/inputs!$N$13&lt;0, 0, IF((((inputs!$P$13/(V255/MAX(K255:S255)))^(1/inputs!$O$13))-1)/inputs!$N$13&lt;inputs!$I$17, (((inputs!$P$13/(V255/MAX(K255:S255)))^(1/inputs!$O$13))-1)/inputs!$N$13, inputs!$I$17))</f>
        <v>1000</v>
      </c>
      <c r="U255" s="63">
        <f>IF((((inputs!$P$13/(X255/MAX(K255:S255)))^(1/inputs!$O$13))-1)/inputs!$N$13&lt;0, 0, IF((((inputs!$P$13/(X255/MAX(K255:S255)))^(1/inputs!$O$13))-1)/inputs!$N$13&lt;inputs!$I$17, (((inputs!$P$13/(X255/MAX(K255:S255)))^(1/inputs!$O$13))-1)/inputs!$N$13, inputs!$I$17))</f>
        <v>29.81446124039871</v>
      </c>
      <c r="V255" s="21">
        <f>inputs!$E$78*(F255/inputs!$F$78)^(inputs!$E$84-1)</f>
        <v>1.4051849136397839E-2</v>
      </c>
      <c r="W255" s="21">
        <f>inputs!$E$85*(F255/inputs!$F$85)^(inputs!$E$84-1)</f>
        <v>0.6488885073409637</v>
      </c>
      <c r="X255" s="21">
        <f>inputs!$E$80*(F255/inputs!$F$80)^(inputs!$E$84-1)</f>
        <v>2.4230646793111932</v>
      </c>
      <c r="Y255" s="21">
        <f>inputs!$E$82*(F255/inputs!$F$82)^(inputs!$E$84-1)</f>
        <v>1.1167522208400387</v>
      </c>
      <c r="Z255" s="63">
        <f t="shared" si="18"/>
        <v>1718.3112641847499</v>
      </c>
      <c r="AA255" s="63">
        <f t="shared" si="19"/>
        <v>37.210476654365735</v>
      </c>
    </row>
    <row r="256" spans="1:476" ht="13.2" x14ac:dyDescent="0.25">
      <c r="A256" s="114" t="s">
        <v>333</v>
      </c>
      <c r="B256" s="20" t="s">
        <v>334</v>
      </c>
      <c r="C256" s="20" t="s">
        <v>73</v>
      </c>
      <c r="D256" s="104" t="s">
        <v>240</v>
      </c>
      <c r="E256" s="15">
        <v>84</v>
      </c>
      <c r="F256" s="15">
        <v>226</v>
      </c>
      <c r="G256" s="20" t="s">
        <v>186</v>
      </c>
      <c r="H256" s="49">
        <v>0.75</v>
      </c>
      <c r="I256" s="68">
        <f>inputs!$C$66*inputs!$C$64/1000</f>
        <v>21.3</v>
      </c>
      <c r="J256" s="68">
        <f>inputs!$C$66*inputs!$C$63/1000</f>
        <v>8.8000000000000007</v>
      </c>
      <c r="K256" s="69">
        <f t="shared" si="21"/>
        <v>6.6501752305763837</v>
      </c>
      <c r="L256" s="69">
        <f t="shared" si="20"/>
        <v>2.7474902361066751</v>
      </c>
      <c r="M256" s="69">
        <f>IF((((1.18*F256^0.874)/3.7-(0.301*F256^0.751)/(1-H256)*H256)*(MAX('Max rate concentrations'!$P$3:$P$368)))/F256&gt;0, (((1.18*F256^0.874)/3.7-(0.301*F256^0.751)/(1-H256)*H256)*(MAX('Max rate concentrations'!$P$3:$P$368)))/F256, 0)</f>
        <v>0</v>
      </c>
      <c r="N256" s="69">
        <f>IF((((1.18*F256^0.874)/3.7-(0.301*F256^0.751)/(1-H256)*H256)*(MAX('Max rate concentrations'!$Q$3:$Q$368)))/F256&gt;0, (((1.18*F256^0.874)/3.7-(0.301*F256^0.751)/(1-H256)*H256)*(MAX('Max rate concentrations'!$Q$3:$Q$368)))/F256, 0)</f>
        <v>0</v>
      </c>
      <c r="O256" s="69">
        <f>((MAX('Max rate concentrations'!$F$3:$F$368))*0.62*6.01*8*(10*F256^0.667)*0.079*0.1/F256)*inputs!$E$80/(10^(0.84+0.62*LOG10(inputs!$E$80)))</f>
        <v>24.145450653697157</v>
      </c>
      <c r="P256" s="69">
        <f>((MAX('Max rate concentrations'!Y:Y))*0.62*6.01*8*(10*F256^0.667)*0.079*0.1/F256)*inputs!$E$80/(10^(0.84+0.62*LOG10(inputs!$E$80)))</f>
        <v>8.0484835512323851</v>
      </c>
      <c r="Q256" s="69">
        <f>(inputs!$C$18*11.2*(10*F256^0.667)*0.5/F256)*inputs!$E$80/(10^(0.84+0.62*LOG10(inputs!$E$80)))</f>
        <v>4.2531072487453008</v>
      </c>
      <c r="R256" s="59">
        <f>(60*284*((F256/1000)^0.77)*3*24*(MAX('Max rate concentrations'!$R$3:$R$368))/F256)*(inputs!$E$73*3.4/inputs!$E$75)</f>
        <v>3.9595133755892124E-2</v>
      </c>
      <c r="S256" s="59">
        <f>(IF(inputs!$C$17="aerial",((0.025*0.112*inputs!$C$18/3.3)*(3*60*284*((F256/1000)^0.77))*MAX(inputs!$I$14:$I$16))/F256,((0.0083*0.112*inputs!$C$18/1)*(3*60*284*((F256/1000)^0.77))*MAX(inputs!$I$14:$I$16))/F256))*(inputs!E$75*3.4/inputs!$E$73)</f>
        <v>0.21836959532181638</v>
      </c>
      <c r="T256" s="63">
        <f>IF((((inputs!$P$13/(V256/MAX(K256:S256)))^(1/inputs!$O$13))-1)/inputs!$N$13&lt;0, 0, IF((((inputs!$P$13/(V256/MAX(K256:S256)))^(1/inputs!$O$13))-1)/inputs!$N$13&lt;inputs!$I$17, (((inputs!$P$13/(V256/MAX(K256:S256)))^(1/inputs!$O$13))-1)/inputs!$N$13, inputs!$I$17))</f>
        <v>1000</v>
      </c>
      <c r="U256" s="63">
        <f>IF((((inputs!$P$13/(X256/MAX(K256:S256)))^(1/inputs!$O$13))-1)/inputs!$N$13&lt;0, 0, IF((((inputs!$P$13/(X256/MAX(K256:S256)))^(1/inputs!$O$13))-1)/inputs!$N$13&lt;inputs!$I$17, (((inputs!$P$13/(X256/MAX(K256:S256)))^(1/inputs!$O$13))-1)/inputs!$N$13, inputs!$I$17))</f>
        <v>29.81446124039871</v>
      </c>
      <c r="V256" s="21">
        <f>inputs!$E$78*(F256/inputs!$F$78)^(inputs!$E$84-1)</f>
        <v>1.4051849136397839E-2</v>
      </c>
      <c r="W256" s="21">
        <f>inputs!$E$85*(F256/inputs!$F$85)^(inputs!$E$84-1)</f>
        <v>0.6488885073409637</v>
      </c>
      <c r="X256" s="21">
        <f>inputs!$E$80*(F256/inputs!$F$80)^(inputs!$E$84-1)</f>
        <v>2.4230646793111932</v>
      </c>
      <c r="Y256" s="21">
        <f>inputs!$E$82*(F256/inputs!$F$82)^(inputs!$E$84-1)</f>
        <v>1.1167522208400387</v>
      </c>
      <c r="Z256" s="63">
        <f t="shared" si="18"/>
        <v>1718.3112641847499</v>
      </c>
      <c r="AA256" s="63">
        <f t="shared" si="19"/>
        <v>37.210476654365735</v>
      </c>
    </row>
    <row r="257" spans="1:27" ht="13.2" x14ac:dyDescent="0.25">
      <c r="A257" s="103" t="s">
        <v>323</v>
      </c>
      <c r="B257" s="20" t="s">
        <v>324</v>
      </c>
      <c r="C257" s="20" t="s">
        <v>73</v>
      </c>
      <c r="D257" s="104" t="s">
        <v>141</v>
      </c>
      <c r="E257" s="15">
        <v>78</v>
      </c>
      <c r="F257" s="15">
        <v>20</v>
      </c>
      <c r="G257" s="20" t="s">
        <v>142</v>
      </c>
      <c r="H257" s="20">
        <v>0.69</v>
      </c>
      <c r="I257" s="68">
        <f>MAX('Max rate concentrations'!$H$3:$H$368)</f>
        <v>282</v>
      </c>
      <c r="J257" s="68">
        <f>MAX('Max rate concentrations'!AA:AA)</f>
        <v>195</v>
      </c>
      <c r="K257" s="69">
        <f t="shared" ref="K257:K320" si="22">((0.398*F257^0.85)/(1-H257))*I257/F257</f>
        <v>231.00213149036972</v>
      </c>
      <c r="L257" s="69">
        <f t="shared" ref="L257:L298" si="23">((0.398*F257^0.85)/(1-H257))*J257/F257</f>
        <v>159.73551645610672</v>
      </c>
      <c r="M257" s="69">
        <f>IF((((1.18*F257^0.874)-(0.301*F257^0.751)/(1-H257)*H257)*(MAX('Max rate concentrations'!$P$3:$P$368)))/F257&gt;0, (((1.18*F257^0.874)-(0.301*F257^0.751)/(1-H257)*H257)*(MAX('Max rate concentrations'!$P$3:$P$368)))/F257, 0)</f>
        <v>0.42782227393758332</v>
      </c>
      <c r="N257" s="69">
        <f>IF((((1.18*F257^0.874)-(0.301*F257^0.751)/(1-H257)*H257)*(MAX('Max rate concentrations'!$Q$3:$Q$368)))/F257&gt;0, (((1.18*F257^0.874)-(0.301*F257^0.751)/(1-H257)*H257)*(MAX('Max rate concentrations'!$Q$3:$Q$368)))/F257, 0)</f>
        <v>1.629170206766031</v>
      </c>
      <c r="O257" s="69">
        <f>((MAX('Max rate concentrations'!$F$3:$F$368))*0.62*6.01*8*(10*F257^0.667)*0.079*0.1/F257)*inputs!$E$80/(10^(0.84+0.62*LOG10(inputs!$E$80)))</f>
        <v>54.139025873277951</v>
      </c>
      <c r="P257" s="69">
        <f>((MAX('Max rate concentrations'!Y:Y))*0.62*6.01*8*(10*F257^0.667)*0.079*0.1/F257)*inputs!$E$80/(10^(0.84+0.62*LOG10(inputs!$E$80)))</f>
        <v>18.046341957759321</v>
      </c>
      <c r="Q257" s="69">
        <f>(inputs!$C$18*11.2*(10*F257^0.667)*0.5/F257)*inputs!$E$80/(10^(0.84+0.62*LOG10(inputs!$E$80)))</f>
        <v>9.5363340566348267</v>
      </c>
      <c r="R257" s="59">
        <f>(60*284*((F257/1000)^0.77)*3*24*(MAX('Max rate concentrations'!$R$3:$R$368))/F257)*(inputs!$E$73*3.4/inputs!$E$75)</f>
        <v>6.9159183353676532E-2</v>
      </c>
      <c r="S257" s="59">
        <f>(IF(inputs!$C$17="aerial",((0.025*0.112*inputs!$C$18/3.3)*(3*60*284*((F257/1000)^0.77))*MAX(inputs!$I$14:$I$16))/F257,((0.0083*0.112*inputs!$C$18/1)*(3*60*284*((F257/1000)^0.77))*MAX(inputs!$I$14:$I$16))/F257))*(inputs!E$75*3.4/inputs!$E$73)</f>
        <v>0.38141714521881848</v>
      </c>
      <c r="T257" s="63">
        <f>IF((((inputs!$P$13/(V257/MAX(K257:S257)))^(1/inputs!$O$13))-1)/inputs!$N$13&lt;0, 0, IF((((inputs!$P$13/(V257/MAX(K257:S257)))^(1/inputs!$O$13))-1)/inputs!$N$13&lt;inputs!$I$17, (((inputs!$P$13/(V257/MAX(K257:S257)))^(1/inputs!$O$13))-1)/inputs!$N$13, inputs!$I$17))</f>
        <v>1000</v>
      </c>
      <c r="U257" s="63">
        <f>IF((((inputs!$P$13/(X257/MAX(K257:S257)))^(1/inputs!$O$13))-1)/inputs!$N$13&lt;0, 0, IF((((inputs!$P$13/(X257/MAX(K257:S257)))^(1/inputs!$O$13))-1)/inputs!$N$13&lt;inputs!$I$17, (((inputs!$P$13/(X257/MAX(K257:S257)))^(1/inputs!$O$13))-1)/inputs!$N$13, inputs!$I$17))</f>
        <v>100.12028092729068</v>
      </c>
      <c r="V257" s="21">
        <f>inputs!$E$78*(F257/inputs!$F$78)^(inputs!$E$84-1)</f>
        <v>3.4464541288703368E-2</v>
      </c>
      <c r="W257" s="21">
        <f>inputs!$E$85*(F257/inputs!$F$85)^(inputs!$E$84-1)</f>
        <v>1.5915090274553441</v>
      </c>
      <c r="X257" s="21">
        <f>inputs!$E$80*(F257/inputs!$F$80)^(inputs!$E$84-1)</f>
        <v>5.9429767480927405</v>
      </c>
      <c r="Y257" s="21">
        <f>inputs!$E$82*(F257/inputs!$F$82)^(inputs!$E$84-1)</f>
        <v>2.739024070839057</v>
      </c>
      <c r="Z257" s="63">
        <f t="shared" si="18"/>
        <v>6702.6028159001371</v>
      </c>
      <c r="AA257" s="63">
        <f t="shared" si="19"/>
        <v>145.14660457799468</v>
      </c>
    </row>
    <row r="258" spans="1:27" ht="13.2" x14ac:dyDescent="0.25">
      <c r="A258" s="103" t="s">
        <v>323</v>
      </c>
      <c r="B258" s="20" t="s">
        <v>324</v>
      </c>
      <c r="C258" s="20" t="s">
        <v>73</v>
      </c>
      <c r="D258" s="104" t="s">
        <v>141</v>
      </c>
      <c r="E258" s="15">
        <v>78</v>
      </c>
      <c r="F258" s="15">
        <v>20</v>
      </c>
      <c r="G258" s="20" t="s">
        <v>152</v>
      </c>
      <c r="H258" s="20">
        <v>0.77</v>
      </c>
      <c r="I258" s="68">
        <f>MAX('Max rate concentrations'!$G$3:$G$368)</f>
        <v>45</v>
      </c>
      <c r="J258" s="68">
        <f>MAX('Max rate concentrations'!Z:Z)</f>
        <v>21</v>
      </c>
      <c r="K258" s="69">
        <f t="shared" si="22"/>
        <v>49.683622175310788</v>
      </c>
      <c r="L258" s="69">
        <f t="shared" si="23"/>
        <v>23.185690348478367</v>
      </c>
      <c r="M258" s="69">
        <f>IF((((1.18*F258^0.874)-(0.301*F258^0.751)/(1-H258)*H258)*(MAX('Max rate concentrations'!$P$3:$P$368)))/F258&gt;0, (((1.18*F258^0.874)-(0.301*F258^0.751)/(1-H258)*H258)*(MAX('Max rate concentrations'!$P$3:$P$368)))/F258, 0)</f>
        <v>0.28832269947255484</v>
      </c>
      <c r="N258" s="69">
        <f>IF((((1.18*F258^0.874)-(0.301*F258^0.751)/(1-H258)*H258)*(MAX('Max rate concentrations'!$Q$3:$Q$368)))/F258&gt;0, (((1.18*F258^0.874)-(0.301*F258^0.751)/(1-H258)*H258)*(MAX('Max rate concentrations'!$Q$3:$Q$368)))/F258, 0)</f>
        <v>1.0979483316559921</v>
      </c>
      <c r="O258" s="69">
        <f>((MAX('Max rate concentrations'!$F$3:$F$368))*0.62*6.01*8*(10*F258^0.667)*0.079*0.1/F258)*inputs!$E$80/(10^(0.84+0.62*LOG10(inputs!$E$80)))</f>
        <v>54.139025873277951</v>
      </c>
      <c r="P258" s="69">
        <f>((MAX('Max rate concentrations'!Y:Y))*0.62*6.01*8*(10*F258^0.667)*0.079*0.1/F258)*inputs!$E$80/(10^(0.84+0.62*LOG10(inputs!$E$80)))</f>
        <v>18.046341957759321</v>
      </c>
      <c r="Q258" s="69">
        <f>(inputs!$C$18*11.2*(10*F258^0.667)*0.5/F258)*inputs!$E$80/(10^(0.84+0.62*LOG10(inputs!$E$80)))</f>
        <v>9.5363340566348267</v>
      </c>
      <c r="R258" s="59">
        <f>(60*284*((F258/1000)^0.77)*3*24*(MAX('Max rate concentrations'!$R$3:$R$368))/F258)*(inputs!$E$73*3.4/inputs!$E$75)</f>
        <v>6.9159183353676532E-2</v>
      </c>
      <c r="S258" s="59">
        <f>(IF(inputs!$C$17="aerial",((0.025*0.112*inputs!$C$18/3.3)*(3*60*284*((F258/1000)^0.77))*MAX(inputs!$I$14:$I$16))/F258,((0.0083*0.112*inputs!$C$18/1)*(3*60*284*((F258/1000)^0.77))*MAX(inputs!$I$14:$I$16))/F258))*(inputs!E$75*3.4/inputs!$E$73)</f>
        <v>0.38141714521881848</v>
      </c>
      <c r="T258" s="63">
        <f>IF((((inputs!$P$13/(V258/MAX(K258:S258)))^(1/inputs!$O$13))-1)/inputs!$N$13&lt;0, 0, IF((((inputs!$P$13/(V258/MAX(K258:S258)))^(1/inputs!$O$13))-1)/inputs!$N$13&lt;inputs!$I$17, (((inputs!$P$13/(V258/MAX(K258:S258)))^(1/inputs!$O$13))-1)/inputs!$N$13, inputs!$I$17))</f>
        <v>1000</v>
      </c>
      <c r="U258" s="63">
        <f>IF((((inputs!$P$13/(X258/MAX(K258:S258)))^(1/inputs!$O$13))-1)/inputs!$N$13&lt;0, 0, IF((((inputs!$P$13/(X258/MAX(K258:S258)))^(1/inputs!$O$13))-1)/inputs!$N$13&lt;inputs!$I$17, (((inputs!$P$13/(X258/MAX(K258:S258)))^(1/inputs!$O$13))-1)/inputs!$N$13, inputs!$I$17))</f>
        <v>27.362143428712233</v>
      </c>
      <c r="V258" s="21">
        <f>inputs!$E$78*(F258/inputs!$F$78)^(inputs!$E$84-1)</f>
        <v>3.4464541288703368E-2</v>
      </c>
      <c r="W258" s="21">
        <f>inputs!$E$85*(F258/inputs!$F$85)^(inputs!$E$84-1)</f>
        <v>1.5915090274553441</v>
      </c>
      <c r="X258" s="21">
        <f>inputs!$E$80*(F258/inputs!$F$80)^(inputs!$E$84-1)</f>
        <v>5.9429767480927405</v>
      </c>
      <c r="Y258" s="21">
        <f>inputs!$E$82*(F258/inputs!$F$82)^(inputs!$E$84-1)</f>
        <v>2.739024070839057</v>
      </c>
      <c r="Z258" s="63">
        <f t="shared" ref="Z258:Z321" si="24">MAX(K258:S258)/V258</f>
        <v>1570.8616406574197</v>
      </c>
      <c r="AA258" s="63">
        <f t="shared" ref="AA258:AA321" si="25">MAX(K258:S258)/W258</f>
        <v>34.017416765672117</v>
      </c>
    </row>
    <row r="259" spans="1:27" ht="13.2" x14ac:dyDescent="0.25">
      <c r="A259" s="103" t="s">
        <v>323</v>
      </c>
      <c r="B259" s="20" t="s">
        <v>324</v>
      </c>
      <c r="C259" s="20" t="s">
        <v>73</v>
      </c>
      <c r="D259" s="104" t="s">
        <v>141</v>
      </c>
      <c r="E259" s="15">
        <v>78</v>
      </c>
      <c r="F259" s="15">
        <v>20</v>
      </c>
      <c r="G259" s="20" t="s">
        <v>177</v>
      </c>
      <c r="H259" s="20">
        <v>0.85</v>
      </c>
      <c r="I259" s="68">
        <f>MAX('Max rate concentrations'!$F$3:$F$368)</f>
        <v>405</v>
      </c>
      <c r="J259" s="68">
        <f>MAX('Max rate concentrations'!Y:Y)</f>
        <v>135</v>
      </c>
      <c r="K259" s="69">
        <f t="shared" si="22"/>
        <v>685.63398601928884</v>
      </c>
      <c r="L259" s="69">
        <f t="shared" si="23"/>
        <v>228.5446620064296</v>
      </c>
      <c r="M259" s="69">
        <f>IF((((1.18*F259^0.874)-(0.301*F259^0.751)/(1-H259)*H259)*(MAX('Max rate concentrations'!$P$3:$P$368)))/F259&gt;0, (((1.18*F259^0.874)-(0.301*F259^0.751)/(1-H259)*H259)*(MAX('Max rate concentrations'!$P$3:$P$368)))/F259, 0)</f>
        <v>2.357891149636444E-5</v>
      </c>
      <c r="N259" s="69">
        <f>IF((((1.18*F259^0.874)-(0.301*F259^0.751)/(1-H259)*H259)*(MAX('Max rate concentrations'!$Q$3:$Q$368)))/F259&gt;0, (((1.18*F259^0.874)-(0.301*F259^0.751)/(1-H259)*H259)*(MAX('Max rate concentrations'!$Q$3:$Q$368)))/F259, 0)</f>
        <v>8.9789761912803957E-5</v>
      </c>
      <c r="O259" s="69">
        <f>((MAX('Max rate concentrations'!$F$3:$F$368))*0.62*6.01*8*(10*F259^0.667)*0.079*0.1/F259)*inputs!$E$80/(10^(0.84+0.62*LOG10(inputs!$E$80)))</f>
        <v>54.139025873277951</v>
      </c>
      <c r="P259" s="69">
        <f>((MAX('Max rate concentrations'!Y:Y))*0.62*6.01*8*(10*F259^0.667)*0.079*0.1/F259)*inputs!$E$80/(10^(0.84+0.62*LOG10(inputs!$E$80)))</f>
        <v>18.046341957759321</v>
      </c>
      <c r="Q259" s="69">
        <f>(inputs!$C$18*11.2*(10*F259^0.667)*0.5/F259)*inputs!$E$80/(10^(0.84+0.62*LOG10(inputs!$E$80)))</f>
        <v>9.5363340566348267</v>
      </c>
      <c r="R259" s="59">
        <f>(60*284*((F259/1000)^0.77)*3*24*(MAX('Max rate concentrations'!$R$3:$R$368))/F259)*(inputs!$E$73*3.4/inputs!$E$75)</f>
        <v>6.9159183353676532E-2</v>
      </c>
      <c r="S259" s="59">
        <f>(IF(inputs!$C$17="aerial",((0.025*0.112*inputs!$C$18/3.3)*(3*60*284*((F259/1000)^0.77))*MAX(inputs!$I$14:$I$16))/F259,((0.0083*0.112*inputs!$C$18/1)*(3*60*284*((F259/1000)^0.77))*MAX(inputs!$I$14:$I$16))/F259))*(inputs!E$75*3.4/inputs!$E$73)</f>
        <v>0.38141714521881848</v>
      </c>
      <c r="T259" s="63">
        <f>IF((((inputs!$P$13/(V259/MAX(K259:S259)))^(1/inputs!$O$13))-1)/inputs!$N$13&lt;0, 0, IF((((inputs!$P$13/(V259/MAX(K259:S259)))^(1/inputs!$O$13))-1)/inputs!$N$13&lt;inputs!$I$17, (((inputs!$P$13/(V259/MAX(K259:S259)))^(1/inputs!$O$13))-1)/inputs!$N$13, inputs!$I$17))</f>
        <v>1000</v>
      </c>
      <c r="U259" s="63">
        <f>IF((((inputs!$P$13/(X259/MAX(K259:S259)))^(1/inputs!$O$13))-1)/inputs!$N$13&lt;0, 0, IF((((inputs!$P$13/(X259/MAX(K259:S259)))^(1/inputs!$O$13))-1)/inputs!$N$13&lt;inputs!$I$17, (((inputs!$P$13/(X259/MAX(K259:S259)))^(1/inputs!$O$13))-1)/inputs!$N$13, inputs!$I$17))</f>
        <v>248.69552013317306</v>
      </c>
      <c r="V259" s="21">
        <f>inputs!$E$78*(F259/inputs!$F$78)^(inputs!$E$84-1)</f>
        <v>3.4464541288703368E-2</v>
      </c>
      <c r="W259" s="21">
        <f>inputs!$E$85*(F259/inputs!$F$85)^(inputs!$E$84-1)</f>
        <v>1.5915090274553441</v>
      </c>
      <c r="X259" s="21">
        <f>inputs!$E$80*(F259/inputs!$F$80)^(inputs!$E$84-1)</f>
        <v>5.9429767480927405</v>
      </c>
      <c r="Y259" s="21">
        <f>inputs!$E$82*(F259/inputs!$F$82)^(inputs!$E$84-1)</f>
        <v>2.739024070839057</v>
      </c>
      <c r="Z259" s="63">
        <f t="shared" si="24"/>
        <v>19893.89559187381</v>
      </c>
      <c r="AA259" s="63">
        <f t="shared" si="25"/>
        <v>430.80747529000553</v>
      </c>
    </row>
    <row r="260" spans="1:27" ht="13.2" x14ac:dyDescent="0.25">
      <c r="A260" s="103" t="s">
        <v>323</v>
      </c>
      <c r="B260" s="20" t="s">
        <v>324</v>
      </c>
      <c r="C260" s="20" t="s">
        <v>73</v>
      </c>
      <c r="D260" s="104" t="s">
        <v>141</v>
      </c>
      <c r="E260" s="15">
        <v>78</v>
      </c>
      <c r="F260" s="15">
        <v>20</v>
      </c>
      <c r="G260" s="20" t="s">
        <v>153</v>
      </c>
      <c r="H260" s="20">
        <v>0.7</v>
      </c>
      <c r="I260" s="68">
        <f>MAX('Max rate concentrations'!$E$3:$E$368)</f>
        <v>330</v>
      </c>
      <c r="J260" s="68">
        <f>MAX('Max rate concentrations'!X:X)</f>
        <v>108</v>
      </c>
      <c r="K260" s="69">
        <f t="shared" si="22"/>
        <v>279.33236467452508</v>
      </c>
      <c r="L260" s="69">
        <f t="shared" si="23"/>
        <v>91.417864802571842</v>
      </c>
      <c r="M260" s="69">
        <f>IF((((1.18*F260^0.874)-(0.301*F260^0.751)/(1-H260)*H260)*(MAX('Max rate concentrations'!$P$3:$P$368)))/F260&gt;0, (((1.18*F260^0.874)-(0.301*F260^0.751)/(1-H260)*H260)*(MAX('Max rate concentrations'!$P$3:$P$368)))/F260, 0)</f>
        <v>0.41445356471801809</v>
      </c>
      <c r="N260" s="69">
        <f>IF((((1.18*F260^0.874)-(0.301*F260^0.751)/(1-H260)*H260)*(MAX('Max rate concentrations'!$Q$3:$Q$368)))/F260&gt;0, (((1.18*F260^0.874)-(0.301*F260^0.751)/(1-H260)*H260)*(MAX('Max rate concentrations'!$Q$3:$Q$368)))/F260, 0)</f>
        <v>1.5782614437346523</v>
      </c>
      <c r="O260" s="69">
        <f>((MAX('Max rate concentrations'!$F$3:$F$368))*0.62*6.01*8*(10*F260^0.667)*0.079*0.1/F260)*inputs!$E$80/(10^(0.84+0.62*LOG10(inputs!$E$80)))</f>
        <v>54.139025873277951</v>
      </c>
      <c r="P260" s="69">
        <f>((MAX('Max rate concentrations'!Y:Y))*0.62*6.01*8*(10*F260^0.667)*0.079*0.1/F260)*inputs!$E$80/(10^(0.84+0.62*LOG10(inputs!$E$80)))</f>
        <v>18.046341957759321</v>
      </c>
      <c r="Q260" s="69">
        <f>(inputs!$C$18*11.2*(10*F260^0.667)*0.5/F260)*inputs!$E$80/(10^(0.84+0.62*LOG10(inputs!$E$80)))</f>
        <v>9.5363340566348267</v>
      </c>
      <c r="R260" s="59">
        <f>(60*284*((F260/1000)^0.77)*3*24*(MAX('Max rate concentrations'!$R$3:$R$368))/F260)*(inputs!$E$73*3.4/inputs!$E$75)</f>
        <v>6.9159183353676532E-2</v>
      </c>
      <c r="S260" s="59">
        <f>(IF(inputs!$C$17="aerial",((0.025*0.112*inputs!$C$18/3.3)*(3*60*284*((F260/1000)^0.77))*MAX(inputs!$I$14:$I$16))/F260,((0.0083*0.112*inputs!$C$18/1)*(3*60*284*((F260/1000)^0.77))*MAX(inputs!$I$14:$I$16))/F260))*(inputs!E$75*3.4/inputs!$E$73)</f>
        <v>0.38141714521881848</v>
      </c>
      <c r="T260" s="63">
        <f>IF((((inputs!$P$13/(V260/MAX(K260:S260)))^(1/inputs!$O$13))-1)/inputs!$N$13&lt;0, 0, IF((((inputs!$P$13/(V260/MAX(K260:S260)))^(1/inputs!$O$13))-1)/inputs!$N$13&lt;inputs!$I$17, (((inputs!$P$13/(V260/MAX(K260:S260)))^(1/inputs!$O$13))-1)/inputs!$N$13, inputs!$I$17))</f>
        <v>1000</v>
      </c>
      <c r="U260" s="63">
        <f>IF((((inputs!$P$13/(X260/MAX(K260:S260)))^(1/inputs!$O$13))-1)/inputs!$N$13&lt;0, 0, IF((((inputs!$P$13/(X260/MAX(K260:S260)))^(1/inputs!$O$13))-1)/inputs!$N$13&lt;inputs!$I$17, (((inputs!$P$13/(X260/MAX(K260:S260)))^(1/inputs!$O$13))-1)/inputs!$N$13, inputs!$I$17))</f>
        <v>117.61390563791687</v>
      </c>
      <c r="V260" s="21">
        <f>inputs!$E$78*(F260/inputs!$F$78)^(inputs!$E$84-1)</f>
        <v>3.4464541288703368E-2</v>
      </c>
      <c r="W260" s="21">
        <f>inputs!$E$85*(F260/inputs!$F$85)^(inputs!$E$84-1)</f>
        <v>1.5915090274553441</v>
      </c>
      <c r="X260" s="21">
        <f>inputs!$E$80*(F260/inputs!$F$80)^(inputs!$E$84-1)</f>
        <v>5.9429767480927405</v>
      </c>
      <c r="Y260" s="21">
        <f>inputs!$E$82*(F260/inputs!$F$82)^(inputs!$E$84-1)</f>
        <v>2.739024070839057</v>
      </c>
      <c r="Z260" s="63">
        <f t="shared" si="24"/>
        <v>8104.9204263189595</v>
      </c>
      <c r="AA260" s="63">
        <f t="shared" si="25"/>
        <v>175.51415659963186</v>
      </c>
    </row>
    <row r="261" spans="1:27" ht="13.2" x14ac:dyDescent="0.25">
      <c r="A261" s="103" t="s">
        <v>271</v>
      </c>
      <c r="B261" s="20" t="s">
        <v>272</v>
      </c>
      <c r="C261" s="20" t="s">
        <v>73</v>
      </c>
      <c r="D261" s="104" t="s">
        <v>141</v>
      </c>
      <c r="E261" s="15">
        <v>6522</v>
      </c>
      <c r="F261" s="15">
        <v>9.5</v>
      </c>
      <c r="G261" s="20" t="s">
        <v>142</v>
      </c>
      <c r="H261" s="20">
        <v>0.69</v>
      </c>
      <c r="I261" s="68">
        <f>MAX('Max rate concentrations'!$H$3:$H$368)</f>
        <v>282</v>
      </c>
      <c r="J261" s="68">
        <f>MAX('Max rate concentrations'!AA:AA)</f>
        <v>195</v>
      </c>
      <c r="K261" s="69">
        <f t="shared" si="22"/>
        <v>258.29258918242044</v>
      </c>
      <c r="L261" s="69">
        <f t="shared" si="23"/>
        <v>178.60657762614179</v>
      </c>
      <c r="M261" s="69">
        <f>IF((((1.18*F261^0.874)-(0.301*F261^0.751)/(1-H261)*H261)*(MAX('Max rate concentrations'!$P$3:$P$368)))/F261&gt;0, (((1.18*F261^0.874)-(0.301*F261^0.751)/(1-H261)*H261)*(MAX('Max rate concentrations'!$P$3:$P$368)))/F261, 0)</f>
        <v>0.44074893684793331</v>
      </c>
      <c r="N261" s="69">
        <f>IF((((1.18*F261^0.874)-(0.301*F261^0.751)/(1-H261)*H261)*(MAX('Max rate concentrations'!$Q$3:$Q$368)))/F261&gt;0, (((1.18*F261^0.874)-(0.301*F261^0.751)/(1-H261)*H261)*(MAX('Max rate concentrations'!$Q$3:$Q$368)))/F261, 0)</f>
        <v>1.678395633700025</v>
      </c>
      <c r="O261" s="69">
        <f>((MAX('Max rate concentrations'!$F$3:$F$368))*0.62*6.01*8*(10*F261^0.667)*0.079*0.1/F261)*inputs!$E$80/(10^(0.84+0.62*LOG10(inputs!$E$80)))</f>
        <v>69.36996337602676</v>
      </c>
      <c r="P261" s="69">
        <f>((MAX('Max rate concentrations'!Y:Y))*0.62*6.01*8*(10*F261^0.667)*0.079*0.1/F261)*inputs!$E$80/(10^(0.84+0.62*LOG10(inputs!$E$80)))</f>
        <v>23.123321125342258</v>
      </c>
      <c r="Q261" s="69">
        <f>(inputs!$C$18*11.2*(10*F261^0.667)*0.5/F261)*inputs!$E$80/(10^(0.84+0.62*LOG10(inputs!$E$80)))</f>
        <v>12.219191859837958</v>
      </c>
      <c r="R261" s="59">
        <f>(60*284*((F261/1000)^0.77)*3*24*(MAX('Max rate concentrations'!$R$3:$R$368))/F261)*(inputs!$E$73*3.4/inputs!$E$75)</f>
        <v>8.2074893181321468E-2</v>
      </c>
      <c r="S261" s="59">
        <f>(IF(inputs!$C$17="aerial",((0.025*0.112*inputs!$C$18/3.3)*(3*60*284*((F261/1000)^0.77))*MAX(inputs!$I$14:$I$16))/F261,((0.0083*0.112*inputs!$C$18/1)*(3*60*284*((F261/1000)^0.77))*MAX(inputs!$I$14:$I$16))/F261))*(inputs!E$75*3.4/inputs!$E$73)</f>
        <v>0.45264807843765448</v>
      </c>
      <c r="T261" s="63">
        <f>IF((((inputs!$P$13/(V261/MAX(K261:S261)))^(1/inputs!$O$13))-1)/inputs!$N$13&lt;0, 0, IF((((inputs!$P$13/(V261/MAX(K261:S261)))^(1/inputs!$O$13))-1)/inputs!$N$13&lt;inputs!$I$17, (((inputs!$P$13/(V261/MAX(K261:S261)))^(1/inputs!$O$13))-1)/inputs!$N$13, inputs!$I$17))</f>
        <v>1000</v>
      </c>
      <c r="U261" s="63">
        <f>IF((((inputs!$P$13/(X261/MAX(K261:S261)))^(1/inputs!$O$13))-1)/inputs!$N$13&lt;0, 0, IF((((inputs!$P$13/(X261/MAX(K261:S261)))^(1/inputs!$O$13))-1)/inputs!$N$13&lt;inputs!$I$17, (((inputs!$P$13/(X261/MAX(K261:S261)))^(1/inputs!$O$13))-1)/inputs!$N$13, inputs!$I$17))</f>
        <v>87.052361068062623</v>
      </c>
      <c r="V261" s="21">
        <f>inputs!$E$78*(F261/inputs!$F$78)^(inputs!$E$84-1)</f>
        <v>4.5393729669291928E-2</v>
      </c>
      <c r="W261" s="21">
        <f>inputs!$E$85*(F261/inputs!$F$85)^(inputs!$E$84-1)</f>
        <v>2.0961988135389915</v>
      </c>
      <c r="X261" s="21">
        <f>inputs!$E$80*(F261/inputs!$F$80)^(inputs!$E$84-1)</f>
        <v>7.8275778480253475</v>
      </c>
      <c r="Y261" s="21">
        <f>inputs!$E$82*(F261/inputs!$F$82)^(inputs!$E$84-1)</f>
        <v>3.6076069368753059</v>
      </c>
      <c r="Z261" s="63">
        <f t="shared" si="24"/>
        <v>5690.0499488402011</v>
      </c>
      <c r="AA261" s="63">
        <f t="shared" si="25"/>
        <v>123.21950929184415</v>
      </c>
    </row>
    <row r="262" spans="1:27" ht="13.2" x14ac:dyDescent="0.25">
      <c r="A262" s="103" t="s">
        <v>261</v>
      </c>
      <c r="B262" s="20" t="s">
        <v>262</v>
      </c>
      <c r="C262" s="20" t="s">
        <v>73</v>
      </c>
      <c r="D262" s="104" t="s">
        <v>141</v>
      </c>
      <c r="E262" s="15">
        <v>65</v>
      </c>
      <c r="F262" s="15">
        <v>28</v>
      </c>
      <c r="G262" s="20" t="s">
        <v>142</v>
      </c>
      <c r="H262" s="20">
        <v>0.69</v>
      </c>
      <c r="I262" s="68">
        <f>MAX('Max rate concentrations'!$H$3:$H$368)</f>
        <v>282</v>
      </c>
      <c r="J262" s="68">
        <f>MAX('Max rate concentrations'!AA:AA)</f>
        <v>195</v>
      </c>
      <c r="K262" s="69">
        <f t="shared" si="22"/>
        <v>219.63258942889689</v>
      </c>
      <c r="L262" s="69">
        <f t="shared" si="23"/>
        <v>151.87359907317341</v>
      </c>
      <c r="M262" s="69">
        <f>IF((((1.18*F262^0.874)-(0.301*F262^0.751)/(1-H262)*H262)*(MAX('Max rate concentrations'!$P$3:$P$368)))/F262&gt;0, (((1.18*F262^0.874)-(0.301*F262^0.751)/(1-H262)*H262)*(MAX('Max rate concentrations'!$P$3:$P$368)))/F262, 0)</f>
        <v>0.42081704574739787</v>
      </c>
      <c r="N262" s="69">
        <f>IF((((1.18*F262^0.874)-(0.301*F262^0.751)/(1-H262)*H262)*(MAX('Max rate concentrations'!$Q$3:$Q$368)))/F262&gt;0, (((1.18*F262^0.874)-(0.301*F262^0.751)/(1-H262)*H262)*(MAX('Max rate concentrations'!$Q$3:$Q$368)))/F262, 0)</f>
        <v>1.6024939214150895</v>
      </c>
      <c r="O262" s="69">
        <f>((MAX('Max rate concentrations'!$F$3:$F$368))*0.62*6.01*8*(10*F262^0.667)*0.079*0.1/F262)*inputs!$E$80/(10^(0.84+0.62*LOG10(inputs!$E$80)))</f>
        <v>48.400494784641857</v>
      </c>
      <c r="P262" s="69">
        <f>((MAX('Max rate concentrations'!Y:Y))*0.62*6.01*8*(10*F262^0.667)*0.079*0.1/F262)*inputs!$E$80/(10^(0.84+0.62*LOG10(inputs!$E$80)))</f>
        <v>16.133498261547285</v>
      </c>
      <c r="Q262" s="69">
        <f>(inputs!$C$18*11.2*(10*F262^0.667)*0.5/F262)*inputs!$E$80/(10^(0.84+0.62*LOG10(inputs!$E$80)))</f>
        <v>8.5255188716015624</v>
      </c>
      <c r="R262" s="59">
        <f>(60*284*((F262/1000)^0.77)*3*24*(MAX('Max rate concentrations'!$R$3:$R$368))/F262)*(inputs!$E$73*3.4/inputs!$E$75)</f>
        <v>6.4008906532632887E-2</v>
      </c>
      <c r="S262" s="59">
        <f>(IF(inputs!$C$17="aerial",((0.025*0.112*inputs!$C$18/3.3)*(3*60*284*((F262/1000)^0.77))*MAX(inputs!$I$14:$I$16))/F262,((0.0083*0.112*inputs!$C$18/1)*(3*60*284*((F262/1000)^0.77))*MAX(inputs!$I$14:$I$16))/F262))*(inputs!E$75*3.4/inputs!$E$73)</f>
        <v>0.35301305212646289</v>
      </c>
      <c r="T262" s="63">
        <f>IF((((inputs!$P$13/(V262/MAX(K262:S262)))^(1/inputs!$O$13))-1)/inputs!$N$13&lt;0, 0, IF((((inputs!$P$13/(V262/MAX(K262:S262)))^(1/inputs!$O$13))-1)/inputs!$N$13&lt;inputs!$I$17, (((inputs!$P$13/(V262/MAX(K262:S262)))^(1/inputs!$O$13))-1)/inputs!$N$13, inputs!$I$17))</f>
        <v>1000</v>
      </c>
      <c r="U262" s="63">
        <f>IF((((inputs!$P$13/(X262/MAX(K262:S262)))^(1/inputs!$O$13))-1)/inputs!$N$13&lt;0, 0, IF((((inputs!$P$13/(X262/MAX(K262:S262)))^(1/inputs!$O$13))-1)/inputs!$N$13&lt;inputs!$I$17, (((inputs!$P$13/(X262/MAX(K262:S262)))^(1/inputs!$O$13))-1)/inputs!$N$13, inputs!$I$17))</f>
        <v>106.61904949269619</v>
      </c>
      <c r="V262" s="21">
        <f>inputs!$E$78*(F262/inputs!$F$78)^(inputs!$E$84-1)</f>
        <v>3.0430222605646665E-2</v>
      </c>
      <c r="W262" s="21">
        <f>inputs!$E$85*(F262/inputs!$F$85)^(inputs!$E$84-1)</f>
        <v>1.405211622539033</v>
      </c>
      <c r="X262" s="21">
        <f>inputs!$E$80*(F262/inputs!$F$80)^(inputs!$E$84-1)</f>
        <v>5.2473092234052494</v>
      </c>
      <c r="Y262" s="21">
        <f>inputs!$E$82*(F262/inputs!$F$82)^(inputs!$E$84-1)</f>
        <v>2.4184019018171825</v>
      </c>
      <c r="Z262" s="63">
        <f t="shared" si="24"/>
        <v>7217.5807674880971</v>
      </c>
      <c r="AA262" s="63">
        <f t="shared" si="25"/>
        <v>156.29858585431398</v>
      </c>
    </row>
    <row r="263" spans="1:27" ht="13.2" x14ac:dyDescent="0.25">
      <c r="A263" s="103" t="s">
        <v>261</v>
      </c>
      <c r="B263" s="20" t="s">
        <v>262</v>
      </c>
      <c r="C263" s="20" t="s">
        <v>73</v>
      </c>
      <c r="D263" s="104" t="s">
        <v>141</v>
      </c>
      <c r="E263" s="15">
        <v>65</v>
      </c>
      <c r="F263" s="15">
        <v>28</v>
      </c>
      <c r="G263" s="20" t="s">
        <v>153</v>
      </c>
      <c r="H263" s="20">
        <v>0.7</v>
      </c>
      <c r="I263" s="68">
        <f>MAX('Max rate concentrations'!$E$3:$E$368)</f>
        <v>330</v>
      </c>
      <c r="J263" s="68">
        <f>MAX('Max rate concentrations'!X:X)</f>
        <v>108</v>
      </c>
      <c r="K263" s="69">
        <f t="shared" si="22"/>
        <v>265.58408863565194</v>
      </c>
      <c r="L263" s="69">
        <f t="shared" si="23"/>
        <v>86.918429008031552</v>
      </c>
      <c r="M263" s="69">
        <f>IF((((1.18*F263^0.874)-(0.301*F263^0.751)/(1-H263)*H263)*(MAX('Max rate concentrations'!$P$3:$P$368)))/F263&gt;0, (((1.18*F263^0.874)-(0.301*F263^0.751)/(1-H263)*H263)*(MAX('Max rate concentrations'!$P$3:$P$368)))/F263, 0)</f>
        <v>0.40852275169585994</v>
      </c>
      <c r="N263" s="69">
        <f>IF((((1.18*F263^0.874)-(0.301*F263^0.751)/(1-H263)*H263)*(MAX('Max rate concentrations'!$Q$3:$Q$368)))/F263&gt;0, (((1.18*F263^0.874)-(0.301*F263^0.751)/(1-H263)*H263)*(MAX('Max rate concentrations'!$Q$3:$Q$368)))/F263, 0)</f>
        <v>1.5556765890736963</v>
      </c>
      <c r="O263" s="69">
        <f>((MAX('Max rate concentrations'!$F$3:$F$368))*0.62*6.01*8*(10*F263^0.667)*0.079*0.1/F263)*inputs!$E$80/(10^(0.84+0.62*LOG10(inputs!$E$80)))</f>
        <v>48.400494784641857</v>
      </c>
      <c r="P263" s="69">
        <f>((MAX('Max rate concentrations'!Y:Y))*0.62*6.01*8*(10*F263^0.667)*0.079*0.1/F263)*inputs!$E$80/(10^(0.84+0.62*LOG10(inputs!$E$80)))</f>
        <v>16.133498261547285</v>
      </c>
      <c r="Q263" s="69">
        <f>(inputs!$C$18*11.2*(10*F263^0.667)*0.5/F263)*inputs!$E$80/(10^(0.84+0.62*LOG10(inputs!$E$80)))</f>
        <v>8.5255188716015624</v>
      </c>
      <c r="R263" s="59">
        <f>(60*284*((F263/1000)^0.77)*3*24*(MAX('Max rate concentrations'!$R$3:$R$368))/F263)*(inputs!$E$73*3.4/inputs!$E$75)</f>
        <v>6.4008906532632887E-2</v>
      </c>
      <c r="S263" s="59">
        <f>(IF(inputs!$C$17="aerial",((0.025*0.112*inputs!$C$18/3.3)*(3*60*284*((F263/1000)^0.77))*MAX(inputs!$I$14:$I$16))/F263,((0.0083*0.112*inputs!$C$18/1)*(3*60*284*((F263/1000)^0.77))*MAX(inputs!$I$14:$I$16))/F263))*(inputs!E$75*3.4/inputs!$E$73)</f>
        <v>0.35301305212646289</v>
      </c>
      <c r="T263" s="63">
        <f>IF((((inputs!$P$13/(V263/MAX(K263:S263)))^(1/inputs!$O$13))-1)/inputs!$N$13&lt;0, 0, IF((((inputs!$P$13/(V263/MAX(K263:S263)))^(1/inputs!$O$13))-1)/inputs!$N$13&lt;inputs!$I$17, (((inputs!$P$13/(V263/MAX(K263:S263)))^(1/inputs!$O$13))-1)/inputs!$N$13, inputs!$I$17))</f>
        <v>1000</v>
      </c>
      <c r="U263" s="63">
        <f>IF((((inputs!$P$13/(X263/MAX(K263:S263)))^(1/inputs!$O$13))-1)/inputs!$N$13&lt;0, 0, IF((((inputs!$P$13/(X263/MAX(K263:S263)))^(1/inputs!$O$13))-1)/inputs!$N$13&lt;inputs!$I$17, (((inputs!$P$13/(X263/MAX(K263:S263)))^(1/inputs!$O$13))-1)/inputs!$N$13, inputs!$I$17))</f>
        <v>125.19183443259801</v>
      </c>
      <c r="V263" s="21">
        <f>inputs!$E$78*(F263/inputs!$F$78)^(inputs!$E$84-1)</f>
        <v>3.0430222605646665E-2</v>
      </c>
      <c r="W263" s="21">
        <f>inputs!$E$85*(F263/inputs!$F$85)^(inputs!$E$84-1)</f>
        <v>1.405211622539033</v>
      </c>
      <c r="X263" s="21">
        <f>inputs!$E$80*(F263/inputs!$F$80)^(inputs!$E$84-1)</f>
        <v>5.2473092234052494</v>
      </c>
      <c r="Y263" s="21">
        <f>inputs!$E$82*(F263/inputs!$F$82)^(inputs!$E$84-1)</f>
        <v>2.4184019018171825</v>
      </c>
      <c r="Z263" s="63">
        <f t="shared" si="24"/>
        <v>8727.6419918916363</v>
      </c>
      <c r="AA263" s="63">
        <f t="shared" si="25"/>
        <v>188.99935381674138</v>
      </c>
    </row>
    <row r="264" spans="1:27" ht="13.2" x14ac:dyDescent="0.25">
      <c r="A264" s="103" t="s">
        <v>297</v>
      </c>
      <c r="B264" s="20" t="s">
        <v>298</v>
      </c>
      <c r="C264" s="20" t="s">
        <v>73</v>
      </c>
      <c r="D264" s="104" t="s">
        <v>141</v>
      </c>
      <c r="E264" s="15">
        <v>4136</v>
      </c>
      <c r="F264" s="15">
        <v>11.5</v>
      </c>
      <c r="G264" s="20" t="s">
        <v>142</v>
      </c>
      <c r="H264" s="20">
        <v>0.69</v>
      </c>
      <c r="I264" s="68">
        <f>MAX('Max rate concentrations'!$H$3:$H$368)</f>
        <v>282</v>
      </c>
      <c r="J264" s="68">
        <f>MAX('Max rate concentrations'!AA:AA)</f>
        <v>195</v>
      </c>
      <c r="K264" s="69">
        <f t="shared" si="22"/>
        <v>250.99542790249689</v>
      </c>
      <c r="L264" s="69">
        <f t="shared" si="23"/>
        <v>173.56066823044998</v>
      </c>
      <c r="M264" s="69">
        <f>IF((((1.18*F264^0.874)-(0.301*F264^0.751)/(1-H264)*H264)*(MAX('Max rate concentrations'!$P$3:$P$368)))/F264&gt;0, (((1.18*F264^0.874)-(0.301*F264^0.751)/(1-H264)*H264)*(MAX('Max rate concentrations'!$P$3:$P$368)))/F264, 0)</f>
        <v>0.4378177999513439</v>
      </c>
      <c r="N264" s="69">
        <f>IF((((1.18*F264^0.874)-(0.301*F264^0.751)/(1-H264)*H264)*(MAX('Max rate concentrations'!$Q$3:$Q$368)))/F264&gt;0, (((1.18*F264^0.874)-(0.301*F264^0.751)/(1-H264)*H264)*(MAX('Max rate concentrations'!$Q$3:$Q$368)))/F264, 0)</f>
        <v>1.667233706902888</v>
      </c>
      <c r="O264" s="69">
        <f>((MAX('Max rate concentrations'!$F$3:$F$368))*0.62*6.01*8*(10*F264^0.667)*0.079*0.1/F264)*inputs!$E$80/(10^(0.84+0.62*LOG10(inputs!$E$80)))</f>
        <v>65.094012793285771</v>
      </c>
      <c r="P264" s="69">
        <f>((MAX('Max rate concentrations'!Y:Y))*0.62*6.01*8*(10*F264^0.667)*0.079*0.1/F264)*inputs!$E$80/(10^(0.84+0.62*LOG10(inputs!$E$80)))</f>
        <v>21.698004264428594</v>
      </c>
      <c r="Q264" s="69">
        <f>(inputs!$C$18*11.2*(10*F264^0.667)*0.5/F264)*inputs!$E$80/(10^(0.84+0.62*LOG10(inputs!$E$80)))</f>
        <v>11.466003332542952</v>
      </c>
      <c r="R264" s="59">
        <f>(60*284*((F264/1000)^0.77)*3*24*(MAX('Max rate concentrations'!$R$3:$R$368))/F264)*(inputs!$E$73*3.4/inputs!$E$75)</f>
        <v>7.8546394068543079E-2</v>
      </c>
      <c r="S264" s="59">
        <f>(IF(inputs!$C$17="aerial",((0.025*0.112*inputs!$C$18/3.3)*(3*60*284*((F264/1000)^0.77))*MAX(inputs!$I$14:$I$16))/F264,((0.0083*0.112*inputs!$C$18/1)*(3*60*284*((F264/1000)^0.77))*MAX(inputs!$I$14:$I$16))/F264))*(inputs!E$75*3.4/inputs!$E$73)</f>
        <v>0.43318818904566209</v>
      </c>
      <c r="T264" s="63">
        <f>IF((((inputs!$P$13/(V264/MAX(K264:S264)))^(1/inputs!$O$13))-1)/inputs!$N$13&lt;0, 0, IF((((inputs!$P$13/(V264/MAX(K264:S264)))^(1/inputs!$O$13))-1)/inputs!$N$13&lt;inputs!$I$17, (((inputs!$P$13/(V264/MAX(K264:S264)))^(1/inputs!$O$13))-1)/inputs!$N$13, inputs!$I$17))</f>
        <v>1000</v>
      </c>
      <c r="U264" s="63">
        <f>IF((((inputs!$P$13/(X264/MAX(K264:S264)))^(1/inputs!$O$13))-1)/inputs!$N$13&lt;0, 0, IF((((inputs!$P$13/(X264/MAX(K264:S264)))^(1/inputs!$O$13))-1)/inputs!$N$13&lt;inputs!$I$17, (((inputs!$P$13/(X264/MAX(K264:S264)))^(1/inputs!$O$13))-1)/inputs!$N$13, inputs!$I$17))</f>
        <v>90.242874430179413</v>
      </c>
      <c r="V264" s="21">
        <f>inputs!$E$78*(F264/inputs!$F$78)^(inputs!$E$84-1)</f>
        <v>4.2295620435803684E-2</v>
      </c>
      <c r="W264" s="21">
        <f>inputs!$E$85*(F264/inputs!$F$85)^(inputs!$E$84-1)</f>
        <v>1.9531338363545885</v>
      </c>
      <c r="X264" s="21">
        <f>inputs!$E$80*(F264/inputs!$F$80)^(inputs!$E$84-1)</f>
        <v>7.2933478699316909</v>
      </c>
      <c r="Y264" s="21">
        <f>inputs!$E$82*(F264/inputs!$F$82)^(inputs!$E$84-1)</f>
        <v>3.3613887820033455</v>
      </c>
      <c r="Z264" s="63">
        <f t="shared" si="24"/>
        <v>5934.3124729298597</v>
      </c>
      <c r="AA264" s="63">
        <f t="shared" si="25"/>
        <v>128.50907768356794</v>
      </c>
    </row>
    <row r="265" spans="1:27" ht="13.2" x14ac:dyDescent="0.25">
      <c r="A265" s="103" t="s">
        <v>297</v>
      </c>
      <c r="B265" s="20" t="s">
        <v>298</v>
      </c>
      <c r="C265" s="20" t="s">
        <v>73</v>
      </c>
      <c r="D265" s="104" t="s">
        <v>141</v>
      </c>
      <c r="E265" s="15">
        <v>4136</v>
      </c>
      <c r="F265" s="15">
        <v>11.5</v>
      </c>
      <c r="G265" s="20" t="s">
        <v>152</v>
      </c>
      <c r="H265" s="20">
        <v>0.77</v>
      </c>
      <c r="I265" s="68">
        <f>MAX('Max rate concentrations'!$G$3:$G$368)</f>
        <v>45</v>
      </c>
      <c r="J265" s="68">
        <f>MAX('Max rate concentrations'!Z:Z)</f>
        <v>21</v>
      </c>
      <c r="K265" s="69">
        <f t="shared" si="22"/>
        <v>53.983752994755356</v>
      </c>
      <c r="L265" s="69">
        <f t="shared" si="23"/>
        <v>25.192418064219169</v>
      </c>
      <c r="M265" s="69">
        <f>IF((((1.18*F265^0.874)-(0.301*F265^0.751)/(1-H265)*H265)*(MAX('Max rate concentrations'!$P$3:$P$368)))/F265&gt;0, (((1.18*F265^0.874)-(0.301*F265^0.751)/(1-H265)*H265)*(MAX('Max rate concentrations'!$P$3:$P$368)))/F265, 0)</f>
        <v>0.27770885729493333</v>
      </c>
      <c r="N265" s="69">
        <f>IF((((1.18*F265^0.874)-(0.301*F265^0.751)/(1-H265)*H265)*(MAX('Max rate concentrations'!$Q$3:$Q$368)))/F265&gt;0, (((1.18*F265^0.874)-(0.301*F265^0.751)/(1-H265)*H265)*(MAX('Max rate concentrations'!$Q$3:$Q$368)))/F265, 0)</f>
        <v>1.0575302503439834</v>
      </c>
      <c r="O265" s="69">
        <f>((MAX('Max rate concentrations'!$F$3:$F$368))*0.62*6.01*8*(10*F265^0.667)*0.079*0.1/F265)*inputs!$E$80/(10^(0.84+0.62*LOG10(inputs!$E$80)))</f>
        <v>65.094012793285771</v>
      </c>
      <c r="P265" s="69">
        <f>((MAX('Max rate concentrations'!Y:Y))*0.62*6.01*8*(10*F265^0.667)*0.079*0.1/F265)*inputs!$E$80/(10^(0.84+0.62*LOG10(inputs!$E$80)))</f>
        <v>21.698004264428594</v>
      </c>
      <c r="Q265" s="69">
        <f>(inputs!$C$18*11.2*(10*F265^0.667)*0.5/F265)*inputs!$E$80/(10^(0.84+0.62*LOG10(inputs!$E$80)))</f>
        <v>11.466003332542952</v>
      </c>
      <c r="R265" s="59">
        <f>(60*284*((F265/1000)^0.77)*3*24*(MAX('Max rate concentrations'!$R$3:$R$368))/F265)*(inputs!$E$73*3.4/inputs!$E$75)</f>
        <v>7.8546394068543079E-2</v>
      </c>
      <c r="S265" s="59">
        <f>(IF(inputs!$C$17="aerial",((0.025*0.112*inputs!$C$18/3.3)*(3*60*284*((F265/1000)^0.77))*MAX(inputs!$I$14:$I$16))/F265,((0.0083*0.112*inputs!$C$18/1)*(3*60*284*((F265/1000)^0.77))*MAX(inputs!$I$14:$I$16))/F265))*(inputs!E$75*3.4/inputs!$E$73)</f>
        <v>0.43318818904566209</v>
      </c>
      <c r="T265" s="63">
        <f>IF((((inputs!$P$13/(V265/MAX(K265:S265)))^(1/inputs!$O$13))-1)/inputs!$N$13&lt;0, 0, IF((((inputs!$P$13/(V265/MAX(K265:S265)))^(1/inputs!$O$13))-1)/inputs!$N$13&lt;inputs!$I$17, (((inputs!$P$13/(V265/MAX(K265:S265)))^(1/inputs!$O$13))-1)/inputs!$N$13, inputs!$I$17))</f>
        <v>1000</v>
      </c>
      <c r="U265" s="63">
        <f>IF((((inputs!$P$13/(X265/MAX(K265:S265)))^(1/inputs!$O$13))-1)/inputs!$N$13&lt;0, 0, IF((((inputs!$P$13/(X265/MAX(K265:S265)))^(1/inputs!$O$13))-1)/inputs!$N$13&lt;inputs!$I$17, (((inputs!$P$13/(X265/MAX(K265:S265)))^(1/inputs!$O$13))-1)/inputs!$N$13, inputs!$I$17))</f>
        <v>26.82697841108596</v>
      </c>
      <c r="V265" s="21">
        <f>inputs!$E$78*(F265/inputs!$F$78)^(inputs!$E$84-1)</f>
        <v>4.2295620435803684E-2</v>
      </c>
      <c r="W265" s="21">
        <f>inputs!$E$85*(F265/inputs!$F$85)^(inputs!$E$84-1)</f>
        <v>1.9531338363545885</v>
      </c>
      <c r="X265" s="21">
        <f>inputs!$E$80*(F265/inputs!$F$80)^(inputs!$E$84-1)</f>
        <v>7.2933478699316909</v>
      </c>
      <c r="Y265" s="21">
        <f>inputs!$E$82*(F265/inputs!$F$82)^(inputs!$E$84-1)</f>
        <v>3.3613887820033455</v>
      </c>
      <c r="Z265" s="63">
        <f t="shared" si="24"/>
        <v>1539.0248948371734</v>
      </c>
      <c r="AA265" s="63">
        <f t="shared" si="25"/>
        <v>33.327983767246586</v>
      </c>
    </row>
    <row r="266" spans="1:27" ht="13.2" x14ac:dyDescent="0.25">
      <c r="A266" s="103" t="s">
        <v>297</v>
      </c>
      <c r="B266" s="20" t="s">
        <v>298</v>
      </c>
      <c r="C266" s="20" t="s">
        <v>73</v>
      </c>
      <c r="D266" s="104" t="s">
        <v>141</v>
      </c>
      <c r="E266" s="15">
        <v>4136</v>
      </c>
      <c r="F266" s="15">
        <v>11.5</v>
      </c>
      <c r="G266" s="20" t="s">
        <v>153</v>
      </c>
      <c r="H266" s="20">
        <v>0.7</v>
      </c>
      <c r="I266" s="68">
        <f>MAX('Max rate concentrations'!$E$3:$E$368)</f>
        <v>330</v>
      </c>
      <c r="J266" s="68">
        <f>MAX('Max rate concentrations'!X:X)</f>
        <v>108</v>
      </c>
      <c r="K266" s="69">
        <f t="shared" si="22"/>
        <v>303.50865572606892</v>
      </c>
      <c r="L266" s="69">
        <f t="shared" si="23"/>
        <v>99.330105510349853</v>
      </c>
      <c r="M266" s="69">
        <f>IF((((1.18*F266^0.874)-(0.301*F266^0.751)/(1-H266)*H266)*(MAX('Max rate concentrations'!$P$3:$P$368)))/F266&gt;0, (((1.18*F266^0.874)-(0.301*F266^0.751)/(1-H266)*H266)*(MAX('Max rate concentrations'!$P$3:$P$368)))/F266, 0)</f>
        <v>0.42247402628010461</v>
      </c>
      <c r="N266" s="69">
        <f>IF((((1.18*F266^0.874)-(0.301*F266^0.751)/(1-H266)*H266)*(MAX('Max rate concentrations'!$Q$3:$Q$368)))/F266&gt;0, (((1.18*F266^0.874)-(0.301*F266^0.751)/(1-H266)*H266)*(MAX('Max rate concentrations'!$Q$3:$Q$368)))/F266, 0)</f>
        <v>1.608803792315993</v>
      </c>
      <c r="O266" s="69">
        <f>((MAX('Max rate concentrations'!$F$3:$F$368))*0.62*6.01*8*(10*F266^0.667)*0.079*0.1/F266)*inputs!$E$80/(10^(0.84+0.62*LOG10(inputs!$E$80)))</f>
        <v>65.094012793285771</v>
      </c>
      <c r="P266" s="69">
        <f>((MAX('Max rate concentrations'!Y:Y))*0.62*6.01*8*(10*F266^0.667)*0.079*0.1/F266)*inputs!$E$80/(10^(0.84+0.62*LOG10(inputs!$E$80)))</f>
        <v>21.698004264428594</v>
      </c>
      <c r="Q266" s="69">
        <f>(inputs!$C$18*11.2*(10*F266^0.667)*0.5/F266)*inputs!$E$80/(10^(0.84+0.62*LOG10(inputs!$E$80)))</f>
        <v>11.466003332542952</v>
      </c>
      <c r="R266" s="59">
        <f>(60*284*((F266/1000)^0.77)*3*24*(MAX('Max rate concentrations'!$R$3:$R$368))/F266)*(inputs!$E$73*3.4/inputs!$E$75)</f>
        <v>7.8546394068543079E-2</v>
      </c>
      <c r="S266" s="59">
        <f>(IF(inputs!$C$17="aerial",((0.025*0.112*inputs!$C$18/3.3)*(3*60*284*((F266/1000)^0.77))*MAX(inputs!$I$14:$I$16))/F266,((0.0083*0.112*inputs!$C$18/1)*(3*60*284*((F266/1000)^0.77))*MAX(inputs!$I$14:$I$16))/F266))*(inputs!E$75*3.4/inputs!$E$73)</f>
        <v>0.43318818904566209</v>
      </c>
      <c r="T266" s="63">
        <f>IF((((inputs!$P$13/(V266/MAX(K266:S266)))^(1/inputs!$O$13))-1)/inputs!$N$13&lt;0, 0, IF((((inputs!$P$13/(V266/MAX(K266:S266)))^(1/inputs!$O$13))-1)/inputs!$N$13&lt;inputs!$I$17, (((inputs!$P$13/(V266/MAX(K266:S266)))^(1/inputs!$O$13))-1)/inputs!$N$13, inputs!$I$17))</f>
        <v>1000</v>
      </c>
      <c r="U266" s="63">
        <f>IF((((inputs!$P$13/(X266/MAX(K266:S266)))^(1/inputs!$O$13))-1)/inputs!$N$13&lt;0, 0, IF((((inputs!$P$13/(X266/MAX(K266:S266)))^(1/inputs!$O$13))-1)/inputs!$N$13&lt;inputs!$I$17, (((inputs!$P$13/(X266/MAX(K266:S266)))^(1/inputs!$O$13))-1)/inputs!$N$13, inputs!$I$17))</f>
        <v>106.09629543870535</v>
      </c>
      <c r="V266" s="21">
        <f>inputs!$E$78*(F266/inputs!$F$78)^(inputs!$E$84-1)</f>
        <v>4.2295620435803684E-2</v>
      </c>
      <c r="W266" s="21">
        <f>inputs!$E$85*(F266/inputs!$F$85)^(inputs!$E$84-1)</f>
        <v>1.9531338363545885</v>
      </c>
      <c r="X266" s="21">
        <f>inputs!$E$80*(F266/inputs!$F$80)^(inputs!$E$84-1)</f>
        <v>7.2933478699316909</v>
      </c>
      <c r="Y266" s="21">
        <f>inputs!$E$82*(F266/inputs!$F$82)^(inputs!$E$84-1)</f>
        <v>3.3613887820033455</v>
      </c>
      <c r="Z266" s="63">
        <f t="shared" si="24"/>
        <v>7175.8884867697952</v>
      </c>
      <c r="AA266" s="63">
        <f t="shared" si="25"/>
        <v>155.39572868828606</v>
      </c>
    </row>
    <row r="267" spans="1:27" ht="13.2" x14ac:dyDescent="0.25">
      <c r="A267" s="103" t="s">
        <v>368</v>
      </c>
      <c r="B267" s="20" t="s">
        <v>369</v>
      </c>
      <c r="C267" s="20" t="s">
        <v>73</v>
      </c>
      <c r="D267" s="104" t="s">
        <v>141</v>
      </c>
      <c r="E267" s="15">
        <v>93</v>
      </c>
      <c r="F267" s="15">
        <v>5.0999999999999996</v>
      </c>
      <c r="G267" s="20" t="s">
        <v>142</v>
      </c>
      <c r="H267" s="20">
        <v>0.69</v>
      </c>
      <c r="I267" s="68">
        <f>MAX('Max rate concentrations'!$H$3:$H$368)</f>
        <v>282</v>
      </c>
      <c r="J267" s="68">
        <f>MAX('Max rate concentrations'!AA:AA)</f>
        <v>195</v>
      </c>
      <c r="K267" s="69">
        <f t="shared" si="22"/>
        <v>283.55346594464055</v>
      </c>
      <c r="L267" s="69">
        <f t="shared" si="23"/>
        <v>196.07420517448548</v>
      </c>
      <c r="M267" s="69">
        <f>IF((((1.18*F267^0.874)-(0.301*F267^0.751)/(1-H267)*H267)*(MAX('Max rate concentrations'!$P$3:$P$368)))/F267&gt;0, (((1.18*F267^0.874)-(0.301*F267^0.751)/(1-H267)*H267)*(MAX('Max rate concentrations'!$P$3:$P$368)))/F267, 0)</f>
        <v>0.44803868593637164</v>
      </c>
      <c r="N267" s="69">
        <f>IF((((1.18*F267^0.874)-(0.301*F267^0.751)/(1-H267)*H267)*(MAX('Max rate concentrations'!$Q$3:$Q$368)))/F267&gt;0, (((1.18*F267^0.874)-(0.301*F267^0.751)/(1-H267)*H267)*(MAX('Max rate concentrations'!$Q$3:$Q$368)))/F267, 0)</f>
        <v>1.7061553899193012</v>
      </c>
      <c r="O267" s="69">
        <f>((MAX('Max rate concentrations'!$F$3:$F$368))*0.62*6.01*8*(10*F267^0.667)*0.079*0.1/F267)*inputs!$E$80/(10^(0.84+0.62*LOG10(inputs!$E$80)))</f>
        <v>85.336054045737157</v>
      </c>
      <c r="P267" s="69">
        <f>((MAX('Max rate concentrations'!Y:Y))*0.62*6.01*8*(10*F267^0.667)*0.079*0.1/F267)*inputs!$E$80/(10^(0.84+0.62*LOG10(inputs!$E$80)))</f>
        <v>28.445351348579049</v>
      </c>
      <c r="Q267" s="69">
        <f>(inputs!$C$18*11.2*(10*F267^0.667)*0.5/F267)*inputs!$E$80/(10^(0.84+0.62*LOG10(inputs!$E$80)))</f>
        <v>15.031543425994055</v>
      </c>
      <c r="R267" s="59">
        <f>(60*284*((F267/1000)^0.77)*3*24*(MAX('Max rate concentrations'!$R$3:$R$368))/F267)*(inputs!$E$73*3.4/inputs!$E$75)</f>
        <v>9.4699048389090892E-2</v>
      </c>
      <c r="S267" s="59">
        <f>(IF(inputs!$C$17="aerial",((0.025*0.112*inputs!$C$18/3.3)*(3*60*284*((F267/1000)^0.77))*MAX(inputs!$I$14:$I$16))/F267,((0.0083*0.112*inputs!$C$18/1)*(3*60*284*((F267/1000)^0.77))*MAX(inputs!$I$14:$I$16))/F267))*(inputs!E$75*3.4/inputs!$E$73)</f>
        <v>0.52227107001525408</v>
      </c>
      <c r="T267" s="63">
        <f>IF((((inputs!$P$13/(V267/MAX(K267:S267)))^(1/inputs!$O$13))-1)/inputs!$N$13&lt;0, 0, IF((((inputs!$P$13/(V267/MAX(K267:S267)))^(1/inputs!$O$13))-1)/inputs!$N$13&lt;inputs!$I$17, (((inputs!$P$13/(V267/MAX(K267:S267)))^(1/inputs!$O$13))-1)/inputs!$N$13, inputs!$I$17))</f>
        <v>1000</v>
      </c>
      <c r="U267" s="63">
        <f>IF((((inputs!$P$13/(X267/MAX(K267:S267)))^(1/inputs!$O$13))-1)/inputs!$N$13&lt;0, 0, IF((((inputs!$P$13/(X267/MAX(K267:S267)))^(1/inputs!$O$13))-1)/inputs!$N$13&lt;inputs!$I$17, (((inputs!$P$13/(X267/MAX(K267:S267)))^(1/inputs!$O$13))-1)/inputs!$N$13, inputs!$I$17))</f>
        <v>77.38480905642723</v>
      </c>
      <c r="V267" s="21">
        <f>inputs!$E$78*(F267/inputs!$F$78)^(inputs!$E$84-1)</f>
        <v>5.7141631454811805E-2</v>
      </c>
      <c r="W267" s="21">
        <f>inputs!$E$85*(F267/inputs!$F$85)^(inputs!$E$84-1)</f>
        <v>2.6386952764599139</v>
      </c>
      <c r="X267" s="21">
        <f>inputs!$E$80*(F267/inputs!$F$80)^(inputs!$E$84-1)</f>
        <v>9.8533557791857547</v>
      </c>
      <c r="Y267" s="21">
        <f>inputs!$E$82*(F267/inputs!$F$82)^(inputs!$E$84-1)</f>
        <v>4.5412559735139908</v>
      </c>
      <c r="Z267" s="63">
        <f t="shared" si="24"/>
        <v>4962.2920929178854</v>
      </c>
      <c r="AA267" s="63">
        <f t="shared" si="25"/>
        <v>107.45972393032713</v>
      </c>
    </row>
    <row r="268" spans="1:27" ht="13.2" x14ac:dyDescent="0.25">
      <c r="A268" s="103" t="s">
        <v>370</v>
      </c>
      <c r="B268" s="20" t="s">
        <v>371</v>
      </c>
      <c r="C268" s="20" t="s">
        <v>73</v>
      </c>
      <c r="D268" s="104" t="s">
        <v>141</v>
      </c>
      <c r="E268" s="15">
        <v>138</v>
      </c>
      <c r="F268" s="15">
        <v>9</v>
      </c>
      <c r="G268" s="20" t="s">
        <v>142</v>
      </c>
      <c r="H268" s="20">
        <v>0.69</v>
      </c>
      <c r="I268" s="68">
        <f>MAX('Max rate concentrations'!$H$3:$H$368)</f>
        <v>282</v>
      </c>
      <c r="J268" s="68">
        <f>MAX('Max rate concentrations'!AA:AA)</f>
        <v>195</v>
      </c>
      <c r="K268" s="69">
        <f t="shared" si="22"/>
        <v>260.39588097551439</v>
      </c>
      <c r="L268" s="69">
        <f t="shared" si="23"/>
        <v>180.06098152562168</v>
      </c>
      <c r="M268" s="69">
        <f>IF((((1.18*F268^0.874)-(0.301*F268^0.751)/(1-H268)*H268)*(MAX('Max rate concentrations'!$P$3:$P$368)))/F268&gt;0, (((1.18*F268^0.874)-(0.301*F268^0.751)/(1-H268)*H268)*(MAX('Max rate concentrations'!$P$3:$P$368)))/F268, 0)</f>
        <v>0.44152405629895314</v>
      </c>
      <c r="N268" s="69">
        <f>IF((((1.18*F268^0.874)-(0.301*F268^0.751)/(1-H268)*H268)*(MAX('Max rate concentrations'!$Q$3:$Q$368)))/F268&gt;0, (((1.18*F268^0.874)-(0.301*F268^0.751)/(1-H268)*H268)*(MAX('Max rate concentrations'!$Q$3:$Q$368)))/F268, 0)</f>
        <v>1.6813473302179829</v>
      </c>
      <c r="O268" s="69">
        <f>((MAX('Max rate concentrations'!$F$3:$F$368))*0.62*6.01*8*(10*F268^0.667)*0.079*0.1/F268)*inputs!$E$80/(10^(0.84+0.62*LOG10(inputs!$E$80)))</f>
        <v>70.630238073511762</v>
      </c>
      <c r="P268" s="69">
        <f>((MAX('Max rate concentrations'!Y:Y))*0.62*6.01*8*(10*F268^0.667)*0.079*0.1/F268)*inputs!$E$80/(10^(0.84+0.62*LOG10(inputs!$E$80)))</f>
        <v>23.543412691170591</v>
      </c>
      <c r="Q268" s="69">
        <f>(inputs!$C$18*11.2*(10*F268^0.667)*0.5/F268)*inputs!$E$80/(10^(0.84+0.62*LOG10(inputs!$E$80)))</f>
        <v>12.441183303615919</v>
      </c>
      <c r="R268" s="59">
        <f>(60*284*((F268/1000)^0.77)*3*24*(MAX('Max rate concentrations'!$R$3:$R$368))/F268)*(inputs!$E$73*3.4/inputs!$E$75)</f>
        <v>8.3101904752037506E-2</v>
      </c>
      <c r="S268" s="59">
        <f>(IF(inputs!$C$17="aerial",((0.025*0.112*inputs!$C$18/3.3)*(3*60*284*((F268/1000)^0.77))*MAX(inputs!$I$14:$I$16))/F268,((0.0083*0.112*inputs!$C$18/1)*(3*60*284*((F268/1000)^0.77))*MAX(inputs!$I$14:$I$16))/F268))*(inputs!E$75*3.4/inputs!$E$73)</f>
        <v>0.45831211034800778</v>
      </c>
      <c r="T268" s="63">
        <f>IF((((inputs!$P$13/(V268/MAX(K268:S268)))^(1/inputs!$O$13))-1)/inputs!$N$13&lt;0, 0, IF((((inputs!$P$13/(V268/MAX(K268:S268)))^(1/inputs!$O$13))-1)/inputs!$N$13&lt;inputs!$I$17, (((inputs!$P$13/(V268/MAX(K268:S268)))^(1/inputs!$O$13))-1)/inputs!$N$13, inputs!$I$17))</f>
        <v>1000</v>
      </c>
      <c r="U268" s="63">
        <f>IF((((inputs!$P$13/(X268/MAX(K268:S268)))^(1/inputs!$O$13))-1)/inputs!$N$13&lt;0, 0, IF((((inputs!$P$13/(X268/MAX(K268:S268)))^(1/inputs!$O$13))-1)/inputs!$N$13&lt;inputs!$I$17, (((inputs!$P$13/(X268/MAX(K268:S268)))^(1/inputs!$O$13))-1)/inputs!$N$13, inputs!$I$17))</f>
        <v>86.168982503262185</v>
      </c>
      <c r="V268" s="21">
        <f>inputs!$E$78*(F268/inputs!$F$78)^(inputs!$E$84-1)</f>
        <v>4.6310969457897193E-2</v>
      </c>
      <c r="W268" s="21">
        <f>inputs!$E$85*(F268/inputs!$F$85)^(inputs!$E$84-1)</f>
        <v>2.138555257272801</v>
      </c>
      <c r="X268" s="21">
        <f>inputs!$E$80*(F268/inputs!$F$80)^(inputs!$E$84-1)</f>
        <v>7.9857443151326102</v>
      </c>
      <c r="Y268" s="21">
        <f>inputs!$E$82*(F268/inputs!$F$82)^(inputs!$E$84-1)</f>
        <v>3.680503362180251</v>
      </c>
      <c r="Z268" s="63">
        <f t="shared" si="24"/>
        <v>5622.7689470471732</v>
      </c>
      <c r="AA268" s="63">
        <f t="shared" si="25"/>
        <v>121.76252172580521</v>
      </c>
    </row>
    <row r="269" spans="1:27" ht="13.2" x14ac:dyDescent="0.25">
      <c r="A269" s="103" t="s">
        <v>162</v>
      </c>
      <c r="B269" s="20" t="s">
        <v>163</v>
      </c>
      <c r="C269" s="20" t="s">
        <v>73</v>
      </c>
      <c r="D269" s="104" t="s">
        <v>141</v>
      </c>
      <c r="E269" s="15">
        <v>85</v>
      </c>
      <c r="F269" s="15">
        <v>19.8</v>
      </c>
      <c r="G269" s="20" t="s">
        <v>142</v>
      </c>
      <c r="H269" s="20">
        <v>0.69</v>
      </c>
      <c r="I269" s="68">
        <f>MAX('Max rate concentrations'!$H$3:$H$368)</f>
        <v>282</v>
      </c>
      <c r="J269" s="68">
        <f>MAX('Max rate concentrations'!AA:AA)</f>
        <v>195</v>
      </c>
      <c r="K269" s="69">
        <f t="shared" si="22"/>
        <v>231.35064147319571</v>
      </c>
      <c r="L269" s="69">
        <f t="shared" si="23"/>
        <v>159.97650740167788</v>
      </c>
      <c r="M269" s="69">
        <f>IF((((1.18*F269^0.874)-(0.301*F269^0.751)/(1-H269)*H269)*(MAX('Max rate concentrations'!$P$3:$P$368)))/F269&gt;0, (((1.18*F269^0.874)-(0.301*F269^0.751)/(1-H269)*H269)*(MAX('Max rate concentrations'!$P$3:$P$368)))/F269, 0)</f>
        <v>0.42802164723970898</v>
      </c>
      <c r="N269" s="69">
        <f>IF((((1.18*F269^0.874)-(0.301*F269^0.751)/(1-H269)*H269)*(MAX('Max rate concentrations'!$Q$3:$Q$368)))/F269&gt;0, (((1.18*F269^0.874)-(0.301*F269^0.751)/(1-H269)*H269)*(MAX('Max rate concentrations'!$Q$3:$Q$368)))/F269, 0)</f>
        <v>1.6299294310131891</v>
      </c>
      <c r="O269" s="69">
        <f>((MAX('Max rate concentrations'!$F$3:$F$368))*0.62*6.01*8*(10*F269^0.667)*0.079*0.1/F269)*inputs!$E$80/(10^(0.84+0.62*LOG10(inputs!$E$80)))</f>
        <v>54.320519838214274</v>
      </c>
      <c r="P269" s="69">
        <f>((MAX('Max rate concentrations'!Y:Y))*0.62*6.01*8*(10*F269^0.667)*0.079*0.1/F269)*inputs!$E$80/(10^(0.84+0.62*LOG10(inputs!$E$80)))</f>
        <v>18.106839946071421</v>
      </c>
      <c r="Q269" s="69">
        <f>(inputs!$C$18*11.2*(10*F269^0.667)*0.5/F269)*inputs!$E$80/(10^(0.84+0.62*LOG10(inputs!$E$80)))</f>
        <v>9.5683033625278995</v>
      </c>
      <c r="R269" s="59">
        <f>(60*284*((F269/1000)^0.77)*3*24*(MAX('Max rate concentrations'!$R$3:$R$368))/F269)*(inputs!$E$73*3.4/inputs!$E$75)</f>
        <v>6.9319235062966431E-2</v>
      </c>
      <c r="S269" s="59">
        <f>(IF(inputs!$C$17="aerial",((0.025*0.112*inputs!$C$18/3.3)*(3*60*284*((F269/1000)^0.77))*MAX(inputs!$I$14:$I$16))/F269,((0.0083*0.112*inputs!$C$18/1)*(3*60*284*((F269/1000)^0.77))*MAX(inputs!$I$14:$I$16))/F269))*(inputs!E$75*3.4/inputs!$E$73)</f>
        <v>0.38229984022885866</v>
      </c>
      <c r="T269" s="63">
        <f>IF((((inputs!$P$13/(V269/MAX(K269:S269)))^(1/inputs!$O$13))-1)/inputs!$N$13&lt;0, 0, IF((((inputs!$P$13/(V269/MAX(K269:S269)))^(1/inputs!$O$13))-1)/inputs!$N$13&lt;inputs!$I$17, (((inputs!$P$13/(V269/MAX(K269:S269)))^(1/inputs!$O$13))-1)/inputs!$N$13, inputs!$I$17))</f>
        <v>1000</v>
      </c>
      <c r="U269" s="63">
        <f>IF((((inputs!$P$13/(X269/MAX(K269:S269)))^(1/inputs!$O$13))-1)/inputs!$N$13&lt;0, 0, IF((((inputs!$P$13/(X269/MAX(K269:S269)))^(1/inputs!$O$13))-1)/inputs!$N$13&lt;inputs!$I$17, (((inputs!$P$13/(X269/MAX(K269:S269)))^(1/inputs!$O$13))-1)/inputs!$N$13, inputs!$I$17))</f>
        <v>99.932084770162504</v>
      </c>
      <c r="V269" s="21">
        <f>inputs!$E$78*(F269/inputs!$F$78)^(inputs!$E$84-1)</f>
        <v>3.4592940554601485E-2</v>
      </c>
      <c r="W269" s="21">
        <f>inputs!$E$85*(F269/inputs!$F$85)^(inputs!$E$84-1)</f>
        <v>1.5974382690223126</v>
      </c>
      <c r="X269" s="21">
        <f>inputs!$E$80*(F269/inputs!$F$80)^(inputs!$E$84-1)</f>
        <v>5.9651175868554702</v>
      </c>
      <c r="Y269" s="21">
        <f>inputs!$E$82*(F269/inputs!$F$82)^(inputs!$E$84-1)</f>
        <v>2.7492284335499075</v>
      </c>
      <c r="Z269" s="63">
        <f t="shared" si="24"/>
        <v>6687.799237767369</v>
      </c>
      <c r="AA269" s="63">
        <f t="shared" si="25"/>
        <v>144.82602924918677</v>
      </c>
    </row>
    <row r="270" spans="1:27" ht="13.2" x14ac:dyDescent="0.25">
      <c r="A270" s="103" t="s">
        <v>162</v>
      </c>
      <c r="B270" s="20" t="s">
        <v>163</v>
      </c>
      <c r="C270" s="20" t="s">
        <v>73</v>
      </c>
      <c r="D270" s="104" t="s">
        <v>141</v>
      </c>
      <c r="E270" s="15">
        <v>85</v>
      </c>
      <c r="F270" s="15">
        <v>19.8</v>
      </c>
      <c r="G270" s="20" t="s">
        <v>164</v>
      </c>
      <c r="H270" s="20">
        <v>0.78</v>
      </c>
      <c r="I270" s="68">
        <f>inputs!$C$66*(inputs!$C$62/1000)</f>
        <v>8.2000000000000011</v>
      </c>
      <c r="J270" s="68">
        <f>inputs!$C$66*(inputs!$C$61/1000)</f>
        <v>2.5</v>
      </c>
      <c r="K270" s="69">
        <f t="shared" si="22"/>
        <v>9.4792606483698219</v>
      </c>
      <c r="L270" s="69">
        <f t="shared" si="23"/>
        <v>2.8900184903566526</v>
      </c>
      <c r="M270" s="69">
        <f>IF((((1.18*F270^0.874)-(0.301*F270^0.751)/(1-H270)*H270)*(MAX('Max rate concentrations'!$P$3:$P$368)))/F270&gt;0, (((1.18*F270^0.874)-(0.301*F270^0.751)/(1-H270)*H270)*(MAX('Max rate concentrations'!$P$3:$P$368)))/F270, 0)</f>
        <v>0.26354001881142114</v>
      </c>
      <c r="N270" s="69">
        <f>IF((((1.18*F270^0.874)-(0.301*F270^0.751)/(1-H270)*H270)*(MAX('Max rate concentrations'!$Q$3:$Q$368)))/F270&gt;0, (((1.18*F270^0.874)-(0.301*F270^0.751)/(1-H270)*H270)*(MAX('Max rate concentrations'!$Q$3:$Q$368)))/F270, 0)</f>
        <v>1.0035745520832009</v>
      </c>
      <c r="O270" s="69">
        <f>((MAX('Max rate concentrations'!$F$3:$F$368))*0.62*6.01*8*(10*F270^0.667)*0.079*0.1/F270)*inputs!$E$80/(10^(0.84+0.62*LOG10(inputs!$E$80)))</f>
        <v>54.320519838214274</v>
      </c>
      <c r="P270" s="69">
        <f>((MAX('Max rate concentrations'!Y:Y))*0.62*6.01*8*(10*F270^0.667)*0.079*0.1/F270)*inputs!$E$80/(10^(0.84+0.62*LOG10(inputs!$E$80)))</f>
        <v>18.106839946071421</v>
      </c>
      <c r="Q270" s="69">
        <f>(inputs!$C$18*11.2*(10*F270^0.667)*0.5/F270)*inputs!$E$80/(10^(0.84+0.62*LOG10(inputs!$E$80)))</f>
        <v>9.5683033625278995</v>
      </c>
      <c r="R270" s="59">
        <f>(60*284*((F270/1000)^0.77)*3*24*(MAX('Max rate concentrations'!$R$3:$R$368))/F270)*(inputs!$E$73*3.4/inputs!$E$75)</f>
        <v>6.9319235062966431E-2</v>
      </c>
      <c r="S270" s="59">
        <f>(IF(inputs!$C$17="aerial",((0.025*0.112*inputs!$C$18/3.3)*(3*60*284*((F270/1000)^0.77))*MAX(inputs!$I$14:$I$16))/F270,((0.0083*0.112*inputs!$C$18/1)*(3*60*284*((F270/1000)^0.77))*MAX(inputs!$I$14:$I$16))/F270))*(inputs!E$75*3.4/inputs!$E$73)</f>
        <v>0.38229984022885866</v>
      </c>
      <c r="T270" s="63">
        <f>IF((((inputs!$P$13/(V270/MAX(K270:S270)))^(1/inputs!$O$13))-1)/inputs!$N$13&lt;0, 0, IF((((inputs!$P$13/(V270/MAX(K270:S270)))^(1/inputs!$O$13))-1)/inputs!$N$13&lt;inputs!$I$17, (((inputs!$P$13/(V270/MAX(K270:S270)))^(1/inputs!$O$13))-1)/inputs!$N$13, inputs!$I$17))</f>
        <v>1000</v>
      </c>
      <c r="U270" s="63">
        <f>IF((((inputs!$P$13/(X270/MAX(K270:S270)))^(1/inputs!$O$13))-1)/inputs!$N$13&lt;0, 0, IF((((inputs!$P$13/(X270/MAX(K270:S270)))^(1/inputs!$O$13))-1)/inputs!$N$13&lt;inputs!$I$17, (((inputs!$P$13/(X270/MAX(K270:S270)))^(1/inputs!$O$13))-1)/inputs!$N$13, inputs!$I$17))</f>
        <v>27.352344785993026</v>
      </c>
      <c r="V270" s="21">
        <f>inputs!$E$78*(F270/inputs!$F$78)^(inputs!$E$84-1)</f>
        <v>3.4592940554601485E-2</v>
      </c>
      <c r="W270" s="21">
        <f>inputs!$E$85*(F270/inputs!$F$85)^(inputs!$E$84-1)</f>
        <v>1.5974382690223126</v>
      </c>
      <c r="X270" s="21">
        <f>inputs!$E$80*(F270/inputs!$F$80)^(inputs!$E$84-1)</f>
        <v>5.9651175868554702</v>
      </c>
      <c r="Y270" s="21">
        <f>inputs!$E$82*(F270/inputs!$F$82)^(inputs!$E$84-1)</f>
        <v>2.7492284335499075</v>
      </c>
      <c r="Z270" s="63">
        <f t="shared" si="24"/>
        <v>1570.2776048331243</v>
      </c>
      <c r="AA270" s="63">
        <f t="shared" si="25"/>
        <v>34.004769318228682</v>
      </c>
    </row>
    <row r="271" spans="1:27" ht="13.2" x14ac:dyDescent="0.25">
      <c r="A271" s="103" t="s">
        <v>162</v>
      </c>
      <c r="B271" s="20" t="s">
        <v>163</v>
      </c>
      <c r="C271" s="20" t="s">
        <v>73</v>
      </c>
      <c r="D271" s="104" t="s">
        <v>141</v>
      </c>
      <c r="E271" s="15">
        <v>85</v>
      </c>
      <c r="F271" s="15">
        <v>19.8</v>
      </c>
      <c r="G271" s="20" t="s">
        <v>154</v>
      </c>
      <c r="H271" s="20">
        <v>9.2999999999999999E-2</v>
      </c>
      <c r="I271" s="68">
        <f>MAX('Max rate concentrations'!$G$3:$G$368)</f>
        <v>45</v>
      </c>
      <c r="J271" s="68">
        <f>MAX('Max rate concentrations'!Z:Z)</f>
        <v>21</v>
      </c>
      <c r="K271" s="69">
        <f t="shared" si="22"/>
        <v>12.617941810156939</v>
      </c>
      <c r="L271" s="69">
        <f t="shared" si="23"/>
        <v>5.8883728447399042</v>
      </c>
      <c r="M271" s="69">
        <f>IF((((1.18*F271^0.874)-(0.301*F271^0.751)/(1-H271)*H271)*(MAX('Max rate concentrations'!$P$3:$P$368)))/F271&gt;0, (((1.18*F271^0.874)-(0.301*F271^0.751)/(1-H271)*H271)*(MAX('Max rate concentrations'!$P$3:$P$368)))/F271, 0)</f>
        <v>0.69266720742311338</v>
      </c>
      <c r="N271" s="69">
        <f>IF((((1.18*F271^0.874)-(0.301*F271^0.751)/(1-H271)*H271)*(MAX('Max rate concentrations'!$Q$3:$Q$368)))/F271&gt;0, (((1.18*F271^0.874)-(0.301*F271^0.751)/(1-H271)*H271)*(MAX('Max rate concentrations'!$Q$3:$Q$368)))/F271, 0)</f>
        <v>2.6377139440435036</v>
      </c>
      <c r="O271" s="69">
        <f>((MAX('Max rate concentrations'!$F$3:$F$368))*0.62*6.01*8*(10*F271^0.667)*0.079*0.1/F271)*inputs!$E$80/(10^(0.84+0.62*LOG10(inputs!$E$80)))</f>
        <v>54.320519838214274</v>
      </c>
      <c r="P271" s="69">
        <f>((MAX('Max rate concentrations'!Y:Y))*0.62*6.01*8*(10*F271^0.667)*0.079*0.1/F271)*inputs!$E$80/(10^(0.84+0.62*LOG10(inputs!$E$80)))</f>
        <v>18.106839946071421</v>
      </c>
      <c r="Q271" s="69">
        <f>(inputs!$C$18*11.2*(10*F271^0.667)*0.5/F271)*inputs!$E$80/(10^(0.84+0.62*LOG10(inputs!$E$80)))</f>
        <v>9.5683033625278995</v>
      </c>
      <c r="R271" s="59">
        <f>(60*284*((F271/1000)^0.77)*3*24*(MAX('Max rate concentrations'!$R$3:$R$368))/F271)*(inputs!$E$73*3.4/inputs!$E$75)</f>
        <v>6.9319235062966431E-2</v>
      </c>
      <c r="S271" s="59">
        <f>(IF(inputs!$C$17="aerial",((0.025*0.112*inputs!$C$18/3.3)*(3*60*284*((F271/1000)^0.77))*MAX(inputs!$I$14:$I$16))/F271,((0.0083*0.112*inputs!$C$18/1)*(3*60*284*((F271/1000)^0.77))*MAX(inputs!$I$14:$I$16))/F271))*(inputs!E$75*3.4/inputs!$E$73)</f>
        <v>0.38229984022885866</v>
      </c>
      <c r="T271" s="63">
        <f>IF((((inputs!$P$13/(V271/MAX(K271:S271)))^(1/inputs!$O$13))-1)/inputs!$N$13&lt;0, 0, IF((((inputs!$P$13/(V271/MAX(K271:S271)))^(1/inputs!$O$13))-1)/inputs!$N$13&lt;inputs!$I$17, (((inputs!$P$13/(V271/MAX(K271:S271)))^(1/inputs!$O$13))-1)/inputs!$N$13, inputs!$I$17))</f>
        <v>1000</v>
      </c>
      <c r="U271" s="63">
        <f>IF((((inputs!$P$13/(X271/MAX(K271:S271)))^(1/inputs!$O$13))-1)/inputs!$N$13&lt;0, 0, IF((((inputs!$P$13/(X271/MAX(K271:S271)))^(1/inputs!$O$13))-1)/inputs!$N$13&lt;inputs!$I$17, (((inputs!$P$13/(X271/MAX(K271:S271)))^(1/inputs!$O$13))-1)/inputs!$N$13, inputs!$I$17))</f>
        <v>27.352344785993026</v>
      </c>
      <c r="V271" s="21">
        <f>inputs!$E$78*(F271/inputs!$F$78)^(inputs!$E$84-1)</f>
        <v>3.4592940554601485E-2</v>
      </c>
      <c r="W271" s="21">
        <f>inputs!$E$85*(F271/inputs!$F$85)^(inputs!$E$84-1)</f>
        <v>1.5974382690223126</v>
      </c>
      <c r="X271" s="21">
        <f>inputs!$E$80*(F271/inputs!$F$80)^(inputs!$E$84-1)</f>
        <v>5.9651175868554702</v>
      </c>
      <c r="Y271" s="21">
        <f>inputs!$E$82*(F271/inputs!$F$82)^(inputs!$E$84-1)</f>
        <v>2.7492284335499075</v>
      </c>
      <c r="Z271" s="63">
        <f t="shared" si="24"/>
        <v>1570.2776048331243</v>
      </c>
      <c r="AA271" s="63">
        <f t="shared" si="25"/>
        <v>34.004769318228682</v>
      </c>
    </row>
    <row r="272" spans="1:27" ht="13.2" x14ac:dyDescent="0.25">
      <c r="A272" s="103" t="s">
        <v>313</v>
      </c>
      <c r="B272" s="20" t="s">
        <v>314</v>
      </c>
      <c r="C272" s="20" t="s">
        <v>73</v>
      </c>
      <c r="D272" s="104" t="s">
        <v>141</v>
      </c>
      <c r="E272" s="15">
        <v>145</v>
      </c>
      <c r="F272" s="15">
        <v>6</v>
      </c>
      <c r="G272" s="20" t="s">
        <v>142</v>
      </c>
      <c r="H272" s="20">
        <v>0.69</v>
      </c>
      <c r="I272" s="68">
        <f>MAX('Max rate concentrations'!$H$3:$H$368)</f>
        <v>282</v>
      </c>
      <c r="J272" s="68">
        <f>MAX('Max rate concentrations'!AA:AA)</f>
        <v>195</v>
      </c>
      <c r="K272" s="69">
        <f t="shared" si="22"/>
        <v>276.72461952758982</v>
      </c>
      <c r="L272" s="69">
        <f t="shared" si="23"/>
        <v>191.35213052439721</v>
      </c>
      <c r="M272" s="69">
        <f>IF((((1.18*F272^0.874)-(0.301*F272^0.751)/(1-H272)*H272)*(MAX('Max rate concentrations'!$P$3:$P$368)))/F272&gt;0, (((1.18*F272^0.874)-(0.301*F272^0.751)/(1-H272)*H272)*(MAX('Max rate concentrations'!$P$3:$P$368)))/F272, 0)</f>
        <v>0.44649805852383279</v>
      </c>
      <c r="N272" s="69">
        <f>IF((((1.18*F272^0.874)-(0.301*F272^0.751)/(1-H272)*H272)*(MAX('Max rate concentrations'!$Q$3:$Q$368)))/F272&gt;0, (((1.18*F272^0.874)-(0.301*F272^0.751)/(1-H272)*H272)*(MAX('Max rate concentrations'!$Q$3:$Q$368)))/F272, 0)</f>
        <v>1.7002885979518461</v>
      </c>
      <c r="O272" s="69">
        <f>((MAX('Max rate concentrations'!$F$3:$F$368))*0.62*6.01*8*(10*F272^0.667)*0.079*0.1/F272)*inputs!$E$80/(10^(0.84+0.62*LOG10(inputs!$E$80)))</f>
        <v>80.84051273688398</v>
      </c>
      <c r="P272" s="69">
        <f>((MAX('Max rate concentrations'!Y:Y))*0.62*6.01*8*(10*F272^0.667)*0.079*0.1/F272)*inputs!$E$80/(10^(0.84+0.62*LOG10(inputs!$E$80)))</f>
        <v>26.946837578961336</v>
      </c>
      <c r="Q272" s="69">
        <f>(inputs!$C$18*11.2*(10*F272^0.667)*0.5/F272)*inputs!$E$80/(10^(0.84+0.62*LOG10(inputs!$E$80)))</f>
        <v>14.239675028011197</v>
      </c>
      <c r="R272" s="59">
        <f>(60*284*((F272/1000)^0.77)*3*24*(MAX('Max rate concentrations'!$R$3:$R$368))/F272)*(inputs!$E$73*3.4/inputs!$E$75)</f>
        <v>9.1224600010715653E-2</v>
      </c>
      <c r="S272" s="59">
        <f>(IF(inputs!$C$17="aerial",((0.025*0.112*inputs!$C$18/3.3)*(3*60*284*((F272/1000)^0.77))*MAX(inputs!$I$14:$I$16))/F272,((0.0083*0.112*inputs!$C$18/1)*(3*60*284*((F272/1000)^0.77))*MAX(inputs!$I$14:$I$16))/F272))*(inputs!E$75*3.4/inputs!$E$73)</f>
        <v>0.50310927374428094</v>
      </c>
      <c r="T272" s="63">
        <f>IF((((inputs!$P$13/(V272/MAX(K272:S272)))^(1/inputs!$O$13))-1)/inputs!$N$13&lt;0, 0, IF((((inputs!$P$13/(V272/MAX(K272:S272)))^(1/inputs!$O$13))-1)/inputs!$N$13&lt;inputs!$I$17, (((inputs!$P$13/(V272/MAX(K272:S272)))^(1/inputs!$O$13))-1)/inputs!$N$13, inputs!$I$17))</f>
        <v>1000</v>
      </c>
      <c r="U272" s="63">
        <f>IF((((inputs!$P$13/(X272/MAX(K272:S272)))^(1/inputs!$O$13))-1)/inputs!$N$13&lt;0, 0, IF((((inputs!$P$13/(X272/MAX(K272:S272)))^(1/inputs!$O$13))-1)/inputs!$N$13&lt;inputs!$I$17, (((inputs!$P$13/(X272/MAX(K272:S272)))^(1/inputs!$O$13))-1)/inputs!$N$13, inputs!$I$17))</f>
        <v>79.808265113432768</v>
      </c>
      <c r="V272" s="21">
        <f>inputs!$E$78*(F272/inputs!$F$78)^(inputs!$E$84-1)</f>
        <v>5.3806858710510753E-2</v>
      </c>
      <c r="W272" s="21">
        <f>inputs!$E$85*(F272/inputs!$F$85)^(inputs!$E$84-1)</f>
        <v>2.4847016143186225</v>
      </c>
      <c r="X272" s="21">
        <f>inputs!$E$80*(F272/inputs!$F$80)^(inputs!$E$84-1)</f>
        <v>9.278316154734096</v>
      </c>
      <c r="Y272" s="21">
        <f>inputs!$E$82*(F272/inputs!$F$82)^(inputs!$E$84-1)</f>
        <v>4.2762292975195386</v>
      </c>
      <c r="Z272" s="63">
        <f t="shared" si="24"/>
        <v>5142.9246411951162</v>
      </c>
      <c r="AA272" s="63">
        <f t="shared" si="25"/>
        <v>111.3713686717573</v>
      </c>
    </row>
    <row r="273" spans="1:476" ht="13.2" x14ac:dyDescent="0.25">
      <c r="A273" s="103" t="s">
        <v>313</v>
      </c>
      <c r="B273" s="20" t="s">
        <v>314</v>
      </c>
      <c r="C273" s="20" t="s">
        <v>73</v>
      </c>
      <c r="D273" s="104" t="s">
        <v>141</v>
      </c>
      <c r="E273" s="15">
        <v>145</v>
      </c>
      <c r="F273" s="15">
        <v>6</v>
      </c>
      <c r="G273" s="20" t="s">
        <v>152</v>
      </c>
      <c r="H273" s="20">
        <v>0.77</v>
      </c>
      <c r="I273" s="68">
        <f>MAX('Max rate concentrations'!$G$3:$G$368)</f>
        <v>45</v>
      </c>
      <c r="J273" s="68">
        <f>MAX('Max rate concentrations'!Z:Z)</f>
        <v>21</v>
      </c>
      <c r="K273" s="69">
        <f t="shared" si="22"/>
        <v>59.517552303575066</v>
      </c>
      <c r="L273" s="69">
        <f t="shared" si="23"/>
        <v>27.774857741668367</v>
      </c>
      <c r="M273" s="69">
        <f>IF((((1.18*F273^0.874)-(0.301*F273^0.751)/(1-H273)*H273)*(MAX('Max rate concentrations'!$P$3:$P$368)))/F273&gt;0, (((1.18*F273^0.874)-(0.301*F273^0.751)/(1-H273)*H273)*(MAX('Max rate concentrations'!$P$3:$P$368)))/F273, 0)</f>
        <v>0.25823301440891339</v>
      </c>
      <c r="N273" s="69">
        <f>IF((((1.18*F273^0.874)-(0.301*F273^0.751)/(1-H273)*H273)*(MAX('Max rate concentrations'!$Q$3:$Q$368)))/F273&gt;0, (((1.18*F273^0.874)-(0.301*F273^0.751)/(1-H273)*H273)*(MAX('Max rate concentrations'!$Q$3:$Q$368)))/F273, 0)</f>
        <v>0.98336519416416202</v>
      </c>
      <c r="O273" s="69">
        <f>((MAX('Max rate concentrations'!$F$3:$F$368))*0.62*6.01*8*(10*F273^0.667)*0.079*0.1/F273)*inputs!$E$80/(10^(0.84+0.62*LOG10(inputs!$E$80)))</f>
        <v>80.84051273688398</v>
      </c>
      <c r="P273" s="69">
        <f>((MAX('Max rate concentrations'!Y:Y))*0.62*6.01*8*(10*F273^0.667)*0.079*0.1/F273)*inputs!$E$80/(10^(0.84+0.62*LOG10(inputs!$E$80)))</f>
        <v>26.946837578961336</v>
      </c>
      <c r="Q273" s="69">
        <f>(inputs!$C$18*11.2*(10*F273^0.667)*0.5/F273)*inputs!$E$80/(10^(0.84+0.62*LOG10(inputs!$E$80)))</f>
        <v>14.239675028011197</v>
      </c>
      <c r="R273" s="59">
        <f>(60*284*((F273/1000)^0.77)*3*24*(MAX('Max rate concentrations'!$R$3:$R$368))/F273)*(inputs!$E$73*3.4/inputs!$E$75)</f>
        <v>9.1224600010715653E-2</v>
      </c>
      <c r="S273" s="59">
        <f>(IF(inputs!$C$17="aerial",((0.025*0.112*inputs!$C$18/3.3)*(3*60*284*((F273/1000)^0.77))*MAX(inputs!$I$14:$I$16))/F273,((0.0083*0.112*inputs!$C$18/1)*(3*60*284*((F273/1000)^0.77))*MAX(inputs!$I$14:$I$16))/F273))*(inputs!E$75*3.4/inputs!$E$73)</f>
        <v>0.50310927374428094</v>
      </c>
      <c r="T273" s="63">
        <f>IF((((inputs!$P$13/(V273/MAX(K273:S273)))^(1/inputs!$O$13))-1)/inputs!$N$13&lt;0, 0, IF((((inputs!$P$13/(V273/MAX(K273:S273)))^(1/inputs!$O$13))-1)/inputs!$N$13&lt;inputs!$I$17, (((inputs!$P$13/(V273/MAX(K273:S273)))^(1/inputs!$O$13))-1)/inputs!$N$13, inputs!$I$17))</f>
        <v>1000</v>
      </c>
      <c r="U273" s="63">
        <f>IF((((inputs!$P$13/(X273/MAX(K273:S273)))^(1/inputs!$O$13))-1)/inputs!$N$13&lt;0, 0, IF((((inputs!$P$13/(X273/MAX(K273:S273)))^(1/inputs!$O$13))-1)/inputs!$N$13&lt;inputs!$I$17, (((inputs!$P$13/(X273/MAX(K273:S273)))^(1/inputs!$O$13))-1)/inputs!$N$13, inputs!$I$17))</f>
        <v>26.209039789781837</v>
      </c>
      <c r="V273" s="21">
        <f>inputs!$E$78*(F273/inputs!$F$78)^(inputs!$E$84-1)</f>
        <v>5.3806858710510753E-2</v>
      </c>
      <c r="W273" s="21">
        <f>inputs!$E$85*(F273/inputs!$F$85)^(inputs!$E$84-1)</f>
        <v>2.4847016143186225</v>
      </c>
      <c r="X273" s="21">
        <f>inputs!$E$80*(F273/inputs!$F$80)^(inputs!$E$84-1)</f>
        <v>9.278316154734096</v>
      </c>
      <c r="Y273" s="21">
        <f>inputs!$E$82*(F273/inputs!$F$82)^(inputs!$E$84-1)</f>
        <v>4.2762292975195386</v>
      </c>
      <c r="Z273" s="63">
        <f t="shared" si="24"/>
        <v>1502.4202243773136</v>
      </c>
      <c r="AA273" s="63">
        <f t="shared" si="25"/>
        <v>32.535300122567357</v>
      </c>
    </row>
    <row r="274" spans="1:476" ht="13.2" x14ac:dyDescent="0.25">
      <c r="A274" s="103" t="s">
        <v>313</v>
      </c>
      <c r="B274" s="20" t="s">
        <v>314</v>
      </c>
      <c r="C274" s="20" t="s">
        <v>73</v>
      </c>
      <c r="D274" s="104" t="s">
        <v>141</v>
      </c>
      <c r="E274" s="15">
        <v>145</v>
      </c>
      <c r="F274" s="15">
        <v>6</v>
      </c>
      <c r="G274" s="20" t="s">
        <v>154</v>
      </c>
      <c r="H274" s="20">
        <v>9.2999999999999999E-2</v>
      </c>
      <c r="I274" s="68">
        <f>MAX('Max rate concentrations'!$G$3:$G$368)</f>
        <v>45</v>
      </c>
      <c r="J274" s="68">
        <f>MAX('Max rate concentrations'!Z:Z)</f>
        <v>21</v>
      </c>
      <c r="K274" s="69">
        <f t="shared" si="22"/>
        <v>15.092653836628735</v>
      </c>
      <c r="L274" s="69">
        <f t="shared" si="23"/>
        <v>7.0432384570934099</v>
      </c>
      <c r="M274" s="69">
        <f>IF((((1.18*F274^0.874)-(0.301*F274^0.751)/(1-H274)*H274)*(MAX('Max rate concentrations'!$P$3:$P$368)))/F274&gt;0, (((1.18*F274^0.874)-(0.301*F274^0.751)/(1-H274)*H274)*(MAX('Max rate concentrations'!$P$3:$P$368)))/F274, 0)</f>
        <v>0.80276422731406949</v>
      </c>
      <c r="N274" s="69">
        <f>IF((((1.18*F274^0.874)-(0.301*F274^0.751)/(1-H274)*H274)*(MAX('Max rate concentrations'!$Q$3:$Q$368)))/F274&gt;0, (((1.18*F274^0.874)-(0.301*F274^0.751)/(1-H274)*H274)*(MAX('Max rate concentrations'!$Q$3:$Q$368)))/F274, 0)</f>
        <v>3.0569693114866703</v>
      </c>
      <c r="O274" s="69">
        <f>((MAX('Max rate concentrations'!$F$3:$F$368))*0.62*6.01*8*(10*F274^0.667)*0.079*0.1/F274)*inputs!$E$80/(10^(0.84+0.62*LOG10(inputs!$E$80)))</f>
        <v>80.84051273688398</v>
      </c>
      <c r="P274" s="69">
        <f>((MAX('Max rate concentrations'!Y:Y))*0.62*6.01*8*(10*F274^0.667)*0.079*0.1/F274)*inputs!$E$80/(10^(0.84+0.62*LOG10(inputs!$E$80)))</f>
        <v>26.946837578961336</v>
      </c>
      <c r="Q274" s="69">
        <f>(inputs!$C$18*11.2*(10*F274^0.667)*0.5/F274)*inputs!$E$80/(10^(0.84+0.62*LOG10(inputs!$E$80)))</f>
        <v>14.239675028011197</v>
      </c>
      <c r="R274" s="59">
        <f>(60*284*((F274/1000)^0.77)*3*24*(MAX('Max rate concentrations'!$R$3:$R$368))/F274)*(inputs!$E$73*3.4/inputs!$E$75)</f>
        <v>9.1224600010715653E-2</v>
      </c>
      <c r="S274" s="59">
        <f>(IF(inputs!$C$17="aerial",((0.025*0.112*inputs!$C$18/3.3)*(3*60*284*((F274/1000)^0.77))*MAX(inputs!$I$14:$I$16))/F274,((0.0083*0.112*inputs!$C$18/1)*(3*60*284*((F274/1000)^0.77))*MAX(inputs!$I$14:$I$16))/F274))*(inputs!E$75*3.4/inputs!$E$73)</f>
        <v>0.50310927374428094</v>
      </c>
      <c r="T274" s="63">
        <f>IF((((inputs!$P$13/(V274/MAX(K274:S274)))^(1/inputs!$O$13))-1)/inputs!$N$13&lt;0, 0, IF((((inputs!$P$13/(V274/MAX(K274:S274)))^(1/inputs!$O$13))-1)/inputs!$N$13&lt;inputs!$I$17, (((inputs!$P$13/(V274/MAX(K274:S274)))^(1/inputs!$O$13))-1)/inputs!$N$13, inputs!$I$17))</f>
        <v>1000</v>
      </c>
      <c r="U274" s="63">
        <f>IF((((inputs!$P$13/(X274/MAX(K274:S274)))^(1/inputs!$O$13))-1)/inputs!$N$13&lt;0, 0, IF((((inputs!$P$13/(X274/MAX(K274:S274)))^(1/inputs!$O$13))-1)/inputs!$N$13&lt;inputs!$I$17, (((inputs!$P$13/(X274/MAX(K274:S274)))^(1/inputs!$O$13))-1)/inputs!$N$13, inputs!$I$17))</f>
        <v>26.209039789781837</v>
      </c>
      <c r="V274" s="21">
        <f>inputs!$E$78*(F274/inputs!$F$78)^(inputs!$E$84-1)</f>
        <v>5.3806858710510753E-2</v>
      </c>
      <c r="W274" s="21">
        <f>inputs!$E$85*(F274/inputs!$F$85)^(inputs!$E$84-1)</f>
        <v>2.4847016143186225</v>
      </c>
      <c r="X274" s="21">
        <f>inputs!$E$80*(F274/inputs!$F$80)^(inputs!$E$84-1)</f>
        <v>9.278316154734096</v>
      </c>
      <c r="Y274" s="21">
        <f>inputs!$E$82*(F274/inputs!$F$82)^(inputs!$E$84-1)</f>
        <v>4.2762292975195386</v>
      </c>
      <c r="Z274" s="63">
        <f t="shared" si="24"/>
        <v>1502.4202243773136</v>
      </c>
      <c r="AA274" s="63">
        <f t="shared" si="25"/>
        <v>32.535300122567357</v>
      </c>
    </row>
    <row r="275" spans="1:476" ht="13.2" x14ac:dyDescent="0.25">
      <c r="A275" s="103" t="s">
        <v>301</v>
      </c>
      <c r="B275" s="20" t="s">
        <v>302</v>
      </c>
      <c r="C275" s="20" t="s">
        <v>73</v>
      </c>
      <c r="D275" s="104" t="s">
        <v>141</v>
      </c>
      <c r="E275" s="15">
        <v>74</v>
      </c>
      <c r="F275" s="15">
        <v>24</v>
      </c>
      <c r="G275" s="20" t="s">
        <v>142</v>
      </c>
      <c r="H275" s="20">
        <v>0.69</v>
      </c>
      <c r="I275" s="68">
        <f>MAX('Max rate concentrations'!$H$3:$H$368)</f>
        <v>282</v>
      </c>
      <c r="J275" s="68">
        <f>MAX('Max rate concentrations'!AA:AA)</f>
        <v>195</v>
      </c>
      <c r="K275" s="69">
        <f t="shared" si="22"/>
        <v>224.77023534205242</v>
      </c>
      <c r="L275" s="69">
        <f t="shared" si="23"/>
        <v>155.42622656631283</v>
      </c>
      <c r="M275" s="69">
        <f>IF((((1.18*F275^0.874)-(0.301*F275^0.751)/(1-H275)*H275)*(MAX('Max rate concentrations'!$P$3:$P$368)))/F275&gt;0, (((1.18*F275^0.874)-(0.301*F275^0.751)/(1-H275)*H275)*(MAX('Max rate concentrations'!$P$3:$P$368)))/F275, 0)</f>
        <v>0.42410358434413947</v>
      </c>
      <c r="N275" s="69">
        <f>IF((((1.18*F275^0.874)-(0.301*F275^0.751)/(1-H275)*H275)*(MAX('Max rate concentrations'!$Q$3:$Q$368)))/F275&gt;0, (((1.18*F275^0.874)-(0.301*F275^0.751)/(1-H275)*H275)*(MAX('Max rate concentrations'!$Q$3:$Q$368)))/F275, 0)</f>
        <v>1.6150092369827389</v>
      </c>
      <c r="O275" s="69">
        <f>((MAX('Max rate concentrations'!$F$3:$F$368))*0.62*6.01*8*(10*F275^0.667)*0.079*0.1/F275)*inputs!$E$80/(10^(0.84+0.62*LOG10(inputs!$E$80)))</f>
        <v>50.949870241074905</v>
      </c>
      <c r="P275" s="69">
        <f>((MAX('Max rate concentrations'!Y:Y))*0.62*6.01*8*(10*F275^0.667)*0.079*0.1/F275)*inputs!$E$80/(10^(0.84+0.62*LOG10(inputs!$E$80)))</f>
        <v>16.983290080358302</v>
      </c>
      <c r="Q275" s="69">
        <f>(inputs!$C$18*11.2*(10*F275^0.667)*0.5/F275)*inputs!$E$80/(10^(0.84+0.62*LOG10(inputs!$E$80)))</f>
        <v>8.9745793339238293</v>
      </c>
      <c r="R275" s="59">
        <f>(60*284*((F275/1000)^0.77)*3*24*(MAX('Max rate concentrations'!$R$3:$R$368))/F275)*(inputs!$E$73*3.4/inputs!$E$75)</f>
        <v>6.6319030659559311E-2</v>
      </c>
      <c r="S275" s="59">
        <f>(IF(inputs!$C$17="aerial",((0.025*0.112*inputs!$C$18/3.3)*(3*60*284*((F275/1000)^0.77))*MAX(inputs!$I$14:$I$16))/F275,((0.0083*0.112*inputs!$C$18/1)*(3*60*284*((F275/1000)^0.77))*MAX(inputs!$I$14:$I$16))/F275))*(inputs!E$75*3.4/inputs!$E$73)</f>
        <v>0.36575352861658261</v>
      </c>
      <c r="T275" s="63">
        <f>IF((((inputs!$P$13/(V275/MAX(K275:S275)))^(1/inputs!$O$13))-1)/inputs!$N$13&lt;0, 0, IF((((inputs!$P$13/(V275/MAX(K275:S275)))^(1/inputs!$O$13))-1)/inputs!$N$13&lt;inputs!$I$17, (((inputs!$P$13/(V275/MAX(K275:S275)))^(1/inputs!$O$13))-1)/inputs!$N$13, inputs!$I$17))</f>
        <v>1000</v>
      </c>
      <c r="U275" s="63">
        <f>IF((((inputs!$P$13/(X275/MAX(K275:S275)))^(1/inputs!$O$13))-1)/inputs!$N$13&lt;0, 0, IF((((inputs!$P$13/(X275/MAX(K275:S275)))^(1/inputs!$O$13))-1)/inputs!$N$13&lt;inputs!$I$17, (((inputs!$P$13/(X275/MAX(K275:S275)))^(1/inputs!$O$13))-1)/inputs!$N$13, inputs!$I$17))</f>
        <v>103.59339380202265</v>
      </c>
      <c r="V275" s="21">
        <f>inputs!$E$78*(F275/inputs!$F$78)^(inputs!$E$84-1)</f>
        <v>3.2216283734138068E-2</v>
      </c>
      <c r="W275" s="21">
        <f>inputs!$E$85*(F275/inputs!$F$85)^(inputs!$E$84-1)</f>
        <v>1.4876886352394121</v>
      </c>
      <c r="X275" s="21">
        <f>inputs!$E$80*(F275/inputs!$F$80)^(inputs!$E$84-1)</f>
        <v>5.5552930050079308</v>
      </c>
      <c r="Y275" s="21">
        <f>inputs!$E$82*(F275/inputs!$F$82)^(inputs!$E$84-1)</f>
        <v>2.5603467599236045</v>
      </c>
      <c r="Z275" s="63">
        <f t="shared" si="24"/>
        <v>6976.9138239825616</v>
      </c>
      <c r="AA275" s="63">
        <f t="shared" si="25"/>
        <v>151.08688069387611</v>
      </c>
    </row>
    <row r="276" spans="1:476" ht="13.2" x14ac:dyDescent="0.25">
      <c r="A276" s="103" t="s">
        <v>301</v>
      </c>
      <c r="B276" s="20" t="s">
        <v>302</v>
      </c>
      <c r="C276" s="20" t="s">
        <v>73</v>
      </c>
      <c r="D276" s="104" t="s">
        <v>141</v>
      </c>
      <c r="E276" s="15">
        <v>74</v>
      </c>
      <c r="F276" s="15">
        <v>24</v>
      </c>
      <c r="G276" s="20" t="s">
        <v>153</v>
      </c>
      <c r="H276" s="20">
        <v>0.7</v>
      </c>
      <c r="I276" s="68">
        <f>MAX('Max rate concentrations'!$E$3:$E$368)</f>
        <v>330</v>
      </c>
      <c r="J276" s="68">
        <f>MAX('Max rate concentrations'!X:X)</f>
        <v>108</v>
      </c>
      <c r="K276" s="69">
        <f t="shared" si="22"/>
        <v>271.79663209801373</v>
      </c>
      <c r="L276" s="69">
        <f t="shared" si="23"/>
        <v>88.95162505025904</v>
      </c>
      <c r="M276" s="69">
        <f>IF((((1.18*F276^0.874)-(0.301*F276^0.751)/(1-H276)*H276)*(MAX('Max rate concentrations'!$P$3:$P$368)))/F276&gt;0, (((1.18*F276^0.874)-(0.301*F276^0.751)/(1-H276)*H276)*(MAX('Max rate concentrations'!$P$3:$P$368)))/F276, 0)</f>
        <v>0.41132821846695555</v>
      </c>
      <c r="N276" s="69">
        <f>IF((((1.18*F276^0.874)-(0.301*F276^0.751)/(1-H276)*H276)*(MAX('Max rate concentrations'!$Q$3:$Q$368)))/F276&gt;0, (((1.18*F276^0.874)-(0.301*F276^0.751)/(1-H276)*H276)*(MAX('Max rate concentrations'!$Q$3:$Q$368)))/F276, 0)</f>
        <v>1.5663599572804854</v>
      </c>
      <c r="O276" s="69">
        <f>((MAX('Max rate concentrations'!$F$3:$F$368))*0.62*6.01*8*(10*F276^0.667)*0.079*0.1/F276)*inputs!$E$80/(10^(0.84+0.62*LOG10(inputs!$E$80)))</f>
        <v>50.949870241074905</v>
      </c>
      <c r="P276" s="69">
        <f>((MAX('Max rate concentrations'!Y:Y))*0.62*6.01*8*(10*F276^0.667)*0.079*0.1/F276)*inputs!$E$80/(10^(0.84+0.62*LOG10(inputs!$E$80)))</f>
        <v>16.983290080358302</v>
      </c>
      <c r="Q276" s="69">
        <f>(inputs!$C$18*11.2*(10*F276^0.667)*0.5/F276)*inputs!$E$80/(10^(0.84+0.62*LOG10(inputs!$E$80)))</f>
        <v>8.9745793339238293</v>
      </c>
      <c r="R276" s="59">
        <f>(60*284*((F276/1000)^0.77)*3*24*(MAX('Max rate concentrations'!$R$3:$R$368))/F276)*(inputs!$E$73*3.4/inputs!$E$75)</f>
        <v>6.6319030659559311E-2</v>
      </c>
      <c r="S276" s="59">
        <f>(IF(inputs!$C$17="aerial",((0.025*0.112*inputs!$C$18/3.3)*(3*60*284*((F276/1000)^0.77))*MAX(inputs!$I$14:$I$16))/F276,((0.0083*0.112*inputs!$C$18/1)*(3*60*284*((F276/1000)^0.77))*MAX(inputs!$I$14:$I$16))/F276))*(inputs!E$75*3.4/inputs!$E$73)</f>
        <v>0.36575352861658261</v>
      </c>
      <c r="T276" s="63">
        <f>IF((((inputs!$P$13/(V276/MAX(K276:S276)))^(1/inputs!$O$13))-1)/inputs!$N$13&lt;0, 0, IF((((inputs!$P$13/(V276/MAX(K276:S276)))^(1/inputs!$O$13))-1)/inputs!$N$13&lt;inputs!$I$17, (((inputs!$P$13/(V276/MAX(K276:S276)))^(1/inputs!$O$13))-1)/inputs!$N$13, inputs!$I$17))</f>
        <v>1000</v>
      </c>
      <c r="U276" s="63">
        <f>IF((((inputs!$P$13/(X276/MAX(K276:S276)))^(1/inputs!$O$13))-1)/inputs!$N$13&lt;0, 0, IF((((inputs!$P$13/(X276/MAX(K276:S276)))^(1/inputs!$O$13))-1)/inputs!$N$13&lt;inputs!$I$17, (((inputs!$P$13/(X276/MAX(K276:S276)))^(1/inputs!$O$13))-1)/inputs!$N$13, inputs!$I$17))</f>
        <v>121.66375012702693</v>
      </c>
      <c r="V276" s="21">
        <f>inputs!$E$78*(F276/inputs!$F$78)^(inputs!$E$84-1)</f>
        <v>3.2216283734138068E-2</v>
      </c>
      <c r="W276" s="21">
        <f>inputs!$E$85*(F276/inputs!$F$85)^(inputs!$E$84-1)</f>
        <v>1.4876886352394121</v>
      </c>
      <c r="X276" s="21">
        <f>inputs!$E$80*(F276/inputs!$F$80)^(inputs!$E$84-1)</f>
        <v>5.5552930050079308</v>
      </c>
      <c r="Y276" s="21">
        <f>inputs!$E$82*(F276/inputs!$F$82)^(inputs!$E$84-1)</f>
        <v>2.5603467599236045</v>
      </c>
      <c r="Z276" s="63">
        <f t="shared" si="24"/>
        <v>8436.6227446030261</v>
      </c>
      <c r="AA276" s="63">
        <f t="shared" si="25"/>
        <v>182.69725644188563</v>
      </c>
    </row>
    <row r="277" spans="1:476" ht="13.2" x14ac:dyDescent="0.25">
      <c r="A277" s="103" t="s">
        <v>226</v>
      </c>
      <c r="B277" s="20" t="s">
        <v>227</v>
      </c>
      <c r="C277" s="20" t="s">
        <v>73</v>
      </c>
      <c r="D277" s="104" t="s">
        <v>141</v>
      </c>
      <c r="E277" s="15">
        <v>4237</v>
      </c>
      <c r="F277" s="15">
        <v>6.9</v>
      </c>
      <c r="G277" s="20" t="s">
        <v>142</v>
      </c>
      <c r="H277" s="20">
        <v>0.69</v>
      </c>
      <c r="I277" s="68">
        <f>MAX('Max rate concentrations'!$H$3:$H$368)</f>
        <v>282</v>
      </c>
      <c r="J277" s="68">
        <f>MAX('Max rate concentrations'!AA:AA)</f>
        <v>195</v>
      </c>
      <c r="K277" s="69">
        <f t="shared" si="22"/>
        <v>270.98367169130768</v>
      </c>
      <c r="L277" s="69">
        <f t="shared" si="23"/>
        <v>187.38232616952126</v>
      </c>
      <c r="M277" s="69">
        <f>IF((((1.18*F277^0.874)-(0.301*F277^0.751)/(1-H277)*H277)*(MAX('Max rate concentrations'!$P$3:$P$368)))/F277&gt;0, (((1.18*F277^0.874)-(0.301*F277^0.751)/(1-H277)*H277)*(MAX('Max rate concentrations'!$P$3:$P$368)))/F277, 0)</f>
        <v>0.44495830230795103</v>
      </c>
      <c r="N277" s="69">
        <f>IF((((1.18*F277^0.874)-(0.301*F277^0.751)/(1-H277)*H277)*(MAX('Max rate concentrations'!$Q$3:$Q$368)))/F277&gt;0, (((1.18*F277^0.874)-(0.301*F277^0.751)/(1-H277)*H277)*(MAX('Max rate concentrations'!$Q$3:$Q$368)))/F277, 0)</f>
        <v>1.6944251235480723</v>
      </c>
      <c r="O277" s="69">
        <f>((MAX('Max rate concentrations'!$F$3:$F$368))*0.62*6.01*8*(10*F277^0.667)*0.079*0.1/F277)*inputs!$E$80/(10^(0.84+0.62*LOG10(inputs!$E$80)))</f>
        <v>77.164345795217102</v>
      </c>
      <c r="P277" s="69">
        <f>((MAX('Max rate concentrations'!Y:Y))*0.62*6.01*8*(10*F277^0.667)*0.079*0.1/F277)*inputs!$E$80/(10^(0.84+0.62*LOG10(inputs!$E$80)))</f>
        <v>25.721448598405694</v>
      </c>
      <c r="Q277" s="69">
        <f>(inputs!$C$18*11.2*(10*F277^0.667)*0.5/F277)*inputs!$E$80/(10^(0.84+0.62*LOG10(inputs!$E$80)))</f>
        <v>13.592135560165012</v>
      </c>
      <c r="R277" s="59">
        <f>(60*284*((F277/1000)^0.77)*3*24*(MAX('Max rate concentrations'!$R$3:$R$368))/F277)*(inputs!$E$73*3.4/inputs!$E$75)</f>
        <v>8.8338793703693866E-2</v>
      </c>
      <c r="S277" s="59">
        <f>(IF(inputs!$C$17="aerial",((0.025*0.112*inputs!$C$18/3.3)*(3*60*284*((F277/1000)^0.77))*MAX(inputs!$I$14:$I$16))/F277,((0.0083*0.112*inputs!$C$18/1)*(3*60*284*((F277/1000)^0.77))*MAX(inputs!$I$14:$I$16))/F277))*(inputs!E$75*3.4/inputs!$E$73)</f>
        <v>0.48719387466199543</v>
      </c>
      <c r="T277" s="63">
        <f>IF((((inputs!$P$13/(V277/MAX(K277:S277)))^(1/inputs!$O$13))-1)/inputs!$N$13&lt;0, 0, IF((((inputs!$P$13/(V277/MAX(K277:S277)))^(1/inputs!$O$13))-1)/inputs!$N$13&lt;inputs!$I$17, (((inputs!$P$13/(V277/MAX(K277:S277)))^(1/inputs!$O$13))-1)/inputs!$N$13, inputs!$I$17))</f>
        <v>1000</v>
      </c>
      <c r="U277" s="63">
        <f>IF((((inputs!$P$13/(X277/MAX(K277:S277)))^(1/inputs!$O$13))-1)/inputs!$N$13&lt;0, 0, IF((((inputs!$P$13/(X277/MAX(K277:S277)))^(1/inputs!$O$13))-1)/inputs!$N$13&lt;inputs!$I$17, (((inputs!$P$13/(X277/MAX(K277:S277)))^(1/inputs!$O$13))-1)/inputs!$N$13, inputs!$I$17))</f>
        <v>81.949152946275632</v>
      </c>
      <c r="V277" s="21">
        <f>inputs!$E$78*(F277/inputs!$F$78)^(inputs!$E$84-1)</f>
        <v>5.1095121638162447E-2</v>
      </c>
      <c r="W277" s="21">
        <f>inputs!$E$85*(F277/inputs!$F$85)^(inputs!$E$84-1)</f>
        <v>2.3594785917756753</v>
      </c>
      <c r="X277" s="21">
        <f>inputs!$E$80*(F277/inputs!$F$80)^(inputs!$E$84-1)</f>
        <v>8.8107111971370138</v>
      </c>
      <c r="Y277" s="21">
        <f>inputs!$E$82*(F277/inputs!$F$82)^(inputs!$E$84-1)</f>
        <v>4.060717561769752</v>
      </c>
      <c r="Z277" s="63">
        <f t="shared" si="24"/>
        <v>5303.5135841405381</v>
      </c>
      <c r="AA277" s="63">
        <f t="shared" si="25"/>
        <v>114.84896393460099</v>
      </c>
    </row>
    <row r="278" spans="1:476" ht="26.4" x14ac:dyDescent="0.25">
      <c r="A278" s="103" t="s">
        <v>165</v>
      </c>
      <c r="B278" s="20" t="s">
        <v>166</v>
      </c>
      <c r="C278" s="20" t="s">
        <v>73</v>
      </c>
      <c r="D278" s="104" t="s">
        <v>141</v>
      </c>
      <c r="E278" s="15">
        <v>133</v>
      </c>
      <c r="F278" s="15">
        <v>13.4</v>
      </c>
      <c r="G278" s="20" t="s">
        <v>142</v>
      </c>
      <c r="H278" s="20">
        <v>0.69</v>
      </c>
      <c r="I278" s="68">
        <f>MAX('Max rate concentrations'!$H$3:$H$368)</f>
        <v>282</v>
      </c>
      <c r="J278" s="68">
        <f>MAX('Max rate concentrations'!AA:AA)</f>
        <v>195</v>
      </c>
      <c r="K278" s="69">
        <f t="shared" si="22"/>
        <v>245.30407727198505</v>
      </c>
      <c r="L278" s="69">
        <f t="shared" si="23"/>
        <v>169.62515981573432</v>
      </c>
      <c r="M278" s="69">
        <f>IF((((1.18*F278^0.874)-(0.301*F278^0.751)/(1-H278)*H278)*(MAX('Max rate concentrations'!$P$3:$P$368)))/F278&gt;0, (((1.18*F278^0.874)-(0.301*F278^0.751)/(1-H278)*H278)*(MAX('Max rate concentrations'!$P$3:$P$368)))/F278, 0)</f>
        <v>0.4352682432918884</v>
      </c>
      <c r="N278" s="69">
        <f>IF((((1.18*F278^0.874)-(0.301*F278^0.751)/(1-H278)*H278)*(MAX('Max rate concentrations'!$Q$3:$Q$368)))/F278&gt;0, (((1.18*F278^0.874)-(0.301*F278^0.751)/(1-H278)*H278)*(MAX('Max rate concentrations'!$Q$3:$Q$368)))/F278, 0)</f>
        <v>1.6575248581517057</v>
      </c>
      <c r="O278" s="69">
        <f>((MAX('Max rate concentrations'!$F$3:$F$368))*0.62*6.01*8*(10*F278^0.667)*0.079*0.1/F278)*inputs!$E$80/(10^(0.84+0.62*LOG10(inputs!$E$80)))</f>
        <v>61.862508703263401</v>
      </c>
      <c r="P278" s="69">
        <f>((MAX('Max rate concentrations'!Y:Y))*0.62*6.01*8*(10*F278^0.667)*0.079*0.1/F278)*inputs!$E$80/(10^(0.84+0.62*LOG10(inputs!$E$80)))</f>
        <v>20.620836234421137</v>
      </c>
      <c r="Q278" s="69">
        <f>(inputs!$C$18*11.2*(10*F278^0.667)*0.5/F278)*inputs!$E$80/(10^(0.84+0.62*LOG10(inputs!$E$80)))</f>
        <v>10.896789128726892</v>
      </c>
      <c r="R278" s="59">
        <f>(60*284*((F278/1000)^0.77)*3*24*(MAX('Max rate concentrations'!$R$3:$R$368))/F278)*(inputs!$E$73*3.4/inputs!$E$75)</f>
        <v>7.5832024709030624E-2</v>
      </c>
      <c r="S278" s="59">
        <f>(IF(inputs!$C$17="aerial",((0.025*0.112*inputs!$C$18/3.3)*(3*60*284*((F278/1000)^0.77))*MAX(inputs!$I$14:$I$16))/F278,((0.0083*0.112*inputs!$C$18/1)*(3*60*284*((F278/1000)^0.77))*MAX(inputs!$I$14:$I$16))/F278))*(inputs!E$75*3.4/inputs!$E$73)</f>
        <v>0.41821827526168692</v>
      </c>
      <c r="T278" s="63">
        <f>IF((((inputs!$P$13/(V278/MAX(K278:S278)))^(1/inputs!$O$13))-1)/inputs!$N$13&lt;0, 0, IF((((inputs!$P$13/(V278/MAX(K278:S278)))^(1/inputs!$O$13))-1)/inputs!$N$13&lt;inputs!$I$17, (((inputs!$P$13/(V278/MAX(K278:S278)))^(1/inputs!$O$13))-1)/inputs!$N$13, inputs!$I$17))</f>
        <v>1000</v>
      </c>
      <c r="U278" s="63">
        <f>IF((((inputs!$P$13/(X278/MAX(K278:S278)))^(1/inputs!$O$13))-1)/inputs!$N$13&lt;0, 0, IF((((inputs!$P$13/(X278/MAX(K278:S278)))^(1/inputs!$O$13))-1)/inputs!$N$13&lt;inputs!$I$17, (((inputs!$P$13/(X278/MAX(K278:S278)))^(1/inputs!$O$13))-1)/inputs!$N$13, inputs!$I$17))</f>
        <v>92.875635055019984</v>
      </c>
      <c r="V278" s="21">
        <f>inputs!$E$78*(F278/inputs!$F$78)^(inputs!$E$84-1)</f>
        <v>3.9969142000589E-2</v>
      </c>
      <c r="W278" s="21">
        <f>inputs!$E$85*(F278/inputs!$F$85)^(inputs!$E$84-1)</f>
        <v>1.845701347965776</v>
      </c>
      <c r="X278" s="21">
        <f>inputs!$E$80*(F278/inputs!$F$80)^(inputs!$E$84-1)</f>
        <v>6.8921759196190369</v>
      </c>
      <c r="Y278" s="21">
        <f>inputs!$E$82*(F278/inputs!$F$82)^(inputs!$E$84-1)</f>
        <v>3.1764949695204945</v>
      </c>
      <c r="Z278" s="63">
        <f t="shared" si="24"/>
        <v>6137.3365800139054</v>
      </c>
      <c r="AA278" s="63">
        <f t="shared" si="25"/>
        <v>132.90561744582612</v>
      </c>
    </row>
    <row r="279" spans="1:476" ht="26.4" x14ac:dyDescent="0.25">
      <c r="A279" s="103" t="s">
        <v>165</v>
      </c>
      <c r="B279" s="20" t="s">
        <v>166</v>
      </c>
      <c r="C279" s="20" t="s">
        <v>73</v>
      </c>
      <c r="D279" s="104" t="s">
        <v>141</v>
      </c>
      <c r="E279" s="15">
        <v>133</v>
      </c>
      <c r="F279" s="15">
        <v>13.4</v>
      </c>
      <c r="G279" s="20" t="s">
        <v>154</v>
      </c>
      <c r="H279" s="20">
        <v>9.2999999999999999E-2</v>
      </c>
      <c r="I279" s="68">
        <f>MAX('Max rate concentrations'!$G$3:$G$368)</f>
        <v>45</v>
      </c>
      <c r="J279" s="68">
        <f>MAX('Max rate concentrations'!Z:Z)</f>
        <v>21</v>
      </c>
      <c r="K279" s="69">
        <f t="shared" si="22"/>
        <v>13.378966892429224</v>
      </c>
      <c r="L279" s="69">
        <f t="shared" si="23"/>
        <v>6.2435178831336371</v>
      </c>
      <c r="M279" s="69">
        <f>IF((((1.18*F279^0.874)-(0.301*F279^0.751)/(1-H279)*H279)*(MAX('Max rate concentrations'!$P$3:$P$368)))/F279&gt;0, (((1.18*F279^0.874)-(0.301*F279^0.751)/(1-H279)*H279)*(MAX('Max rate concentrations'!$P$3:$P$368)))/F279, 0)</f>
        <v>0.72693380301181199</v>
      </c>
      <c r="N279" s="69">
        <f>IF((((1.18*F279^0.874)-(0.301*F279^0.751)/(1-H279)*H279)*(MAX('Max rate concentrations'!$Q$3:$Q$368)))/F279&gt;0, (((1.18*F279^0.874)-(0.301*F279^0.751)/(1-H279)*H279)*(MAX('Max rate concentrations'!$Q$3:$Q$368)))/F279, 0)</f>
        <v>2.768202981247192</v>
      </c>
      <c r="O279" s="69">
        <f>((MAX('Max rate concentrations'!$F$3:$F$368))*0.62*6.01*8*(10*F279^0.667)*0.079*0.1/F279)*inputs!$E$80/(10^(0.84+0.62*LOG10(inputs!$E$80)))</f>
        <v>61.862508703263401</v>
      </c>
      <c r="P279" s="69">
        <f>((MAX('Max rate concentrations'!Y:Y))*0.62*6.01*8*(10*F279^0.667)*0.079*0.1/F279)*inputs!$E$80/(10^(0.84+0.62*LOG10(inputs!$E$80)))</f>
        <v>20.620836234421137</v>
      </c>
      <c r="Q279" s="69">
        <f>(inputs!$C$18*11.2*(10*F279^0.667)*0.5/F279)*inputs!$E$80/(10^(0.84+0.62*LOG10(inputs!$E$80)))</f>
        <v>10.896789128726892</v>
      </c>
      <c r="R279" s="59">
        <f>(60*284*((F279/1000)^0.77)*3*24*(MAX('Max rate concentrations'!$R$3:$R$368))/F279)*(inputs!$E$73*3.4/inputs!$E$75)</f>
        <v>7.5832024709030624E-2</v>
      </c>
      <c r="S279" s="59">
        <f>(IF(inputs!$C$17="aerial",((0.025*0.112*inputs!$C$18/3.3)*(3*60*284*((F279/1000)^0.77))*MAX(inputs!$I$14:$I$16))/F279,((0.0083*0.112*inputs!$C$18/1)*(3*60*284*((F279/1000)^0.77))*MAX(inputs!$I$14:$I$16))/F279))*(inputs!E$75*3.4/inputs!$E$73)</f>
        <v>0.41821827526168692</v>
      </c>
      <c r="T279" s="63">
        <f>IF((((inputs!$P$13/(V279/MAX(K279:S279)))^(1/inputs!$O$13))-1)/inputs!$N$13&lt;0, 0, IF((((inputs!$P$13/(V279/MAX(K279:S279)))^(1/inputs!$O$13))-1)/inputs!$N$13&lt;inputs!$I$17, (((inputs!$P$13/(V279/MAX(K279:S279)))^(1/inputs!$O$13))-1)/inputs!$N$13, inputs!$I$17))</f>
        <v>1000</v>
      </c>
      <c r="U279" s="63">
        <f>IF((((inputs!$P$13/(X279/MAX(K279:S279)))^(1/inputs!$O$13))-1)/inputs!$N$13&lt;0, 0, IF((((inputs!$P$13/(X279/MAX(K279:S279)))^(1/inputs!$O$13))-1)/inputs!$N$13&lt;inputs!$I$17, (((inputs!$P$13/(X279/MAX(K279:S279)))^(1/inputs!$O$13))-1)/inputs!$N$13, inputs!$I$17))</f>
        <v>26.973966740387045</v>
      </c>
      <c r="V279" s="21">
        <f>inputs!$E$78*(F279/inputs!$F$78)^(inputs!$E$84-1)</f>
        <v>3.9969142000589E-2</v>
      </c>
      <c r="W279" s="21">
        <f>inputs!$E$85*(F279/inputs!$F$85)^(inputs!$E$84-1)</f>
        <v>1.845701347965776</v>
      </c>
      <c r="X279" s="21">
        <f>inputs!$E$80*(F279/inputs!$F$80)^(inputs!$E$84-1)</f>
        <v>6.8921759196190369</v>
      </c>
      <c r="Y279" s="21">
        <f>inputs!$E$82*(F279/inputs!$F$82)^(inputs!$E$84-1)</f>
        <v>3.1764949695204945</v>
      </c>
      <c r="Z279" s="63">
        <f t="shared" si="24"/>
        <v>1547.7567344916179</v>
      </c>
      <c r="AA279" s="63">
        <f t="shared" si="25"/>
        <v>33.517074022536008</v>
      </c>
    </row>
    <row r="280" spans="1:476" ht="13.2" x14ac:dyDescent="0.25">
      <c r="A280" s="103" t="s">
        <v>180</v>
      </c>
      <c r="B280" s="20" t="s">
        <v>181</v>
      </c>
      <c r="C280" s="20" t="s">
        <v>73</v>
      </c>
      <c r="D280" s="104" t="s">
        <v>141</v>
      </c>
      <c r="E280" s="15">
        <v>140</v>
      </c>
      <c r="F280" s="15">
        <v>59</v>
      </c>
      <c r="G280" s="20" t="s">
        <v>182</v>
      </c>
      <c r="H280" s="20">
        <v>0.85</v>
      </c>
      <c r="I280" s="68">
        <f>MAX('Max rate concentrations'!$M$3:$M$368)</f>
        <v>17.092910873809167</v>
      </c>
      <c r="J280" s="68">
        <f>MAX('Max rate concentrations'!AE:AE)</f>
        <v>11.81956602976166</v>
      </c>
      <c r="K280" s="69">
        <f t="shared" si="22"/>
        <v>24.602545258295031</v>
      </c>
      <c r="L280" s="69">
        <f t="shared" si="23"/>
        <v>17.01239831690614</v>
      </c>
      <c r="M280" s="69">
        <f>IF((((1.18*F280^0.874)-(0.301*F280^0.751)/(1-H280)*H280)*(MAX('Max rate concentrations'!$P$3:$P$368)))/F280&gt;0, (((1.18*F280^0.874)-(0.301*F280^0.751)/(1-H280)*H280)*(MAX('Max rate concentrations'!$P$3:$P$368)))/F280, 0)</f>
        <v>7.6612497276200675E-2</v>
      </c>
      <c r="N280" s="69">
        <f>IF((((1.18*F280^0.874)-(0.301*F280^0.751)/(1-H280)*H280)*(MAX('Max rate concentrations'!$Q$3:$Q$368)))/F280&gt;0, (((1.18*F280^0.874)-(0.301*F280^0.751)/(1-H280)*H280)*(MAX('Max rate concentrations'!$Q$3:$Q$368)))/F280, 0)</f>
        <v>0.29174450614635261</v>
      </c>
      <c r="O280" s="69">
        <f>((MAX('Max rate concentrations'!$F$3:$F$368))*0.62*6.01*8*(10*F280^0.667)*0.079*0.1/F280)*inputs!$E$80/(10^(0.84+0.62*LOG10(inputs!$E$80)))</f>
        <v>37.762410232921681</v>
      </c>
      <c r="P280" s="69">
        <f>((MAX('Max rate concentrations'!Y:Y))*0.62*6.01*8*(10*F280^0.667)*0.079*0.1/F280)*inputs!$E$80/(10^(0.84+0.62*LOG10(inputs!$E$80)))</f>
        <v>12.587470077640564</v>
      </c>
      <c r="Q280" s="69">
        <f>(inputs!$C$18*11.2*(10*F280^0.667)*0.5/F280)*inputs!$E$80/(10^(0.84+0.62*LOG10(inputs!$E$80)))</f>
        <v>6.6516704531725388</v>
      </c>
      <c r="R280" s="59">
        <f>(60*284*((F280/1000)^0.77)*3*24*(MAX('Max rate concentrations'!$R$3:$R$368))/F280)*(inputs!$E$73*3.4/inputs!$E$75)</f>
        <v>5.3925079335399029E-2</v>
      </c>
      <c r="S280" s="59">
        <f>(IF(inputs!$C$17="aerial",((0.025*0.112*inputs!$C$18/3.3)*(3*60*284*((F280/1000)^0.77))*MAX(inputs!$I$14:$I$16))/F280,((0.0083*0.112*inputs!$C$18/1)*(3*60*284*((F280/1000)^0.77))*MAX(inputs!$I$14:$I$16))/F280))*(inputs!E$75*3.4/inputs!$E$73)</f>
        <v>0.29740012560042467</v>
      </c>
      <c r="T280" s="63">
        <f>IF((((inputs!$P$13/(V280/MAX(K280:S280)))^(1/inputs!$O$13))-1)/inputs!$N$13&lt;0, 0, IF((((inputs!$P$13/(V280/MAX(K280:S280)))^(1/inputs!$O$13))-1)/inputs!$N$13&lt;inputs!$I$17, (((inputs!$P$13/(V280/MAX(K280:S280)))^(1/inputs!$O$13))-1)/inputs!$N$13, inputs!$I$17))</f>
        <v>1000</v>
      </c>
      <c r="U280" s="63">
        <f>IF((((inputs!$P$13/(X280/MAX(K280:S280)))^(1/inputs!$O$13))-1)/inputs!$N$13&lt;0, 0, IF((((inputs!$P$13/(X280/MAX(K280:S280)))^(1/inputs!$O$13))-1)/inputs!$N$13&lt;inputs!$I$17, (((inputs!$P$13/(X280/MAX(K280:S280)))^(1/inputs!$O$13))-1)/inputs!$N$13, inputs!$I$17))</f>
        <v>28.434273236184683</v>
      </c>
      <c r="V280" s="21">
        <f>inputs!$E$78*(F280/inputs!$F$78)^(inputs!$E$84-1)</f>
        <v>2.3096084332340623E-2</v>
      </c>
      <c r="W280" s="21">
        <f>inputs!$E$85*(F280/inputs!$F$85)^(inputs!$E$84-1)</f>
        <v>1.066534627746178</v>
      </c>
      <c r="X280" s="21">
        <f>inputs!$E$80*(F280/inputs!$F$80)^(inputs!$E$84-1)</f>
        <v>3.9826293061407916</v>
      </c>
      <c r="Y280" s="21">
        <f>inputs!$E$82*(F280/inputs!$F$82)^(inputs!$E$84-1)</f>
        <v>1.8355309127281232</v>
      </c>
      <c r="Z280" s="63">
        <f t="shared" si="24"/>
        <v>1635.0135239177459</v>
      </c>
      <c r="AA280" s="63">
        <f t="shared" si="25"/>
        <v>35.406642457284249</v>
      </c>
    </row>
    <row r="281" spans="1:476" ht="13.2" x14ac:dyDescent="0.25">
      <c r="A281" s="103" t="s">
        <v>180</v>
      </c>
      <c r="B281" s="20" t="s">
        <v>181</v>
      </c>
      <c r="C281" s="20" t="s">
        <v>73</v>
      </c>
      <c r="D281" s="104" t="s">
        <v>141</v>
      </c>
      <c r="E281" s="15">
        <v>140</v>
      </c>
      <c r="F281" s="15">
        <v>59</v>
      </c>
      <c r="G281" s="20" t="s">
        <v>142</v>
      </c>
      <c r="H281" s="20">
        <v>0.69</v>
      </c>
      <c r="I281" s="68">
        <f>MAX('Max rate concentrations'!$H$3:$H$368)</f>
        <v>282</v>
      </c>
      <c r="J281" s="68">
        <f>MAX('Max rate concentrations'!AA:AA)</f>
        <v>195</v>
      </c>
      <c r="K281" s="69">
        <f t="shared" si="22"/>
        <v>196.40054328972488</v>
      </c>
      <c r="L281" s="69">
        <f t="shared" si="23"/>
        <v>135.80888631736295</v>
      </c>
      <c r="M281" s="69">
        <f>IF((((1.18*F281^0.874)-(0.301*F281^0.751)/(1-H281)*H281)*(MAX('Max rate concentrations'!$P$3:$P$368)))/F281&gt;0, (((1.18*F281^0.874)-(0.301*F281^0.751)/(1-H281)*H281)*(MAX('Max rate concentrations'!$P$3:$P$368)))/F281, 0)</f>
        <v>0.40339122191957821</v>
      </c>
      <c r="N281" s="69">
        <f>IF((((1.18*F281^0.874)-(0.301*F281^0.751)/(1-H281)*H281)*(MAX('Max rate concentrations'!$Q$3:$Q$368)))/F281&gt;0, (((1.18*F281^0.874)-(0.301*F281^0.751)/(1-H281)*H281)*(MAX('Max rate concentrations'!$Q$3:$Q$368)))/F281, 0)</f>
        <v>1.5361354479598732</v>
      </c>
      <c r="O281" s="69">
        <f>((MAX('Max rate concentrations'!$F$3:$F$368))*0.62*6.01*8*(10*F281^0.667)*0.079*0.1/F281)*inputs!$E$80/(10^(0.84+0.62*LOG10(inputs!$E$80)))</f>
        <v>37.762410232921681</v>
      </c>
      <c r="P281" s="69">
        <f>((MAX('Max rate concentrations'!Y:Y))*0.62*6.01*8*(10*F281^0.667)*0.079*0.1/F281)*inputs!$E$80/(10^(0.84+0.62*LOG10(inputs!$E$80)))</f>
        <v>12.587470077640564</v>
      </c>
      <c r="Q281" s="69">
        <f>(inputs!$C$18*11.2*(10*F281^0.667)*0.5/F281)*inputs!$E$80/(10^(0.84+0.62*LOG10(inputs!$E$80)))</f>
        <v>6.6516704531725388</v>
      </c>
      <c r="R281" s="59">
        <f>(60*284*((F281/1000)^0.77)*3*24*(MAX('Max rate concentrations'!$R$3:$R$368))/F281)*(inputs!$E$73*3.4/inputs!$E$75)</f>
        <v>5.3925079335399029E-2</v>
      </c>
      <c r="S281" s="59">
        <f>(IF(inputs!$C$17="aerial",((0.025*0.112*inputs!$C$18/3.3)*(3*60*284*((F281/1000)^0.77))*MAX(inputs!$I$14:$I$16))/F281,((0.0083*0.112*inputs!$C$18/1)*(3*60*284*((F281/1000)^0.77))*MAX(inputs!$I$14:$I$16))/F281))*(inputs!E$75*3.4/inputs!$E$73)</f>
        <v>0.29740012560042467</v>
      </c>
      <c r="T281" s="63">
        <f>IF((((inputs!$P$13/(V281/MAX(K281:S281)))^(1/inputs!$O$13))-1)/inputs!$N$13&lt;0, 0, IF((((inputs!$P$13/(V281/MAX(K281:S281)))^(1/inputs!$O$13))-1)/inputs!$N$13&lt;inputs!$I$17, (((inputs!$P$13/(V281/MAX(K281:S281)))^(1/inputs!$O$13))-1)/inputs!$N$13, inputs!$I$17))</f>
        <v>1000</v>
      </c>
      <c r="U281" s="63">
        <f>IF((((inputs!$P$13/(X281/MAX(K281:S281)))^(1/inputs!$O$13))-1)/inputs!$N$13&lt;0, 0, IF((((inputs!$P$13/(X281/MAX(K281:S281)))^(1/inputs!$O$13))-1)/inputs!$N$13&lt;inputs!$I$17, (((inputs!$P$13/(X281/MAX(K281:S281)))^(1/inputs!$O$13))-1)/inputs!$N$13, inputs!$I$17))</f>
        <v>122.47812194358148</v>
      </c>
      <c r="V281" s="21">
        <f>inputs!$E$78*(F281/inputs!$F$78)^(inputs!$E$84-1)</f>
        <v>2.3096084332340623E-2</v>
      </c>
      <c r="W281" s="21">
        <f>inputs!$E$85*(F281/inputs!$F$85)^(inputs!$E$84-1)</f>
        <v>1.066534627746178</v>
      </c>
      <c r="X281" s="21">
        <f>inputs!$E$80*(F281/inputs!$F$80)^(inputs!$E$84-1)</f>
        <v>3.9826293061407916</v>
      </c>
      <c r="Y281" s="21">
        <f>inputs!$E$82*(F281/inputs!$F$82)^(inputs!$E$84-1)</f>
        <v>1.8355309127281232</v>
      </c>
      <c r="Z281" s="63">
        <f t="shared" si="24"/>
        <v>8503.6294665200985</v>
      </c>
      <c r="AA281" s="63">
        <f t="shared" si="25"/>
        <v>184.14830440598294</v>
      </c>
    </row>
    <row r="282" spans="1:476" ht="13.2" x14ac:dyDescent="0.25">
      <c r="A282" s="103" t="s">
        <v>180</v>
      </c>
      <c r="B282" s="20" t="s">
        <v>181</v>
      </c>
      <c r="C282" s="20" t="s">
        <v>73</v>
      </c>
      <c r="D282" s="104" t="s">
        <v>141</v>
      </c>
      <c r="E282" s="15">
        <v>140</v>
      </c>
      <c r="F282" s="15">
        <v>59</v>
      </c>
      <c r="G282" s="20" t="s">
        <v>138</v>
      </c>
      <c r="H282" s="20">
        <v>0.68</v>
      </c>
      <c r="I282" s="68">
        <f>MAX('Max rate concentrations'!$L$3:$L$368)</f>
        <v>350.52744091332482</v>
      </c>
      <c r="J282" s="68">
        <f>MAX('Max rate concentrations'!AD:AD)</f>
        <v>242.38599637623525</v>
      </c>
      <c r="K282" s="69">
        <f t="shared" si="22"/>
        <v>236.49791387780945</v>
      </c>
      <c r="L282" s="69">
        <f t="shared" si="23"/>
        <v>163.53579151125123</v>
      </c>
      <c r="M282" s="69">
        <f>IF((((1.18*F282^0.874)-(0.301*F282^0.751)/(1-H282)*H282)*(MAX('Max rate concentrations'!$P$3:$P$368)))/F282&gt;0, (((1.18*F282^0.874)-(0.301*F282^0.751)/(1-H282)*H282)*(MAX('Max rate concentrations'!$P$3:$P$368)))/F282, 0)</f>
        <v>0.41296481736811458</v>
      </c>
      <c r="N282" s="69">
        <f>IF((((1.18*F282^0.874)-(0.301*F282^0.751)/(1-H282)*H282)*(MAX('Max rate concentrations'!$Q$3:$Q$368)))/F282&gt;0, (((1.18*F282^0.874)-(0.301*F282^0.751)/(1-H282)*H282)*(MAX('Max rate concentrations'!$Q$3:$Q$368)))/F282, 0)</f>
        <v>1.5725922138333159</v>
      </c>
      <c r="O282" s="69">
        <f>((MAX('Max rate concentrations'!$F$3:$F$368))*0.62*6.01*8*(10*F282^0.667)*0.079*0.1/F282)*inputs!$E$80/(10^(0.84+0.62*LOG10(inputs!$E$80)))</f>
        <v>37.762410232921681</v>
      </c>
      <c r="P282" s="69">
        <f>((MAX('Max rate concentrations'!Y:Y))*0.62*6.01*8*(10*F282^0.667)*0.079*0.1/F282)*inputs!$E$80/(10^(0.84+0.62*LOG10(inputs!$E$80)))</f>
        <v>12.587470077640564</v>
      </c>
      <c r="Q282" s="69">
        <f>(inputs!$C$18*11.2*(10*F282^0.667)*0.5/F282)*inputs!$E$80/(10^(0.84+0.62*LOG10(inputs!$E$80)))</f>
        <v>6.6516704531725388</v>
      </c>
      <c r="R282" s="59">
        <f>(60*284*((F282/1000)^0.77)*3*24*(MAX('Max rate concentrations'!$R$3:$R$368))/F282)*(inputs!$E$73*3.4/inputs!$E$75)</f>
        <v>5.3925079335399029E-2</v>
      </c>
      <c r="S282" s="59">
        <f>(IF(inputs!$C$17="aerial",((0.025*0.112*inputs!$C$18/3.3)*(3*60*284*((F282/1000)^0.77))*MAX(inputs!$I$14:$I$16))/F282,((0.0083*0.112*inputs!$C$18/1)*(3*60*284*((F282/1000)^0.77))*MAX(inputs!$I$14:$I$16))/F282))*(inputs!E$75*3.4/inputs!$E$73)</f>
        <v>0.29740012560042467</v>
      </c>
      <c r="T282" s="63">
        <f>IF((((inputs!$P$13/(V282/MAX(K282:S282)))^(1/inputs!$O$13))-1)/inputs!$N$13&lt;0, 0, IF((((inputs!$P$13/(V282/MAX(K282:S282)))^(1/inputs!$O$13))-1)/inputs!$N$13&lt;inputs!$I$17, (((inputs!$P$13/(V282/MAX(K282:S282)))^(1/inputs!$O$13))-1)/inputs!$N$13, inputs!$I$17))</f>
        <v>1000</v>
      </c>
      <c r="U282" s="63">
        <f>IF((((inputs!$P$13/(X282/MAX(K282:S282)))^(1/inputs!$O$13))-1)/inputs!$N$13&lt;0, 0, IF((((inputs!$P$13/(X282/MAX(K282:S282)))^(1/inputs!$O$13))-1)/inputs!$N$13&lt;inputs!$I$17, (((inputs!$P$13/(X282/MAX(K282:S282)))^(1/inputs!$O$13))-1)/inputs!$N$13, inputs!$I$17))</f>
        <v>143.18043358038321</v>
      </c>
      <c r="V282" s="21">
        <f>inputs!$E$78*(F282/inputs!$F$78)^(inputs!$E$84-1)</f>
        <v>2.3096084332340623E-2</v>
      </c>
      <c r="W282" s="21">
        <f>inputs!$E$85*(F282/inputs!$F$85)^(inputs!$E$84-1)</f>
        <v>1.066534627746178</v>
      </c>
      <c r="X282" s="21">
        <f>inputs!$E$80*(F282/inputs!$F$80)^(inputs!$E$84-1)</f>
        <v>3.9826293061407916</v>
      </c>
      <c r="Y282" s="21">
        <f>inputs!$E$82*(F282/inputs!$F$82)^(inputs!$E$84-1)</f>
        <v>1.8355309127281232</v>
      </c>
      <c r="Z282" s="63">
        <f t="shared" si="24"/>
        <v>10239.740662301352</v>
      </c>
      <c r="AA282" s="63">
        <f t="shared" si="25"/>
        <v>221.74424320153722</v>
      </c>
      <c r="AB282" s="107"/>
      <c r="AC282" s="107"/>
      <c r="AD282" s="107"/>
      <c r="AE282" s="107"/>
      <c r="AF282" s="107"/>
      <c r="AG282" s="107"/>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c r="FB282" s="107"/>
      <c r="FC282" s="107"/>
      <c r="FD282" s="107"/>
      <c r="FE282" s="107"/>
      <c r="FF282" s="107"/>
      <c r="FG282" s="107"/>
      <c r="FH282" s="107"/>
      <c r="FI282" s="107"/>
      <c r="FJ282" s="107"/>
      <c r="FK282" s="107"/>
      <c r="FL282" s="107"/>
      <c r="FM282" s="107"/>
      <c r="FN282" s="107"/>
      <c r="FO282" s="107"/>
      <c r="FP282" s="107"/>
      <c r="FQ282" s="107"/>
      <c r="FR282" s="107"/>
      <c r="FS282" s="107"/>
      <c r="FT282" s="107"/>
      <c r="FU282" s="107"/>
      <c r="FV282" s="107"/>
      <c r="FW282" s="107"/>
      <c r="FX282" s="107"/>
      <c r="FY282" s="107"/>
      <c r="FZ282" s="107"/>
      <c r="GA282" s="107"/>
      <c r="GB282" s="107"/>
      <c r="GC282" s="107"/>
      <c r="GD282" s="107"/>
      <c r="GE282" s="107"/>
      <c r="GF282" s="107"/>
      <c r="GG282" s="107"/>
      <c r="GH282" s="107"/>
      <c r="GI282" s="107"/>
      <c r="GJ282" s="107"/>
      <c r="GK282" s="107"/>
      <c r="GL282" s="107"/>
      <c r="GM282" s="107"/>
      <c r="GN282" s="107"/>
      <c r="GO282" s="107"/>
      <c r="GP282" s="107"/>
      <c r="GQ282" s="107"/>
      <c r="GR282" s="107"/>
      <c r="GS282" s="107"/>
      <c r="GT282" s="107"/>
      <c r="GU282" s="107"/>
      <c r="GV282" s="107"/>
      <c r="GW282" s="107"/>
      <c r="GX282" s="107"/>
      <c r="GY282" s="107"/>
      <c r="GZ282" s="107"/>
      <c r="HA282" s="107"/>
      <c r="HB282" s="107"/>
      <c r="HC282" s="107"/>
      <c r="HD282" s="107"/>
      <c r="HE282" s="107"/>
      <c r="HF282" s="107"/>
      <c r="HG282" s="107"/>
      <c r="HH282" s="107"/>
      <c r="HI282" s="107"/>
      <c r="HJ282" s="107"/>
      <c r="HK282" s="107"/>
      <c r="HL282" s="107"/>
      <c r="HM282" s="107"/>
      <c r="HN282" s="107"/>
      <c r="HO282" s="107"/>
      <c r="HP282" s="107"/>
      <c r="HQ282" s="107"/>
      <c r="HR282" s="107"/>
      <c r="HS282" s="107"/>
      <c r="HT282" s="107"/>
      <c r="HU282" s="107"/>
      <c r="HV282" s="107"/>
      <c r="HW282" s="107"/>
      <c r="HX282" s="107"/>
      <c r="HY282" s="107"/>
      <c r="HZ282" s="107"/>
      <c r="IA282" s="107"/>
      <c r="IB282" s="107"/>
      <c r="IC282" s="107"/>
      <c r="ID282" s="107"/>
      <c r="IE282" s="107"/>
      <c r="IF282" s="107"/>
      <c r="IG282" s="107"/>
      <c r="IH282" s="107"/>
      <c r="II282" s="107"/>
      <c r="IJ282" s="107"/>
      <c r="IK282" s="107"/>
      <c r="IL282" s="107"/>
      <c r="IM282" s="107"/>
      <c r="IN282" s="107"/>
      <c r="IO282" s="107"/>
      <c r="IP282" s="107"/>
      <c r="IQ282" s="107"/>
      <c r="IR282" s="107"/>
      <c r="IS282" s="107"/>
      <c r="IT282" s="107"/>
      <c r="IU282" s="107"/>
      <c r="IV282" s="107"/>
      <c r="IW282" s="107"/>
      <c r="IX282" s="107"/>
      <c r="IY282" s="107"/>
      <c r="IZ282" s="107"/>
      <c r="JA282" s="107"/>
      <c r="JB282" s="107"/>
      <c r="JC282" s="107"/>
      <c r="JD282" s="107"/>
      <c r="JE282" s="107"/>
      <c r="JF282" s="107"/>
      <c r="JG282" s="107"/>
      <c r="JH282" s="107"/>
      <c r="JI282" s="107"/>
      <c r="JJ282" s="107"/>
      <c r="JK282" s="107"/>
      <c r="JL282" s="107"/>
      <c r="JM282" s="107"/>
      <c r="JN282" s="107"/>
      <c r="JO282" s="107"/>
      <c r="JP282" s="107"/>
      <c r="JQ282" s="107"/>
      <c r="JR282" s="107"/>
      <c r="JS282" s="107"/>
      <c r="JT282" s="107"/>
      <c r="JU282" s="107"/>
      <c r="JV282" s="107"/>
      <c r="JW282" s="107"/>
      <c r="JX282" s="107"/>
      <c r="JY282" s="107"/>
      <c r="JZ282" s="107"/>
      <c r="KA282" s="107"/>
      <c r="KB282" s="107"/>
      <c r="KC282" s="107"/>
      <c r="KD282" s="107"/>
      <c r="KE282" s="107"/>
      <c r="KF282" s="107"/>
      <c r="KG282" s="107"/>
      <c r="KH282" s="107"/>
      <c r="KI282" s="107"/>
      <c r="KJ282" s="107"/>
      <c r="KK282" s="107"/>
      <c r="KL282" s="107"/>
      <c r="KM282" s="107"/>
      <c r="KN282" s="107"/>
      <c r="KO282" s="107"/>
      <c r="KP282" s="107"/>
      <c r="KQ282" s="107"/>
      <c r="KR282" s="107"/>
      <c r="KS282" s="107"/>
      <c r="KT282" s="107"/>
      <c r="KU282" s="107"/>
      <c r="KV282" s="107"/>
      <c r="KW282" s="107"/>
      <c r="KX282" s="107"/>
      <c r="KY282" s="107"/>
      <c r="KZ282" s="107"/>
      <c r="LA282" s="107"/>
      <c r="LB282" s="107"/>
      <c r="LC282" s="107"/>
      <c r="LD282" s="107"/>
      <c r="LE282" s="107"/>
      <c r="LF282" s="107"/>
      <c r="LG282" s="107"/>
      <c r="LH282" s="107"/>
      <c r="LI282" s="107"/>
      <c r="LJ282" s="107"/>
      <c r="LK282" s="107"/>
      <c r="LL282" s="107"/>
      <c r="LM282" s="107"/>
      <c r="LN282" s="107"/>
      <c r="LO282" s="107"/>
      <c r="LP282" s="107"/>
      <c r="LQ282" s="107"/>
      <c r="LR282" s="107"/>
      <c r="LS282" s="107"/>
      <c r="LT282" s="107"/>
      <c r="LU282" s="107"/>
      <c r="LV282" s="107"/>
      <c r="LW282" s="107"/>
      <c r="LX282" s="107"/>
      <c r="LY282" s="107"/>
      <c r="LZ282" s="107"/>
      <c r="MA282" s="107"/>
      <c r="MB282" s="107"/>
      <c r="MC282" s="107"/>
      <c r="MD282" s="107"/>
      <c r="ME282" s="107"/>
      <c r="MF282" s="107"/>
      <c r="MG282" s="107"/>
      <c r="MH282" s="107"/>
      <c r="MI282" s="107"/>
      <c r="MJ282" s="107"/>
      <c r="MK282" s="107"/>
      <c r="ML282" s="107"/>
      <c r="MM282" s="107"/>
      <c r="MN282" s="107"/>
      <c r="MO282" s="107"/>
      <c r="MP282" s="107"/>
      <c r="MQ282" s="107"/>
      <c r="MR282" s="107"/>
      <c r="MS282" s="107"/>
      <c r="MT282" s="107"/>
      <c r="MU282" s="107"/>
      <c r="MV282" s="107"/>
      <c r="MW282" s="107"/>
      <c r="MX282" s="107"/>
      <c r="MY282" s="107"/>
      <c r="MZ282" s="107"/>
      <c r="NA282" s="107"/>
      <c r="NB282" s="107"/>
      <c r="NC282" s="107"/>
      <c r="ND282" s="107"/>
      <c r="NE282" s="107"/>
      <c r="NF282" s="107"/>
      <c r="NG282" s="107"/>
      <c r="NH282" s="107"/>
      <c r="NI282" s="107"/>
      <c r="NJ282" s="107"/>
      <c r="NK282" s="107"/>
      <c r="NL282" s="107"/>
      <c r="NM282" s="107"/>
      <c r="NN282" s="107"/>
      <c r="NO282" s="107"/>
      <c r="NP282" s="107"/>
      <c r="NQ282" s="107"/>
      <c r="NR282" s="107"/>
      <c r="NS282" s="107"/>
      <c r="NT282" s="107"/>
      <c r="NU282" s="107"/>
      <c r="NV282" s="107"/>
      <c r="NW282" s="107"/>
      <c r="NX282" s="107"/>
      <c r="NY282" s="107"/>
      <c r="NZ282" s="107"/>
      <c r="OA282" s="107"/>
      <c r="OB282" s="107"/>
      <c r="OC282" s="107"/>
      <c r="OD282" s="107"/>
      <c r="OE282" s="107"/>
      <c r="OF282" s="107"/>
      <c r="OG282" s="107"/>
      <c r="OH282" s="107"/>
      <c r="OI282" s="107"/>
      <c r="OJ282" s="107"/>
      <c r="OK282" s="107"/>
      <c r="OL282" s="107"/>
      <c r="OM282" s="107"/>
      <c r="ON282" s="107"/>
      <c r="OO282" s="107"/>
      <c r="OP282" s="107"/>
      <c r="OQ282" s="107"/>
      <c r="OR282" s="107"/>
      <c r="OS282" s="107"/>
      <c r="OT282" s="107"/>
      <c r="OU282" s="107"/>
      <c r="OV282" s="107"/>
      <c r="OW282" s="107"/>
      <c r="OX282" s="107"/>
      <c r="OY282" s="107"/>
      <c r="OZ282" s="107"/>
      <c r="PA282" s="107"/>
      <c r="PB282" s="107"/>
      <c r="PC282" s="107"/>
      <c r="PD282" s="107"/>
      <c r="PE282" s="107"/>
      <c r="PF282" s="107"/>
      <c r="PG282" s="107"/>
      <c r="PH282" s="107"/>
      <c r="PI282" s="107"/>
      <c r="PJ282" s="107"/>
      <c r="PK282" s="107"/>
      <c r="PL282" s="107"/>
      <c r="PM282" s="107"/>
      <c r="PN282" s="107"/>
      <c r="PO282" s="107"/>
      <c r="PP282" s="107"/>
      <c r="PQ282" s="107"/>
      <c r="PR282" s="107"/>
      <c r="PS282" s="107"/>
      <c r="PT282" s="107"/>
      <c r="PU282" s="107"/>
      <c r="PV282" s="107"/>
      <c r="PW282" s="107"/>
      <c r="PX282" s="107"/>
      <c r="PY282" s="107"/>
      <c r="PZ282" s="107"/>
      <c r="QA282" s="107"/>
      <c r="QB282" s="107"/>
      <c r="QC282" s="107"/>
      <c r="QD282" s="107"/>
      <c r="QE282" s="107"/>
      <c r="QF282" s="107"/>
      <c r="QG282" s="107"/>
      <c r="QH282" s="107"/>
      <c r="QI282" s="107"/>
      <c r="QJ282" s="107"/>
      <c r="QK282" s="107"/>
      <c r="QL282" s="107"/>
      <c r="QM282" s="107"/>
      <c r="QN282" s="107"/>
      <c r="QO282" s="107"/>
      <c r="QP282" s="107"/>
      <c r="QQ282" s="107"/>
      <c r="QR282" s="107"/>
      <c r="QS282" s="107"/>
      <c r="QT282" s="107"/>
      <c r="QU282" s="107"/>
      <c r="QV282" s="107"/>
      <c r="QW282" s="107"/>
      <c r="QX282" s="107"/>
      <c r="QY282" s="107"/>
      <c r="QZ282" s="107"/>
      <c r="RA282" s="107"/>
      <c r="RB282" s="107"/>
      <c r="RC282" s="107"/>
      <c r="RD282" s="107"/>
      <c r="RE282" s="107"/>
      <c r="RF282" s="107"/>
      <c r="RG282" s="107"/>
      <c r="RH282" s="107"/>
    </row>
    <row r="283" spans="1:476" ht="13.2" x14ac:dyDescent="0.25">
      <c r="A283" s="103" t="s">
        <v>180</v>
      </c>
      <c r="B283" s="20" t="s">
        <v>181</v>
      </c>
      <c r="C283" s="20" t="s">
        <v>73</v>
      </c>
      <c r="D283" s="104" t="s">
        <v>141</v>
      </c>
      <c r="E283" s="15">
        <v>140</v>
      </c>
      <c r="F283" s="15">
        <v>59</v>
      </c>
      <c r="G283" s="20" t="s">
        <v>152</v>
      </c>
      <c r="H283" s="20">
        <v>0.77</v>
      </c>
      <c r="I283" s="68">
        <f>MAX('Max rate concentrations'!$G$3:$G$368)</f>
        <v>45</v>
      </c>
      <c r="J283" s="68">
        <f>MAX('Max rate concentrations'!Z:Z)</f>
        <v>21</v>
      </c>
      <c r="K283" s="69">
        <f t="shared" si="22"/>
        <v>42.241559958243336</v>
      </c>
      <c r="L283" s="69">
        <f t="shared" si="23"/>
        <v>19.712727980513556</v>
      </c>
      <c r="M283" s="69">
        <f>IF((((1.18*F283^0.874)-(0.301*F283^0.751)/(1-H283)*H283)*(MAX('Max rate concentrations'!$P$3:$P$368)))/F283&gt;0, (((1.18*F283^0.874)-(0.301*F283^0.751)/(1-H283)*H283)*(MAX('Max rate concentrations'!$P$3:$P$368)))/F283, 0)</f>
        <v>0.29683294214456368</v>
      </c>
      <c r="N283" s="69">
        <f>IF((((1.18*F283^0.874)-(0.301*F283^0.751)/(1-H283)*H283)*(MAX('Max rate concentrations'!$Q$3:$Q$368)))/F283&gt;0, (((1.18*F283^0.874)-(0.301*F283^0.751)/(1-H283)*H283)*(MAX('Max rate concentrations'!$Q$3:$Q$368)))/F283, 0)</f>
        <v>1.1303557930206811</v>
      </c>
      <c r="O283" s="69">
        <f>((MAX('Max rate concentrations'!$F$3:$F$368))*0.62*6.01*8*(10*F283^0.667)*0.079*0.1/F283)*inputs!$E$80/(10^(0.84+0.62*LOG10(inputs!$E$80)))</f>
        <v>37.762410232921681</v>
      </c>
      <c r="P283" s="69">
        <f>((MAX('Max rate concentrations'!Y:Y))*0.62*6.01*8*(10*F283^0.667)*0.079*0.1/F283)*inputs!$E$80/(10^(0.84+0.62*LOG10(inputs!$E$80)))</f>
        <v>12.587470077640564</v>
      </c>
      <c r="Q283" s="69">
        <f>(inputs!$C$18*11.2*(10*F283^0.667)*0.5/F283)*inputs!$E$80/(10^(0.84+0.62*LOG10(inputs!$E$80)))</f>
        <v>6.6516704531725388</v>
      </c>
      <c r="R283" s="59">
        <f>(60*284*((F283/1000)^0.77)*3*24*(MAX('Max rate concentrations'!$R$3:$R$368))/F283)*(inputs!$E$73*3.4/inputs!$E$75)</f>
        <v>5.3925079335399029E-2</v>
      </c>
      <c r="S283" s="59">
        <f>(IF(inputs!$C$17="aerial",((0.025*0.112*inputs!$C$18/3.3)*(3*60*284*((F283/1000)^0.77))*MAX(inputs!$I$14:$I$16))/F283,((0.0083*0.112*inputs!$C$18/1)*(3*60*284*((F283/1000)^0.77))*MAX(inputs!$I$14:$I$16))/F283))*(inputs!E$75*3.4/inputs!$E$73)</f>
        <v>0.29740012560042467</v>
      </c>
      <c r="T283" s="63">
        <f>IF((((inputs!$P$13/(V283/MAX(K283:S283)))^(1/inputs!$O$13))-1)/inputs!$N$13&lt;0, 0, IF((((inputs!$P$13/(V283/MAX(K283:S283)))^(1/inputs!$O$13))-1)/inputs!$N$13&lt;inputs!$I$17, (((inputs!$P$13/(V283/MAX(K283:S283)))^(1/inputs!$O$13))-1)/inputs!$N$13, inputs!$I$17))</f>
        <v>1000</v>
      </c>
      <c r="U283" s="63">
        <f>IF((((inputs!$P$13/(X283/MAX(K283:S283)))^(1/inputs!$O$13))-1)/inputs!$N$13&lt;0, 0, IF((((inputs!$P$13/(X283/MAX(K283:S283)))^(1/inputs!$O$13))-1)/inputs!$N$13&lt;inputs!$I$17, (((inputs!$P$13/(X283/MAX(K283:S283)))^(1/inputs!$O$13))-1)/inputs!$N$13, inputs!$I$17))</f>
        <v>31.628064557901247</v>
      </c>
      <c r="V283" s="21">
        <f>inputs!$E$78*(F283/inputs!$F$78)^(inputs!$E$84-1)</f>
        <v>2.3096084332340623E-2</v>
      </c>
      <c r="W283" s="21">
        <f>inputs!$E$85*(F283/inputs!$F$85)^(inputs!$E$84-1)</f>
        <v>1.066534627746178</v>
      </c>
      <c r="X283" s="21">
        <f>inputs!$E$80*(F283/inputs!$F$80)^(inputs!$E$84-1)</f>
        <v>3.9826293061407916</v>
      </c>
      <c r="Y283" s="21">
        <f>inputs!$E$82*(F283/inputs!$F$82)^(inputs!$E$84-1)</f>
        <v>1.8355309127281232</v>
      </c>
      <c r="Z283" s="63">
        <f t="shared" si="24"/>
        <v>1828.9489833172277</v>
      </c>
      <c r="AA283" s="63">
        <f t="shared" si="25"/>
        <v>39.606365193701244</v>
      </c>
    </row>
    <row r="284" spans="1:476" ht="13.2" x14ac:dyDescent="0.25">
      <c r="A284" s="103" t="s">
        <v>180</v>
      </c>
      <c r="B284" s="20" t="s">
        <v>181</v>
      </c>
      <c r="C284" s="20" t="s">
        <v>73</v>
      </c>
      <c r="D284" s="104" t="s">
        <v>141</v>
      </c>
      <c r="E284" s="15">
        <v>140</v>
      </c>
      <c r="F284" s="15">
        <v>59</v>
      </c>
      <c r="G284" s="21" t="s">
        <v>456</v>
      </c>
      <c r="H284" s="20">
        <v>0.68</v>
      </c>
      <c r="I284" s="68">
        <f>MAX('Max rate concentrations'!$J$3:$J$368)</f>
        <v>686.46486205830786</v>
      </c>
      <c r="J284" s="68">
        <f>MAX('Max rate concentrations'!AB:AB)</f>
        <v>243.122971978984</v>
      </c>
      <c r="K284" s="69">
        <f t="shared" si="22"/>
        <v>463.15206422698253</v>
      </c>
      <c r="L284" s="69">
        <f t="shared" si="23"/>
        <v>164.03302274705629</v>
      </c>
      <c r="M284" s="69">
        <f>IF((((1.18*F284^0.874)-(0.301*F284^0.751)/(1-H284)*H284)*(MAX('Max rate concentrations'!$P$3:$P$368)))/F284&gt;0, (((1.18*F284^0.874)-(0.301*F284^0.751)/(1-H284)*H284)*(MAX('Max rate concentrations'!$P$3:$P$368)))/F284, 0)</f>
        <v>0.41296481736811458</v>
      </c>
      <c r="N284" s="69">
        <f>IF((((1.18*F284^0.874)-(0.301*F284^0.751)/(1-H284)*H284)*(MAX('Max rate concentrations'!$Q$3:$Q$368)))/F284&gt;0, (((1.18*F284^0.874)-(0.301*F284^0.751)/(1-H284)*H284)*(MAX('Max rate concentrations'!$Q$3:$Q$368)))/F284, 0)</f>
        <v>1.5725922138333159</v>
      </c>
      <c r="O284" s="69">
        <f>((MAX('Max rate concentrations'!$F$3:$F$368))*0.62*6.01*8*(10*F284^0.667)*0.079*0.1/F284)*inputs!$E$80/(10^(0.84+0.62*LOG10(inputs!$E$80)))</f>
        <v>37.762410232921681</v>
      </c>
      <c r="P284" s="69">
        <f>((MAX('Max rate concentrations'!Y:Y))*0.62*6.01*8*(10*F284^0.667)*0.079*0.1/F284)*inputs!$E$80/(10^(0.84+0.62*LOG10(inputs!$E$80)))</f>
        <v>12.587470077640564</v>
      </c>
      <c r="Q284" s="69">
        <f>(inputs!$C$18*11.2*(10*F284^0.667)*0.5/F284)*inputs!$E$80/(10^(0.84+0.62*LOG10(inputs!$E$80)))</f>
        <v>6.6516704531725388</v>
      </c>
      <c r="R284" s="59">
        <f>(60*284*((F284/1000)^0.77)*3*24*(MAX('Max rate concentrations'!$R$3:$R$368))/F284)*(inputs!$E$73*3.4/inputs!$E$75)</f>
        <v>5.3925079335399029E-2</v>
      </c>
      <c r="S284" s="59">
        <f>(IF(inputs!$C$17="aerial",((0.025*0.112*inputs!$C$18/3.3)*(3*60*284*((F284/1000)^0.77))*MAX(inputs!$I$14:$I$16))/F284,((0.0083*0.112*inputs!$C$18/1)*(3*60*284*((F284/1000)^0.77))*MAX(inputs!$I$14:$I$16))/F284))*(inputs!E$75*3.4/inputs!$E$73)</f>
        <v>0.29740012560042467</v>
      </c>
      <c r="T284" s="63">
        <f>IF((((inputs!$P$13/(V284/MAX(K284:S284)))^(1/inputs!$O$13))-1)/inputs!$N$13&lt;0, 0, IF((((inputs!$P$13/(V284/MAX(K284:S284)))^(1/inputs!$O$13))-1)/inputs!$N$13&lt;inputs!$I$17, (((inputs!$P$13/(V284/MAX(K284:S284)))^(1/inputs!$O$13))-1)/inputs!$N$13, inputs!$I$17))</f>
        <v>1000</v>
      </c>
      <c r="U284" s="63">
        <f>IF((((inputs!$P$13/(X284/MAX(K284:S284)))^(1/inputs!$O$13))-1)/inputs!$N$13&lt;0, 0, IF((((inputs!$P$13/(X284/MAX(K284:S284)))^(1/inputs!$O$13))-1)/inputs!$N$13&lt;inputs!$I$17, (((inputs!$P$13/(X284/MAX(K284:S284)))^(1/inputs!$O$13))-1)/inputs!$N$13, inputs!$I$17))</f>
        <v>250.33930614176208</v>
      </c>
      <c r="V284" s="21">
        <f>inputs!$E$78*(F284/inputs!$F$78)^(inputs!$E$84-1)</f>
        <v>2.3096084332340623E-2</v>
      </c>
      <c r="W284" s="21">
        <f>inputs!$E$85*(F284/inputs!$F$85)^(inputs!$E$84-1)</f>
        <v>1.066534627746178</v>
      </c>
      <c r="X284" s="21">
        <f>inputs!$E$80*(F284/inputs!$F$80)^(inputs!$E$84-1)</f>
        <v>3.9826293061407916</v>
      </c>
      <c r="Y284" s="21">
        <f>inputs!$E$82*(F284/inputs!$F$82)^(inputs!$E$84-1)</f>
        <v>1.8355309127281232</v>
      </c>
      <c r="Z284" s="63">
        <f t="shared" si="24"/>
        <v>20053.272128836456</v>
      </c>
      <c r="AA284" s="63">
        <f t="shared" si="25"/>
        <v>434.25881558644244</v>
      </c>
    </row>
    <row r="285" spans="1:476" ht="13.2" x14ac:dyDescent="0.25">
      <c r="A285" s="103" t="s">
        <v>180</v>
      </c>
      <c r="B285" s="20" t="s">
        <v>181</v>
      </c>
      <c r="C285" s="20" t="s">
        <v>73</v>
      </c>
      <c r="D285" s="104" t="s">
        <v>141</v>
      </c>
      <c r="E285" s="15">
        <v>140</v>
      </c>
      <c r="F285" s="15">
        <v>59</v>
      </c>
      <c r="G285" s="20" t="s">
        <v>145</v>
      </c>
      <c r="H285" s="20">
        <v>0.66</v>
      </c>
      <c r="I285" s="68">
        <f>MAX('Max rate concentrations'!$M$3:$M$368)</f>
        <v>17.092910873809167</v>
      </c>
      <c r="J285" s="68">
        <f>MAX('Max rate concentrations'!AE:AE)</f>
        <v>11.81956602976166</v>
      </c>
      <c r="K285" s="69">
        <f t="shared" si="22"/>
        <v>10.854064084541925</v>
      </c>
      <c r="L285" s="69">
        <f t="shared" si="23"/>
        <v>7.5054698456938853</v>
      </c>
      <c r="M285" s="69">
        <f>IF((((1.18*F285^0.874)-(0.301*F285^0.751)/(1-H285)*H285)*(MAX('Max rate concentrations'!$P$3:$P$368)))/F285&gt;0, (((1.18*F285^0.874)-(0.301*F285^0.751)/(1-H285)*H285)*(MAX('Max rate concentrations'!$P$3:$P$368)))/F285, 0)</f>
        <v>0.43042255024485754</v>
      </c>
      <c r="N285" s="69">
        <f>IF((((1.18*F285^0.874)-(0.301*F285^0.751)/(1-H285)*H285)*(MAX('Max rate concentrations'!$Q$3:$Q$368)))/F285&gt;0, (((1.18*F285^0.874)-(0.301*F285^0.751)/(1-H285)*H285)*(MAX('Max rate concentrations'!$Q$3:$Q$368)))/F285, 0)</f>
        <v>1.6390721986613592</v>
      </c>
      <c r="O285" s="69">
        <f>((MAX('Max rate concentrations'!$F$3:$F$368))*0.62*6.01*8*(10*F285^0.667)*0.079*0.1/F285)*inputs!$E$80/(10^(0.84+0.62*LOG10(inputs!$E$80)))</f>
        <v>37.762410232921681</v>
      </c>
      <c r="P285" s="69">
        <f>((MAX('Max rate concentrations'!Y:Y))*0.62*6.01*8*(10*F285^0.667)*0.079*0.1/F285)*inputs!$E$80/(10^(0.84+0.62*LOG10(inputs!$E$80)))</f>
        <v>12.587470077640564</v>
      </c>
      <c r="Q285" s="69">
        <f>(inputs!$C$18*11.2*(10*F285^0.667)*0.5/F285)*inputs!$E$80/(10^(0.84+0.62*LOG10(inputs!$E$80)))</f>
        <v>6.6516704531725388</v>
      </c>
      <c r="R285" s="59">
        <f>(60*284*((F285/1000)^0.77)*3*24*(MAX('Max rate concentrations'!$R$3:$R$368))/F285)*(inputs!$E$73*3.4/inputs!$E$75)</f>
        <v>5.3925079335399029E-2</v>
      </c>
      <c r="S285" s="59">
        <f>(IF(inputs!$C$17="aerial",((0.025*0.112*inputs!$C$18/3.3)*(3*60*284*((F285/1000)^0.77))*MAX(inputs!$I$14:$I$16))/F285,((0.0083*0.112*inputs!$C$18/1)*(3*60*284*((F285/1000)^0.77))*MAX(inputs!$I$14:$I$16))/F285))*(inputs!E$75*3.4/inputs!$E$73)</f>
        <v>0.29740012560042467</v>
      </c>
      <c r="T285" s="63">
        <f>IF((((inputs!$P$13/(V285/MAX(K285:S285)))^(1/inputs!$O$13))-1)/inputs!$N$13&lt;0, 0, IF((((inputs!$P$13/(V285/MAX(K285:S285)))^(1/inputs!$O$13))-1)/inputs!$N$13&lt;inputs!$I$17, (((inputs!$P$13/(V285/MAX(K285:S285)))^(1/inputs!$O$13))-1)/inputs!$N$13, inputs!$I$17))</f>
        <v>1000</v>
      </c>
      <c r="U285" s="63">
        <f>IF((((inputs!$P$13/(X285/MAX(K285:S285)))^(1/inputs!$O$13))-1)/inputs!$N$13&lt;0, 0, IF((((inputs!$P$13/(X285/MAX(K285:S285)))^(1/inputs!$O$13))-1)/inputs!$N$13&lt;inputs!$I$17, (((inputs!$P$13/(X285/MAX(K285:S285)))^(1/inputs!$O$13))-1)/inputs!$N$13, inputs!$I$17))</f>
        <v>28.434273236184683</v>
      </c>
      <c r="V285" s="21">
        <f>inputs!$E$78*(F285/inputs!$F$78)^(inputs!$E$84-1)</f>
        <v>2.3096084332340623E-2</v>
      </c>
      <c r="W285" s="21">
        <f>inputs!$E$85*(F285/inputs!$F$85)^(inputs!$E$84-1)</f>
        <v>1.066534627746178</v>
      </c>
      <c r="X285" s="21">
        <f>inputs!$E$80*(F285/inputs!$F$80)^(inputs!$E$84-1)</f>
        <v>3.9826293061407916</v>
      </c>
      <c r="Y285" s="21">
        <f>inputs!$E$82*(F285/inputs!$F$82)^(inputs!$E$84-1)</f>
        <v>1.8355309127281232</v>
      </c>
      <c r="Z285" s="63">
        <f t="shared" si="24"/>
        <v>1635.0135239177459</v>
      </c>
      <c r="AA285" s="63">
        <f t="shared" si="25"/>
        <v>35.406642457284249</v>
      </c>
    </row>
    <row r="286" spans="1:476" ht="13.2" x14ac:dyDescent="0.25">
      <c r="A286" s="103" t="s">
        <v>180</v>
      </c>
      <c r="B286" s="20" t="s">
        <v>181</v>
      </c>
      <c r="C286" s="20" t="s">
        <v>73</v>
      </c>
      <c r="D286" s="104" t="s">
        <v>141</v>
      </c>
      <c r="E286" s="15">
        <v>140</v>
      </c>
      <c r="F286" s="15">
        <v>59</v>
      </c>
      <c r="G286" s="20" t="s">
        <v>154</v>
      </c>
      <c r="H286" s="20">
        <v>9.2999999999999999E-2</v>
      </c>
      <c r="I286" s="68">
        <f>MAX('Max rate concentrations'!$G$3:$G$368)</f>
        <v>45</v>
      </c>
      <c r="J286" s="68">
        <f>MAX('Max rate concentrations'!Z:Z)</f>
        <v>21</v>
      </c>
      <c r="K286" s="69">
        <f t="shared" si="22"/>
        <v>10.71175169834175</v>
      </c>
      <c r="L286" s="69">
        <f t="shared" si="23"/>
        <v>4.9988174592261503</v>
      </c>
      <c r="M286" s="69">
        <f>IF((((1.18*F286^0.874)-(0.301*F286^0.751)/(1-H286)*H286)*(MAX('Max rate concentrations'!$P$3:$P$368)))/F286&gt;0, (((1.18*F286^0.874)-(0.301*F286^0.751)/(1-H286)*H286)*(MAX('Max rate concentrations'!$P$3:$P$368)))/F286, 0)</f>
        <v>0.60503837456438569</v>
      </c>
      <c r="N286" s="69">
        <f>IF((((1.18*F286^0.874)-(0.301*F286^0.751)/(1-H286)*H286)*(MAX('Max rate concentrations'!$Q$3:$Q$368)))/F286&gt;0, (((1.18*F286^0.874)-(0.301*F286^0.751)/(1-H286)*H286)*(MAX('Max rate concentrations'!$Q$3:$Q$368)))/F286, 0)</f>
        <v>2.3040186400726133</v>
      </c>
      <c r="O286" s="69">
        <f>((MAX('Max rate concentrations'!$F$3:$F$368))*0.62*6.01*8*(10*F286^0.667)*0.079*0.1/F286)*inputs!$E$80/(10^(0.84+0.62*LOG10(inputs!$E$80)))</f>
        <v>37.762410232921681</v>
      </c>
      <c r="P286" s="69">
        <f>((MAX('Max rate concentrations'!Y:Y))*0.62*6.01*8*(10*F286^0.667)*0.079*0.1/F286)*inputs!$E$80/(10^(0.84+0.62*LOG10(inputs!$E$80)))</f>
        <v>12.587470077640564</v>
      </c>
      <c r="Q286" s="69">
        <f>(inputs!$C$18*11.2*(10*F286^0.667)*0.5/F286)*inputs!$E$80/(10^(0.84+0.62*LOG10(inputs!$E$80)))</f>
        <v>6.6516704531725388</v>
      </c>
      <c r="R286" s="59">
        <f>(60*284*((F286/1000)^0.77)*3*24*(MAX('Max rate concentrations'!$R$3:$R$368))/F286)*(inputs!$E$73*3.4/inputs!$E$75)</f>
        <v>5.3925079335399029E-2</v>
      </c>
      <c r="S286" s="59">
        <f>(IF(inputs!$C$17="aerial",((0.025*0.112*inputs!$C$18/3.3)*(3*60*284*((F286/1000)^0.77))*MAX(inputs!$I$14:$I$16))/F286,((0.0083*0.112*inputs!$C$18/1)*(3*60*284*((F286/1000)^0.77))*MAX(inputs!$I$14:$I$16))/F286))*(inputs!E$75*3.4/inputs!$E$73)</f>
        <v>0.29740012560042467</v>
      </c>
      <c r="T286" s="63">
        <f>IF((((inputs!$P$13/(V286/MAX(K286:S286)))^(1/inputs!$O$13))-1)/inputs!$N$13&lt;0, 0, IF((((inputs!$P$13/(V286/MAX(K286:S286)))^(1/inputs!$O$13))-1)/inputs!$N$13&lt;inputs!$I$17, (((inputs!$P$13/(V286/MAX(K286:S286)))^(1/inputs!$O$13))-1)/inputs!$N$13, inputs!$I$17))</f>
        <v>1000</v>
      </c>
      <c r="U286" s="63">
        <f>IF((((inputs!$P$13/(X286/MAX(K286:S286)))^(1/inputs!$O$13))-1)/inputs!$N$13&lt;0, 0, IF((((inputs!$P$13/(X286/MAX(K286:S286)))^(1/inputs!$O$13))-1)/inputs!$N$13&lt;inputs!$I$17, (((inputs!$P$13/(X286/MAX(K286:S286)))^(1/inputs!$O$13))-1)/inputs!$N$13, inputs!$I$17))</f>
        <v>28.434273236184683</v>
      </c>
      <c r="V286" s="21">
        <f>inputs!$E$78*(F286/inputs!$F$78)^(inputs!$E$84-1)</f>
        <v>2.3096084332340623E-2</v>
      </c>
      <c r="W286" s="21">
        <f>inputs!$E$85*(F286/inputs!$F$85)^(inputs!$E$84-1)</f>
        <v>1.066534627746178</v>
      </c>
      <c r="X286" s="21">
        <f>inputs!$E$80*(F286/inputs!$F$80)^(inputs!$E$84-1)</f>
        <v>3.9826293061407916</v>
      </c>
      <c r="Y286" s="21">
        <f>inputs!$E$82*(F286/inputs!$F$82)^(inputs!$E$84-1)</f>
        <v>1.8355309127281232</v>
      </c>
      <c r="Z286" s="63">
        <f t="shared" si="24"/>
        <v>1635.0135239177459</v>
      </c>
      <c r="AA286" s="63">
        <f t="shared" si="25"/>
        <v>35.406642457284249</v>
      </c>
    </row>
    <row r="287" spans="1:476" ht="13.2" x14ac:dyDescent="0.25">
      <c r="A287" s="103" t="s">
        <v>228</v>
      </c>
      <c r="B287" s="20" t="s">
        <v>229</v>
      </c>
      <c r="C287" s="20" t="s">
        <v>73</v>
      </c>
      <c r="D287" s="104" t="s">
        <v>141</v>
      </c>
      <c r="E287" s="15">
        <v>139</v>
      </c>
      <c r="F287" s="15">
        <v>9.4</v>
      </c>
      <c r="G287" s="20" t="s">
        <v>142</v>
      </c>
      <c r="H287" s="20">
        <v>0.69</v>
      </c>
      <c r="I287" s="68">
        <f>MAX('Max rate concentrations'!$H$3:$H$368)</f>
        <v>282</v>
      </c>
      <c r="J287" s="68">
        <f>MAX('Max rate concentrations'!AA:AA)</f>
        <v>195</v>
      </c>
      <c r="K287" s="69">
        <f t="shared" si="22"/>
        <v>258.70290681091802</v>
      </c>
      <c r="L287" s="69">
        <f t="shared" si="23"/>
        <v>178.89030790116672</v>
      </c>
      <c r="M287" s="69">
        <f>IF((((1.18*F287^0.874)-(0.301*F287^0.751)/(1-H287)*H287)*(MAX('Max rate concentrations'!$P$3:$P$368)))/F287&gt;0, (((1.18*F287^0.874)-(0.301*F287^0.751)/(1-H287)*H287)*(MAX('Max rate concentrations'!$P$3:$P$368)))/F287, 0)</f>
        <v>0.44090258714920566</v>
      </c>
      <c r="N287" s="69">
        <f>IF((((1.18*F287^0.874)-(0.301*F287^0.751)/(1-H287)*H287)*(MAX('Max rate concentrations'!$Q$3:$Q$368)))/F287&gt;0, (((1.18*F287^0.874)-(0.301*F287^0.751)/(1-H287)*H287)*(MAX('Max rate concentrations'!$Q$3:$Q$368)))/F287, 0)</f>
        <v>1.67898074230316</v>
      </c>
      <c r="O287" s="69">
        <f>((MAX('Max rate concentrations'!$F$3:$F$368))*0.62*6.01*8*(10*F287^0.667)*0.079*0.1/F287)*inputs!$E$80/(10^(0.84+0.62*LOG10(inputs!$E$80)))</f>
        <v>69.614843400656696</v>
      </c>
      <c r="P287" s="69">
        <f>((MAX('Max rate concentrations'!Y:Y))*0.62*6.01*8*(10*F287^0.667)*0.079*0.1/F287)*inputs!$E$80/(10^(0.84+0.62*LOG10(inputs!$E$80)))</f>
        <v>23.2049478002189</v>
      </c>
      <c r="Q287" s="69">
        <f>(inputs!$C$18*11.2*(10*F287^0.667)*0.5/F287)*inputs!$E$80/(10^(0.84+0.62*LOG10(inputs!$E$80)))</f>
        <v>12.262326321180764</v>
      </c>
      <c r="R287" s="59">
        <f>(60*284*((F287/1000)^0.77)*3*24*(MAX('Max rate concentrations'!$R$3:$R$368))/F287)*(inputs!$E$73*3.4/inputs!$E$75)</f>
        <v>8.2274897339539868E-2</v>
      </c>
      <c r="S287" s="59">
        <f>(IF(inputs!$C$17="aerial",((0.025*0.112*inputs!$C$18/3.3)*(3*60*284*((F287/1000)^0.77))*MAX(inputs!$I$14:$I$16))/F287,((0.0083*0.112*inputs!$C$18/1)*(3*60*284*((F287/1000)^0.77))*MAX(inputs!$I$14:$I$16))/F287))*(inputs!E$75*3.4/inputs!$E$73)</f>
        <v>0.45375111365814624</v>
      </c>
      <c r="T287" s="63">
        <f>IF((((inputs!$P$13/(V287/MAX(K287:S287)))^(1/inputs!$O$13))-1)/inputs!$N$13&lt;0, 0, IF((((inputs!$P$13/(V287/MAX(K287:S287)))^(1/inputs!$O$13))-1)/inputs!$N$13&lt;inputs!$I$17, (((inputs!$P$13/(V287/MAX(K287:S287)))^(1/inputs!$O$13))-1)/inputs!$N$13, inputs!$I$17))</f>
        <v>1000</v>
      </c>
      <c r="U287" s="63">
        <f>IF((((inputs!$P$13/(X287/MAX(K287:S287)))^(1/inputs!$O$13))-1)/inputs!$N$13&lt;0, 0, IF((((inputs!$P$13/(X287/MAX(K287:S287)))^(1/inputs!$O$13))-1)/inputs!$N$13&lt;inputs!$I$17, (((inputs!$P$13/(X287/MAX(K287:S287)))^(1/inputs!$O$13))-1)/inputs!$N$13, inputs!$I$17))</f>
        <v>86.878795585572249</v>
      </c>
      <c r="V287" s="21">
        <f>inputs!$E$78*(F287/inputs!$F$78)^(inputs!$E$84-1)</f>
        <v>4.5571811793226592E-2</v>
      </c>
      <c r="W287" s="21">
        <f>inputs!$E$85*(F287/inputs!$F$85)^(inputs!$E$84-1)</f>
        <v>2.1044223179662316</v>
      </c>
      <c r="X287" s="21">
        <f>inputs!$E$80*(F287/inputs!$F$80)^(inputs!$E$84-1)</f>
        <v>7.8582858708865606</v>
      </c>
      <c r="Y287" s="21">
        <f>inputs!$E$82*(F287/inputs!$F$82)^(inputs!$E$84-1)</f>
        <v>3.6217597793564291</v>
      </c>
      <c r="Z287" s="63">
        <f t="shared" si="24"/>
        <v>5676.8185558373925</v>
      </c>
      <c r="AA287" s="63">
        <f t="shared" si="25"/>
        <v>122.93298004030638</v>
      </c>
    </row>
    <row r="288" spans="1:476" ht="13.2" x14ac:dyDescent="0.25">
      <c r="A288" s="103" t="s">
        <v>273</v>
      </c>
      <c r="B288" s="20" t="s">
        <v>274</v>
      </c>
      <c r="C288" s="20" t="s">
        <v>73</v>
      </c>
      <c r="D288" s="104" t="s">
        <v>141</v>
      </c>
      <c r="E288" s="15">
        <v>97</v>
      </c>
      <c r="F288" s="15">
        <v>10</v>
      </c>
      <c r="G288" s="20" t="s">
        <v>142</v>
      </c>
      <c r="H288" s="20">
        <v>0.69</v>
      </c>
      <c r="I288" s="68">
        <f>MAX('Max rate concentrations'!$H$3:$H$368)</f>
        <v>282</v>
      </c>
      <c r="J288" s="68">
        <f>MAX('Max rate concentrations'!AA:AA)</f>
        <v>195</v>
      </c>
      <c r="K288" s="69">
        <f t="shared" si="22"/>
        <v>256.31291308431645</v>
      </c>
      <c r="L288" s="69">
        <f t="shared" si="23"/>
        <v>177.23765266468689</v>
      </c>
      <c r="M288" s="69">
        <f>IF((((1.18*F288^0.874)-(0.301*F288^0.751)/(1-H288)*H288)*(MAX('Max rate concentrations'!$P$3:$P$368)))/F288&gt;0, (((1.18*F288^0.874)-(0.301*F288^0.751)/(1-H288)*H288)*(MAX('Max rate concentrations'!$P$3:$P$368)))/F288, 0)</f>
        <v>0.43999096786868774</v>
      </c>
      <c r="N288" s="69">
        <f>IF((((1.18*F288^0.874)-(0.301*F288^0.751)/(1-H288)*H288)*(MAX('Max rate concentrations'!$Q$3:$Q$368)))/F288&gt;0, (((1.18*F288^0.874)-(0.301*F288^0.751)/(1-H288)*H288)*(MAX('Max rate concentrations'!$Q$3:$Q$368)))/F288, 0)</f>
        <v>1.6755092471001074</v>
      </c>
      <c r="O288" s="69">
        <f>((MAX('Max rate concentrations'!$F$3:$F$368))*0.62*6.01*8*(10*F288^0.667)*0.079*0.1/F288)*inputs!$E$80/(10^(0.84+0.62*LOG10(inputs!$E$80)))</f>
        <v>68.195140075128862</v>
      </c>
      <c r="P288" s="69">
        <f>((MAX('Max rate concentrations'!Y:Y))*0.62*6.01*8*(10*F288^0.667)*0.079*0.1/F288)*inputs!$E$80/(10^(0.84+0.62*LOG10(inputs!$E$80)))</f>
        <v>22.731713358376282</v>
      </c>
      <c r="Q288" s="69">
        <f>(inputs!$C$18*11.2*(10*F288^0.667)*0.5/F288)*inputs!$E$80/(10^(0.84+0.62*LOG10(inputs!$E$80)))</f>
        <v>12.01225227653063</v>
      </c>
      <c r="R288" s="59">
        <f>(60*284*((F288/1000)^0.77)*3*24*(MAX('Max rate concentrations'!$R$3:$R$368))/F288)*(inputs!$E$73*3.4/inputs!$E$75)</f>
        <v>8.11123072975274E-2</v>
      </c>
      <c r="S288" s="59">
        <f>(IF(inputs!$C$17="aerial",((0.025*0.112*inputs!$C$18/3.3)*(3*60*284*((F288/1000)^0.77))*MAX(inputs!$I$14:$I$16))/F288,((0.0083*0.112*inputs!$C$18/1)*(3*60*284*((F288/1000)^0.77))*MAX(inputs!$I$14:$I$16))/F288))*(inputs!E$75*3.4/inputs!$E$73)</f>
        <v>0.44733935814888093</v>
      </c>
      <c r="T288" s="63">
        <f>IF((((inputs!$P$13/(V288/MAX(K288:S288)))^(1/inputs!$O$13))-1)/inputs!$N$13&lt;0, 0, IF((((inputs!$P$13/(V288/MAX(K288:S288)))^(1/inputs!$O$13))-1)/inputs!$N$13&lt;inputs!$I$17, (((inputs!$P$13/(V288/MAX(K288:S288)))^(1/inputs!$O$13))-1)/inputs!$N$13, inputs!$I$17))</f>
        <v>1000</v>
      </c>
      <c r="U288" s="63">
        <f>IF((((inputs!$P$13/(X288/MAX(K288:S288)))^(1/inputs!$O$13))-1)/inputs!$N$13&lt;0, 0, IF((((inputs!$P$13/(X288/MAX(K288:S288)))^(1/inputs!$O$13))-1)/inputs!$N$13&lt;inputs!$I$17, (((inputs!$P$13/(X288/MAX(K288:S288)))^(1/inputs!$O$13))-1)/inputs!$N$13, inputs!$I$17))</f>
        <v>87.898308790189972</v>
      </c>
      <c r="V288" s="21">
        <f>inputs!$E$78*(F288/inputs!$F$78)^(inputs!$E$84-1)</f>
        <v>4.4540347491078519E-2</v>
      </c>
      <c r="W288" s="21">
        <f>inputs!$E$85*(F288/inputs!$F$85)^(inputs!$E$84-1)</f>
        <v>2.0567911966170365</v>
      </c>
      <c r="X288" s="21">
        <f>inputs!$E$80*(F288/inputs!$F$80)^(inputs!$E$84-1)</f>
        <v>7.6804228228104519</v>
      </c>
      <c r="Y288" s="21">
        <f>inputs!$E$82*(F288/inputs!$F$82)^(inputs!$E$84-1)</f>
        <v>3.5397855111330823</v>
      </c>
      <c r="Z288" s="63">
        <f t="shared" si="24"/>
        <v>5754.6231119022186</v>
      </c>
      <c r="AA288" s="63">
        <f t="shared" si="25"/>
        <v>124.61785790696408</v>
      </c>
    </row>
    <row r="289" spans="1:27" ht="13.2" x14ac:dyDescent="0.25">
      <c r="A289" s="103" t="s">
        <v>273</v>
      </c>
      <c r="B289" s="20" t="s">
        <v>274</v>
      </c>
      <c r="C289" s="20" t="s">
        <v>73</v>
      </c>
      <c r="D289" s="104" t="s">
        <v>141</v>
      </c>
      <c r="E289" s="15">
        <v>97</v>
      </c>
      <c r="F289" s="15">
        <v>10</v>
      </c>
      <c r="G289" s="20" t="s">
        <v>152</v>
      </c>
      <c r="H289" s="20">
        <v>0.77</v>
      </c>
      <c r="I289" s="68">
        <f>MAX('Max rate concentrations'!$G$3:$G$368)</f>
        <v>45</v>
      </c>
      <c r="J289" s="68">
        <f>MAX('Max rate concentrations'!Z:Z)</f>
        <v>21</v>
      </c>
      <c r="K289" s="69">
        <f t="shared" si="22"/>
        <v>55.127430427477883</v>
      </c>
      <c r="L289" s="69">
        <f t="shared" si="23"/>
        <v>25.726134199489678</v>
      </c>
      <c r="M289" s="69">
        <f>IF((((1.18*F289^0.874)-(0.301*F289^0.751)/(1-H289)*H289)*(MAX('Max rate concentrations'!$P$3:$P$368)))/F289&gt;0, (((1.18*F289^0.874)-(0.301*F289^0.751)/(1-H289)*H289)*(MAX('Max rate concentrations'!$P$3:$P$368)))/F289, 0)</f>
        <v>0.27421203041181658</v>
      </c>
      <c r="N289" s="69">
        <f>IF((((1.18*F289^0.874)-(0.301*F289^0.751)/(1-H289)*H289)*(MAX('Max rate concentrations'!$Q$3:$Q$368)))/F289&gt;0, (((1.18*F289^0.874)-(0.301*F289^0.751)/(1-H289)*H289)*(MAX('Max rate concentrations'!$Q$3:$Q$368)))/F289, 0)</f>
        <v>1.0442141456826737</v>
      </c>
      <c r="O289" s="69">
        <f>((MAX('Max rate concentrations'!$F$3:$F$368))*0.62*6.01*8*(10*F289^0.667)*0.079*0.1/F289)*inputs!$E$80/(10^(0.84+0.62*LOG10(inputs!$E$80)))</f>
        <v>68.195140075128862</v>
      </c>
      <c r="P289" s="69">
        <f>((MAX('Max rate concentrations'!Y:Y))*0.62*6.01*8*(10*F289^0.667)*0.079*0.1/F289)*inputs!$E$80/(10^(0.84+0.62*LOG10(inputs!$E$80)))</f>
        <v>22.731713358376282</v>
      </c>
      <c r="Q289" s="69">
        <f>(inputs!$C$18*11.2*(10*F289^0.667)*0.5/F289)*inputs!$E$80/(10^(0.84+0.62*LOG10(inputs!$E$80)))</f>
        <v>12.01225227653063</v>
      </c>
      <c r="R289" s="59">
        <f>(60*284*((F289/1000)^0.77)*3*24*(MAX('Max rate concentrations'!$R$3:$R$368))/F289)*(inputs!$E$73*3.4/inputs!$E$75)</f>
        <v>8.11123072975274E-2</v>
      </c>
      <c r="S289" s="59">
        <f>(IF(inputs!$C$17="aerial",((0.025*0.112*inputs!$C$18/3.3)*(3*60*284*((F289/1000)^0.77))*MAX(inputs!$I$14:$I$16))/F289,((0.0083*0.112*inputs!$C$18/1)*(3*60*284*((F289/1000)^0.77))*MAX(inputs!$I$14:$I$16))/F289))*(inputs!E$75*3.4/inputs!$E$73)</f>
        <v>0.44733935814888093</v>
      </c>
      <c r="T289" s="63">
        <f>IF((((inputs!$P$13/(V289/MAX(K289:S289)))^(1/inputs!$O$13))-1)/inputs!$N$13&lt;0, 0, IF((((inputs!$P$13/(V289/MAX(K289:S289)))^(1/inputs!$O$13))-1)/inputs!$N$13&lt;inputs!$I$17, (((inputs!$P$13/(V289/MAX(K289:S289)))^(1/inputs!$O$13))-1)/inputs!$N$13, inputs!$I$17))</f>
        <v>1000</v>
      </c>
      <c r="U289" s="63">
        <f>IF((((inputs!$P$13/(X289/MAX(K289:S289)))^(1/inputs!$O$13))-1)/inputs!$N$13&lt;0, 0, IF((((inputs!$P$13/(X289/MAX(K289:S289)))^(1/inputs!$O$13))-1)/inputs!$N$13&lt;inputs!$I$17, (((inputs!$P$13/(X289/MAX(K289:S289)))^(1/inputs!$O$13))-1)/inputs!$N$13, inputs!$I$17))</f>
        <v>26.693213899402476</v>
      </c>
      <c r="V289" s="21">
        <f>inputs!$E$78*(F289/inputs!$F$78)^(inputs!$E$84-1)</f>
        <v>4.4540347491078519E-2</v>
      </c>
      <c r="W289" s="21">
        <f>inputs!$E$85*(F289/inputs!$F$85)^(inputs!$E$84-1)</f>
        <v>2.0567911966170365</v>
      </c>
      <c r="X289" s="21">
        <f>inputs!$E$80*(F289/inputs!$F$80)^(inputs!$E$84-1)</f>
        <v>7.6804228228104519</v>
      </c>
      <c r="Y289" s="21">
        <f>inputs!$E$82*(F289/inputs!$F$82)^(inputs!$E$84-1)</f>
        <v>3.5397855111330823</v>
      </c>
      <c r="Z289" s="63">
        <f t="shared" si="24"/>
        <v>1531.0868440976672</v>
      </c>
      <c r="AA289" s="63">
        <f t="shared" si="25"/>
        <v>33.156083217049293</v>
      </c>
    </row>
    <row r="290" spans="1:27" ht="13.2" x14ac:dyDescent="0.25">
      <c r="A290" s="103" t="s">
        <v>273</v>
      </c>
      <c r="B290" s="20" t="s">
        <v>274</v>
      </c>
      <c r="C290" s="20" t="s">
        <v>73</v>
      </c>
      <c r="D290" s="104" t="s">
        <v>141</v>
      </c>
      <c r="E290" s="15">
        <v>97</v>
      </c>
      <c r="F290" s="15">
        <v>10</v>
      </c>
      <c r="G290" s="20" t="s">
        <v>177</v>
      </c>
      <c r="H290" s="20">
        <v>0.85</v>
      </c>
      <c r="I290" s="68">
        <f>MAX('Max rate concentrations'!$F$3:$F$368)</f>
        <v>405</v>
      </c>
      <c r="J290" s="68">
        <f>MAX('Max rate concentrations'!Y:Y)</f>
        <v>135</v>
      </c>
      <c r="K290" s="69">
        <f t="shared" si="22"/>
        <v>760.7585398991946</v>
      </c>
      <c r="L290" s="69">
        <f t="shared" si="23"/>
        <v>253.58617996639819</v>
      </c>
      <c r="M290" s="69">
        <f>IF((((1.18*F290^0.874)-(0.301*F290^0.751)/(1-H290)*H290)*(MAX('Max rate concentrations'!$P$3:$P$368)))/F290&gt;0, (((1.18*F290^0.874)-(0.301*F290^0.751)/(1-H290)*H290)*(MAX('Max rate concentrations'!$P$3:$P$368)))/F290, 0)</f>
        <v>0</v>
      </c>
      <c r="N290" s="69">
        <f>IF((((1.18*F290^0.874)-(0.301*F290^0.751)/(1-H290)*H290)*(MAX('Max rate concentrations'!$Q$3:$Q$368)))/F290&gt;0, (((1.18*F290^0.874)-(0.301*F290^0.751)/(1-H290)*H290)*(MAX('Max rate concentrations'!$Q$3:$Q$368)))/F290, 0)</f>
        <v>0</v>
      </c>
      <c r="O290" s="69">
        <f>((MAX('Max rate concentrations'!$F$3:$F$368))*0.62*6.01*8*(10*F290^0.667)*0.079*0.1/F290)*inputs!$E$80/(10^(0.84+0.62*LOG10(inputs!$E$80)))</f>
        <v>68.195140075128862</v>
      </c>
      <c r="P290" s="69">
        <f>((MAX('Max rate concentrations'!Y:Y))*0.62*6.01*8*(10*F290^0.667)*0.079*0.1/F290)*inputs!$E$80/(10^(0.84+0.62*LOG10(inputs!$E$80)))</f>
        <v>22.731713358376282</v>
      </c>
      <c r="Q290" s="69">
        <f>(inputs!$C$18*11.2*(10*F290^0.667)*0.5/F290)*inputs!$E$80/(10^(0.84+0.62*LOG10(inputs!$E$80)))</f>
        <v>12.01225227653063</v>
      </c>
      <c r="R290" s="59">
        <f>(60*284*((F290/1000)^0.77)*3*24*(MAX('Max rate concentrations'!$R$3:$R$368))/F290)*(inputs!$E$73*3.4/inputs!$E$75)</f>
        <v>8.11123072975274E-2</v>
      </c>
      <c r="S290" s="59">
        <f>(IF(inputs!$C$17="aerial",((0.025*0.112*inputs!$C$18/3.3)*(3*60*284*((F290/1000)^0.77))*MAX(inputs!$I$14:$I$16))/F290,((0.0083*0.112*inputs!$C$18/1)*(3*60*284*((F290/1000)^0.77))*MAX(inputs!$I$14:$I$16))/F290))*(inputs!E$75*3.4/inputs!$E$73)</f>
        <v>0.44733935814888093</v>
      </c>
      <c r="T290" s="63">
        <f>IF((((inputs!$P$13/(V290/MAX(K290:S290)))^(1/inputs!$O$13))-1)/inputs!$N$13&lt;0, 0, IF((((inputs!$P$13/(V290/MAX(K290:S290)))^(1/inputs!$O$13))-1)/inputs!$N$13&lt;inputs!$I$17, (((inputs!$P$13/(V290/MAX(K290:S290)))^(1/inputs!$O$13))-1)/inputs!$N$13, inputs!$I$17))</f>
        <v>1000</v>
      </c>
      <c r="U290" s="63">
        <f>IF((((inputs!$P$13/(X290/MAX(K290:S290)))^(1/inputs!$O$13))-1)/inputs!$N$13&lt;0, 0, IF((((inputs!$P$13/(X290/MAX(K290:S290)))^(1/inputs!$O$13))-1)/inputs!$N$13&lt;inputs!$I$17, (((inputs!$P$13/(X290/MAX(K290:S290)))^(1/inputs!$O$13))-1)/inputs!$N$13, inputs!$I$17))</f>
        <v>219.23650429635975</v>
      </c>
      <c r="V290" s="21">
        <f>inputs!$E$78*(F290/inputs!$F$78)^(inputs!$E$84-1)</f>
        <v>4.4540347491078519E-2</v>
      </c>
      <c r="W290" s="21">
        <f>inputs!$E$85*(F290/inputs!$F$85)^(inputs!$E$84-1)</f>
        <v>2.0567911966170365</v>
      </c>
      <c r="X290" s="21">
        <f>inputs!$E$80*(F290/inputs!$F$80)^(inputs!$E$84-1)</f>
        <v>7.6804228228104519</v>
      </c>
      <c r="Y290" s="21">
        <f>inputs!$E$82*(F290/inputs!$F$82)^(inputs!$E$84-1)</f>
        <v>3.5397855111330823</v>
      </c>
      <c r="Z290" s="63">
        <f t="shared" si="24"/>
        <v>17080.211151284246</v>
      </c>
      <c r="AA290" s="63">
        <f t="shared" si="25"/>
        <v>369.87640804301037</v>
      </c>
    </row>
    <row r="291" spans="1:27" ht="13.2" x14ac:dyDescent="0.25">
      <c r="A291" s="103" t="s">
        <v>273</v>
      </c>
      <c r="B291" s="20" t="s">
        <v>274</v>
      </c>
      <c r="C291" s="20" t="s">
        <v>73</v>
      </c>
      <c r="D291" s="104" t="s">
        <v>141</v>
      </c>
      <c r="E291" s="15">
        <v>97</v>
      </c>
      <c r="F291" s="15">
        <v>10</v>
      </c>
      <c r="G291" s="20" t="s">
        <v>153</v>
      </c>
      <c r="H291" s="20">
        <v>0.7</v>
      </c>
      <c r="I291" s="68">
        <f>MAX('Max rate concentrations'!$E$3:$E$368)</f>
        <v>330</v>
      </c>
      <c r="J291" s="68">
        <f>MAX('Max rate concentrations'!X:X)</f>
        <v>108</v>
      </c>
      <c r="K291" s="69">
        <f t="shared" si="22"/>
        <v>309.93866440337558</v>
      </c>
      <c r="L291" s="69">
        <f t="shared" si="23"/>
        <v>101.43447198655927</v>
      </c>
      <c r="M291" s="69">
        <f>IF((((1.18*F291^0.874)-(0.301*F291^0.751)/(1-H291)*H291)*(MAX('Max rate concentrations'!$P$3:$P$368)))/F291&gt;0, (((1.18*F291^0.874)-(0.301*F291^0.751)/(1-H291)*H291)*(MAX('Max rate concentrations'!$P$3:$P$368)))/F291, 0)</f>
        <v>0.42410381969573752</v>
      </c>
      <c r="N291" s="69">
        <f>IF((((1.18*F291^0.874)-(0.301*F291^0.751)/(1-H291)*H291)*(MAX('Max rate concentrations'!$Q$3:$Q$368)))/F291&gt;0, (((1.18*F291^0.874)-(0.301*F291^0.751)/(1-H291)*H291)*(MAX('Max rate concentrations'!$Q$3:$Q$368)))/F291, 0)</f>
        <v>1.6150101332142701</v>
      </c>
      <c r="O291" s="69">
        <f>((MAX('Max rate concentrations'!$F$3:$F$368))*0.62*6.01*8*(10*F291^0.667)*0.079*0.1/F291)*inputs!$E$80/(10^(0.84+0.62*LOG10(inputs!$E$80)))</f>
        <v>68.195140075128862</v>
      </c>
      <c r="P291" s="69">
        <f>((MAX('Max rate concentrations'!Y:Y))*0.62*6.01*8*(10*F291^0.667)*0.079*0.1/F291)*inputs!$E$80/(10^(0.84+0.62*LOG10(inputs!$E$80)))</f>
        <v>22.731713358376282</v>
      </c>
      <c r="Q291" s="69">
        <f>(inputs!$C$18*11.2*(10*F291^0.667)*0.5/F291)*inputs!$E$80/(10^(0.84+0.62*LOG10(inputs!$E$80)))</f>
        <v>12.01225227653063</v>
      </c>
      <c r="R291" s="59">
        <f>(60*284*((F291/1000)^0.77)*3*24*(MAX('Max rate concentrations'!$R$3:$R$368))/F291)*(inputs!$E$73*3.4/inputs!$E$75)</f>
        <v>8.11123072975274E-2</v>
      </c>
      <c r="S291" s="59">
        <f>(IF(inputs!$C$17="aerial",((0.025*0.112*inputs!$C$18/3.3)*(3*60*284*((F291/1000)^0.77))*MAX(inputs!$I$14:$I$16))/F291,((0.0083*0.112*inputs!$C$18/1)*(3*60*284*((F291/1000)^0.77))*MAX(inputs!$I$14:$I$16))/F291))*(inputs!E$75*3.4/inputs!$E$73)</f>
        <v>0.44733935814888093</v>
      </c>
      <c r="T291" s="63">
        <f>IF((((inputs!$P$13/(V291/MAX(K291:S291)))^(1/inputs!$O$13))-1)/inputs!$N$13&lt;0, 0, IF((((inputs!$P$13/(V291/MAX(K291:S291)))^(1/inputs!$O$13))-1)/inputs!$N$13&lt;inputs!$I$17, (((inputs!$P$13/(V291/MAX(K291:S291)))^(1/inputs!$O$13))-1)/inputs!$N$13, inputs!$I$17))</f>
        <v>1000</v>
      </c>
      <c r="U291" s="63">
        <f>IF((((inputs!$P$13/(X291/MAX(K291:S291)))^(1/inputs!$O$13))-1)/inputs!$N$13&lt;0, 0, IF((((inputs!$P$13/(X291/MAX(K291:S291)))^(1/inputs!$O$13))-1)/inputs!$N$13&lt;inputs!$I$17, (((inputs!$P$13/(X291/MAX(K291:S291)))^(1/inputs!$O$13))-1)/inputs!$N$13, inputs!$I$17))</f>
        <v>103.36240034835338</v>
      </c>
      <c r="V291" s="21">
        <f>inputs!$E$78*(F291/inputs!$F$78)^(inputs!$E$84-1)</f>
        <v>4.4540347491078519E-2</v>
      </c>
      <c r="W291" s="21">
        <f>inputs!$E$85*(F291/inputs!$F$85)^(inputs!$E$84-1)</f>
        <v>2.0567911966170365</v>
      </c>
      <c r="X291" s="21">
        <f>inputs!$E$80*(F291/inputs!$F$80)^(inputs!$E$84-1)</f>
        <v>7.6804228228104519</v>
      </c>
      <c r="Y291" s="21">
        <f>inputs!$E$82*(F291/inputs!$F$82)^(inputs!$E$84-1)</f>
        <v>3.5397855111330823</v>
      </c>
      <c r="Z291" s="63">
        <f t="shared" si="24"/>
        <v>6958.6045431158036</v>
      </c>
      <c r="AA291" s="63">
        <f t="shared" si="25"/>
        <v>150.69038846196719</v>
      </c>
    </row>
    <row r="292" spans="1:27" ht="13.2" x14ac:dyDescent="0.25">
      <c r="A292" s="103" t="s">
        <v>299</v>
      </c>
      <c r="B292" s="20" t="s">
        <v>300</v>
      </c>
      <c r="C292" s="20" t="s">
        <v>73</v>
      </c>
      <c r="D292" s="104" t="s">
        <v>141</v>
      </c>
      <c r="E292" s="15">
        <v>112</v>
      </c>
      <c r="F292" s="15">
        <v>13.7</v>
      </c>
      <c r="G292" s="20" t="s">
        <v>142</v>
      </c>
      <c r="H292" s="20">
        <v>0.69</v>
      </c>
      <c r="I292" s="68">
        <f>MAX('Max rate concentrations'!$H$3:$H$368)</f>
        <v>282</v>
      </c>
      <c r="J292" s="68">
        <f>MAX('Max rate concentrations'!AA:AA)</f>
        <v>195</v>
      </c>
      <c r="K292" s="69">
        <f t="shared" si="22"/>
        <v>244.49073237950799</v>
      </c>
      <c r="L292" s="69">
        <f t="shared" si="23"/>
        <v>169.0627404751917</v>
      </c>
      <c r="M292" s="69">
        <f>IF((((1.18*F292^0.874)-(0.301*F292^0.751)/(1-H292)*H292)*(MAX('Max rate concentrations'!$P$3:$P$368)))/F292&gt;0, (((1.18*F292^0.874)-(0.301*F292^0.751)/(1-H292)*H292)*(MAX('Max rate concentrations'!$P$3:$P$368)))/F292, 0)</f>
        <v>0.43488485097863167</v>
      </c>
      <c r="N292" s="69">
        <f>IF((((1.18*F292^0.874)-(0.301*F292^0.751)/(1-H292)*H292)*(MAX('Max rate concentrations'!$Q$3:$Q$368)))/F292&gt;0, (((1.18*F292^0.874)-(0.301*F292^0.751)/(1-H292)*H292)*(MAX('Max rate concentrations'!$Q$3:$Q$368)))/F292, 0)</f>
        <v>1.656064879622509</v>
      </c>
      <c r="O292" s="69">
        <f>((MAX('Max rate concentrations'!$F$3:$F$368))*0.62*6.01*8*(10*F292^0.667)*0.079*0.1/F292)*inputs!$E$80/(10^(0.84+0.62*LOG10(inputs!$E$80)))</f>
        <v>61.408074071775445</v>
      </c>
      <c r="P292" s="69">
        <f>((MAX('Max rate concentrations'!Y:Y))*0.62*6.01*8*(10*F292^0.667)*0.079*0.1/F292)*inputs!$E$80/(10^(0.84+0.62*LOG10(inputs!$E$80)))</f>
        <v>20.469358023925157</v>
      </c>
      <c r="Q292" s="69">
        <f>(inputs!$C$18*11.2*(10*F292^0.667)*0.5/F292)*inputs!$E$80/(10^(0.84+0.62*LOG10(inputs!$E$80)))</f>
        <v>10.816742611766715</v>
      </c>
      <c r="R292" s="59">
        <f>(60*284*((F292/1000)^0.77)*3*24*(MAX('Max rate concentrations'!$R$3:$R$368))/F292)*(inputs!$E$73*3.4/inputs!$E$75)</f>
        <v>7.5446834850175046E-2</v>
      </c>
      <c r="S292" s="59">
        <f>(IF(inputs!$C$17="aerial",((0.025*0.112*inputs!$C$18/3.3)*(3*60*284*((F292/1000)^0.77))*MAX(inputs!$I$14:$I$16))/F292,((0.0083*0.112*inputs!$C$18/1)*(3*60*284*((F292/1000)^0.77))*MAX(inputs!$I$14:$I$16))/F292))*(inputs!E$75*3.4/inputs!$E$73)</f>
        <v>0.41609392952468466</v>
      </c>
      <c r="T292" s="63">
        <f>IF((((inputs!$P$13/(V292/MAX(K292:S292)))^(1/inputs!$O$13))-1)/inputs!$N$13&lt;0, 0, IF((((inputs!$P$13/(V292/MAX(K292:S292)))^(1/inputs!$O$13))-1)/inputs!$N$13&lt;inputs!$I$17, (((inputs!$P$13/(V292/MAX(K292:S292)))^(1/inputs!$O$13))-1)/inputs!$N$13, inputs!$I$17))</f>
        <v>1000</v>
      </c>
      <c r="U292" s="63">
        <f>IF((((inputs!$P$13/(X292/MAX(K292:S292)))^(1/inputs!$O$13))-1)/inputs!$N$13&lt;0, 0, IF((((inputs!$P$13/(X292/MAX(K292:S292)))^(1/inputs!$O$13))-1)/inputs!$N$13&lt;inputs!$I$17, (((inputs!$P$13/(X292/MAX(K292:S292)))^(1/inputs!$O$13))-1)/inputs!$N$13, inputs!$I$17))</f>
        <v>93.262831341622558</v>
      </c>
      <c r="V292" s="21">
        <f>inputs!$E$78*(F292/inputs!$F$78)^(inputs!$E$84-1)</f>
        <v>3.9643043690778076E-2</v>
      </c>
      <c r="W292" s="21">
        <f>inputs!$E$85*(F292/inputs!$F$85)^(inputs!$E$84-1)</f>
        <v>1.8306427287445148</v>
      </c>
      <c r="X292" s="21">
        <f>inputs!$E$80*(F292/inputs!$F$80)^(inputs!$E$84-1)</f>
        <v>6.8359443668307822</v>
      </c>
      <c r="Y292" s="21">
        <f>inputs!$E$82*(F292/inputs!$F$82)^(inputs!$E$84-1)</f>
        <v>3.1505787354249946</v>
      </c>
      <c r="Z292" s="63">
        <f t="shared" si="24"/>
        <v>6167.3047681851531</v>
      </c>
      <c r="AA292" s="63">
        <f t="shared" si="25"/>
        <v>133.55458634311665</v>
      </c>
    </row>
    <row r="293" spans="1:27" ht="13.2" x14ac:dyDescent="0.25">
      <c r="A293" s="103" t="s">
        <v>311</v>
      </c>
      <c r="B293" s="20" t="s">
        <v>312</v>
      </c>
      <c r="C293" s="20" t="s">
        <v>73</v>
      </c>
      <c r="D293" s="104" t="s">
        <v>141</v>
      </c>
      <c r="E293" s="15">
        <v>137</v>
      </c>
      <c r="F293" s="15">
        <v>46.3</v>
      </c>
      <c r="G293" s="20" t="s">
        <v>142</v>
      </c>
      <c r="H293" s="20">
        <v>0.69</v>
      </c>
      <c r="I293" s="68">
        <f>MAX('Max rate concentrations'!$H$3:$H$368)</f>
        <v>282</v>
      </c>
      <c r="J293" s="68">
        <f>MAX('Max rate concentrations'!AA:AA)</f>
        <v>195</v>
      </c>
      <c r="K293" s="69">
        <f t="shared" si="22"/>
        <v>203.67294256351369</v>
      </c>
      <c r="L293" s="69">
        <f t="shared" si="23"/>
        <v>140.83767304923819</v>
      </c>
      <c r="M293" s="69">
        <f>IF((((1.18*F293^0.874)-(0.301*F293^0.751)/(1-H293)*H293)*(MAX('Max rate concentrations'!$P$3:$P$368)))/F293&gt;0, (((1.18*F293^0.874)-(0.301*F293^0.751)/(1-H293)*H293)*(MAX('Max rate concentrations'!$P$3:$P$368)))/F293, 0)</f>
        <v>0.40930594213408933</v>
      </c>
      <c r="N293" s="69">
        <f>IF((((1.18*F293^0.874)-(0.301*F293^0.751)/(1-H293)*H293)*(MAX('Max rate concentrations'!$Q$3:$Q$368)))/F293&gt;0, (((1.18*F293^0.874)-(0.301*F293^0.751)/(1-H293)*H293)*(MAX('Max rate concentrations'!$Q$3:$Q$368)))/F293, 0)</f>
        <v>1.558659020344616</v>
      </c>
      <c r="O293" s="69">
        <f>((MAX('Max rate concentrations'!$F$3:$F$368))*0.62*6.01*8*(10*F293^0.667)*0.079*0.1/F293)*inputs!$E$80/(10^(0.84+0.62*LOG10(inputs!$E$80)))</f>
        <v>40.936900349545581</v>
      </c>
      <c r="P293" s="69">
        <f>((MAX('Max rate concentrations'!Y:Y))*0.62*6.01*8*(10*F293^0.667)*0.079*0.1/F293)*inputs!$E$80/(10^(0.84+0.62*LOG10(inputs!$E$80)))</f>
        <v>13.645633449848525</v>
      </c>
      <c r="Q293" s="69">
        <f>(inputs!$C$18*11.2*(10*F293^0.667)*0.5/F293)*inputs!$E$80/(10^(0.84+0.62*LOG10(inputs!$E$80)))</f>
        <v>7.2108419144853135</v>
      </c>
      <c r="R293" s="59">
        <f>(60*284*((F293/1000)^0.77)*3*24*(MAX('Max rate concentrations'!$R$3:$R$368))/F293)*(inputs!$E$73*3.4/inputs!$E$75)</f>
        <v>5.7016837818593354E-2</v>
      </c>
      <c r="S293" s="59">
        <f>(IF(inputs!$C$17="aerial",((0.025*0.112*inputs!$C$18/3.3)*(3*60*284*((F293/1000)^0.77))*MAX(inputs!$I$14:$I$16))/F293,((0.0083*0.112*inputs!$C$18/1)*(3*60*284*((F293/1000)^0.77))*MAX(inputs!$I$14:$I$16))/F293))*(inputs!E$75*3.4/inputs!$E$73)</f>
        <v>0.31445136358765508</v>
      </c>
      <c r="T293" s="63">
        <f>IF((((inputs!$P$13/(V293/MAX(K293:S293)))^(1/inputs!$O$13))-1)/inputs!$N$13&lt;0, 0, IF((((inputs!$P$13/(V293/MAX(K293:S293)))^(1/inputs!$O$13))-1)/inputs!$N$13&lt;inputs!$I$17, (((inputs!$P$13/(V293/MAX(K293:S293)))^(1/inputs!$O$13))-1)/inputs!$N$13, inputs!$I$17))</f>
        <v>1000</v>
      </c>
      <c r="U293" s="63">
        <f>IF((((inputs!$P$13/(X293/MAX(K293:S293)))^(1/inputs!$O$13))-1)/inputs!$N$13&lt;0, 0, IF((((inputs!$P$13/(X293/MAX(K293:S293)))^(1/inputs!$O$13))-1)/inputs!$N$13&lt;inputs!$I$17, (((inputs!$P$13/(X293/MAX(K293:S293)))^(1/inputs!$O$13))-1)/inputs!$N$13, inputs!$I$17))</f>
        <v>117.0880194252745</v>
      </c>
      <c r="V293" s="21">
        <f>inputs!$E$78*(F293/inputs!$F$78)^(inputs!$E$84-1)</f>
        <v>2.526321594050698E-2</v>
      </c>
      <c r="W293" s="21">
        <f>inputs!$E$85*(F293/inputs!$F$85)^(inputs!$E$84-1)</f>
        <v>1.1666087732045156</v>
      </c>
      <c r="X293" s="21">
        <f>inputs!$E$80*(F293/inputs!$F$80)^(inputs!$E$84-1)</f>
        <v>4.3563238999409126</v>
      </c>
      <c r="Y293" s="21">
        <f>inputs!$E$82*(F293/inputs!$F$82)^(inputs!$E$84-1)</f>
        <v>2.0077608457981864</v>
      </c>
      <c r="Z293" s="63">
        <f t="shared" si="24"/>
        <v>8062.0354527764212</v>
      </c>
      <c r="AA293" s="63">
        <f t="shared" si="25"/>
        <v>174.58547136076461</v>
      </c>
    </row>
    <row r="294" spans="1:27" ht="13.2" x14ac:dyDescent="0.25">
      <c r="A294" s="103" t="s">
        <v>311</v>
      </c>
      <c r="B294" s="20" t="s">
        <v>312</v>
      </c>
      <c r="C294" s="20" t="s">
        <v>73</v>
      </c>
      <c r="D294" s="104" t="s">
        <v>141</v>
      </c>
      <c r="E294" s="15">
        <v>137</v>
      </c>
      <c r="F294" s="15">
        <v>46.3</v>
      </c>
      <c r="G294" s="20" t="s">
        <v>152</v>
      </c>
      <c r="H294" s="20">
        <v>0.77</v>
      </c>
      <c r="I294" s="68">
        <f>MAX('Max rate concentrations'!$G$3:$G$368)</f>
        <v>45</v>
      </c>
      <c r="J294" s="68">
        <f>MAX('Max rate concentrations'!Z:Z)</f>
        <v>21</v>
      </c>
      <c r="K294" s="69">
        <f t="shared" si="22"/>
        <v>43.805697637388484</v>
      </c>
      <c r="L294" s="69">
        <f t="shared" si="23"/>
        <v>20.442658897447959</v>
      </c>
      <c r="M294" s="69">
        <f>IF((((1.18*F294^0.874)-(0.301*F294^0.751)/(1-H294)*H294)*(MAX('Max rate concentrations'!$P$3:$P$368)))/F294&gt;0, (((1.18*F294^0.874)-(0.301*F294^0.751)/(1-H294)*H294)*(MAX('Max rate concentrations'!$P$3:$P$368)))/F294, 0)</f>
        <v>0.29611812487064187</v>
      </c>
      <c r="N294" s="69">
        <f>IF((((1.18*F294^0.874)-(0.301*F294^0.751)/(1-H294)*H294)*(MAX('Max rate concentrations'!$Q$3:$Q$368)))/F294&gt;0, (((1.18*F294^0.874)-(0.301*F294^0.751)/(1-H294)*H294)*(MAX('Max rate concentrations'!$Q$3:$Q$368)))/F294, 0)</f>
        <v>1.1276337304332504</v>
      </c>
      <c r="O294" s="69">
        <f>((MAX('Max rate concentrations'!$F$3:$F$368))*0.62*6.01*8*(10*F294^0.667)*0.079*0.1/F294)*inputs!$E$80/(10^(0.84+0.62*LOG10(inputs!$E$80)))</f>
        <v>40.936900349545581</v>
      </c>
      <c r="P294" s="69">
        <f>((MAX('Max rate concentrations'!Y:Y))*0.62*6.01*8*(10*F294^0.667)*0.079*0.1/F294)*inputs!$E$80/(10^(0.84+0.62*LOG10(inputs!$E$80)))</f>
        <v>13.645633449848525</v>
      </c>
      <c r="Q294" s="69">
        <f>(inputs!$C$18*11.2*(10*F294^0.667)*0.5/F294)*inputs!$E$80/(10^(0.84+0.62*LOG10(inputs!$E$80)))</f>
        <v>7.2108419144853135</v>
      </c>
      <c r="R294" s="59">
        <f>(60*284*((F294/1000)^0.77)*3*24*(MAX('Max rate concentrations'!$R$3:$R$368))/F294)*(inputs!$E$73*3.4/inputs!$E$75)</f>
        <v>5.7016837818593354E-2</v>
      </c>
      <c r="S294" s="59">
        <f>(IF(inputs!$C$17="aerial",((0.025*0.112*inputs!$C$18/3.3)*(3*60*284*((F294/1000)^0.77))*MAX(inputs!$I$14:$I$16))/F294,((0.0083*0.112*inputs!$C$18/1)*(3*60*284*((F294/1000)^0.77))*MAX(inputs!$I$14:$I$16))/F294))*(inputs!E$75*3.4/inputs!$E$73)</f>
        <v>0.31445136358765508</v>
      </c>
      <c r="T294" s="63">
        <f>IF((((inputs!$P$13/(V294/MAX(K294:S294)))^(1/inputs!$O$13))-1)/inputs!$N$13&lt;0, 0, IF((((inputs!$P$13/(V294/MAX(K294:S294)))^(1/inputs!$O$13))-1)/inputs!$N$13&lt;inputs!$I$17, (((inputs!$P$13/(V294/MAX(K294:S294)))^(1/inputs!$O$13))-1)/inputs!$N$13, inputs!$I$17))</f>
        <v>1000</v>
      </c>
      <c r="U294" s="63">
        <f>IF((((inputs!$P$13/(X294/MAX(K294:S294)))^(1/inputs!$O$13))-1)/inputs!$N$13&lt;0, 0, IF((((inputs!$P$13/(X294/MAX(K294:S294)))^(1/inputs!$O$13))-1)/inputs!$N$13&lt;inputs!$I$17, (((inputs!$P$13/(X294/MAX(K294:S294)))^(1/inputs!$O$13))-1)/inputs!$N$13, inputs!$I$17))</f>
        <v>30.072495958898816</v>
      </c>
      <c r="V294" s="21">
        <f>inputs!$E$78*(F294/inputs!$F$78)^(inputs!$E$84-1)</f>
        <v>2.526321594050698E-2</v>
      </c>
      <c r="W294" s="21">
        <f>inputs!$E$85*(F294/inputs!$F$85)^(inputs!$E$84-1)</f>
        <v>1.1666087732045156</v>
      </c>
      <c r="X294" s="21">
        <f>inputs!$E$80*(F294/inputs!$F$80)^(inputs!$E$84-1)</f>
        <v>4.3563238999409126</v>
      </c>
      <c r="Y294" s="21">
        <f>inputs!$E$82*(F294/inputs!$F$82)^(inputs!$E$84-1)</f>
        <v>2.0077608457981864</v>
      </c>
      <c r="Z294" s="63">
        <f t="shared" si="24"/>
        <v>1733.9715474287868</v>
      </c>
      <c r="AA294" s="63">
        <f t="shared" si="25"/>
        <v>37.549604154836068</v>
      </c>
    </row>
    <row r="295" spans="1:27" ht="13.2" x14ac:dyDescent="0.25">
      <c r="A295" s="103" t="s">
        <v>311</v>
      </c>
      <c r="B295" s="20" t="s">
        <v>312</v>
      </c>
      <c r="C295" s="20" t="s">
        <v>73</v>
      </c>
      <c r="D295" s="104" t="s">
        <v>141</v>
      </c>
      <c r="E295" s="15">
        <v>137</v>
      </c>
      <c r="F295" s="15">
        <v>46.3</v>
      </c>
      <c r="G295" s="20" t="s">
        <v>154</v>
      </c>
      <c r="H295" s="20">
        <v>9.2999999999999999E-2</v>
      </c>
      <c r="I295" s="68">
        <f>MAX('Max rate concentrations'!$G$3:$G$368)</f>
        <v>45</v>
      </c>
      <c r="J295" s="68">
        <f>MAX('Max rate concentrations'!Z:Z)</f>
        <v>21</v>
      </c>
      <c r="K295" s="69">
        <f t="shared" si="22"/>
        <v>11.108390801101818</v>
      </c>
      <c r="L295" s="69">
        <f t="shared" si="23"/>
        <v>5.1839157071808488</v>
      </c>
      <c r="M295" s="69">
        <f>IF((((1.18*F295^0.874)-(0.301*F295^0.751)/(1-H295)*H295)*(MAX('Max rate concentrations'!$P$3:$P$368)))/F295&gt;0, (((1.18*F295^0.874)-(0.301*F295^0.751)/(1-H295)*H295)*(MAX('Max rate concentrations'!$P$3:$P$368)))/F295, 0)</f>
        <v>0.62349859908618344</v>
      </c>
      <c r="N295" s="69">
        <f>IF((((1.18*F295^0.874)-(0.301*F295^0.751)/(1-H295)*H295)*(MAX('Max rate concentrations'!$Q$3:$Q$368)))/F295&gt;0, (((1.18*F295^0.874)-(0.301*F295^0.751)/(1-H295)*H295)*(MAX('Max rate concentrations'!$Q$3:$Q$368)))/F295, 0)</f>
        <v>2.3743161669505906</v>
      </c>
      <c r="O295" s="69">
        <f>((MAX('Max rate concentrations'!$F$3:$F$368))*0.62*6.01*8*(10*F295^0.667)*0.079*0.1/F295)*inputs!$E$80/(10^(0.84+0.62*LOG10(inputs!$E$80)))</f>
        <v>40.936900349545581</v>
      </c>
      <c r="P295" s="69">
        <f>((MAX('Max rate concentrations'!Y:Y))*0.62*6.01*8*(10*F295^0.667)*0.079*0.1/F295)*inputs!$E$80/(10^(0.84+0.62*LOG10(inputs!$E$80)))</f>
        <v>13.645633449848525</v>
      </c>
      <c r="Q295" s="69">
        <f>(inputs!$C$18*11.2*(10*F295^0.667)*0.5/F295)*inputs!$E$80/(10^(0.84+0.62*LOG10(inputs!$E$80)))</f>
        <v>7.2108419144853135</v>
      </c>
      <c r="R295" s="59">
        <f>(60*284*((F295/1000)^0.77)*3*24*(MAX('Max rate concentrations'!$R$3:$R$368))/F295)*(inputs!$E$73*3.4/inputs!$E$75)</f>
        <v>5.7016837818593354E-2</v>
      </c>
      <c r="S295" s="59">
        <f>(IF(inputs!$C$17="aerial",((0.025*0.112*inputs!$C$18/3.3)*(3*60*284*((F295/1000)^0.77))*MAX(inputs!$I$14:$I$16))/F295,((0.0083*0.112*inputs!$C$18/1)*(3*60*284*((F295/1000)^0.77))*MAX(inputs!$I$14:$I$16))/F295))*(inputs!E$75*3.4/inputs!$E$73)</f>
        <v>0.31445136358765508</v>
      </c>
      <c r="T295" s="63">
        <f>IF((((inputs!$P$13/(V295/MAX(K295:S295)))^(1/inputs!$O$13))-1)/inputs!$N$13&lt;0, 0, IF((((inputs!$P$13/(V295/MAX(K295:S295)))^(1/inputs!$O$13))-1)/inputs!$N$13&lt;inputs!$I$17, (((inputs!$P$13/(V295/MAX(K295:S295)))^(1/inputs!$O$13))-1)/inputs!$N$13, inputs!$I$17))</f>
        <v>1000</v>
      </c>
      <c r="U295" s="63">
        <f>IF((((inputs!$P$13/(X295/MAX(K295:S295)))^(1/inputs!$O$13))-1)/inputs!$N$13&lt;0, 0, IF((((inputs!$P$13/(X295/MAX(K295:S295)))^(1/inputs!$O$13))-1)/inputs!$N$13&lt;inputs!$I$17, (((inputs!$P$13/(X295/MAX(K295:S295)))^(1/inputs!$O$13))-1)/inputs!$N$13, inputs!$I$17))</f>
        <v>28.191019985508138</v>
      </c>
      <c r="V295" s="21">
        <f>inputs!$E$78*(F295/inputs!$F$78)^(inputs!$E$84-1)</f>
        <v>2.526321594050698E-2</v>
      </c>
      <c r="W295" s="21">
        <f>inputs!$E$85*(F295/inputs!$F$85)^(inputs!$E$84-1)</f>
        <v>1.1666087732045156</v>
      </c>
      <c r="X295" s="21">
        <f>inputs!$E$80*(F295/inputs!$F$80)^(inputs!$E$84-1)</f>
        <v>4.3563238999409126</v>
      </c>
      <c r="Y295" s="21">
        <f>inputs!$E$82*(F295/inputs!$F$82)^(inputs!$E$84-1)</f>
        <v>2.0077608457981864</v>
      </c>
      <c r="Z295" s="63">
        <f t="shared" si="24"/>
        <v>1620.4152490304077</v>
      </c>
      <c r="AA295" s="63">
        <f t="shared" si="25"/>
        <v>35.09051302357129</v>
      </c>
    </row>
    <row r="296" spans="1:27" ht="13.2" x14ac:dyDescent="0.25">
      <c r="A296" s="103" t="s">
        <v>281</v>
      </c>
      <c r="B296" s="20" t="s">
        <v>282</v>
      </c>
      <c r="C296" s="20" t="s">
        <v>73</v>
      </c>
      <c r="D296" s="104" t="s">
        <v>141</v>
      </c>
      <c r="E296" s="15">
        <v>77</v>
      </c>
      <c r="F296" s="15">
        <v>38</v>
      </c>
      <c r="G296" s="20" t="s">
        <v>142</v>
      </c>
      <c r="H296" s="20">
        <v>0.69</v>
      </c>
      <c r="I296" s="68">
        <f>MAX('Max rate concentrations'!$H$3:$H$368)</f>
        <v>282</v>
      </c>
      <c r="J296" s="68">
        <f>MAX('Max rate concentrations'!AA:AA)</f>
        <v>195</v>
      </c>
      <c r="K296" s="69">
        <f t="shared" si="22"/>
        <v>209.79877452447761</v>
      </c>
      <c r="L296" s="69">
        <f t="shared" si="23"/>
        <v>145.07362068181962</v>
      </c>
      <c r="M296" s="69">
        <f>IF((((1.18*F296^0.874)-(0.301*F296^0.751)/(1-H296)*H296)*(MAX('Max rate concentrations'!$P$3:$P$368)))/F296&gt;0, (((1.18*F296^0.874)-(0.301*F296^0.751)/(1-H296)*H296)*(MAX('Max rate concentrations'!$P$3:$P$368)))/F296, 0)</f>
        <v>0.41396014077437537</v>
      </c>
      <c r="N296" s="69">
        <f>IF((((1.18*F296^0.874)-(0.301*F296^0.751)/(1-H296)*H296)*(MAX('Max rate concentrations'!$Q$3:$Q$368)))/F296&gt;0, (((1.18*F296^0.874)-(0.301*F296^0.751)/(1-H296)*H296)*(MAX('Max rate concentrations'!$Q$3:$Q$368)))/F296, 0)</f>
        <v>1.576382458844761</v>
      </c>
      <c r="O296" s="69">
        <f>((MAX('Max rate concentrations'!$F$3:$F$368))*0.62*6.01*8*(10*F296^0.667)*0.079*0.1/F296)*inputs!$E$80/(10^(0.84+0.62*LOG10(inputs!$E$80)))</f>
        <v>43.720537054734628</v>
      </c>
      <c r="P296" s="69">
        <f>((MAX('Max rate concentrations'!Y:Y))*0.62*6.01*8*(10*F296^0.667)*0.079*0.1/F296)*inputs!$E$80/(10^(0.84+0.62*LOG10(inputs!$E$80)))</f>
        <v>14.573512351578209</v>
      </c>
      <c r="Q296" s="69">
        <f>(inputs!$C$18*11.2*(10*F296^0.667)*0.5/F296)*inputs!$E$80/(10^(0.84+0.62*LOG10(inputs!$E$80)))</f>
        <v>7.7011663908644801</v>
      </c>
      <c r="R296" s="59">
        <f>(60*284*((F296/1000)^0.77)*3*24*(MAX('Max rate concentrations'!$R$3:$R$368))/F296)*(inputs!$E$73*3.4/inputs!$E$75)</f>
        <v>5.9667319523820803E-2</v>
      </c>
      <c r="S296" s="59">
        <f>(IF(inputs!$C$17="aerial",((0.025*0.112*inputs!$C$18/3.3)*(3*60*284*((F296/1000)^0.77))*MAX(inputs!$I$14:$I$16))/F296,((0.0083*0.112*inputs!$C$18/1)*(3*60*284*((F296/1000)^0.77))*MAX(inputs!$I$14:$I$16))/F296))*(inputs!E$75*3.4/inputs!$E$73)</f>
        <v>0.32906893303309903</v>
      </c>
      <c r="T296" s="63">
        <f>IF((((inputs!$P$13/(V296/MAX(K296:S296)))^(1/inputs!$O$13))-1)/inputs!$N$13&lt;0, 0, IF((((inputs!$P$13/(V296/MAX(K296:S296)))^(1/inputs!$O$13))-1)/inputs!$N$13&lt;inputs!$I$17, (((inputs!$P$13/(V296/MAX(K296:S296)))^(1/inputs!$O$13))-1)/inputs!$N$13, inputs!$I$17))</f>
        <v>1000</v>
      </c>
      <c r="U296" s="63">
        <f>IF((((inputs!$P$13/(X296/MAX(K296:S296)))^(1/inputs!$O$13))-1)/inputs!$N$13&lt;0, 0, IF((((inputs!$P$13/(X296/MAX(K296:S296)))^(1/inputs!$O$13))-1)/inputs!$N$13&lt;inputs!$I$17, (((inputs!$P$13/(X296/MAX(K296:S296)))^(1/inputs!$O$13))-1)/inputs!$N$13, inputs!$I$17))</f>
        <v>112.86371923862789</v>
      </c>
      <c r="V296" s="21">
        <f>inputs!$E$78*(F296/inputs!$F$78)^(inputs!$E$84-1)</f>
        <v>2.717901230110276E-2</v>
      </c>
      <c r="W296" s="21">
        <f>inputs!$E$85*(F296/inputs!$F$85)^(inputs!$E$84-1)</f>
        <v>1.2550767199302031</v>
      </c>
      <c r="X296" s="21">
        <f>inputs!$E$80*(F296/inputs!$F$80)^(inputs!$E$84-1)</f>
        <v>4.6866788908786061</v>
      </c>
      <c r="Y296" s="21">
        <f>inputs!$E$82*(F296/inputs!$F$82)^(inputs!$E$84-1)</f>
        <v>2.1600162407718511</v>
      </c>
      <c r="Z296" s="63">
        <f t="shared" si="24"/>
        <v>7719.1463839900189</v>
      </c>
      <c r="AA296" s="63">
        <f t="shared" si="25"/>
        <v>167.16011953129436</v>
      </c>
    </row>
    <row r="297" spans="1:27" ht="13.2" x14ac:dyDescent="0.25">
      <c r="A297" s="103" t="s">
        <v>281</v>
      </c>
      <c r="B297" s="20" t="s">
        <v>282</v>
      </c>
      <c r="C297" s="20" t="s">
        <v>73</v>
      </c>
      <c r="D297" s="104" t="s">
        <v>141</v>
      </c>
      <c r="E297" s="15">
        <v>77</v>
      </c>
      <c r="F297" s="15">
        <v>38</v>
      </c>
      <c r="G297" s="20" t="s">
        <v>152</v>
      </c>
      <c r="H297" s="20">
        <v>0.77</v>
      </c>
      <c r="I297" s="68">
        <f>MAX('Max rate concentrations'!$G$3:$G$368)</f>
        <v>45</v>
      </c>
      <c r="J297" s="68">
        <f>MAX('Max rate concentrations'!Z:Z)</f>
        <v>21</v>
      </c>
      <c r="K297" s="69">
        <f t="shared" si="22"/>
        <v>45.123233188659626</v>
      </c>
      <c r="L297" s="69">
        <f t="shared" si="23"/>
        <v>21.057508821374494</v>
      </c>
      <c r="M297" s="69">
        <f>IF((((1.18*F297^0.874)-(0.301*F297^0.751)/(1-H297)*H297)*(MAX('Max rate concentrations'!$P$3:$P$368)))/F297&gt;0, (((1.18*F297^0.874)-(0.301*F297^0.751)/(1-H297)*H297)*(MAX('Max rate concentrations'!$P$3:$P$368)))/F297, 0)</f>
        <v>0.29506523797075107</v>
      </c>
      <c r="N297" s="69">
        <f>IF((((1.18*F297^0.874)-(0.301*F297^0.751)/(1-H297)*H297)*(MAX('Max rate concentrations'!$Q$3:$Q$368)))/F297&gt;0, (((1.18*F297^0.874)-(0.301*F297^0.751)/(1-H297)*H297)*(MAX('Max rate concentrations'!$Q$3:$Q$368)))/F297, 0)</f>
        <v>1.1236242805450789</v>
      </c>
      <c r="O297" s="69">
        <f>((MAX('Max rate concentrations'!$F$3:$F$368))*0.62*6.01*8*(10*F297^0.667)*0.079*0.1/F297)*inputs!$E$80/(10^(0.84+0.62*LOG10(inputs!$E$80)))</f>
        <v>43.720537054734628</v>
      </c>
      <c r="P297" s="69">
        <f>((MAX('Max rate concentrations'!Y:Y))*0.62*6.01*8*(10*F297^0.667)*0.079*0.1/F297)*inputs!$E$80/(10^(0.84+0.62*LOG10(inputs!$E$80)))</f>
        <v>14.573512351578209</v>
      </c>
      <c r="Q297" s="69">
        <f>(inputs!$C$18*11.2*(10*F297^0.667)*0.5/F297)*inputs!$E$80/(10^(0.84+0.62*LOG10(inputs!$E$80)))</f>
        <v>7.7011663908644801</v>
      </c>
      <c r="R297" s="59">
        <f>(60*284*((F297/1000)^0.77)*3*24*(MAX('Max rate concentrations'!$R$3:$R$368))/F297)*(inputs!$E$73*3.4/inputs!$E$75)</f>
        <v>5.9667319523820803E-2</v>
      </c>
      <c r="S297" s="59">
        <f>(IF(inputs!$C$17="aerial",((0.025*0.112*inputs!$C$18/3.3)*(3*60*284*((F297/1000)^0.77))*MAX(inputs!$I$14:$I$16))/F297,((0.0083*0.112*inputs!$C$18/1)*(3*60*284*((F297/1000)^0.77))*MAX(inputs!$I$14:$I$16))/F297))*(inputs!E$75*3.4/inputs!$E$73)</f>
        <v>0.32906893303309903</v>
      </c>
      <c r="T297" s="63">
        <f>IF((((inputs!$P$13/(V297/MAX(K297:S297)))^(1/inputs!$O$13))-1)/inputs!$N$13&lt;0, 0, IF((((inputs!$P$13/(V297/MAX(K297:S297)))^(1/inputs!$O$13))-1)/inputs!$N$13&lt;inputs!$I$17, (((inputs!$P$13/(V297/MAX(K297:S297)))^(1/inputs!$O$13))-1)/inputs!$N$13, inputs!$I$17))</f>
        <v>1000</v>
      </c>
      <c r="U297" s="63">
        <f>IF((((inputs!$P$13/(X297/MAX(K297:S297)))^(1/inputs!$O$13))-1)/inputs!$N$13&lt;0, 0, IF((((inputs!$P$13/(X297/MAX(K297:S297)))^(1/inputs!$O$13))-1)/inputs!$N$13&lt;inputs!$I$17, (((inputs!$P$13/(X297/MAX(K297:S297)))^(1/inputs!$O$13))-1)/inputs!$N$13, inputs!$I$17))</f>
        <v>28.853374671170254</v>
      </c>
      <c r="V297" s="21">
        <f>inputs!$E$78*(F297/inputs!$F$78)^(inputs!$E$84-1)</f>
        <v>2.717901230110276E-2</v>
      </c>
      <c r="W297" s="21">
        <f>inputs!$E$85*(F297/inputs!$F$85)^(inputs!$E$84-1)</f>
        <v>1.2550767199302031</v>
      </c>
      <c r="X297" s="21">
        <f>inputs!$E$80*(F297/inputs!$F$80)^(inputs!$E$84-1)</f>
        <v>4.6866788908786061</v>
      </c>
      <c r="Y297" s="21">
        <f>inputs!$E$82*(F297/inputs!$F$82)^(inputs!$E$84-1)</f>
        <v>2.1600162407718511</v>
      </c>
      <c r="Z297" s="63">
        <f t="shared" si="24"/>
        <v>1660.2234359645511</v>
      </c>
      <c r="AA297" s="63">
        <f t="shared" si="25"/>
        <v>35.952569649422706</v>
      </c>
    </row>
    <row r="298" spans="1:27" ht="13.2" x14ac:dyDescent="0.25">
      <c r="A298" s="103" t="s">
        <v>281</v>
      </c>
      <c r="B298" s="20" t="s">
        <v>282</v>
      </c>
      <c r="C298" s="20" t="s">
        <v>73</v>
      </c>
      <c r="D298" s="104" t="s">
        <v>141</v>
      </c>
      <c r="E298" s="15">
        <v>77</v>
      </c>
      <c r="F298" s="15">
        <v>38</v>
      </c>
      <c r="G298" s="20" t="s">
        <v>153</v>
      </c>
      <c r="H298" s="20">
        <v>0.7</v>
      </c>
      <c r="I298" s="68">
        <f>MAX('Max rate concentrations'!$E$3:$E$368)</f>
        <v>330</v>
      </c>
      <c r="J298" s="68">
        <f>MAX('Max rate concentrations'!X:X)</f>
        <v>108</v>
      </c>
      <c r="K298" s="69">
        <f t="shared" si="22"/>
        <v>253.69284437179741</v>
      </c>
      <c r="L298" s="69">
        <f t="shared" si="23"/>
        <v>83.026749067133693</v>
      </c>
      <c r="M298" s="69">
        <f>IF((((1.18*F298^0.874)-(0.301*F298^0.751)/(1-H298)*H298)*(MAX('Max rate concentrations'!$P$3:$P$368)))/F298&gt;0, (((1.18*F298^0.874)-(0.301*F298^0.751)/(1-H298)*H298)*(MAX('Max rate concentrations'!$P$3:$P$368)))/F298, 0)</f>
        <v>0.40256604592236139</v>
      </c>
      <c r="N298" s="69">
        <f>IF((((1.18*F298^0.874)-(0.301*F298^0.751)/(1-H298)*H298)*(MAX('Max rate concentrations'!$Q$3:$Q$368)))/F298&gt;0, (((1.18*F298^0.874)-(0.301*F298^0.751)/(1-H298)*H298)*(MAX('Max rate concentrations'!$Q$3:$Q$368)))/F298, 0)</f>
        <v>1.5329931334243747</v>
      </c>
      <c r="O298" s="69">
        <f>((MAX('Max rate concentrations'!$F$3:$F$368))*0.62*6.01*8*(10*F298^0.667)*0.079*0.1/F298)*inputs!$E$80/(10^(0.84+0.62*LOG10(inputs!$E$80)))</f>
        <v>43.720537054734628</v>
      </c>
      <c r="P298" s="69">
        <f>((MAX('Max rate concentrations'!Y:Y))*0.62*6.01*8*(10*F298^0.667)*0.079*0.1/F298)*inputs!$E$80/(10^(0.84+0.62*LOG10(inputs!$E$80)))</f>
        <v>14.573512351578209</v>
      </c>
      <c r="Q298" s="69">
        <f>(inputs!$C$18*11.2*(10*F298^0.667)*0.5/F298)*inputs!$E$80/(10^(0.84+0.62*LOG10(inputs!$E$80)))</f>
        <v>7.7011663908644801</v>
      </c>
      <c r="R298" s="59">
        <f>(60*284*((F298/1000)^0.77)*3*24*(MAX('Max rate concentrations'!$R$3:$R$368))/F298)*(inputs!$E$73*3.4/inputs!$E$75)</f>
        <v>5.9667319523820803E-2</v>
      </c>
      <c r="S298" s="59">
        <f>(IF(inputs!$C$17="aerial",((0.025*0.112*inputs!$C$18/3.3)*(3*60*284*((F298/1000)^0.77))*MAX(inputs!$I$14:$I$16))/F298,((0.0083*0.112*inputs!$C$18/1)*(3*60*284*((F298/1000)^0.77))*MAX(inputs!$I$14:$I$16))/F298))*(inputs!E$75*3.4/inputs!$E$73)</f>
        <v>0.32906893303309903</v>
      </c>
      <c r="T298" s="63">
        <f>IF((((inputs!$P$13/(V298/MAX(K298:S298)))^(1/inputs!$O$13))-1)/inputs!$N$13&lt;0, 0, IF((((inputs!$P$13/(V298/MAX(K298:S298)))^(1/inputs!$O$13))-1)/inputs!$N$13&lt;inputs!$I$17, (((inputs!$P$13/(V298/MAX(K298:S298)))^(1/inputs!$O$13))-1)/inputs!$N$13, inputs!$I$17))</f>
        <v>1000</v>
      </c>
      <c r="U298" s="63">
        <f>IF((((inputs!$P$13/(X298/MAX(K298:S298)))^(1/inputs!$O$13))-1)/inputs!$N$13&lt;0, 0, IF((((inputs!$P$13/(X298/MAX(K298:S298)))^(1/inputs!$O$13))-1)/inputs!$N$13&lt;inputs!$I$17, (((inputs!$P$13/(X298/MAX(K298:S298)))^(1/inputs!$O$13))-1)/inputs!$N$13, inputs!$I$17))</f>
        <v>132.47346974622886</v>
      </c>
      <c r="V298" s="21">
        <f>inputs!$E$78*(F298/inputs!$F$78)^(inputs!$E$84-1)</f>
        <v>2.717901230110276E-2</v>
      </c>
      <c r="W298" s="21">
        <f>inputs!$E$85*(F298/inputs!$F$85)^(inputs!$E$84-1)</f>
        <v>1.2550767199302031</v>
      </c>
      <c r="X298" s="21">
        <f>inputs!$E$80*(F298/inputs!$F$80)^(inputs!$E$84-1)</f>
        <v>4.6866788908786061</v>
      </c>
      <c r="Y298" s="21">
        <f>inputs!$E$82*(F298/inputs!$F$82)^(inputs!$E$84-1)</f>
        <v>2.1600162407718511</v>
      </c>
      <c r="Z298" s="63">
        <f t="shared" si="24"/>
        <v>9334.1450955340297</v>
      </c>
      <c r="AA298" s="63">
        <f t="shared" si="25"/>
        <v>202.13333602897654</v>
      </c>
    </row>
    <row r="299" spans="1:27" ht="13.2" x14ac:dyDescent="0.25">
      <c r="A299" s="103" t="s">
        <v>281</v>
      </c>
      <c r="B299" s="20" t="s">
        <v>282</v>
      </c>
      <c r="C299" s="20" t="s">
        <v>73</v>
      </c>
      <c r="D299" s="104" t="s">
        <v>141</v>
      </c>
      <c r="E299" s="15">
        <v>77</v>
      </c>
      <c r="F299" s="15">
        <v>38</v>
      </c>
      <c r="G299" s="20" t="s">
        <v>146</v>
      </c>
      <c r="H299" s="20">
        <v>0.84</v>
      </c>
      <c r="I299" s="68">
        <f>MAX('Max rate concentrations'!$I$3:$I$368)</f>
        <v>56.865414300472793</v>
      </c>
      <c r="J299" s="68" t="s">
        <v>13</v>
      </c>
      <c r="K299" s="69">
        <f t="shared" si="22"/>
        <v>81.967890342429698</v>
      </c>
      <c r="L299" s="69" t="s">
        <v>13</v>
      </c>
      <c r="M299" s="69">
        <f>IF((((1.18*F299^0.874)-(0.301*F299^0.751)/(1-H299)*H299)*(MAX('Max rate concentrations'!$P$3:$P$368)))/F299&gt;0, (((1.18*F299^0.874)-(0.301*F299^0.751)/(1-H299)*H299)*(MAX('Max rate concentrations'!$P$3:$P$368)))/F299, 0)</f>
        <v>9.3501223061482272E-2</v>
      </c>
      <c r="N299" s="69">
        <f>IF((((1.18*F299^0.874)-(0.301*F299^0.751)/(1-H299)*H299)*(MAX('Max rate concentrations'!$Q$3:$Q$368)))/F299&gt;0, (((1.18*F299^0.874)-(0.301*F299^0.751)/(1-H299)*H299)*(MAX('Max rate concentrations'!$Q$3:$Q$368)))/F299, 0)</f>
        <v>0.35605768139640104</v>
      </c>
      <c r="O299" s="69">
        <f>((MAX('Max rate concentrations'!$F$3:$F$368))*0.62*6.01*8*(10*F299^0.667)*0.079*0.1/F299)*inputs!$E$80/(10^(0.84+0.62*LOG10(inputs!$E$80)))</f>
        <v>43.720537054734628</v>
      </c>
      <c r="P299" s="69">
        <f>((MAX('Max rate concentrations'!Y:Y))*0.62*6.01*8*(10*F299^0.667)*0.079*0.1/F299)*inputs!$E$80/(10^(0.84+0.62*LOG10(inputs!$E$80)))</f>
        <v>14.573512351578209</v>
      </c>
      <c r="Q299" s="69">
        <f>(inputs!$C$18*11.2*(10*F299^0.667)*0.5/F299)*inputs!$E$80/(10^(0.84+0.62*LOG10(inputs!$E$80)))</f>
        <v>7.7011663908644801</v>
      </c>
      <c r="R299" s="59">
        <f>(60*284*((F299/1000)^0.77)*3*24*(MAX('Max rate concentrations'!$R$3:$R$368))/F299)*(inputs!$E$73*3.4/inputs!$E$75)</f>
        <v>5.9667319523820803E-2</v>
      </c>
      <c r="S299" s="59">
        <f>(IF(inputs!$C$17="aerial",((0.025*0.112*inputs!$C$18/3.3)*(3*60*284*((F299/1000)^0.77))*MAX(inputs!$I$14:$I$16))/F299,((0.0083*0.112*inputs!$C$18/1)*(3*60*284*((F299/1000)^0.77))*MAX(inputs!$I$14:$I$16))/F299))*(inputs!E$75*3.4/inputs!$E$73)</f>
        <v>0.32906893303309903</v>
      </c>
      <c r="T299" s="63">
        <f>IF((((inputs!$P$13/(V299/MAX(K299:S299)))^(1/inputs!$O$13))-1)/inputs!$N$13&lt;0, 0, IF((((inputs!$P$13/(V299/MAX(K299:S299)))^(1/inputs!$O$13))-1)/inputs!$N$13&lt;inputs!$I$17, (((inputs!$P$13/(V299/MAX(K299:S299)))^(1/inputs!$O$13))-1)/inputs!$N$13, inputs!$I$17))</f>
        <v>1000</v>
      </c>
      <c r="U299" s="63">
        <f>IF((((inputs!$P$13/(X299/MAX(K299:S299)))^(1/inputs!$O$13))-1)/inputs!$N$13&lt;0, 0, IF((((inputs!$P$13/(X299/MAX(K299:S299)))^(1/inputs!$O$13))-1)/inputs!$N$13&lt;inputs!$I$17, (((inputs!$P$13/(X299/MAX(K299:S299)))^(1/inputs!$O$13))-1)/inputs!$N$13, inputs!$I$17))</f>
        <v>49.999621148811947</v>
      </c>
      <c r="V299" s="21">
        <f>inputs!$E$78*(F299/inputs!$F$78)^(inputs!$E$84-1)</f>
        <v>2.717901230110276E-2</v>
      </c>
      <c r="W299" s="21">
        <f>inputs!$E$85*(F299/inputs!$F$85)^(inputs!$E$84-1)</f>
        <v>1.2550767199302031</v>
      </c>
      <c r="X299" s="21">
        <f>inputs!$E$80*(F299/inputs!$F$80)^(inputs!$E$84-1)</f>
        <v>4.6866788908786061</v>
      </c>
      <c r="Y299" s="21">
        <f>inputs!$E$82*(F299/inputs!$F$82)^(inputs!$E$84-1)</f>
        <v>2.1600162407718511</v>
      </c>
      <c r="Z299" s="63">
        <f t="shared" si="24"/>
        <v>3015.8524318083455</v>
      </c>
      <c r="AA299" s="63">
        <f t="shared" si="25"/>
        <v>65.309067597866104</v>
      </c>
    </row>
    <row r="300" spans="1:27" ht="13.2" x14ac:dyDescent="0.25">
      <c r="A300" s="103" t="s">
        <v>263</v>
      </c>
      <c r="B300" s="20" t="s">
        <v>264</v>
      </c>
      <c r="C300" s="20" t="s">
        <v>73</v>
      </c>
      <c r="D300" s="104" t="s">
        <v>141</v>
      </c>
      <c r="E300" s="15">
        <v>64</v>
      </c>
      <c r="F300" s="15">
        <v>34</v>
      </c>
      <c r="G300" s="20" t="s">
        <v>142</v>
      </c>
      <c r="H300" s="20">
        <v>0.69</v>
      </c>
      <c r="I300" s="68">
        <f>MAX('Max rate concentrations'!$H$3:$H$368)</f>
        <v>282</v>
      </c>
      <c r="J300" s="68">
        <f>MAX('Max rate concentrations'!AA:AA)</f>
        <v>195</v>
      </c>
      <c r="K300" s="69">
        <f t="shared" si="22"/>
        <v>213.32838669528712</v>
      </c>
      <c r="L300" s="69">
        <f t="shared" ref="L300:L307" si="26">((0.398*F300^0.85)/(1-H300))*J300/F300</f>
        <v>147.51430994886877</v>
      </c>
      <c r="M300" s="69">
        <f>IF((((1.18*F300^0.874)-(0.301*F300^0.751)/(1-H300)*H300)*(MAX('Max rate concentrations'!$P$3:$P$368)))/F300&gt;0, (((1.18*F300^0.874)-(0.301*F300^0.751)/(1-H300)*H300)*(MAX('Max rate concentrations'!$P$3:$P$368)))/F300, 0)</f>
        <v>0.41650766196971606</v>
      </c>
      <c r="N300" s="69">
        <f>IF((((1.18*F300^0.874)-(0.301*F300^0.751)/(1-H300)*H300)*(MAX('Max rate concentrations'!$Q$3:$Q$368)))/F300&gt;0, (((1.18*F300^0.874)-(0.301*F300^0.751)/(1-H300)*H300)*(MAX('Max rate concentrations'!$Q$3:$Q$368)))/F300, 0)</f>
        <v>1.5860835564392251</v>
      </c>
      <c r="O300" s="69">
        <f>((MAX('Max rate concentrations'!$F$3:$F$368))*0.62*6.01*8*(10*F300^0.667)*0.079*0.1/F300)*inputs!$E$80/(10^(0.84+0.62*LOG10(inputs!$E$80)))</f>
        <v>45.370226397264176</v>
      </c>
      <c r="P300" s="69">
        <f>((MAX('Max rate concentrations'!Y:Y))*0.62*6.01*8*(10*F300^0.667)*0.079*0.1/F300)*inputs!$E$80/(10^(0.84+0.62*LOG10(inputs!$E$80)))</f>
        <v>15.123408799088054</v>
      </c>
      <c r="Q300" s="69">
        <f>(inputs!$C$18*11.2*(10*F300^0.667)*0.5/F300)*inputs!$E$80/(10^(0.84+0.62*LOG10(inputs!$E$80)))</f>
        <v>7.9917513876624557</v>
      </c>
      <c r="R300" s="59">
        <f>(60*284*((F300/1000)^0.77)*3*24*(MAX('Max rate concentrations'!$R$3:$R$368))/F300)*(inputs!$E$73*3.4/inputs!$E$75)</f>
        <v>6.121341439301578E-2</v>
      </c>
      <c r="S300" s="59">
        <f>(IF(inputs!$C$17="aerial",((0.025*0.112*inputs!$C$18/3.3)*(3*60*284*((F300/1000)^0.77))*MAX(inputs!$I$14:$I$16))/F300,((0.0083*0.112*inputs!$C$18/1)*(3*60*284*((F300/1000)^0.77))*MAX(inputs!$I$14:$I$16))/F300))*(inputs!E$75*3.4/inputs!$E$73)</f>
        <v>0.33759574122616398</v>
      </c>
      <c r="T300" s="63">
        <f>IF((((inputs!$P$13/(V300/MAX(K300:S300)))^(1/inputs!$O$13))-1)/inputs!$N$13&lt;0, 0, IF((((inputs!$P$13/(V300/MAX(K300:S300)))^(1/inputs!$O$13))-1)/inputs!$N$13&lt;inputs!$I$17, (((inputs!$P$13/(V300/MAX(K300:S300)))^(1/inputs!$O$13))-1)/inputs!$N$13, inputs!$I$17))</f>
        <v>1000</v>
      </c>
      <c r="U300" s="63">
        <f>IF((((inputs!$P$13/(X300/MAX(K300:S300)))^(1/inputs!$O$13))-1)/inputs!$N$13&lt;0, 0, IF((((inputs!$P$13/(X300/MAX(K300:S300)))^(1/inputs!$O$13))-1)/inputs!$N$13&lt;inputs!$I$17, (((inputs!$P$13/(X300/MAX(K300:S300)))^(1/inputs!$O$13))-1)/inputs!$N$13, inputs!$I$17))</f>
        <v>110.54991958491922</v>
      </c>
      <c r="V300" s="21">
        <f>inputs!$E$78*(F300/inputs!$F$78)^(inputs!$E$84-1)</f>
        <v>2.832085768556198E-2</v>
      </c>
      <c r="W300" s="21">
        <f>inputs!$E$85*(F300/inputs!$F$85)^(inputs!$E$84-1)</f>
        <v>1.3078050363207285</v>
      </c>
      <c r="X300" s="21">
        <f>inputs!$E$80*(F300/inputs!$F$80)^(inputs!$E$84-1)</f>
        <v>4.883575768539429</v>
      </c>
      <c r="Y300" s="21">
        <f>inputs!$E$82*(F300/inputs!$F$82)^(inputs!$E$84-1)</f>
        <v>2.2507629002736103</v>
      </c>
      <c r="Z300" s="63">
        <f t="shared" si="24"/>
        <v>7532.5538888619985</v>
      </c>
      <c r="AA300" s="63">
        <f t="shared" si="25"/>
        <v>163.11941059307105</v>
      </c>
    </row>
    <row r="301" spans="1:27" ht="13.2" x14ac:dyDescent="0.25">
      <c r="A301" s="103" t="s">
        <v>263</v>
      </c>
      <c r="B301" s="20" t="s">
        <v>264</v>
      </c>
      <c r="C301" s="20" t="s">
        <v>73</v>
      </c>
      <c r="D301" s="104" t="s">
        <v>141</v>
      </c>
      <c r="E301" s="15">
        <v>64</v>
      </c>
      <c r="F301" s="15">
        <v>34</v>
      </c>
      <c r="G301" s="20" t="s">
        <v>153</v>
      </c>
      <c r="H301" s="20">
        <v>0.7</v>
      </c>
      <c r="I301" s="68">
        <f>MAX('Max rate concentrations'!$E$3:$E$368)</f>
        <v>330</v>
      </c>
      <c r="J301" s="68">
        <f>MAX('Max rate concentrations'!X:X)</f>
        <v>108</v>
      </c>
      <c r="K301" s="69">
        <f t="shared" si="22"/>
        <v>257.9609215003295</v>
      </c>
      <c r="L301" s="69">
        <f t="shared" si="26"/>
        <v>84.423574309198742</v>
      </c>
      <c r="M301" s="69">
        <f>IF((((1.18*F301^0.874)-(0.301*F301^0.751)/(1-H301)*H301)*(MAX('Max rate concentrations'!$P$3:$P$368)))/F301&gt;0, (((1.18*F301^0.874)-(0.301*F301^0.751)/(1-H301)*H301)*(MAX('Max rate concentrations'!$P$3:$P$368)))/F301, 0)</f>
        <v>0.40479359518529451</v>
      </c>
      <c r="N301" s="69">
        <f>IF((((1.18*F301^0.874)-(0.301*F301^0.751)/(1-H301)*H301)*(MAX('Max rate concentrations'!$Q$3:$Q$368)))/F301&gt;0, (((1.18*F301^0.874)-(0.301*F301^0.751)/(1-H301)*H301)*(MAX('Max rate concentrations'!$Q$3:$Q$368)))/F301, 0)</f>
        <v>1.5414757607076</v>
      </c>
      <c r="O301" s="69">
        <f>((MAX('Max rate concentrations'!$F$3:$F$368))*0.62*6.01*8*(10*F301^0.667)*0.079*0.1/F301)*inputs!$E$80/(10^(0.84+0.62*LOG10(inputs!$E$80)))</f>
        <v>45.370226397264176</v>
      </c>
      <c r="P301" s="69">
        <f>((MAX('Max rate concentrations'!Y:Y))*0.62*6.01*8*(10*F301^0.667)*0.079*0.1/F301)*inputs!$E$80/(10^(0.84+0.62*LOG10(inputs!$E$80)))</f>
        <v>15.123408799088054</v>
      </c>
      <c r="Q301" s="69">
        <f>(inputs!$C$18*11.2*(10*F301^0.667)*0.5/F301)*inputs!$E$80/(10^(0.84+0.62*LOG10(inputs!$E$80)))</f>
        <v>7.9917513876624557</v>
      </c>
      <c r="R301" s="59">
        <f>(60*284*((F301/1000)^0.77)*3*24*(MAX('Max rate concentrations'!$R$3:$R$368))/F301)*(inputs!$E$73*3.4/inputs!$E$75)</f>
        <v>6.121341439301578E-2</v>
      </c>
      <c r="S301" s="59">
        <f>(IF(inputs!$C$17="aerial",((0.025*0.112*inputs!$C$18/3.3)*(3*60*284*((F301/1000)^0.77))*MAX(inputs!$I$14:$I$16))/F301,((0.0083*0.112*inputs!$C$18/1)*(3*60*284*((F301/1000)^0.77))*MAX(inputs!$I$14:$I$16))/F301))*(inputs!E$75*3.4/inputs!$E$73)</f>
        <v>0.33759574122616398</v>
      </c>
      <c r="T301" s="63">
        <f>IF((((inputs!$P$13/(V301/MAX(K301:S301)))^(1/inputs!$O$13))-1)/inputs!$N$13&lt;0, 0, IF((((inputs!$P$13/(V301/MAX(K301:S301)))^(1/inputs!$O$13))-1)/inputs!$N$13&lt;inputs!$I$17, (((inputs!$P$13/(V301/MAX(K301:S301)))^(1/inputs!$O$13))-1)/inputs!$N$13, inputs!$I$17))</f>
        <v>1000</v>
      </c>
      <c r="U301" s="63">
        <f>IF((((inputs!$P$13/(X301/MAX(K301:S301)))^(1/inputs!$O$13))-1)/inputs!$N$13&lt;0, 0, IF((((inputs!$P$13/(X301/MAX(K301:S301)))^(1/inputs!$O$13))-1)/inputs!$N$13&lt;inputs!$I$17, (((inputs!$P$13/(X301/MAX(K301:S301)))^(1/inputs!$O$13))-1)/inputs!$N$13, inputs!$I$17))</f>
        <v>129.77544952216684</v>
      </c>
      <c r="V301" s="21">
        <f>inputs!$E$78*(F301/inputs!$F$78)^(inputs!$E$84-1)</f>
        <v>2.832085768556198E-2</v>
      </c>
      <c r="W301" s="21">
        <f>inputs!$E$85*(F301/inputs!$F$85)^(inputs!$E$84-1)</f>
        <v>1.3078050363207285</v>
      </c>
      <c r="X301" s="21">
        <f>inputs!$E$80*(F301/inputs!$F$80)^(inputs!$E$84-1)</f>
        <v>4.883575768539429</v>
      </c>
      <c r="Y301" s="21">
        <f>inputs!$E$82*(F301/inputs!$F$82)^(inputs!$E$84-1)</f>
        <v>2.2507629002736103</v>
      </c>
      <c r="Z301" s="63">
        <f t="shared" si="24"/>
        <v>9108.5137450423481</v>
      </c>
      <c r="AA301" s="63">
        <f t="shared" si="25"/>
        <v>197.24723053984837</v>
      </c>
    </row>
    <row r="302" spans="1:27" ht="13.2" x14ac:dyDescent="0.25">
      <c r="A302" s="103" t="s">
        <v>868</v>
      </c>
      <c r="B302" s="20" t="s">
        <v>870</v>
      </c>
      <c r="C302" s="20" t="s">
        <v>73</v>
      </c>
      <c r="D302" s="104" t="s">
        <v>141</v>
      </c>
      <c r="E302" s="15">
        <v>100</v>
      </c>
      <c r="F302" s="15">
        <v>23</v>
      </c>
      <c r="G302" s="20" t="s">
        <v>142</v>
      </c>
      <c r="H302" s="20">
        <v>0.69</v>
      </c>
      <c r="I302" s="68">
        <f>MAX('Max rate concentrations'!$H$3:$H$368)</f>
        <v>282</v>
      </c>
      <c r="J302" s="68">
        <f>MAX('Max rate concentrations'!AA:AA)</f>
        <v>195</v>
      </c>
      <c r="K302" s="69">
        <f t="shared" si="22"/>
        <v>226.20974551032862</v>
      </c>
      <c r="L302" s="69">
        <f t="shared" si="26"/>
        <v>156.42163253373789</v>
      </c>
      <c r="M302" s="69">
        <f>IF((((1.18*F302^0.874)-(0.301*F302^0.751)/(1-H302)*H302)*(MAX('Max rate concentrations'!$P$3:$P$368)))/F302&gt;0, (((1.18*F302^0.874)-(0.301*F302^0.751)/(1-H302)*H302)*(MAX('Max rate concentrations'!$P$3:$P$368)))/F302, 0)</f>
        <v>0.42498850876966365</v>
      </c>
      <c r="N302" s="69">
        <f>IF((((1.18*F302^0.874)-(0.301*F302^0.751)/(1-H302)*H302)*(MAX('Max rate concentrations'!$Q$3:$Q$368)))/F302&gt;0, (((1.18*F302^0.874)-(0.301*F302^0.751)/(1-H302)*H302)*(MAX('Max rate concentrations'!$Q$3:$Q$368)))/F302, 0)</f>
        <v>1.6183790767436153</v>
      </c>
      <c r="O302" s="69">
        <f>((MAX('Max rate concentrations'!$F$3:$F$368))*0.62*6.01*8*(10*F302^0.667)*0.079*0.1/F302)*inputs!$E$80/(10^(0.84+0.62*LOG10(inputs!$E$80)))</f>
        <v>51.677090756449005</v>
      </c>
      <c r="P302" s="69">
        <f>((MAX('Max rate concentrations'!Y:Y))*0.62*6.01*8*(10*F302^0.667)*0.079*0.1/F302)*inputs!$E$80/(10^(0.84+0.62*LOG10(inputs!$E$80)))</f>
        <v>17.225696918816332</v>
      </c>
      <c r="Q302" s="69">
        <f>(inputs!$C$18*11.2*(10*F302^0.667)*0.5/F302)*inputs!$E$80/(10^(0.84+0.62*LOG10(inputs!$E$80)))</f>
        <v>9.10267579771463</v>
      </c>
      <c r="R302" s="59">
        <f>(60*284*((F302/1000)^0.77)*3*24*(MAX('Max rate concentrations'!$R$3:$R$368))/F302)*(inputs!$E$73*3.4/inputs!$E$75)</f>
        <v>6.6971396205395495E-2</v>
      </c>
      <c r="S302" s="59">
        <f>(IF(inputs!$C$17="aerial",((0.025*0.112*inputs!$C$18/3.3)*(3*60*284*((F302/1000)^0.77))*MAX(inputs!$I$14:$I$16))/F302,((0.0083*0.112*inputs!$C$18/1)*(3*60*284*((F302/1000)^0.77))*MAX(inputs!$I$14:$I$16))/F302))*(inputs!E$75*3.4/inputs!$E$73)</f>
        <v>0.36935136468210511</v>
      </c>
      <c r="T302" s="63">
        <f>IF((((inputs!$P$13/(V302/MAX(K302:S302)))^(1/inputs!$O$13))-1)/inputs!$N$13&lt;0, 0, IF((((inputs!$P$13/(V302/MAX(K302:S302)))^(1/inputs!$O$13))-1)/inputs!$N$13&lt;inputs!$I$17, (((inputs!$P$13/(V302/MAX(K302:S302)))^(1/inputs!$O$13))-1)/inputs!$N$13, inputs!$I$17))</f>
        <v>1000</v>
      </c>
      <c r="U302" s="63">
        <f>IF((((inputs!$P$13/(X302/MAX(K302:S302)))^(1/inputs!$O$13))-1)/inputs!$N$13&lt;0, 0, IF((((inputs!$P$13/(X302/MAX(K302:S302)))^(1/inputs!$O$13))-1)/inputs!$N$13&lt;inputs!$I$17, (((inputs!$P$13/(X302/MAX(K302:S302)))^(1/inputs!$O$13))-1)/inputs!$N$13, inputs!$I$17))</f>
        <v>102.77255126991891</v>
      </c>
      <c r="V302" s="21">
        <f>inputs!$E$78*(F302/inputs!$F$78)^(inputs!$E$84-1)</f>
        <v>3.2727610783302954E-2</v>
      </c>
      <c r="W302" s="21">
        <f>inputs!$E$85*(F302/inputs!$F$85)^(inputs!$E$84-1)</f>
        <v>1.5113007764227557</v>
      </c>
      <c r="X302" s="21">
        <f>inputs!$E$80*(F302/inputs!$F$80)^(inputs!$E$84-1)</f>
        <v>5.6434649246166195</v>
      </c>
      <c r="Y302" s="21">
        <f>inputs!$E$82*(F302/inputs!$F$82)^(inputs!$E$84-1)</f>
        <v>2.6009838043572349</v>
      </c>
      <c r="Z302" s="63">
        <f t="shared" si="24"/>
        <v>6911.8930498200871</v>
      </c>
      <c r="AA302" s="63">
        <f t="shared" si="25"/>
        <v>149.67883894413552</v>
      </c>
    </row>
    <row r="303" spans="1:27" ht="13.2" x14ac:dyDescent="0.25">
      <c r="A303" s="103" t="s">
        <v>868</v>
      </c>
      <c r="B303" s="20" t="s">
        <v>870</v>
      </c>
      <c r="C303" s="20" t="s">
        <v>73</v>
      </c>
      <c r="D303" s="104" t="s">
        <v>141</v>
      </c>
      <c r="E303" s="15">
        <v>100</v>
      </c>
      <c r="F303" s="15">
        <v>23</v>
      </c>
      <c r="G303" s="20" t="s">
        <v>153</v>
      </c>
      <c r="H303" s="20">
        <v>0.7</v>
      </c>
      <c r="I303" s="68">
        <f>MAX('Max rate concentrations'!$E$3:$E$368)</f>
        <v>330</v>
      </c>
      <c r="J303" s="68">
        <f>MAX('Max rate concentrations'!X:X)</f>
        <v>108</v>
      </c>
      <c r="K303" s="69">
        <f t="shared" si="22"/>
        <v>273.53731637951086</v>
      </c>
      <c r="L303" s="69">
        <f t="shared" si="26"/>
        <v>89.521303542385382</v>
      </c>
      <c r="M303" s="69">
        <f>IF((((1.18*F303^0.874)-(0.301*F303^0.751)/(1-H303)*H303)*(MAX('Max rate concentrations'!$P$3:$P$368)))/F303&gt;0, (((1.18*F303^0.874)-(0.301*F303^0.751)/(1-H303)*H303)*(MAX('Max rate concentrations'!$P$3:$P$368)))/F303, 0)</f>
        <v>0.41207703804448514</v>
      </c>
      <c r="N303" s="69">
        <f>IF((((1.18*F303^0.874)-(0.301*F303^0.751)/(1-H303)*H303)*(MAX('Max rate concentrations'!$Q$3:$Q$368)))/F303&gt;0, (((1.18*F303^0.874)-(0.301*F303^0.751)/(1-H303)*H303)*(MAX('Max rate concentrations'!$Q$3:$Q$368)))/F303, 0)</f>
        <v>1.5692115024670559</v>
      </c>
      <c r="O303" s="69">
        <f>((MAX('Max rate concentrations'!$F$3:$F$368))*0.62*6.01*8*(10*F303^0.667)*0.079*0.1/F303)*inputs!$E$80/(10^(0.84+0.62*LOG10(inputs!$E$80)))</f>
        <v>51.677090756449005</v>
      </c>
      <c r="P303" s="69">
        <f>((MAX('Max rate concentrations'!Y:Y))*0.62*6.01*8*(10*F303^0.667)*0.079*0.1/F303)*inputs!$E$80/(10^(0.84+0.62*LOG10(inputs!$E$80)))</f>
        <v>17.225696918816332</v>
      </c>
      <c r="Q303" s="69">
        <f>(inputs!$C$18*11.2*(10*F303^0.667)*0.5/F303)*inputs!$E$80/(10^(0.84+0.62*LOG10(inputs!$E$80)))</f>
        <v>9.10267579771463</v>
      </c>
      <c r="R303" s="59">
        <f>(60*284*((F303/1000)^0.77)*3*24*(MAX('Max rate concentrations'!$R$3:$R$368))/F303)*(inputs!$E$73*3.4/inputs!$E$75)</f>
        <v>6.6971396205395495E-2</v>
      </c>
      <c r="S303" s="59">
        <f>(IF(inputs!$C$17="aerial",((0.025*0.112*inputs!$C$18/3.3)*(3*60*284*((F303/1000)^0.77))*MAX(inputs!$I$14:$I$16))/F303,((0.0083*0.112*inputs!$C$18/1)*(3*60*284*((F303/1000)^0.77))*MAX(inputs!$I$14:$I$16))/F303))*(inputs!E$75*3.4/inputs!$E$73)</f>
        <v>0.36935136468210511</v>
      </c>
      <c r="T303" s="63">
        <f>IF((((inputs!$P$13/(V303/MAX(K303:S303)))^(1/inputs!$O$13))-1)/inputs!$N$13&lt;0, 0, IF((((inputs!$P$13/(V303/MAX(K303:S303)))^(1/inputs!$O$13))-1)/inputs!$N$13&lt;inputs!$I$17, (((inputs!$P$13/(V303/MAX(K303:S303)))^(1/inputs!$O$13))-1)/inputs!$N$13, inputs!$I$17))</f>
        <v>1000</v>
      </c>
      <c r="U303" s="63">
        <f>IF((((inputs!$P$13/(X303/MAX(K303:S303)))^(1/inputs!$O$13))-1)/inputs!$N$13&lt;0, 0, IF((((inputs!$P$13/(X303/MAX(K303:S303)))^(1/inputs!$O$13))-1)/inputs!$N$13&lt;inputs!$I$17, (((inputs!$P$13/(X303/MAX(K303:S303)))^(1/inputs!$O$13))-1)/inputs!$N$13, inputs!$I$17))</f>
        <v>120.7066016769283</v>
      </c>
      <c r="V303" s="21">
        <f>inputs!$E$78*(F303/inputs!$F$78)^(inputs!$E$84-1)</f>
        <v>3.2727610783302954E-2</v>
      </c>
      <c r="W303" s="21">
        <f>inputs!$E$85*(F303/inputs!$F$85)^(inputs!$E$84-1)</f>
        <v>1.5113007764227557</v>
      </c>
      <c r="X303" s="21">
        <f>inputs!$E$80*(F303/inputs!$F$80)^(inputs!$E$84-1)</f>
        <v>5.6434649246166195</v>
      </c>
      <c r="Y303" s="21">
        <f>inputs!$E$82*(F303/inputs!$F$82)^(inputs!$E$84-1)</f>
        <v>2.6009838043572349</v>
      </c>
      <c r="Z303" s="63">
        <f t="shared" si="24"/>
        <v>8357.9983332930842</v>
      </c>
      <c r="AA303" s="63">
        <f t="shared" si="25"/>
        <v>180.99462439698658</v>
      </c>
    </row>
    <row r="304" spans="1:27" ht="26.4" x14ac:dyDescent="0.25">
      <c r="A304" s="103" t="s">
        <v>340</v>
      </c>
      <c r="B304" s="20" t="s">
        <v>341</v>
      </c>
      <c r="C304" s="20" t="s">
        <v>73</v>
      </c>
      <c r="D304" s="104" t="s">
        <v>141</v>
      </c>
      <c r="E304" s="15">
        <v>94</v>
      </c>
      <c r="F304" s="15">
        <v>12.3</v>
      </c>
      <c r="G304" s="20" t="s">
        <v>142</v>
      </c>
      <c r="H304" s="20">
        <v>0.69</v>
      </c>
      <c r="I304" s="68">
        <f>MAX('Max rate concentrations'!$H$3:$H$368)</f>
        <v>282</v>
      </c>
      <c r="J304" s="68">
        <f>MAX('Max rate concentrations'!AA:AA)</f>
        <v>195</v>
      </c>
      <c r="K304" s="69">
        <f t="shared" si="22"/>
        <v>248.47615604071072</v>
      </c>
      <c r="L304" s="69">
        <f t="shared" si="26"/>
        <v>171.81861853878934</v>
      </c>
      <c r="M304" s="69">
        <f>IF((((1.18*F304^0.874)-(0.301*F304^0.751)/(1-H304)*H304)*(MAX('Max rate concentrations'!$P$3:$P$368)))/F304&gt;0, (((1.18*F304^0.874)-(0.301*F304^0.751)/(1-H304)*H304)*(MAX('Max rate concentrations'!$P$3:$P$368)))/F304, 0)</f>
        <v>0.43671791585177189</v>
      </c>
      <c r="N304" s="69">
        <f>IF((((1.18*F304^0.874)-(0.301*F304^0.751)/(1-H304)*H304)*(MAX('Max rate concentrations'!$Q$3:$Q$368)))/F304&gt;0, (((1.18*F304^0.874)-(0.301*F304^0.751)/(1-H304)*H304)*(MAX('Max rate concentrations'!$Q$3:$Q$368)))/F304, 0)</f>
        <v>1.6630452891530916</v>
      </c>
      <c r="O304" s="69">
        <f>((MAX('Max rate concentrations'!$F$3:$F$368))*0.62*6.01*8*(10*F304^0.667)*0.079*0.1/F304)*inputs!$E$80/(10^(0.84+0.62*LOG10(inputs!$E$80)))</f>
        <v>63.652435232344509</v>
      </c>
      <c r="P304" s="69">
        <f>((MAX('Max rate concentrations'!Y:Y))*0.62*6.01*8*(10*F304^0.667)*0.079*0.1/F304)*inputs!$E$80/(10^(0.84+0.62*LOG10(inputs!$E$80)))</f>
        <v>21.217478410781503</v>
      </c>
      <c r="Q304" s="69">
        <f>(inputs!$C$18*11.2*(10*F304^0.667)*0.5/F304)*inputs!$E$80/(10^(0.84+0.62*LOG10(inputs!$E$80)))</f>
        <v>11.212076244496284</v>
      </c>
      <c r="R304" s="59">
        <f>(60*284*((F304/1000)^0.77)*3*24*(MAX('Max rate concentrations'!$R$3:$R$368))/F304)*(inputs!$E$73*3.4/inputs!$E$75)</f>
        <v>7.73407857059768E-2</v>
      </c>
      <c r="S304" s="59">
        <f>(IF(inputs!$C$17="aerial",((0.025*0.112*inputs!$C$18/3.3)*(3*60*284*((F304/1000)^0.77))*MAX(inputs!$I$14:$I$16))/F304,((0.0083*0.112*inputs!$C$18/1)*(3*60*284*((F304/1000)^0.77))*MAX(inputs!$I$14:$I$16))/F304))*(inputs!E$75*3.4/inputs!$E$73)</f>
        <v>0.42653918485556963</v>
      </c>
      <c r="T304" s="63">
        <f>IF((((inputs!$P$13/(V304/MAX(K304:S304)))^(1/inputs!$O$13))-1)/inputs!$N$13&lt;0, 0, IF((((inputs!$P$13/(V304/MAX(K304:S304)))^(1/inputs!$O$13))-1)/inputs!$N$13&lt;inputs!$I$17, (((inputs!$P$13/(V304/MAX(K304:S304)))^(1/inputs!$O$13))-1)/inputs!$N$13, inputs!$I$17))</f>
        <v>1000</v>
      </c>
      <c r="U304" s="63">
        <f>IF((((inputs!$P$13/(X304/MAX(K304:S304)))^(1/inputs!$O$13))-1)/inputs!$N$13&lt;0, 0, IF((((inputs!$P$13/(X304/MAX(K304:S304)))^(1/inputs!$O$13))-1)/inputs!$N$13&lt;inputs!$I$17, (((inputs!$P$13/(X304/MAX(K304:S304)))^(1/inputs!$O$13))-1)/inputs!$N$13, inputs!$I$17))</f>
        <v>91.392003796164275</v>
      </c>
      <c r="V304" s="21">
        <f>inputs!$E$78*(F304/inputs!$F$78)^(inputs!$E$84-1)</f>
        <v>4.1256151168588752E-2</v>
      </c>
      <c r="W304" s="21">
        <f>inputs!$E$85*(F304/inputs!$F$85)^(inputs!$E$84-1)</f>
        <v>1.9051330604650447</v>
      </c>
      <c r="X304" s="21">
        <f>inputs!$E$80*(F304/inputs!$F$80)^(inputs!$E$84-1)</f>
        <v>7.1141044662935213</v>
      </c>
      <c r="Y304" s="21">
        <f>inputs!$E$82*(F304/inputs!$F$82)^(inputs!$E$84-1)</f>
        <v>3.2787783297141586</v>
      </c>
      <c r="Z304" s="63">
        <f t="shared" si="24"/>
        <v>6022.7662785445027</v>
      </c>
      <c r="AA304" s="63">
        <f t="shared" si="25"/>
        <v>130.42456781473177</v>
      </c>
    </row>
    <row r="305" spans="1:27" ht="26.4" x14ac:dyDescent="0.25">
      <c r="A305" s="103" t="s">
        <v>340</v>
      </c>
      <c r="B305" s="20" t="s">
        <v>341</v>
      </c>
      <c r="C305" s="20" t="s">
        <v>73</v>
      </c>
      <c r="D305" s="104" t="s">
        <v>141</v>
      </c>
      <c r="E305" s="15">
        <v>94</v>
      </c>
      <c r="F305" s="15">
        <v>12.3</v>
      </c>
      <c r="G305" s="20" t="s">
        <v>152</v>
      </c>
      <c r="H305" s="20">
        <v>0.77</v>
      </c>
      <c r="I305" s="68">
        <f>MAX('Max rate concentrations'!$G$3:$G$368)</f>
        <v>45</v>
      </c>
      <c r="J305" s="68">
        <f>MAX('Max rate concentrations'!Z:Z)</f>
        <v>21</v>
      </c>
      <c r="K305" s="69">
        <f t="shared" si="22"/>
        <v>53.44191145186425</v>
      </c>
      <c r="L305" s="69">
        <f t="shared" si="26"/>
        <v>24.939558677536656</v>
      </c>
      <c r="M305" s="69">
        <f>IF((((1.18*F305^0.874)-(0.301*F305^0.751)/(1-H305)*H305)*(MAX('Max rate concentrations'!$P$3:$P$368)))/F305&gt;0, (((1.18*F305^0.874)-(0.301*F305^0.751)/(1-H305)*H305)*(MAX('Max rate concentrations'!$P$3:$P$368)))/F305, 0)</f>
        <v>0.2792678020055307</v>
      </c>
      <c r="N305" s="69">
        <f>IF((((1.18*F305^0.874)-(0.301*F305^0.751)/(1-H305)*H305)*(MAX('Max rate concentrations'!$Q$3:$Q$368)))/F305&gt;0, (((1.18*F305^0.874)-(0.301*F305^0.751)/(1-H305)*H305)*(MAX('Max rate concentrations'!$Q$3:$Q$368)))/F305, 0)</f>
        <v>1.0634667955666646</v>
      </c>
      <c r="O305" s="69">
        <f>((MAX('Max rate concentrations'!$F$3:$F$368))*0.62*6.01*8*(10*F305^0.667)*0.079*0.1/F305)*inputs!$E$80/(10^(0.84+0.62*LOG10(inputs!$E$80)))</f>
        <v>63.652435232344509</v>
      </c>
      <c r="P305" s="69">
        <f>((MAX('Max rate concentrations'!Y:Y))*0.62*6.01*8*(10*F305^0.667)*0.079*0.1/F305)*inputs!$E$80/(10^(0.84+0.62*LOG10(inputs!$E$80)))</f>
        <v>21.217478410781503</v>
      </c>
      <c r="Q305" s="69">
        <f>(inputs!$C$18*11.2*(10*F305^0.667)*0.5/F305)*inputs!$E$80/(10^(0.84+0.62*LOG10(inputs!$E$80)))</f>
        <v>11.212076244496284</v>
      </c>
      <c r="R305" s="59">
        <f>(60*284*((F305/1000)^0.77)*3*24*(MAX('Max rate concentrations'!$R$3:$R$368))/F305)*(inputs!$E$73*3.4/inputs!$E$75)</f>
        <v>7.73407857059768E-2</v>
      </c>
      <c r="S305" s="59">
        <f>(IF(inputs!$C$17="aerial",((0.025*0.112*inputs!$C$18/3.3)*(3*60*284*((F305/1000)^0.77))*MAX(inputs!$I$14:$I$16))/F305,((0.0083*0.112*inputs!$C$18/1)*(3*60*284*((F305/1000)^0.77))*MAX(inputs!$I$14:$I$16))/F305))*(inputs!E$75*3.4/inputs!$E$73)</f>
        <v>0.42653918485556963</v>
      </c>
      <c r="T305" s="63">
        <f>IF((((inputs!$P$13/(V305/MAX(K305:S305)))^(1/inputs!$O$13))-1)/inputs!$N$13&lt;0, 0, IF((((inputs!$P$13/(V305/MAX(K305:S305)))^(1/inputs!$O$13))-1)/inputs!$N$13&lt;inputs!$I$17, (((inputs!$P$13/(V305/MAX(K305:S305)))^(1/inputs!$O$13))-1)/inputs!$N$13, inputs!$I$17))</f>
        <v>1000</v>
      </c>
      <c r="U305" s="63">
        <f>IF((((inputs!$P$13/(X305/MAX(K305:S305)))^(1/inputs!$O$13))-1)/inputs!$N$13&lt;0, 0, IF((((inputs!$P$13/(X305/MAX(K305:S305)))^(1/inputs!$O$13))-1)/inputs!$N$13&lt;inputs!$I$17, (((inputs!$P$13/(X305/MAX(K305:S305)))^(1/inputs!$O$13))-1)/inputs!$N$13, inputs!$I$17))</f>
        <v>26.891544342735575</v>
      </c>
      <c r="V305" s="21">
        <f>inputs!$E$78*(F305/inputs!$F$78)^(inputs!$E$84-1)</f>
        <v>4.1256151168588752E-2</v>
      </c>
      <c r="W305" s="21">
        <f>inputs!$E$85*(F305/inputs!$F$85)^(inputs!$E$84-1)</f>
        <v>1.9051330604650447</v>
      </c>
      <c r="X305" s="21">
        <f>inputs!$E$80*(F305/inputs!$F$80)^(inputs!$E$84-1)</f>
        <v>7.1141044662935213</v>
      </c>
      <c r="Y305" s="21">
        <f>inputs!$E$82*(F305/inputs!$F$82)^(inputs!$E$84-1)</f>
        <v>3.2787783297141586</v>
      </c>
      <c r="Z305" s="63">
        <f t="shared" si="24"/>
        <v>1542.8592689666032</v>
      </c>
      <c r="AA305" s="63">
        <f t="shared" si="25"/>
        <v>33.41101813476844</v>
      </c>
    </row>
    <row r="306" spans="1:27" ht="13.2" x14ac:dyDescent="0.25">
      <c r="A306" s="103" t="s">
        <v>285</v>
      </c>
      <c r="B306" s="20" t="s">
        <v>286</v>
      </c>
      <c r="C306" s="20" t="s">
        <v>73</v>
      </c>
      <c r="D306" s="104" t="s">
        <v>141</v>
      </c>
      <c r="E306" s="15">
        <v>105</v>
      </c>
      <c r="F306" s="15">
        <v>50</v>
      </c>
      <c r="G306" s="20" t="s">
        <v>142</v>
      </c>
      <c r="H306" s="20">
        <v>0.69</v>
      </c>
      <c r="I306" s="68">
        <f>MAX('Max rate concentrations'!$H$3:$H$368)</f>
        <v>282</v>
      </c>
      <c r="J306" s="68">
        <f>MAX('Max rate concentrations'!AA:AA)</f>
        <v>195</v>
      </c>
      <c r="K306" s="69">
        <f t="shared" si="22"/>
        <v>201.33764567021831</v>
      </c>
      <c r="L306" s="69">
        <f t="shared" si="26"/>
        <v>139.22284009110842</v>
      </c>
      <c r="M306" s="69">
        <f>IF((((1.18*F306^0.874)-(0.301*F306^0.751)/(1-H306)*H306)*(MAX('Max rate concentrations'!$P$3:$P$368)))/F306&gt;0, (((1.18*F306^0.874)-(0.301*F306^0.751)/(1-H306)*H306)*(MAX('Max rate concentrations'!$P$3:$P$368)))/F306, 0)</f>
        <v>0.40745305101551893</v>
      </c>
      <c r="N306" s="69">
        <f>IF((((1.18*F306^0.874)-(0.301*F306^0.751)/(1-H306)*H306)*(MAX('Max rate concentrations'!$Q$3:$Q$368)))/F306&gt;0, (((1.18*F306^0.874)-(0.301*F306^0.751)/(1-H306)*H306)*(MAX('Max rate concentrations'!$Q$3:$Q$368)))/F306, 0)</f>
        <v>1.5516031114061375</v>
      </c>
      <c r="O306" s="69">
        <f>((MAX('Max rate concentrations'!$F$3:$F$368))*0.62*6.01*8*(10*F306^0.667)*0.079*0.1/F306)*inputs!$E$80/(10^(0.84+0.62*LOG10(inputs!$E$80)))</f>
        <v>39.902160790277591</v>
      </c>
      <c r="P306" s="69">
        <f>((MAX('Max rate concentrations'!Y:Y))*0.62*6.01*8*(10*F306^0.667)*0.079*0.1/F306)*inputs!$E$80/(10^(0.84+0.62*LOG10(inputs!$E$80)))</f>
        <v>13.300720263425866</v>
      </c>
      <c r="Q306" s="69">
        <f>(inputs!$C$18*11.2*(10*F306^0.667)*0.5/F306)*inputs!$E$80/(10^(0.84+0.62*LOG10(inputs!$E$80)))</f>
        <v>7.0285774215501906</v>
      </c>
      <c r="R306" s="59">
        <f>(60*284*((F306/1000)^0.77)*3*24*(MAX('Max rate concentrations'!$R$3:$R$368))/F306)*(inputs!$E$73*3.4/inputs!$E$75)</f>
        <v>5.6017491172998278E-2</v>
      </c>
      <c r="S306" s="59">
        <f>(IF(inputs!$C$17="aerial",((0.025*0.112*inputs!$C$18/3.3)*(3*60*284*((F306/1000)^0.77))*MAX(inputs!$I$14:$I$16))/F306,((0.0083*0.112*inputs!$C$18/1)*(3*60*284*((F306/1000)^0.77))*MAX(inputs!$I$14:$I$16))/F306))*(inputs!E$75*3.4/inputs!$E$73)</f>
        <v>0.30893990543902988</v>
      </c>
      <c r="T306" s="63">
        <f>IF((((inputs!$P$13/(V306/MAX(K306:S306)))^(1/inputs!$O$13))-1)/inputs!$N$13&lt;0, 0, IF((((inputs!$P$13/(V306/MAX(K306:S306)))^(1/inputs!$O$13))-1)/inputs!$N$13&lt;inputs!$I$17, (((inputs!$P$13/(V306/MAX(K306:S306)))^(1/inputs!$O$13))-1)/inputs!$N$13, inputs!$I$17))</f>
        <v>1000</v>
      </c>
      <c r="U306" s="63">
        <f>IF((((inputs!$P$13/(X306/MAX(K306:S306)))^(1/inputs!$O$13))-1)/inputs!$N$13&lt;0, 0, IF((((inputs!$P$13/(X306/MAX(K306:S306)))^(1/inputs!$O$13))-1)/inputs!$N$13&lt;inputs!$I$17, (((inputs!$P$13/(X306/MAX(K306:S306)))^(1/inputs!$O$13))-1)/inputs!$N$13, inputs!$I$17))</f>
        <v>118.77250520546829</v>
      </c>
      <c r="V306" s="21">
        <f>inputs!$E$78*(F306/inputs!$F$78)^(inputs!$E$84-1)</f>
        <v>2.4554703782112351E-2</v>
      </c>
      <c r="W306" s="21">
        <f>inputs!$E$85*(F306/inputs!$F$85)^(inputs!$E$84-1)</f>
        <v>1.1338909869237934</v>
      </c>
      <c r="X306" s="21">
        <f>inputs!$E$80*(F306/inputs!$F$80)^(inputs!$E$84-1)</f>
        <v>4.2341498878799877</v>
      </c>
      <c r="Y306" s="21">
        <f>inputs!$E$82*(F306/inputs!$F$82)^(inputs!$E$84-1)</f>
        <v>1.9514527742626133</v>
      </c>
      <c r="Z306" s="63">
        <f t="shared" si="24"/>
        <v>8199.5550610913524</v>
      </c>
      <c r="AA306" s="63">
        <f t="shared" si="25"/>
        <v>177.56349419130697</v>
      </c>
    </row>
    <row r="307" spans="1:27" ht="13.2" x14ac:dyDescent="0.25">
      <c r="A307" s="103" t="s">
        <v>285</v>
      </c>
      <c r="B307" s="20" t="s">
        <v>286</v>
      </c>
      <c r="C307" s="20" t="s">
        <v>73</v>
      </c>
      <c r="D307" s="104" t="s">
        <v>141</v>
      </c>
      <c r="E307" s="15">
        <v>105</v>
      </c>
      <c r="F307" s="15">
        <v>50</v>
      </c>
      <c r="G307" s="20" t="s">
        <v>152</v>
      </c>
      <c r="H307" s="20">
        <v>0.77</v>
      </c>
      <c r="I307" s="68">
        <f>MAX('Max rate concentrations'!$G$3:$G$368)</f>
        <v>45</v>
      </c>
      <c r="J307" s="68">
        <f>MAX('Max rate concentrations'!Z:Z)</f>
        <v>21</v>
      </c>
      <c r="K307" s="69">
        <f t="shared" si="22"/>
        <v>43.303425178839753</v>
      </c>
      <c r="L307" s="69">
        <f t="shared" si="26"/>
        <v>20.208265083458549</v>
      </c>
      <c r="M307" s="69">
        <f>IF((((1.18*F307^0.874)-(0.301*F307^0.751)/(1-H307)*H307)*(MAX('Max rate concentrations'!$P$3:$P$368)))/F307&gt;0, (((1.18*F307^0.874)-(0.301*F307^0.751)/(1-H307)*H307)*(MAX('Max rate concentrations'!$P$3:$P$368)))/F307, 0)</f>
        <v>0.29641142295379114</v>
      </c>
      <c r="N307" s="69">
        <f>IF((((1.18*F307^0.874)-(0.301*F307^0.751)/(1-H307)*H307)*(MAX('Max rate concentrations'!$Q$3:$Q$368)))/F307&gt;0, (((1.18*F307^0.874)-(0.301*F307^0.751)/(1-H307)*H307)*(MAX('Max rate concentrations'!$Q$3:$Q$368)))/F307, 0)</f>
        <v>1.1287506252932831</v>
      </c>
      <c r="O307" s="69">
        <f>((MAX('Max rate concentrations'!$F$3:$F$368))*0.62*6.01*8*(10*F307^0.667)*0.079*0.1/F307)*inputs!$E$80/(10^(0.84+0.62*LOG10(inputs!$E$80)))</f>
        <v>39.902160790277591</v>
      </c>
      <c r="P307" s="69">
        <f>((MAX('Max rate concentrations'!Y:Y))*0.62*6.01*8*(10*F307^0.667)*0.079*0.1/F307)*inputs!$E$80/(10^(0.84+0.62*LOG10(inputs!$E$80)))</f>
        <v>13.300720263425866</v>
      </c>
      <c r="Q307" s="69">
        <f>(inputs!$C$18*11.2*(10*F307^0.667)*0.5/F307)*inputs!$E$80/(10^(0.84+0.62*LOG10(inputs!$E$80)))</f>
        <v>7.0285774215501906</v>
      </c>
      <c r="R307" s="59">
        <f>(60*284*((F307/1000)^0.77)*3*24*(MAX('Max rate concentrations'!$R$3:$R$368))/F307)*(inputs!$E$73*3.4/inputs!$E$75)</f>
        <v>5.6017491172998278E-2</v>
      </c>
      <c r="S307" s="59">
        <f>(IF(inputs!$C$17="aerial",((0.025*0.112*inputs!$C$18/3.3)*(3*60*284*((F307/1000)^0.77))*MAX(inputs!$I$14:$I$16))/F307,((0.0083*0.112*inputs!$C$18/1)*(3*60*284*((F307/1000)^0.77))*MAX(inputs!$I$14:$I$16))/F307))*(inputs!E$75*3.4/inputs!$E$73)</f>
        <v>0.30893990543902988</v>
      </c>
      <c r="T307" s="63">
        <f>IF((((inputs!$P$13/(V307/MAX(K307:S307)))^(1/inputs!$O$13))-1)/inputs!$N$13&lt;0, 0, IF((((inputs!$P$13/(V307/MAX(K307:S307)))^(1/inputs!$O$13))-1)/inputs!$N$13&lt;inputs!$I$17, (((inputs!$P$13/(V307/MAX(K307:S307)))^(1/inputs!$O$13))-1)/inputs!$N$13, inputs!$I$17))</f>
        <v>1000</v>
      </c>
      <c r="U307" s="63">
        <f>IF((((inputs!$P$13/(X307/MAX(K307:S307)))^(1/inputs!$O$13))-1)/inputs!$N$13&lt;0, 0, IF((((inputs!$P$13/(X307/MAX(K307:S307)))^(1/inputs!$O$13))-1)/inputs!$N$13&lt;inputs!$I$17, (((inputs!$P$13/(X307/MAX(K307:S307)))^(1/inputs!$O$13))-1)/inputs!$N$13, inputs!$I$17))</f>
        <v>30.55863387116224</v>
      </c>
      <c r="V307" s="21">
        <f>inputs!$E$78*(F307/inputs!$F$78)^(inputs!$E$84-1)</f>
        <v>2.4554703782112351E-2</v>
      </c>
      <c r="W307" s="21">
        <f>inputs!$E$85*(F307/inputs!$F$85)^(inputs!$E$84-1)</f>
        <v>1.1338909869237934</v>
      </c>
      <c r="X307" s="21">
        <f>inputs!$E$80*(F307/inputs!$F$80)^(inputs!$E$84-1)</f>
        <v>4.2341498878799877</v>
      </c>
      <c r="Y307" s="21">
        <f>inputs!$E$82*(F307/inputs!$F$82)^(inputs!$E$84-1)</f>
        <v>1.9514527742626133</v>
      </c>
      <c r="Z307" s="63">
        <f t="shared" si="24"/>
        <v>1763.5490765066977</v>
      </c>
      <c r="AA307" s="63">
        <f t="shared" si="25"/>
        <v>38.19011322801007</v>
      </c>
    </row>
    <row r="308" spans="1:27" ht="13.2" x14ac:dyDescent="0.25">
      <c r="A308" s="103" t="s">
        <v>285</v>
      </c>
      <c r="B308" s="20" t="s">
        <v>286</v>
      </c>
      <c r="C308" s="20" t="s">
        <v>73</v>
      </c>
      <c r="D308" s="104" t="s">
        <v>141</v>
      </c>
      <c r="E308" s="15">
        <v>105</v>
      </c>
      <c r="F308" s="15">
        <v>50</v>
      </c>
      <c r="G308" s="20" t="s">
        <v>146</v>
      </c>
      <c r="H308" s="20">
        <v>0.84</v>
      </c>
      <c r="I308" s="68">
        <f>MAX('Max rate concentrations'!$I$3:$I$368)</f>
        <v>56.865414300472793</v>
      </c>
      <c r="J308" s="68" t="s">
        <v>13</v>
      </c>
      <c r="K308" s="69">
        <f t="shared" si="22"/>
        <v>78.662147095496778</v>
      </c>
      <c r="L308" s="69" t="s">
        <v>13</v>
      </c>
      <c r="M308" s="69">
        <f>IF((((1.18*F308^0.874)-(0.301*F308^0.751)/(1-H308)*H308)*(MAX('Max rate concentrations'!$P$3:$P$368)))/F308&gt;0, (((1.18*F308^0.874)-(0.301*F308^0.751)/(1-H308)*H308)*(MAX('Max rate concentrations'!$P$3:$P$368)))/F308, 0)</f>
        <v>0.10816116288039375</v>
      </c>
      <c r="N308" s="69">
        <f>IF((((1.18*F308^0.874)-(0.301*F308^0.751)/(1-H308)*H308)*(MAX('Max rate concentrations'!$Q$3:$Q$368)))/F308&gt;0, (((1.18*F308^0.874)-(0.301*F308^0.751)/(1-H308)*H308)*(MAX('Max rate concentrations'!$Q$3:$Q$368)))/F308, 0)</f>
        <v>0.41188351993008637</v>
      </c>
      <c r="O308" s="69">
        <f>((MAX('Max rate concentrations'!$F$3:$F$368))*0.62*6.01*8*(10*F308^0.667)*0.079*0.1/F308)*inputs!$E$80/(10^(0.84+0.62*LOG10(inputs!$E$80)))</f>
        <v>39.902160790277591</v>
      </c>
      <c r="P308" s="69">
        <f>((MAX('Max rate concentrations'!Y:Y))*0.62*6.01*8*(10*F308^0.667)*0.079*0.1/F308)*inputs!$E$80/(10^(0.84+0.62*LOG10(inputs!$E$80)))</f>
        <v>13.300720263425866</v>
      </c>
      <c r="Q308" s="69">
        <f>(inputs!$C$18*11.2*(10*F308^0.667)*0.5/F308)*inputs!$E$80/(10^(0.84+0.62*LOG10(inputs!$E$80)))</f>
        <v>7.0285774215501906</v>
      </c>
      <c r="R308" s="59">
        <f>(60*284*((F308/1000)^0.77)*3*24*(MAX('Max rate concentrations'!$R$3:$R$368))/F308)*(inputs!$E$73*3.4/inputs!$E$75)</f>
        <v>5.6017491172998278E-2</v>
      </c>
      <c r="S308" s="59">
        <f>(IF(inputs!$C$17="aerial",((0.025*0.112*inputs!$C$18/3.3)*(3*60*284*((F308/1000)^0.77))*MAX(inputs!$I$14:$I$16))/F308,((0.0083*0.112*inputs!$C$18/1)*(3*60*284*((F308/1000)^0.77))*MAX(inputs!$I$14:$I$16))/F308))*(inputs!E$75*3.4/inputs!$E$73)</f>
        <v>0.30893990543902988</v>
      </c>
      <c r="T308" s="63">
        <f>IF((((inputs!$P$13/(V308/MAX(K308:S308)))^(1/inputs!$O$13))-1)/inputs!$N$13&lt;0, 0, IF((((inputs!$P$13/(V308/MAX(K308:S308)))^(1/inputs!$O$13))-1)/inputs!$N$13&lt;inputs!$I$17, (((inputs!$P$13/(V308/MAX(K308:S308)))^(1/inputs!$O$13))-1)/inputs!$N$13, inputs!$I$17))</f>
        <v>1000</v>
      </c>
      <c r="U308" s="63">
        <f>IF((((inputs!$P$13/(X308/MAX(K308:S308)))^(1/inputs!$O$13))-1)/inputs!$N$13&lt;0, 0, IF((((inputs!$P$13/(X308/MAX(K308:S308)))^(1/inputs!$O$13))-1)/inputs!$N$13&lt;inputs!$I$17, (((inputs!$P$13/(X308/MAX(K308:S308)))^(1/inputs!$O$13))-1)/inputs!$N$13, inputs!$I$17))</f>
        <v>52.762950203710488</v>
      </c>
      <c r="V308" s="21">
        <f>inputs!$E$78*(F308/inputs!$F$78)^(inputs!$E$84-1)</f>
        <v>2.4554703782112351E-2</v>
      </c>
      <c r="W308" s="21">
        <f>inputs!$E$85*(F308/inputs!$F$85)^(inputs!$E$84-1)</f>
        <v>1.1338909869237934</v>
      </c>
      <c r="X308" s="21">
        <f>inputs!$E$80*(F308/inputs!$F$80)^(inputs!$E$84-1)</f>
        <v>4.2341498878799877</v>
      </c>
      <c r="Y308" s="21">
        <f>inputs!$E$82*(F308/inputs!$F$82)^(inputs!$E$84-1)</f>
        <v>1.9514527742626133</v>
      </c>
      <c r="Z308" s="63">
        <f t="shared" si="24"/>
        <v>3203.5469779440264</v>
      </c>
      <c r="AA308" s="63">
        <f t="shared" si="25"/>
        <v>69.373641736851994</v>
      </c>
    </row>
    <row r="309" spans="1:27" ht="13.2" x14ac:dyDescent="0.25">
      <c r="A309" s="103" t="s">
        <v>359</v>
      </c>
      <c r="B309" s="20" t="s">
        <v>360</v>
      </c>
      <c r="C309" s="20" t="s">
        <v>73</v>
      </c>
      <c r="D309" s="104" t="s">
        <v>141</v>
      </c>
      <c r="E309" s="15">
        <v>71</v>
      </c>
      <c r="F309" s="15">
        <v>19</v>
      </c>
      <c r="G309" s="20" t="s">
        <v>142</v>
      </c>
      <c r="H309" s="20">
        <v>0.69</v>
      </c>
      <c r="I309" s="68">
        <f>MAX('Max rate concentrations'!$H$3:$H$368)</f>
        <v>282</v>
      </c>
      <c r="J309" s="68">
        <f>MAX('Max rate concentrations'!AA:AA)</f>
        <v>195</v>
      </c>
      <c r="K309" s="69">
        <f t="shared" si="22"/>
        <v>232.78631548960547</v>
      </c>
      <c r="L309" s="69">
        <f t="shared" ref="L309:L331" si="27">((0.398*F309^0.85)/(1-H309))*J309/F309</f>
        <v>160.96926071089737</v>
      </c>
      <c r="M309" s="69">
        <f>IF((((1.18*F309^0.874)-(0.301*F309^0.751)/(1-H309)*H309)*(MAX('Max rate concentrations'!$P$3:$P$368)))/F309&gt;0, (((1.18*F309^0.874)-(0.301*F309^0.751)/(1-H309)*H309)*(MAX('Max rate concentrations'!$P$3:$P$368)))/F309, 0)</f>
        <v>0.42883342426440257</v>
      </c>
      <c r="N309" s="69">
        <f>IF((((1.18*F309^0.874)-(0.301*F309^0.751)/(1-H309)*H309)*(MAX('Max rate concentrations'!$Q$3:$Q$368)))/F309&gt;0, (((1.18*F309^0.874)-(0.301*F309^0.751)/(1-H309)*H309)*(MAX('Max rate concentrations'!$Q$3:$Q$368)))/F309, 0)</f>
        <v>1.6330207215413697</v>
      </c>
      <c r="O309" s="69">
        <f>((MAX('Max rate concentrations'!$F$3:$F$368))*0.62*6.01*8*(10*F309^0.667)*0.079*0.1/F309)*inputs!$E$80/(10^(0.84+0.62*LOG10(inputs!$E$80)))</f>
        <v>55.071699213544889</v>
      </c>
      <c r="P309" s="69">
        <f>((MAX('Max rate concentrations'!Y:Y))*0.62*6.01*8*(10*F309^0.667)*0.079*0.1/F309)*inputs!$E$80/(10^(0.84+0.62*LOG10(inputs!$E$80)))</f>
        <v>18.357233071181632</v>
      </c>
      <c r="Q309" s="69">
        <f>(inputs!$C$18*11.2*(10*F309^0.667)*0.5/F309)*inputs!$E$80/(10^(0.84+0.62*LOG10(inputs!$E$80)))</f>
        <v>9.7006200664962083</v>
      </c>
      <c r="R309" s="59">
        <f>(60*284*((F309/1000)^0.77)*3*24*(MAX('Max rate concentrations'!$R$3:$R$368))/F309)*(inputs!$E$73*3.4/inputs!$E$75)</f>
        <v>6.9979917664522634E-2</v>
      </c>
      <c r="S309" s="59">
        <f>(IF(inputs!$C$17="aerial",((0.025*0.112*inputs!$C$18/3.3)*(3*60*284*((F309/1000)^0.77))*MAX(inputs!$I$14:$I$16))/F309,((0.0083*0.112*inputs!$C$18/1)*(3*60*284*((F309/1000)^0.77))*MAX(inputs!$I$14:$I$16))/F309))*(inputs!E$75*3.4/inputs!$E$73)</f>
        <v>0.38594354536766318</v>
      </c>
      <c r="T309" s="63">
        <f>IF((((inputs!$P$13/(V309/MAX(K309:S309)))^(1/inputs!$O$13))-1)/inputs!$N$13&lt;0, 0, IF((((inputs!$P$13/(V309/MAX(K309:S309)))^(1/inputs!$O$13))-1)/inputs!$N$13&lt;inputs!$I$17, (((inputs!$P$13/(V309/MAX(K309:S309)))^(1/inputs!$O$13))-1)/inputs!$N$13, inputs!$I$17))</f>
        <v>1000</v>
      </c>
      <c r="U309" s="63">
        <f>IF((((inputs!$P$13/(X309/MAX(K309:S309)))^(1/inputs!$O$13))-1)/inputs!$N$13&lt;0, 0, IF((((inputs!$P$13/(X309/MAX(K309:S309)))^(1/inputs!$O$13))-1)/inputs!$N$13&lt;inputs!$I$17, (((inputs!$P$13/(X309/MAX(K309:S309)))^(1/inputs!$O$13))-1)/inputs!$N$13, inputs!$I$17))</f>
        <v>99.163309616040678</v>
      </c>
      <c r="V309" s="21">
        <f>inputs!$E$78*(F309/inputs!$F$78)^(inputs!$E$84-1)</f>
        <v>3.5124873481261372E-2</v>
      </c>
      <c r="W309" s="21">
        <f>inputs!$E$85*(F309/inputs!$F$85)^(inputs!$E$84-1)</f>
        <v>1.6220019516690172</v>
      </c>
      <c r="X309" s="21">
        <f>inputs!$E$80*(F309/inputs!$F$80)^(inputs!$E$84-1)</f>
        <v>6.0568427309159505</v>
      </c>
      <c r="Y309" s="21">
        <f>inputs!$E$82*(F309/inputs!$F$82)^(inputs!$E$84-1)</f>
        <v>2.7915031029844566</v>
      </c>
      <c r="Z309" s="63">
        <f t="shared" si="24"/>
        <v>6627.3922840973</v>
      </c>
      <c r="AA309" s="63">
        <f t="shared" si="25"/>
        <v>143.51790098037281</v>
      </c>
    </row>
    <row r="310" spans="1:27" ht="13.2" x14ac:dyDescent="0.25">
      <c r="A310" s="103" t="s">
        <v>359</v>
      </c>
      <c r="B310" s="20" t="s">
        <v>360</v>
      </c>
      <c r="C310" s="20" t="s">
        <v>73</v>
      </c>
      <c r="D310" s="104" t="s">
        <v>141</v>
      </c>
      <c r="E310" s="15">
        <v>71</v>
      </c>
      <c r="F310" s="15">
        <v>19</v>
      </c>
      <c r="G310" s="20" t="s">
        <v>218</v>
      </c>
      <c r="H310" s="20">
        <v>0.68</v>
      </c>
      <c r="I310" s="68">
        <f>MAX('Max rate concentrations'!$K$3:$K$368)</f>
        <v>110.00035859694511</v>
      </c>
      <c r="J310" s="68">
        <f>MAX('Max rate concentrations'!AC:AC)</f>
        <v>38.958460336418057</v>
      </c>
      <c r="K310" s="69">
        <f t="shared" si="22"/>
        <v>87.965860326891004</v>
      </c>
      <c r="L310" s="69">
        <f t="shared" si="27"/>
        <v>31.154575532440564</v>
      </c>
      <c r="M310" s="69">
        <f>IF((((1.18*F310^0.874)-(0.301*F310^0.751)/(1-H310)*H310)*(MAX('Max rate concentrations'!$P$3:$P$368)))/F310&gt;0, (((1.18*F310^0.874)-(0.301*F310^0.751)/(1-H310)*H310)*(MAX('Max rate concentrations'!$P$3:$P$368)))/F310, 0)</f>
        <v>0.44152768972023015</v>
      </c>
      <c r="N310" s="69">
        <f>IF((((1.18*F310^0.874)-(0.301*F310^0.751)/(1-H310)*H310)*(MAX('Max rate concentrations'!$Q$3:$Q$368)))/F310&gt;0, (((1.18*F310^0.874)-(0.301*F310^0.751)/(1-H310)*H310)*(MAX('Max rate concentrations'!$Q$3:$Q$368)))/F310, 0)</f>
        <v>1.6813611664814356</v>
      </c>
      <c r="O310" s="69">
        <f>((MAX('Max rate concentrations'!$F$3:$F$368))*0.62*6.01*8*(10*F310^0.667)*0.079*0.1/F310)*inputs!$E$80/(10^(0.84+0.62*LOG10(inputs!$E$80)))</f>
        <v>55.071699213544889</v>
      </c>
      <c r="P310" s="69">
        <f>((MAX('Max rate concentrations'!Y:Y))*0.62*6.01*8*(10*F310^0.667)*0.079*0.1/F310)*inputs!$E$80/(10^(0.84+0.62*LOG10(inputs!$E$80)))</f>
        <v>18.357233071181632</v>
      </c>
      <c r="Q310" s="69">
        <f>(inputs!$C$18*11.2*(10*F310^0.667)*0.5/F310)*inputs!$E$80/(10^(0.84+0.62*LOG10(inputs!$E$80)))</f>
        <v>9.7006200664962083</v>
      </c>
      <c r="R310" s="59">
        <f>(60*284*((F310/1000)^0.77)*3*24*(MAX('Max rate concentrations'!$R$3:$R$368))/F310)*(inputs!$E$73*3.4/inputs!$E$75)</f>
        <v>6.9979917664522634E-2</v>
      </c>
      <c r="S310" s="59">
        <f>(IF(inputs!$C$17="aerial",((0.025*0.112*inputs!$C$18/3.3)*(3*60*284*((F310/1000)^0.77))*MAX(inputs!$I$14:$I$16))/F310,((0.0083*0.112*inputs!$C$18/1)*(3*60*284*((F310/1000)^0.77))*MAX(inputs!$I$14:$I$16))/F310))*(inputs!E$75*3.4/inputs!$E$73)</f>
        <v>0.38594354536766318</v>
      </c>
      <c r="T310" s="63">
        <f>IF((((inputs!$P$13/(V310/MAX(K310:S310)))^(1/inputs!$O$13))-1)/inputs!$N$13&lt;0, 0, IF((((inputs!$P$13/(V310/MAX(K310:S310)))^(1/inputs!$O$13))-1)/inputs!$N$13&lt;inputs!$I$17, (((inputs!$P$13/(V310/MAX(K310:S310)))^(1/inputs!$O$13))-1)/inputs!$N$13, inputs!$I$17))</f>
        <v>1000</v>
      </c>
      <c r="U310" s="63">
        <f>IF((((inputs!$P$13/(X310/MAX(K310:S310)))^(1/inputs!$O$13))-1)/inputs!$N$13&lt;0, 0, IF((((inputs!$P$13/(X310/MAX(K310:S310)))^(1/inputs!$O$13))-1)/inputs!$N$13&lt;inputs!$I$17, (((inputs!$P$13/(X310/MAX(K310:S310)))^(1/inputs!$O$13))-1)/inputs!$N$13, inputs!$I$17))</f>
        <v>42.293361669260321</v>
      </c>
      <c r="V310" s="21">
        <f>inputs!$E$78*(F310/inputs!$F$78)^(inputs!$E$84-1)</f>
        <v>3.5124873481261372E-2</v>
      </c>
      <c r="W310" s="21">
        <f>inputs!$E$85*(F310/inputs!$F$85)^(inputs!$E$84-1)</f>
        <v>1.6220019516690172</v>
      </c>
      <c r="X310" s="21">
        <f>inputs!$E$80*(F310/inputs!$F$80)^(inputs!$E$84-1)</f>
        <v>6.0568427309159505</v>
      </c>
      <c r="Y310" s="21">
        <f>inputs!$E$82*(F310/inputs!$F$82)^(inputs!$E$84-1)</f>
        <v>2.7915031029844566</v>
      </c>
      <c r="Z310" s="63">
        <f t="shared" si="24"/>
        <v>2504.3751509544813</v>
      </c>
      <c r="AA310" s="63">
        <f t="shared" si="25"/>
        <v>54.232894255383215</v>
      </c>
    </row>
    <row r="311" spans="1:27" ht="13.2" x14ac:dyDescent="0.25">
      <c r="A311" s="103" t="s">
        <v>359</v>
      </c>
      <c r="B311" s="20" t="s">
        <v>360</v>
      </c>
      <c r="C311" s="20" t="s">
        <v>73</v>
      </c>
      <c r="D311" s="104" t="s">
        <v>141</v>
      </c>
      <c r="E311" s="15">
        <v>71</v>
      </c>
      <c r="F311" s="15">
        <v>19</v>
      </c>
      <c r="G311" s="20" t="s">
        <v>169</v>
      </c>
      <c r="H311" s="20">
        <v>0.79</v>
      </c>
      <c r="I311" s="68">
        <f>MAX('Max rate concentrations'!$D$3:$D$368)</f>
        <v>720</v>
      </c>
      <c r="J311" s="68">
        <f>MAX('Max rate concentrations'!W:W)</f>
        <v>255</v>
      </c>
      <c r="K311" s="69">
        <f t="shared" si="22"/>
        <v>877.37091552313325</v>
      </c>
      <c r="L311" s="69">
        <f t="shared" si="27"/>
        <v>310.73553258110968</v>
      </c>
      <c r="M311" s="69">
        <f>IF((((1.18*F311^0.874)-(0.301*F311^0.751)/(1-H311)*H311)*(MAX('Max rate concentrations'!$P$3:$P$368)))/F311&gt;0, (((1.18*F311^0.874)-(0.301*F311^0.751)/(1-H311)*H311)*(MAX('Max rate concentrations'!$P$3:$P$368)))/F311, 0)</f>
        <v>0.23539699827083718</v>
      </c>
      <c r="N311" s="69">
        <f>IF((((1.18*F311^0.874)-(0.301*F311^0.751)/(1-H311)*H311)*(MAX('Max rate concentrations'!$Q$3:$Q$368)))/F311&gt;0, (((1.18*F311^0.874)-(0.301*F311^0.751)/(1-H311)*H311)*(MAX('Max rate concentrations'!$Q$3:$Q$368)))/F311, 0)</f>
        <v>0.89640441769273893</v>
      </c>
      <c r="O311" s="69">
        <f>((MAX('Max rate concentrations'!$F$3:$F$368))*0.62*6.01*8*(10*F311^0.667)*0.079*0.1/F311)*inputs!$E$80/(10^(0.84+0.62*LOG10(inputs!$E$80)))</f>
        <v>55.071699213544889</v>
      </c>
      <c r="P311" s="69">
        <f>((MAX('Max rate concentrations'!Y:Y))*0.62*6.01*8*(10*F311^0.667)*0.079*0.1/F311)*inputs!$E$80/(10^(0.84+0.62*LOG10(inputs!$E$80)))</f>
        <v>18.357233071181632</v>
      </c>
      <c r="Q311" s="69">
        <f>(inputs!$C$18*11.2*(10*F311^0.667)*0.5/F311)*inputs!$E$80/(10^(0.84+0.62*LOG10(inputs!$E$80)))</f>
        <v>9.7006200664962083</v>
      </c>
      <c r="R311" s="59">
        <f>(60*284*((F311/1000)^0.77)*3*24*(MAX('Max rate concentrations'!$R$3:$R$368))/F311)*(inputs!$E$73*3.4/inputs!$E$75)</f>
        <v>6.9979917664522634E-2</v>
      </c>
      <c r="S311" s="59">
        <f>(IF(inputs!$C$17="aerial",((0.025*0.112*inputs!$C$18/3.3)*(3*60*284*((F311/1000)^0.77))*MAX(inputs!$I$14:$I$16))/F311,((0.0083*0.112*inputs!$C$18/1)*(3*60*284*((F311/1000)^0.77))*MAX(inputs!$I$14:$I$16))/F311))*(inputs!E$75*3.4/inputs!$E$73)</f>
        <v>0.38594354536766318</v>
      </c>
      <c r="T311" s="63">
        <f>IF((((inputs!$P$13/(V311/MAX(K311:S311)))^(1/inputs!$O$13))-1)/inputs!$N$13&lt;0, 0, IF((((inputs!$P$13/(V311/MAX(K311:S311)))^(1/inputs!$O$13))-1)/inputs!$N$13&lt;inputs!$I$17, (((inputs!$P$13/(V311/MAX(K311:S311)))^(1/inputs!$O$13))-1)/inputs!$N$13, inputs!$I$17))</f>
        <v>1000</v>
      </c>
      <c r="U311" s="63">
        <f>IF((((inputs!$P$13/(X311/MAX(K311:S311)))^(1/inputs!$O$13))-1)/inputs!$N$13&lt;0, 0, IF((((inputs!$P$13/(X311/MAX(K311:S311)))^(1/inputs!$O$13))-1)/inputs!$N$13&lt;inputs!$I$17, (((inputs!$P$13/(X311/MAX(K311:S311)))^(1/inputs!$O$13))-1)/inputs!$N$13, inputs!$I$17))</f>
        <v>300.00998056245913</v>
      </c>
      <c r="V311" s="21">
        <f>inputs!$E$78*(F311/inputs!$F$78)^(inputs!$E$84-1)</f>
        <v>3.5124873481261372E-2</v>
      </c>
      <c r="W311" s="21">
        <f>inputs!$E$85*(F311/inputs!$F$85)^(inputs!$E$84-1)</f>
        <v>1.6220019516690172</v>
      </c>
      <c r="X311" s="21">
        <f>inputs!$E$80*(F311/inputs!$F$80)^(inputs!$E$84-1)</f>
        <v>6.0568427309159505</v>
      </c>
      <c r="Y311" s="21">
        <f>inputs!$E$82*(F311/inputs!$F$82)^(inputs!$E$84-1)</f>
        <v>2.7915031029844566</v>
      </c>
      <c r="Z311" s="63">
        <f t="shared" si="24"/>
        <v>24978.621374713231</v>
      </c>
      <c r="AA311" s="63">
        <f t="shared" si="25"/>
        <v>540.91853257040225</v>
      </c>
    </row>
    <row r="312" spans="1:27" ht="13.2" x14ac:dyDescent="0.25">
      <c r="A312" s="103" t="s">
        <v>359</v>
      </c>
      <c r="B312" s="20" t="s">
        <v>360</v>
      </c>
      <c r="C312" s="20" t="s">
        <v>73</v>
      </c>
      <c r="D312" s="104" t="s">
        <v>141</v>
      </c>
      <c r="E312" s="15">
        <v>71</v>
      </c>
      <c r="F312" s="15">
        <v>19</v>
      </c>
      <c r="G312" s="20" t="s">
        <v>158</v>
      </c>
      <c r="H312" s="20">
        <v>0.85</v>
      </c>
      <c r="I312" s="68">
        <f>MAX('Max rate concentrations'!$F$3:$F$368)</f>
        <v>405</v>
      </c>
      <c r="J312" s="68">
        <f>MAX('Max rate concentrations'!Y:Y)</f>
        <v>135</v>
      </c>
      <c r="K312" s="69">
        <f t="shared" si="22"/>
        <v>690.92959597446736</v>
      </c>
      <c r="L312" s="69">
        <f t="shared" si="27"/>
        <v>230.30986532482243</v>
      </c>
      <c r="M312" s="69">
        <f>IF((((1.18*F312^0.874)-(0.301*F312^0.751)/(1-H312)*H312)*(MAX('Max rate concentrations'!$P$3:$P$368)))/F312&gt;0, (((1.18*F312^0.874)-(0.301*F312^0.751)/(1-H312)*H312)*(MAX('Max rate concentrations'!$P$3:$P$368)))/F312, 0)</f>
        <v>0</v>
      </c>
      <c r="N312" s="69">
        <f>IF((((1.18*F312^0.874)-(0.301*F312^0.751)/(1-H312)*H312)*(MAX('Max rate concentrations'!$Q$3:$Q$368)))/F312&gt;0, (((1.18*F312^0.874)-(0.301*F312^0.751)/(1-H312)*H312)*(MAX('Max rate concentrations'!$Q$3:$Q$368)))/F312, 0)</f>
        <v>0</v>
      </c>
      <c r="O312" s="69">
        <f>((MAX('Max rate concentrations'!$F$3:$F$368))*0.62*6.01*8*(10*F312^0.667)*0.079*0.1/F312)*inputs!$E$80/(10^(0.84+0.62*LOG10(inputs!$E$80)))</f>
        <v>55.071699213544889</v>
      </c>
      <c r="P312" s="69">
        <f>((MAX('Max rate concentrations'!Y:Y))*0.62*6.01*8*(10*F312^0.667)*0.079*0.1/F312)*inputs!$E$80/(10^(0.84+0.62*LOG10(inputs!$E$80)))</f>
        <v>18.357233071181632</v>
      </c>
      <c r="Q312" s="69">
        <f>(inputs!$C$18*11.2*(10*F312^0.667)*0.5/F312)*inputs!$E$80/(10^(0.84+0.62*LOG10(inputs!$E$80)))</f>
        <v>9.7006200664962083</v>
      </c>
      <c r="R312" s="59">
        <f>(60*284*((F312/1000)^0.77)*3*24*(MAX('Max rate concentrations'!$R$3:$R$368))/F312)*(inputs!$E$73*3.4/inputs!$E$75)</f>
        <v>6.9979917664522634E-2</v>
      </c>
      <c r="S312" s="59">
        <f>(IF(inputs!$C$17="aerial",((0.025*0.112*inputs!$C$18/3.3)*(3*60*284*((F312/1000)^0.77))*MAX(inputs!$I$14:$I$16))/F312,((0.0083*0.112*inputs!$C$18/1)*(3*60*284*((F312/1000)^0.77))*MAX(inputs!$I$14:$I$16))/F312))*(inputs!E$75*3.4/inputs!$E$73)</f>
        <v>0.38594354536766318</v>
      </c>
      <c r="T312" s="63">
        <f>IF((((inputs!$P$13/(V312/MAX(K312:S312)))^(1/inputs!$O$13))-1)/inputs!$N$13&lt;0, 0, IF((((inputs!$P$13/(V312/MAX(K312:S312)))^(1/inputs!$O$13))-1)/inputs!$N$13&lt;inputs!$I$17, (((inputs!$P$13/(V312/MAX(K312:S312)))^(1/inputs!$O$13))-1)/inputs!$N$13, inputs!$I$17))</f>
        <v>1000</v>
      </c>
      <c r="U312" s="63">
        <f>IF((((inputs!$P$13/(X312/MAX(K312:S312)))^(1/inputs!$O$13))-1)/inputs!$N$13&lt;0, 0, IF((((inputs!$P$13/(X312/MAX(K312:S312)))^(1/inputs!$O$13))-1)/inputs!$N$13&lt;inputs!$I$17, (((inputs!$P$13/(X312/MAX(K312:S312)))^(1/inputs!$O$13))-1)/inputs!$N$13, inputs!$I$17))</f>
        <v>246.38890114425286</v>
      </c>
      <c r="V312" s="21">
        <f>inputs!$E$78*(F312/inputs!$F$78)^(inputs!$E$84-1)</f>
        <v>3.5124873481261372E-2</v>
      </c>
      <c r="W312" s="21">
        <f>inputs!$E$85*(F312/inputs!$F$85)^(inputs!$E$84-1)</f>
        <v>1.6220019516690172</v>
      </c>
      <c r="X312" s="21">
        <f>inputs!$E$80*(F312/inputs!$F$80)^(inputs!$E$84-1)</f>
        <v>6.0568427309159505</v>
      </c>
      <c r="Y312" s="21">
        <f>inputs!$E$82*(F312/inputs!$F$82)^(inputs!$E$84-1)</f>
        <v>2.7915031029844566</v>
      </c>
      <c r="Z312" s="63">
        <f t="shared" si="24"/>
        <v>19670.664332586668</v>
      </c>
      <c r="AA312" s="63">
        <f t="shared" si="25"/>
        <v>425.97334439919172</v>
      </c>
    </row>
    <row r="313" spans="1:27" ht="13.2" x14ac:dyDescent="0.25">
      <c r="A313" s="103" t="s">
        <v>359</v>
      </c>
      <c r="B313" s="20" t="s">
        <v>360</v>
      </c>
      <c r="C313" s="20" t="s">
        <v>73</v>
      </c>
      <c r="D313" s="104" t="s">
        <v>141</v>
      </c>
      <c r="E313" s="15">
        <v>71</v>
      </c>
      <c r="F313" s="15">
        <v>19</v>
      </c>
      <c r="G313" s="20" t="s">
        <v>154</v>
      </c>
      <c r="H313" s="20">
        <v>9.2999999999999999E-2</v>
      </c>
      <c r="I313" s="68">
        <f>MAX('Max rate concentrations'!$G$3:$G$368)</f>
        <v>45</v>
      </c>
      <c r="J313" s="68">
        <f>MAX('Max rate concentrations'!Z:Z)</f>
        <v>21</v>
      </c>
      <c r="K313" s="69">
        <f t="shared" si="22"/>
        <v>12.696243953959343</v>
      </c>
      <c r="L313" s="69">
        <f t="shared" si="27"/>
        <v>5.9249138451810266</v>
      </c>
      <c r="M313" s="69">
        <f>IF((((1.18*F313^0.874)-(0.301*F313^0.751)/(1-H313)*H313)*(MAX('Max rate concentrations'!$P$3:$P$368)))/F313&gt;0, (((1.18*F313^0.874)-(0.301*F313^0.751)/(1-H313)*H313)*(MAX('Max rate concentrations'!$P$3:$P$368)))/F313, 0)</f>
        <v>0.69621076414106497</v>
      </c>
      <c r="N313" s="69">
        <f>IF((((1.18*F313^0.874)-(0.301*F313^0.751)/(1-H313)*H313)*(MAX('Max rate concentrations'!$Q$3:$Q$368)))/F313&gt;0, (((1.18*F313^0.874)-(0.301*F313^0.751)/(1-H313)*H313)*(MAX('Max rate concentrations'!$Q$3:$Q$368)))/F313, 0)</f>
        <v>2.6512079984267372</v>
      </c>
      <c r="O313" s="69">
        <f>((MAX('Max rate concentrations'!$F$3:$F$368))*0.62*6.01*8*(10*F313^0.667)*0.079*0.1/F313)*inputs!$E$80/(10^(0.84+0.62*LOG10(inputs!$E$80)))</f>
        <v>55.071699213544889</v>
      </c>
      <c r="P313" s="69">
        <f>((MAX('Max rate concentrations'!Y:Y))*0.62*6.01*8*(10*F313^0.667)*0.079*0.1/F313)*inputs!$E$80/(10^(0.84+0.62*LOG10(inputs!$E$80)))</f>
        <v>18.357233071181632</v>
      </c>
      <c r="Q313" s="69">
        <f>(inputs!$C$18*11.2*(10*F313^0.667)*0.5/F313)*inputs!$E$80/(10^(0.84+0.62*LOG10(inputs!$E$80)))</f>
        <v>9.7006200664962083</v>
      </c>
      <c r="R313" s="59">
        <f>(60*284*((F313/1000)^0.77)*3*24*(MAX('Max rate concentrations'!$R$3:$R$368))/F313)*(inputs!$E$73*3.4/inputs!$E$75)</f>
        <v>6.9979917664522634E-2</v>
      </c>
      <c r="S313" s="59">
        <f>(IF(inputs!$C$17="aerial",((0.025*0.112*inputs!$C$18/3.3)*(3*60*284*((F313/1000)^0.77))*MAX(inputs!$I$14:$I$16))/F313,((0.0083*0.112*inputs!$C$18/1)*(3*60*284*((F313/1000)^0.77))*MAX(inputs!$I$14:$I$16))/F313))*(inputs!E$75*3.4/inputs!$E$73)</f>
        <v>0.38594354536766318</v>
      </c>
      <c r="T313" s="63">
        <f>IF((((inputs!$P$13/(V313/MAX(K313:S313)))^(1/inputs!$O$13))-1)/inputs!$N$13&lt;0, 0, IF((((inputs!$P$13/(V313/MAX(K313:S313)))^(1/inputs!$O$13))-1)/inputs!$N$13&lt;inputs!$I$17, (((inputs!$P$13/(V313/MAX(K313:S313)))^(1/inputs!$O$13))-1)/inputs!$N$13, inputs!$I$17))</f>
        <v>1000</v>
      </c>
      <c r="U313" s="63">
        <f>IF((((inputs!$P$13/(X313/MAX(K313:S313)))^(1/inputs!$O$13))-1)/inputs!$N$13&lt;0, 0, IF((((inputs!$P$13/(X313/MAX(K313:S313)))^(1/inputs!$O$13))-1)/inputs!$N$13&lt;inputs!$I$17, (((inputs!$P$13/(X313/MAX(K313:S313)))^(1/inputs!$O$13))-1)/inputs!$N$13, inputs!$I$17))</f>
        <v>27.312165527097747</v>
      </c>
      <c r="V313" s="21">
        <f>inputs!$E$78*(F313/inputs!$F$78)^(inputs!$E$84-1)</f>
        <v>3.5124873481261372E-2</v>
      </c>
      <c r="W313" s="21">
        <f>inputs!$E$85*(F313/inputs!$F$85)^(inputs!$E$84-1)</f>
        <v>1.6220019516690172</v>
      </c>
      <c r="X313" s="21">
        <f>inputs!$E$80*(F313/inputs!$F$80)^(inputs!$E$84-1)</f>
        <v>6.0568427309159505</v>
      </c>
      <c r="Y313" s="21">
        <f>inputs!$E$82*(F313/inputs!$F$82)^(inputs!$E$84-1)</f>
        <v>2.7915031029844566</v>
      </c>
      <c r="Z313" s="63">
        <f t="shared" si="24"/>
        <v>1567.8832051288348</v>
      </c>
      <c r="AA313" s="63">
        <f t="shared" si="25"/>
        <v>33.952917970830356</v>
      </c>
    </row>
    <row r="314" spans="1:27" ht="13.2" x14ac:dyDescent="0.25">
      <c r="A314" s="103" t="s">
        <v>372</v>
      </c>
      <c r="B314" s="20" t="s">
        <v>373</v>
      </c>
      <c r="C314" s="20" t="s">
        <v>73</v>
      </c>
      <c r="D314" s="104" t="s">
        <v>141</v>
      </c>
      <c r="E314" s="15">
        <v>123</v>
      </c>
      <c r="F314" s="15">
        <v>7.4</v>
      </c>
      <c r="G314" s="20" t="s">
        <v>142</v>
      </c>
      <c r="H314" s="20">
        <v>0.69</v>
      </c>
      <c r="I314" s="68">
        <f>MAX('Max rate concentrations'!$H$3:$H$368)</f>
        <v>282</v>
      </c>
      <c r="J314" s="68">
        <f>MAX('Max rate concentrations'!AA:AA)</f>
        <v>195</v>
      </c>
      <c r="K314" s="69">
        <f t="shared" si="22"/>
        <v>268.15489466248306</v>
      </c>
      <c r="L314" s="69">
        <f t="shared" si="27"/>
        <v>185.4262569474617</v>
      </c>
      <c r="M314" s="69">
        <f>IF((((1.18*F314^0.874)-(0.301*F314^0.751)/(1-H314)*H314)*(MAX('Max rate concentrations'!$P$3:$P$368)))/F314&gt;0, (((1.18*F314^0.874)-(0.301*F314^0.751)/(1-H314)*H314)*(MAX('Max rate concentrations'!$P$3:$P$368)))/F314, 0)</f>
        <v>0.44411665664562278</v>
      </c>
      <c r="N314" s="69">
        <f>IF((((1.18*F314^0.874)-(0.301*F314^0.751)/(1-H314)*H314)*(MAX('Max rate concentrations'!$Q$3:$Q$368)))/F314&gt;0, (((1.18*F314^0.874)-(0.301*F314^0.751)/(1-H314)*H314)*(MAX('Max rate concentrations'!$Q$3:$Q$368)))/F314, 0)</f>
        <v>1.6912200916428866</v>
      </c>
      <c r="O314" s="69">
        <f>((MAX('Max rate concentrations'!$F$3:$F$368))*0.62*6.01*8*(10*F314^0.667)*0.079*0.1/F314)*inputs!$E$80/(10^(0.84+0.62*LOG10(inputs!$E$80)))</f>
        <v>75.387486395179366</v>
      </c>
      <c r="P314" s="69">
        <f>((MAX('Max rate concentrations'!Y:Y))*0.62*6.01*8*(10*F314^0.667)*0.079*0.1/F314)*inputs!$E$80/(10^(0.84+0.62*LOG10(inputs!$E$80)))</f>
        <v>25.129162131726456</v>
      </c>
      <c r="Q314" s="69">
        <f>(inputs!$C$18*11.2*(10*F314^0.667)*0.5/F314)*inputs!$E$80/(10^(0.84+0.62*LOG10(inputs!$E$80)))</f>
        <v>13.27915015754448</v>
      </c>
      <c r="R314" s="59">
        <f>(60*284*((F314/1000)^0.77)*3*24*(MAX('Max rate concentrations'!$R$3:$R$368))/F314)*(inputs!$E$73*3.4/inputs!$E$75)</f>
        <v>8.692875503662259E-2</v>
      </c>
      <c r="S314" s="59">
        <f>(IF(inputs!$C$17="aerial",((0.025*0.112*inputs!$C$18/3.3)*(3*60*284*((F314/1000)^0.77))*MAX(inputs!$I$14:$I$16))/F314,((0.0083*0.112*inputs!$C$18/1)*(3*60*284*((F314/1000)^0.77))*MAX(inputs!$I$14:$I$16))/F314))*(inputs!E$75*3.4/inputs!$E$73)</f>
        <v>0.47941742478270583</v>
      </c>
      <c r="T314" s="63">
        <f>IF((((inputs!$P$13/(V314/MAX(K314:S314)))^(1/inputs!$O$13))-1)/inputs!$N$13&lt;0, 0, IF((((inputs!$P$13/(V314/MAX(K314:S314)))^(1/inputs!$O$13))-1)/inputs!$N$13&lt;inputs!$I$17, (((inputs!$P$13/(V314/MAX(K314:S314)))^(1/inputs!$O$13))-1)/inputs!$N$13, inputs!$I$17))</f>
        <v>1000</v>
      </c>
      <c r="U314" s="63">
        <f>IF((((inputs!$P$13/(X314/MAX(K314:S314)))^(1/inputs!$O$13))-1)/inputs!$N$13&lt;0, 0, IF((((inputs!$P$13/(X314/MAX(K314:S314)))^(1/inputs!$O$13))-1)/inputs!$N$13&lt;inputs!$I$17, (((inputs!$P$13/(X314/MAX(K314:S314)))^(1/inputs!$O$13))-1)/inputs!$N$13, inputs!$I$17))</f>
        <v>83.040944109743691</v>
      </c>
      <c r="V314" s="21">
        <f>inputs!$E$78*(F314/inputs!$F$78)^(inputs!$E$84-1)</f>
        <v>4.9789511425584437E-2</v>
      </c>
      <c r="W314" s="21">
        <f>inputs!$E$85*(F314/inputs!$F$85)^(inputs!$E$84-1)</f>
        <v>2.2991879173039136</v>
      </c>
      <c r="X314" s="21">
        <f>inputs!$E$80*(F314/inputs!$F$80)^(inputs!$E$84-1)</f>
        <v>8.5855751342361319</v>
      </c>
      <c r="Y314" s="21">
        <f>inputs!$E$82*(F314/inputs!$F$82)^(inputs!$E$84-1)</f>
        <v>3.9569559080332892</v>
      </c>
      <c r="Z314" s="63">
        <f t="shared" si="24"/>
        <v>5385.770757426857</v>
      </c>
      <c r="AA314" s="63">
        <f t="shared" si="25"/>
        <v>116.63026438349081</v>
      </c>
    </row>
    <row r="315" spans="1:27" ht="13.2" x14ac:dyDescent="0.25">
      <c r="A315" s="103" t="s">
        <v>224</v>
      </c>
      <c r="B315" s="20" t="s">
        <v>225</v>
      </c>
      <c r="C315" s="20" t="s">
        <v>73</v>
      </c>
      <c r="D315" s="104" t="s">
        <v>141</v>
      </c>
      <c r="E315" s="15">
        <v>118</v>
      </c>
      <c r="F315" s="15">
        <v>240</v>
      </c>
      <c r="G315" s="20" t="s">
        <v>142</v>
      </c>
      <c r="H315" s="20">
        <v>0.69</v>
      </c>
      <c r="I315" s="68">
        <f>MAX('Max rate concentrations'!$H$3:$H$368)</f>
        <v>282</v>
      </c>
      <c r="J315" s="68">
        <f>MAX('Max rate concentrations'!AA:AA)</f>
        <v>195</v>
      </c>
      <c r="K315" s="69">
        <f t="shared" si="22"/>
        <v>159.12514056543654</v>
      </c>
      <c r="L315" s="69">
        <f t="shared" si="27"/>
        <v>110.03334188035505</v>
      </c>
      <c r="M315" s="69">
        <f>IF((((1.18*F315^0.874)-(0.301*F315^0.751)/(1-H315)*H315)*(MAX('Max rate concentrations'!$P$3:$P$368)))/F315&gt;0, (((1.18*F315^0.874)-(0.301*F315^0.751)/(1-H315)*H315)*(MAX('Max rate concentrations'!$P$3:$P$368)))/F315, 0)</f>
        <v>0.3661008267829387</v>
      </c>
      <c r="N315" s="69">
        <f>IF((((1.18*F315^0.874)-(0.301*F315^0.751)/(1-H315)*H315)*(MAX('Max rate concentrations'!$Q$3:$Q$368)))/F315&gt;0, (((1.18*F315^0.874)-(0.301*F315^0.751)/(1-H315)*H315)*(MAX('Max rate concentrations'!$Q$3:$Q$368)))/F315, 0)</f>
        <v>1.3941316196037803</v>
      </c>
      <c r="O315" s="69">
        <f>((MAX('Max rate concentrations'!$F$3:$F$368))*0.62*6.01*8*(10*F315^0.667)*0.079*0.1/F315)*inputs!$E$80/(10^(0.84+0.62*LOG10(inputs!$E$80)))</f>
        <v>23.666992997596275</v>
      </c>
      <c r="P315" s="69">
        <f>((MAX('Max rate concentrations'!Y:Y))*0.62*6.01*8*(10*F315^0.667)*0.079*0.1/F315)*inputs!$E$80/(10^(0.84+0.62*LOG10(inputs!$E$80)))</f>
        <v>7.8889976658654275</v>
      </c>
      <c r="Q315" s="69">
        <f>(inputs!$C$18*11.2*(10*F315^0.667)*0.5/F315)*inputs!$E$80/(10^(0.84+0.62*LOG10(inputs!$E$80)))</f>
        <v>4.1688291893060274</v>
      </c>
      <c r="R315" s="59">
        <f>(60*284*((F315/1000)^0.77)*3*24*(MAX('Max rate concentrations'!$R$3:$R$368))/F315)*(inputs!$E$73*3.4/inputs!$E$75)</f>
        <v>3.90515404332143E-2</v>
      </c>
      <c r="S315" s="59">
        <f>(IF(inputs!$C$17="aerial",((0.025*0.112*inputs!$C$18/3.3)*(3*60*284*((F315/1000)^0.77))*MAX(inputs!$I$14:$I$16))/F315,((0.0083*0.112*inputs!$C$18/1)*(3*60*284*((F315/1000)^0.77))*MAX(inputs!$I$14:$I$16))/F315))*(inputs!E$75*3.4/inputs!$E$73)</f>
        <v>0.21537164474979356</v>
      </c>
      <c r="T315" s="63">
        <f>IF((((inputs!$P$13/(V315/MAX(K315:S315)))^(1/inputs!$O$13))-1)/inputs!$N$13&lt;0, 0, IF((((inputs!$P$13/(V315/MAX(K315:S315)))^(1/inputs!$O$13))-1)/inputs!$N$13&lt;inputs!$I$17, (((inputs!$P$13/(V315/MAX(K315:S315)))^(1/inputs!$O$13))-1)/inputs!$N$13, inputs!$I$17))</f>
        <v>1000</v>
      </c>
      <c r="U315" s="63">
        <f>IF((((inputs!$P$13/(X315/MAX(K315:S315)))^(1/inputs!$O$13))-1)/inputs!$N$13&lt;0, 0, IF((((inputs!$P$13/(X315/MAX(K315:S315)))^(1/inputs!$O$13))-1)/inputs!$N$13&lt;inputs!$I$17, (((inputs!$P$13/(X315/MAX(K315:S315)))^(1/inputs!$O$13))-1)/inputs!$N$13, inputs!$I$17))</f>
        <v>158.68773020561216</v>
      </c>
      <c r="V315" s="21">
        <f>inputs!$E$78*(F315/inputs!$F$78)^(inputs!$E$84-1)</f>
        <v>1.3742806812884194E-2</v>
      </c>
      <c r="W315" s="21">
        <f>inputs!$E$85*(F315/inputs!$F$85)^(inputs!$E$84-1)</f>
        <v>0.63461750214702672</v>
      </c>
      <c r="X315" s="21">
        <f>inputs!$E$80*(F315/inputs!$F$80)^(inputs!$E$84-1)</f>
        <v>2.3697742168781373</v>
      </c>
      <c r="Y315" s="21">
        <f>inputs!$E$82*(F315/inputs!$F$82)^(inputs!$E$84-1)</f>
        <v>1.0921914888134281</v>
      </c>
      <c r="Z315" s="63">
        <f t="shared" si="24"/>
        <v>11578.794836601581</v>
      </c>
      <c r="AA315" s="63">
        <f t="shared" si="25"/>
        <v>250.74180908513739</v>
      </c>
    </row>
    <row r="316" spans="1:27" ht="13.2" x14ac:dyDescent="0.25">
      <c r="A316" s="103" t="s">
        <v>224</v>
      </c>
      <c r="B316" s="20" t="s">
        <v>225</v>
      </c>
      <c r="C316" s="20" t="s">
        <v>73</v>
      </c>
      <c r="D316" s="104" t="s">
        <v>141</v>
      </c>
      <c r="E316" s="15">
        <v>118</v>
      </c>
      <c r="F316" s="15">
        <v>240</v>
      </c>
      <c r="G316" s="20" t="s">
        <v>152</v>
      </c>
      <c r="H316" s="20">
        <v>0.77</v>
      </c>
      <c r="I316" s="68">
        <f>MAX('Max rate concentrations'!$G$3:$G$368)</f>
        <v>45</v>
      </c>
      <c r="J316" s="68">
        <f>MAX('Max rate concentrations'!Z:Z)</f>
        <v>21</v>
      </c>
      <c r="K316" s="69">
        <f t="shared" si="22"/>
        <v>34.224417374157269</v>
      </c>
      <c r="L316" s="69">
        <f t="shared" si="27"/>
        <v>15.971394774606724</v>
      </c>
      <c r="M316" s="69">
        <f>IF((((1.18*F316^0.874)-(0.301*F316^0.751)/(1-H316)*H316)*(MAX('Max rate concentrations'!$P$3:$P$368)))/F316&gt;0, (((1.18*F316^0.874)-(0.301*F316^0.751)/(1-H316)*H316)*(MAX('Max rate concentrations'!$P$3:$P$368)))/F316, 0)</f>
        <v>0.29096332477944448</v>
      </c>
      <c r="N316" s="69">
        <f>IF((((1.18*F316^0.874)-(0.301*F316^0.751)/(1-H316)*H316)*(MAX('Max rate concentrations'!$Q$3:$Q$368)))/F316&gt;0, (((1.18*F316^0.874)-(0.301*F316^0.751)/(1-H316)*H316)*(MAX('Max rate concentrations'!$Q$3:$Q$368)))/F316, 0)</f>
        <v>1.1080039747098751</v>
      </c>
      <c r="O316" s="69">
        <f>((MAX('Max rate concentrations'!$F$3:$F$368))*0.62*6.01*8*(10*F316^0.667)*0.079*0.1/F316)*inputs!$E$80/(10^(0.84+0.62*LOG10(inputs!$E$80)))</f>
        <v>23.666992997596275</v>
      </c>
      <c r="P316" s="69">
        <f>((MAX('Max rate concentrations'!Y:Y))*0.62*6.01*8*(10*F316^0.667)*0.079*0.1/F316)*inputs!$E$80/(10^(0.84+0.62*LOG10(inputs!$E$80)))</f>
        <v>7.8889976658654275</v>
      </c>
      <c r="Q316" s="69">
        <f>(inputs!$C$18*11.2*(10*F316^0.667)*0.5/F316)*inputs!$E$80/(10^(0.84+0.62*LOG10(inputs!$E$80)))</f>
        <v>4.1688291893060274</v>
      </c>
      <c r="R316" s="59">
        <f>(60*284*((F316/1000)^0.77)*3*24*(MAX('Max rate concentrations'!$R$3:$R$368))/F316)*(inputs!$E$73*3.4/inputs!$E$75)</f>
        <v>3.90515404332143E-2</v>
      </c>
      <c r="S316" s="59">
        <f>(IF(inputs!$C$17="aerial",((0.025*0.112*inputs!$C$18/3.3)*(3*60*284*((F316/1000)^0.77))*MAX(inputs!$I$14:$I$16))/F316,((0.0083*0.112*inputs!$C$18/1)*(3*60*284*((F316/1000)^0.77))*MAX(inputs!$I$14:$I$16))/F316))*(inputs!E$75*3.4/inputs!$E$73)</f>
        <v>0.21537164474979356</v>
      </c>
      <c r="T316" s="63">
        <f>IF((((inputs!$P$13/(V316/MAX(K316:S316)))^(1/inputs!$O$13))-1)/inputs!$N$13&lt;0, 0, IF((((inputs!$P$13/(V316/MAX(K316:S316)))^(1/inputs!$O$13))-1)/inputs!$N$13&lt;inputs!$I$17, (((inputs!$P$13/(V316/MAX(K316:S316)))^(1/inputs!$O$13))-1)/inputs!$N$13, inputs!$I$17))</f>
        <v>1000</v>
      </c>
      <c r="U316" s="63">
        <f>IF((((inputs!$P$13/(X316/MAX(K316:S316)))^(1/inputs!$O$13))-1)/inputs!$N$13&lt;0, 0, IF((((inputs!$P$13/(X316/MAX(K316:S316)))^(1/inputs!$O$13))-1)/inputs!$N$13&lt;inputs!$I$17, (((inputs!$P$13/(X316/MAX(K316:S316)))^(1/inputs!$O$13))-1)/inputs!$N$13, inputs!$I$17))</f>
        <v>42.078056817470589</v>
      </c>
      <c r="V316" s="21">
        <f>inputs!$E$78*(F316/inputs!$F$78)^(inputs!$E$84-1)</f>
        <v>1.3742806812884194E-2</v>
      </c>
      <c r="W316" s="21">
        <f>inputs!$E$85*(F316/inputs!$F$85)^(inputs!$E$84-1)</f>
        <v>0.63461750214702672</v>
      </c>
      <c r="X316" s="21">
        <f>inputs!$E$80*(F316/inputs!$F$80)^(inputs!$E$84-1)</f>
        <v>2.3697742168781373</v>
      </c>
      <c r="Y316" s="21">
        <f>inputs!$E$82*(F316/inputs!$F$82)^(inputs!$E$84-1)</f>
        <v>1.0921914888134281</v>
      </c>
      <c r="Z316" s="63">
        <f t="shared" si="24"/>
        <v>2490.3513408971958</v>
      </c>
      <c r="AA316" s="63">
        <f t="shared" si="25"/>
        <v>53.929205006747885</v>
      </c>
    </row>
    <row r="317" spans="1:27" ht="13.2" x14ac:dyDescent="0.25">
      <c r="A317" s="103" t="s">
        <v>224</v>
      </c>
      <c r="B317" s="20" t="s">
        <v>225</v>
      </c>
      <c r="C317" s="20" t="s">
        <v>73</v>
      </c>
      <c r="D317" s="104" t="s">
        <v>141</v>
      </c>
      <c r="E317" s="15">
        <v>118</v>
      </c>
      <c r="F317" s="15">
        <v>240</v>
      </c>
      <c r="G317" s="20" t="s">
        <v>169</v>
      </c>
      <c r="H317" s="20">
        <v>0.79</v>
      </c>
      <c r="I317" s="68">
        <f>MAX('Max rate concentrations'!$D$3:$D$368)</f>
        <v>720</v>
      </c>
      <c r="J317" s="68">
        <f>MAX('Max rate concentrations'!W:W)</f>
        <v>255</v>
      </c>
      <c r="K317" s="69">
        <f t="shared" si="22"/>
        <v>599.74217112808935</v>
      </c>
      <c r="L317" s="69">
        <f t="shared" si="27"/>
        <v>212.40868560786495</v>
      </c>
      <c r="M317" s="69">
        <f>IF((((1.18*F317^0.874)-(0.301*F317^0.751)/(1-H317)*H317)*(MAX('Max rate concentrations'!$P$3:$P$368)))/F317&gt;0, (((1.18*F317^0.874)-(0.301*F317^0.751)/(1-H317)*H317)*(MAX('Max rate concentrations'!$P$3:$P$368)))/F317, 0)</f>
        <v>0.26323400856386919</v>
      </c>
      <c r="N317" s="69">
        <f>IF((((1.18*F317^0.874)-(0.301*F317^0.751)/(1-H317)*H317)*(MAX('Max rate concentrations'!$Q$3:$Q$368)))/F317&gt;0, (((1.18*F317^0.874)-(0.301*F317^0.751)/(1-H317)*H317)*(MAX('Max rate concentrations'!$Q$3:$Q$368)))/F317, 0)</f>
        <v>1.0024092486180769</v>
      </c>
      <c r="O317" s="69">
        <f>((MAX('Max rate concentrations'!$F$3:$F$368))*0.62*6.01*8*(10*F317^0.667)*0.079*0.1/F317)*inputs!$E$80/(10^(0.84+0.62*LOG10(inputs!$E$80)))</f>
        <v>23.666992997596275</v>
      </c>
      <c r="P317" s="69">
        <f>((MAX('Max rate concentrations'!Y:Y))*0.62*6.01*8*(10*F317^0.667)*0.079*0.1/F317)*inputs!$E$80/(10^(0.84+0.62*LOG10(inputs!$E$80)))</f>
        <v>7.8889976658654275</v>
      </c>
      <c r="Q317" s="69">
        <f>(inputs!$C$18*11.2*(10*F317^0.667)*0.5/F317)*inputs!$E$80/(10^(0.84+0.62*LOG10(inputs!$E$80)))</f>
        <v>4.1688291893060274</v>
      </c>
      <c r="R317" s="59">
        <f>(60*284*((F317/1000)^0.77)*3*24*(MAX('Max rate concentrations'!$R$3:$R$368))/F317)*(inputs!$E$73*3.4/inputs!$E$75)</f>
        <v>3.90515404332143E-2</v>
      </c>
      <c r="S317" s="59">
        <f>(IF(inputs!$C$17="aerial",((0.025*0.112*inputs!$C$18/3.3)*(3*60*284*((F317/1000)^0.77))*MAX(inputs!$I$14:$I$16))/F317,((0.0083*0.112*inputs!$C$18/1)*(3*60*284*((F317/1000)^0.77))*MAX(inputs!$I$14:$I$16))/F317))*(inputs!E$75*3.4/inputs!$E$73)</f>
        <v>0.21537164474979356</v>
      </c>
      <c r="T317" s="63">
        <f>IF((((inputs!$P$13/(V317/MAX(K317:S317)))^(1/inputs!$O$13))-1)/inputs!$N$13&lt;0, 0, IF((((inputs!$P$13/(V317/MAX(K317:S317)))^(1/inputs!$O$13))-1)/inputs!$N$13&lt;inputs!$I$17, (((inputs!$P$13/(V317/MAX(K317:S317)))^(1/inputs!$O$13))-1)/inputs!$N$13, inputs!$I$17))</f>
        <v>1000</v>
      </c>
      <c r="U317" s="63">
        <f>IF((((inputs!$P$13/(X317/MAX(K317:S317)))^(1/inputs!$O$13))-1)/inputs!$N$13&lt;0, 0, IF((((inputs!$P$13/(X317/MAX(K317:S317)))^(1/inputs!$O$13))-1)/inputs!$N$13&lt;inputs!$I$17, (((inputs!$P$13/(X317/MAX(K317:S317)))^(1/inputs!$O$13))-1)/inputs!$N$13, inputs!$I$17))</f>
        <v>474.05879445520884</v>
      </c>
      <c r="V317" s="21">
        <f>inputs!$E$78*(F317/inputs!$F$78)^(inputs!$E$84-1)</f>
        <v>1.3742806812884194E-2</v>
      </c>
      <c r="W317" s="21">
        <f>inputs!$E$85*(F317/inputs!$F$85)^(inputs!$E$84-1)</f>
        <v>0.63461750214702672</v>
      </c>
      <c r="X317" s="21">
        <f>inputs!$E$80*(F317/inputs!$F$80)^(inputs!$E$84-1)</f>
        <v>2.3697742168781373</v>
      </c>
      <c r="Y317" s="21">
        <f>inputs!$E$82*(F317/inputs!$F$82)^(inputs!$E$84-1)</f>
        <v>1.0921914888134281</v>
      </c>
      <c r="Z317" s="63">
        <f t="shared" si="24"/>
        <v>43640.4425452461</v>
      </c>
      <c r="AA317" s="63">
        <f t="shared" si="25"/>
        <v>945.04511630872491</v>
      </c>
    </row>
    <row r="318" spans="1:27" ht="13.2" x14ac:dyDescent="0.25">
      <c r="A318" s="103" t="s">
        <v>224</v>
      </c>
      <c r="B318" s="20" t="s">
        <v>225</v>
      </c>
      <c r="C318" s="20" t="s">
        <v>73</v>
      </c>
      <c r="D318" s="104" t="s">
        <v>141</v>
      </c>
      <c r="E318" s="15">
        <v>118</v>
      </c>
      <c r="F318" s="15">
        <v>240</v>
      </c>
      <c r="G318" s="20" t="s">
        <v>177</v>
      </c>
      <c r="H318" s="20">
        <v>0.85</v>
      </c>
      <c r="I318" s="68">
        <f>MAX('Max rate concentrations'!$F$3:$F$368)</f>
        <v>405</v>
      </c>
      <c r="J318" s="68">
        <f>MAX('Max rate concentrations'!Y:Y)</f>
        <v>135</v>
      </c>
      <c r="K318" s="69">
        <f t="shared" si="22"/>
        <v>472.29695976337018</v>
      </c>
      <c r="L318" s="69">
        <f t="shared" si="27"/>
        <v>157.43231992112339</v>
      </c>
      <c r="M318" s="69">
        <f>IF((((1.18*F318^0.874)-(0.301*F318^0.751)/(1-H318)*H318)*(MAX('Max rate concentrations'!$P$3:$P$368)))/F318&gt;0, (((1.18*F318^0.874)-(0.301*F318^0.751)/(1-H318)*H318)*(MAX('Max rate concentrations'!$P$3:$P$368)))/F318, 0)</f>
        <v>0.13567915397222322</v>
      </c>
      <c r="N318" s="69">
        <f>IF((((1.18*F318^0.874)-(0.301*F318^0.751)/(1-H318)*H318)*(MAX('Max rate concentrations'!$Q$3:$Q$368)))/F318&gt;0, (((1.18*F318^0.874)-(0.301*F318^0.751)/(1-H318)*H318)*(MAX('Max rate concentrations'!$Q$3:$Q$368)))/F318, 0)</f>
        <v>0.51667350859580574</v>
      </c>
      <c r="O318" s="69">
        <f>((MAX('Max rate concentrations'!$F$3:$F$368))*0.62*6.01*8*(10*F318^0.667)*0.079*0.1/F318)*inputs!$E$80/(10^(0.84+0.62*LOG10(inputs!$E$80)))</f>
        <v>23.666992997596275</v>
      </c>
      <c r="P318" s="69">
        <f>((MAX('Max rate concentrations'!Y:Y))*0.62*6.01*8*(10*F318^0.667)*0.079*0.1/F318)*inputs!$E$80/(10^(0.84+0.62*LOG10(inputs!$E$80)))</f>
        <v>7.8889976658654275</v>
      </c>
      <c r="Q318" s="69">
        <f>(inputs!$C$18*11.2*(10*F318^0.667)*0.5/F318)*inputs!$E$80/(10^(0.84+0.62*LOG10(inputs!$E$80)))</f>
        <v>4.1688291893060274</v>
      </c>
      <c r="R318" s="59">
        <f>(60*284*((F318/1000)^0.77)*3*24*(MAX('Max rate concentrations'!$R$3:$R$368))/F318)*(inputs!$E$73*3.4/inputs!$E$75)</f>
        <v>3.90515404332143E-2</v>
      </c>
      <c r="S318" s="59">
        <f>(IF(inputs!$C$17="aerial",((0.025*0.112*inputs!$C$18/3.3)*(3*60*284*((F318/1000)^0.77))*MAX(inputs!$I$14:$I$16))/F318,((0.0083*0.112*inputs!$C$18/1)*(3*60*284*((F318/1000)^0.77))*MAX(inputs!$I$14:$I$16))/F318))*(inputs!E$75*3.4/inputs!$E$73)</f>
        <v>0.21537164474979356</v>
      </c>
      <c r="T318" s="63">
        <f>IF((((inputs!$P$13/(V318/MAX(K318:S318)))^(1/inputs!$O$13))-1)/inputs!$N$13&lt;0, 0, IF((((inputs!$P$13/(V318/MAX(K318:S318)))^(1/inputs!$O$13))-1)/inputs!$N$13&lt;inputs!$I$17, (((inputs!$P$13/(V318/MAX(K318:S318)))^(1/inputs!$O$13))-1)/inputs!$N$13, inputs!$I$17))</f>
        <v>1000</v>
      </c>
      <c r="U318" s="63">
        <f>IF((((inputs!$P$13/(X318/MAX(K318:S318)))^(1/inputs!$O$13))-1)/inputs!$N$13&lt;0, 0, IF((((inputs!$P$13/(X318/MAX(K318:S318)))^(1/inputs!$O$13))-1)/inputs!$N$13&lt;inputs!$I$17, (((inputs!$P$13/(X318/MAX(K318:S318)))^(1/inputs!$O$13))-1)/inputs!$N$13, inputs!$I$17))</f>
        <v>389.86254264457637</v>
      </c>
      <c r="V318" s="21">
        <f>inputs!$E$78*(F318/inputs!$F$78)^(inputs!$E$84-1)</f>
        <v>1.3742806812884194E-2</v>
      </c>
      <c r="W318" s="21">
        <f>inputs!$E$85*(F318/inputs!$F$85)^(inputs!$E$84-1)</f>
        <v>0.63461750214702672</v>
      </c>
      <c r="X318" s="21">
        <f>inputs!$E$80*(F318/inputs!$F$80)^(inputs!$E$84-1)</f>
        <v>2.3697742168781373</v>
      </c>
      <c r="Y318" s="21">
        <f>inputs!$E$82*(F318/inputs!$F$82)^(inputs!$E$84-1)</f>
        <v>1.0921914888134281</v>
      </c>
      <c r="Z318" s="63">
        <f t="shared" si="24"/>
        <v>34366.848504381291</v>
      </c>
      <c r="AA318" s="63">
        <f t="shared" si="25"/>
        <v>744.22302909312054</v>
      </c>
    </row>
    <row r="319" spans="1:27" ht="13.2" x14ac:dyDescent="0.25">
      <c r="A319" s="103" t="s">
        <v>224</v>
      </c>
      <c r="B319" s="20" t="s">
        <v>225</v>
      </c>
      <c r="C319" s="20" t="s">
        <v>73</v>
      </c>
      <c r="D319" s="104" t="s">
        <v>141</v>
      </c>
      <c r="E319" s="15">
        <v>118</v>
      </c>
      <c r="F319" s="15">
        <v>240</v>
      </c>
      <c r="G319" s="21" t="s">
        <v>456</v>
      </c>
      <c r="H319" s="20">
        <v>0.68</v>
      </c>
      <c r="I319" s="68">
        <f>MAX('Max rate concentrations'!$J$3:$J$368)</f>
        <v>686.46486205830786</v>
      </c>
      <c r="J319" s="68">
        <f>MAX('Max rate concentrations'!AB:AB)</f>
        <v>243.122971978984</v>
      </c>
      <c r="K319" s="69">
        <f t="shared" si="22"/>
        <v>375.24915200754651</v>
      </c>
      <c r="L319" s="69">
        <f t="shared" si="27"/>
        <v>132.90074133600604</v>
      </c>
      <c r="M319" s="69">
        <f>IF((((1.18*F319^0.874)-(0.301*F319^0.751)/(1-H319)*H319)*(MAX('Max rate concentrations'!$P$3:$P$368)))/F319&gt;0, (((1.18*F319^0.874)-(0.301*F319^0.751)/(1-H319)*H319)*(MAX('Max rate concentrations'!$P$3:$P$368)))/F319, 0)</f>
        <v>0.37285146172856509</v>
      </c>
      <c r="N319" s="69">
        <f>IF((((1.18*F319^0.874)-(0.301*F319^0.751)/(1-H319)*H319)*(MAX('Max rate concentrations'!$Q$3:$Q$368)))/F319&gt;0, (((1.18*F319^0.874)-(0.301*F319^0.751)/(1-H319)*H319)*(MAX('Max rate concentrations'!$Q$3:$Q$368)))/F319, 0)</f>
        <v>1.4198384001997166</v>
      </c>
      <c r="O319" s="69">
        <f>((MAX('Max rate concentrations'!$F$3:$F$368))*0.62*6.01*8*(10*F319^0.667)*0.079*0.1/F319)*inputs!$E$80/(10^(0.84+0.62*LOG10(inputs!$E$80)))</f>
        <v>23.666992997596275</v>
      </c>
      <c r="P319" s="69">
        <f>((MAX('Max rate concentrations'!Y:Y))*0.62*6.01*8*(10*F319^0.667)*0.079*0.1/F319)*inputs!$E$80/(10^(0.84+0.62*LOG10(inputs!$E$80)))</f>
        <v>7.8889976658654275</v>
      </c>
      <c r="Q319" s="69">
        <f>(inputs!$C$18*11.2*(10*F319^0.667)*0.5/F319)*inputs!$E$80/(10^(0.84+0.62*LOG10(inputs!$E$80)))</f>
        <v>4.1688291893060274</v>
      </c>
      <c r="R319" s="59">
        <f>(60*284*((F319/1000)^0.77)*3*24*(MAX('Max rate concentrations'!$R$3:$R$368))/F319)*(inputs!$E$73*3.4/inputs!$E$75)</f>
        <v>3.90515404332143E-2</v>
      </c>
      <c r="S319" s="59">
        <f>(IF(inputs!$C$17="aerial",((0.025*0.112*inputs!$C$18/3.3)*(3*60*284*((F319/1000)^0.77))*MAX(inputs!$I$14:$I$16))/F319,((0.0083*0.112*inputs!$C$18/1)*(3*60*284*((F319/1000)^0.77))*MAX(inputs!$I$14:$I$16))/F319))*(inputs!E$75*3.4/inputs!$E$73)</f>
        <v>0.21537164474979356</v>
      </c>
      <c r="T319" s="63">
        <f>IF((((inputs!$P$13/(V319/MAX(K319:S319)))^(1/inputs!$O$13))-1)/inputs!$N$13&lt;0, 0, IF((((inputs!$P$13/(V319/MAX(K319:S319)))^(1/inputs!$O$13))-1)/inputs!$N$13&lt;inputs!$I$17, (((inputs!$P$13/(V319/MAX(K319:S319)))^(1/inputs!$O$13))-1)/inputs!$N$13, inputs!$I$17))</f>
        <v>1000</v>
      </c>
      <c r="U319" s="63">
        <f>IF((((inputs!$P$13/(X319/MAX(K319:S319)))^(1/inputs!$O$13))-1)/inputs!$N$13&lt;0, 0, IF((((inputs!$P$13/(X319/MAX(K319:S319)))^(1/inputs!$O$13))-1)/inputs!$N$13&lt;inputs!$I$17, (((inputs!$P$13/(X319/MAX(K319:S319)))^(1/inputs!$O$13))-1)/inputs!$N$13, inputs!$I$17))</f>
        <v>322.80266152673335</v>
      </c>
      <c r="V319" s="21">
        <f>inputs!$E$78*(F319/inputs!$F$78)^(inputs!$E$84-1)</f>
        <v>1.3742806812884194E-2</v>
      </c>
      <c r="W319" s="21">
        <f>inputs!$E$85*(F319/inputs!$F$85)^(inputs!$E$84-1)</f>
        <v>0.63461750214702672</v>
      </c>
      <c r="X319" s="21">
        <f>inputs!$E$80*(F319/inputs!$F$80)^(inputs!$E$84-1)</f>
        <v>2.3697742168781373</v>
      </c>
      <c r="Y319" s="21">
        <f>inputs!$E$82*(F319/inputs!$F$82)^(inputs!$E$84-1)</f>
        <v>1.0921914888134281</v>
      </c>
      <c r="Z319" s="63">
        <f t="shared" si="24"/>
        <v>27305.131849466288</v>
      </c>
      <c r="AA319" s="63">
        <f t="shared" si="25"/>
        <v>591.29972107294589</v>
      </c>
    </row>
    <row r="320" spans="1:27" ht="13.2" x14ac:dyDescent="0.25">
      <c r="A320" s="103" t="s">
        <v>224</v>
      </c>
      <c r="B320" s="20" t="s">
        <v>225</v>
      </c>
      <c r="C320" s="20" t="s">
        <v>73</v>
      </c>
      <c r="D320" s="104" t="s">
        <v>141</v>
      </c>
      <c r="E320" s="15">
        <v>118</v>
      </c>
      <c r="F320" s="15">
        <v>240</v>
      </c>
      <c r="G320" s="20" t="s">
        <v>145</v>
      </c>
      <c r="H320" s="20">
        <v>0.66</v>
      </c>
      <c r="I320" s="68">
        <f>MAX('Max rate concentrations'!$M$3:$M$368)</f>
        <v>17.092910873809167</v>
      </c>
      <c r="J320" s="68">
        <f>MAX('Max rate concentrations'!AE:AE)</f>
        <v>11.81956602976166</v>
      </c>
      <c r="K320" s="69">
        <f t="shared" si="22"/>
        <v>8.7940412191790003</v>
      </c>
      <c r="L320" s="69">
        <f t="shared" si="27"/>
        <v>6.0809859494322884</v>
      </c>
      <c r="M320" s="69">
        <f>IF((((1.18*F320^0.874)-(0.301*F320^0.751)/(1-H320)*H320)*(MAX('Max rate concentrations'!$P$3:$P$368)))/F320&gt;0, (((1.18*F320^0.874)-(0.301*F320^0.751)/(1-H320)*H320)*(MAX('Max rate concentrations'!$P$3:$P$368)))/F320, 0)</f>
        <v>0.3851614431000015</v>
      </c>
      <c r="N320" s="69">
        <f>IF((((1.18*F320^0.874)-(0.301*F320^0.751)/(1-H320)*H320)*(MAX('Max rate concentrations'!$Q$3:$Q$368)))/F320&gt;0, (((1.18*F320^0.874)-(0.301*F320^0.751)/(1-H320)*H320)*(MAX('Max rate concentrations'!$Q$3:$Q$368)))/F320, 0)</f>
        <v>1.4667154706981897</v>
      </c>
      <c r="O320" s="69">
        <f>((MAX('Max rate concentrations'!$F$3:$F$368))*0.62*6.01*8*(10*F320^0.667)*0.079*0.1/F320)*inputs!$E$80/(10^(0.84+0.62*LOG10(inputs!$E$80)))</f>
        <v>23.666992997596275</v>
      </c>
      <c r="P320" s="69">
        <f>((MAX('Max rate concentrations'!Y:Y))*0.62*6.01*8*(10*F320^0.667)*0.079*0.1/F320)*inputs!$E$80/(10^(0.84+0.62*LOG10(inputs!$E$80)))</f>
        <v>7.8889976658654275</v>
      </c>
      <c r="Q320" s="69">
        <f>(inputs!$C$18*11.2*(10*F320^0.667)*0.5/F320)*inputs!$E$80/(10^(0.84+0.62*LOG10(inputs!$E$80)))</f>
        <v>4.1688291893060274</v>
      </c>
      <c r="R320" s="59">
        <f>(60*284*((F320/1000)^0.77)*3*24*(MAX('Max rate concentrations'!$R$3:$R$368))/F320)*(inputs!$E$73*3.4/inputs!$E$75)</f>
        <v>3.90515404332143E-2</v>
      </c>
      <c r="S320" s="59">
        <f>(IF(inputs!$C$17="aerial",((0.025*0.112*inputs!$C$18/3.3)*(3*60*284*((F320/1000)^0.77))*MAX(inputs!$I$14:$I$16))/F320,((0.0083*0.112*inputs!$C$18/1)*(3*60*284*((F320/1000)^0.77))*MAX(inputs!$I$14:$I$16))/F320))*(inputs!E$75*3.4/inputs!$E$73)</f>
        <v>0.21537164474979356</v>
      </c>
      <c r="T320" s="63">
        <f>IF((((inputs!$P$13/(V320/MAX(K320:S320)))^(1/inputs!$O$13))-1)/inputs!$N$13&lt;0, 0, IF((((inputs!$P$13/(V320/MAX(K320:S320)))^(1/inputs!$O$13))-1)/inputs!$N$13&lt;inputs!$I$17, (((inputs!$P$13/(V320/MAX(K320:S320)))^(1/inputs!$O$13))-1)/inputs!$N$13, inputs!$I$17))</f>
        <v>1000</v>
      </c>
      <c r="U320" s="63">
        <f>IF((((inputs!$P$13/(X320/MAX(K320:S320)))^(1/inputs!$O$13))-1)/inputs!$N$13&lt;0, 0, IF((((inputs!$P$13/(X320/MAX(K320:S320)))^(1/inputs!$O$13))-1)/inputs!$N$13&lt;inputs!$I$17, (((inputs!$P$13/(X320/MAX(K320:S320)))^(1/inputs!$O$13))-1)/inputs!$N$13, inputs!$I$17))</f>
        <v>29.877535612511483</v>
      </c>
      <c r="V320" s="21">
        <f>inputs!$E$78*(F320/inputs!$F$78)^(inputs!$E$84-1)</f>
        <v>1.3742806812884194E-2</v>
      </c>
      <c r="W320" s="21">
        <f>inputs!$E$85*(F320/inputs!$F$85)^(inputs!$E$84-1)</f>
        <v>0.63461750214702672</v>
      </c>
      <c r="X320" s="21">
        <f>inputs!$E$80*(F320/inputs!$F$80)^(inputs!$E$84-1)</f>
        <v>2.3697742168781373</v>
      </c>
      <c r="Y320" s="21">
        <f>inputs!$E$82*(F320/inputs!$F$82)^(inputs!$E$84-1)</f>
        <v>1.0921914888134281</v>
      </c>
      <c r="Z320" s="63">
        <f t="shared" si="24"/>
        <v>1722.1367745203208</v>
      </c>
      <c r="AA320" s="63">
        <f t="shared" si="25"/>
        <v>37.293319074129727</v>
      </c>
    </row>
    <row r="321" spans="1:27" ht="13.2" x14ac:dyDescent="0.25">
      <c r="A321" s="103" t="s">
        <v>224</v>
      </c>
      <c r="B321" s="20" t="s">
        <v>225</v>
      </c>
      <c r="C321" s="20" t="s">
        <v>73</v>
      </c>
      <c r="D321" s="104" t="s">
        <v>141</v>
      </c>
      <c r="E321" s="15">
        <v>118</v>
      </c>
      <c r="F321" s="15">
        <v>240</v>
      </c>
      <c r="G321" s="20" t="s">
        <v>154</v>
      </c>
      <c r="H321" s="20">
        <v>9.2999999999999999E-2</v>
      </c>
      <c r="I321" s="68">
        <f>MAX('Max rate concentrations'!$G$3:$G$368)</f>
        <v>45</v>
      </c>
      <c r="J321" s="68">
        <f>MAX('Max rate concentrations'!Z:Z)</f>
        <v>21</v>
      </c>
      <c r="K321" s="69">
        <f t="shared" ref="K321:K369" si="28">((0.398*F321^0.85)/(1-H321))*I321/F321</f>
        <v>8.6787386946595042</v>
      </c>
      <c r="L321" s="69">
        <f t="shared" si="27"/>
        <v>4.0500780575077693</v>
      </c>
      <c r="M321" s="69">
        <f>IF((((1.18*F321^0.874)-(0.301*F321^0.751)/(1-H321)*H321)*(MAX('Max rate concentrations'!$P$3:$P$368)))/F321&gt;0, (((1.18*F321^0.874)-(0.301*F321^0.751)/(1-H321)*H321)*(MAX('Max rate concentrations'!$P$3:$P$368)))/F321, 0)</f>
        <v>0.50828840120548269</v>
      </c>
      <c r="N321" s="69">
        <f>IF((((1.18*F321^0.874)-(0.301*F321^0.751)/(1-H321)*H321)*(MAX('Max rate concentrations'!$Q$3:$Q$368)))/F321&gt;0, (((1.18*F321^0.874)-(0.301*F321^0.751)/(1-H321)*H321)*(MAX('Max rate concentrations'!$Q$3:$Q$368)))/F321, 0)</f>
        <v>1.9355895429828054</v>
      </c>
      <c r="O321" s="69">
        <f>((MAX('Max rate concentrations'!$F$3:$F$368))*0.62*6.01*8*(10*F321^0.667)*0.079*0.1/F321)*inputs!$E$80/(10^(0.84+0.62*LOG10(inputs!$E$80)))</f>
        <v>23.666992997596275</v>
      </c>
      <c r="P321" s="69">
        <f>((MAX('Max rate concentrations'!Y:Y))*0.62*6.01*8*(10*F321^0.667)*0.079*0.1/F321)*inputs!$E$80/(10^(0.84+0.62*LOG10(inputs!$E$80)))</f>
        <v>7.8889976658654275</v>
      </c>
      <c r="Q321" s="69">
        <f>(inputs!$C$18*11.2*(10*F321^0.667)*0.5/F321)*inputs!$E$80/(10^(0.84+0.62*LOG10(inputs!$E$80)))</f>
        <v>4.1688291893060274</v>
      </c>
      <c r="R321" s="59">
        <f>(60*284*((F321/1000)^0.77)*3*24*(MAX('Max rate concentrations'!$R$3:$R$368))/F321)*(inputs!$E$73*3.4/inputs!$E$75)</f>
        <v>3.90515404332143E-2</v>
      </c>
      <c r="S321" s="59">
        <f>(IF(inputs!$C$17="aerial",((0.025*0.112*inputs!$C$18/3.3)*(3*60*284*((F321/1000)^0.77))*MAX(inputs!$I$14:$I$16))/F321,((0.0083*0.112*inputs!$C$18/1)*(3*60*284*((F321/1000)^0.77))*MAX(inputs!$I$14:$I$16))/F321))*(inputs!E$75*3.4/inputs!$E$73)</f>
        <v>0.21537164474979356</v>
      </c>
      <c r="T321" s="63">
        <f>IF((((inputs!$P$13/(V321/MAX(K321:S321)))^(1/inputs!$O$13))-1)/inputs!$N$13&lt;0, 0, IF((((inputs!$P$13/(V321/MAX(K321:S321)))^(1/inputs!$O$13))-1)/inputs!$N$13&lt;inputs!$I$17, (((inputs!$P$13/(V321/MAX(K321:S321)))^(1/inputs!$O$13))-1)/inputs!$N$13, inputs!$I$17))</f>
        <v>1000</v>
      </c>
      <c r="U321" s="63">
        <f>IF((((inputs!$P$13/(X321/MAX(K321:S321)))^(1/inputs!$O$13))-1)/inputs!$N$13&lt;0, 0, IF((((inputs!$P$13/(X321/MAX(K321:S321)))^(1/inputs!$O$13))-1)/inputs!$N$13&lt;inputs!$I$17, (((inputs!$P$13/(X321/MAX(K321:S321)))^(1/inputs!$O$13))-1)/inputs!$N$13, inputs!$I$17))</f>
        <v>29.877535612511483</v>
      </c>
      <c r="V321" s="21">
        <f>inputs!$E$78*(F321/inputs!$F$78)^(inputs!$E$84-1)</f>
        <v>1.3742806812884194E-2</v>
      </c>
      <c r="W321" s="21">
        <f>inputs!$E$85*(F321/inputs!$F$85)^(inputs!$E$84-1)</f>
        <v>0.63461750214702672</v>
      </c>
      <c r="X321" s="21">
        <f>inputs!$E$80*(F321/inputs!$F$80)^(inputs!$E$84-1)</f>
        <v>2.3697742168781373</v>
      </c>
      <c r="Y321" s="21">
        <f>inputs!$E$82*(F321/inputs!$F$82)^(inputs!$E$84-1)</f>
        <v>1.0921914888134281</v>
      </c>
      <c r="Z321" s="63">
        <f t="shared" si="24"/>
        <v>1722.1367745203208</v>
      </c>
      <c r="AA321" s="63">
        <f t="shared" si="25"/>
        <v>37.293319074129727</v>
      </c>
    </row>
    <row r="322" spans="1:27" ht="13.2" x14ac:dyDescent="0.25">
      <c r="A322" s="103" t="s">
        <v>275</v>
      </c>
      <c r="B322" s="20" t="s">
        <v>276</v>
      </c>
      <c r="C322" s="20" t="s">
        <v>73</v>
      </c>
      <c r="D322" s="104" t="s">
        <v>141</v>
      </c>
      <c r="E322" s="15">
        <v>98</v>
      </c>
      <c r="F322" s="15">
        <v>10</v>
      </c>
      <c r="G322" s="20" t="s">
        <v>142</v>
      </c>
      <c r="H322" s="20">
        <v>0.69</v>
      </c>
      <c r="I322" s="68">
        <f>MAX('Max rate concentrations'!$H$3:$H$368)</f>
        <v>282</v>
      </c>
      <c r="J322" s="68">
        <f>MAX('Max rate concentrations'!AA:AA)</f>
        <v>195</v>
      </c>
      <c r="K322" s="69">
        <f t="shared" si="28"/>
        <v>256.31291308431645</v>
      </c>
      <c r="L322" s="69">
        <f t="shared" si="27"/>
        <v>177.23765266468689</v>
      </c>
      <c r="M322" s="69">
        <f>IF((((1.18*F322^0.874)-(0.301*F322^0.751)/(1-H322)*H322)*(MAX('Max rate concentrations'!$P$3:$P$368)))/F322&gt;0, (((1.18*F322^0.874)-(0.301*F322^0.751)/(1-H322)*H322)*(MAX('Max rate concentrations'!$P$3:$P$368)))/F322, 0)</f>
        <v>0.43999096786868774</v>
      </c>
      <c r="N322" s="69">
        <f>IF((((1.18*F322^0.874)-(0.301*F322^0.751)/(1-H322)*H322)*(MAX('Max rate concentrations'!$Q$3:$Q$368)))/F322&gt;0, (((1.18*F322^0.874)-(0.301*F322^0.751)/(1-H322)*H322)*(MAX('Max rate concentrations'!$Q$3:$Q$368)))/F322, 0)</f>
        <v>1.6755092471001074</v>
      </c>
      <c r="O322" s="69">
        <f>((MAX('Max rate concentrations'!$F$3:$F$368))*0.62*6.01*8*(10*F322^0.667)*0.079*0.1/F322)*inputs!$E$80/(10^(0.84+0.62*LOG10(inputs!$E$80)))</f>
        <v>68.195140075128862</v>
      </c>
      <c r="P322" s="69">
        <f>((MAX('Max rate concentrations'!Y:Y))*0.62*6.01*8*(10*F322^0.667)*0.079*0.1/F322)*inputs!$E$80/(10^(0.84+0.62*LOG10(inputs!$E$80)))</f>
        <v>22.731713358376282</v>
      </c>
      <c r="Q322" s="69">
        <f>(inputs!$C$18*11.2*(10*F322^0.667)*0.5/F322)*inputs!$E$80/(10^(0.84+0.62*LOG10(inputs!$E$80)))</f>
        <v>12.01225227653063</v>
      </c>
      <c r="R322" s="59">
        <f>(60*284*((F322/1000)^0.77)*3*24*(MAX('Max rate concentrations'!$R$3:$R$368))/F322)*(inputs!$E$73*3.4/inputs!$E$75)</f>
        <v>8.11123072975274E-2</v>
      </c>
      <c r="S322" s="59">
        <f>(IF(inputs!$C$17="aerial",((0.025*0.112*inputs!$C$18/3.3)*(3*60*284*((F322/1000)^0.77))*MAX(inputs!$I$14:$I$16))/F322,((0.0083*0.112*inputs!$C$18/1)*(3*60*284*((F322/1000)^0.77))*MAX(inputs!$I$14:$I$16))/F322))*(inputs!E$75*3.4/inputs!$E$73)</f>
        <v>0.44733935814888093</v>
      </c>
      <c r="T322" s="63">
        <f>IF((((inputs!$P$13/(V322/MAX(K322:S322)))^(1/inputs!$O$13))-1)/inputs!$N$13&lt;0, 0, IF((((inputs!$P$13/(V322/MAX(K322:S322)))^(1/inputs!$O$13))-1)/inputs!$N$13&lt;inputs!$I$17, (((inputs!$P$13/(V322/MAX(K322:S322)))^(1/inputs!$O$13))-1)/inputs!$N$13, inputs!$I$17))</f>
        <v>1000</v>
      </c>
      <c r="U322" s="63">
        <f>IF((((inputs!$P$13/(X322/MAX(K322:S322)))^(1/inputs!$O$13))-1)/inputs!$N$13&lt;0, 0, IF((((inputs!$P$13/(X322/MAX(K322:S322)))^(1/inputs!$O$13))-1)/inputs!$N$13&lt;inputs!$I$17, (((inputs!$P$13/(X322/MAX(K322:S322)))^(1/inputs!$O$13))-1)/inputs!$N$13, inputs!$I$17))</f>
        <v>87.898308790189972</v>
      </c>
      <c r="V322" s="21">
        <f>inputs!$E$78*(F322/inputs!$F$78)^(inputs!$E$84-1)</f>
        <v>4.4540347491078519E-2</v>
      </c>
      <c r="W322" s="21">
        <f>inputs!$E$85*(F322/inputs!$F$85)^(inputs!$E$84-1)</f>
        <v>2.0567911966170365</v>
      </c>
      <c r="X322" s="21">
        <f>inputs!$E$80*(F322/inputs!$F$80)^(inputs!$E$84-1)</f>
        <v>7.6804228228104519</v>
      </c>
      <c r="Y322" s="21">
        <f>inputs!$E$82*(F322/inputs!$F$82)^(inputs!$E$84-1)</f>
        <v>3.5397855111330823</v>
      </c>
      <c r="Z322" s="63">
        <f t="shared" ref="Z322:Z385" si="29">MAX(K322:S322)/V322</f>
        <v>5754.6231119022186</v>
      </c>
      <c r="AA322" s="63">
        <f t="shared" ref="AA322:AA385" si="30">MAX(K322:S322)/W322</f>
        <v>124.61785790696408</v>
      </c>
    </row>
    <row r="323" spans="1:27" ht="13.2" x14ac:dyDescent="0.25">
      <c r="A323" s="103" t="s">
        <v>275</v>
      </c>
      <c r="B323" s="20" t="s">
        <v>276</v>
      </c>
      <c r="C323" s="20" t="s">
        <v>73</v>
      </c>
      <c r="D323" s="104" t="s">
        <v>141</v>
      </c>
      <c r="E323" s="15">
        <v>98</v>
      </c>
      <c r="F323" s="15">
        <v>10</v>
      </c>
      <c r="G323" s="20" t="s">
        <v>153</v>
      </c>
      <c r="H323" s="20">
        <v>0.7</v>
      </c>
      <c r="I323" s="68">
        <f>MAX('Max rate concentrations'!$E$3:$E$368)</f>
        <v>330</v>
      </c>
      <c r="J323" s="68">
        <f>MAX('Max rate concentrations'!X:X)</f>
        <v>108</v>
      </c>
      <c r="K323" s="69">
        <f t="shared" si="28"/>
        <v>309.93866440337558</v>
      </c>
      <c r="L323" s="69">
        <f t="shared" si="27"/>
        <v>101.43447198655927</v>
      </c>
      <c r="M323" s="69">
        <f>IF((((1.18*F323^0.874)-(0.301*F323^0.751)/(1-H323)*H323)*(MAX('Max rate concentrations'!$P$3:$P$368)))/F323&gt;0, (((1.18*F323^0.874)-(0.301*F323^0.751)/(1-H323)*H323)*(MAX('Max rate concentrations'!$P$3:$P$368)))/F323, 0)</f>
        <v>0.42410381969573752</v>
      </c>
      <c r="N323" s="69">
        <f>IF((((1.18*F323^0.874)-(0.301*F323^0.751)/(1-H323)*H323)*(MAX('Max rate concentrations'!$Q$3:$Q$368)))/F323&gt;0, (((1.18*F323^0.874)-(0.301*F323^0.751)/(1-H323)*H323)*(MAX('Max rate concentrations'!$Q$3:$Q$368)))/F323, 0)</f>
        <v>1.6150101332142701</v>
      </c>
      <c r="O323" s="69">
        <f>((MAX('Max rate concentrations'!$F$3:$F$368))*0.62*6.01*8*(10*F323^0.667)*0.079*0.1/F323)*inputs!$E$80/(10^(0.84+0.62*LOG10(inputs!$E$80)))</f>
        <v>68.195140075128862</v>
      </c>
      <c r="P323" s="69">
        <f>((MAX('Max rate concentrations'!Y:Y))*0.62*6.01*8*(10*F323^0.667)*0.079*0.1/F323)*inputs!$E$80/(10^(0.84+0.62*LOG10(inputs!$E$80)))</f>
        <v>22.731713358376282</v>
      </c>
      <c r="Q323" s="69">
        <f>(inputs!$C$18*11.2*(10*F323^0.667)*0.5/F323)*inputs!$E$80/(10^(0.84+0.62*LOG10(inputs!$E$80)))</f>
        <v>12.01225227653063</v>
      </c>
      <c r="R323" s="59">
        <f>(60*284*((F323/1000)^0.77)*3*24*(MAX('Max rate concentrations'!$R$3:$R$368))/F323)*(inputs!$E$73*3.4/inputs!$E$75)</f>
        <v>8.11123072975274E-2</v>
      </c>
      <c r="S323" s="59">
        <f>(IF(inputs!$C$17="aerial",((0.025*0.112*inputs!$C$18/3.3)*(3*60*284*((F323/1000)^0.77))*MAX(inputs!$I$14:$I$16))/F323,((0.0083*0.112*inputs!$C$18/1)*(3*60*284*((F323/1000)^0.77))*MAX(inputs!$I$14:$I$16))/F323))*(inputs!E$75*3.4/inputs!$E$73)</f>
        <v>0.44733935814888093</v>
      </c>
      <c r="T323" s="63">
        <f>IF((((inputs!$P$13/(V323/MAX(K323:S323)))^(1/inputs!$O$13))-1)/inputs!$N$13&lt;0, 0, IF((((inputs!$P$13/(V323/MAX(K323:S323)))^(1/inputs!$O$13))-1)/inputs!$N$13&lt;inputs!$I$17, (((inputs!$P$13/(V323/MAX(K323:S323)))^(1/inputs!$O$13))-1)/inputs!$N$13, inputs!$I$17))</f>
        <v>1000</v>
      </c>
      <c r="U323" s="63">
        <f>IF((((inputs!$P$13/(X323/MAX(K323:S323)))^(1/inputs!$O$13))-1)/inputs!$N$13&lt;0, 0, IF((((inputs!$P$13/(X323/MAX(K323:S323)))^(1/inputs!$O$13))-1)/inputs!$N$13&lt;inputs!$I$17, (((inputs!$P$13/(X323/MAX(K323:S323)))^(1/inputs!$O$13))-1)/inputs!$N$13, inputs!$I$17))</f>
        <v>103.36240034835338</v>
      </c>
      <c r="V323" s="21">
        <f>inputs!$E$78*(F323/inputs!$F$78)^(inputs!$E$84-1)</f>
        <v>4.4540347491078519E-2</v>
      </c>
      <c r="W323" s="21">
        <f>inputs!$E$85*(F323/inputs!$F$85)^(inputs!$E$84-1)</f>
        <v>2.0567911966170365</v>
      </c>
      <c r="X323" s="21">
        <f>inputs!$E$80*(F323/inputs!$F$80)^(inputs!$E$84-1)</f>
        <v>7.6804228228104519</v>
      </c>
      <c r="Y323" s="21">
        <f>inputs!$E$82*(F323/inputs!$F$82)^(inputs!$E$84-1)</f>
        <v>3.5397855111330823</v>
      </c>
      <c r="Z323" s="63">
        <f t="shared" si="29"/>
        <v>6958.6045431158036</v>
      </c>
      <c r="AA323" s="63">
        <f t="shared" si="30"/>
        <v>150.69038846196719</v>
      </c>
    </row>
    <row r="324" spans="1:27" ht="13.2" x14ac:dyDescent="0.25">
      <c r="A324" s="103" t="s">
        <v>867</v>
      </c>
      <c r="B324" s="20" t="s">
        <v>869</v>
      </c>
      <c r="C324" s="20" t="s">
        <v>73</v>
      </c>
      <c r="D324" s="104" t="s">
        <v>141</v>
      </c>
      <c r="E324" s="15">
        <v>11333</v>
      </c>
      <c r="F324" s="15">
        <v>23</v>
      </c>
      <c r="G324" s="20" t="s">
        <v>142</v>
      </c>
      <c r="H324" s="20">
        <v>0.69</v>
      </c>
      <c r="I324" s="68">
        <f>MAX('Max rate concentrations'!$H$3:$H$368)</f>
        <v>282</v>
      </c>
      <c r="J324" s="68">
        <f>MAX('Max rate concentrations'!AA:AA)</f>
        <v>195</v>
      </c>
      <c r="K324" s="69">
        <f t="shared" si="28"/>
        <v>226.20974551032862</v>
      </c>
      <c r="L324" s="69">
        <f t="shared" si="27"/>
        <v>156.42163253373789</v>
      </c>
      <c r="M324" s="69">
        <f>IF((((1.18*F324^0.874)-(0.301*F324^0.751)/(1-H324)*H324)*(MAX('Max rate concentrations'!$P$3:$P$368)))/F324&gt;0, (((1.18*F324^0.874)-(0.301*F324^0.751)/(1-H324)*H324)*(MAX('Max rate concentrations'!$P$3:$P$368)))/F324, 0)</f>
        <v>0.42498850876966365</v>
      </c>
      <c r="N324" s="69">
        <f>IF((((1.18*F324^0.874)-(0.301*F324^0.751)/(1-H324)*H324)*(MAX('Max rate concentrations'!$Q$3:$Q$368)))/F324&gt;0, (((1.18*F324^0.874)-(0.301*F324^0.751)/(1-H324)*H324)*(MAX('Max rate concentrations'!$Q$3:$Q$368)))/F324, 0)</f>
        <v>1.6183790767436153</v>
      </c>
      <c r="O324" s="69">
        <f>((MAX('Max rate concentrations'!$F$3:$F$368))*0.62*6.01*8*(10*F324^0.667)*0.079*0.1/F324)*inputs!$E$80/(10^(0.84+0.62*LOG10(inputs!$E$80)))</f>
        <v>51.677090756449005</v>
      </c>
      <c r="P324" s="69">
        <f>((MAX('Max rate concentrations'!Y:Y))*0.62*6.01*8*(10*F324^0.667)*0.079*0.1/F324)*inputs!$E$80/(10^(0.84+0.62*LOG10(inputs!$E$80)))</f>
        <v>17.225696918816332</v>
      </c>
      <c r="Q324" s="69">
        <f>(inputs!$C$18*11.2*(10*F324^0.667)*0.5/F324)*inputs!$E$80/(10^(0.84+0.62*LOG10(inputs!$E$80)))</f>
        <v>9.10267579771463</v>
      </c>
      <c r="R324" s="59">
        <f>(60*284*((F324/1000)^0.77)*3*24*(MAX('Max rate concentrations'!$R$3:$R$368))/F324)*(inputs!$E$73*3.4/inputs!$E$75)</f>
        <v>6.6971396205395495E-2</v>
      </c>
      <c r="S324" s="59">
        <f>(IF(inputs!$C$17="aerial",((0.025*0.112*inputs!$C$18/3.3)*(3*60*284*((F324/1000)^0.77))*MAX(inputs!$I$14:$I$16))/F324,((0.0083*0.112*inputs!$C$18/1)*(3*60*284*((F324/1000)^0.77))*MAX(inputs!$I$14:$I$16))/F324))*(inputs!E$75*3.4/inputs!$E$73)</f>
        <v>0.36935136468210511</v>
      </c>
      <c r="T324" s="63">
        <f>IF((((inputs!$P$13/(V324/MAX(K324:S324)))^(1/inputs!$O$13))-1)/inputs!$N$13&lt;0, 0, IF((((inputs!$P$13/(V324/MAX(K324:S324)))^(1/inputs!$O$13))-1)/inputs!$N$13&lt;inputs!$I$17, (((inputs!$P$13/(V324/MAX(K324:S324)))^(1/inputs!$O$13))-1)/inputs!$N$13, inputs!$I$17))</f>
        <v>1000</v>
      </c>
      <c r="U324" s="63">
        <f>IF((((inputs!$P$13/(X324/MAX(K324:S324)))^(1/inputs!$O$13))-1)/inputs!$N$13&lt;0, 0, IF((((inputs!$P$13/(X324/MAX(K324:S324)))^(1/inputs!$O$13))-1)/inputs!$N$13&lt;inputs!$I$17, (((inputs!$P$13/(X324/MAX(K324:S324)))^(1/inputs!$O$13))-1)/inputs!$N$13, inputs!$I$17))</f>
        <v>102.77255126991891</v>
      </c>
      <c r="V324" s="21">
        <f>inputs!$E$78*(F324/inputs!$F$78)^(inputs!$E$84-1)</f>
        <v>3.2727610783302954E-2</v>
      </c>
      <c r="W324" s="21">
        <f>inputs!$E$85*(F324/inputs!$F$85)^(inputs!$E$84-1)</f>
        <v>1.5113007764227557</v>
      </c>
      <c r="X324" s="21">
        <f>inputs!$E$80*(F324/inputs!$F$80)^(inputs!$E$84-1)</f>
        <v>5.6434649246166195</v>
      </c>
      <c r="Y324" s="21">
        <f>inputs!$E$82*(F324/inputs!$F$82)^(inputs!$E$84-1)</f>
        <v>2.6009838043572349</v>
      </c>
      <c r="Z324" s="63">
        <f t="shared" si="29"/>
        <v>6911.8930498200871</v>
      </c>
      <c r="AA324" s="63">
        <f t="shared" si="30"/>
        <v>149.67883894413552</v>
      </c>
    </row>
    <row r="325" spans="1:27" ht="13.2" x14ac:dyDescent="0.25">
      <c r="A325" s="103" t="s">
        <v>867</v>
      </c>
      <c r="B325" s="20" t="s">
        <v>869</v>
      </c>
      <c r="C325" s="20" t="s">
        <v>73</v>
      </c>
      <c r="D325" s="104" t="s">
        <v>141</v>
      </c>
      <c r="E325" s="15">
        <v>11333</v>
      </c>
      <c r="F325" s="15">
        <v>23</v>
      </c>
      <c r="G325" s="20" t="s">
        <v>153</v>
      </c>
      <c r="H325" s="20">
        <v>0.7</v>
      </c>
      <c r="I325" s="68">
        <f>MAX('Max rate concentrations'!$E$3:$E$368)</f>
        <v>330</v>
      </c>
      <c r="J325" s="68">
        <f>MAX('Max rate concentrations'!X:X)</f>
        <v>108</v>
      </c>
      <c r="K325" s="69">
        <f t="shared" si="28"/>
        <v>273.53731637951086</v>
      </c>
      <c r="L325" s="69">
        <f t="shared" si="27"/>
        <v>89.521303542385382</v>
      </c>
      <c r="M325" s="69">
        <f>IF((((1.18*F325^0.874)-(0.301*F325^0.751)/(1-H325)*H325)*(MAX('Max rate concentrations'!$P$3:$P$368)))/F325&gt;0, (((1.18*F325^0.874)-(0.301*F325^0.751)/(1-H325)*H325)*(MAX('Max rate concentrations'!$P$3:$P$368)))/F325, 0)</f>
        <v>0.41207703804448514</v>
      </c>
      <c r="N325" s="69">
        <f>IF((((1.18*F325^0.874)-(0.301*F325^0.751)/(1-H325)*H325)*(MAX('Max rate concentrations'!$Q$3:$Q$368)))/F325&gt;0, (((1.18*F325^0.874)-(0.301*F325^0.751)/(1-H325)*H325)*(MAX('Max rate concentrations'!$Q$3:$Q$368)))/F325, 0)</f>
        <v>1.5692115024670559</v>
      </c>
      <c r="O325" s="69">
        <f>((MAX('Max rate concentrations'!$F$3:$F$368))*0.62*6.01*8*(10*F325^0.667)*0.079*0.1/F325)*inputs!$E$80/(10^(0.84+0.62*LOG10(inputs!$E$80)))</f>
        <v>51.677090756449005</v>
      </c>
      <c r="P325" s="69">
        <f>((MAX('Max rate concentrations'!Y:Y))*0.62*6.01*8*(10*F325^0.667)*0.079*0.1/F325)*inputs!$E$80/(10^(0.84+0.62*LOG10(inputs!$E$80)))</f>
        <v>17.225696918816332</v>
      </c>
      <c r="Q325" s="69">
        <f>(inputs!$C$18*11.2*(10*F325^0.667)*0.5/F325)*inputs!$E$80/(10^(0.84+0.62*LOG10(inputs!$E$80)))</f>
        <v>9.10267579771463</v>
      </c>
      <c r="R325" s="59">
        <f>(60*284*((F325/1000)^0.77)*3*24*(MAX('Max rate concentrations'!$R$3:$R$368))/F325)*(inputs!$E$73*3.4/inputs!$E$75)</f>
        <v>6.6971396205395495E-2</v>
      </c>
      <c r="S325" s="59">
        <f>(IF(inputs!$C$17="aerial",((0.025*0.112*inputs!$C$18/3.3)*(3*60*284*((F325/1000)^0.77))*MAX(inputs!$I$14:$I$16))/F325,((0.0083*0.112*inputs!$C$18/1)*(3*60*284*((F325/1000)^0.77))*MAX(inputs!$I$14:$I$16))/F325))*(inputs!E$75*3.4/inputs!$E$73)</f>
        <v>0.36935136468210511</v>
      </c>
      <c r="T325" s="63">
        <f>IF((((inputs!$P$13/(V325/MAX(K325:S325)))^(1/inputs!$O$13))-1)/inputs!$N$13&lt;0, 0, IF((((inputs!$P$13/(V325/MAX(K325:S325)))^(1/inputs!$O$13))-1)/inputs!$N$13&lt;inputs!$I$17, (((inputs!$P$13/(V325/MAX(K325:S325)))^(1/inputs!$O$13))-1)/inputs!$N$13, inputs!$I$17))</f>
        <v>1000</v>
      </c>
      <c r="U325" s="63">
        <f>IF((((inputs!$P$13/(X325/MAX(K325:S325)))^(1/inputs!$O$13))-1)/inputs!$N$13&lt;0, 0, IF((((inputs!$P$13/(X325/MAX(K325:S325)))^(1/inputs!$O$13))-1)/inputs!$N$13&lt;inputs!$I$17, (((inputs!$P$13/(X325/MAX(K325:S325)))^(1/inputs!$O$13))-1)/inputs!$N$13, inputs!$I$17))</f>
        <v>120.7066016769283</v>
      </c>
      <c r="V325" s="21">
        <f>inputs!$E$78*(F325/inputs!$F$78)^(inputs!$E$84-1)</f>
        <v>3.2727610783302954E-2</v>
      </c>
      <c r="W325" s="21">
        <f>inputs!$E$85*(F325/inputs!$F$85)^(inputs!$E$84-1)</f>
        <v>1.5113007764227557</v>
      </c>
      <c r="X325" s="21">
        <f>inputs!$E$80*(F325/inputs!$F$80)^(inputs!$E$84-1)</f>
        <v>5.6434649246166195</v>
      </c>
      <c r="Y325" s="21">
        <f>inputs!$E$82*(F325/inputs!$F$82)^(inputs!$E$84-1)</f>
        <v>2.6009838043572349</v>
      </c>
      <c r="Z325" s="63">
        <f t="shared" si="29"/>
        <v>8357.9983332930842</v>
      </c>
      <c r="AA325" s="63">
        <f t="shared" si="30"/>
        <v>180.99462439698658</v>
      </c>
    </row>
    <row r="326" spans="1:27" ht="13.2" x14ac:dyDescent="0.25">
      <c r="A326" s="103" t="s">
        <v>321</v>
      </c>
      <c r="B326" s="20" t="s">
        <v>322</v>
      </c>
      <c r="C326" s="20" t="s">
        <v>73</v>
      </c>
      <c r="D326" s="104" t="s">
        <v>141</v>
      </c>
      <c r="E326" s="15">
        <v>81</v>
      </c>
      <c r="F326" s="15">
        <v>20</v>
      </c>
      <c r="G326" s="20" t="s">
        <v>142</v>
      </c>
      <c r="H326" s="20">
        <v>0.69</v>
      </c>
      <c r="I326" s="68">
        <f>MAX('Max rate concentrations'!$H$3:$H$368)</f>
        <v>282</v>
      </c>
      <c r="J326" s="68">
        <f>MAX('Max rate concentrations'!AA:AA)</f>
        <v>195</v>
      </c>
      <c r="K326" s="69">
        <f t="shared" si="28"/>
        <v>231.00213149036972</v>
      </c>
      <c r="L326" s="69">
        <f t="shared" si="27"/>
        <v>159.73551645610672</v>
      </c>
      <c r="M326" s="69">
        <f>IF((((1.18*F326^0.874)-(0.301*F326^0.751)/(1-H326)*H326)*(MAX('Max rate concentrations'!$P$3:$P$368)))/F326&gt;0, (((1.18*F326^0.874)-(0.301*F326^0.751)/(1-H326)*H326)*(MAX('Max rate concentrations'!$P$3:$P$368)))/F326, 0)</f>
        <v>0.42782227393758332</v>
      </c>
      <c r="N326" s="69">
        <f>IF((((1.18*F326^0.874)-(0.301*F326^0.751)/(1-H326)*H326)*(MAX('Max rate concentrations'!$Q$3:$Q$368)))/F326&gt;0, (((1.18*F326^0.874)-(0.301*F326^0.751)/(1-H326)*H326)*(MAX('Max rate concentrations'!$Q$3:$Q$368)))/F326, 0)</f>
        <v>1.629170206766031</v>
      </c>
      <c r="O326" s="69">
        <f>((MAX('Max rate concentrations'!$F$3:$F$368))*0.62*6.01*8*(10*F326^0.667)*0.079*0.1/F326)*inputs!$E$80/(10^(0.84+0.62*LOG10(inputs!$E$80)))</f>
        <v>54.139025873277951</v>
      </c>
      <c r="P326" s="69">
        <f>((MAX('Max rate concentrations'!Y:Y))*0.62*6.01*8*(10*F326^0.667)*0.079*0.1/F326)*inputs!$E$80/(10^(0.84+0.62*LOG10(inputs!$E$80)))</f>
        <v>18.046341957759321</v>
      </c>
      <c r="Q326" s="69">
        <f>(inputs!$C$18*11.2*(10*F326^0.667)*0.5/F326)*inputs!$E$80/(10^(0.84+0.62*LOG10(inputs!$E$80)))</f>
        <v>9.5363340566348267</v>
      </c>
      <c r="R326" s="59">
        <f>(60*284*((F326/1000)^0.77)*3*24*(MAX('Max rate concentrations'!$R$3:$R$368))/F326)*(inputs!$E$73*3.4/inputs!$E$75)</f>
        <v>6.9159183353676532E-2</v>
      </c>
      <c r="S326" s="59">
        <f>(IF(inputs!$C$17="aerial",((0.025*0.112*inputs!$C$18/3.3)*(3*60*284*((F326/1000)^0.77))*MAX(inputs!$I$14:$I$16))/F326,((0.0083*0.112*inputs!$C$18/1)*(3*60*284*((F326/1000)^0.77))*MAX(inputs!$I$14:$I$16))/F326))*(inputs!E$75*3.4/inputs!$E$73)</f>
        <v>0.38141714521881848</v>
      </c>
      <c r="T326" s="63">
        <f>IF((((inputs!$P$13/(V326/MAX(K326:S326)))^(1/inputs!$O$13))-1)/inputs!$N$13&lt;0, 0, IF((((inputs!$P$13/(V326/MAX(K326:S326)))^(1/inputs!$O$13))-1)/inputs!$N$13&lt;inputs!$I$17, (((inputs!$P$13/(V326/MAX(K326:S326)))^(1/inputs!$O$13))-1)/inputs!$N$13, inputs!$I$17))</f>
        <v>1000</v>
      </c>
      <c r="U326" s="63">
        <f>IF((((inputs!$P$13/(X326/MAX(K326:S326)))^(1/inputs!$O$13))-1)/inputs!$N$13&lt;0, 0, IF((((inputs!$P$13/(X326/MAX(K326:S326)))^(1/inputs!$O$13))-1)/inputs!$N$13&lt;inputs!$I$17, (((inputs!$P$13/(X326/MAX(K326:S326)))^(1/inputs!$O$13))-1)/inputs!$N$13, inputs!$I$17))</f>
        <v>100.12028092729068</v>
      </c>
      <c r="V326" s="21">
        <f>inputs!$E$78*(F326/inputs!$F$78)^(inputs!$E$84-1)</f>
        <v>3.4464541288703368E-2</v>
      </c>
      <c r="W326" s="21">
        <f>inputs!$E$85*(F326/inputs!$F$85)^(inputs!$E$84-1)</f>
        <v>1.5915090274553441</v>
      </c>
      <c r="X326" s="21">
        <f>inputs!$E$80*(F326/inputs!$F$80)^(inputs!$E$84-1)</f>
        <v>5.9429767480927405</v>
      </c>
      <c r="Y326" s="21">
        <f>inputs!$E$82*(F326/inputs!$F$82)^(inputs!$E$84-1)</f>
        <v>2.739024070839057</v>
      </c>
      <c r="Z326" s="63">
        <f t="shared" si="29"/>
        <v>6702.6028159001371</v>
      </c>
      <c r="AA326" s="63">
        <f t="shared" si="30"/>
        <v>145.14660457799468</v>
      </c>
    </row>
    <row r="327" spans="1:27" ht="13.2" x14ac:dyDescent="0.25">
      <c r="A327" s="103" t="s">
        <v>303</v>
      </c>
      <c r="B327" s="20" t="s">
        <v>304</v>
      </c>
      <c r="C327" s="20" t="s">
        <v>73</v>
      </c>
      <c r="D327" s="104" t="s">
        <v>141</v>
      </c>
      <c r="E327" s="15">
        <v>109</v>
      </c>
      <c r="F327" s="15">
        <v>14</v>
      </c>
      <c r="G327" s="20" t="s">
        <v>142</v>
      </c>
      <c r="H327" s="20">
        <v>0.69</v>
      </c>
      <c r="I327" s="68">
        <f>MAX('Max rate concentrations'!$H$3:$H$368)</f>
        <v>282</v>
      </c>
      <c r="J327" s="68">
        <f>MAX('Max rate concentrations'!AA:AA)</f>
        <v>195</v>
      </c>
      <c r="K327" s="69">
        <f t="shared" si="28"/>
        <v>243.69761630151493</v>
      </c>
      <c r="L327" s="69">
        <f t="shared" si="27"/>
        <v>168.51430914466459</v>
      </c>
      <c r="M327" s="69">
        <f>IF((((1.18*F327^0.874)-(0.301*F327^0.751)/(1-H327)*H327)*(MAX('Max rate concentrations'!$P$3:$P$368)))/F327&gt;0, (((1.18*F327^0.874)-(0.301*F327^0.751)/(1-H327)*H327)*(MAX('Max rate concentrations'!$P$3:$P$368)))/F327, 0)</f>
        <v>0.43450638528783081</v>
      </c>
      <c r="N327" s="69">
        <f>IF((((1.18*F327^0.874)-(0.301*F327^0.751)/(1-H327)*H327)*(MAX('Max rate concentrations'!$Q$3:$Q$368)))/F327&gt;0, (((1.18*F327^0.874)-(0.301*F327^0.751)/(1-H327)*H327)*(MAX('Max rate concentrations'!$Q$3:$Q$368)))/F327, 0)</f>
        <v>1.6546236619363399</v>
      </c>
      <c r="O327" s="69">
        <f>((MAX('Max rate concentrations'!$F$3:$F$368))*0.62*6.01*8*(10*F327^0.667)*0.079*0.1/F327)*inputs!$E$80/(10^(0.84+0.62*LOG10(inputs!$E$80)))</f>
        <v>60.966714275022639</v>
      </c>
      <c r="P327" s="69">
        <f>((MAX('Max rate concentrations'!Y:Y))*0.62*6.01*8*(10*F327^0.667)*0.079*0.1/F327)*inputs!$E$80/(10^(0.84+0.62*LOG10(inputs!$E$80)))</f>
        <v>20.322238091674208</v>
      </c>
      <c r="Q327" s="69">
        <f>(inputs!$C$18*11.2*(10*F327^0.667)*0.5/F327)*inputs!$E$80/(10^(0.84+0.62*LOG10(inputs!$E$80)))</f>
        <v>10.738999165276649</v>
      </c>
      <c r="R327" s="59">
        <f>(60*284*((F327/1000)^0.77)*3*24*(MAX('Max rate concentrations'!$R$3:$R$368))/F327)*(inputs!$E$73*3.4/inputs!$E$75)</f>
        <v>7.5071882643588564E-2</v>
      </c>
      <c r="S327" s="59">
        <f>(IF(inputs!$C$17="aerial",((0.025*0.112*inputs!$C$18/3.3)*(3*60*284*((F327/1000)^0.77))*MAX(inputs!$I$14:$I$16))/F327,((0.0083*0.112*inputs!$C$18/1)*(3*60*284*((F327/1000)^0.77))*MAX(inputs!$I$14:$I$16))/F327))*(inputs!E$75*3.4/inputs!$E$73)</f>
        <v>0.41402604506893054</v>
      </c>
      <c r="T327" s="63">
        <f>IF((((inputs!$P$13/(V327/MAX(K327:S327)))^(1/inputs!$O$13))-1)/inputs!$N$13&lt;0, 0, IF((((inputs!$P$13/(V327/MAX(K327:S327)))^(1/inputs!$O$13))-1)/inputs!$N$13&lt;inputs!$I$17, (((inputs!$P$13/(V327/MAX(K327:S327)))^(1/inputs!$O$13))-1)/inputs!$N$13, inputs!$I$17))</f>
        <v>1000</v>
      </c>
      <c r="U327" s="63">
        <f>IF((((inputs!$P$13/(X327/MAX(K327:S327)))^(1/inputs!$O$13))-1)/inputs!$N$13&lt;0, 0, IF((((inputs!$P$13/(X327/MAX(K327:S327)))^(1/inputs!$O$13))-1)/inputs!$N$13&lt;inputs!$I$17, (((inputs!$P$13/(X327/MAX(K327:S327)))^(1/inputs!$O$13))-1)/inputs!$N$13, inputs!$I$17))</f>
        <v>93.643118900909869</v>
      </c>
      <c r="V327" s="21">
        <f>inputs!$E$78*(F327/inputs!$F$78)^(inputs!$E$84-1)</f>
        <v>3.9326584321336476E-2</v>
      </c>
      <c r="W327" s="21">
        <f>inputs!$E$85*(F327/inputs!$F$85)^(inputs!$E$84-1)</f>
        <v>1.8160292180330224</v>
      </c>
      <c r="X327" s="21">
        <f>inputs!$E$80*(F327/inputs!$F$80)^(inputs!$E$84-1)</f>
        <v>6.7813749280979954</v>
      </c>
      <c r="Y327" s="21">
        <f>inputs!$E$82*(F327/inputs!$F$82)^(inputs!$E$84-1)</f>
        <v>3.1254285434325308</v>
      </c>
      <c r="Z327" s="63">
        <f t="shared" si="29"/>
        <v>6196.7653816631564</v>
      </c>
      <c r="AA327" s="63">
        <f t="shared" si="30"/>
        <v>134.19256357861283</v>
      </c>
    </row>
    <row r="328" spans="1:27" ht="13.2" x14ac:dyDescent="0.25">
      <c r="A328" s="103" t="s">
        <v>283</v>
      </c>
      <c r="B328" s="20" t="s">
        <v>284</v>
      </c>
      <c r="C328" s="20" t="s">
        <v>73</v>
      </c>
      <c r="D328" s="104" t="s">
        <v>141</v>
      </c>
      <c r="E328" s="15">
        <v>106</v>
      </c>
      <c r="F328" s="15">
        <v>50</v>
      </c>
      <c r="G328" s="20" t="s">
        <v>142</v>
      </c>
      <c r="H328" s="20">
        <v>0.69</v>
      </c>
      <c r="I328" s="68">
        <f>MAX('Max rate concentrations'!$H$3:$H$368)</f>
        <v>282</v>
      </c>
      <c r="J328" s="68">
        <f>MAX('Max rate concentrations'!AA:AA)</f>
        <v>195</v>
      </c>
      <c r="K328" s="69">
        <f t="shared" si="28"/>
        <v>201.33764567021831</v>
      </c>
      <c r="L328" s="69">
        <f t="shared" si="27"/>
        <v>139.22284009110842</v>
      </c>
      <c r="M328" s="69">
        <f>IF((((1.18*F328^0.874)-(0.301*F328^0.751)/(1-H328)*H328)*(MAX('Max rate concentrations'!$P$3:$P$368)))/F328&gt;0, (((1.18*F328^0.874)-(0.301*F328^0.751)/(1-H328)*H328)*(MAX('Max rate concentrations'!$P$3:$P$368)))/F328, 0)</f>
        <v>0.40745305101551893</v>
      </c>
      <c r="N328" s="69">
        <f>IF((((1.18*F328^0.874)-(0.301*F328^0.751)/(1-H328)*H328)*(MAX('Max rate concentrations'!$Q$3:$Q$368)))/F328&gt;0, (((1.18*F328^0.874)-(0.301*F328^0.751)/(1-H328)*H328)*(MAX('Max rate concentrations'!$Q$3:$Q$368)))/F328, 0)</f>
        <v>1.5516031114061375</v>
      </c>
      <c r="O328" s="69">
        <f>((MAX('Max rate concentrations'!$F$3:$F$368))*0.62*6.01*8*(10*F328^0.667)*0.079*0.1/F328)*inputs!$E$80/(10^(0.84+0.62*LOG10(inputs!$E$80)))</f>
        <v>39.902160790277591</v>
      </c>
      <c r="P328" s="69">
        <f>((MAX('Max rate concentrations'!Y:Y))*0.62*6.01*8*(10*F328^0.667)*0.079*0.1/F328)*inputs!$E$80/(10^(0.84+0.62*LOG10(inputs!$E$80)))</f>
        <v>13.300720263425866</v>
      </c>
      <c r="Q328" s="69">
        <f>(inputs!$C$18*11.2*(10*F328^0.667)*0.5/F328)*inputs!$E$80/(10^(0.84+0.62*LOG10(inputs!$E$80)))</f>
        <v>7.0285774215501906</v>
      </c>
      <c r="R328" s="59">
        <f>(60*284*((F328/1000)^0.77)*3*24*(MAX('Max rate concentrations'!$R$3:$R$368))/F328)*(inputs!$E$73*3.4/inputs!$E$75)</f>
        <v>5.6017491172998278E-2</v>
      </c>
      <c r="S328" s="59">
        <f>(IF(inputs!$C$17="aerial",((0.025*0.112*inputs!$C$18/3.3)*(3*60*284*((F328/1000)^0.77))*MAX(inputs!$I$14:$I$16))/F328,((0.0083*0.112*inputs!$C$18/1)*(3*60*284*((F328/1000)^0.77))*MAX(inputs!$I$14:$I$16))/F328))*(inputs!E$75*3.4/inputs!$E$73)</f>
        <v>0.30893990543902988</v>
      </c>
      <c r="T328" s="63">
        <f>IF((((inputs!$P$13/(V328/MAX(K328:S328)))^(1/inputs!$O$13))-1)/inputs!$N$13&lt;0, 0, IF((((inputs!$P$13/(V328/MAX(K328:S328)))^(1/inputs!$O$13))-1)/inputs!$N$13&lt;inputs!$I$17, (((inputs!$P$13/(V328/MAX(K328:S328)))^(1/inputs!$O$13))-1)/inputs!$N$13, inputs!$I$17))</f>
        <v>1000</v>
      </c>
      <c r="U328" s="63">
        <f>IF((((inputs!$P$13/(X328/MAX(K328:S328)))^(1/inputs!$O$13))-1)/inputs!$N$13&lt;0, 0, IF((((inputs!$P$13/(X328/MAX(K328:S328)))^(1/inputs!$O$13))-1)/inputs!$N$13&lt;inputs!$I$17, (((inputs!$P$13/(X328/MAX(K328:S328)))^(1/inputs!$O$13))-1)/inputs!$N$13, inputs!$I$17))</f>
        <v>118.77250520546829</v>
      </c>
      <c r="V328" s="21">
        <f>inputs!$E$78*(F328/inputs!$F$78)^(inputs!$E$84-1)</f>
        <v>2.4554703782112351E-2</v>
      </c>
      <c r="W328" s="21">
        <f>inputs!$E$85*(F328/inputs!$F$85)^(inputs!$E$84-1)</f>
        <v>1.1338909869237934</v>
      </c>
      <c r="X328" s="21">
        <f>inputs!$E$80*(F328/inputs!$F$80)^(inputs!$E$84-1)</f>
        <v>4.2341498878799877</v>
      </c>
      <c r="Y328" s="21">
        <f>inputs!$E$82*(F328/inputs!$F$82)^(inputs!$E$84-1)</f>
        <v>1.9514527742626133</v>
      </c>
      <c r="Z328" s="63">
        <f t="shared" si="29"/>
        <v>8199.5550610913524</v>
      </c>
      <c r="AA328" s="63">
        <f t="shared" si="30"/>
        <v>177.56349419130697</v>
      </c>
    </row>
    <row r="329" spans="1:27" ht="13.2" x14ac:dyDescent="0.25">
      <c r="A329" s="103" t="s">
        <v>283</v>
      </c>
      <c r="B329" s="20" t="s">
        <v>284</v>
      </c>
      <c r="C329" s="20" t="s">
        <v>73</v>
      </c>
      <c r="D329" s="104" t="s">
        <v>141</v>
      </c>
      <c r="E329" s="15">
        <v>106</v>
      </c>
      <c r="F329" s="15">
        <v>50</v>
      </c>
      <c r="G329" s="20" t="s">
        <v>152</v>
      </c>
      <c r="H329" s="20">
        <v>0.77</v>
      </c>
      <c r="I329" s="68">
        <f>MAX('Max rate concentrations'!$G$3:$G$368)</f>
        <v>45</v>
      </c>
      <c r="J329" s="68">
        <f>MAX('Max rate concentrations'!Z:Z)</f>
        <v>21</v>
      </c>
      <c r="K329" s="69">
        <f t="shared" si="28"/>
        <v>43.303425178839753</v>
      </c>
      <c r="L329" s="69">
        <f t="shared" si="27"/>
        <v>20.208265083458549</v>
      </c>
      <c r="M329" s="69">
        <f>IF((((1.18*F329^0.874)-(0.301*F329^0.751)/(1-H329)*H329)*(MAX('Max rate concentrations'!$P$3:$P$368)))/F329&gt;0, (((1.18*F329^0.874)-(0.301*F329^0.751)/(1-H329)*H329)*(MAX('Max rate concentrations'!$P$3:$P$368)))/F329, 0)</f>
        <v>0.29641142295379114</v>
      </c>
      <c r="N329" s="69">
        <f>IF((((1.18*F329^0.874)-(0.301*F329^0.751)/(1-H329)*H329)*(MAX('Max rate concentrations'!$Q$3:$Q$368)))/F329&gt;0, (((1.18*F329^0.874)-(0.301*F329^0.751)/(1-H329)*H329)*(MAX('Max rate concentrations'!$Q$3:$Q$368)))/F329, 0)</f>
        <v>1.1287506252932831</v>
      </c>
      <c r="O329" s="69">
        <f>((MAX('Max rate concentrations'!$F$3:$F$368))*0.62*6.01*8*(10*F329^0.667)*0.079*0.1/F329)*inputs!$E$80/(10^(0.84+0.62*LOG10(inputs!$E$80)))</f>
        <v>39.902160790277591</v>
      </c>
      <c r="P329" s="69">
        <f>((MAX('Max rate concentrations'!Y:Y))*0.62*6.01*8*(10*F329^0.667)*0.079*0.1/F329)*inputs!$E$80/(10^(0.84+0.62*LOG10(inputs!$E$80)))</f>
        <v>13.300720263425866</v>
      </c>
      <c r="Q329" s="69">
        <f>(inputs!$C$18*11.2*(10*F329^0.667)*0.5/F329)*inputs!$E$80/(10^(0.84+0.62*LOG10(inputs!$E$80)))</f>
        <v>7.0285774215501906</v>
      </c>
      <c r="R329" s="59">
        <f>(60*284*((F329/1000)^0.77)*3*24*(MAX('Max rate concentrations'!$R$3:$R$368))/F329)*(inputs!$E$73*3.4/inputs!$E$75)</f>
        <v>5.6017491172998278E-2</v>
      </c>
      <c r="S329" s="59">
        <f>(IF(inputs!$C$17="aerial",((0.025*0.112*inputs!$C$18/3.3)*(3*60*284*((F329/1000)^0.77))*MAX(inputs!$I$14:$I$16))/F329,((0.0083*0.112*inputs!$C$18/1)*(3*60*284*((F329/1000)^0.77))*MAX(inputs!$I$14:$I$16))/F329))*(inputs!E$75*3.4/inputs!$E$73)</f>
        <v>0.30893990543902988</v>
      </c>
      <c r="T329" s="63">
        <f>IF((((inputs!$P$13/(V329/MAX(K329:S329)))^(1/inputs!$O$13))-1)/inputs!$N$13&lt;0, 0, IF((((inputs!$P$13/(V329/MAX(K329:S329)))^(1/inputs!$O$13))-1)/inputs!$N$13&lt;inputs!$I$17, (((inputs!$P$13/(V329/MAX(K329:S329)))^(1/inputs!$O$13))-1)/inputs!$N$13, inputs!$I$17))</f>
        <v>1000</v>
      </c>
      <c r="U329" s="63">
        <f>IF((((inputs!$P$13/(X329/MAX(K329:S329)))^(1/inputs!$O$13))-1)/inputs!$N$13&lt;0, 0, IF((((inputs!$P$13/(X329/MAX(K329:S329)))^(1/inputs!$O$13))-1)/inputs!$N$13&lt;inputs!$I$17, (((inputs!$P$13/(X329/MAX(K329:S329)))^(1/inputs!$O$13))-1)/inputs!$N$13, inputs!$I$17))</f>
        <v>30.55863387116224</v>
      </c>
      <c r="V329" s="21">
        <f>inputs!$E$78*(F329/inputs!$F$78)^(inputs!$E$84-1)</f>
        <v>2.4554703782112351E-2</v>
      </c>
      <c r="W329" s="21">
        <f>inputs!$E$85*(F329/inputs!$F$85)^(inputs!$E$84-1)</f>
        <v>1.1338909869237934</v>
      </c>
      <c r="X329" s="21">
        <f>inputs!$E$80*(F329/inputs!$F$80)^(inputs!$E$84-1)</f>
        <v>4.2341498878799877</v>
      </c>
      <c r="Y329" s="21">
        <f>inputs!$E$82*(F329/inputs!$F$82)^(inputs!$E$84-1)</f>
        <v>1.9514527742626133</v>
      </c>
      <c r="Z329" s="63">
        <f t="shared" si="29"/>
        <v>1763.5490765066977</v>
      </c>
      <c r="AA329" s="63">
        <f t="shared" si="30"/>
        <v>38.19011322801007</v>
      </c>
    </row>
    <row r="330" spans="1:27" ht="13.2" x14ac:dyDescent="0.25">
      <c r="A330" s="103" t="s">
        <v>143</v>
      </c>
      <c r="B330" s="20" t="s">
        <v>144</v>
      </c>
      <c r="C330" s="20" t="s">
        <v>73</v>
      </c>
      <c r="D330" s="104" t="s">
        <v>141</v>
      </c>
      <c r="E330" s="15">
        <v>1222</v>
      </c>
      <c r="F330" s="15">
        <v>34.4</v>
      </c>
      <c r="G330" s="20" t="s">
        <v>142</v>
      </c>
      <c r="H330" s="20">
        <v>0.69</v>
      </c>
      <c r="I330" s="68">
        <f>MAX('Max rate concentrations'!$H$3:$H$368)</f>
        <v>282</v>
      </c>
      <c r="J330" s="68">
        <f>MAX('Max rate concentrations'!AA:AA)</f>
        <v>195</v>
      </c>
      <c r="K330" s="69">
        <f t="shared" si="28"/>
        <v>212.95445021538453</v>
      </c>
      <c r="L330" s="69">
        <f t="shared" si="27"/>
        <v>147.25573685106374</v>
      </c>
      <c r="M330" s="69">
        <f>IF((((1.18*F330^0.874)-(0.301*F330^0.751)/(1-H330)*H330)*(MAX('Max rate concentrations'!$P$3:$P$368)))/F330&gt;0, (((1.18*F330^0.874)-(0.301*F330^0.751)/(1-H330)*H330)*(MAX('Max rate concentrations'!$P$3:$P$368)))/F330, 0)</f>
        <v>0.41624237869190711</v>
      </c>
      <c r="N330" s="69">
        <f>IF((((1.18*F330^0.874)-(0.301*F330^0.751)/(1-H330)*H330)*(MAX('Max rate concentrations'!$Q$3:$Q$368)))/F330&gt;0, (((1.18*F330^0.874)-(0.301*F330^0.751)/(1-H330)*H330)*(MAX('Max rate concentrations'!$Q$3:$Q$368)))/F330, 0)</f>
        <v>1.5850733434632109</v>
      </c>
      <c r="O330" s="69">
        <f>((MAX('Max rate concentrations'!$F$3:$F$368))*0.62*6.01*8*(10*F330^0.667)*0.079*0.1/F330)*inputs!$E$80/(10^(0.84+0.62*LOG10(inputs!$E$80)))</f>
        <v>45.193862962028028</v>
      </c>
      <c r="P330" s="69">
        <f>((MAX('Max rate concentrations'!Y:Y))*0.62*6.01*8*(10*F330^0.667)*0.079*0.1/F330)*inputs!$E$80/(10^(0.84+0.62*LOG10(inputs!$E$80)))</f>
        <v>15.064620987342677</v>
      </c>
      <c r="Q330" s="69">
        <f>(inputs!$C$18*11.2*(10*F330^0.667)*0.5/F330)*inputs!$E$80/(10^(0.84+0.62*LOG10(inputs!$E$80)))</f>
        <v>7.9606858003775249</v>
      </c>
      <c r="R330" s="59">
        <f>(60*284*((F330/1000)^0.77)*3*24*(MAX('Max rate concentrations'!$R$3:$R$368))/F330)*(inputs!$E$73*3.4/inputs!$E$75)</f>
        <v>6.1048966140795427E-2</v>
      </c>
      <c r="S330" s="59">
        <f>(IF(inputs!$C$17="aerial",((0.025*0.112*inputs!$C$18/3.3)*(3*60*284*((F330/1000)^0.77))*MAX(inputs!$I$14:$I$16))/F330,((0.0083*0.112*inputs!$C$18/1)*(3*60*284*((F330/1000)^0.77))*MAX(inputs!$I$14:$I$16))/F330))*(inputs!E$75*3.4/inputs!$E$73)</f>
        <v>0.33668879901174614</v>
      </c>
      <c r="T330" s="63">
        <f>IF((((inputs!$P$13/(V330/MAX(K330:S330)))^(1/inputs!$O$13))-1)/inputs!$N$13&lt;0, 0, IF((((inputs!$P$13/(V330/MAX(K330:S330)))^(1/inputs!$O$13))-1)/inputs!$N$13&lt;inputs!$I$17, (((inputs!$P$13/(V330/MAX(K330:S330)))^(1/inputs!$O$13))-1)/inputs!$N$13, inputs!$I$17))</f>
        <v>1000</v>
      </c>
      <c r="U330" s="63">
        <f>IF((((inputs!$P$13/(X330/MAX(K330:S330)))^(1/inputs!$O$13))-1)/inputs!$N$13&lt;0, 0, IF((((inputs!$P$13/(X330/MAX(K330:S330)))^(1/inputs!$O$13))-1)/inputs!$N$13&lt;inputs!$I$17, (((inputs!$P$13/(X330/MAX(K330:S330)))^(1/inputs!$O$13))-1)/inputs!$N$13, inputs!$I$17))</f>
        <v>110.79108090592102</v>
      </c>
      <c r="V330" s="21">
        <f>inputs!$E$78*(F330/inputs!$F$78)^(inputs!$E$84-1)</f>
        <v>2.8198562998950707E-2</v>
      </c>
      <c r="W330" s="21">
        <f>inputs!$E$85*(F330/inputs!$F$85)^(inputs!$E$84-1)</f>
        <v>1.3021576929796042</v>
      </c>
      <c r="X330" s="21">
        <f>inputs!$E$80*(F330/inputs!$F$80)^(inputs!$E$84-1)</f>
        <v>4.8624875877086478</v>
      </c>
      <c r="Y330" s="21">
        <f>inputs!$E$82*(F330/inputs!$F$82)^(inputs!$E$84-1)</f>
        <v>2.2410436909692404</v>
      </c>
      <c r="Z330" s="63">
        <f t="shared" si="29"/>
        <v>7551.961077708419</v>
      </c>
      <c r="AA330" s="63">
        <f t="shared" si="30"/>
        <v>163.53967830739535</v>
      </c>
    </row>
    <row r="331" spans="1:27" ht="13.2" x14ac:dyDescent="0.25">
      <c r="A331" s="103" t="s">
        <v>143</v>
      </c>
      <c r="B331" s="20" t="s">
        <v>144</v>
      </c>
      <c r="C331" s="20" t="s">
        <v>73</v>
      </c>
      <c r="D331" s="104" t="s">
        <v>141</v>
      </c>
      <c r="E331" s="15">
        <v>1222</v>
      </c>
      <c r="F331" s="15">
        <v>34.4</v>
      </c>
      <c r="G331" s="20" t="s">
        <v>145</v>
      </c>
      <c r="H331" s="20">
        <v>0.66</v>
      </c>
      <c r="I331" s="68">
        <f>MAX('Max rate concentrations'!$M$3:$M$368)</f>
        <v>17.092910873809167</v>
      </c>
      <c r="J331" s="68">
        <f>MAX('Max rate concentrations'!AE:AE)</f>
        <v>11.81956602976166</v>
      </c>
      <c r="K331" s="69">
        <f t="shared" si="28"/>
        <v>11.768914744377408</v>
      </c>
      <c r="L331" s="69">
        <f t="shared" si="27"/>
        <v>8.138079344516294</v>
      </c>
      <c r="M331" s="69">
        <f>IF((((1.18*F331^0.874)-(0.301*F331^0.751)/(1-H331)*H331)*(MAX('Max rate concentrations'!$P$3:$P$368)))/F331&gt;0, (((1.18*F331^0.874)-(0.301*F331^0.751)/(1-H331)*H331)*(MAX('Max rate concentrations'!$P$3:$P$368)))/F331, 0)</f>
        <v>0.44716002938659744</v>
      </c>
      <c r="N331" s="69">
        <f>IF((((1.18*F331^0.874)-(0.301*F331^0.751)/(1-H331)*H331)*(MAX('Max rate concentrations'!$Q$3:$Q$368)))/F331&gt;0, (((1.18*F331^0.874)-(0.301*F331^0.751)/(1-H331)*H331)*(MAX('Max rate concentrations'!$Q$3:$Q$368)))/F331, 0)</f>
        <v>1.7028094185660636</v>
      </c>
      <c r="O331" s="69">
        <f>((MAX('Max rate concentrations'!$F$3:$F$368))*0.62*6.01*8*(10*F331^0.667)*0.079*0.1/F331)*inputs!$E$80/(10^(0.84+0.62*LOG10(inputs!$E$80)))</f>
        <v>45.193862962028028</v>
      </c>
      <c r="P331" s="69">
        <f>((MAX('Max rate concentrations'!Y:Y))*0.62*6.01*8*(10*F331^0.667)*0.079*0.1/F331)*inputs!$E$80/(10^(0.84+0.62*LOG10(inputs!$E$80)))</f>
        <v>15.064620987342677</v>
      </c>
      <c r="Q331" s="69">
        <f>(inputs!$C$18*11.2*(10*F331^0.667)*0.5/F331)*inputs!$E$80/(10^(0.84+0.62*LOG10(inputs!$E$80)))</f>
        <v>7.9606858003775249</v>
      </c>
      <c r="R331" s="59">
        <f>(60*284*((F331/1000)^0.77)*3*24*(MAX('Max rate concentrations'!$R$3:$R$368))/F331)*(inputs!$E$73*3.4/inputs!$E$75)</f>
        <v>6.1048966140795427E-2</v>
      </c>
      <c r="S331" s="59">
        <f>(IF(inputs!$C$17="aerial",((0.025*0.112*inputs!$C$18/3.3)*(3*60*284*((F331/1000)^0.77))*MAX(inputs!$I$14:$I$16))/F331,((0.0083*0.112*inputs!$C$18/1)*(3*60*284*((F331/1000)^0.77))*MAX(inputs!$I$14:$I$16))/F331))*(inputs!E$75*3.4/inputs!$E$73)</f>
        <v>0.33668879901174614</v>
      </c>
      <c r="T331" s="63">
        <f>IF((((inputs!$P$13/(V331/MAX(K331:S331)))^(1/inputs!$O$13))-1)/inputs!$N$13&lt;0, 0, IF((((inputs!$P$13/(V331/MAX(K331:S331)))^(1/inputs!$O$13))-1)/inputs!$N$13&lt;inputs!$I$17, (((inputs!$P$13/(V331/MAX(K331:S331)))^(1/inputs!$O$13))-1)/inputs!$N$13, inputs!$I$17))</f>
        <v>1000</v>
      </c>
      <c r="U331" s="63">
        <f>IF((((inputs!$P$13/(X331/MAX(K331:S331)))^(1/inputs!$O$13))-1)/inputs!$N$13&lt;0, 0, IF((((inputs!$P$13/(X331/MAX(K331:S331)))^(1/inputs!$O$13))-1)/inputs!$N$13&lt;inputs!$I$17, (((inputs!$P$13/(X331/MAX(K331:S331)))^(1/inputs!$O$13))-1)/inputs!$N$13, inputs!$I$17))</f>
        <v>27.895279492075517</v>
      </c>
      <c r="V331" s="21">
        <f>inputs!$E$78*(F331/inputs!$F$78)^(inputs!$E$84-1)</f>
        <v>2.8198562998950707E-2</v>
      </c>
      <c r="W331" s="21">
        <f>inputs!$E$85*(F331/inputs!$F$85)^(inputs!$E$84-1)</f>
        <v>1.3021576929796042</v>
      </c>
      <c r="X331" s="21">
        <f>inputs!$E$80*(F331/inputs!$F$80)^(inputs!$E$84-1)</f>
        <v>4.8624875877086478</v>
      </c>
      <c r="Y331" s="21">
        <f>inputs!$E$82*(F331/inputs!$F$82)^(inputs!$E$84-1)</f>
        <v>2.2410436909692404</v>
      </c>
      <c r="Z331" s="63">
        <f t="shared" si="29"/>
        <v>1602.7009235793232</v>
      </c>
      <c r="AA331" s="63">
        <f t="shared" si="30"/>
        <v>34.706904705692892</v>
      </c>
    </row>
    <row r="332" spans="1:27" ht="13.2" x14ac:dyDescent="0.25">
      <c r="A332" s="103" t="s">
        <v>143</v>
      </c>
      <c r="B332" s="20" t="s">
        <v>144</v>
      </c>
      <c r="C332" s="20" t="s">
        <v>73</v>
      </c>
      <c r="D332" s="104" t="s">
        <v>141</v>
      </c>
      <c r="E332" s="15">
        <v>1222</v>
      </c>
      <c r="F332" s="15">
        <v>34.4</v>
      </c>
      <c r="G332" s="20" t="s">
        <v>146</v>
      </c>
      <c r="H332" s="20">
        <v>0.84</v>
      </c>
      <c r="I332" s="68">
        <f>MAX('Max rate concentrations'!$I$3:$I$368)</f>
        <v>56.865414300472793</v>
      </c>
      <c r="J332" s="68" t="s">
        <v>13</v>
      </c>
      <c r="K332" s="69">
        <f t="shared" si="28"/>
        <v>83.200805451561308</v>
      </c>
      <c r="L332" s="69" t="s">
        <v>13</v>
      </c>
      <c r="M332" s="69">
        <f>IF((((1.18*F332^0.874)-(0.301*F332^0.751)/(1-H332)*H332)*(MAX('Max rate concentrations'!$P$3:$P$368)))/F332&gt;0, (((1.18*F332^0.874)-(0.301*F332^0.751)/(1-H332)*H332)*(MAX('Max rate concentrations'!$P$3:$P$368)))/F332, 0)</f>
        <v>8.7742340060821947E-2</v>
      </c>
      <c r="N332" s="69">
        <f>IF((((1.18*F332^0.874)-(0.301*F332^0.751)/(1-H332)*H332)*(MAX('Max rate concentrations'!$Q$3:$Q$368)))/F332&gt;0, (((1.18*F332^0.874)-(0.301*F332^0.751)/(1-H332)*H332)*(MAX('Max rate concentrations'!$Q$3:$Q$368)))/F332, 0)</f>
        <v>0.33412754549539853</v>
      </c>
      <c r="O332" s="69">
        <f>((MAX('Max rate concentrations'!$F$3:$F$368))*0.62*6.01*8*(10*F332^0.667)*0.079*0.1/F332)*inputs!$E$80/(10^(0.84+0.62*LOG10(inputs!$E$80)))</f>
        <v>45.193862962028028</v>
      </c>
      <c r="P332" s="69">
        <f>((MAX('Max rate concentrations'!Y:Y))*0.62*6.01*8*(10*F332^0.667)*0.079*0.1/F332)*inputs!$E$80/(10^(0.84+0.62*LOG10(inputs!$E$80)))</f>
        <v>15.064620987342677</v>
      </c>
      <c r="Q332" s="69">
        <f>(inputs!$C$18*11.2*(10*F332^0.667)*0.5/F332)*inputs!$E$80/(10^(0.84+0.62*LOG10(inputs!$E$80)))</f>
        <v>7.9606858003775249</v>
      </c>
      <c r="R332" s="59">
        <f>(60*284*((F332/1000)^0.77)*3*24*(MAX('Max rate concentrations'!$R$3:$R$368))/F332)*(inputs!$E$73*3.4/inputs!$E$75)</f>
        <v>6.1048966140795427E-2</v>
      </c>
      <c r="S332" s="59">
        <f>(IF(inputs!$C$17="aerial",((0.025*0.112*inputs!$C$18/3.3)*(3*60*284*((F332/1000)^0.77))*MAX(inputs!$I$14:$I$16))/F332,((0.0083*0.112*inputs!$C$18/1)*(3*60*284*((F332/1000)^0.77))*MAX(inputs!$I$14:$I$16))/F332))*(inputs!E$75*3.4/inputs!$E$73)</f>
        <v>0.33668879901174614</v>
      </c>
      <c r="T332" s="63">
        <f>IF((((inputs!$P$13/(V332/MAX(K332:S332)))^(1/inputs!$O$13))-1)/inputs!$N$13&lt;0, 0, IF((((inputs!$P$13/(V332/MAX(K332:S332)))^(1/inputs!$O$13))-1)/inputs!$N$13&lt;inputs!$I$17, (((inputs!$P$13/(V332/MAX(K332:S332)))^(1/inputs!$O$13))-1)/inputs!$N$13, inputs!$I$17))</f>
        <v>1000</v>
      </c>
      <c r="U332" s="63">
        <f>IF((((inputs!$P$13/(X332/MAX(K332:S332)))^(1/inputs!$O$13))-1)/inputs!$N$13&lt;0, 0, IF((((inputs!$P$13/(X332/MAX(K332:S332)))^(1/inputs!$O$13))-1)/inputs!$N$13&lt;inputs!$I$17, (((inputs!$P$13/(X332/MAX(K332:S332)))^(1/inputs!$O$13))-1)/inputs!$N$13, inputs!$I$17))</f>
        <v>49.030321912520918</v>
      </c>
      <c r="V332" s="21">
        <f>inputs!$E$78*(F332/inputs!$F$78)^(inputs!$E$84-1)</f>
        <v>2.8198562998950707E-2</v>
      </c>
      <c r="W332" s="21">
        <f>inputs!$E$85*(F332/inputs!$F$85)^(inputs!$E$84-1)</f>
        <v>1.3021576929796042</v>
      </c>
      <c r="X332" s="21">
        <f>inputs!$E$80*(F332/inputs!$F$80)^(inputs!$E$84-1)</f>
        <v>4.8624875877086478</v>
      </c>
      <c r="Y332" s="21">
        <f>inputs!$E$82*(F332/inputs!$F$82)^(inputs!$E$84-1)</f>
        <v>2.2410436909692404</v>
      </c>
      <c r="Z332" s="63">
        <f t="shared" si="29"/>
        <v>2950.5335238060634</v>
      </c>
      <c r="AA332" s="63">
        <f t="shared" si="30"/>
        <v>63.894569682402121</v>
      </c>
    </row>
    <row r="333" spans="1:27" ht="13.2" x14ac:dyDescent="0.25">
      <c r="A333" s="103" t="s">
        <v>361</v>
      </c>
      <c r="B333" s="20" t="s">
        <v>362</v>
      </c>
      <c r="C333" s="20" t="s">
        <v>73</v>
      </c>
      <c r="D333" s="104" t="s">
        <v>141</v>
      </c>
      <c r="E333" s="15">
        <v>72</v>
      </c>
      <c r="F333" s="15">
        <v>19</v>
      </c>
      <c r="G333" s="20" t="s">
        <v>142</v>
      </c>
      <c r="H333" s="20">
        <v>0.69</v>
      </c>
      <c r="I333" s="68">
        <f>MAX('Max rate concentrations'!$H$3:$H$368)</f>
        <v>282</v>
      </c>
      <c r="J333" s="68">
        <f>MAX('Max rate concentrations'!AA:AA)</f>
        <v>195</v>
      </c>
      <c r="K333" s="69">
        <f t="shared" si="28"/>
        <v>232.78631548960547</v>
      </c>
      <c r="L333" s="69">
        <f t="shared" ref="L333:L343" si="31">((0.398*F333^0.85)/(1-H333))*J333/F333</f>
        <v>160.96926071089737</v>
      </c>
      <c r="M333" s="69">
        <f>IF((((1.18*F333^0.874)-(0.301*F333^0.751)/(1-H333)*H333)*(MAX('Max rate concentrations'!$P$3:$P$368)))/F333&gt;0, (((1.18*F333^0.874)-(0.301*F333^0.751)/(1-H333)*H333)*(MAX('Max rate concentrations'!$P$3:$P$368)))/F333, 0)</f>
        <v>0.42883342426440257</v>
      </c>
      <c r="N333" s="69">
        <f>IF((((1.18*F333^0.874)-(0.301*F333^0.751)/(1-H333)*H333)*(MAX('Max rate concentrations'!$Q$3:$Q$368)))/F333&gt;0, (((1.18*F333^0.874)-(0.301*F333^0.751)/(1-H333)*H333)*(MAX('Max rate concentrations'!$Q$3:$Q$368)))/F333, 0)</f>
        <v>1.6330207215413697</v>
      </c>
      <c r="O333" s="69">
        <f>((MAX('Max rate concentrations'!$F$3:$F$368))*0.62*6.01*8*(10*F333^0.667)*0.079*0.1/F333)*inputs!$E$80/(10^(0.84+0.62*LOG10(inputs!$E$80)))</f>
        <v>55.071699213544889</v>
      </c>
      <c r="P333" s="69">
        <f>((MAX('Max rate concentrations'!Y:Y))*0.62*6.01*8*(10*F333^0.667)*0.079*0.1/F333)*inputs!$E$80/(10^(0.84+0.62*LOG10(inputs!$E$80)))</f>
        <v>18.357233071181632</v>
      </c>
      <c r="Q333" s="69">
        <f>(inputs!$C$18*11.2*(10*F333^0.667)*0.5/F333)*inputs!$E$80/(10^(0.84+0.62*LOG10(inputs!$E$80)))</f>
        <v>9.7006200664962083</v>
      </c>
      <c r="R333" s="59">
        <f>(60*284*((F333/1000)^0.77)*3*24*(MAX('Max rate concentrations'!$R$3:$R$368))/F333)*(inputs!$E$73*3.4/inputs!$E$75)</f>
        <v>6.9979917664522634E-2</v>
      </c>
      <c r="S333" s="59">
        <f>(IF(inputs!$C$17="aerial",((0.025*0.112*inputs!$C$18/3.3)*(3*60*284*((F333/1000)^0.77))*MAX(inputs!$I$14:$I$16))/F333,((0.0083*0.112*inputs!$C$18/1)*(3*60*284*((F333/1000)^0.77))*MAX(inputs!$I$14:$I$16))/F333))*(inputs!E$75*3.4/inputs!$E$73)</f>
        <v>0.38594354536766318</v>
      </c>
      <c r="T333" s="63">
        <f>IF((((inputs!$P$13/(V333/MAX(K333:S333)))^(1/inputs!$O$13))-1)/inputs!$N$13&lt;0, 0, IF((((inputs!$P$13/(V333/MAX(K333:S333)))^(1/inputs!$O$13))-1)/inputs!$N$13&lt;inputs!$I$17, (((inputs!$P$13/(V333/MAX(K333:S333)))^(1/inputs!$O$13))-1)/inputs!$N$13, inputs!$I$17))</f>
        <v>1000</v>
      </c>
      <c r="U333" s="63">
        <f>IF((((inputs!$P$13/(X333/MAX(K333:S333)))^(1/inputs!$O$13))-1)/inputs!$N$13&lt;0, 0, IF((((inputs!$P$13/(X333/MAX(K333:S333)))^(1/inputs!$O$13))-1)/inputs!$N$13&lt;inputs!$I$17, (((inputs!$P$13/(X333/MAX(K333:S333)))^(1/inputs!$O$13))-1)/inputs!$N$13, inputs!$I$17))</f>
        <v>99.163309616040678</v>
      </c>
      <c r="V333" s="21">
        <f>inputs!$E$78*(F333/inputs!$F$78)^(inputs!$E$84-1)</f>
        <v>3.5124873481261372E-2</v>
      </c>
      <c r="W333" s="21">
        <f>inputs!$E$85*(F333/inputs!$F$85)^(inputs!$E$84-1)</f>
        <v>1.6220019516690172</v>
      </c>
      <c r="X333" s="21">
        <f>inputs!$E$80*(F333/inputs!$F$80)^(inputs!$E$84-1)</f>
        <v>6.0568427309159505</v>
      </c>
      <c r="Y333" s="21">
        <f>inputs!$E$82*(F333/inputs!$F$82)^(inputs!$E$84-1)</f>
        <v>2.7915031029844566</v>
      </c>
      <c r="Z333" s="63">
        <f t="shared" si="29"/>
        <v>6627.3922840973</v>
      </c>
      <c r="AA333" s="63">
        <f t="shared" si="30"/>
        <v>143.51790098037281</v>
      </c>
    </row>
    <row r="334" spans="1:27" ht="13.2" x14ac:dyDescent="0.25">
      <c r="A334" s="103" t="s">
        <v>361</v>
      </c>
      <c r="B334" s="20" t="s">
        <v>362</v>
      </c>
      <c r="C334" s="20" t="s">
        <v>73</v>
      </c>
      <c r="D334" s="104" t="s">
        <v>141</v>
      </c>
      <c r="E334" s="15">
        <v>72</v>
      </c>
      <c r="F334" s="15">
        <v>19</v>
      </c>
      <c r="G334" s="20" t="s">
        <v>363</v>
      </c>
      <c r="H334" s="20">
        <v>0.85</v>
      </c>
      <c r="I334" s="68">
        <f>MAX('Max rate concentrations'!$F$3:$F$368)</f>
        <v>405</v>
      </c>
      <c r="J334" s="68">
        <f>MAX('Max rate concentrations'!Y:Y)</f>
        <v>135</v>
      </c>
      <c r="K334" s="69">
        <f t="shared" si="28"/>
        <v>690.92959597446736</v>
      </c>
      <c r="L334" s="69">
        <f t="shared" si="31"/>
        <v>230.30986532482243</v>
      </c>
      <c r="M334" s="69">
        <f>IF((((1.18*F334^0.874)-(0.301*F334^0.751)/(1-H334)*H334)*(MAX('Max rate concentrations'!$P$3:$P$368)))/F334&gt;0, (((1.18*F334^0.874)-(0.301*F334^0.751)/(1-H334)*H334)*(MAX('Max rate concentrations'!$P$3:$P$368)))/F334, 0)</f>
        <v>0</v>
      </c>
      <c r="N334" s="69">
        <f>IF((((1.18*F334^0.874)-(0.301*F334^0.751)/(1-H334)*H334)*(MAX('Max rate concentrations'!$Q$3:$Q$368)))/F334&gt;0, (((1.18*F334^0.874)-(0.301*F334^0.751)/(1-H334)*H334)*(MAX('Max rate concentrations'!$Q$3:$Q$368)))/F334, 0)</f>
        <v>0</v>
      </c>
      <c r="O334" s="69">
        <f>((MAX('Max rate concentrations'!$F$3:$F$368))*0.62*6.01*8*(10*F334^0.667)*0.079*0.1/F334)*inputs!$E$80/(10^(0.84+0.62*LOG10(inputs!$E$80)))</f>
        <v>55.071699213544889</v>
      </c>
      <c r="P334" s="69">
        <f>((MAX('Max rate concentrations'!Y:Y))*0.62*6.01*8*(10*F334^0.667)*0.079*0.1/F334)*inputs!$E$80/(10^(0.84+0.62*LOG10(inputs!$E$80)))</f>
        <v>18.357233071181632</v>
      </c>
      <c r="Q334" s="69">
        <f>(inputs!$C$18*11.2*(10*F334^0.667)*0.5/F334)*inputs!$E$80/(10^(0.84+0.62*LOG10(inputs!$E$80)))</f>
        <v>9.7006200664962083</v>
      </c>
      <c r="R334" s="59">
        <f>(60*284*((F334/1000)^0.77)*3*24*(MAX('Max rate concentrations'!$R$3:$R$368))/F334)*(inputs!$E$73*3.4/inputs!$E$75)</f>
        <v>6.9979917664522634E-2</v>
      </c>
      <c r="S334" s="59">
        <f>(IF(inputs!$C$17="aerial",((0.025*0.112*inputs!$C$18/3.3)*(3*60*284*((F334/1000)^0.77))*MAX(inputs!$I$14:$I$16))/F334,((0.0083*0.112*inputs!$C$18/1)*(3*60*284*((F334/1000)^0.77))*MAX(inputs!$I$14:$I$16))/F334))*(inputs!E$75*3.4/inputs!$E$73)</f>
        <v>0.38594354536766318</v>
      </c>
      <c r="T334" s="63">
        <f>IF((((inputs!$P$13/(V334/MAX(K334:S334)))^(1/inputs!$O$13))-1)/inputs!$N$13&lt;0, 0, IF((((inputs!$P$13/(V334/MAX(K334:S334)))^(1/inputs!$O$13))-1)/inputs!$N$13&lt;inputs!$I$17, (((inputs!$P$13/(V334/MAX(K334:S334)))^(1/inputs!$O$13))-1)/inputs!$N$13, inputs!$I$17))</f>
        <v>1000</v>
      </c>
      <c r="U334" s="63">
        <f>IF((((inputs!$P$13/(X334/MAX(K334:S334)))^(1/inputs!$O$13))-1)/inputs!$N$13&lt;0, 0, IF((((inputs!$P$13/(X334/MAX(K334:S334)))^(1/inputs!$O$13))-1)/inputs!$N$13&lt;inputs!$I$17, (((inputs!$P$13/(X334/MAX(K334:S334)))^(1/inputs!$O$13))-1)/inputs!$N$13, inputs!$I$17))</f>
        <v>246.38890114425286</v>
      </c>
      <c r="V334" s="21">
        <f>inputs!$E$78*(F334/inputs!$F$78)^(inputs!$E$84-1)</f>
        <v>3.5124873481261372E-2</v>
      </c>
      <c r="W334" s="21">
        <f>inputs!$E$85*(F334/inputs!$F$85)^(inputs!$E$84-1)</f>
        <v>1.6220019516690172</v>
      </c>
      <c r="X334" s="21">
        <f>inputs!$E$80*(F334/inputs!$F$80)^(inputs!$E$84-1)</f>
        <v>6.0568427309159505</v>
      </c>
      <c r="Y334" s="21">
        <f>inputs!$E$82*(F334/inputs!$F$82)^(inputs!$E$84-1)</f>
        <v>2.7915031029844566</v>
      </c>
      <c r="Z334" s="63">
        <f t="shared" si="29"/>
        <v>19670.664332586668</v>
      </c>
      <c r="AA334" s="63">
        <f t="shared" si="30"/>
        <v>425.97334439919172</v>
      </c>
    </row>
    <row r="335" spans="1:27" ht="13.2" x14ac:dyDescent="0.25">
      <c r="A335" s="103" t="s">
        <v>361</v>
      </c>
      <c r="B335" s="20" t="s">
        <v>362</v>
      </c>
      <c r="C335" s="20" t="s">
        <v>73</v>
      </c>
      <c r="D335" s="104" t="s">
        <v>141</v>
      </c>
      <c r="E335" s="15">
        <v>72</v>
      </c>
      <c r="F335" s="15">
        <v>19</v>
      </c>
      <c r="G335" s="20" t="s">
        <v>154</v>
      </c>
      <c r="H335" s="20">
        <v>9.2999999999999999E-2</v>
      </c>
      <c r="I335" s="68">
        <f>MAX('Max rate concentrations'!$G$3:$G$368)</f>
        <v>45</v>
      </c>
      <c r="J335" s="68">
        <f>MAX('Max rate concentrations'!Z:Z)</f>
        <v>21</v>
      </c>
      <c r="K335" s="69">
        <f t="shared" si="28"/>
        <v>12.696243953959343</v>
      </c>
      <c r="L335" s="69">
        <f t="shared" si="31"/>
        <v>5.9249138451810266</v>
      </c>
      <c r="M335" s="69">
        <f>IF((((1.18*F335^0.874)-(0.301*F335^0.751)/(1-H335)*H335)*(MAX('Max rate concentrations'!$P$3:$P$368)))/F335&gt;0, (((1.18*F335^0.874)-(0.301*F335^0.751)/(1-H335)*H335)*(MAX('Max rate concentrations'!$P$3:$P$368)))/F335, 0)</f>
        <v>0.69621076414106497</v>
      </c>
      <c r="N335" s="69">
        <f>IF((((1.18*F335^0.874)-(0.301*F335^0.751)/(1-H335)*H335)*(MAX('Max rate concentrations'!$Q$3:$Q$368)))/F335&gt;0, (((1.18*F335^0.874)-(0.301*F335^0.751)/(1-H335)*H335)*(MAX('Max rate concentrations'!$Q$3:$Q$368)))/F335, 0)</f>
        <v>2.6512079984267372</v>
      </c>
      <c r="O335" s="69">
        <f>((MAX('Max rate concentrations'!$F$3:$F$368))*0.62*6.01*8*(10*F335^0.667)*0.079*0.1/F335)*inputs!$E$80/(10^(0.84+0.62*LOG10(inputs!$E$80)))</f>
        <v>55.071699213544889</v>
      </c>
      <c r="P335" s="69">
        <f>((MAX('Max rate concentrations'!Y:Y))*0.62*6.01*8*(10*F335^0.667)*0.079*0.1/F335)*inputs!$E$80/(10^(0.84+0.62*LOG10(inputs!$E$80)))</f>
        <v>18.357233071181632</v>
      </c>
      <c r="Q335" s="69">
        <f>(inputs!$C$18*11.2*(10*F335^0.667)*0.5/F335)*inputs!$E$80/(10^(0.84+0.62*LOG10(inputs!$E$80)))</f>
        <v>9.7006200664962083</v>
      </c>
      <c r="R335" s="59">
        <f>(60*284*((F335/1000)^0.77)*3*24*(MAX('Max rate concentrations'!$R$3:$R$368))/F335)*(inputs!$E$73*3.4/inputs!$E$75)</f>
        <v>6.9979917664522634E-2</v>
      </c>
      <c r="S335" s="59">
        <f>(IF(inputs!$C$17="aerial",((0.025*0.112*inputs!$C$18/3.3)*(3*60*284*((F335/1000)^0.77))*MAX(inputs!$I$14:$I$16))/F335,((0.0083*0.112*inputs!$C$18/1)*(3*60*284*((F335/1000)^0.77))*MAX(inputs!$I$14:$I$16))/F335))*(inputs!E$75*3.4/inputs!$E$73)</f>
        <v>0.38594354536766318</v>
      </c>
      <c r="T335" s="63">
        <f>IF((((inputs!$P$13/(V335/MAX(K335:S335)))^(1/inputs!$O$13))-1)/inputs!$N$13&lt;0, 0, IF((((inputs!$P$13/(V335/MAX(K335:S335)))^(1/inputs!$O$13))-1)/inputs!$N$13&lt;inputs!$I$17, (((inputs!$P$13/(V335/MAX(K335:S335)))^(1/inputs!$O$13))-1)/inputs!$N$13, inputs!$I$17))</f>
        <v>1000</v>
      </c>
      <c r="U335" s="63">
        <f>IF((((inputs!$P$13/(X335/MAX(K335:S335)))^(1/inputs!$O$13))-1)/inputs!$N$13&lt;0, 0, IF((((inputs!$P$13/(X335/MAX(K335:S335)))^(1/inputs!$O$13))-1)/inputs!$N$13&lt;inputs!$I$17, (((inputs!$P$13/(X335/MAX(K335:S335)))^(1/inputs!$O$13))-1)/inputs!$N$13, inputs!$I$17))</f>
        <v>27.312165527097747</v>
      </c>
      <c r="V335" s="21">
        <f>inputs!$E$78*(F335/inputs!$F$78)^(inputs!$E$84-1)</f>
        <v>3.5124873481261372E-2</v>
      </c>
      <c r="W335" s="21">
        <f>inputs!$E$85*(F335/inputs!$F$85)^(inputs!$E$84-1)</f>
        <v>1.6220019516690172</v>
      </c>
      <c r="X335" s="21">
        <f>inputs!$E$80*(F335/inputs!$F$80)^(inputs!$E$84-1)</f>
        <v>6.0568427309159505</v>
      </c>
      <c r="Y335" s="21">
        <f>inputs!$E$82*(F335/inputs!$F$82)^(inputs!$E$84-1)</f>
        <v>2.7915031029844566</v>
      </c>
      <c r="Z335" s="63">
        <f t="shared" si="29"/>
        <v>1567.8832051288348</v>
      </c>
      <c r="AA335" s="63">
        <f t="shared" si="30"/>
        <v>33.952917970830356</v>
      </c>
    </row>
    <row r="336" spans="1:27" ht="13.2" x14ac:dyDescent="0.25">
      <c r="A336" s="103" t="s">
        <v>139</v>
      </c>
      <c r="B336" s="20" t="s">
        <v>140</v>
      </c>
      <c r="C336" s="20" t="s">
        <v>73</v>
      </c>
      <c r="D336" s="104" t="s">
        <v>141</v>
      </c>
      <c r="E336" s="15">
        <v>75</v>
      </c>
      <c r="F336" s="15">
        <v>15</v>
      </c>
      <c r="G336" s="20" t="s">
        <v>142</v>
      </c>
      <c r="H336" s="20">
        <v>0.69</v>
      </c>
      <c r="I336" s="68">
        <f>MAX('Max rate concentrations'!$H$3:$H$368)</f>
        <v>282</v>
      </c>
      <c r="J336" s="68">
        <f>MAX('Max rate concentrations'!AA:AA)</f>
        <v>195</v>
      </c>
      <c r="K336" s="69">
        <f t="shared" si="28"/>
        <v>241.18861170332795</v>
      </c>
      <c r="L336" s="69">
        <f t="shared" si="31"/>
        <v>166.77935915655655</v>
      </c>
      <c r="M336" s="69">
        <f>IF((((1.18*F336^0.874)-(0.301*F336^0.751)/(1-H336)*H336)*(MAX('Max rate concentrations'!$P$3:$P$368)))/F336&gt;0, (((1.18*F336^0.874)-(0.301*F336^0.751)/(1-H336)*H336)*(MAX('Max rate concentrations'!$P$3:$P$368)))/F336, 0)</f>
        <v>0.43327905926074683</v>
      </c>
      <c r="N336" s="69">
        <f>IF((((1.18*F336^0.874)-(0.301*F336^0.751)/(1-H336)*H336)*(MAX('Max rate concentrations'!$Q$3:$Q$368)))/F336&gt;0, (((1.18*F336^0.874)-(0.301*F336^0.751)/(1-H336)*H336)*(MAX('Max rate concentrations'!$Q$3:$Q$368)))/F336, 0)</f>
        <v>1.6499499384789085</v>
      </c>
      <c r="O336" s="69">
        <f>((MAX('Max rate concentrations'!$F$3:$F$368))*0.62*6.01*8*(10*F336^0.667)*0.079*0.1/F336)*inputs!$E$80/(10^(0.84+0.62*LOG10(inputs!$E$80)))</f>
        <v>59.581994422027108</v>
      </c>
      <c r="P336" s="69">
        <f>((MAX('Max rate concentrations'!Y:Y))*0.62*6.01*8*(10*F336^0.667)*0.079*0.1/F336)*inputs!$E$80/(10^(0.84+0.62*LOG10(inputs!$E$80)))</f>
        <v>19.860664807342371</v>
      </c>
      <c r="Q336" s="69">
        <f>(inputs!$C$18*11.2*(10*F336^0.667)*0.5/F336)*inputs!$E$80/(10^(0.84+0.62*LOG10(inputs!$E$80)))</f>
        <v>10.495087294310805</v>
      </c>
      <c r="R336" s="59">
        <f>(60*284*((F336/1000)^0.77)*3*24*(MAX('Max rate concentrations'!$R$3:$R$368))/F336)*(inputs!$E$73*3.4/inputs!$E$75)</f>
        <v>7.3890016886512366E-2</v>
      </c>
      <c r="S336" s="59">
        <f>(IF(inputs!$C$17="aerial",((0.025*0.112*inputs!$C$18/3.3)*(3*60*284*((F336/1000)^0.77))*MAX(inputs!$I$14:$I$16))/F336,((0.0083*0.112*inputs!$C$18/1)*(3*60*284*((F336/1000)^0.77))*MAX(inputs!$I$14:$I$16))/F336))*(inputs!E$75*3.4/inputs!$E$73)</f>
        <v>0.40750798280682138</v>
      </c>
      <c r="T336" s="63">
        <f>IF((((inputs!$P$13/(V336/MAX(K336:S336)))^(1/inputs!$O$13))-1)/inputs!$N$13&lt;0, 0, IF((((inputs!$P$13/(V336/MAX(K336:S336)))^(1/inputs!$O$13))-1)/inputs!$N$13&lt;inputs!$I$17, (((inputs!$P$13/(V336/MAX(K336:S336)))^(1/inputs!$O$13))-1)/inputs!$N$13, inputs!$I$17))</f>
        <v>1000</v>
      </c>
      <c r="U336" s="63">
        <f>IF((((inputs!$P$13/(X336/MAX(K336:S336)))^(1/inputs!$O$13))-1)/inputs!$N$13&lt;0, 0, IF((((inputs!$P$13/(X336/MAX(K336:S336)))^(1/inputs!$O$13))-1)/inputs!$N$13&lt;inputs!$I$17, (((inputs!$P$13/(X336/MAX(K336:S336)))^(1/inputs!$O$13))-1)/inputs!$N$13, inputs!$I$17))</f>
        <v>94.864166229846063</v>
      </c>
      <c r="V336" s="21">
        <f>inputs!$E$78*(F336/inputs!$F$78)^(inputs!$E$84-1)</f>
        <v>3.8335385520294862E-2</v>
      </c>
      <c r="W336" s="21">
        <f>inputs!$E$85*(F336/inputs!$F$85)^(inputs!$E$84-1)</f>
        <v>1.7702574833493601</v>
      </c>
      <c r="X336" s="21">
        <f>inputs!$E$80*(F336/inputs!$F$80)^(inputs!$E$84-1)</f>
        <v>6.6104551593425471</v>
      </c>
      <c r="Y336" s="21">
        <f>inputs!$E$82*(F336/inputs!$F$82)^(inputs!$E$84-1)</f>
        <v>3.0466543229286969</v>
      </c>
      <c r="Z336" s="63">
        <f t="shared" si="29"/>
        <v>6291.5400074858253</v>
      </c>
      <c r="AA336" s="63">
        <f t="shared" si="30"/>
        <v>136.244932712836</v>
      </c>
    </row>
    <row r="337" spans="1:27" ht="13.2" x14ac:dyDescent="0.25">
      <c r="A337" s="103" t="s">
        <v>305</v>
      </c>
      <c r="B337" s="20" t="s">
        <v>306</v>
      </c>
      <c r="C337" s="20" t="s">
        <v>73</v>
      </c>
      <c r="D337" s="104" t="s">
        <v>141</v>
      </c>
      <c r="E337" s="15">
        <v>99</v>
      </c>
      <c r="F337" s="15">
        <v>14</v>
      </c>
      <c r="G337" s="20" t="s">
        <v>142</v>
      </c>
      <c r="H337" s="20">
        <v>0.69</v>
      </c>
      <c r="I337" s="68">
        <f>MAX('Max rate concentrations'!$H$3:$H$368)</f>
        <v>282</v>
      </c>
      <c r="J337" s="68">
        <f>MAX('Max rate concentrations'!AA:AA)</f>
        <v>195</v>
      </c>
      <c r="K337" s="69">
        <f t="shared" si="28"/>
        <v>243.69761630151493</v>
      </c>
      <c r="L337" s="69">
        <f t="shared" si="31"/>
        <v>168.51430914466459</v>
      </c>
      <c r="M337" s="69">
        <f>IF((((1.18*F337^0.874)-(0.301*F337^0.751)/(1-H337)*H337)*(MAX('Max rate concentrations'!$P$3:$P$368)))/F337&gt;0, (((1.18*F337^0.874)-(0.301*F337^0.751)/(1-H337)*H337)*(MAX('Max rate concentrations'!$P$3:$P$368)))/F337, 0)</f>
        <v>0.43450638528783081</v>
      </c>
      <c r="N337" s="69">
        <f>IF((((1.18*F337^0.874)-(0.301*F337^0.751)/(1-H337)*H337)*(MAX('Max rate concentrations'!$Q$3:$Q$368)))/F337&gt;0, (((1.18*F337^0.874)-(0.301*F337^0.751)/(1-H337)*H337)*(MAX('Max rate concentrations'!$Q$3:$Q$368)))/F337, 0)</f>
        <v>1.6546236619363399</v>
      </c>
      <c r="O337" s="69">
        <f>((MAX('Max rate concentrations'!$F$3:$F$368))*0.62*6.01*8*(10*F337^0.667)*0.079*0.1/F337)*inputs!$E$80/(10^(0.84+0.62*LOG10(inputs!$E$80)))</f>
        <v>60.966714275022639</v>
      </c>
      <c r="P337" s="69">
        <f>((MAX('Max rate concentrations'!Y:Y))*0.62*6.01*8*(10*F337^0.667)*0.079*0.1/F337)*inputs!$E$80/(10^(0.84+0.62*LOG10(inputs!$E$80)))</f>
        <v>20.322238091674208</v>
      </c>
      <c r="Q337" s="69">
        <f>(inputs!$C$18*11.2*(10*F337^0.667)*0.5/F337)*inputs!$E$80/(10^(0.84+0.62*LOG10(inputs!$E$80)))</f>
        <v>10.738999165276649</v>
      </c>
      <c r="R337" s="59">
        <f>(60*284*((F337/1000)^0.77)*3*24*(MAX('Max rate concentrations'!$R$3:$R$368))/F337)*(inputs!$E$73*3.4/inputs!$E$75)</f>
        <v>7.5071882643588564E-2</v>
      </c>
      <c r="S337" s="59">
        <f>(IF(inputs!$C$17="aerial",((0.025*0.112*inputs!$C$18/3.3)*(3*60*284*((F337/1000)^0.77))*MAX(inputs!$I$14:$I$16))/F337,((0.0083*0.112*inputs!$C$18/1)*(3*60*284*((F337/1000)^0.77))*MAX(inputs!$I$14:$I$16))/F337))*(inputs!E$75*3.4/inputs!$E$73)</f>
        <v>0.41402604506893054</v>
      </c>
      <c r="T337" s="63">
        <f>IF((((inputs!$P$13/(V337/MAX(K337:S337)))^(1/inputs!$O$13))-1)/inputs!$N$13&lt;0, 0, IF((((inputs!$P$13/(V337/MAX(K337:S337)))^(1/inputs!$O$13))-1)/inputs!$N$13&lt;inputs!$I$17, (((inputs!$P$13/(V337/MAX(K337:S337)))^(1/inputs!$O$13))-1)/inputs!$N$13, inputs!$I$17))</f>
        <v>1000</v>
      </c>
      <c r="U337" s="63">
        <f>IF((((inputs!$P$13/(X337/MAX(K337:S337)))^(1/inputs!$O$13))-1)/inputs!$N$13&lt;0, 0, IF((((inputs!$P$13/(X337/MAX(K337:S337)))^(1/inputs!$O$13))-1)/inputs!$N$13&lt;inputs!$I$17, (((inputs!$P$13/(X337/MAX(K337:S337)))^(1/inputs!$O$13))-1)/inputs!$N$13, inputs!$I$17))</f>
        <v>93.643118900909869</v>
      </c>
      <c r="V337" s="21">
        <f>inputs!$E$78*(F337/inputs!$F$78)^(inputs!$E$84-1)</f>
        <v>3.9326584321336476E-2</v>
      </c>
      <c r="W337" s="21">
        <f>inputs!$E$85*(F337/inputs!$F$85)^(inputs!$E$84-1)</f>
        <v>1.8160292180330224</v>
      </c>
      <c r="X337" s="21">
        <f>inputs!$E$80*(F337/inputs!$F$80)^(inputs!$E$84-1)</f>
        <v>6.7813749280979954</v>
      </c>
      <c r="Y337" s="21">
        <f>inputs!$E$82*(F337/inputs!$F$82)^(inputs!$E$84-1)</f>
        <v>3.1254285434325308</v>
      </c>
      <c r="Z337" s="63">
        <f t="shared" si="29"/>
        <v>6196.7653816631564</v>
      </c>
      <c r="AA337" s="63">
        <f t="shared" si="30"/>
        <v>134.19256357861283</v>
      </c>
    </row>
    <row r="338" spans="1:27" ht="13.2" x14ac:dyDescent="0.25">
      <c r="A338" s="103" t="s">
        <v>213</v>
      </c>
      <c r="B338" s="20" t="s">
        <v>214</v>
      </c>
      <c r="C338" s="20" t="s">
        <v>73</v>
      </c>
      <c r="D338" s="104" t="s">
        <v>141</v>
      </c>
      <c r="E338" s="15">
        <v>150</v>
      </c>
      <c r="F338" s="15">
        <v>12.5</v>
      </c>
      <c r="G338" s="20" t="s">
        <v>142</v>
      </c>
      <c r="H338" s="20">
        <v>0.69</v>
      </c>
      <c r="I338" s="68">
        <f>MAX('Max rate concentrations'!$H$3:$H$368)</f>
        <v>282</v>
      </c>
      <c r="J338" s="68">
        <f>MAX('Max rate concentrations'!AA:AA)</f>
        <v>195</v>
      </c>
      <c r="K338" s="69">
        <f t="shared" si="28"/>
        <v>247.87571766290768</v>
      </c>
      <c r="L338" s="69">
        <f t="shared" si="31"/>
        <v>171.40342178818082</v>
      </c>
      <c r="M338" s="69">
        <f>IF((((1.18*F338^0.874)-(0.301*F338^0.751)/(1-H338)*H338)*(MAX('Max rate concentrations'!$P$3:$P$368)))/F338&gt;0, (((1.18*F338^0.874)-(0.301*F338^0.751)/(1-H338)*H338)*(MAX('Max rate concentrations'!$P$3:$P$368)))/F338, 0)</f>
        <v>0.43644906228549046</v>
      </c>
      <c r="N338" s="69">
        <f>IF((((1.18*F338^0.874)-(0.301*F338^0.751)/(1-H338)*H338)*(MAX('Max rate concentrations'!$Q$3:$Q$368)))/F338&gt;0, (((1.18*F338^0.874)-(0.301*F338^0.751)/(1-H338)*H338)*(MAX('Max rate concentrations'!$Q$3:$Q$368)))/F338, 0)</f>
        <v>1.6620214803267368</v>
      </c>
      <c r="O338" s="69">
        <f>((MAX('Max rate concentrations'!$F$3:$F$368))*0.62*6.01*8*(10*F338^0.667)*0.079*0.1/F338)*inputs!$E$80/(10^(0.84+0.62*LOG10(inputs!$E$80)))</f>
        <v>63.311469142763706</v>
      </c>
      <c r="P338" s="69">
        <f>((MAX('Max rate concentrations'!Y:Y))*0.62*6.01*8*(10*F338^0.667)*0.079*0.1/F338)*inputs!$E$80/(10^(0.84+0.62*LOG10(inputs!$E$80)))</f>
        <v>21.103823047587898</v>
      </c>
      <c r="Q338" s="69">
        <f>(inputs!$C$18*11.2*(10*F338^0.667)*0.5/F338)*inputs!$E$80/(10^(0.84+0.62*LOG10(inputs!$E$80)))</f>
        <v>11.152016676009811</v>
      </c>
      <c r="R338" s="59">
        <f>(60*284*((F338/1000)^0.77)*3*24*(MAX('Max rate concentrations'!$R$3:$R$368))/F338)*(inputs!$E$73*3.4/inputs!$E$75)</f>
        <v>7.7054401655733101E-2</v>
      </c>
      <c r="S338" s="59">
        <f>(IF(inputs!$C$17="aerial",((0.025*0.112*inputs!$C$18/3.3)*(3*60*284*((F338/1000)^0.77))*MAX(inputs!$I$14:$I$16))/F338,((0.0083*0.112*inputs!$C$18/1)*(3*60*284*((F338/1000)^0.77))*MAX(inputs!$I$14:$I$16))/F338))*(inputs!E$75*3.4/inputs!$E$73)</f>
        <v>0.42495975922352369</v>
      </c>
      <c r="T338" s="63">
        <f>IF((((inputs!$P$13/(V338/MAX(K338:S338)))^(1/inputs!$O$13))-1)/inputs!$N$13&lt;0, 0, IF((((inputs!$P$13/(V338/MAX(K338:S338)))^(1/inputs!$O$13))-1)/inputs!$N$13&lt;inputs!$I$17, (((inputs!$P$13/(V338/MAX(K338:S338)))^(1/inputs!$O$13))-1)/inputs!$N$13, inputs!$I$17))</f>
        <v>1000</v>
      </c>
      <c r="U338" s="63">
        <f>IF((((inputs!$P$13/(X338/MAX(K338:S338)))^(1/inputs!$O$13))-1)/inputs!$N$13&lt;0, 0, IF((((inputs!$P$13/(X338/MAX(K338:S338)))^(1/inputs!$O$13))-1)/inputs!$N$13&lt;inputs!$I$17, (((inputs!$P$13/(X338/MAX(K338:S338)))^(1/inputs!$O$13))-1)/inputs!$N$13, inputs!$I$17))</f>
        <v>91.66965447506044</v>
      </c>
      <c r="V338" s="21">
        <f>inputs!$E$78*(F338/inputs!$F$78)^(inputs!$E$84-1)</f>
        <v>4.1010672987168234E-2</v>
      </c>
      <c r="W338" s="21">
        <f>inputs!$E$85*(F338/inputs!$F$85)^(inputs!$E$84-1)</f>
        <v>1.8937973302575419</v>
      </c>
      <c r="X338" s="21">
        <f>inputs!$E$80*(F338/inputs!$F$80)^(inputs!$E$84-1)</f>
        <v>7.0717748408351246</v>
      </c>
      <c r="Y338" s="21">
        <f>inputs!$E$82*(F338/inputs!$F$82)^(inputs!$E$84-1)</f>
        <v>3.2592692742433704</v>
      </c>
      <c r="Z338" s="63">
        <f t="shared" si="29"/>
        <v>6044.1758110252204</v>
      </c>
      <c r="AA338" s="63">
        <f t="shared" si="30"/>
        <v>130.88819680044563</v>
      </c>
    </row>
    <row r="339" spans="1:27" ht="13.2" x14ac:dyDescent="0.25">
      <c r="A339" s="103" t="s">
        <v>269</v>
      </c>
      <c r="B339" s="20" t="s">
        <v>270</v>
      </c>
      <c r="C339" s="20" t="s">
        <v>73</v>
      </c>
      <c r="D339" s="104" t="s">
        <v>141</v>
      </c>
      <c r="E339" s="15">
        <v>79</v>
      </c>
      <c r="F339" s="15">
        <v>38</v>
      </c>
      <c r="G339" s="20" t="s">
        <v>142</v>
      </c>
      <c r="H339" s="20">
        <v>0.69</v>
      </c>
      <c r="I339" s="68">
        <f>MAX('Max rate concentrations'!$H$3:$H$368)</f>
        <v>282</v>
      </c>
      <c r="J339" s="68">
        <f>MAX('Max rate concentrations'!AA:AA)</f>
        <v>195</v>
      </c>
      <c r="K339" s="69">
        <f t="shared" si="28"/>
        <v>209.79877452447761</v>
      </c>
      <c r="L339" s="69">
        <f t="shared" si="31"/>
        <v>145.07362068181962</v>
      </c>
      <c r="M339" s="69">
        <f>IF((((1.18*F339^0.874)-(0.301*F339^0.751)/(1-H339)*H339)*(MAX('Max rate concentrations'!$P$3:$P$368)))/F339&gt;0, (((1.18*F339^0.874)-(0.301*F339^0.751)/(1-H339)*H339)*(MAX('Max rate concentrations'!$P$3:$P$368)))/F339, 0)</f>
        <v>0.41396014077437537</v>
      </c>
      <c r="N339" s="69">
        <f>IF((((1.18*F339^0.874)-(0.301*F339^0.751)/(1-H339)*H339)*(MAX('Max rate concentrations'!$Q$3:$Q$368)))/F339&gt;0, (((1.18*F339^0.874)-(0.301*F339^0.751)/(1-H339)*H339)*(MAX('Max rate concentrations'!$Q$3:$Q$368)))/F339, 0)</f>
        <v>1.576382458844761</v>
      </c>
      <c r="O339" s="69">
        <f>((MAX('Max rate concentrations'!$F$3:$F$368))*0.62*6.01*8*(10*F339^0.667)*0.079*0.1/F339)*inputs!$E$80/(10^(0.84+0.62*LOG10(inputs!$E$80)))</f>
        <v>43.720537054734628</v>
      </c>
      <c r="P339" s="69">
        <f>((MAX('Max rate concentrations'!Y:Y))*0.62*6.01*8*(10*F339^0.667)*0.079*0.1/F339)*inputs!$E$80/(10^(0.84+0.62*LOG10(inputs!$E$80)))</f>
        <v>14.573512351578209</v>
      </c>
      <c r="Q339" s="69">
        <f>(inputs!$C$18*11.2*(10*F339^0.667)*0.5/F339)*inputs!$E$80/(10^(0.84+0.62*LOG10(inputs!$E$80)))</f>
        <v>7.7011663908644801</v>
      </c>
      <c r="R339" s="59">
        <f>(60*284*((F339/1000)^0.77)*3*24*(MAX('Max rate concentrations'!$R$3:$R$368))/F339)*(inputs!$E$73*3.4/inputs!$E$75)</f>
        <v>5.9667319523820803E-2</v>
      </c>
      <c r="S339" s="59">
        <f>(IF(inputs!$C$17="aerial",((0.025*0.112*inputs!$C$18/3.3)*(3*60*284*((F339/1000)^0.77))*MAX(inputs!$I$14:$I$16))/F339,((0.0083*0.112*inputs!$C$18/1)*(3*60*284*((F339/1000)^0.77))*MAX(inputs!$I$14:$I$16))/F339))*(inputs!E$75*3.4/inputs!$E$73)</f>
        <v>0.32906893303309903</v>
      </c>
      <c r="T339" s="63">
        <f>IF((((inputs!$P$13/(V339/MAX(K339:S339)))^(1/inputs!$O$13))-1)/inputs!$N$13&lt;0, 0, IF((((inputs!$P$13/(V339/MAX(K339:S339)))^(1/inputs!$O$13))-1)/inputs!$N$13&lt;inputs!$I$17, (((inputs!$P$13/(V339/MAX(K339:S339)))^(1/inputs!$O$13))-1)/inputs!$N$13, inputs!$I$17))</f>
        <v>1000</v>
      </c>
      <c r="U339" s="63">
        <f>IF((((inputs!$P$13/(X339/MAX(K339:S339)))^(1/inputs!$O$13))-1)/inputs!$N$13&lt;0, 0, IF((((inputs!$P$13/(X339/MAX(K339:S339)))^(1/inputs!$O$13))-1)/inputs!$N$13&lt;inputs!$I$17, (((inputs!$P$13/(X339/MAX(K339:S339)))^(1/inputs!$O$13))-1)/inputs!$N$13, inputs!$I$17))</f>
        <v>112.86371923862789</v>
      </c>
      <c r="V339" s="21">
        <f>inputs!$E$78*(F339/inputs!$F$78)^(inputs!$E$84-1)</f>
        <v>2.717901230110276E-2</v>
      </c>
      <c r="W339" s="21">
        <f>inputs!$E$85*(F339/inputs!$F$85)^(inputs!$E$84-1)</f>
        <v>1.2550767199302031</v>
      </c>
      <c r="X339" s="21">
        <f>inputs!$E$80*(F339/inputs!$F$80)^(inputs!$E$84-1)</f>
        <v>4.6866788908786061</v>
      </c>
      <c r="Y339" s="21">
        <f>inputs!$E$82*(F339/inputs!$F$82)^(inputs!$E$84-1)</f>
        <v>2.1600162407718511</v>
      </c>
      <c r="Z339" s="63">
        <f t="shared" si="29"/>
        <v>7719.1463839900189</v>
      </c>
      <c r="AA339" s="63">
        <f t="shared" si="30"/>
        <v>167.16011953129436</v>
      </c>
    </row>
    <row r="340" spans="1:27" ht="13.2" x14ac:dyDescent="0.25">
      <c r="A340" s="103" t="s">
        <v>269</v>
      </c>
      <c r="B340" s="20" t="s">
        <v>270</v>
      </c>
      <c r="C340" s="20" t="s">
        <v>73</v>
      </c>
      <c r="D340" s="104" t="s">
        <v>141</v>
      </c>
      <c r="E340" s="15">
        <v>79</v>
      </c>
      <c r="F340" s="15">
        <v>38</v>
      </c>
      <c r="G340" s="20" t="s">
        <v>152</v>
      </c>
      <c r="H340" s="20">
        <v>0.77</v>
      </c>
      <c r="I340" s="68">
        <f>MAX('Max rate concentrations'!$G$3:$G$368)</f>
        <v>45</v>
      </c>
      <c r="J340" s="68">
        <f>MAX('Max rate concentrations'!Z:Z)</f>
        <v>21</v>
      </c>
      <c r="K340" s="69">
        <f t="shared" si="28"/>
        <v>45.123233188659626</v>
      </c>
      <c r="L340" s="69">
        <f t="shared" si="31"/>
        <v>21.057508821374494</v>
      </c>
      <c r="M340" s="69">
        <f>IF((((1.18*F340^0.874)-(0.301*F340^0.751)/(1-H340)*H340)*(MAX('Max rate concentrations'!$P$3:$P$368)))/F340&gt;0, (((1.18*F340^0.874)-(0.301*F340^0.751)/(1-H340)*H340)*(MAX('Max rate concentrations'!$P$3:$P$368)))/F340, 0)</f>
        <v>0.29506523797075107</v>
      </c>
      <c r="N340" s="69">
        <f>IF((((1.18*F340^0.874)-(0.301*F340^0.751)/(1-H340)*H340)*(MAX('Max rate concentrations'!$Q$3:$Q$368)))/F340&gt;0, (((1.18*F340^0.874)-(0.301*F340^0.751)/(1-H340)*H340)*(MAX('Max rate concentrations'!$Q$3:$Q$368)))/F340, 0)</f>
        <v>1.1236242805450789</v>
      </c>
      <c r="O340" s="69">
        <f>((MAX('Max rate concentrations'!$F$3:$F$368))*0.62*6.01*8*(10*F340^0.667)*0.079*0.1/F340)*inputs!$E$80/(10^(0.84+0.62*LOG10(inputs!$E$80)))</f>
        <v>43.720537054734628</v>
      </c>
      <c r="P340" s="69">
        <f>((MAX('Max rate concentrations'!Y:Y))*0.62*6.01*8*(10*F340^0.667)*0.079*0.1/F340)*inputs!$E$80/(10^(0.84+0.62*LOG10(inputs!$E$80)))</f>
        <v>14.573512351578209</v>
      </c>
      <c r="Q340" s="69">
        <f>(inputs!$C$18*11.2*(10*F340^0.667)*0.5/F340)*inputs!$E$80/(10^(0.84+0.62*LOG10(inputs!$E$80)))</f>
        <v>7.7011663908644801</v>
      </c>
      <c r="R340" s="59">
        <f>(60*284*((F340/1000)^0.77)*3*24*(MAX('Max rate concentrations'!$R$3:$R$368))/F340)*(inputs!$E$73*3.4/inputs!$E$75)</f>
        <v>5.9667319523820803E-2</v>
      </c>
      <c r="S340" s="59">
        <f>(IF(inputs!$C$17="aerial",((0.025*0.112*inputs!$C$18/3.3)*(3*60*284*((F340/1000)^0.77))*MAX(inputs!$I$14:$I$16))/F340,((0.0083*0.112*inputs!$C$18/1)*(3*60*284*((F340/1000)^0.77))*MAX(inputs!$I$14:$I$16))/F340))*(inputs!E$75*3.4/inputs!$E$73)</f>
        <v>0.32906893303309903</v>
      </c>
      <c r="T340" s="63">
        <f>IF((((inputs!$P$13/(V340/MAX(K340:S340)))^(1/inputs!$O$13))-1)/inputs!$N$13&lt;0, 0, IF((((inputs!$P$13/(V340/MAX(K340:S340)))^(1/inputs!$O$13))-1)/inputs!$N$13&lt;inputs!$I$17, (((inputs!$P$13/(V340/MAX(K340:S340)))^(1/inputs!$O$13))-1)/inputs!$N$13, inputs!$I$17))</f>
        <v>1000</v>
      </c>
      <c r="U340" s="63">
        <f>IF((((inputs!$P$13/(X340/MAX(K340:S340)))^(1/inputs!$O$13))-1)/inputs!$N$13&lt;0, 0, IF((((inputs!$P$13/(X340/MAX(K340:S340)))^(1/inputs!$O$13))-1)/inputs!$N$13&lt;inputs!$I$17, (((inputs!$P$13/(X340/MAX(K340:S340)))^(1/inputs!$O$13))-1)/inputs!$N$13, inputs!$I$17))</f>
        <v>28.853374671170254</v>
      </c>
      <c r="V340" s="21">
        <f>inputs!$E$78*(F340/inputs!$F$78)^(inputs!$E$84-1)</f>
        <v>2.717901230110276E-2</v>
      </c>
      <c r="W340" s="21">
        <f>inputs!$E$85*(F340/inputs!$F$85)^(inputs!$E$84-1)</f>
        <v>1.2550767199302031</v>
      </c>
      <c r="X340" s="21">
        <f>inputs!$E$80*(F340/inputs!$F$80)^(inputs!$E$84-1)</f>
        <v>4.6866788908786061</v>
      </c>
      <c r="Y340" s="21">
        <f>inputs!$E$82*(F340/inputs!$F$82)^(inputs!$E$84-1)</f>
        <v>2.1600162407718511</v>
      </c>
      <c r="Z340" s="63">
        <f t="shared" si="29"/>
        <v>1660.2234359645511</v>
      </c>
      <c r="AA340" s="63">
        <f t="shared" si="30"/>
        <v>35.952569649422706</v>
      </c>
    </row>
    <row r="341" spans="1:27" ht="13.2" x14ac:dyDescent="0.25">
      <c r="A341" s="103" t="s">
        <v>269</v>
      </c>
      <c r="B341" s="20" t="s">
        <v>270</v>
      </c>
      <c r="C341" s="20" t="s">
        <v>73</v>
      </c>
      <c r="D341" s="104" t="s">
        <v>141</v>
      </c>
      <c r="E341" s="15">
        <v>79</v>
      </c>
      <c r="F341" s="15">
        <v>38</v>
      </c>
      <c r="G341" s="20" t="s">
        <v>158</v>
      </c>
      <c r="H341" s="20">
        <v>0.85</v>
      </c>
      <c r="I341" s="68">
        <f>MAX('Max rate concentrations'!$F$3:$F$368)</f>
        <v>405</v>
      </c>
      <c r="J341" s="68">
        <f>MAX('Max rate concentrations'!Y:Y)</f>
        <v>135</v>
      </c>
      <c r="K341" s="69">
        <f t="shared" si="28"/>
        <v>622.70061800350265</v>
      </c>
      <c r="L341" s="69">
        <f t="shared" si="31"/>
        <v>207.56687266783422</v>
      </c>
      <c r="M341" s="69">
        <f>IF((((1.18*F341^0.874)-(0.301*F341^0.751)/(1-H341)*H341)*(MAX('Max rate concentrations'!$P$3:$P$368)))/F341&gt;0, (((1.18*F341^0.874)-(0.301*F341^0.751)/(1-H341)*H341)*(MAX('Max rate concentrations'!$P$3:$P$368)))/F341, 0)</f>
        <v>4.9349105509928014E-2</v>
      </c>
      <c r="N341" s="69">
        <f>IF((((1.18*F341^0.874)-(0.301*F341^0.751)/(1-H341)*H341)*(MAX('Max rate concentrations'!$Q$3:$Q$368)))/F341&gt;0, (((1.18*F341^0.874)-(0.301*F341^0.751)/(1-H341)*H341)*(MAX('Max rate concentrations'!$Q$3:$Q$368)))/F341, 0)</f>
        <v>0.18792404539240448</v>
      </c>
      <c r="O341" s="69">
        <f>((MAX('Max rate concentrations'!$F$3:$F$368))*0.62*6.01*8*(10*F341^0.667)*0.079*0.1/F341)*inputs!$E$80/(10^(0.84+0.62*LOG10(inputs!$E$80)))</f>
        <v>43.720537054734628</v>
      </c>
      <c r="P341" s="69">
        <f>((MAX('Max rate concentrations'!Y:Y))*0.62*6.01*8*(10*F341^0.667)*0.079*0.1/F341)*inputs!$E$80/(10^(0.84+0.62*LOG10(inputs!$E$80)))</f>
        <v>14.573512351578209</v>
      </c>
      <c r="Q341" s="69">
        <f>(inputs!$C$18*11.2*(10*F341^0.667)*0.5/F341)*inputs!$E$80/(10^(0.84+0.62*LOG10(inputs!$E$80)))</f>
        <v>7.7011663908644801</v>
      </c>
      <c r="R341" s="59">
        <f>(60*284*((F341/1000)^0.77)*3*24*(MAX('Max rate concentrations'!$R$3:$R$368))/F341)*(inputs!$E$73*3.4/inputs!$E$75)</f>
        <v>5.9667319523820803E-2</v>
      </c>
      <c r="S341" s="59">
        <f>(IF(inputs!$C$17="aerial",((0.025*0.112*inputs!$C$18/3.3)*(3*60*284*((F341/1000)^0.77))*MAX(inputs!$I$14:$I$16))/F341,((0.0083*0.112*inputs!$C$18/1)*(3*60*284*((F341/1000)^0.77))*MAX(inputs!$I$14:$I$16))/F341))*(inputs!E$75*3.4/inputs!$E$73)</f>
        <v>0.32906893303309903</v>
      </c>
      <c r="T341" s="63">
        <f>IF((((inputs!$P$13/(V341/MAX(K341:S341)))^(1/inputs!$O$13))-1)/inputs!$N$13&lt;0, 0, IF((((inputs!$P$13/(V341/MAX(K341:S341)))^(1/inputs!$O$13))-1)/inputs!$N$13&lt;inputs!$I$17, (((inputs!$P$13/(V341/MAX(K341:S341)))^(1/inputs!$O$13))-1)/inputs!$N$13, inputs!$I$17))</f>
        <v>1000</v>
      </c>
      <c r="U341" s="63">
        <f>IF((((inputs!$P$13/(X341/MAX(K341:S341)))^(1/inputs!$O$13))-1)/inputs!$N$13&lt;0, 0, IF((((inputs!$P$13/(X341/MAX(K341:S341)))^(1/inputs!$O$13))-1)/inputs!$N$13&lt;inputs!$I$17, (((inputs!$P$13/(X341/MAX(K341:S341)))^(1/inputs!$O$13))-1)/inputs!$N$13, inputs!$I$17))</f>
        <v>279.41144280244163</v>
      </c>
      <c r="V341" s="21">
        <f>inputs!$E$78*(F341/inputs!$F$78)^(inputs!$E$84-1)</f>
        <v>2.717901230110276E-2</v>
      </c>
      <c r="W341" s="21">
        <f>inputs!$E$85*(F341/inputs!$F$85)^(inputs!$E$84-1)</f>
        <v>1.2550767199302031</v>
      </c>
      <c r="X341" s="21">
        <f>inputs!$E$80*(F341/inputs!$F$80)^(inputs!$E$84-1)</f>
        <v>4.6866788908786061</v>
      </c>
      <c r="Y341" s="21">
        <f>inputs!$E$82*(F341/inputs!$F$82)^(inputs!$E$84-1)</f>
        <v>2.1600162407718511</v>
      </c>
      <c r="Z341" s="63">
        <f t="shared" si="29"/>
        <v>22911.083416310801</v>
      </c>
      <c r="AA341" s="63">
        <f t="shared" si="30"/>
        <v>496.14546116203326</v>
      </c>
    </row>
    <row r="342" spans="1:27" ht="13.2" x14ac:dyDescent="0.25">
      <c r="A342" s="103" t="s">
        <v>269</v>
      </c>
      <c r="B342" s="20" t="s">
        <v>270</v>
      </c>
      <c r="C342" s="20" t="s">
        <v>73</v>
      </c>
      <c r="D342" s="104" t="s">
        <v>141</v>
      </c>
      <c r="E342" s="15">
        <v>79</v>
      </c>
      <c r="F342" s="15">
        <v>38</v>
      </c>
      <c r="G342" s="20" t="s">
        <v>154</v>
      </c>
      <c r="H342" s="20">
        <v>9.2999999999999999E-2</v>
      </c>
      <c r="I342" s="68">
        <f>MAX('Max rate concentrations'!$G$3:$G$368)</f>
        <v>45</v>
      </c>
      <c r="J342" s="68">
        <f>MAX('Max rate concentrations'!Z:Z)</f>
        <v>21</v>
      </c>
      <c r="K342" s="69">
        <f t="shared" si="28"/>
        <v>11.442495736925812</v>
      </c>
      <c r="L342" s="69">
        <f t="shared" si="31"/>
        <v>5.3398313438987124</v>
      </c>
      <c r="M342" s="69">
        <f>IF((((1.18*F342^0.874)-(0.301*F342^0.751)/(1-H342)*H342)*(MAX('Max rate concentrations'!$P$3:$P$368)))/F342&gt;0, (((1.18*F342^0.874)-(0.301*F342^0.751)/(1-H342)*H342)*(MAX('Max rate concentrations'!$P$3:$P$368)))/F342, 0)</f>
        <v>0.63895268630863145</v>
      </c>
      <c r="N342" s="69">
        <f>IF((((1.18*F342^0.874)-(0.301*F342^0.751)/(1-H342)*H342)*(MAX('Max rate concentrations'!$Q$3:$Q$368)))/F342&gt;0, (((1.18*F342^0.874)-(0.301*F342^0.751)/(1-H342)*H342)*(MAX('Max rate concentrations'!$Q$3:$Q$368)))/F342, 0)</f>
        <v>2.4331661614678208</v>
      </c>
      <c r="O342" s="69">
        <f>((MAX('Max rate concentrations'!$F$3:$F$368))*0.62*6.01*8*(10*F342^0.667)*0.079*0.1/F342)*inputs!$E$80/(10^(0.84+0.62*LOG10(inputs!$E$80)))</f>
        <v>43.720537054734628</v>
      </c>
      <c r="P342" s="69">
        <f>((MAX('Max rate concentrations'!Y:Y))*0.62*6.01*8*(10*F342^0.667)*0.079*0.1/F342)*inputs!$E$80/(10^(0.84+0.62*LOG10(inputs!$E$80)))</f>
        <v>14.573512351578209</v>
      </c>
      <c r="Q342" s="69">
        <f>(inputs!$C$18*11.2*(10*F342^0.667)*0.5/F342)*inputs!$E$80/(10^(0.84+0.62*LOG10(inputs!$E$80)))</f>
        <v>7.7011663908644801</v>
      </c>
      <c r="R342" s="59">
        <f>(60*284*((F342/1000)^0.77)*3*24*(MAX('Max rate concentrations'!$R$3:$R$368))/F342)*(inputs!$E$73*3.4/inputs!$E$75)</f>
        <v>5.9667319523820803E-2</v>
      </c>
      <c r="S342" s="59">
        <f>(IF(inputs!$C$17="aerial",((0.025*0.112*inputs!$C$18/3.3)*(3*60*284*((F342/1000)^0.77))*MAX(inputs!$I$14:$I$16))/F342,((0.0083*0.112*inputs!$C$18/1)*(3*60*284*((F342/1000)^0.77))*MAX(inputs!$I$14:$I$16))/F342))*(inputs!E$75*3.4/inputs!$E$73)</f>
        <v>0.32906893303309903</v>
      </c>
      <c r="T342" s="63">
        <f>IF((((inputs!$P$13/(V342/MAX(K342:S342)))^(1/inputs!$O$13))-1)/inputs!$N$13&lt;0, 0, IF((((inputs!$P$13/(V342/MAX(K342:S342)))^(1/inputs!$O$13))-1)/inputs!$N$13&lt;inputs!$I$17, (((inputs!$P$13/(V342/MAX(K342:S342)))^(1/inputs!$O$13))-1)/inputs!$N$13, inputs!$I$17))</f>
        <v>1000</v>
      </c>
      <c r="U342" s="63">
        <f>IF((((inputs!$P$13/(X342/MAX(K342:S342)))^(1/inputs!$O$13))-1)/inputs!$N$13&lt;0, 0, IF((((inputs!$P$13/(X342/MAX(K342:S342)))^(1/inputs!$O$13))-1)/inputs!$N$13&lt;inputs!$I$17, (((inputs!$P$13/(X342/MAX(K342:S342)))^(1/inputs!$O$13))-1)/inputs!$N$13, inputs!$I$17))</f>
        <v>27.994065832349541</v>
      </c>
      <c r="V342" s="21">
        <f>inputs!$E$78*(F342/inputs!$F$78)^(inputs!$E$84-1)</f>
        <v>2.717901230110276E-2</v>
      </c>
      <c r="W342" s="21">
        <f>inputs!$E$85*(F342/inputs!$F$85)^(inputs!$E$84-1)</f>
        <v>1.2550767199302031</v>
      </c>
      <c r="X342" s="21">
        <f>inputs!$E$80*(F342/inputs!$F$80)^(inputs!$E$84-1)</f>
        <v>4.6866788908786061</v>
      </c>
      <c r="Y342" s="21">
        <f>inputs!$E$82*(F342/inputs!$F$82)^(inputs!$E$84-1)</f>
        <v>2.1600162407718511</v>
      </c>
      <c r="Z342" s="63">
        <f t="shared" si="29"/>
        <v>1608.6139029033338</v>
      </c>
      <c r="AA342" s="63">
        <f t="shared" si="30"/>
        <v>34.834951808496612</v>
      </c>
    </row>
    <row r="343" spans="1:27" ht="13.2" x14ac:dyDescent="0.25">
      <c r="A343" s="103" t="s">
        <v>279</v>
      </c>
      <c r="B343" s="20" t="s">
        <v>280</v>
      </c>
      <c r="C343" s="20" t="s">
        <v>73</v>
      </c>
      <c r="D343" s="104" t="s">
        <v>141</v>
      </c>
      <c r="E343" s="15">
        <v>113</v>
      </c>
      <c r="F343" s="15">
        <v>26</v>
      </c>
      <c r="G343" s="20" t="s">
        <v>142</v>
      </c>
      <c r="H343" s="20">
        <v>0.69</v>
      </c>
      <c r="I343" s="68">
        <f>MAX('Max rate concentrations'!$H$3:$H$368)</f>
        <v>282</v>
      </c>
      <c r="J343" s="68">
        <f>MAX('Max rate concentrations'!AA:AA)</f>
        <v>195</v>
      </c>
      <c r="K343" s="69">
        <f t="shared" si="28"/>
        <v>222.08768870296794</v>
      </c>
      <c r="L343" s="69">
        <f t="shared" si="31"/>
        <v>153.57127410311611</v>
      </c>
      <c r="M343" s="69">
        <f>IF((((1.18*F343^0.874)-(0.301*F343^0.751)/(1-H343)*H343)*(MAX('Max rate concentrations'!$P$3:$P$368)))/F343&gt;0, (((1.18*F343^0.874)-(0.301*F343^0.751)/(1-H343)*H343)*(MAX('Max rate concentrations'!$P$3:$P$368)))/F343, 0)</f>
        <v>0.42241264003196455</v>
      </c>
      <c r="N343" s="69">
        <f>IF((((1.18*F343^0.874)-(0.301*F343^0.751)/(1-H343)*H343)*(MAX('Max rate concentrations'!$Q$3:$Q$368)))/F343&gt;0, (((1.18*F343^0.874)-(0.301*F343^0.751)/(1-H343)*H343)*(MAX('Max rate concentrations'!$Q$3:$Q$368)))/F343, 0)</f>
        <v>1.6085700301846892</v>
      </c>
      <c r="O343" s="69">
        <f>((MAX('Max rate concentrations'!$F$3:$F$368))*0.62*6.01*8*(10*F343^0.667)*0.079*0.1/F343)*inputs!$E$80/(10^(0.84+0.62*LOG10(inputs!$E$80)))</f>
        <v>49.609779975561096</v>
      </c>
      <c r="P343" s="69">
        <f>((MAX('Max rate concentrations'!Y:Y))*0.62*6.01*8*(10*F343^0.667)*0.079*0.1/F343)*inputs!$E$80/(10^(0.84+0.62*LOG10(inputs!$E$80)))</f>
        <v>16.536593325187035</v>
      </c>
      <c r="Q343" s="69">
        <f>(inputs!$C$18*11.2*(10*F343^0.667)*0.5/F343)*inputs!$E$80/(10^(0.84+0.62*LOG10(inputs!$E$80)))</f>
        <v>8.7385287542939523</v>
      </c>
      <c r="R343" s="59">
        <f>(60*284*((F343/1000)^0.77)*3*24*(MAX('Max rate concentrations'!$R$3:$R$368))/F343)*(inputs!$E$73*3.4/inputs!$E$75)</f>
        <v>6.5109278884448993E-2</v>
      </c>
      <c r="S343" s="59">
        <f>(IF(inputs!$C$17="aerial",((0.025*0.112*inputs!$C$18/3.3)*(3*60*284*((F343/1000)^0.77))*MAX(inputs!$I$14:$I$16))/F343,((0.0083*0.112*inputs!$C$18/1)*(3*60*284*((F343/1000)^0.77))*MAX(inputs!$I$14:$I$16))/F343))*(inputs!E$75*3.4/inputs!$E$73)</f>
        <v>0.35908167325174545</v>
      </c>
      <c r="T343" s="63">
        <f>IF((((inputs!$P$13/(V343/MAX(K343:S343)))^(1/inputs!$O$13))-1)/inputs!$N$13&lt;0, 0, IF((((inputs!$P$13/(V343/MAX(K343:S343)))^(1/inputs!$O$13))-1)/inputs!$N$13&lt;inputs!$I$17, (((inputs!$P$13/(V343/MAX(K343:S343)))^(1/inputs!$O$13))-1)/inputs!$N$13, inputs!$I$17))</f>
        <v>1000</v>
      </c>
      <c r="U343" s="63">
        <f>IF((((inputs!$P$13/(X343/MAX(K343:S343)))^(1/inputs!$O$13))-1)/inputs!$N$13&lt;0, 0, IF((((inputs!$P$13/(X343/MAX(K343:S343)))^(1/inputs!$O$13))-1)/inputs!$N$13&lt;inputs!$I$17, (((inputs!$P$13/(X343/MAX(K343:S343)))^(1/inputs!$O$13))-1)/inputs!$N$13, inputs!$I$17))</f>
        <v>105.1541064476784</v>
      </c>
      <c r="V343" s="21">
        <f>inputs!$E$78*(F343/inputs!$F$78)^(inputs!$E$84-1)</f>
        <v>3.1276162593456898E-2</v>
      </c>
      <c r="W343" s="21">
        <f>inputs!$E$85*(F343/inputs!$F$85)^(inputs!$E$84-1)</f>
        <v>1.444275572817888</v>
      </c>
      <c r="X343" s="21">
        <f>inputs!$E$80*(F343/inputs!$F$80)^(inputs!$E$84-1)</f>
        <v>5.3931809364718601</v>
      </c>
      <c r="Y343" s="21">
        <f>inputs!$E$82*(F343/inputs!$F$82)^(inputs!$E$84-1)</f>
        <v>2.4856318692694694</v>
      </c>
      <c r="Z343" s="63">
        <f t="shared" si="29"/>
        <v>7100.8611762822075</v>
      </c>
      <c r="AA343" s="63">
        <f t="shared" si="30"/>
        <v>153.77099279582671</v>
      </c>
    </row>
    <row r="344" spans="1:27" ht="13.2" x14ac:dyDescent="0.25">
      <c r="A344" s="103" t="s">
        <v>279</v>
      </c>
      <c r="B344" s="20" t="s">
        <v>280</v>
      </c>
      <c r="C344" s="20" t="s">
        <v>73</v>
      </c>
      <c r="D344" s="104" t="s">
        <v>141</v>
      </c>
      <c r="E344" s="15">
        <v>113</v>
      </c>
      <c r="F344" s="15">
        <v>26</v>
      </c>
      <c r="G344" s="20" t="s">
        <v>146</v>
      </c>
      <c r="H344" s="20">
        <v>0.84</v>
      </c>
      <c r="I344" s="68">
        <f>MAX('Max rate concentrations'!$I$3:$I$368)</f>
        <v>56.865414300472793</v>
      </c>
      <c r="J344" s="68" t="s">
        <v>13</v>
      </c>
      <c r="K344" s="69">
        <f t="shared" si="28"/>
        <v>86.76914035970519</v>
      </c>
      <c r="L344" s="69" t="s">
        <v>13</v>
      </c>
      <c r="M344" s="69">
        <f>IF((((1.18*F344^0.874)-(0.301*F344^0.751)/(1-H344)*H344)*(MAX('Max rate concentrations'!$P$3:$P$368)))/F344&gt;0, (((1.18*F344^0.874)-(0.301*F344^0.751)/(1-H344)*H344)*(MAX('Max rate concentrations'!$P$3:$P$368)))/F344, 0)</f>
        <v>7.0195802347810407E-2</v>
      </c>
      <c r="N344" s="69">
        <f>IF((((1.18*F344^0.874)-(0.301*F344^0.751)/(1-H344)*H344)*(MAX('Max rate concentrations'!$Q$3:$Q$368)))/F344&gt;0, (((1.18*F344^0.874)-(0.301*F344^0.751)/(1-H344)*H344)*(MAX('Max rate concentrations'!$Q$3:$Q$368)))/F344, 0)</f>
        <v>0.26730938707921104</v>
      </c>
      <c r="O344" s="69">
        <f>((MAX('Max rate concentrations'!$F$3:$F$368))*0.62*6.01*8*(10*F344^0.667)*0.079*0.1/F344)*inputs!$E$80/(10^(0.84+0.62*LOG10(inputs!$E$80)))</f>
        <v>49.609779975561096</v>
      </c>
      <c r="P344" s="69">
        <f>((MAX('Max rate concentrations'!Y:Y))*0.62*6.01*8*(10*F344^0.667)*0.079*0.1/F344)*inputs!$E$80/(10^(0.84+0.62*LOG10(inputs!$E$80)))</f>
        <v>16.536593325187035</v>
      </c>
      <c r="Q344" s="69">
        <f>(inputs!$C$18*11.2*(10*F344^0.667)*0.5/F344)*inputs!$E$80/(10^(0.84+0.62*LOG10(inputs!$E$80)))</f>
        <v>8.7385287542939523</v>
      </c>
      <c r="R344" s="59">
        <f>(60*284*((F344/1000)^0.77)*3*24*(MAX('Max rate concentrations'!$R$3:$R$368))/F344)*(inputs!$E$73*3.4/inputs!$E$75)</f>
        <v>6.5109278884448993E-2</v>
      </c>
      <c r="S344" s="59">
        <f>(IF(inputs!$C$17="aerial",((0.025*0.112*inputs!$C$18/3.3)*(3*60*284*((F344/1000)^0.77))*MAX(inputs!$I$14:$I$16))/F344,((0.0083*0.112*inputs!$C$18/1)*(3*60*284*((F344/1000)^0.77))*MAX(inputs!$I$14:$I$16))/F344))*(inputs!E$75*3.4/inputs!$E$73)</f>
        <v>0.35908167325174545</v>
      </c>
      <c r="T344" s="63">
        <f>IF((((inputs!$P$13/(V344/MAX(K344:S344)))^(1/inputs!$O$13))-1)/inputs!$N$13&lt;0, 0, IF((((inputs!$P$13/(V344/MAX(K344:S344)))^(1/inputs!$O$13))-1)/inputs!$N$13&lt;inputs!$I$17, (((inputs!$P$13/(V344/MAX(K344:S344)))^(1/inputs!$O$13))-1)/inputs!$N$13, inputs!$I$17))</f>
        <v>1000</v>
      </c>
      <c r="U344" s="63">
        <f>IF((((inputs!$P$13/(X344/MAX(K344:S344)))^(1/inputs!$O$13))-1)/inputs!$N$13&lt;0, 0, IF((((inputs!$P$13/(X344/MAX(K344:S344)))^(1/inputs!$O$13))-1)/inputs!$N$13&lt;inputs!$I$17, (((inputs!$P$13/(X344/MAX(K344:S344)))^(1/inputs!$O$13))-1)/inputs!$N$13, inputs!$I$17))</f>
        <v>46.394109433409525</v>
      </c>
      <c r="V344" s="21">
        <f>inputs!$E$78*(F344/inputs!$F$78)^(inputs!$E$84-1)</f>
        <v>3.1276162593456898E-2</v>
      </c>
      <c r="W344" s="21">
        <f>inputs!$E$85*(F344/inputs!$F$85)^(inputs!$E$84-1)</f>
        <v>1.444275572817888</v>
      </c>
      <c r="X344" s="21">
        <f>inputs!$E$80*(F344/inputs!$F$80)^(inputs!$E$84-1)</f>
        <v>5.3931809364718601</v>
      </c>
      <c r="Y344" s="21">
        <f>inputs!$E$82*(F344/inputs!$F$82)^(inputs!$E$84-1)</f>
        <v>2.4856318692694694</v>
      </c>
      <c r="Z344" s="63">
        <f t="shared" si="29"/>
        <v>2774.2898477531785</v>
      </c>
      <c r="AA344" s="63">
        <f t="shared" si="30"/>
        <v>60.077967108736878</v>
      </c>
    </row>
    <row r="345" spans="1:27" ht="13.2" x14ac:dyDescent="0.25">
      <c r="A345" s="103" t="s">
        <v>374</v>
      </c>
      <c r="B345" s="20" t="s">
        <v>375</v>
      </c>
      <c r="C345" s="20" t="s">
        <v>73</v>
      </c>
      <c r="D345" s="104" t="s">
        <v>141</v>
      </c>
      <c r="E345" s="15">
        <v>1241</v>
      </c>
      <c r="F345" s="15">
        <v>9.1999999999999993</v>
      </c>
      <c r="G345" s="20" t="s">
        <v>142</v>
      </c>
      <c r="H345" s="20">
        <v>0.69</v>
      </c>
      <c r="I345" s="68">
        <f>MAX('Max rate concentrations'!$H$3:$H$368)</f>
        <v>282</v>
      </c>
      <c r="J345" s="68">
        <f>MAX('Max rate concentrations'!AA:AA)</f>
        <v>195</v>
      </c>
      <c r="K345" s="69">
        <f t="shared" si="28"/>
        <v>259.5388120429854</v>
      </c>
      <c r="L345" s="69">
        <f t="shared" ref="L345:L359" si="32">((0.398*F345^0.85)/(1-H345))*J345/F345</f>
        <v>179.46832747653247</v>
      </c>
      <c r="M345" s="69">
        <f>IF((((1.18*F345^0.874)-(0.301*F345^0.751)/(1-H345)*H345)*(MAX('Max rate concentrations'!$P$3:$P$368)))/F345&gt;0, (((1.18*F345^0.874)-(0.301*F345^0.751)/(1-H345)*H345)*(MAX('Max rate concentrations'!$P$3:$P$368)))/F345, 0)</f>
        <v>0.44121194879568892</v>
      </c>
      <c r="N345" s="69">
        <f>IF((((1.18*F345^0.874)-(0.301*F345^0.751)/(1-H345)*H345)*(MAX('Max rate concentrations'!$Q$3:$Q$368)))/F345&gt;0, (((1.18*F345^0.874)-(0.301*F345^0.751)/(1-H345)*H345)*(MAX('Max rate concentrations'!$Q$3:$Q$368)))/F345, 0)</f>
        <v>1.6801588080754908</v>
      </c>
      <c r="O345" s="69">
        <f>((MAX('Max rate concentrations'!$F$3:$F$368))*0.62*6.01*8*(10*F345^0.667)*0.079*0.1/F345)*inputs!$E$80/(10^(0.84+0.62*LOG10(inputs!$E$80)))</f>
        <v>70.11518419325337</v>
      </c>
      <c r="P345" s="69">
        <f>((MAX('Max rate concentrations'!Y:Y))*0.62*6.01*8*(10*F345^0.667)*0.079*0.1/F345)*inputs!$E$80/(10^(0.84+0.62*LOG10(inputs!$E$80)))</f>
        <v>23.371728064417791</v>
      </c>
      <c r="Q345" s="69">
        <f>(inputs!$C$18*11.2*(10*F345^0.667)*0.5/F345)*inputs!$E$80/(10^(0.84+0.62*LOG10(inputs!$E$80)))</f>
        <v>12.350458991900251</v>
      </c>
      <c r="R345" s="59">
        <f>(60*284*((F345/1000)^0.77)*3*24*(MAX('Max rate concentrations'!$R$3:$R$368))/F345)*(inputs!$E$73*3.4/inputs!$E$75)</f>
        <v>8.2682872307091926E-2</v>
      </c>
      <c r="S345" s="59">
        <f>(IF(inputs!$C$17="aerial",((0.025*0.112*inputs!$C$18/3.3)*(3*60*284*((F345/1000)^0.77))*MAX(inputs!$I$14:$I$16))/F345,((0.0083*0.112*inputs!$C$18/1)*(3*60*284*((F345/1000)^0.77))*MAX(inputs!$I$14:$I$16))/F345))*(inputs!E$75*3.4/inputs!$E$73)</f>
        <v>0.45600112066948822</v>
      </c>
      <c r="T345" s="63">
        <f>IF((((inputs!$P$13/(V345/MAX(K345:S345)))^(1/inputs!$O$13))-1)/inputs!$N$13&lt;0, 0, IF((((inputs!$P$13/(V345/MAX(K345:S345)))^(1/inputs!$O$13))-1)/inputs!$N$13&lt;inputs!$I$17, (((inputs!$P$13/(V345/MAX(K345:S345)))^(1/inputs!$O$13))-1)/inputs!$N$13, inputs!$I$17))</f>
        <v>1000</v>
      </c>
      <c r="U345" s="63">
        <f>IF((((inputs!$P$13/(X345/MAX(K345:S345)))^(1/inputs!$O$13))-1)/inputs!$N$13&lt;0, 0, IF((((inputs!$P$13/(X345/MAX(K345:S345)))^(1/inputs!$O$13))-1)/inputs!$N$13&lt;inputs!$I$17, (((inputs!$P$13/(X345/MAX(K345:S345)))^(1/inputs!$O$13))-1)/inputs!$N$13, inputs!$I$17))</f>
        <v>86.52706068345654</v>
      </c>
      <c r="V345" s="21">
        <f>inputs!$E$78*(F345/inputs!$F$78)^(inputs!$E$84-1)</f>
        <v>4.5935886791004306E-2</v>
      </c>
      <c r="W345" s="21">
        <f>inputs!$E$85*(F345/inputs!$F$85)^(inputs!$E$84-1)</f>
        <v>2.1212346306785999</v>
      </c>
      <c r="X345" s="21">
        <f>inputs!$E$80*(F345/inputs!$F$80)^(inputs!$E$84-1)</f>
        <v>7.9210660259517338</v>
      </c>
      <c r="Y345" s="21">
        <f>inputs!$E$82*(F345/inputs!$F$82)^(inputs!$E$84-1)</f>
        <v>3.6506941607587633</v>
      </c>
      <c r="Z345" s="63">
        <f t="shared" si="29"/>
        <v>5650.0228943835536</v>
      </c>
      <c r="AA345" s="63">
        <f t="shared" si="30"/>
        <v>122.35271303295518</v>
      </c>
    </row>
    <row r="346" spans="1:27" ht="13.2" x14ac:dyDescent="0.25">
      <c r="A346" s="103" t="s">
        <v>374</v>
      </c>
      <c r="B346" s="20" t="s">
        <v>375</v>
      </c>
      <c r="C346" s="20" t="s">
        <v>73</v>
      </c>
      <c r="D346" s="104" t="s">
        <v>141</v>
      </c>
      <c r="E346" s="15">
        <v>1241</v>
      </c>
      <c r="F346" s="15">
        <v>9.1999999999999993</v>
      </c>
      <c r="G346" s="20" t="s">
        <v>152</v>
      </c>
      <c r="H346" s="20">
        <v>0.77</v>
      </c>
      <c r="I346" s="68">
        <f>MAX('Max rate concentrations'!$G$3:$G$368)</f>
        <v>45</v>
      </c>
      <c r="J346" s="68">
        <f>MAX('Max rate concentrations'!Z:Z)</f>
        <v>21</v>
      </c>
      <c r="K346" s="69">
        <f t="shared" si="28"/>
        <v>55.821252358921484</v>
      </c>
      <c r="L346" s="69">
        <f t="shared" si="32"/>
        <v>26.049917767496691</v>
      </c>
      <c r="M346" s="69">
        <f>IF((((1.18*F346^0.874)-(0.301*F346^0.751)/(1-H346)*H346)*(MAX('Max rate concentrations'!$P$3:$P$368)))/F346&gt;0, (((1.18*F346^0.874)-(0.301*F346^0.751)/(1-H346)*H346)*(MAX('Max rate concentrations'!$P$3:$P$368)))/F346, 0)</f>
        <v>0.27195512659355719</v>
      </c>
      <c r="N346" s="69">
        <f>IF((((1.18*F346^0.874)-(0.301*F346^0.751)/(1-H346)*H346)*(MAX('Max rate concentrations'!$Q$3:$Q$368)))/F346&gt;0, (((1.18*F346^0.874)-(0.301*F346^0.751)/(1-H346)*H346)*(MAX('Max rate concentrations'!$Q$3:$Q$368)))/F346, 0)</f>
        <v>1.0356197346754967</v>
      </c>
      <c r="O346" s="69">
        <f>((MAX('Max rate concentrations'!$F$3:$F$368))*0.62*6.01*8*(10*F346^0.667)*0.079*0.1/F346)*inputs!$E$80/(10^(0.84+0.62*LOG10(inputs!$E$80)))</f>
        <v>70.11518419325337</v>
      </c>
      <c r="P346" s="69">
        <f>((MAX('Max rate concentrations'!Y:Y))*0.62*6.01*8*(10*F346^0.667)*0.079*0.1/F346)*inputs!$E$80/(10^(0.84+0.62*LOG10(inputs!$E$80)))</f>
        <v>23.371728064417791</v>
      </c>
      <c r="Q346" s="69">
        <f>(inputs!$C$18*11.2*(10*F346^0.667)*0.5/F346)*inputs!$E$80/(10^(0.84+0.62*LOG10(inputs!$E$80)))</f>
        <v>12.350458991900251</v>
      </c>
      <c r="R346" s="59">
        <f>(60*284*((F346/1000)^0.77)*3*24*(MAX('Max rate concentrations'!$R$3:$R$368))/F346)*(inputs!$E$73*3.4/inputs!$E$75)</f>
        <v>8.2682872307091926E-2</v>
      </c>
      <c r="S346" s="59">
        <f>(IF(inputs!$C$17="aerial",((0.025*0.112*inputs!$C$18/3.3)*(3*60*284*((F346/1000)^0.77))*MAX(inputs!$I$14:$I$16))/F346,((0.0083*0.112*inputs!$C$18/1)*(3*60*284*((F346/1000)^0.77))*MAX(inputs!$I$14:$I$16))/F346))*(inputs!E$75*3.4/inputs!$E$73)</f>
        <v>0.45600112066948822</v>
      </c>
      <c r="T346" s="63">
        <f>IF((((inputs!$P$13/(V346/MAX(K346:S346)))^(1/inputs!$O$13))-1)/inputs!$N$13&lt;0, 0, IF((((inputs!$P$13/(V346/MAX(K346:S346)))^(1/inputs!$O$13))-1)/inputs!$N$13&lt;inputs!$I$17, (((inputs!$P$13/(V346/MAX(K346:S346)))^(1/inputs!$O$13))-1)/inputs!$N$13, inputs!$I$17))</f>
        <v>1000</v>
      </c>
      <c r="U346" s="63">
        <f>IF((((inputs!$P$13/(X346/MAX(K346:S346)))^(1/inputs!$O$13))-1)/inputs!$N$13&lt;0, 0, IF((((inputs!$P$13/(X346/MAX(K346:S346)))^(1/inputs!$O$13))-1)/inputs!$N$13&lt;inputs!$I$17, (((inputs!$P$13/(X346/MAX(K346:S346)))^(1/inputs!$O$13))-1)/inputs!$N$13, inputs!$I$17))</f>
        <v>26.613676344170383</v>
      </c>
      <c r="V346" s="21">
        <f>inputs!$E$78*(F346/inputs!$F$78)^(inputs!$E$84-1)</f>
        <v>4.5935886791004306E-2</v>
      </c>
      <c r="W346" s="21">
        <f>inputs!$E$85*(F346/inputs!$F$85)^(inputs!$E$84-1)</f>
        <v>2.1212346306785999</v>
      </c>
      <c r="X346" s="21">
        <f>inputs!$E$80*(F346/inputs!$F$80)^(inputs!$E$84-1)</f>
        <v>7.9210660259517338</v>
      </c>
      <c r="Y346" s="21">
        <f>inputs!$E$82*(F346/inputs!$F$82)^(inputs!$E$84-1)</f>
        <v>3.6506941607587633</v>
      </c>
      <c r="Z346" s="63">
        <f t="shared" si="29"/>
        <v>1526.3705370978955</v>
      </c>
      <c r="AA346" s="63">
        <f t="shared" si="30"/>
        <v>33.053950364190953</v>
      </c>
    </row>
    <row r="347" spans="1:27" ht="13.2" x14ac:dyDescent="0.25">
      <c r="A347" s="103" t="s">
        <v>374</v>
      </c>
      <c r="B347" s="20" t="s">
        <v>375</v>
      </c>
      <c r="C347" s="20" t="s">
        <v>73</v>
      </c>
      <c r="D347" s="104" t="s">
        <v>141</v>
      </c>
      <c r="E347" s="15">
        <v>1241</v>
      </c>
      <c r="F347" s="15">
        <v>9.1999999999999993</v>
      </c>
      <c r="G347" s="20" t="s">
        <v>153</v>
      </c>
      <c r="H347" s="20">
        <v>0.7</v>
      </c>
      <c r="I347" s="68">
        <f>MAX('Max rate concentrations'!$E$3:$E$368)</f>
        <v>330</v>
      </c>
      <c r="J347" s="68">
        <f>MAX('Max rate concentrations'!X:X)</f>
        <v>108</v>
      </c>
      <c r="K347" s="69">
        <f t="shared" si="28"/>
        <v>313.83948548460296</v>
      </c>
      <c r="L347" s="69">
        <f t="shared" si="32"/>
        <v>102.71110434041552</v>
      </c>
      <c r="M347" s="69">
        <f>IF((((1.18*F347^0.874)-(0.301*F347^0.751)/(1-H347)*H347)*(MAX('Max rate concentrations'!$P$3:$P$368)))/F347&gt;0, (((1.18*F347^0.874)-(0.301*F347^0.751)/(1-H347)*H347)*(MAX('Max rate concentrations'!$P$3:$P$368)))/F347, 0)</f>
        <v>0.4249915033346513</v>
      </c>
      <c r="N347" s="69">
        <f>IF((((1.18*F347^0.874)-(0.301*F347^0.751)/(1-H347)*H347)*(MAX('Max rate concentrations'!$Q$3:$Q$368)))/F347&gt;0, (((1.18*F347^0.874)-(0.301*F347^0.751)/(1-H347)*H347)*(MAX('Max rate concentrations'!$Q$3:$Q$368)))/F347, 0)</f>
        <v>1.6183904802079914</v>
      </c>
      <c r="O347" s="69">
        <f>((MAX('Max rate concentrations'!$F$3:$F$368))*0.62*6.01*8*(10*F347^0.667)*0.079*0.1/F347)*inputs!$E$80/(10^(0.84+0.62*LOG10(inputs!$E$80)))</f>
        <v>70.11518419325337</v>
      </c>
      <c r="P347" s="69">
        <f>((MAX('Max rate concentrations'!Y:Y))*0.62*6.01*8*(10*F347^0.667)*0.079*0.1/F347)*inputs!$E$80/(10^(0.84+0.62*LOG10(inputs!$E$80)))</f>
        <v>23.371728064417791</v>
      </c>
      <c r="Q347" s="69">
        <f>(inputs!$C$18*11.2*(10*F347^0.667)*0.5/F347)*inputs!$E$80/(10^(0.84+0.62*LOG10(inputs!$E$80)))</f>
        <v>12.350458991900251</v>
      </c>
      <c r="R347" s="59">
        <f>(60*284*((F347/1000)^0.77)*3*24*(MAX('Max rate concentrations'!$R$3:$R$368))/F347)*(inputs!$E$73*3.4/inputs!$E$75)</f>
        <v>8.2682872307091926E-2</v>
      </c>
      <c r="S347" s="59">
        <f>(IF(inputs!$C$17="aerial",((0.025*0.112*inputs!$C$18/3.3)*(3*60*284*((F347/1000)^0.77))*MAX(inputs!$I$14:$I$16))/F347,((0.0083*0.112*inputs!$C$18/1)*(3*60*284*((F347/1000)^0.77))*MAX(inputs!$I$14:$I$16))/F347))*(inputs!E$75*3.4/inputs!$E$73)</f>
        <v>0.45600112066948822</v>
      </c>
      <c r="T347" s="63">
        <f>IF((((inputs!$P$13/(V347/MAX(K347:S347)))^(1/inputs!$O$13))-1)/inputs!$N$13&lt;0, 0, IF((((inputs!$P$13/(V347/MAX(K347:S347)))^(1/inputs!$O$13))-1)/inputs!$N$13&lt;inputs!$I$17, (((inputs!$P$13/(V347/MAX(K347:S347)))^(1/inputs!$O$13))-1)/inputs!$N$13, inputs!$I$17))</f>
        <v>1000</v>
      </c>
      <c r="U347" s="63">
        <f>IF((((inputs!$P$13/(X347/MAX(K347:S347)))^(1/inputs!$O$13))-1)/inputs!$N$13&lt;0, 0, IF((((inputs!$P$13/(X347/MAX(K347:S347)))^(1/inputs!$O$13))-1)/inputs!$N$13&lt;inputs!$I$17, (((inputs!$P$13/(X347/MAX(K347:S347)))^(1/inputs!$O$13))-1)/inputs!$N$13, inputs!$I$17))</f>
        <v>101.76344811485144</v>
      </c>
      <c r="V347" s="21">
        <f>inputs!$E$78*(F347/inputs!$F$78)^(inputs!$E$84-1)</f>
        <v>4.5935886791004306E-2</v>
      </c>
      <c r="W347" s="21">
        <f>inputs!$E$85*(F347/inputs!$F$85)^(inputs!$E$84-1)</f>
        <v>2.1212346306785999</v>
      </c>
      <c r="X347" s="21">
        <f>inputs!$E$80*(F347/inputs!$F$80)^(inputs!$E$84-1)</f>
        <v>7.9210660259517338</v>
      </c>
      <c r="Y347" s="21">
        <f>inputs!$E$82*(F347/inputs!$F$82)^(inputs!$E$84-1)</f>
        <v>3.6506941607587633</v>
      </c>
      <c r="Z347" s="63">
        <f t="shared" si="29"/>
        <v>6832.1198829247951</v>
      </c>
      <c r="AA347" s="63">
        <f t="shared" si="30"/>
        <v>147.95133029871533</v>
      </c>
    </row>
    <row r="348" spans="1:27" ht="13.2" x14ac:dyDescent="0.25">
      <c r="A348" s="103" t="s">
        <v>374</v>
      </c>
      <c r="B348" s="20" t="s">
        <v>375</v>
      </c>
      <c r="C348" s="20" t="s">
        <v>73</v>
      </c>
      <c r="D348" s="104" t="s">
        <v>141</v>
      </c>
      <c r="E348" s="15">
        <v>1241</v>
      </c>
      <c r="F348" s="15">
        <v>9.1999999999999993</v>
      </c>
      <c r="G348" s="20" t="s">
        <v>154</v>
      </c>
      <c r="H348" s="20">
        <v>9.2999999999999999E-2</v>
      </c>
      <c r="I348" s="68">
        <f>MAX('Max rate concentrations'!$G$3:$G$368)</f>
        <v>45</v>
      </c>
      <c r="J348" s="68">
        <f>MAX('Max rate concentrations'!Z:Z)</f>
        <v>21</v>
      </c>
      <c r="K348" s="69">
        <f t="shared" si="28"/>
        <v>14.155334115272261</v>
      </c>
      <c r="L348" s="69">
        <f t="shared" si="32"/>
        <v>6.6058225871270553</v>
      </c>
      <c r="M348" s="69">
        <f>IF((((1.18*F348^0.874)-(0.301*F348^0.751)/(1-H348)*H348)*(MAX('Max rate concentrations'!$P$3:$P$368)))/F348&gt;0, (((1.18*F348^0.874)-(0.301*F348^0.751)/(1-H348)*H348)*(MAX('Max rate concentrations'!$P$3:$P$368)))/F348, 0)</f>
        <v>0.76150762487858148</v>
      </c>
      <c r="N348" s="69">
        <f>IF((((1.18*F348^0.874)-(0.301*F348^0.751)/(1-H348)*H348)*(MAX('Max rate concentrations'!$Q$3:$Q$368)))/F348&gt;0, (((1.18*F348^0.874)-(0.301*F348^0.751)/(1-H348)*H348)*(MAX('Max rate concentrations'!$Q$3:$Q$368)))/F348, 0)</f>
        <v>2.8998619526255607</v>
      </c>
      <c r="O348" s="69">
        <f>((MAX('Max rate concentrations'!$F$3:$F$368))*0.62*6.01*8*(10*F348^0.667)*0.079*0.1/F348)*inputs!$E$80/(10^(0.84+0.62*LOG10(inputs!$E$80)))</f>
        <v>70.11518419325337</v>
      </c>
      <c r="P348" s="69">
        <f>((MAX('Max rate concentrations'!Y:Y))*0.62*6.01*8*(10*F348^0.667)*0.079*0.1/F348)*inputs!$E$80/(10^(0.84+0.62*LOG10(inputs!$E$80)))</f>
        <v>23.371728064417791</v>
      </c>
      <c r="Q348" s="69">
        <f>(inputs!$C$18*11.2*(10*F348^0.667)*0.5/F348)*inputs!$E$80/(10^(0.84+0.62*LOG10(inputs!$E$80)))</f>
        <v>12.350458991900251</v>
      </c>
      <c r="R348" s="59">
        <f>(60*284*((F348/1000)^0.77)*3*24*(MAX('Max rate concentrations'!$R$3:$R$368))/F348)*(inputs!$E$73*3.4/inputs!$E$75)</f>
        <v>8.2682872307091926E-2</v>
      </c>
      <c r="S348" s="59">
        <f>(IF(inputs!$C$17="aerial",((0.025*0.112*inputs!$C$18/3.3)*(3*60*284*((F348/1000)^0.77))*MAX(inputs!$I$14:$I$16))/F348,((0.0083*0.112*inputs!$C$18/1)*(3*60*284*((F348/1000)^0.77))*MAX(inputs!$I$14:$I$16))/F348))*(inputs!E$75*3.4/inputs!$E$73)</f>
        <v>0.45600112066948822</v>
      </c>
      <c r="T348" s="63">
        <f>IF((((inputs!$P$13/(V348/MAX(K348:S348)))^(1/inputs!$O$13))-1)/inputs!$N$13&lt;0, 0, IF((((inputs!$P$13/(V348/MAX(K348:S348)))^(1/inputs!$O$13))-1)/inputs!$N$13&lt;inputs!$I$17, (((inputs!$P$13/(V348/MAX(K348:S348)))^(1/inputs!$O$13))-1)/inputs!$N$13, inputs!$I$17))</f>
        <v>1000</v>
      </c>
      <c r="U348" s="63">
        <f>IF((((inputs!$P$13/(X348/MAX(K348:S348)))^(1/inputs!$O$13))-1)/inputs!$N$13&lt;0, 0, IF((((inputs!$P$13/(X348/MAX(K348:S348)))^(1/inputs!$O$13))-1)/inputs!$N$13&lt;inputs!$I$17, (((inputs!$P$13/(X348/MAX(K348:S348)))^(1/inputs!$O$13))-1)/inputs!$N$13, inputs!$I$17))</f>
        <v>26.613676344170383</v>
      </c>
      <c r="V348" s="21">
        <f>inputs!$E$78*(F348/inputs!$F$78)^(inputs!$E$84-1)</f>
        <v>4.5935886791004306E-2</v>
      </c>
      <c r="W348" s="21">
        <f>inputs!$E$85*(F348/inputs!$F$85)^(inputs!$E$84-1)</f>
        <v>2.1212346306785999</v>
      </c>
      <c r="X348" s="21">
        <f>inputs!$E$80*(F348/inputs!$F$80)^(inputs!$E$84-1)</f>
        <v>7.9210660259517338</v>
      </c>
      <c r="Y348" s="21">
        <f>inputs!$E$82*(F348/inputs!$F$82)^(inputs!$E$84-1)</f>
        <v>3.6506941607587633</v>
      </c>
      <c r="Z348" s="63">
        <f t="shared" si="29"/>
        <v>1526.3705370978955</v>
      </c>
      <c r="AA348" s="63">
        <f t="shared" si="30"/>
        <v>33.053950364190953</v>
      </c>
    </row>
    <row r="349" spans="1:27" ht="13.2" x14ac:dyDescent="0.25">
      <c r="A349" s="103" t="s">
        <v>267</v>
      </c>
      <c r="B349" s="20" t="s">
        <v>268</v>
      </c>
      <c r="C349" s="20" t="s">
        <v>73</v>
      </c>
      <c r="D349" s="104" t="s">
        <v>141</v>
      </c>
      <c r="E349" s="15">
        <v>115</v>
      </c>
      <c r="F349" s="15">
        <v>45</v>
      </c>
      <c r="G349" s="20" t="s">
        <v>142</v>
      </c>
      <c r="H349" s="20">
        <v>0.69</v>
      </c>
      <c r="I349" s="68">
        <f>MAX('Max rate concentrations'!$H$3:$H$368)</f>
        <v>282</v>
      </c>
      <c r="J349" s="68">
        <f>MAX('Max rate concentrations'!AA:AA)</f>
        <v>195</v>
      </c>
      <c r="K349" s="69">
        <f t="shared" si="28"/>
        <v>204.54487831670812</v>
      </c>
      <c r="L349" s="69">
        <f t="shared" si="32"/>
        <v>141.44060734665987</v>
      </c>
      <c r="M349" s="69">
        <f>IF((((1.18*F349^0.874)-(0.301*F349^0.751)/(1-H349)*H349)*(MAX('Max rate concentrations'!$P$3:$P$368)))/F349&gt;0, (((1.18*F349^0.874)-(0.301*F349^0.751)/(1-H349)*H349)*(MAX('Max rate concentrations'!$P$3:$P$368)))/F349, 0)</f>
        <v>0.40998658260349108</v>
      </c>
      <c r="N349" s="69">
        <f>IF((((1.18*F349^0.874)-(0.301*F349^0.751)/(1-H349)*H349)*(MAX('Max rate concentrations'!$Q$3:$Q$368)))/F349&gt;0, (((1.18*F349^0.874)-(0.301*F349^0.751)/(1-H349)*H349)*(MAX('Max rate concentrations'!$Q$3:$Q$368)))/F349, 0)</f>
        <v>1.5612509358240572</v>
      </c>
      <c r="O349" s="69">
        <f>((MAX('Max rate concentrations'!$F$3:$F$368))*0.62*6.01*8*(10*F349^0.667)*0.079*0.1/F349)*inputs!$E$80/(10^(0.84+0.62*LOG10(inputs!$E$80)))</f>
        <v>41.326978919025656</v>
      </c>
      <c r="P349" s="69">
        <f>((MAX('Max rate concentrations'!Y:Y))*0.62*6.01*8*(10*F349^0.667)*0.079*0.1/F349)*inputs!$E$80/(10^(0.84+0.62*LOG10(inputs!$E$80)))</f>
        <v>13.775659639675224</v>
      </c>
      <c r="Q349" s="69">
        <f>(inputs!$C$18*11.2*(10*F349^0.667)*0.5/F349)*inputs!$E$80/(10^(0.84+0.62*LOG10(inputs!$E$80)))</f>
        <v>7.2795524146631987</v>
      </c>
      <c r="R349" s="59">
        <f>(60*284*((F349/1000)^0.77)*3*24*(MAX('Max rate concentrations'!$R$3:$R$368))/F349)*(inputs!$E$73*3.4/inputs!$E$75)</f>
        <v>5.7391539841556323E-2</v>
      </c>
      <c r="S349" s="59">
        <f>(IF(inputs!$C$17="aerial",((0.025*0.112*inputs!$C$18/3.3)*(3*60*284*((F349/1000)^0.77))*MAX(inputs!$I$14:$I$16))/F349,((0.0083*0.112*inputs!$C$18/1)*(3*60*284*((F349/1000)^0.77))*MAX(inputs!$I$14:$I$16))/F349))*(inputs!E$75*3.4/inputs!$E$73)</f>
        <v>0.31651786826535461</v>
      </c>
      <c r="T349" s="63">
        <f>IF((((inputs!$P$13/(V349/MAX(K349:S349)))^(1/inputs!$O$13))-1)/inputs!$N$13&lt;0, 0, IF((((inputs!$P$13/(V349/MAX(K349:S349)))^(1/inputs!$O$13))-1)/inputs!$N$13&lt;inputs!$I$17, (((inputs!$P$13/(V349/MAX(K349:S349)))^(1/inputs!$O$13))-1)/inputs!$N$13, inputs!$I$17))</f>
        <v>1000</v>
      </c>
      <c r="U349" s="63">
        <f>IF((((inputs!$P$13/(X349/MAX(K349:S349)))^(1/inputs!$O$13))-1)/inputs!$N$13&lt;0, 0, IF((((inputs!$P$13/(X349/MAX(K349:S349)))^(1/inputs!$O$13))-1)/inputs!$N$13&lt;inputs!$I$17, (((inputs!$P$13/(X349/MAX(K349:S349)))^(1/inputs!$O$13))-1)/inputs!$N$13, inputs!$I$17))</f>
        <v>116.46985104810081</v>
      </c>
      <c r="V349" s="21">
        <f>inputs!$E$78*(F349/inputs!$F$78)^(inputs!$E$84-1)</f>
        <v>2.5530832177025353E-2</v>
      </c>
      <c r="W349" s="21">
        <f>inputs!$E$85*(F349/inputs!$F$85)^(inputs!$E$84-1)</f>
        <v>1.1789667980145604</v>
      </c>
      <c r="X349" s="21">
        <f>inputs!$E$80*(F349/inputs!$F$80)^(inputs!$E$84-1)</f>
        <v>4.4024709546113323</v>
      </c>
      <c r="Y349" s="21">
        <f>inputs!$E$82*(F349/inputs!$F$82)^(inputs!$E$84-1)</f>
        <v>2.0290292940688568</v>
      </c>
      <c r="Z349" s="63">
        <f t="shared" si="29"/>
        <v>8011.680813944391</v>
      </c>
      <c r="AA349" s="63">
        <f t="shared" si="30"/>
        <v>173.49502858025519</v>
      </c>
    </row>
    <row r="350" spans="1:27" ht="13.2" x14ac:dyDescent="0.25">
      <c r="A350" s="103" t="s">
        <v>267</v>
      </c>
      <c r="B350" s="20" t="s">
        <v>268</v>
      </c>
      <c r="C350" s="20" t="s">
        <v>73</v>
      </c>
      <c r="D350" s="104" t="s">
        <v>141</v>
      </c>
      <c r="E350" s="15">
        <v>115</v>
      </c>
      <c r="F350" s="15">
        <v>45</v>
      </c>
      <c r="G350" s="20" t="s">
        <v>138</v>
      </c>
      <c r="H350" s="20">
        <v>0.68</v>
      </c>
      <c r="I350" s="68">
        <f>MAX('Max rate concentrations'!$L$3:$L$368)</f>
        <v>350.52744091332482</v>
      </c>
      <c r="J350" s="68">
        <f>MAX('Max rate concentrations'!AD:AD)</f>
        <v>242.38599637623525</v>
      </c>
      <c r="K350" s="69">
        <f t="shared" si="28"/>
        <v>246.30500611666417</v>
      </c>
      <c r="L350" s="69">
        <f t="shared" si="32"/>
        <v>170.31729146365078</v>
      </c>
      <c r="M350" s="69">
        <f>IF((((1.18*F350^0.874)-(0.301*F350^0.751)/(1-H350)*H350)*(MAX('Max rate concentrations'!$P$3:$P$368)))/F350&gt;0, (((1.18*F350^0.874)-(0.301*F350^0.751)/(1-H350)*H350)*(MAX('Max rate concentrations'!$P$3:$P$368)))/F350, 0)</f>
        <v>0.42022817073382124</v>
      </c>
      <c r="N350" s="69">
        <f>IF((((1.18*F350^0.874)-(0.301*F350^0.751)/(1-H350)*H350)*(MAX('Max rate concentrations'!$Q$3:$Q$368)))/F350&gt;0, (((1.18*F350^0.874)-(0.301*F350^0.751)/(1-H350)*H350)*(MAX('Max rate concentrations'!$Q$3:$Q$368)))/F350, 0)</f>
        <v>1.6002514537221431</v>
      </c>
      <c r="O350" s="69">
        <f>((MAX('Max rate concentrations'!$F$3:$F$368))*0.62*6.01*8*(10*F350^0.667)*0.079*0.1/F350)*inputs!$E$80/(10^(0.84+0.62*LOG10(inputs!$E$80)))</f>
        <v>41.326978919025656</v>
      </c>
      <c r="P350" s="69">
        <f>((MAX('Max rate concentrations'!Y:Y))*0.62*6.01*8*(10*F350^0.667)*0.079*0.1/F350)*inputs!$E$80/(10^(0.84+0.62*LOG10(inputs!$E$80)))</f>
        <v>13.775659639675224</v>
      </c>
      <c r="Q350" s="69">
        <f>(inputs!$C$18*11.2*(10*F350^0.667)*0.5/F350)*inputs!$E$80/(10^(0.84+0.62*LOG10(inputs!$E$80)))</f>
        <v>7.2795524146631987</v>
      </c>
      <c r="R350" s="59">
        <f>(60*284*((F350/1000)^0.77)*3*24*(MAX('Max rate concentrations'!$R$3:$R$368))/F350)*(inputs!$E$73*3.4/inputs!$E$75)</f>
        <v>5.7391539841556323E-2</v>
      </c>
      <c r="S350" s="59">
        <f>(IF(inputs!$C$17="aerial",((0.025*0.112*inputs!$C$18/3.3)*(3*60*284*((F350/1000)^0.77))*MAX(inputs!$I$14:$I$16))/F350,((0.0083*0.112*inputs!$C$18/1)*(3*60*284*((F350/1000)^0.77))*MAX(inputs!$I$14:$I$16))/F350))*(inputs!E$75*3.4/inputs!$E$73)</f>
        <v>0.31651786826535461</v>
      </c>
      <c r="T350" s="63">
        <f>IF((((inputs!$P$13/(V350/MAX(K350:S350)))^(1/inputs!$O$13))-1)/inputs!$N$13&lt;0, 0, IF((((inputs!$P$13/(V350/MAX(K350:S350)))^(1/inputs!$O$13))-1)/inputs!$N$13&lt;inputs!$I$17, (((inputs!$P$13/(V350/MAX(K350:S350)))^(1/inputs!$O$13))-1)/inputs!$N$13, inputs!$I$17))</f>
        <v>1000</v>
      </c>
      <c r="U350" s="63">
        <f>IF((((inputs!$P$13/(X350/MAX(K350:S350)))^(1/inputs!$O$13))-1)/inputs!$N$13&lt;0, 0, IF((((inputs!$P$13/(X350/MAX(K350:S350)))^(1/inputs!$O$13))-1)/inputs!$N$13&lt;inputs!$I$17, (((inputs!$P$13/(X350/MAX(K350:S350)))^(1/inputs!$O$13))-1)/inputs!$N$13, inputs!$I$17))</f>
        <v>136.19816326160662</v>
      </c>
      <c r="V350" s="21">
        <f>inputs!$E$78*(F350/inputs!$F$78)^(inputs!$E$84-1)</f>
        <v>2.5530832177025353E-2</v>
      </c>
      <c r="W350" s="21">
        <f>inputs!$E$85*(F350/inputs!$F$85)^(inputs!$E$84-1)</f>
        <v>1.1789667980145604</v>
      </c>
      <c r="X350" s="21">
        <f>inputs!$E$80*(F350/inputs!$F$80)^(inputs!$E$84-1)</f>
        <v>4.4024709546113323</v>
      </c>
      <c r="Y350" s="21">
        <f>inputs!$E$82*(F350/inputs!$F$82)^(inputs!$E$84-1)</f>
        <v>2.0290292940688568</v>
      </c>
      <c r="Z350" s="63">
        <f t="shared" si="29"/>
        <v>9647.3551825039522</v>
      </c>
      <c r="AA350" s="63">
        <f t="shared" si="30"/>
        <v>208.91598179987278</v>
      </c>
    </row>
    <row r="351" spans="1:27" ht="13.2" x14ac:dyDescent="0.25">
      <c r="A351" s="103" t="s">
        <v>267</v>
      </c>
      <c r="B351" s="20" t="s">
        <v>268</v>
      </c>
      <c r="C351" s="20" t="s">
        <v>73</v>
      </c>
      <c r="D351" s="104" t="s">
        <v>141</v>
      </c>
      <c r="E351" s="15">
        <v>115</v>
      </c>
      <c r="F351" s="15">
        <v>45</v>
      </c>
      <c r="G351" s="21" t="s">
        <v>456</v>
      </c>
      <c r="H351" s="20">
        <v>0.68</v>
      </c>
      <c r="I351" s="68">
        <f>MAX('Max rate concentrations'!$J$3:$J$368)</f>
        <v>686.46486205830786</v>
      </c>
      <c r="J351" s="68">
        <f>MAX('Max rate concentrations'!AB:AB)</f>
        <v>243.122971978984</v>
      </c>
      <c r="K351" s="69">
        <f t="shared" si="28"/>
        <v>482.35804765412081</v>
      </c>
      <c r="L351" s="69">
        <f t="shared" si="32"/>
        <v>170.83514187750109</v>
      </c>
      <c r="M351" s="69">
        <f>IF((((1.18*F351^0.874)-(0.301*F351^0.751)/(1-H351)*H351)*(MAX('Max rate concentrations'!$P$3:$P$368)))/F351&gt;0, (((1.18*F351^0.874)-(0.301*F351^0.751)/(1-H351)*H351)*(MAX('Max rate concentrations'!$P$3:$P$368)))/F351, 0)</f>
        <v>0.42022817073382124</v>
      </c>
      <c r="N351" s="69">
        <f>IF((((1.18*F351^0.874)-(0.301*F351^0.751)/(1-H351)*H351)*(MAX('Max rate concentrations'!$Q$3:$Q$368)))/F351&gt;0, (((1.18*F351^0.874)-(0.301*F351^0.751)/(1-H351)*H351)*(MAX('Max rate concentrations'!$Q$3:$Q$368)))/F351, 0)</f>
        <v>1.6002514537221431</v>
      </c>
      <c r="O351" s="69">
        <f>((MAX('Max rate concentrations'!$F$3:$F$368))*0.62*6.01*8*(10*F351^0.667)*0.079*0.1/F351)*inputs!$E$80/(10^(0.84+0.62*LOG10(inputs!$E$80)))</f>
        <v>41.326978919025656</v>
      </c>
      <c r="P351" s="69">
        <f>((MAX('Max rate concentrations'!Y:Y))*0.62*6.01*8*(10*F351^0.667)*0.079*0.1/F351)*inputs!$E$80/(10^(0.84+0.62*LOG10(inputs!$E$80)))</f>
        <v>13.775659639675224</v>
      </c>
      <c r="Q351" s="69">
        <f>(inputs!$C$18*11.2*(10*F351^0.667)*0.5/F351)*inputs!$E$80/(10^(0.84+0.62*LOG10(inputs!$E$80)))</f>
        <v>7.2795524146631987</v>
      </c>
      <c r="R351" s="59">
        <f>(60*284*((F351/1000)^0.77)*3*24*(MAX('Max rate concentrations'!$R$3:$R$368))/F351)*(inputs!$E$73*3.4/inputs!$E$75)</f>
        <v>5.7391539841556323E-2</v>
      </c>
      <c r="S351" s="59">
        <f>(IF(inputs!$C$17="aerial",((0.025*0.112*inputs!$C$18/3.3)*(3*60*284*((F351/1000)^0.77))*MAX(inputs!$I$14:$I$16))/F351,((0.0083*0.112*inputs!$C$18/1)*(3*60*284*((F351/1000)^0.77))*MAX(inputs!$I$14:$I$16))/F351))*(inputs!E$75*3.4/inputs!$E$73)</f>
        <v>0.31651786826535461</v>
      </c>
      <c r="T351" s="63">
        <f>IF((((inputs!$P$13/(V351/MAX(K351:S351)))^(1/inputs!$O$13))-1)/inputs!$N$13&lt;0, 0, IF((((inputs!$P$13/(V351/MAX(K351:S351)))^(1/inputs!$O$13))-1)/inputs!$N$13&lt;inputs!$I$17, (((inputs!$P$13/(V351/MAX(K351:S351)))^(1/inputs!$O$13))-1)/inputs!$N$13, inputs!$I$17))</f>
        <v>1000</v>
      </c>
      <c r="U351" s="63">
        <f>IF((((inputs!$P$13/(X351/MAX(K351:S351)))^(1/inputs!$O$13))-1)/inputs!$N$13&lt;0, 0, IF((((inputs!$P$13/(X351/MAX(K351:S351)))^(1/inputs!$O$13))-1)/inputs!$N$13&lt;inputs!$I$17, (((inputs!$P$13/(X351/MAX(K351:S351)))^(1/inputs!$O$13))-1)/inputs!$N$13, inputs!$I$17))</f>
        <v>238.31544037669275</v>
      </c>
      <c r="V351" s="21">
        <f>inputs!$E$78*(F351/inputs!$F$78)^(inputs!$E$84-1)</f>
        <v>2.5530832177025353E-2</v>
      </c>
      <c r="W351" s="21">
        <f>inputs!$E$85*(F351/inputs!$F$85)^(inputs!$E$84-1)</f>
        <v>1.1789667980145604</v>
      </c>
      <c r="X351" s="21">
        <f>inputs!$E$80*(F351/inputs!$F$80)^(inputs!$E$84-1)</f>
        <v>4.4024709546113323</v>
      </c>
      <c r="Y351" s="21">
        <f>inputs!$E$82*(F351/inputs!$F$82)^(inputs!$E$84-1)</f>
        <v>2.0290292940688568</v>
      </c>
      <c r="Z351" s="63">
        <f t="shared" si="29"/>
        <v>18893.15805726789</v>
      </c>
      <c r="AA351" s="63">
        <f t="shared" si="30"/>
        <v>409.13624409647167</v>
      </c>
    </row>
    <row r="352" spans="1:27" ht="13.2" x14ac:dyDescent="0.25">
      <c r="A352" s="103" t="s">
        <v>267</v>
      </c>
      <c r="B352" s="20" t="s">
        <v>268</v>
      </c>
      <c r="C352" s="20" t="s">
        <v>73</v>
      </c>
      <c r="D352" s="104" t="s">
        <v>141</v>
      </c>
      <c r="E352" s="15">
        <v>115</v>
      </c>
      <c r="F352" s="15">
        <v>45</v>
      </c>
      <c r="G352" s="20" t="s">
        <v>145</v>
      </c>
      <c r="H352" s="20">
        <v>0.66</v>
      </c>
      <c r="I352" s="68">
        <f>MAX('Max rate concentrations'!$M$3:$M$368)</f>
        <v>17.092910873809167</v>
      </c>
      <c r="J352" s="68">
        <f>MAX('Max rate concentrations'!AE:AE)</f>
        <v>11.81956602976166</v>
      </c>
      <c r="K352" s="69">
        <f t="shared" si="28"/>
        <v>11.304160264665274</v>
      </c>
      <c r="L352" s="69">
        <f t="shared" si="32"/>
        <v>7.8167065659919457</v>
      </c>
      <c r="M352" s="69">
        <f>IF((((1.18*F352^0.874)-(0.301*F352^0.751)/(1-H352)*H352)*(MAX('Max rate concentrations'!$P$3:$P$368)))/F352&gt;0, (((1.18*F352^0.874)-(0.301*F352^0.751)/(1-H352)*H352)*(MAX('Max rate concentrations'!$P$3:$P$368)))/F352, 0)</f>
        <v>0.43890400791265882</v>
      </c>
      <c r="N352" s="69">
        <f>IF((((1.18*F352^0.874)-(0.301*F352^0.751)/(1-H352)*H352)*(MAX('Max rate concentrations'!$Q$3:$Q$368)))/F352&gt;0, (((1.18*F352^0.874)-(0.301*F352^0.751)/(1-H352)*H352)*(MAX('Max rate concentrations'!$Q$3:$Q$368)))/F352, 0)</f>
        <v>1.6713700451833593</v>
      </c>
      <c r="O352" s="69">
        <f>((MAX('Max rate concentrations'!$F$3:$F$368))*0.62*6.01*8*(10*F352^0.667)*0.079*0.1/F352)*inputs!$E$80/(10^(0.84+0.62*LOG10(inputs!$E$80)))</f>
        <v>41.326978919025656</v>
      </c>
      <c r="P352" s="69">
        <f>((MAX('Max rate concentrations'!Y:Y))*0.62*6.01*8*(10*F352^0.667)*0.079*0.1/F352)*inputs!$E$80/(10^(0.84+0.62*LOG10(inputs!$E$80)))</f>
        <v>13.775659639675224</v>
      </c>
      <c r="Q352" s="69">
        <f>(inputs!$C$18*11.2*(10*F352^0.667)*0.5/F352)*inputs!$E$80/(10^(0.84+0.62*LOG10(inputs!$E$80)))</f>
        <v>7.2795524146631987</v>
      </c>
      <c r="R352" s="59">
        <f>(60*284*((F352/1000)^0.77)*3*24*(MAX('Max rate concentrations'!$R$3:$R$368))/F352)*(inputs!$E$73*3.4/inputs!$E$75)</f>
        <v>5.7391539841556323E-2</v>
      </c>
      <c r="S352" s="59">
        <f>(IF(inputs!$C$17="aerial",((0.025*0.112*inputs!$C$18/3.3)*(3*60*284*((F352/1000)^0.77))*MAX(inputs!$I$14:$I$16))/F352,((0.0083*0.112*inputs!$C$18/1)*(3*60*284*((F352/1000)^0.77))*MAX(inputs!$I$14:$I$16))/F352))*(inputs!E$75*3.4/inputs!$E$73)</f>
        <v>0.31651786826535461</v>
      </c>
      <c r="T352" s="63">
        <f>IF((((inputs!$P$13/(V352/MAX(K352:S352)))^(1/inputs!$O$13))-1)/inputs!$N$13&lt;0, 0, IF((((inputs!$P$13/(V352/MAX(K352:S352)))^(1/inputs!$O$13))-1)/inputs!$N$13&lt;inputs!$I$17, (((inputs!$P$13/(V352/MAX(K352:S352)))^(1/inputs!$O$13))-1)/inputs!$N$13, inputs!$I$17))</f>
        <v>1000</v>
      </c>
      <c r="U352" s="63">
        <f>IF((((inputs!$P$13/(X352/MAX(K352:S352)))^(1/inputs!$O$13))-1)/inputs!$N$13&lt;0, 0, IF((((inputs!$P$13/(X352/MAX(K352:S352)))^(1/inputs!$O$13))-1)/inputs!$N$13&lt;inputs!$I$17, (((inputs!$P$13/(X352/MAX(K352:S352)))^(1/inputs!$O$13))-1)/inputs!$N$13, inputs!$I$17))</f>
        <v>28.162555379057917</v>
      </c>
      <c r="V352" s="21">
        <f>inputs!$E$78*(F352/inputs!$F$78)^(inputs!$E$84-1)</f>
        <v>2.5530832177025353E-2</v>
      </c>
      <c r="W352" s="21">
        <f>inputs!$E$85*(F352/inputs!$F$85)^(inputs!$E$84-1)</f>
        <v>1.1789667980145604</v>
      </c>
      <c r="X352" s="21">
        <f>inputs!$E$80*(F352/inputs!$F$80)^(inputs!$E$84-1)</f>
        <v>4.4024709546113323</v>
      </c>
      <c r="Y352" s="21">
        <f>inputs!$E$82*(F352/inputs!$F$82)^(inputs!$E$84-1)</f>
        <v>2.0290292940688568</v>
      </c>
      <c r="Z352" s="63">
        <f t="shared" si="29"/>
        <v>1618.708651268129</v>
      </c>
      <c r="AA352" s="63">
        <f t="shared" si="30"/>
        <v>35.053556205842582</v>
      </c>
    </row>
    <row r="353" spans="1:27" ht="13.2" x14ac:dyDescent="0.25">
      <c r="A353" s="103" t="s">
        <v>167</v>
      </c>
      <c r="B353" s="20" t="s">
        <v>168</v>
      </c>
      <c r="C353" s="20" t="s">
        <v>73</v>
      </c>
      <c r="D353" s="104" t="s">
        <v>141</v>
      </c>
      <c r="E353" s="15">
        <v>116</v>
      </c>
      <c r="F353" s="15">
        <v>16.8</v>
      </c>
      <c r="G353" s="20" t="s">
        <v>142</v>
      </c>
      <c r="H353" s="20">
        <v>0.69</v>
      </c>
      <c r="I353" s="68">
        <f>MAX('Max rate concentrations'!$H$3:$H$368)</f>
        <v>282</v>
      </c>
      <c r="J353" s="68">
        <f>MAX('Max rate concentrations'!AA:AA)</f>
        <v>195</v>
      </c>
      <c r="K353" s="69">
        <f t="shared" si="28"/>
        <v>237.12322572518022</v>
      </c>
      <c r="L353" s="69">
        <f t="shared" si="32"/>
        <v>163.96818800145439</v>
      </c>
      <c r="M353" s="69">
        <f>IF((((1.18*F353^0.874)-(0.301*F353^0.751)/(1-H353)*H353)*(MAX('Max rate concentrations'!$P$3:$P$368)))/F353&gt;0, (((1.18*F353^0.874)-(0.301*F353^0.751)/(1-H353)*H353)*(MAX('Max rate concentrations'!$P$3:$P$368)))/F353, 0)</f>
        <v>0.43119290839627678</v>
      </c>
      <c r="N353" s="69">
        <f>IF((((1.18*F353^0.874)-(0.301*F353^0.751)/(1-H353)*H353)*(MAX('Max rate concentrations'!$Q$3:$Q$368)))/F353&gt;0, (((1.18*F353^0.874)-(0.301*F353^0.751)/(1-H353)*H353)*(MAX('Max rate concentrations'!$Q$3:$Q$368)))/F353, 0)</f>
        <v>1.6420057638946053</v>
      </c>
      <c r="O353" s="69">
        <f>((MAX('Max rate concentrations'!$F$3:$F$368))*0.62*6.01*8*(10*F353^0.667)*0.079*0.1/F353)*inputs!$E$80/(10^(0.84+0.62*LOG10(inputs!$E$80)))</f>
        <v>57.375361511081024</v>
      </c>
      <c r="P353" s="69">
        <f>((MAX('Max rate concentrations'!Y:Y))*0.62*6.01*8*(10*F353^0.667)*0.079*0.1/F353)*inputs!$E$80/(10^(0.84+0.62*LOG10(inputs!$E$80)))</f>
        <v>19.12512050369368</v>
      </c>
      <c r="Q353" s="69">
        <f>(inputs!$C$18*11.2*(10*F353^0.667)*0.5/F353)*inputs!$E$80/(10^(0.84+0.62*LOG10(inputs!$E$80)))</f>
        <v>10.106399314804086</v>
      </c>
      <c r="R353" s="59">
        <f>(60*284*((F353/1000)^0.77)*3*24*(MAX('Max rate concentrations'!$R$3:$R$368))/F353)*(inputs!$E$73*3.4/inputs!$E$75)</f>
        <v>7.1988913767969204E-2</v>
      </c>
      <c r="S353" s="59">
        <f>(IF(inputs!$C$17="aerial",((0.025*0.112*inputs!$C$18/3.3)*(3*60*284*((F353/1000)^0.77))*MAX(inputs!$I$14:$I$16))/F353,((0.0083*0.112*inputs!$C$18/1)*(3*60*284*((F353/1000)^0.77))*MAX(inputs!$I$14:$I$16))/F353))*(inputs!E$75*3.4/inputs!$E$73)</f>
        <v>0.39702328230749484</v>
      </c>
      <c r="T353" s="63">
        <f>IF((((inputs!$P$13/(V353/MAX(K353:S353)))^(1/inputs!$O$13))-1)/inputs!$N$13&lt;0, 0, IF((((inputs!$P$13/(V353/MAX(K353:S353)))^(1/inputs!$O$13))-1)/inputs!$N$13&lt;inputs!$I$17, (((inputs!$P$13/(V353/MAX(K353:S353)))^(1/inputs!$O$13))-1)/inputs!$N$13, inputs!$I$17))</f>
        <v>1000</v>
      </c>
      <c r="U353" s="63">
        <f>IF((((inputs!$P$13/(X353/MAX(K353:S353)))^(1/inputs!$O$13))-1)/inputs!$N$13&lt;0, 0, IF((((inputs!$P$13/(X353/MAX(K353:S353)))^(1/inputs!$O$13))-1)/inputs!$N$13&lt;inputs!$I$17, (((inputs!$P$13/(X353/MAX(K353:S353)))^(1/inputs!$O$13))-1)/inputs!$N$13, inputs!$I$17))</f>
        <v>96.902692033372531</v>
      </c>
      <c r="V353" s="21">
        <f>inputs!$E$78*(F353/inputs!$F$78)^(inputs!$E$84-1)</f>
        <v>3.6761156580544962E-2</v>
      </c>
      <c r="W353" s="21">
        <f>inputs!$E$85*(F353/inputs!$F$85)^(inputs!$E$84-1)</f>
        <v>1.6975624908959248</v>
      </c>
      <c r="X353" s="21">
        <f>inputs!$E$80*(F353/inputs!$F$80)^(inputs!$E$84-1)</f>
        <v>6.3389991748645285</v>
      </c>
      <c r="Y353" s="21">
        <f>inputs!$E$82*(F353/inputs!$F$82)^(inputs!$E$84-1)</f>
        <v>2.921544549295942</v>
      </c>
      <c r="Z353" s="63">
        <f t="shared" si="29"/>
        <v>6450.3744653853601</v>
      </c>
      <c r="AA353" s="63">
        <f t="shared" si="30"/>
        <v>139.68453414638856</v>
      </c>
    </row>
    <row r="354" spans="1:27" ht="13.2" x14ac:dyDescent="0.25">
      <c r="A354" s="103" t="s">
        <v>167</v>
      </c>
      <c r="B354" s="20" t="s">
        <v>168</v>
      </c>
      <c r="C354" s="20" t="s">
        <v>73</v>
      </c>
      <c r="D354" s="104" t="s">
        <v>141</v>
      </c>
      <c r="E354" s="15">
        <v>116</v>
      </c>
      <c r="F354" s="15">
        <v>16.8</v>
      </c>
      <c r="G354" s="20" t="s">
        <v>152</v>
      </c>
      <c r="H354" s="20">
        <v>0.77</v>
      </c>
      <c r="I354" s="68">
        <f>MAX('Max rate concentrations'!$G$3:$G$368)</f>
        <v>45</v>
      </c>
      <c r="J354" s="68">
        <f>MAX('Max rate concentrations'!Z:Z)</f>
        <v>21</v>
      </c>
      <c r="K354" s="69">
        <f t="shared" si="28"/>
        <v>51.000138742927305</v>
      </c>
      <c r="L354" s="69">
        <f t="shared" si="32"/>
        <v>23.800064746699409</v>
      </c>
      <c r="M354" s="69">
        <f>IF((((1.18*F354^0.874)-(0.301*F354^0.751)/(1-H354)*H354)*(MAX('Max rate concentrations'!$P$3:$P$368)))/F354&gt;0, (((1.18*F354^0.874)-(0.301*F354^0.751)/(1-H354)*H354)*(MAX('Max rate concentrations'!$P$3:$P$368)))/F354, 0)</f>
        <v>0.28550371441522943</v>
      </c>
      <c r="N354" s="69">
        <f>IF((((1.18*F354^0.874)-(0.301*F354^0.751)/(1-H354)*H354)*(MAX('Max rate concentrations'!$Q$3:$Q$368)))/F354&gt;0, (((1.18*F354^0.874)-(0.301*F354^0.751)/(1-H354)*H354)*(MAX('Max rate concentrations'!$Q$3:$Q$368)))/F354, 0)</f>
        <v>1.0872134850888795</v>
      </c>
      <c r="O354" s="69">
        <f>((MAX('Max rate concentrations'!$F$3:$F$368))*0.62*6.01*8*(10*F354^0.667)*0.079*0.1/F354)*inputs!$E$80/(10^(0.84+0.62*LOG10(inputs!$E$80)))</f>
        <v>57.375361511081024</v>
      </c>
      <c r="P354" s="69">
        <f>((MAX('Max rate concentrations'!Y:Y))*0.62*6.01*8*(10*F354^0.667)*0.079*0.1/F354)*inputs!$E$80/(10^(0.84+0.62*LOG10(inputs!$E$80)))</f>
        <v>19.12512050369368</v>
      </c>
      <c r="Q354" s="69">
        <f>(inputs!$C$18*11.2*(10*F354^0.667)*0.5/F354)*inputs!$E$80/(10^(0.84+0.62*LOG10(inputs!$E$80)))</f>
        <v>10.106399314804086</v>
      </c>
      <c r="R354" s="59">
        <f>(60*284*((F354/1000)^0.77)*3*24*(MAX('Max rate concentrations'!$R$3:$R$368))/F354)*(inputs!$E$73*3.4/inputs!$E$75)</f>
        <v>7.1988913767969204E-2</v>
      </c>
      <c r="S354" s="59">
        <f>(IF(inputs!$C$17="aerial",((0.025*0.112*inputs!$C$18/3.3)*(3*60*284*((F354/1000)^0.77))*MAX(inputs!$I$14:$I$16))/F354,((0.0083*0.112*inputs!$C$18/1)*(3*60*284*((F354/1000)^0.77))*MAX(inputs!$I$14:$I$16))/F354))*(inputs!E$75*3.4/inputs!$E$73)</f>
        <v>0.39702328230749484</v>
      </c>
      <c r="T354" s="63">
        <f>IF((((inputs!$P$13/(V354/MAX(K354:S354)))^(1/inputs!$O$13))-1)/inputs!$N$13&lt;0, 0, IF((((inputs!$P$13/(V354/MAX(K354:S354)))^(1/inputs!$O$13))-1)/inputs!$N$13&lt;inputs!$I$17, (((inputs!$P$13/(V354/MAX(K354:S354)))^(1/inputs!$O$13))-1)/inputs!$N$13, inputs!$I$17))</f>
        <v>1000</v>
      </c>
      <c r="U354" s="63">
        <f>IF((((inputs!$P$13/(X354/MAX(K354:S354)))^(1/inputs!$O$13))-1)/inputs!$N$13&lt;0, 0, IF((((inputs!$P$13/(X354/MAX(K354:S354)))^(1/inputs!$O$13))-1)/inputs!$N$13&lt;inputs!$I$17, (((inputs!$P$13/(X354/MAX(K354:S354)))^(1/inputs!$O$13))-1)/inputs!$N$13, inputs!$I$17))</f>
        <v>27.192573547408887</v>
      </c>
      <c r="V354" s="21">
        <f>inputs!$E$78*(F354/inputs!$F$78)^(inputs!$E$84-1)</f>
        <v>3.6761156580544962E-2</v>
      </c>
      <c r="W354" s="21">
        <f>inputs!$E$85*(F354/inputs!$F$85)^(inputs!$E$84-1)</f>
        <v>1.6975624908959248</v>
      </c>
      <c r="X354" s="21">
        <f>inputs!$E$80*(F354/inputs!$F$80)^(inputs!$E$84-1)</f>
        <v>6.3389991748645285</v>
      </c>
      <c r="Y354" s="21">
        <f>inputs!$E$82*(F354/inputs!$F$82)^(inputs!$E$84-1)</f>
        <v>2.921544549295942</v>
      </c>
      <c r="Z354" s="63">
        <f t="shared" si="29"/>
        <v>1560.7605104961708</v>
      </c>
      <c r="AA354" s="63">
        <f t="shared" si="30"/>
        <v>33.798674168866654</v>
      </c>
    </row>
    <row r="355" spans="1:27" ht="13.2" x14ac:dyDescent="0.25">
      <c r="A355" s="103" t="s">
        <v>167</v>
      </c>
      <c r="B355" s="20" t="s">
        <v>168</v>
      </c>
      <c r="C355" s="20" t="s">
        <v>73</v>
      </c>
      <c r="D355" s="104" t="s">
        <v>141</v>
      </c>
      <c r="E355" s="15">
        <v>116</v>
      </c>
      <c r="F355" s="15">
        <v>16.8</v>
      </c>
      <c r="G355" s="20" t="s">
        <v>169</v>
      </c>
      <c r="H355" s="20">
        <v>0.79</v>
      </c>
      <c r="I355" s="68">
        <f>MAX('Max rate concentrations'!$D$3:$D$368)</f>
        <v>720</v>
      </c>
      <c r="J355" s="68">
        <f>MAX('Max rate concentrations'!W:W)</f>
        <v>255</v>
      </c>
      <c r="K355" s="69">
        <f t="shared" si="28"/>
        <v>893.7167170189166</v>
      </c>
      <c r="L355" s="69">
        <f t="shared" si="32"/>
        <v>316.52467061086628</v>
      </c>
      <c r="M355" s="69">
        <f>IF((((1.18*F355^0.874)-(0.301*F355^0.751)/(1-H355)*H355)*(MAX('Max rate concentrations'!$P$3:$P$368)))/F355&gt;0, (((1.18*F355^0.874)-(0.301*F355^0.751)/(1-H355)*H355)*(MAX('Max rate concentrations'!$P$3:$P$368)))/F355, 0)</f>
        <v>0.23173746425555716</v>
      </c>
      <c r="N355" s="69">
        <f>IF((((1.18*F355^0.874)-(0.301*F355^0.751)/(1-H355)*H355)*(MAX('Max rate concentrations'!$Q$3:$Q$368)))/F355&gt;0, (((1.18*F355^0.874)-(0.301*F355^0.751)/(1-H355)*H355)*(MAX('Max rate concentrations'!$Q$3:$Q$368)))/F355, 0)</f>
        <v>0.88246871552962336</v>
      </c>
      <c r="O355" s="69">
        <f>((MAX('Max rate concentrations'!$F$3:$F$368))*0.62*6.01*8*(10*F355^0.667)*0.079*0.1/F355)*inputs!$E$80/(10^(0.84+0.62*LOG10(inputs!$E$80)))</f>
        <v>57.375361511081024</v>
      </c>
      <c r="P355" s="69">
        <f>((MAX('Max rate concentrations'!Y:Y))*0.62*6.01*8*(10*F355^0.667)*0.079*0.1/F355)*inputs!$E$80/(10^(0.84+0.62*LOG10(inputs!$E$80)))</f>
        <v>19.12512050369368</v>
      </c>
      <c r="Q355" s="69">
        <f>(inputs!$C$18*11.2*(10*F355^0.667)*0.5/F355)*inputs!$E$80/(10^(0.84+0.62*LOG10(inputs!$E$80)))</f>
        <v>10.106399314804086</v>
      </c>
      <c r="R355" s="59">
        <f>(60*284*((F355/1000)^0.77)*3*24*(MAX('Max rate concentrations'!$R$3:$R$368))/F355)*(inputs!$E$73*3.4/inputs!$E$75)</f>
        <v>7.1988913767969204E-2</v>
      </c>
      <c r="S355" s="59">
        <f>(IF(inputs!$C$17="aerial",((0.025*0.112*inputs!$C$18/3.3)*(3*60*284*((F355/1000)^0.77))*MAX(inputs!$I$14:$I$16))/F355,((0.0083*0.112*inputs!$C$18/1)*(3*60*284*((F355/1000)^0.77))*MAX(inputs!$I$14:$I$16))/F355))*(inputs!E$75*3.4/inputs!$E$73)</f>
        <v>0.39702328230749484</v>
      </c>
      <c r="T355" s="63">
        <f>IF((((inputs!$P$13/(V355/MAX(K355:S355)))^(1/inputs!$O$13))-1)/inputs!$N$13&lt;0, 0, IF((((inputs!$P$13/(V355/MAX(K355:S355)))^(1/inputs!$O$13))-1)/inputs!$N$13&lt;inputs!$I$17, (((inputs!$P$13/(V355/MAX(K355:S355)))^(1/inputs!$O$13))-1)/inputs!$N$13, inputs!$I$17))</f>
        <v>1000</v>
      </c>
      <c r="U355" s="63">
        <f>IF((((inputs!$P$13/(X355/MAX(K355:S355)))^(1/inputs!$O$13))-1)/inputs!$N$13&lt;0, 0, IF((((inputs!$P$13/(X355/MAX(K355:S355)))^(1/inputs!$O$13))-1)/inputs!$N$13&lt;inputs!$I$17, (((inputs!$P$13/(X355/MAX(K355:S355)))^(1/inputs!$O$13))-1)/inputs!$N$13, inputs!$I$17))</f>
        <v>293.3999572303307</v>
      </c>
      <c r="V355" s="21">
        <f>inputs!$E$78*(F355/inputs!$F$78)^(inputs!$E$84-1)</f>
        <v>3.6761156580544962E-2</v>
      </c>
      <c r="W355" s="21">
        <f>inputs!$E$85*(F355/inputs!$F$85)^(inputs!$E$84-1)</f>
        <v>1.6975624908959248</v>
      </c>
      <c r="X355" s="21">
        <f>inputs!$E$80*(F355/inputs!$F$80)^(inputs!$E$84-1)</f>
        <v>6.3389991748645285</v>
      </c>
      <c r="Y355" s="21">
        <f>inputs!$E$82*(F355/inputs!$F$82)^(inputs!$E$84-1)</f>
        <v>2.921544549295942</v>
      </c>
      <c r="Z355" s="63">
        <f t="shared" si="29"/>
        <v>24311.441754036015</v>
      </c>
      <c r="AA355" s="63">
        <f t="shared" si="30"/>
        <v>526.47058462468647</v>
      </c>
    </row>
    <row r="356" spans="1:27" ht="13.2" x14ac:dyDescent="0.25">
      <c r="A356" s="103" t="s">
        <v>167</v>
      </c>
      <c r="B356" s="20" t="s">
        <v>168</v>
      </c>
      <c r="C356" s="20" t="s">
        <v>73</v>
      </c>
      <c r="D356" s="104" t="s">
        <v>141</v>
      </c>
      <c r="E356" s="15">
        <v>116</v>
      </c>
      <c r="F356" s="15">
        <v>16.8</v>
      </c>
      <c r="G356" s="20" t="s">
        <v>158</v>
      </c>
      <c r="H356" s="20">
        <v>0.85</v>
      </c>
      <c r="I356" s="68">
        <f>MAX('Max rate concentrations'!$F$3:$F$368)</f>
        <v>405</v>
      </c>
      <c r="J356" s="68">
        <f>MAX('Max rate concentrations'!Y:Y)</f>
        <v>135</v>
      </c>
      <c r="K356" s="69">
        <f t="shared" si="28"/>
        <v>703.8019146523967</v>
      </c>
      <c r="L356" s="69">
        <f t="shared" si="32"/>
        <v>234.60063821746556</v>
      </c>
      <c r="M356" s="69">
        <f>IF((((1.18*F356^0.874)-(0.301*F356^0.751)/(1-H356)*H356)*(MAX('Max rate concentrations'!$P$3:$P$368)))/F356&gt;0, (((1.18*F356^0.874)-(0.301*F356^0.751)/(1-H356)*H356)*(MAX('Max rate concentrations'!$P$3:$P$368)))/F356, 0)</f>
        <v>0</v>
      </c>
      <c r="N356" s="69">
        <f>IF((((1.18*F356^0.874)-(0.301*F356^0.751)/(1-H356)*H356)*(MAX('Max rate concentrations'!$Q$3:$Q$368)))/F356&gt;0, (((1.18*F356^0.874)-(0.301*F356^0.751)/(1-H356)*H356)*(MAX('Max rate concentrations'!$Q$3:$Q$368)))/F356, 0)</f>
        <v>0</v>
      </c>
      <c r="O356" s="69">
        <f>((MAX('Max rate concentrations'!$F$3:$F$368))*0.62*6.01*8*(10*F356^0.667)*0.079*0.1/F356)*inputs!$E$80/(10^(0.84+0.62*LOG10(inputs!$E$80)))</f>
        <v>57.375361511081024</v>
      </c>
      <c r="P356" s="69">
        <f>((MAX('Max rate concentrations'!Y:Y))*0.62*6.01*8*(10*F356^0.667)*0.079*0.1/F356)*inputs!$E$80/(10^(0.84+0.62*LOG10(inputs!$E$80)))</f>
        <v>19.12512050369368</v>
      </c>
      <c r="Q356" s="69">
        <f>(inputs!$C$18*11.2*(10*F356^0.667)*0.5/F356)*inputs!$E$80/(10^(0.84+0.62*LOG10(inputs!$E$80)))</f>
        <v>10.106399314804086</v>
      </c>
      <c r="R356" s="59">
        <f>(60*284*((F356/1000)^0.77)*3*24*(MAX('Max rate concentrations'!$R$3:$R$368))/F356)*(inputs!$E$73*3.4/inputs!$E$75)</f>
        <v>7.1988913767969204E-2</v>
      </c>
      <c r="S356" s="59">
        <f>(IF(inputs!$C$17="aerial",((0.025*0.112*inputs!$C$18/3.3)*(3*60*284*((F356/1000)^0.77))*MAX(inputs!$I$14:$I$16))/F356,((0.0083*0.112*inputs!$C$18/1)*(3*60*284*((F356/1000)^0.77))*MAX(inputs!$I$14:$I$16))/F356))*(inputs!E$75*3.4/inputs!$E$73)</f>
        <v>0.39702328230749484</v>
      </c>
      <c r="T356" s="63">
        <f>IF((((inputs!$P$13/(V356/MAX(K356:S356)))^(1/inputs!$O$13))-1)/inputs!$N$13&lt;0, 0, IF((((inputs!$P$13/(V356/MAX(K356:S356)))^(1/inputs!$O$13))-1)/inputs!$N$13&lt;inputs!$I$17, (((inputs!$P$13/(V356/MAX(K356:S356)))^(1/inputs!$O$13))-1)/inputs!$N$13, inputs!$I$17))</f>
        <v>1000</v>
      </c>
      <c r="U356" s="63">
        <f>IF((((inputs!$P$13/(X356/MAX(K356:S356)))^(1/inputs!$O$13))-1)/inputs!$N$13&lt;0, 0, IF((((inputs!$P$13/(X356/MAX(K356:S356)))^(1/inputs!$O$13))-1)/inputs!$N$13&lt;inputs!$I$17, (((inputs!$P$13/(X356/MAX(K356:S356)))^(1/inputs!$O$13))-1)/inputs!$N$13, inputs!$I$17))</f>
        <v>240.94006126622335</v>
      </c>
      <c r="V356" s="21">
        <f>inputs!$E$78*(F356/inputs!$F$78)^(inputs!$E$84-1)</f>
        <v>3.6761156580544962E-2</v>
      </c>
      <c r="W356" s="21">
        <f>inputs!$E$85*(F356/inputs!$F$85)^(inputs!$E$84-1)</f>
        <v>1.6975624908959248</v>
      </c>
      <c r="X356" s="21">
        <f>inputs!$E$80*(F356/inputs!$F$80)^(inputs!$E$84-1)</f>
        <v>6.3389991748645285</v>
      </c>
      <c r="Y356" s="21">
        <f>inputs!$E$82*(F356/inputs!$F$82)^(inputs!$E$84-1)</f>
        <v>2.921544549295942</v>
      </c>
      <c r="Z356" s="63">
        <f t="shared" si="29"/>
        <v>19145.260381303357</v>
      </c>
      <c r="AA356" s="63">
        <f t="shared" si="30"/>
        <v>414.59558539194057</v>
      </c>
    </row>
    <row r="357" spans="1:27" ht="13.2" x14ac:dyDescent="0.25">
      <c r="A357" s="103" t="s">
        <v>167</v>
      </c>
      <c r="B357" s="20" t="s">
        <v>168</v>
      </c>
      <c r="C357" s="20" t="s">
        <v>73</v>
      </c>
      <c r="D357" s="104" t="s">
        <v>141</v>
      </c>
      <c r="E357" s="15">
        <v>116</v>
      </c>
      <c r="F357" s="15">
        <v>16.8</v>
      </c>
      <c r="G357" s="20" t="s">
        <v>154</v>
      </c>
      <c r="H357" s="20">
        <v>9.2999999999999999E-2</v>
      </c>
      <c r="I357" s="68">
        <f>MAX('Max rate concentrations'!$G$3:$G$368)</f>
        <v>45</v>
      </c>
      <c r="J357" s="68">
        <f>MAX('Max rate concentrations'!Z:Z)</f>
        <v>21</v>
      </c>
      <c r="K357" s="69">
        <f t="shared" si="28"/>
        <v>12.932780497103947</v>
      </c>
      <c r="L357" s="69">
        <f t="shared" si="32"/>
        <v>6.035297565315175</v>
      </c>
      <c r="M357" s="69">
        <f>IF((((1.18*F357^0.874)-(0.301*F357^0.751)/(1-H357)*H357)*(MAX('Max rate concentrations'!$P$3:$P$368)))/F357&gt;0, (((1.18*F357^0.874)-(0.301*F357^0.751)/(1-H357)*H357)*(MAX('Max rate concentrations'!$P$3:$P$368)))/F357, 0)</f>
        <v>0.70689003112970561</v>
      </c>
      <c r="N357" s="69">
        <f>IF((((1.18*F357^0.874)-(0.301*F357^0.751)/(1-H357)*H357)*(MAX('Max rate concentrations'!$Q$3:$Q$368)))/F357&gt;0, (((1.18*F357^0.874)-(0.301*F357^0.751)/(1-H357)*H357)*(MAX('Max rate concentrations'!$Q$3:$Q$368)))/F357, 0)</f>
        <v>2.6918752209344916</v>
      </c>
      <c r="O357" s="69">
        <f>((MAX('Max rate concentrations'!$F$3:$F$368))*0.62*6.01*8*(10*F357^0.667)*0.079*0.1/F357)*inputs!$E$80/(10^(0.84+0.62*LOG10(inputs!$E$80)))</f>
        <v>57.375361511081024</v>
      </c>
      <c r="P357" s="69">
        <f>((MAX('Max rate concentrations'!Y:Y))*0.62*6.01*8*(10*F357^0.667)*0.079*0.1/F357)*inputs!$E$80/(10^(0.84+0.62*LOG10(inputs!$E$80)))</f>
        <v>19.12512050369368</v>
      </c>
      <c r="Q357" s="69">
        <f>(inputs!$C$18*11.2*(10*F357^0.667)*0.5/F357)*inputs!$E$80/(10^(0.84+0.62*LOG10(inputs!$E$80)))</f>
        <v>10.106399314804086</v>
      </c>
      <c r="R357" s="59">
        <f>(60*284*((F357/1000)^0.77)*3*24*(MAX('Max rate concentrations'!$R$3:$R$368))/F357)*(inputs!$E$73*3.4/inputs!$E$75)</f>
        <v>7.1988913767969204E-2</v>
      </c>
      <c r="S357" s="59">
        <f>(IF(inputs!$C$17="aerial",((0.025*0.112*inputs!$C$18/3.3)*(3*60*284*((F357/1000)^0.77))*MAX(inputs!$I$14:$I$16))/F357,((0.0083*0.112*inputs!$C$18/1)*(3*60*284*((F357/1000)^0.77))*MAX(inputs!$I$14:$I$16))/F357))*(inputs!E$75*3.4/inputs!$E$73)</f>
        <v>0.39702328230749484</v>
      </c>
      <c r="T357" s="63">
        <f>IF((((inputs!$P$13/(V357/MAX(K357:S357)))^(1/inputs!$O$13))-1)/inputs!$N$13&lt;0, 0, IF((((inputs!$P$13/(V357/MAX(K357:S357)))^(1/inputs!$O$13))-1)/inputs!$N$13&lt;inputs!$I$17, (((inputs!$P$13/(V357/MAX(K357:S357)))^(1/inputs!$O$13))-1)/inputs!$N$13, inputs!$I$17))</f>
        <v>1000</v>
      </c>
      <c r="U357" s="63">
        <f>IF((((inputs!$P$13/(X357/MAX(K357:S357)))^(1/inputs!$O$13))-1)/inputs!$N$13&lt;0, 0, IF((((inputs!$P$13/(X357/MAX(K357:S357)))^(1/inputs!$O$13))-1)/inputs!$N$13&lt;inputs!$I$17, (((inputs!$P$13/(X357/MAX(K357:S357)))^(1/inputs!$O$13))-1)/inputs!$N$13, inputs!$I$17))</f>
        <v>27.192573547408887</v>
      </c>
      <c r="V357" s="21">
        <f>inputs!$E$78*(F357/inputs!$F$78)^(inputs!$E$84-1)</f>
        <v>3.6761156580544962E-2</v>
      </c>
      <c r="W357" s="21">
        <f>inputs!$E$85*(F357/inputs!$F$85)^(inputs!$E$84-1)</f>
        <v>1.6975624908959248</v>
      </c>
      <c r="X357" s="21">
        <f>inputs!$E$80*(F357/inputs!$F$80)^(inputs!$E$84-1)</f>
        <v>6.3389991748645285</v>
      </c>
      <c r="Y357" s="21">
        <f>inputs!$E$82*(F357/inputs!$F$82)^(inputs!$E$84-1)</f>
        <v>2.921544549295942</v>
      </c>
      <c r="Z357" s="63">
        <f t="shared" si="29"/>
        <v>1560.7605104961708</v>
      </c>
      <c r="AA357" s="63">
        <f t="shared" si="30"/>
        <v>33.798674168866654</v>
      </c>
    </row>
    <row r="358" spans="1:27" ht="13.2" x14ac:dyDescent="0.25">
      <c r="A358" s="103" t="s">
        <v>287</v>
      </c>
      <c r="B358" s="20" t="s">
        <v>288</v>
      </c>
      <c r="C358" s="20" t="s">
        <v>73</v>
      </c>
      <c r="D358" s="104" t="s">
        <v>141</v>
      </c>
      <c r="E358" s="15">
        <v>86</v>
      </c>
      <c r="F358" s="15">
        <v>37</v>
      </c>
      <c r="G358" s="20" t="s">
        <v>142</v>
      </c>
      <c r="H358" s="20">
        <v>0.69</v>
      </c>
      <c r="I358" s="68">
        <f>MAX('Max rate concentrations'!$H$3:$H$368)</f>
        <v>282</v>
      </c>
      <c r="J358" s="68">
        <f>MAX('Max rate concentrations'!AA:AA)</f>
        <v>195</v>
      </c>
      <c r="K358" s="69">
        <f t="shared" si="28"/>
        <v>210.63970018759585</v>
      </c>
      <c r="L358" s="69">
        <f t="shared" si="32"/>
        <v>145.65511183184819</v>
      </c>
      <c r="M358" s="69">
        <f>IF((((1.18*F358^0.874)-(0.301*F358^0.751)/(1-H358)*H358)*(MAX('Max rate concentrations'!$P$3:$P$368)))/F358&gt;0, (((1.18*F358^0.874)-(0.301*F358^0.751)/(1-H358)*H358)*(MAX('Max rate concentrations'!$P$3:$P$368)))/F358, 0)</f>
        <v>0.41457593102405521</v>
      </c>
      <c r="N358" s="69">
        <f>IF((((1.18*F358^0.874)-(0.301*F358^0.751)/(1-H358)*H358)*(MAX('Max rate concentrations'!$Q$3:$Q$368)))/F358&gt;0, (((1.18*F358^0.874)-(0.301*F358^0.751)/(1-H358)*H358)*(MAX('Max rate concentrations'!$Q$3:$Q$368)))/F358, 0)</f>
        <v>1.5787274212029896</v>
      </c>
      <c r="O358" s="69">
        <f>((MAX('Max rate concentrations'!$F$3:$F$368))*0.62*6.01*8*(10*F358^0.667)*0.079*0.1/F358)*inputs!$E$80/(10^(0.84+0.62*LOG10(inputs!$E$80)))</f>
        <v>44.110527530280564</v>
      </c>
      <c r="P358" s="69">
        <f>((MAX('Max rate concentrations'!Y:Y))*0.62*6.01*8*(10*F358^0.667)*0.079*0.1/F358)*inputs!$E$80/(10^(0.84+0.62*LOG10(inputs!$E$80)))</f>
        <v>14.703509176760191</v>
      </c>
      <c r="Q358" s="69">
        <f>(inputs!$C$18*11.2*(10*F358^0.667)*0.5/F358)*inputs!$E$80/(10^(0.84+0.62*LOG10(inputs!$E$80)))</f>
        <v>7.7698613737113655</v>
      </c>
      <c r="R358" s="59">
        <f>(60*284*((F358/1000)^0.77)*3*24*(MAX('Max rate concentrations'!$R$3:$R$368))/F358)*(inputs!$E$73*3.4/inputs!$E$75)</f>
        <v>6.0034425479746835E-2</v>
      </c>
      <c r="S358" s="59">
        <f>(IF(inputs!$C$17="aerial",((0.025*0.112*inputs!$C$18/3.3)*(3*60*284*((F358/1000)^0.77))*MAX(inputs!$I$14:$I$16))/F358,((0.0083*0.112*inputs!$C$18/1)*(3*60*284*((F358/1000)^0.77))*MAX(inputs!$I$14:$I$16))/F358))*(inputs!E$75*3.4/inputs!$E$73)</f>
        <v>0.3310935449344003</v>
      </c>
      <c r="T358" s="63">
        <f>IF((((inputs!$P$13/(V358/MAX(K358:S358)))^(1/inputs!$O$13))-1)/inputs!$N$13&lt;0, 0, IF((((inputs!$P$13/(V358/MAX(K358:S358)))^(1/inputs!$O$13))-1)/inputs!$N$13&lt;inputs!$I$17, (((inputs!$P$13/(V358/MAX(K358:S358)))^(1/inputs!$O$13))-1)/inputs!$N$13, inputs!$I$17))</f>
        <v>1000</v>
      </c>
      <c r="U358" s="63">
        <f>IF((((inputs!$P$13/(X358/MAX(K358:S358)))^(1/inputs!$O$13))-1)/inputs!$N$13&lt;0, 0, IF((((inputs!$P$13/(X358/MAX(K358:S358)))^(1/inputs!$O$13))-1)/inputs!$N$13&lt;inputs!$I$17, (((inputs!$P$13/(X358/MAX(K358:S358)))^(1/inputs!$O$13))-1)/inputs!$N$13, inputs!$I$17))</f>
        <v>112.30476626006089</v>
      </c>
      <c r="V358" s="21">
        <f>inputs!$E$78*(F358/inputs!$F$78)^(inputs!$E$84-1)</f>
        <v>2.7448521921752091E-2</v>
      </c>
      <c r="W358" s="21">
        <f>inputs!$E$85*(F358/inputs!$F$85)^(inputs!$E$84-1)</f>
        <v>1.267522177731496</v>
      </c>
      <c r="X358" s="21">
        <f>inputs!$E$80*(F358/inputs!$F$80)^(inputs!$E$84-1)</f>
        <v>4.7331524358328005</v>
      </c>
      <c r="Y358" s="21">
        <f>inputs!$E$82*(F358/inputs!$F$82)^(inputs!$E$84-1)</f>
        <v>2.1814351632550348</v>
      </c>
      <c r="Z358" s="63">
        <f t="shared" si="29"/>
        <v>7673.9906355638959</v>
      </c>
      <c r="AA358" s="63">
        <f t="shared" si="30"/>
        <v>166.1822600726253</v>
      </c>
    </row>
    <row r="359" spans="1:27" ht="13.2" x14ac:dyDescent="0.25">
      <c r="A359" s="103" t="s">
        <v>287</v>
      </c>
      <c r="B359" s="20" t="s">
        <v>288</v>
      </c>
      <c r="C359" s="20" t="s">
        <v>73</v>
      </c>
      <c r="D359" s="104" t="s">
        <v>141</v>
      </c>
      <c r="E359" s="15">
        <v>86</v>
      </c>
      <c r="F359" s="15">
        <v>37</v>
      </c>
      <c r="G359" s="20" t="s">
        <v>152</v>
      </c>
      <c r="H359" s="20">
        <v>0.77</v>
      </c>
      <c r="I359" s="68">
        <f>MAX('Max rate concentrations'!$G$3:$G$368)</f>
        <v>45</v>
      </c>
      <c r="J359" s="68">
        <f>MAX('Max rate concentrations'!Z:Z)</f>
        <v>21</v>
      </c>
      <c r="K359" s="69">
        <f t="shared" si="28"/>
        <v>45.304098328969516</v>
      </c>
      <c r="L359" s="69">
        <f t="shared" si="32"/>
        <v>21.141912553519106</v>
      </c>
      <c r="M359" s="69">
        <f>IF((((1.18*F359^0.874)-(0.301*F359^0.751)/(1-H359)*H359)*(MAX('Max rate concentrations'!$P$3:$P$368)))/F359&gt;0, (((1.18*F359^0.874)-(0.301*F359^0.751)/(1-H359)*H359)*(MAX('Max rate concentrations'!$P$3:$P$368)))/F359, 0)</f>
        <v>0.29488889214099223</v>
      </c>
      <c r="N359" s="69">
        <f>IF((((1.18*F359^0.874)-(0.301*F359^0.751)/(1-H359)*H359)*(MAX('Max rate concentrations'!$Q$3:$Q$368)))/F359&gt;0, (((1.18*F359^0.874)-(0.301*F359^0.751)/(1-H359)*H359)*(MAX('Max rate concentrations'!$Q$3:$Q$368)))/F359, 0)</f>
        <v>1.1229527461499986</v>
      </c>
      <c r="O359" s="69">
        <f>((MAX('Max rate concentrations'!$F$3:$F$368))*0.62*6.01*8*(10*F359^0.667)*0.079*0.1/F359)*inputs!$E$80/(10^(0.84+0.62*LOG10(inputs!$E$80)))</f>
        <v>44.110527530280564</v>
      </c>
      <c r="P359" s="69">
        <f>((MAX('Max rate concentrations'!Y:Y))*0.62*6.01*8*(10*F359^0.667)*0.079*0.1/F359)*inputs!$E$80/(10^(0.84+0.62*LOG10(inputs!$E$80)))</f>
        <v>14.703509176760191</v>
      </c>
      <c r="Q359" s="69">
        <f>(inputs!$C$18*11.2*(10*F359^0.667)*0.5/F359)*inputs!$E$80/(10^(0.84+0.62*LOG10(inputs!$E$80)))</f>
        <v>7.7698613737113655</v>
      </c>
      <c r="R359" s="59">
        <f>(60*284*((F359/1000)^0.77)*3*24*(MAX('Max rate concentrations'!$R$3:$R$368))/F359)*(inputs!$E$73*3.4/inputs!$E$75)</f>
        <v>6.0034425479746835E-2</v>
      </c>
      <c r="S359" s="59">
        <f>(IF(inputs!$C$17="aerial",((0.025*0.112*inputs!$C$18/3.3)*(3*60*284*((F359/1000)^0.77))*MAX(inputs!$I$14:$I$16))/F359,((0.0083*0.112*inputs!$C$18/1)*(3*60*284*((F359/1000)^0.77))*MAX(inputs!$I$14:$I$16))/F359))*(inputs!E$75*3.4/inputs!$E$73)</f>
        <v>0.3310935449344003</v>
      </c>
      <c r="T359" s="63">
        <f>IF((((inputs!$P$13/(V359/MAX(K359:S359)))^(1/inputs!$O$13))-1)/inputs!$N$13&lt;0, 0, IF((((inputs!$P$13/(V359/MAX(K359:S359)))^(1/inputs!$O$13))-1)/inputs!$N$13&lt;inputs!$I$17, (((inputs!$P$13/(V359/MAX(K359:S359)))^(1/inputs!$O$13))-1)/inputs!$N$13, inputs!$I$17))</f>
        <v>1000</v>
      </c>
      <c r="U359" s="63">
        <f>IF((((inputs!$P$13/(X359/MAX(K359:S359)))^(1/inputs!$O$13))-1)/inputs!$N$13&lt;0, 0, IF((((inputs!$P$13/(X359/MAX(K359:S359)))^(1/inputs!$O$13))-1)/inputs!$N$13&lt;inputs!$I$17, (((inputs!$P$13/(X359/MAX(K359:S359)))^(1/inputs!$O$13))-1)/inputs!$N$13, inputs!$I$17))</f>
        <v>28.692062395786877</v>
      </c>
      <c r="V359" s="21">
        <f>inputs!$E$78*(F359/inputs!$F$78)^(inputs!$E$84-1)</f>
        <v>2.7448521921752091E-2</v>
      </c>
      <c r="W359" s="21">
        <f>inputs!$E$85*(F359/inputs!$F$85)^(inputs!$E$84-1)</f>
        <v>1.267522177731496</v>
      </c>
      <c r="X359" s="21">
        <f>inputs!$E$80*(F359/inputs!$F$80)^(inputs!$E$84-1)</f>
        <v>4.7331524358328005</v>
      </c>
      <c r="Y359" s="21">
        <f>inputs!$E$82*(F359/inputs!$F$82)^(inputs!$E$84-1)</f>
        <v>2.1814351632550348</v>
      </c>
      <c r="Z359" s="63">
        <f t="shared" si="29"/>
        <v>1650.5113994159169</v>
      </c>
      <c r="AA359" s="63">
        <f t="shared" si="30"/>
        <v>35.742252975842177</v>
      </c>
    </row>
    <row r="360" spans="1:27" ht="13.2" x14ac:dyDescent="0.25">
      <c r="A360" s="103" t="s">
        <v>287</v>
      </c>
      <c r="B360" s="20" t="s">
        <v>288</v>
      </c>
      <c r="C360" s="20" t="s">
        <v>73</v>
      </c>
      <c r="D360" s="104" t="s">
        <v>141</v>
      </c>
      <c r="E360" s="15">
        <v>86</v>
      </c>
      <c r="F360" s="15">
        <v>37</v>
      </c>
      <c r="G360" s="20" t="s">
        <v>146</v>
      </c>
      <c r="H360" s="20">
        <v>0.84</v>
      </c>
      <c r="I360" s="68">
        <f>MAX('Max rate concentrations'!$I$3:$I$368)</f>
        <v>56.865414300472793</v>
      </c>
      <c r="J360" s="68" t="s">
        <v>13</v>
      </c>
      <c r="K360" s="69">
        <f t="shared" si="28"/>
        <v>82.296438031503882</v>
      </c>
      <c r="L360" s="69" t="s">
        <v>13</v>
      </c>
      <c r="M360" s="69">
        <f>IF((((1.18*F360^0.874)-(0.301*F360^0.751)/(1-H360)*H360)*(MAX('Max rate concentrations'!$P$3:$P$368)))/F360&gt;0, (((1.18*F360^0.874)-(0.301*F360^0.751)/(1-H360)*H360)*(MAX('Max rate concentrations'!$P$3:$P$368)))/F360, 0)</f>
        <v>9.1981959034549865E-2</v>
      </c>
      <c r="N360" s="69">
        <f>IF((((1.18*F360^0.874)-(0.301*F360^0.751)/(1-H360)*H360)*(MAX('Max rate concentrations'!$Q$3:$Q$368)))/F360&gt;0, (((1.18*F360^0.874)-(0.301*F360^0.751)/(1-H360)*H360)*(MAX('Max rate concentrations'!$Q$3:$Q$368)))/F360, 0)</f>
        <v>0.35027224234922616</v>
      </c>
      <c r="O360" s="69">
        <f>((MAX('Max rate concentrations'!$F$3:$F$368))*0.62*6.01*8*(10*F360^0.667)*0.079*0.1/F360)*inputs!$E$80/(10^(0.84+0.62*LOG10(inputs!$E$80)))</f>
        <v>44.110527530280564</v>
      </c>
      <c r="P360" s="69">
        <f>((MAX('Max rate concentrations'!Y:Y))*0.62*6.01*8*(10*F360^0.667)*0.079*0.1/F360)*inputs!$E$80/(10^(0.84+0.62*LOG10(inputs!$E$80)))</f>
        <v>14.703509176760191</v>
      </c>
      <c r="Q360" s="69">
        <f>(inputs!$C$18*11.2*(10*F360^0.667)*0.5/F360)*inputs!$E$80/(10^(0.84+0.62*LOG10(inputs!$E$80)))</f>
        <v>7.7698613737113655</v>
      </c>
      <c r="R360" s="59">
        <f>(60*284*((F360/1000)^0.77)*3*24*(MAX('Max rate concentrations'!$R$3:$R$368))/F360)*(inputs!$E$73*3.4/inputs!$E$75)</f>
        <v>6.0034425479746835E-2</v>
      </c>
      <c r="S360" s="59">
        <f>(IF(inputs!$C$17="aerial",((0.025*0.112*inputs!$C$18/3.3)*(3*60*284*((F360/1000)^0.77))*MAX(inputs!$I$14:$I$16))/F360,((0.0083*0.112*inputs!$C$18/1)*(3*60*284*((F360/1000)^0.77))*MAX(inputs!$I$14:$I$16))/F360))*(inputs!E$75*3.4/inputs!$E$73)</f>
        <v>0.3310935449344003</v>
      </c>
      <c r="T360" s="63">
        <f>IF((((inputs!$P$13/(V360/MAX(K360:S360)))^(1/inputs!$O$13))-1)/inputs!$N$13&lt;0, 0, IF((((inputs!$P$13/(V360/MAX(K360:S360)))^(1/inputs!$O$13))-1)/inputs!$N$13&lt;inputs!$I$17, (((inputs!$P$13/(V360/MAX(K360:S360)))^(1/inputs!$O$13))-1)/inputs!$N$13, inputs!$I$17))</f>
        <v>1000</v>
      </c>
      <c r="U360" s="63">
        <f>IF((((inputs!$P$13/(X360/MAX(K360:S360)))^(1/inputs!$O$13))-1)/inputs!$N$13&lt;0, 0, IF((((inputs!$P$13/(X360/MAX(K360:S360)))^(1/inputs!$O$13))-1)/inputs!$N$13&lt;inputs!$I$17, (((inputs!$P$13/(X360/MAX(K360:S360)))^(1/inputs!$O$13))-1)/inputs!$N$13, inputs!$I$17))</f>
        <v>49.738218719503408</v>
      </c>
      <c r="V360" s="21">
        <f>inputs!$E$78*(F360/inputs!$F$78)^(inputs!$E$84-1)</f>
        <v>2.7448521921752091E-2</v>
      </c>
      <c r="W360" s="21">
        <f>inputs!$E$85*(F360/inputs!$F$85)^(inputs!$E$84-1)</f>
        <v>1.267522177731496</v>
      </c>
      <c r="X360" s="21">
        <f>inputs!$E$80*(F360/inputs!$F$80)^(inputs!$E$84-1)</f>
        <v>4.7331524358328005</v>
      </c>
      <c r="Y360" s="21">
        <f>inputs!$E$82*(F360/inputs!$F$82)^(inputs!$E$84-1)</f>
        <v>2.1814351632550348</v>
      </c>
      <c r="Z360" s="63">
        <f t="shared" si="29"/>
        <v>2998.2101865487534</v>
      </c>
      <c r="AA360" s="63">
        <f t="shared" si="30"/>
        <v>64.927020195252979</v>
      </c>
    </row>
    <row r="361" spans="1:27" ht="13.2" x14ac:dyDescent="0.25">
      <c r="A361" s="103" t="s">
        <v>230</v>
      </c>
      <c r="B361" s="20" t="s">
        <v>231</v>
      </c>
      <c r="C361" s="20" t="s">
        <v>73</v>
      </c>
      <c r="D361" s="104" t="s">
        <v>141</v>
      </c>
      <c r="E361" s="15">
        <v>149</v>
      </c>
      <c r="F361" s="15">
        <v>12</v>
      </c>
      <c r="G361" s="20" t="s">
        <v>142</v>
      </c>
      <c r="H361" s="20">
        <v>0.69</v>
      </c>
      <c r="I361" s="68">
        <f>MAX('Max rate concentrations'!$H$3:$H$368)</f>
        <v>282</v>
      </c>
      <c r="J361" s="68">
        <f>MAX('Max rate concentrations'!AA:AA)</f>
        <v>195</v>
      </c>
      <c r="K361" s="69">
        <f t="shared" si="28"/>
        <v>249.39819136504636</v>
      </c>
      <c r="L361" s="69">
        <f t="shared" ref="L361:L369" si="33">((0.398*F361^0.85)/(1-H361))*J361/F361</f>
        <v>172.45619615668099</v>
      </c>
      <c r="M361" s="69">
        <f>IF((((1.18*F361^0.874)-(0.301*F361^0.751)/(1-H361)*H361)*(MAX('Max rate concentrations'!$P$3:$P$368)))/F361&gt;0, (((1.18*F361^0.874)-(0.301*F361^0.751)/(1-H361)*H361)*(MAX('Max rate concentrations'!$P$3:$P$368)))/F361, 0)</f>
        <v>0.43712573472557259</v>
      </c>
      <c r="N361" s="69">
        <f>IF((((1.18*F361^0.874)-(0.301*F361^0.751)/(1-H361)*H361)*(MAX('Max rate concentrations'!$Q$3:$Q$368)))/F361&gt;0, (((1.18*F361^0.874)-(0.301*F361^0.751)/(1-H361)*H361)*(MAX('Max rate concentrations'!$Q$3:$Q$368)))/F361, 0)</f>
        <v>1.6645982853373198</v>
      </c>
      <c r="O361" s="69">
        <f>((MAX('Max rate concentrations'!$F$3:$F$368))*0.62*6.01*8*(10*F361^0.667)*0.079*0.1/F361)*inputs!$E$80/(10^(0.84+0.62*LOG10(inputs!$E$80)))</f>
        <v>64.177984030087785</v>
      </c>
      <c r="P361" s="69">
        <f>((MAX('Max rate concentrations'!Y:Y))*0.62*6.01*8*(10*F361^0.667)*0.079*0.1/F361)*inputs!$E$80/(10^(0.84+0.62*LOG10(inputs!$E$80)))</f>
        <v>21.392661343362597</v>
      </c>
      <c r="Q361" s="69">
        <f>(inputs!$C$18*11.2*(10*F361^0.667)*0.5/F361)*inputs!$E$80/(10^(0.84+0.62*LOG10(inputs!$E$80)))</f>
        <v>11.304649186426818</v>
      </c>
      <c r="R361" s="59">
        <f>(60*284*((F361/1000)^0.77)*3*24*(MAX('Max rate concentrations'!$R$3:$R$368))/F361)*(inputs!$E$73*3.4/inputs!$E$75)</f>
        <v>7.7781276956711706E-2</v>
      </c>
      <c r="S361" s="59">
        <f>(IF(inputs!$C$17="aerial",((0.025*0.112*inputs!$C$18/3.3)*(3*60*284*((F361/1000)^0.77))*MAX(inputs!$I$14:$I$16))/F361,((0.0083*0.112*inputs!$C$18/1)*(3*60*284*((F361/1000)^0.77))*MAX(inputs!$I$14:$I$16))/F361))*(inputs!E$75*3.4/inputs!$E$73)</f>
        <v>0.42896852116641027</v>
      </c>
      <c r="T361" s="63">
        <f>IF((((inputs!$P$13/(V361/MAX(K361:S361)))^(1/inputs!$O$13))-1)/inputs!$N$13&lt;0, 0, IF((((inputs!$P$13/(V361/MAX(K361:S361)))^(1/inputs!$O$13))-1)/inputs!$N$13&lt;inputs!$I$17, (((inputs!$P$13/(V361/MAX(K361:S361)))^(1/inputs!$O$13))-1)/inputs!$N$13, inputs!$I$17))</f>
        <v>1000</v>
      </c>
      <c r="U361" s="63">
        <f>IF((((inputs!$P$13/(X361/MAX(K361:S361)))^(1/inputs!$O$13))-1)/inputs!$N$13&lt;0, 0, IF((((inputs!$P$13/(X361/MAX(K361:S361)))^(1/inputs!$O$13))-1)/inputs!$N$13&lt;inputs!$I$17, (((inputs!$P$13/(X361/MAX(K361:S361)))^(1/inputs!$O$13))-1)/inputs!$N$13, inputs!$I$17))</f>
        <v>90.968486433481146</v>
      </c>
      <c r="V361" s="21">
        <f>inputs!$E$78*(F361/inputs!$F$78)^(inputs!$E$84-1)</f>
        <v>4.1634805476433931E-2</v>
      </c>
      <c r="W361" s="21">
        <f>inputs!$E$85*(F361/inputs!$F$85)^(inputs!$E$84-1)</f>
        <v>1.9226186188588823</v>
      </c>
      <c r="X361" s="21">
        <f>inputs!$E$80*(F361/inputs!$F$80)^(inputs!$E$84-1)</f>
        <v>7.1793986400426615</v>
      </c>
      <c r="Y361" s="21">
        <f>inputs!$E$82*(F361/inputs!$F$82)^(inputs!$E$84-1)</f>
        <v>3.308871382600802</v>
      </c>
      <c r="Z361" s="63">
        <f t="shared" si="29"/>
        <v>5990.1370622761851</v>
      </c>
      <c r="AA361" s="63">
        <f t="shared" si="30"/>
        <v>129.71797366295652</v>
      </c>
    </row>
    <row r="362" spans="1:27" ht="13.2" x14ac:dyDescent="0.25">
      <c r="A362" s="103" t="s">
        <v>178</v>
      </c>
      <c r="B362" s="20" t="s">
        <v>179</v>
      </c>
      <c r="C362" s="20" t="s">
        <v>73</v>
      </c>
      <c r="D362" s="104" t="s">
        <v>141</v>
      </c>
      <c r="E362" s="15">
        <v>9966</v>
      </c>
      <c r="F362" s="15">
        <v>18.2</v>
      </c>
      <c r="G362" s="20" t="s">
        <v>142</v>
      </c>
      <c r="H362" s="20">
        <v>0.69</v>
      </c>
      <c r="I362" s="68">
        <f>MAX('Max rate concentrations'!$H$3:$H$368)</f>
        <v>282</v>
      </c>
      <c r="J362" s="68">
        <f>MAX('Max rate concentrations'!AA:AA)</f>
        <v>195</v>
      </c>
      <c r="K362" s="69">
        <f t="shared" si="28"/>
        <v>234.29325087886681</v>
      </c>
      <c r="L362" s="69">
        <f t="shared" si="33"/>
        <v>162.01129050134409</v>
      </c>
      <c r="M362" s="69">
        <f>IF((((1.18*F362^0.874)-(0.301*F362^0.751)/(1-H362)*H362)*(MAX('Max rate concentrations'!$P$3:$P$368)))/F362&gt;0, (((1.18*F362^0.874)-(0.301*F362^0.751)/(1-H362)*H362)*(MAX('Max rate concentrations'!$P$3:$P$368)))/F362, 0)</f>
        <v>0.42966903181821459</v>
      </c>
      <c r="N362" s="69">
        <f>IF((((1.18*F362^0.874)-(0.301*F362^0.751)/(1-H362)*H362)*(MAX('Max rate concentrations'!$Q$3:$Q$368)))/F362&gt;0, (((1.18*F362^0.874)-(0.301*F362^0.751)/(1-H362)*H362)*(MAX('Max rate concentrations'!$Q$3:$Q$368)))/F362, 0)</f>
        <v>1.6362027600048878</v>
      </c>
      <c r="O362" s="69">
        <f>((MAX('Max rate concentrations'!$F$3:$F$368))*0.62*6.01*8*(10*F362^0.667)*0.079*0.1/F362)*inputs!$E$80/(10^(0.84+0.62*LOG10(inputs!$E$80)))</f>
        <v>55.86626711932832</v>
      </c>
      <c r="P362" s="69">
        <f>((MAX('Max rate concentrations'!Y:Y))*0.62*6.01*8*(10*F362^0.667)*0.079*0.1/F362)*inputs!$E$80/(10^(0.84+0.62*LOG10(inputs!$E$80)))</f>
        <v>18.622089039776103</v>
      </c>
      <c r="Q362" s="69">
        <f>(inputs!$C$18*11.2*(10*F362^0.667)*0.5/F362)*inputs!$E$80/(10^(0.84+0.62*LOG10(inputs!$E$80)))</f>
        <v>9.8405794554583839</v>
      </c>
      <c r="R362" s="59">
        <f>(60*284*((F362/1000)^0.77)*3*24*(MAX('Max rate concentrations'!$R$3:$R$368))/F362)*(inputs!$E$73*3.4/inputs!$E$75)</f>
        <v>7.0675735403434248E-2</v>
      </c>
      <c r="S362" s="59">
        <f>(IF(inputs!$C$17="aerial",((0.025*0.112*inputs!$C$18/3.3)*(3*60*284*((F362/1000)^0.77))*MAX(inputs!$I$14:$I$16))/F362,((0.0083*0.112*inputs!$C$18/1)*(3*60*284*((F362/1000)^0.77))*MAX(inputs!$I$14:$I$16))/F362))*(inputs!E$75*3.4/inputs!$E$73)</f>
        <v>0.38978102294762595</v>
      </c>
      <c r="T362" s="63">
        <f>IF((((inputs!$P$13/(V362/MAX(K362:S362)))^(1/inputs!$O$13))-1)/inputs!$N$13&lt;0, 0, IF((((inputs!$P$13/(V362/MAX(K362:S362)))^(1/inputs!$O$13))-1)/inputs!$N$13&lt;inputs!$I$17, (((inputs!$P$13/(V362/MAX(K362:S362)))^(1/inputs!$O$13))-1)/inputs!$N$13, inputs!$I$17))</f>
        <v>1000</v>
      </c>
      <c r="U362" s="63">
        <f>IF((((inputs!$P$13/(X362/MAX(K362:S362)))^(1/inputs!$O$13))-1)/inputs!$N$13&lt;0, 0, IF((((inputs!$P$13/(X362/MAX(K362:S362)))^(1/inputs!$O$13))-1)/inputs!$N$13&lt;inputs!$I$17, (((inputs!$P$13/(X362/MAX(K362:S362)))^(1/inputs!$O$13))-1)/inputs!$N$13, inputs!$I$17))</f>
        <v>98.367446330385363</v>
      </c>
      <c r="V362" s="21">
        <f>inputs!$E$78*(F362/inputs!$F$78)^(inputs!$E$84-1)</f>
        <v>3.5688408999152169E-2</v>
      </c>
      <c r="W362" s="21">
        <f>inputs!$E$85*(F362/inputs!$F$85)^(inputs!$E$84-1)</f>
        <v>1.6480249837616827</v>
      </c>
      <c r="X362" s="21">
        <f>inputs!$E$80*(F362/inputs!$F$80)^(inputs!$E$84-1)</f>
        <v>6.1540173444265367</v>
      </c>
      <c r="Y362" s="21">
        <f>inputs!$E$82*(F362/inputs!$F$82)^(inputs!$E$84-1)</f>
        <v>2.8362893467747248</v>
      </c>
      <c r="Z362" s="63">
        <f t="shared" si="29"/>
        <v>6564.9676589514766</v>
      </c>
      <c r="AA362" s="63">
        <f t="shared" si="30"/>
        <v>142.16607951178213</v>
      </c>
    </row>
    <row r="363" spans="1:27" ht="13.2" x14ac:dyDescent="0.25">
      <c r="A363" s="103" t="s">
        <v>178</v>
      </c>
      <c r="B363" s="20" t="s">
        <v>179</v>
      </c>
      <c r="C363" s="20" t="s">
        <v>73</v>
      </c>
      <c r="D363" s="104" t="s">
        <v>141</v>
      </c>
      <c r="E363" s="15">
        <v>9966</v>
      </c>
      <c r="F363" s="15">
        <v>18.2</v>
      </c>
      <c r="G363" s="20" t="s">
        <v>154</v>
      </c>
      <c r="H363" s="20">
        <v>9.2999999999999999E-2</v>
      </c>
      <c r="I363" s="68">
        <f>MAX('Max rate concentrations'!$G$3:$G$368)</f>
        <v>45</v>
      </c>
      <c r="J363" s="68">
        <f>MAX('Max rate concentrations'!Z:Z)</f>
        <v>21</v>
      </c>
      <c r="K363" s="69">
        <f t="shared" si="28"/>
        <v>12.778432717008739</v>
      </c>
      <c r="L363" s="69">
        <f t="shared" si="33"/>
        <v>5.9632686012707437</v>
      </c>
      <c r="M363" s="69">
        <f>IF((((1.18*F363^0.874)-(0.301*F363^0.751)/(1-H363)*H363)*(MAX('Max rate concentrations'!$P$3:$P$368)))/F363&gt;0, (((1.18*F363^0.874)-(0.301*F363^0.751)/(1-H363)*H363)*(MAX('Max rate concentrations'!$P$3:$P$368)))/F363, 0)</f>
        <v>0.69992573167513739</v>
      </c>
      <c r="N363" s="69">
        <f>IF((((1.18*F363^0.874)-(0.301*F363^0.751)/(1-H363)*H363)*(MAX('Max rate concentrations'!$Q$3:$Q$368)))/F363&gt;0, (((1.18*F363^0.874)-(0.301*F363^0.751)/(1-H363)*H363)*(MAX('Max rate concentrations'!$Q$3:$Q$368)))/F363, 0)</f>
        <v>2.6653547944079503</v>
      </c>
      <c r="O363" s="69">
        <f>((MAX('Max rate concentrations'!$F$3:$F$368))*0.62*6.01*8*(10*F363^0.667)*0.079*0.1/F363)*inputs!$E$80/(10^(0.84+0.62*LOG10(inputs!$E$80)))</f>
        <v>55.86626711932832</v>
      </c>
      <c r="P363" s="69">
        <f>((MAX('Max rate concentrations'!Y:Y))*0.62*6.01*8*(10*F363^0.667)*0.079*0.1/F363)*inputs!$E$80/(10^(0.84+0.62*LOG10(inputs!$E$80)))</f>
        <v>18.622089039776103</v>
      </c>
      <c r="Q363" s="69">
        <f>(inputs!$C$18*11.2*(10*F363^0.667)*0.5/F363)*inputs!$E$80/(10^(0.84+0.62*LOG10(inputs!$E$80)))</f>
        <v>9.8405794554583839</v>
      </c>
      <c r="R363" s="59">
        <f>(60*284*((F363/1000)^0.77)*3*24*(MAX('Max rate concentrations'!$R$3:$R$368))/F363)*(inputs!$E$73*3.4/inputs!$E$75)</f>
        <v>7.0675735403434248E-2</v>
      </c>
      <c r="S363" s="59">
        <f>(IF(inputs!$C$17="aerial",((0.025*0.112*inputs!$C$18/3.3)*(3*60*284*((F363/1000)^0.77))*MAX(inputs!$I$14:$I$16))/F363,((0.0083*0.112*inputs!$C$18/1)*(3*60*284*((F363/1000)^0.77))*MAX(inputs!$I$14:$I$16))/F363))*(inputs!E$75*3.4/inputs!$E$73)</f>
        <v>0.38978102294762595</v>
      </c>
      <c r="T363" s="63">
        <f>IF((((inputs!$P$13/(V363/MAX(K363:S363)))^(1/inputs!$O$13))-1)/inputs!$N$13&lt;0, 0, IF((((inputs!$P$13/(V363/MAX(K363:S363)))^(1/inputs!$O$13))-1)/inputs!$N$13&lt;inputs!$I$17, (((inputs!$P$13/(V363/MAX(K363:S363)))^(1/inputs!$O$13))-1)/inputs!$N$13, inputs!$I$17))</f>
        <v>1000</v>
      </c>
      <c r="U363" s="63">
        <f>IF((((inputs!$P$13/(X363/MAX(K363:S363)))^(1/inputs!$O$13))-1)/inputs!$N$13&lt;0, 0, IF((((inputs!$P$13/(X363/MAX(K363:S363)))^(1/inputs!$O$13))-1)/inputs!$N$13&lt;inputs!$I$17, (((inputs!$P$13/(X363/MAX(K363:S363)))^(1/inputs!$O$13))-1)/inputs!$N$13, inputs!$I$17))</f>
        <v>27.270310400194909</v>
      </c>
      <c r="V363" s="21">
        <f>inputs!$E$78*(F363/inputs!$F$78)^(inputs!$E$84-1)</f>
        <v>3.5688408999152169E-2</v>
      </c>
      <c r="W363" s="21">
        <f>inputs!$E$85*(F363/inputs!$F$85)^(inputs!$E$84-1)</f>
        <v>1.6480249837616827</v>
      </c>
      <c r="X363" s="21">
        <f>inputs!$E$80*(F363/inputs!$F$80)^(inputs!$E$84-1)</f>
        <v>6.1540173444265367</v>
      </c>
      <c r="Y363" s="21">
        <f>inputs!$E$82*(F363/inputs!$F$82)^(inputs!$E$84-1)</f>
        <v>2.8362893467747248</v>
      </c>
      <c r="Z363" s="63">
        <f t="shared" si="29"/>
        <v>1565.3896793397405</v>
      </c>
      <c r="AA363" s="63">
        <f t="shared" si="30"/>
        <v>33.89892002232353</v>
      </c>
    </row>
    <row r="364" spans="1:27" ht="13.2" x14ac:dyDescent="0.25">
      <c r="A364" s="103" t="s">
        <v>232</v>
      </c>
      <c r="B364" s="20" t="s">
        <v>233</v>
      </c>
      <c r="C364" s="20" t="s">
        <v>73</v>
      </c>
      <c r="D364" s="104" t="s">
        <v>141</v>
      </c>
      <c r="E364" s="15">
        <v>4296</v>
      </c>
      <c r="F364" s="15">
        <v>30.8</v>
      </c>
      <c r="G364" s="20" t="s">
        <v>142</v>
      </c>
      <c r="H364" s="20">
        <v>0.69</v>
      </c>
      <c r="I364" s="68">
        <f>MAX('Max rate concentrations'!$H$3:$H$368)</f>
        <v>282</v>
      </c>
      <c r="J364" s="68">
        <f>MAX('Max rate concentrations'!AA:AA)</f>
        <v>195</v>
      </c>
      <c r="K364" s="69">
        <f t="shared" si="28"/>
        <v>216.51494503534678</v>
      </c>
      <c r="L364" s="69">
        <f t="shared" si="33"/>
        <v>149.71778114146321</v>
      </c>
      <c r="M364" s="69">
        <f>IF((((1.18*F364^0.874)-(0.301*F364^0.751)/(1-H364)*H364)*(MAX('Max rate concentrations'!$P$3:$P$368)))/F364&gt;0, (((1.18*F364^0.874)-(0.301*F364^0.751)/(1-H364)*H364)*(MAX('Max rate concentrations'!$P$3:$P$368)))/F364, 0)</f>
        <v>0.4187242639566533</v>
      </c>
      <c r="N364" s="69">
        <f>IF((((1.18*F364^0.874)-(0.301*F364^0.751)/(1-H364)*H364)*(MAX('Max rate concentrations'!$Q$3:$Q$368)))/F364&gt;0, (((1.18*F364^0.874)-(0.301*F364^0.751)/(1-H364)*H364)*(MAX('Max rate concentrations'!$Q$3:$Q$368)))/F364, 0)</f>
        <v>1.594524495907242</v>
      </c>
      <c r="O364" s="69">
        <f>((MAX('Max rate concentrations'!$F$3:$F$368))*0.62*6.01*8*(10*F364^0.667)*0.079*0.1/F364)*inputs!$E$80/(10^(0.84+0.62*LOG10(inputs!$E$80)))</f>
        <v>46.88846735586894</v>
      </c>
      <c r="P364" s="69">
        <f>((MAX('Max rate concentrations'!Y:Y))*0.62*6.01*8*(10*F364^0.667)*0.079*0.1/F364)*inputs!$E$80/(10^(0.84+0.62*LOG10(inputs!$E$80)))</f>
        <v>15.629489118622981</v>
      </c>
      <c r="Q364" s="69">
        <f>(inputs!$C$18*11.2*(10*F364^0.667)*0.5/F364)*inputs!$E$80/(10^(0.84+0.62*LOG10(inputs!$E$80)))</f>
        <v>8.2591823716186514</v>
      </c>
      <c r="R364" s="59">
        <f>(60*284*((F364/1000)^0.77)*3*24*(MAX('Max rate concentrations'!$R$3:$R$368))/F364)*(inputs!$E$73*3.4/inputs!$E$75)</f>
        <v>6.2621013262187039E-2</v>
      </c>
      <c r="S364" s="59">
        <f>(IF(inputs!$C$17="aerial",((0.025*0.112*inputs!$C$18/3.3)*(3*60*284*((F364/1000)^0.77))*MAX(inputs!$I$14:$I$16))/F364,((0.0083*0.112*inputs!$C$18/1)*(3*60*284*((F364/1000)^0.77))*MAX(inputs!$I$14:$I$16))/F364))*(inputs!E$75*3.4/inputs!$E$73)</f>
        <v>0.34535873547013807</v>
      </c>
      <c r="T364" s="63">
        <f>IF((((inputs!$P$13/(V364/MAX(K364:S364)))^(1/inputs!$O$13))-1)/inputs!$N$13&lt;0, 0, IF((((inputs!$P$13/(V364/MAX(K364:S364)))^(1/inputs!$O$13))-1)/inputs!$N$13&lt;inputs!$I$17, (((inputs!$P$13/(V364/MAX(K364:S364)))^(1/inputs!$O$13))-1)/inputs!$N$13, inputs!$I$17))</f>
        <v>1000</v>
      </c>
      <c r="U364" s="63">
        <f>IF((((inputs!$P$13/(X364/MAX(K364:S364)))^(1/inputs!$O$13))-1)/inputs!$N$13&lt;0, 0, IF((((inputs!$P$13/(X364/MAX(K364:S364)))^(1/inputs!$O$13))-1)/inputs!$N$13&lt;inputs!$I$17, (((inputs!$P$13/(X364/MAX(K364:S364)))^(1/inputs!$O$13))-1)/inputs!$N$13, inputs!$I$17))</f>
        <v>108.53172865849379</v>
      </c>
      <c r="V364" s="21">
        <f>inputs!$E$78*(F364/inputs!$F$78)^(inputs!$E$84-1)</f>
        <v>2.9375809005257807E-2</v>
      </c>
      <c r="W364" s="21">
        <f>inputs!$E$85*(F364/inputs!$F$85)^(inputs!$E$84-1)</f>
        <v>1.3565207448733958</v>
      </c>
      <c r="X364" s="21">
        <f>inputs!$E$80*(F364/inputs!$F$80)^(inputs!$E$84-1)</f>
        <v>5.0654888574386288</v>
      </c>
      <c r="Y364" s="21">
        <f>inputs!$E$82*(F364/inputs!$F$82)^(inputs!$E$84-1)</f>
        <v>2.3346037683125944</v>
      </c>
      <c r="Z364" s="63">
        <f t="shared" si="29"/>
        <v>7370.518544581837</v>
      </c>
      <c r="AA364" s="63">
        <f t="shared" si="30"/>
        <v>159.61049313370739</v>
      </c>
    </row>
    <row r="365" spans="1:27" ht="13.2" x14ac:dyDescent="0.25">
      <c r="A365" s="103" t="s">
        <v>232</v>
      </c>
      <c r="B365" s="20" t="s">
        <v>233</v>
      </c>
      <c r="C365" s="20" t="s">
        <v>73</v>
      </c>
      <c r="D365" s="104" t="s">
        <v>141</v>
      </c>
      <c r="E365" s="15">
        <v>4296</v>
      </c>
      <c r="F365" s="15">
        <v>30.8</v>
      </c>
      <c r="G365" s="20" t="s">
        <v>154</v>
      </c>
      <c r="H365" s="20">
        <v>9.2999999999999999E-2</v>
      </c>
      <c r="I365" s="68">
        <f>MAX('Max rate concentrations'!$G$3:$G$368)</f>
        <v>45</v>
      </c>
      <c r="J365" s="68">
        <f>MAX('Max rate concentrations'!Z:Z)</f>
        <v>21</v>
      </c>
      <c r="K365" s="69">
        <f t="shared" si="28"/>
        <v>11.808797935846052</v>
      </c>
      <c r="L365" s="69">
        <f t="shared" si="33"/>
        <v>5.510772370061491</v>
      </c>
      <c r="M365" s="69">
        <f>IF((((1.18*F365^0.874)-(0.301*F365^0.751)/(1-H365)*H365)*(MAX('Max rate concentrations'!$P$3:$P$368)))/F365&gt;0, (((1.18*F365^0.874)-(0.301*F365^0.751)/(1-H365)*H365)*(MAX('Max rate concentrations'!$P$3:$P$368)))/F365, 0)</f>
        <v>0.65579891306075755</v>
      </c>
      <c r="N365" s="69">
        <f>IF((((1.18*F365^0.874)-(0.301*F365^0.751)/(1-H365)*H365)*(MAX('Max rate concentrations'!$Q$3:$Q$368)))/F365&gt;0, (((1.18*F365^0.874)-(0.301*F365^0.751)/(1-H365)*H365)*(MAX('Max rate concentrations'!$Q$3:$Q$368)))/F365, 0)</f>
        <v>2.4973174981160682</v>
      </c>
      <c r="O365" s="69">
        <f>((MAX('Max rate concentrations'!$F$3:$F$368))*0.62*6.01*8*(10*F365^0.667)*0.079*0.1/F365)*inputs!$E$80/(10^(0.84+0.62*LOG10(inputs!$E$80)))</f>
        <v>46.88846735586894</v>
      </c>
      <c r="P365" s="69">
        <f>((MAX('Max rate concentrations'!Y:Y))*0.62*6.01*8*(10*F365^0.667)*0.079*0.1/F365)*inputs!$E$80/(10^(0.84+0.62*LOG10(inputs!$E$80)))</f>
        <v>15.629489118622981</v>
      </c>
      <c r="Q365" s="69">
        <f>(inputs!$C$18*11.2*(10*F365^0.667)*0.5/F365)*inputs!$E$80/(10^(0.84+0.62*LOG10(inputs!$E$80)))</f>
        <v>8.2591823716186514</v>
      </c>
      <c r="R365" s="59">
        <f>(60*284*((F365/1000)^0.77)*3*24*(MAX('Max rate concentrations'!$R$3:$R$368))/F365)*(inputs!$E$73*3.4/inputs!$E$75)</f>
        <v>6.2621013262187039E-2</v>
      </c>
      <c r="S365" s="59">
        <f>(IF(inputs!$C$17="aerial",((0.025*0.112*inputs!$C$18/3.3)*(3*60*284*((F365/1000)^0.77))*MAX(inputs!$I$14:$I$16))/F365,((0.0083*0.112*inputs!$C$18/1)*(3*60*284*((F365/1000)^0.77))*MAX(inputs!$I$14:$I$16))/F365))*(inputs!E$75*3.4/inputs!$E$73)</f>
        <v>0.34535873547013807</v>
      </c>
      <c r="T365" s="63">
        <f>IF((((inputs!$P$13/(V365/MAX(K365:S365)))^(1/inputs!$O$13))-1)/inputs!$N$13&lt;0, 0, IF((((inputs!$P$13/(V365/MAX(K365:S365)))^(1/inputs!$O$13))-1)/inputs!$N$13&lt;inputs!$I$17, (((inputs!$P$13/(V365/MAX(K365:S365)))^(1/inputs!$O$13))-1)/inputs!$N$13, inputs!$I$17))</f>
        <v>1000</v>
      </c>
      <c r="U365" s="63">
        <f>IF((((inputs!$P$13/(X365/MAX(K365:S365)))^(1/inputs!$O$13))-1)/inputs!$N$13&lt;0, 0, IF((((inputs!$P$13/(X365/MAX(K365:S365)))^(1/inputs!$O$13))-1)/inputs!$N$13&lt;inputs!$I$17, (((inputs!$P$13/(X365/MAX(K365:S365)))^(1/inputs!$O$13))-1)/inputs!$N$13, inputs!$I$17))</f>
        <v>27.785907369161201</v>
      </c>
      <c r="V365" s="21">
        <f>inputs!$E$78*(F365/inputs!$F$78)^(inputs!$E$84-1)</f>
        <v>2.9375809005257807E-2</v>
      </c>
      <c r="W365" s="21">
        <f>inputs!$E$85*(F365/inputs!$F$85)^(inputs!$E$84-1)</f>
        <v>1.3565207448733958</v>
      </c>
      <c r="X365" s="21">
        <f>inputs!$E$80*(F365/inputs!$F$80)^(inputs!$E$84-1)</f>
        <v>5.0654888574386288</v>
      </c>
      <c r="Y365" s="21">
        <f>inputs!$E$82*(F365/inputs!$F$82)^(inputs!$E$84-1)</f>
        <v>2.3346037683125944</v>
      </c>
      <c r="Z365" s="63">
        <f t="shared" si="29"/>
        <v>1596.1591848407186</v>
      </c>
      <c r="AA365" s="63">
        <f t="shared" si="30"/>
        <v>34.565241654483543</v>
      </c>
    </row>
    <row r="366" spans="1:27" ht="13.2" x14ac:dyDescent="0.25">
      <c r="A366" s="103" t="s">
        <v>150</v>
      </c>
      <c r="B366" s="20" t="s">
        <v>151</v>
      </c>
      <c r="C366" s="20" t="s">
        <v>73</v>
      </c>
      <c r="D366" s="104" t="s">
        <v>141</v>
      </c>
      <c r="E366" s="15">
        <v>117</v>
      </c>
      <c r="F366" s="15">
        <v>35.5</v>
      </c>
      <c r="G366" s="20" t="s">
        <v>142</v>
      </c>
      <c r="H366" s="20">
        <v>0.69</v>
      </c>
      <c r="I366" s="68">
        <f>MAX('Max rate concentrations'!$H$3:$H$368)</f>
        <v>282</v>
      </c>
      <c r="J366" s="68">
        <f>MAX('Max rate concentrations'!AA:AA)</f>
        <v>195</v>
      </c>
      <c r="K366" s="69">
        <f t="shared" si="28"/>
        <v>211.95137269279297</v>
      </c>
      <c r="L366" s="69">
        <f t="shared" si="33"/>
        <v>146.5621194152292</v>
      </c>
      <c r="M366" s="69">
        <f>IF((((1.18*F366^0.874)-(0.301*F366^0.751)/(1-H366)*H366)*(MAX('Max rate concentrations'!$P$3:$P$368)))/F366&gt;0, (((1.18*F366^0.874)-(0.301*F366^0.751)/(1-H366)*H366)*(MAX('Max rate concentrations'!$P$3:$P$368)))/F366, 0)</f>
        <v>0.41552537762875641</v>
      </c>
      <c r="N366" s="69">
        <f>IF((((1.18*F366^0.874)-(0.301*F366^0.751)/(1-H366)*H366)*(MAX('Max rate concentrations'!$Q$3:$Q$368)))/F366&gt;0, (((1.18*F366^0.874)-(0.301*F366^0.751)/(1-H366)*H366)*(MAX('Max rate concentrations'!$Q$3:$Q$368)))/F366, 0)</f>
        <v>1.5823429648890579</v>
      </c>
      <c r="O366" s="69">
        <f>((MAX('Max rate concentrations'!$F$3:$F$368))*0.62*6.01*8*(10*F366^0.667)*0.079*0.1/F366)*inputs!$E$80/(10^(0.84+0.62*LOG10(inputs!$E$80)))</f>
        <v>44.722635051882278</v>
      </c>
      <c r="P366" s="69">
        <f>((MAX('Max rate concentrations'!Y:Y))*0.62*6.01*8*(10*F366^0.667)*0.079*0.1/F366)*inputs!$E$80/(10^(0.84+0.62*LOG10(inputs!$E$80)))</f>
        <v>14.907545017294096</v>
      </c>
      <c r="Q366" s="69">
        <f>(inputs!$C$18*11.2*(10*F366^0.667)*0.5/F366)*inputs!$E$80/(10^(0.84+0.62*LOG10(inputs!$E$80)))</f>
        <v>7.8776812265885843</v>
      </c>
      <c r="R366" s="59">
        <f>(60*284*((F366/1000)^0.77)*3*24*(MAX('Max rate concentrations'!$R$3:$R$368))/F366)*(inputs!$E$73*3.4/inputs!$E$75)</f>
        <v>6.060859746664117E-2</v>
      </c>
      <c r="S366" s="59">
        <f>(IF(inputs!$C$17="aerial",((0.025*0.112*inputs!$C$18/3.3)*(3*60*284*((F366/1000)^0.77))*MAX(inputs!$I$14:$I$16))/F366,((0.0083*0.112*inputs!$C$18/1)*(3*60*284*((F366/1000)^0.77))*MAX(inputs!$I$14:$I$16))/F366))*(inputs!E$75*3.4/inputs!$E$73)</f>
        <v>0.33426013871827859</v>
      </c>
      <c r="T366" s="63">
        <f>IF((((inputs!$P$13/(V366/MAX(K366:S366)))^(1/inputs!$O$13))-1)/inputs!$N$13&lt;0, 0, IF((((inputs!$P$13/(V366/MAX(K366:S366)))^(1/inputs!$O$13))-1)/inputs!$N$13&lt;inputs!$I$17, (((inputs!$P$13/(V366/MAX(K366:S366)))^(1/inputs!$O$13))-1)/inputs!$N$13, inputs!$I$17))</f>
        <v>1000</v>
      </c>
      <c r="U366" s="63">
        <f>IF((((inputs!$P$13/(X366/MAX(K366:S366)))^(1/inputs!$O$13))-1)/inputs!$N$13&lt;0, 0, IF((((inputs!$P$13/(X366/MAX(K366:S366)))^(1/inputs!$O$13))-1)/inputs!$N$13&lt;inputs!$I$17, (((inputs!$P$13/(X366/MAX(K366:S366)))^(1/inputs!$O$13))-1)/inputs!$N$13, inputs!$I$17))</f>
        <v>111.44258702035295</v>
      </c>
      <c r="V366" s="21">
        <f>inputs!$E$78*(F366/inputs!$F$78)^(inputs!$E$84-1)</f>
        <v>2.7872062701307335E-2</v>
      </c>
      <c r="W366" s="21">
        <f>inputs!$E$85*(F366/inputs!$F$85)^(inputs!$E$84-1)</f>
        <v>1.2870805107007672</v>
      </c>
      <c r="X366" s="21">
        <f>inputs!$E$80*(F366/inputs!$F$80)^(inputs!$E$84-1)</f>
        <v>4.80618671717375</v>
      </c>
      <c r="Y366" s="21">
        <f>inputs!$E$82*(F366/inputs!$F$82)^(inputs!$E$84-1)</f>
        <v>2.215095509419688</v>
      </c>
      <c r="Z366" s="63">
        <f t="shared" si="29"/>
        <v>7604.4379981554584</v>
      </c>
      <c r="AA366" s="63">
        <f t="shared" si="30"/>
        <v>164.67607964741333</v>
      </c>
    </row>
    <row r="367" spans="1:27" ht="13.2" x14ac:dyDescent="0.25">
      <c r="A367" s="103" t="s">
        <v>150</v>
      </c>
      <c r="B367" s="20" t="s">
        <v>151</v>
      </c>
      <c r="C367" s="20" t="s">
        <v>73</v>
      </c>
      <c r="D367" s="104" t="s">
        <v>141</v>
      </c>
      <c r="E367" s="15">
        <v>117</v>
      </c>
      <c r="F367" s="15">
        <v>35.5</v>
      </c>
      <c r="G367" s="20" t="s">
        <v>152</v>
      </c>
      <c r="H367" s="20">
        <v>0.77</v>
      </c>
      <c r="I367" s="68">
        <f>MAX('Max rate concentrations'!$G$3:$G$368)</f>
        <v>45</v>
      </c>
      <c r="J367" s="68">
        <f>MAX('Max rate concentrations'!Z:Z)</f>
        <v>21</v>
      </c>
      <c r="K367" s="69">
        <f t="shared" si="28"/>
        <v>45.586211055572967</v>
      </c>
      <c r="L367" s="69">
        <f t="shared" si="33"/>
        <v>21.273565159267385</v>
      </c>
      <c r="M367" s="69">
        <f>IF((((1.18*F367^0.874)-(0.301*F367^0.751)/(1-H367)*H367)*(MAX('Max rate concentrations'!$P$3:$P$368)))/F367&gt;0, (((1.18*F367^0.874)-(0.301*F367^0.751)/(1-H367)*H367)*(MAX('Max rate concentrations'!$P$3:$P$368)))/F367, 0)</f>
        <v>0.29459859677627703</v>
      </c>
      <c r="N367" s="69">
        <f>IF((((1.18*F367^0.874)-(0.301*F367^0.751)/(1-H367)*H367)*(MAX('Max rate concentrations'!$Q$3:$Q$368)))/F367&gt;0, (((1.18*F367^0.874)-(0.301*F367^0.751)/(1-H367)*H367)*(MAX('Max rate concentrations'!$Q$3:$Q$368)))/F367, 0)</f>
        <v>1.1218472858031041</v>
      </c>
      <c r="O367" s="69">
        <f>((MAX('Max rate concentrations'!$F$3:$F$368))*0.62*6.01*8*(10*F367^0.667)*0.079*0.1/F367)*inputs!$E$80/(10^(0.84+0.62*LOG10(inputs!$E$80)))</f>
        <v>44.722635051882278</v>
      </c>
      <c r="P367" s="69">
        <f>((MAX('Max rate concentrations'!Y:Y))*0.62*6.01*8*(10*F367^0.667)*0.079*0.1/F367)*inputs!$E$80/(10^(0.84+0.62*LOG10(inputs!$E$80)))</f>
        <v>14.907545017294096</v>
      </c>
      <c r="Q367" s="69">
        <f>(inputs!$C$18*11.2*(10*F367^0.667)*0.5/F367)*inputs!$E$80/(10^(0.84+0.62*LOG10(inputs!$E$80)))</f>
        <v>7.8776812265885843</v>
      </c>
      <c r="R367" s="59">
        <f>(60*284*((F367/1000)^0.77)*3*24*(MAX('Max rate concentrations'!$R$3:$R$368))/F367)*(inputs!$E$73*3.4/inputs!$E$75)</f>
        <v>6.060859746664117E-2</v>
      </c>
      <c r="S367" s="59">
        <f>(IF(inputs!$C$17="aerial",((0.025*0.112*inputs!$C$18/3.3)*(3*60*284*((F367/1000)^0.77))*MAX(inputs!$I$14:$I$16))/F367,((0.0083*0.112*inputs!$C$18/1)*(3*60*284*((F367/1000)^0.77))*MAX(inputs!$I$14:$I$16))/F367))*(inputs!E$75*3.4/inputs!$E$73)</f>
        <v>0.33426013871827859</v>
      </c>
      <c r="T367" s="63">
        <f>IF((((inputs!$P$13/(V367/MAX(K367:S367)))^(1/inputs!$O$13))-1)/inputs!$N$13&lt;0, 0, IF((((inputs!$P$13/(V367/MAX(K367:S367)))^(1/inputs!$O$13))-1)/inputs!$N$13&lt;inputs!$I$17, (((inputs!$P$13/(V367/MAX(K367:S367)))^(1/inputs!$O$13))-1)/inputs!$N$13, inputs!$I$17))</f>
        <v>1000</v>
      </c>
      <c r="U367" s="63">
        <f>IF((((inputs!$P$13/(X367/MAX(K367:S367)))^(1/inputs!$O$13))-1)/inputs!$N$13&lt;0, 0, IF((((inputs!$P$13/(X367/MAX(K367:S367)))^(1/inputs!$O$13))-1)/inputs!$N$13&lt;inputs!$I$17, (((inputs!$P$13/(X367/MAX(K367:S367)))^(1/inputs!$O$13))-1)/inputs!$N$13, inputs!$I$17))</f>
        <v>28.443239864592659</v>
      </c>
      <c r="V367" s="21">
        <f>inputs!$E$78*(F367/inputs!$F$78)^(inputs!$E$84-1)</f>
        <v>2.7872062701307335E-2</v>
      </c>
      <c r="W367" s="21">
        <f>inputs!$E$85*(F367/inputs!$F$85)^(inputs!$E$84-1)</f>
        <v>1.2870805107007672</v>
      </c>
      <c r="X367" s="21">
        <f>inputs!$E$80*(F367/inputs!$F$80)^(inputs!$E$84-1)</f>
        <v>4.80618671717375</v>
      </c>
      <c r="Y367" s="21">
        <f>inputs!$E$82*(F367/inputs!$F$82)^(inputs!$E$84-1)</f>
        <v>2.215095509419688</v>
      </c>
      <c r="Z367" s="63">
        <f t="shared" si="29"/>
        <v>1635.5521133868126</v>
      </c>
      <c r="AA367" s="63">
        <f t="shared" si="30"/>
        <v>35.418305752103244</v>
      </c>
    </row>
    <row r="368" spans="1:27" ht="13.2" x14ac:dyDescent="0.25">
      <c r="A368" s="103" t="s">
        <v>150</v>
      </c>
      <c r="B368" s="20" t="s">
        <v>151</v>
      </c>
      <c r="C368" s="20" t="s">
        <v>73</v>
      </c>
      <c r="D368" s="104" t="s">
        <v>141</v>
      </c>
      <c r="E368" s="15">
        <v>117</v>
      </c>
      <c r="F368" s="15">
        <v>35.5</v>
      </c>
      <c r="G368" s="20" t="s">
        <v>153</v>
      </c>
      <c r="H368" s="20">
        <v>0.7</v>
      </c>
      <c r="I368" s="68">
        <f>MAX('Max rate concentrations'!$E$3:$E$368)</f>
        <v>330</v>
      </c>
      <c r="J368" s="68">
        <f>MAX('Max rate concentrations'!X:X)</f>
        <v>108</v>
      </c>
      <c r="K368" s="69">
        <f t="shared" si="28"/>
        <v>256.29580882355464</v>
      </c>
      <c r="L368" s="69">
        <f t="shared" si="33"/>
        <v>83.878628342254245</v>
      </c>
      <c r="M368" s="69">
        <f>IF((((1.18*F368^0.874)-(0.301*F368^0.751)/(1-H368)*H368)*(MAX('Max rate concentrations'!$P$3:$P$368)))/F368&gt;0, (((1.18*F368^0.874)-(0.301*F368^0.751)/(1-H368)*H368)*(MAX('Max rate concentrations'!$P$3:$P$368)))/F368, 0)</f>
        <v>0.40393656113039383</v>
      </c>
      <c r="N368" s="69">
        <f>IF((((1.18*F368^0.874)-(0.301*F368^0.751)/(1-H368)*H368)*(MAX('Max rate concentrations'!$Q$3:$Q$368)))/F368&gt;0, (((1.18*F368^0.874)-(0.301*F368^0.751)/(1-H368)*H368)*(MAX('Max rate concentrations'!$Q$3:$Q$368)))/F368, 0)</f>
        <v>1.5382121289766542</v>
      </c>
      <c r="O368" s="69">
        <f>((MAX('Max rate concentrations'!$F$3:$F$368))*0.62*6.01*8*(10*F368^0.667)*0.079*0.1/F368)*inputs!$E$80/(10^(0.84+0.62*LOG10(inputs!$E$80)))</f>
        <v>44.722635051882278</v>
      </c>
      <c r="P368" s="69">
        <f>((MAX('Max rate concentrations'!Y:Y))*0.62*6.01*8*(10*F368^0.667)*0.079*0.1/F368)*inputs!$E$80/(10^(0.84+0.62*LOG10(inputs!$E$80)))</f>
        <v>14.907545017294096</v>
      </c>
      <c r="Q368" s="69">
        <f>(inputs!$C$18*11.2*(10*F368^0.667)*0.5/F368)*inputs!$E$80/(10^(0.84+0.62*LOG10(inputs!$E$80)))</f>
        <v>7.8776812265885843</v>
      </c>
      <c r="R368" s="59">
        <f>(60*284*((F368/1000)^0.77)*3*24*(MAX('Max rate concentrations'!$R$3:$R$368))/F368)*(inputs!$E$73*3.4/inputs!$E$75)</f>
        <v>6.060859746664117E-2</v>
      </c>
      <c r="S368" s="59">
        <f>(IF(inputs!$C$17="aerial",((0.025*0.112*inputs!$C$18/3.3)*(3*60*284*((F368/1000)^0.77))*MAX(inputs!$I$14:$I$16))/F368,((0.0083*0.112*inputs!$C$18/1)*(3*60*284*((F368/1000)^0.77))*MAX(inputs!$I$14:$I$16))/F368))*(inputs!E$75*3.4/inputs!$E$73)</f>
        <v>0.33426013871827859</v>
      </c>
      <c r="T368" s="63">
        <f>IF((((inputs!$P$13/(V368/MAX(K368:S368)))^(1/inputs!$O$13))-1)/inputs!$N$13&lt;0, 0, IF((((inputs!$P$13/(V368/MAX(K368:S368)))^(1/inputs!$O$13))-1)/inputs!$N$13&lt;inputs!$I$17, (((inputs!$P$13/(V368/MAX(K368:S368)))^(1/inputs!$O$13))-1)/inputs!$N$13, inputs!$I$17))</f>
        <v>1000</v>
      </c>
      <c r="U368" s="63">
        <f>IF((((inputs!$P$13/(X368/MAX(K368:S368)))^(1/inputs!$O$13))-1)/inputs!$N$13&lt;0, 0, IF((((inputs!$P$13/(X368/MAX(K368:S368)))^(1/inputs!$O$13))-1)/inputs!$N$13&lt;inputs!$I$17, (((inputs!$P$13/(X368/MAX(K368:S368)))^(1/inputs!$O$13))-1)/inputs!$N$13, inputs!$I$17))</f>
        <v>130.81634983966021</v>
      </c>
      <c r="V368" s="21">
        <f>inputs!$E$78*(F368/inputs!$F$78)^(inputs!$E$84-1)</f>
        <v>2.7872062701307335E-2</v>
      </c>
      <c r="W368" s="21">
        <f>inputs!$E$85*(F368/inputs!$F$85)^(inputs!$E$84-1)</f>
        <v>1.2870805107007672</v>
      </c>
      <c r="X368" s="21">
        <f>inputs!$E$80*(F368/inputs!$F$80)^(inputs!$E$84-1)</f>
        <v>4.80618671717375</v>
      </c>
      <c r="Y368" s="21">
        <f>inputs!$E$82*(F368/inputs!$F$82)^(inputs!$E$84-1)</f>
        <v>2.215095509419688</v>
      </c>
      <c r="Z368" s="63">
        <f t="shared" si="29"/>
        <v>9195.4374374858562</v>
      </c>
      <c r="AA368" s="63">
        <f t="shared" si="30"/>
        <v>199.129585672936</v>
      </c>
    </row>
    <row r="369" spans="1:27" ht="13.2" x14ac:dyDescent="0.25">
      <c r="A369" s="103" t="s">
        <v>150</v>
      </c>
      <c r="B369" s="20" t="s">
        <v>151</v>
      </c>
      <c r="C369" s="20" t="s">
        <v>73</v>
      </c>
      <c r="D369" s="104" t="s">
        <v>141</v>
      </c>
      <c r="E369" s="15">
        <v>117</v>
      </c>
      <c r="F369" s="15">
        <v>35.5</v>
      </c>
      <c r="G369" s="20" t="s">
        <v>154</v>
      </c>
      <c r="H369" s="20">
        <v>9.2999999999999999E-2</v>
      </c>
      <c r="I369" s="68">
        <f>MAX('Max rate concentrations'!$G$3:$G$368)</f>
        <v>45</v>
      </c>
      <c r="J369" s="68">
        <f>MAX('Max rate concentrations'!Z:Z)</f>
        <v>21</v>
      </c>
      <c r="K369" s="69">
        <f t="shared" si="28"/>
        <v>11.559899165139781</v>
      </c>
      <c r="L369" s="69">
        <f t="shared" si="33"/>
        <v>5.3946196103985642</v>
      </c>
      <c r="M369" s="69">
        <f>IF((((1.18*F369^0.874)-(0.301*F369^0.751)/(1-H369)*H369)*(MAX('Max rate concentrations'!$P$3:$P$368)))/F369&gt;0, (((1.18*F369^0.874)-(0.301*F369^0.751)/(1-H369)*H369)*(MAX('Max rate concentrations'!$P$3:$P$368)))/F369, 0)</f>
        <v>0.64436297794372221</v>
      </c>
      <c r="N369" s="69">
        <f>IF((((1.18*F369^0.874)-(0.301*F369^0.751)/(1-H369)*H369)*(MAX('Max rate concentrations'!$Q$3:$Q$368)))/F369&gt;0, (((1.18*F369^0.874)-(0.301*F369^0.751)/(1-H369)*H369)*(MAX('Max rate concentrations'!$Q$3:$Q$368)))/F369, 0)</f>
        <v>2.4537688427183326</v>
      </c>
      <c r="O369" s="69">
        <f>((MAX('Max rate concentrations'!$F$3:$F$368))*0.62*6.01*8*(10*F369^0.667)*0.079*0.1/F369)*inputs!$E$80/(10^(0.84+0.62*LOG10(inputs!$E$80)))</f>
        <v>44.722635051882278</v>
      </c>
      <c r="P369" s="69">
        <f>((MAX('Max rate concentrations'!Y:Y))*0.62*6.01*8*(10*F369^0.667)*0.079*0.1/F369)*inputs!$E$80/(10^(0.84+0.62*LOG10(inputs!$E$80)))</f>
        <v>14.907545017294096</v>
      </c>
      <c r="Q369" s="69">
        <f>(inputs!$C$18*11.2*(10*F369^0.667)*0.5/F369)*inputs!$E$80/(10^(0.84+0.62*LOG10(inputs!$E$80)))</f>
        <v>7.8776812265885843</v>
      </c>
      <c r="R369" s="59">
        <f>(60*284*((F369/1000)^0.77)*3*24*(MAX('Max rate concentrations'!$R$3:$R$368))/F369)*(inputs!$E$73*3.4/inputs!$E$75)</f>
        <v>6.060859746664117E-2</v>
      </c>
      <c r="S369" s="59">
        <f>(IF(inputs!$C$17="aerial",((0.025*0.112*inputs!$C$18/3.3)*(3*60*284*((F369/1000)^0.77))*MAX(inputs!$I$14:$I$16))/F369,((0.0083*0.112*inputs!$C$18/1)*(3*60*284*((F369/1000)^0.77))*MAX(inputs!$I$14:$I$16))/F369))*(inputs!E$75*3.4/inputs!$E$73)</f>
        <v>0.33426013871827859</v>
      </c>
      <c r="T369" s="63">
        <f>IF((((inputs!$P$13/(V369/MAX(K369:S369)))^(1/inputs!$O$13))-1)/inputs!$N$13&lt;0, 0, IF((((inputs!$P$13/(V369/MAX(K369:S369)))^(1/inputs!$O$13))-1)/inputs!$N$13&lt;inputs!$I$17, (((inputs!$P$13/(V369/MAX(K369:S369)))^(1/inputs!$O$13))-1)/inputs!$N$13, inputs!$I$17))</f>
        <v>1000</v>
      </c>
      <c r="U369" s="63">
        <f>IF((((inputs!$P$13/(X369/MAX(K369:S369)))^(1/inputs!$O$13))-1)/inputs!$N$13&lt;0, 0, IF((((inputs!$P$13/(X369/MAX(K369:S369)))^(1/inputs!$O$13))-1)/inputs!$N$13&lt;inputs!$I$17, (((inputs!$P$13/(X369/MAX(K369:S369)))^(1/inputs!$O$13))-1)/inputs!$N$13, inputs!$I$17))</f>
        <v>27.926488769623351</v>
      </c>
      <c r="V369" s="21">
        <f>inputs!$E$78*(F369/inputs!$F$78)^(inputs!$E$84-1)</f>
        <v>2.7872062701307335E-2</v>
      </c>
      <c r="W369" s="21">
        <f>inputs!$E$85*(F369/inputs!$F$85)^(inputs!$E$84-1)</f>
        <v>1.2870805107007672</v>
      </c>
      <c r="X369" s="21">
        <f>inputs!$E$80*(F369/inputs!$F$80)^(inputs!$E$84-1)</f>
        <v>4.80618671717375</v>
      </c>
      <c r="Y369" s="21">
        <f>inputs!$E$82*(F369/inputs!$F$82)^(inputs!$E$84-1)</f>
        <v>2.215095509419688</v>
      </c>
      <c r="Z369" s="63">
        <f t="shared" si="29"/>
        <v>1604.5685434607094</v>
      </c>
      <c r="AA369" s="63">
        <f t="shared" si="30"/>
        <v>34.747348499226732</v>
      </c>
    </row>
    <row r="370" spans="1:27" ht="13.2" x14ac:dyDescent="0.25">
      <c r="A370" s="103" t="s">
        <v>196</v>
      </c>
      <c r="B370" s="20" t="s">
        <v>197</v>
      </c>
      <c r="C370" s="20" t="s">
        <v>73</v>
      </c>
      <c r="D370" s="104" t="s">
        <v>198</v>
      </c>
      <c r="E370" s="15">
        <v>95</v>
      </c>
      <c r="F370" s="15">
        <v>454</v>
      </c>
      <c r="G370" s="20" t="s">
        <v>142</v>
      </c>
      <c r="H370" s="20">
        <v>0.69</v>
      </c>
      <c r="I370" s="68">
        <f>MAX('Max rate concentrations'!$H$3:$H$368)</f>
        <v>282</v>
      </c>
      <c r="J370" s="68">
        <f>MAX('Max rate concentrations'!AA:AA)</f>
        <v>195</v>
      </c>
      <c r="K370" s="69">
        <f t="shared" ref="K370:K395" si="34">((0.301*F370^0.751)/(1-H370))*I370/F370</f>
        <v>59.682499450737929</v>
      </c>
      <c r="L370" s="69">
        <f t="shared" ref="L370:L395" si="35">((0.301*F370^0.751)/(1-H370))*J370/F370</f>
        <v>41.269813449978358</v>
      </c>
      <c r="M370" s="69">
        <f>IF((((1.18*F370^0.874)/3.7-(0.301*F370^0.751)/(1-H370)*H370)*(MAX('Max rate concentrations'!$P$3:$P$368)))/F370&gt;0, (((1.18*F370^0.874)/3.7-(0.301*F370^0.751)/(1-H370)*H370)*(MAX('Max rate concentrations'!$P$3:$P$368)))/F370, 0)</f>
        <v>1.3081231134082006E-3</v>
      </c>
      <c r="N370" s="69">
        <f>IF((((1.18*F370^0.874)/3.7-(0.301*F370^0.751)/(1-H370)*H370)*(MAX('Max rate concentrations'!$Q$3:$Q$368)))/F370&gt;0, (((1.18*F370^0.874)/3.7-(0.301*F370^0.751)/(1-H370)*H370)*(MAX('Max rate concentrations'!$Q$3:$Q$368)))/F370, 0)</f>
        <v>4.9814031035176655E-3</v>
      </c>
      <c r="O370" s="69">
        <f>((MAX('Max rate concentrations'!$F$3:$F$368))*0.62*6.01*8*(10*F370^0.667)*0.079*0.1/F370)*inputs!$E$80/(10^(0.84+0.62*LOG10(inputs!$E$80)))</f>
        <v>19.14052416391079</v>
      </c>
      <c r="P370" s="69">
        <f>((MAX('Max rate concentrations'!Y:Y))*0.62*6.01*8*(10*F370^0.667)*0.079*0.1/F370)*inputs!$E$80/(10^(0.84+0.62*LOG10(inputs!$E$80)))</f>
        <v>6.3801747213035949</v>
      </c>
      <c r="Q370" s="69">
        <f>(inputs!$C$18*11.2*(10*F370^0.667)*0.5/F370)*inputs!$E$80/(10^(0.84+0.62*LOG10(inputs!$E$80)))</f>
        <v>3.3715130536960398</v>
      </c>
      <c r="R370" s="59">
        <f>(60*284*((F370/1000)^0.77)*3*24*(MAX('Max rate concentrations'!$R$3:$R$368))/F370)*(inputs!$E$73*3.4/inputs!$E$75)</f>
        <v>3.3725928055515997E-2</v>
      </c>
      <c r="S370" s="59">
        <f>(IF(inputs!$C$17="aerial",((0.025*0.112*inputs!$C$18/3.3)*(3*60*284*((F370/1000)^0.77))*MAX(inputs!$I$14:$I$16))/F370,((0.0083*0.112*inputs!$C$18/1)*(3*60*284*((F370/1000)^0.77))*MAX(inputs!$I$14:$I$16))/F370))*(inputs!E$75*3.4/inputs!$E$73)</f>
        <v>0.18600056529016737</v>
      </c>
      <c r="T370" s="63">
        <f>IF((((inputs!$P$13/(V370/MAX(K370:S370)))^(1/inputs!$O$13))-1)/inputs!$N$13&lt;0, 0, IF((((inputs!$P$13/(V370/MAX(K370:S370)))^(1/inputs!$O$13))-1)/inputs!$N$13&lt;inputs!$I$17, (((inputs!$P$13/(V370/MAX(K370:S370)))^(1/inputs!$O$13))-1)/inputs!$N$13, inputs!$I$17))</f>
        <v>1000</v>
      </c>
      <c r="U370" s="63">
        <f>IF((((inputs!$P$13/(X370/MAX(K370:S370)))^(1/inputs!$O$13))-1)/inputs!$N$13&lt;0, 0, IF((((inputs!$P$13/(X370/MAX(K370:S370)))^(1/inputs!$O$13))-1)/inputs!$N$13&lt;inputs!$I$17, (((inputs!$P$13/(X370/MAX(K370:S370)))^(1/inputs!$O$13))-1)/inputs!$N$13, inputs!$I$17))</f>
        <v>84.525312390690615</v>
      </c>
      <c r="V370" s="21">
        <f>inputs!$E$78*(F370/inputs!$F$78)^(inputs!$E$84-1)</f>
        <v>1.0855327623785738E-2</v>
      </c>
      <c r="W370" s="21">
        <f>inputs!$E$85*(F370/inputs!$F$85)^(inputs!$E$84-1)</f>
        <v>0.50127903239794858</v>
      </c>
      <c r="X370" s="21">
        <f>inputs!$E$80*(F370/inputs!$F$80)^(inputs!$E$84-1)</f>
        <v>1.8718647412328457</v>
      </c>
      <c r="Y370" s="21">
        <f>inputs!$E$82*(F370/inputs!$F$82)^(inputs!$E$84-1)</f>
        <v>0.86271287957455089</v>
      </c>
      <c r="Z370" s="63">
        <f t="shared" si="29"/>
        <v>5497.9915410350341</v>
      </c>
      <c r="AA370" s="63">
        <f t="shared" si="30"/>
        <v>119.06043459515378</v>
      </c>
    </row>
    <row r="371" spans="1:27" ht="13.2" x14ac:dyDescent="0.25">
      <c r="A371" s="103" t="s">
        <v>196</v>
      </c>
      <c r="B371" s="20" t="s">
        <v>197</v>
      </c>
      <c r="C371" s="20" t="s">
        <v>73</v>
      </c>
      <c r="D371" s="104" t="s">
        <v>198</v>
      </c>
      <c r="E371" s="15">
        <v>95</v>
      </c>
      <c r="F371" s="15">
        <v>454</v>
      </c>
      <c r="G371" s="20" t="s">
        <v>152</v>
      </c>
      <c r="H371" s="20">
        <v>0.77</v>
      </c>
      <c r="I371" s="68">
        <f>MAX('Max rate concentrations'!$G$3:$G$368)</f>
        <v>45</v>
      </c>
      <c r="J371" s="68">
        <f>MAX('Max rate concentrations'!Z:Z)</f>
        <v>21</v>
      </c>
      <c r="K371" s="69">
        <f t="shared" si="34"/>
        <v>12.83643027039461</v>
      </c>
      <c r="L371" s="69">
        <f t="shared" si="35"/>
        <v>5.9903341261841518</v>
      </c>
      <c r="M371" s="69">
        <f>IF((((1.18*F371^0.874)/3.7-(0.301*F371^0.751)/(1-H371)*H371)*(MAX('Max rate concentrations'!$P$3:$P$368)))/F371&gt;0, (((1.18*F371^0.874)/3.7-(0.301*F371^0.751)/(1-H371)*H371)*(MAX('Max rate concentrations'!$P$3:$P$368)))/F371, 0)</f>
        <v>0</v>
      </c>
      <c r="N371" s="69">
        <f>IF((((1.18*F371^0.874)/3.7-(0.301*F371^0.751)/(1-H371)*H371)*(MAX('Max rate concentrations'!$Q$3:$Q$368)))/F371&gt;0, (((1.18*F371^0.874)/3.7-(0.301*F371^0.751)/(1-H371)*H371)*(MAX('Max rate concentrations'!$Q$3:$Q$368)))/F371, 0)</f>
        <v>0</v>
      </c>
      <c r="O371" s="69">
        <f>((MAX('Max rate concentrations'!$F$3:$F$368))*0.62*6.01*8*(10*F371^0.667)*0.079*0.1/F371)*inputs!$E$80/(10^(0.84+0.62*LOG10(inputs!$E$80)))</f>
        <v>19.14052416391079</v>
      </c>
      <c r="P371" s="69">
        <f>((MAX('Max rate concentrations'!Y:Y))*0.62*6.01*8*(10*F371^0.667)*0.079*0.1/F371)*inputs!$E$80/(10^(0.84+0.62*LOG10(inputs!$E$80)))</f>
        <v>6.3801747213035949</v>
      </c>
      <c r="Q371" s="69">
        <f>(inputs!$C$18*11.2*(10*F371^0.667)*0.5/F371)*inputs!$E$80/(10^(0.84+0.62*LOG10(inputs!$E$80)))</f>
        <v>3.3715130536960398</v>
      </c>
      <c r="R371" s="59">
        <f>(60*284*((F371/1000)^0.77)*3*24*(MAX('Max rate concentrations'!$R$3:$R$368))/F371)*(inputs!$E$73*3.4/inputs!$E$75)</f>
        <v>3.3725928055515997E-2</v>
      </c>
      <c r="S371" s="59">
        <f>(IF(inputs!$C$17="aerial",((0.025*0.112*inputs!$C$18/3.3)*(3*60*284*((F371/1000)^0.77))*MAX(inputs!$I$14:$I$16))/F371,((0.0083*0.112*inputs!$C$18/1)*(3*60*284*((F371/1000)^0.77))*MAX(inputs!$I$14:$I$16))/F371))*(inputs!E$75*3.4/inputs!$E$73)</f>
        <v>0.18600056529016737</v>
      </c>
      <c r="T371" s="63">
        <f>IF((((inputs!$P$13/(V371/MAX(K371:S371)))^(1/inputs!$O$13))-1)/inputs!$N$13&lt;0, 0, IF((((inputs!$P$13/(V371/MAX(K371:S371)))^(1/inputs!$O$13))-1)/inputs!$N$13&lt;inputs!$I$17, (((inputs!$P$13/(V371/MAX(K371:S371)))^(1/inputs!$O$13))-1)/inputs!$N$13, inputs!$I$17))</f>
        <v>1000</v>
      </c>
      <c r="U371" s="63">
        <f>IF((((inputs!$P$13/(X371/MAX(K371:S371)))^(1/inputs!$O$13))-1)/inputs!$N$13&lt;0, 0, IF((((inputs!$P$13/(X371/MAX(K371:S371)))^(1/inputs!$O$13))-1)/inputs!$N$13&lt;inputs!$I$17, (((inputs!$P$13/(X371/MAX(K371:S371)))^(1/inputs!$O$13))-1)/inputs!$N$13, inputs!$I$17))</f>
        <v>30.553526128826761</v>
      </c>
      <c r="V371" s="21">
        <f>inputs!$E$78*(F371/inputs!$F$78)^(inputs!$E$84-1)</f>
        <v>1.0855327623785738E-2</v>
      </c>
      <c r="W371" s="21">
        <f>inputs!$E$85*(F371/inputs!$F$85)^(inputs!$E$84-1)</f>
        <v>0.50127903239794858</v>
      </c>
      <c r="X371" s="21">
        <f>inputs!$E$80*(F371/inputs!$F$80)^(inputs!$E$84-1)</f>
        <v>1.8718647412328457</v>
      </c>
      <c r="Y371" s="21">
        <f>inputs!$E$82*(F371/inputs!$F$82)^(inputs!$E$84-1)</f>
        <v>0.86271287957455089</v>
      </c>
      <c r="Z371" s="63">
        <f t="shared" si="29"/>
        <v>1763.2378153166817</v>
      </c>
      <c r="AA371" s="63">
        <f t="shared" si="30"/>
        <v>38.183372786108819</v>
      </c>
    </row>
    <row r="372" spans="1:27" ht="13.2" x14ac:dyDescent="0.25">
      <c r="A372" s="103" t="s">
        <v>196</v>
      </c>
      <c r="B372" s="20" t="s">
        <v>197</v>
      </c>
      <c r="C372" s="20" t="s">
        <v>73</v>
      </c>
      <c r="D372" s="104" t="s">
        <v>198</v>
      </c>
      <c r="E372" s="15">
        <v>95</v>
      </c>
      <c r="F372" s="15">
        <v>454</v>
      </c>
      <c r="G372" s="20" t="s">
        <v>154</v>
      </c>
      <c r="H372" s="20">
        <v>9.2999999999999999E-2</v>
      </c>
      <c r="I372" s="68">
        <f>MAX('Max rate concentrations'!$G$3:$G$368)</f>
        <v>45</v>
      </c>
      <c r="J372" s="68">
        <f>MAX('Max rate concentrations'!Z:Z)</f>
        <v>21</v>
      </c>
      <c r="K372" s="69">
        <f t="shared" si="34"/>
        <v>3.2551035966822046</v>
      </c>
      <c r="L372" s="69">
        <f t="shared" si="35"/>
        <v>1.5190483451183623</v>
      </c>
      <c r="M372" s="69">
        <f>IF((((1.18*F372^0.874)/3.7-(0.301*F372^0.751)/(1-H372)*H372)*(MAX('Max rate concentrations'!$P$3:$P$368)))/F372&gt;0, (((1.18*F372^0.874)/3.7-(0.301*F372^0.751)/(1-H372)*H372)*(MAX('Max rate concentrations'!$P$3:$P$368)))/F372, 0)</f>
        <v>0.12262670844988885</v>
      </c>
      <c r="N372" s="69">
        <f>IF((((1.18*F372^0.874)/3.7-(0.301*F372^0.751)/(1-H372)*H372)*(MAX('Max rate concentrations'!$Q$3:$Q$368)))/F372&gt;0, (((1.18*F372^0.874)/3.7-(0.301*F372^0.751)/(1-H372)*H372)*(MAX('Max rate concentrations'!$Q$3:$Q$368)))/F372, 0)</f>
        <v>0.46696909471686343</v>
      </c>
      <c r="O372" s="69">
        <f>((MAX('Max rate concentrations'!$F$3:$F$368))*0.62*6.01*8*(10*F372^0.667)*0.079*0.1/F372)*inputs!$E$80/(10^(0.84+0.62*LOG10(inputs!$E$80)))</f>
        <v>19.14052416391079</v>
      </c>
      <c r="P372" s="69">
        <f>((MAX('Max rate concentrations'!Y:Y))*0.62*6.01*8*(10*F372^0.667)*0.079*0.1/F372)*inputs!$E$80/(10^(0.84+0.62*LOG10(inputs!$E$80)))</f>
        <v>6.3801747213035949</v>
      </c>
      <c r="Q372" s="69">
        <f>(inputs!$C$18*11.2*(10*F372^0.667)*0.5/F372)*inputs!$E$80/(10^(0.84+0.62*LOG10(inputs!$E$80)))</f>
        <v>3.3715130536960398</v>
      </c>
      <c r="R372" s="59">
        <f>(60*284*((F372/1000)^0.77)*3*24*(MAX('Max rate concentrations'!$R$3:$R$368))/F372)*(inputs!$E$73*3.4/inputs!$E$75)</f>
        <v>3.3725928055515997E-2</v>
      </c>
      <c r="S372" s="59">
        <f>(IF(inputs!$C$17="aerial",((0.025*0.112*inputs!$C$18/3.3)*(3*60*284*((F372/1000)^0.77))*MAX(inputs!$I$14:$I$16))/F372,((0.0083*0.112*inputs!$C$18/1)*(3*60*284*((F372/1000)^0.77))*MAX(inputs!$I$14:$I$16))/F372))*(inputs!E$75*3.4/inputs!$E$73)</f>
        <v>0.18600056529016737</v>
      </c>
      <c r="T372" s="63">
        <f>IF((((inputs!$P$13/(V372/MAX(K372:S372)))^(1/inputs!$O$13))-1)/inputs!$N$13&lt;0, 0, IF((((inputs!$P$13/(V372/MAX(K372:S372)))^(1/inputs!$O$13))-1)/inputs!$N$13&lt;inputs!$I$17, (((inputs!$P$13/(V372/MAX(K372:S372)))^(1/inputs!$O$13))-1)/inputs!$N$13, inputs!$I$17))</f>
        <v>1000</v>
      </c>
      <c r="U372" s="63">
        <f>IF((((inputs!$P$13/(X372/MAX(K372:S372)))^(1/inputs!$O$13))-1)/inputs!$N$13&lt;0, 0, IF((((inputs!$P$13/(X372/MAX(K372:S372)))^(1/inputs!$O$13))-1)/inputs!$N$13&lt;inputs!$I$17, (((inputs!$P$13/(X372/MAX(K372:S372)))^(1/inputs!$O$13))-1)/inputs!$N$13, inputs!$I$17))</f>
        <v>30.553526128826761</v>
      </c>
      <c r="V372" s="21">
        <f>inputs!$E$78*(F372/inputs!$F$78)^(inputs!$E$84-1)</f>
        <v>1.0855327623785738E-2</v>
      </c>
      <c r="W372" s="21">
        <f>inputs!$E$85*(F372/inputs!$F$85)^(inputs!$E$84-1)</f>
        <v>0.50127903239794858</v>
      </c>
      <c r="X372" s="21">
        <f>inputs!$E$80*(F372/inputs!$F$80)^(inputs!$E$84-1)</f>
        <v>1.8718647412328457</v>
      </c>
      <c r="Y372" s="21">
        <f>inputs!$E$82*(F372/inputs!$F$82)^(inputs!$E$84-1)</f>
        <v>0.86271287957455089</v>
      </c>
      <c r="Z372" s="63">
        <f t="shared" si="29"/>
        <v>1763.2378153166817</v>
      </c>
      <c r="AA372" s="63">
        <f t="shared" si="30"/>
        <v>38.183372786108819</v>
      </c>
    </row>
    <row r="373" spans="1:27" ht="13.2" x14ac:dyDescent="0.25">
      <c r="A373" s="103" t="s">
        <v>309</v>
      </c>
      <c r="B373" s="20" t="s">
        <v>310</v>
      </c>
      <c r="C373" s="20" t="s">
        <v>73</v>
      </c>
      <c r="D373" s="104" t="s">
        <v>198</v>
      </c>
      <c r="E373" s="15">
        <v>107</v>
      </c>
      <c r="F373" s="15">
        <v>40</v>
      </c>
      <c r="G373" s="20" t="s">
        <v>142</v>
      </c>
      <c r="H373" s="20">
        <v>0.69</v>
      </c>
      <c r="I373" s="68">
        <f>MAX('Max rate concentrations'!$H$3:$H$368)</f>
        <v>282</v>
      </c>
      <c r="J373" s="68">
        <f>MAX('Max rate concentrations'!AA:AA)</f>
        <v>195</v>
      </c>
      <c r="K373" s="69">
        <f t="shared" si="34"/>
        <v>109.28007194024399</v>
      </c>
      <c r="L373" s="69">
        <f t="shared" si="35"/>
        <v>75.566007192721898</v>
      </c>
      <c r="M373" s="69">
        <f>IF((((1.18*F373^0.874)/3.7-(0.301*F373^0.751)/(1-H373)*H373)*(MAX('Max rate concentrations'!$P$3:$P$368)))/F373&gt;0, (((1.18*F373^0.874)/3.7-(0.301*F373^0.751)/(1-H373)*H373)*(MAX('Max rate concentrations'!$P$3:$P$368)))/F373, 0)</f>
        <v>0</v>
      </c>
      <c r="N373" s="69">
        <f>IF((((1.18*F373^0.874)/3.7-(0.301*F373^0.751)/(1-H373)*H373)*(MAX('Max rate concentrations'!$Q$3:$Q$368)))/F373&gt;0, (((1.18*F373^0.874)/3.7-(0.301*F373^0.751)/(1-H373)*H373)*(MAX('Max rate concentrations'!$Q$3:$Q$368)))/F373, 0)</f>
        <v>0</v>
      </c>
      <c r="O373" s="69">
        <f>((MAX('Max rate concentrations'!$F$3:$F$368))*0.62*6.01*8*(10*F373^0.667)*0.079*0.1/F373)*inputs!$E$80/(10^(0.84+0.62*LOG10(inputs!$E$80)))</f>
        <v>42.980102677088347</v>
      </c>
      <c r="P373" s="69">
        <f>((MAX('Max rate concentrations'!Y:Y))*0.62*6.01*8*(10*F373^0.667)*0.079*0.1/F373)*inputs!$E$80/(10^(0.84+0.62*LOG10(inputs!$E$80)))</f>
        <v>14.326700892362783</v>
      </c>
      <c r="Q373" s="69">
        <f>(inputs!$C$18*11.2*(10*F373^0.667)*0.5/F373)*inputs!$E$80/(10^(0.84+0.62*LOG10(inputs!$E$80)))</f>
        <v>7.5707423675586494</v>
      </c>
      <c r="R373" s="59">
        <f>(60*284*((F373/1000)^0.77)*3*24*(MAX('Max rate concentrations'!$R$3:$R$368))/F373)*(inputs!$E$73*3.4/inputs!$E$75)</f>
        <v>5.8967532813522246E-2</v>
      </c>
      <c r="S373" s="59">
        <f>(IF(inputs!$C$17="aerial",((0.025*0.112*inputs!$C$18/3.3)*(3*60*284*((F373/1000)^0.77))*MAX(inputs!$I$14:$I$16))/F373,((0.0083*0.112*inputs!$C$18/1)*(3*60*284*((F373/1000)^0.77))*MAX(inputs!$I$14:$I$16))/F373))*(inputs!E$75*3.4/inputs!$E$73)</f>
        <v>0.32520956633209019</v>
      </c>
      <c r="T373" s="63">
        <f>IF((((inputs!$P$13/(V373/MAX(K373:S373)))^(1/inputs!$O$13))-1)/inputs!$N$13&lt;0, 0, IF((((inputs!$P$13/(V373/MAX(K373:S373)))^(1/inputs!$O$13))-1)/inputs!$N$13&lt;inputs!$I$17, (((inputs!$P$13/(V373/MAX(K373:S373)))^(1/inputs!$O$13))-1)/inputs!$N$13, inputs!$I$17))</f>
        <v>1000</v>
      </c>
      <c r="U373" s="63">
        <f>IF((((inputs!$P$13/(X373/MAX(K373:S373)))^(1/inputs!$O$13))-1)/inputs!$N$13&lt;0, 0, IF((((inputs!$P$13/(X373/MAX(K373:S373)))^(1/inputs!$O$13))-1)/inputs!$N$13&lt;inputs!$I$17, (((inputs!$P$13/(X373/MAX(K373:S373)))^(1/inputs!$O$13))-1)/inputs!$N$13, inputs!$I$17))</f>
        <v>65.537413380912994</v>
      </c>
      <c r="V373" s="21">
        <f>inputs!$E$78*(F373/inputs!$F$78)^(inputs!$E$84-1)</f>
        <v>2.6668058808446828E-2</v>
      </c>
      <c r="W373" s="21">
        <f>inputs!$E$85*(F373/inputs!$F$85)^(inputs!$E$84-1)</f>
        <v>1.2314818288982921</v>
      </c>
      <c r="X373" s="21">
        <f>inputs!$E$80*(F373/inputs!$F$80)^(inputs!$E$84-1)</f>
        <v>4.5985713863923561</v>
      </c>
      <c r="Y373" s="21">
        <f>inputs!$E$82*(F373/inputs!$F$82)^(inputs!$E$84-1)</f>
        <v>2.1194088842502481</v>
      </c>
      <c r="Z373" s="63">
        <f t="shared" si="29"/>
        <v>4097.7887713983391</v>
      </c>
      <c r="AA373" s="63">
        <f t="shared" si="30"/>
        <v>88.738679999856828</v>
      </c>
    </row>
    <row r="374" spans="1:27" ht="13.2" x14ac:dyDescent="0.25">
      <c r="A374" s="103" t="s">
        <v>309</v>
      </c>
      <c r="B374" s="20" t="s">
        <v>310</v>
      </c>
      <c r="C374" s="20" t="s">
        <v>73</v>
      </c>
      <c r="D374" s="104" t="s">
        <v>198</v>
      </c>
      <c r="E374" s="15">
        <v>107</v>
      </c>
      <c r="F374" s="15">
        <v>40</v>
      </c>
      <c r="G374" s="20" t="s">
        <v>152</v>
      </c>
      <c r="H374" s="20">
        <v>0.77</v>
      </c>
      <c r="I374" s="68">
        <f>MAX('Max rate concentrations'!$G$3:$G$368)</f>
        <v>45</v>
      </c>
      <c r="J374" s="68">
        <f>MAX('Max rate concentrations'!Z:Z)</f>
        <v>21</v>
      </c>
      <c r="K374" s="69">
        <f t="shared" si="34"/>
        <v>23.503808257268023</v>
      </c>
      <c r="L374" s="69">
        <f t="shared" si="35"/>
        <v>10.968443853391744</v>
      </c>
      <c r="M374" s="69">
        <f>IF((((1.18*F374^0.874)/3.7-(0.301*F374^0.751)/(1-H374)*H374)*(MAX('Max rate concentrations'!$P$3:$P$368)))/F374&gt;0, (((1.18*F374^0.874)/3.7-(0.301*F374^0.751)/(1-H374)*H374)*(MAX('Max rate concentrations'!$P$3:$P$368)))/F374, 0)</f>
        <v>0</v>
      </c>
      <c r="N374" s="69">
        <f>IF((((1.18*F374^0.874)/3.7-(0.301*F374^0.751)/(1-H374)*H374)*(MAX('Max rate concentrations'!$Q$3:$Q$368)))/F374&gt;0, (((1.18*F374^0.874)/3.7-(0.301*F374^0.751)/(1-H374)*H374)*(MAX('Max rate concentrations'!$Q$3:$Q$368)))/F374, 0)</f>
        <v>0</v>
      </c>
      <c r="O374" s="69">
        <f>((MAX('Max rate concentrations'!$F$3:$F$368))*0.62*6.01*8*(10*F374^0.667)*0.079*0.1/F374)*inputs!$E$80/(10^(0.84+0.62*LOG10(inputs!$E$80)))</f>
        <v>42.980102677088347</v>
      </c>
      <c r="P374" s="69">
        <f>((MAX('Max rate concentrations'!Y:Y))*0.62*6.01*8*(10*F374^0.667)*0.079*0.1/F374)*inputs!$E$80/(10^(0.84+0.62*LOG10(inputs!$E$80)))</f>
        <v>14.326700892362783</v>
      </c>
      <c r="Q374" s="69">
        <f>(inputs!$C$18*11.2*(10*F374^0.667)*0.5/F374)*inputs!$E$80/(10^(0.84+0.62*LOG10(inputs!$E$80)))</f>
        <v>7.5707423675586494</v>
      </c>
      <c r="R374" s="59">
        <f>(60*284*((F374/1000)^0.77)*3*24*(MAX('Max rate concentrations'!$R$3:$R$368))/F374)*(inputs!$E$73*3.4/inputs!$E$75)</f>
        <v>5.8967532813522246E-2</v>
      </c>
      <c r="S374" s="59">
        <f>(IF(inputs!$C$17="aerial",((0.025*0.112*inputs!$C$18/3.3)*(3*60*284*((F374/1000)^0.77))*MAX(inputs!$I$14:$I$16))/F374,((0.0083*0.112*inputs!$C$18/1)*(3*60*284*((F374/1000)^0.77))*MAX(inputs!$I$14:$I$16))/F374))*(inputs!E$75*3.4/inputs!$E$73)</f>
        <v>0.32520956633209019</v>
      </c>
      <c r="T374" s="63">
        <f>IF((((inputs!$P$13/(V374/MAX(K374:S374)))^(1/inputs!$O$13))-1)/inputs!$N$13&lt;0, 0, IF((((inputs!$P$13/(V374/MAX(K374:S374)))^(1/inputs!$O$13))-1)/inputs!$N$13&lt;inputs!$I$17, (((inputs!$P$13/(V374/MAX(K374:S374)))^(1/inputs!$O$13))-1)/inputs!$N$13, inputs!$I$17))</f>
        <v>1000</v>
      </c>
      <c r="U374" s="63">
        <f>IF((((inputs!$P$13/(X374/MAX(K374:S374)))^(1/inputs!$O$13))-1)/inputs!$N$13&lt;0, 0, IF((((inputs!$P$13/(X374/MAX(K374:S374)))^(1/inputs!$O$13))-1)/inputs!$N$13&lt;inputs!$I$17, (((inputs!$P$13/(X374/MAX(K374:S374)))^(1/inputs!$O$13))-1)/inputs!$N$13, inputs!$I$17))</f>
        <v>28.045091072939961</v>
      </c>
      <c r="V374" s="21">
        <f>inputs!$E$78*(F374/inputs!$F$78)^(inputs!$E$84-1)</f>
        <v>2.6668058808446828E-2</v>
      </c>
      <c r="W374" s="21">
        <f>inputs!$E$85*(F374/inputs!$F$85)^(inputs!$E$84-1)</f>
        <v>1.2314818288982921</v>
      </c>
      <c r="X374" s="21">
        <f>inputs!$E$80*(F374/inputs!$F$80)^(inputs!$E$84-1)</f>
        <v>4.5985713863923561</v>
      </c>
      <c r="Y374" s="21">
        <f>inputs!$E$82*(F374/inputs!$F$82)^(inputs!$E$84-1)</f>
        <v>2.1194088842502481</v>
      </c>
      <c r="Z374" s="63">
        <f t="shared" si="29"/>
        <v>1611.6697126629572</v>
      </c>
      <c r="AA374" s="63">
        <f t="shared" si="30"/>
        <v>34.901126162404843</v>
      </c>
    </row>
    <row r="375" spans="1:27" ht="13.2" x14ac:dyDescent="0.25">
      <c r="A375" s="103" t="s">
        <v>309</v>
      </c>
      <c r="B375" s="20" t="s">
        <v>310</v>
      </c>
      <c r="C375" s="20" t="s">
        <v>73</v>
      </c>
      <c r="D375" s="104" t="s">
        <v>198</v>
      </c>
      <c r="E375" s="15">
        <v>107</v>
      </c>
      <c r="F375" s="15">
        <v>40</v>
      </c>
      <c r="G375" s="20" t="s">
        <v>154</v>
      </c>
      <c r="H375" s="20">
        <v>9.2999999999999999E-2</v>
      </c>
      <c r="I375" s="68">
        <f>MAX('Max rate concentrations'!$G$3:$G$368)</f>
        <v>45</v>
      </c>
      <c r="J375" s="68">
        <f>MAX('Max rate concentrations'!Z:Z)</f>
        <v>21</v>
      </c>
      <c r="K375" s="69">
        <f t="shared" si="34"/>
        <v>5.9601718844229818</v>
      </c>
      <c r="L375" s="69">
        <f t="shared" si="35"/>
        <v>2.7814135460640577</v>
      </c>
      <c r="M375" s="69">
        <f>IF((((1.18*F375^0.874)/3.7-(0.301*F375^0.751)/(1-H375)*H375)*(MAX('Max rate concentrations'!$P$3:$P$368)))/F375&gt;0, (((1.18*F375^0.874)/3.7-(0.301*F375^0.751)/(1-H375)*H375)*(MAX('Max rate concentrations'!$P$3:$P$368)))/F375, 0)</f>
        <v>0.16376772527818143</v>
      </c>
      <c r="N375" s="69">
        <f>IF((((1.18*F375^0.874)/3.7-(0.301*F375^0.751)/(1-H375)*H375)*(MAX('Max rate concentrations'!$Q$3:$Q$368)))/F375&gt;0, (((1.18*F375^0.874)/3.7-(0.301*F375^0.751)/(1-H375)*H375)*(MAX('Max rate concentrations'!$Q$3:$Q$368)))/F375, 0)</f>
        <v>0.62363629737516368</v>
      </c>
      <c r="O375" s="69">
        <f>((MAX('Max rate concentrations'!$F$3:$F$368))*0.62*6.01*8*(10*F375^0.667)*0.079*0.1/F375)*inputs!$E$80/(10^(0.84+0.62*LOG10(inputs!$E$80)))</f>
        <v>42.980102677088347</v>
      </c>
      <c r="P375" s="69">
        <f>((MAX('Max rate concentrations'!Y:Y))*0.62*6.01*8*(10*F375^0.667)*0.079*0.1/F375)*inputs!$E$80/(10^(0.84+0.62*LOG10(inputs!$E$80)))</f>
        <v>14.326700892362783</v>
      </c>
      <c r="Q375" s="69">
        <f>(inputs!$C$18*11.2*(10*F375^0.667)*0.5/F375)*inputs!$E$80/(10^(0.84+0.62*LOG10(inputs!$E$80)))</f>
        <v>7.5707423675586494</v>
      </c>
      <c r="R375" s="59">
        <f>(60*284*((F375/1000)^0.77)*3*24*(MAX('Max rate concentrations'!$R$3:$R$368))/F375)*(inputs!$E$73*3.4/inputs!$E$75)</f>
        <v>5.8967532813522246E-2</v>
      </c>
      <c r="S375" s="59">
        <f>(IF(inputs!$C$17="aerial",((0.025*0.112*inputs!$C$18/3.3)*(3*60*284*((F375/1000)^0.77))*MAX(inputs!$I$14:$I$16))/F375,((0.0083*0.112*inputs!$C$18/1)*(3*60*284*((F375/1000)^0.77))*MAX(inputs!$I$14:$I$16))/F375))*(inputs!E$75*3.4/inputs!$E$73)</f>
        <v>0.32520956633209019</v>
      </c>
      <c r="T375" s="63">
        <f>IF((((inputs!$P$13/(V375/MAX(K375:S375)))^(1/inputs!$O$13))-1)/inputs!$N$13&lt;0, 0, IF((((inputs!$P$13/(V375/MAX(K375:S375)))^(1/inputs!$O$13))-1)/inputs!$N$13&lt;inputs!$I$17, (((inputs!$P$13/(V375/MAX(K375:S375)))^(1/inputs!$O$13))-1)/inputs!$N$13, inputs!$I$17))</f>
        <v>1000</v>
      </c>
      <c r="U375" s="63">
        <f>IF((((inputs!$P$13/(X375/MAX(K375:S375)))^(1/inputs!$O$13))-1)/inputs!$N$13&lt;0, 0, IF((((inputs!$P$13/(X375/MAX(K375:S375)))^(1/inputs!$O$13))-1)/inputs!$N$13&lt;inputs!$I$17, (((inputs!$P$13/(X375/MAX(K375:S375)))^(1/inputs!$O$13))-1)/inputs!$N$13, inputs!$I$17))</f>
        <v>28.045091072939961</v>
      </c>
      <c r="V375" s="21">
        <f>inputs!$E$78*(F375/inputs!$F$78)^(inputs!$E$84-1)</f>
        <v>2.6668058808446828E-2</v>
      </c>
      <c r="W375" s="21">
        <f>inputs!$E$85*(F375/inputs!$F$85)^(inputs!$E$84-1)</f>
        <v>1.2314818288982921</v>
      </c>
      <c r="X375" s="21">
        <f>inputs!$E$80*(F375/inputs!$F$80)^(inputs!$E$84-1)</f>
        <v>4.5985713863923561</v>
      </c>
      <c r="Y375" s="21">
        <f>inputs!$E$82*(F375/inputs!$F$82)^(inputs!$E$84-1)</f>
        <v>2.1194088842502481</v>
      </c>
      <c r="Z375" s="63">
        <f t="shared" si="29"/>
        <v>1611.6697126629572</v>
      </c>
      <c r="AA375" s="63">
        <f t="shared" si="30"/>
        <v>34.901126162404843</v>
      </c>
    </row>
    <row r="376" spans="1:27" ht="13.2" x14ac:dyDescent="0.25">
      <c r="A376" s="112" t="s">
        <v>984</v>
      </c>
      <c r="B376" s="113" t="s">
        <v>295</v>
      </c>
      <c r="C376" s="20" t="s">
        <v>73</v>
      </c>
      <c r="D376" s="48" t="s">
        <v>296</v>
      </c>
      <c r="E376" s="15">
        <v>2859</v>
      </c>
      <c r="F376" s="15">
        <v>31.5</v>
      </c>
      <c r="G376" s="20" t="s">
        <v>164</v>
      </c>
      <c r="H376" s="20">
        <v>0.78</v>
      </c>
      <c r="I376" s="68">
        <f>inputs!$C$66*(inputs!$C$62/1000)</f>
        <v>8.2000000000000011</v>
      </c>
      <c r="J376" s="68">
        <f>inputs!$C$66*(inputs!$C$61/1000)</f>
        <v>2.5</v>
      </c>
      <c r="K376" s="69">
        <f t="shared" si="34"/>
        <v>4.7520208693772004</v>
      </c>
      <c r="L376" s="69">
        <f t="shared" si="35"/>
        <v>1.4487868504198782</v>
      </c>
      <c r="M376" s="69">
        <f>IF((((1.18*F376^0.874)/3.7-(0.301*F376^0.751)/(1-H376)*H376)*(MAX('Max rate concentrations'!$P$3:$P$368)))/F376&gt;0, (((1.18*F376^0.874)/3.7-(0.301*F376^0.751)/(1-H376)*H376)*(MAX('Max rate concentrations'!$P$3:$P$368)))/F376, 0)</f>
        <v>0</v>
      </c>
      <c r="N376" s="69">
        <f>IF((((1.18*F376^0.874)/3.7-(0.301*F376^0.751)/(1-H376)*H376)*(MAX('Max rate concentrations'!$Q$3:$Q$368)))/F376&gt;0, (((1.18*F376^0.874)/3.7-(0.301*F376^0.751)/(1-H376)*H376)*(MAX('Max rate concentrations'!$Q$3:$Q$368)))/F376, 0)</f>
        <v>0</v>
      </c>
      <c r="O376" s="69">
        <f>((MAX('Max rate concentrations'!$F$3:$F$368))*0.62*6.01*8*(10*F376^0.667)*0.079*0.1/F376)*inputs!$E$80/(10^(0.84+0.62*LOG10(inputs!$E$80)))</f>
        <v>46.538888998550213</v>
      </c>
      <c r="P376" s="69">
        <f>((MAX('Max rate concentrations'!Y:Y))*0.62*6.01*8*(10*F376^0.667)*0.079*0.1/F376)*inputs!$E$80/(10^(0.84+0.62*LOG10(inputs!$E$80)))</f>
        <v>15.51296299951674</v>
      </c>
      <c r="Q376" s="69">
        <f>(inputs!$C$18*11.2*(10*F376^0.667)*0.5/F376)*inputs!$E$80/(10^(0.84+0.62*LOG10(inputs!$E$80)))</f>
        <v>8.1976057927905757</v>
      </c>
      <c r="R376" s="59">
        <f>(60*284*((F376/1000)^0.77)*3*24*(MAX('Max rate concentrations'!$R$3:$R$368))/F376)*(inputs!$E$73*3.4/inputs!$E$75)</f>
        <v>6.2298175524814293E-2</v>
      </c>
      <c r="S376" s="59">
        <f>(IF(inputs!$C$17="aerial",((0.025*0.112*inputs!$C$18/3.3)*(3*60*284*((F376/1000)^0.77))*MAX(inputs!$I$14:$I$16))/F376,((0.0083*0.112*inputs!$C$18/1)*(3*60*284*((F376/1000)^0.77))*MAX(inputs!$I$14:$I$16))/F376))*(inputs!E$75*3.4/inputs!$E$73)</f>
        <v>0.34357826551392268</v>
      </c>
      <c r="T376" s="63">
        <f>IF((((inputs!$P$13/(V376/MAX(K376:S376)))^(1/inputs!$O$13))-1)/inputs!$N$13&lt;0, 0, IF((((inputs!$P$13/(V376/MAX(K376:S376)))^(1/inputs!$O$13))-1)/inputs!$N$13&lt;inputs!$I$17, (((inputs!$P$13/(V376/MAX(K376:S376)))^(1/inputs!$O$13))-1)/inputs!$N$13, inputs!$I$17))</f>
        <v>1000</v>
      </c>
      <c r="U376" s="63">
        <f>IF((((inputs!$P$13/(X376/MAX(K376:S376)))^(1/inputs!$O$13))-1)/inputs!$N$13&lt;0, 0, IF((((inputs!$P$13/(X376/MAX(K376:S376)))^(1/inputs!$O$13))-1)/inputs!$N$13&lt;inputs!$I$17, (((inputs!$P$13/(X376/MAX(K376:S376)))^(1/inputs!$O$13))-1)/inputs!$N$13, inputs!$I$17))</f>
        <v>27.808113131684891</v>
      </c>
      <c r="V376" s="21">
        <f>inputs!$E$78*(F376/inputs!$F$78)^(inputs!$E$84-1)</f>
        <v>2.9132563117350352E-2</v>
      </c>
      <c r="W376" s="21">
        <f>inputs!$E$85*(F376/inputs!$F$85)^(inputs!$E$84-1)</f>
        <v>1.3452880978680808</v>
      </c>
      <c r="X376" s="21">
        <f>inputs!$E$80*(F376/inputs!$F$80)^(inputs!$E$84-1)</f>
        <v>5.0235441629251119</v>
      </c>
      <c r="Y376" s="21">
        <f>inputs!$E$82*(F376/inputs!$F$82)^(inputs!$E$84-1)</f>
        <v>2.3152721214315282</v>
      </c>
      <c r="Z376" s="63">
        <f t="shared" si="29"/>
        <v>1597.4869362192594</v>
      </c>
      <c r="AA376" s="63">
        <f t="shared" si="30"/>
        <v>34.593994455389755</v>
      </c>
    </row>
    <row r="377" spans="1:27" ht="13.2" x14ac:dyDescent="0.25">
      <c r="A377" s="112" t="s">
        <v>984</v>
      </c>
      <c r="B377" s="113" t="s">
        <v>295</v>
      </c>
      <c r="C377" s="20" t="s">
        <v>73</v>
      </c>
      <c r="D377" s="48" t="s">
        <v>296</v>
      </c>
      <c r="E377" s="15">
        <v>2859</v>
      </c>
      <c r="F377" s="15">
        <v>31.5</v>
      </c>
      <c r="G377" s="49" t="s">
        <v>186</v>
      </c>
      <c r="H377" s="49">
        <v>0.75</v>
      </c>
      <c r="I377" s="68">
        <f>inputs!$C$66*inputs!$C$64/1000</f>
        <v>21.3</v>
      </c>
      <c r="J377" s="68">
        <f>inputs!$C$66*inputs!$C$63/1000</f>
        <v>8.8000000000000007</v>
      </c>
      <c r="K377" s="69">
        <f t="shared" si="34"/>
        <v>10.862424289708077</v>
      </c>
      <c r="L377" s="69">
        <f t="shared" si="35"/>
        <v>4.4877621478606144</v>
      </c>
      <c r="M377" s="69">
        <f>IF((((1.18*F377^0.874)/3.7-(0.301*F377^0.751)/(1-H377)*H377)*(MAX('Max rate concentrations'!$P$3:$P$368)))/F377&gt;0, (((1.18*F377^0.874)/3.7-(0.301*F377^0.751)/(1-H377)*H377)*(MAX('Max rate concentrations'!$P$3:$P$368)))/F377, 0)</f>
        <v>0</v>
      </c>
      <c r="N377" s="69">
        <f>IF((((1.18*F377^0.874)/3.7-(0.301*F377^0.751)/(1-H377)*H377)*(MAX('Max rate concentrations'!$Q$3:$Q$368)))/F377&gt;0, (((1.18*F377^0.874)/3.7-(0.301*F377^0.751)/(1-H377)*H377)*(MAX('Max rate concentrations'!$Q$3:$Q$368)))/F377, 0)</f>
        <v>0</v>
      </c>
      <c r="O377" s="69">
        <f>((MAX('Max rate concentrations'!$F$3:$F$368))*0.62*6.01*8*(10*F377^0.667)*0.079*0.1/F377)*inputs!$E$80/(10^(0.84+0.62*LOG10(inputs!$E$80)))</f>
        <v>46.538888998550213</v>
      </c>
      <c r="P377" s="69">
        <f>((MAX('Max rate concentrations'!Y:Y))*0.62*6.01*8*(10*F377^0.667)*0.079*0.1/F377)*inputs!$E$80/(10^(0.84+0.62*LOG10(inputs!$E$80)))</f>
        <v>15.51296299951674</v>
      </c>
      <c r="Q377" s="69">
        <f>(inputs!$C$18*11.2*(10*F377^0.667)*0.5/F377)*inputs!$E$80/(10^(0.84+0.62*LOG10(inputs!$E$80)))</f>
        <v>8.1976057927905757</v>
      </c>
      <c r="R377" s="59">
        <f>(60*284*((F377/1000)^0.77)*3*24*(MAX('Max rate concentrations'!$R$3:$R$368))/F377)*(inputs!$E$73*3.4/inputs!$E$75)</f>
        <v>6.2298175524814293E-2</v>
      </c>
      <c r="S377" s="59">
        <f>(IF(inputs!$C$17="aerial",((0.025*0.112*inputs!$C$18/3.3)*(3*60*284*((F377/1000)^0.77))*MAX(inputs!$I$14:$I$16))/F377,((0.0083*0.112*inputs!$C$18/1)*(3*60*284*((F377/1000)^0.77))*MAX(inputs!$I$14:$I$16))/F377))*(inputs!E$75*3.4/inputs!$E$73)</f>
        <v>0.34357826551392268</v>
      </c>
      <c r="T377" s="63">
        <f>IF((((inputs!$P$13/(V377/MAX(K377:S377)))^(1/inputs!$O$13))-1)/inputs!$N$13&lt;0, 0, IF((((inputs!$P$13/(V377/MAX(K377:S377)))^(1/inputs!$O$13))-1)/inputs!$N$13&lt;inputs!$I$17, (((inputs!$P$13/(V377/MAX(K377:S377)))^(1/inputs!$O$13))-1)/inputs!$N$13, inputs!$I$17))</f>
        <v>1000</v>
      </c>
      <c r="U377" s="63">
        <f>IF((((inputs!$P$13/(X377/MAX(K377:S377)))^(1/inputs!$O$13))-1)/inputs!$N$13&lt;0, 0, IF((((inputs!$P$13/(X377/MAX(K377:S377)))^(1/inputs!$O$13))-1)/inputs!$N$13&lt;inputs!$I$17, (((inputs!$P$13/(X377/MAX(K377:S377)))^(1/inputs!$O$13))-1)/inputs!$N$13, inputs!$I$17))</f>
        <v>27.808113131684891</v>
      </c>
      <c r="V377" s="21">
        <f>inputs!$E$78*(F377/inputs!$F$78)^(inputs!$E$84-1)</f>
        <v>2.9132563117350352E-2</v>
      </c>
      <c r="W377" s="21">
        <f>inputs!$E$85*(F377/inputs!$F$85)^(inputs!$E$84-1)</f>
        <v>1.3452880978680808</v>
      </c>
      <c r="X377" s="21">
        <f>inputs!$E$80*(F377/inputs!$F$80)^(inputs!$E$84-1)</f>
        <v>5.0235441629251119</v>
      </c>
      <c r="Y377" s="21">
        <f>inputs!$E$82*(F377/inputs!$F$82)^(inputs!$E$84-1)</f>
        <v>2.3152721214315282</v>
      </c>
      <c r="Z377" s="63">
        <f t="shared" si="29"/>
        <v>1597.4869362192594</v>
      </c>
      <c r="AA377" s="63">
        <f t="shared" si="30"/>
        <v>34.593994455389755</v>
      </c>
    </row>
    <row r="378" spans="1:27" ht="13.2" x14ac:dyDescent="0.25">
      <c r="A378" s="114" t="s">
        <v>325</v>
      </c>
      <c r="B378" s="48" t="s">
        <v>326</v>
      </c>
      <c r="C378" s="20" t="s">
        <v>73</v>
      </c>
      <c r="D378" s="48" t="s">
        <v>296</v>
      </c>
      <c r="E378" s="15">
        <v>82</v>
      </c>
      <c r="F378" s="15">
        <v>434</v>
      </c>
      <c r="G378" s="20" t="s">
        <v>164</v>
      </c>
      <c r="H378" s="20">
        <v>0.78</v>
      </c>
      <c r="I378" s="68">
        <f>inputs!$C$66*(inputs!$C$62/1000)</f>
        <v>8.2000000000000011</v>
      </c>
      <c r="J378" s="68">
        <f>inputs!$C$66*(inputs!$C$61/1000)</f>
        <v>2.5</v>
      </c>
      <c r="K378" s="69">
        <f t="shared" si="34"/>
        <v>2.4729920743851226</v>
      </c>
      <c r="L378" s="69">
        <f t="shared" si="35"/>
        <v>0.753960998288147</v>
      </c>
      <c r="M378" s="69">
        <f>IF((((1.18*F378^0.874)/3.7-(0.301*F378^0.751)/(1-H378)*H378)*(MAX('Max rate concentrations'!$P$3:$P$368)))/F378&gt;0, (((1.18*F378^0.874)/3.7-(0.301*F378^0.751)/(1-H378)*H378)*(MAX('Max rate concentrations'!$P$3:$P$368)))/F378, 0)</f>
        <v>0</v>
      </c>
      <c r="N378" s="69">
        <f>IF((((1.18*F378^0.874)/3.7-(0.301*F378^0.751)/(1-H378)*H378)*(MAX('Max rate concentrations'!$Q$3:$Q$368)))/F378&gt;0, (((1.18*F378^0.874)/3.7-(0.301*F378^0.751)/(1-H378)*H378)*(MAX('Max rate concentrations'!$Q$3:$Q$368)))/F378, 0)</f>
        <v>0</v>
      </c>
      <c r="O378" s="69">
        <f>((MAX('Max rate concentrations'!$F$3:$F$368))*0.62*6.01*8*(10*F378^0.667)*0.079*0.1/F378)*inputs!$E$80/(10^(0.84+0.62*LOG10(inputs!$E$80)))</f>
        <v>19.429845437628074</v>
      </c>
      <c r="P378" s="69">
        <f>((MAX('Max rate concentrations'!Y:Y))*0.62*6.01*8*(10*F378^0.667)*0.079*0.1/F378)*inputs!$E$80/(10^(0.84+0.62*LOG10(inputs!$E$80)))</f>
        <v>6.4766151458760257</v>
      </c>
      <c r="Q378" s="69">
        <f>(inputs!$C$18*11.2*(10*F378^0.667)*0.5/F378)*inputs!$E$80/(10^(0.84+0.62*LOG10(inputs!$E$80)))</f>
        <v>3.4224756314549607</v>
      </c>
      <c r="R378" s="59">
        <f>(60*284*((F378/1000)^0.77)*3*24*(MAX('Max rate concentrations'!$R$3:$R$368))/F378)*(inputs!$E$73*3.4/inputs!$E$75)</f>
        <v>3.407721682682658E-2</v>
      </c>
      <c r="S378" s="59">
        <f>(IF(inputs!$C$17="aerial",((0.025*0.112*inputs!$C$18/3.3)*(3*60*284*((F378/1000)^0.77))*MAX(inputs!$I$14:$I$16))/F378,((0.0083*0.112*inputs!$C$18/1)*(3*60*284*((F378/1000)^0.77))*MAX(inputs!$I$14:$I$16))/F378))*(inputs!E$75*3.4/inputs!$E$73)</f>
        <v>0.18793794444653339</v>
      </c>
      <c r="T378" s="63">
        <f>IF((((inputs!$P$13/(V378/MAX(K378:S378)))^(1/inputs!$O$13))-1)/inputs!$N$13&lt;0, 0, IF((((inputs!$P$13/(V378/MAX(K378:S378)))^(1/inputs!$O$13))-1)/inputs!$N$13&lt;inputs!$I$17, (((inputs!$P$13/(V378/MAX(K378:S378)))^(1/inputs!$O$13))-1)/inputs!$N$13, inputs!$I$17))</f>
        <v>1000</v>
      </c>
      <c r="U378" s="63">
        <f>IF((((inputs!$P$13/(X378/MAX(K378:S378)))^(1/inputs!$O$13))-1)/inputs!$N$13&lt;0, 0, IF((((inputs!$P$13/(X378/MAX(K378:S378)))^(1/inputs!$O$13))-1)/inputs!$N$13&lt;inputs!$I$17, (((inputs!$P$13/(X378/MAX(K378:S378)))^(1/inputs!$O$13))-1)/inputs!$N$13, inputs!$I$17))</f>
        <v>30.505325606058136</v>
      </c>
      <c r="V378" s="21">
        <f>inputs!$E$78*(F378/inputs!$F$78)^(inputs!$E$84-1)</f>
        <v>1.1037796961693947E-2</v>
      </c>
      <c r="W378" s="21">
        <f>inputs!$E$85*(F378/inputs!$F$85)^(inputs!$E$84-1)</f>
        <v>0.50970513028452913</v>
      </c>
      <c r="X378" s="21">
        <f>inputs!$E$80*(F378/inputs!$F$80)^(inputs!$E$84-1)</f>
        <v>1.9033292839738745</v>
      </c>
      <c r="Y378" s="21">
        <f>inputs!$E$82*(F378/inputs!$F$82)^(inputs!$E$84-1)</f>
        <v>0.87721439011357161</v>
      </c>
      <c r="Z378" s="63">
        <f t="shared" si="29"/>
        <v>1760.3010369785075</v>
      </c>
      <c r="AA378" s="63">
        <f t="shared" si="30"/>
        <v>38.119776088543368</v>
      </c>
    </row>
    <row r="379" spans="1:27" ht="13.2" x14ac:dyDescent="0.25">
      <c r="A379" s="114" t="s">
        <v>325</v>
      </c>
      <c r="B379" s="48" t="s">
        <v>326</v>
      </c>
      <c r="C379" s="20" t="s">
        <v>73</v>
      </c>
      <c r="D379" s="48" t="s">
        <v>296</v>
      </c>
      <c r="E379" s="15">
        <v>82</v>
      </c>
      <c r="F379" s="15">
        <v>434</v>
      </c>
      <c r="G379" s="20" t="s">
        <v>186</v>
      </c>
      <c r="H379" s="49">
        <v>0.75</v>
      </c>
      <c r="I379" s="68">
        <f>inputs!$C$66*inputs!$C$64/1000</f>
        <v>21.3</v>
      </c>
      <c r="J379" s="68">
        <f>inputs!$C$66*inputs!$C$63/1000</f>
        <v>8.8000000000000007</v>
      </c>
      <c r="K379" s="69">
        <f t="shared" si="34"/>
        <v>5.6528979807652107</v>
      </c>
      <c r="L379" s="69">
        <f t="shared" si="35"/>
        <v>2.335469588297364</v>
      </c>
      <c r="M379" s="69">
        <f>IF((((1.18*F379^0.874)/3.7-(0.301*F379^0.751)/(1-H379)*H379)*(MAX('Max rate concentrations'!$P$3:$P$368)))/F379&gt;0, (((1.18*F379^0.874)/3.7-(0.301*F379^0.751)/(1-H379)*H379)*(MAX('Max rate concentrations'!$P$3:$P$368)))/F379, 0)</f>
        <v>0</v>
      </c>
      <c r="N379" s="69">
        <f>IF((((1.18*F379^0.874)/3.7-(0.301*F379^0.751)/(1-H379)*H379)*(MAX('Max rate concentrations'!$Q$3:$Q$368)))/F379&gt;0, (((1.18*F379^0.874)/3.7-(0.301*F379^0.751)/(1-H379)*H379)*(MAX('Max rate concentrations'!$Q$3:$Q$368)))/F379, 0)</f>
        <v>0</v>
      </c>
      <c r="O379" s="69">
        <f>((MAX('Max rate concentrations'!$F$3:$F$368))*0.62*6.01*8*(10*F379^0.667)*0.079*0.1/F379)*inputs!$E$80/(10^(0.84+0.62*LOG10(inputs!$E$80)))</f>
        <v>19.429845437628074</v>
      </c>
      <c r="P379" s="69">
        <f>((MAX('Max rate concentrations'!Y:Y))*0.62*6.01*8*(10*F379^0.667)*0.079*0.1/F379)*inputs!$E$80/(10^(0.84+0.62*LOG10(inputs!$E$80)))</f>
        <v>6.4766151458760257</v>
      </c>
      <c r="Q379" s="69">
        <f>(inputs!$C$18*11.2*(10*F379^0.667)*0.5/F379)*inputs!$E$80/(10^(0.84+0.62*LOG10(inputs!$E$80)))</f>
        <v>3.4224756314549607</v>
      </c>
      <c r="R379" s="59">
        <f>(60*284*((F379/1000)^0.77)*3*24*(MAX('Max rate concentrations'!$R$3:$R$368))/F379)*(inputs!$E$73*3.4/inputs!$E$75)</f>
        <v>3.407721682682658E-2</v>
      </c>
      <c r="S379" s="59">
        <f>(IF(inputs!$C$17="aerial",((0.025*0.112*inputs!$C$18/3.3)*(3*60*284*((F379/1000)^0.77))*MAX(inputs!$I$14:$I$16))/F379,((0.0083*0.112*inputs!$C$18/1)*(3*60*284*((F379/1000)^0.77))*MAX(inputs!$I$14:$I$16))/F379))*(inputs!E$75*3.4/inputs!$E$73)</f>
        <v>0.18793794444653339</v>
      </c>
      <c r="T379" s="63">
        <f>IF((((inputs!$P$13/(V379/MAX(K379:S379)))^(1/inputs!$O$13))-1)/inputs!$N$13&lt;0, 0, IF((((inputs!$P$13/(V379/MAX(K379:S379)))^(1/inputs!$O$13))-1)/inputs!$N$13&lt;inputs!$I$17, (((inputs!$P$13/(V379/MAX(K379:S379)))^(1/inputs!$O$13))-1)/inputs!$N$13, inputs!$I$17))</f>
        <v>1000</v>
      </c>
      <c r="U379" s="63">
        <f>IF((((inputs!$P$13/(X379/MAX(K379:S379)))^(1/inputs!$O$13))-1)/inputs!$N$13&lt;0, 0, IF((((inputs!$P$13/(X379/MAX(K379:S379)))^(1/inputs!$O$13))-1)/inputs!$N$13&lt;inputs!$I$17, (((inputs!$P$13/(X379/MAX(K379:S379)))^(1/inputs!$O$13))-1)/inputs!$N$13, inputs!$I$17))</f>
        <v>30.505325606058136</v>
      </c>
      <c r="V379" s="21">
        <f>inputs!$E$78*(F379/inputs!$F$78)^(inputs!$E$84-1)</f>
        <v>1.1037796961693947E-2</v>
      </c>
      <c r="W379" s="21">
        <f>inputs!$E$85*(F379/inputs!$F$85)^(inputs!$E$84-1)</f>
        <v>0.50970513028452913</v>
      </c>
      <c r="X379" s="21">
        <f>inputs!$E$80*(F379/inputs!$F$80)^(inputs!$E$84-1)</f>
        <v>1.9033292839738745</v>
      </c>
      <c r="Y379" s="21">
        <f>inputs!$E$82*(F379/inputs!$F$82)^(inputs!$E$84-1)</f>
        <v>0.87721439011357161</v>
      </c>
      <c r="Z379" s="63">
        <f t="shared" si="29"/>
        <v>1760.3010369785075</v>
      </c>
      <c r="AA379" s="63">
        <f t="shared" si="30"/>
        <v>38.119776088543368</v>
      </c>
    </row>
    <row r="380" spans="1:27" ht="13.2" x14ac:dyDescent="0.25">
      <c r="A380" s="114" t="s">
        <v>327</v>
      </c>
      <c r="B380" s="48" t="s">
        <v>328</v>
      </c>
      <c r="C380" s="20" t="s">
        <v>73</v>
      </c>
      <c r="D380" s="48" t="s">
        <v>296</v>
      </c>
      <c r="E380" s="15">
        <v>114</v>
      </c>
      <c r="F380" s="15">
        <v>454</v>
      </c>
      <c r="G380" s="20" t="s">
        <v>186</v>
      </c>
      <c r="H380" s="49">
        <v>0.75</v>
      </c>
      <c r="I380" s="68">
        <f>inputs!$C$66*inputs!$C$64/1000</f>
        <v>21.3</v>
      </c>
      <c r="J380" s="68">
        <f>inputs!$C$66*inputs!$C$63/1000</f>
        <v>8.8000000000000007</v>
      </c>
      <c r="K380" s="69">
        <f t="shared" si="34"/>
        <v>5.589837501747839</v>
      </c>
      <c r="L380" s="69">
        <f t="shared" si="35"/>
        <v>2.3094164326469948</v>
      </c>
      <c r="M380" s="69">
        <f>IF((((1.18*F380^0.874)/3.7-(0.301*F380^0.751)/(1-H380)*H380)*(MAX('Max rate concentrations'!$P$3:$P$368)))/F380&gt;0, (((1.18*F380^0.874)/3.7-(0.301*F380^0.751)/(1-H380)*H380)*(MAX('Max rate concentrations'!$P$3:$P$368)))/F380, 0)</f>
        <v>0</v>
      </c>
      <c r="N380" s="69">
        <f>IF((((1.18*F380^0.874)/3.7-(0.301*F380^0.751)/(1-H380)*H380)*(MAX('Max rate concentrations'!$Q$3:$Q$368)))/F380&gt;0, (((1.18*F380^0.874)/3.7-(0.301*F380^0.751)/(1-H380)*H380)*(MAX('Max rate concentrations'!$Q$3:$Q$368)))/F380, 0)</f>
        <v>0</v>
      </c>
      <c r="O380" s="69">
        <f>((MAX('Max rate concentrations'!$F$3:$F$368))*0.62*6.01*8*(10*F380^0.667)*0.079*0.1/F380)*inputs!$E$80/(10^(0.84+0.62*LOG10(inputs!$E$80)))</f>
        <v>19.14052416391079</v>
      </c>
      <c r="P380" s="69">
        <f>((MAX('Max rate concentrations'!Y:Y))*0.62*6.01*8*(10*F380^0.667)*0.079*0.1/F380)*inputs!$E$80/(10^(0.84+0.62*LOG10(inputs!$E$80)))</f>
        <v>6.3801747213035949</v>
      </c>
      <c r="Q380" s="69">
        <f>(inputs!$C$18*11.2*(10*F380^0.667)*0.5/F380)*inputs!$E$80/(10^(0.84+0.62*LOG10(inputs!$E$80)))</f>
        <v>3.3715130536960398</v>
      </c>
      <c r="R380" s="59">
        <f>(60*284*((F380/1000)^0.77)*3*24*(MAX('Max rate concentrations'!$R$3:$R$368))/F380)*(inputs!$E$73*3.4/inputs!$E$75)</f>
        <v>3.3725928055515997E-2</v>
      </c>
      <c r="S380" s="59">
        <f>(IF(inputs!$C$17="aerial",((0.025*0.112*inputs!$C$18/3.3)*(3*60*284*((F380/1000)^0.77))*MAX(inputs!$I$14:$I$16))/F380,((0.0083*0.112*inputs!$C$18/1)*(3*60*284*((F380/1000)^0.77))*MAX(inputs!$I$14:$I$16))/F380))*(inputs!E$75*3.4/inputs!$E$73)</f>
        <v>0.18600056529016737</v>
      </c>
      <c r="T380" s="63">
        <f>IF((((inputs!$P$13/(V380/MAX(K380:S380)))^(1/inputs!$O$13))-1)/inputs!$N$13&lt;0, 0, IF((((inputs!$P$13/(V380/MAX(K380:S380)))^(1/inputs!$O$13))-1)/inputs!$N$13&lt;inputs!$I$17, (((inputs!$P$13/(V380/MAX(K380:S380)))^(1/inputs!$O$13))-1)/inputs!$N$13, inputs!$I$17))</f>
        <v>1000</v>
      </c>
      <c r="U380" s="63">
        <f>IF((((inputs!$P$13/(X380/MAX(K380:S380)))^(1/inputs!$O$13))-1)/inputs!$N$13&lt;0, 0, IF((((inputs!$P$13/(X380/MAX(K380:S380)))^(1/inputs!$O$13))-1)/inputs!$N$13&lt;inputs!$I$17, (((inputs!$P$13/(X380/MAX(K380:S380)))^(1/inputs!$O$13))-1)/inputs!$N$13, inputs!$I$17))</f>
        <v>30.553526128826761</v>
      </c>
      <c r="V380" s="21">
        <f>inputs!$E$78*(F380/inputs!$F$78)^(inputs!$E$84-1)</f>
        <v>1.0855327623785738E-2</v>
      </c>
      <c r="W380" s="21">
        <f>inputs!$E$85*(F380/inputs!$F$85)^(inputs!$E$84-1)</f>
        <v>0.50127903239794858</v>
      </c>
      <c r="X380" s="21">
        <f>inputs!$E$80*(F380/inputs!$F$80)^(inputs!$E$84-1)</f>
        <v>1.8718647412328457</v>
      </c>
      <c r="Y380" s="21">
        <f>inputs!$E$82*(F380/inputs!$F$82)^(inputs!$E$84-1)</f>
        <v>0.86271287957455089</v>
      </c>
      <c r="Z380" s="63">
        <f t="shared" si="29"/>
        <v>1763.2378153166817</v>
      </c>
      <c r="AA380" s="63">
        <f t="shared" si="30"/>
        <v>38.183372786108819</v>
      </c>
    </row>
    <row r="381" spans="1:27" ht="13.2" x14ac:dyDescent="0.25">
      <c r="A381" s="114" t="s">
        <v>307</v>
      </c>
      <c r="B381" s="48" t="s">
        <v>308</v>
      </c>
      <c r="C381" s="20" t="s">
        <v>73</v>
      </c>
      <c r="D381" s="48" t="s">
        <v>296</v>
      </c>
      <c r="E381" s="15">
        <v>88</v>
      </c>
      <c r="F381" s="15">
        <v>4309</v>
      </c>
      <c r="G381" s="20" t="s">
        <v>164</v>
      </c>
      <c r="H381" s="20">
        <v>0.78</v>
      </c>
      <c r="I381" s="68">
        <f>inputs!$C$66*(inputs!$C$62/1000)</f>
        <v>8.2000000000000011</v>
      </c>
      <c r="J381" s="68">
        <f>inputs!$C$66*(inputs!$C$61/1000)</f>
        <v>2.5</v>
      </c>
      <c r="K381" s="69">
        <f t="shared" si="34"/>
        <v>1.3963616737469127</v>
      </c>
      <c r="L381" s="69">
        <f t="shared" si="35"/>
        <v>0.42572002248381485</v>
      </c>
      <c r="M381" s="69">
        <f>IF((((1.18*F381^0.874)/3.7-(0.301*F381^0.751)/(1-H381)*H381)*(MAX('Max rate concentrations'!$P$3:$P$368)))/F381&gt;0, (((1.18*F381^0.874)/3.7-(0.301*F381^0.751)/(1-H381)*H381)*(MAX('Max rate concentrations'!$P$3:$P$368)))/F381, 0)</f>
        <v>0</v>
      </c>
      <c r="N381" s="69">
        <f>IF((((1.18*F381^0.874)/3.7-(0.301*F381^0.751)/(1-H381)*H381)*(MAX('Max rate concentrations'!$Q$3:$Q$368)))/F381&gt;0, (((1.18*F381^0.874)/3.7-(0.301*F381^0.751)/(1-H381)*H381)*(MAX('Max rate concentrations'!$Q$3:$Q$368)))/F381, 0)</f>
        <v>0</v>
      </c>
      <c r="O381" s="69">
        <f>((MAX('Max rate concentrations'!$F$3:$F$368))*0.62*6.01*8*(10*F381^0.667)*0.079*0.1/F381)*inputs!$E$80/(10^(0.84+0.62*LOG10(inputs!$E$80)))</f>
        <v>9.0470304749809998</v>
      </c>
      <c r="P381" s="69">
        <f>((MAX('Max rate concentrations'!Y:Y))*0.62*6.01*8*(10*F381^0.667)*0.079*0.1/F381)*inputs!$E$80/(10^(0.84+0.62*LOG10(inputs!$E$80)))</f>
        <v>3.0156768249936663</v>
      </c>
      <c r="Q381" s="69">
        <f>(inputs!$C$18*11.2*(10*F381^0.667)*0.5/F381)*inputs!$E$80/(10^(0.84+0.62*LOG10(inputs!$E$80)))</f>
        <v>1.5935917471422121</v>
      </c>
      <c r="R381" s="59">
        <f>(60*284*((F381/1000)^0.77)*3*24*(MAX('Max rate concentrations'!$R$3:$R$368))/F381)*(inputs!$E$73*3.4/inputs!$E$75)</f>
        <v>2.0099264330814447E-2</v>
      </c>
      <c r="S381" s="59">
        <f>(IF(inputs!$C$17="aerial",((0.025*0.112*inputs!$C$18/3.3)*(3*60*284*((F381/1000)^0.77))*MAX(inputs!$I$14:$I$16))/F381,((0.0083*0.112*inputs!$C$18/1)*(3*60*284*((F381/1000)^0.77))*MAX(inputs!$I$14:$I$16))/F381))*(inputs!E$75*3.4/inputs!$E$73)</f>
        <v>0.11084867764925874</v>
      </c>
      <c r="T381" s="63">
        <f>IF((((inputs!$P$13/(V381/MAX(K381:S381)))^(1/inputs!$O$13))-1)/inputs!$N$13&lt;0, 0, IF((((inputs!$P$13/(V381/MAX(K381:S381)))^(1/inputs!$O$13))-1)/inputs!$N$13&lt;inputs!$I$17, (((inputs!$P$13/(V381/MAX(K381:S381)))^(1/inputs!$O$13))-1)/inputs!$N$13, inputs!$I$17))</f>
        <v>1000</v>
      </c>
      <c r="U381" s="63">
        <f>IF((((inputs!$P$13/(X381/MAX(K381:S381)))^(1/inputs!$O$13))-1)/inputs!$N$13&lt;0, 0, IF((((inputs!$P$13/(X381/MAX(K381:S381)))^(1/inputs!$O$13))-1)/inputs!$N$13&lt;inputs!$I$17, (((inputs!$P$13/(X381/MAX(K381:S381)))^(1/inputs!$O$13))-1)/inputs!$N$13, inputs!$I$17))</f>
        <v>33.045708596409483</v>
      </c>
      <c r="V381" s="21">
        <f>inputs!$E$78*(F381/inputs!$F$78)^(inputs!$E$84-1)</f>
        <v>4.7210032362467241E-3</v>
      </c>
      <c r="W381" s="21">
        <f>inputs!$E$85*(F381/inputs!$F$85)^(inputs!$E$84-1)</f>
        <v>0.21800723259866231</v>
      </c>
      <c r="X381" s="21">
        <f>inputs!$E$80*(F381/inputs!$F$80)^(inputs!$E$84-1)</f>
        <v>0.81407764071652378</v>
      </c>
      <c r="Y381" s="21">
        <f>inputs!$E$82*(F381/inputs!$F$82)^(inputs!$E$84-1)</f>
        <v>0.37519552035434489</v>
      </c>
      <c r="Z381" s="63">
        <f t="shared" si="29"/>
        <v>1916.3364272915726</v>
      </c>
      <c r="AA381" s="63">
        <f t="shared" si="30"/>
        <v>41.498762986620804</v>
      </c>
    </row>
    <row r="382" spans="1:27" ht="13.2" x14ac:dyDescent="0.25">
      <c r="A382" s="114" t="s">
        <v>307</v>
      </c>
      <c r="B382" s="48" t="s">
        <v>308</v>
      </c>
      <c r="C382" s="20" t="s">
        <v>73</v>
      </c>
      <c r="D382" s="48" t="s">
        <v>296</v>
      </c>
      <c r="E382" s="15">
        <v>88</v>
      </c>
      <c r="F382" s="15">
        <v>4309</v>
      </c>
      <c r="G382" s="20" t="s">
        <v>186</v>
      </c>
      <c r="H382" s="49">
        <v>0.75</v>
      </c>
      <c r="I382" s="68">
        <f>inputs!$C$66*inputs!$C$64/1000</f>
        <v>21.3</v>
      </c>
      <c r="J382" s="68">
        <f>inputs!$C$66*inputs!$C$63/1000</f>
        <v>8.8000000000000007</v>
      </c>
      <c r="K382" s="69">
        <f t="shared" si="34"/>
        <v>3.1918784405746496</v>
      </c>
      <c r="L382" s="69">
        <f t="shared" si="35"/>
        <v>1.3187103416458648</v>
      </c>
      <c r="M382" s="69">
        <f>IF((((1.18*F382^0.874)/3.7-(0.301*F382^0.751)/(1-H382)*H382)*(MAX('Max rate concentrations'!$P$3:$P$368)))/F382&gt;0, (((1.18*F382^0.874)/3.7-(0.301*F382^0.751)/(1-H382)*H382)*(MAX('Max rate concentrations'!$P$3:$P$368)))/F382, 0)</f>
        <v>0</v>
      </c>
      <c r="N382" s="69">
        <f>IF((((1.18*F382^0.874)/3.7-(0.301*F382^0.751)/(1-H382)*H382)*(MAX('Max rate concentrations'!$Q$3:$Q$368)))/F382&gt;0, (((1.18*F382^0.874)/3.7-(0.301*F382^0.751)/(1-H382)*H382)*(MAX('Max rate concentrations'!$Q$3:$Q$368)))/F382, 0)</f>
        <v>0</v>
      </c>
      <c r="O382" s="69">
        <f>((MAX('Max rate concentrations'!$F$3:$F$368))*0.62*6.01*8*(10*F382^0.667)*0.079*0.1/F382)*inputs!$E$80/(10^(0.84+0.62*LOG10(inputs!$E$80)))</f>
        <v>9.0470304749809998</v>
      </c>
      <c r="P382" s="69">
        <f>((MAX('Max rate concentrations'!Y:Y))*0.62*6.01*8*(10*F382^0.667)*0.079*0.1/F382)*inputs!$E$80/(10^(0.84+0.62*LOG10(inputs!$E$80)))</f>
        <v>3.0156768249936663</v>
      </c>
      <c r="Q382" s="69">
        <f>(inputs!$C$18*11.2*(10*F382^0.667)*0.5/F382)*inputs!$E$80/(10^(0.84+0.62*LOG10(inputs!$E$80)))</f>
        <v>1.5935917471422121</v>
      </c>
      <c r="R382" s="59">
        <f>(60*284*((F382/1000)^0.77)*3*24*(MAX('Max rate concentrations'!$R$3:$R$368))/F382)*(inputs!$E$73*3.4/inputs!$E$75)</f>
        <v>2.0099264330814447E-2</v>
      </c>
      <c r="S382" s="59">
        <f>(IF(inputs!$C$17="aerial",((0.025*0.112*inputs!$C$18/3.3)*(3*60*284*((F382/1000)^0.77))*MAX(inputs!$I$14:$I$16))/F382,((0.0083*0.112*inputs!$C$18/1)*(3*60*284*((F382/1000)^0.77))*MAX(inputs!$I$14:$I$16))/F382))*(inputs!E$75*3.4/inputs!$E$73)</f>
        <v>0.11084867764925874</v>
      </c>
      <c r="T382" s="63">
        <f>IF((((inputs!$P$13/(V382/MAX(K382:S382)))^(1/inputs!$O$13))-1)/inputs!$N$13&lt;0, 0, IF((((inputs!$P$13/(V382/MAX(K382:S382)))^(1/inputs!$O$13))-1)/inputs!$N$13&lt;inputs!$I$17, (((inputs!$P$13/(V382/MAX(K382:S382)))^(1/inputs!$O$13))-1)/inputs!$N$13, inputs!$I$17))</f>
        <v>1000</v>
      </c>
      <c r="U382" s="63">
        <f>IF((((inputs!$P$13/(X382/MAX(K382:S382)))^(1/inputs!$O$13))-1)/inputs!$N$13&lt;0, 0, IF((((inputs!$P$13/(X382/MAX(K382:S382)))^(1/inputs!$O$13))-1)/inputs!$N$13&lt;inputs!$I$17, (((inputs!$P$13/(X382/MAX(K382:S382)))^(1/inputs!$O$13))-1)/inputs!$N$13, inputs!$I$17))</f>
        <v>33.045708596409483</v>
      </c>
      <c r="V382" s="21">
        <f>inputs!$E$78*(F382/inputs!$F$78)^(inputs!$E$84-1)</f>
        <v>4.7210032362467241E-3</v>
      </c>
      <c r="W382" s="21">
        <f>inputs!$E$85*(F382/inputs!$F$85)^(inputs!$E$84-1)</f>
        <v>0.21800723259866231</v>
      </c>
      <c r="X382" s="21">
        <f>inputs!$E$80*(F382/inputs!$F$80)^(inputs!$E$84-1)</f>
        <v>0.81407764071652378</v>
      </c>
      <c r="Y382" s="21">
        <f>inputs!$E$82*(F382/inputs!$F$82)^(inputs!$E$84-1)</f>
        <v>0.37519552035434489</v>
      </c>
      <c r="Z382" s="63">
        <f t="shared" si="29"/>
        <v>1916.3364272915726</v>
      </c>
      <c r="AA382" s="63">
        <f t="shared" si="30"/>
        <v>41.498762986620804</v>
      </c>
    </row>
    <row r="383" spans="1:27" ht="13.2" x14ac:dyDescent="0.25">
      <c r="A383" s="103" t="s">
        <v>159</v>
      </c>
      <c r="B383" s="20" t="s">
        <v>160</v>
      </c>
      <c r="C383" s="20" t="s">
        <v>73</v>
      </c>
      <c r="D383" s="104" t="s">
        <v>157</v>
      </c>
      <c r="E383" s="15">
        <v>80</v>
      </c>
      <c r="F383" s="15">
        <v>270</v>
      </c>
      <c r="G383" s="20" t="s">
        <v>152</v>
      </c>
      <c r="H383" s="20">
        <v>0.77</v>
      </c>
      <c r="I383" s="68">
        <f>MAX('Max rate concentrations'!$G$3:$G$368)</f>
        <v>45</v>
      </c>
      <c r="J383" s="68">
        <f>MAX('Max rate concentrations'!Z:Z)</f>
        <v>21</v>
      </c>
      <c r="K383" s="69">
        <f t="shared" si="34"/>
        <v>14.609710024222984</v>
      </c>
      <c r="L383" s="69">
        <f t="shared" si="35"/>
        <v>6.8178646779707259</v>
      </c>
      <c r="M383" s="69">
        <f>IF((((1.18*F383^0.874)/3.7-(0.301*F383^0.751)/(1-H383)*H383)*(MAX('Max rate concentrations'!$P$3:$P$368)))/F383&gt;0, (((1.18*F383^0.874)/3.7-(0.301*F383^0.751)/(1-H383)*H383)*(MAX('Max rate concentrations'!$P$3:$P$368)))/F383, 0)</f>
        <v>0</v>
      </c>
      <c r="N383" s="69">
        <f>IF((((1.18*F383^0.874)/3.7-(0.301*F383^0.751)/(1-H383)*H383)*(MAX('Max rate concentrations'!$Q$3:$Q$368)))/F383&gt;0, (((1.18*F383^0.874)/3.7-(0.301*F383^0.751)/(1-H383)*H383)*(MAX('Max rate concentrations'!$Q$3:$Q$368)))/F383, 0)</f>
        <v>0</v>
      </c>
      <c r="O383" s="69">
        <f>((MAX('Max rate concentrations'!$F$3:$F$368))*0.62*6.01*8*(10*F383^0.667)*0.079*0.1/F383)*inputs!$E$80/(10^(0.84+0.62*LOG10(inputs!$E$80)))</f>
        <v>22.756700421048166</v>
      </c>
      <c r="P383" s="69">
        <f>((MAX('Max rate concentrations'!Y:Y))*0.62*6.01*8*(10*F383^0.667)*0.079*0.1/F383)*inputs!$E$80/(10^(0.84+0.62*LOG10(inputs!$E$80)))</f>
        <v>7.5855668070160549</v>
      </c>
      <c r="Q383" s="69">
        <f>(inputs!$C$18*11.2*(10*F383^0.667)*0.5/F383)*inputs!$E$80/(10^(0.84+0.62*LOG10(inputs!$E$80)))</f>
        <v>4.008485445413096</v>
      </c>
      <c r="R383" s="59">
        <f>(60*284*((F383/1000)^0.77)*3*24*(MAX('Max rate concentrations'!$R$3:$R$368))/F383)*(inputs!$E$73*3.4/inputs!$E$75)</f>
        <v>3.8007831288017109E-2</v>
      </c>
      <c r="S383" s="59">
        <f>(IF(inputs!$C$17="aerial",((0.025*0.112*inputs!$C$18/3.3)*(3*60*284*((F383/1000)^0.77))*MAX(inputs!$I$14:$I$16))/F383,((0.0083*0.112*inputs!$C$18/1)*(3*60*284*((F383/1000)^0.77))*MAX(inputs!$I$14:$I$16))/F383))*(inputs!E$75*3.4/inputs!$E$73)</f>
        <v>0.20961552469030581</v>
      </c>
      <c r="T383" s="63">
        <f>IF((((inputs!$P$13/(V383/MAX(K383:S383)))^(1/inputs!$O$13))-1)/inputs!$N$13&lt;0, 0, IF((((inputs!$P$13/(V383/MAX(K383:S383)))^(1/inputs!$O$13))-1)/inputs!$N$13&lt;inputs!$I$17, (((inputs!$P$13/(V383/MAX(K383:S383)))^(1/inputs!$O$13))-1)/inputs!$N$13, inputs!$I$17))</f>
        <v>1000</v>
      </c>
      <c r="U383" s="63">
        <f>IF((((inputs!$P$13/(X383/MAX(K383:S383)))^(1/inputs!$O$13))-1)/inputs!$N$13&lt;0, 0, IF((((inputs!$P$13/(X383/MAX(K383:S383)))^(1/inputs!$O$13))-1)/inputs!$N$13&lt;inputs!$I$17, (((inputs!$P$13/(X383/MAX(K383:S383)))^(1/inputs!$O$13))-1)/inputs!$N$13, inputs!$I$17))</f>
        <v>30.001469133112153</v>
      </c>
      <c r="V383" s="21">
        <f>inputs!$E$78*(F383/inputs!$F$78)^(inputs!$E$84-1)</f>
        <v>1.3156761686377191E-2</v>
      </c>
      <c r="W383" s="21">
        <f>inputs!$E$85*(F383/inputs!$F$85)^(inputs!$E$84-1)</f>
        <v>0.60755501779480292</v>
      </c>
      <c r="X383" s="21">
        <f>inputs!$E$80*(F383/inputs!$F$80)^(inputs!$E$84-1)</f>
        <v>2.2687181044236309</v>
      </c>
      <c r="Y383" s="21">
        <f>inputs!$E$82*(F383/inputs!$F$82)^(inputs!$E$84-1)</f>
        <v>1.0456163234962925</v>
      </c>
      <c r="Z383" s="63">
        <f t="shared" si="29"/>
        <v>1729.6581760396989</v>
      </c>
      <c r="AA383" s="63">
        <f t="shared" si="30"/>
        <v>37.456196977265471</v>
      </c>
    </row>
    <row r="384" spans="1:27" ht="13.2" x14ac:dyDescent="0.25">
      <c r="A384" s="103" t="s">
        <v>159</v>
      </c>
      <c r="B384" s="20" t="s">
        <v>160</v>
      </c>
      <c r="C384" s="20" t="s">
        <v>73</v>
      </c>
      <c r="D384" s="104" t="s">
        <v>157</v>
      </c>
      <c r="E384" s="15">
        <v>80</v>
      </c>
      <c r="F384" s="15">
        <v>270</v>
      </c>
      <c r="G384" s="20" t="s">
        <v>161</v>
      </c>
      <c r="H384" s="20">
        <v>0.85</v>
      </c>
      <c r="I384" s="68">
        <f>MAX('Max rate concentrations'!$F$3:$F$368)</f>
        <v>405</v>
      </c>
      <c r="J384" s="68">
        <f>MAX('Max rate concentrations'!Y:Y)</f>
        <v>135</v>
      </c>
      <c r="K384" s="69">
        <f t="shared" si="34"/>
        <v>201.61399833427714</v>
      </c>
      <c r="L384" s="69">
        <f t="shared" si="35"/>
        <v>67.204666111425709</v>
      </c>
      <c r="M384" s="69">
        <f>IF((((1.18*F384^0.874)/3.7-(0.301*F384^0.751)/(1-H384)*H384)*(MAX('Max rate concentrations'!$P$3:$P$368)))/F384&gt;0, (((1.18*F384^0.874)/3.7-(0.301*F384^0.751)/(1-H384)*H384)*(MAX('Max rate concentrations'!$P$3:$P$368)))/F384, 0)</f>
        <v>0</v>
      </c>
      <c r="N384" s="69">
        <f>IF((((1.18*F384^0.874)/3.7-(0.301*F384^0.751)/(1-H384)*H384)*(MAX('Max rate concentrations'!$Q$3:$Q$368)))/F384&gt;0, (((1.18*F384^0.874)/3.7-(0.301*F384^0.751)/(1-H384)*H384)*(MAX('Max rate concentrations'!$Q$3:$Q$368)))/F384, 0)</f>
        <v>0</v>
      </c>
      <c r="O384" s="69">
        <f>((MAX('Max rate concentrations'!$F$3:$F$368))*0.62*6.01*8*(10*F384^0.667)*0.079*0.1/F384)*inputs!$E$80/(10^(0.84+0.62*LOG10(inputs!$E$80)))</f>
        <v>22.756700421048166</v>
      </c>
      <c r="P384" s="69">
        <f>((MAX('Max rate concentrations'!Y:Y))*0.62*6.01*8*(10*F384^0.667)*0.079*0.1/F384)*inputs!$E$80/(10^(0.84+0.62*LOG10(inputs!$E$80)))</f>
        <v>7.5855668070160549</v>
      </c>
      <c r="Q384" s="69">
        <f>(inputs!$C$18*11.2*(10*F384^0.667)*0.5/F384)*inputs!$E$80/(10^(0.84+0.62*LOG10(inputs!$E$80)))</f>
        <v>4.008485445413096</v>
      </c>
      <c r="R384" s="59">
        <f>(60*284*((F384/1000)^0.77)*3*24*(MAX('Max rate concentrations'!$R$3:$R$368))/F384)*(inputs!$E$73*3.4/inputs!$E$75)</f>
        <v>3.8007831288017109E-2</v>
      </c>
      <c r="S384" s="59">
        <f>(IF(inputs!$C$17="aerial",((0.025*0.112*inputs!$C$18/3.3)*(3*60*284*((F384/1000)^0.77))*MAX(inputs!$I$14:$I$16))/F384,((0.0083*0.112*inputs!$C$18/1)*(3*60*284*((F384/1000)^0.77))*MAX(inputs!$I$14:$I$16))/F384))*(inputs!E$75*3.4/inputs!$E$73)</f>
        <v>0.20961552469030581</v>
      </c>
      <c r="T384" s="63">
        <f>IF((((inputs!$P$13/(V384/MAX(K384:S384)))^(1/inputs!$O$13))-1)/inputs!$N$13&lt;0, 0, IF((((inputs!$P$13/(V384/MAX(K384:S384)))^(1/inputs!$O$13))-1)/inputs!$N$13&lt;inputs!$I$17, (((inputs!$P$13/(V384/MAX(K384:S384)))^(1/inputs!$O$13))-1)/inputs!$N$13, inputs!$I$17))</f>
        <v>1000</v>
      </c>
      <c r="U384" s="63">
        <f>IF((((inputs!$P$13/(X384/MAX(K384:S384)))^(1/inputs!$O$13))-1)/inputs!$N$13&lt;0, 0, IF((((inputs!$P$13/(X384/MAX(K384:S384)))^(1/inputs!$O$13))-1)/inputs!$N$13&lt;inputs!$I$17, (((inputs!$P$13/(X384/MAX(K384:S384)))^(1/inputs!$O$13))-1)/inputs!$N$13, inputs!$I$17))</f>
        <v>200.38096133560373</v>
      </c>
      <c r="V384" s="21">
        <f>inputs!$E$78*(F384/inputs!$F$78)^(inputs!$E$84-1)</f>
        <v>1.3156761686377191E-2</v>
      </c>
      <c r="W384" s="21">
        <f>inputs!$E$85*(F384/inputs!$F$85)^(inputs!$E$84-1)</f>
        <v>0.60755501779480292</v>
      </c>
      <c r="X384" s="21">
        <f>inputs!$E$80*(F384/inputs!$F$80)^(inputs!$E$84-1)</f>
        <v>2.2687181044236309</v>
      </c>
      <c r="Y384" s="21">
        <f>inputs!$E$82*(F384/inputs!$F$82)^(inputs!$E$84-1)</f>
        <v>1.0456163234962925</v>
      </c>
      <c r="Z384" s="63">
        <f t="shared" si="29"/>
        <v>15323.983449744541</v>
      </c>
      <c r="AA384" s="63">
        <f t="shared" si="30"/>
        <v>331.84484109119933</v>
      </c>
    </row>
    <row r="385" spans="1:27" ht="13.2" x14ac:dyDescent="0.25">
      <c r="A385" s="103" t="s">
        <v>159</v>
      </c>
      <c r="B385" s="20" t="s">
        <v>160</v>
      </c>
      <c r="C385" s="20" t="s">
        <v>73</v>
      </c>
      <c r="D385" s="104" t="s">
        <v>157</v>
      </c>
      <c r="E385" s="15">
        <v>80</v>
      </c>
      <c r="F385" s="15">
        <v>270</v>
      </c>
      <c r="G385" s="20" t="s">
        <v>154</v>
      </c>
      <c r="H385" s="20">
        <v>9.2999999999999999E-2</v>
      </c>
      <c r="I385" s="68">
        <f>MAX('Max rate concentrations'!$G$3:$G$368)</f>
        <v>45</v>
      </c>
      <c r="J385" s="68">
        <f>MAX('Max rate concentrations'!Z:Z)</f>
        <v>21</v>
      </c>
      <c r="K385" s="69">
        <f t="shared" si="34"/>
        <v>3.7047776246651445</v>
      </c>
      <c r="L385" s="69">
        <f t="shared" si="35"/>
        <v>1.7288962248437341</v>
      </c>
      <c r="M385" s="69">
        <f>IF((((1.18*F385^0.874)/3.7-(0.301*F385^0.751)/(1-H385)*H385)*(MAX('Max rate concentrations'!$P$3:$P$368)))/F385&gt;0, (((1.18*F385^0.874)/3.7-(0.301*F385^0.751)/(1-H385)*H385)*(MAX('Max rate concentrations'!$P$3:$P$368)))/F385, 0)</f>
        <v>0.1305120250186608</v>
      </c>
      <c r="N385" s="69">
        <f>IF((((1.18*F385^0.874)/3.7-(0.301*F385^0.751)/(1-H385)*H385)*(MAX('Max rate concentrations'!$Q$3:$Q$368)))/F385&gt;0, (((1.18*F385^0.874)/3.7-(0.301*F385^0.751)/(1-H385)*H385)*(MAX('Max rate concentrations'!$Q$3:$Q$368)))/F385, 0)</f>
        <v>0.49699680390209405</v>
      </c>
      <c r="O385" s="69">
        <f>((MAX('Max rate concentrations'!$F$3:$F$368))*0.62*6.01*8*(10*F385^0.667)*0.079*0.1/F385)*inputs!$E$80/(10^(0.84+0.62*LOG10(inputs!$E$80)))</f>
        <v>22.756700421048166</v>
      </c>
      <c r="P385" s="69">
        <f>((MAX('Max rate concentrations'!Y:Y))*0.62*6.01*8*(10*F385^0.667)*0.079*0.1/F385)*inputs!$E$80/(10^(0.84+0.62*LOG10(inputs!$E$80)))</f>
        <v>7.5855668070160549</v>
      </c>
      <c r="Q385" s="69">
        <f>(inputs!$C$18*11.2*(10*F385^0.667)*0.5/F385)*inputs!$E$80/(10^(0.84+0.62*LOG10(inputs!$E$80)))</f>
        <v>4.008485445413096</v>
      </c>
      <c r="R385" s="59">
        <f>(60*284*((F385/1000)^0.77)*3*24*(MAX('Max rate concentrations'!$R$3:$R$368))/F385)*(inputs!$E$73*3.4/inputs!$E$75)</f>
        <v>3.8007831288017109E-2</v>
      </c>
      <c r="S385" s="59">
        <f>(IF(inputs!$C$17="aerial",((0.025*0.112*inputs!$C$18/3.3)*(3*60*284*((F385/1000)^0.77))*MAX(inputs!$I$14:$I$16))/F385,((0.0083*0.112*inputs!$C$18/1)*(3*60*284*((F385/1000)^0.77))*MAX(inputs!$I$14:$I$16))/F385))*(inputs!E$75*3.4/inputs!$E$73)</f>
        <v>0.20961552469030581</v>
      </c>
      <c r="T385" s="63">
        <f>IF((((inputs!$P$13/(V385/MAX(K385:S385)))^(1/inputs!$O$13))-1)/inputs!$N$13&lt;0, 0, IF((((inputs!$P$13/(V385/MAX(K385:S385)))^(1/inputs!$O$13))-1)/inputs!$N$13&lt;inputs!$I$17, (((inputs!$P$13/(V385/MAX(K385:S385)))^(1/inputs!$O$13))-1)/inputs!$N$13, inputs!$I$17))</f>
        <v>1000</v>
      </c>
      <c r="U385" s="63">
        <f>IF((((inputs!$P$13/(X385/MAX(K385:S385)))^(1/inputs!$O$13))-1)/inputs!$N$13&lt;0, 0, IF((((inputs!$P$13/(X385/MAX(K385:S385)))^(1/inputs!$O$13))-1)/inputs!$N$13&lt;inputs!$I$17, (((inputs!$P$13/(X385/MAX(K385:S385)))^(1/inputs!$O$13))-1)/inputs!$N$13, inputs!$I$17))</f>
        <v>30.001469133112153</v>
      </c>
      <c r="V385" s="21">
        <f>inputs!$E$78*(F385/inputs!$F$78)^(inputs!$E$84-1)</f>
        <v>1.3156761686377191E-2</v>
      </c>
      <c r="W385" s="21">
        <f>inputs!$E$85*(F385/inputs!$F$85)^(inputs!$E$84-1)</f>
        <v>0.60755501779480292</v>
      </c>
      <c r="X385" s="21">
        <f>inputs!$E$80*(F385/inputs!$F$80)^(inputs!$E$84-1)</f>
        <v>2.2687181044236309</v>
      </c>
      <c r="Y385" s="21">
        <f>inputs!$E$82*(F385/inputs!$F$82)^(inputs!$E$84-1)</f>
        <v>1.0456163234962925</v>
      </c>
      <c r="Z385" s="63">
        <f t="shared" si="29"/>
        <v>1729.6581760396989</v>
      </c>
      <c r="AA385" s="63">
        <f t="shared" si="30"/>
        <v>37.456196977265471</v>
      </c>
    </row>
    <row r="386" spans="1:27" ht="13.2" x14ac:dyDescent="0.25">
      <c r="A386" s="103" t="s">
        <v>155</v>
      </c>
      <c r="B386" s="20" t="s">
        <v>156</v>
      </c>
      <c r="C386" s="20" t="s">
        <v>73</v>
      </c>
      <c r="D386" s="104" t="s">
        <v>157</v>
      </c>
      <c r="E386" s="15">
        <v>10021</v>
      </c>
      <c r="F386" s="15">
        <v>293</v>
      </c>
      <c r="G386" s="20" t="s">
        <v>152</v>
      </c>
      <c r="H386" s="20">
        <v>0.77</v>
      </c>
      <c r="I386" s="68">
        <f>MAX('Max rate concentrations'!$G$3:$G$368)</f>
        <v>45</v>
      </c>
      <c r="J386" s="68">
        <f>MAX('Max rate concentrations'!Z:Z)</f>
        <v>21</v>
      </c>
      <c r="K386" s="69">
        <f t="shared" si="34"/>
        <v>14.315322483372963</v>
      </c>
      <c r="L386" s="69">
        <f t="shared" si="35"/>
        <v>6.6804838255740497</v>
      </c>
      <c r="M386" s="69">
        <f>IF((((1.18*F386^0.874)/3.7-(0.301*F386^0.751)/(1-H386)*H386)*(MAX('Max rate concentrations'!$P$3:$P$368)))/F386&gt;0, (((1.18*F386^0.874)/3.7-(0.301*F386^0.751)/(1-H386)*H386)*(MAX('Max rate concentrations'!$P$3:$P$368)))/F386, 0)</f>
        <v>0</v>
      </c>
      <c r="N386" s="69">
        <f>IF((((1.18*F386^0.874)/3.7-(0.301*F386^0.751)/(1-H386)*H386)*(MAX('Max rate concentrations'!$Q$3:$Q$368)))/F386&gt;0, (((1.18*F386^0.874)/3.7-(0.301*F386^0.751)/(1-H386)*H386)*(MAX('Max rate concentrations'!$Q$3:$Q$368)))/F386, 0)</f>
        <v>0</v>
      </c>
      <c r="O386" s="69">
        <f>((MAX('Max rate concentrations'!$F$3:$F$368))*0.62*6.01*8*(10*F386^0.667)*0.079*0.1/F386)*inputs!$E$80/(10^(0.84+0.62*LOG10(inputs!$E$80)))</f>
        <v>22.145551909085178</v>
      </c>
      <c r="P386" s="69">
        <f>((MAX('Max rate concentrations'!Y:Y))*0.62*6.01*8*(10*F386^0.667)*0.079*0.1/F386)*inputs!$E$80/(10^(0.84+0.62*LOG10(inputs!$E$80)))</f>
        <v>7.381850636361726</v>
      </c>
      <c r="Q386" s="69">
        <f>(inputs!$C$18*11.2*(10*F386^0.667)*0.5/F386)*inputs!$E$80/(10^(0.84+0.62*LOG10(inputs!$E$80)))</f>
        <v>3.900834517560495</v>
      </c>
      <c r="R386" s="59">
        <f>(60*284*((F386/1000)^0.77)*3*24*(MAX('Max rate concentrations'!$R$3:$R$368))/F386)*(inputs!$E$73*3.4/inputs!$E$75)</f>
        <v>3.7299860082970628E-2</v>
      </c>
      <c r="S386" s="59">
        <f>(IF(inputs!$C$17="aerial",((0.025*0.112*inputs!$C$18/3.3)*(3*60*284*((F386/1000)^0.77))*MAX(inputs!$I$14:$I$16))/F386,((0.0083*0.112*inputs!$C$18/1)*(3*60*284*((F386/1000)^0.77))*MAX(inputs!$I$14:$I$16))/F386))*(inputs!E$75*3.4/inputs!$E$73)</f>
        <v>0.20571101999792069</v>
      </c>
      <c r="T386" s="63">
        <f>IF((((inputs!$P$13/(V386/MAX(K386:S386)))^(1/inputs!$O$13))-1)/inputs!$N$13&lt;0, 0, IF((((inputs!$P$13/(V386/MAX(K386:S386)))^(1/inputs!$O$13))-1)/inputs!$N$13&lt;inputs!$I$17, (((inputs!$P$13/(V386/MAX(K386:S386)))^(1/inputs!$O$13))-1)/inputs!$N$13, inputs!$I$17))</f>
        <v>1000</v>
      </c>
      <c r="U386" s="63">
        <f>IF((((inputs!$P$13/(X386/MAX(K386:S386)))^(1/inputs!$O$13))-1)/inputs!$N$13&lt;0, 0, IF((((inputs!$P$13/(X386/MAX(K386:S386)))^(1/inputs!$O$13))-1)/inputs!$N$13&lt;inputs!$I$17, (((inputs!$P$13/(X386/MAX(K386:S386)))^(1/inputs!$O$13))-1)/inputs!$N$13, inputs!$I$17))</f>
        <v>30.087745838715811</v>
      </c>
      <c r="V386" s="21">
        <f>inputs!$E$78*(F386/inputs!$F$78)^(inputs!$E$84-1)</f>
        <v>1.2764757875167079E-2</v>
      </c>
      <c r="W386" s="21">
        <f>inputs!$E$85*(F386/inputs!$F$85)^(inputs!$E$84-1)</f>
        <v>0.58945300392751587</v>
      </c>
      <c r="X386" s="21">
        <f>inputs!$E$80*(F386/inputs!$F$80)^(inputs!$E$84-1)</f>
        <v>2.2011219766913568</v>
      </c>
      <c r="Y386" s="21">
        <f>inputs!$E$82*(F386/inputs!$F$82)^(inputs!$E$84-1)</f>
        <v>1.0144623363948573</v>
      </c>
      <c r="Z386" s="63">
        <f t="shared" ref="Z386:Z451" si="36">MAX(K386:S386)/V386</f>
        <v>1734.8979217355748</v>
      </c>
      <c r="AA386" s="63">
        <f t="shared" ref="AA386:AA451" si="37">MAX(K386:S386)/W386</f>
        <v>37.569665031019817</v>
      </c>
    </row>
    <row r="387" spans="1:27" ht="13.2" x14ac:dyDescent="0.25">
      <c r="A387" s="103" t="s">
        <v>155</v>
      </c>
      <c r="B387" s="20" t="s">
        <v>156</v>
      </c>
      <c r="C387" s="20" t="s">
        <v>73</v>
      </c>
      <c r="D387" s="104" t="s">
        <v>157</v>
      </c>
      <c r="E387" s="15">
        <v>10021</v>
      </c>
      <c r="F387" s="15">
        <v>293</v>
      </c>
      <c r="G387" s="20" t="s">
        <v>158</v>
      </c>
      <c r="H387" s="20">
        <v>0.85</v>
      </c>
      <c r="I387" s="68">
        <f>MAX('Max rate concentrations'!$F$3:$F$368)</f>
        <v>405</v>
      </c>
      <c r="J387" s="68">
        <f>MAX('Max rate concentrations'!Y:Y)</f>
        <v>135</v>
      </c>
      <c r="K387" s="69">
        <f t="shared" si="34"/>
        <v>197.55145027054687</v>
      </c>
      <c r="L387" s="69">
        <f t="shared" si="35"/>
        <v>65.850483423515627</v>
      </c>
      <c r="M387" s="69">
        <f>IF((((1.18*F387^0.874)/3.7-(0.301*F387^0.751)/(1-H387)*H387)*(MAX('Max rate concentrations'!$P$3:$P$368)))/F387&gt;0, (((1.18*F387^0.874)/3.7-(0.301*F387^0.751)/(1-H387)*H387)*(MAX('Max rate concentrations'!$P$3:$P$368)))/F387, 0)</f>
        <v>0</v>
      </c>
      <c r="N387" s="69">
        <f>IF((((1.18*F387^0.874)/3.7-(0.301*F387^0.751)/(1-H387)*H387)*(MAX('Max rate concentrations'!$Q$3:$Q$368)))/F387&gt;0, (((1.18*F387^0.874)/3.7-(0.301*F387^0.751)/(1-H387)*H387)*(MAX('Max rate concentrations'!$Q$3:$Q$368)))/F387, 0)</f>
        <v>0</v>
      </c>
      <c r="O387" s="69">
        <f>((MAX('Max rate concentrations'!$F$3:$F$368))*0.62*6.01*8*(10*F387^0.667)*0.079*0.1/F387)*inputs!$E$80/(10^(0.84+0.62*LOG10(inputs!$E$80)))</f>
        <v>22.145551909085178</v>
      </c>
      <c r="P387" s="69">
        <f>((MAX('Max rate concentrations'!Y:Y))*0.62*6.01*8*(10*F387^0.667)*0.079*0.1/F387)*inputs!$E$80/(10^(0.84+0.62*LOG10(inputs!$E$80)))</f>
        <v>7.381850636361726</v>
      </c>
      <c r="Q387" s="69">
        <f>(inputs!$C$18*11.2*(10*F387^0.667)*0.5/F387)*inputs!$E$80/(10^(0.84+0.62*LOG10(inputs!$E$80)))</f>
        <v>3.900834517560495</v>
      </c>
      <c r="R387" s="59">
        <f>(60*284*((F387/1000)^0.77)*3*24*(MAX('Max rate concentrations'!$R$3:$R$368))/F387)*(inputs!$E$73*3.4/inputs!$E$75)</f>
        <v>3.7299860082970628E-2</v>
      </c>
      <c r="S387" s="59">
        <f>(IF(inputs!$C$17="aerial",((0.025*0.112*inputs!$C$18/3.3)*(3*60*284*((F387/1000)^0.77))*MAX(inputs!$I$14:$I$16))/F387,((0.0083*0.112*inputs!$C$18/1)*(3*60*284*((F387/1000)^0.77))*MAX(inputs!$I$14:$I$16))/F387))*(inputs!E$75*3.4/inputs!$E$73)</f>
        <v>0.20571101999792069</v>
      </c>
      <c r="T387" s="63">
        <f>IF((((inputs!$P$13/(V387/MAX(K387:S387)))^(1/inputs!$O$13))-1)/inputs!$N$13&lt;0, 0, IF((((inputs!$P$13/(V387/MAX(K387:S387)))^(1/inputs!$O$13))-1)/inputs!$N$13&lt;inputs!$I$17, (((inputs!$P$13/(V387/MAX(K387:S387)))^(1/inputs!$O$13))-1)/inputs!$N$13, inputs!$I$17))</f>
        <v>1000</v>
      </c>
      <c r="U387" s="63">
        <f>IF((((inputs!$P$13/(X387/MAX(K387:S387)))^(1/inputs!$O$13))-1)/inputs!$N$13&lt;0, 0, IF((((inputs!$P$13/(X387/MAX(K387:S387)))^(1/inputs!$O$13))-1)/inputs!$N$13&lt;inputs!$I$17, (((inputs!$P$13/(X387/MAX(K387:S387)))^(1/inputs!$O$13))-1)/inputs!$N$13, inputs!$I$17))</f>
        <v>202.03226240396586</v>
      </c>
      <c r="V387" s="21">
        <f>inputs!$E$78*(F387/inputs!$F$78)^(inputs!$E$84-1)</f>
        <v>1.2764757875167079E-2</v>
      </c>
      <c r="W387" s="21">
        <f>inputs!$E$85*(F387/inputs!$F$85)^(inputs!$E$84-1)</f>
        <v>0.58945300392751587</v>
      </c>
      <c r="X387" s="21">
        <f>inputs!$E$80*(F387/inputs!$F$80)^(inputs!$E$84-1)</f>
        <v>2.2011219766913568</v>
      </c>
      <c r="Y387" s="21">
        <f>inputs!$E$82*(F387/inputs!$F$82)^(inputs!$E$84-1)</f>
        <v>1.0144623363948573</v>
      </c>
      <c r="Z387" s="63">
        <f t="shared" si="36"/>
        <v>15476.31785910088</v>
      </c>
      <c r="AA387" s="63">
        <f t="shared" si="37"/>
        <v>335.14368228555071</v>
      </c>
    </row>
    <row r="388" spans="1:27" ht="13.2" x14ac:dyDescent="0.25">
      <c r="A388" s="103" t="s">
        <v>155</v>
      </c>
      <c r="B388" s="20" t="s">
        <v>156</v>
      </c>
      <c r="C388" s="20" t="s">
        <v>73</v>
      </c>
      <c r="D388" s="104" t="s">
        <v>157</v>
      </c>
      <c r="E388" s="15">
        <v>10021</v>
      </c>
      <c r="F388" s="15">
        <v>293</v>
      </c>
      <c r="G388" s="20" t="s">
        <v>154</v>
      </c>
      <c r="H388" s="20">
        <v>9.2999999999999999E-2</v>
      </c>
      <c r="I388" s="68">
        <f>MAX('Max rate concentrations'!$G$3:$G$368)</f>
        <v>45</v>
      </c>
      <c r="J388" s="68">
        <f>MAX('Max rate concentrations'!Z:Z)</f>
        <v>21</v>
      </c>
      <c r="K388" s="69">
        <f t="shared" si="34"/>
        <v>3.6301258778123278</v>
      </c>
      <c r="L388" s="69">
        <f t="shared" si="35"/>
        <v>1.6940587429790863</v>
      </c>
      <c r="M388" s="69">
        <f>IF((((1.18*F388^0.874)/3.7-(0.301*F388^0.751)/(1-H388)*H388)*(MAX('Max rate concentrations'!$P$3:$P$368)))/F388&gt;0, (((1.18*F388^0.874)/3.7-(0.301*F388^0.751)/(1-H388)*H388)*(MAX('Max rate concentrations'!$P$3:$P$368)))/F388, 0)</f>
        <v>0.12924060451554728</v>
      </c>
      <c r="N388" s="69">
        <f>IF((((1.18*F388^0.874)/3.7-(0.301*F388^0.751)/(1-H388)*H388)*(MAX('Max rate concentrations'!$Q$3:$Q$368)))/F388&gt;0, (((1.18*F388^0.874)/3.7-(0.301*F388^0.751)/(1-H388)*H388)*(MAX('Max rate concentrations'!$Q$3:$Q$368)))/F388, 0)</f>
        <v>0.49215516631067152</v>
      </c>
      <c r="O388" s="69">
        <f>((MAX('Max rate concentrations'!$F$3:$F$368))*0.62*6.01*8*(10*F388^0.667)*0.079*0.1/F388)*inputs!$E$80/(10^(0.84+0.62*LOG10(inputs!$E$80)))</f>
        <v>22.145551909085178</v>
      </c>
      <c r="P388" s="69">
        <f>((MAX('Max rate concentrations'!Y:Y))*0.62*6.01*8*(10*F388^0.667)*0.079*0.1/F388)*inputs!$E$80/(10^(0.84+0.62*LOG10(inputs!$E$80)))</f>
        <v>7.381850636361726</v>
      </c>
      <c r="Q388" s="69">
        <f>(inputs!$C$18*11.2*(10*F388^0.667)*0.5/F388)*inputs!$E$80/(10^(0.84+0.62*LOG10(inputs!$E$80)))</f>
        <v>3.900834517560495</v>
      </c>
      <c r="R388" s="59">
        <f>(60*284*((F388/1000)^0.77)*3*24*(MAX('Max rate concentrations'!$R$3:$R$368))/F388)*(inputs!$E$73*3.4/inputs!$E$75)</f>
        <v>3.7299860082970628E-2</v>
      </c>
      <c r="S388" s="59">
        <f>(IF(inputs!$C$17="aerial",((0.025*0.112*inputs!$C$18/3.3)*(3*60*284*((F388/1000)^0.77))*MAX(inputs!$I$14:$I$16))/F388,((0.0083*0.112*inputs!$C$18/1)*(3*60*284*((F388/1000)^0.77))*MAX(inputs!$I$14:$I$16))/F388))*(inputs!E$75*3.4/inputs!$E$73)</f>
        <v>0.20571101999792069</v>
      </c>
      <c r="T388" s="63">
        <f>IF((((inputs!$P$13/(V388/MAX(K388:S388)))^(1/inputs!$O$13))-1)/inputs!$N$13&lt;0, 0, IF((((inputs!$P$13/(V388/MAX(K388:S388)))^(1/inputs!$O$13))-1)/inputs!$N$13&lt;inputs!$I$17, (((inputs!$P$13/(V388/MAX(K388:S388)))^(1/inputs!$O$13))-1)/inputs!$N$13, inputs!$I$17))</f>
        <v>1000</v>
      </c>
      <c r="U388" s="63">
        <f>IF((((inputs!$P$13/(X388/MAX(K388:S388)))^(1/inputs!$O$13))-1)/inputs!$N$13&lt;0, 0, IF((((inputs!$P$13/(X388/MAX(K388:S388)))^(1/inputs!$O$13))-1)/inputs!$N$13&lt;inputs!$I$17, (((inputs!$P$13/(X388/MAX(K388:S388)))^(1/inputs!$O$13))-1)/inputs!$N$13, inputs!$I$17))</f>
        <v>30.087745838715811</v>
      </c>
      <c r="V388" s="21">
        <f>inputs!$E$78*(F388/inputs!$F$78)^(inputs!$E$84-1)</f>
        <v>1.2764757875167079E-2</v>
      </c>
      <c r="W388" s="21">
        <f>inputs!$E$85*(F388/inputs!$F$85)^(inputs!$E$84-1)</f>
        <v>0.58945300392751587</v>
      </c>
      <c r="X388" s="21">
        <f>inputs!$E$80*(F388/inputs!$F$80)^(inputs!$E$84-1)</f>
        <v>2.2011219766913568</v>
      </c>
      <c r="Y388" s="21">
        <f>inputs!$E$82*(F388/inputs!$F$82)^(inputs!$E$84-1)</f>
        <v>1.0144623363948573</v>
      </c>
      <c r="Z388" s="63">
        <f t="shared" si="36"/>
        <v>1734.8979217355748</v>
      </c>
      <c r="AA388" s="63">
        <f t="shared" si="37"/>
        <v>37.569665031019817</v>
      </c>
    </row>
    <row r="389" spans="1:27" ht="13.2" x14ac:dyDescent="0.25">
      <c r="A389" s="103" t="s">
        <v>355</v>
      </c>
      <c r="B389" s="20" t="s">
        <v>356</v>
      </c>
      <c r="C389" s="20" t="s">
        <v>73</v>
      </c>
      <c r="D389" s="104" t="s">
        <v>354</v>
      </c>
      <c r="E389" s="15">
        <v>129</v>
      </c>
      <c r="F389" s="15">
        <v>518</v>
      </c>
      <c r="G389" s="20" t="s">
        <v>142</v>
      </c>
      <c r="H389" s="20">
        <v>0.69</v>
      </c>
      <c r="I389" s="68">
        <f>MAX('Max rate concentrations'!$H$3:$H$368)</f>
        <v>282</v>
      </c>
      <c r="J389" s="68">
        <f>MAX('Max rate concentrations'!AA:AA)</f>
        <v>195</v>
      </c>
      <c r="K389" s="69">
        <f t="shared" si="34"/>
        <v>57.754496213680248</v>
      </c>
      <c r="L389" s="69">
        <f t="shared" si="35"/>
        <v>39.936619722225707</v>
      </c>
      <c r="M389" s="69">
        <f>IF((((1.18*F389^0.874)/3.7-(0.301*F389^0.751)/(1-H389)*H389)*(MAX('Max rate concentrations'!$P$3:$P$368)))/F389&gt;0, (((1.18*F389^0.874)/3.7-(0.301*F389^0.751)/(1-H389)*H389)*(MAX('Max rate concentrations'!$P$3:$P$368)))/F389, 0)</f>
        <v>3.2991449259142948E-3</v>
      </c>
      <c r="N389" s="69">
        <f>IF((((1.18*F389^0.874)/3.7-(0.301*F389^0.751)/(1-H389)*H389)*(MAX('Max rate concentrations'!$Q$3:$Q$368)))/F389&gt;0, (((1.18*F389^0.874)/3.7-(0.301*F389^0.751)/(1-H389)*H389)*(MAX('Max rate concentrations'!$Q$3:$Q$368)))/F389, 0)</f>
        <v>1.2563321146497984E-2</v>
      </c>
      <c r="O389" s="69">
        <f>((MAX('Max rate concentrations'!$F$3:$F$368))*0.62*6.01*8*(10*F389^0.667)*0.079*0.1/F389)*inputs!$E$80/(10^(0.84+0.62*LOG10(inputs!$E$80)))</f>
        <v>18.318150203245249</v>
      </c>
      <c r="P389" s="69">
        <f>((MAX('Max rate concentrations'!Y:Y))*0.62*6.01*8*(10*F389^0.667)*0.079*0.1/F389)*inputs!$E$80/(10^(0.84+0.62*LOG10(inputs!$E$80)))</f>
        <v>6.1060500677484164</v>
      </c>
      <c r="Q389" s="69">
        <f>(inputs!$C$18*11.2*(10*F389^0.667)*0.5/F389)*inputs!$E$80/(10^(0.84+0.62*LOG10(inputs!$E$80)))</f>
        <v>3.2266557593158076</v>
      </c>
      <c r="R389" s="59">
        <f>(60*284*((F389/1000)^0.77)*3*24*(MAX('Max rate concentrations'!$R$3:$R$368))/F389)*(inputs!$E$73*3.4/inputs!$E$75)</f>
        <v>3.2718313593658753E-2</v>
      </c>
      <c r="S389" s="59">
        <f>(IF(inputs!$C$17="aerial",((0.025*0.112*inputs!$C$18/3.3)*(3*60*284*((F389/1000)^0.77))*MAX(inputs!$I$14:$I$16))/F389,((0.0083*0.112*inputs!$C$18/1)*(3*60*284*((F389/1000)^0.77))*MAX(inputs!$I$14:$I$16))/F389))*(inputs!E$75*3.4/inputs!$E$73)</f>
        <v>0.18044350962689581</v>
      </c>
      <c r="T389" s="63">
        <f>IF((((inputs!$P$13/(V389/MAX(K389:S389)))^(1/inputs!$O$13))-1)/inputs!$N$13&lt;0, 0, IF((((inputs!$P$13/(V389/MAX(K389:S389)))^(1/inputs!$O$13))-1)/inputs!$N$13&lt;inputs!$I$17, (((inputs!$P$13/(V389/MAX(K389:S389)))^(1/inputs!$O$13))-1)/inputs!$N$13, inputs!$I$17))</f>
        <v>1000</v>
      </c>
      <c r="U389" s="63">
        <f>IF((((inputs!$P$13/(X389/MAX(K389:S389)))^(1/inputs!$O$13))-1)/inputs!$N$13&lt;0, 0, IF((((inputs!$P$13/(X389/MAX(K389:S389)))^(1/inputs!$O$13))-1)/inputs!$N$13&lt;inputs!$I$17, (((inputs!$P$13/(X389/MAX(K389:S389)))^(1/inputs!$O$13))-1)/inputs!$N$13, inputs!$I$17))</f>
        <v>85.690997572930513</v>
      </c>
      <c r="V389" s="21">
        <f>inputs!$E$78*(F389/inputs!$F$78)^(inputs!$E$84-1)</f>
        <v>1.033835854431058E-2</v>
      </c>
      <c r="W389" s="21">
        <f>inputs!$E$85*(F389/inputs!$F$85)^(inputs!$E$84-1)</f>
        <v>0.47740635264840908</v>
      </c>
      <c r="X389" s="21">
        <f>inputs!$E$80*(F389/inputs!$F$80)^(inputs!$E$84-1)</f>
        <v>1.7827199244465908</v>
      </c>
      <c r="Y389" s="21">
        <f>inputs!$E$82*(F389/inputs!$F$82)^(inputs!$E$84-1)</f>
        <v>0.82162744220573558</v>
      </c>
      <c r="Z389" s="63">
        <f t="shared" si="36"/>
        <v>5586.4280549124296</v>
      </c>
      <c r="AA389" s="63">
        <f t="shared" si="37"/>
        <v>120.975550269257</v>
      </c>
    </row>
    <row r="390" spans="1:27" ht="13.2" x14ac:dyDescent="0.25">
      <c r="A390" s="103" t="s">
        <v>355</v>
      </c>
      <c r="B390" s="20" t="s">
        <v>356</v>
      </c>
      <c r="C390" s="20" t="s">
        <v>73</v>
      </c>
      <c r="D390" s="104" t="s">
        <v>354</v>
      </c>
      <c r="E390" s="15">
        <v>129</v>
      </c>
      <c r="F390" s="15">
        <v>518</v>
      </c>
      <c r="G390" s="20" t="s">
        <v>138</v>
      </c>
      <c r="H390" s="20">
        <v>0.68</v>
      </c>
      <c r="I390" s="68">
        <f>MAX('Max rate concentrations'!$L$3:$L$368)</f>
        <v>350.52744091332482</v>
      </c>
      <c r="J390" s="68">
        <f>MAX('Max rate concentrations'!AD:AD)</f>
        <v>242.38599637623525</v>
      </c>
      <c r="K390" s="69">
        <f t="shared" si="34"/>
        <v>69.545723462944281</v>
      </c>
      <c r="L390" s="69">
        <f t="shared" si="35"/>
        <v>48.090127926504024</v>
      </c>
      <c r="M390" s="69">
        <f>IF((((1.18*F390^0.874)/3.7-(0.301*F390^0.751)/(1-H390)*H390)*(MAX('Max rate concentrations'!$P$3:$P$368)))/F390&gt;0, (((1.18*F390^0.874)/3.7-(0.301*F390^0.751)/(1-H390)*H390)*(MAX('Max rate concentrations'!$P$3:$P$368)))/F390, 0)</f>
        <v>8.8729158058296811E-3</v>
      </c>
      <c r="N390" s="69">
        <f>IF((((1.18*F390^0.874)/3.7-(0.301*F390^0.751)/(1-H390)*H390)*(MAX('Max rate concentrations'!$Q$3:$Q$368)))/F390&gt;0, (((1.18*F390^0.874)/3.7-(0.301*F390^0.751)/(1-H390)*H390)*(MAX('Max rate concentrations'!$Q$3:$Q$368)))/F390, 0)</f>
        <v>3.3788540145317666E-2</v>
      </c>
      <c r="O390" s="69">
        <f>((MAX('Max rate concentrations'!$F$3:$F$368))*0.62*6.01*8*(10*F390^0.667)*0.079*0.1/F390)*inputs!$E$80/(10^(0.84+0.62*LOG10(inputs!$E$80)))</f>
        <v>18.318150203245249</v>
      </c>
      <c r="P390" s="69">
        <f>((MAX('Max rate concentrations'!Y:Y))*0.62*6.01*8*(10*F390^0.667)*0.079*0.1/F390)*inputs!$E$80/(10^(0.84+0.62*LOG10(inputs!$E$80)))</f>
        <v>6.1060500677484164</v>
      </c>
      <c r="Q390" s="69">
        <f>(inputs!$C$18*11.2*(10*F390^0.667)*0.5/F390)*inputs!$E$80/(10^(0.84+0.62*LOG10(inputs!$E$80)))</f>
        <v>3.2266557593158076</v>
      </c>
      <c r="R390" s="59">
        <f>(60*284*((F390/1000)^0.77)*3*24*(MAX('Max rate concentrations'!$R$3:$R$368))/F390)*(inputs!$E$73*3.4/inputs!$E$75)</f>
        <v>3.2718313593658753E-2</v>
      </c>
      <c r="S390" s="59">
        <f>(IF(inputs!$C$17="aerial",((0.025*0.112*inputs!$C$18/3.3)*(3*60*284*((F390/1000)^0.77))*MAX(inputs!$I$14:$I$16))/F390,((0.0083*0.112*inputs!$C$18/1)*(3*60*284*((F390/1000)^0.77))*MAX(inputs!$I$14:$I$16))/F390))*(inputs!E$75*3.4/inputs!$E$73)</f>
        <v>0.18044350962689581</v>
      </c>
      <c r="T390" s="63">
        <f>IF((((inputs!$P$13/(V390/MAX(K390:S390)))^(1/inputs!$O$13))-1)/inputs!$N$13&lt;0, 0, IF((((inputs!$P$13/(V390/MAX(K390:S390)))^(1/inputs!$O$13))-1)/inputs!$N$13&lt;inputs!$I$17, (((inputs!$P$13/(V390/MAX(K390:S390)))^(1/inputs!$O$13))-1)/inputs!$N$13, inputs!$I$17))</f>
        <v>1000</v>
      </c>
      <c r="U390" s="63">
        <f>IF((((inputs!$P$13/(X390/MAX(K390:S390)))^(1/inputs!$O$13))-1)/inputs!$N$13&lt;0, 0, IF((((inputs!$P$13/(X390/MAX(K390:S390)))^(1/inputs!$O$13))-1)/inputs!$N$13&lt;inputs!$I$17, (((inputs!$P$13/(X390/MAX(K390:S390)))^(1/inputs!$O$13))-1)/inputs!$N$13, inputs!$I$17))</f>
        <v>100.42975687578506</v>
      </c>
      <c r="V390" s="21">
        <f>inputs!$E$78*(F390/inputs!$F$78)^(inputs!$E$84-1)</f>
        <v>1.033835854431058E-2</v>
      </c>
      <c r="W390" s="21">
        <f>inputs!$E$85*(F390/inputs!$F$85)^(inputs!$E$84-1)</f>
        <v>0.47740635264840908</v>
      </c>
      <c r="X390" s="21">
        <f>inputs!$E$80*(F390/inputs!$F$80)^(inputs!$E$84-1)</f>
        <v>1.7827199244465908</v>
      </c>
      <c r="Y390" s="21">
        <f>inputs!$E$82*(F390/inputs!$F$82)^(inputs!$E$84-1)</f>
        <v>0.82162744220573558</v>
      </c>
      <c r="Z390" s="63">
        <f t="shared" si="36"/>
        <v>6726.9599100155783</v>
      </c>
      <c r="AA390" s="63">
        <f t="shared" si="37"/>
        <v>145.67406377636109</v>
      </c>
    </row>
    <row r="391" spans="1:27" ht="13.2" x14ac:dyDescent="0.25">
      <c r="A391" s="103" t="s">
        <v>355</v>
      </c>
      <c r="B391" s="20" t="s">
        <v>356</v>
      </c>
      <c r="C391" s="20" t="s">
        <v>73</v>
      </c>
      <c r="D391" s="104" t="s">
        <v>354</v>
      </c>
      <c r="E391" s="15">
        <v>129</v>
      </c>
      <c r="F391" s="15">
        <v>518</v>
      </c>
      <c r="G391" s="21" t="s">
        <v>456</v>
      </c>
      <c r="H391" s="20">
        <v>0.68</v>
      </c>
      <c r="I391" s="68">
        <f>MAX('Max rate concentrations'!$J$3:$J$368)</f>
        <v>686.46486205830786</v>
      </c>
      <c r="J391" s="68">
        <f>MAX('Max rate concentrations'!AB:AB)</f>
        <v>243.122971978984</v>
      </c>
      <c r="K391" s="69">
        <f t="shared" si="34"/>
        <v>136.19674208485191</v>
      </c>
      <c r="L391" s="69">
        <f t="shared" si="35"/>
        <v>48.236346155051713</v>
      </c>
      <c r="M391" s="69">
        <f>IF((((1.18*F391^0.874)/3.7-(0.301*F391^0.751)/(1-H391)*H391)*(MAX('Max rate concentrations'!$P$3:$P$368)))/F391&gt;0, (((1.18*F391^0.874)/3.7-(0.301*F391^0.751)/(1-H391)*H391)*(MAX('Max rate concentrations'!$P$3:$P$368)))/F391, 0)</f>
        <v>8.8729158058296811E-3</v>
      </c>
      <c r="N391" s="69">
        <f>IF((((1.18*F391^0.874)/3.7-(0.301*F391^0.751)/(1-H391)*H391)*(MAX('Max rate concentrations'!$Q$3:$Q$368)))/F391&gt;0, (((1.18*F391^0.874)/3.7-(0.301*F391^0.751)/(1-H391)*H391)*(MAX('Max rate concentrations'!$Q$3:$Q$368)))/F391, 0)</f>
        <v>3.3788540145317666E-2</v>
      </c>
      <c r="O391" s="69">
        <f>((MAX('Max rate concentrations'!$F$3:$F$368))*0.62*6.01*8*(10*F391^0.667)*0.079*0.1/F391)*inputs!$E$80/(10^(0.84+0.62*LOG10(inputs!$E$80)))</f>
        <v>18.318150203245249</v>
      </c>
      <c r="P391" s="69">
        <f>((MAX('Max rate concentrations'!Y:Y))*0.62*6.01*8*(10*F391^0.667)*0.079*0.1/F391)*inputs!$E$80/(10^(0.84+0.62*LOG10(inputs!$E$80)))</f>
        <v>6.1060500677484164</v>
      </c>
      <c r="Q391" s="69">
        <f>(inputs!$C$18*11.2*(10*F391^0.667)*0.5/F391)*inputs!$E$80/(10^(0.84+0.62*LOG10(inputs!$E$80)))</f>
        <v>3.2266557593158076</v>
      </c>
      <c r="R391" s="59">
        <f>(60*284*((F391/1000)^0.77)*3*24*(MAX('Max rate concentrations'!$R$3:$R$368))/F391)*(inputs!$E$73*3.4/inputs!$E$75)</f>
        <v>3.2718313593658753E-2</v>
      </c>
      <c r="S391" s="59">
        <f>(IF(inputs!$C$17="aerial",((0.025*0.112*inputs!$C$18/3.3)*(3*60*284*((F391/1000)^0.77))*MAX(inputs!$I$14:$I$16))/F391,((0.0083*0.112*inputs!$C$18/1)*(3*60*284*((F391/1000)^0.77))*MAX(inputs!$I$14:$I$16))/F391))*(inputs!E$75*3.4/inputs!$E$73)</f>
        <v>0.18044350962689581</v>
      </c>
      <c r="T391" s="63">
        <f>IF((((inputs!$P$13/(V391/MAX(K391:S391)))^(1/inputs!$O$13))-1)/inputs!$N$13&lt;0, 0, IF((((inputs!$P$13/(V391/MAX(K391:S391)))^(1/inputs!$O$13))-1)/inputs!$N$13&lt;inputs!$I$17, (((inputs!$P$13/(V391/MAX(K391:S391)))^(1/inputs!$O$13))-1)/inputs!$N$13, inputs!$I$17))</f>
        <v>1000</v>
      </c>
      <c r="U391" s="63">
        <f>IF((((inputs!$P$13/(X391/MAX(K391:S391)))^(1/inputs!$O$13))-1)/inputs!$N$13&lt;0, 0, IF((((inputs!$P$13/(X391/MAX(K391:S391)))^(1/inputs!$O$13))-1)/inputs!$N$13&lt;inputs!$I$17, (((inputs!$P$13/(X391/MAX(K391:S391)))^(1/inputs!$O$13))-1)/inputs!$N$13, inputs!$I$17))</f>
        <v>176.72021455780549</v>
      </c>
      <c r="V391" s="21">
        <f>inputs!$E$78*(F391/inputs!$F$78)^(inputs!$E$84-1)</f>
        <v>1.033835854431058E-2</v>
      </c>
      <c r="W391" s="21">
        <f>inputs!$E$85*(F391/inputs!$F$85)^(inputs!$E$84-1)</f>
        <v>0.47740635264840908</v>
      </c>
      <c r="X391" s="21">
        <f>inputs!$E$80*(F391/inputs!$F$80)^(inputs!$E$84-1)</f>
        <v>1.7827199244465908</v>
      </c>
      <c r="Y391" s="21">
        <f>inputs!$E$82*(F391/inputs!$F$82)^(inputs!$E$84-1)</f>
        <v>0.82162744220573558</v>
      </c>
      <c r="Z391" s="63">
        <f t="shared" si="36"/>
        <v>13173.923258814029</v>
      </c>
      <c r="AA391" s="63">
        <f t="shared" si="37"/>
        <v>285.28472930722694</v>
      </c>
    </row>
    <row r="392" spans="1:27" ht="13.2" x14ac:dyDescent="0.25">
      <c r="A392" s="103" t="s">
        <v>355</v>
      </c>
      <c r="B392" s="20" t="s">
        <v>356</v>
      </c>
      <c r="C392" s="20" t="s">
        <v>73</v>
      </c>
      <c r="D392" s="104" t="s">
        <v>354</v>
      </c>
      <c r="E392" s="15">
        <v>129</v>
      </c>
      <c r="F392" s="15">
        <v>518</v>
      </c>
      <c r="G392" s="20" t="s">
        <v>145</v>
      </c>
      <c r="H392" s="20">
        <v>0.66</v>
      </c>
      <c r="I392" s="68">
        <f>MAX('Max rate concentrations'!$M$3:$M$368)</f>
        <v>17.092910873809167</v>
      </c>
      <c r="J392" s="68">
        <f>MAX('Max rate concentrations'!AE:AE)</f>
        <v>11.81956602976166</v>
      </c>
      <c r="K392" s="69">
        <f t="shared" si="34"/>
        <v>3.1917987220074844</v>
      </c>
      <c r="L392" s="69">
        <f t="shared" si="35"/>
        <v>2.2070948609626226</v>
      </c>
      <c r="M392" s="69">
        <f>IF((((1.18*F392^0.874)/3.7-(0.301*F392^0.751)/(1-H392)*H392)*(MAX('Max rate concentrations'!$P$3:$P$368)))/F392&gt;0, (((1.18*F392^0.874)/3.7-(0.301*F392^0.751)/(1-H392)*H392)*(MAX('Max rate concentrations'!$P$3:$P$368)))/F392, 0)</f>
        <v>1.9036850939793161E-2</v>
      </c>
      <c r="N392" s="69">
        <f>IF((((1.18*F392^0.874)/3.7-(0.301*F392^0.751)/(1-H392)*H392)*(MAX('Max rate concentrations'!$Q$3:$Q$368)))/F392&gt;0, (((1.18*F392^0.874)/3.7-(0.301*F392^0.751)/(1-H392)*H392)*(MAX('Max rate concentrations'!$Q$3:$Q$368)))/F392, 0)</f>
        <v>7.2493351260812869E-2</v>
      </c>
      <c r="O392" s="69">
        <f>((MAX('Max rate concentrations'!$F$3:$F$368))*0.62*6.01*8*(10*F392^0.667)*0.079*0.1/F392)*inputs!$E$80/(10^(0.84+0.62*LOG10(inputs!$E$80)))</f>
        <v>18.318150203245249</v>
      </c>
      <c r="P392" s="69">
        <f>((MAX('Max rate concentrations'!Y:Y))*0.62*6.01*8*(10*F392^0.667)*0.079*0.1/F392)*inputs!$E$80/(10^(0.84+0.62*LOG10(inputs!$E$80)))</f>
        <v>6.1060500677484164</v>
      </c>
      <c r="Q392" s="69">
        <f>(inputs!$C$18*11.2*(10*F392^0.667)*0.5/F392)*inputs!$E$80/(10^(0.84+0.62*LOG10(inputs!$E$80)))</f>
        <v>3.2266557593158076</v>
      </c>
      <c r="R392" s="59">
        <f>(60*284*((F392/1000)^0.77)*3*24*(MAX('Max rate concentrations'!$R$3:$R$368))/F392)*(inputs!$E$73*3.4/inputs!$E$75)</f>
        <v>3.2718313593658753E-2</v>
      </c>
      <c r="S392" s="59">
        <f>(IF(inputs!$C$17="aerial",((0.025*0.112*inputs!$C$18/3.3)*(3*60*284*((F392/1000)^0.77))*MAX(inputs!$I$14:$I$16))/F392,((0.0083*0.112*inputs!$C$18/1)*(3*60*284*((F392/1000)^0.77))*MAX(inputs!$I$14:$I$16))/F392))*(inputs!E$75*3.4/inputs!$E$73)</f>
        <v>0.18044350962689581</v>
      </c>
      <c r="T392" s="63">
        <f>IF((((inputs!$P$13/(V392/MAX(K392:S392)))^(1/inputs!$O$13))-1)/inputs!$N$13&lt;0, 0, IF((((inputs!$P$13/(V392/MAX(K392:S392)))^(1/inputs!$O$13))-1)/inputs!$N$13&lt;inputs!$I$17, (((inputs!$P$13/(V392/MAX(K392:S392)))^(1/inputs!$O$13))-1)/inputs!$N$13, inputs!$I$17))</f>
        <v>1000</v>
      </c>
      <c r="U392" s="63">
        <f>IF((((inputs!$P$13/(X392/MAX(K392:S392)))^(1/inputs!$O$13))-1)/inputs!$N$13&lt;0, 0, IF((((inputs!$P$13/(X392/MAX(K392:S392)))^(1/inputs!$O$13))-1)/inputs!$N$13&lt;inputs!$I$17, (((inputs!$P$13/(X392/MAX(K392:S392)))^(1/inputs!$O$13))-1)/inputs!$N$13, inputs!$I$17))</f>
        <v>30.694992617862425</v>
      </c>
      <c r="V392" s="21">
        <f>inputs!$E$78*(F392/inputs!$F$78)^(inputs!$E$84-1)</f>
        <v>1.033835854431058E-2</v>
      </c>
      <c r="W392" s="21">
        <f>inputs!$E$85*(F392/inputs!$F$85)^(inputs!$E$84-1)</f>
        <v>0.47740635264840908</v>
      </c>
      <c r="X392" s="21">
        <f>inputs!$E$80*(F392/inputs!$F$80)^(inputs!$E$84-1)</f>
        <v>1.7827199244465908</v>
      </c>
      <c r="Y392" s="21">
        <f>inputs!$E$82*(F392/inputs!$F$82)^(inputs!$E$84-1)</f>
        <v>0.82162744220573558</v>
      </c>
      <c r="Z392" s="63">
        <f t="shared" si="36"/>
        <v>1771.8625374359956</v>
      </c>
      <c r="AA392" s="63">
        <f t="shared" si="37"/>
        <v>38.370143383357622</v>
      </c>
    </row>
    <row r="393" spans="1:27" ht="13.2" x14ac:dyDescent="0.25">
      <c r="A393" s="103" t="s">
        <v>352</v>
      </c>
      <c r="B393" s="20" t="s">
        <v>353</v>
      </c>
      <c r="C393" s="20" t="s">
        <v>73</v>
      </c>
      <c r="D393" s="104" t="s">
        <v>354</v>
      </c>
      <c r="E393" s="15">
        <v>142</v>
      </c>
      <c r="F393" s="15">
        <v>430</v>
      </c>
      <c r="G393" s="20" t="s">
        <v>142</v>
      </c>
      <c r="H393" s="20">
        <v>0.69</v>
      </c>
      <c r="I393" s="68">
        <f>MAX('Max rate concentrations'!$H$3:$H$368)</f>
        <v>282</v>
      </c>
      <c r="J393" s="68">
        <f>MAX('Max rate concentrations'!AA:AA)</f>
        <v>195</v>
      </c>
      <c r="K393" s="69">
        <f t="shared" si="34"/>
        <v>60.495109148271247</v>
      </c>
      <c r="L393" s="69">
        <f t="shared" si="35"/>
        <v>41.831724411038628</v>
      </c>
      <c r="M393" s="69">
        <f>IF((((1.18*F393^0.874)/3.7-(0.301*F393^0.751)/(1-H393)*H393)*(MAX('Max rate concentrations'!$P$3:$P$368)))/F393&gt;0, (((1.18*F393^0.874)/3.7-(0.301*F393^0.751)/(1-H393)*H393)*(MAX('Max rate concentrations'!$P$3:$P$368)))/F393, 0)</f>
        <v>4.588165007819139E-4</v>
      </c>
      <c r="N393" s="69">
        <f>IF((((1.18*F393^0.874)/3.7-(0.301*F393^0.751)/(1-H393)*H393)*(MAX('Max rate concentrations'!$Q$3:$Q$368)))/F393&gt;0, (((1.18*F393^0.874)/3.7-(0.301*F393^0.751)/(1-H393)*H393)*(MAX('Max rate concentrations'!$Q$3:$Q$368)))/F393, 0)</f>
        <v>1.7471978879612796E-3</v>
      </c>
      <c r="O393" s="69">
        <f>((MAX('Max rate concentrations'!$F$3:$F$368))*0.62*6.01*8*(10*F393^0.667)*0.079*0.1/F393)*inputs!$E$80/(10^(0.84+0.62*LOG10(inputs!$E$80)))</f>
        <v>19.489847011300302</v>
      </c>
      <c r="P393" s="69">
        <f>((MAX('Max rate concentrations'!Y:Y))*0.62*6.01*8*(10*F393^0.667)*0.079*0.1/F393)*inputs!$E$80/(10^(0.84+0.62*LOG10(inputs!$E$80)))</f>
        <v>6.4966156704334361</v>
      </c>
      <c r="Q393" s="69">
        <f>(inputs!$C$18*11.2*(10*F393^0.667)*0.5/F393)*inputs!$E$80/(10^(0.84+0.62*LOG10(inputs!$E$80)))</f>
        <v>3.4330446256552158</v>
      </c>
      <c r="R393" s="59">
        <f>(60*284*((F393/1000)^0.77)*3*24*(MAX('Max rate concentrations'!$R$3:$R$368))/F393)*(inputs!$E$73*3.4/inputs!$E$75)</f>
        <v>3.4149866527544273E-2</v>
      </c>
      <c r="S393" s="59">
        <f>(IF(inputs!$C$17="aerial",((0.025*0.112*inputs!$C$18/3.3)*(3*60*284*((F393/1000)^0.77))*MAX(inputs!$I$14:$I$16))/F393,((0.0083*0.112*inputs!$C$18/1)*(3*60*284*((F393/1000)^0.77))*MAX(inputs!$I$14:$I$16))/F393))*(inputs!E$75*3.4/inputs!$E$73)</f>
        <v>0.18833861200946628</v>
      </c>
      <c r="T393" s="63">
        <f>IF((((inputs!$P$13/(V393/MAX(K393:S393)))^(1/inputs!$O$13))-1)/inputs!$N$13&lt;0, 0, IF((((inputs!$P$13/(V393/MAX(K393:S393)))^(1/inputs!$O$13))-1)/inputs!$N$13&lt;inputs!$I$17, (((inputs!$P$13/(V393/MAX(K393:S393)))^(1/inputs!$O$13))-1)/inputs!$N$13, inputs!$I$17))</f>
        <v>1000</v>
      </c>
      <c r="U393" s="63">
        <f>IF((((inputs!$P$13/(X393/MAX(K393:S393)))^(1/inputs!$O$13))-1)/inputs!$N$13&lt;0, 0, IF((((inputs!$P$13/(X393/MAX(K393:S393)))^(1/inputs!$O$13))-1)/inputs!$N$13&lt;inputs!$I$17, (((inputs!$P$13/(X393/MAX(K393:S393)))^(1/inputs!$O$13))-1)/inputs!$N$13, inputs!$I$17))</f>
        <v>84.049598437417004</v>
      </c>
      <c r="V393" s="21">
        <f>inputs!$E$78*(F393/inputs!$F$78)^(inputs!$E$84-1)</f>
        <v>1.1075676756739695E-2</v>
      </c>
      <c r="W393" s="21">
        <f>inputs!$E$85*(F393/inputs!$F$85)^(inputs!$E$84-1)</f>
        <v>0.51145434943903523</v>
      </c>
      <c r="X393" s="21">
        <f>inputs!$E$80*(F393/inputs!$F$80)^(inputs!$E$84-1)</f>
        <v>1.9098611782850048</v>
      </c>
      <c r="Y393" s="21">
        <f>inputs!$E$82*(F393/inputs!$F$82)^(inputs!$E$84-1)</f>
        <v>0.88022483698299681</v>
      </c>
      <c r="Z393" s="63">
        <f t="shared" si="36"/>
        <v>5461.978574939827</v>
      </c>
      <c r="AA393" s="63">
        <f t="shared" si="37"/>
        <v>118.28056446215088</v>
      </c>
    </row>
    <row r="394" spans="1:27" ht="13.2" x14ac:dyDescent="0.25">
      <c r="A394" s="103" t="s">
        <v>352</v>
      </c>
      <c r="B394" s="20" t="s">
        <v>353</v>
      </c>
      <c r="C394" s="20" t="s">
        <v>73</v>
      </c>
      <c r="D394" s="104" t="s">
        <v>354</v>
      </c>
      <c r="E394" s="15">
        <v>142</v>
      </c>
      <c r="F394" s="15">
        <v>430</v>
      </c>
      <c r="G394" s="20" t="s">
        <v>138</v>
      </c>
      <c r="H394" s="20">
        <v>0.68</v>
      </c>
      <c r="I394" s="68">
        <f>MAX('Max rate concentrations'!$L$3:$L$368)</f>
        <v>350.52744091332482</v>
      </c>
      <c r="J394" s="68">
        <f>MAX('Max rate concentrations'!AD:AD)</f>
        <v>242.38599637623525</v>
      </c>
      <c r="K394" s="69">
        <f t="shared" si="34"/>
        <v>72.845863222849019</v>
      </c>
      <c r="L394" s="69">
        <f t="shared" si="35"/>
        <v>50.372139462608359</v>
      </c>
      <c r="M394" s="69">
        <f>IF((((1.18*F394^0.874)/3.7-(0.301*F394^0.751)/(1-H394)*H394)*(MAX('Max rate concentrations'!$P$3:$P$368)))/F394&gt;0, (((1.18*F394^0.874)/3.7-(0.301*F394^0.751)/(1-H394)*H394)*(MAX('Max rate concentrations'!$P$3:$P$368)))/F394, 0)</f>
        <v>6.2970784518587043E-3</v>
      </c>
      <c r="N394" s="69">
        <f>IF((((1.18*F394^0.874)/3.7-(0.301*F394^0.751)/(1-H394)*H394)*(MAX('Max rate concentrations'!$Q$3:$Q$368)))/F394&gt;0, (((1.18*F394^0.874)/3.7-(0.301*F394^0.751)/(1-H394)*H394)*(MAX('Max rate concentrations'!$Q$3:$Q$368)))/F394, 0)</f>
        <v>2.3979613097314546E-2</v>
      </c>
      <c r="O394" s="69">
        <f>((MAX('Max rate concentrations'!$F$3:$F$368))*0.62*6.01*8*(10*F394^0.667)*0.079*0.1/F394)*inputs!$E$80/(10^(0.84+0.62*LOG10(inputs!$E$80)))</f>
        <v>19.489847011300302</v>
      </c>
      <c r="P394" s="69">
        <f>((MAX('Max rate concentrations'!Y:Y))*0.62*6.01*8*(10*F394^0.667)*0.079*0.1/F394)*inputs!$E$80/(10^(0.84+0.62*LOG10(inputs!$E$80)))</f>
        <v>6.4966156704334361</v>
      </c>
      <c r="Q394" s="69">
        <f>(inputs!$C$18*11.2*(10*F394^0.667)*0.5/F394)*inputs!$E$80/(10^(0.84+0.62*LOG10(inputs!$E$80)))</f>
        <v>3.4330446256552158</v>
      </c>
      <c r="R394" s="59">
        <f>(60*284*((F394/1000)^0.77)*3*24*(MAX('Max rate concentrations'!$R$3:$R$368))/F394)*(inputs!$E$73*3.4/inputs!$E$75)</f>
        <v>3.4149866527544273E-2</v>
      </c>
      <c r="S394" s="59">
        <f>(IF(inputs!$C$17="aerial",((0.025*0.112*inputs!$C$18/3.3)*(3*60*284*((F394/1000)^0.77))*MAX(inputs!$I$14:$I$16))/F394,((0.0083*0.112*inputs!$C$18/1)*(3*60*284*((F394/1000)^0.77))*MAX(inputs!$I$14:$I$16))/F394))*(inputs!E$75*3.4/inputs!$E$73)</f>
        <v>0.18833861200946628</v>
      </c>
      <c r="T394" s="63">
        <f>IF((((inputs!$P$13/(V394/MAX(K394:S394)))^(1/inputs!$O$13))-1)/inputs!$N$13&lt;0, 0, IF((((inputs!$P$13/(V394/MAX(K394:S394)))^(1/inputs!$O$13))-1)/inputs!$N$13&lt;inputs!$I$17, (((inputs!$P$13/(V394/MAX(K394:S394)))^(1/inputs!$O$13))-1)/inputs!$N$13, inputs!$I$17))</f>
        <v>1000</v>
      </c>
      <c r="U394" s="63">
        <f>IF((((inputs!$P$13/(X394/MAX(K394:S394)))^(1/inputs!$O$13))-1)/inputs!$N$13&lt;0, 0, IF((((inputs!$P$13/(X394/MAX(K394:S394)))^(1/inputs!$O$13))-1)/inputs!$N$13&lt;inputs!$I$17, (((inputs!$P$13/(X394/MAX(K394:S394)))^(1/inputs!$O$13))-1)/inputs!$N$13, inputs!$I$17))</f>
        <v>98.52227090111262</v>
      </c>
      <c r="V394" s="21">
        <f>inputs!$E$78*(F394/inputs!$F$78)^(inputs!$E$84-1)</f>
        <v>1.1075676756739695E-2</v>
      </c>
      <c r="W394" s="21">
        <f>inputs!$E$85*(F394/inputs!$F$85)^(inputs!$E$84-1)</f>
        <v>0.51145434943903523</v>
      </c>
      <c r="X394" s="21">
        <f>inputs!$E$80*(F394/inputs!$F$80)^(inputs!$E$84-1)</f>
        <v>1.9098611782850048</v>
      </c>
      <c r="Y394" s="21">
        <f>inputs!$E$82*(F394/inputs!$F$82)^(inputs!$E$84-1)</f>
        <v>0.88022483698299681</v>
      </c>
      <c r="Z394" s="63">
        <f t="shared" si="36"/>
        <v>6577.1026748791091</v>
      </c>
      <c r="AA394" s="63">
        <f t="shared" si="37"/>
        <v>142.42886643303865</v>
      </c>
    </row>
    <row r="395" spans="1:27" ht="13.2" x14ac:dyDescent="0.25">
      <c r="A395" s="103" t="s">
        <v>352</v>
      </c>
      <c r="B395" s="20" t="s">
        <v>353</v>
      </c>
      <c r="C395" s="20" t="s">
        <v>73</v>
      </c>
      <c r="D395" s="104" t="s">
        <v>354</v>
      </c>
      <c r="E395" s="15">
        <v>142</v>
      </c>
      <c r="F395" s="15">
        <v>430</v>
      </c>
      <c r="G395" s="21" t="s">
        <v>456</v>
      </c>
      <c r="H395" s="20">
        <v>0.68</v>
      </c>
      <c r="I395" s="68">
        <f>MAX('Max rate concentrations'!$J$3:$J$368)</f>
        <v>686.46486205830786</v>
      </c>
      <c r="J395" s="68">
        <f>MAX('Max rate concentrations'!AB:AB)</f>
        <v>243.122971978984</v>
      </c>
      <c r="K395" s="69">
        <f t="shared" si="34"/>
        <v>142.65965973590198</v>
      </c>
      <c r="L395" s="69">
        <f t="shared" si="35"/>
        <v>50.525296156465281</v>
      </c>
      <c r="M395" s="69">
        <f>IF((((1.18*F395^0.874)/3.7-(0.301*F395^0.751)/(1-H395)*H395)*(MAX('Max rate concentrations'!$P$3:$P$368)))/F395&gt;0, (((1.18*F395^0.874)/3.7-(0.301*F395^0.751)/(1-H395)*H395)*(MAX('Max rate concentrations'!$P$3:$P$368)))/F395, 0)</f>
        <v>6.2970784518587043E-3</v>
      </c>
      <c r="N395" s="69">
        <f>IF((((1.18*F395^0.874)/3.7-(0.301*F395^0.751)/(1-H395)*H395)*(MAX('Max rate concentrations'!$Q$3:$Q$368)))/F395&gt;0, (((1.18*F395^0.874)/3.7-(0.301*F395^0.751)/(1-H395)*H395)*(MAX('Max rate concentrations'!$Q$3:$Q$368)))/F395, 0)</f>
        <v>2.3979613097314546E-2</v>
      </c>
      <c r="O395" s="69">
        <f>((MAX('Max rate concentrations'!$F$3:$F$368))*0.62*6.01*8*(10*F395^0.667)*0.079*0.1/F395)*inputs!$E$80/(10^(0.84+0.62*LOG10(inputs!$E$80)))</f>
        <v>19.489847011300302</v>
      </c>
      <c r="P395" s="69">
        <f>((MAX('Max rate concentrations'!Y:Y))*0.62*6.01*8*(10*F395^0.667)*0.079*0.1/F395)*inputs!$E$80/(10^(0.84+0.62*LOG10(inputs!$E$80)))</f>
        <v>6.4966156704334361</v>
      </c>
      <c r="Q395" s="69">
        <f>(inputs!$C$18*11.2*(10*F395^0.667)*0.5/F395)*inputs!$E$80/(10^(0.84+0.62*LOG10(inputs!$E$80)))</f>
        <v>3.4330446256552158</v>
      </c>
      <c r="R395" s="59">
        <f>(60*284*((F395/1000)^0.77)*3*24*(MAX('Max rate concentrations'!$R$3:$R$368))/F395)*(inputs!$E$73*3.4/inputs!$E$75)</f>
        <v>3.4149866527544273E-2</v>
      </c>
      <c r="S395" s="59">
        <f>(IF(inputs!$C$17="aerial",((0.025*0.112*inputs!$C$18/3.3)*(3*60*284*((F395/1000)^0.77))*MAX(inputs!$I$14:$I$16))/F395,((0.0083*0.112*inputs!$C$18/1)*(3*60*284*((F395/1000)^0.77))*MAX(inputs!$I$14:$I$16))/F395))*(inputs!E$75*3.4/inputs!$E$73)</f>
        <v>0.18833861200946628</v>
      </c>
      <c r="T395" s="63">
        <f>IF((((inputs!$P$13/(V395/MAX(K395:S395)))^(1/inputs!$O$13))-1)/inputs!$N$13&lt;0, 0, IF((((inputs!$P$13/(V395/MAX(K395:S395)))^(1/inputs!$O$13))-1)/inputs!$N$13&lt;inputs!$I$17, (((inputs!$P$13/(V395/MAX(K395:S395)))^(1/inputs!$O$13))-1)/inputs!$N$13, inputs!$I$17))</f>
        <v>1000</v>
      </c>
      <c r="U395" s="63">
        <f>IF((((inputs!$P$13/(X395/MAX(K395:S395)))^(1/inputs!$O$13))-1)/inputs!$N$13&lt;0, 0, IF((((inputs!$P$13/(X395/MAX(K395:S395)))^(1/inputs!$O$13))-1)/inputs!$N$13&lt;inputs!$I$17, (((inputs!$P$13/(X395/MAX(K395:S395)))^(1/inputs!$O$13))-1)/inputs!$N$13, inputs!$I$17))</f>
        <v>173.43541545076783</v>
      </c>
      <c r="V395" s="21">
        <f>inputs!$E$78*(F395/inputs!$F$78)^(inputs!$E$84-1)</f>
        <v>1.1075676756739695E-2</v>
      </c>
      <c r="W395" s="21">
        <f>inputs!$E$85*(F395/inputs!$F$85)^(inputs!$E$84-1)</f>
        <v>0.51145434943903523</v>
      </c>
      <c r="X395" s="21">
        <f>inputs!$E$80*(F395/inputs!$F$80)^(inputs!$E$84-1)</f>
        <v>1.9098611782850048</v>
      </c>
      <c r="Y395" s="21">
        <f>inputs!$E$82*(F395/inputs!$F$82)^(inputs!$E$84-1)</f>
        <v>0.88022483698299681</v>
      </c>
      <c r="Z395" s="63">
        <f t="shared" si="36"/>
        <v>12880.446303120187</v>
      </c>
      <c r="AA395" s="63">
        <f t="shared" si="37"/>
        <v>278.92940961861319</v>
      </c>
    </row>
    <row r="396" spans="1:27" ht="26.4" x14ac:dyDescent="0.25">
      <c r="A396" s="55" t="s">
        <v>528</v>
      </c>
      <c r="B396" s="49" t="s">
        <v>529</v>
      </c>
      <c r="C396" s="21" t="s">
        <v>61</v>
      </c>
      <c r="D396" s="20" t="s">
        <v>440</v>
      </c>
      <c r="E396" s="20">
        <v>3</v>
      </c>
      <c r="F396" s="21">
        <v>45000</v>
      </c>
      <c r="G396" s="21" t="s">
        <v>169</v>
      </c>
      <c r="H396" s="21">
        <v>0.79</v>
      </c>
      <c r="I396" s="68">
        <f>MAX('Max rate concentrations'!$D$3:$D$368)</f>
        <v>720</v>
      </c>
      <c r="J396" s="68">
        <f>MAX('Max rate concentrations'!W:W)</f>
        <v>255</v>
      </c>
      <c r="K396" s="70">
        <f t="shared" ref="K396:K459" si="38">(((0.235*F396^0.822)/(1-H396)))*I396/F396</f>
        <v>119.64904498676232</v>
      </c>
      <c r="L396" s="70">
        <f t="shared" ref="L396:L459" si="39">(((0.235*F396^0.822)/(1-H396)))*J396/F396</f>
        <v>42.375703432811655</v>
      </c>
      <c r="M396" s="70">
        <f>IF((((0.326*F396^0.818)-(0.398*F396^0.85)/(1-H396)*H396)*(MAX('Max rate concentrations'!$P$3:$P$368)))/F396&gt;0, (((0.326*F396^0.818)-(0.398*F396^0.85)/(1-H396)*H396)*(MAX('Max rate concentrations'!$P$3:$P$368)))/F396, 0)</f>
        <v>0</v>
      </c>
      <c r="N396" s="70">
        <f>IF((((0.326*F396^0.818)-(0.398*F396^0.85)/(1-H396)*H396)*(MAX('Max rate concentrations'!$Q$3:$Q$368)))/F396&gt; 0, (((0.326*F396^0.818)-(0.398*F396^0.85)/(1-H396)*H396)*(MAX('Max rate concentrations'!$Q$3:$Q$368)))/F396, 0)</f>
        <v>0</v>
      </c>
      <c r="O396" s="70">
        <f>((MAX('Max rate concentrations'!$F$3:$F$368))*0.62*6.01*8*(12.3*F396^0.65)*0.079*0.1/F396)*inputs!$E$73/inputs!$E$74</f>
        <v>6.3664436145247416</v>
      </c>
      <c r="P396" s="70">
        <f>((MAX('Max rate concentrations'!Y:Y))*0.62*6.01*8*(12.3*F396^0.65)*0.079*0.1/F396)*inputs!$E$73/inputs!$E$74</f>
        <v>2.1221478715082478</v>
      </c>
      <c r="Q396" s="70">
        <f>(inputs!$C$18*11.2*(12.3*F396^0.65)*0.5/F396)*inputs!$E$73/inputs!$E$74</f>
        <v>1.1214190148700889</v>
      </c>
      <c r="R396" s="60">
        <f>(60*379*((F396/1000)^0.8)*3*24*(MAX('Max rate concentrations'!$R$3:$R$368))/F396)*(inputs!$E$73/inputs!$E$75)</f>
        <v>5.1556829863424391E-3</v>
      </c>
      <c r="S396" s="60">
        <f>(IF(inputs!$C$17="aerial",((0.025*0.112*inputs!$C$18/3.3)*(3*60*379*((F396/1000)^0.8))*MAX(inputs!$I$14:$I$16))/F396,((0.0083*0.112*inputs!$C$18/1)*(3*60*379*((F396/1000)^0.8))*MAX(inputs!$I$14:$I$16))/F396))*(inputs!E$75/inputs!$E$73)</f>
        <v>2.8433908426124116E-2</v>
      </c>
      <c r="T396" s="63">
        <f>IF((((inputs!$P$13/(V396/MAX(K396:S396)))^(1/inputs!$O$13))-1)/inputs!$N$13&lt;0, 0, IF((((inputs!$P$13/(V396/MAX(K396:S396)))^(1/inputs!$O$13))-1)/inputs!$N$13&lt;inputs!$I$17, (((inputs!$P$13/(V396/MAX(K396:S396)))^(1/inputs!$O$13))-1)/inputs!$N$13, inputs!$I$17))</f>
        <v>22.016443127542594</v>
      </c>
      <c r="U396" s="63">
        <f>IF((((inputs!$P$13/(X396/MAX(K396:S396)))^(1/inputs!$O$13))-1)/inputs!$N$13&lt;0, 0, IF((((inputs!$P$13/(X396/MAX(K396:S396)))^(1/inputs!$O$13))-1)/inputs!$N$13&lt;inputs!$I$17, (((inputs!$P$13/(X396/MAX(K396:S396)))^(1/inputs!$O$13))-1)/inputs!$N$13, inputs!$I$17))</f>
        <v>23.661059636630469</v>
      </c>
      <c r="V396" s="54">
        <f>inputs!$E$70*(F396/inputs!$F$70)^(0.25)</f>
        <v>16.39164676516263</v>
      </c>
      <c r="W396" s="54">
        <f>inputs!$E$76*(F396/inputs!$F$76)^(0.25)</f>
        <v>1.178566688104203</v>
      </c>
      <c r="X396" s="54">
        <f>inputs!$E$72*(inputs!$F$72/F396)^(0.25)</f>
        <v>15.245570111425018</v>
      </c>
      <c r="Y396" s="54" t="s">
        <v>13</v>
      </c>
      <c r="Z396" s="106">
        <f t="shared" si="36"/>
        <v>7.2993913729921216</v>
      </c>
      <c r="AA396" s="106">
        <f t="shared" si="37"/>
        <v>101.52081014543622</v>
      </c>
    </row>
    <row r="397" spans="1:27" ht="26.4" x14ac:dyDescent="0.25">
      <c r="A397" s="55" t="s">
        <v>528</v>
      </c>
      <c r="B397" s="49" t="s">
        <v>529</v>
      </c>
      <c r="C397" s="21" t="s">
        <v>61</v>
      </c>
      <c r="D397" s="20" t="s">
        <v>440</v>
      </c>
      <c r="E397" s="20">
        <v>3</v>
      </c>
      <c r="F397" s="21">
        <v>45000</v>
      </c>
      <c r="G397" s="21" t="s">
        <v>177</v>
      </c>
      <c r="H397" s="21">
        <v>0.85</v>
      </c>
      <c r="I397" s="68">
        <f>MAX('Max rate concentrations'!$F$3:$F$368)</f>
        <v>405</v>
      </c>
      <c r="J397" s="68">
        <f>MAX('Max rate concentrations'!Y:Y)</f>
        <v>135</v>
      </c>
      <c r="K397" s="70">
        <f t="shared" si="38"/>
        <v>94.223622927075297</v>
      </c>
      <c r="L397" s="70">
        <f t="shared" si="39"/>
        <v>31.407874309025093</v>
      </c>
      <c r="M397" s="70">
        <f>IF((((0.326*F397^0.818)-(0.398*F397^0.85)/(1-H397)*H397)*(MAX('Max rate concentrations'!$P$3:$P$368)))/F397&gt;0, (((0.326*F397^0.818)-(0.398*F397^0.85)/(1-H397)*H397)*(MAX('Max rate concentrations'!$P$3:$P$368)))/F397, 0)</f>
        <v>0</v>
      </c>
      <c r="N397" s="70">
        <f>IF((((0.326*F397^0.818)-(0.398*F397^0.85)/(1-H397)*H397)*(MAX('Max rate concentrations'!$Q$3:$Q$368)))/F397&gt; 0, (((0.326*F397^0.818)-(0.398*F397^0.85)/(1-H397)*H397)*(MAX('Max rate concentrations'!$Q$3:$Q$368)))/F397, 0)</f>
        <v>0</v>
      </c>
      <c r="O397" s="70">
        <f>((MAX('Max rate concentrations'!$F$3:$F$368))*0.62*6.01*8*(12.3*F397^0.65)*0.079*0.1/F397)*inputs!$E$73/inputs!$E$74</f>
        <v>6.3664436145247416</v>
      </c>
      <c r="P397" s="70">
        <f>((MAX('Max rate concentrations'!Y:Y))*0.62*6.01*8*(12.3*F397^0.65)*0.079*0.1/F397)*inputs!$E$73/inputs!$E$74</f>
        <v>2.1221478715082478</v>
      </c>
      <c r="Q397" s="70">
        <f>(inputs!$C$18*11.2*(12.3*F397^0.65)*0.5/F397)*inputs!$E$73/inputs!$E$74</f>
        <v>1.1214190148700889</v>
      </c>
      <c r="R397" s="60">
        <f>(60*379*((F397/1000)^0.8)*3*24*(MAX('Max rate concentrations'!$R$3:$R$368))/F397)*(inputs!$E$73/inputs!$E$75)</f>
        <v>5.1556829863424391E-3</v>
      </c>
      <c r="S397" s="60">
        <f>(IF(inputs!$C$17="aerial",((0.025*0.112*inputs!$C$18/3.3)*(3*60*379*((F397/1000)^0.8))*MAX(inputs!$I$14:$I$16))/F397,((0.0083*0.112*inputs!$C$18/1)*(3*60*379*((F397/1000)^0.8))*MAX(inputs!$I$14:$I$16))/F397))*(inputs!E$75/inputs!$E$73)</f>
        <v>2.8433908426124116E-2</v>
      </c>
      <c r="T397" s="63">
        <f>IF((((inputs!$P$13/(V397/MAX(K397:S397)))^(1/inputs!$O$13))-1)/inputs!$N$13&lt;0, 0, IF((((inputs!$P$13/(V397/MAX(K397:S397)))^(1/inputs!$O$13))-1)/inputs!$N$13&lt;inputs!$I$17, (((inputs!$P$13/(V397/MAX(K397:S397)))^(1/inputs!$O$13))-1)/inputs!$N$13, inputs!$I$17))</f>
        <v>17.230515991905154</v>
      </c>
      <c r="U397" s="63">
        <f>IF((((inputs!$P$13/(X397/MAX(K397:S397)))^(1/inputs!$O$13))-1)/inputs!$N$13&lt;0, 0, IF((((inputs!$P$13/(X397/MAX(K397:S397)))^(1/inputs!$O$13))-1)/inputs!$N$13&lt;inputs!$I$17, (((inputs!$P$13/(X397/MAX(K397:S397)))^(1/inputs!$O$13))-1)/inputs!$N$13, inputs!$I$17))</f>
        <v>18.586222555787788</v>
      </c>
      <c r="V397" s="54">
        <f>inputs!$E$70*(F397/inputs!$F$70)^(0.25)</f>
        <v>16.39164676516263</v>
      </c>
      <c r="W397" s="54">
        <f>inputs!$E$76*(F397/inputs!$F$76)^(0.25)</f>
        <v>1.178566688104203</v>
      </c>
      <c r="X397" s="54">
        <f>inputs!$E$72*(inputs!$F$72/F397)^(0.25)</f>
        <v>15.245570111425018</v>
      </c>
      <c r="Y397" s="54" t="s">
        <v>13</v>
      </c>
      <c r="Z397" s="106">
        <f t="shared" si="36"/>
        <v>5.7482707062312937</v>
      </c>
      <c r="AA397" s="106">
        <f t="shared" si="37"/>
        <v>79.947637989530989</v>
      </c>
    </row>
    <row r="398" spans="1:27" ht="13.2" x14ac:dyDescent="0.25">
      <c r="A398" s="55" t="s">
        <v>526</v>
      </c>
      <c r="B398" s="49" t="s">
        <v>527</v>
      </c>
      <c r="C398" s="21" t="s">
        <v>61</v>
      </c>
      <c r="D398" s="20" t="s">
        <v>440</v>
      </c>
      <c r="E398" s="20">
        <v>4</v>
      </c>
      <c r="F398" s="21">
        <v>28000</v>
      </c>
      <c r="G398" s="21" t="s">
        <v>169</v>
      </c>
      <c r="H398" s="21">
        <v>0.79</v>
      </c>
      <c r="I398" s="68">
        <f>MAX('Max rate concentrations'!$D$3:$D$368)</f>
        <v>720</v>
      </c>
      <c r="J398" s="68">
        <f>MAX('Max rate concentrations'!W:W)</f>
        <v>255</v>
      </c>
      <c r="K398" s="70">
        <f t="shared" si="38"/>
        <v>130.19279013927078</v>
      </c>
      <c r="L398" s="70">
        <f t="shared" si="39"/>
        <v>46.109946507658407</v>
      </c>
      <c r="M398" s="70">
        <f>IF((((0.326*F398^0.818)-(0.398*F398^0.85)/(1-H398)*H398)*(MAX('Max rate concentrations'!$P$3:$P$368)))/F398&gt;0, (((0.326*F398^0.818)-(0.398*F398^0.85)/(1-H398)*H398)*(MAX('Max rate concentrations'!$P$3:$P$368)))/F398, 0)</f>
        <v>0</v>
      </c>
      <c r="N398" s="70">
        <f>IF((((0.326*F398^0.818)-(0.398*F398^0.85)/(1-H398)*H398)*(MAX('Max rate concentrations'!$Q$3:$Q$368)))/F398&gt; 0, (((0.326*F398^0.818)-(0.398*F398^0.85)/(1-H398)*H398)*(MAX('Max rate concentrations'!$Q$3:$Q$368)))/F398, 0)</f>
        <v>0</v>
      </c>
      <c r="O398" s="70">
        <f>((MAX('Max rate concentrations'!$F$3:$F$368))*0.62*6.01*8*(12.3*F398^0.65)*0.079*0.1/F398)*inputs!$E$73/inputs!$E$74</f>
        <v>7.516505262870643</v>
      </c>
      <c r="P398" s="70">
        <f>((MAX('Max rate concentrations'!Y:Y))*0.62*6.01*8*(12.3*F398^0.65)*0.079*0.1/F398)*inputs!$E$73/inputs!$E$74</f>
        <v>2.5055017542902145</v>
      </c>
      <c r="Q398" s="70">
        <f>(inputs!$C$18*11.2*(12.3*F398^0.65)*0.5/F398)*inputs!$E$73/inputs!$E$74</f>
        <v>1.3239969498706499</v>
      </c>
      <c r="R398" s="60">
        <f>(60*379*((F398/1000)^0.8)*3*24*(MAX('Max rate concentrations'!$R$3:$R$368))/F398)*(inputs!$E$73/inputs!$E$75)</f>
        <v>5.6688778873469495E-3</v>
      </c>
      <c r="S398" s="60">
        <f>(IF(inputs!$C$17="aerial",((0.025*0.112*inputs!$C$18/3.3)*(3*60*379*((F398/1000)^0.8))*MAX(inputs!$I$14:$I$16))/F398,((0.0083*0.112*inputs!$C$18/1)*(3*60*379*((F398/1000)^0.8))*MAX(inputs!$I$14:$I$16))/F398))*(inputs!E$75/inputs!$E$73)</f>
        <v>3.1264209834991008E-2</v>
      </c>
      <c r="T398" s="63">
        <f>IF((((inputs!$P$13/(V398/MAX(K398:S398)))^(1/inputs!$O$13))-1)/inputs!$N$13&lt;0, 0, IF((((inputs!$P$13/(V398/MAX(K398:S398)))^(1/inputs!$O$13))-1)/inputs!$N$13&lt;inputs!$I$17, (((inputs!$P$13/(V398/MAX(K398:S398)))^(1/inputs!$O$13))-1)/inputs!$N$13, inputs!$I$17))</f>
        <v>26.878579917403414</v>
      </c>
      <c r="U398" s="63">
        <f>IF((((inputs!$P$13/(X398/MAX(K398:S398)))^(1/inputs!$O$13))-1)/inputs!$N$13&lt;0, 0, IF((((inputs!$P$13/(X398/MAX(K398:S398)))^(1/inputs!$O$13))-1)/inputs!$N$13&lt;inputs!$I$17, (((inputs!$P$13/(X398/MAX(K398:S398)))^(1/inputs!$O$13))-1)/inputs!$N$13, inputs!$I$17))</f>
        <v>22.873940625496079</v>
      </c>
      <c r="V398" s="54">
        <f>inputs!$E$70*(F398/inputs!$F$70)^(0.25)</f>
        <v>14.558243060768806</v>
      </c>
      <c r="W398" s="54">
        <f>inputs!$E$76*(F398/inputs!$F$76)^(0.25)</f>
        <v>1.0467441468548542</v>
      </c>
      <c r="X398" s="54">
        <f>inputs!$E$72*(inputs!$F$72/F398)^(0.25)</f>
        <v>17.165532884488261</v>
      </c>
      <c r="Y398" s="54" t="s">
        <v>13</v>
      </c>
      <c r="Z398" s="106">
        <f t="shared" si="36"/>
        <v>8.9428916384911243</v>
      </c>
      <c r="AA398" s="106">
        <f t="shared" si="37"/>
        <v>124.37880883352467</v>
      </c>
    </row>
    <row r="399" spans="1:27" ht="13.2" x14ac:dyDescent="0.25">
      <c r="A399" s="55" t="s">
        <v>526</v>
      </c>
      <c r="B399" s="49" t="s">
        <v>527</v>
      </c>
      <c r="C399" s="21" t="s">
        <v>61</v>
      </c>
      <c r="D399" s="20" t="s">
        <v>440</v>
      </c>
      <c r="E399" s="20">
        <v>4</v>
      </c>
      <c r="F399" s="21">
        <v>28000</v>
      </c>
      <c r="G399" s="21" t="s">
        <v>158</v>
      </c>
      <c r="H399" s="21">
        <v>0.85</v>
      </c>
      <c r="I399" s="68">
        <f>MAX('Max rate concentrations'!$F$3:$F$368)</f>
        <v>405</v>
      </c>
      <c r="J399" s="68">
        <f>MAX('Max rate concentrations'!Y:Y)</f>
        <v>135</v>
      </c>
      <c r="K399" s="70">
        <f t="shared" si="38"/>
        <v>102.52682223467572</v>
      </c>
      <c r="L399" s="70">
        <f t="shared" si="39"/>
        <v>34.175607411558573</v>
      </c>
      <c r="M399" s="70">
        <f>IF((((0.326*F399^0.818)-(0.398*F399^0.85)/(1-H399)*H399)*(MAX('Max rate concentrations'!$P$3:$P$368)))/F399&gt;0, (((0.326*F399^0.818)-(0.398*F399^0.85)/(1-H399)*H399)*(MAX('Max rate concentrations'!$P$3:$P$368)))/F399, 0)</f>
        <v>0</v>
      </c>
      <c r="N399" s="70">
        <f>IF((((0.326*F399^0.818)-(0.398*F399^0.85)/(1-H399)*H399)*(MAX('Max rate concentrations'!$Q$3:$Q$368)))/F399&gt; 0, (((0.326*F399^0.818)-(0.398*F399^0.85)/(1-H399)*H399)*(MAX('Max rate concentrations'!$Q$3:$Q$368)))/F399, 0)</f>
        <v>0</v>
      </c>
      <c r="O399" s="70">
        <f>((MAX('Max rate concentrations'!$F$3:$F$368))*0.62*6.01*8*(12.3*F399^0.65)*0.079*0.1/F399)*inputs!$E$73/inputs!$E$74</f>
        <v>7.516505262870643</v>
      </c>
      <c r="P399" s="70">
        <f>((MAX('Max rate concentrations'!Y:Y))*0.62*6.01*8*(12.3*F399^0.65)*0.079*0.1/F399)*inputs!$E$73/inputs!$E$74</f>
        <v>2.5055017542902145</v>
      </c>
      <c r="Q399" s="70">
        <f>(inputs!$C$18*11.2*(12.3*F399^0.65)*0.5/F399)*inputs!$E$73/inputs!$E$74</f>
        <v>1.3239969498706499</v>
      </c>
      <c r="R399" s="60">
        <f>(60*379*((F399/1000)^0.8)*3*24*(MAX('Max rate concentrations'!$R$3:$R$368))/F399)*(inputs!$E$73/inputs!$E$75)</f>
        <v>5.6688778873469495E-3</v>
      </c>
      <c r="S399" s="60">
        <f>(IF(inputs!$C$17="aerial",((0.025*0.112*inputs!$C$18/3.3)*(3*60*379*((F399/1000)^0.8))*MAX(inputs!$I$14:$I$16))/F399,((0.0083*0.112*inputs!$C$18/1)*(3*60*379*((F399/1000)^0.8))*MAX(inputs!$I$14:$I$16))/F399))*(inputs!E$75/inputs!$E$73)</f>
        <v>3.1264209834991008E-2</v>
      </c>
      <c r="T399" s="63">
        <f>IF((((inputs!$P$13/(V399/MAX(K399:S399)))^(1/inputs!$O$13))-1)/inputs!$N$13&lt;0, 0, IF((((inputs!$P$13/(V399/MAX(K399:S399)))^(1/inputs!$O$13))-1)/inputs!$N$13&lt;inputs!$I$17, (((inputs!$P$13/(V399/MAX(K399:S399)))^(1/inputs!$O$13))-1)/inputs!$N$13, inputs!$I$17))</f>
        <v>21.238520729839692</v>
      </c>
      <c r="U399" s="63">
        <f>IF((((inputs!$P$13/(X399/MAX(K399:S399)))^(1/inputs!$O$13))-1)/inputs!$N$13&lt;0, 0, IF((((inputs!$P$13/(X399/MAX(K399:S399)))^(1/inputs!$O$13))-1)/inputs!$N$13&lt;inputs!$I$17, (((inputs!$P$13/(X399/MAX(K399:S399)))^(1/inputs!$O$13))-1)/inputs!$N$13, inputs!$I$17))</f>
        <v>17.937376819377469</v>
      </c>
      <c r="V399" s="54">
        <f>inputs!$E$70*(F399/inputs!$F$70)^(0.25)</f>
        <v>14.558243060768806</v>
      </c>
      <c r="W399" s="54">
        <f>inputs!$E$76*(F399/inputs!$F$76)^(0.25)</f>
        <v>1.0467441468548542</v>
      </c>
      <c r="X399" s="54">
        <f>inputs!$E$72*(inputs!$F$72/F399)^(0.25)</f>
        <v>17.165532884488261</v>
      </c>
      <c r="Y399" s="54" t="s">
        <v>13</v>
      </c>
      <c r="Z399" s="106">
        <f t="shared" si="36"/>
        <v>7.0425271653117587</v>
      </c>
      <c r="AA399" s="106">
        <f t="shared" si="37"/>
        <v>97.948311956400659</v>
      </c>
    </row>
    <row r="400" spans="1:27" ht="26.4" x14ac:dyDescent="0.25">
      <c r="A400" s="55" t="s">
        <v>532</v>
      </c>
      <c r="B400" s="49" t="s">
        <v>533</v>
      </c>
      <c r="C400" s="21" t="s">
        <v>61</v>
      </c>
      <c r="D400" s="20" t="s">
        <v>440</v>
      </c>
      <c r="E400" s="20">
        <v>56</v>
      </c>
      <c r="F400" s="21">
        <v>48000</v>
      </c>
      <c r="G400" s="21" t="s">
        <v>169</v>
      </c>
      <c r="H400" s="21">
        <v>0.79</v>
      </c>
      <c r="I400" s="68">
        <f>MAX('Max rate concentrations'!$D$3:$D$368)</f>
        <v>720</v>
      </c>
      <c r="J400" s="68">
        <f>MAX('Max rate concentrations'!W:W)</f>
        <v>255</v>
      </c>
      <c r="K400" s="70">
        <f t="shared" si="38"/>
        <v>118.28239884351035</v>
      </c>
      <c r="L400" s="70">
        <f t="shared" si="39"/>
        <v>41.891682923743247</v>
      </c>
      <c r="M400" s="70">
        <f>IF((((0.326*F400^0.818)-(0.398*F400^0.85)/(1-H400)*H400)*(MAX('Max rate concentrations'!$P$3:$P$368)))/F400&gt;0, (((0.326*F400^0.818)-(0.398*F400^0.85)/(1-H400)*H400)*(MAX('Max rate concentrations'!$P$3:$P$368)))/F400, 0)</f>
        <v>0</v>
      </c>
      <c r="N400" s="70">
        <f>IF((((0.326*F400^0.818)-(0.398*F400^0.85)/(1-H400)*H400)*(MAX('Max rate concentrations'!$Q$3:$Q$368)))/F400&gt; 0, (((0.326*F400^0.818)-(0.398*F400^0.85)/(1-H400)*H400)*(MAX('Max rate concentrations'!$Q$3:$Q$368)))/F400, 0)</f>
        <v>0</v>
      </c>
      <c r="O400" s="70">
        <f>((MAX('Max rate concentrations'!$F$3:$F$368))*0.62*6.01*8*(12.3*F400^0.65)*0.079*0.1/F400)*inputs!$E$73/inputs!$E$74</f>
        <v>6.2242473599241439</v>
      </c>
      <c r="P400" s="70">
        <f>((MAX('Max rate concentrations'!Y:Y))*0.62*6.01*8*(12.3*F400^0.65)*0.079*0.1/F400)*inputs!$E$73/inputs!$E$74</f>
        <v>2.0747491199747148</v>
      </c>
      <c r="Q400" s="70">
        <f>(inputs!$C$18*11.2*(12.3*F400^0.65)*0.5/F400)*inputs!$E$73/inputs!$E$74</f>
        <v>1.0963718153019322</v>
      </c>
      <c r="R400" s="60">
        <f>(60*379*((F400/1000)^0.8)*3*24*(MAX('Max rate concentrations'!$R$3:$R$368))/F400)*(inputs!$E$73/inputs!$E$75)</f>
        <v>5.0895626044477572E-3</v>
      </c>
      <c r="S400" s="60">
        <f>(IF(inputs!$C$17="aerial",((0.025*0.112*inputs!$C$18/3.3)*(3*60*379*((F400/1000)^0.8))*MAX(inputs!$I$14:$I$16))/F400,((0.0083*0.112*inputs!$C$18/1)*(3*60*379*((F400/1000)^0.8))*MAX(inputs!$I$14:$I$16))/F400))*(inputs!E$75/inputs!$E$73)</f>
        <v>2.8069250457650467E-2</v>
      </c>
      <c r="T400" s="63">
        <f>IF((((inputs!$P$13/(V400/MAX(K400:S400)))^(1/inputs!$O$13))-1)/inputs!$N$13&lt;0, 0, IF((((inputs!$P$13/(V400/MAX(K400:S400)))^(1/inputs!$O$13))-1)/inputs!$N$13&lt;inputs!$I$17, (((inputs!$P$13/(V400/MAX(K400:S400)))^(1/inputs!$O$13))-1)/inputs!$N$13, inputs!$I$17))</f>
        <v>21.414631899265984</v>
      </c>
      <c r="U400" s="63">
        <f>IF((((inputs!$P$13/(X400/MAX(K400:S400)))^(1/inputs!$O$13))-1)/inputs!$N$13&lt;0, 0, IF((((inputs!$P$13/(X400/MAX(K400:S400)))^(1/inputs!$O$13))-1)/inputs!$N$13&lt;inputs!$I$17, (((inputs!$P$13/(X400/MAX(K400:S400)))^(1/inputs!$O$13))-1)/inputs!$N$13, inputs!$I$17))</f>
        <v>23.769818022136175</v>
      </c>
      <c r="V400" s="54">
        <f>inputs!$E$70*(F400/inputs!$F$70)^(0.25)</f>
        <v>16.658265035123577</v>
      </c>
      <c r="W400" s="54">
        <f>inputs!$E$76*(F400/inputs!$F$76)^(0.25)</f>
        <v>1.1977366602197428</v>
      </c>
      <c r="X400" s="54">
        <f>inputs!$E$72*(inputs!$F$72/F400)^(0.25)</f>
        <v>15.001562255918696</v>
      </c>
      <c r="Y400" s="54" t="s">
        <v>13</v>
      </c>
      <c r="Z400" s="106">
        <f t="shared" si="36"/>
        <v>7.1005232894370796</v>
      </c>
      <c r="AA400" s="106">
        <f t="shared" si="37"/>
        <v>98.754929002348206</v>
      </c>
    </row>
    <row r="401" spans="1:27" ht="26.4" x14ac:dyDescent="0.25">
      <c r="A401" s="55" t="s">
        <v>532</v>
      </c>
      <c r="B401" s="49" t="s">
        <v>533</v>
      </c>
      <c r="C401" s="21" t="s">
        <v>61</v>
      </c>
      <c r="D401" s="20" t="s">
        <v>440</v>
      </c>
      <c r="E401" s="20">
        <v>56</v>
      </c>
      <c r="F401" s="21">
        <v>48000</v>
      </c>
      <c r="G401" s="21" t="s">
        <v>177</v>
      </c>
      <c r="H401" s="21">
        <v>0.85</v>
      </c>
      <c r="I401" s="68">
        <f>MAX('Max rate concentrations'!$F$3:$F$368)</f>
        <v>405</v>
      </c>
      <c r="J401" s="68">
        <f>MAX('Max rate concentrations'!Y:Y)</f>
        <v>135</v>
      </c>
      <c r="K401" s="70">
        <f t="shared" si="38"/>
        <v>93.147389089264365</v>
      </c>
      <c r="L401" s="70">
        <f t="shared" si="39"/>
        <v>31.049129696421456</v>
      </c>
      <c r="M401" s="70">
        <f>IF((((0.326*F401^0.818)-(0.398*F401^0.85)/(1-H401)*H401)*(MAX('Max rate concentrations'!$P$3:$P$368)))/F401&gt;0, (((0.326*F401^0.818)-(0.398*F401^0.85)/(1-H401)*H401)*(MAX('Max rate concentrations'!$P$3:$P$368)))/F401, 0)</f>
        <v>0</v>
      </c>
      <c r="N401" s="70">
        <f>IF((((0.326*F401^0.818)-(0.398*F401^0.85)/(1-H401)*H401)*(MAX('Max rate concentrations'!$Q$3:$Q$368)))/F401&gt; 0, (((0.326*F401^0.818)-(0.398*F401^0.85)/(1-H401)*H401)*(MAX('Max rate concentrations'!$Q$3:$Q$368)))/F401, 0)</f>
        <v>0</v>
      </c>
      <c r="O401" s="70">
        <f>((MAX('Max rate concentrations'!$F$3:$F$368))*0.62*6.01*8*(12.3*F401^0.65)*0.079*0.1/F401)*inputs!$E$73/inputs!$E$74</f>
        <v>6.2242473599241439</v>
      </c>
      <c r="P401" s="70">
        <f>((MAX('Max rate concentrations'!Y:Y))*0.62*6.01*8*(12.3*F401^0.65)*0.079*0.1/F401)*inputs!$E$73/inputs!$E$74</f>
        <v>2.0747491199747148</v>
      </c>
      <c r="Q401" s="70">
        <f>(inputs!$C$18*11.2*(12.3*F401^0.65)*0.5/F401)*inputs!$E$73/inputs!$E$74</f>
        <v>1.0963718153019322</v>
      </c>
      <c r="R401" s="60">
        <f>(60*379*((F401/1000)^0.8)*3*24*(MAX('Max rate concentrations'!$R$3:$R$368))/F401)*(inputs!$E$73/inputs!$E$75)</f>
        <v>5.0895626044477572E-3</v>
      </c>
      <c r="S401" s="60">
        <f>(IF(inputs!$C$17="aerial",((0.025*0.112*inputs!$C$18/3.3)*(3*60*379*((F401/1000)^0.8))*MAX(inputs!$I$14:$I$16))/F401,((0.0083*0.112*inputs!$C$18/1)*(3*60*379*((F401/1000)^0.8))*MAX(inputs!$I$14:$I$16))/F401))*(inputs!E$75/inputs!$E$73)</f>
        <v>2.8069250457650467E-2</v>
      </c>
      <c r="T401" s="63">
        <f>IF((((inputs!$P$13/(V401/MAX(K401:S401)))^(1/inputs!$O$13))-1)/inputs!$N$13&lt;0, 0, IF((((inputs!$P$13/(V401/MAX(K401:S401)))^(1/inputs!$O$13))-1)/inputs!$N$13&lt;inputs!$I$17, (((inputs!$P$13/(V401/MAX(K401:S401)))^(1/inputs!$O$13))-1)/inputs!$N$13, inputs!$I$17))</f>
        <v>16.734425001765835</v>
      </c>
      <c r="U401" s="63">
        <f>IF((((inputs!$P$13/(X401/MAX(K401:S401)))^(1/inputs!$O$13))-1)/inputs!$N$13&lt;0, 0, IF((((inputs!$P$13/(X401/MAX(K401:S401)))^(1/inputs!$O$13))-1)/inputs!$N$13&lt;inputs!$I$17, (((inputs!$P$13/(X401/MAX(K401:S401)))^(1/inputs!$O$13))-1)/inputs!$N$13, inputs!$I$17))</f>
        <v>18.675875344928969</v>
      </c>
      <c r="V401" s="54">
        <f>inputs!$E$70*(F401/inputs!$F$70)^(0.25)</f>
        <v>16.658265035123577</v>
      </c>
      <c r="W401" s="54">
        <f>inputs!$E$76*(F401/inputs!$F$76)^(0.25)</f>
        <v>1.1977366602197428</v>
      </c>
      <c r="X401" s="54">
        <f>inputs!$E$72*(inputs!$F$72/F401)^(0.25)</f>
        <v>15.001562255918696</v>
      </c>
      <c r="Y401" s="54" t="s">
        <v>13</v>
      </c>
      <c r="Z401" s="106">
        <f t="shared" si="36"/>
        <v>5.591662090431698</v>
      </c>
      <c r="AA401" s="106">
        <f t="shared" si="37"/>
        <v>77.769506589349177</v>
      </c>
    </row>
    <row r="402" spans="1:27" ht="13.2" x14ac:dyDescent="0.25">
      <c r="A402" s="55" t="s">
        <v>534</v>
      </c>
      <c r="B402" s="49" t="s">
        <v>535</v>
      </c>
      <c r="C402" s="21" t="s">
        <v>61</v>
      </c>
      <c r="D402" s="20" t="s">
        <v>440</v>
      </c>
      <c r="E402" s="20">
        <v>57</v>
      </c>
      <c r="F402" s="21">
        <v>61000</v>
      </c>
      <c r="G402" s="21" t="s">
        <v>169</v>
      </c>
      <c r="H402" s="21">
        <v>0.79</v>
      </c>
      <c r="I402" s="68">
        <f>MAX('Max rate concentrations'!$D$3:$D$368)</f>
        <v>720</v>
      </c>
      <c r="J402" s="68">
        <f>MAX('Max rate concentrations'!W:W)</f>
        <v>255</v>
      </c>
      <c r="K402" s="70">
        <f t="shared" si="38"/>
        <v>113.34238664972293</v>
      </c>
      <c r="L402" s="70">
        <f t="shared" si="39"/>
        <v>40.142095271776867</v>
      </c>
      <c r="M402" s="70">
        <f>IF((((0.326*F402^0.818)-(0.398*F402^0.85)/(1-H402)*H402)*(MAX('Max rate concentrations'!$P$3:$P$368)))/F402&gt;0, (((0.326*F402^0.818)-(0.398*F402^0.85)/(1-H402)*H402)*(MAX('Max rate concentrations'!$P$3:$P$368)))/F402, 0)</f>
        <v>0</v>
      </c>
      <c r="N402" s="70">
        <f>IF((((0.326*F402^0.818)-(0.398*F402^0.85)/(1-H402)*H402)*(MAX('Max rate concentrations'!$Q$3:$Q$368)))/F402&gt; 0, (((0.326*F402^0.818)-(0.398*F402^0.85)/(1-H402)*H402)*(MAX('Max rate concentrations'!$Q$3:$Q$368)))/F402, 0)</f>
        <v>0</v>
      </c>
      <c r="O402" s="70">
        <f>((MAX('Max rate concentrations'!$F$3:$F$368))*0.62*6.01*8*(12.3*F402^0.65)*0.079*0.1/F402)*inputs!$E$73/inputs!$E$74</f>
        <v>5.7234228705505679</v>
      </c>
      <c r="P402" s="70">
        <f>((MAX('Max rate concentrations'!Y:Y))*0.62*6.01*8*(12.3*F402^0.65)*0.079*0.1/F402)*inputs!$E$73/inputs!$E$74</f>
        <v>1.9078076235168562</v>
      </c>
      <c r="Q402" s="70">
        <f>(inputs!$C$18*11.2*(12.3*F402^0.65)*0.5/F402)*inputs!$E$73/inputs!$E$74</f>
        <v>1.0081539436765887</v>
      </c>
      <c r="R402" s="60">
        <f>(60*379*((F402/1000)^0.8)*3*24*(MAX('Max rate concentrations'!$R$3:$R$368))/F402)*(inputs!$E$73/inputs!$E$75)</f>
        <v>4.8513514901209068E-3</v>
      </c>
      <c r="S402" s="60">
        <f>(IF(inputs!$C$17="aerial",((0.025*0.112*inputs!$C$18/3.3)*(3*60*379*((F402/1000)^0.8))*MAX(inputs!$I$14:$I$16))/F402,((0.0083*0.112*inputs!$C$18/1)*(3*60*379*((F402/1000)^0.8))*MAX(inputs!$I$14:$I$16))/F402))*(inputs!E$75/inputs!$E$73)</f>
        <v>2.675550152684979E-2</v>
      </c>
      <c r="T402" s="63">
        <f>IF((((inputs!$P$13/(V402/MAX(K402:S402)))^(1/inputs!$O$13))-1)/inputs!$N$13&lt;0, 0, IF((((inputs!$P$13/(V402/MAX(K402:S402)))^(1/inputs!$O$13))-1)/inputs!$N$13&lt;inputs!$I$17, (((inputs!$P$13/(V402/MAX(K402:S402)))^(1/inputs!$O$13))-1)/inputs!$N$13, inputs!$I$17))</f>
        <v>19.293771788569337</v>
      </c>
      <c r="U402" s="63">
        <f>IF((((inputs!$P$13/(X402/MAX(K402:S402)))^(1/inputs!$O$13))-1)/inputs!$N$13&lt;0, 0, IF((((inputs!$P$13/(X402/MAX(K402:S402)))^(1/inputs!$O$13))-1)/inputs!$N$13&lt;inputs!$I$17, (((inputs!$P$13/(X402/MAX(K402:S402)))^(1/inputs!$O$13))-1)/inputs!$N$13, inputs!$I$17))</f>
        <v>24.177303435502566</v>
      </c>
      <c r="V402" s="54">
        <f>inputs!$E$70*(F402/inputs!$F$70)^(0.25)</f>
        <v>17.686908003627359</v>
      </c>
      <c r="W402" s="54">
        <f>inputs!$E$76*(F402/inputs!$F$76)^(0.25)</f>
        <v>1.2716965468619899</v>
      </c>
      <c r="X402" s="54">
        <f>inputs!$E$72*(inputs!$F$72/F402)^(0.25)</f>
        <v>14.129094805533487</v>
      </c>
      <c r="Y402" s="54" t="s">
        <v>13</v>
      </c>
      <c r="Z402" s="106">
        <f t="shared" si="36"/>
        <v>6.4082646116821467</v>
      </c>
      <c r="AA402" s="106">
        <f t="shared" si="37"/>
        <v>89.126912335654353</v>
      </c>
    </row>
    <row r="403" spans="1:27" ht="13.2" x14ac:dyDescent="0.25">
      <c r="A403" s="55" t="s">
        <v>438</v>
      </c>
      <c r="B403" s="49" t="s">
        <v>439</v>
      </c>
      <c r="C403" s="21" t="s">
        <v>61</v>
      </c>
      <c r="D403" s="20" t="s">
        <v>440</v>
      </c>
      <c r="E403" s="20">
        <v>9</v>
      </c>
      <c r="F403" s="21">
        <v>47630</v>
      </c>
      <c r="G403" s="21" t="s">
        <v>152</v>
      </c>
      <c r="H403" s="21">
        <v>0.77</v>
      </c>
      <c r="I403" s="68">
        <f>MAX('Max rate concentrations'!$G$3:$G$368)</f>
        <v>45</v>
      </c>
      <c r="J403" s="68">
        <f>MAX('Max rate concentrations'!Z:Z)</f>
        <v>21</v>
      </c>
      <c r="K403" s="70">
        <f t="shared" si="38"/>
        <v>6.7591143914842</v>
      </c>
      <c r="L403" s="70">
        <f t="shared" si="39"/>
        <v>3.1542533826926267</v>
      </c>
      <c r="M403" s="70">
        <f>IF((((0.326*F403^0.818)-(0.398*F403^0.85)/(1-H403)*H403)*(MAX('Max rate concentrations'!$P$3:$P$368)))/F403&gt;0, (((0.326*F403^0.818)-(0.398*F403^0.85)/(1-H403)*H403)*(MAX('Max rate concentrations'!$P$3:$P$368)))/F403, 0)</f>
        <v>0</v>
      </c>
      <c r="N403" s="70">
        <f>IF((((0.326*F403^0.818)-(0.398*F403^0.85)/(1-H403)*H403)*(MAX('Max rate concentrations'!$Q$3:$Q$368)))/F403&gt; 0, (((0.326*F403^0.818)-(0.398*F403^0.85)/(1-H403)*H403)*(MAX('Max rate concentrations'!$Q$3:$Q$368)))/F403, 0)</f>
        <v>0</v>
      </c>
      <c r="O403" s="70">
        <f>((MAX('Max rate concentrations'!$F$3:$F$368))*0.62*6.01*8*(12.3*F403^0.65)*0.079*0.1/F403)*inputs!$E$73/inputs!$E$74</f>
        <v>6.2411277651010533</v>
      </c>
      <c r="P403" s="70">
        <f>((MAX('Max rate concentrations'!Y:Y))*0.62*6.01*8*(12.3*F403^0.65)*0.079*0.1/F403)*inputs!$E$73/inputs!$E$74</f>
        <v>2.0803759217003512</v>
      </c>
      <c r="Q403" s="70">
        <f>(inputs!$C$18*11.2*(12.3*F403^0.65)*0.5/F403)*inputs!$E$73/inputs!$E$74</f>
        <v>1.0993452190560955</v>
      </c>
      <c r="R403" s="60">
        <f>(60*379*((F403/1000)^0.8)*3*24*(MAX('Max rate concentrations'!$R$3:$R$368))/F403)*(inputs!$E$73/inputs!$E$75)</f>
        <v>5.0974455095151808E-3</v>
      </c>
      <c r="S403" s="60">
        <f>(IF(inputs!$C$17="aerial",((0.025*0.112*inputs!$C$18/3.3)*(3*60*379*((F403/1000)^0.8))*MAX(inputs!$I$14:$I$16))/F403,((0.0083*0.112*inputs!$C$18/1)*(3*60*379*((F403/1000)^0.8))*MAX(inputs!$I$14:$I$16))/F403))*(inputs!E$75/inputs!$E$73)</f>
        <v>2.8112725163409669E-2</v>
      </c>
      <c r="T403" s="63">
        <f>IF((((inputs!$P$13/(V403/MAX(K403:S403)))^(1/inputs!$O$13))-1)/inputs!$N$13&lt;0, 0, IF((((inputs!$P$13/(V403/MAX(K403:S403)))^(1/inputs!$O$13))-1)/inputs!$N$13&lt;inputs!$I$17, (((inputs!$P$13/(V403/MAX(K403:S403)))^(1/inputs!$O$13))-1)/inputs!$N$13, inputs!$I$17))</f>
        <v>0</v>
      </c>
      <c r="U403" s="63">
        <f>IF((((inputs!$P$13/(X403/MAX(K403:S403)))^(1/inputs!$O$13))-1)/inputs!$N$13&lt;0, 0, IF((((inputs!$P$13/(X403/MAX(K403:S403)))^(1/inputs!$O$13))-1)/inputs!$N$13&lt;inputs!$I$17, (((inputs!$P$13/(X403/MAX(K403:S403)))^(1/inputs!$O$13))-1)/inputs!$N$13, inputs!$I$17))</f>
        <v>0</v>
      </c>
      <c r="V403" s="54">
        <f>inputs!$E$70*(F403/inputs!$F$70)^(0.25)</f>
        <v>16.626069956281956</v>
      </c>
      <c r="W403" s="54">
        <f>inputs!$E$76*(F403/inputs!$F$76)^(0.25)</f>
        <v>1.1954218197410995</v>
      </c>
      <c r="X403" s="54">
        <f>inputs!$E$72*(inputs!$F$72/F403)^(0.25)</f>
        <v>15.030611603169534</v>
      </c>
      <c r="Y403" s="54" t="s">
        <v>13</v>
      </c>
      <c r="Z403" s="106">
        <f t="shared" si="36"/>
        <v>0.40653710764222739</v>
      </c>
      <c r="AA403" s="106">
        <f t="shared" si="37"/>
        <v>5.6541668220077046</v>
      </c>
    </row>
    <row r="404" spans="1:27" ht="13.2" x14ac:dyDescent="0.25">
      <c r="A404" s="55" t="s">
        <v>438</v>
      </c>
      <c r="B404" s="49" t="s">
        <v>439</v>
      </c>
      <c r="C404" s="21" t="s">
        <v>61</v>
      </c>
      <c r="D404" s="20" t="s">
        <v>440</v>
      </c>
      <c r="E404" s="20">
        <v>9</v>
      </c>
      <c r="F404" s="21">
        <v>47630</v>
      </c>
      <c r="G404" s="21" t="s">
        <v>161</v>
      </c>
      <c r="H404" s="21">
        <v>0.85</v>
      </c>
      <c r="I404" s="68">
        <f>MAX('Max rate concentrations'!$F$3:$F$368)</f>
        <v>405</v>
      </c>
      <c r="J404" s="68">
        <f>MAX('Max rate concentrations'!Y:Y)</f>
        <v>135</v>
      </c>
      <c r="K404" s="70">
        <f t="shared" si="38"/>
        <v>93.275778602481935</v>
      </c>
      <c r="L404" s="70">
        <f t="shared" si="39"/>
        <v>31.091926200827317</v>
      </c>
      <c r="M404" s="70">
        <f>IF((((0.326*F404^0.818)-(0.398*F404^0.85)/(1-H404)*H404)*(MAX('Max rate concentrations'!$P$3:$P$368)))/F404&gt;0, (((0.326*F404^0.818)-(0.398*F404^0.85)/(1-H404)*H404)*(MAX('Max rate concentrations'!$P$3:$P$368)))/F404, 0)</f>
        <v>0</v>
      </c>
      <c r="N404" s="70">
        <f>IF((((0.326*F404^0.818)-(0.398*F404^0.85)/(1-H404)*H404)*(MAX('Max rate concentrations'!$Q$3:$Q$368)))/F404&gt; 0, (((0.326*F404^0.818)-(0.398*F404^0.85)/(1-H404)*H404)*(MAX('Max rate concentrations'!$Q$3:$Q$368)))/F404, 0)</f>
        <v>0</v>
      </c>
      <c r="O404" s="70">
        <f>((MAX('Max rate concentrations'!$F$3:$F$368))*0.62*6.01*8*(12.3*F404^0.65)*0.079*0.1/F404)*inputs!$E$73/inputs!$E$74</f>
        <v>6.2411277651010533</v>
      </c>
      <c r="P404" s="70">
        <f>((MAX('Max rate concentrations'!Y:Y))*0.62*6.01*8*(12.3*F404^0.65)*0.079*0.1/F404)*inputs!$E$73/inputs!$E$74</f>
        <v>2.0803759217003512</v>
      </c>
      <c r="Q404" s="70">
        <f>(inputs!$C$18*11.2*(12.3*F404^0.65)*0.5/F404)*inputs!$E$73/inputs!$E$74</f>
        <v>1.0993452190560955</v>
      </c>
      <c r="R404" s="60">
        <f>(60*379*((F404/1000)^0.8)*3*24*(MAX('Max rate concentrations'!$R$3:$R$368))/F404)*(inputs!$E$73/inputs!$E$75)</f>
        <v>5.0974455095151808E-3</v>
      </c>
      <c r="S404" s="60">
        <f>(IF(inputs!$C$17="aerial",((0.025*0.112*inputs!$C$18/3.3)*(3*60*379*((F404/1000)^0.8))*MAX(inputs!$I$14:$I$16))/F404,((0.0083*0.112*inputs!$C$18/1)*(3*60*379*((F404/1000)^0.8))*MAX(inputs!$I$14:$I$16))/F404))*(inputs!E$75/inputs!$E$73)</f>
        <v>2.8112725163409669E-2</v>
      </c>
      <c r="T404" s="63">
        <f>IF((((inputs!$P$13/(V404/MAX(K404:S404)))^(1/inputs!$O$13))-1)/inputs!$N$13&lt;0, 0, IF((((inputs!$P$13/(V404/MAX(K404:S404)))^(1/inputs!$O$13))-1)/inputs!$N$13&lt;inputs!$I$17, (((inputs!$P$13/(V404/MAX(K404:S404)))^(1/inputs!$O$13))-1)/inputs!$N$13, inputs!$I$17))</f>
        <v>16.793323500570516</v>
      </c>
      <c r="U404" s="63">
        <f>IF((((inputs!$P$13/(X404/MAX(K404:S404)))^(1/inputs!$O$13))-1)/inputs!$N$13&lt;0, 0, IF((((inputs!$P$13/(X404/MAX(K404:S404)))^(1/inputs!$O$13))-1)/inputs!$N$13&lt;inputs!$I$17, (((inputs!$P$13/(X404/MAX(K404:S404)))^(1/inputs!$O$13))-1)/inputs!$N$13, inputs!$I$17))</f>
        <v>18.665108154014312</v>
      </c>
      <c r="V404" s="54">
        <f>inputs!$E$70*(F404/inputs!$F$70)^(0.25)</f>
        <v>16.626069956281956</v>
      </c>
      <c r="W404" s="54">
        <f>inputs!$E$76*(F404/inputs!$F$76)^(0.25)</f>
        <v>1.1954218197410995</v>
      </c>
      <c r="X404" s="54">
        <f>inputs!$E$72*(inputs!$F$72/F404)^(0.25)</f>
        <v>15.030611603169534</v>
      </c>
      <c r="Y404" s="54" t="s">
        <v>13</v>
      </c>
      <c r="Z404" s="106">
        <f t="shared" si="36"/>
        <v>5.6102120854627362</v>
      </c>
      <c r="AA404" s="106">
        <f t="shared" si="37"/>
        <v>78.0275021437063</v>
      </c>
    </row>
    <row r="405" spans="1:27" ht="13.2" x14ac:dyDescent="0.25">
      <c r="A405" s="55" t="s">
        <v>438</v>
      </c>
      <c r="B405" s="49" t="s">
        <v>439</v>
      </c>
      <c r="C405" s="21" t="s">
        <v>61</v>
      </c>
      <c r="D405" s="20" t="s">
        <v>440</v>
      </c>
      <c r="E405" s="20">
        <v>10141</v>
      </c>
      <c r="F405" s="21">
        <v>47630</v>
      </c>
      <c r="G405" s="21" t="s">
        <v>152</v>
      </c>
      <c r="H405" s="21">
        <v>0.77</v>
      </c>
      <c r="I405" s="68">
        <f>MAX('Max rate concentrations'!$G$3:$G$368)</f>
        <v>45</v>
      </c>
      <c r="J405" s="68">
        <f>MAX('Max rate concentrations'!Z:Z)</f>
        <v>21</v>
      </c>
      <c r="K405" s="70">
        <f t="shared" si="38"/>
        <v>6.7591143914842</v>
      </c>
      <c r="L405" s="70">
        <f t="shared" si="39"/>
        <v>3.1542533826926267</v>
      </c>
      <c r="M405" s="70">
        <f>IF((((0.326*F405^0.818)-(0.398*F405^0.85)/(1-H405)*H405)*(MAX('Max rate concentrations'!$P$3:$P$368)))/F405&gt;0, (((0.326*F405^0.818)-(0.398*F405^0.85)/(1-H405)*H405)*(MAX('Max rate concentrations'!$P$3:$P$368)))/F405, 0)</f>
        <v>0</v>
      </c>
      <c r="N405" s="70">
        <f>IF((((0.326*F405^0.818)-(0.398*F405^0.85)/(1-H405)*H405)*(MAX('Max rate concentrations'!$Q$3:$Q$368)))/F405&gt; 0, (((0.326*F405^0.818)-(0.398*F405^0.85)/(1-H405)*H405)*(MAX('Max rate concentrations'!$Q$3:$Q$368)))/F405, 0)</f>
        <v>0</v>
      </c>
      <c r="O405" s="70">
        <f>((MAX('Max rate concentrations'!$F$3:$F$368))*0.62*6.01*8*(12.3*F405^0.65)*0.079*0.1/F405)*inputs!$E$73/inputs!$E$74</f>
        <v>6.2411277651010533</v>
      </c>
      <c r="P405" s="70">
        <f>((MAX('Max rate concentrations'!Y:Y))*0.62*6.01*8*(12.3*F405^0.65)*0.079*0.1/F405)*inputs!$E$73/inputs!$E$74</f>
        <v>2.0803759217003512</v>
      </c>
      <c r="Q405" s="70">
        <f>(inputs!$C$18*11.2*(12.3*F405^0.65)*0.5/F405)*inputs!$E$73/inputs!$E$74</f>
        <v>1.0993452190560955</v>
      </c>
      <c r="R405" s="60">
        <f>(60*379*((F405/1000)^0.8)*3*24*(MAX('Max rate concentrations'!$R$3:$R$368))/F405)*(inputs!$E$73/inputs!$E$75)</f>
        <v>5.0974455095151808E-3</v>
      </c>
      <c r="S405" s="60">
        <f>(IF(inputs!$C$17="aerial",((0.025*0.112*inputs!$C$18/3.3)*(3*60*379*((F405/1000)^0.8))*MAX(inputs!$I$14:$I$16))/F405,((0.0083*0.112*inputs!$C$18/1)*(3*60*379*((F405/1000)^0.8))*MAX(inputs!$I$14:$I$16))/F405))*(inputs!E$75/inputs!$E$73)</f>
        <v>2.8112725163409669E-2</v>
      </c>
      <c r="T405" s="63">
        <f>IF((((inputs!$P$13/(V405/MAX(K405:S405)))^(1/inputs!$O$13))-1)/inputs!$N$13&lt;0, 0, IF((((inputs!$P$13/(V405/MAX(K405:S405)))^(1/inputs!$O$13))-1)/inputs!$N$13&lt;inputs!$I$17, (((inputs!$P$13/(V405/MAX(K405:S405)))^(1/inputs!$O$13))-1)/inputs!$N$13, inputs!$I$17))</f>
        <v>0</v>
      </c>
      <c r="U405" s="63">
        <f>IF((((inputs!$P$13/(X405/MAX(K405:S405)))^(1/inputs!$O$13))-1)/inputs!$N$13&lt;0, 0, IF((((inputs!$P$13/(X405/MAX(K405:S405)))^(1/inputs!$O$13))-1)/inputs!$N$13&lt;inputs!$I$17, (((inputs!$P$13/(X405/MAX(K405:S405)))^(1/inputs!$O$13))-1)/inputs!$N$13, inputs!$I$17))</f>
        <v>0</v>
      </c>
      <c r="V405" s="54">
        <f>inputs!$E$70*(F405/inputs!$F$70)^(0.25)</f>
        <v>16.626069956281956</v>
      </c>
      <c r="W405" s="54">
        <f>inputs!$E$76*(F405/inputs!$F$76)^(0.25)</f>
        <v>1.1954218197410995</v>
      </c>
      <c r="X405" s="54">
        <f>inputs!$E$72*(inputs!$F$72/F405)^(0.25)</f>
        <v>15.030611603169534</v>
      </c>
      <c r="Y405" s="54" t="s">
        <v>13</v>
      </c>
      <c r="Z405" s="106">
        <f t="shared" si="36"/>
        <v>0.40653710764222739</v>
      </c>
      <c r="AA405" s="106">
        <f t="shared" si="37"/>
        <v>5.6541668220077046</v>
      </c>
    </row>
    <row r="406" spans="1:27" ht="13.2" x14ac:dyDescent="0.25">
      <c r="A406" s="55" t="s">
        <v>438</v>
      </c>
      <c r="B406" s="49" t="s">
        <v>439</v>
      </c>
      <c r="C406" s="21" t="s">
        <v>61</v>
      </c>
      <c r="D406" s="20" t="s">
        <v>440</v>
      </c>
      <c r="E406" s="20">
        <v>10141</v>
      </c>
      <c r="F406" s="21">
        <v>47630</v>
      </c>
      <c r="G406" s="21" t="s">
        <v>161</v>
      </c>
      <c r="H406" s="21">
        <v>0.85</v>
      </c>
      <c r="I406" s="68">
        <f>MAX('Max rate concentrations'!$F$3:$F$368)</f>
        <v>405</v>
      </c>
      <c r="J406" s="68">
        <f>MAX('Max rate concentrations'!Y:Y)</f>
        <v>135</v>
      </c>
      <c r="K406" s="70">
        <f t="shared" si="38"/>
        <v>93.275778602481935</v>
      </c>
      <c r="L406" s="70">
        <f t="shared" si="39"/>
        <v>31.091926200827317</v>
      </c>
      <c r="M406" s="70">
        <f>IF((((0.326*F406^0.818)-(0.398*F406^0.85)/(1-H406)*H406)*(MAX('Max rate concentrations'!$P$3:$P$368)))/F406&gt;0, (((0.326*F406^0.818)-(0.398*F406^0.85)/(1-H406)*H406)*(MAX('Max rate concentrations'!$P$3:$P$368)))/F406, 0)</f>
        <v>0</v>
      </c>
      <c r="N406" s="70">
        <f>IF((((0.326*F406^0.818)-(0.398*F406^0.85)/(1-H406)*H406)*(MAX('Max rate concentrations'!$Q$3:$Q$368)))/F406&gt; 0, (((0.326*F406^0.818)-(0.398*F406^0.85)/(1-H406)*H406)*(MAX('Max rate concentrations'!$Q$3:$Q$368)))/F406, 0)</f>
        <v>0</v>
      </c>
      <c r="O406" s="70">
        <f>((MAX('Max rate concentrations'!$F$3:$F$368))*0.62*6.01*8*(12.3*F406^0.65)*0.079*0.1/F406)*inputs!$E$73/inputs!$E$74</f>
        <v>6.2411277651010533</v>
      </c>
      <c r="P406" s="70">
        <f>((MAX('Max rate concentrations'!Y:Y))*0.62*6.01*8*(12.3*F406^0.65)*0.079*0.1/F406)*inputs!$E$73/inputs!$E$74</f>
        <v>2.0803759217003512</v>
      </c>
      <c r="Q406" s="70">
        <f>(inputs!$C$18*11.2*(12.3*F406^0.65)*0.5/F406)*inputs!$E$73/inputs!$E$74</f>
        <v>1.0993452190560955</v>
      </c>
      <c r="R406" s="60">
        <f>(60*379*((F406/1000)^0.8)*3*24*(MAX('Max rate concentrations'!$R$3:$R$368))/F406)*(inputs!$E$73/inputs!$E$75)</f>
        <v>5.0974455095151808E-3</v>
      </c>
      <c r="S406" s="60">
        <f>(IF(inputs!$C$17="aerial",((0.025*0.112*inputs!$C$18/3.3)*(3*60*379*((F406/1000)^0.8))*MAX(inputs!$I$14:$I$16))/F406,((0.0083*0.112*inputs!$C$18/1)*(3*60*379*((F406/1000)^0.8))*MAX(inputs!$I$14:$I$16))/F406))*(inputs!E$75/inputs!$E$73)</f>
        <v>2.8112725163409669E-2</v>
      </c>
      <c r="T406" s="63">
        <f>IF((((inputs!$P$13/(V406/MAX(K406:S406)))^(1/inputs!$O$13))-1)/inputs!$N$13&lt;0, 0, IF((((inputs!$P$13/(V406/MAX(K406:S406)))^(1/inputs!$O$13))-1)/inputs!$N$13&lt;inputs!$I$17, (((inputs!$P$13/(V406/MAX(K406:S406)))^(1/inputs!$O$13))-1)/inputs!$N$13, inputs!$I$17))</f>
        <v>16.793323500570516</v>
      </c>
      <c r="U406" s="63">
        <f>IF((((inputs!$P$13/(X406/MAX(K406:S406)))^(1/inputs!$O$13))-1)/inputs!$N$13&lt;0, 0, IF((((inputs!$P$13/(X406/MAX(K406:S406)))^(1/inputs!$O$13))-1)/inputs!$N$13&lt;inputs!$I$17, (((inputs!$P$13/(X406/MAX(K406:S406)))^(1/inputs!$O$13))-1)/inputs!$N$13, inputs!$I$17))</f>
        <v>18.665108154014312</v>
      </c>
      <c r="V406" s="54">
        <f>inputs!$E$70*(F406/inputs!$F$70)^(0.25)</f>
        <v>16.626069956281956</v>
      </c>
      <c r="W406" s="54">
        <f>inputs!$E$76*(F406/inputs!$F$76)^(0.25)</f>
        <v>1.1954218197410995</v>
      </c>
      <c r="X406" s="54">
        <f>inputs!$E$72*(inputs!$F$72/F406)^(0.25)</f>
        <v>15.030611603169534</v>
      </c>
      <c r="Y406" s="54" t="s">
        <v>13</v>
      </c>
      <c r="Z406" s="106">
        <f t="shared" si="36"/>
        <v>5.6102120854627362</v>
      </c>
      <c r="AA406" s="106">
        <f t="shared" si="37"/>
        <v>78.0275021437063</v>
      </c>
    </row>
    <row r="407" spans="1:27" ht="13.2" x14ac:dyDescent="0.25">
      <c r="A407" s="55" t="s">
        <v>447</v>
      </c>
      <c r="B407" s="49" t="s">
        <v>448</v>
      </c>
      <c r="C407" s="21" t="s">
        <v>61</v>
      </c>
      <c r="D407" s="20" t="s">
        <v>440</v>
      </c>
      <c r="E407" s="20">
        <v>6654</v>
      </c>
      <c r="F407" s="21">
        <v>350000</v>
      </c>
      <c r="G407" s="21" t="s">
        <v>169</v>
      </c>
      <c r="H407" s="21">
        <v>0.79</v>
      </c>
      <c r="I407" s="68">
        <f>MAX('Max rate concentrations'!$D$3:$D$368)</f>
        <v>720</v>
      </c>
      <c r="J407" s="68">
        <f>MAX('Max rate concentrations'!W:W)</f>
        <v>255</v>
      </c>
      <c r="K407" s="70">
        <f t="shared" si="38"/>
        <v>83.049486604808678</v>
      </c>
      <c r="L407" s="70">
        <f t="shared" si="39"/>
        <v>29.413359839203071</v>
      </c>
      <c r="M407" s="70">
        <f>IF((((0.326*F407^0.818)-(0.398*F407^0.85)/(1-H407)*H407)*(MAX('Max rate concentrations'!$P$3:$P$368)))/F407&gt;0, (((0.326*F407^0.818)-(0.398*F407^0.85)/(1-H407)*H407)*(MAX('Max rate concentrations'!$P$3:$P$368)))/F407, 0)</f>
        <v>0</v>
      </c>
      <c r="N407" s="70">
        <f>IF((((0.326*F407^0.818)-(0.398*F407^0.85)/(1-H407)*H407)*(MAX('Max rate concentrations'!$Q$3:$Q$368)))/F407&gt; 0, (((0.326*F407^0.818)-(0.398*F407^0.85)/(1-H407)*H407)*(MAX('Max rate concentrations'!$Q$3:$Q$368)))/F407, 0)</f>
        <v>0</v>
      </c>
      <c r="O407" s="70">
        <f>((MAX('Max rate concentrations'!$F$3:$F$368))*0.62*6.01*8*(12.3*F407^0.65)*0.079*0.1/F407)*inputs!$E$73/inputs!$E$74</f>
        <v>3.105256369840486</v>
      </c>
      <c r="P407" s="70">
        <f>((MAX('Max rate concentrations'!Y:Y))*0.62*6.01*8*(12.3*F407^0.65)*0.079*0.1/F407)*inputs!$E$73/inputs!$E$74</f>
        <v>1.0350854566134957</v>
      </c>
      <c r="Q407" s="70">
        <f>(inputs!$C$18*11.2*(12.3*F407^0.65)*0.5/F407)*inputs!$E$73/inputs!$E$74</f>
        <v>0.54697626336325322</v>
      </c>
      <c r="R407" s="60">
        <f>(60*379*((F407/1000)^0.8)*3*24*(MAX('Max rate concentrations'!$R$3:$R$368))/F407)*(inputs!$E$73/inputs!$E$75)</f>
        <v>3.4207008802593095E-3</v>
      </c>
      <c r="S407" s="60">
        <f>(IF(inputs!$C$17="aerial",((0.025*0.112*inputs!$C$18/3.3)*(3*60*379*((F407/1000)^0.8))*MAX(inputs!$I$14:$I$16))/F407,((0.0083*0.112*inputs!$C$18/1)*(3*60*379*((F407/1000)^0.8))*MAX(inputs!$I$14:$I$16))/F407))*(inputs!E$75/inputs!$E$73)</f>
        <v>1.8865375516708516E-2</v>
      </c>
      <c r="T407" s="63">
        <f>IF((((inputs!$P$13/(V407/MAX(K407:S407)))^(1/inputs!$O$13))-1)/inputs!$N$13&lt;0, 0, IF((((inputs!$P$13/(V407/MAX(K407:S407)))^(1/inputs!$O$13))-1)/inputs!$N$13&lt;inputs!$I$17, (((inputs!$P$13/(V407/MAX(K407:S407)))^(1/inputs!$O$13))-1)/inputs!$N$13, inputs!$I$17))</f>
        <v>8.1673383116263238</v>
      </c>
      <c r="U407" s="63">
        <f>IF((((inputs!$P$13/(X407/MAX(K407:S407)))^(1/inputs!$O$13))-1)/inputs!$N$13&lt;0, 0, IF((((inputs!$P$13/(X407/MAX(K407:S407)))^(1/inputs!$O$13))-1)/inputs!$N$13&lt;inputs!$I$17, (((inputs!$P$13/(X407/MAX(K407:S407)))^(1/inputs!$O$13))-1)/inputs!$N$13, inputs!$I$17))</f>
        <v>27.325800173112722</v>
      </c>
      <c r="V407" s="54">
        <f>inputs!$E$70*(F407/inputs!$F$70)^(0.25)</f>
        <v>27.373886942115359</v>
      </c>
      <c r="W407" s="54">
        <f>inputs!$E$76*(F407/inputs!$F$76)^(0.25)</f>
        <v>1.9681946381662214</v>
      </c>
      <c r="X407" s="54">
        <f>inputs!$E$72*(inputs!$F$72/F407)^(0.25)</f>
        <v>9.1291383108448176</v>
      </c>
      <c r="Y407" s="54" t="s">
        <v>13</v>
      </c>
      <c r="Z407" s="106">
        <f t="shared" si="36"/>
        <v>3.0338945572627143</v>
      </c>
      <c r="AA407" s="106">
        <f t="shared" si="37"/>
        <v>42.195769155324179</v>
      </c>
    </row>
    <row r="408" spans="1:27" ht="13.2" x14ac:dyDescent="0.25">
      <c r="A408" s="55" t="s">
        <v>447</v>
      </c>
      <c r="B408" s="49" t="s">
        <v>448</v>
      </c>
      <c r="C408" s="21" t="s">
        <v>61</v>
      </c>
      <c r="D408" s="20" t="s">
        <v>440</v>
      </c>
      <c r="E408" s="20">
        <v>6654</v>
      </c>
      <c r="F408" s="21">
        <v>350000</v>
      </c>
      <c r="G408" s="21" t="s">
        <v>177</v>
      </c>
      <c r="H408" s="21">
        <v>0.85</v>
      </c>
      <c r="I408" s="68">
        <f>MAX('Max rate concentrations'!$F$3:$F$368)</f>
        <v>405</v>
      </c>
      <c r="J408" s="68">
        <f>MAX('Max rate concentrations'!Y:Y)</f>
        <v>135</v>
      </c>
      <c r="K408" s="70">
        <f t="shared" si="38"/>
        <v>65.401470701286812</v>
      </c>
      <c r="L408" s="70">
        <f t="shared" si="39"/>
        <v>21.800490233762272</v>
      </c>
      <c r="M408" s="70">
        <f>IF((((0.326*F408^0.818)-(0.398*F408^0.85)/(1-H408)*H408)*(MAX('Max rate concentrations'!$P$3:$P$368)))/F408&gt;0, (((0.326*F408^0.818)-(0.398*F408^0.85)/(1-H408)*H408)*(MAX('Max rate concentrations'!$P$3:$P$368)))/F408, 0)</f>
        <v>0</v>
      </c>
      <c r="N408" s="70">
        <f>IF((((0.326*F408^0.818)-(0.398*F408^0.85)/(1-H408)*H408)*(MAX('Max rate concentrations'!$Q$3:$Q$368)))/F408&gt; 0, (((0.326*F408^0.818)-(0.398*F408^0.85)/(1-H408)*H408)*(MAX('Max rate concentrations'!$Q$3:$Q$368)))/F408, 0)</f>
        <v>0</v>
      </c>
      <c r="O408" s="70">
        <f>((MAX('Max rate concentrations'!$F$3:$F$368))*0.62*6.01*8*(12.3*F408^0.65)*0.079*0.1/F408)*inputs!$E$73/inputs!$E$74</f>
        <v>3.105256369840486</v>
      </c>
      <c r="P408" s="70">
        <f>((MAX('Max rate concentrations'!Y:Y))*0.62*6.01*8*(12.3*F408^0.65)*0.079*0.1/F408)*inputs!$E$73/inputs!$E$74</f>
        <v>1.0350854566134957</v>
      </c>
      <c r="Q408" s="70">
        <f>(inputs!$C$18*11.2*(12.3*F408^0.65)*0.5/F408)*inputs!$E$73/inputs!$E$74</f>
        <v>0.54697626336325322</v>
      </c>
      <c r="R408" s="60">
        <f>(60*379*((F408/1000)^0.8)*3*24*(MAX('Max rate concentrations'!$R$3:$R$368))/F408)*(inputs!$E$73/inputs!$E$75)</f>
        <v>3.4207008802593095E-3</v>
      </c>
      <c r="S408" s="60">
        <f>(IF(inputs!$C$17="aerial",((0.025*0.112*inputs!$C$18/3.3)*(3*60*379*((F408/1000)^0.8))*MAX(inputs!$I$14:$I$16))/F408,((0.0083*0.112*inputs!$C$18/1)*(3*60*379*((F408/1000)^0.8))*MAX(inputs!$I$14:$I$16))/F408))*(inputs!E$75/inputs!$E$73)</f>
        <v>1.8865375516708516E-2</v>
      </c>
      <c r="T408" s="63">
        <f>IF((((inputs!$P$13/(V408/MAX(K408:S408)))^(1/inputs!$O$13))-1)/inputs!$N$13&lt;0, 0, IF((((inputs!$P$13/(V408/MAX(K408:S408)))^(1/inputs!$O$13))-1)/inputs!$N$13&lt;inputs!$I$17, (((inputs!$P$13/(V408/MAX(K408:S408)))^(1/inputs!$O$13))-1)/inputs!$N$13, inputs!$I$17))</f>
        <v>5.8142847920558314</v>
      </c>
      <c r="U408" s="63">
        <f>IF((((inputs!$P$13/(X408/MAX(K408:S408)))^(1/inputs!$O$13))-1)/inputs!$N$13&lt;0, 0, IF((((inputs!$P$13/(X408/MAX(K408:S408)))^(1/inputs!$O$13))-1)/inputs!$N$13&lt;inputs!$I$17, (((inputs!$P$13/(X408/MAX(K408:S408)))^(1/inputs!$O$13))-1)/inputs!$N$13, inputs!$I$17))</f>
        <v>21.60717775888936</v>
      </c>
      <c r="V408" s="54">
        <f>inputs!$E$70*(F408/inputs!$F$70)^(0.25)</f>
        <v>27.373886942115359</v>
      </c>
      <c r="W408" s="54">
        <f>inputs!$E$76*(F408/inputs!$F$76)^(0.25)</f>
        <v>1.9681946381662214</v>
      </c>
      <c r="X408" s="54">
        <f>inputs!$E$72*(inputs!$F$72/F408)^(0.25)</f>
        <v>9.1291383108448176</v>
      </c>
      <c r="Y408" s="54" t="s">
        <v>13</v>
      </c>
      <c r="Z408" s="106">
        <f t="shared" si="36"/>
        <v>2.3891919638443868</v>
      </c>
      <c r="AA408" s="106">
        <f t="shared" si="37"/>
        <v>33.229168209817779</v>
      </c>
    </row>
    <row r="409" spans="1:27" ht="26.4" x14ac:dyDescent="0.25">
      <c r="A409" s="55" t="s">
        <v>447</v>
      </c>
      <c r="B409" s="49" t="s">
        <v>877</v>
      </c>
      <c r="C409" s="21" t="s">
        <v>61</v>
      </c>
      <c r="D409" s="20" t="s">
        <v>440</v>
      </c>
      <c r="E409" s="197" t="s">
        <v>878</v>
      </c>
      <c r="F409" s="21">
        <v>350000</v>
      </c>
      <c r="G409" s="21" t="s">
        <v>169</v>
      </c>
      <c r="H409" s="21">
        <v>0.79</v>
      </c>
      <c r="I409" s="68">
        <f>MAX('Max rate concentrations'!$D$3:$D$368)</f>
        <v>720</v>
      </c>
      <c r="J409" s="68">
        <f>MAX('Max rate concentrations'!W:W)</f>
        <v>255</v>
      </c>
      <c r="K409" s="70">
        <f t="shared" si="38"/>
        <v>83.049486604808678</v>
      </c>
      <c r="L409" s="70">
        <f t="shared" si="39"/>
        <v>29.413359839203071</v>
      </c>
      <c r="M409" s="70">
        <f>IF((((0.326*F409^0.818)-(0.398*F409^0.85)/(1-H409)*H409)*(MAX('Max rate concentrations'!$P$3:$P$368)))/F409&gt;0, (((0.326*F409^0.818)-(0.398*F409^0.85)/(1-H409)*H409)*(MAX('Max rate concentrations'!$P$3:$P$368)))/F409, 0)</f>
        <v>0</v>
      </c>
      <c r="N409" s="70">
        <f>IF((((0.326*F409^0.818)-(0.398*F409^0.85)/(1-H409)*H409)*(MAX('Max rate concentrations'!$Q$3:$Q$368)))/F409&gt; 0, (((0.326*F409^0.818)-(0.398*F409^0.85)/(1-H409)*H409)*(MAX('Max rate concentrations'!$Q$3:$Q$368)))/F409, 0)</f>
        <v>0</v>
      </c>
      <c r="O409" s="70">
        <f>((MAX('Max rate concentrations'!$F$3:$F$368))*0.62*6.01*8*(12.3*F409^0.65)*0.079*0.1/F409)*inputs!$E$73/inputs!$E$74</f>
        <v>3.105256369840486</v>
      </c>
      <c r="P409" s="70">
        <f>((MAX('Max rate concentrations'!Y:Y))*0.62*6.01*8*(12.3*F409^0.65)*0.079*0.1/F409)*inputs!$E$73/inputs!$E$74</f>
        <v>1.0350854566134957</v>
      </c>
      <c r="Q409" s="70">
        <f>(inputs!$C$18*11.2*(12.3*F409^0.65)*0.5/F409)*inputs!$E$73/inputs!$E$74</f>
        <v>0.54697626336325322</v>
      </c>
      <c r="R409" s="60">
        <f>(60*379*((F409/1000)^0.8)*3*24*(MAX('Max rate concentrations'!$R$3:$R$368))/F409)*(inputs!$E$73/inputs!$E$75)</f>
        <v>3.4207008802593095E-3</v>
      </c>
      <c r="S409" s="60">
        <f>(IF(inputs!$C$17="aerial",((0.025*0.112*inputs!$C$18/3.3)*(3*60*379*((F409/1000)^0.8))*MAX(inputs!$I$14:$I$16))/F409,((0.0083*0.112*inputs!$C$18/1)*(3*60*379*((F409/1000)^0.8))*MAX(inputs!$I$14:$I$16))/F409))*(inputs!E$75/inputs!$E$73)</f>
        <v>1.8865375516708516E-2</v>
      </c>
      <c r="T409" s="63">
        <f>IF((((inputs!$P$13/(V409/MAX(K409:S409)))^(1/inputs!$O$13))-1)/inputs!$N$13&lt;0, 0, IF((((inputs!$P$13/(V409/MAX(K409:S409)))^(1/inputs!$O$13))-1)/inputs!$N$13&lt;inputs!$I$17, (((inputs!$P$13/(V409/MAX(K409:S409)))^(1/inputs!$O$13))-1)/inputs!$N$13, inputs!$I$17))</f>
        <v>8.1673383116263238</v>
      </c>
      <c r="U409" s="63">
        <f>IF((((inputs!$P$13/(X409/MAX(K409:S409)))^(1/inputs!$O$13))-1)/inputs!$N$13&lt;0, 0, IF((((inputs!$P$13/(X409/MAX(K409:S409)))^(1/inputs!$O$13))-1)/inputs!$N$13&lt;inputs!$I$17, (((inputs!$P$13/(X409/MAX(K409:S409)))^(1/inputs!$O$13))-1)/inputs!$N$13, inputs!$I$17))</f>
        <v>27.325800173112722</v>
      </c>
      <c r="V409" s="54">
        <f>inputs!$E$70*(F409/inputs!$F$70)^(0.25)</f>
        <v>27.373886942115359</v>
      </c>
      <c r="W409" s="54">
        <f>inputs!$E$76*(F409/inputs!$F$76)^(0.25)</f>
        <v>1.9681946381662214</v>
      </c>
      <c r="X409" s="54">
        <f>inputs!$E$72*(inputs!$F$72/F409)^(0.25)</f>
        <v>9.1291383108448176</v>
      </c>
      <c r="Y409" s="54" t="s">
        <v>13</v>
      </c>
      <c r="Z409" s="106">
        <f t="shared" si="36"/>
        <v>3.0338945572627143</v>
      </c>
      <c r="AA409" s="106">
        <f t="shared" si="37"/>
        <v>42.195769155324179</v>
      </c>
    </row>
    <row r="410" spans="1:27" ht="26.4" x14ac:dyDescent="0.25">
      <c r="A410" s="55" t="s">
        <v>447</v>
      </c>
      <c r="B410" s="49" t="s">
        <v>877</v>
      </c>
      <c r="C410" s="21" t="s">
        <v>61</v>
      </c>
      <c r="D410" s="20" t="s">
        <v>440</v>
      </c>
      <c r="E410" s="197" t="s">
        <v>878</v>
      </c>
      <c r="F410" s="21">
        <v>350000</v>
      </c>
      <c r="G410" s="21" t="s">
        <v>177</v>
      </c>
      <c r="H410" s="21">
        <v>0.85</v>
      </c>
      <c r="I410" s="68">
        <f>MAX('Max rate concentrations'!$F$3:$F$368)</f>
        <v>405</v>
      </c>
      <c r="J410" s="68">
        <f>MAX('Max rate concentrations'!Y:Y)</f>
        <v>135</v>
      </c>
      <c r="K410" s="70">
        <f t="shared" si="38"/>
        <v>65.401470701286812</v>
      </c>
      <c r="L410" s="70">
        <f t="shared" si="39"/>
        <v>21.800490233762272</v>
      </c>
      <c r="M410" s="70">
        <f>IF((((0.326*F410^0.818)-(0.398*F410^0.85)/(1-H410)*H410)*(MAX('Max rate concentrations'!$P$3:$P$368)))/F410&gt;0, (((0.326*F410^0.818)-(0.398*F410^0.85)/(1-H410)*H410)*(MAX('Max rate concentrations'!$P$3:$P$368)))/F410, 0)</f>
        <v>0</v>
      </c>
      <c r="N410" s="70">
        <f>IF((((0.326*F410^0.818)-(0.398*F410^0.85)/(1-H410)*H410)*(MAX('Max rate concentrations'!$Q$3:$Q$368)))/F410&gt; 0, (((0.326*F410^0.818)-(0.398*F410^0.85)/(1-H410)*H410)*(MAX('Max rate concentrations'!$Q$3:$Q$368)))/F410, 0)</f>
        <v>0</v>
      </c>
      <c r="O410" s="70">
        <f>((MAX('Max rate concentrations'!$F$3:$F$368))*0.62*6.01*8*(12.3*F410^0.65)*0.079*0.1/F410)*inputs!$E$73/inputs!$E$74</f>
        <v>3.105256369840486</v>
      </c>
      <c r="P410" s="70">
        <f>((MAX('Max rate concentrations'!Y:Y))*0.62*6.01*8*(12.3*F410^0.65)*0.079*0.1/F410)*inputs!$E$73/inputs!$E$74</f>
        <v>1.0350854566134957</v>
      </c>
      <c r="Q410" s="70">
        <f>(inputs!$C$18*11.2*(12.3*F410^0.65)*0.5/F410)*inputs!$E$73/inputs!$E$74</f>
        <v>0.54697626336325322</v>
      </c>
      <c r="R410" s="60">
        <f>(60*379*((F410/1000)^0.8)*3*24*(MAX('Max rate concentrations'!$R$3:$R$368))/F410)*(inputs!$E$73/inputs!$E$75)</f>
        <v>3.4207008802593095E-3</v>
      </c>
      <c r="S410" s="60">
        <f>(IF(inputs!$C$17="aerial",((0.025*0.112*inputs!$C$18/3.3)*(3*60*379*((F410/1000)^0.8))*MAX(inputs!$I$14:$I$16))/F410,((0.0083*0.112*inputs!$C$18/1)*(3*60*379*((F410/1000)^0.8))*MAX(inputs!$I$14:$I$16))/F410))*(inputs!E$75/inputs!$E$73)</f>
        <v>1.8865375516708516E-2</v>
      </c>
      <c r="T410" s="63">
        <f>IF((((inputs!$P$13/(V410/MAX(K410:S410)))^(1/inputs!$O$13))-1)/inputs!$N$13&lt;0, 0, IF((((inputs!$P$13/(V410/MAX(K410:S410)))^(1/inputs!$O$13))-1)/inputs!$N$13&lt;inputs!$I$17, (((inputs!$P$13/(V410/MAX(K410:S410)))^(1/inputs!$O$13))-1)/inputs!$N$13, inputs!$I$17))</f>
        <v>5.8142847920558314</v>
      </c>
      <c r="U410" s="63">
        <f>IF((((inputs!$P$13/(X410/MAX(K410:S410)))^(1/inputs!$O$13))-1)/inputs!$N$13&lt;0, 0, IF((((inputs!$P$13/(X410/MAX(K410:S410)))^(1/inputs!$O$13))-1)/inputs!$N$13&lt;inputs!$I$17, (((inputs!$P$13/(X410/MAX(K410:S410)))^(1/inputs!$O$13))-1)/inputs!$N$13, inputs!$I$17))</f>
        <v>21.60717775888936</v>
      </c>
      <c r="V410" s="54">
        <f>inputs!$E$70*(F410/inputs!$F$70)^(0.25)</f>
        <v>27.373886942115359</v>
      </c>
      <c r="W410" s="54">
        <f>inputs!$E$76*(F410/inputs!$F$76)^(0.25)</f>
        <v>1.9681946381662214</v>
      </c>
      <c r="X410" s="54">
        <f>inputs!$E$72*(inputs!$F$72/F410)^(0.25)</f>
        <v>9.1291383108448176</v>
      </c>
      <c r="Y410" s="54" t="s">
        <v>13</v>
      </c>
      <c r="Z410" s="106">
        <f t="shared" si="36"/>
        <v>2.3891919638443868</v>
      </c>
      <c r="AA410" s="106">
        <f t="shared" si="37"/>
        <v>33.229168209817779</v>
      </c>
    </row>
    <row r="411" spans="1:27" ht="26.4" x14ac:dyDescent="0.25">
      <c r="A411" s="55" t="s">
        <v>559</v>
      </c>
      <c r="B411" s="49" t="s">
        <v>560</v>
      </c>
      <c r="C411" s="21" t="s">
        <v>61</v>
      </c>
      <c r="D411" s="20" t="s">
        <v>440</v>
      </c>
      <c r="E411" s="20">
        <v>33</v>
      </c>
      <c r="F411" s="21">
        <v>135000</v>
      </c>
      <c r="G411" s="21" t="s">
        <v>177</v>
      </c>
      <c r="H411" s="21">
        <v>0.85</v>
      </c>
      <c r="I411" s="68">
        <f>MAX('Max rate concentrations'!$F$3:$F$368)</f>
        <v>405</v>
      </c>
      <c r="J411" s="68">
        <f>MAX('Max rate concentrations'!Y:Y)</f>
        <v>135</v>
      </c>
      <c r="K411" s="70">
        <f t="shared" si="38"/>
        <v>77.487601036446748</v>
      </c>
      <c r="L411" s="70">
        <f t="shared" si="39"/>
        <v>25.829200345482249</v>
      </c>
      <c r="M411" s="70">
        <f>IF((((0.326*F411^0.818)-(0.398*F411^0.85)/(1-H411)*H411)*(MAX('Max rate concentrations'!$P$3:$P$368)))/F411&gt;0, (((0.326*F411^0.818)-(0.398*F411^0.85)/(1-H411)*H411)*(MAX('Max rate concentrations'!$P$3:$P$368)))/F411, 0)</f>
        <v>0</v>
      </c>
      <c r="N411" s="70">
        <f>IF((((0.326*F411^0.818)-(0.398*F411^0.85)/(1-H411)*H411)*(MAX('Max rate concentrations'!$Q$3:$Q$368)))/F411&gt; 0, (((0.326*F411^0.818)-(0.398*F411^0.85)/(1-H411)*H411)*(MAX('Max rate concentrations'!$Q$3:$Q$368)))/F411, 0)</f>
        <v>0</v>
      </c>
      <c r="O411" s="70">
        <f>((MAX('Max rate concentrations'!$F$3:$F$368))*0.62*6.01*8*(12.3*F411^0.65)*0.079*0.1/F411)*inputs!$E$73/inputs!$E$74</f>
        <v>4.3341551914212531</v>
      </c>
      <c r="P411" s="70">
        <f>((MAX('Max rate concentrations'!Y:Y))*0.62*6.01*8*(12.3*F411^0.65)*0.079*0.1/F411)*inputs!$E$73/inputs!$E$74</f>
        <v>1.4447183971404174</v>
      </c>
      <c r="Q411" s="70">
        <f>(inputs!$C$18*11.2*(12.3*F411^0.65)*0.5/F411)*inputs!$E$73/inputs!$E$74</f>
        <v>0.76344099458745207</v>
      </c>
      <c r="R411" s="60">
        <f>(60*379*((F411/1000)^0.8)*3*24*(MAX('Max rate concentrations'!$R$3:$R$368))/F411)*(inputs!$E$73/inputs!$E$75)</f>
        <v>4.1386810123971796E-3</v>
      </c>
      <c r="S411" s="60">
        <f>(IF(inputs!$C$17="aerial",((0.025*0.112*inputs!$C$18/3.3)*(3*60*379*((F411/1000)^0.8))*MAX(inputs!$I$14:$I$16))/F411,((0.0083*0.112*inputs!$C$18/1)*(3*60*379*((F411/1000)^0.8))*MAX(inputs!$I$14:$I$16))/F411))*(inputs!E$75/inputs!$E$73)</f>
        <v>2.2825080056934254E-2</v>
      </c>
      <c r="T411" s="63">
        <f>IF((((inputs!$P$13/(V411/MAX(K411:S411)))^(1/inputs!$O$13))-1)/inputs!$N$13&lt;0, 0, IF((((inputs!$P$13/(V411/MAX(K411:S411)))^(1/inputs!$O$13))-1)/inputs!$N$13&lt;inputs!$I$17, (((inputs!$P$13/(V411/MAX(K411:S411)))^(1/inputs!$O$13))-1)/inputs!$N$13, inputs!$I$17))</f>
        <v>10.127003416515862</v>
      </c>
      <c r="U411" s="63">
        <f>IF((((inputs!$P$13/(X411/MAX(K411:S411)))^(1/inputs!$O$13))-1)/inputs!$N$13&lt;0, 0, IF((((inputs!$P$13/(X411/MAX(K411:S411)))^(1/inputs!$O$13))-1)/inputs!$N$13&lt;inputs!$I$17, (((inputs!$P$13/(X411/MAX(K411:S411)))^(1/inputs!$O$13))-1)/inputs!$N$13, inputs!$I$17))</f>
        <v>20.159252713552849</v>
      </c>
      <c r="V411" s="54">
        <f>inputs!$E$70*(F411/inputs!$F$70)^(0.25)</f>
        <v>21.572620337127322</v>
      </c>
      <c r="W411" s="54">
        <f>inputs!$E$76*(F411/inputs!$F$76)^(0.25)</f>
        <v>1.551080990745427</v>
      </c>
      <c r="X411" s="54">
        <f>inputs!$E$72*(inputs!$F$72/F411)^(0.25)</f>
        <v>11.584128218764057</v>
      </c>
      <c r="Y411" s="54" t="s">
        <v>13</v>
      </c>
      <c r="Z411" s="106">
        <f t="shared" si="36"/>
        <v>3.5919419998824882</v>
      </c>
      <c r="AA411" s="106">
        <f t="shared" si="37"/>
        <v>49.957159876743333</v>
      </c>
    </row>
    <row r="412" spans="1:27" ht="13.2" x14ac:dyDescent="0.25">
      <c r="A412" s="55" t="s">
        <v>513</v>
      </c>
      <c r="B412" s="49" t="s">
        <v>514</v>
      </c>
      <c r="C412" s="21" t="s">
        <v>61</v>
      </c>
      <c r="D412" s="20" t="s">
        <v>454</v>
      </c>
      <c r="E412" s="20">
        <v>5</v>
      </c>
      <c r="F412" s="21">
        <v>645</v>
      </c>
      <c r="G412" s="21" t="s">
        <v>142</v>
      </c>
      <c r="H412" s="21">
        <v>0.69</v>
      </c>
      <c r="I412" s="68">
        <f>MAX('Max rate concentrations'!$H$3:$H$368)</f>
        <v>282</v>
      </c>
      <c r="J412" s="68">
        <f>MAX('Max rate concentrations'!AA:AA)</f>
        <v>195</v>
      </c>
      <c r="K412" s="70">
        <f t="shared" si="38"/>
        <v>67.585518127360444</v>
      </c>
      <c r="L412" s="70">
        <f t="shared" si="39"/>
        <v>46.734666790196059</v>
      </c>
      <c r="M412" s="70">
        <f>IF((((0.326*F412^0.818)-(0.398*F412^0.85)/(1-H412)*H412)*(MAX('Max rate concentrations'!$P$3:$P$368)))/F412&gt;0, (((0.326*F412^0.818)-(0.398*F412^0.85)/(1-H412)*H412)*(MAX('Max rate concentrations'!$P$3:$P$368)))/F412, 0)</f>
        <v>0</v>
      </c>
      <c r="N412" s="70">
        <f>IF((((0.326*F412^0.818)-(0.398*F412^0.85)/(1-H412)*H412)*(MAX('Max rate concentrations'!$Q$3:$Q$368)))/F412&gt; 0, (((0.326*F412^0.818)-(0.398*F412^0.85)/(1-H412)*H412)*(MAX('Max rate concentrations'!$Q$3:$Q$368)))/F412, 0)</f>
        <v>0</v>
      </c>
      <c r="O412" s="70">
        <f>((MAX('Max rate concentrations'!$F$3:$F$368))*0.62*6.01*8*(12.3*F412^0.65)*0.079*0.1/F412)*inputs!$E$73/inputs!$E$74</f>
        <v>28.130365610404819</v>
      </c>
      <c r="P412" s="70">
        <f>((MAX('Max rate concentrations'!Y:Y))*0.62*6.01*8*(12.3*F412^0.65)*0.079*0.1/F412)*inputs!$E$73/inputs!$E$74</f>
        <v>9.3767885368016071</v>
      </c>
      <c r="Q412" s="70">
        <f>(inputs!$C$18*11.2*(12.3*F412^0.65)*0.5/F412)*inputs!$E$73/inputs!$E$74</f>
        <v>4.9550312232067908</v>
      </c>
      <c r="R412" s="60">
        <f>(60*379*((F412/1000)^0.8)*3*24*(MAX('Max rate concentrations'!$R$3:$R$368))/F412)*(inputs!$E$73/inputs!$E$75)</f>
        <v>1.2050824600358513E-2</v>
      </c>
      <c r="S412" s="60">
        <f>(IF(inputs!$C$17="aerial",((0.025*0.112*inputs!$C$18/3.3)*(3*60*379*((F412/1000)^0.8))*MAX(inputs!$I$14:$I$16))/F412,((0.0083*0.112*inputs!$C$18/1)*(3*60*379*((F412/1000)^0.8))*MAX(inputs!$I$14:$I$16))/F412))*(inputs!E$75/inputs!$E$73)</f>
        <v>6.6461038053265351E-2</v>
      </c>
      <c r="T412" s="63">
        <f>IF((((inputs!$P$13/(V412/MAX(K412:S412)))^(1/inputs!$O$13))-1)/inputs!$N$13&lt;0, 0, IF((((inputs!$P$13/(V412/MAX(K412:S412)))^(1/inputs!$O$13))-1)/inputs!$N$13&lt;inputs!$I$17, (((inputs!$P$13/(V412/MAX(K412:S412)))^(1/inputs!$O$13))-1)/inputs!$N$13, inputs!$I$17))</f>
        <v>35.267437759035914</v>
      </c>
      <c r="U412" s="63">
        <f>IF((((inputs!$P$13/(X412/MAX(K412:S412)))^(1/inputs!$O$13))-1)/inputs!$N$13&lt;0, 0, IF((((inputs!$P$13/(X412/MAX(K412:S412)))^(1/inputs!$O$13))-1)/inputs!$N$13&lt;inputs!$I$17, (((inputs!$P$13/(X412/MAX(K412:S412)))^(1/inputs!$O$13))-1)/inputs!$N$13, inputs!$I$17))</f>
        <v>2.4888040235469999</v>
      </c>
      <c r="V412" s="54">
        <f>inputs!$E$70*(F412/inputs!$F$70)^(0.25)</f>
        <v>5.6716495337733157</v>
      </c>
      <c r="W412" s="54">
        <f>inputs!$E$76*(F412/inputs!$F$76)^(0.25)</f>
        <v>0.40779412238881563</v>
      </c>
      <c r="X412" s="54">
        <f>inputs!$E$72*(inputs!$F$72/F412)^(0.25)</f>
        <v>44.061255638576625</v>
      </c>
      <c r="Y412" s="54" t="s">
        <v>13</v>
      </c>
      <c r="Z412" s="106">
        <f t="shared" si="36"/>
        <v>11.916377717788247</v>
      </c>
      <c r="AA412" s="106">
        <f t="shared" si="37"/>
        <v>165.73440963653792</v>
      </c>
    </row>
    <row r="413" spans="1:27" ht="13.2" x14ac:dyDescent="0.25">
      <c r="A413" s="55" t="s">
        <v>513</v>
      </c>
      <c r="B413" s="49" t="s">
        <v>514</v>
      </c>
      <c r="C413" s="21" t="s">
        <v>61</v>
      </c>
      <c r="D413" s="20" t="s">
        <v>454</v>
      </c>
      <c r="E413" s="20">
        <v>5</v>
      </c>
      <c r="F413" s="21">
        <v>645</v>
      </c>
      <c r="G413" s="21" t="s">
        <v>138</v>
      </c>
      <c r="H413" s="21">
        <v>0.68</v>
      </c>
      <c r="I413" s="68">
        <f>MAX('Max rate concentrations'!$L$3:$L$368)</f>
        <v>350.52744091332482</v>
      </c>
      <c r="J413" s="68">
        <f>MAX('Max rate concentrations'!AD:AD)</f>
        <v>242.38599637623525</v>
      </c>
      <c r="K413" s="70">
        <f t="shared" si="38"/>
        <v>81.383858607217277</v>
      </c>
      <c r="L413" s="70">
        <f t="shared" si="39"/>
        <v>56.276072441160885</v>
      </c>
      <c r="M413" s="70">
        <f>IF((((0.326*F413^0.818)-(0.398*F413^0.85)/(1-H413)*H413)*(MAX('Max rate concentrations'!$P$3:$P$368)))/F413&gt;0, (((0.326*F413^0.818)-(0.398*F413^0.85)/(1-H413)*H413)*(MAX('Max rate concentrations'!$P$3:$P$368)))/F413, 0)</f>
        <v>0</v>
      </c>
      <c r="N413" s="70">
        <f>IF((((0.326*F413^0.818)-(0.398*F413^0.85)/(1-H413)*H413)*(MAX('Max rate concentrations'!$Q$3:$Q$368)))/F413&gt; 0, (((0.326*F413^0.818)-(0.398*F413^0.85)/(1-H413)*H413)*(MAX('Max rate concentrations'!$Q$3:$Q$368)))/F413, 0)</f>
        <v>0</v>
      </c>
      <c r="O413" s="70">
        <f>((MAX('Max rate concentrations'!$F$3:$F$368))*0.62*6.01*8*(12.3*F413^0.65)*0.079*0.1/F413)*inputs!$E$73/inputs!$E$74</f>
        <v>28.130365610404819</v>
      </c>
      <c r="P413" s="70">
        <f>((MAX('Max rate concentrations'!Y:Y))*0.62*6.01*8*(12.3*F413^0.65)*0.079*0.1/F413)*inputs!$E$73/inputs!$E$74</f>
        <v>9.3767885368016071</v>
      </c>
      <c r="Q413" s="70">
        <f>(inputs!$C$18*11.2*(12.3*F413^0.65)*0.5/F413)*inputs!$E$73/inputs!$E$74</f>
        <v>4.9550312232067908</v>
      </c>
      <c r="R413" s="60">
        <f>(60*379*((F413/1000)^0.8)*3*24*(MAX('Max rate concentrations'!$R$3:$R$368))/F413)*(inputs!$E$73/inputs!$E$75)</f>
        <v>1.2050824600358513E-2</v>
      </c>
      <c r="S413" s="60">
        <f>(IF(inputs!$C$17="aerial",((0.025*0.112*inputs!$C$18/3.3)*(3*60*379*((F413/1000)^0.8))*MAX(inputs!$I$14:$I$16))/F413,((0.0083*0.112*inputs!$C$18/1)*(3*60*379*((F413/1000)^0.8))*MAX(inputs!$I$14:$I$16))/F413))*(inputs!E$75/inputs!$E$73)</f>
        <v>6.6461038053265351E-2</v>
      </c>
      <c r="T413" s="63">
        <f>IF((((inputs!$P$13/(V413/MAX(K413:S413)))^(1/inputs!$O$13))-1)/inputs!$N$13&lt;0, 0, IF((((inputs!$P$13/(V413/MAX(K413:S413)))^(1/inputs!$O$13))-1)/inputs!$N$13&lt;inputs!$I$17, (((inputs!$P$13/(V413/MAX(K413:S413)))^(1/inputs!$O$13))-1)/inputs!$N$13, inputs!$I$17))</f>
        <v>41.832045291169742</v>
      </c>
      <c r="U413" s="63">
        <f>IF((((inputs!$P$13/(X413/MAX(K413:S413)))^(1/inputs!$O$13))-1)/inputs!$N$13&lt;0, 0, IF((((inputs!$P$13/(X413/MAX(K413:S413)))^(1/inputs!$O$13))-1)/inputs!$N$13&lt;inputs!$I$17, (((inputs!$P$13/(X413/MAX(K413:S413)))^(1/inputs!$O$13))-1)/inputs!$N$13, inputs!$I$17))</f>
        <v>3.7396747235399403</v>
      </c>
      <c r="V413" s="54">
        <f>inputs!$E$70*(F413/inputs!$F$70)^(0.25)</f>
        <v>5.6716495337733157</v>
      </c>
      <c r="W413" s="54">
        <f>inputs!$E$76*(F413/inputs!$F$76)^(0.25)</f>
        <v>0.40779412238881563</v>
      </c>
      <c r="X413" s="54">
        <f>inputs!$E$72*(inputs!$F$72/F413)^(0.25)</f>
        <v>44.061255638576625</v>
      </c>
      <c r="Y413" s="54" t="s">
        <v>13</v>
      </c>
      <c r="Z413" s="106">
        <f t="shared" si="36"/>
        <v>14.349239691662165</v>
      </c>
      <c r="AA413" s="106">
        <f t="shared" si="37"/>
        <v>199.57094558028223</v>
      </c>
    </row>
    <row r="414" spans="1:27" ht="13.2" x14ac:dyDescent="0.25">
      <c r="A414" s="55" t="s">
        <v>513</v>
      </c>
      <c r="B414" s="49" t="s">
        <v>514</v>
      </c>
      <c r="C414" s="21" t="s">
        <v>61</v>
      </c>
      <c r="D414" s="20" t="s">
        <v>454</v>
      </c>
      <c r="E414" s="20">
        <v>5</v>
      </c>
      <c r="F414" s="21">
        <v>645</v>
      </c>
      <c r="G414" s="21" t="s">
        <v>456</v>
      </c>
      <c r="H414" s="21">
        <v>0.68</v>
      </c>
      <c r="I414" s="68">
        <f>MAX('Max rate concentrations'!$J$3:$J$368)</f>
        <v>686.46486205830786</v>
      </c>
      <c r="J414" s="68">
        <f>MAX('Max rate concentrations'!AB:AB)</f>
        <v>243.122971978984</v>
      </c>
      <c r="K414" s="70">
        <f t="shared" si="38"/>
        <v>159.3802731307149</v>
      </c>
      <c r="L414" s="70">
        <f t="shared" si="39"/>
        <v>56.44718006712818</v>
      </c>
      <c r="M414" s="70">
        <f>IF((((0.326*F414^0.818)-(0.398*F414^0.85)/(1-H414)*H414)*(MAX('Max rate concentrations'!$P$3:$P$368)))/F414&gt;0, (((0.326*F414^0.818)-(0.398*F414^0.85)/(1-H414)*H414)*(MAX('Max rate concentrations'!$P$3:$P$368)))/F414, 0)</f>
        <v>0</v>
      </c>
      <c r="N414" s="70">
        <f>IF((((0.326*F414^0.818)-(0.398*F414^0.85)/(1-H414)*H414)*(MAX('Max rate concentrations'!$Q$3:$Q$368)))/F414&gt; 0, (((0.326*F414^0.818)-(0.398*F414^0.85)/(1-H414)*H414)*(MAX('Max rate concentrations'!$Q$3:$Q$368)))/F414, 0)</f>
        <v>0</v>
      </c>
      <c r="O414" s="70">
        <f>((MAX('Max rate concentrations'!$F$3:$F$368))*0.62*6.01*8*(12.3*F414^0.65)*0.079*0.1/F414)*inputs!$E$73/inputs!$E$74</f>
        <v>28.130365610404819</v>
      </c>
      <c r="P414" s="70">
        <f>((MAX('Max rate concentrations'!Y:Y))*0.62*6.01*8*(12.3*F414^0.65)*0.079*0.1/F414)*inputs!$E$73/inputs!$E$74</f>
        <v>9.3767885368016071</v>
      </c>
      <c r="Q414" s="70">
        <f>(inputs!$C$18*11.2*(12.3*F414^0.65)*0.5/F414)*inputs!$E$73/inputs!$E$74</f>
        <v>4.9550312232067908</v>
      </c>
      <c r="R414" s="60">
        <f>(60*379*((F414/1000)^0.8)*3*24*(MAX('Max rate concentrations'!$R$3:$R$368))/F414)*(inputs!$E$73/inputs!$E$75)</f>
        <v>1.2050824600358513E-2</v>
      </c>
      <c r="S414" s="60">
        <f>(IF(inputs!$C$17="aerial",((0.025*0.112*inputs!$C$18/3.3)*(3*60*379*((F414/1000)^0.8))*MAX(inputs!$I$14:$I$16))/F414,((0.0083*0.112*inputs!$C$18/1)*(3*60*379*((F414/1000)^0.8))*MAX(inputs!$I$14:$I$16))/F414))*(inputs!E$75/inputs!$E$73)</f>
        <v>6.6461038053265351E-2</v>
      </c>
      <c r="T414" s="63">
        <f>IF((((inputs!$P$13/(V414/MAX(K414:S414)))^(1/inputs!$O$13))-1)/inputs!$N$13&lt;0, 0, IF((((inputs!$P$13/(V414/MAX(K414:S414)))^(1/inputs!$O$13))-1)/inputs!$N$13&lt;inputs!$I$17, (((inputs!$P$13/(V414/MAX(K414:S414)))^(1/inputs!$O$13))-1)/inputs!$N$13, inputs!$I$17))</f>
        <v>75.811629517932587</v>
      </c>
      <c r="U414" s="63">
        <f>IF((((inputs!$P$13/(X414/MAX(K414:S414)))^(1/inputs!$O$13))-1)/inputs!$N$13&lt;0, 0, IF((((inputs!$P$13/(X414/MAX(K414:S414)))^(1/inputs!$O$13))-1)/inputs!$N$13&lt;inputs!$I$17, (((inputs!$P$13/(X414/MAX(K414:S414)))^(1/inputs!$O$13))-1)/inputs!$N$13, inputs!$I$17))</f>
        <v>10.214405482255051</v>
      </c>
      <c r="V414" s="54">
        <f>inputs!$E$70*(F414/inputs!$F$70)^(0.25)</f>
        <v>5.6716495337733157</v>
      </c>
      <c r="W414" s="54">
        <f>inputs!$E$76*(F414/inputs!$F$76)^(0.25)</f>
        <v>0.40779412238881563</v>
      </c>
      <c r="X414" s="54">
        <f>inputs!$E$72*(inputs!$F$72/F414)^(0.25)</f>
        <v>44.061255638576625</v>
      </c>
      <c r="Y414" s="54" t="s">
        <v>13</v>
      </c>
      <c r="Z414" s="106">
        <f t="shared" si="36"/>
        <v>28.101220320762682</v>
      </c>
      <c r="AA414" s="106">
        <f t="shared" si="37"/>
        <v>390.83514052895566</v>
      </c>
    </row>
    <row r="415" spans="1:27" ht="13.2" x14ac:dyDescent="0.25">
      <c r="A415" s="55" t="s">
        <v>513</v>
      </c>
      <c r="B415" s="49" t="s">
        <v>514</v>
      </c>
      <c r="C415" s="21" t="s">
        <v>61</v>
      </c>
      <c r="D415" s="20" t="s">
        <v>454</v>
      </c>
      <c r="E415" s="20">
        <v>7572</v>
      </c>
      <c r="F415" s="21">
        <v>645</v>
      </c>
      <c r="G415" s="21" t="s">
        <v>142</v>
      </c>
      <c r="H415" s="21">
        <v>0.69</v>
      </c>
      <c r="I415" s="68">
        <f>MAX('Max rate concentrations'!$H$3:$H$368)</f>
        <v>282</v>
      </c>
      <c r="J415" s="68">
        <f>MAX('Max rate concentrations'!AA:AA)</f>
        <v>195</v>
      </c>
      <c r="K415" s="70">
        <f t="shared" si="38"/>
        <v>67.585518127360444</v>
      </c>
      <c r="L415" s="70">
        <f t="shared" si="39"/>
        <v>46.734666790196059</v>
      </c>
      <c r="M415" s="70">
        <f>IF((((0.326*F415^0.818)-(0.398*F415^0.85)/(1-H415)*H415)*(MAX('Max rate concentrations'!$P$3:$P$368)))/F415&gt;0, (((0.326*F415^0.818)-(0.398*F415^0.85)/(1-H415)*H415)*(MAX('Max rate concentrations'!$P$3:$P$368)))/F415, 0)</f>
        <v>0</v>
      </c>
      <c r="N415" s="70">
        <f>IF((((0.326*F415^0.818)-(0.398*F415^0.85)/(1-H415)*H415)*(MAX('Max rate concentrations'!$Q$3:$Q$368)))/F415&gt; 0, (((0.326*F415^0.818)-(0.398*F415^0.85)/(1-H415)*H415)*(MAX('Max rate concentrations'!$Q$3:$Q$368)))/F415, 0)</f>
        <v>0</v>
      </c>
      <c r="O415" s="70">
        <f>((MAX('Max rate concentrations'!$F$3:$F$368))*0.62*6.01*8*(12.3*F415^0.65)*0.079*0.1/F415)*inputs!$E$73/inputs!$E$74</f>
        <v>28.130365610404819</v>
      </c>
      <c r="P415" s="70">
        <f>((MAX('Max rate concentrations'!Y:Y))*0.62*6.01*8*(12.3*F415^0.65)*0.079*0.1/F415)*inputs!$E$73/inputs!$E$74</f>
        <v>9.3767885368016071</v>
      </c>
      <c r="Q415" s="70">
        <f>(inputs!$C$18*11.2*(12.3*F415^0.65)*0.5/F415)*inputs!$E$73/inputs!$E$74</f>
        <v>4.9550312232067908</v>
      </c>
      <c r="R415" s="60">
        <f>(60*379*((F415/1000)^0.8)*3*24*(MAX('Max rate concentrations'!$R$3:$R$368))/F415)*(inputs!$E$73/inputs!$E$75)</f>
        <v>1.2050824600358513E-2</v>
      </c>
      <c r="S415" s="60">
        <f>(IF(inputs!$C$17="aerial",((0.025*0.112*inputs!$C$18/3.3)*(3*60*379*((F415/1000)^0.8))*MAX(inputs!$I$14:$I$16))/F415,((0.0083*0.112*inputs!$C$18/1)*(3*60*379*((F415/1000)^0.8))*MAX(inputs!$I$14:$I$16))/F415))*(inputs!E$75/inputs!$E$73)</f>
        <v>6.6461038053265351E-2</v>
      </c>
      <c r="T415" s="63">
        <f>IF((((inputs!$P$13/(V415/MAX(K415:S415)))^(1/inputs!$O$13))-1)/inputs!$N$13&lt;0, 0, IF((((inputs!$P$13/(V415/MAX(K415:S415)))^(1/inputs!$O$13))-1)/inputs!$N$13&lt;inputs!$I$17, (((inputs!$P$13/(V415/MAX(K415:S415)))^(1/inputs!$O$13))-1)/inputs!$N$13, inputs!$I$17))</f>
        <v>35.267437759035914</v>
      </c>
      <c r="U415" s="63">
        <f>IF((((inputs!$P$13/(X415/MAX(K415:S415)))^(1/inputs!$O$13))-1)/inputs!$N$13&lt;0, 0, IF((((inputs!$P$13/(X415/MAX(K415:S415)))^(1/inputs!$O$13))-1)/inputs!$N$13&lt;inputs!$I$17, (((inputs!$P$13/(X415/MAX(K415:S415)))^(1/inputs!$O$13))-1)/inputs!$N$13, inputs!$I$17))</f>
        <v>2.4888040235469999</v>
      </c>
      <c r="V415" s="54">
        <f>inputs!$E$70*(F415/inputs!$F$70)^(0.25)</f>
        <v>5.6716495337733157</v>
      </c>
      <c r="W415" s="54">
        <f>inputs!$E$76*(F415/inputs!$F$76)^(0.25)</f>
        <v>0.40779412238881563</v>
      </c>
      <c r="X415" s="54">
        <f>inputs!$E$72*(inputs!$F$72/F415)^(0.25)</f>
        <v>44.061255638576625</v>
      </c>
      <c r="Y415" s="54" t="s">
        <v>13</v>
      </c>
      <c r="Z415" s="106">
        <f t="shared" si="36"/>
        <v>11.916377717788247</v>
      </c>
      <c r="AA415" s="106">
        <f t="shared" si="37"/>
        <v>165.73440963653792</v>
      </c>
    </row>
    <row r="416" spans="1:27" ht="13.2" x14ac:dyDescent="0.25">
      <c r="A416" s="55" t="s">
        <v>513</v>
      </c>
      <c r="B416" s="49" t="s">
        <v>514</v>
      </c>
      <c r="C416" s="21" t="s">
        <v>61</v>
      </c>
      <c r="D416" s="20" t="s">
        <v>454</v>
      </c>
      <c r="E416" s="20">
        <v>7572</v>
      </c>
      <c r="F416" s="21">
        <v>645</v>
      </c>
      <c r="G416" s="21" t="s">
        <v>138</v>
      </c>
      <c r="H416" s="21">
        <v>0.68</v>
      </c>
      <c r="I416" s="68">
        <f>MAX('Max rate concentrations'!$L$3:$L$368)</f>
        <v>350.52744091332482</v>
      </c>
      <c r="J416" s="68">
        <f>MAX('Max rate concentrations'!AD:AD)</f>
        <v>242.38599637623525</v>
      </c>
      <c r="K416" s="70">
        <f t="shared" si="38"/>
        <v>81.383858607217277</v>
      </c>
      <c r="L416" s="70">
        <f t="shared" si="39"/>
        <v>56.276072441160885</v>
      </c>
      <c r="M416" s="70">
        <f>IF((((0.326*F416^0.818)-(0.398*F416^0.85)/(1-H416)*H416)*(MAX('Max rate concentrations'!$P$3:$P$368)))/F416&gt;0, (((0.326*F416^0.818)-(0.398*F416^0.85)/(1-H416)*H416)*(MAX('Max rate concentrations'!$P$3:$P$368)))/F416, 0)</f>
        <v>0</v>
      </c>
      <c r="N416" s="70">
        <f>IF((((0.326*F416^0.818)-(0.398*F416^0.85)/(1-H416)*H416)*(MAX('Max rate concentrations'!$Q$3:$Q$368)))/F416&gt; 0, (((0.326*F416^0.818)-(0.398*F416^0.85)/(1-H416)*H416)*(MAX('Max rate concentrations'!$Q$3:$Q$368)))/F416, 0)</f>
        <v>0</v>
      </c>
      <c r="O416" s="70">
        <f>((MAX('Max rate concentrations'!$F$3:$F$368))*0.62*6.01*8*(12.3*F416^0.65)*0.079*0.1/F416)*inputs!$E$73/inputs!$E$74</f>
        <v>28.130365610404819</v>
      </c>
      <c r="P416" s="70">
        <f>((MAX('Max rate concentrations'!Y:Y))*0.62*6.01*8*(12.3*F416^0.65)*0.079*0.1/F416)*inputs!$E$73/inputs!$E$74</f>
        <v>9.3767885368016071</v>
      </c>
      <c r="Q416" s="70">
        <f>(inputs!$C$18*11.2*(12.3*F416^0.65)*0.5/F416)*inputs!$E$73/inputs!$E$74</f>
        <v>4.9550312232067908</v>
      </c>
      <c r="R416" s="60">
        <f>(60*379*((F416/1000)^0.8)*3*24*(MAX('Max rate concentrations'!$R$3:$R$368))/F416)*(inputs!$E$73/inputs!$E$75)</f>
        <v>1.2050824600358513E-2</v>
      </c>
      <c r="S416" s="60">
        <f>(IF(inputs!$C$17="aerial",((0.025*0.112*inputs!$C$18/3.3)*(3*60*379*((F416/1000)^0.8))*MAX(inputs!$I$14:$I$16))/F416,((0.0083*0.112*inputs!$C$18/1)*(3*60*379*((F416/1000)^0.8))*MAX(inputs!$I$14:$I$16))/F416))*(inputs!E$75/inputs!$E$73)</f>
        <v>6.6461038053265351E-2</v>
      </c>
      <c r="T416" s="63">
        <f>IF((((inputs!$P$13/(V416/MAX(K416:S416)))^(1/inputs!$O$13))-1)/inputs!$N$13&lt;0, 0, IF((((inputs!$P$13/(V416/MAX(K416:S416)))^(1/inputs!$O$13))-1)/inputs!$N$13&lt;inputs!$I$17, (((inputs!$P$13/(V416/MAX(K416:S416)))^(1/inputs!$O$13))-1)/inputs!$N$13, inputs!$I$17))</f>
        <v>41.832045291169742</v>
      </c>
      <c r="U416" s="63">
        <f>IF((((inputs!$P$13/(X416/MAX(K416:S416)))^(1/inputs!$O$13))-1)/inputs!$N$13&lt;0, 0, IF((((inputs!$P$13/(X416/MAX(K416:S416)))^(1/inputs!$O$13))-1)/inputs!$N$13&lt;inputs!$I$17, (((inputs!$P$13/(X416/MAX(K416:S416)))^(1/inputs!$O$13))-1)/inputs!$N$13, inputs!$I$17))</f>
        <v>3.7396747235399403</v>
      </c>
      <c r="V416" s="54">
        <f>inputs!$E$70*(F416/inputs!$F$70)^(0.25)</f>
        <v>5.6716495337733157</v>
      </c>
      <c r="W416" s="54">
        <f>inputs!$E$76*(F416/inputs!$F$76)^(0.25)</f>
        <v>0.40779412238881563</v>
      </c>
      <c r="X416" s="54">
        <f>inputs!$E$72*(inputs!$F$72/F416)^(0.25)</f>
        <v>44.061255638576625</v>
      </c>
      <c r="Y416" s="54" t="s">
        <v>13</v>
      </c>
      <c r="Z416" s="106">
        <f t="shared" si="36"/>
        <v>14.349239691662165</v>
      </c>
      <c r="AA416" s="106">
        <f t="shared" si="37"/>
        <v>199.57094558028223</v>
      </c>
    </row>
    <row r="417" spans="1:27" ht="13.2" x14ac:dyDescent="0.25">
      <c r="A417" s="55" t="s">
        <v>513</v>
      </c>
      <c r="B417" s="49" t="s">
        <v>514</v>
      </c>
      <c r="C417" s="21" t="s">
        <v>61</v>
      </c>
      <c r="D417" s="20" t="s">
        <v>454</v>
      </c>
      <c r="E417" s="20">
        <v>7572</v>
      </c>
      <c r="F417" s="21">
        <v>645</v>
      </c>
      <c r="G417" s="21" t="s">
        <v>456</v>
      </c>
      <c r="H417" s="21">
        <v>0.68</v>
      </c>
      <c r="I417" s="68">
        <f>MAX('Max rate concentrations'!$J$3:$J$368)</f>
        <v>686.46486205830786</v>
      </c>
      <c r="J417" s="68">
        <f>MAX('Max rate concentrations'!AB:AB)</f>
        <v>243.122971978984</v>
      </c>
      <c r="K417" s="70">
        <f t="shared" si="38"/>
        <v>159.3802731307149</v>
      </c>
      <c r="L417" s="70">
        <f t="shared" si="39"/>
        <v>56.44718006712818</v>
      </c>
      <c r="M417" s="70">
        <f>IF((((0.326*F417^0.818)-(0.398*F417^0.85)/(1-H417)*H417)*(MAX('Max rate concentrations'!$P$3:$P$368)))/F417&gt;0, (((0.326*F417^0.818)-(0.398*F417^0.85)/(1-H417)*H417)*(MAX('Max rate concentrations'!$P$3:$P$368)))/F417, 0)</f>
        <v>0</v>
      </c>
      <c r="N417" s="70">
        <f>IF((((0.326*F417^0.818)-(0.398*F417^0.85)/(1-H417)*H417)*(MAX('Max rate concentrations'!$Q$3:$Q$368)))/F417&gt; 0, (((0.326*F417^0.818)-(0.398*F417^0.85)/(1-H417)*H417)*(MAX('Max rate concentrations'!$Q$3:$Q$368)))/F417, 0)</f>
        <v>0</v>
      </c>
      <c r="O417" s="70">
        <f>((MAX('Max rate concentrations'!$F$3:$F$368))*0.62*6.01*8*(12.3*F417^0.65)*0.079*0.1/F417)*inputs!$E$73/inputs!$E$74</f>
        <v>28.130365610404819</v>
      </c>
      <c r="P417" s="70">
        <f>((MAX('Max rate concentrations'!Y:Y))*0.62*6.01*8*(12.3*F417^0.65)*0.079*0.1/F417)*inputs!$E$73/inputs!$E$74</f>
        <v>9.3767885368016071</v>
      </c>
      <c r="Q417" s="70">
        <f>(inputs!$C$18*11.2*(12.3*F417^0.65)*0.5/F417)*inputs!$E$73/inputs!$E$74</f>
        <v>4.9550312232067908</v>
      </c>
      <c r="R417" s="60">
        <f>(60*379*((F417/1000)^0.8)*3*24*(MAX('Max rate concentrations'!$R$3:$R$368))/F417)*(inputs!$E$73/inputs!$E$75)</f>
        <v>1.2050824600358513E-2</v>
      </c>
      <c r="S417" s="60">
        <f>(IF(inputs!$C$17="aerial",((0.025*0.112*inputs!$C$18/3.3)*(3*60*379*((F417/1000)^0.8))*MAX(inputs!$I$14:$I$16))/F417,((0.0083*0.112*inputs!$C$18/1)*(3*60*379*((F417/1000)^0.8))*MAX(inputs!$I$14:$I$16))/F417))*(inputs!E$75/inputs!$E$73)</f>
        <v>6.6461038053265351E-2</v>
      </c>
      <c r="T417" s="63">
        <f>IF((((inputs!$P$13/(V417/MAX(K417:S417)))^(1/inputs!$O$13))-1)/inputs!$N$13&lt;0, 0, IF((((inputs!$P$13/(V417/MAX(K417:S417)))^(1/inputs!$O$13))-1)/inputs!$N$13&lt;inputs!$I$17, (((inputs!$P$13/(V417/MAX(K417:S417)))^(1/inputs!$O$13))-1)/inputs!$N$13, inputs!$I$17))</f>
        <v>75.811629517932587</v>
      </c>
      <c r="U417" s="63">
        <f>IF((((inputs!$P$13/(X417/MAX(K417:S417)))^(1/inputs!$O$13))-1)/inputs!$N$13&lt;0, 0, IF((((inputs!$P$13/(X417/MAX(K417:S417)))^(1/inputs!$O$13))-1)/inputs!$N$13&lt;inputs!$I$17, (((inputs!$P$13/(X417/MAX(K417:S417)))^(1/inputs!$O$13))-1)/inputs!$N$13, inputs!$I$17))</f>
        <v>10.214405482255051</v>
      </c>
      <c r="V417" s="54">
        <f>inputs!$E$70*(F417/inputs!$F$70)^(0.25)</f>
        <v>5.6716495337733157</v>
      </c>
      <c r="W417" s="54">
        <f>inputs!$E$76*(F417/inputs!$F$76)^(0.25)</f>
        <v>0.40779412238881563</v>
      </c>
      <c r="X417" s="54">
        <f>inputs!$E$72*(inputs!$F$72/F417)^(0.25)</f>
        <v>44.061255638576625</v>
      </c>
      <c r="Y417" s="54" t="s">
        <v>13</v>
      </c>
      <c r="Z417" s="106">
        <f t="shared" si="36"/>
        <v>28.101220320762682</v>
      </c>
      <c r="AA417" s="106">
        <f t="shared" si="37"/>
        <v>390.83514052895566</v>
      </c>
    </row>
    <row r="418" spans="1:27" ht="13.2" x14ac:dyDescent="0.25">
      <c r="A418" s="55" t="s">
        <v>503</v>
      </c>
      <c r="B418" s="49" t="s">
        <v>504</v>
      </c>
      <c r="C418" s="21" t="s">
        <v>61</v>
      </c>
      <c r="D418" s="20" t="s">
        <v>454</v>
      </c>
      <c r="E418" s="20">
        <v>24</v>
      </c>
      <c r="F418" s="21">
        <v>8000</v>
      </c>
      <c r="G418" s="21" t="s">
        <v>138</v>
      </c>
      <c r="H418" s="21">
        <v>0.68</v>
      </c>
      <c r="I418" s="68">
        <f>MAX('Max rate concentrations'!$L$3:$L$368)</f>
        <v>350.52744091332482</v>
      </c>
      <c r="J418" s="68">
        <f>MAX('Max rate concentrations'!AD:AD)</f>
        <v>242.38599637623525</v>
      </c>
      <c r="K418" s="70">
        <f t="shared" si="38"/>
        <v>51.986417287323569</v>
      </c>
      <c r="L418" s="70">
        <f t="shared" si="39"/>
        <v>35.948054507191827</v>
      </c>
      <c r="M418" s="70">
        <f>IF((((0.326*F418^0.818)-(0.398*F418^0.85)/(1-H418)*H418)*(MAX('Max rate concentrations'!$P$3:$P$368)))/F418&gt;0, (((0.326*F418^0.818)-(0.398*F418^0.85)/(1-H418)*H418)*(MAX('Max rate concentrations'!$P$3:$P$368)))/F418, 0)</f>
        <v>0</v>
      </c>
      <c r="N418" s="70">
        <f>IF((((0.326*F418^0.818)-(0.398*F418^0.85)/(1-H418)*H418)*(MAX('Max rate concentrations'!$Q$3:$Q$368)))/F418&gt; 0, (((0.326*F418^0.818)-(0.398*F418^0.85)/(1-H418)*H418)*(MAX('Max rate concentrations'!$Q$3:$Q$368)))/F418, 0)</f>
        <v>0</v>
      </c>
      <c r="O418" s="70">
        <f>((MAX('Max rate concentrations'!$F$3:$F$368))*0.62*6.01*8*(12.3*F418^0.65)*0.079*0.1/F418)*inputs!$E$73/inputs!$E$74</f>
        <v>11.653054601931151</v>
      </c>
      <c r="P418" s="70">
        <f>((MAX('Max rate concentrations'!Y:Y))*0.62*6.01*8*(12.3*F418^0.65)*0.079*0.1/F418)*inputs!$E$73/inputs!$E$74</f>
        <v>3.8843515339770507</v>
      </c>
      <c r="Q418" s="70">
        <f>(inputs!$C$18*11.2*(12.3*F418^0.65)*0.5/F418)*inputs!$E$73/inputs!$E$74</f>
        <v>2.0526306055881895</v>
      </c>
      <c r="R418" s="60">
        <f>(60*379*((F418/1000)^0.8)*3*24*(MAX('Max rate concentrations'!$R$3:$R$368))/F418)*(inputs!$E$73/inputs!$E$75)</f>
        <v>7.2830067233142746E-3</v>
      </c>
      <c r="S418" s="60">
        <f>(IF(inputs!$C$17="aerial",((0.025*0.112*inputs!$C$18/3.3)*(3*60*379*((F418/1000)^0.8))*MAX(inputs!$I$14:$I$16))/F418,((0.0083*0.112*inputs!$C$18/1)*(3*60*379*((F418/1000)^0.8))*MAX(inputs!$I$14:$I$16))/F418))*(inputs!E$75/inputs!$E$73)</f>
        <v>4.0166229534697347E-2</v>
      </c>
      <c r="T418" s="63">
        <f>IF((((inputs!$P$13/(V418/MAX(K418:S418)))^(1/inputs!$O$13))-1)/inputs!$N$13&lt;0, 0, IF((((inputs!$P$13/(V418/MAX(K418:S418)))^(1/inputs!$O$13))-1)/inputs!$N$13&lt;inputs!$I$17, (((inputs!$P$13/(V418/MAX(K418:S418)))^(1/inputs!$O$13))-1)/inputs!$N$13, inputs!$I$17))</f>
        <v>14.458932636818732</v>
      </c>
      <c r="U418" s="63">
        <f>IF((((inputs!$P$13/(X418/MAX(K418:S418)))^(1/inputs!$O$13))-1)/inputs!$N$13&lt;0, 0, IF((((inputs!$P$13/(X418/MAX(K418:S418)))^(1/inputs!$O$13))-1)/inputs!$N$13&lt;inputs!$I$17, (((inputs!$P$13/(X418/MAX(K418:S418)))^(1/inputs!$O$13))-1)/inputs!$N$13, inputs!$I$17))</f>
        <v>5.1555465353612986</v>
      </c>
      <c r="V418" s="54">
        <f>inputs!$E$70*(F418/inputs!$F$70)^(0.25)</f>
        <v>10.643683572898997</v>
      </c>
      <c r="W418" s="54">
        <f>inputs!$E$76*(F418/inputs!$F$76)^(0.25)</f>
        <v>0.76528557975036537</v>
      </c>
      <c r="X418" s="54">
        <f>inputs!$E$72*(inputs!$F$72/F418)^(0.25)</f>
        <v>23.478713763747795</v>
      </c>
      <c r="Y418" s="54" t="s">
        <v>13</v>
      </c>
      <c r="Z418" s="106">
        <f t="shared" si="36"/>
        <v>4.8842505445851154</v>
      </c>
      <c r="AA418" s="106">
        <f t="shared" si="37"/>
        <v>67.930742016962398</v>
      </c>
    </row>
    <row r="419" spans="1:27" ht="13.2" x14ac:dyDescent="0.25">
      <c r="A419" s="55" t="s">
        <v>503</v>
      </c>
      <c r="B419" s="49" t="s">
        <v>504</v>
      </c>
      <c r="C419" s="21" t="s">
        <v>61</v>
      </c>
      <c r="D419" s="20" t="s">
        <v>454</v>
      </c>
      <c r="E419" s="20">
        <v>24</v>
      </c>
      <c r="F419" s="21">
        <v>8000</v>
      </c>
      <c r="G419" s="21" t="s">
        <v>218</v>
      </c>
      <c r="H419" s="21">
        <v>0.68</v>
      </c>
      <c r="I419" s="68">
        <f>MAX('Max rate concentrations'!$K$3:$K$368)</f>
        <v>110.00035859694511</v>
      </c>
      <c r="J419" s="68">
        <f>MAX('Max rate concentrations'!AC:AC)</f>
        <v>38.958460336418057</v>
      </c>
      <c r="K419" s="70">
        <f t="shared" si="38"/>
        <v>16.314056693752665</v>
      </c>
      <c r="L419" s="70">
        <f t="shared" si="39"/>
        <v>5.7778950790374015</v>
      </c>
      <c r="M419" s="70">
        <f>IF((((0.326*F419^0.818)-(0.398*F419^0.85)/(1-H419)*H419)*(MAX('Max rate concentrations'!$P$3:$P$368)))/F419&gt;0, (((0.326*F419^0.818)-(0.398*F419^0.85)/(1-H419)*H419)*(MAX('Max rate concentrations'!$P$3:$P$368)))/F419, 0)</f>
        <v>0</v>
      </c>
      <c r="N419" s="70">
        <f>IF((((0.326*F419^0.818)-(0.398*F419^0.85)/(1-H419)*H419)*(MAX('Max rate concentrations'!$Q$3:$Q$368)))/F419&gt; 0, (((0.326*F419^0.818)-(0.398*F419^0.85)/(1-H419)*H419)*(MAX('Max rate concentrations'!$Q$3:$Q$368)))/F419, 0)</f>
        <v>0</v>
      </c>
      <c r="O419" s="70">
        <f>((MAX('Max rate concentrations'!$F$3:$F$368))*0.62*6.01*8*(12.3*F419^0.65)*0.079*0.1/F419)*inputs!$E$73/inputs!$E$74</f>
        <v>11.653054601931151</v>
      </c>
      <c r="P419" s="70">
        <f>((MAX('Max rate concentrations'!Y:Y))*0.62*6.01*8*(12.3*F419^0.65)*0.079*0.1/F419)*inputs!$E$73/inputs!$E$74</f>
        <v>3.8843515339770507</v>
      </c>
      <c r="Q419" s="70">
        <f>(inputs!$C$18*11.2*(12.3*F419^0.65)*0.5/F419)*inputs!$E$73/inputs!$E$74</f>
        <v>2.0526306055881895</v>
      </c>
      <c r="R419" s="60">
        <f>(60*379*((F419/1000)^0.8)*3*24*(MAX('Max rate concentrations'!$R$3:$R$368))/F419)*(inputs!$E$73/inputs!$E$75)</f>
        <v>7.2830067233142746E-3</v>
      </c>
      <c r="S419" s="60">
        <f>(IF(inputs!$C$17="aerial",((0.025*0.112*inputs!$C$18/3.3)*(3*60*379*((F419/1000)^0.8))*MAX(inputs!$I$14:$I$16))/F419,((0.0083*0.112*inputs!$C$18/1)*(3*60*379*((F419/1000)^0.8))*MAX(inputs!$I$14:$I$16))/F419))*(inputs!E$75/inputs!$E$73)</f>
        <v>4.0166229534697347E-2</v>
      </c>
      <c r="T419" s="63">
        <f>IF((((inputs!$P$13/(V419/MAX(K419:S419)))^(1/inputs!$O$13))-1)/inputs!$N$13&lt;0, 0, IF((((inputs!$P$13/(V419/MAX(K419:S419)))^(1/inputs!$O$13))-1)/inputs!$N$13&lt;inputs!$I$17, (((inputs!$P$13/(V419/MAX(K419:S419)))^(1/inputs!$O$13))-1)/inputs!$N$13, inputs!$I$17))</f>
        <v>2.4841105509368115</v>
      </c>
      <c r="U419" s="63">
        <f>IF((((inputs!$P$13/(X419/MAX(K419:S419)))^(1/inputs!$O$13))-1)/inputs!$N$13&lt;0, 0, IF((((inputs!$P$13/(X419/MAX(K419:S419)))^(1/inputs!$O$13))-1)/inputs!$N$13&lt;inputs!$I$17, (((inputs!$P$13/(X419/MAX(K419:S419)))^(1/inputs!$O$13))-1)/inputs!$N$13, inputs!$I$17))</f>
        <v>0</v>
      </c>
      <c r="V419" s="54">
        <f>inputs!$E$70*(F419/inputs!$F$70)^(0.25)</f>
        <v>10.643683572898997</v>
      </c>
      <c r="W419" s="54">
        <f>inputs!$E$76*(F419/inputs!$F$76)^(0.25)</f>
        <v>0.76528557975036537</v>
      </c>
      <c r="X419" s="54">
        <f>inputs!$E$72*(inputs!$F$72/F419)^(0.25)</f>
        <v>23.478713763747795</v>
      </c>
      <c r="Y419" s="54" t="s">
        <v>13</v>
      </c>
      <c r="Z419" s="106">
        <f t="shared" si="36"/>
        <v>1.5327453678998502</v>
      </c>
      <c r="AA419" s="106">
        <f t="shared" si="37"/>
        <v>21.317606296820955</v>
      </c>
    </row>
    <row r="420" spans="1:27" ht="13.2" x14ac:dyDescent="0.25">
      <c r="A420" s="55" t="s">
        <v>503</v>
      </c>
      <c r="B420" s="49" t="s">
        <v>504</v>
      </c>
      <c r="C420" s="21" t="s">
        <v>61</v>
      </c>
      <c r="D420" s="20" t="s">
        <v>454</v>
      </c>
      <c r="E420" s="20">
        <v>24</v>
      </c>
      <c r="F420" s="21">
        <v>8000</v>
      </c>
      <c r="G420" s="21" t="s">
        <v>186</v>
      </c>
      <c r="H420" s="21">
        <v>0.75</v>
      </c>
      <c r="I420" s="68">
        <f>inputs!$C$66*inputs!$C$64/1000</f>
        <v>21.3</v>
      </c>
      <c r="J420" s="68">
        <f>inputs!$C$66*inputs!$C$63/1000</f>
        <v>8.8000000000000007</v>
      </c>
      <c r="K420" s="70">
        <f t="shared" si="38"/>
        <v>4.0434999246522914</v>
      </c>
      <c r="L420" s="70">
        <f t="shared" si="39"/>
        <v>1.670553959480759</v>
      </c>
      <c r="M420" s="70">
        <f>IF((((0.326*F420^0.818)-(0.398*F420^0.85)/(1-H420)*H420)*(MAX('Max rate concentrations'!$P$3:$P$368)))/F420&gt;0, (((0.326*F420^0.818)-(0.398*F420^0.85)/(1-H420)*H420)*(MAX('Max rate concentrations'!$P$3:$P$368)))/F420, 0)</f>
        <v>0</v>
      </c>
      <c r="N420" s="70">
        <f>IF((((0.326*F420^0.818)-(0.398*F420^0.85)/(1-H420)*H420)*(MAX('Max rate concentrations'!$Q$3:$Q$368)))/F420&gt; 0, (((0.326*F420^0.818)-(0.398*F420^0.85)/(1-H420)*H420)*(MAX('Max rate concentrations'!$Q$3:$Q$368)))/F420, 0)</f>
        <v>0</v>
      </c>
      <c r="O420" s="70">
        <f>((MAX('Max rate concentrations'!$F$3:$F$368))*0.62*6.01*8*(12.3*F420^0.65)*0.079*0.1/F420)*inputs!$E$73/inputs!$E$74</f>
        <v>11.653054601931151</v>
      </c>
      <c r="P420" s="70">
        <f>((MAX('Max rate concentrations'!Y:Y))*0.62*6.01*8*(12.3*F420^0.65)*0.079*0.1/F420)*inputs!$E$73/inputs!$E$74</f>
        <v>3.8843515339770507</v>
      </c>
      <c r="Q420" s="70">
        <f>(inputs!$C$18*11.2*(12.3*F420^0.65)*0.5/F420)*inputs!$E$73/inputs!$E$74</f>
        <v>2.0526306055881895</v>
      </c>
      <c r="R420" s="60">
        <f>(60*379*((F420/1000)^0.8)*3*24*(MAX('Max rate concentrations'!$R$3:$R$368))/F420)*(inputs!$E$73/inputs!$E$75)</f>
        <v>7.2830067233142746E-3</v>
      </c>
      <c r="S420" s="60">
        <f>(IF(inputs!$C$17="aerial",((0.025*0.112*inputs!$C$18/3.3)*(3*60*379*((F420/1000)^0.8))*MAX(inputs!$I$14:$I$16))/F420,((0.0083*0.112*inputs!$C$18/1)*(3*60*379*((F420/1000)^0.8))*MAX(inputs!$I$14:$I$16))/F420))*(inputs!E$75/inputs!$E$73)</f>
        <v>4.0166229534697347E-2</v>
      </c>
      <c r="T420" s="63">
        <f>IF((((inputs!$P$13/(V420/MAX(K420:S420)))^(1/inputs!$O$13))-1)/inputs!$N$13&lt;0, 0, IF((((inputs!$P$13/(V420/MAX(K420:S420)))^(1/inputs!$O$13))-1)/inputs!$N$13&lt;inputs!$I$17, (((inputs!$P$13/(V420/MAX(K420:S420)))^(1/inputs!$O$13))-1)/inputs!$N$13, inputs!$I$17))</f>
        <v>0.64715716797014056</v>
      </c>
      <c r="U420" s="63">
        <f>IF((((inputs!$P$13/(X420/MAX(K420:S420)))^(1/inputs!$O$13))-1)/inputs!$N$13&lt;0, 0, IF((((inputs!$P$13/(X420/MAX(K420:S420)))^(1/inputs!$O$13))-1)/inputs!$N$13&lt;inputs!$I$17, (((inputs!$P$13/(X420/MAX(K420:S420)))^(1/inputs!$O$13))-1)/inputs!$N$13, inputs!$I$17))</f>
        <v>0</v>
      </c>
      <c r="V420" s="54">
        <f>inputs!$E$70*(F420/inputs!$F$70)^(0.25)</f>
        <v>10.643683572898997</v>
      </c>
      <c r="W420" s="54">
        <f>inputs!$E$76*(F420/inputs!$F$76)^(0.25)</f>
        <v>0.76528557975036537</v>
      </c>
      <c r="X420" s="54">
        <f>inputs!$E$72*(inputs!$F$72/F420)^(0.25)</f>
        <v>23.478713763747795</v>
      </c>
      <c r="Y420" s="54" t="s">
        <v>13</v>
      </c>
      <c r="Z420" s="106">
        <f t="shared" si="36"/>
        <v>1.0948328670350762</v>
      </c>
      <c r="AA420" s="106">
        <f t="shared" si="37"/>
        <v>15.227066745112792</v>
      </c>
    </row>
    <row r="421" spans="1:27" ht="13.2" x14ac:dyDescent="0.25">
      <c r="A421" s="55" t="s">
        <v>503</v>
      </c>
      <c r="B421" s="49" t="s">
        <v>504</v>
      </c>
      <c r="C421" s="21" t="s">
        <v>61</v>
      </c>
      <c r="D421" s="20" t="s">
        <v>454</v>
      </c>
      <c r="E421" s="20">
        <v>24</v>
      </c>
      <c r="F421" s="21">
        <v>8000</v>
      </c>
      <c r="G421" s="21" t="s">
        <v>455</v>
      </c>
      <c r="H421" s="21">
        <v>0.68</v>
      </c>
      <c r="I421" s="71">
        <f>MAX('Max rate concentrations'!$K$3:$K$368)</f>
        <v>110.00035859694511</v>
      </c>
      <c r="J421" s="71">
        <f>MAX('Max rate concentrations'!AC:AC)</f>
        <v>38.958460336418057</v>
      </c>
      <c r="K421" s="70">
        <f t="shared" si="38"/>
        <v>16.314056693752665</v>
      </c>
      <c r="L421" s="70">
        <f t="shared" si="39"/>
        <v>5.7778950790374015</v>
      </c>
      <c r="M421" s="70">
        <f>IF((((0.326*F421^0.818)-(0.398*F421^0.85)/(1-H421)*H421)*(MAX('Max rate concentrations'!$P$3:$P$368)))/F421&gt;0, (((0.326*F421^0.818)-(0.398*F421^0.85)/(1-H421)*H421)*(MAX('Max rate concentrations'!$P$3:$P$368)))/F421, 0)</f>
        <v>0</v>
      </c>
      <c r="N421" s="70">
        <f>IF((((0.326*F421^0.818)-(0.398*F421^0.85)/(1-H421)*H421)*(MAX('Max rate concentrations'!$Q$3:$Q$368)))/F421&gt; 0, (((0.326*F421^0.818)-(0.398*F421^0.85)/(1-H421)*H421)*(MAX('Max rate concentrations'!$Q$3:$Q$368)))/F421, 0)</f>
        <v>0</v>
      </c>
      <c r="O421" s="70">
        <f>((MAX('Max rate concentrations'!$F$3:$F$368))*0.62*6.01*8*(12.3*F421^0.65)*0.079*0.1/F421)*inputs!$E$73/inputs!$E$74</f>
        <v>11.653054601931151</v>
      </c>
      <c r="P421" s="70">
        <f>((MAX('Max rate concentrations'!Y:Y))*0.62*6.01*8*(12.3*F421^0.65)*0.079*0.1/F421)*inputs!$E$73/inputs!$E$74</f>
        <v>3.8843515339770507</v>
      </c>
      <c r="Q421" s="70">
        <f>(inputs!$C$18*11.2*(12.3*F421^0.65)*0.5/F421)*inputs!$E$73/inputs!$E$74</f>
        <v>2.0526306055881895</v>
      </c>
      <c r="R421" s="60">
        <f>(60*379*((F421/1000)^0.8)*3*24*(MAX('Max rate concentrations'!$R$3:$R$368))/F421)*(inputs!$E$73/inputs!$E$75)</f>
        <v>7.2830067233142746E-3</v>
      </c>
      <c r="S421" s="60">
        <f>(IF(inputs!$C$17="aerial",((0.025*0.112*inputs!$C$18/3.3)*(3*60*379*((F421/1000)^0.8))*MAX(inputs!$I$14:$I$16))/F421,((0.0083*0.112*inputs!$C$18/1)*(3*60*379*((F421/1000)^0.8))*MAX(inputs!$I$14:$I$16))/F421))*(inputs!E$75/inputs!$E$73)</f>
        <v>4.0166229534697347E-2</v>
      </c>
      <c r="T421" s="63">
        <f>IF((((inputs!$P$13/(V421/MAX(K421:S421)))^(1/inputs!$O$13))-1)/inputs!$N$13&lt;0, 0, IF((((inputs!$P$13/(V421/MAX(K421:S421)))^(1/inputs!$O$13))-1)/inputs!$N$13&lt;inputs!$I$17, (((inputs!$P$13/(V421/MAX(K421:S421)))^(1/inputs!$O$13))-1)/inputs!$N$13, inputs!$I$17))</f>
        <v>2.4841105509368115</v>
      </c>
      <c r="U421" s="63">
        <f>IF((((inputs!$P$13/(X421/MAX(K421:S421)))^(1/inputs!$O$13))-1)/inputs!$N$13&lt;0, 0, IF((((inputs!$P$13/(X421/MAX(K421:S421)))^(1/inputs!$O$13))-1)/inputs!$N$13&lt;inputs!$I$17, (((inputs!$P$13/(X421/MAX(K421:S421)))^(1/inputs!$O$13))-1)/inputs!$N$13, inputs!$I$17))</f>
        <v>0</v>
      </c>
      <c r="V421" s="54">
        <f>inputs!$E$70*(F421/inputs!$F$70)^(0.25)</f>
        <v>10.643683572898997</v>
      </c>
      <c r="W421" s="54">
        <f>inputs!$E$76*(F421/inputs!$F$76)^(0.25)</f>
        <v>0.76528557975036537</v>
      </c>
      <c r="X421" s="54">
        <f>inputs!$E$72*(inputs!$F$72/F421)^(0.25)</f>
        <v>23.478713763747795</v>
      </c>
      <c r="Y421" s="54" t="s">
        <v>13</v>
      </c>
      <c r="Z421" s="106">
        <f t="shared" si="36"/>
        <v>1.5327453678998502</v>
      </c>
      <c r="AA421" s="106">
        <f t="shared" si="37"/>
        <v>21.317606296820955</v>
      </c>
    </row>
    <row r="422" spans="1:27" ht="13.2" x14ac:dyDescent="0.25">
      <c r="A422" s="55" t="s">
        <v>503</v>
      </c>
      <c r="B422" s="49" t="s">
        <v>504</v>
      </c>
      <c r="C422" s="21" t="s">
        <v>61</v>
      </c>
      <c r="D422" s="20" t="s">
        <v>454</v>
      </c>
      <c r="E422" s="20">
        <v>24</v>
      </c>
      <c r="F422" s="21">
        <v>8000</v>
      </c>
      <c r="G422" s="21" t="s">
        <v>456</v>
      </c>
      <c r="H422" s="21">
        <v>0.68</v>
      </c>
      <c r="I422" s="68">
        <f>MAX('Max rate concentrations'!$J$3:$J$368)</f>
        <v>686.46486205830786</v>
      </c>
      <c r="J422" s="68">
        <f>MAX('Max rate concentrations'!AB:AB)</f>
        <v>243.122971978984</v>
      </c>
      <c r="K422" s="70">
        <f t="shared" si="38"/>
        <v>101.80900154083091</v>
      </c>
      <c r="L422" s="70">
        <f t="shared" si="39"/>
        <v>36.057354712377609</v>
      </c>
      <c r="M422" s="70">
        <f>IF((((0.326*F422^0.818)-(0.398*F422^0.85)/(1-H422)*H422)*(MAX('Max rate concentrations'!$P$3:$P$368)))/F422&gt;0, (((0.326*F422^0.818)-(0.398*F422^0.85)/(1-H422)*H422)*(MAX('Max rate concentrations'!$P$3:$P$368)))/F422, 0)</f>
        <v>0</v>
      </c>
      <c r="N422" s="70">
        <f>IF((((0.326*F422^0.818)-(0.398*F422^0.85)/(1-H422)*H422)*(MAX('Max rate concentrations'!$Q$3:$Q$368)))/F422&gt; 0, (((0.326*F422^0.818)-(0.398*F422^0.85)/(1-H422)*H422)*(MAX('Max rate concentrations'!$Q$3:$Q$368)))/F422, 0)</f>
        <v>0</v>
      </c>
      <c r="O422" s="70">
        <f>((MAX('Max rate concentrations'!$F$3:$F$368))*0.62*6.01*8*(12.3*F422^0.65)*0.079*0.1/F422)*inputs!$E$73/inputs!$E$74</f>
        <v>11.653054601931151</v>
      </c>
      <c r="P422" s="70">
        <f>((MAX('Max rate concentrations'!Y:Y))*0.62*6.01*8*(12.3*F422^0.65)*0.079*0.1/F422)*inputs!$E$73/inputs!$E$74</f>
        <v>3.8843515339770507</v>
      </c>
      <c r="Q422" s="70">
        <f>(inputs!$C$18*11.2*(12.3*F422^0.65)*0.5/F422)*inputs!$E$73/inputs!$E$74</f>
        <v>2.0526306055881895</v>
      </c>
      <c r="R422" s="60">
        <f>(60*379*((F422/1000)^0.8)*3*24*(MAX('Max rate concentrations'!$R$3:$R$368))/F422)*(inputs!$E$73/inputs!$E$75)</f>
        <v>7.2830067233142746E-3</v>
      </c>
      <c r="S422" s="60">
        <f>(IF(inputs!$C$17="aerial",((0.025*0.112*inputs!$C$18/3.3)*(3*60*379*((F422/1000)^0.8))*MAX(inputs!$I$14:$I$16))/F422,((0.0083*0.112*inputs!$C$18/1)*(3*60*379*((F422/1000)^0.8))*MAX(inputs!$I$14:$I$16))/F422))*(inputs!E$75/inputs!$E$73)</f>
        <v>4.0166229534697347E-2</v>
      </c>
      <c r="T422" s="63">
        <f>IF((((inputs!$P$13/(V422/MAX(K422:S422)))^(1/inputs!$O$13))-1)/inputs!$N$13&lt;0, 0, IF((((inputs!$P$13/(V422/MAX(K422:S422)))^(1/inputs!$O$13))-1)/inputs!$N$13&lt;inputs!$I$17, (((inputs!$P$13/(V422/MAX(K422:S422)))^(1/inputs!$O$13))-1)/inputs!$N$13, inputs!$I$17))</f>
        <v>28.673575976387671</v>
      </c>
      <c r="U422" s="63">
        <f>IF((((inputs!$P$13/(X422/MAX(K422:S422)))^(1/inputs!$O$13))-1)/inputs!$N$13&lt;0, 0, IF((((inputs!$P$13/(X422/MAX(K422:S422)))^(1/inputs!$O$13))-1)/inputs!$N$13&lt;inputs!$I$17, (((inputs!$P$13/(X422/MAX(K422:S422)))^(1/inputs!$O$13))-1)/inputs!$N$13, inputs!$I$17))</f>
        <v>12.652617099485603</v>
      </c>
      <c r="V422" s="54">
        <f>inputs!$E$70*(F422/inputs!$F$70)^(0.25)</f>
        <v>10.643683572898997</v>
      </c>
      <c r="W422" s="54">
        <f>inputs!$E$76*(F422/inputs!$F$76)^(0.25)</f>
        <v>0.76528557975036537</v>
      </c>
      <c r="X422" s="54">
        <f>inputs!$E$72*(inputs!$F$72/F422)^(0.25)</f>
        <v>23.478713763747795</v>
      </c>
      <c r="Y422" s="54" t="s">
        <v>13</v>
      </c>
      <c r="Z422" s="106">
        <f t="shared" si="36"/>
        <v>9.5652037044823022</v>
      </c>
      <c r="AA422" s="106">
        <f t="shared" si="37"/>
        <v>133.03399963976952</v>
      </c>
    </row>
    <row r="423" spans="1:27" ht="13.2" x14ac:dyDescent="0.25">
      <c r="A423" s="55" t="s">
        <v>505</v>
      </c>
      <c r="B423" s="49" t="s">
        <v>506</v>
      </c>
      <c r="C423" s="21" t="s">
        <v>61</v>
      </c>
      <c r="D423" s="20" t="s">
        <v>454</v>
      </c>
      <c r="E423" s="20">
        <v>4648</v>
      </c>
      <c r="F423" s="21">
        <v>1500</v>
      </c>
      <c r="G423" s="21" t="s">
        <v>142</v>
      </c>
      <c r="H423" s="21">
        <v>0.69</v>
      </c>
      <c r="I423" s="68">
        <f>MAX('Max rate concentrations'!$H$3:$H$368)</f>
        <v>282</v>
      </c>
      <c r="J423" s="68">
        <f>MAX('Max rate concentrations'!AA:AA)</f>
        <v>195</v>
      </c>
      <c r="K423" s="70">
        <f t="shared" si="38"/>
        <v>58.158210181209746</v>
      </c>
      <c r="L423" s="70">
        <f t="shared" si="39"/>
        <v>40.215783635942906</v>
      </c>
      <c r="M423" s="70">
        <f>IF((((0.326*F423^0.818)-(0.398*F423^0.85)/(1-H423)*H423)*(MAX('Max rate concentrations'!$P$3:$P$368)))/F423&gt;0, (((0.326*F423^0.818)-(0.398*F423^0.85)/(1-H423)*H423)*(MAX('Max rate concentrations'!$P$3:$P$368)))/F423, 0)</f>
        <v>0</v>
      </c>
      <c r="N423" s="70">
        <f>IF((((0.326*F423^0.818)-(0.398*F423^0.85)/(1-H423)*H423)*(MAX('Max rate concentrations'!$Q$3:$Q$368)))/F423&gt; 0, (((0.326*F423^0.818)-(0.398*F423^0.85)/(1-H423)*H423)*(MAX('Max rate concentrations'!$Q$3:$Q$368)))/F423, 0)</f>
        <v>0</v>
      </c>
      <c r="O423" s="70">
        <f>((MAX('Max rate concentrations'!$F$3:$F$368))*0.62*6.01*8*(12.3*F423^0.65)*0.079*0.1/F423)*inputs!$E$73/inputs!$E$74</f>
        <v>20.935789170450438</v>
      </c>
      <c r="P423" s="70">
        <f>((MAX('Max rate concentrations'!Y:Y))*0.62*6.01*8*(12.3*F423^0.65)*0.079*0.1/F423)*inputs!$E$73/inputs!$E$74</f>
        <v>6.9785963901501464</v>
      </c>
      <c r="Q423" s="70">
        <f>(inputs!$C$18*11.2*(12.3*F423^0.65)*0.5/F423)*inputs!$E$73/inputs!$E$74</f>
        <v>3.6877405170904094</v>
      </c>
      <c r="R423" s="60">
        <f>(60*379*((F423/1000)^0.8)*3*24*(MAX('Max rate concentrations'!$R$3:$R$368))/F423)*(inputs!$E$73/inputs!$E$75)</f>
        <v>1.0179125208895511E-2</v>
      </c>
      <c r="S423" s="60">
        <f>(IF(inputs!$C$17="aerial",((0.025*0.112*inputs!$C$18/3.3)*(3*60*379*((F423/1000)^0.8))*MAX(inputs!$I$14:$I$16))/F423,((0.0083*0.112*inputs!$C$18/1)*(3*60*379*((F423/1000)^0.8))*MAX(inputs!$I$14:$I$16))/F423))*(inputs!E$75/inputs!$E$73)</f>
        <v>5.6138500915300898E-2</v>
      </c>
      <c r="T423" s="63">
        <f>IF((((inputs!$P$13/(V423/MAX(K423:S423)))^(1/inputs!$O$13))-1)/inputs!$N$13&lt;0, 0, IF((((inputs!$P$13/(V423/MAX(K423:S423)))^(1/inputs!$O$13))-1)/inputs!$N$13&lt;inputs!$I$17, (((inputs!$P$13/(V423/MAX(K423:S423)))^(1/inputs!$O$13))-1)/inputs!$N$13, inputs!$I$17))</f>
        <v>25.009645291124084</v>
      </c>
      <c r="U423" s="63">
        <f>IF((((inputs!$P$13/(X423/MAX(K423:S423)))^(1/inputs!$O$13))-1)/inputs!$N$13&lt;0, 0, IF((((inputs!$P$13/(X423/MAX(K423:S423)))^(1/inputs!$O$13))-1)/inputs!$N$13&lt;inputs!$I$17, (((inputs!$P$13/(X423/MAX(K423:S423)))^(1/inputs!$O$13))-1)/inputs!$N$13, inputs!$I$17))</f>
        <v>2.8774442190572036</v>
      </c>
      <c r="V423" s="54">
        <f>inputs!$E$70*(F423/inputs!$F$70)^(0.25)</f>
        <v>7.0039376761908532</v>
      </c>
      <c r="W423" s="54">
        <f>inputs!$E$76*(F423/inputs!$F$76)^(0.25)</f>
        <v>0.50358623199836905</v>
      </c>
      <c r="X423" s="54">
        <f>inputs!$E$72*(inputs!$F$72/F423)^(0.25)</f>
        <v>35.679929141789579</v>
      </c>
      <c r="Y423" s="54" t="s">
        <v>13</v>
      </c>
      <c r="Z423" s="106">
        <f t="shared" si="36"/>
        <v>8.3036447310078785</v>
      </c>
      <c r="AA423" s="106">
        <f t="shared" si="37"/>
        <v>115.48808622194043</v>
      </c>
    </row>
    <row r="424" spans="1:27" ht="13.2" x14ac:dyDescent="0.25">
      <c r="A424" s="55" t="s">
        <v>505</v>
      </c>
      <c r="B424" s="49" t="s">
        <v>506</v>
      </c>
      <c r="C424" s="21" t="s">
        <v>61</v>
      </c>
      <c r="D424" s="20" t="s">
        <v>454</v>
      </c>
      <c r="E424" s="20">
        <v>4648</v>
      </c>
      <c r="F424" s="21">
        <v>1500</v>
      </c>
      <c r="G424" s="21" t="s">
        <v>138</v>
      </c>
      <c r="H424" s="21">
        <v>0.68</v>
      </c>
      <c r="I424" s="68">
        <f>MAX('Max rate concentrations'!$L$3:$L$368)</f>
        <v>350.52744091332482</v>
      </c>
      <c r="J424" s="68">
        <f>MAX('Max rate concentrations'!AD:AD)</f>
        <v>242.38599637623525</v>
      </c>
      <c r="K424" s="70">
        <f t="shared" si="38"/>
        <v>70.031860158519578</v>
      </c>
      <c r="L424" s="70">
        <f t="shared" si="39"/>
        <v>48.426286279827366</v>
      </c>
      <c r="M424" s="70">
        <f>IF((((0.326*F424^0.818)-(0.398*F424^0.85)/(1-H424)*H424)*(MAX('Max rate concentrations'!$P$3:$P$368)))/F424&gt;0, (((0.326*F424^0.818)-(0.398*F424^0.85)/(1-H424)*H424)*(MAX('Max rate concentrations'!$P$3:$P$368)))/F424, 0)</f>
        <v>0</v>
      </c>
      <c r="N424" s="70">
        <f>IF((((0.326*F424^0.818)-(0.398*F424^0.85)/(1-H424)*H424)*(MAX('Max rate concentrations'!$Q$3:$Q$368)))/F424&gt; 0, (((0.326*F424^0.818)-(0.398*F424^0.85)/(1-H424)*H424)*(MAX('Max rate concentrations'!$Q$3:$Q$368)))/F424, 0)</f>
        <v>0</v>
      </c>
      <c r="O424" s="70">
        <f>((MAX('Max rate concentrations'!$F$3:$F$368))*0.62*6.01*8*(12.3*F424^0.65)*0.079*0.1/F424)*inputs!$E$73/inputs!$E$74</f>
        <v>20.935789170450438</v>
      </c>
      <c r="P424" s="70">
        <f>((MAX('Max rate concentrations'!Y:Y))*0.62*6.01*8*(12.3*F424^0.65)*0.079*0.1/F424)*inputs!$E$73/inputs!$E$74</f>
        <v>6.9785963901501464</v>
      </c>
      <c r="Q424" s="70">
        <f>(inputs!$C$18*11.2*(12.3*F424^0.65)*0.5/F424)*inputs!$E$73/inputs!$E$74</f>
        <v>3.6877405170904094</v>
      </c>
      <c r="R424" s="60">
        <f>(60*379*((F424/1000)^0.8)*3*24*(MAX('Max rate concentrations'!$R$3:$R$368))/F424)*(inputs!$E$73/inputs!$E$75)</f>
        <v>1.0179125208895511E-2</v>
      </c>
      <c r="S424" s="60">
        <f>(IF(inputs!$C$17="aerial",((0.025*0.112*inputs!$C$18/3.3)*(3*60*379*((F424/1000)^0.8))*MAX(inputs!$I$14:$I$16))/F424,((0.0083*0.112*inputs!$C$18/1)*(3*60*379*((F424/1000)^0.8))*MAX(inputs!$I$14:$I$16))/F424))*(inputs!E$75/inputs!$E$73)</f>
        <v>5.6138500915300898E-2</v>
      </c>
      <c r="T424" s="63">
        <f>IF((((inputs!$P$13/(V424/MAX(K424:S424)))^(1/inputs!$O$13))-1)/inputs!$N$13&lt;0, 0, IF((((inputs!$P$13/(V424/MAX(K424:S424)))^(1/inputs!$O$13))-1)/inputs!$N$13&lt;inputs!$I$17, (((inputs!$P$13/(V424/MAX(K424:S424)))^(1/inputs!$O$13))-1)/inputs!$N$13, inputs!$I$17))</f>
        <v>29.911364427937574</v>
      </c>
      <c r="U424" s="63">
        <f>IF((((inputs!$P$13/(X424/MAX(K424:S424)))^(1/inputs!$O$13))-1)/inputs!$N$13&lt;0, 0, IF((((inputs!$P$13/(X424/MAX(K424:S424)))^(1/inputs!$O$13))-1)/inputs!$N$13&lt;inputs!$I$17, (((inputs!$P$13/(X424/MAX(K424:S424)))^(1/inputs!$O$13))-1)/inputs!$N$13, inputs!$I$17))</f>
        <v>4.1913172924253637</v>
      </c>
      <c r="V424" s="54">
        <f>inputs!$E$70*(F424/inputs!$F$70)^(0.25)</f>
        <v>7.0039376761908532</v>
      </c>
      <c r="W424" s="54">
        <f>inputs!$E$76*(F424/inputs!$F$76)^(0.25)</f>
        <v>0.50358623199836905</v>
      </c>
      <c r="X424" s="54">
        <f>inputs!$E$72*(inputs!$F$72/F424)^(0.25)</f>
        <v>35.679929141789579</v>
      </c>
      <c r="Y424" s="54" t="s">
        <v>13</v>
      </c>
      <c r="Z424" s="106">
        <f t="shared" si="36"/>
        <v>9.998926803216067</v>
      </c>
      <c r="AA424" s="106">
        <f t="shared" si="37"/>
        <v>139.06627248448362</v>
      </c>
    </row>
    <row r="425" spans="1:27" ht="13.2" x14ac:dyDescent="0.25">
      <c r="A425" s="55" t="s">
        <v>505</v>
      </c>
      <c r="B425" s="49" t="s">
        <v>506</v>
      </c>
      <c r="C425" s="21" t="s">
        <v>61</v>
      </c>
      <c r="D425" s="20" t="s">
        <v>454</v>
      </c>
      <c r="E425" s="20">
        <v>4648</v>
      </c>
      <c r="F425" s="21">
        <v>1500</v>
      </c>
      <c r="G425" s="21" t="s">
        <v>456</v>
      </c>
      <c r="H425" s="21">
        <v>0.68</v>
      </c>
      <c r="I425" s="68">
        <f>MAX('Max rate concentrations'!$J$3:$J$368)</f>
        <v>686.46486205830786</v>
      </c>
      <c r="J425" s="68">
        <f>MAX('Max rate concentrations'!AB:AB)</f>
        <v>243.122971978984</v>
      </c>
      <c r="K425" s="70">
        <f t="shared" si="38"/>
        <v>137.14878098600059</v>
      </c>
      <c r="L425" s="70">
        <f t="shared" si="39"/>
        <v>48.573526599208535</v>
      </c>
      <c r="M425" s="70">
        <f>IF((((0.326*F425^0.818)-(0.398*F425^0.85)/(1-H425)*H425)*(MAX('Max rate concentrations'!$P$3:$P$368)))/F425&gt;0, (((0.326*F425^0.818)-(0.398*F425^0.85)/(1-H425)*H425)*(MAX('Max rate concentrations'!$P$3:$P$368)))/F425, 0)</f>
        <v>0</v>
      </c>
      <c r="N425" s="70">
        <f>IF((((0.326*F425^0.818)-(0.398*F425^0.85)/(1-H425)*H425)*(MAX('Max rate concentrations'!$Q$3:$Q$368)))/F425&gt; 0, (((0.326*F425^0.818)-(0.398*F425^0.85)/(1-H425)*H425)*(MAX('Max rate concentrations'!$Q$3:$Q$368)))/F425, 0)</f>
        <v>0</v>
      </c>
      <c r="O425" s="70">
        <f>((MAX('Max rate concentrations'!$F$3:$F$368))*0.62*6.01*8*(12.3*F425^0.65)*0.079*0.1/F425)*inputs!$E$73/inputs!$E$74</f>
        <v>20.935789170450438</v>
      </c>
      <c r="P425" s="70">
        <f>((MAX('Max rate concentrations'!Y:Y))*0.62*6.01*8*(12.3*F425^0.65)*0.079*0.1/F425)*inputs!$E$73/inputs!$E$74</f>
        <v>6.9785963901501464</v>
      </c>
      <c r="Q425" s="70">
        <f>(inputs!$C$18*11.2*(12.3*F425^0.65)*0.5/F425)*inputs!$E$73/inputs!$E$74</f>
        <v>3.6877405170904094</v>
      </c>
      <c r="R425" s="60">
        <f>(60*379*((F425/1000)^0.8)*3*24*(MAX('Max rate concentrations'!$R$3:$R$368))/F425)*(inputs!$E$73/inputs!$E$75)</f>
        <v>1.0179125208895511E-2</v>
      </c>
      <c r="S425" s="60">
        <f>(IF(inputs!$C$17="aerial",((0.025*0.112*inputs!$C$18/3.3)*(3*60*379*((F425/1000)^0.8))*MAX(inputs!$I$14:$I$16))/F425,((0.0083*0.112*inputs!$C$18/1)*(3*60*379*((F425/1000)^0.8))*MAX(inputs!$I$14:$I$16))/F425))*(inputs!E$75/inputs!$E$73)</f>
        <v>5.6138500915300898E-2</v>
      </c>
      <c r="T425" s="63">
        <f>IF((((inputs!$P$13/(V425/MAX(K425:S425)))^(1/inputs!$O$13))-1)/inputs!$N$13&lt;0, 0, IF((((inputs!$P$13/(V425/MAX(K425:S425)))^(1/inputs!$O$13))-1)/inputs!$N$13&lt;inputs!$I$17, (((inputs!$P$13/(V425/MAX(K425:S425)))^(1/inputs!$O$13))-1)/inputs!$N$13, inputs!$I$17))</f>
        <v>55.283540517670865</v>
      </c>
      <c r="U425" s="63">
        <f>IF((((inputs!$P$13/(X425/MAX(K425:S425)))^(1/inputs!$O$13))-1)/inputs!$N$13&lt;0, 0, IF((((inputs!$P$13/(X425/MAX(K425:S425)))^(1/inputs!$O$13))-1)/inputs!$N$13&lt;inputs!$I$17, (((inputs!$P$13/(X425/MAX(K425:S425)))^(1/inputs!$O$13))-1)/inputs!$N$13, inputs!$I$17))</f>
        <v>10.992159618680528</v>
      </c>
      <c r="V425" s="54">
        <f>inputs!$E$70*(F425/inputs!$F$70)^(0.25)</f>
        <v>7.0039376761908532</v>
      </c>
      <c r="W425" s="54">
        <f>inputs!$E$76*(F425/inputs!$F$76)^(0.25)</f>
        <v>0.50358623199836905</v>
      </c>
      <c r="X425" s="54">
        <f>inputs!$E$72*(inputs!$F$72/F425)^(0.25)</f>
        <v>35.679929141789579</v>
      </c>
      <c r="Y425" s="54" t="s">
        <v>13</v>
      </c>
      <c r="Z425" s="106">
        <f t="shared" si="36"/>
        <v>19.581667816980069</v>
      </c>
      <c r="AA425" s="106">
        <f t="shared" si="37"/>
        <v>272.34418312382451</v>
      </c>
    </row>
    <row r="426" spans="1:27" ht="13.2" x14ac:dyDescent="0.25">
      <c r="A426" s="55" t="s">
        <v>505</v>
      </c>
      <c r="B426" s="49" t="s">
        <v>506</v>
      </c>
      <c r="C426" s="21" t="s">
        <v>61</v>
      </c>
      <c r="D426" s="20" t="s">
        <v>454</v>
      </c>
      <c r="E426" s="20">
        <v>4648</v>
      </c>
      <c r="F426" s="21">
        <v>1500</v>
      </c>
      <c r="G426" s="21" t="s">
        <v>145</v>
      </c>
      <c r="H426" s="21">
        <v>0.66</v>
      </c>
      <c r="I426" s="68">
        <f>MAX('Max rate concentrations'!$M$3:$M$368)</f>
        <v>17.092910873809167</v>
      </c>
      <c r="J426" s="68">
        <f>MAX('Max rate concentrations'!AE:AE)</f>
        <v>11.81956602976166</v>
      </c>
      <c r="K426" s="70">
        <f t="shared" si="38"/>
        <v>3.214109949878813</v>
      </c>
      <c r="L426" s="70">
        <f t="shared" si="39"/>
        <v>2.222522837682158</v>
      </c>
      <c r="M426" s="70">
        <f>IF((((0.326*F426^0.818)-(0.398*F426^0.85)/(1-H426)*H426)*(MAX('Max rate concentrations'!$P$3:$P$368)))/F426&gt;0, (((0.326*F426^0.818)-(0.398*F426^0.85)/(1-H426)*H426)*(MAX('Max rate concentrations'!$P$3:$P$368)))/F426, 0)</f>
        <v>0</v>
      </c>
      <c r="N426" s="70">
        <f>IF((((0.326*F426^0.818)-(0.398*F426^0.85)/(1-H426)*H426)*(MAX('Max rate concentrations'!$Q$3:$Q$368)))/F426&gt; 0, (((0.326*F426^0.818)-(0.398*F426^0.85)/(1-H426)*H426)*(MAX('Max rate concentrations'!$Q$3:$Q$368)))/F426, 0)</f>
        <v>0</v>
      </c>
      <c r="O426" s="70">
        <f>((MAX('Max rate concentrations'!$F$3:$F$368))*0.62*6.01*8*(12.3*F426^0.65)*0.079*0.1/F426)*inputs!$E$73/inputs!$E$74</f>
        <v>20.935789170450438</v>
      </c>
      <c r="P426" s="70">
        <f>((MAX('Max rate concentrations'!Y:Y))*0.62*6.01*8*(12.3*F426^0.65)*0.079*0.1/F426)*inputs!$E$73/inputs!$E$74</f>
        <v>6.9785963901501464</v>
      </c>
      <c r="Q426" s="70">
        <f>(inputs!$C$18*11.2*(12.3*F426^0.65)*0.5/F426)*inputs!$E$73/inputs!$E$74</f>
        <v>3.6877405170904094</v>
      </c>
      <c r="R426" s="60">
        <f>(60*379*((F426/1000)^0.8)*3*24*(MAX('Max rate concentrations'!$R$3:$R$368))/F426)*(inputs!$E$73/inputs!$E$75)</f>
        <v>1.0179125208895511E-2</v>
      </c>
      <c r="S426" s="60">
        <f>(IF(inputs!$C$17="aerial",((0.025*0.112*inputs!$C$18/3.3)*(3*60*379*((F426/1000)^0.8))*MAX(inputs!$I$14:$I$16))/F426,((0.0083*0.112*inputs!$C$18/1)*(3*60*379*((F426/1000)^0.8))*MAX(inputs!$I$14:$I$16))/F426))*(inputs!E$75/inputs!$E$73)</f>
        <v>5.6138500915300898E-2</v>
      </c>
      <c r="T426" s="63">
        <f>IF((((inputs!$P$13/(V426/MAX(K426:S426)))^(1/inputs!$O$13))-1)/inputs!$N$13&lt;0, 0, IF((((inputs!$P$13/(V426/MAX(K426:S426)))^(1/inputs!$O$13))-1)/inputs!$N$13&lt;inputs!$I$17, (((inputs!$P$13/(V426/MAX(K426:S426)))^(1/inputs!$O$13))-1)/inputs!$N$13, inputs!$I$17))</f>
        <v>8.0073443544517335</v>
      </c>
      <c r="U426" s="63">
        <f>IF((((inputs!$P$13/(X426/MAX(K426:S426)))^(1/inputs!$O$13))-1)/inputs!$N$13&lt;0, 0, IF((((inputs!$P$13/(X426/MAX(K426:S426)))^(1/inputs!$O$13))-1)/inputs!$N$13&lt;inputs!$I$17, (((inputs!$P$13/(X426/MAX(K426:S426)))^(1/inputs!$O$13))-1)/inputs!$N$13, inputs!$I$17))</f>
        <v>0</v>
      </c>
      <c r="V426" s="54">
        <f>inputs!$E$70*(F426/inputs!$F$70)^(0.25)</f>
        <v>7.0039376761908532</v>
      </c>
      <c r="W426" s="54">
        <f>inputs!$E$76*(F426/inputs!$F$76)^(0.25)</f>
        <v>0.50358623199836905</v>
      </c>
      <c r="X426" s="54">
        <f>inputs!$E$72*(inputs!$F$72/F426)^(0.25)</f>
        <v>35.679929141789579</v>
      </c>
      <c r="Y426" s="54" t="s">
        <v>13</v>
      </c>
      <c r="Z426" s="106">
        <f t="shared" si="36"/>
        <v>2.9891455547383643</v>
      </c>
      <c r="AA426" s="106">
        <f t="shared" si="37"/>
        <v>41.573394664447939</v>
      </c>
    </row>
    <row r="427" spans="1:27" ht="13.2" x14ac:dyDescent="0.25">
      <c r="A427" s="55" t="s">
        <v>557</v>
      </c>
      <c r="B427" s="49" t="s">
        <v>558</v>
      </c>
      <c r="C427" s="21" t="s">
        <v>61</v>
      </c>
      <c r="D427" s="20" t="s">
        <v>454</v>
      </c>
      <c r="E427" s="20">
        <v>8</v>
      </c>
      <c r="F427" s="21">
        <v>34000</v>
      </c>
      <c r="G427" s="21" t="s">
        <v>455</v>
      </c>
      <c r="H427" s="21">
        <v>0.68</v>
      </c>
      <c r="I427" s="71">
        <f>MAX('Max rate concentrations'!$K$3:$K$368)</f>
        <v>110.00035859694511</v>
      </c>
      <c r="J427" s="71">
        <f>MAX('Max rate concentrations'!AC:AC)</f>
        <v>38.958460336418057</v>
      </c>
      <c r="K427" s="70">
        <f t="shared" si="38"/>
        <v>12.60981565692251</v>
      </c>
      <c r="L427" s="70">
        <f t="shared" si="39"/>
        <v>4.465976378493389</v>
      </c>
      <c r="M427" s="70">
        <f>IF((((0.326*F427^0.818)-(0.398*F427^0.85)/(1-H427)*H427)*(MAX('Max rate concentrations'!$P$3:$P$368)))/F427&gt;0, (((0.326*F427^0.818)-(0.398*F427^0.85)/(1-H427)*H427)*(MAX('Max rate concentrations'!$P$3:$P$368)))/F427, 0)</f>
        <v>0</v>
      </c>
      <c r="N427" s="70">
        <f>IF((((0.326*F427^0.818)-(0.398*F427^0.85)/(1-H427)*H427)*(MAX('Max rate concentrations'!$Q$3:$Q$368)))/F427&gt; 0, (((0.326*F427^0.818)-(0.398*F427^0.85)/(1-H427)*H427)*(MAX('Max rate concentrations'!$Q$3:$Q$368)))/F427, 0)</f>
        <v>0</v>
      </c>
      <c r="O427" s="70">
        <f>((MAX('Max rate concentrations'!$F$3:$F$368))*0.62*6.01*8*(12.3*F427^0.65)*0.079*0.1/F427)*inputs!$E$73/inputs!$E$74</f>
        <v>7.022692554046337</v>
      </c>
      <c r="P427" s="70">
        <f>((MAX('Max rate concentrations'!Y:Y))*0.62*6.01*8*(12.3*F427^0.65)*0.079*0.1/F427)*inputs!$E$73/inputs!$E$74</f>
        <v>2.3408975180154452</v>
      </c>
      <c r="Q427" s="70">
        <f>(inputs!$C$18*11.2*(12.3*F427^0.65)*0.5/F427)*inputs!$E$73/inputs!$E$74</f>
        <v>1.23701417031745</v>
      </c>
      <c r="R427" s="60">
        <f>(60*379*((F427/1000)^0.8)*3*24*(MAX('Max rate concentrations'!$R$3:$R$368))/F427)*(inputs!$E$73/inputs!$E$75)</f>
        <v>5.4529676957380379E-3</v>
      </c>
      <c r="S427" s="60">
        <f>(IF(inputs!$C$17="aerial",((0.025*0.112*inputs!$C$18/3.3)*(3*60*379*((F427/1000)^0.8))*MAX(inputs!$I$14:$I$16))/F427,((0.0083*0.112*inputs!$C$18/1)*(3*60*379*((F427/1000)^0.8))*MAX(inputs!$I$14:$I$16))/F427))*(inputs!E$75/inputs!$E$73)</f>
        <v>3.0073451863110744E-2</v>
      </c>
      <c r="T427" s="63">
        <f>IF((((inputs!$P$13/(V427/MAX(K427:S427)))^(1/inputs!$O$13))-1)/inputs!$N$13&lt;0, 0, IF((((inputs!$P$13/(V427/MAX(K427:S427)))^(1/inputs!$O$13))-1)/inputs!$N$13&lt;inputs!$I$17, (((inputs!$P$13/(V427/MAX(K427:S427)))^(1/inputs!$O$13))-1)/inputs!$N$13, inputs!$I$17))</f>
        <v>0</v>
      </c>
      <c r="U427" s="63">
        <f>IF((((inputs!$P$13/(X427/MAX(K427:S427)))^(1/inputs!$O$13))-1)/inputs!$N$13&lt;0, 0, IF((((inputs!$P$13/(X427/MAX(K427:S427)))^(1/inputs!$O$13))-1)/inputs!$N$13&lt;inputs!$I$17, (((inputs!$P$13/(X427/MAX(K427:S427)))^(1/inputs!$O$13))-1)/inputs!$N$13, inputs!$I$17))</f>
        <v>0</v>
      </c>
      <c r="V427" s="54">
        <f>inputs!$E$70*(F427/inputs!$F$70)^(0.25)</f>
        <v>15.282316416613245</v>
      </c>
      <c r="W427" s="54">
        <f>inputs!$E$76*(F427/inputs!$F$76)^(0.25)</f>
        <v>1.0988053429730964</v>
      </c>
      <c r="X427" s="54">
        <f>inputs!$E$72*(inputs!$F$72/F427)^(0.25)</f>
        <v>16.352233076939584</v>
      </c>
      <c r="Y427" s="54" t="s">
        <v>13</v>
      </c>
      <c r="Z427" s="106">
        <f t="shared" si="36"/>
        <v>0.82512462856838331</v>
      </c>
      <c r="AA427" s="106">
        <f t="shared" si="37"/>
        <v>11.475932236371783</v>
      </c>
    </row>
    <row r="428" spans="1:27" ht="13.2" x14ac:dyDescent="0.25">
      <c r="A428" s="55" t="s">
        <v>557</v>
      </c>
      <c r="B428" s="49" t="s">
        <v>558</v>
      </c>
      <c r="C428" s="21" t="s">
        <v>61</v>
      </c>
      <c r="D428" s="20" t="s">
        <v>454</v>
      </c>
      <c r="E428" s="20">
        <v>8</v>
      </c>
      <c r="F428" s="21">
        <v>34000</v>
      </c>
      <c r="G428" s="21" t="s">
        <v>145</v>
      </c>
      <c r="H428" s="21">
        <v>0.66</v>
      </c>
      <c r="I428" s="68">
        <f>MAX('Max rate concentrations'!$M$3:$M$368)</f>
        <v>17.092910873809167</v>
      </c>
      <c r="J428" s="68">
        <f>MAX('Max rate concentrations'!AE:AE)</f>
        <v>11.81956602976166</v>
      </c>
      <c r="K428" s="70">
        <f t="shared" si="38"/>
        <v>1.844173283523872</v>
      </c>
      <c r="L428" s="70">
        <f t="shared" si="39"/>
        <v>1.2752262066920395</v>
      </c>
      <c r="M428" s="70">
        <f>IF((((0.326*F428^0.818)-(0.398*F428^0.85)/(1-H428)*H428)*(MAX('Max rate concentrations'!$P$3:$P$368)))/F428&gt;0, (((0.326*F428^0.818)-(0.398*F428^0.85)/(1-H428)*H428)*(MAX('Max rate concentrations'!$P$3:$P$368)))/F428, 0)</f>
        <v>0</v>
      </c>
      <c r="N428" s="70">
        <f>IF((((0.326*F428^0.818)-(0.398*F428^0.85)/(1-H428)*H428)*(MAX('Max rate concentrations'!$Q$3:$Q$368)))/F428&gt; 0, (((0.326*F428^0.818)-(0.398*F428^0.85)/(1-H428)*H428)*(MAX('Max rate concentrations'!$Q$3:$Q$368)))/F428, 0)</f>
        <v>0</v>
      </c>
      <c r="O428" s="70">
        <f>((MAX('Max rate concentrations'!$F$3:$F$368))*0.62*6.01*8*(12.3*F428^0.65)*0.079*0.1/F428)*inputs!$E$73/inputs!$E$74</f>
        <v>7.022692554046337</v>
      </c>
      <c r="P428" s="70">
        <f>((MAX('Max rate concentrations'!Y:Y))*0.62*6.01*8*(12.3*F428^0.65)*0.079*0.1/F428)*inputs!$E$73/inputs!$E$74</f>
        <v>2.3408975180154452</v>
      </c>
      <c r="Q428" s="70">
        <f>(inputs!$C$18*11.2*(12.3*F428^0.65)*0.5/F428)*inputs!$E$73/inputs!$E$74</f>
        <v>1.23701417031745</v>
      </c>
      <c r="R428" s="60">
        <f>(60*379*((F428/1000)^0.8)*3*24*(MAX('Max rate concentrations'!$R$3:$R$368))/F428)*(inputs!$E$73/inputs!$E$75)</f>
        <v>5.4529676957380379E-3</v>
      </c>
      <c r="S428" s="60">
        <f>(IF(inputs!$C$17="aerial",((0.025*0.112*inputs!$C$18/3.3)*(3*60*379*((F428/1000)^0.8))*MAX(inputs!$I$14:$I$16))/F428,((0.0083*0.112*inputs!$C$18/1)*(3*60*379*((F428/1000)^0.8))*MAX(inputs!$I$14:$I$16))/F428))*(inputs!E$75/inputs!$E$73)</f>
        <v>3.0073451863110744E-2</v>
      </c>
      <c r="T428" s="63">
        <f>IF((((inputs!$P$13/(V428/MAX(K428:S428)))^(1/inputs!$O$13))-1)/inputs!$N$13&lt;0, 0, IF((((inputs!$P$13/(V428/MAX(K428:S428)))^(1/inputs!$O$13))-1)/inputs!$N$13&lt;inputs!$I$17, (((inputs!$P$13/(V428/MAX(K428:S428)))^(1/inputs!$O$13))-1)/inputs!$N$13, inputs!$I$17))</f>
        <v>0</v>
      </c>
      <c r="U428" s="63">
        <f>IF((((inputs!$P$13/(X428/MAX(K428:S428)))^(1/inputs!$O$13))-1)/inputs!$N$13&lt;0, 0, IF((((inputs!$P$13/(X428/MAX(K428:S428)))^(1/inputs!$O$13))-1)/inputs!$N$13&lt;inputs!$I$17, (((inputs!$P$13/(X428/MAX(K428:S428)))^(1/inputs!$O$13))-1)/inputs!$N$13, inputs!$I$17))</f>
        <v>0</v>
      </c>
      <c r="V428" s="54">
        <f>inputs!$E$70*(F428/inputs!$F$70)^(0.25)</f>
        <v>15.282316416613245</v>
      </c>
      <c r="W428" s="54">
        <f>inputs!$E$76*(F428/inputs!$F$76)^(0.25)</f>
        <v>1.0988053429730964</v>
      </c>
      <c r="X428" s="54">
        <f>inputs!$E$72*(inputs!$F$72/F428)^(0.25)</f>
        <v>16.352233076939584</v>
      </c>
      <c r="Y428" s="54" t="s">
        <v>13</v>
      </c>
      <c r="Z428" s="106">
        <f t="shared" si="36"/>
        <v>0.45953063413947126</v>
      </c>
      <c r="AA428" s="106">
        <f t="shared" si="37"/>
        <v>6.3912071405155917</v>
      </c>
    </row>
    <row r="429" spans="1:27" ht="13.2" x14ac:dyDescent="0.25">
      <c r="A429" s="55" t="s">
        <v>452</v>
      </c>
      <c r="B429" s="49" t="s">
        <v>453</v>
      </c>
      <c r="C429" s="21" t="s">
        <v>61</v>
      </c>
      <c r="D429" s="20" t="s">
        <v>454</v>
      </c>
      <c r="E429" s="20">
        <v>11</v>
      </c>
      <c r="F429" s="21">
        <v>17700</v>
      </c>
      <c r="G429" s="21" t="s">
        <v>138</v>
      </c>
      <c r="H429" s="21">
        <v>0.68</v>
      </c>
      <c r="I429" s="68">
        <f>MAX('Max rate concentrations'!$L$3:$L$368)</f>
        <v>350.52744091332482</v>
      </c>
      <c r="J429" s="68">
        <f>MAX('Max rate concentrations'!AD:AD)</f>
        <v>242.38599637623525</v>
      </c>
      <c r="K429" s="70">
        <f t="shared" si="38"/>
        <v>45.133671618499527</v>
      </c>
      <c r="L429" s="70">
        <f t="shared" si="39"/>
        <v>31.209453778749669</v>
      </c>
      <c r="M429" s="70">
        <f>IF((((0.326*F429^0.818)-(0.398*F429^0.85)/(1-H429)*H429)*(MAX('Max rate concentrations'!$P$3:$P$368)))/F429&gt;0, (((0.326*F429^0.818)-(0.398*F429^0.85)/(1-H429)*H429)*(MAX('Max rate concentrations'!$P$3:$P$368)))/F429, 0)</f>
        <v>0</v>
      </c>
      <c r="N429" s="70">
        <f>IF((((0.326*F429^0.818)-(0.398*F429^0.85)/(1-H429)*H429)*(MAX('Max rate concentrations'!$Q$3:$Q$368)))/F429&gt; 0, (((0.326*F429^0.818)-(0.398*F429^0.85)/(1-H429)*H429)*(MAX('Max rate concentrations'!$Q$3:$Q$368)))/F429, 0)</f>
        <v>0</v>
      </c>
      <c r="O429" s="70">
        <f>((MAX('Max rate concentrations'!$F$3:$F$368))*0.62*6.01*8*(12.3*F429^0.65)*0.079*0.1/F429)*inputs!$E$73/inputs!$E$74</f>
        <v>8.8253234964549137</v>
      </c>
      <c r="P429" s="70">
        <f>((MAX('Max rate concentrations'!Y:Y))*0.62*6.01*8*(12.3*F429^0.65)*0.079*0.1/F429)*inputs!$E$73/inputs!$E$74</f>
        <v>2.9417744988183046</v>
      </c>
      <c r="Q429" s="70">
        <f>(inputs!$C$18*11.2*(12.3*F429^0.65)*0.5/F429)*inputs!$E$73/inputs!$E$74</f>
        <v>1.5545391085731188</v>
      </c>
      <c r="R429" s="60">
        <f>(60*379*((F429/1000)^0.8)*3*24*(MAX('Max rate concentrations'!$R$3:$R$368))/F429)*(inputs!$E$73/inputs!$E$75)</f>
        <v>6.2134678423824584E-3</v>
      </c>
      <c r="S429" s="60">
        <f>(IF(inputs!$C$17="aerial",((0.025*0.112*inputs!$C$18/3.3)*(3*60*379*((F429/1000)^0.8))*MAX(inputs!$I$14:$I$16))/F429,((0.0083*0.112*inputs!$C$18/1)*(3*60*379*((F429/1000)^0.8))*MAX(inputs!$I$14:$I$16))/F429))*(inputs!E$75/inputs!$E$73)</f>
        <v>3.4267656895697891E-2</v>
      </c>
      <c r="T429" s="63">
        <f>IF((((inputs!$P$13/(V429/MAX(K429:S429)))^(1/inputs!$O$13))-1)/inputs!$N$13&lt;0, 0, IF((((inputs!$P$13/(V429/MAX(K429:S429)))^(1/inputs!$O$13))-1)/inputs!$N$13&lt;inputs!$I$17, (((inputs!$P$13/(V429/MAX(K429:S429)))^(1/inputs!$O$13))-1)/inputs!$N$13, inputs!$I$17))</f>
        <v>9.727972064025046</v>
      </c>
      <c r="U429" s="63">
        <f>IF((((inputs!$P$13/(X429/MAX(K429:S429)))^(1/inputs!$O$13))-1)/inputs!$N$13&lt;0, 0, IF((((inputs!$P$13/(X429/MAX(K429:S429)))^(1/inputs!$O$13))-1)/inputs!$N$13&lt;inputs!$I$17, (((inputs!$P$13/(X429/MAX(K429:S429)))^(1/inputs!$O$13))-1)/inputs!$N$13, inputs!$I$17))</f>
        <v>5.6468957898731365</v>
      </c>
      <c r="V429" s="54">
        <f>inputs!$E$70*(F429/inputs!$F$70)^(0.25)</f>
        <v>12.981138235723177</v>
      </c>
      <c r="W429" s="54">
        <f>inputs!$E$76*(F429/inputs!$F$76)^(0.25)</f>
        <v>0.93334960894926977</v>
      </c>
      <c r="X429" s="54">
        <f>inputs!$E$72*(inputs!$F$72/F429)^(0.25)</f>
        <v>19.251008306212533</v>
      </c>
      <c r="Y429" s="54" t="s">
        <v>13</v>
      </c>
      <c r="Z429" s="106">
        <f t="shared" si="36"/>
        <v>3.4768654950684406</v>
      </c>
      <c r="AA429" s="106">
        <f t="shared" si="37"/>
        <v>48.356662054328531</v>
      </c>
    </row>
    <row r="430" spans="1:27" ht="13.2" x14ac:dyDescent="0.25">
      <c r="A430" s="55" t="s">
        <v>452</v>
      </c>
      <c r="B430" s="49" t="s">
        <v>453</v>
      </c>
      <c r="C430" s="21" t="s">
        <v>61</v>
      </c>
      <c r="D430" s="20" t="s">
        <v>454</v>
      </c>
      <c r="E430" s="20">
        <v>11</v>
      </c>
      <c r="F430" s="21">
        <v>17700</v>
      </c>
      <c r="G430" s="21" t="s">
        <v>186</v>
      </c>
      <c r="H430" s="21">
        <v>0.75</v>
      </c>
      <c r="I430" s="68">
        <f>inputs!$C$66*inputs!$C$64/1000</f>
        <v>21.3</v>
      </c>
      <c r="J430" s="68">
        <f>inputs!$C$66*inputs!$C$63/1000</f>
        <v>8.8000000000000007</v>
      </c>
      <c r="K430" s="70">
        <f t="shared" si="38"/>
        <v>3.5104938426519463</v>
      </c>
      <c r="L430" s="70">
        <f t="shared" si="39"/>
        <v>1.4503448739594897</v>
      </c>
      <c r="M430" s="70">
        <f>IF((((0.326*F430^0.818)-(0.398*F430^0.85)/(1-H430)*H430)*(MAX('Max rate concentrations'!$P$3:$P$368)))/F430&gt;0, (((0.326*F430^0.818)-(0.398*F430^0.85)/(1-H430)*H430)*(MAX('Max rate concentrations'!$P$3:$P$368)))/F430, 0)</f>
        <v>0</v>
      </c>
      <c r="N430" s="70">
        <f>IF((((0.326*F430^0.818)-(0.398*F430^0.85)/(1-H430)*H430)*(MAX('Max rate concentrations'!$Q$3:$Q$368)))/F430&gt; 0, (((0.326*F430^0.818)-(0.398*F430^0.85)/(1-H430)*H430)*(MAX('Max rate concentrations'!$Q$3:$Q$368)))/F430, 0)</f>
        <v>0</v>
      </c>
      <c r="O430" s="70">
        <f>((MAX('Max rate concentrations'!$F$3:$F$368))*0.62*6.01*8*(12.3*F430^0.65)*0.079*0.1/F430)*inputs!$E$73/inputs!$E$74</f>
        <v>8.8253234964549137</v>
      </c>
      <c r="P430" s="70">
        <f>((MAX('Max rate concentrations'!Y:Y))*0.62*6.01*8*(12.3*F430^0.65)*0.079*0.1/F430)*inputs!$E$73/inputs!$E$74</f>
        <v>2.9417744988183046</v>
      </c>
      <c r="Q430" s="70">
        <f>(inputs!$C$18*11.2*(12.3*F430^0.65)*0.5/F430)*inputs!$E$73/inputs!$E$74</f>
        <v>1.5545391085731188</v>
      </c>
      <c r="R430" s="60">
        <f>(60*379*((F430/1000)^0.8)*3*24*(MAX('Max rate concentrations'!$R$3:$R$368))/F430)*(inputs!$E$73/inputs!$E$75)</f>
        <v>6.2134678423824584E-3</v>
      </c>
      <c r="S430" s="60">
        <f>(IF(inputs!$C$17="aerial",((0.025*0.112*inputs!$C$18/3.3)*(3*60*379*((F430/1000)^0.8))*MAX(inputs!$I$14:$I$16))/F430,((0.0083*0.112*inputs!$C$18/1)*(3*60*379*((F430/1000)^0.8))*MAX(inputs!$I$14:$I$16))/F430))*(inputs!E$75/inputs!$E$73)</f>
        <v>3.4267656895697891E-2</v>
      </c>
      <c r="T430" s="63">
        <f>IF((((inputs!$P$13/(V430/MAX(K430:S430)))^(1/inputs!$O$13))-1)/inputs!$N$13&lt;0, 0, IF((((inputs!$P$13/(V430/MAX(K430:S430)))^(1/inputs!$O$13))-1)/inputs!$N$13&lt;inputs!$I$17, (((inputs!$P$13/(V430/MAX(K430:S430)))^(1/inputs!$O$13))-1)/inputs!$N$13, inputs!$I$17))</f>
        <v>0</v>
      </c>
      <c r="U430" s="63">
        <f>IF((((inputs!$P$13/(X430/MAX(K430:S430)))^(1/inputs!$O$13))-1)/inputs!$N$13&lt;0, 0, IF((((inputs!$P$13/(X430/MAX(K430:S430)))^(1/inputs!$O$13))-1)/inputs!$N$13&lt;inputs!$I$17, (((inputs!$P$13/(X430/MAX(K430:S430)))^(1/inputs!$O$13))-1)/inputs!$N$13, inputs!$I$17))</f>
        <v>0</v>
      </c>
      <c r="V430" s="54">
        <f>inputs!$E$70*(F430/inputs!$F$70)^(0.25)</f>
        <v>12.981138235723177</v>
      </c>
      <c r="W430" s="54">
        <f>inputs!$E$76*(F430/inputs!$F$76)^(0.25)</f>
        <v>0.93334960894926977</v>
      </c>
      <c r="X430" s="54">
        <f>inputs!$E$72*(inputs!$F$72/F430)^(0.25)</f>
        <v>19.251008306212533</v>
      </c>
      <c r="Y430" s="54" t="s">
        <v>13</v>
      </c>
      <c r="Z430" s="106">
        <f t="shared" si="36"/>
        <v>0.67985744671975257</v>
      </c>
      <c r="AA430" s="106">
        <f t="shared" si="37"/>
        <v>9.4555388590028269</v>
      </c>
    </row>
    <row r="431" spans="1:27" ht="13.2" x14ac:dyDescent="0.25">
      <c r="A431" s="55" t="s">
        <v>452</v>
      </c>
      <c r="B431" s="49" t="s">
        <v>453</v>
      </c>
      <c r="C431" s="21" t="s">
        <v>61</v>
      </c>
      <c r="D431" s="20" t="s">
        <v>454</v>
      </c>
      <c r="E431" s="20">
        <v>11</v>
      </c>
      <c r="F431" s="21">
        <v>17700</v>
      </c>
      <c r="G431" s="21" t="s">
        <v>152</v>
      </c>
      <c r="H431" s="21">
        <v>0.77</v>
      </c>
      <c r="I431" s="68">
        <f>MAX('Max rate concentrations'!$G$3:$G$368)</f>
        <v>45</v>
      </c>
      <c r="J431" s="68">
        <f>MAX('Max rate concentrations'!Z:Z)</f>
        <v>21</v>
      </c>
      <c r="K431" s="70">
        <f t="shared" si="38"/>
        <v>8.0614524861878749</v>
      </c>
      <c r="L431" s="70">
        <f t="shared" si="39"/>
        <v>3.7620111602210082</v>
      </c>
      <c r="M431" s="70">
        <f>IF((((0.326*F431^0.818)-(0.398*F431^0.85)/(1-H431)*H431)*(MAX('Max rate concentrations'!$P$3:$P$368)))/F431&gt;0, (((0.326*F431^0.818)-(0.398*F431^0.85)/(1-H431)*H431)*(MAX('Max rate concentrations'!$P$3:$P$368)))/F431, 0)</f>
        <v>0</v>
      </c>
      <c r="N431" s="70">
        <f>IF((((0.326*F431^0.818)-(0.398*F431^0.85)/(1-H431)*H431)*(MAX('Max rate concentrations'!$Q$3:$Q$368)))/F431&gt; 0, (((0.326*F431^0.818)-(0.398*F431^0.85)/(1-H431)*H431)*(MAX('Max rate concentrations'!$Q$3:$Q$368)))/F431, 0)</f>
        <v>0</v>
      </c>
      <c r="O431" s="70">
        <f>((MAX('Max rate concentrations'!$F$3:$F$368))*0.62*6.01*8*(12.3*F431^0.65)*0.079*0.1/F431)*inputs!$E$73/inputs!$E$74</f>
        <v>8.8253234964549137</v>
      </c>
      <c r="P431" s="70">
        <f>((MAX('Max rate concentrations'!Y:Y))*0.62*6.01*8*(12.3*F431^0.65)*0.079*0.1/F431)*inputs!$E$73/inputs!$E$74</f>
        <v>2.9417744988183046</v>
      </c>
      <c r="Q431" s="70">
        <f>(inputs!$C$18*11.2*(12.3*F431^0.65)*0.5/F431)*inputs!$E$73/inputs!$E$74</f>
        <v>1.5545391085731188</v>
      </c>
      <c r="R431" s="60">
        <f>(60*379*((F431/1000)^0.8)*3*24*(MAX('Max rate concentrations'!$R$3:$R$368))/F431)*(inputs!$E$73/inputs!$E$75)</f>
        <v>6.2134678423824584E-3</v>
      </c>
      <c r="S431" s="60">
        <f>(IF(inputs!$C$17="aerial",((0.025*0.112*inputs!$C$18/3.3)*(3*60*379*((F431/1000)^0.8))*MAX(inputs!$I$14:$I$16))/F431,((0.0083*0.112*inputs!$C$18/1)*(3*60*379*((F431/1000)^0.8))*MAX(inputs!$I$14:$I$16))/F431))*(inputs!E$75/inputs!$E$73)</f>
        <v>3.4267656895697891E-2</v>
      </c>
      <c r="T431" s="63">
        <f>IF((((inputs!$P$13/(V431/MAX(K431:S431)))^(1/inputs!$O$13))-1)/inputs!$N$13&lt;0, 0, IF((((inputs!$P$13/(V431/MAX(K431:S431)))^(1/inputs!$O$13))-1)/inputs!$N$13&lt;inputs!$I$17, (((inputs!$P$13/(V431/MAX(K431:S431)))^(1/inputs!$O$13))-1)/inputs!$N$13, inputs!$I$17))</f>
        <v>0</v>
      </c>
      <c r="U431" s="63">
        <f>IF((((inputs!$P$13/(X431/MAX(K431:S431)))^(1/inputs!$O$13))-1)/inputs!$N$13&lt;0, 0, IF((((inputs!$P$13/(X431/MAX(K431:S431)))^(1/inputs!$O$13))-1)/inputs!$N$13&lt;inputs!$I$17, (((inputs!$P$13/(X431/MAX(K431:S431)))^(1/inputs!$O$13))-1)/inputs!$N$13, inputs!$I$17))</f>
        <v>0</v>
      </c>
      <c r="V431" s="54">
        <f>inputs!$E$70*(F431/inputs!$F$70)^(0.25)</f>
        <v>12.981138235723177</v>
      </c>
      <c r="W431" s="54">
        <f>inputs!$E$76*(F431/inputs!$F$76)^(0.25)</f>
        <v>0.93334960894926977</v>
      </c>
      <c r="X431" s="54">
        <f>inputs!$E$72*(inputs!$F$72/F431)^(0.25)</f>
        <v>19.251008306212533</v>
      </c>
      <c r="Y431" s="54" t="s">
        <v>13</v>
      </c>
      <c r="Z431" s="106">
        <f t="shared" si="36"/>
        <v>0.67985744671975257</v>
      </c>
      <c r="AA431" s="106">
        <f t="shared" si="37"/>
        <v>9.4555388590028269</v>
      </c>
    </row>
    <row r="432" spans="1:27" ht="13.2" x14ac:dyDescent="0.25">
      <c r="A432" s="55" t="s">
        <v>452</v>
      </c>
      <c r="B432" s="49" t="s">
        <v>453</v>
      </c>
      <c r="C432" s="21" t="s">
        <v>61</v>
      </c>
      <c r="D432" s="20" t="s">
        <v>454</v>
      </c>
      <c r="E432" s="20">
        <v>11</v>
      </c>
      <c r="F432" s="21">
        <v>17700</v>
      </c>
      <c r="G432" s="21" t="s">
        <v>455</v>
      </c>
      <c r="H432" s="20">
        <v>0.68</v>
      </c>
      <c r="I432" s="71">
        <f>MAX('Max rate concentrations'!$K$3:$K$368)</f>
        <v>110.00035859694511</v>
      </c>
      <c r="J432" s="71">
        <f>MAX('Max rate concentrations'!AC:AC)</f>
        <v>38.958460336418057</v>
      </c>
      <c r="K432" s="70">
        <f t="shared" si="38"/>
        <v>14.163570332456059</v>
      </c>
      <c r="L432" s="70">
        <f t="shared" si="39"/>
        <v>5.0162644927448534</v>
      </c>
      <c r="M432" s="70">
        <f>IF((((0.326*F432^0.818)-(0.398*F432^0.85)/(1-H432)*H432)*(MAX('Max rate concentrations'!$P$3:$P$368)))/F432&gt;0, (((0.326*F432^0.818)-(0.398*F432^0.85)/(1-H432)*H432)*(MAX('Max rate concentrations'!$P$3:$P$368)))/F432, 0)</f>
        <v>0</v>
      </c>
      <c r="N432" s="70">
        <f>IF((((0.326*F432^0.818)-(0.398*F432^0.85)/(1-H432)*H432)*(MAX('Max rate concentrations'!$Q$3:$Q$368)))/F432&gt; 0, (((0.326*F432^0.818)-(0.398*F432^0.85)/(1-H432)*H432)*(MAX('Max rate concentrations'!$Q$3:$Q$368)))/F432, 0)</f>
        <v>0</v>
      </c>
      <c r="O432" s="70">
        <f>((MAX('Max rate concentrations'!$F$3:$F$368))*0.62*6.01*8*(12.3*F432^0.65)*0.079*0.1/F432)*inputs!$E$73/inputs!$E$74</f>
        <v>8.8253234964549137</v>
      </c>
      <c r="P432" s="70">
        <f>((MAX('Max rate concentrations'!Y:Y))*0.62*6.01*8*(12.3*F432^0.65)*0.079*0.1/F432)*inputs!$E$73/inputs!$E$74</f>
        <v>2.9417744988183046</v>
      </c>
      <c r="Q432" s="70">
        <f>(inputs!$C$18*11.2*(12.3*F432^0.65)*0.5/F432)*inputs!$E$73/inputs!$E$74</f>
        <v>1.5545391085731188</v>
      </c>
      <c r="R432" s="60">
        <f>(60*379*((F432/1000)^0.8)*3*24*(MAX('Max rate concentrations'!$R$3:$R$368))/F432)*(inputs!$E$73/inputs!$E$75)</f>
        <v>6.2134678423824584E-3</v>
      </c>
      <c r="S432" s="60">
        <f>(IF(inputs!$C$17="aerial",((0.025*0.112*inputs!$C$18/3.3)*(3*60*379*((F432/1000)^0.8))*MAX(inputs!$I$14:$I$16))/F432,((0.0083*0.112*inputs!$C$18/1)*(3*60*379*((F432/1000)^0.8))*MAX(inputs!$I$14:$I$16))/F432))*(inputs!E$75/inputs!$E$73)</f>
        <v>3.4267656895697891E-2</v>
      </c>
      <c r="T432" s="63">
        <f>IF((((inputs!$P$13/(V432/MAX(K432:S432)))^(1/inputs!$O$13))-1)/inputs!$N$13&lt;0, 0, IF((((inputs!$P$13/(V432/MAX(K432:S432)))^(1/inputs!$O$13))-1)/inputs!$N$13&lt;inputs!$I$17, (((inputs!$P$13/(V432/MAX(K432:S432)))^(1/inputs!$O$13))-1)/inputs!$N$13, inputs!$I$17))</f>
        <v>0.63090464020114179</v>
      </c>
      <c r="U432" s="63">
        <f>IF((((inputs!$P$13/(X432/MAX(K432:S432)))^(1/inputs!$O$13))-1)/inputs!$N$13&lt;0, 0, IF((((inputs!$P$13/(X432/MAX(K432:S432)))^(1/inputs!$O$13))-1)/inputs!$N$13&lt;inputs!$I$17, (((inputs!$P$13/(X432/MAX(K432:S432)))^(1/inputs!$O$13))-1)/inputs!$N$13, inputs!$I$17))</f>
        <v>0</v>
      </c>
      <c r="V432" s="54">
        <f>inputs!$E$70*(F432/inputs!$F$70)^(0.25)</f>
        <v>12.981138235723177</v>
      </c>
      <c r="W432" s="54">
        <f>inputs!$E$76*(F432/inputs!$F$76)^(0.25)</f>
        <v>0.93334960894926977</v>
      </c>
      <c r="X432" s="54">
        <f>inputs!$E$72*(inputs!$F$72/F432)^(0.25)</f>
        <v>19.251008306212533</v>
      </c>
      <c r="Y432" s="54" t="s">
        <v>13</v>
      </c>
      <c r="Z432" s="106">
        <f t="shared" si="36"/>
        <v>1.0910884758532893</v>
      </c>
      <c r="AA432" s="106">
        <f t="shared" si="37"/>
        <v>15.174989303741048</v>
      </c>
    </row>
    <row r="433" spans="1:27" ht="13.2" x14ac:dyDescent="0.25">
      <c r="A433" s="55" t="s">
        <v>452</v>
      </c>
      <c r="B433" s="49" t="s">
        <v>453</v>
      </c>
      <c r="C433" s="21" t="s">
        <v>61</v>
      </c>
      <c r="D433" s="20" t="s">
        <v>454</v>
      </c>
      <c r="E433" s="20">
        <v>11</v>
      </c>
      <c r="F433" s="21">
        <v>17700</v>
      </c>
      <c r="G433" s="21" t="s">
        <v>456</v>
      </c>
      <c r="H433" s="21">
        <v>0.68</v>
      </c>
      <c r="I433" s="68">
        <f>MAX('Max rate concentrations'!$J$3:$J$368)</f>
        <v>686.46486205830786</v>
      </c>
      <c r="J433" s="68">
        <f>MAX('Max rate concentrations'!AB:AB)</f>
        <v>243.122971978984</v>
      </c>
      <c r="K433" s="70">
        <f t="shared" si="38"/>
        <v>88.388742350814553</v>
      </c>
      <c r="L433" s="70">
        <f t="shared" si="39"/>
        <v>31.304346249246816</v>
      </c>
      <c r="M433" s="70">
        <f>IF((((0.326*F433^0.818)-(0.398*F433^0.85)/(1-H433)*H433)*(MAX('Max rate concentrations'!$P$3:$P$368)))/F433&gt;0, (((0.326*F433^0.818)-(0.398*F433^0.85)/(1-H433)*H433)*(MAX('Max rate concentrations'!$P$3:$P$368)))/F433, 0)</f>
        <v>0</v>
      </c>
      <c r="N433" s="70">
        <f>IF((((0.326*F433^0.818)-(0.398*F433^0.85)/(1-H433)*H433)*(MAX('Max rate concentrations'!$Q$3:$Q$368)))/F433&gt; 0, (((0.326*F433^0.818)-(0.398*F433^0.85)/(1-H433)*H433)*(MAX('Max rate concentrations'!$Q$3:$Q$368)))/F433, 0)</f>
        <v>0</v>
      </c>
      <c r="O433" s="70">
        <f>((MAX('Max rate concentrations'!$F$3:$F$368))*0.62*6.01*8*(12.3*F433^0.65)*0.079*0.1/F433)*inputs!$E$73/inputs!$E$74</f>
        <v>8.8253234964549137</v>
      </c>
      <c r="P433" s="70">
        <f>((MAX('Max rate concentrations'!Y:Y))*0.62*6.01*8*(12.3*F433^0.65)*0.079*0.1/F433)*inputs!$E$73/inputs!$E$74</f>
        <v>2.9417744988183046</v>
      </c>
      <c r="Q433" s="70">
        <f>(inputs!$C$18*11.2*(12.3*F433^0.65)*0.5/F433)*inputs!$E$73/inputs!$E$74</f>
        <v>1.5545391085731188</v>
      </c>
      <c r="R433" s="60">
        <f>(60*379*((F433/1000)^0.8)*3*24*(MAX('Max rate concentrations'!$R$3:$R$368))/F433)*(inputs!$E$73/inputs!$E$75)</f>
        <v>6.2134678423824584E-3</v>
      </c>
      <c r="S433" s="60">
        <f>(IF(inputs!$C$17="aerial",((0.025*0.112*inputs!$C$18/3.3)*(3*60*379*((F433/1000)^0.8))*MAX(inputs!$I$14:$I$16))/F433,((0.0083*0.112*inputs!$C$18/1)*(3*60*379*((F433/1000)^0.8))*MAX(inputs!$I$14:$I$16))/F433))*(inputs!E$75/inputs!$E$73)</f>
        <v>3.4267656895697891E-2</v>
      </c>
      <c r="T433" s="63">
        <f>IF((((inputs!$P$13/(V433/MAX(K433:S433)))^(1/inputs!$O$13))-1)/inputs!$N$13&lt;0, 0, IF((((inputs!$P$13/(V433/MAX(K433:S433)))^(1/inputs!$O$13))-1)/inputs!$N$13&lt;inputs!$I$17, (((inputs!$P$13/(V433/MAX(K433:S433)))^(1/inputs!$O$13))-1)/inputs!$N$13, inputs!$I$17))</f>
        <v>20.526593366142244</v>
      </c>
      <c r="U433" s="63">
        <f>IF((((inputs!$P$13/(X433/MAX(K433:S433)))^(1/inputs!$O$13))-1)/inputs!$N$13&lt;0, 0, IF((((inputs!$P$13/(X433/MAX(K433:S433)))^(1/inputs!$O$13))-1)/inputs!$N$13&lt;inputs!$I$17, (((inputs!$P$13/(X433/MAX(K433:S433)))^(1/inputs!$O$13))-1)/inputs!$N$13, inputs!$I$17))</f>
        <v>13.498748402097833</v>
      </c>
      <c r="V433" s="54">
        <f>inputs!$E$70*(F433/inputs!$F$70)^(0.25)</f>
        <v>12.981138235723177</v>
      </c>
      <c r="W433" s="54">
        <f>inputs!$E$76*(F433/inputs!$F$76)^(0.25)</f>
        <v>0.93334960894926977</v>
      </c>
      <c r="X433" s="54">
        <f>inputs!$E$72*(inputs!$F$72/F433)^(0.25)</f>
        <v>19.251008306212533</v>
      </c>
      <c r="Y433" s="54" t="s">
        <v>13</v>
      </c>
      <c r="Z433" s="106">
        <f t="shared" si="36"/>
        <v>6.8090132579880374</v>
      </c>
      <c r="AA433" s="106">
        <f t="shared" si="37"/>
        <v>94.700572543571653</v>
      </c>
    </row>
    <row r="434" spans="1:27" ht="13.2" x14ac:dyDescent="0.25">
      <c r="A434" s="55" t="s">
        <v>452</v>
      </c>
      <c r="B434" s="49" t="s">
        <v>457</v>
      </c>
      <c r="C434" s="21" t="s">
        <v>61</v>
      </c>
      <c r="D434" s="20" t="s">
        <v>454</v>
      </c>
      <c r="E434" s="20">
        <v>12</v>
      </c>
      <c r="F434" s="21">
        <v>17700</v>
      </c>
      <c r="G434" s="21" t="s">
        <v>138</v>
      </c>
      <c r="H434" s="21">
        <v>0.68</v>
      </c>
      <c r="I434" s="68">
        <f>MAX('Max rate concentrations'!$L$3:$L$368)</f>
        <v>350.52744091332482</v>
      </c>
      <c r="J434" s="68">
        <f>MAX('Max rate concentrations'!AD:AD)</f>
        <v>242.38599637623525</v>
      </c>
      <c r="K434" s="70">
        <f t="shared" si="38"/>
        <v>45.133671618499527</v>
      </c>
      <c r="L434" s="70">
        <f t="shared" si="39"/>
        <v>31.209453778749669</v>
      </c>
      <c r="M434" s="70">
        <f>IF((((0.326*F434^0.818)-(0.398*F434^0.85)/(1-H434)*H434)*(MAX('Max rate concentrations'!$P$3:$P$368)))/F434&gt;0, (((0.326*F434^0.818)-(0.398*F434^0.85)/(1-H434)*H434)*(MAX('Max rate concentrations'!$P$3:$P$368)))/F434, 0)</f>
        <v>0</v>
      </c>
      <c r="N434" s="70">
        <f>IF((((0.326*F434^0.818)-(0.398*F434^0.85)/(1-H434)*H434)*(MAX('Max rate concentrations'!$Q$3:$Q$368)))/F434&gt; 0, (((0.326*F434^0.818)-(0.398*F434^0.85)/(1-H434)*H434)*(MAX('Max rate concentrations'!$Q$3:$Q$368)))/F434, 0)</f>
        <v>0</v>
      </c>
      <c r="O434" s="70">
        <f>((MAX('Max rate concentrations'!$F$3:$F$368))*0.62*6.01*8*(12.3*F434^0.65)*0.079*0.1/F434)*inputs!$E$73/inputs!$E$74</f>
        <v>8.8253234964549137</v>
      </c>
      <c r="P434" s="70">
        <f>((MAX('Max rate concentrations'!Y:Y))*0.62*6.01*8*(12.3*F434^0.65)*0.079*0.1/F434)*inputs!$E$73/inputs!$E$74</f>
        <v>2.9417744988183046</v>
      </c>
      <c r="Q434" s="70">
        <f>(inputs!$C$18*11.2*(12.3*F434^0.65)*0.5/F434)*inputs!$E$73/inputs!$E$74</f>
        <v>1.5545391085731188</v>
      </c>
      <c r="R434" s="60">
        <f>(60*379*((F434/1000)^0.8)*3*24*(MAX('Max rate concentrations'!$R$3:$R$368))/F434)*(inputs!$E$73/inputs!$E$75)</f>
        <v>6.2134678423824584E-3</v>
      </c>
      <c r="S434" s="60">
        <f>(IF(inputs!$C$17="aerial",((0.025*0.112*inputs!$C$18/3.3)*(3*60*379*((F434/1000)^0.8))*MAX(inputs!$I$14:$I$16))/F434,((0.0083*0.112*inputs!$C$18/1)*(3*60*379*((F434/1000)^0.8))*MAX(inputs!$I$14:$I$16))/F434))*(inputs!E$75/inputs!$E$73)</f>
        <v>3.4267656895697891E-2</v>
      </c>
      <c r="T434" s="63">
        <f>IF((((inputs!$P$13/(V434/MAX(K434:S434)))^(1/inputs!$O$13))-1)/inputs!$N$13&lt;0, 0, IF((((inputs!$P$13/(V434/MAX(K434:S434)))^(1/inputs!$O$13))-1)/inputs!$N$13&lt;inputs!$I$17, (((inputs!$P$13/(V434/MAX(K434:S434)))^(1/inputs!$O$13))-1)/inputs!$N$13, inputs!$I$17))</f>
        <v>9.727972064025046</v>
      </c>
      <c r="U434" s="63">
        <f>IF((((inputs!$P$13/(X434/MAX(K434:S434)))^(1/inputs!$O$13))-1)/inputs!$N$13&lt;0, 0, IF((((inputs!$P$13/(X434/MAX(K434:S434)))^(1/inputs!$O$13))-1)/inputs!$N$13&lt;inputs!$I$17, (((inputs!$P$13/(X434/MAX(K434:S434)))^(1/inputs!$O$13))-1)/inputs!$N$13, inputs!$I$17))</f>
        <v>5.6468957898731365</v>
      </c>
      <c r="V434" s="54">
        <f>inputs!$E$70*(F434/inputs!$F$70)^(0.25)</f>
        <v>12.981138235723177</v>
      </c>
      <c r="W434" s="54">
        <f>inputs!$E$76*(F434/inputs!$F$76)^(0.25)</f>
        <v>0.93334960894926977</v>
      </c>
      <c r="X434" s="54">
        <f>inputs!$E$72*(inputs!$F$72/F434)^(0.25)</f>
        <v>19.251008306212533</v>
      </c>
      <c r="Y434" s="54" t="s">
        <v>13</v>
      </c>
      <c r="Z434" s="106">
        <f t="shared" si="36"/>
        <v>3.4768654950684406</v>
      </c>
      <c r="AA434" s="106">
        <f t="shared" si="37"/>
        <v>48.356662054328531</v>
      </c>
    </row>
    <row r="435" spans="1:27" ht="13.2" x14ac:dyDescent="0.25">
      <c r="A435" s="55" t="s">
        <v>452</v>
      </c>
      <c r="B435" s="49" t="s">
        <v>457</v>
      </c>
      <c r="C435" s="21" t="s">
        <v>61</v>
      </c>
      <c r="D435" s="20" t="s">
        <v>454</v>
      </c>
      <c r="E435" s="20">
        <v>12</v>
      </c>
      <c r="F435" s="21">
        <v>17700</v>
      </c>
      <c r="G435" s="21" t="s">
        <v>186</v>
      </c>
      <c r="H435" s="21">
        <v>0.75</v>
      </c>
      <c r="I435" s="68">
        <f>inputs!$C$66*inputs!$C$64/1000</f>
        <v>21.3</v>
      </c>
      <c r="J435" s="68">
        <f>inputs!$C$66*inputs!$C$63/1000</f>
        <v>8.8000000000000007</v>
      </c>
      <c r="K435" s="70">
        <f t="shared" si="38"/>
        <v>3.5104938426519463</v>
      </c>
      <c r="L435" s="70">
        <f t="shared" si="39"/>
        <v>1.4503448739594897</v>
      </c>
      <c r="M435" s="70">
        <f>IF((((0.326*F435^0.818)-(0.398*F435^0.85)/(1-H435)*H435)*(MAX('Max rate concentrations'!$P$3:$P$368)))/F435&gt;0, (((0.326*F435^0.818)-(0.398*F435^0.85)/(1-H435)*H435)*(MAX('Max rate concentrations'!$P$3:$P$368)))/F435, 0)</f>
        <v>0</v>
      </c>
      <c r="N435" s="70">
        <f>IF((((0.326*F435^0.818)-(0.398*F435^0.85)/(1-H435)*H435)*(MAX('Max rate concentrations'!$Q$3:$Q$368)))/F435&gt; 0, (((0.326*F435^0.818)-(0.398*F435^0.85)/(1-H435)*H435)*(MAX('Max rate concentrations'!$Q$3:$Q$368)))/F435, 0)</f>
        <v>0</v>
      </c>
      <c r="O435" s="70">
        <f>((MAX('Max rate concentrations'!$F$3:$F$368))*0.62*6.01*8*(12.3*F435^0.65)*0.079*0.1/F435)*inputs!$E$73/inputs!$E$74</f>
        <v>8.8253234964549137</v>
      </c>
      <c r="P435" s="70">
        <f>((MAX('Max rate concentrations'!Y:Y))*0.62*6.01*8*(12.3*F435^0.65)*0.079*0.1/F435)*inputs!$E$73/inputs!$E$74</f>
        <v>2.9417744988183046</v>
      </c>
      <c r="Q435" s="70">
        <f>(inputs!$C$18*11.2*(12.3*F435^0.65)*0.5/F435)*inputs!$E$73/inputs!$E$74</f>
        <v>1.5545391085731188</v>
      </c>
      <c r="R435" s="60">
        <f>(60*379*((F435/1000)^0.8)*3*24*(MAX('Max rate concentrations'!$R$3:$R$368))/F435)*(inputs!$E$73/inputs!$E$75)</f>
        <v>6.2134678423824584E-3</v>
      </c>
      <c r="S435" s="60">
        <f>(IF(inputs!$C$17="aerial",((0.025*0.112*inputs!$C$18/3.3)*(3*60*379*((F435/1000)^0.8))*MAX(inputs!$I$14:$I$16))/F435,((0.0083*0.112*inputs!$C$18/1)*(3*60*379*((F435/1000)^0.8))*MAX(inputs!$I$14:$I$16))/F435))*(inputs!E$75/inputs!$E$73)</f>
        <v>3.4267656895697891E-2</v>
      </c>
      <c r="T435" s="63">
        <f>IF((((inputs!$P$13/(V435/MAX(K435:S435)))^(1/inputs!$O$13))-1)/inputs!$N$13&lt;0, 0, IF((((inputs!$P$13/(V435/MAX(K435:S435)))^(1/inputs!$O$13))-1)/inputs!$N$13&lt;inputs!$I$17, (((inputs!$P$13/(V435/MAX(K435:S435)))^(1/inputs!$O$13))-1)/inputs!$N$13, inputs!$I$17))</f>
        <v>0</v>
      </c>
      <c r="U435" s="63">
        <f>IF((((inputs!$P$13/(X435/MAX(K435:S435)))^(1/inputs!$O$13))-1)/inputs!$N$13&lt;0, 0, IF((((inputs!$P$13/(X435/MAX(K435:S435)))^(1/inputs!$O$13))-1)/inputs!$N$13&lt;inputs!$I$17, (((inputs!$P$13/(X435/MAX(K435:S435)))^(1/inputs!$O$13))-1)/inputs!$N$13, inputs!$I$17))</f>
        <v>0</v>
      </c>
      <c r="V435" s="54">
        <f>inputs!$E$70*(F435/inputs!$F$70)^(0.25)</f>
        <v>12.981138235723177</v>
      </c>
      <c r="W435" s="54">
        <f>inputs!$E$76*(F435/inputs!$F$76)^(0.25)</f>
        <v>0.93334960894926977</v>
      </c>
      <c r="X435" s="54">
        <f>inputs!$E$72*(inputs!$F$72/F435)^(0.25)</f>
        <v>19.251008306212533</v>
      </c>
      <c r="Y435" s="54" t="s">
        <v>13</v>
      </c>
      <c r="Z435" s="106">
        <f t="shared" si="36"/>
        <v>0.67985744671975257</v>
      </c>
      <c r="AA435" s="106">
        <f t="shared" si="37"/>
        <v>9.4555388590028269</v>
      </c>
    </row>
    <row r="436" spans="1:27" ht="13.2" x14ac:dyDescent="0.25">
      <c r="A436" s="55" t="s">
        <v>452</v>
      </c>
      <c r="B436" s="49" t="s">
        <v>457</v>
      </c>
      <c r="C436" s="21" t="s">
        <v>61</v>
      </c>
      <c r="D436" s="20" t="s">
        <v>454</v>
      </c>
      <c r="E436" s="20">
        <v>12</v>
      </c>
      <c r="F436" s="21">
        <v>17700</v>
      </c>
      <c r="G436" s="21" t="s">
        <v>152</v>
      </c>
      <c r="H436" s="21">
        <v>0.77</v>
      </c>
      <c r="I436" s="68">
        <f>MAX('Max rate concentrations'!$G$3:$G$368)</f>
        <v>45</v>
      </c>
      <c r="J436" s="68">
        <f>MAX('Max rate concentrations'!Z:Z)</f>
        <v>21</v>
      </c>
      <c r="K436" s="70">
        <f t="shared" si="38"/>
        <v>8.0614524861878749</v>
      </c>
      <c r="L436" s="70">
        <f t="shared" si="39"/>
        <v>3.7620111602210082</v>
      </c>
      <c r="M436" s="70">
        <f>IF((((0.326*F436^0.818)-(0.398*F436^0.85)/(1-H436)*H436)*(MAX('Max rate concentrations'!$P$3:$P$368)))/F436&gt;0, (((0.326*F436^0.818)-(0.398*F436^0.85)/(1-H436)*H436)*(MAX('Max rate concentrations'!$P$3:$P$368)))/F436, 0)</f>
        <v>0</v>
      </c>
      <c r="N436" s="70">
        <f>IF((((0.326*F436^0.818)-(0.398*F436^0.85)/(1-H436)*H436)*(MAX('Max rate concentrations'!$Q$3:$Q$368)))/F436&gt; 0, (((0.326*F436^0.818)-(0.398*F436^0.85)/(1-H436)*H436)*(MAX('Max rate concentrations'!$Q$3:$Q$368)))/F436, 0)</f>
        <v>0</v>
      </c>
      <c r="O436" s="70">
        <f>((MAX('Max rate concentrations'!$F$3:$F$368))*0.62*6.01*8*(12.3*F436^0.65)*0.079*0.1/F436)*inputs!$E$73/inputs!$E$74</f>
        <v>8.8253234964549137</v>
      </c>
      <c r="P436" s="70">
        <f>((MAX('Max rate concentrations'!Y:Y))*0.62*6.01*8*(12.3*F436^0.65)*0.079*0.1/F436)*inputs!$E$73/inputs!$E$74</f>
        <v>2.9417744988183046</v>
      </c>
      <c r="Q436" s="70">
        <f>(inputs!$C$18*11.2*(12.3*F436^0.65)*0.5/F436)*inputs!$E$73/inputs!$E$74</f>
        <v>1.5545391085731188</v>
      </c>
      <c r="R436" s="60">
        <f>(60*379*((F436/1000)^0.8)*3*24*(MAX('Max rate concentrations'!$R$3:$R$368))/F436)*(inputs!$E$73/inputs!$E$75)</f>
        <v>6.2134678423824584E-3</v>
      </c>
      <c r="S436" s="60">
        <f>(IF(inputs!$C$17="aerial",((0.025*0.112*inputs!$C$18/3.3)*(3*60*379*((F436/1000)^0.8))*MAX(inputs!$I$14:$I$16))/F436,((0.0083*0.112*inputs!$C$18/1)*(3*60*379*((F436/1000)^0.8))*MAX(inputs!$I$14:$I$16))/F436))*(inputs!E$75/inputs!$E$73)</f>
        <v>3.4267656895697891E-2</v>
      </c>
      <c r="T436" s="63">
        <f>IF((((inputs!$P$13/(V436/MAX(K436:S436)))^(1/inputs!$O$13))-1)/inputs!$N$13&lt;0, 0, IF((((inputs!$P$13/(V436/MAX(K436:S436)))^(1/inputs!$O$13))-1)/inputs!$N$13&lt;inputs!$I$17, (((inputs!$P$13/(V436/MAX(K436:S436)))^(1/inputs!$O$13))-1)/inputs!$N$13, inputs!$I$17))</f>
        <v>0</v>
      </c>
      <c r="U436" s="63">
        <f>IF((((inputs!$P$13/(X436/MAX(K436:S436)))^(1/inputs!$O$13))-1)/inputs!$N$13&lt;0, 0, IF((((inputs!$P$13/(X436/MAX(K436:S436)))^(1/inputs!$O$13))-1)/inputs!$N$13&lt;inputs!$I$17, (((inputs!$P$13/(X436/MAX(K436:S436)))^(1/inputs!$O$13))-1)/inputs!$N$13, inputs!$I$17))</f>
        <v>0</v>
      </c>
      <c r="V436" s="54">
        <f>inputs!$E$70*(F436/inputs!$F$70)^(0.25)</f>
        <v>12.981138235723177</v>
      </c>
      <c r="W436" s="54">
        <f>inputs!$E$76*(F436/inputs!$F$76)^(0.25)</f>
        <v>0.93334960894926977</v>
      </c>
      <c r="X436" s="54">
        <f>inputs!$E$72*(inputs!$F$72/F436)^(0.25)</f>
        <v>19.251008306212533</v>
      </c>
      <c r="Y436" s="54" t="s">
        <v>13</v>
      </c>
      <c r="Z436" s="106">
        <f t="shared" si="36"/>
        <v>0.67985744671975257</v>
      </c>
      <c r="AA436" s="106">
        <f t="shared" si="37"/>
        <v>9.4555388590028269</v>
      </c>
    </row>
    <row r="437" spans="1:27" ht="13.2" x14ac:dyDescent="0.25">
      <c r="A437" s="55" t="s">
        <v>452</v>
      </c>
      <c r="B437" s="49" t="s">
        <v>457</v>
      </c>
      <c r="C437" s="21" t="s">
        <v>61</v>
      </c>
      <c r="D437" s="20" t="s">
        <v>454</v>
      </c>
      <c r="E437" s="20">
        <v>12</v>
      </c>
      <c r="F437" s="21">
        <v>17700</v>
      </c>
      <c r="G437" s="21" t="s">
        <v>455</v>
      </c>
      <c r="H437" s="21">
        <v>0.68</v>
      </c>
      <c r="I437" s="71">
        <f>MAX('Max rate concentrations'!$K$3:$K$368)</f>
        <v>110.00035859694511</v>
      </c>
      <c r="J437" s="71">
        <f>MAX('Max rate concentrations'!AC:AC)</f>
        <v>38.958460336418057</v>
      </c>
      <c r="K437" s="70">
        <f t="shared" si="38"/>
        <v>14.163570332456059</v>
      </c>
      <c r="L437" s="70">
        <f t="shared" si="39"/>
        <v>5.0162644927448534</v>
      </c>
      <c r="M437" s="70">
        <f>IF((((0.326*F437^0.818)-(0.398*F437^0.85)/(1-H437)*H437)*(MAX('Max rate concentrations'!$P$3:$P$368)))/F437&gt;0, (((0.326*F437^0.818)-(0.398*F437^0.85)/(1-H437)*H437)*(MAX('Max rate concentrations'!$P$3:$P$368)))/F437, 0)</f>
        <v>0</v>
      </c>
      <c r="N437" s="70">
        <f>IF((((0.326*F437^0.818)-(0.398*F437^0.85)/(1-H437)*H437)*(MAX('Max rate concentrations'!$Q$3:$Q$368)))/F437&gt; 0, (((0.326*F437^0.818)-(0.398*F437^0.85)/(1-H437)*H437)*(MAX('Max rate concentrations'!$Q$3:$Q$368)))/F437, 0)</f>
        <v>0</v>
      </c>
      <c r="O437" s="70">
        <f>((MAX('Max rate concentrations'!$F$3:$F$368))*0.62*6.01*8*(12.3*F437^0.65)*0.079*0.1/F437)*inputs!$E$73/inputs!$E$74</f>
        <v>8.8253234964549137</v>
      </c>
      <c r="P437" s="70">
        <f>((MAX('Max rate concentrations'!Y:Y))*0.62*6.01*8*(12.3*F437^0.65)*0.079*0.1/F437)*inputs!$E$73/inputs!$E$74</f>
        <v>2.9417744988183046</v>
      </c>
      <c r="Q437" s="70">
        <f>(inputs!$C$18*11.2*(12.3*F437^0.65)*0.5/F437)*inputs!$E$73/inputs!$E$74</f>
        <v>1.5545391085731188</v>
      </c>
      <c r="R437" s="60">
        <f>(60*379*((F437/1000)^0.8)*3*24*(MAX('Max rate concentrations'!$R$3:$R$368))/F437)*(inputs!$E$73/inputs!$E$75)</f>
        <v>6.2134678423824584E-3</v>
      </c>
      <c r="S437" s="60">
        <f>(IF(inputs!$C$17="aerial",((0.025*0.112*inputs!$C$18/3.3)*(3*60*379*((F437/1000)^0.8))*MAX(inputs!$I$14:$I$16))/F437,((0.0083*0.112*inputs!$C$18/1)*(3*60*379*((F437/1000)^0.8))*MAX(inputs!$I$14:$I$16))/F437))*(inputs!E$75/inputs!$E$73)</f>
        <v>3.4267656895697891E-2</v>
      </c>
      <c r="T437" s="63">
        <f>IF((((inputs!$P$13/(V437/MAX(K437:S437)))^(1/inputs!$O$13))-1)/inputs!$N$13&lt;0, 0, IF((((inputs!$P$13/(V437/MAX(K437:S437)))^(1/inputs!$O$13))-1)/inputs!$N$13&lt;inputs!$I$17, (((inputs!$P$13/(V437/MAX(K437:S437)))^(1/inputs!$O$13))-1)/inputs!$N$13, inputs!$I$17))</f>
        <v>0.63090464020114179</v>
      </c>
      <c r="U437" s="63">
        <f>IF((((inputs!$P$13/(X437/MAX(K437:S437)))^(1/inputs!$O$13))-1)/inputs!$N$13&lt;0, 0, IF((((inputs!$P$13/(X437/MAX(K437:S437)))^(1/inputs!$O$13))-1)/inputs!$N$13&lt;inputs!$I$17, (((inputs!$P$13/(X437/MAX(K437:S437)))^(1/inputs!$O$13))-1)/inputs!$N$13, inputs!$I$17))</f>
        <v>0</v>
      </c>
      <c r="V437" s="54">
        <f>inputs!$E$70*(F437/inputs!$F$70)^(0.25)</f>
        <v>12.981138235723177</v>
      </c>
      <c r="W437" s="54">
        <f>inputs!$E$76*(F437/inputs!$F$76)^(0.25)</f>
        <v>0.93334960894926977</v>
      </c>
      <c r="X437" s="54">
        <f>inputs!$E$72*(inputs!$F$72/F437)^(0.25)</f>
        <v>19.251008306212533</v>
      </c>
      <c r="Y437" s="54" t="s">
        <v>13</v>
      </c>
      <c r="Z437" s="106">
        <f t="shared" si="36"/>
        <v>1.0910884758532893</v>
      </c>
      <c r="AA437" s="106">
        <f t="shared" si="37"/>
        <v>15.174989303741048</v>
      </c>
    </row>
    <row r="438" spans="1:27" ht="13.2" x14ac:dyDescent="0.25">
      <c r="A438" s="55" t="s">
        <v>452</v>
      </c>
      <c r="B438" s="49" t="s">
        <v>457</v>
      </c>
      <c r="C438" s="21" t="s">
        <v>61</v>
      </c>
      <c r="D438" s="20" t="s">
        <v>454</v>
      </c>
      <c r="E438" s="20">
        <v>12</v>
      </c>
      <c r="F438" s="21">
        <v>17700</v>
      </c>
      <c r="G438" s="21" t="s">
        <v>456</v>
      </c>
      <c r="H438" s="21">
        <v>0.68</v>
      </c>
      <c r="I438" s="68">
        <f>MAX('Max rate concentrations'!$J$3:$J$368)</f>
        <v>686.46486205830786</v>
      </c>
      <c r="J438" s="68">
        <f>MAX('Max rate concentrations'!AB:AB)</f>
        <v>243.122971978984</v>
      </c>
      <c r="K438" s="70">
        <f t="shared" si="38"/>
        <v>88.388742350814553</v>
      </c>
      <c r="L438" s="70">
        <f t="shared" si="39"/>
        <v>31.304346249246816</v>
      </c>
      <c r="M438" s="70">
        <f>IF((((0.326*F438^0.818)-(0.398*F438^0.85)/(1-H438)*H438)*(MAX('Max rate concentrations'!$P$3:$P$368)))/F438&gt;0, (((0.326*F438^0.818)-(0.398*F438^0.85)/(1-H438)*H438)*(MAX('Max rate concentrations'!$P$3:$P$368)))/F438, 0)</f>
        <v>0</v>
      </c>
      <c r="N438" s="70">
        <f>IF((((0.326*F438^0.818)-(0.398*F438^0.85)/(1-H438)*H438)*(MAX('Max rate concentrations'!$Q$3:$Q$368)))/F438&gt; 0, (((0.326*F438^0.818)-(0.398*F438^0.85)/(1-H438)*H438)*(MAX('Max rate concentrations'!$Q$3:$Q$368)))/F438, 0)</f>
        <v>0</v>
      </c>
      <c r="O438" s="70">
        <f>((MAX('Max rate concentrations'!$F$3:$F$368))*0.62*6.01*8*(12.3*F438^0.65)*0.079*0.1/F438)*inputs!$E$73/inputs!$E$74</f>
        <v>8.8253234964549137</v>
      </c>
      <c r="P438" s="70">
        <f>((MAX('Max rate concentrations'!Y:Y))*0.62*6.01*8*(12.3*F438^0.65)*0.079*0.1/F438)*inputs!$E$73/inputs!$E$74</f>
        <v>2.9417744988183046</v>
      </c>
      <c r="Q438" s="70">
        <f>(inputs!$C$18*11.2*(12.3*F438^0.65)*0.5/F438)*inputs!$E$73/inputs!$E$74</f>
        <v>1.5545391085731188</v>
      </c>
      <c r="R438" s="60">
        <f>(60*379*((F438/1000)^0.8)*3*24*(MAX('Max rate concentrations'!$R$3:$R$368))/F438)*(inputs!$E$73/inputs!$E$75)</f>
        <v>6.2134678423824584E-3</v>
      </c>
      <c r="S438" s="60">
        <f>(IF(inputs!$C$17="aerial",((0.025*0.112*inputs!$C$18/3.3)*(3*60*379*((F438/1000)^0.8))*MAX(inputs!$I$14:$I$16))/F438,((0.0083*0.112*inputs!$C$18/1)*(3*60*379*((F438/1000)^0.8))*MAX(inputs!$I$14:$I$16))/F438))*(inputs!E$75/inputs!$E$73)</f>
        <v>3.4267656895697891E-2</v>
      </c>
      <c r="T438" s="63">
        <f>IF((((inputs!$P$13/(V438/MAX(K438:S438)))^(1/inputs!$O$13))-1)/inputs!$N$13&lt;0, 0, IF((((inputs!$P$13/(V438/MAX(K438:S438)))^(1/inputs!$O$13))-1)/inputs!$N$13&lt;inputs!$I$17, (((inputs!$P$13/(V438/MAX(K438:S438)))^(1/inputs!$O$13))-1)/inputs!$N$13, inputs!$I$17))</f>
        <v>20.526593366142244</v>
      </c>
      <c r="U438" s="63">
        <f>IF((((inputs!$P$13/(X438/MAX(K438:S438)))^(1/inputs!$O$13))-1)/inputs!$N$13&lt;0, 0, IF((((inputs!$P$13/(X438/MAX(K438:S438)))^(1/inputs!$O$13))-1)/inputs!$N$13&lt;inputs!$I$17, (((inputs!$P$13/(X438/MAX(K438:S438)))^(1/inputs!$O$13))-1)/inputs!$N$13, inputs!$I$17))</f>
        <v>13.498748402097833</v>
      </c>
      <c r="V438" s="54">
        <f>inputs!$E$70*(F438/inputs!$F$70)^(0.25)</f>
        <v>12.981138235723177</v>
      </c>
      <c r="W438" s="54">
        <f>inputs!$E$76*(F438/inputs!$F$76)^(0.25)</f>
        <v>0.93334960894926977</v>
      </c>
      <c r="X438" s="54">
        <f>inputs!$E$72*(inputs!$F$72/F438)^(0.25)</f>
        <v>19.251008306212533</v>
      </c>
      <c r="Y438" s="54" t="s">
        <v>13</v>
      </c>
      <c r="Z438" s="106">
        <f t="shared" si="36"/>
        <v>6.8090132579880374</v>
      </c>
      <c r="AA438" s="106">
        <f t="shared" si="37"/>
        <v>94.700572543571653</v>
      </c>
    </row>
    <row r="439" spans="1:27" ht="13.2" x14ac:dyDescent="0.25">
      <c r="A439" s="55" t="s">
        <v>452</v>
      </c>
      <c r="B439" s="49" t="s">
        <v>458</v>
      </c>
      <c r="C439" s="21" t="s">
        <v>61</v>
      </c>
      <c r="D439" s="20" t="s">
        <v>454</v>
      </c>
      <c r="E439" s="20">
        <v>10010</v>
      </c>
      <c r="F439" s="21">
        <v>17700</v>
      </c>
      <c r="G439" s="21" t="s">
        <v>138</v>
      </c>
      <c r="H439" s="21">
        <v>0.68</v>
      </c>
      <c r="I439" s="68">
        <f>MAX('Max rate concentrations'!$L$3:$L$368)</f>
        <v>350.52744091332482</v>
      </c>
      <c r="J439" s="68">
        <f>MAX('Max rate concentrations'!AD:AD)</f>
        <v>242.38599637623525</v>
      </c>
      <c r="K439" s="70">
        <f t="shared" si="38"/>
        <v>45.133671618499527</v>
      </c>
      <c r="L439" s="70">
        <f t="shared" si="39"/>
        <v>31.209453778749669</v>
      </c>
      <c r="M439" s="70">
        <f>IF((((0.326*F439^0.818)-(0.398*F439^0.85)/(1-H439)*H439)*(MAX('Max rate concentrations'!$P$3:$P$368)))/F439&gt;0, (((0.326*F439^0.818)-(0.398*F439^0.85)/(1-H439)*H439)*(MAX('Max rate concentrations'!$P$3:$P$368)))/F439, 0)</f>
        <v>0</v>
      </c>
      <c r="N439" s="70">
        <f>IF((((0.326*F439^0.818)-(0.398*F439^0.85)/(1-H439)*H439)*(MAX('Max rate concentrations'!$Q$3:$Q$368)))/F439&gt; 0, (((0.326*F439^0.818)-(0.398*F439^0.85)/(1-H439)*H439)*(MAX('Max rate concentrations'!$Q$3:$Q$368)))/F439, 0)</f>
        <v>0</v>
      </c>
      <c r="O439" s="70">
        <f>((MAX('Max rate concentrations'!$F$3:$F$368))*0.62*6.01*8*(12.3*F439^0.65)*0.079*0.1/F439)*inputs!$E$73/inputs!$E$74</f>
        <v>8.8253234964549137</v>
      </c>
      <c r="P439" s="70">
        <f>((MAX('Max rate concentrations'!Y:Y))*0.62*6.01*8*(12.3*F439^0.65)*0.079*0.1/F439)*inputs!$E$73/inputs!$E$74</f>
        <v>2.9417744988183046</v>
      </c>
      <c r="Q439" s="70">
        <f>(inputs!$C$18*11.2*(12.3*F439^0.65)*0.5/F439)*inputs!$E$73/inputs!$E$74</f>
        <v>1.5545391085731188</v>
      </c>
      <c r="R439" s="60">
        <f>(60*379*((F439/1000)^0.8)*3*24*(MAX('Max rate concentrations'!$R$3:$R$368))/F439)*(inputs!$E$73/inputs!$E$75)</f>
        <v>6.2134678423824584E-3</v>
      </c>
      <c r="S439" s="60">
        <f>(IF(inputs!$C$17="aerial",((0.025*0.112*inputs!$C$18/3.3)*(3*60*379*((F439/1000)^0.8))*MAX(inputs!$I$14:$I$16))/F439,((0.0083*0.112*inputs!$C$18/1)*(3*60*379*((F439/1000)^0.8))*MAX(inputs!$I$14:$I$16))/F439))*(inputs!E$75/inputs!$E$73)</f>
        <v>3.4267656895697891E-2</v>
      </c>
      <c r="T439" s="63">
        <f>IF((((inputs!$P$13/(V439/MAX(K439:S439)))^(1/inputs!$O$13))-1)/inputs!$N$13&lt;0, 0, IF((((inputs!$P$13/(V439/MAX(K439:S439)))^(1/inputs!$O$13))-1)/inputs!$N$13&lt;inputs!$I$17, (((inputs!$P$13/(V439/MAX(K439:S439)))^(1/inputs!$O$13))-1)/inputs!$N$13, inputs!$I$17))</f>
        <v>9.727972064025046</v>
      </c>
      <c r="U439" s="63">
        <f>IF((((inputs!$P$13/(X439/MAX(K439:S439)))^(1/inputs!$O$13))-1)/inputs!$N$13&lt;0, 0, IF((((inputs!$P$13/(X439/MAX(K439:S439)))^(1/inputs!$O$13))-1)/inputs!$N$13&lt;inputs!$I$17, (((inputs!$P$13/(X439/MAX(K439:S439)))^(1/inputs!$O$13))-1)/inputs!$N$13, inputs!$I$17))</f>
        <v>5.6468957898731365</v>
      </c>
      <c r="V439" s="54">
        <f>inputs!$E$70*(F439/inputs!$F$70)^(0.25)</f>
        <v>12.981138235723177</v>
      </c>
      <c r="W439" s="54">
        <f>inputs!$E$76*(F439/inputs!$F$76)^(0.25)</f>
        <v>0.93334960894926977</v>
      </c>
      <c r="X439" s="54">
        <f>inputs!$E$72*(inputs!$F$72/F439)^(0.25)</f>
        <v>19.251008306212533</v>
      </c>
      <c r="Y439" s="54" t="s">
        <v>13</v>
      </c>
      <c r="Z439" s="106">
        <f t="shared" si="36"/>
        <v>3.4768654950684406</v>
      </c>
      <c r="AA439" s="106">
        <f t="shared" si="37"/>
        <v>48.356662054328531</v>
      </c>
    </row>
    <row r="440" spans="1:27" ht="13.2" x14ac:dyDescent="0.25">
      <c r="A440" s="55" t="s">
        <v>452</v>
      </c>
      <c r="B440" s="49" t="s">
        <v>458</v>
      </c>
      <c r="C440" s="21" t="s">
        <v>61</v>
      </c>
      <c r="D440" s="20" t="s">
        <v>454</v>
      </c>
      <c r="E440" s="20">
        <v>10010</v>
      </c>
      <c r="F440" s="21">
        <v>17700</v>
      </c>
      <c r="G440" s="21" t="s">
        <v>186</v>
      </c>
      <c r="H440" s="21">
        <v>0.75</v>
      </c>
      <c r="I440" s="68">
        <f>inputs!$C$66*inputs!$C$64/1000</f>
        <v>21.3</v>
      </c>
      <c r="J440" s="68">
        <f>inputs!$C$66*inputs!$C$63/1000</f>
        <v>8.8000000000000007</v>
      </c>
      <c r="K440" s="70">
        <f t="shared" si="38"/>
        <v>3.5104938426519463</v>
      </c>
      <c r="L440" s="70">
        <f t="shared" si="39"/>
        <v>1.4503448739594897</v>
      </c>
      <c r="M440" s="70">
        <f>IF((((0.326*F440^0.818)-(0.398*F440^0.85)/(1-H440)*H440)*(MAX('Max rate concentrations'!$P$3:$P$368)))/F440&gt;0, (((0.326*F440^0.818)-(0.398*F440^0.85)/(1-H440)*H440)*(MAX('Max rate concentrations'!$P$3:$P$368)))/F440, 0)</f>
        <v>0</v>
      </c>
      <c r="N440" s="70">
        <f>IF((((0.326*F440^0.818)-(0.398*F440^0.85)/(1-H440)*H440)*(MAX('Max rate concentrations'!$Q$3:$Q$368)))/F440&gt; 0, (((0.326*F440^0.818)-(0.398*F440^0.85)/(1-H440)*H440)*(MAX('Max rate concentrations'!$Q$3:$Q$368)))/F440, 0)</f>
        <v>0</v>
      </c>
      <c r="O440" s="70">
        <f>((MAX('Max rate concentrations'!$F$3:$F$368))*0.62*6.01*8*(12.3*F440^0.65)*0.079*0.1/F440)*inputs!$E$73/inputs!$E$74</f>
        <v>8.8253234964549137</v>
      </c>
      <c r="P440" s="70">
        <f>((MAX('Max rate concentrations'!Y:Y))*0.62*6.01*8*(12.3*F440^0.65)*0.079*0.1/F440)*inputs!$E$73/inputs!$E$74</f>
        <v>2.9417744988183046</v>
      </c>
      <c r="Q440" s="70">
        <f>(inputs!$C$18*11.2*(12.3*F440^0.65)*0.5/F440)*inputs!$E$73/inputs!$E$74</f>
        <v>1.5545391085731188</v>
      </c>
      <c r="R440" s="60">
        <f>(60*379*((F440/1000)^0.8)*3*24*(MAX('Max rate concentrations'!$R$3:$R$368))/F440)*(inputs!$E$73/inputs!$E$75)</f>
        <v>6.2134678423824584E-3</v>
      </c>
      <c r="S440" s="60">
        <f>(IF(inputs!$C$17="aerial",((0.025*0.112*inputs!$C$18/3.3)*(3*60*379*((F440/1000)^0.8))*MAX(inputs!$I$14:$I$16))/F440,((0.0083*0.112*inputs!$C$18/1)*(3*60*379*((F440/1000)^0.8))*MAX(inputs!$I$14:$I$16))/F440))*(inputs!E$75/inputs!$E$73)</f>
        <v>3.4267656895697891E-2</v>
      </c>
      <c r="T440" s="63">
        <f>IF((((inputs!$P$13/(V440/MAX(K440:S440)))^(1/inputs!$O$13))-1)/inputs!$N$13&lt;0, 0, IF((((inputs!$P$13/(V440/MAX(K440:S440)))^(1/inputs!$O$13))-1)/inputs!$N$13&lt;inputs!$I$17, (((inputs!$P$13/(V440/MAX(K440:S440)))^(1/inputs!$O$13))-1)/inputs!$N$13, inputs!$I$17))</f>
        <v>0</v>
      </c>
      <c r="U440" s="63">
        <f>IF((((inputs!$P$13/(X440/MAX(K440:S440)))^(1/inputs!$O$13))-1)/inputs!$N$13&lt;0, 0, IF((((inputs!$P$13/(X440/MAX(K440:S440)))^(1/inputs!$O$13))-1)/inputs!$N$13&lt;inputs!$I$17, (((inputs!$P$13/(X440/MAX(K440:S440)))^(1/inputs!$O$13))-1)/inputs!$N$13, inputs!$I$17))</f>
        <v>0</v>
      </c>
      <c r="V440" s="54">
        <f>inputs!$E$70*(F440/inputs!$F$70)^(0.25)</f>
        <v>12.981138235723177</v>
      </c>
      <c r="W440" s="54">
        <f>inputs!$E$76*(F440/inputs!$F$76)^(0.25)</f>
        <v>0.93334960894926977</v>
      </c>
      <c r="X440" s="54">
        <f>inputs!$E$72*(inputs!$F$72/F440)^(0.25)</f>
        <v>19.251008306212533</v>
      </c>
      <c r="Y440" s="54" t="s">
        <v>13</v>
      </c>
      <c r="Z440" s="106">
        <f t="shared" si="36"/>
        <v>0.67985744671975257</v>
      </c>
      <c r="AA440" s="106">
        <f t="shared" si="37"/>
        <v>9.4555388590028269</v>
      </c>
    </row>
    <row r="441" spans="1:27" ht="13.2" x14ac:dyDescent="0.25">
      <c r="A441" s="55" t="s">
        <v>452</v>
      </c>
      <c r="B441" s="49" t="s">
        <v>458</v>
      </c>
      <c r="C441" s="21" t="s">
        <v>61</v>
      </c>
      <c r="D441" s="20" t="s">
        <v>454</v>
      </c>
      <c r="E441" s="20">
        <v>10010</v>
      </c>
      <c r="F441" s="21">
        <v>17700</v>
      </c>
      <c r="G441" s="21" t="s">
        <v>152</v>
      </c>
      <c r="H441" s="21">
        <v>0.77</v>
      </c>
      <c r="I441" s="68">
        <f>MAX('Max rate concentrations'!$G$3:$G$368)</f>
        <v>45</v>
      </c>
      <c r="J441" s="68">
        <f>MAX('Max rate concentrations'!Z:Z)</f>
        <v>21</v>
      </c>
      <c r="K441" s="70">
        <f t="shared" si="38"/>
        <v>8.0614524861878749</v>
      </c>
      <c r="L441" s="70">
        <f t="shared" si="39"/>
        <v>3.7620111602210082</v>
      </c>
      <c r="M441" s="70">
        <f>IF((((0.326*F441^0.818)-(0.398*F441^0.85)/(1-H441)*H441)*(MAX('Max rate concentrations'!$P$3:$P$368)))/F441&gt;0, (((0.326*F441^0.818)-(0.398*F441^0.85)/(1-H441)*H441)*(MAX('Max rate concentrations'!$P$3:$P$368)))/F441, 0)</f>
        <v>0</v>
      </c>
      <c r="N441" s="70">
        <f>IF((((0.326*F441^0.818)-(0.398*F441^0.85)/(1-H441)*H441)*(MAX('Max rate concentrations'!$Q$3:$Q$368)))/F441&gt; 0, (((0.326*F441^0.818)-(0.398*F441^0.85)/(1-H441)*H441)*(MAX('Max rate concentrations'!$Q$3:$Q$368)))/F441, 0)</f>
        <v>0</v>
      </c>
      <c r="O441" s="70">
        <f>((MAX('Max rate concentrations'!$F$3:$F$368))*0.62*6.01*8*(12.3*F441^0.65)*0.079*0.1/F441)*inputs!$E$73/inputs!$E$74</f>
        <v>8.8253234964549137</v>
      </c>
      <c r="P441" s="70">
        <f>((MAX('Max rate concentrations'!Y:Y))*0.62*6.01*8*(12.3*F441^0.65)*0.079*0.1/F441)*inputs!$E$73/inputs!$E$74</f>
        <v>2.9417744988183046</v>
      </c>
      <c r="Q441" s="70">
        <f>(inputs!$C$18*11.2*(12.3*F441^0.65)*0.5/F441)*inputs!$E$73/inputs!$E$74</f>
        <v>1.5545391085731188</v>
      </c>
      <c r="R441" s="60">
        <f>(60*379*((F441/1000)^0.8)*3*24*(MAX('Max rate concentrations'!$R$3:$R$368))/F441)*(inputs!$E$73/inputs!$E$75)</f>
        <v>6.2134678423824584E-3</v>
      </c>
      <c r="S441" s="60">
        <f>(IF(inputs!$C$17="aerial",((0.025*0.112*inputs!$C$18/3.3)*(3*60*379*((F441/1000)^0.8))*MAX(inputs!$I$14:$I$16))/F441,((0.0083*0.112*inputs!$C$18/1)*(3*60*379*((F441/1000)^0.8))*MAX(inputs!$I$14:$I$16))/F441))*(inputs!E$75/inputs!$E$73)</f>
        <v>3.4267656895697891E-2</v>
      </c>
      <c r="T441" s="63">
        <f>IF((((inputs!$P$13/(V441/MAX(K441:S441)))^(1/inputs!$O$13))-1)/inputs!$N$13&lt;0, 0, IF((((inputs!$P$13/(V441/MAX(K441:S441)))^(1/inputs!$O$13))-1)/inputs!$N$13&lt;inputs!$I$17, (((inputs!$P$13/(V441/MAX(K441:S441)))^(1/inputs!$O$13))-1)/inputs!$N$13, inputs!$I$17))</f>
        <v>0</v>
      </c>
      <c r="U441" s="63">
        <f>IF((((inputs!$P$13/(X441/MAX(K441:S441)))^(1/inputs!$O$13))-1)/inputs!$N$13&lt;0, 0, IF((((inputs!$P$13/(X441/MAX(K441:S441)))^(1/inputs!$O$13))-1)/inputs!$N$13&lt;inputs!$I$17, (((inputs!$P$13/(X441/MAX(K441:S441)))^(1/inputs!$O$13))-1)/inputs!$N$13, inputs!$I$17))</f>
        <v>0</v>
      </c>
      <c r="V441" s="54">
        <f>inputs!$E$70*(F441/inputs!$F$70)^(0.25)</f>
        <v>12.981138235723177</v>
      </c>
      <c r="W441" s="54">
        <f>inputs!$E$76*(F441/inputs!$F$76)^(0.25)</f>
        <v>0.93334960894926977</v>
      </c>
      <c r="X441" s="54">
        <f>inputs!$E$72*(inputs!$F$72/F441)^(0.25)</f>
        <v>19.251008306212533</v>
      </c>
      <c r="Y441" s="54" t="s">
        <v>13</v>
      </c>
      <c r="Z441" s="106">
        <f t="shared" si="36"/>
        <v>0.67985744671975257</v>
      </c>
      <c r="AA441" s="106">
        <f t="shared" si="37"/>
        <v>9.4555388590028269</v>
      </c>
    </row>
    <row r="442" spans="1:27" ht="13.2" x14ac:dyDescent="0.25">
      <c r="A442" s="55" t="s">
        <v>452</v>
      </c>
      <c r="B442" s="49" t="s">
        <v>458</v>
      </c>
      <c r="C442" s="21" t="s">
        <v>61</v>
      </c>
      <c r="D442" s="20" t="s">
        <v>454</v>
      </c>
      <c r="E442" s="20">
        <v>10010</v>
      </c>
      <c r="F442" s="21">
        <v>17700</v>
      </c>
      <c r="G442" s="21" t="s">
        <v>455</v>
      </c>
      <c r="H442" s="21">
        <v>0.68</v>
      </c>
      <c r="I442" s="71">
        <f>MAX('Max rate concentrations'!$K$3:$K$368)</f>
        <v>110.00035859694511</v>
      </c>
      <c r="J442" s="71">
        <f>MAX('Max rate concentrations'!AC:AC)</f>
        <v>38.958460336418057</v>
      </c>
      <c r="K442" s="70">
        <f t="shared" si="38"/>
        <v>14.163570332456059</v>
      </c>
      <c r="L442" s="70">
        <f t="shared" si="39"/>
        <v>5.0162644927448534</v>
      </c>
      <c r="M442" s="70">
        <f>IF((((0.326*F442^0.818)-(0.398*F442^0.85)/(1-H442)*H442)*(MAX('Max rate concentrations'!$P$3:$P$368)))/F442&gt;0, (((0.326*F442^0.818)-(0.398*F442^0.85)/(1-H442)*H442)*(MAX('Max rate concentrations'!$P$3:$P$368)))/F442, 0)</f>
        <v>0</v>
      </c>
      <c r="N442" s="70">
        <f>IF((((0.326*F442^0.818)-(0.398*F442^0.85)/(1-H442)*H442)*(MAX('Max rate concentrations'!$Q$3:$Q$368)))/F442&gt; 0, (((0.326*F442^0.818)-(0.398*F442^0.85)/(1-H442)*H442)*(MAX('Max rate concentrations'!$Q$3:$Q$368)))/F442, 0)</f>
        <v>0</v>
      </c>
      <c r="O442" s="70">
        <f>((MAX('Max rate concentrations'!$F$3:$F$368))*0.62*6.01*8*(12.3*F442^0.65)*0.079*0.1/F442)*inputs!$E$73/inputs!$E$74</f>
        <v>8.8253234964549137</v>
      </c>
      <c r="P442" s="70">
        <f>((MAX('Max rate concentrations'!Y:Y))*0.62*6.01*8*(12.3*F442^0.65)*0.079*0.1/F442)*inputs!$E$73/inputs!$E$74</f>
        <v>2.9417744988183046</v>
      </c>
      <c r="Q442" s="70">
        <f>(inputs!$C$18*11.2*(12.3*F442^0.65)*0.5/F442)*inputs!$E$73/inputs!$E$74</f>
        <v>1.5545391085731188</v>
      </c>
      <c r="R442" s="60">
        <f>(60*379*((F442/1000)^0.8)*3*24*(MAX('Max rate concentrations'!$R$3:$R$368))/F442)*(inputs!$E$73/inputs!$E$75)</f>
        <v>6.2134678423824584E-3</v>
      </c>
      <c r="S442" s="60">
        <f>(IF(inputs!$C$17="aerial",((0.025*0.112*inputs!$C$18/3.3)*(3*60*379*((F442/1000)^0.8))*MAX(inputs!$I$14:$I$16))/F442,((0.0083*0.112*inputs!$C$18/1)*(3*60*379*((F442/1000)^0.8))*MAX(inputs!$I$14:$I$16))/F442))*(inputs!E$75/inputs!$E$73)</f>
        <v>3.4267656895697891E-2</v>
      </c>
      <c r="T442" s="63">
        <f>IF((((inputs!$P$13/(V442/MAX(K442:S442)))^(1/inputs!$O$13))-1)/inputs!$N$13&lt;0, 0, IF((((inputs!$P$13/(V442/MAX(K442:S442)))^(1/inputs!$O$13))-1)/inputs!$N$13&lt;inputs!$I$17, (((inputs!$P$13/(V442/MAX(K442:S442)))^(1/inputs!$O$13))-1)/inputs!$N$13, inputs!$I$17))</f>
        <v>0.63090464020114179</v>
      </c>
      <c r="U442" s="63">
        <f>IF((((inputs!$P$13/(X442/MAX(K442:S442)))^(1/inputs!$O$13))-1)/inputs!$N$13&lt;0, 0, IF((((inputs!$P$13/(X442/MAX(K442:S442)))^(1/inputs!$O$13))-1)/inputs!$N$13&lt;inputs!$I$17, (((inputs!$P$13/(X442/MAX(K442:S442)))^(1/inputs!$O$13))-1)/inputs!$N$13, inputs!$I$17))</f>
        <v>0</v>
      </c>
      <c r="V442" s="54">
        <f>inputs!$E$70*(F442/inputs!$F$70)^(0.25)</f>
        <v>12.981138235723177</v>
      </c>
      <c r="W442" s="54">
        <f>inputs!$E$76*(F442/inputs!$F$76)^(0.25)</f>
        <v>0.93334960894926977</v>
      </c>
      <c r="X442" s="54">
        <f>inputs!$E$72*(inputs!$F$72/F442)^(0.25)</f>
        <v>19.251008306212533</v>
      </c>
      <c r="Y442" s="54" t="s">
        <v>13</v>
      </c>
      <c r="Z442" s="106">
        <f t="shared" si="36"/>
        <v>1.0910884758532893</v>
      </c>
      <c r="AA442" s="106">
        <f t="shared" si="37"/>
        <v>15.174989303741048</v>
      </c>
    </row>
    <row r="443" spans="1:27" ht="13.2" x14ac:dyDescent="0.25">
      <c r="A443" s="55" t="s">
        <v>452</v>
      </c>
      <c r="B443" s="49" t="s">
        <v>458</v>
      </c>
      <c r="C443" s="21" t="s">
        <v>61</v>
      </c>
      <c r="D443" s="20" t="s">
        <v>454</v>
      </c>
      <c r="E443" s="20">
        <v>10010</v>
      </c>
      <c r="F443" s="21">
        <v>17700</v>
      </c>
      <c r="G443" s="21" t="s">
        <v>456</v>
      </c>
      <c r="H443" s="21">
        <v>0.68</v>
      </c>
      <c r="I443" s="68">
        <f>MAX('Max rate concentrations'!$J$3:$J$368)</f>
        <v>686.46486205830786</v>
      </c>
      <c r="J443" s="68">
        <f>MAX('Max rate concentrations'!AB:AB)</f>
        <v>243.122971978984</v>
      </c>
      <c r="K443" s="70">
        <f t="shared" si="38"/>
        <v>88.388742350814553</v>
      </c>
      <c r="L443" s="70">
        <f t="shared" si="39"/>
        <v>31.304346249246816</v>
      </c>
      <c r="M443" s="70">
        <f>IF((((0.326*F443^0.818)-(0.398*F443^0.85)/(1-H443)*H443)*(MAX('Max rate concentrations'!$P$3:$P$368)))/F443&gt;0, (((0.326*F443^0.818)-(0.398*F443^0.85)/(1-H443)*H443)*(MAX('Max rate concentrations'!$P$3:$P$368)))/F443, 0)</f>
        <v>0</v>
      </c>
      <c r="N443" s="70">
        <f>IF((((0.326*F443^0.818)-(0.398*F443^0.85)/(1-H443)*H443)*(MAX('Max rate concentrations'!$Q$3:$Q$368)))/F443&gt; 0, (((0.326*F443^0.818)-(0.398*F443^0.85)/(1-H443)*H443)*(MAX('Max rate concentrations'!$Q$3:$Q$368)))/F443, 0)</f>
        <v>0</v>
      </c>
      <c r="O443" s="70">
        <f>((MAX('Max rate concentrations'!$F$3:$F$368))*0.62*6.01*8*(12.3*F443^0.65)*0.079*0.1/F443)*inputs!$E$73/inputs!$E$74</f>
        <v>8.8253234964549137</v>
      </c>
      <c r="P443" s="70">
        <f>((MAX('Max rate concentrations'!Y:Y))*0.62*6.01*8*(12.3*F443^0.65)*0.079*0.1/F443)*inputs!$E$73/inputs!$E$74</f>
        <v>2.9417744988183046</v>
      </c>
      <c r="Q443" s="70">
        <f>(inputs!$C$18*11.2*(12.3*F443^0.65)*0.5/F443)*inputs!$E$73/inputs!$E$74</f>
        <v>1.5545391085731188</v>
      </c>
      <c r="R443" s="60">
        <f>(60*379*((F443/1000)^0.8)*3*24*(MAX('Max rate concentrations'!$R$3:$R$368))/F443)*(inputs!$E$73/inputs!$E$75)</f>
        <v>6.2134678423824584E-3</v>
      </c>
      <c r="S443" s="60">
        <f>(IF(inputs!$C$17="aerial",((0.025*0.112*inputs!$C$18/3.3)*(3*60*379*((F443/1000)^0.8))*MAX(inputs!$I$14:$I$16))/F443,((0.0083*0.112*inputs!$C$18/1)*(3*60*379*((F443/1000)^0.8))*MAX(inputs!$I$14:$I$16))/F443))*(inputs!E$75/inputs!$E$73)</f>
        <v>3.4267656895697891E-2</v>
      </c>
      <c r="T443" s="63">
        <f>IF((((inputs!$P$13/(V443/MAX(K443:S443)))^(1/inputs!$O$13))-1)/inputs!$N$13&lt;0, 0, IF((((inputs!$P$13/(V443/MAX(K443:S443)))^(1/inputs!$O$13))-1)/inputs!$N$13&lt;inputs!$I$17, (((inputs!$P$13/(V443/MAX(K443:S443)))^(1/inputs!$O$13))-1)/inputs!$N$13, inputs!$I$17))</f>
        <v>20.526593366142244</v>
      </c>
      <c r="U443" s="63">
        <f>IF((((inputs!$P$13/(X443/MAX(K443:S443)))^(1/inputs!$O$13))-1)/inputs!$N$13&lt;0, 0, IF((((inputs!$P$13/(X443/MAX(K443:S443)))^(1/inputs!$O$13))-1)/inputs!$N$13&lt;inputs!$I$17, (((inputs!$P$13/(X443/MAX(K443:S443)))^(1/inputs!$O$13))-1)/inputs!$N$13, inputs!$I$17))</f>
        <v>13.498748402097833</v>
      </c>
      <c r="V443" s="54">
        <f>inputs!$E$70*(F443/inputs!$F$70)^(0.25)</f>
        <v>12.981138235723177</v>
      </c>
      <c r="W443" s="54">
        <f>inputs!$E$76*(F443/inputs!$F$76)^(0.25)</f>
        <v>0.93334960894926977</v>
      </c>
      <c r="X443" s="54">
        <f>inputs!$E$72*(inputs!$F$72/F443)^(0.25)</f>
        <v>19.251008306212533</v>
      </c>
      <c r="Y443" s="54" t="s">
        <v>13</v>
      </c>
      <c r="Z443" s="106">
        <f t="shared" si="36"/>
        <v>6.8090132579880374</v>
      </c>
      <c r="AA443" s="106">
        <f t="shared" si="37"/>
        <v>94.700572543571653</v>
      </c>
    </row>
    <row r="444" spans="1:27" ht="26.4" x14ac:dyDescent="0.25">
      <c r="A444" s="55" t="s">
        <v>604</v>
      </c>
      <c r="B444" s="49" t="s">
        <v>607</v>
      </c>
      <c r="C444" s="21" t="s">
        <v>61</v>
      </c>
      <c r="D444" s="20" t="s">
        <v>454</v>
      </c>
      <c r="E444" s="20">
        <v>7753</v>
      </c>
      <c r="F444" s="21">
        <v>113000</v>
      </c>
      <c r="G444" s="21" t="s">
        <v>142</v>
      </c>
      <c r="H444" s="21">
        <v>0.69</v>
      </c>
      <c r="I444" s="68">
        <f>MAX('Max rate concentrations'!$H$3:$H$368)</f>
        <v>282</v>
      </c>
      <c r="J444" s="68">
        <f>MAX('Max rate concentrations'!AA:AA)</f>
        <v>195</v>
      </c>
      <c r="K444" s="70">
        <f t="shared" si="38"/>
        <v>26.946807122387018</v>
      </c>
      <c r="L444" s="70">
        <f t="shared" si="39"/>
        <v>18.633430456969748</v>
      </c>
      <c r="M444" s="70">
        <f>IF((((0.326*F444^0.818)-(0.398*F444^0.85)/(1-H444)*H444)*(MAX('Max rate concentrations'!$P$3:$P$368)))/F444&gt;0, (((0.326*F444^0.818)-(0.398*F444^0.85)/(1-H444)*H444)*(MAX('Max rate concentrations'!$P$3:$P$368)))/F444, 0)</f>
        <v>0</v>
      </c>
      <c r="N444" s="70">
        <f>IF((((0.326*F444^0.818)-(0.398*F444^0.85)/(1-H444)*H444)*(MAX('Max rate concentrations'!$Q$3:$Q$368)))/F444&gt; 0, (((0.326*F444^0.818)-(0.398*F444^0.85)/(1-H444)*H444)*(MAX('Max rate concentrations'!$Q$3:$Q$368)))/F444, 0)</f>
        <v>0</v>
      </c>
      <c r="O444" s="70">
        <f>((MAX('Max rate concentrations'!$F$3:$F$368))*0.62*6.01*8*(12.3*F444^0.65)*0.079*0.1/F444)*inputs!$E$73/inputs!$E$74</f>
        <v>4.6125790446588066</v>
      </c>
      <c r="P444" s="70">
        <f>((MAX('Max rate concentrations'!Y:Y))*0.62*6.01*8*(12.3*F444^0.65)*0.079*0.1/F444)*inputs!$E$73/inputs!$E$74</f>
        <v>1.5375263482196024</v>
      </c>
      <c r="Q444" s="70">
        <f>(inputs!$C$18*11.2*(12.3*F444^0.65)*0.5/F444)*inputs!$E$73/inputs!$E$74</f>
        <v>0.81248404312740241</v>
      </c>
      <c r="R444" s="60">
        <f>(60*379*((F444/1000)^0.8)*3*24*(MAX('Max rate concentrations'!$R$3:$R$368))/F444)*(inputs!$E$73/inputs!$E$75)</f>
        <v>4.2885750988636978E-3</v>
      </c>
      <c r="S444" s="60">
        <f>(IF(inputs!$C$17="aerial",((0.025*0.112*inputs!$C$18/3.3)*(3*60*379*((F444/1000)^0.8))*MAX(inputs!$I$14:$I$16))/F444,((0.0083*0.112*inputs!$C$18/1)*(3*60*379*((F444/1000)^0.8))*MAX(inputs!$I$14:$I$16))/F444))*(inputs!E$75/inputs!$E$73)</f>
        <v>2.3651755153036337E-2</v>
      </c>
      <c r="T444" s="63">
        <f>IF((((inputs!$P$13/(V444/MAX(K444:S444)))^(1/inputs!$O$13))-1)/inputs!$N$13&lt;0, 0, IF((((inputs!$P$13/(V444/MAX(K444:S444)))^(1/inputs!$O$13))-1)/inputs!$N$13&lt;inputs!$I$17, (((inputs!$P$13/(V444/MAX(K444:S444)))^(1/inputs!$O$13))-1)/inputs!$N$13, inputs!$I$17))</f>
        <v>1.5473795760186797</v>
      </c>
      <c r="U444" s="63">
        <f>IF((((inputs!$P$13/(X444/MAX(K444:S444)))^(1/inputs!$O$13))-1)/inputs!$N$13&lt;0, 0, IF((((inputs!$P$13/(X444/MAX(K444:S444)))^(1/inputs!$O$13))-1)/inputs!$N$13&lt;inputs!$I$17, (((inputs!$P$13/(X444/MAX(K444:S444)))^(1/inputs!$O$13))-1)/inputs!$N$13, inputs!$I$17))</f>
        <v>5.1965082157320781</v>
      </c>
      <c r="V444" s="54">
        <f>inputs!$E$70*(F444/inputs!$F$70)^(0.25)</f>
        <v>20.634268100135696</v>
      </c>
      <c r="W444" s="54">
        <f>inputs!$E$76*(F444/inputs!$F$76)^(0.25)</f>
        <v>1.4836130478309419</v>
      </c>
      <c r="X444" s="54">
        <f>inputs!$E$72*(inputs!$F$72/F444)^(0.25)</f>
        <v>12.110921443264401</v>
      </c>
      <c r="Y444" s="54" t="s">
        <v>13</v>
      </c>
      <c r="Z444" s="106">
        <f t="shared" si="36"/>
        <v>1.3059250268348412</v>
      </c>
      <c r="AA444" s="106">
        <f t="shared" si="37"/>
        <v>18.162961805831742</v>
      </c>
    </row>
    <row r="445" spans="1:27" ht="26.4" x14ac:dyDescent="0.25">
      <c r="A445" s="55" t="s">
        <v>604</v>
      </c>
      <c r="B445" s="49" t="s">
        <v>607</v>
      </c>
      <c r="C445" s="21" t="s">
        <v>61</v>
      </c>
      <c r="D445" s="20" t="s">
        <v>454</v>
      </c>
      <c r="E445" s="20">
        <v>7753</v>
      </c>
      <c r="F445" s="21">
        <v>113000</v>
      </c>
      <c r="G445" s="21" t="s">
        <v>218</v>
      </c>
      <c r="H445" s="21">
        <v>0.68</v>
      </c>
      <c r="I445" s="68">
        <f>MAX('Max rate concentrations'!$K$3:$K$368)</f>
        <v>110.00035859694511</v>
      </c>
      <c r="J445" s="68">
        <f>MAX('Max rate concentrations'!AC:AC)</f>
        <v>38.958460336418057</v>
      </c>
      <c r="K445" s="70">
        <f t="shared" si="38"/>
        <v>10.182725159758855</v>
      </c>
      <c r="L445" s="70">
        <f t="shared" si="39"/>
        <v>3.606381827414594</v>
      </c>
      <c r="M445" s="70">
        <f>IF((((0.326*F445^0.818)-(0.398*F445^0.85)/(1-H445)*H445)*(MAX('Max rate concentrations'!$P$3:$P$368)))/F445&gt;0, (((0.326*F445^0.818)-(0.398*F445^0.85)/(1-H445)*H445)*(MAX('Max rate concentrations'!$P$3:$P$368)))/F445, 0)</f>
        <v>0</v>
      </c>
      <c r="N445" s="70">
        <f>IF((((0.326*F445^0.818)-(0.398*F445^0.85)/(1-H445)*H445)*(MAX('Max rate concentrations'!$Q$3:$Q$368)))/F445&gt; 0, (((0.326*F445^0.818)-(0.398*F445^0.85)/(1-H445)*H445)*(MAX('Max rate concentrations'!$Q$3:$Q$368)))/F445, 0)</f>
        <v>0</v>
      </c>
      <c r="O445" s="70">
        <f>((MAX('Max rate concentrations'!$F$3:$F$368))*0.62*6.01*8*(12.3*F445^0.65)*0.079*0.1/F445)*inputs!$E$73/inputs!$E$74</f>
        <v>4.6125790446588066</v>
      </c>
      <c r="P445" s="70">
        <f>((MAX('Max rate concentrations'!Y:Y))*0.62*6.01*8*(12.3*F445^0.65)*0.079*0.1/F445)*inputs!$E$73/inputs!$E$74</f>
        <v>1.5375263482196024</v>
      </c>
      <c r="Q445" s="70">
        <f>(inputs!$C$18*11.2*(12.3*F445^0.65)*0.5/F445)*inputs!$E$73/inputs!$E$74</f>
        <v>0.81248404312740241</v>
      </c>
      <c r="R445" s="60">
        <f>(60*379*((F445/1000)^0.8)*3*24*(MAX('Max rate concentrations'!$R$3:$R$368))/F445)*(inputs!$E$73/inputs!$E$75)</f>
        <v>4.2885750988636978E-3</v>
      </c>
      <c r="S445" s="60">
        <f>(IF(inputs!$C$17="aerial",((0.025*0.112*inputs!$C$18/3.3)*(3*60*379*((F445/1000)^0.8))*MAX(inputs!$I$14:$I$16))/F445,((0.0083*0.112*inputs!$C$18/1)*(3*60*379*((F445/1000)^0.8))*MAX(inputs!$I$14:$I$16))/F445))*(inputs!E$75/inputs!$E$73)</f>
        <v>2.3651755153036337E-2</v>
      </c>
      <c r="T445" s="63">
        <f>IF((((inputs!$P$13/(V445/MAX(K445:S445)))^(1/inputs!$O$13))-1)/inputs!$N$13&lt;0, 0, IF((((inputs!$P$13/(V445/MAX(K445:S445)))^(1/inputs!$O$13))-1)/inputs!$N$13&lt;inputs!$I$17, (((inputs!$P$13/(V445/MAX(K445:S445)))^(1/inputs!$O$13))-1)/inputs!$N$13, inputs!$I$17))</f>
        <v>0</v>
      </c>
      <c r="U445" s="63">
        <f>IF((((inputs!$P$13/(X445/MAX(K445:S445)))^(1/inputs!$O$13))-1)/inputs!$N$13&lt;0, 0, IF((((inputs!$P$13/(X445/MAX(K445:S445)))^(1/inputs!$O$13))-1)/inputs!$N$13&lt;inputs!$I$17, (((inputs!$P$13/(X445/MAX(K445:S445)))^(1/inputs!$O$13))-1)/inputs!$N$13, inputs!$I$17))</f>
        <v>0</v>
      </c>
      <c r="V445" s="54">
        <f>inputs!$E$70*(F445/inputs!$F$70)^(0.25)</f>
        <v>20.634268100135696</v>
      </c>
      <c r="W445" s="54">
        <f>inputs!$E$76*(F445/inputs!$F$76)^(0.25)</f>
        <v>1.4836130478309419</v>
      </c>
      <c r="X445" s="54">
        <f>inputs!$E$72*(inputs!$F$72/F445)^(0.25)</f>
        <v>12.110921443264401</v>
      </c>
      <c r="Y445" s="54" t="s">
        <v>13</v>
      </c>
      <c r="Z445" s="106">
        <f t="shared" si="36"/>
        <v>0.49348613240572803</v>
      </c>
      <c r="AA445" s="106">
        <f t="shared" si="37"/>
        <v>6.8634642804241359</v>
      </c>
    </row>
    <row r="446" spans="1:27" ht="26.4" x14ac:dyDescent="0.25">
      <c r="A446" s="55" t="s">
        <v>604</v>
      </c>
      <c r="B446" s="49" t="s">
        <v>607</v>
      </c>
      <c r="C446" s="21" t="s">
        <v>61</v>
      </c>
      <c r="D446" s="20" t="s">
        <v>454</v>
      </c>
      <c r="E446" s="20">
        <v>7753</v>
      </c>
      <c r="F446" s="21">
        <v>113000</v>
      </c>
      <c r="G446" s="21" t="s">
        <v>186</v>
      </c>
      <c r="H446" s="21">
        <v>0.75</v>
      </c>
      <c r="I446" s="68">
        <f>inputs!$C$66*inputs!$C$64/1000</f>
        <v>21.3</v>
      </c>
      <c r="J446" s="68">
        <f>inputs!$C$66*inputs!$C$63/1000</f>
        <v>8.8000000000000007</v>
      </c>
      <c r="K446" s="70">
        <f t="shared" si="38"/>
        <v>2.5238264883563333</v>
      </c>
      <c r="L446" s="70">
        <f t="shared" si="39"/>
        <v>1.0427076571613021</v>
      </c>
      <c r="M446" s="70">
        <f>IF((((0.326*F446^0.818)-(0.398*F446^0.85)/(1-H446)*H446)*(MAX('Max rate concentrations'!$P$3:$P$368)))/F446&gt;0, (((0.326*F446^0.818)-(0.398*F446^0.85)/(1-H446)*H446)*(MAX('Max rate concentrations'!$P$3:$P$368)))/F446, 0)</f>
        <v>0</v>
      </c>
      <c r="N446" s="70">
        <f>IF((((0.326*F446^0.818)-(0.398*F446^0.85)/(1-H446)*H446)*(MAX('Max rate concentrations'!$Q$3:$Q$368)))/F446&gt; 0, (((0.326*F446^0.818)-(0.398*F446^0.85)/(1-H446)*H446)*(MAX('Max rate concentrations'!$Q$3:$Q$368)))/F446, 0)</f>
        <v>0</v>
      </c>
      <c r="O446" s="70">
        <f>((MAX('Max rate concentrations'!$F$3:$F$368))*0.62*6.01*8*(12.3*F446^0.65)*0.079*0.1/F446)*inputs!$E$73/inputs!$E$74</f>
        <v>4.6125790446588066</v>
      </c>
      <c r="P446" s="70">
        <f>((MAX('Max rate concentrations'!Y:Y))*0.62*6.01*8*(12.3*F446^0.65)*0.079*0.1/F446)*inputs!$E$73/inputs!$E$74</f>
        <v>1.5375263482196024</v>
      </c>
      <c r="Q446" s="70">
        <f>(inputs!$C$18*11.2*(12.3*F446^0.65)*0.5/F446)*inputs!$E$73/inputs!$E$74</f>
        <v>0.81248404312740241</v>
      </c>
      <c r="R446" s="60">
        <f>(60*379*((F446/1000)^0.8)*3*24*(MAX('Max rate concentrations'!$R$3:$R$368))/F446)*(inputs!$E$73/inputs!$E$75)</f>
        <v>4.2885750988636978E-3</v>
      </c>
      <c r="S446" s="60">
        <f>(IF(inputs!$C$17="aerial",((0.025*0.112*inputs!$C$18/3.3)*(3*60*379*((F446/1000)^0.8))*MAX(inputs!$I$14:$I$16))/F446,((0.0083*0.112*inputs!$C$18/1)*(3*60*379*((F446/1000)^0.8))*MAX(inputs!$I$14:$I$16))/F446))*(inputs!E$75/inputs!$E$73)</f>
        <v>2.3651755153036337E-2</v>
      </c>
      <c r="T446" s="63">
        <f>IF((((inputs!$P$13/(V446/MAX(K446:S446)))^(1/inputs!$O$13))-1)/inputs!$N$13&lt;0, 0, IF((((inputs!$P$13/(V446/MAX(K446:S446)))^(1/inputs!$O$13))-1)/inputs!$N$13&lt;inputs!$I$17, (((inputs!$P$13/(V446/MAX(K446:S446)))^(1/inputs!$O$13))-1)/inputs!$N$13, inputs!$I$17))</f>
        <v>0</v>
      </c>
      <c r="U446" s="63">
        <f>IF((((inputs!$P$13/(X446/MAX(K446:S446)))^(1/inputs!$O$13))-1)/inputs!$N$13&lt;0, 0, IF((((inputs!$P$13/(X446/MAX(K446:S446)))^(1/inputs!$O$13))-1)/inputs!$N$13&lt;inputs!$I$17, (((inputs!$P$13/(X446/MAX(K446:S446)))^(1/inputs!$O$13))-1)/inputs!$N$13, inputs!$I$17))</f>
        <v>0</v>
      </c>
      <c r="V446" s="54">
        <f>inputs!$E$70*(F446/inputs!$F$70)^(0.25)</f>
        <v>20.634268100135696</v>
      </c>
      <c r="W446" s="54">
        <f>inputs!$E$76*(F446/inputs!$F$76)^(0.25)</f>
        <v>1.4836130478309419</v>
      </c>
      <c r="X446" s="54">
        <f>inputs!$E$72*(inputs!$F$72/F446)^(0.25)</f>
        <v>12.110921443264401</v>
      </c>
      <c r="Y446" s="54" t="s">
        <v>13</v>
      </c>
      <c r="Z446" s="106">
        <f t="shared" si="36"/>
        <v>0.22353974574113794</v>
      </c>
      <c r="AA446" s="106">
        <f t="shared" si="37"/>
        <v>3.1090175780015188</v>
      </c>
    </row>
    <row r="447" spans="1:27" ht="26.4" x14ac:dyDescent="0.25">
      <c r="A447" s="55" t="s">
        <v>604</v>
      </c>
      <c r="B447" s="49" t="s">
        <v>607</v>
      </c>
      <c r="C447" s="21" t="s">
        <v>61</v>
      </c>
      <c r="D447" s="20" t="s">
        <v>454</v>
      </c>
      <c r="E447" s="20">
        <v>7753</v>
      </c>
      <c r="F447" s="21">
        <v>113000</v>
      </c>
      <c r="G447" s="21" t="s">
        <v>152</v>
      </c>
      <c r="H447" s="21">
        <v>0.77</v>
      </c>
      <c r="I447" s="68">
        <f>MAX('Max rate concentrations'!$G$3:$G$368)</f>
        <v>45</v>
      </c>
      <c r="J447" s="68">
        <f>MAX('Max rate concentrations'!Z:Z)</f>
        <v>21</v>
      </c>
      <c r="K447" s="70">
        <f t="shared" si="38"/>
        <v>5.7956823829370787</v>
      </c>
      <c r="L447" s="70">
        <f t="shared" si="39"/>
        <v>2.7046517787039703</v>
      </c>
      <c r="M447" s="70">
        <f>IF((((0.326*F447^0.818)-(0.398*F447^0.85)/(1-H447)*H447)*(MAX('Max rate concentrations'!$P$3:$P$368)))/F447&gt;0, (((0.326*F447^0.818)-(0.398*F447^0.85)/(1-H447)*H447)*(MAX('Max rate concentrations'!$P$3:$P$368)))/F447, 0)</f>
        <v>0</v>
      </c>
      <c r="N447" s="70">
        <f>IF((((0.326*F447^0.818)-(0.398*F447^0.85)/(1-H447)*H447)*(MAX('Max rate concentrations'!$Q$3:$Q$368)))/F447&gt; 0, (((0.326*F447^0.818)-(0.398*F447^0.85)/(1-H447)*H447)*(MAX('Max rate concentrations'!$Q$3:$Q$368)))/F447, 0)</f>
        <v>0</v>
      </c>
      <c r="O447" s="70">
        <f>((MAX('Max rate concentrations'!$F$3:$F$368))*0.62*6.01*8*(12.3*F447^0.65)*0.079*0.1/F447)*inputs!$E$73/inputs!$E$74</f>
        <v>4.6125790446588066</v>
      </c>
      <c r="P447" s="70">
        <f>((MAX('Max rate concentrations'!Y:Y))*0.62*6.01*8*(12.3*F447^0.65)*0.079*0.1/F447)*inputs!$E$73/inputs!$E$74</f>
        <v>1.5375263482196024</v>
      </c>
      <c r="Q447" s="70">
        <f>(inputs!$C$18*11.2*(12.3*F447^0.65)*0.5/F447)*inputs!$E$73/inputs!$E$74</f>
        <v>0.81248404312740241</v>
      </c>
      <c r="R447" s="60">
        <f>(60*379*((F447/1000)^0.8)*3*24*(MAX('Max rate concentrations'!$R$3:$R$368))/F447)*(inputs!$E$73/inputs!$E$75)</f>
        <v>4.2885750988636978E-3</v>
      </c>
      <c r="S447" s="60">
        <f>(IF(inputs!$C$17="aerial",((0.025*0.112*inputs!$C$18/3.3)*(3*60*379*((F447/1000)^0.8))*MAX(inputs!$I$14:$I$16))/F447,((0.0083*0.112*inputs!$C$18/1)*(3*60*379*((F447/1000)^0.8))*MAX(inputs!$I$14:$I$16))/F447))*(inputs!E$75/inputs!$E$73)</f>
        <v>2.3651755153036337E-2</v>
      </c>
      <c r="T447" s="63">
        <f>IF((((inputs!$P$13/(V447/MAX(K447:S447)))^(1/inputs!$O$13))-1)/inputs!$N$13&lt;0, 0, IF((((inputs!$P$13/(V447/MAX(K447:S447)))^(1/inputs!$O$13))-1)/inputs!$N$13&lt;inputs!$I$17, (((inputs!$P$13/(V447/MAX(K447:S447)))^(1/inputs!$O$13))-1)/inputs!$N$13, inputs!$I$17))</f>
        <v>0</v>
      </c>
      <c r="U447" s="63">
        <f>IF((((inputs!$P$13/(X447/MAX(K447:S447)))^(1/inputs!$O$13))-1)/inputs!$N$13&lt;0, 0, IF((((inputs!$P$13/(X447/MAX(K447:S447)))^(1/inputs!$O$13))-1)/inputs!$N$13&lt;inputs!$I$17, (((inputs!$P$13/(X447/MAX(K447:S447)))^(1/inputs!$O$13))-1)/inputs!$N$13, inputs!$I$17))</f>
        <v>0</v>
      </c>
      <c r="V447" s="54">
        <f>inputs!$E$70*(F447/inputs!$F$70)^(0.25)</f>
        <v>20.634268100135696</v>
      </c>
      <c r="W447" s="54">
        <f>inputs!$E$76*(F447/inputs!$F$76)^(0.25)</f>
        <v>1.4836130478309419</v>
      </c>
      <c r="X447" s="54">
        <f>inputs!$E$72*(inputs!$F$72/F447)^(0.25)</f>
        <v>12.110921443264401</v>
      </c>
      <c r="Y447" s="54" t="s">
        <v>13</v>
      </c>
      <c r="Z447" s="106">
        <f t="shared" si="36"/>
        <v>0.28087656682618006</v>
      </c>
      <c r="AA447" s="106">
        <f t="shared" si="37"/>
        <v>3.9064649582385567</v>
      </c>
    </row>
    <row r="448" spans="1:27" ht="26.4" x14ac:dyDescent="0.25">
      <c r="A448" s="55" t="s">
        <v>604</v>
      </c>
      <c r="B448" s="49" t="s">
        <v>607</v>
      </c>
      <c r="C448" s="21" t="s">
        <v>61</v>
      </c>
      <c r="D448" s="20" t="s">
        <v>454</v>
      </c>
      <c r="E448" s="20">
        <v>7753</v>
      </c>
      <c r="F448" s="21">
        <v>113000</v>
      </c>
      <c r="G448" s="21" t="s">
        <v>169</v>
      </c>
      <c r="H448" s="21">
        <v>0.79</v>
      </c>
      <c r="I448" s="68">
        <f>MAX('Max rate concentrations'!$D$3:$D$368)</f>
        <v>720</v>
      </c>
      <c r="J448" s="68">
        <f>MAX('Max rate concentrations'!W:W)</f>
        <v>255</v>
      </c>
      <c r="K448" s="70">
        <f t="shared" si="38"/>
        <v>101.56243413908788</v>
      </c>
      <c r="L448" s="70">
        <f t="shared" si="39"/>
        <v>35.970028757593624</v>
      </c>
      <c r="M448" s="70">
        <f>IF((((0.326*F448^0.818)-(0.398*F448^0.85)/(1-H448)*H448)*(MAX('Max rate concentrations'!$P$3:$P$368)))/F448&gt;0, (((0.326*F448^0.818)-(0.398*F448^0.85)/(1-H448)*H448)*(MAX('Max rate concentrations'!$P$3:$P$368)))/F448, 0)</f>
        <v>0</v>
      </c>
      <c r="N448" s="70">
        <f>IF((((0.326*F448^0.818)-(0.398*F448^0.85)/(1-H448)*H448)*(MAX('Max rate concentrations'!$Q$3:$Q$368)))/F448&gt; 0, (((0.326*F448^0.818)-(0.398*F448^0.85)/(1-H448)*H448)*(MAX('Max rate concentrations'!$Q$3:$Q$368)))/F448, 0)</f>
        <v>0</v>
      </c>
      <c r="O448" s="70">
        <f>((MAX('Max rate concentrations'!$F$3:$F$368))*0.62*6.01*8*(12.3*F448^0.65)*0.079*0.1/F448)*inputs!$E$73/inputs!$E$74</f>
        <v>4.6125790446588066</v>
      </c>
      <c r="P448" s="70">
        <f>((MAX('Max rate concentrations'!Y:Y))*0.62*6.01*8*(12.3*F448^0.65)*0.079*0.1/F448)*inputs!$E$73/inputs!$E$74</f>
        <v>1.5375263482196024</v>
      </c>
      <c r="Q448" s="70">
        <f>(inputs!$C$18*11.2*(12.3*F448^0.65)*0.5/F448)*inputs!$E$73/inputs!$E$74</f>
        <v>0.81248404312740241</v>
      </c>
      <c r="R448" s="60">
        <f>(60*379*((F448/1000)^0.8)*3*24*(MAX('Max rate concentrations'!$R$3:$R$368))/F448)*(inputs!$E$73/inputs!$E$75)</f>
        <v>4.2885750988636978E-3</v>
      </c>
      <c r="S448" s="60">
        <f>(IF(inputs!$C$17="aerial",((0.025*0.112*inputs!$C$18/3.3)*(3*60*379*((F448/1000)^0.8))*MAX(inputs!$I$14:$I$16))/F448,((0.0083*0.112*inputs!$C$18/1)*(3*60*379*((F448/1000)^0.8))*MAX(inputs!$I$14:$I$16))/F448))*(inputs!E$75/inputs!$E$73)</f>
        <v>2.3651755153036337E-2</v>
      </c>
      <c r="T448" s="63">
        <f>IF((((inputs!$P$13/(V448/MAX(K448:S448)))^(1/inputs!$O$13))-1)/inputs!$N$13&lt;0, 0, IF((((inputs!$P$13/(V448/MAX(K448:S448)))^(1/inputs!$O$13))-1)/inputs!$N$13&lt;inputs!$I$17, (((inputs!$P$13/(V448/MAX(K448:S448)))^(1/inputs!$O$13))-1)/inputs!$N$13, inputs!$I$17))</f>
        <v>14.5819718187663</v>
      </c>
      <c r="U448" s="63">
        <f>IF((((inputs!$P$13/(X448/MAX(K448:S448)))^(1/inputs!$O$13))-1)/inputs!$N$13&lt;0, 0, IF((((inputs!$P$13/(X448/MAX(K448:S448)))^(1/inputs!$O$13))-1)/inputs!$N$13&lt;inputs!$I$17, (((inputs!$P$13/(X448/MAX(K448:S448)))^(1/inputs!$O$13))-1)/inputs!$N$13, inputs!$I$17))</f>
        <v>25.251987674333527</v>
      </c>
      <c r="V448" s="54">
        <f>inputs!$E$70*(F448/inputs!$F$70)^(0.25)</f>
        <v>20.634268100135696</v>
      </c>
      <c r="W448" s="54">
        <f>inputs!$E$76*(F448/inputs!$F$76)^(0.25)</f>
        <v>1.4836130478309419</v>
      </c>
      <c r="X448" s="54">
        <f>inputs!$E$72*(inputs!$F$72/F448)^(0.25)</f>
        <v>12.110921443264401</v>
      </c>
      <c r="Y448" s="54" t="s">
        <v>13</v>
      </c>
      <c r="Z448" s="106">
        <f t="shared" si="36"/>
        <v>4.9220274567635371</v>
      </c>
      <c r="AA448" s="106">
        <f t="shared" si="37"/>
        <v>68.456147839609017</v>
      </c>
    </row>
    <row r="449" spans="1:27" ht="26.4" x14ac:dyDescent="0.25">
      <c r="A449" s="55" t="s">
        <v>604</v>
      </c>
      <c r="B449" s="49" t="s">
        <v>607</v>
      </c>
      <c r="C449" s="21" t="s">
        <v>61</v>
      </c>
      <c r="D449" s="20" t="s">
        <v>454</v>
      </c>
      <c r="E449" s="20">
        <v>7753</v>
      </c>
      <c r="F449" s="21">
        <v>113000</v>
      </c>
      <c r="G449" s="21" t="s">
        <v>580</v>
      </c>
      <c r="H449" s="21">
        <v>0.85</v>
      </c>
      <c r="I449" s="68">
        <f>MAX('Max rate concentrations'!$F$3:$F$368)</f>
        <v>405</v>
      </c>
      <c r="J449" s="68">
        <f>MAX('Max rate concentrations'!Y:Y)</f>
        <v>135</v>
      </c>
      <c r="K449" s="70">
        <f t="shared" si="38"/>
        <v>79.980416884531692</v>
      </c>
      <c r="L449" s="70">
        <f t="shared" si="39"/>
        <v>26.660138961510558</v>
      </c>
      <c r="M449" s="70">
        <f>IF((((0.326*F449^0.818)-(0.398*F449^0.85)/(1-H449)*H449)*(MAX('Max rate concentrations'!$P$3:$P$368)))/F449&gt;0, (((0.326*F449^0.818)-(0.398*F449^0.85)/(1-H449)*H449)*(MAX('Max rate concentrations'!$P$3:$P$368)))/F449, 0)</f>
        <v>0</v>
      </c>
      <c r="N449" s="70">
        <f>IF((((0.326*F449^0.818)-(0.398*F449^0.85)/(1-H449)*H449)*(MAX('Max rate concentrations'!$Q$3:$Q$368)))/F449&gt; 0, (((0.326*F449^0.818)-(0.398*F449^0.85)/(1-H449)*H449)*(MAX('Max rate concentrations'!$Q$3:$Q$368)))/F449, 0)</f>
        <v>0</v>
      </c>
      <c r="O449" s="70">
        <f>((MAX('Max rate concentrations'!$F$3:$F$368))*0.62*6.01*8*(12.3*F449^0.65)*0.079*0.1/F449)*inputs!$E$73/inputs!$E$74</f>
        <v>4.6125790446588066</v>
      </c>
      <c r="P449" s="70">
        <f>((MAX('Max rate concentrations'!Y:Y))*0.62*6.01*8*(12.3*F449^0.65)*0.079*0.1/F449)*inputs!$E$73/inputs!$E$74</f>
        <v>1.5375263482196024</v>
      </c>
      <c r="Q449" s="70">
        <f>(inputs!$C$18*11.2*(12.3*F449^0.65)*0.5/F449)*inputs!$E$73/inputs!$E$74</f>
        <v>0.81248404312740241</v>
      </c>
      <c r="R449" s="60">
        <f>(60*379*((F449/1000)^0.8)*3*24*(MAX('Max rate concentrations'!$R$3:$R$368))/F449)*(inputs!$E$73/inputs!$E$75)</f>
        <v>4.2885750988636978E-3</v>
      </c>
      <c r="S449" s="60">
        <f>(IF(inputs!$C$17="aerial",((0.025*0.112*inputs!$C$18/3.3)*(3*60*379*((F449/1000)^0.8))*MAX(inputs!$I$14:$I$16))/F449,((0.0083*0.112*inputs!$C$18/1)*(3*60*379*((F449/1000)^0.8))*MAX(inputs!$I$14:$I$16))/F449))*(inputs!E$75/inputs!$E$73)</f>
        <v>2.3651755153036337E-2</v>
      </c>
      <c r="T449" s="63">
        <f>IF((((inputs!$P$13/(V449/MAX(K449:S449)))^(1/inputs!$O$13))-1)/inputs!$N$13&lt;0, 0, IF((((inputs!$P$13/(V449/MAX(K449:S449)))^(1/inputs!$O$13))-1)/inputs!$N$13&lt;inputs!$I$17, (((inputs!$P$13/(V449/MAX(K449:S449)))^(1/inputs!$O$13))-1)/inputs!$N$13, inputs!$I$17))</f>
        <v>11.102058995024434</v>
      </c>
      <c r="U449" s="63">
        <f>IF((((inputs!$P$13/(X449/MAX(K449:S449)))^(1/inputs!$O$13))-1)/inputs!$N$13&lt;0, 0, IF((((inputs!$P$13/(X449/MAX(K449:S449)))^(1/inputs!$O$13))-1)/inputs!$N$13&lt;inputs!$I$17, (((inputs!$P$13/(X449/MAX(K449:S449)))^(1/inputs!$O$13))-1)/inputs!$N$13, inputs!$I$17))</f>
        <v>19.897672107376664</v>
      </c>
      <c r="V449" s="54">
        <f>inputs!$E$70*(F449/inputs!$F$70)^(0.25)</f>
        <v>20.634268100135696</v>
      </c>
      <c r="W449" s="54">
        <f>inputs!$E$76*(F449/inputs!$F$76)^(0.25)</f>
        <v>1.4836130478309419</v>
      </c>
      <c r="X449" s="54">
        <f>inputs!$E$72*(inputs!$F$72/F449)^(0.25)</f>
        <v>12.110921443264401</v>
      </c>
      <c r="Y449" s="54" t="s">
        <v>13</v>
      </c>
      <c r="Z449" s="106">
        <f t="shared" si="36"/>
        <v>3.8760966222012847</v>
      </c>
      <c r="AA449" s="106">
        <f t="shared" si="37"/>
        <v>53.909216423692087</v>
      </c>
    </row>
    <row r="450" spans="1:27" ht="26.4" x14ac:dyDescent="0.25">
      <c r="A450" s="55" t="s">
        <v>604</v>
      </c>
      <c r="B450" s="49" t="s">
        <v>607</v>
      </c>
      <c r="C450" s="21" t="s">
        <v>61</v>
      </c>
      <c r="D450" s="20" t="s">
        <v>454</v>
      </c>
      <c r="E450" s="20">
        <v>7753</v>
      </c>
      <c r="F450" s="21">
        <v>113000</v>
      </c>
      <c r="G450" s="21" t="s">
        <v>455</v>
      </c>
      <c r="H450" s="21">
        <v>0.68</v>
      </c>
      <c r="I450" s="71">
        <f>MAX('Max rate concentrations'!$K$3:$K$368)</f>
        <v>110.00035859694511</v>
      </c>
      <c r="J450" s="71">
        <f>MAX('Max rate concentrations'!AC:AC)</f>
        <v>38.958460336418057</v>
      </c>
      <c r="K450" s="70">
        <f t="shared" si="38"/>
        <v>10.182725159758855</v>
      </c>
      <c r="L450" s="70">
        <f t="shared" si="39"/>
        <v>3.606381827414594</v>
      </c>
      <c r="M450" s="70">
        <f>IF((((0.326*F450^0.818)-(0.398*F450^0.85)/(1-H450)*H450)*(MAX('Max rate concentrations'!$P$3:$P$368)))/F450&gt;0, (((0.326*F450^0.818)-(0.398*F450^0.85)/(1-H450)*H450)*(MAX('Max rate concentrations'!$P$3:$P$368)))/F450, 0)</f>
        <v>0</v>
      </c>
      <c r="N450" s="70">
        <f>IF((((0.326*F450^0.818)-(0.398*F450^0.85)/(1-H450)*H450)*(MAX('Max rate concentrations'!$Q$3:$Q$368)))/F450&gt; 0, (((0.326*F450^0.818)-(0.398*F450^0.85)/(1-H450)*H450)*(MAX('Max rate concentrations'!$Q$3:$Q$368)))/F450, 0)</f>
        <v>0</v>
      </c>
      <c r="O450" s="70">
        <f>((MAX('Max rate concentrations'!$F$3:$F$368))*0.62*6.01*8*(12.3*F450^0.65)*0.079*0.1/F450)*inputs!$E$73/inputs!$E$74</f>
        <v>4.6125790446588066</v>
      </c>
      <c r="P450" s="70">
        <f>((MAX('Max rate concentrations'!Y:Y))*0.62*6.01*8*(12.3*F450^0.65)*0.079*0.1/F450)*inputs!$E$73/inputs!$E$74</f>
        <v>1.5375263482196024</v>
      </c>
      <c r="Q450" s="70">
        <f>(inputs!$C$18*11.2*(12.3*F450^0.65)*0.5/F450)*inputs!$E$73/inputs!$E$74</f>
        <v>0.81248404312740241</v>
      </c>
      <c r="R450" s="60">
        <f>(60*379*((F450/1000)^0.8)*3*24*(MAX('Max rate concentrations'!$R$3:$R$368))/F450)*(inputs!$E$73/inputs!$E$75)</f>
        <v>4.2885750988636978E-3</v>
      </c>
      <c r="S450" s="60">
        <f>(IF(inputs!$C$17="aerial",((0.025*0.112*inputs!$C$18/3.3)*(3*60*379*((F450/1000)^0.8))*MAX(inputs!$I$14:$I$16))/F450,((0.0083*0.112*inputs!$C$18/1)*(3*60*379*((F450/1000)^0.8))*MAX(inputs!$I$14:$I$16))/F450))*(inputs!E$75/inputs!$E$73)</f>
        <v>2.3651755153036337E-2</v>
      </c>
      <c r="T450" s="63">
        <f>IF((((inputs!$P$13/(V450/MAX(K450:S450)))^(1/inputs!$O$13))-1)/inputs!$N$13&lt;0, 0, IF((((inputs!$P$13/(V450/MAX(K450:S450)))^(1/inputs!$O$13))-1)/inputs!$N$13&lt;inputs!$I$17, (((inputs!$P$13/(V450/MAX(K450:S450)))^(1/inputs!$O$13))-1)/inputs!$N$13, inputs!$I$17))</f>
        <v>0</v>
      </c>
      <c r="U450" s="63">
        <f>IF((((inputs!$P$13/(X450/MAX(K450:S450)))^(1/inputs!$O$13))-1)/inputs!$N$13&lt;0, 0, IF((((inputs!$P$13/(X450/MAX(K450:S450)))^(1/inputs!$O$13))-1)/inputs!$N$13&lt;inputs!$I$17, (((inputs!$P$13/(X450/MAX(K450:S450)))^(1/inputs!$O$13))-1)/inputs!$N$13, inputs!$I$17))</f>
        <v>0</v>
      </c>
      <c r="V450" s="54">
        <f>inputs!$E$70*(F450/inputs!$F$70)^(0.25)</f>
        <v>20.634268100135696</v>
      </c>
      <c r="W450" s="54">
        <f>inputs!$E$76*(F450/inputs!$F$76)^(0.25)</f>
        <v>1.4836130478309419</v>
      </c>
      <c r="X450" s="54">
        <f>inputs!$E$72*(inputs!$F$72/F450)^(0.25)</f>
        <v>12.110921443264401</v>
      </c>
      <c r="Y450" s="54" t="s">
        <v>13</v>
      </c>
      <c r="Z450" s="106">
        <f t="shared" si="36"/>
        <v>0.49348613240572803</v>
      </c>
      <c r="AA450" s="106">
        <f t="shared" si="37"/>
        <v>6.8634642804241359</v>
      </c>
    </row>
    <row r="451" spans="1:27" ht="26.4" x14ac:dyDescent="0.25">
      <c r="A451" s="55" t="s">
        <v>604</v>
      </c>
      <c r="B451" s="49" t="s">
        <v>607</v>
      </c>
      <c r="C451" s="21" t="s">
        <v>61</v>
      </c>
      <c r="D451" s="20" t="s">
        <v>454</v>
      </c>
      <c r="E451" s="20">
        <v>7753</v>
      </c>
      <c r="F451" s="21">
        <v>113000</v>
      </c>
      <c r="G451" s="21" t="s">
        <v>456</v>
      </c>
      <c r="H451" s="21">
        <v>0.68</v>
      </c>
      <c r="I451" s="68">
        <f>MAX('Max rate concentrations'!$J$3:$J$368)</f>
        <v>686.46486205830786</v>
      </c>
      <c r="J451" s="68">
        <f>MAX('Max rate concentrations'!AB:AB)</f>
        <v>243.122971978984</v>
      </c>
      <c r="K451" s="70">
        <f t="shared" si="38"/>
        <v>63.546002134266217</v>
      </c>
      <c r="L451" s="70">
        <f t="shared" si="39"/>
        <v>22.505875755885949</v>
      </c>
      <c r="M451" s="70">
        <f>IF((((0.326*F451^0.818)-(0.398*F451^0.85)/(1-H451)*H451)*(MAX('Max rate concentrations'!$P$3:$P$368)))/F451&gt;0, (((0.326*F451^0.818)-(0.398*F451^0.85)/(1-H451)*H451)*(MAX('Max rate concentrations'!$P$3:$P$368)))/F451, 0)</f>
        <v>0</v>
      </c>
      <c r="N451" s="70">
        <f>IF((((0.326*F451^0.818)-(0.398*F451^0.85)/(1-H451)*H451)*(MAX('Max rate concentrations'!$Q$3:$Q$368)))/F451&gt; 0, (((0.326*F451^0.818)-(0.398*F451^0.85)/(1-H451)*H451)*(MAX('Max rate concentrations'!$Q$3:$Q$368)))/F451, 0)</f>
        <v>0</v>
      </c>
      <c r="O451" s="70">
        <f>((MAX('Max rate concentrations'!$F$3:$F$368))*0.62*6.01*8*(12.3*F451^0.65)*0.079*0.1/F451)*inputs!$E$73/inputs!$E$74</f>
        <v>4.6125790446588066</v>
      </c>
      <c r="P451" s="70">
        <f>((MAX('Max rate concentrations'!Y:Y))*0.62*6.01*8*(12.3*F451^0.65)*0.079*0.1/F451)*inputs!$E$73/inputs!$E$74</f>
        <v>1.5375263482196024</v>
      </c>
      <c r="Q451" s="70">
        <f>(inputs!$C$18*11.2*(12.3*F451^0.65)*0.5/F451)*inputs!$E$73/inputs!$E$74</f>
        <v>0.81248404312740241</v>
      </c>
      <c r="R451" s="60">
        <f>(60*379*((F451/1000)^0.8)*3*24*(MAX('Max rate concentrations'!$R$3:$R$368))/F451)*(inputs!$E$73/inputs!$E$75)</f>
        <v>4.2885750988636978E-3</v>
      </c>
      <c r="S451" s="60">
        <f>(IF(inputs!$C$17="aerial",((0.025*0.112*inputs!$C$18/3.3)*(3*60*379*((F451/1000)^0.8))*MAX(inputs!$I$14:$I$16))/F451,((0.0083*0.112*inputs!$C$18/1)*(3*60*379*((F451/1000)^0.8))*MAX(inputs!$I$14:$I$16))/F451))*(inputs!E$75/inputs!$E$73)</f>
        <v>2.3651755153036337E-2</v>
      </c>
      <c r="T451" s="63">
        <f>IF((((inputs!$P$13/(V451/MAX(K451:S451)))^(1/inputs!$O$13))-1)/inputs!$N$13&lt;0, 0, IF((((inputs!$P$13/(V451/MAX(K451:S451)))^(1/inputs!$O$13))-1)/inputs!$N$13&lt;inputs!$I$17, (((inputs!$P$13/(V451/MAX(K451:S451)))^(1/inputs!$O$13))-1)/inputs!$N$13, inputs!$I$17))</f>
        <v>8.3304090077370088</v>
      </c>
      <c r="U451" s="63">
        <f>IF((((inputs!$P$13/(X451/MAX(K451:S451)))^(1/inputs!$O$13))-1)/inputs!$N$13&lt;0, 0, IF((((inputs!$P$13/(X451/MAX(K451:S451)))^(1/inputs!$O$13))-1)/inputs!$N$13&lt;inputs!$I$17, (((inputs!$P$13/(X451/MAX(K451:S451)))^(1/inputs!$O$13))-1)/inputs!$N$13, inputs!$I$17))</f>
        <v>15.633114509312625</v>
      </c>
      <c r="V451" s="54">
        <f>inputs!$E$70*(F451/inputs!$F$70)^(0.25)</f>
        <v>20.634268100135696</v>
      </c>
      <c r="W451" s="54">
        <f>inputs!$E$76*(F451/inputs!$F$76)^(0.25)</f>
        <v>1.4836130478309419</v>
      </c>
      <c r="X451" s="54">
        <f>inputs!$E$72*(inputs!$F$72/F451)^(0.25)</f>
        <v>12.110921443264401</v>
      </c>
      <c r="Y451" s="54" t="s">
        <v>13</v>
      </c>
      <c r="Z451" s="106">
        <f t="shared" si="36"/>
        <v>3.0796344132917572</v>
      </c>
      <c r="AA451" s="106">
        <f t="shared" si="37"/>
        <v>42.831924555510717</v>
      </c>
    </row>
    <row r="452" spans="1:27" ht="13.2" x14ac:dyDescent="0.25">
      <c r="A452" s="55" t="s">
        <v>604</v>
      </c>
      <c r="B452" s="49" t="s">
        <v>608</v>
      </c>
      <c r="C452" s="21" t="s">
        <v>61</v>
      </c>
      <c r="D452" s="20" t="s">
        <v>454</v>
      </c>
      <c r="E452" s="20">
        <v>1302</v>
      </c>
      <c r="F452" s="21">
        <v>113000</v>
      </c>
      <c r="G452" s="21" t="s">
        <v>142</v>
      </c>
      <c r="H452" s="21">
        <v>0.69</v>
      </c>
      <c r="I452" s="68">
        <f>MAX('Max rate concentrations'!$H$3:$H$368)</f>
        <v>282</v>
      </c>
      <c r="J452" s="68">
        <f>MAX('Max rate concentrations'!AA:AA)</f>
        <v>195</v>
      </c>
      <c r="K452" s="70">
        <f t="shared" si="38"/>
        <v>26.946807122387018</v>
      </c>
      <c r="L452" s="70">
        <f t="shared" si="39"/>
        <v>18.633430456969748</v>
      </c>
      <c r="M452" s="70">
        <f>IF((((0.326*F452^0.818)-(0.398*F452^0.85)/(1-H452)*H452)*(MAX('Max rate concentrations'!$P$3:$P$368)))/F452&gt;0, (((0.326*F452^0.818)-(0.398*F452^0.85)/(1-H452)*H452)*(MAX('Max rate concentrations'!$P$3:$P$368)))/F452, 0)</f>
        <v>0</v>
      </c>
      <c r="N452" s="70">
        <f>IF((((0.326*F452^0.818)-(0.398*F452^0.85)/(1-H452)*H452)*(MAX('Max rate concentrations'!$Q$3:$Q$368)))/F452&gt; 0, (((0.326*F452^0.818)-(0.398*F452^0.85)/(1-H452)*H452)*(MAX('Max rate concentrations'!$Q$3:$Q$368)))/F452, 0)</f>
        <v>0</v>
      </c>
      <c r="O452" s="70">
        <f>((MAX('Max rate concentrations'!$F$3:$F$368))*0.62*6.01*8*(12.3*F452^0.65)*0.079*0.1/F452)*inputs!$E$73/inputs!$E$74</f>
        <v>4.6125790446588066</v>
      </c>
      <c r="P452" s="70">
        <f>((MAX('Max rate concentrations'!Y:Y))*0.62*6.01*8*(12.3*F452^0.65)*0.079*0.1/F452)*inputs!$E$73/inputs!$E$74</f>
        <v>1.5375263482196024</v>
      </c>
      <c r="Q452" s="70">
        <f>(inputs!$C$18*11.2*(12.3*F452^0.65)*0.5/F452)*inputs!$E$73/inputs!$E$74</f>
        <v>0.81248404312740241</v>
      </c>
      <c r="R452" s="60">
        <f>(60*379*((F452/1000)^0.8)*3*24*(MAX('Max rate concentrations'!$R$3:$R$368))/F452)*(inputs!$E$73/inputs!$E$75)</f>
        <v>4.2885750988636978E-3</v>
      </c>
      <c r="S452" s="60">
        <f>(IF(inputs!$C$17="aerial",((0.025*0.112*inputs!$C$18/3.3)*(3*60*379*((F452/1000)^0.8))*MAX(inputs!$I$14:$I$16))/F452,((0.0083*0.112*inputs!$C$18/1)*(3*60*379*((F452/1000)^0.8))*MAX(inputs!$I$14:$I$16))/F452))*(inputs!E$75/inputs!$E$73)</f>
        <v>2.3651755153036337E-2</v>
      </c>
      <c r="T452" s="63">
        <f>IF((((inputs!$P$13/(V452/MAX(K452:S452)))^(1/inputs!$O$13))-1)/inputs!$N$13&lt;0, 0, IF((((inputs!$P$13/(V452/MAX(K452:S452)))^(1/inputs!$O$13))-1)/inputs!$N$13&lt;inputs!$I$17, (((inputs!$P$13/(V452/MAX(K452:S452)))^(1/inputs!$O$13))-1)/inputs!$N$13, inputs!$I$17))</f>
        <v>1.5473795760186797</v>
      </c>
      <c r="U452" s="63">
        <f>IF((((inputs!$P$13/(X452/MAX(K452:S452)))^(1/inputs!$O$13))-1)/inputs!$N$13&lt;0, 0, IF((((inputs!$P$13/(X452/MAX(K452:S452)))^(1/inputs!$O$13))-1)/inputs!$N$13&lt;inputs!$I$17, (((inputs!$P$13/(X452/MAX(K452:S452)))^(1/inputs!$O$13))-1)/inputs!$N$13, inputs!$I$17))</f>
        <v>5.1965082157320781</v>
      </c>
      <c r="V452" s="54">
        <f>inputs!$E$70*(F452/inputs!$F$70)^(0.25)</f>
        <v>20.634268100135696</v>
      </c>
      <c r="W452" s="54">
        <f>inputs!$E$76*(F452/inputs!$F$76)^(0.25)</f>
        <v>1.4836130478309419</v>
      </c>
      <c r="X452" s="54">
        <f>inputs!$E$72*(inputs!$F$72/F452)^(0.25)</f>
        <v>12.110921443264401</v>
      </c>
      <c r="Y452" s="54" t="s">
        <v>13</v>
      </c>
      <c r="Z452" s="106">
        <f t="shared" ref="Z452:Z515" si="40">MAX(K452:S452)/V452</f>
        <v>1.3059250268348412</v>
      </c>
      <c r="AA452" s="106">
        <f t="shared" ref="AA452:AA515" si="41">MAX(K452:S452)/W452</f>
        <v>18.162961805831742</v>
      </c>
    </row>
    <row r="453" spans="1:27" ht="13.2" x14ac:dyDescent="0.25">
      <c r="A453" s="55" t="s">
        <v>604</v>
      </c>
      <c r="B453" s="49" t="s">
        <v>608</v>
      </c>
      <c r="C453" s="21" t="s">
        <v>61</v>
      </c>
      <c r="D453" s="20" t="s">
        <v>454</v>
      </c>
      <c r="E453" s="20">
        <v>1302</v>
      </c>
      <c r="F453" s="21">
        <v>113000</v>
      </c>
      <c r="G453" s="21" t="s">
        <v>218</v>
      </c>
      <c r="H453" s="21">
        <v>0.68</v>
      </c>
      <c r="I453" s="68">
        <f>MAX('Max rate concentrations'!$K$3:$K$368)</f>
        <v>110.00035859694511</v>
      </c>
      <c r="J453" s="68">
        <f>MAX('Max rate concentrations'!AC:AC)</f>
        <v>38.958460336418057</v>
      </c>
      <c r="K453" s="70">
        <f t="shared" si="38"/>
        <v>10.182725159758855</v>
      </c>
      <c r="L453" s="70">
        <f t="shared" si="39"/>
        <v>3.606381827414594</v>
      </c>
      <c r="M453" s="70">
        <f>IF((((0.326*F453^0.818)-(0.398*F453^0.85)/(1-H453)*H453)*(MAX('Max rate concentrations'!$P$3:$P$368)))/F453&gt;0, (((0.326*F453^0.818)-(0.398*F453^0.85)/(1-H453)*H453)*(MAX('Max rate concentrations'!$P$3:$P$368)))/F453, 0)</f>
        <v>0</v>
      </c>
      <c r="N453" s="70">
        <f>IF((((0.326*F453^0.818)-(0.398*F453^0.85)/(1-H453)*H453)*(MAX('Max rate concentrations'!$Q$3:$Q$368)))/F453&gt; 0, (((0.326*F453^0.818)-(0.398*F453^0.85)/(1-H453)*H453)*(MAX('Max rate concentrations'!$Q$3:$Q$368)))/F453, 0)</f>
        <v>0</v>
      </c>
      <c r="O453" s="70">
        <f>((MAX('Max rate concentrations'!$F$3:$F$368))*0.62*6.01*8*(12.3*F453^0.65)*0.079*0.1/F453)*inputs!$E$73/inputs!$E$74</f>
        <v>4.6125790446588066</v>
      </c>
      <c r="P453" s="70">
        <f>((MAX('Max rate concentrations'!Y:Y))*0.62*6.01*8*(12.3*F453^0.65)*0.079*0.1/F453)*inputs!$E$73/inputs!$E$74</f>
        <v>1.5375263482196024</v>
      </c>
      <c r="Q453" s="70">
        <f>(inputs!$C$18*11.2*(12.3*F453^0.65)*0.5/F453)*inputs!$E$73/inputs!$E$74</f>
        <v>0.81248404312740241</v>
      </c>
      <c r="R453" s="60">
        <f>(60*379*((F453/1000)^0.8)*3*24*(MAX('Max rate concentrations'!$R$3:$R$368))/F453)*(inputs!$E$73/inputs!$E$75)</f>
        <v>4.2885750988636978E-3</v>
      </c>
      <c r="S453" s="60">
        <f>(IF(inputs!$C$17="aerial",((0.025*0.112*inputs!$C$18/3.3)*(3*60*379*((F453/1000)^0.8))*MAX(inputs!$I$14:$I$16))/F453,((0.0083*0.112*inputs!$C$18/1)*(3*60*379*((F453/1000)^0.8))*MAX(inputs!$I$14:$I$16))/F453))*(inputs!E$75/inputs!$E$73)</f>
        <v>2.3651755153036337E-2</v>
      </c>
      <c r="T453" s="63">
        <f>IF((((inputs!$P$13/(V453/MAX(K453:S453)))^(1/inputs!$O$13))-1)/inputs!$N$13&lt;0, 0, IF((((inputs!$P$13/(V453/MAX(K453:S453)))^(1/inputs!$O$13))-1)/inputs!$N$13&lt;inputs!$I$17, (((inputs!$P$13/(V453/MAX(K453:S453)))^(1/inputs!$O$13))-1)/inputs!$N$13, inputs!$I$17))</f>
        <v>0</v>
      </c>
      <c r="U453" s="63">
        <f>IF((((inputs!$P$13/(X453/MAX(K453:S453)))^(1/inputs!$O$13))-1)/inputs!$N$13&lt;0, 0, IF((((inputs!$P$13/(X453/MAX(K453:S453)))^(1/inputs!$O$13))-1)/inputs!$N$13&lt;inputs!$I$17, (((inputs!$P$13/(X453/MAX(K453:S453)))^(1/inputs!$O$13))-1)/inputs!$N$13, inputs!$I$17))</f>
        <v>0</v>
      </c>
      <c r="V453" s="54">
        <f>inputs!$E$70*(F453/inputs!$F$70)^(0.25)</f>
        <v>20.634268100135696</v>
      </c>
      <c r="W453" s="54">
        <f>inputs!$E$76*(F453/inputs!$F$76)^(0.25)</f>
        <v>1.4836130478309419</v>
      </c>
      <c r="X453" s="54">
        <f>inputs!$E$72*(inputs!$F$72/F453)^(0.25)</f>
        <v>12.110921443264401</v>
      </c>
      <c r="Y453" s="54" t="s">
        <v>13</v>
      </c>
      <c r="Z453" s="106">
        <f t="shared" si="40"/>
        <v>0.49348613240572803</v>
      </c>
      <c r="AA453" s="106">
        <f t="shared" si="41"/>
        <v>6.8634642804241359</v>
      </c>
    </row>
    <row r="454" spans="1:27" ht="13.2" x14ac:dyDescent="0.25">
      <c r="A454" s="55" t="s">
        <v>604</v>
      </c>
      <c r="B454" s="49" t="s">
        <v>608</v>
      </c>
      <c r="C454" s="21" t="s">
        <v>61</v>
      </c>
      <c r="D454" s="20" t="s">
        <v>454</v>
      </c>
      <c r="E454" s="20">
        <v>1302</v>
      </c>
      <c r="F454" s="21">
        <v>113000</v>
      </c>
      <c r="G454" s="21" t="s">
        <v>186</v>
      </c>
      <c r="H454" s="21">
        <v>0.75</v>
      </c>
      <c r="I454" s="68">
        <f>inputs!$C$66*inputs!$C$64/1000</f>
        <v>21.3</v>
      </c>
      <c r="J454" s="68">
        <f>inputs!$C$66*inputs!$C$63/1000</f>
        <v>8.8000000000000007</v>
      </c>
      <c r="K454" s="70">
        <f t="shared" si="38"/>
        <v>2.5238264883563333</v>
      </c>
      <c r="L454" s="70">
        <f t="shared" si="39"/>
        <v>1.0427076571613021</v>
      </c>
      <c r="M454" s="70">
        <f>IF((((0.326*F454^0.818)-(0.398*F454^0.85)/(1-H454)*H454)*(MAX('Max rate concentrations'!$P$3:$P$368)))/F454&gt;0, (((0.326*F454^0.818)-(0.398*F454^0.85)/(1-H454)*H454)*(MAX('Max rate concentrations'!$P$3:$P$368)))/F454, 0)</f>
        <v>0</v>
      </c>
      <c r="N454" s="70">
        <f>IF((((0.326*F454^0.818)-(0.398*F454^0.85)/(1-H454)*H454)*(MAX('Max rate concentrations'!$Q$3:$Q$368)))/F454&gt; 0, (((0.326*F454^0.818)-(0.398*F454^0.85)/(1-H454)*H454)*(MAX('Max rate concentrations'!$Q$3:$Q$368)))/F454, 0)</f>
        <v>0</v>
      </c>
      <c r="O454" s="70">
        <f>((MAX('Max rate concentrations'!$F$3:$F$368))*0.62*6.01*8*(12.3*F454^0.65)*0.079*0.1/F454)*inputs!$E$73/inputs!$E$74</f>
        <v>4.6125790446588066</v>
      </c>
      <c r="P454" s="70">
        <f>((MAX('Max rate concentrations'!Y:Y))*0.62*6.01*8*(12.3*F454^0.65)*0.079*0.1/F454)*inputs!$E$73/inputs!$E$74</f>
        <v>1.5375263482196024</v>
      </c>
      <c r="Q454" s="70">
        <f>(inputs!$C$18*11.2*(12.3*F454^0.65)*0.5/F454)*inputs!$E$73/inputs!$E$74</f>
        <v>0.81248404312740241</v>
      </c>
      <c r="R454" s="60">
        <f>(60*379*((F454/1000)^0.8)*3*24*(MAX('Max rate concentrations'!$R$3:$R$368))/F454)*(inputs!$E$73/inputs!$E$75)</f>
        <v>4.2885750988636978E-3</v>
      </c>
      <c r="S454" s="60">
        <f>(IF(inputs!$C$17="aerial",((0.025*0.112*inputs!$C$18/3.3)*(3*60*379*((F454/1000)^0.8))*MAX(inputs!$I$14:$I$16))/F454,((0.0083*0.112*inputs!$C$18/1)*(3*60*379*((F454/1000)^0.8))*MAX(inputs!$I$14:$I$16))/F454))*(inputs!E$75/inputs!$E$73)</f>
        <v>2.3651755153036337E-2</v>
      </c>
      <c r="T454" s="63">
        <f>IF((((inputs!$P$13/(V454/MAX(K454:S454)))^(1/inputs!$O$13))-1)/inputs!$N$13&lt;0, 0, IF((((inputs!$P$13/(V454/MAX(K454:S454)))^(1/inputs!$O$13))-1)/inputs!$N$13&lt;inputs!$I$17, (((inputs!$P$13/(V454/MAX(K454:S454)))^(1/inputs!$O$13))-1)/inputs!$N$13, inputs!$I$17))</f>
        <v>0</v>
      </c>
      <c r="U454" s="63">
        <f>IF((((inputs!$P$13/(X454/MAX(K454:S454)))^(1/inputs!$O$13))-1)/inputs!$N$13&lt;0, 0, IF((((inputs!$P$13/(X454/MAX(K454:S454)))^(1/inputs!$O$13))-1)/inputs!$N$13&lt;inputs!$I$17, (((inputs!$P$13/(X454/MAX(K454:S454)))^(1/inputs!$O$13))-1)/inputs!$N$13, inputs!$I$17))</f>
        <v>0</v>
      </c>
      <c r="V454" s="54">
        <f>inputs!$E$70*(F454/inputs!$F$70)^(0.25)</f>
        <v>20.634268100135696</v>
      </c>
      <c r="W454" s="54">
        <f>inputs!$E$76*(F454/inputs!$F$76)^(0.25)</f>
        <v>1.4836130478309419</v>
      </c>
      <c r="X454" s="54">
        <f>inputs!$E$72*(inputs!$F$72/F454)^(0.25)</f>
        <v>12.110921443264401</v>
      </c>
      <c r="Y454" s="54" t="s">
        <v>13</v>
      </c>
      <c r="Z454" s="106">
        <f t="shared" si="40"/>
        <v>0.22353974574113794</v>
      </c>
      <c r="AA454" s="106">
        <f t="shared" si="41"/>
        <v>3.1090175780015188</v>
      </c>
    </row>
    <row r="455" spans="1:27" ht="13.2" x14ac:dyDescent="0.25">
      <c r="A455" s="55" t="s">
        <v>604</v>
      </c>
      <c r="B455" s="49" t="s">
        <v>608</v>
      </c>
      <c r="C455" s="21" t="s">
        <v>61</v>
      </c>
      <c r="D455" s="20" t="s">
        <v>454</v>
      </c>
      <c r="E455" s="20">
        <v>1302</v>
      </c>
      <c r="F455" s="21">
        <v>113000</v>
      </c>
      <c r="G455" s="21" t="s">
        <v>152</v>
      </c>
      <c r="H455" s="21">
        <v>0.77</v>
      </c>
      <c r="I455" s="68">
        <f>MAX('Max rate concentrations'!$G$3:$G$368)</f>
        <v>45</v>
      </c>
      <c r="J455" s="68">
        <f>MAX('Max rate concentrations'!Z:Z)</f>
        <v>21</v>
      </c>
      <c r="K455" s="70">
        <f t="shared" si="38"/>
        <v>5.7956823829370787</v>
      </c>
      <c r="L455" s="70">
        <f t="shared" si="39"/>
        <v>2.7046517787039703</v>
      </c>
      <c r="M455" s="70">
        <f>IF((((0.326*F455^0.818)-(0.398*F455^0.85)/(1-H455)*H455)*(MAX('Max rate concentrations'!$P$3:$P$368)))/F455&gt;0, (((0.326*F455^0.818)-(0.398*F455^0.85)/(1-H455)*H455)*(MAX('Max rate concentrations'!$P$3:$P$368)))/F455, 0)</f>
        <v>0</v>
      </c>
      <c r="N455" s="70">
        <f>IF((((0.326*F455^0.818)-(0.398*F455^0.85)/(1-H455)*H455)*(MAX('Max rate concentrations'!$Q$3:$Q$368)))/F455&gt; 0, (((0.326*F455^0.818)-(0.398*F455^0.85)/(1-H455)*H455)*(MAX('Max rate concentrations'!$Q$3:$Q$368)))/F455, 0)</f>
        <v>0</v>
      </c>
      <c r="O455" s="70">
        <f>((MAX('Max rate concentrations'!$F$3:$F$368))*0.62*6.01*8*(12.3*F455^0.65)*0.079*0.1/F455)*inputs!$E$73/inputs!$E$74</f>
        <v>4.6125790446588066</v>
      </c>
      <c r="P455" s="70">
        <f>((MAX('Max rate concentrations'!Y:Y))*0.62*6.01*8*(12.3*F455^0.65)*0.079*0.1/F455)*inputs!$E$73/inputs!$E$74</f>
        <v>1.5375263482196024</v>
      </c>
      <c r="Q455" s="70">
        <f>(inputs!$C$18*11.2*(12.3*F455^0.65)*0.5/F455)*inputs!$E$73/inputs!$E$74</f>
        <v>0.81248404312740241</v>
      </c>
      <c r="R455" s="60">
        <f>(60*379*((F455/1000)^0.8)*3*24*(MAX('Max rate concentrations'!$R$3:$R$368))/F455)*(inputs!$E$73/inputs!$E$75)</f>
        <v>4.2885750988636978E-3</v>
      </c>
      <c r="S455" s="60">
        <f>(IF(inputs!$C$17="aerial",((0.025*0.112*inputs!$C$18/3.3)*(3*60*379*((F455/1000)^0.8))*MAX(inputs!$I$14:$I$16))/F455,((0.0083*0.112*inputs!$C$18/1)*(3*60*379*((F455/1000)^0.8))*MAX(inputs!$I$14:$I$16))/F455))*(inputs!E$75/inputs!$E$73)</f>
        <v>2.3651755153036337E-2</v>
      </c>
      <c r="T455" s="63">
        <f>IF((((inputs!$P$13/(V455/MAX(K455:S455)))^(1/inputs!$O$13))-1)/inputs!$N$13&lt;0, 0, IF((((inputs!$P$13/(V455/MAX(K455:S455)))^(1/inputs!$O$13))-1)/inputs!$N$13&lt;inputs!$I$17, (((inputs!$P$13/(V455/MAX(K455:S455)))^(1/inputs!$O$13))-1)/inputs!$N$13, inputs!$I$17))</f>
        <v>0</v>
      </c>
      <c r="U455" s="63">
        <f>IF((((inputs!$P$13/(X455/MAX(K455:S455)))^(1/inputs!$O$13))-1)/inputs!$N$13&lt;0, 0, IF((((inputs!$P$13/(X455/MAX(K455:S455)))^(1/inputs!$O$13))-1)/inputs!$N$13&lt;inputs!$I$17, (((inputs!$P$13/(X455/MAX(K455:S455)))^(1/inputs!$O$13))-1)/inputs!$N$13, inputs!$I$17))</f>
        <v>0</v>
      </c>
      <c r="V455" s="54">
        <f>inputs!$E$70*(F455/inputs!$F$70)^(0.25)</f>
        <v>20.634268100135696</v>
      </c>
      <c r="W455" s="54">
        <f>inputs!$E$76*(F455/inputs!$F$76)^(0.25)</f>
        <v>1.4836130478309419</v>
      </c>
      <c r="X455" s="54">
        <f>inputs!$E$72*(inputs!$F$72/F455)^(0.25)</f>
        <v>12.110921443264401</v>
      </c>
      <c r="Y455" s="54" t="s">
        <v>13</v>
      </c>
      <c r="Z455" s="106">
        <f t="shared" si="40"/>
        <v>0.28087656682618006</v>
      </c>
      <c r="AA455" s="106">
        <f t="shared" si="41"/>
        <v>3.9064649582385567</v>
      </c>
    </row>
    <row r="456" spans="1:27" ht="13.2" x14ac:dyDescent="0.25">
      <c r="A456" s="55" t="s">
        <v>604</v>
      </c>
      <c r="B456" s="49" t="s">
        <v>608</v>
      </c>
      <c r="C456" s="21" t="s">
        <v>61</v>
      </c>
      <c r="D456" s="20" t="s">
        <v>454</v>
      </c>
      <c r="E456" s="20">
        <v>1302</v>
      </c>
      <c r="F456" s="21">
        <v>113000</v>
      </c>
      <c r="G456" s="21" t="s">
        <v>169</v>
      </c>
      <c r="H456" s="21">
        <v>0.79</v>
      </c>
      <c r="I456" s="68">
        <f>MAX('Max rate concentrations'!$D$3:$D$368)</f>
        <v>720</v>
      </c>
      <c r="J456" s="68">
        <f>MAX('Max rate concentrations'!W:W)</f>
        <v>255</v>
      </c>
      <c r="K456" s="70">
        <f t="shared" si="38"/>
        <v>101.56243413908788</v>
      </c>
      <c r="L456" s="70">
        <f t="shared" si="39"/>
        <v>35.970028757593624</v>
      </c>
      <c r="M456" s="70">
        <f>IF((((0.326*F456^0.818)-(0.398*F456^0.85)/(1-H456)*H456)*(MAX('Max rate concentrations'!$P$3:$P$368)))/F456&gt;0, (((0.326*F456^0.818)-(0.398*F456^0.85)/(1-H456)*H456)*(MAX('Max rate concentrations'!$P$3:$P$368)))/F456, 0)</f>
        <v>0</v>
      </c>
      <c r="N456" s="70">
        <f>IF((((0.326*F456^0.818)-(0.398*F456^0.85)/(1-H456)*H456)*(MAX('Max rate concentrations'!$Q$3:$Q$368)))/F456&gt; 0, (((0.326*F456^0.818)-(0.398*F456^0.85)/(1-H456)*H456)*(MAX('Max rate concentrations'!$Q$3:$Q$368)))/F456, 0)</f>
        <v>0</v>
      </c>
      <c r="O456" s="70">
        <f>((MAX('Max rate concentrations'!$F$3:$F$368))*0.62*6.01*8*(12.3*F456^0.65)*0.079*0.1/F456)*inputs!$E$73/inputs!$E$74</f>
        <v>4.6125790446588066</v>
      </c>
      <c r="P456" s="70">
        <f>((MAX('Max rate concentrations'!Y:Y))*0.62*6.01*8*(12.3*F456^0.65)*0.079*0.1/F456)*inputs!$E$73/inputs!$E$74</f>
        <v>1.5375263482196024</v>
      </c>
      <c r="Q456" s="70">
        <f>(inputs!$C$18*11.2*(12.3*F456^0.65)*0.5/F456)*inputs!$E$73/inputs!$E$74</f>
        <v>0.81248404312740241</v>
      </c>
      <c r="R456" s="60">
        <f>(60*379*((F456/1000)^0.8)*3*24*(MAX('Max rate concentrations'!$R$3:$R$368))/F456)*(inputs!$E$73/inputs!$E$75)</f>
        <v>4.2885750988636978E-3</v>
      </c>
      <c r="S456" s="60">
        <f>(IF(inputs!$C$17="aerial",((0.025*0.112*inputs!$C$18/3.3)*(3*60*379*((F456/1000)^0.8))*MAX(inputs!$I$14:$I$16))/F456,((0.0083*0.112*inputs!$C$18/1)*(3*60*379*((F456/1000)^0.8))*MAX(inputs!$I$14:$I$16))/F456))*(inputs!E$75/inputs!$E$73)</f>
        <v>2.3651755153036337E-2</v>
      </c>
      <c r="T456" s="63">
        <f>IF((((inputs!$P$13/(V456/MAX(K456:S456)))^(1/inputs!$O$13))-1)/inputs!$N$13&lt;0, 0, IF((((inputs!$P$13/(V456/MAX(K456:S456)))^(1/inputs!$O$13))-1)/inputs!$N$13&lt;inputs!$I$17, (((inputs!$P$13/(V456/MAX(K456:S456)))^(1/inputs!$O$13))-1)/inputs!$N$13, inputs!$I$17))</f>
        <v>14.5819718187663</v>
      </c>
      <c r="U456" s="63">
        <f>IF((((inputs!$P$13/(X456/MAX(K456:S456)))^(1/inputs!$O$13))-1)/inputs!$N$13&lt;0, 0, IF((((inputs!$P$13/(X456/MAX(K456:S456)))^(1/inputs!$O$13))-1)/inputs!$N$13&lt;inputs!$I$17, (((inputs!$P$13/(X456/MAX(K456:S456)))^(1/inputs!$O$13))-1)/inputs!$N$13, inputs!$I$17))</f>
        <v>25.251987674333527</v>
      </c>
      <c r="V456" s="54">
        <f>inputs!$E$70*(F456/inputs!$F$70)^(0.25)</f>
        <v>20.634268100135696</v>
      </c>
      <c r="W456" s="54">
        <f>inputs!$E$76*(F456/inputs!$F$76)^(0.25)</f>
        <v>1.4836130478309419</v>
      </c>
      <c r="X456" s="54">
        <f>inputs!$E$72*(inputs!$F$72/F456)^(0.25)</f>
        <v>12.110921443264401</v>
      </c>
      <c r="Y456" s="54" t="s">
        <v>13</v>
      </c>
      <c r="Z456" s="106">
        <f t="shared" si="40"/>
        <v>4.9220274567635371</v>
      </c>
      <c r="AA456" s="106">
        <f t="shared" si="41"/>
        <v>68.456147839609017</v>
      </c>
    </row>
    <row r="457" spans="1:27" ht="26.4" x14ac:dyDescent="0.25">
      <c r="A457" s="55" t="s">
        <v>604</v>
      </c>
      <c r="B457" s="49" t="s">
        <v>608</v>
      </c>
      <c r="C457" s="21" t="s">
        <v>61</v>
      </c>
      <c r="D457" s="20" t="s">
        <v>454</v>
      </c>
      <c r="E457" s="20">
        <v>1302</v>
      </c>
      <c r="F457" s="21">
        <v>113000</v>
      </c>
      <c r="G457" s="21" t="s">
        <v>580</v>
      </c>
      <c r="H457" s="21">
        <v>0.85</v>
      </c>
      <c r="I457" s="68">
        <f>MAX('Max rate concentrations'!$F$3:$F$368)</f>
        <v>405</v>
      </c>
      <c r="J457" s="68">
        <f>MAX('Max rate concentrations'!Y:Y)</f>
        <v>135</v>
      </c>
      <c r="K457" s="70">
        <f t="shared" si="38"/>
        <v>79.980416884531692</v>
      </c>
      <c r="L457" s="70">
        <f t="shared" si="39"/>
        <v>26.660138961510558</v>
      </c>
      <c r="M457" s="70">
        <f>IF((((0.326*F457^0.818)-(0.398*F457^0.85)/(1-H457)*H457)*(MAX('Max rate concentrations'!$P$3:$P$368)))/F457&gt;0, (((0.326*F457^0.818)-(0.398*F457^0.85)/(1-H457)*H457)*(MAX('Max rate concentrations'!$P$3:$P$368)))/F457, 0)</f>
        <v>0</v>
      </c>
      <c r="N457" s="70">
        <f>IF((((0.326*F457^0.818)-(0.398*F457^0.85)/(1-H457)*H457)*(MAX('Max rate concentrations'!$Q$3:$Q$368)))/F457&gt; 0, (((0.326*F457^0.818)-(0.398*F457^0.85)/(1-H457)*H457)*(MAX('Max rate concentrations'!$Q$3:$Q$368)))/F457, 0)</f>
        <v>0</v>
      </c>
      <c r="O457" s="70">
        <f>((MAX('Max rate concentrations'!$F$3:$F$368))*0.62*6.01*8*(12.3*F457^0.65)*0.079*0.1/F457)*inputs!$E$73/inputs!$E$74</f>
        <v>4.6125790446588066</v>
      </c>
      <c r="P457" s="70">
        <f>((MAX('Max rate concentrations'!Y:Y))*0.62*6.01*8*(12.3*F457^0.65)*0.079*0.1/F457)*inputs!$E$73/inputs!$E$74</f>
        <v>1.5375263482196024</v>
      </c>
      <c r="Q457" s="70">
        <f>(inputs!$C$18*11.2*(12.3*F457^0.65)*0.5/F457)*inputs!$E$73/inputs!$E$74</f>
        <v>0.81248404312740241</v>
      </c>
      <c r="R457" s="60">
        <f>(60*379*((F457/1000)^0.8)*3*24*(MAX('Max rate concentrations'!$R$3:$R$368))/F457)*(inputs!$E$73/inputs!$E$75)</f>
        <v>4.2885750988636978E-3</v>
      </c>
      <c r="S457" s="60">
        <f>(IF(inputs!$C$17="aerial",((0.025*0.112*inputs!$C$18/3.3)*(3*60*379*((F457/1000)^0.8))*MAX(inputs!$I$14:$I$16))/F457,((0.0083*0.112*inputs!$C$18/1)*(3*60*379*((F457/1000)^0.8))*MAX(inputs!$I$14:$I$16))/F457))*(inputs!E$75/inputs!$E$73)</f>
        <v>2.3651755153036337E-2</v>
      </c>
      <c r="T457" s="63">
        <f>IF((((inputs!$P$13/(V457/MAX(K457:S457)))^(1/inputs!$O$13))-1)/inputs!$N$13&lt;0, 0, IF((((inputs!$P$13/(V457/MAX(K457:S457)))^(1/inputs!$O$13))-1)/inputs!$N$13&lt;inputs!$I$17, (((inputs!$P$13/(V457/MAX(K457:S457)))^(1/inputs!$O$13))-1)/inputs!$N$13, inputs!$I$17))</f>
        <v>11.102058995024434</v>
      </c>
      <c r="U457" s="63">
        <f>IF((((inputs!$P$13/(X457/MAX(K457:S457)))^(1/inputs!$O$13))-1)/inputs!$N$13&lt;0, 0, IF((((inputs!$P$13/(X457/MAX(K457:S457)))^(1/inputs!$O$13))-1)/inputs!$N$13&lt;inputs!$I$17, (((inputs!$P$13/(X457/MAX(K457:S457)))^(1/inputs!$O$13))-1)/inputs!$N$13, inputs!$I$17))</f>
        <v>19.897672107376664</v>
      </c>
      <c r="V457" s="54">
        <f>inputs!$E$70*(F457/inputs!$F$70)^(0.25)</f>
        <v>20.634268100135696</v>
      </c>
      <c r="W457" s="54">
        <f>inputs!$E$76*(F457/inputs!$F$76)^(0.25)</f>
        <v>1.4836130478309419</v>
      </c>
      <c r="X457" s="54">
        <f>inputs!$E$72*(inputs!$F$72/F457)^(0.25)</f>
        <v>12.110921443264401</v>
      </c>
      <c r="Y457" s="54" t="s">
        <v>13</v>
      </c>
      <c r="Z457" s="106">
        <f t="shared" si="40"/>
        <v>3.8760966222012847</v>
      </c>
      <c r="AA457" s="106">
        <f t="shared" si="41"/>
        <v>53.909216423692087</v>
      </c>
    </row>
    <row r="458" spans="1:27" ht="13.2" x14ac:dyDescent="0.25">
      <c r="A458" s="55" t="s">
        <v>604</v>
      </c>
      <c r="B458" s="49" t="s">
        <v>608</v>
      </c>
      <c r="C458" s="21" t="s">
        <v>61</v>
      </c>
      <c r="D458" s="20" t="s">
        <v>454</v>
      </c>
      <c r="E458" s="20">
        <v>1302</v>
      </c>
      <c r="F458" s="21">
        <v>113000</v>
      </c>
      <c r="G458" s="21" t="s">
        <v>455</v>
      </c>
      <c r="H458" s="21">
        <v>0.68</v>
      </c>
      <c r="I458" s="71">
        <f>MAX('Max rate concentrations'!$K$3:$K$368)</f>
        <v>110.00035859694511</v>
      </c>
      <c r="J458" s="71">
        <f>MAX('Max rate concentrations'!AC:AC)</f>
        <v>38.958460336418057</v>
      </c>
      <c r="K458" s="70">
        <f t="shared" si="38"/>
        <v>10.182725159758855</v>
      </c>
      <c r="L458" s="70">
        <f t="shared" si="39"/>
        <v>3.606381827414594</v>
      </c>
      <c r="M458" s="70">
        <f>IF((((0.326*F458^0.818)-(0.398*F458^0.85)/(1-H458)*H458)*(MAX('Max rate concentrations'!$P$3:$P$368)))/F458&gt;0, (((0.326*F458^0.818)-(0.398*F458^0.85)/(1-H458)*H458)*(MAX('Max rate concentrations'!$P$3:$P$368)))/F458, 0)</f>
        <v>0</v>
      </c>
      <c r="N458" s="70">
        <f>IF((((0.326*F458^0.818)-(0.398*F458^0.85)/(1-H458)*H458)*(MAX('Max rate concentrations'!$Q$3:$Q$368)))/F458&gt; 0, (((0.326*F458^0.818)-(0.398*F458^0.85)/(1-H458)*H458)*(MAX('Max rate concentrations'!$Q$3:$Q$368)))/F458, 0)</f>
        <v>0</v>
      </c>
      <c r="O458" s="70">
        <f>((MAX('Max rate concentrations'!$F$3:$F$368))*0.62*6.01*8*(12.3*F458^0.65)*0.079*0.1/F458)*inputs!$E$73/inputs!$E$74</f>
        <v>4.6125790446588066</v>
      </c>
      <c r="P458" s="70">
        <f>((MAX('Max rate concentrations'!Y:Y))*0.62*6.01*8*(12.3*F458^0.65)*0.079*0.1/F458)*inputs!$E$73/inputs!$E$74</f>
        <v>1.5375263482196024</v>
      </c>
      <c r="Q458" s="70">
        <f>(inputs!$C$18*11.2*(12.3*F458^0.65)*0.5/F458)*inputs!$E$73/inputs!$E$74</f>
        <v>0.81248404312740241</v>
      </c>
      <c r="R458" s="60">
        <f>(60*379*((F458/1000)^0.8)*3*24*(MAX('Max rate concentrations'!$R$3:$R$368))/F458)*(inputs!$E$73/inputs!$E$75)</f>
        <v>4.2885750988636978E-3</v>
      </c>
      <c r="S458" s="60">
        <f>(IF(inputs!$C$17="aerial",((0.025*0.112*inputs!$C$18/3.3)*(3*60*379*((F458/1000)^0.8))*MAX(inputs!$I$14:$I$16))/F458,((0.0083*0.112*inputs!$C$18/1)*(3*60*379*((F458/1000)^0.8))*MAX(inputs!$I$14:$I$16))/F458))*(inputs!E$75/inputs!$E$73)</f>
        <v>2.3651755153036337E-2</v>
      </c>
      <c r="T458" s="63">
        <f>IF((((inputs!$P$13/(V458/MAX(K458:S458)))^(1/inputs!$O$13))-1)/inputs!$N$13&lt;0, 0, IF((((inputs!$P$13/(V458/MAX(K458:S458)))^(1/inputs!$O$13))-1)/inputs!$N$13&lt;inputs!$I$17, (((inputs!$P$13/(V458/MAX(K458:S458)))^(1/inputs!$O$13))-1)/inputs!$N$13, inputs!$I$17))</f>
        <v>0</v>
      </c>
      <c r="U458" s="63">
        <f>IF((((inputs!$P$13/(X458/MAX(K458:S458)))^(1/inputs!$O$13))-1)/inputs!$N$13&lt;0, 0, IF((((inputs!$P$13/(X458/MAX(K458:S458)))^(1/inputs!$O$13))-1)/inputs!$N$13&lt;inputs!$I$17, (((inputs!$P$13/(X458/MAX(K458:S458)))^(1/inputs!$O$13))-1)/inputs!$N$13, inputs!$I$17))</f>
        <v>0</v>
      </c>
      <c r="V458" s="54">
        <f>inputs!$E$70*(F458/inputs!$F$70)^(0.25)</f>
        <v>20.634268100135696</v>
      </c>
      <c r="W458" s="54">
        <f>inputs!$E$76*(F458/inputs!$F$76)^(0.25)</f>
        <v>1.4836130478309419</v>
      </c>
      <c r="X458" s="54">
        <f>inputs!$E$72*(inputs!$F$72/F458)^(0.25)</f>
        <v>12.110921443264401</v>
      </c>
      <c r="Y458" s="54" t="s">
        <v>13</v>
      </c>
      <c r="Z458" s="106">
        <f t="shared" si="40"/>
        <v>0.49348613240572803</v>
      </c>
      <c r="AA458" s="106">
        <f t="shared" si="41"/>
        <v>6.8634642804241359</v>
      </c>
    </row>
    <row r="459" spans="1:27" ht="13.2" x14ac:dyDescent="0.25">
      <c r="A459" s="55" t="s">
        <v>604</v>
      </c>
      <c r="B459" s="49" t="s">
        <v>608</v>
      </c>
      <c r="C459" s="21" t="s">
        <v>61</v>
      </c>
      <c r="D459" s="20" t="s">
        <v>454</v>
      </c>
      <c r="E459" s="20">
        <v>1302</v>
      </c>
      <c r="F459" s="21">
        <v>113000</v>
      </c>
      <c r="G459" s="21" t="s">
        <v>456</v>
      </c>
      <c r="H459" s="21">
        <v>0.68</v>
      </c>
      <c r="I459" s="68">
        <f>MAX('Max rate concentrations'!$J$3:$J$368)</f>
        <v>686.46486205830786</v>
      </c>
      <c r="J459" s="68">
        <f>MAX('Max rate concentrations'!AB:AB)</f>
        <v>243.122971978984</v>
      </c>
      <c r="K459" s="70">
        <f t="shared" si="38"/>
        <v>63.546002134266217</v>
      </c>
      <c r="L459" s="70">
        <f t="shared" si="39"/>
        <v>22.505875755885949</v>
      </c>
      <c r="M459" s="70">
        <f>IF((((0.326*F459^0.818)-(0.398*F459^0.85)/(1-H459)*H459)*(MAX('Max rate concentrations'!$P$3:$P$368)))/F459&gt;0, (((0.326*F459^0.818)-(0.398*F459^0.85)/(1-H459)*H459)*(MAX('Max rate concentrations'!$P$3:$P$368)))/F459, 0)</f>
        <v>0</v>
      </c>
      <c r="N459" s="70">
        <f>IF((((0.326*F459^0.818)-(0.398*F459^0.85)/(1-H459)*H459)*(MAX('Max rate concentrations'!$Q$3:$Q$368)))/F459&gt; 0, (((0.326*F459^0.818)-(0.398*F459^0.85)/(1-H459)*H459)*(MAX('Max rate concentrations'!$Q$3:$Q$368)))/F459, 0)</f>
        <v>0</v>
      </c>
      <c r="O459" s="70">
        <f>((MAX('Max rate concentrations'!$F$3:$F$368))*0.62*6.01*8*(12.3*F459^0.65)*0.079*0.1/F459)*inputs!$E$73/inputs!$E$74</f>
        <v>4.6125790446588066</v>
      </c>
      <c r="P459" s="70">
        <f>((MAX('Max rate concentrations'!Y:Y))*0.62*6.01*8*(12.3*F459^0.65)*0.079*0.1/F459)*inputs!$E$73/inputs!$E$74</f>
        <v>1.5375263482196024</v>
      </c>
      <c r="Q459" s="70">
        <f>(inputs!$C$18*11.2*(12.3*F459^0.65)*0.5/F459)*inputs!$E$73/inputs!$E$74</f>
        <v>0.81248404312740241</v>
      </c>
      <c r="R459" s="60">
        <f>(60*379*((F459/1000)^0.8)*3*24*(MAX('Max rate concentrations'!$R$3:$R$368))/F459)*(inputs!$E$73/inputs!$E$75)</f>
        <v>4.2885750988636978E-3</v>
      </c>
      <c r="S459" s="60">
        <f>(IF(inputs!$C$17="aerial",((0.025*0.112*inputs!$C$18/3.3)*(3*60*379*((F459/1000)^0.8))*MAX(inputs!$I$14:$I$16))/F459,((0.0083*0.112*inputs!$C$18/1)*(3*60*379*((F459/1000)^0.8))*MAX(inputs!$I$14:$I$16))/F459))*(inputs!E$75/inputs!$E$73)</f>
        <v>2.3651755153036337E-2</v>
      </c>
      <c r="T459" s="63">
        <f>IF((((inputs!$P$13/(V459/MAX(K459:S459)))^(1/inputs!$O$13))-1)/inputs!$N$13&lt;0, 0, IF((((inputs!$P$13/(V459/MAX(K459:S459)))^(1/inputs!$O$13))-1)/inputs!$N$13&lt;inputs!$I$17, (((inputs!$P$13/(V459/MAX(K459:S459)))^(1/inputs!$O$13))-1)/inputs!$N$13, inputs!$I$17))</f>
        <v>8.3304090077370088</v>
      </c>
      <c r="U459" s="63">
        <f>IF((((inputs!$P$13/(X459/MAX(K459:S459)))^(1/inputs!$O$13))-1)/inputs!$N$13&lt;0, 0, IF((((inputs!$P$13/(X459/MAX(K459:S459)))^(1/inputs!$O$13))-1)/inputs!$N$13&lt;inputs!$I$17, (((inputs!$P$13/(X459/MAX(K459:S459)))^(1/inputs!$O$13))-1)/inputs!$N$13, inputs!$I$17))</f>
        <v>15.633114509312625</v>
      </c>
      <c r="V459" s="54">
        <f>inputs!$E$70*(F459/inputs!$F$70)^(0.25)</f>
        <v>20.634268100135696</v>
      </c>
      <c r="W459" s="54">
        <f>inputs!$E$76*(F459/inputs!$F$76)^(0.25)</f>
        <v>1.4836130478309419</v>
      </c>
      <c r="X459" s="54">
        <f>inputs!$E$72*(inputs!$F$72/F459)^(0.25)</f>
        <v>12.110921443264401</v>
      </c>
      <c r="Y459" s="54" t="s">
        <v>13</v>
      </c>
      <c r="Z459" s="106">
        <f t="shared" si="40"/>
        <v>3.0796344132917572</v>
      </c>
      <c r="AA459" s="106">
        <f t="shared" si="41"/>
        <v>42.831924555510717</v>
      </c>
    </row>
    <row r="460" spans="1:27" ht="13.2" x14ac:dyDescent="0.25">
      <c r="A460" s="55" t="s">
        <v>604</v>
      </c>
      <c r="B460" s="49" t="s">
        <v>605</v>
      </c>
      <c r="C460" s="21" t="s">
        <v>61</v>
      </c>
      <c r="D460" s="20" t="s">
        <v>454</v>
      </c>
      <c r="E460" s="20">
        <v>2</v>
      </c>
      <c r="F460" s="21">
        <v>113000</v>
      </c>
      <c r="G460" s="21" t="s">
        <v>142</v>
      </c>
      <c r="H460" s="21">
        <v>0.69</v>
      </c>
      <c r="I460" s="68">
        <f>MAX('Max rate concentrations'!$H$3:$H$368)</f>
        <v>282</v>
      </c>
      <c r="J460" s="68">
        <f>MAX('Max rate concentrations'!AA:AA)</f>
        <v>195</v>
      </c>
      <c r="K460" s="70">
        <f t="shared" ref="K460:K523" si="42">(((0.235*F460^0.822)/(1-H460)))*I460/F460</f>
        <v>26.946807122387018</v>
      </c>
      <c r="L460" s="70">
        <f t="shared" ref="L460:L523" si="43">(((0.235*F460^0.822)/(1-H460)))*J460/F460</f>
        <v>18.633430456969748</v>
      </c>
      <c r="M460" s="70">
        <f>IF((((0.326*F460^0.818)-(0.398*F460^0.85)/(1-H460)*H460)*(MAX('Max rate concentrations'!$P$3:$P$368)))/F460&gt;0, (((0.326*F460^0.818)-(0.398*F460^0.85)/(1-H460)*H460)*(MAX('Max rate concentrations'!$P$3:$P$368)))/F460, 0)</f>
        <v>0</v>
      </c>
      <c r="N460" s="70">
        <f>IF((((0.326*F460^0.818)-(0.398*F460^0.85)/(1-H460)*H460)*(MAX('Max rate concentrations'!$Q$3:$Q$368)))/F460&gt; 0, (((0.326*F460^0.818)-(0.398*F460^0.85)/(1-H460)*H460)*(MAX('Max rate concentrations'!$Q$3:$Q$368)))/F460, 0)</f>
        <v>0</v>
      </c>
      <c r="O460" s="70">
        <f>((MAX('Max rate concentrations'!$F$3:$F$368))*0.62*6.01*8*(12.3*F460^0.65)*0.079*0.1/F460)*inputs!$E$73/inputs!$E$74</f>
        <v>4.6125790446588066</v>
      </c>
      <c r="P460" s="70">
        <f>((MAX('Max rate concentrations'!Y:Y))*0.62*6.01*8*(12.3*F460^0.65)*0.079*0.1/F460)*inputs!$E$73/inputs!$E$74</f>
        <v>1.5375263482196024</v>
      </c>
      <c r="Q460" s="70">
        <f>(inputs!$C$18*11.2*(12.3*F460^0.65)*0.5/F460)*inputs!$E$73/inputs!$E$74</f>
        <v>0.81248404312740241</v>
      </c>
      <c r="R460" s="60">
        <f>(60*379*((F460/1000)^0.8)*3*24*(MAX('Max rate concentrations'!$R$3:$R$368))/F460)*(inputs!$E$73/inputs!$E$75)</f>
        <v>4.2885750988636978E-3</v>
      </c>
      <c r="S460" s="60">
        <f>(IF(inputs!$C$17="aerial",((0.025*0.112*inputs!$C$18/3.3)*(3*60*379*((F460/1000)^0.8))*MAX(inputs!$I$14:$I$16))/F460,((0.0083*0.112*inputs!$C$18/1)*(3*60*379*((F460/1000)^0.8))*MAX(inputs!$I$14:$I$16))/F460))*(inputs!E$75/inputs!$E$73)</f>
        <v>2.3651755153036337E-2</v>
      </c>
      <c r="T460" s="63">
        <f>IF((((inputs!$P$13/(V460/MAX(K460:S460)))^(1/inputs!$O$13))-1)/inputs!$N$13&lt;0, 0, IF((((inputs!$P$13/(V460/MAX(K460:S460)))^(1/inputs!$O$13))-1)/inputs!$N$13&lt;inputs!$I$17, (((inputs!$P$13/(V460/MAX(K460:S460)))^(1/inputs!$O$13))-1)/inputs!$N$13, inputs!$I$17))</f>
        <v>1.5473795760186797</v>
      </c>
      <c r="U460" s="63">
        <f>IF((((inputs!$P$13/(X460/MAX(K460:S460)))^(1/inputs!$O$13))-1)/inputs!$N$13&lt;0, 0, IF((((inputs!$P$13/(X460/MAX(K460:S460)))^(1/inputs!$O$13))-1)/inputs!$N$13&lt;inputs!$I$17, (((inputs!$P$13/(X460/MAX(K460:S460)))^(1/inputs!$O$13))-1)/inputs!$N$13, inputs!$I$17))</f>
        <v>5.1965082157320781</v>
      </c>
      <c r="V460" s="54">
        <f>inputs!$E$70*(F460/inputs!$F$70)^(0.25)</f>
        <v>20.634268100135696</v>
      </c>
      <c r="W460" s="54">
        <f>inputs!$E$76*(F460/inputs!$F$76)^(0.25)</f>
        <v>1.4836130478309419</v>
      </c>
      <c r="X460" s="54">
        <f>inputs!$E$72*(inputs!$F$72/F460)^(0.25)</f>
        <v>12.110921443264401</v>
      </c>
      <c r="Y460" s="54" t="s">
        <v>13</v>
      </c>
      <c r="Z460" s="106">
        <f t="shared" si="40"/>
        <v>1.3059250268348412</v>
      </c>
      <c r="AA460" s="106">
        <f t="shared" si="41"/>
        <v>18.162961805831742</v>
      </c>
    </row>
    <row r="461" spans="1:27" ht="13.2" x14ac:dyDescent="0.25">
      <c r="A461" s="55" t="s">
        <v>604</v>
      </c>
      <c r="B461" s="49" t="s">
        <v>605</v>
      </c>
      <c r="C461" s="21" t="s">
        <v>61</v>
      </c>
      <c r="D461" s="20" t="s">
        <v>454</v>
      </c>
      <c r="E461" s="20">
        <v>2</v>
      </c>
      <c r="F461" s="21">
        <v>113000</v>
      </c>
      <c r="G461" s="21" t="s">
        <v>218</v>
      </c>
      <c r="H461" s="21">
        <v>0.68</v>
      </c>
      <c r="I461" s="68">
        <f>MAX('Max rate concentrations'!$K$3:$K$368)</f>
        <v>110.00035859694511</v>
      </c>
      <c r="J461" s="68">
        <f>MAX('Max rate concentrations'!AC:AC)</f>
        <v>38.958460336418057</v>
      </c>
      <c r="K461" s="70">
        <f t="shared" si="42"/>
        <v>10.182725159758855</v>
      </c>
      <c r="L461" s="70">
        <f t="shared" si="43"/>
        <v>3.606381827414594</v>
      </c>
      <c r="M461" s="70">
        <f>IF((((0.326*F461^0.818)-(0.398*F461^0.85)/(1-H461)*H461)*(MAX('Max rate concentrations'!$P$3:$P$368)))/F461&gt;0, (((0.326*F461^0.818)-(0.398*F461^0.85)/(1-H461)*H461)*(MAX('Max rate concentrations'!$P$3:$P$368)))/F461, 0)</f>
        <v>0</v>
      </c>
      <c r="N461" s="70">
        <f>IF((((0.326*F461^0.818)-(0.398*F461^0.85)/(1-H461)*H461)*(MAX('Max rate concentrations'!$Q$3:$Q$368)))/F461&gt; 0, (((0.326*F461^0.818)-(0.398*F461^0.85)/(1-H461)*H461)*(MAX('Max rate concentrations'!$Q$3:$Q$368)))/F461, 0)</f>
        <v>0</v>
      </c>
      <c r="O461" s="70">
        <f>((MAX('Max rate concentrations'!$F$3:$F$368))*0.62*6.01*8*(12.3*F461^0.65)*0.079*0.1/F461)*inputs!$E$73/inputs!$E$74</f>
        <v>4.6125790446588066</v>
      </c>
      <c r="P461" s="70">
        <f>((MAX('Max rate concentrations'!Y:Y))*0.62*6.01*8*(12.3*F461^0.65)*0.079*0.1/F461)*inputs!$E$73/inputs!$E$74</f>
        <v>1.5375263482196024</v>
      </c>
      <c r="Q461" s="70">
        <f>(inputs!$C$18*11.2*(12.3*F461^0.65)*0.5/F461)*inputs!$E$73/inputs!$E$74</f>
        <v>0.81248404312740241</v>
      </c>
      <c r="R461" s="60">
        <f>(60*379*((F461/1000)^0.8)*3*24*(MAX('Max rate concentrations'!$R$3:$R$368))/F461)*(inputs!$E$73/inputs!$E$75)</f>
        <v>4.2885750988636978E-3</v>
      </c>
      <c r="S461" s="60">
        <f>(IF(inputs!$C$17="aerial",((0.025*0.112*inputs!$C$18/3.3)*(3*60*379*((F461/1000)^0.8))*MAX(inputs!$I$14:$I$16))/F461,((0.0083*0.112*inputs!$C$18/1)*(3*60*379*((F461/1000)^0.8))*MAX(inputs!$I$14:$I$16))/F461))*(inputs!E$75/inputs!$E$73)</f>
        <v>2.3651755153036337E-2</v>
      </c>
      <c r="T461" s="63">
        <f>IF((((inputs!$P$13/(V461/MAX(K461:S461)))^(1/inputs!$O$13))-1)/inputs!$N$13&lt;0, 0, IF((((inputs!$P$13/(V461/MAX(K461:S461)))^(1/inputs!$O$13))-1)/inputs!$N$13&lt;inputs!$I$17, (((inputs!$P$13/(V461/MAX(K461:S461)))^(1/inputs!$O$13))-1)/inputs!$N$13, inputs!$I$17))</f>
        <v>0</v>
      </c>
      <c r="U461" s="63">
        <f>IF((((inputs!$P$13/(X461/MAX(K461:S461)))^(1/inputs!$O$13))-1)/inputs!$N$13&lt;0, 0, IF((((inputs!$P$13/(X461/MAX(K461:S461)))^(1/inputs!$O$13))-1)/inputs!$N$13&lt;inputs!$I$17, (((inputs!$P$13/(X461/MAX(K461:S461)))^(1/inputs!$O$13))-1)/inputs!$N$13, inputs!$I$17))</f>
        <v>0</v>
      </c>
      <c r="V461" s="54">
        <f>inputs!$E$70*(F461/inputs!$F$70)^(0.25)</f>
        <v>20.634268100135696</v>
      </c>
      <c r="W461" s="54">
        <f>inputs!$E$76*(F461/inputs!$F$76)^(0.25)</f>
        <v>1.4836130478309419</v>
      </c>
      <c r="X461" s="54">
        <f>inputs!$E$72*(inputs!$F$72/F461)^(0.25)</f>
        <v>12.110921443264401</v>
      </c>
      <c r="Y461" s="54" t="s">
        <v>13</v>
      </c>
      <c r="Z461" s="106">
        <f t="shared" si="40"/>
        <v>0.49348613240572803</v>
      </c>
      <c r="AA461" s="106">
        <f t="shared" si="41"/>
        <v>6.8634642804241359</v>
      </c>
    </row>
    <row r="462" spans="1:27" ht="13.2" x14ac:dyDescent="0.25">
      <c r="A462" s="55" t="s">
        <v>604</v>
      </c>
      <c r="B462" s="49" t="s">
        <v>605</v>
      </c>
      <c r="C462" s="21" t="s">
        <v>61</v>
      </c>
      <c r="D462" s="20" t="s">
        <v>454</v>
      </c>
      <c r="E462" s="20">
        <v>2</v>
      </c>
      <c r="F462" s="21">
        <v>113000</v>
      </c>
      <c r="G462" s="21" t="s">
        <v>186</v>
      </c>
      <c r="H462" s="21">
        <v>0.75</v>
      </c>
      <c r="I462" s="68">
        <f>inputs!$C$66*inputs!$C$64/1000</f>
        <v>21.3</v>
      </c>
      <c r="J462" s="68">
        <f>inputs!$C$66*inputs!$C$63/1000</f>
        <v>8.8000000000000007</v>
      </c>
      <c r="K462" s="70">
        <f t="shared" si="42"/>
        <v>2.5238264883563333</v>
      </c>
      <c r="L462" s="70">
        <f t="shared" si="43"/>
        <v>1.0427076571613021</v>
      </c>
      <c r="M462" s="70">
        <f>IF((((0.326*F462^0.818)-(0.398*F462^0.85)/(1-H462)*H462)*(MAX('Max rate concentrations'!$P$3:$P$368)))/F462&gt;0, (((0.326*F462^0.818)-(0.398*F462^0.85)/(1-H462)*H462)*(MAX('Max rate concentrations'!$P$3:$P$368)))/F462, 0)</f>
        <v>0</v>
      </c>
      <c r="N462" s="70">
        <f>IF((((0.326*F462^0.818)-(0.398*F462^0.85)/(1-H462)*H462)*(MAX('Max rate concentrations'!$Q$3:$Q$368)))/F462&gt; 0, (((0.326*F462^0.818)-(0.398*F462^0.85)/(1-H462)*H462)*(MAX('Max rate concentrations'!$Q$3:$Q$368)))/F462, 0)</f>
        <v>0</v>
      </c>
      <c r="O462" s="70">
        <f>((MAX('Max rate concentrations'!$F$3:$F$368))*0.62*6.01*8*(12.3*F462^0.65)*0.079*0.1/F462)*inputs!$E$73/inputs!$E$74</f>
        <v>4.6125790446588066</v>
      </c>
      <c r="P462" s="70">
        <f>((MAX('Max rate concentrations'!Y:Y))*0.62*6.01*8*(12.3*F462^0.65)*0.079*0.1/F462)*inputs!$E$73/inputs!$E$74</f>
        <v>1.5375263482196024</v>
      </c>
      <c r="Q462" s="70">
        <f>(inputs!$C$18*11.2*(12.3*F462^0.65)*0.5/F462)*inputs!$E$73/inputs!$E$74</f>
        <v>0.81248404312740241</v>
      </c>
      <c r="R462" s="60">
        <f>(60*379*((F462/1000)^0.8)*3*24*(MAX('Max rate concentrations'!$R$3:$R$368))/F462)*(inputs!$E$73/inputs!$E$75)</f>
        <v>4.2885750988636978E-3</v>
      </c>
      <c r="S462" s="60">
        <f>(IF(inputs!$C$17="aerial",((0.025*0.112*inputs!$C$18/3.3)*(3*60*379*((F462/1000)^0.8))*MAX(inputs!$I$14:$I$16))/F462,((0.0083*0.112*inputs!$C$18/1)*(3*60*379*((F462/1000)^0.8))*MAX(inputs!$I$14:$I$16))/F462))*(inputs!E$75/inputs!$E$73)</f>
        <v>2.3651755153036337E-2</v>
      </c>
      <c r="T462" s="63">
        <f>IF((((inputs!$P$13/(V462/MAX(K462:S462)))^(1/inputs!$O$13))-1)/inputs!$N$13&lt;0, 0, IF((((inputs!$P$13/(V462/MAX(K462:S462)))^(1/inputs!$O$13))-1)/inputs!$N$13&lt;inputs!$I$17, (((inputs!$P$13/(V462/MAX(K462:S462)))^(1/inputs!$O$13))-1)/inputs!$N$13, inputs!$I$17))</f>
        <v>0</v>
      </c>
      <c r="U462" s="63">
        <f>IF((((inputs!$P$13/(X462/MAX(K462:S462)))^(1/inputs!$O$13))-1)/inputs!$N$13&lt;0, 0, IF((((inputs!$P$13/(X462/MAX(K462:S462)))^(1/inputs!$O$13))-1)/inputs!$N$13&lt;inputs!$I$17, (((inputs!$P$13/(X462/MAX(K462:S462)))^(1/inputs!$O$13))-1)/inputs!$N$13, inputs!$I$17))</f>
        <v>0</v>
      </c>
      <c r="V462" s="54">
        <f>inputs!$E$70*(F462/inputs!$F$70)^(0.25)</f>
        <v>20.634268100135696</v>
      </c>
      <c r="W462" s="54">
        <f>inputs!$E$76*(F462/inputs!$F$76)^(0.25)</f>
        <v>1.4836130478309419</v>
      </c>
      <c r="X462" s="54">
        <f>inputs!$E$72*(inputs!$F$72/F462)^(0.25)</f>
        <v>12.110921443264401</v>
      </c>
      <c r="Y462" s="54" t="s">
        <v>13</v>
      </c>
      <c r="Z462" s="106">
        <f t="shared" si="40"/>
        <v>0.22353974574113794</v>
      </c>
      <c r="AA462" s="106">
        <f t="shared" si="41"/>
        <v>3.1090175780015188</v>
      </c>
    </row>
    <row r="463" spans="1:27" ht="13.2" x14ac:dyDescent="0.25">
      <c r="A463" s="55" t="s">
        <v>604</v>
      </c>
      <c r="B463" s="49" t="s">
        <v>605</v>
      </c>
      <c r="C463" s="21" t="s">
        <v>61</v>
      </c>
      <c r="D463" s="20" t="s">
        <v>454</v>
      </c>
      <c r="E463" s="20">
        <v>2</v>
      </c>
      <c r="F463" s="21">
        <v>113000</v>
      </c>
      <c r="G463" s="21" t="s">
        <v>152</v>
      </c>
      <c r="H463" s="21">
        <v>0.77</v>
      </c>
      <c r="I463" s="68">
        <f>MAX('Max rate concentrations'!$G$3:$G$368)</f>
        <v>45</v>
      </c>
      <c r="J463" s="68">
        <f>MAX('Max rate concentrations'!Z:Z)</f>
        <v>21</v>
      </c>
      <c r="K463" s="70">
        <f t="shared" si="42"/>
        <v>5.7956823829370787</v>
      </c>
      <c r="L463" s="70">
        <f t="shared" si="43"/>
        <v>2.7046517787039703</v>
      </c>
      <c r="M463" s="70">
        <f>IF((((0.326*F463^0.818)-(0.398*F463^0.85)/(1-H463)*H463)*(MAX('Max rate concentrations'!$P$3:$P$368)))/F463&gt;0, (((0.326*F463^0.818)-(0.398*F463^0.85)/(1-H463)*H463)*(MAX('Max rate concentrations'!$P$3:$P$368)))/F463, 0)</f>
        <v>0</v>
      </c>
      <c r="N463" s="70">
        <f>IF((((0.326*F463^0.818)-(0.398*F463^0.85)/(1-H463)*H463)*(MAX('Max rate concentrations'!$Q$3:$Q$368)))/F463&gt; 0, (((0.326*F463^0.818)-(0.398*F463^0.85)/(1-H463)*H463)*(MAX('Max rate concentrations'!$Q$3:$Q$368)))/F463, 0)</f>
        <v>0</v>
      </c>
      <c r="O463" s="70">
        <f>((MAX('Max rate concentrations'!$F$3:$F$368))*0.62*6.01*8*(12.3*F463^0.65)*0.079*0.1/F463)*inputs!$E$73/inputs!$E$74</f>
        <v>4.6125790446588066</v>
      </c>
      <c r="P463" s="70">
        <f>((MAX('Max rate concentrations'!Y:Y))*0.62*6.01*8*(12.3*F463^0.65)*0.079*0.1/F463)*inputs!$E$73/inputs!$E$74</f>
        <v>1.5375263482196024</v>
      </c>
      <c r="Q463" s="70">
        <f>(inputs!$C$18*11.2*(12.3*F463^0.65)*0.5/F463)*inputs!$E$73/inputs!$E$74</f>
        <v>0.81248404312740241</v>
      </c>
      <c r="R463" s="60">
        <f>(60*379*((F463/1000)^0.8)*3*24*(MAX('Max rate concentrations'!$R$3:$R$368))/F463)*(inputs!$E$73/inputs!$E$75)</f>
        <v>4.2885750988636978E-3</v>
      </c>
      <c r="S463" s="60">
        <f>(IF(inputs!$C$17="aerial",((0.025*0.112*inputs!$C$18/3.3)*(3*60*379*((F463/1000)^0.8))*MAX(inputs!$I$14:$I$16))/F463,((0.0083*0.112*inputs!$C$18/1)*(3*60*379*((F463/1000)^0.8))*MAX(inputs!$I$14:$I$16))/F463))*(inputs!E$75/inputs!$E$73)</f>
        <v>2.3651755153036337E-2</v>
      </c>
      <c r="T463" s="63">
        <f>IF((((inputs!$P$13/(V463/MAX(K463:S463)))^(1/inputs!$O$13))-1)/inputs!$N$13&lt;0, 0, IF((((inputs!$P$13/(V463/MAX(K463:S463)))^(1/inputs!$O$13))-1)/inputs!$N$13&lt;inputs!$I$17, (((inputs!$P$13/(V463/MAX(K463:S463)))^(1/inputs!$O$13))-1)/inputs!$N$13, inputs!$I$17))</f>
        <v>0</v>
      </c>
      <c r="U463" s="63">
        <f>IF((((inputs!$P$13/(X463/MAX(K463:S463)))^(1/inputs!$O$13))-1)/inputs!$N$13&lt;0, 0, IF((((inputs!$P$13/(X463/MAX(K463:S463)))^(1/inputs!$O$13))-1)/inputs!$N$13&lt;inputs!$I$17, (((inputs!$P$13/(X463/MAX(K463:S463)))^(1/inputs!$O$13))-1)/inputs!$N$13, inputs!$I$17))</f>
        <v>0</v>
      </c>
      <c r="V463" s="54">
        <f>inputs!$E$70*(F463/inputs!$F$70)^(0.25)</f>
        <v>20.634268100135696</v>
      </c>
      <c r="W463" s="54">
        <f>inputs!$E$76*(F463/inputs!$F$76)^(0.25)</f>
        <v>1.4836130478309419</v>
      </c>
      <c r="X463" s="54">
        <f>inputs!$E$72*(inputs!$F$72/F463)^(0.25)</f>
        <v>12.110921443264401</v>
      </c>
      <c r="Y463" s="54" t="s">
        <v>13</v>
      </c>
      <c r="Z463" s="106">
        <f t="shared" si="40"/>
        <v>0.28087656682618006</v>
      </c>
      <c r="AA463" s="106">
        <f t="shared" si="41"/>
        <v>3.9064649582385567</v>
      </c>
    </row>
    <row r="464" spans="1:27" ht="13.2" x14ac:dyDescent="0.25">
      <c r="A464" s="55" t="s">
        <v>604</v>
      </c>
      <c r="B464" s="49" t="s">
        <v>605</v>
      </c>
      <c r="C464" s="21" t="s">
        <v>61</v>
      </c>
      <c r="D464" s="20" t="s">
        <v>454</v>
      </c>
      <c r="E464" s="20">
        <v>2</v>
      </c>
      <c r="F464" s="21">
        <v>113000</v>
      </c>
      <c r="G464" s="21" t="s">
        <v>169</v>
      </c>
      <c r="H464" s="21">
        <v>0.79</v>
      </c>
      <c r="I464" s="68">
        <f>MAX('Max rate concentrations'!$D$3:$D$368)</f>
        <v>720</v>
      </c>
      <c r="J464" s="68">
        <f>MAX('Max rate concentrations'!W:W)</f>
        <v>255</v>
      </c>
      <c r="K464" s="70">
        <f t="shared" si="42"/>
        <v>101.56243413908788</v>
      </c>
      <c r="L464" s="70">
        <f t="shared" si="43"/>
        <v>35.970028757593624</v>
      </c>
      <c r="M464" s="70">
        <f>IF((((0.326*F464^0.818)-(0.398*F464^0.85)/(1-H464)*H464)*(MAX('Max rate concentrations'!$P$3:$P$368)))/F464&gt;0, (((0.326*F464^0.818)-(0.398*F464^0.85)/(1-H464)*H464)*(MAX('Max rate concentrations'!$P$3:$P$368)))/F464, 0)</f>
        <v>0</v>
      </c>
      <c r="N464" s="70">
        <f>IF((((0.326*F464^0.818)-(0.398*F464^0.85)/(1-H464)*H464)*(MAX('Max rate concentrations'!$Q$3:$Q$368)))/F464&gt; 0, (((0.326*F464^0.818)-(0.398*F464^0.85)/(1-H464)*H464)*(MAX('Max rate concentrations'!$Q$3:$Q$368)))/F464, 0)</f>
        <v>0</v>
      </c>
      <c r="O464" s="70">
        <f>((MAX('Max rate concentrations'!$F$3:$F$368))*0.62*6.01*8*(12.3*F464^0.65)*0.079*0.1/F464)*inputs!$E$73/inputs!$E$74</f>
        <v>4.6125790446588066</v>
      </c>
      <c r="P464" s="70">
        <f>((MAX('Max rate concentrations'!Y:Y))*0.62*6.01*8*(12.3*F464^0.65)*0.079*0.1/F464)*inputs!$E$73/inputs!$E$74</f>
        <v>1.5375263482196024</v>
      </c>
      <c r="Q464" s="70">
        <f>(inputs!$C$18*11.2*(12.3*F464^0.65)*0.5/F464)*inputs!$E$73/inputs!$E$74</f>
        <v>0.81248404312740241</v>
      </c>
      <c r="R464" s="60">
        <f>(60*379*((F464/1000)^0.8)*3*24*(MAX('Max rate concentrations'!$R$3:$R$368))/F464)*(inputs!$E$73/inputs!$E$75)</f>
        <v>4.2885750988636978E-3</v>
      </c>
      <c r="S464" s="60">
        <f>(IF(inputs!$C$17="aerial",((0.025*0.112*inputs!$C$18/3.3)*(3*60*379*((F464/1000)^0.8))*MAX(inputs!$I$14:$I$16))/F464,((0.0083*0.112*inputs!$C$18/1)*(3*60*379*((F464/1000)^0.8))*MAX(inputs!$I$14:$I$16))/F464))*(inputs!E$75/inputs!$E$73)</f>
        <v>2.3651755153036337E-2</v>
      </c>
      <c r="T464" s="63">
        <f>IF((((inputs!$P$13/(V464/MAX(K464:S464)))^(1/inputs!$O$13))-1)/inputs!$N$13&lt;0, 0, IF((((inputs!$P$13/(V464/MAX(K464:S464)))^(1/inputs!$O$13))-1)/inputs!$N$13&lt;inputs!$I$17, (((inputs!$P$13/(V464/MAX(K464:S464)))^(1/inputs!$O$13))-1)/inputs!$N$13, inputs!$I$17))</f>
        <v>14.5819718187663</v>
      </c>
      <c r="U464" s="63">
        <f>IF((((inputs!$P$13/(X464/MAX(K464:S464)))^(1/inputs!$O$13))-1)/inputs!$N$13&lt;0, 0, IF((((inputs!$P$13/(X464/MAX(K464:S464)))^(1/inputs!$O$13))-1)/inputs!$N$13&lt;inputs!$I$17, (((inputs!$P$13/(X464/MAX(K464:S464)))^(1/inputs!$O$13))-1)/inputs!$N$13, inputs!$I$17))</f>
        <v>25.251987674333527</v>
      </c>
      <c r="V464" s="54">
        <f>inputs!$E$70*(F464/inputs!$F$70)^(0.25)</f>
        <v>20.634268100135696</v>
      </c>
      <c r="W464" s="54">
        <f>inputs!$E$76*(F464/inputs!$F$76)^(0.25)</f>
        <v>1.4836130478309419</v>
      </c>
      <c r="X464" s="54">
        <f>inputs!$E$72*(inputs!$F$72/F464)^(0.25)</f>
        <v>12.110921443264401</v>
      </c>
      <c r="Y464" s="54" t="s">
        <v>13</v>
      </c>
      <c r="Z464" s="106">
        <f t="shared" si="40"/>
        <v>4.9220274567635371</v>
      </c>
      <c r="AA464" s="106">
        <f t="shared" si="41"/>
        <v>68.456147839609017</v>
      </c>
    </row>
    <row r="465" spans="1:27" ht="26.4" x14ac:dyDescent="0.25">
      <c r="A465" s="55" t="s">
        <v>604</v>
      </c>
      <c r="B465" s="49" t="s">
        <v>605</v>
      </c>
      <c r="C465" s="21" t="s">
        <v>61</v>
      </c>
      <c r="D465" s="20" t="s">
        <v>454</v>
      </c>
      <c r="E465" s="20">
        <v>2</v>
      </c>
      <c r="F465" s="21">
        <v>113000</v>
      </c>
      <c r="G465" s="21" t="s">
        <v>580</v>
      </c>
      <c r="H465" s="21">
        <v>0.85</v>
      </c>
      <c r="I465" s="68">
        <f>MAX('Max rate concentrations'!$F$3:$F$368)</f>
        <v>405</v>
      </c>
      <c r="J465" s="68">
        <f>MAX('Max rate concentrations'!Y:Y)</f>
        <v>135</v>
      </c>
      <c r="K465" s="70">
        <f t="shared" si="42"/>
        <v>79.980416884531692</v>
      </c>
      <c r="L465" s="70">
        <f t="shared" si="43"/>
        <v>26.660138961510558</v>
      </c>
      <c r="M465" s="70">
        <f>IF((((0.326*F465^0.818)-(0.398*F465^0.85)/(1-H465)*H465)*(MAX('Max rate concentrations'!$P$3:$P$368)))/F465&gt;0, (((0.326*F465^0.818)-(0.398*F465^0.85)/(1-H465)*H465)*(MAX('Max rate concentrations'!$P$3:$P$368)))/F465, 0)</f>
        <v>0</v>
      </c>
      <c r="N465" s="70">
        <f>IF((((0.326*F465^0.818)-(0.398*F465^0.85)/(1-H465)*H465)*(MAX('Max rate concentrations'!$Q$3:$Q$368)))/F465&gt; 0, (((0.326*F465^0.818)-(0.398*F465^0.85)/(1-H465)*H465)*(MAX('Max rate concentrations'!$Q$3:$Q$368)))/F465, 0)</f>
        <v>0</v>
      </c>
      <c r="O465" s="70">
        <f>((MAX('Max rate concentrations'!$F$3:$F$368))*0.62*6.01*8*(12.3*F465^0.65)*0.079*0.1/F465)*inputs!$E$73/inputs!$E$74</f>
        <v>4.6125790446588066</v>
      </c>
      <c r="P465" s="70">
        <f>((MAX('Max rate concentrations'!Y:Y))*0.62*6.01*8*(12.3*F465^0.65)*0.079*0.1/F465)*inputs!$E$73/inputs!$E$74</f>
        <v>1.5375263482196024</v>
      </c>
      <c r="Q465" s="70">
        <f>(inputs!$C$18*11.2*(12.3*F465^0.65)*0.5/F465)*inputs!$E$73/inputs!$E$74</f>
        <v>0.81248404312740241</v>
      </c>
      <c r="R465" s="60">
        <f>(60*379*((F465/1000)^0.8)*3*24*(MAX('Max rate concentrations'!$R$3:$R$368))/F465)*(inputs!$E$73/inputs!$E$75)</f>
        <v>4.2885750988636978E-3</v>
      </c>
      <c r="S465" s="60">
        <f>(IF(inputs!$C$17="aerial",((0.025*0.112*inputs!$C$18/3.3)*(3*60*379*((F465/1000)^0.8))*MAX(inputs!$I$14:$I$16))/F465,((0.0083*0.112*inputs!$C$18/1)*(3*60*379*((F465/1000)^0.8))*MAX(inputs!$I$14:$I$16))/F465))*(inputs!E$75/inputs!$E$73)</f>
        <v>2.3651755153036337E-2</v>
      </c>
      <c r="T465" s="63">
        <f>IF((((inputs!$P$13/(V465/MAX(K465:S465)))^(1/inputs!$O$13))-1)/inputs!$N$13&lt;0, 0, IF((((inputs!$P$13/(V465/MAX(K465:S465)))^(1/inputs!$O$13))-1)/inputs!$N$13&lt;inputs!$I$17, (((inputs!$P$13/(V465/MAX(K465:S465)))^(1/inputs!$O$13))-1)/inputs!$N$13, inputs!$I$17))</f>
        <v>11.102058995024434</v>
      </c>
      <c r="U465" s="63">
        <f>IF((((inputs!$P$13/(X465/MAX(K465:S465)))^(1/inputs!$O$13))-1)/inputs!$N$13&lt;0, 0, IF((((inputs!$P$13/(X465/MAX(K465:S465)))^(1/inputs!$O$13))-1)/inputs!$N$13&lt;inputs!$I$17, (((inputs!$P$13/(X465/MAX(K465:S465)))^(1/inputs!$O$13))-1)/inputs!$N$13, inputs!$I$17))</f>
        <v>19.897672107376664</v>
      </c>
      <c r="V465" s="54">
        <f>inputs!$E$70*(F465/inputs!$F$70)^(0.25)</f>
        <v>20.634268100135696</v>
      </c>
      <c r="W465" s="54">
        <f>inputs!$E$76*(F465/inputs!$F$76)^(0.25)</f>
        <v>1.4836130478309419</v>
      </c>
      <c r="X465" s="54">
        <f>inputs!$E$72*(inputs!$F$72/F465)^(0.25)</f>
        <v>12.110921443264401</v>
      </c>
      <c r="Y465" s="54" t="s">
        <v>13</v>
      </c>
      <c r="Z465" s="106">
        <f t="shared" si="40"/>
        <v>3.8760966222012847</v>
      </c>
      <c r="AA465" s="106">
        <f t="shared" si="41"/>
        <v>53.909216423692087</v>
      </c>
    </row>
    <row r="466" spans="1:27" ht="13.2" x14ac:dyDescent="0.25">
      <c r="A466" s="55" t="s">
        <v>604</v>
      </c>
      <c r="B466" s="49" t="s">
        <v>605</v>
      </c>
      <c r="C466" s="21" t="s">
        <v>61</v>
      </c>
      <c r="D466" s="20" t="s">
        <v>454</v>
      </c>
      <c r="E466" s="20">
        <v>2</v>
      </c>
      <c r="F466" s="21">
        <v>113000</v>
      </c>
      <c r="G466" s="21" t="s">
        <v>455</v>
      </c>
      <c r="H466" s="21">
        <v>0.68</v>
      </c>
      <c r="I466" s="71">
        <f>MAX('Max rate concentrations'!$K$3:$K$368)</f>
        <v>110.00035859694511</v>
      </c>
      <c r="J466" s="71">
        <f>MAX('Max rate concentrations'!AC:AC)</f>
        <v>38.958460336418057</v>
      </c>
      <c r="K466" s="70">
        <f t="shared" si="42"/>
        <v>10.182725159758855</v>
      </c>
      <c r="L466" s="70">
        <f t="shared" si="43"/>
        <v>3.606381827414594</v>
      </c>
      <c r="M466" s="70">
        <f>IF((((0.326*F466^0.818)-(0.398*F466^0.85)/(1-H466)*H466)*(MAX('Max rate concentrations'!$P$3:$P$368)))/F466&gt;0, (((0.326*F466^0.818)-(0.398*F466^0.85)/(1-H466)*H466)*(MAX('Max rate concentrations'!$P$3:$P$368)))/F466, 0)</f>
        <v>0</v>
      </c>
      <c r="N466" s="70">
        <f>IF((((0.326*F466^0.818)-(0.398*F466^0.85)/(1-H466)*H466)*(MAX('Max rate concentrations'!$Q$3:$Q$368)))/F466&gt; 0, (((0.326*F466^0.818)-(0.398*F466^0.85)/(1-H466)*H466)*(MAX('Max rate concentrations'!$Q$3:$Q$368)))/F466, 0)</f>
        <v>0</v>
      </c>
      <c r="O466" s="70">
        <f>((MAX('Max rate concentrations'!$F$3:$F$368))*0.62*6.01*8*(12.3*F466^0.65)*0.079*0.1/F466)*inputs!$E$73/inputs!$E$74</f>
        <v>4.6125790446588066</v>
      </c>
      <c r="P466" s="70">
        <f>((MAX('Max rate concentrations'!Y:Y))*0.62*6.01*8*(12.3*F466^0.65)*0.079*0.1/F466)*inputs!$E$73/inputs!$E$74</f>
        <v>1.5375263482196024</v>
      </c>
      <c r="Q466" s="70">
        <f>(inputs!$C$18*11.2*(12.3*F466^0.65)*0.5/F466)*inputs!$E$73/inputs!$E$74</f>
        <v>0.81248404312740241</v>
      </c>
      <c r="R466" s="60">
        <f>(60*379*((F466/1000)^0.8)*3*24*(MAX('Max rate concentrations'!$R$3:$R$368))/F466)*(inputs!$E$73/inputs!$E$75)</f>
        <v>4.2885750988636978E-3</v>
      </c>
      <c r="S466" s="60">
        <f>(IF(inputs!$C$17="aerial",((0.025*0.112*inputs!$C$18/3.3)*(3*60*379*((F466/1000)^0.8))*MAX(inputs!$I$14:$I$16))/F466,((0.0083*0.112*inputs!$C$18/1)*(3*60*379*((F466/1000)^0.8))*MAX(inputs!$I$14:$I$16))/F466))*(inputs!E$75/inputs!$E$73)</f>
        <v>2.3651755153036337E-2</v>
      </c>
      <c r="T466" s="63">
        <f>IF((((inputs!$P$13/(V466/MAX(K466:S466)))^(1/inputs!$O$13))-1)/inputs!$N$13&lt;0, 0, IF((((inputs!$P$13/(V466/MAX(K466:S466)))^(1/inputs!$O$13))-1)/inputs!$N$13&lt;inputs!$I$17, (((inputs!$P$13/(V466/MAX(K466:S466)))^(1/inputs!$O$13))-1)/inputs!$N$13, inputs!$I$17))</f>
        <v>0</v>
      </c>
      <c r="U466" s="63">
        <f>IF((((inputs!$P$13/(X466/MAX(K466:S466)))^(1/inputs!$O$13))-1)/inputs!$N$13&lt;0, 0, IF((((inputs!$P$13/(X466/MAX(K466:S466)))^(1/inputs!$O$13))-1)/inputs!$N$13&lt;inputs!$I$17, (((inputs!$P$13/(X466/MAX(K466:S466)))^(1/inputs!$O$13))-1)/inputs!$N$13, inputs!$I$17))</f>
        <v>0</v>
      </c>
      <c r="V466" s="54">
        <f>inputs!$E$70*(F466/inputs!$F$70)^(0.25)</f>
        <v>20.634268100135696</v>
      </c>
      <c r="W466" s="54">
        <f>inputs!$E$76*(F466/inputs!$F$76)^(0.25)</f>
        <v>1.4836130478309419</v>
      </c>
      <c r="X466" s="54">
        <f>inputs!$E$72*(inputs!$F$72/F466)^(0.25)</f>
        <v>12.110921443264401</v>
      </c>
      <c r="Y466" s="54" t="s">
        <v>13</v>
      </c>
      <c r="Z466" s="106">
        <f t="shared" si="40"/>
        <v>0.49348613240572803</v>
      </c>
      <c r="AA466" s="106">
        <f t="shared" si="41"/>
        <v>6.8634642804241359</v>
      </c>
    </row>
    <row r="467" spans="1:27" ht="13.2" x14ac:dyDescent="0.25">
      <c r="A467" s="55" t="s">
        <v>604</v>
      </c>
      <c r="B467" s="49" t="s">
        <v>605</v>
      </c>
      <c r="C467" s="21" t="s">
        <v>61</v>
      </c>
      <c r="D467" s="20" t="s">
        <v>454</v>
      </c>
      <c r="E467" s="20">
        <v>2</v>
      </c>
      <c r="F467" s="21">
        <v>113000</v>
      </c>
      <c r="G467" s="21" t="s">
        <v>456</v>
      </c>
      <c r="H467" s="21">
        <v>0.68</v>
      </c>
      <c r="I467" s="68">
        <f>MAX('Max rate concentrations'!$J$3:$J$368)</f>
        <v>686.46486205830786</v>
      </c>
      <c r="J467" s="68">
        <f>MAX('Max rate concentrations'!AB:AB)</f>
        <v>243.122971978984</v>
      </c>
      <c r="K467" s="70">
        <f t="shared" si="42"/>
        <v>63.546002134266217</v>
      </c>
      <c r="L467" s="70">
        <f t="shared" si="43"/>
        <v>22.505875755885949</v>
      </c>
      <c r="M467" s="70">
        <f>IF((((0.326*F467^0.818)-(0.398*F467^0.85)/(1-H467)*H467)*(MAX('Max rate concentrations'!$P$3:$P$368)))/F467&gt;0, (((0.326*F467^0.818)-(0.398*F467^0.85)/(1-H467)*H467)*(MAX('Max rate concentrations'!$P$3:$P$368)))/F467, 0)</f>
        <v>0</v>
      </c>
      <c r="N467" s="70">
        <f>IF((((0.326*F467^0.818)-(0.398*F467^0.85)/(1-H467)*H467)*(MAX('Max rate concentrations'!$Q$3:$Q$368)))/F467&gt; 0, (((0.326*F467^0.818)-(0.398*F467^0.85)/(1-H467)*H467)*(MAX('Max rate concentrations'!$Q$3:$Q$368)))/F467, 0)</f>
        <v>0</v>
      </c>
      <c r="O467" s="70">
        <f>((MAX('Max rate concentrations'!$F$3:$F$368))*0.62*6.01*8*(12.3*F467^0.65)*0.079*0.1/F467)*inputs!$E$73/inputs!$E$74</f>
        <v>4.6125790446588066</v>
      </c>
      <c r="P467" s="70">
        <f>((MAX('Max rate concentrations'!Y:Y))*0.62*6.01*8*(12.3*F467^0.65)*0.079*0.1/F467)*inputs!$E$73/inputs!$E$74</f>
        <v>1.5375263482196024</v>
      </c>
      <c r="Q467" s="70">
        <f>(inputs!$C$18*11.2*(12.3*F467^0.65)*0.5/F467)*inputs!$E$73/inputs!$E$74</f>
        <v>0.81248404312740241</v>
      </c>
      <c r="R467" s="60">
        <f>(60*379*((F467/1000)^0.8)*3*24*(MAX('Max rate concentrations'!$R$3:$R$368))/F467)*(inputs!$E$73/inputs!$E$75)</f>
        <v>4.2885750988636978E-3</v>
      </c>
      <c r="S467" s="60">
        <f>(IF(inputs!$C$17="aerial",((0.025*0.112*inputs!$C$18/3.3)*(3*60*379*((F467/1000)^0.8))*MAX(inputs!$I$14:$I$16))/F467,((0.0083*0.112*inputs!$C$18/1)*(3*60*379*((F467/1000)^0.8))*MAX(inputs!$I$14:$I$16))/F467))*(inputs!E$75/inputs!$E$73)</f>
        <v>2.3651755153036337E-2</v>
      </c>
      <c r="T467" s="63">
        <f>IF((((inputs!$P$13/(V467/MAX(K467:S467)))^(1/inputs!$O$13))-1)/inputs!$N$13&lt;0, 0, IF((((inputs!$P$13/(V467/MAX(K467:S467)))^(1/inputs!$O$13))-1)/inputs!$N$13&lt;inputs!$I$17, (((inputs!$P$13/(V467/MAX(K467:S467)))^(1/inputs!$O$13))-1)/inputs!$N$13, inputs!$I$17))</f>
        <v>8.3304090077370088</v>
      </c>
      <c r="U467" s="63">
        <f>IF((((inputs!$P$13/(X467/MAX(K467:S467)))^(1/inputs!$O$13))-1)/inputs!$N$13&lt;0, 0, IF((((inputs!$P$13/(X467/MAX(K467:S467)))^(1/inputs!$O$13))-1)/inputs!$N$13&lt;inputs!$I$17, (((inputs!$P$13/(X467/MAX(K467:S467)))^(1/inputs!$O$13))-1)/inputs!$N$13, inputs!$I$17))</f>
        <v>15.633114509312625</v>
      </c>
      <c r="V467" s="54">
        <f>inputs!$E$70*(F467/inputs!$F$70)^(0.25)</f>
        <v>20.634268100135696</v>
      </c>
      <c r="W467" s="54">
        <f>inputs!$E$76*(F467/inputs!$F$76)^(0.25)</f>
        <v>1.4836130478309419</v>
      </c>
      <c r="X467" s="54">
        <f>inputs!$E$72*(inputs!$F$72/F467)^(0.25)</f>
        <v>12.110921443264401</v>
      </c>
      <c r="Y467" s="54" t="s">
        <v>13</v>
      </c>
      <c r="Z467" s="106">
        <f t="shared" si="40"/>
        <v>3.0796344132917572</v>
      </c>
      <c r="AA467" s="106">
        <f t="shared" si="41"/>
        <v>42.831924555510717</v>
      </c>
    </row>
    <row r="468" spans="1:27" ht="26.4" x14ac:dyDescent="0.25">
      <c r="A468" s="55" t="s">
        <v>604</v>
      </c>
      <c r="B468" s="49" t="s">
        <v>606</v>
      </c>
      <c r="C468" s="21" t="s">
        <v>61</v>
      </c>
      <c r="D468" s="20" t="s">
        <v>454</v>
      </c>
      <c r="E468" s="20">
        <v>4110</v>
      </c>
      <c r="F468" s="21">
        <v>113000</v>
      </c>
      <c r="G468" s="21" t="s">
        <v>142</v>
      </c>
      <c r="H468" s="21">
        <v>0.69</v>
      </c>
      <c r="I468" s="68">
        <f>MAX('Max rate concentrations'!$H$3:$H$368)</f>
        <v>282</v>
      </c>
      <c r="J468" s="68">
        <f>MAX('Max rate concentrations'!AA:AA)</f>
        <v>195</v>
      </c>
      <c r="K468" s="70">
        <f t="shared" si="42"/>
        <v>26.946807122387018</v>
      </c>
      <c r="L468" s="70">
        <f t="shared" si="43"/>
        <v>18.633430456969748</v>
      </c>
      <c r="M468" s="70">
        <f>IF((((0.326*F468^0.818)-(0.398*F468^0.85)/(1-H468)*H468)*(MAX('Max rate concentrations'!$P$3:$P$368)))/F468&gt;0, (((0.326*F468^0.818)-(0.398*F468^0.85)/(1-H468)*H468)*(MAX('Max rate concentrations'!$P$3:$P$368)))/F468, 0)</f>
        <v>0</v>
      </c>
      <c r="N468" s="70">
        <f>IF((((0.326*F468^0.818)-(0.398*F468^0.85)/(1-H468)*H468)*(MAX('Max rate concentrations'!$Q$3:$Q$368)))/F468&gt; 0, (((0.326*F468^0.818)-(0.398*F468^0.85)/(1-H468)*H468)*(MAX('Max rate concentrations'!$Q$3:$Q$368)))/F468, 0)</f>
        <v>0</v>
      </c>
      <c r="O468" s="70">
        <f>((MAX('Max rate concentrations'!$F$3:$F$368))*0.62*6.01*8*(12.3*F468^0.65)*0.079*0.1/F468)*inputs!$E$73/inputs!$E$74</f>
        <v>4.6125790446588066</v>
      </c>
      <c r="P468" s="70">
        <f>((MAX('Max rate concentrations'!Y:Y))*0.62*6.01*8*(12.3*F468^0.65)*0.079*0.1/F468)*inputs!$E$73/inputs!$E$74</f>
        <v>1.5375263482196024</v>
      </c>
      <c r="Q468" s="70">
        <f>(inputs!$C$18*11.2*(12.3*F468^0.65)*0.5/F468)*inputs!$E$73/inputs!$E$74</f>
        <v>0.81248404312740241</v>
      </c>
      <c r="R468" s="60">
        <f>(60*379*((F468/1000)^0.8)*3*24*(MAX('Max rate concentrations'!$R$3:$R$368))/F468)*(inputs!$E$73/inputs!$E$75)</f>
        <v>4.2885750988636978E-3</v>
      </c>
      <c r="S468" s="60">
        <f>(IF(inputs!$C$17="aerial",((0.025*0.112*inputs!$C$18/3.3)*(3*60*379*((F468/1000)^0.8))*MAX(inputs!$I$14:$I$16))/F468,((0.0083*0.112*inputs!$C$18/1)*(3*60*379*((F468/1000)^0.8))*MAX(inputs!$I$14:$I$16))/F468))*(inputs!E$75/inputs!$E$73)</f>
        <v>2.3651755153036337E-2</v>
      </c>
      <c r="T468" s="63">
        <f>IF((((inputs!$P$13/(V468/MAX(K468:S468)))^(1/inputs!$O$13))-1)/inputs!$N$13&lt;0, 0, IF((((inputs!$P$13/(V468/MAX(K468:S468)))^(1/inputs!$O$13))-1)/inputs!$N$13&lt;inputs!$I$17, (((inputs!$P$13/(V468/MAX(K468:S468)))^(1/inputs!$O$13))-1)/inputs!$N$13, inputs!$I$17))</f>
        <v>1.5473795760186797</v>
      </c>
      <c r="U468" s="63">
        <f>IF((((inputs!$P$13/(X468/MAX(K468:S468)))^(1/inputs!$O$13))-1)/inputs!$N$13&lt;0, 0, IF((((inputs!$P$13/(X468/MAX(K468:S468)))^(1/inputs!$O$13))-1)/inputs!$N$13&lt;inputs!$I$17, (((inputs!$P$13/(X468/MAX(K468:S468)))^(1/inputs!$O$13))-1)/inputs!$N$13, inputs!$I$17))</f>
        <v>5.1965082157320781</v>
      </c>
      <c r="V468" s="54">
        <f>inputs!$E$70*(F468/inputs!$F$70)^(0.25)</f>
        <v>20.634268100135696</v>
      </c>
      <c r="W468" s="54">
        <f>inputs!$E$76*(F468/inputs!$F$76)^(0.25)</f>
        <v>1.4836130478309419</v>
      </c>
      <c r="X468" s="54">
        <f>inputs!$E$72*(inputs!$F$72/F468)^(0.25)</f>
        <v>12.110921443264401</v>
      </c>
      <c r="Y468" s="54" t="s">
        <v>13</v>
      </c>
      <c r="Z468" s="106">
        <f t="shared" si="40"/>
        <v>1.3059250268348412</v>
      </c>
      <c r="AA468" s="106">
        <f t="shared" si="41"/>
        <v>18.162961805831742</v>
      </c>
    </row>
    <row r="469" spans="1:27" ht="26.4" x14ac:dyDescent="0.25">
      <c r="A469" s="55" t="s">
        <v>604</v>
      </c>
      <c r="B469" s="49" t="s">
        <v>606</v>
      </c>
      <c r="C469" s="21" t="s">
        <v>61</v>
      </c>
      <c r="D469" s="20" t="s">
        <v>454</v>
      </c>
      <c r="E469" s="20">
        <v>4110</v>
      </c>
      <c r="F469" s="21">
        <v>113000</v>
      </c>
      <c r="G469" s="21" t="s">
        <v>218</v>
      </c>
      <c r="H469" s="21">
        <v>0.68</v>
      </c>
      <c r="I469" s="68">
        <f>MAX('Max rate concentrations'!$K$3:$K$368)</f>
        <v>110.00035859694511</v>
      </c>
      <c r="J469" s="68">
        <f>MAX('Max rate concentrations'!AC:AC)</f>
        <v>38.958460336418057</v>
      </c>
      <c r="K469" s="70">
        <f t="shared" si="42"/>
        <v>10.182725159758855</v>
      </c>
      <c r="L469" s="70">
        <f t="shared" si="43"/>
        <v>3.606381827414594</v>
      </c>
      <c r="M469" s="70">
        <f>IF((((0.326*F469^0.818)-(0.398*F469^0.85)/(1-H469)*H469)*(MAX('Max rate concentrations'!$P$3:$P$368)))/F469&gt;0, (((0.326*F469^0.818)-(0.398*F469^0.85)/(1-H469)*H469)*(MAX('Max rate concentrations'!$P$3:$P$368)))/F469, 0)</f>
        <v>0</v>
      </c>
      <c r="N469" s="70">
        <f>IF((((0.326*F469^0.818)-(0.398*F469^0.85)/(1-H469)*H469)*(MAX('Max rate concentrations'!$Q$3:$Q$368)))/F469&gt; 0, (((0.326*F469^0.818)-(0.398*F469^0.85)/(1-H469)*H469)*(MAX('Max rate concentrations'!$Q$3:$Q$368)))/F469, 0)</f>
        <v>0</v>
      </c>
      <c r="O469" s="70">
        <f>((MAX('Max rate concentrations'!$F$3:$F$368))*0.62*6.01*8*(12.3*F469^0.65)*0.079*0.1/F469)*inputs!$E$73/inputs!$E$74</f>
        <v>4.6125790446588066</v>
      </c>
      <c r="P469" s="70">
        <f>((MAX('Max rate concentrations'!Y:Y))*0.62*6.01*8*(12.3*F469^0.65)*0.079*0.1/F469)*inputs!$E$73/inputs!$E$74</f>
        <v>1.5375263482196024</v>
      </c>
      <c r="Q469" s="70">
        <f>(inputs!$C$18*11.2*(12.3*F469^0.65)*0.5/F469)*inputs!$E$73/inputs!$E$74</f>
        <v>0.81248404312740241</v>
      </c>
      <c r="R469" s="60">
        <f>(60*379*((F469/1000)^0.8)*3*24*(MAX('Max rate concentrations'!$R$3:$R$368))/F469)*(inputs!$E$73/inputs!$E$75)</f>
        <v>4.2885750988636978E-3</v>
      </c>
      <c r="S469" s="60">
        <f>(IF(inputs!$C$17="aerial",((0.025*0.112*inputs!$C$18/3.3)*(3*60*379*((F469/1000)^0.8))*MAX(inputs!$I$14:$I$16))/F469,((0.0083*0.112*inputs!$C$18/1)*(3*60*379*((F469/1000)^0.8))*MAX(inputs!$I$14:$I$16))/F469))*(inputs!E$75/inputs!$E$73)</f>
        <v>2.3651755153036337E-2</v>
      </c>
      <c r="T469" s="63">
        <f>IF((((inputs!$P$13/(V469/MAX(K469:S469)))^(1/inputs!$O$13))-1)/inputs!$N$13&lt;0, 0, IF((((inputs!$P$13/(V469/MAX(K469:S469)))^(1/inputs!$O$13))-1)/inputs!$N$13&lt;inputs!$I$17, (((inputs!$P$13/(V469/MAX(K469:S469)))^(1/inputs!$O$13))-1)/inputs!$N$13, inputs!$I$17))</f>
        <v>0</v>
      </c>
      <c r="U469" s="63">
        <f>IF((((inputs!$P$13/(X469/MAX(K469:S469)))^(1/inputs!$O$13))-1)/inputs!$N$13&lt;0, 0, IF((((inputs!$P$13/(X469/MAX(K469:S469)))^(1/inputs!$O$13))-1)/inputs!$N$13&lt;inputs!$I$17, (((inputs!$P$13/(X469/MAX(K469:S469)))^(1/inputs!$O$13))-1)/inputs!$N$13, inputs!$I$17))</f>
        <v>0</v>
      </c>
      <c r="V469" s="54">
        <f>inputs!$E$70*(F469/inputs!$F$70)^(0.25)</f>
        <v>20.634268100135696</v>
      </c>
      <c r="W469" s="54">
        <f>inputs!$E$76*(F469/inputs!$F$76)^(0.25)</f>
        <v>1.4836130478309419</v>
      </c>
      <c r="X469" s="54">
        <f>inputs!$E$72*(inputs!$F$72/F469)^(0.25)</f>
        <v>12.110921443264401</v>
      </c>
      <c r="Y469" s="54" t="s">
        <v>13</v>
      </c>
      <c r="Z469" s="106">
        <f t="shared" si="40"/>
        <v>0.49348613240572803</v>
      </c>
      <c r="AA469" s="106">
        <f t="shared" si="41"/>
        <v>6.8634642804241359</v>
      </c>
    </row>
    <row r="470" spans="1:27" ht="26.4" x14ac:dyDescent="0.25">
      <c r="A470" s="55" t="s">
        <v>604</v>
      </c>
      <c r="B470" s="49" t="s">
        <v>606</v>
      </c>
      <c r="C470" s="21" t="s">
        <v>61</v>
      </c>
      <c r="D470" s="20" t="s">
        <v>454</v>
      </c>
      <c r="E470" s="20">
        <v>4110</v>
      </c>
      <c r="F470" s="21">
        <v>113000</v>
      </c>
      <c r="G470" s="21" t="s">
        <v>186</v>
      </c>
      <c r="H470" s="21">
        <v>0.75</v>
      </c>
      <c r="I470" s="68">
        <f>inputs!$C$66*inputs!$C$64/1000</f>
        <v>21.3</v>
      </c>
      <c r="J470" s="68">
        <f>inputs!$C$66*inputs!$C$63/1000</f>
        <v>8.8000000000000007</v>
      </c>
      <c r="K470" s="70">
        <f t="shared" si="42"/>
        <v>2.5238264883563333</v>
      </c>
      <c r="L470" s="70">
        <f t="shared" si="43"/>
        <v>1.0427076571613021</v>
      </c>
      <c r="M470" s="70">
        <f>IF((((0.326*F470^0.818)-(0.398*F470^0.85)/(1-H470)*H470)*(MAX('Max rate concentrations'!$P$3:$P$368)))/F470&gt;0, (((0.326*F470^0.818)-(0.398*F470^0.85)/(1-H470)*H470)*(MAX('Max rate concentrations'!$P$3:$P$368)))/F470, 0)</f>
        <v>0</v>
      </c>
      <c r="N470" s="70">
        <f>IF((((0.326*F470^0.818)-(0.398*F470^0.85)/(1-H470)*H470)*(MAX('Max rate concentrations'!$Q$3:$Q$368)))/F470&gt; 0, (((0.326*F470^0.818)-(0.398*F470^0.85)/(1-H470)*H470)*(MAX('Max rate concentrations'!$Q$3:$Q$368)))/F470, 0)</f>
        <v>0</v>
      </c>
      <c r="O470" s="70">
        <f>((MAX('Max rate concentrations'!$F$3:$F$368))*0.62*6.01*8*(12.3*F470^0.65)*0.079*0.1/F470)*inputs!$E$73/inputs!$E$74</f>
        <v>4.6125790446588066</v>
      </c>
      <c r="P470" s="70">
        <f>((MAX('Max rate concentrations'!Y:Y))*0.62*6.01*8*(12.3*F470^0.65)*0.079*0.1/F470)*inputs!$E$73/inputs!$E$74</f>
        <v>1.5375263482196024</v>
      </c>
      <c r="Q470" s="70">
        <f>(inputs!$C$18*11.2*(12.3*F470^0.65)*0.5/F470)*inputs!$E$73/inputs!$E$74</f>
        <v>0.81248404312740241</v>
      </c>
      <c r="R470" s="60">
        <f>(60*379*((F470/1000)^0.8)*3*24*(MAX('Max rate concentrations'!$R$3:$R$368))/F470)*(inputs!$E$73/inputs!$E$75)</f>
        <v>4.2885750988636978E-3</v>
      </c>
      <c r="S470" s="60">
        <f>(IF(inputs!$C$17="aerial",((0.025*0.112*inputs!$C$18/3.3)*(3*60*379*((F470/1000)^0.8))*MAX(inputs!$I$14:$I$16))/F470,((0.0083*0.112*inputs!$C$18/1)*(3*60*379*((F470/1000)^0.8))*MAX(inputs!$I$14:$I$16))/F470))*(inputs!E$75/inputs!$E$73)</f>
        <v>2.3651755153036337E-2</v>
      </c>
      <c r="T470" s="63">
        <f>IF((((inputs!$P$13/(V470/MAX(K470:S470)))^(1/inputs!$O$13))-1)/inputs!$N$13&lt;0, 0, IF((((inputs!$P$13/(V470/MAX(K470:S470)))^(1/inputs!$O$13))-1)/inputs!$N$13&lt;inputs!$I$17, (((inputs!$P$13/(V470/MAX(K470:S470)))^(1/inputs!$O$13))-1)/inputs!$N$13, inputs!$I$17))</f>
        <v>0</v>
      </c>
      <c r="U470" s="63">
        <f>IF((((inputs!$P$13/(X470/MAX(K470:S470)))^(1/inputs!$O$13))-1)/inputs!$N$13&lt;0, 0, IF((((inputs!$P$13/(X470/MAX(K470:S470)))^(1/inputs!$O$13))-1)/inputs!$N$13&lt;inputs!$I$17, (((inputs!$P$13/(X470/MAX(K470:S470)))^(1/inputs!$O$13))-1)/inputs!$N$13, inputs!$I$17))</f>
        <v>0</v>
      </c>
      <c r="V470" s="54">
        <f>inputs!$E$70*(F470/inputs!$F$70)^(0.25)</f>
        <v>20.634268100135696</v>
      </c>
      <c r="W470" s="54">
        <f>inputs!$E$76*(F470/inputs!$F$76)^(0.25)</f>
        <v>1.4836130478309419</v>
      </c>
      <c r="X470" s="54">
        <f>inputs!$E$72*(inputs!$F$72/F470)^(0.25)</f>
        <v>12.110921443264401</v>
      </c>
      <c r="Y470" s="54" t="s">
        <v>13</v>
      </c>
      <c r="Z470" s="106">
        <f t="shared" si="40"/>
        <v>0.22353974574113794</v>
      </c>
      <c r="AA470" s="106">
        <f t="shared" si="41"/>
        <v>3.1090175780015188</v>
      </c>
    </row>
    <row r="471" spans="1:27" ht="26.4" x14ac:dyDescent="0.25">
      <c r="A471" s="55" t="s">
        <v>604</v>
      </c>
      <c r="B471" s="49" t="s">
        <v>606</v>
      </c>
      <c r="C471" s="21" t="s">
        <v>61</v>
      </c>
      <c r="D471" s="20" t="s">
        <v>454</v>
      </c>
      <c r="E471" s="20">
        <v>4110</v>
      </c>
      <c r="F471" s="21">
        <v>113000</v>
      </c>
      <c r="G471" s="21" t="s">
        <v>152</v>
      </c>
      <c r="H471" s="21">
        <v>0.77</v>
      </c>
      <c r="I471" s="68">
        <f>MAX('Max rate concentrations'!$G$3:$G$368)</f>
        <v>45</v>
      </c>
      <c r="J471" s="68">
        <f>MAX('Max rate concentrations'!Z:Z)</f>
        <v>21</v>
      </c>
      <c r="K471" s="70">
        <f t="shared" si="42"/>
        <v>5.7956823829370787</v>
      </c>
      <c r="L471" s="70">
        <f t="shared" si="43"/>
        <v>2.7046517787039703</v>
      </c>
      <c r="M471" s="70">
        <f>IF((((0.326*F471^0.818)-(0.398*F471^0.85)/(1-H471)*H471)*(MAX('Max rate concentrations'!$P$3:$P$368)))/F471&gt;0, (((0.326*F471^0.818)-(0.398*F471^0.85)/(1-H471)*H471)*(MAX('Max rate concentrations'!$P$3:$P$368)))/F471, 0)</f>
        <v>0</v>
      </c>
      <c r="N471" s="70">
        <f>IF((((0.326*F471^0.818)-(0.398*F471^0.85)/(1-H471)*H471)*(MAX('Max rate concentrations'!$Q$3:$Q$368)))/F471&gt; 0, (((0.326*F471^0.818)-(0.398*F471^0.85)/(1-H471)*H471)*(MAX('Max rate concentrations'!$Q$3:$Q$368)))/F471, 0)</f>
        <v>0</v>
      </c>
      <c r="O471" s="70">
        <f>((MAX('Max rate concentrations'!$F$3:$F$368))*0.62*6.01*8*(12.3*F471^0.65)*0.079*0.1/F471)*inputs!$E$73/inputs!$E$74</f>
        <v>4.6125790446588066</v>
      </c>
      <c r="P471" s="70">
        <f>((MAX('Max rate concentrations'!Y:Y))*0.62*6.01*8*(12.3*F471^0.65)*0.079*0.1/F471)*inputs!$E$73/inputs!$E$74</f>
        <v>1.5375263482196024</v>
      </c>
      <c r="Q471" s="70">
        <f>(inputs!$C$18*11.2*(12.3*F471^0.65)*0.5/F471)*inputs!$E$73/inputs!$E$74</f>
        <v>0.81248404312740241</v>
      </c>
      <c r="R471" s="60">
        <f>(60*379*((F471/1000)^0.8)*3*24*(MAX('Max rate concentrations'!$R$3:$R$368))/F471)*(inputs!$E$73/inputs!$E$75)</f>
        <v>4.2885750988636978E-3</v>
      </c>
      <c r="S471" s="60">
        <f>(IF(inputs!$C$17="aerial",((0.025*0.112*inputs!$C$18/3.3)*(3*60*379*((F471/1000)^0.8))*MAX(inputs!$I$14:$I$16))/F471,((0.0083*0.112*inputs!$C$18/1)*(3*60*379*((F471/1000)^0.8))*MAX(inputs!$I$14:$I$16))/F471))*(inputs!E$75/inputs!$E$73)</f>
        <v>2.3651755153036337E-2</v>
      </c>
      <c r="T471" s="63">
        <f>IF((((inputs!$P$13/(V471/MAX(K471:S471)))^(1/inputs!$O$13))-1)/inputs!$N$13&lt;0, 0, IF((((inputs!$P$13/(V471/MAX(K471:S471)))^(1/inputs!$O$13))-1)/inputs!$N$13&lt;inputs!$I$17, (((inputs!$P$13/(V471/MAX(K471:S471)))^(1/inputs!$O$13))-1)/inputs!$N$13, inputs!$I$17))</f>
        <v>0</v>
      </c>
      <c r="U471" s="63">
        <f>IF((((inputs!$P$13/(X471/MAX(K471:S471)))^(1/inputs!$O$13))-1)/inputs!$N$13&lt;0, 0, IF((((inputs!$P$13/(X471/MAX(K471:S471)))^(1/inputs!$O$13))-1)/inputs!$N$13&lt;inputs!$I$17, (((inputs!$P$13/(X471/MAX(K471:S471)))^(1/inputs!$O$13))-1)/inputs!$N$13, inputs!$I$17))</f>
        <v>0</v>
      </c>
      <c r="V471" s="54">
        <f>inputs!$E$70*(F471/inputs!$F$70)^(0.25)</f>
        <v>20.634268100135696</v>
      </c>
      <c r="W471" s="54">
        <f>inputs!$E$76*(F471/inputs!$F$76)^(0.25)</f>
        <v>1.4836130478309419</v>
      </c>
      <c r="X471" s="54">
        <f>inputs!$E$72*(inputs!$F$72/F471)^(0.25)</f>
        <v>12.110921443264401</v>
      </c>
      <c r="Y471" s="54" t="s">
        <v>13</v>
      </c>
      <c r="Z471" s="106">
        <f t="shared" si="40"/>
        <v>0.28087656682618006</v>
      </c>
      <c r="AA471" s="106">
        <f t="shared" si="41"/>
        <v>3.9064649582385567</v>
      </c>
    </row>
    <row r="472" spans="1:27" ht="26.4" x14ac:dyDescent="0.25">
      <c r="A472" s="55" t="s">
        <v>604</v>
      </c>
      <c r="B472" s="49" t="s">
        <v>606</v>
      </c>
      <c r="C472" s="21" t="s">
        <v>61</v>
      </c>
      <c r="D472" s="20" t="s">
        <v>454</v>
      </c>
      <c r="E472" s="20">
        <v>4110</v>
      </c>
      <c r="F472" s="21">
        <v>113000</v>
      </c>
      <c r="G472" s="21" t="s">
        <v>169</v>
      </c>
      <c r="H472" s="21">
        <v>0.79</v>
      </c>
      <c r="I472" s="68">
        <f>MAX('Max rate concentrations'!$D$3:$D$368)</f>
        <v>720</v>
      </c>
      <c r="J472" s="68">
        <f>MAX('Max rate concentrations'!W:W)</f>
        <v>255</v>
      </c>
      <c r="K472" s="70">
        <f t="shared" si="42"/>
        <v>101.56243413908788</v>
      </c>
      <c r="L472" s="70">
        <f t="shared" si="43"/>
        <v>35.970028757593624</v>
      </c>
      <c r="M472" s="70">
        <f>IF((((0.326*F472^0.818)-(0.398*F472^0.85)/(1-H472)*H472)*(MAX('Max rate concentrations'!$P$3:$P$368)))/F472&gt;0, (((0.326*F472^0.818)-(0.398*F472^0.85)/(1-H472)*H472)*(MAX('Max rate concentrations'!$P$3:$P$368)))/F472, 0)</f>
        <v>0</v>
      </c>
      <c r="N472" s="70">
        <f>IF((((0.326*F472^0.818)-(0.398*F472^0.85)/(1-H472)*H472)*(MAX('Max rate concentrations'!$Q$3:$Q$368)))/F472&gt; 0, (((0.326*F472^0.818)-(0.398*F472^0.85)/(1-H472)*H472)*(MAX('Max rate concentrations'!$Q$3:$Q$368)))/F472, 0)</f>
        <v>0</v>
      </c>
      <c r="O472" s="70">
        <f>((MAX('Max rate concentrations'!$F$3:$F$368))*0.62*6.01*8*(12.3*F472^0.65)*0.079*0.1/F472)*inputs!$E$73/inputs!$E$74</f>
        <v>4.6125790446588066</v>
      </c>
      <c r="P472" s="70">
        <f>((MAX('Max rate concentrations'!Y:Y))*0.62*6.01*8*(12.3*F472^0.65)*0.079*0.1/F472)*inputs!$E$73/inputs!$E$74</f>
        <v>1.5375263482196024</v>
      </c>
      <c r="Q472" s="70">
        <f>(inputs!$C$18*11.2*(12.3*F472^0.65)*0.5/F472)*inputs!$E$73/inputs!$E$74</f>
        <v>0.81248404312740241</v>
      </c>
      <c r="R472" s="60">
        <f>(60*379*((F472/1000)^0.8)*3*24*(MAX('Max rate concentrations'!$R$3:$R$368))/F472)*(inputs!$E$73/inputs!$E$75)</f>
        <v>4.2885750988636978E-3</v>
      </c>
      <c r="S472" s="60">
        <f>(IF(inputs!$C$17="aerial",((0.025*0.112*inputs!$C$18/3.3)*(3*60*379*((F472/1000)^0.8))*MAX(inputs!$I$14:$I$16))/F472,((0.0083*0.112*inputs!$C$18/1)*(3*60*379*((F472/1000)^0.8))*MAX(inputs!$I$14:$I$16))/F472))*(inputs!E$75/inputs!$E$73)</f>
        <v>2.3651755153036337E-2</v>
      </c>
      <c r="T472" s="63">
        <f>IF((((inputs!$P$13/(V472/MAX(K472:S472)))^(1/inputs!$O$13))-1)/inputs!$N$13&lt;0, 0, IF((((inputs!$P$13/(V472/MAX(K472:S472)))^(1/inputs!$O$13))-1)/inputs!$N$13&lt;inputs!$I$17, (((inputs!$P$13/(V472/MAX(K472:S472)))^(1/inputs!$O$13))-1)/inputs!$N$13, inputs!$I$17))</f>
        <v>14.5819718187663</v>
      </c>
      <c r="U472" s="63">
        <f>IF((((inputs!$P$13/(X472/MAX(K472:S472)))^(1/inputs!$O$13))-1)/inputs!$N$13&lt;0, 0, IF((((inputs!$P$13/(X472/MAX(K472:S472)))^(1/inputs!$O$13))-1)/inputs!$N$13&lt;inputs!$I$17, (((inputs!$P$13/(X472/MAX(K472:S472)))^(1/inputs!$O$13))-1)/inputs!$N$13, inputs!$I$17))</f>
        <v>25.251987674333527</v>
      </c>
      <c r="V472" s="54">
        <f>inputs!$E$70*(F472/inputs!$F$70)^(0.25)</f>
        <v>20.634268100135696</v>
      </c>
      <c r="W472" s="54">
        <f>inputs!$E$76*(F472/inputs!$F$76)^(0.25)</f>
        <v>1.4836130478309419</v>
      </c>
      <c r="X472" s="54">
        <f>inputs!$E$72*(inputs!$F$72/F472)^(0.25)</f>
        <v>12.110921443264401</v>
      </c>
      <c r="Y472" s="54" t="s">
        <v>13</v>
      </c>
      <c r="Z472" s="106">
        <f t="shared" si="40"/>
        <v>4.9220274567635371</v>
      </c>
      <c r="AA472" s="106">
        <f t="shared" si="41"/>
        <v>68.456147839609017</v>
      </c>
    </row>
    <row r="473" spans="1:27" ht="26.4" x14ac:dyDescent="0.25">
      <c r="A473" s="55" t="s">
        <v>604</v>
      </c>
      <c r="B473" s="49" t="s">
        <v>606</v>
      </c>
      <c r="C473" s="21" t="s">
        <v>61</v>
      </c>
      <c r="D473" s="20" t="s">
        <v>454</v>
      </c>
      <c r="E473" s="20">
        <v>4110</v>
      </c>
      <c r="F473" s="21">
        <v>113000</v>
      </c>
      <c r="G473" s="21" t="s">
        <v>580</v>
      </c>
      <c r="H473" s="21">
        <v>0.85</v>
      </c>
      <c r="I473" s="68">
        <f>MAX('Max rate concentrations'!$F$3:$F$368)</f>
        <v>405</v>
      </c>
      <c r="J473" s="68">
        <f>MAX('Max rate concentrations'!Y:Y)</f>
        <v>135</v>
      </c>
      <c r="K473" s="70">
        <f t="shared" si="42"/>
        <v>79.980416884531692</v>
      </c>
      <c r="L473" s="70">
        <f t="shared" si="43"/>
        <v>26.660138961510558</v>
      </c>
      <c r="M473" s="70">
        <f>IF((((0.326*F473^0.818)-(0.398*F473^0.85)/(1-H473)*H473)*(MAX('Max rate concentrations'!$P$3:$P$368)))/F473&gt;0, (((0.326*F473^0.818)-(0.398*F473^0.85)/(1-H473)*H473)*(MAX('Max rate concentrations'!$P$3:$P$368)))/F473, 0)</f>
        <v>0</v>
      </c>
      <c r="N473" s="70">
        <f>IF((((0.326*F473^0.818)-(0.398*F473^0.85)/(1-H473)*H473)*(MAX('Max rate concentrations'!$Q$3:$Q$368)))/F473&gt; 0, (((0.326*F473^0.818)-(0.398*F473^0.85)/(1-H473)*H473)*(MAX('Max rate concentrations'!$Q$3:$Q$368)))/F473, 0)</f>
        <v>0</v>
      </c>
      <c r="O473" s="70">
        <f>((MAX('Max rate concentrations'!$F$3:$F$368))*0.62*6.01*8*(12.3*F473^0.65)*0.079*0.1/F473)*inputs!$E$73/inputs!$E$74</f>
        <v>4.6125790446588066</v>
      </c>
      <c r="P473" s="70">
        <f>((MAX('Max rate concentrations'!Y:Y))*0.62*6.01*8*(12.3*F473^0.65)*0.079*0.1/F473)*inputs!$E$73/inputs!$E$74</f>
        <v>1.5375263482196024</v>
      </c>
      <c r="Q473" s="70">
        <f>(inputs!$C$18*11.2*(12.3*F473^0.65)*0.5/F473)*inputs!$E$73/inputs!$E$74</f>
        <v>0.81248404312740241</v>
      </c>
      <c r="R473" s="60">
        <f>(60*379*((F473/1000)^0.8)*3*24*(MAX('Max rate concentrations'!$R$3:$R$368))/F473)*(inputs!$E$73/inputs!$E$75)</f>
        <v>4.2885750988636978E-3</v>
      </c>
      <c r="S473" s="60">
        <f>(IF(inputs!$C$17="aerial",((0.025*0.112*inputs!$C$18/3.3)*(3*60*379*((F473/1000)^0.8))*MAX(inputs!$I$14:$I$16))/F473,((0.0083*0.112*inputs!$C$18/1)*(3*60*379*((F473/1000)^0.8))*MAX(inputs!$I$14:$I$16))/F473))*(inputs!E$75/inputs!$E$73)</f>
        <v>2.3651755153036337E-2</v>
      </c>
      <c r="T473" s="63">
        <f>IF((((inputs!$P$13/(V473/MAX(K473:S473)))^(1/inputs!$O$13))-1)/inputs!$N$13&lt;0, 0, IF((((inputs!$P$13/(V473/MAX(K473:S473)))^(1/inputs!$O$13))-1)/inputs!$N$13&lt;inputs!$I$17, (((inputs!$P$13/(V473/MAX(K473:S473)))^(1/inputs!$O$13))-1)/inputs!$N$13, inputs!$I$17))</f>
        <v>11.102058995024434</v>
      </c>
      <c r="U473" s="63">
        <f>IF((((inputs!$P$13/(X473/MAX(K473:S473)))^(1/inputs!$O$13))-1)/inputs!$N$13&lt;0, 0, IF((((inputs!$P$13/(X473/MAX(K473:S473)))^(1/inputs!$O$13))-1)/inputs!$N$13&lt;inputs!$I$17, (((inputs!$P$13/(X473/MAX(K473:S473)))^(1/inputs!$O$13))-1)/inputs!$N$13, inputs!$I$17))</f>
        <v>19.897672107376664</v>
      </c>
      <c r="V473" s="54">
        <f>inputs!$E$70*(F473/inputs!$F$70)^(0.25)</f>
        <v>20.634268100135696</v>
      </c>
      <c r="W473" s="54">
        <f>inputs!$E$76*(F473/inputs!$F$76)^(0.25)</f>
        <v>1.4836130478309419</v>
      </c>
      <c r="X473" s="54">
        <f>inputs!$E$72*(inputs!$F$72/F473)^(0.25)</f>
        <v>12.110921443264401</v>
      </c>
      <c r="Y473" s="54" t="s">
        <v>13</v>
      </c>
      <c r="Z473" s="106">
        <f t="shared" si="40"/>
        <v>3.8760966222012847</v>
      </c>
      <c r="AA473" s="106">
        <f t="shared" si="41"/>
        <v>53.909216423692087</v>
      </c>
    </row>
    <row r="474" spans="1:27" ht="26.4" x14ac:dyDescent="0.25">
      <c r="A474" s="55" t="s">
        <v>604</v>
      </c>
      <c r="B474" s="49" t="s">
        <v>606</v>
      </c>
      <c r="C474" s="21" t="s">
        <v>61</v>
      </c>
      <c r="D474" s="20" t="s">
        <v>454</v>
      </c>
      <c r="E474" s="20">
        <v>4110</v>
      </c>
      <c r="F474" s="21">
        <v>113000</v>
      </c>
      <c r="G474" s="21" t="s">
        <v>455</v>
      </c>
      <c r="H474" s="21">
        <v>0.68</v>
      </c>
      <c r="I474" s="71">
        <f>MAX('Max rate concentrations'!$K$3:$K$368)</f>
        <v>110.00035859694511</v>
      </c>
      <c r="J474" s="71">
        <f>MAX('Max rate concentrations'!AC:AC)</f>
        <v>38.958460336418057</v>
      </c>
      <c r="K474" s="70">
        <f t="shared" si="42"/>
        <v>10.182725159758855</v>
      </c>
      <c r="L474" s="70">
        <f t="shared" si="43"/>
        <v>3.606381827414594</v>
      </c>
      <c r="M474" s="70">
        <f>IF((((0.326*F474^0.818)-(0.398*F474^0.85)/(1-H474)*H474)*(MAX('Max rate concentrations'!$P$3:$P$368)))/F474&gt;0, (((0.326*F474^0.818)-(0.398*F474^0.85)/(1-H474)*H474)*(MAX('Max rate concentrations'!$P$3:$P$368)))/F474, 0)</f>
        <v>0</v>
      </c>
      <c r="N474" s="70">
        <f>IF((((0.326*F474^0.818)-(0.398*F474^0.85)/(1-H474)*H474)*(MAX('Max rate concentrations'!$Q$3:$Q$368)))/F474&gt; 0, (((0.326*F474^0.818)-(0.398*F474^0.85)/(1-H474)*H474)*(MAX('Max rate concentrations'!$Q$3:$Q$368)))/F474, 0)</f>
        <v>0</v>
      </c>
      <c r="O474" s="70">
        <f>((MAX('Max rate concentrations'!$F$3:$F$368))*0.62*6.01*8*(12.3*F474^0.65)*0.079*0.1/F474)*inputs!$E$73/inputs!$E$74</f>
        <v>4.6125790446588066</v>
      </c>
      <c r="P474" s="70">
        <f>((MAX('Max rate concentrations'!Y:Y))*0.62*6.01*8*(12.3*F474^0.65)*0.079*0.1/F474)*inputs!$E$73/inputs!$E$74</f>
        <v>1.5375263482196024</v>
      </c>
      <c r="Q474" s="70">
        <f>(inputs!$C$18*11.2*(12.3*F474^0.65)*0.5/F474)*inputs!$E$73/inputs!$E$74</f>
        <v>0.81248404312740241</v>
      </c>
      <c r="R474" s="60">
        <f>(60*379*((F474/1000)^0.8)*3*24*(MAX('Max rate concentrations'!$R$3:$R$368))/F474)*(inputs!$E$73/inputs!$E$75)</f>
        <v>4.2885750988636978E-3</v>
      </c>
      <c r="S474" s="60">
        <f>(IF(inputs!$C$17="aerial",((0.025*0.112*inputs!$C$18/3.3)*(3*60*379*((F474/1000)^0.8))*MAX(inputs!$I$14:$I$16))/F474,((0.0083*0.112*inputs!$C$18/1)*(3*60*379*((F474/1000)^0.8))*MAX(inputs!$I$14:$I$16))/F474))*(inputs!E$75/inputs!$E$73)</f>
        <v>2.3651755153036337E-2</v>
      </c>
      <c r="T474" s="63">
        <f>IF((((inputs!$P$13/(V474/MAX(K474:S474)))^(1/inputs!$O$13))-1)/inputs!$N$13&lt;0, 0, IF((((inputs!$P$13/(V474/MAX(K474:S474)))^(1/inputs!$O$13))-1)/inputs!$N$13&lt;inputs!$I$17, (((inputs!$P$13/(V474/MAX(K474:S474)))^(1/inputs!$O$13))-1)/inputs!$N$13, inputs!$I$17))</f>
        <v>0</v>
      </c>
      <c r="U474" s="63">
        <f>IF((((inputs!$P$13/(X474/MAX(K474:S474)))^(1/inputs!$O$13))-1)/inputs!$N$13&lt;0, 0, IF((((inputs!$P$13/(X474/MAX(K474:S474)))^(1/inputs!$O$13))-1)/inputs!$N$13&lt;inputs!$I$17, (((inputs!$P$13/(X474/MAX(K474:S474)))^(1/inputs!$O$13))-1)/inputs!$N$13, inputs!$I$17))</f>
        <v>0</v>
      </c>
      <c r="V474" s="54">
        <f>inputs!$E$70*(F474/inputs!$F$70)^(0.25)</f>
        <v>20.634268100135696</v>
      </c>
      <c r="W474" s="54">
        <f>inputs!$E$76*(F474/inputs!$F$76)^(0.25)</f>
        <v>1.4836130478309419</v>
      </c>
      <c r="X474" s="54">
        <f>inputs!$E$72*(inputs!$F$72/F474)^(0.25)</f>
        <v>12.110921443264401</v>
      </c>
      <c r="Y474" s="54" t="s">
        <v>13</v>
      </c>
      <c r="Z474" s="106">
        <f t="shared" si="40"/>
        <v>0.49348613240572803</v>
      </c>
      <c r="AA474" s="106">
        <f t="shared" si="41"/>
        <v>6.8634642804241359</v>
      </c>
    </row>
    <row r="475" spans="1:27" ht="26.4" x14ac:dyDescent="0.25">
      <c r="A475" s="55" t="s">
        <v>604</v>
      </c>
      <c r="B475" s="49" t="s">
        <v>606</v>
      </c>
      <c r="C475" s="21" t="s">
        <v>61</v>
      </c>
      <c r="D475" s="20" t="s">
        <v>454</v>
      </c>
      <c r="E475" s="20">
        <v>4110</v>
      </c>
      <c r="F475" s="21">
        <v>113000</v>
      </c>
      <c r="G475" s="21" t="s">
        <v>456</v>
      </c>
      <c r="H475" s="21">
        <v>0.68</v>
      </c>
      <c r="I475" s="68">
        <f>MAX('Max rate concentrations'!$J$3:$J$368)</f>
        <v>686.46486205830786</v>
      </c>
      <c r="J475" s="68">
        <f>MAX('Max rate concentrations'!AB:AB)</f>
        <v>243.122971978984</v>
      </c>
      <c r="K475" s="70">
        <f t="shared" si="42"/>
        <v>63.546002134266217</v>
      </c>
      <c r="L475" s="70">
        <f t="shared" si="43"/>
        <v>22.505875755885949</v>
      </c>
      <c r="M475" s="70">
        <f>IF((((0.326*F475^0.818)-(0.398*F475^0.85)/(1-H475)*H475)*(MAX('Max rate concentrations'!$P$3:$P$368)))/F475&gt;0, (((0.326*F475^0.818)-(0.398*F475^0.85)/(1-H475)*H475)*(MAX('Max rate concentrations'!$P$3:$P$368)))/F475, 0)</f>
        <v>0</v>
      </c>
      <c r="N475" s="70">
        <f>IF((((0.326*F475^0.818)-(0.398*F475^0.85)/(1-H475)*H475)*(MAX('Max rate concentrations'!$Q$3:$Q$368)))/F475&gt; 0, (((0.326*F475^0.818)-(0.398*F475^0.85)/(1-H475)*H475)*(MAX('Max rate concentrations'!$Q$3:$Q$368)))/F475, 0)</f>
        <v>0</v>
      </c>
      <c r="O475" s="70">
        <f>((MAX('Max rate concentrations'!$F$3:$F$368))*0.62*6.01*8*(12.3*F475^0.65)*0.079*0.1/F475)*inputs!$E$73/inputs!$E$74</f>
        <v>4.6125790446588066</v>
      </c>
      <c r="P475" s="70">
        <f>((MAX('Max rate concentrations'!Y:Y))*0.62*6.01*8*(12.3*F475^0.65)*0.079*0.1/F475)*inputs!$E$73/inputs!$E$74</f>
        <v>1.5375263482196024</v>
      </c>
      <c r="Q475" s="70">
        <f>(inputs!$C$18*11.2*(12.3*F475^0.65)*0.5/F475)*inputs!$E$73/inputs!$E$74</f>
        <v>0.81248404312740241</v>
      </c>
      <c r="R475" s="60">
        <f>(60*379*((F475/1000)^0.8)*3*24*(MAX('Max rate concentrations'!$R$3:$R$368))/F475)*(inputs!$E$73/inputs!$E$75)</f>
        <v>4.2885750988636978E-3</v>
      </c>
      <c r="S475" s="60">
        <f>(IF(inputs!$C$17="aerial",((0.025*0.112*inputs!$C$18/3.3)*(3*60*379*((F475/1000)^0.8))*MAX(inputs!$I$14:$I$16))/F475,((0.0083*0.112*inputs!$C$18/1)*(3*60*379*((F475/1000)^0.8))*MAX(inputs!$I$14:$I$16))/F475))*(inputs!E$75/inputs!$E$73)</f>
        <v>2.3651755153036337E-2</v>
      </c>
      <c r="T475" s="63">
        <f>IF((((inputs!$P$13/(V475/MAX(K475:S475)))^(1/inputs!$O$13))-1)/inputs!$N$13&lt;0, 0, IF((((inputs!$P$13/(V475/MAX(K475:S475)))^(1/inputs!$O$13))-1)/inputs!$N$13&lt;inputs!$I$17, (((inputs!$P$13/(V475/MAX(K475:S475)))^(1/inputs!$O$13))-1)/inputs!$N$13, inputs!$I$17))</f>
        <v>8.3304090077370088</v>
      </c>
      <c r="U475" s="63">
        <f>IF((((inputs!$P$13/(X475/MAX(K475:S475)))^(1/inputs!$O$13))-1)/inputs!$N$13&lt;0, 0, IF((((inputs!$P$13/(X475/MAX(K475:S475)))^(1/inputs!$O$13))-1)/inputs!$N$13&lt;inputs!$I$17, (((inputs!$P$13/(X475/MAX(K475:S475)))^(1/inputs!$O$13))-1)/inputs!$N$13, inputs!$I$17))</f>
        <v>15.633114509312625</v>
      </c>
      <c r="V475" s="54">
        <f>inputs!$E$70*(F475/inputs!$F$70)^(0.25)</f>
        <v>20.634268100135696</v>
      </c>
      <c r="W475" s="54">
        <f>inputs!$E$76*(F475/inputs!$F$76)^(0.25)</f>
        <v>1.4836130478309419</v>
      </c>
      <c r="X475" s="54">
        <f>inputs!$E$72*(inputs!$F$72/F475)^(0.25)</f>
        <v>12.110921443264401</v>
      </c>
      <c r="Y475" s="54" t="s">
        <v>13</v>
      </c>
      <c r="Z475" s="106">
        <f t="shared" si="40"/>
        <v>3.0796344132917572</v>
      </c>
      <c r="AA475" s="106">
        <f t="shared" si="41"/>
        <v>42.831924555510717</v>
      </c>
    </row>
    <row r="476" spans="1:27" ht="26.4" x14ac:dyDescent="0.25">
      <c r="A476" s="55" t="s">
        <v>493</v>
      </c>
      <c r="B476" s="49" t="s">
        <v>494</v>
      </c>
      <c r="C476" s="21" t="s">
        <v>61</v>
      </c>
      <c r="D476" s="20" t="s">
        <v>454</v>
      </c>
      <c r="E476" s="20">
        <v>22</v>
      </c>
      <c r="F476" s="21">
        <v>9100</v>
      </c>
      <c r="G476" s="21" t="s">
        <v>138</v>
      </c>
      <c r="H476" s="21">
        <v>0.68</v>
      </c>
      <c r="I476" s="68">
        <f>MAX('Max rate concentrations'!$L$3:$L$368)</f>
        <v>350.52744091332482</v>
      </c>
      <c r="J476" s="68">
        <f>MAX('Max rate concentrations'!AD:AD)</f>
        <v>242.38599637623525</v>
      </c>
      <c r="K476" s="70">
        <f t="shared" si="42"/>
        <v>50.807817333347252</v>
      </c>
      <c r="L476" s="70">
        <f t="shared" si="43"/>
        <v>35.133065177314592</v>
      </c>
      <c r="M476" s="70">
        <f>IF((((0.326*F476^0.818)-(0.398*F476^0.85)/(1-H476)*H476)*(MAX('Max rate concentrations'!$P$3:$P$368)))/F476&gt;0, (((0.326*F476^0.818)-(0.398*F476^0.85)/(1-H476)*H476)*(MAX('Max rate concentrations'!$P$3:$P$368)))/F476, 0)</f>
        <v>0</v>
      </c>
      <c r="N476" s="70">
        <f>IF((((0.326*F476^0.818)-(0.398*F476^0.85)/(1-H476)*H476)*(MAX('Max rate concentrations'!$Q$3:$Q$368)))/F476&gt; 0, (((0.326*F476^0.818)-(0.398*F476^0.85)/(1-H476)*H476)*(MAX('Max rate concentrations'!$Q$3:$Q$368)))/F476, 0)</f>
        <v>0</v>
      </c>
      <c r="O476" s="70">
        <f>((MAX('Max rate concentrations'!$F$3:$F$368))*0.62*6.01*8*(12.3*F476^0.65)*0.079*0.1/F476)*inputs!$E$73/inputs!$E$74</f>
        <v>11.139271507817783</v>
      </c>
      <c r="P476" s="70">
        <f>((MAX('Max rate concentrations'!Y:Y))*0.62*6.01*8*(12.3*F476^0.65)*0.079*0.1/F476)*inputs!$E$73/inputs!$E$74</f>
        <v>3.7130905026059287</v>
      </c>
      <c r="Q476" s="70">
        <f>(inputs!$C$18*11.2*(12.3*F476^0.65)*0.5/F476)*inputs!$E$73/inputs!$E$74</f>
        <v>1.9621301368582038</v>
      </c>
      <c r="R476" s="60">
        <f>(60*379*((F476/1000)^0.8)*3*24*(MAX('Max rate concentrations'!$R$3:$R$368))/F476)*(inputs!$E$73/inputs!$E$75)</f>
        <v>7.0977456107780426E-3</v>
      </c>
      <c r="S476" s="60">
        <f>(IF(inputs!$C$17="aerial",((0.025*0.112*inputs!$C$18/3.3)*(3*60*379*((F476/1000)^0.8))*MAX(inputs!$I$14:$I$16))/F476,((0.0083*0.112*inputs!$C$18/1)*(3*60*379*((F476/1000)^0.8))*MAX(inputs!$I$14:$I$16))/F476))*(inputs!E$75/inputs!$E$73)</f>
        <v>3.9144503116930511E-2</v>
      </c>
      <c r="T476" s="63">
        <f>IF((((inputs!$P$13/(V476/MAX(K476:S476)))^(1/inputs!$O$13))-1)/inputs!$N$13&lt;0, 0, IF((((inputs!$P$13/(V476/MAX(K476:S476)))^(1/inputs!$O$13))-1)/inputs!$N$13&lt;inputs!$I$17, (((inputs!$P$13/(V476/MAX(K476:S476)))^(1/inputs!$O$13))-1)/inputs!$N$13, inputs!$I$17))</f>
        <v>13.600395378943047</v>
      </c>
      <c r="U476" s="63">
        <f>IF((((inputs!$P$13/(X476/MAX(K476:S476)))^(1/inputs!$O$13))-1)/inputs!$N$13&lt;0, 0, IF((((inputs!$P$13/(X476/MAX(K476:S476)))^(1/inputs!$O$13))-1)/inputs!$N$13&lt;inputs!$I$17, (((inputs!$P$13/(X476/MAX(K476:S476)))^(1/inputs!$O$13))-1)/inputs!$N$13, inputs!$I$17))</f>
        <v>5.2337237306900333</v>
      </c>
      <c r="V476" s="54">
        <f>inputs!$E$70*(F476/inputs!$F$70)^(0.25)</f>
        <v>10.992078119774469</v>
      </c>
      <c r="W476" s="54">
        <f>inputs!$E$76*(F476/inputs!$F$76)^(0.25)</f>
        <v>0.79033530252362894</v>
      </c>
      <c r="X476" s="54">
        <f>inputs!$E$72*(inputs!$F$72/F476)^(0.25)</f>
        <v>22.734554583490112</v>
      </c>
      <c r="Y476" s="54" t="s">
        <v>13</v>
      </c>
      <c r="Z476" s="106">
        <f t="shared" si="40"/>
        <v>4.6222212742416087</v>
      </c>
      <c r="AA476" s="106">
        <f t="shared" si="41"/>
        <v>64.286407517305904</v>
      </c>
    </row>
    <row r="477" spans="1:27" ht="26.4" x14ac:dyDescent="0.25">
      <c r="A477" s="55" t="s">
        <v>493</v>
      </c>
      <c r="B477" s="49" t="s">
        <v>494</v>
      </c>
      <c r="C477" s="21" t="s">
        <v>61</v>
      </c>
      <c r="D477" s="20" t="s">
        <v>454</v>
      </c>
      <c r="E477" s="20">
        <v>22</v>
      </c>
      <c r="F477" s="21">
        <v>9100</v>
      </c>
      <c r="G477" s="21" t="s">
        <v>456</v>
      </c>
      <c r="H477" s="21">
        <v>0.68</v>
      </c>
      <c r="I477" s="68">
        <f>MAX('Max rate concentrations'!$J$3:$J$368)</f>
        <v>686.46486205830786</v>
      </c>
      <c r="J477" s="68">
        <f>MAX('Max rate concentrations'!AB:AB)</f>
        <v>243.122971978984</v>
      </c>
      <c r="K477" s="70">
        <f t="shared" si="42"/>
        <v>99.50085855288053</v>
      </c>
      <c r="L477" s="70">
        <f t="shared" si="43"/>
        <v>35.239887404145186</v>
      </c>
      <c r="M477" s="70">
        <f>IF((((0.326*F477^0.818)-(0.398*F477^0.85)/(1-H477)*H477)*(MAX('Max rate concentrations'!$P$3:$P$368)))/F477&gt;0, (((0.326*F477^0.818)-(0.398*F477^0.85)/(1-H477)*H477)*(MAX('Max rate concentrations'!$P$3:$P$368)))/F477, 0)</f>
        <v>0</v>
      </c>
      <c r="N477" s="70">
        <f>IF((((0.326*F477^0.818)-(0.398*F477^0.85)/(1-H477)*H477)*(MAX('Max rate concentrations'!$Q$3:$Q$368)))/F477&gt; 0, (((0.326*F477^0.818)-(0.398*F477^0.85)/(1-H477)*H477)*(MAX('Max rate concentrations'!$Q$3:$Q$368)))/F477, 0)</f>
        <v>0</v>
      </c>
      <c r="O477" s="70">
        <f>((MAX('Max rate concentrations'!$F$3:$F$368))*0.62*6.01*8*(12.3*F477^0.65)*0.079*0.1/F477)*inputs!$E$73/inputs!$E$74</f>
        <v>11.139271507817783</v>
      </c>
      <c r="P477" s="70">
        <f>((MAX('Max rate concentrations'!Y:Y))*0.62*6.01*8*(12.3*F477^0.65)*0.079*0.1/F477)*inputs!$E$73/inputs!$E$74</f>
        <v>3.7130905026059287</v>
      </c>
      <c r="Q477" s="70">
        <f>(inputs!$C$18*11.2*(12.3*F477^0.65)*0.5/F477)*inputs!$E$73/inputs!$E$74</f>
        <v>1.9621301368582038</v>
      </c>
      <c r="R477" s="60">
        <f>(60*379*((F477/1000)^0.8)*3*24*(MAX('Max rate concentrations'!$R$3:$R$368))/F477)*(inputs!$E$73/inputs!$E$75)</f>
        <v>7.0977456107780426E-3</v>
      </c>
      <c r="S477" s="60">
        <f>(IF(inputs!$C$17="aerial",((0.025*0.112*inputs!$C$18/3.3)*(3*60*379*((F477/1000)^0.8))*MAX(inputs!$I$14:$I$16))/F477,((0.0083*0.112*inputs!$C$18/1)*(3*60*379*((F477/1000)^0.8))*MAX(inputs!$I$14:$I$16))/F477))*(inputs!E$75/inputs!$E$73)</f>
        <v>3.9144503116930511E-2</v>
      </c>
      <c r="T477" s="63">
        <f>IF((((inputs!$P$13/(V477/MAX(K477:S477)))^(1/inputs!$O$13))-1)/inputs!$N$13&lt;0, 0, IF((((inputs!$P$13/(V477/MAX(K477:S477)))^(1/inputs!$O$13))-1)/inputs!$N$13&lt;inputs!$I$17, (((inputs!$P$13/(V477/MAX(K477:S477)))^(1/inputs!$O$13))-1)/inputs!$N$13, inputs!$I$17))</f>
        <v>27.195126092365363</v>
      </c>
      <c r="U477" s="63">
        <f>IF((((inputs!$P$13/(X477/MAX(K477:S477)))^(1/inputs!$O$13))-1)/inputs!$N$13&lt;0, 0, IF((((inputs!$P$13/(X477/MAX(K477:S477)))^(1/inputs!$O$13))-1)/inputs!$N$13&lt;inputs!$I$17, (((inputs!$P$13/(X477/MAX(K477:S477)))^(1/inputs!$O$13))-1)/inputs!$N$13, inputs!$I$17))</f>
        <v>12.787242666759118</v>
      </c>
      <c r="V477" s="54">
        <f>inputs!$E$70*(F477/inputs!$F$70)^(0.25)</f>
        <v>10.992078119774469</v>
      </c>
      <c r="W477" s="54">
        <f>inputs!$E$76*(F477/inputs!$F$76)^(0.25)</f>
        <v>0.79033530252362894</v>
      </c>
      <c r="X477" s="54">
        <f>inputs!$E$72*(inputs!$F$72/F477)^(0.25)</f>
        <v>22.734554583490112</v>
      </c>
      <c r="Y477" s="54" t="s">
        <v>13</v>
      </c>
      <c r="Z477" s="106">
        <f t="shared" si="40"/>
        <v>9.0520516201464236</v>
      </c>
      <c r="AA477" s="106">
        <f t="shared" si="41"/>
        <v>125.89701894267303</v>
      </c>
    </row>
    <row r="478" spans="1:27" ht="26.4" x14ac:dyDescent="0.25">
      <c r="A478" s="55" t="s">
        <v>493</v>
      </c>
      <c r="B478" s="49" t="s">
        <v>494</v>
      </c>
      <c r="C478" s="21" t="s">
        <v>61</v>
      </c>
      <c r="D478" s="20" t="s">
        <v>454</v>
      </c>
      <c r="E478" s="20">
        <v>22</v>
      </c>
      <c r="F478" s="21">
        <v>9100</v>
      </c>
      <c r="G478" s="21" t="s">
        <v>145</v>
      </c>
      <c r="H478" s="21">
        <v>0.66</v>
      </c>
      <c r="I478" s="68">
        <f>MAX('Max rate concentrations'!$M$3:$M$368)</f>
        <v>17.092910873809167</v>
      </c>
      <c r="J478" s="68">
        <f>MAX('Max rate concentrations'!AE:AE)</f>
        <v>11.81956602976166</v>
      </c>
      <c r="K478" s="70">
        <f t="shared" si="42"/>
        <v>2.3318231281176449</v>
      </c>
      <c r="L478" s="70">
        <f t="shared" si="43"/>
        <v>1.6124308864643293</v>
      </c>
      <c r="M478" s="70">
        <f>IF((((0.326*F478^0.818)-(0.398*F478^0.85)/(1-H478)*H478)*(MAX('Max rate concentrations'!$P$3:$P$368)))/F478&gt;0, (((0.326*F478^0.818)-(0.398*F478^0.85)/(1-H478)*H478)*(MAX('Max rate concentrations'!$P$3:$P$368)))/F478, 0)</f>
        <v>0</v>
      </c>
      <c r="N478" s="70">
        <f>IF((((0.326*F478^0.818)-(0.398*F478^0.85)/(1-H478)*H478)*(MAX('Max rate concentrations'!$Q$3:$Q$368)))/F478&gt; 0, (((0.326*F478^0.818)-(0.398*F478^0.85)/(1-H478)*H478)*(MAX('Max rate concentrations'!$Q$3:$Q$368)))/F478, 0)</f>
        <v>0</v>
      </c>
      <c r="O478" s="70">
        <f>((MAX('Max rate concentrations'!$F$3:$F$368))*0.62*6.01*8*(12.3*F478^0.65)*0.079*0.1/F478)*inputs!$E$73/inputs!$E$74</f>
        <v>11.139271507817783</v>
      </c>
      <c r="P478" s="70">
        <f>((MAX('Max rate concentrations'!Y:Y))*0.62*6.01*8*(12.3*F478^0.65)*0.079*0.1/F478)*inputs!$E$73/inputs!$E$74</f>
        <v>3.7130905026059287</v>
      </c>
      <c r="Q478" s="70">
        <f>(inputs!$C$18*11.2*(12.3*F478^0.65)*0.5/F478)*inputs!$E$73/inputs!$E$74</f>
        <v>1.9621301368582038</v>
      </c>
      <c r="R478" s="60">
        <f>(60*379*((F478/1000)^0.8)*3*24*(MAX('Max rate concentrations'!$R$3:$R$368))/F478)*(inputs!$E$73/inputs!$E$75)</f>
        <v>7.0977456107780426E-3</v>
      </c>
      <c r="S478" s="60">
        <f>(IF(inputs!$C$17="aerial",((0.025*0.112*inputs!$C$18/3.3)*(3*60*379*((F478/1000)^0.8))*MAX(inputs!$I$14:$I$16))/F478,((0.0083*0.112*inputs!$C$18/1)*(3*60*379*((F478/1000)^0.8))*MAX(inputs!$I$14:$I$16))/F478))*(inputs!E$75/inputs!$E$73)</f>
        <v>3.9144503116930511E-2</v>
      </c>
      <c r="T478" s="63">
        <f>IF((((inputs!$P$13/(V478/MAX(K478:S478)))^(1/inputs!$O$13))-1)/inputs!$N$13&lt;0, 0, IF((((inputs!$P$13/(V478/MAX(K478:S478)))^(1/inputs!$O$13))-1)/inputs!$N$13&lt;inputs!$I$17, (((inputs!$P$13/(V478/MAX(K478:S478)))^(1/inputs!$O$13))-1)/inputs!$N$13, inputs!$I$17))</f>
        <v>0.29118170660041959</v>
      </c>
      <c r="U478" s="63">
        <f>IF((((inputs!$P$13/(X478/MAX(K478:S478)))^(1/inputs!$O$13))-1)/inputs!$N$13&lt;0, 0, IF((((inputs!$P$13/(X478/MAX(K478:S478)))^(1/inputs!$O$13))-1)/inputs!$N$13&lt;inputs!$I$17, (((inputs!$P$13/(X478/MAX(K478:S478)))^(1/inputs!$O$13))-1)/inputs!$N$13, inputs!$I$17))</f>
        <v>0</v>
      </c>
      <c r="V478" s="54">
        <f>inputs!$E$70*(F478/inputs!$F$70)^(0.25)</f>
        <v>10.992078119774469</v>
      </c>
      <c r="W478" s="54">
        <f>inputs!$E$76*(F478/inputs!$F$76)^(0.25)</f>
        <v>0.79033530252362894</v>
      </c>
      <c r="X478" s="54">
        <f>inputs!$E$72*(inputs!$F$72/F478)^(0.25)</f>
        <v>22.734554583490112</v>
      </c>
      <c r="Y478" s="54" t="s">
        <v>13</v>
      </c>
      <c r="Z478" s="106">
        <f t="shared" si="40"/>
        <v>1.0133908608035198</v>
      </c>
      <c r="AA478" s="106">
        <f t="shared" si="41"/>
        <v>14.094361560528608</v>
      </c>
    </row>
    <row r="479" spans="1:27" ht="13.2" x14ac:dyDescent="0.25">
      <c r="A479" s="55" t="s">
        <v>536</v>
      </c>
      <c r="B479" s="49" t="s">
        <v>537</v>
      </c>
      <c r="C479" s="21" t="s">
        <v>61</v>
      </c>
      <c r="D479" s="20" t="s">
        <v>454</v>
      </c>
      <c r="E479" s="20">
        <v>18</v>
      </c>
      <c r="F479" s="21">
        <v>45000</v>
      </c>
      <c r="G479" s="21" t="s">
        <v>138</v>
      </c>
      <c r="H479" s="21">
        <v>0.68</v>
      </c>
      <c r="I479" s="68">
        <f>MAX('Max rate concentrations'!$L$3:$L$368)</f>
        <v>350.52744091332482</v>
      </c>
      <c r="J479" s="68">
        <f>MAX('Max rate concentrations'!AD:AD)</f>
        <v>242.38599637623525</v>
      </c>
      <c r="K479" s="70">
        <f t="shared" si="42"/>
        <v>38.226811826631703</v>
      </c>
      <c r="L479" s="70">
        <f t="shared" si="43"/>
        <v>26.433433709904904</v>
      </c>
      <c r="M479" s="70">
        <f>IF((((0.326*F479^0.818)-(0.398*F479^0.85)/(1-H479)*H479)*(MAX('Max rate concentrations'!$P$3:$P$368)))/F479&gt;0, (((0.326*F479^0.818)-(0.398*F479^0.85)/(1-H479)*H479)*(MAX('Max rate concentrations'!$P$3:$P$368)))/F479, 0)</f>
        <v>0</v>
      </c>
      <c r="N479" s="70">
        <f>IF((((0.326*F479^0.818)-(0.398*F479^0.85)/(1-H479)*H479)*(MAX('Max rate concentrations'!$Q$3:$Q$368)))/F479&gt; 0, (((0.326*F479^0.818)-(0.398*F479^0.85)/(1-H479)*H479)*(MAX('Max rate concentrations'!$Q$3:$Q$368)))/F479, 0)</f>
        <v>0</v>
      </c>
      <c r="O479" s="70">
        <f>((MAX('Max rate concentrations'!$F$3:$F$368))*0.62*6.01*8*(12.3*F479^0.65)*0.079*0.1/F479)*inputs!$E$73/inputs!$E$74</f>
        <v>6.3664436145247416</v>
      </c>
      <c r="P479" s="70">
        <f>((MAX('Max rate concentrations'!Y:Y))*0.62*6.01*8*(12.3*F479^0.65)*0.079*0.1/F479)*inputs!$E$73/inputs!$E$74</f>
        <v>2.1221478715082478</v>
      </c>
      <c r="Q479" s="70">
        <f>(inputs!$C$18*11.2*(12.3*F479^0.65)*0.5/F479)*inputs!$E$73/inputs!$E$74</f>
        <v>1.1214190148700889</v>
      </c>
      <c r="R479" s="60">
        <f>(60*379*((F479/1000)^0.8)*3*24*(MAX('Max rate concentrations'!$R$3:$R$368))/F479)*(inputs!$E$73/inputs!$E$75)</f>
        <v>5.1556829863424391E-3</v>
      </c>
      <c r="S479" s="60">
        <f>(IF(inputs!$C$17="aerial",((0.025*0.112*inputs!$C$18/3.3)*(3*60*379*((F479/1000)^0.8))*MAX(inputs!$I$14:$I$16))/F479,((0.0083*0.112*inputs!$C$18/1)*(3*60*379*((F479/1000)^0.8))*MAX(inputs!$I$14:$I$16))/F479))*(inputs!E$75/inputs!$E$73)</f>
        <v>2.8433908426124116E-2</v>
      </c>
      <c r="T479" s="63">
        <f>IF((((inputs!$P$13/(V479/MAX(K479:S479)))^(1/inputs!$O$13))-1)/inputs!$N$13&lt;0, 0, IF((((inputs!$P$13/(V479/MAX(K479:S479)))^(1/inputs!$O$13))-1)/inputs!$N$13&lt;inputs!$I$17, (((inputs!$P$13/(V479/MAX(K479:S479)))^(1/inputs!$O$13))-1)/inputs!$N$13, inputs!$I$17))</f>
        <v>5.6003903247538194</v>
      </c>
      <c r="U479" s="63">
        <f>IF((((inputs!$P$13/(X479/MAX(K479:S479)))^(1/inputs!$O$13))-1)/inputs!$N$13&lt;0, 0, IF((((inputs!$P$13/(X479/MAX(K479:S479)))^(1/inputs!$O$13))-1)/inputs!$N$13&lt;inputs!$I$17, (((inputs!$P$13/(X479/MAX(K479:S479)))^(1/inputs!$O$13))-1)/inputs!$N$13, inputs!$I$17))</f>
        <v>6.2540262398363975</v>
      </c>
      <c r="V479" s="54">
        <f>inputs!$E$70*(F479/inputs!$F$70)^(0.25)</f>
        <v>16.39164676516263</v>
      </c>
      <c r="W479" s="54">
        <f>inputs!$E$76*(F479/inputs!$F$76)^(0.25)</f>
        <v>1.178566688104203</v>
      </c>
      <c r="X479" s="54">
        <f>inputs!$E$72*(inputs!$F$72/F479)^(0.25)</f>
        <v>15.245570111425018</v>
      </c>
      <c r="Y479" s="54" t="s">
        <v>13</v>
      </c>
      <c r="Z479" s="106">
        <f t="shared" si="40"/>
        <v>2.3320909957549611</v>
      </c>
      <c r="AA479" s="106">
        <f t="shared" si="41"/>
        <v>32.435001101313901</v>
      </c>
    </row>
    <row r="480" spans="1:27" ht="13.2" x14ac:dyDescent="0.25">
      <c r="A480" s="55" t="s">
        <v>536</v>
      </c>
      <c r="B480" s="49" t="s">
        <v>537</v>
      </c>
      <c r="C480" s="21" t="s">
        <v>61</v>
      </c>
      <c r="D480" s="20" t="s">
        <v>454</v>
      </c>
      <c r="E480" s="20">
        <v>18</v>
      </c>
      <c r="F480" s="21">
        <v>45000</v>
      </c>
      <c r="G480" s="21" t="s">
        <v>186</v>
      </c>
      <c r="H480" s="21">
        <v>0.75</v>
      </c>
      <c r="I480" s="68">
        <f>inputs!$C$66*inputs!$C$64/1000</f>
        <v>21.3</v>
      </c>
      <c r="J480" s="68">
        <f>inputs!$C$66*inputs!$C$63/1000</f>
        <v>8.8000000000000007</v>
      </c>
      <c r="K480" s="70">
        <f t="shared" si="42"/>
        <v>2.9732787679210428</v>
      </c>
      <c r="L480" s="70">
        <f t="shared" si="43"/>
        <v>1.228396861864093</v>
      </c>
      <c r="M480" s="70">
        <f>IF((((0.326*F480^0.818)-(0.398*F480^0.85)/(1-H480)*H480)*(MAX('Max rate concentrations'!$P$3:$P$368)))/F480&gt;0, (((0.326*F480^0.818)-(0.398*F480^0.85)/(1-H480)*H480)*(MAX('Max rate concentrations'!$P$3:$P$368)))/F480, 0)</f>
        <v>0</v>
      </c>
      <c r="N480" s="70">
        <f>IF((((0.326*F480^0.818)-(0.398*F480^0.85)/(1-H480)*H480)*(MAX('Max rate concentrations'!$Q$3:$Q$368)))/F480&gt; 0, (((0.326*F480^0.818)-(0.398*F480^0.85)/(1-H480)*H480)*(MAX('Max rate concentrations'!$Q$3:$Q$368)))/F480, 0)</f>
        <v>0</v>
      </c>
      <c r="O480" s="70">
        <f>((MAX('Max rate concentrations'!$F$3:$F$368))*0.62*6.01*8*(12.3*F480^0.65)*0.079*0.1/F480)*inputs!$E$73/inputs!$E$74</f>
        <v>6.3664436145247416</v>
      </c>
      <c r="P480" s="70">
        <f>((MAX('Max rate concentrations'!Y:Y))*0.62*6.01*8*(12.3*F480^0.65)*0.079*0.1/F480)*inputs!$E$73/inputs!$E$74</f>
        <v>2.1221478715082478</v>
      </c>
      <c r="Q480" s="70">
        <f>(inputs!$C$18*11.2*(12.3*F480^0.65)*0.5/F480)*inputs!$E$73/inputs!$E$74</f>
        <v>1.1214190148700889</v>
      </c>
      <c r="R480" s="60">
        <f>(60*379*((F480/1000)^0.8)*3*24*(MAX('Max rate concentrations'!$R$3:$R$368))/F480)*(inputs!$E$73/inputs!$E$75)</f>
        <v>5.1556829863424391E-3</v>
      </c>
      <c r="S480" s="60">
        <f>(IF(inputs!$C$17="aerial",((0.025*0.112*inputs!$C$18/3.3)*(3*60*379*((F480/1000)^0.8))*MAX(inputs!$I$14:$I$16))/F480,((0.0083*0.112*inputs!$C$18/1)*(3*60*379*((F480/1000)^0.8))*MAX(inputs!$I$14:$I$16))/F480))*(inputs!E$75/inputs!$E$73)</f>
        <v>2.8433908426124116E-2</v>
      </c>
      <c r="T480" s="63">
        <f>IF((((inputs!$P$13/(V480/MAX(K480:S480)))^(1/inputs!$O$13))-1)/inputs!$N$13&lt;0, 0, IF((((inputs!$P$13/(V480/MAX(K480:S480)))^(1/inputs!$O$13))-1)/inputs!$N$13&lt;inputs!$I$17, (((inputs!$P$13/(V480/MAX(K480:S480)))^(1/inputs!$O$13))-1)/inputs!$N$13, inputs!$I$17))</f>
        <v>0</v>
      </c>
      <c r="U480" s="63">
        <f>IF((((inputs!$P$13/(X480/MAX(K480:S480)))^(1/inputs!$O$13))-1)/inputs!$N$13&lt;0, 0, IF((((inputs!$P$13/(X480/MAX(K480:S480)))^(1/inputs!$O$13))-1)/inputs!$N$13&lt;inputs!$I$17, (((inputs!$P$13/(X480/MAX(K480:S480)))^(1/inputs!$O$13))-1)/inputs!$N$13, inputs!$I$17))</f>
        <v>0</v>
      </c>
      <c r="V480" s="54">
        <f>inputs!$E$70*(F480/inputs!$F$70)^(0.25)</f>
        <v>16.39164676516263</v>
      </c>
      <c r="W480" s="54">
        <f>inputs!$E$76*(F480/inputs!$F$76)^(0.25)</f>
        <v>1.178566688104203</v>
      </c>
      <c r="X480" s="54">
        <f>inputs!$E$72*(inputs!$F$72/F480)^(0.25)</f>
        <v>15.245570111425018</v>
      </c>
      <c r="Y480" s="54" t="s">
        <v>13</v>
      </c>
      <c r="Z480" s="106">
        <f t="shared" si="40"/>
        <v>0.38839560818595864</v>
      </c>
      <c r="AA480" s="106">
        <f t="shared" si="41"/>
        <v>5.40185267306813</v>
      </c>
    </row>
    <row r="481" spans="1:27" ht="13.2" x14ac:dyDescent="0.25">
      <c r="A481" s="55" t="s">
        <v>536</v>
      </c>
      <c r="B481" s="49" t="s">
        <v>537</v>
      </c>
      <c r="C481" s="21" t="s">
        <v>61</v>
      </c>
      <c r="D481" s="20" t="s">
        <v>454</v>
      </c>
      <c r="E481" s="20">
        <v>18</v>
      </c>
      <c r="F481" s="21">
        <v>45000</v>
      </c>
      <c r="G481" s="21" t="s">
        <v>456</v>
      </c>
      <c r="H481" s="21">
        <v>0.68</v>
      </c>
      <c r="I481" s="68">
        <f>MAX('Max rate concentrations'!$J$3:$J$368)</f>
        <v>686.46486205830786</v>
      </c>
      <c r="J481" s="68">
        <f>MAX('Max rate concentrations'!AB:AB)</f>
        <v>243.122971978984</v>
      </c>
      <c r="K481" s="70">
        <f t="shared" si="42"/>
        <v>74.862507309338852</v>
      </c>
      <c r="L481" s="70">
        <f t="shared" si="43"/>
        <v>26.513804672057507</v>
      </c>
      <c r="M481" s="70">
        <f>IF((((0.326*F481^0.818)-(0.398*F481^0.85)/(1-H481)*H481)*(MAX('Max rate concentrations'!$P$3:$P$368)))/F481&gt;0, (((0.326*F481^0.818)-(0.398*F481^0.85)/(1-H481)*H481)*(MAX('Max rate concentrations'!$P$3:$P$368)))/F481, 0)</f>
        <v>0</v>
      </c>
      <c r="N481" s="70">
        <f>IF((((0.326*F481^0.818)-(0.398*F481^0.85)/(1-H481)*H481)*(MAX('Max rate concentrations'!$Q$3:$Q$368)))/F481&gt; 0, (((0.326*F481^0.818)-(0.398*F481^0.85)/(1-H481)*H481)*(MAX('Max rate concentrations'!$Q$3:$Q$368)))/F481, 0)</f>
        <v>0</v>
      </c>
      <c r="O481" s="70">
        <f>((MAX('Max rate concentrations'!$F$3:$F$368))*0.62*6.01*8*(12.3*F481^0.65)*0.079*0.1/F481)*inputs!$E$73/inputs!$E$74</f>
        <v>6.3664436145247416</v>
      </c>
      <c r="P481" s="70">
        <f>((MAX('Max rate concentrations'!Y:Y))*0.62*6.01*8*(12.3*F481^0.65)*0.079*0.1/F481)*inputs!$E$73/inputs!$E$74</f>
        <v>2.1221478715082478</v>
      </c>
      <c r="Q481" s="70">
        <f>(inputs!$C$18*11.2*(12.3*F481^0.65)*0.5/F481)*inputs!$E$73/inputs!$E$74</f>
        <v>1.1214190148700889</v>
      </c>
      <c r="R481" s="60">
        <f>(60*379*((F481/1000)^0.8)*3*24*(MAX('Max rate concentrations'!$R$3:$R$368))/F481)*(inputs!$E$73/inputs!$E$75)</f>
        <v>5.1556829863424391E-3</v>
      </c>
      <c r="S481" s="60">
        <f>(IF(inputs!$C$17="aerial",((0.025*0.112*inputs!$C$18/3.3)*(3*60*379*((F481/1000)^0.8))*MAX(inputs!$I$14:$I$16))/F481,((0.0083*0.112*inputs!$C$18/1)*(3*60*379*((F481/1000)^0.8))*MAX(inputs!$I$14:$I$16))/F481))*(inputs!E$75/inputs!$E$73)</f>
        <v>2.8433908426124116E-2</v>
      </c>
      <c r="T481" s="63">
        <f>IF((((inputs!$P$13/(V481/MAX(K481:S481)))^(1/inputs!$O$13))-1)/inputs!$N$13&lt;0, 0, IF((((inputs!$P$13/(V481/MAX(K481:S481)))^(1/inputs!$O$13))-1)/inputs!$N$13&lt;inputs!$I$17, (((inputs!$P$13/(V481/MAX(K481:S481)))^(1/inputs!$O$13))-1)/inputs!$N$13, inputs!$I$17))</f>
        <v>13.41866335176212</v>
      </c>
      <c r="U481" s="63">
        <f>IF((((inputs!$P$13/(X481/MAX(K481:S481)))^(1/inputs!$O$13))-1)/inputs!$N$13&lt;0, 0, IF((((inputs!$P$13/(X481/MAX(K481:S481)))^(1/inputs!$O$13))-1)/inputs!$N$13&lt;inputs!$I$17, (((inputs!$P$13/(X481/MAX(K481:S481)))^(1/inputs!$O$13))-1)/inputs!$N$13, inputs!$I$17))</f>
        <v>14.544261494395768</v>
      </c>
      <c r="V481" s="54">
        <f>inputs!$E$70*(F481/inputs!$F$70)^(0.25)</f>
        <v>16.39164676516263</v>
      </c>
      <c r="W481" s="54">
        <f>inputs!$E$76*(F481/inputs!$F$76)^(0.25)</f>
        <v>1.178566688104203</v>
      </c>
      <c r="X481" s="54">
        <f>inputs!$E$72*(inputs!$F$72/F481)^(0.25)</f>
        <v>15.245570111425018</v>
      </c>
      <c r="Y481" s="54" t="s">
        <v>13</v>
      </c>
      <c r="Z481" s="106">
        <f t="shared" si="40"/>
        <v>4.5671132609107383</v>
      </c>
      <c r="AA481" s="106">
        <f t="shared" si="41"/>
        <v>63.519958662466358</v>
      </c>
    </row>
    <row r="482" spans="1:27" ht="13.2" x14ac:dyDescent="0.25">
      <c r="A482" s="55" t="s">
        <v>536</v>
      </c>
      <c r="B482" s="49" t="s">
        <v>537</v>
      </c>
      <c r="C482" s="21" t="s">
        <v>61</v>
      </c>
      <c r="D482" s="20" t="s">
        <v>454</v>
      </c>
      <c r="E482" s="20">
        <v>18</v>
      </c>
      <c r="F482" s="21">
        <v>45000</v>
      </c>
      <c r="G482" s="21" t="s">
        <v>145</v>
      </c>
      <c r="H482" s="21">
        <v>0.66</v>
      </c>
      <c r="I482" s="68">
        <f>MAX('Max rate concentrations'!$M$3:$M$368)</f>
        <v>17.092910873809167</v>
      </c>
      <c r="J482" s="68">
        <f>MAX('Max rate concentrations'!AE:AE)</f>
        <v>11.81956602976166</v>
      </c>
      <c r="K482" s="70">
        <f t="shared" si="42"/>
        <v>1.754418288561983</v>
      </c>
      <c r="L482" s="70">
        <f t="shared" si="43"/>
        <v>1.2131615825162652</v>
      </c>
      <c r="M482" s="70">
        <f>IF((((0.326*F482^0.818)-(0.398*F482^0.85)/(1-H482)*H482)*(MAX('Max rate concentrations'!$P$3:$P$368)))/F482&gt;0, (((0.326*F482^0.818)-(0.398*F482^0.85)/(1-H482)*H482)*(MAX('Max rate concentrations'!$P$3:$P$368)))/F482, 0)</f>
        <v>0</v>
      </c>
      <c r="N482" s="70">
        <f>IF((((0.326*F482^0.818)-(0.398*F482^0.85)/(1-H482)*H482)*(MAX('Max rate concentrations'!$Q$3:$Q$368)))/F482&gt; 0, (((0.326*F482^0.818)-(0.398*F482^0.85)/(1-H482)*H482)*(MAX('Max rate concentrations'!$Q$3:$Q$368)))/F482, 0)</f>
        <v>0</v>
      </c>
      <c r="O482" s="70">
        <f>((MAX('Max rate concentrations'!$F$3:$F$368))*0.62*6.01*8*(12.3*F482^0.65)*0.079*0.1/F482)*inputs!$E$73/inputs!$E$74</f>
        <v>6.3664436145247416</v>
      </c>
      <c r="P482" s="70">
        <f>((MAX('Max rate concentrations'!Y:Y))*0.62*6.01*8*(12.3*F482^0.65)*0.079*0.1/F482)*inputs!$E$73/inputs!$E$74</f>
        <v>2.1221478715082478</v>
      </c>
      <c r="Q482" s="70">
        <f>(inputs!$C$18*11.2*(12.3*F482^0.65)*0.5/F482)*inputs!$E$73/inputs!$E$74</f>
        <v>1.1214190148700889</v>
      </c>
      <c r="R482" s="60">
        <f>(60*379*((F482/1000)^0.8)*3*24*(MAX('Max rate concentrations'!$R$3:$R$368))/F482)*(inputs!$E$73/inputs!$E$75)</f>
        <v>5.1556829863424391E-3</v>
      </c>
      <c r="S482" s="60">
        <f>(IF(inputs!$C$17="aerial",((0.025*0.112*inputs!$C$18/3.3)*(3*60*379*((F482/1000)^0.8))*MAX(inputs!$I$14:$I$16))/F482,((0.0083*0.112*inputs!$C$18/1)*(3*60*379*((F482/1000)^0.8))*MAX(inputs!$I$14:$I$16))/F482))*(inputs!E$75/inputs!$E$73)</f>
        <v>2.8433908426124116E-2</v>
      </c>
      <c r="T482" s="63">
        <f>IF((((inputs!$P$13/(V482/MAX(K482:S482)))^(1/inputs!$O$13))-1)/inputs!$N$13&lt;0, 0, IF((((inputs!$P$13/(V482/MAX(K482:S482)))^(1/inputs!$O$13))-1)/inputs!$N$13&lt;inputs!$I$17, (((inputs!$P$13/(V482/MAX(K482:S482)))^(1/inputs!$O$13))-1)/inputs!$N$13, inputs!$I$17))</f>
        <v>0</v>
      </c>
      <c r="U482" s="63">
        <f>IF((((inputs!$P$13/(X482/MAX(K482:S482)))^(1/inputs!$O$13))-1)/inputs!$N$13&lt;0, 0, IF((((inputs!$P$13/(X482/MAX(K482:S482)))^(1/inputs!$O$13))-1)/inputs!$N$13&lt;inputs!$I$17, (((inputs!$P$13/(X482/MAX(K482:S482)))^(1/inputs!$O$13))-1)/inputs!$N$13, inputs!$I$17))</f>
        <v>0</v>
      </c>
      <c r="V482" s="54">
        <f>inputs!$E$70*(F482/inputs!$F$70)^(0.25)</f>
        <v>16.39164676516263</v>
      </c>
      <c r="W482" s="54">
        <f>inputs!$E$76*(F482/inputs!$F$76)^(0.25)</f>
        <v>1.178566688104203</v>
      </c>
      <c r="X482" s="54">
        <f>inputs!$E$72*(inputs!$F$72/F482)^(0.25)</f>
        <v>15.245570111425018</v>
      </c>
      <c r="Y482" s="54" t="s">
        <v>13</v>
      </c>
      <c r="Z482" s="106">
        <f t="shared" si="40"/>
        <v>0.38839560818595864</v>
      </c>
      <c r="AA482" s="106">
        <f t="shared" si="41"/>
        <v>5.40185267306813</v>
      </c>
    </row>
    <row r="483" spans="1:27" ht="13.2" x14ac:dyDescent="0.25">
      <c r="A483" s="55" t="s">
        <v>602</v>
      </c>
      <c r="B483" s="49" t="s">
        <v>603</v>
      </c>
      <c r="C483" s="21" t="s">
        <v>61</v>
      </c>
      <c r="D483" s="20" t="s">
        <v>454</v>
      </c>
      <c r="E483" s="20">
        <v>36</v>
      </c>
      <c r="F483" s="21">
        <v>92000</v>
      </c>
      <c r="G483" s="21" t="s">
        <v>142</v>
      </c>
      <c r="H483" s="21">
        <v>0.69</v>
      </c>
      <c r="I483" s="68">
        <f>MAX('Max rate concentrations'!$H$3:$H$368)</f>
        <v>282</v>
      </c>
      <c r="J483" s="68">
        <f>MAX('Max rate concentrations'!AA:AA)</f>
        <v>195</v>
      </c>
      <c r="K483" s="70">
        <f t="shared" si="42"/>
        <v>27.951237698917858</v>
      </c>
      <c r="L483" s="70">
        <f t="shared" si="43"/>
        <v>19.327983515209159</v>
      </c>
      <c r="M483" s="70">
        <f>IF((((0.326*F483^0.818)-(0.398*F483^0.85)/(1-H483)*H483)*(MAX('Max rate concentrations'!$P$3:$P$368)))/F483&gt;0, (((0.326*F483^0.818)-(0.398*F483^0.85)/(1-H483)*H483)*(MAX('Max rate concentrations'!$P$3:$P$368)))/F483, 0)</f>
        <v>0</v>
      </c>
      <c r="N483" s="70">
        <f>IF((((0.326*F483^0.818)-(0.398*F483^0.85)/(1-H483)*H483)*(MAX('Max rate concentrations'!$Q$3:$Q$368)))/F483&gt; 0, (((0.326*F483^0.818)-(0.398*F483^0.85)/(1-H483)*H483)*(MAX('Max rate concentrations'!$Q$3:$Q$368)))/F483, 0)</f>
        <v>0</v>
      </c>
      <c r="O483" s="70">
        <f>((MAX('Max rate concentrations'!$F$3:$F$368))*0.62*6.01*8*(12.3*F483^0.65)*0.079*0.1/F483)*inputs!$E$73/inputs!$E$74</f>
        <v>4.956733131310429</v>
      </c>
      <c r="P483" s="70">
        <f>((MAX('Max rate concentrations'!Y:Y))*0.62*6.01*8*(12.3*F483^0.65)*0.079*0.1/F483)*inputs!$E$73/inputs!$E$74</f>
        <v>1.6522443771034763</v>
      </c>
      <c r="Q483" s="70">
        <f>(inputs!$C$18*11.2*(12.3*F483^0.65)*0.5/F483)*inputs!$E$73/inputs!$E$74</f>
        <v>0.87310516226146173</v>
      </c>
      <c r="R483" s="60">
        <f>(60*379*((F483/1000)^0.8)*3*24*(MAX('Max rate concentrations'!$R$3:$R$368))/F483)*(inputs!$E$73/inputs!$E$75)</f>
        <v>4.4685965182917715E-3</v>
      </c>
      <c r="S483" s="60">
        <f>(IF(inputs!$C$17="aerial",((0.025*0.112*inputs!$C$18/3.3)*(3*60*379*((F483/1000)^0.8))*MAX(inputs!$I$14:$I$16))/F483,((0.0083*0.112*inputs!$C$18/1)*(3*60*379*((F483/1000)^0.8))*MAX(inputs!$I$14:$I$16))/F483))*(inputs!E$75/inputs!$E$73)</f>
        <v>2.4644584341393789E-2</v>
      </c>
      <c r="T483" s="63">
        <f>IF((((inputs!$P$13/(V483/MAX(K483:S483)))^(1/inputs!$O$13))-1)/inputs!$N$13&lt;0, 0, IF((((inputs!$P$13/(V483/MAX(K483:S483)))^(1/inputs!$O$13))-1)/inputs!$N$13&lt;inputs!$I$17, (((inputs!$P$13/(V483/MAX(K483:S483)))^(1/inputs!$O$13))-1)/inputs!$N$13, inputs!$I$17))</f>
        <v>2.0470394692409606</v>
      </c>
      <c r="U483" s="63">
        <f>IF((((inputs!$P$13/(X483/MAX(K483:S483)))^(1/inputs!$O$13))-1)/inputs!$N$13&lt;0, 0, IF((((inputs!$P$13/(X483/MAX(K483:S483)))^(1/inputs!$O$13))-1)/inputs!$N$13&lt;inputs!$I$17, (((inputs!$P$13/(X483/MAX(K483:S483)))^(1/inputs!$O$13))-1)/inputs!$N$13, inputs!$I$17))</f>
        <v>5.0724692472309902</v>
      </c>
      <c r="V483" s="54">
        <f>inputs!$E$70*(F483/inputs!$F$70)^(0.25)</f>
        <v>19.600466820056806</v>
      </c>
      <c r="W483" s="54">
        <f>inputs!$E$76*(F483/inputs!$F$76)^(0.25)</f>
        <v>1.4092822762937007</v>
      </c>
      <c r="X483" s="54">
        <f>inputs!$E$72*(inputs!$F$72/F483)^(0.25)</f>
        <v>12.749696336022048</v>
      </c>
      <c r="Y483" s="54" t="s">
        <v>13</v>
      </c>
      <c r="Z483" s="106">
        <f t="shared" si="40"/>
        <v>1.4260495913452356</v>
      </c>
      <c r="AA483" s="106">
        <f t="shared" si="41"/>
        <v>19.833668647580929</v>
      </c>
    </row>
    <row r="484" spans="1:27" ht="13.2" x14ac:dyDescent="0.25">
      <c r="A484" s="55" t="s">
        <v>602</v>
      </c>
      <c r="B484" s="49" t="s">
        <v>603</v>
      </c>
      <c r="C484" s="21" t="s">
        <v>61</v>
      </c>
      <c r="D484" s="20" t="s">
        <v>454</v>
      </c>
      <c r="E484" s="20">
        <v>36</v>
      </c>
      <c r="F484" s="21">
        <v>92000</v>
      </c>
      <c r="G484" s="21" t="s">
        <v>218</v>
      </c>
      <c r="H484" s="21">
        <v>0.68</v>
      </c>
      <c r="I484" s="68">
        <f>MAX('Max rate concentrations'!$K$3:$K$368)</f>
        <v>110.00035859694511</v>
      </c>
      <c r="J484" s="68">
        <f>MAX('Max rate concentrations'!AC:AC)</f>
        <v>38.958460336418057</v>
      </c>
      <c r="K484" s="70">
        <f t="shared" si="42"/>
        <v>10.562281834374103</v>
      </c>
      <c r="L484" s="70">
        <f t="shared" si="43"/>
        <v>3.7408081496741605</v>
      </c>
      <c r="M484" s="70">
        <f>IF((((0.326*F484^0.818)-(0.398*F484^0.85)/(1-H484)*H484)*(MAX('Max rate concentrations'!$P$3:$P$368)))/F484&gt;0, (((0.326*F484^0.818)-(0.398*F484^0.85)/(1-H484)*H484)*(MAX('Max rate concentrations'!$P$3:$P$368)))/F484, 0)</f>
        <v>0</v>
      </c>
      <c r="N484" s="70">
        <f>IF((((0.326*F484^0.818)-(0.398*F484^0.85)/(1-H484)*H484)*(MAX('Max rate concentrations'!$Q$3:$Q$368)))/F484&gt; 0, (((0.326*F484^0.818)-(0.398*F484^0.85)/(1-H484)*H484)*(MAX('Max rate concentrations'!$Q$3:$Q$368)))/F484, 0)</f>
        <v>0</v>
      </c>
      <c r="O484" s="70">
        <f>((MAX('Max rate concentrations'!$F$3:$F$368))*0.62*6.01*8*(12.3*F484^0.65)*0.079*0.1/F484)*inputs!$E$73/inputs!$E$74</f>
        <v>4.956733131310429</v>
      </c>
      <c r="P484" s="70">
        <f>((MAX('Max rate concentrations'!Y:Y))*0.62*6.01*8*(12.3*F484^0.65)*0.079*0.1/F484)*inputs!$E$73/inputs!$E$74</f>
        <v>1.6522443771034763</v>
      </c>
      <c r="Q484" s="70">
        <f>(inputs!$C$18*11.2*(12.3*F484^0.65)*0.5/F484)*inputs!$E$73/inputs!$E$74</f>
        <v>0.87310516226146173</v>
      </c>
      <c r="R484" s="60">
        <f>(60*379*((F484/1000)^0.8)*3*24*(MAX('Max rate concentrations'!$R$3:$R$368))/F484)*(inputs!$E$73/inputs!$E$75)</f>
        <v>4.4685965182917715E-3</v>
      </c>
      <c r="S484" s="60">
        <f>(IF(inputs!$C$17="aerial",((0.025*0.112*inputs!$C$18/3.3)*(3*60*379*((F484/1000)^0.8))*MAX(inputs!$I$14:$I$16))/F484,((0.0083*0.112*inputs!$C$18/1)*(3*60*379*((F484/1000)^0.8))*MAX(inputs!$I$14:$I$16))/F484))*(inputs!E$75/inputs!$E$73)</f>
        <v>2.4644584341393789E-2</v>
      </c>
      <c r="T484" s="63">
        <f>IF((((inputs!$P$13/(V484/MAX(K484:S484)))^(1/inputs!$O$13))-1)/inputs!$N$13&lt;0, 0, IF((((inputs!$P$13/(V484/MAX(K484:S484)))^(1/inputs!$O$13))-1)/inputs!$N$13&lt;inputs!$I$17, (((inputs!$P$13/(V484/MAX(K484:S484)))^(1/inputs!$O$13))-1)/inputs!$N$13, inputs!$I$17))</f>
        <v>0</v>
      </c>
      <c r="U484" s="63">
        <f>IF((((inputs!$P$13/(X484/MAX(K484:S484)))^(1/inputs!$O$13))-1)/inputs!$N$13&lt;0, 0, IF((((inputs!$P$13/(X484/MAX(K484:S484)))^(1/inputs!$O$13))-1)/inputs!$N$13&lt;inputs!$I$17, (((inputs!$P$13/(X484/MAX(K484:S484)))^(1/inputs!$O$13))-1)/inputs!$N$13, inputs!$I$17))</f>
        <v>0</v>
      </c>
      <c r="V484" s="54">
        <f>inputs!$E$70*(F484/inputs!$F$70)^(0.25)</f>
        <v>19.600466820056806</v>
      </c>
      <c r="W484" s="54">
        <f>inputs!$E$76*(F484/inputs!$F$76)^(0.25)</f>
        <v>1.4092822762937007</v>
      </c>
      <c r="X484" s="54">
        <f>inputs!$E$72*(inputs!$F$72/F484)^(0.25)</f>
        <v>12.749696336022048</v>
      </c>
      <c r="Y484" s="54" t="s">
        <v>13</v>
      </c>
      <c r="Z484" s="106">
        <f t="shared" si="40"/>
        <v>0.5388790956532683</v>
      </c>
      <c r="AA484" s="106">
        <f t="shared" si="41"/>
        <v>7.4947950542257979</v>
      </c>
    </row>
    <row r="485" spans="1:27" ht="13.2" x14ac:dyDescent="0.25">
      <c r="A485" s="55" t="s">
        <v>602</v>
      </c>
      <c r="B485" s="49" t="s">
        <v>603</v>
      </c>
      <c r="C485" s="21" t="s">
        <v>61</v>
      </c>
      <c r="D485" s="20" t="s">
        <v>454</v>
      </c>
      <c r="E485" s="20">
        <v>36</v>
      </c>
      <c r="F485" s="21">
        <v>92000</v>
      </c>
      <c r="G485" s="21" t="s">
        <v>152</v>
      </c>
      <c r="H485" s="21">
        <v>0.77</v>
      </c>
      <c r="I485" s="68">
        <f>MAX('Max rate concentrations'!$G$3:$G$368)</f>
        <v>45</v>
      </c>
      <c r="J485" s="68">
        <f>MAX('Max rate concentrations'!Z:Z)</f>
        <v>21</v>
      </c>
      <c r="K485" s="70">
        <f t="shared" si="42"/>
        <v>6.0117139361687375</v>
      </c>
      <c r="L485" s="70">
        <f t="shared" si="43"/>
        <v>2.8054665035454103</v>
      </c>
      <c r="M485" s="70">
        <f>IF((((0.326*F485^0.818)-(0.398*F485^0.85)/(1-H485)*H485)*(MAX('Max rate concentrations'!$P$3:$P$368)))/F485&gt;0, (((0.326*F485^0.818)-(0.398*F485^0.85)/(1-H485)*H485)*(MAX('Max rate concentrations'!$P$3:$P$368)))/F485, 0)</f>
        <v>0</v>
      </c>
      <c r="N485" s="70">
        <f>IF((((0.326*F485^0.818)-(0.398*F485^0.85)/(1-H485)*H485)*(MAX('Max rate concentrations'!$Q$3:$Q$368)))/F485&gt; 0, (((0.326*F485^0.818)-(0.398*F485^0.85)/(1-H485)*H485)*(MAX('Max rate concentrations'!$Q$3:$Q$368)))/F485, 0)</f>
        <v>0</v>
      </c>
      <c r="O485" s="70">
        <f>((MAX('Max rate concentrations'!$F$3:$F$368))*0.62*6.01*8*(12.3*F485^0.65)*0.079*0.1/F485)*inputs!$E$73/inputs!$E$74</f>
        <v>4.956733131310429</v>
      </c>
      <c r="P485" s="70">
        <f>((MAX('Max rate concentrations'!Y:Y))*0.62*6.01*8*(12.3*F485^0.65)*0.079*0.1/F485)*inputs!$E$73/inputs!$E$74</f>
        <v>1.6522443771034763</v>
      </c>
      <c r="Q485" s="70">
        <f>(inputs!$C$18*11.2*(12.3*F485^0.65)*0.5/F485)*inputs!$E$73/inputs!$E$74</f>
        <v>0.87310516226146173</v>
      </c>
      <c r="R485" s="60">
        <f>(60*379*((F485/1000)^0.8)*3*24*(MAX('Max rate concentrations'!$R$3:$R$368))/F485)*(inputs!$E$73/inputs!$E$75)</f>
        <v>4.4685965182917715E-3</v>
      </c>
      <c r="S485" s="60">
        <f>(IF(inputs!$C$17="aerial",((0.025*0.112*inputs!$C$18/3.3)*(3*60*379*((F485/1000)^0.8))*MAX(inputs!$I$14:$I$16))/F485,((0.0083*0.112*inputs!$C$18/1)*(3*60*379*((F485/1000)^0.8))*MAX(inputs!$I$14:$I$16))/F485))*(inputs!E$75/inputs!$E$73)</f>
        <v>2.4644584341393789E-2</v>
      </c>
      <c r="T485" s="63">
        <f>IF((((inputs!$P$13/(V485/MAX(K485:S485)))^(1/inputs!$O$13))-1)/inputs!$N$13&lt;0, 0, IF((((inputs!$P$13/(V485/MAX(K485:S485)))^(1/inputs!$O$13))-1)/inputs!$N$13&lt;inputs!$I$17, (((inputs!$P$13/(V485/MAX(K485:S485)))^(1/inputs!$O$13))-1)/inputs!$N$13, inputs!$I$17))</f>
        <v>0</v>
      </c>
      <c r="U485" s="63">
        <f>IF((((inputs!$P$13/(X485/MAX(K485:S485)))^(1/inputs!$O$13))-1)/inputs!$N$13&lt;0, 0, IF((((inputs!$P$13/(X485/MAX(K485:S485)))^(1/inputs!$O$13))-1)/inputs!$N$13&lt;inputs!$I$17, (((inputs!$P$13/(X485/MAX(K485:S485)))^(1/inputs!$O$13))-1)/inputs!$N$13, inputs!$I$17))</f>
        <v>0</v>
      </c>
      <c r="V485" s="54">
        <f>inputs!$E$70*(F485/inputs!$F$70)^(0.25)</f>
        <v>19.600466820056806</v>
      </c>
      <c r="W485" s="54">
        <f>inputs!$E$76*(F485/inputs!$F$76)^(0.25)</f>
        <v>1.4092822762937007</v>
      </c>
      <c r="X485" s="54">
        <f>inputs!$E$72*(inputs!$F$72/F485)^(0.25)</f>
        <v>12.749696336022048</v>
      </c>
      <c r="Y485" s="54" t="s">
        <v>13</v>
      </c>
      <c r="Z485" s="106">
        <f t="shared" si="40"/>
        <v>0.30671279369821225</v>
      </c>
      <c r="AA485" s="106">
        <f t="shared" si="41"/>
        <v>4.2657982983927552</v>
      </c>
    </row>
    <row r="486" spans="1:27" ht="13.2" x14ac:dyDescent="0.25">
      <c r="A486" s="55" t="s">
        <v>602</v>
      </c>
      <c r="B486" s="49" t="s">
        <v>603</v>
      </c>
      <c r="C486" s="21" t="s">
        <v>61</v>
      </c>
      <c r="D486" s="20" t="s">
        <v>454</v>
      </c>
      <c r="E486" s="20">
        <v>36</v>
      </c>
      <c r="F486" s="21">
        <v>92000</v>
      </c>
      <c r="G486" s="21" t="s">
        <v>169</v>
      </c>
      <c r="H486" s="21">
        <v>0.79</v>
      </c>
      <c r="I486" s="68">
        <f>MAX('Max rate concentrations'!$D$3:$D$368)</f>
        <v>720</v>
      </c>
      <c r="J486" s="68">
        <f>MAX('Max rate concentrations'!W:W)</f>
        <v>255</v>
      </c>
      <c r="K486" s="70">
        <f t="shared" si="42"/>
        <v>105.34812992905216</v>
      </c>
      <c r="L486" s="70">
        <f t="shared" si="43"/>
        <v>37.310796016539307</v>
      </c>
      <c r="M486" s="70">
        <f>IF((((0.326*F486^0.818)-(0.398*F486^0.85)/(1-H486)*H486)*(MAX('Max rate concentrations'!$P$3:$P$368)))/F486&gt;0, (((0.326*F486^0.818)-(0.398*F486^0.85)/(1-H486)*H486)*(MAX('Max rate concentrations'!$P$3:$P$368)))/F486, 0)</f>
        <v>0</v>
      </c>
      <c r="N486" s="70">
        <f>IF((((0.326*F486^0.818)-(0.398*F486^0.85)/(1-H486)*H486)*(MAX('Max rate concentrations'!$Q$3:$Q$368)))/F486&gt; 0, (((0.326*F486^0.818)-(0.398*F486^0.85)/(1-H486)*H486)*(MAX('Max rate concentrations'!$Q$3:$Q$368)))/F486, 0)</f>
        <v>0</v>
      </c>
      <c r="O486" s="70">
        <f>((MAX('Max rate concentrations'!$F$3:$F$368))*0.62*6.01*8*(12.3*F486^0.65)*0.079*0.1/F486)*inputs!$E$73/inputs!$E$74</f>
        <v>4.956733131310429</v>
      </c>
      <c r="P486" s="70">
        <f>((MAX('Max rate concentrations'!Y:Y))*0.62*6.01*8*(12.3*F486^0.65)*0.079*0.1/F486)*inputs!$E$73/inputs!$E$74</f>
        <v>1.6522443771034763</v>
      </c>
      <c r="Q486" s="70">
        <f>(inputs!$C$18*11.2*(12.3*F486^0.65)*0.5/F486)*inputs!$E$73/inputs!$E$74</f>
        <v>0.87310516226146173</v>
      </c>
      <c r="R486" s="60">
        <f>(60*379*((F486/1000)^0.8)*3*24*(MAX('Max rate concentrations'!$R$3:$R$368))/F486)*(inputs!$E$73/inputs!$E$75)</f>
        <v>4.4685965182917715E-3</v>
      </c>
      <c r="S486" s="60">
        <f>(IF(inputs!$C$17="aerial",((0.025*0.112*inputs!$C$18/3.3)*(3*60*379*((F486/1000)^0.8))*MAX(inputs!$I$14:$I$16))/F486,((0.0083*0.112*inputs!$C$18/1)*(3*60*379*((F486/1000)^0.8))*MAX(inputs!$I$14:$I$16))/F486))*(inputs!E$75/inputs!$E$73)</f>
        <v>2.4644584341393789E-2</v>
      </c>
      <c r="T486" s="63">
        <f>IF((((inputs!$P$13/(V486/MAX(K486:S486)))^(1/inputs!$O$13))-1)/inputs!$N$13&lt;0, 0, IF((((inputs!$P$13/(V486/MAX(K486:S486)))^(1/inputs!$O$13))-1)/inputs!$N$13&lt;inputs!$I$17, (((inputs!$P$13/(V486/MAX(K486:S486)))^(1/inputs!$O$13))-1)/inputs!$N$13, inputs!$I$17))</f>
        <v>16.04297237792759</v>
      </c>
      <c r="U486" s="63">
        <f>IF((((inputs!$P$13/(X486/MAX(K486:S486)))^(1/inputs!$O$13))-1)/inputs!$N$13&lt;0, 0, IF((((inputs!$P$13/(X486/MAX(K486:S486)))^(1/inputs!$O$13))-1)/inputs!$N$13&lt;inputs!$I$17, (((inputs!$P$13/(X486/MAX(K486:S486)))^(1/inputs!$O$13))-1)/inputs!$N$13, inputs!$I$17))</f>
        <v>24.889298963880503</v>
      </c>
      <c r="V486" s="54">
        <f>inputs!$E$70*(F486/inputs!$F$70)^(0.25)</f>
        <v>19.600466820056806</v>
      </c>
      <c r="W486" s="54">
        <f>inputs!$E$76*(F486/inputs!$F$76)^(0.25)</f>
        <v>1.4092822762937007</v>
      </c>
      <c r="X486" s="54">
        <f>inputs!$E$72*(inputs!$F$72/F486)^(0.25)</f>
        <v>12.749696336022048</v>
      </c>
      <c r="Y486" s="54" t="s">
        <v>13</v>
      </c>
      <c r="Z486" s="106">
        <f t="shared" si="40"/>
        <v>5.3747765752829579</v>
      </c>
      <c r="AA486" s="106">
        <f t="shared" si="41"/>
        <v>74.753036848025431</v>
      </c>
    </row>
    <row r="487" spans="1:27" ht="13.2" x14ac:dyDescent="0.25">
      <c r="A487" s="55" t="s">
        <v>602</v>
      </c>
      <c r="B487" s="49" t="s">
        <v>603</v>
      </c>
      <c r="C487" s="21" t="s">
        <v>61</v>
      </c>
      <c r="D487" s="20" t="s">
        <v>454</v>
      </c>
      <c r="E487" s="20">
        <v>36</v>
      </c>
      <c r="F487" s="21">
        <v>92000</v>
      </c>
      <c r="G487" s="21" t="s">
        <v>154</v>
      </c>
      <c r="H487" s="21">
        <v>9.2999999999999999E-2</v>
      </c>
      <c r="I487" s="68">
        <f>MAX('Max rate concentrations'!$G$3:$G$368)</f>
        <v>45</v>
      </c>
      <c r="J487" s="68">
        <f>MAX('Max rate concentrations'!Z:Z)</f>
        <v>21</v>
      </c>
      <c r="K487" s="70">
        <f t="shared" si="42"/>
        <v>1.5244699066359528</v>
      </c>
      <c r="L487" s="70">
        <f t="shared" si="43"/>
        <v>0.71141928976344471</v>
      </c>
      <c r="M487" s="70">
        <f>IF((((0.326*F487^0.818)-(0.398*F487^0.85)/(1-H487)*H487)*(MAX('Max rate concentrations'!$P$3:$P$368)))/F487&gt;0, (((0.326*F487^0.818)-(0.398*F487^0.85)/(1-H487)*H487)*(MAX('Max rate concentrations'!$P$3:$P$368)))/F487, 0)</f>
        <v>2.9063001453987845E-2</v>
      </c>
      <c r="N487" s="70">
        <f>IF((((0.326*F487^0.818)-(0.398*F487^0.85)/(1-H487)*H487)*(MAX('Max rate concentrations'!$Q$3:$Q$368)))/F487&gt; 0, (((0.326*F487^0.818)-(0.398*F487^0.85)/(1-H487)*H487)*(MAX('Max rate concentrations'!$Q$3:$Q$368)))/F487, 0)</f>
        <v>0.11067347114082869</v>
      </c>
      <c r="O487" s="70">
        <f>((MAX('Max rate concentrations'!$F$3:$F$368))*0.62*6.01*8*(12.3*F487^0.65)*0.079*0.1/F487)*inputs!$E$73/inputs!$E$74</f>
        <v>4.956733131310429</v>
      </c>
      <c r="P487" s="70">
        <f>((MAX('Max rate concentrations'!Y:Y))*0.62*6.01*8*(12.3*F487^0.65)*0.079*0.1/F487)*inputs!$E$73/inputs!$E$74</f>
        <v>1.6522443771034763</v>
      </c>
      <c r="Q487" s="70">
        <f>(inputs!$C$18*11.2*(12.3*F487^0.65)*0.5/F487)*inputs!$E$73/inputs!$E$74</f>
        <v>0.87310516226146173</v>
      </c>
      <c r="R487" s="60">
        <f>(60*379*((F487/1000)^0.8)*3*24*(MAX('Max rate concentrations'!$R$3:$R$368))/F487)*(inputs!$E$73/inputs!$E$75)</f>
        <v>4.4685965182917715E-3</v>
      </c>
      <c r="S487" s="60">
        <f>(IF(inputs!$C$17="aerial",((0.025*0.112*inputs!$C$18/3.3)*(3*60*379*((F487/1000)^0.8))*MAX(inputs!$I$14:$I$16))/F487,((0.0083*0.112*inputs!$C$18/1)*(3*60*379*((F487/1000)^0.8))*MAX(inputs!$I$14:$I$16))/F487))*(inputs!E$75/inputs!$E$73)</f>
        <v>2.4644584341393789E-2</v>
      </c>
      <c r="T487" s="63">
        <f>IF((((inputs!$P$13/(V487/MAX(K487:S487)))^(1/inputs!$O$13))-1)/inputs!$N$13&lt;0, 0, IF((((inputs!$P$13/(V487/MAX(K487:S487)))^(1/inputs!$O$13))-1)/inputs!$N$13&lt;inputs!$I$17, (((inputs!$P$13/(V487/MAX(K487:S487)))^(1/inputs!$O$13))-1)/inputs!$N$13, inputs!$I$17))</f>
        <v>0</v>
      </c>
      <c r="U487" s="63">
        <f>IF((((inputs!$P$13/(X487/MAX(K487:S487)))^(1/inputs!$O$13))-1)/inputs!$N$13&lt;0, 0, IF((((inputs!$P$13/(X487/MAX(K487:S487)))^(1/inputs!$O$13))-1)/inputs!$N$13&lt;inputs!$I$17, (((inputs!$P$13/(X487/MAX(K487:S487)))^(1/inputs!$O$13))-1)/inputs!$N$13, inputs!$I$17))</f>
        <v>0</v>
      </c>
      <c r="V487" s="54">
        <f>inputs!$E$70*(F487/inputs!$F$70)^(0.25)</f>
        <v>19.600466820056806</v>
      </c>
      <c r="W487" s="54">
        <f>inputs!$E$76*(F487/inputs!$F$76)^(0.25)</f>
        <v>1.4092822762937007</v>
      </c>
      <c r="X487" s="54">
        <f>inputs!$E$72*(inputs!$F$72/F487)^(0.25)</f>
        <v>12.749696336022048</v>
      </c>
      <c r="Y487" s="54" t="s">
        <v>13</v>
      </c>
      <c r="Z487" s="106">
        <f t="shared" si="40"/>
        <v>0.25288852438138326</v>
      </c>
      <c r="AA487" s="106">
        <f t="shared" si="41"/>
        <v>3.5172039091744201</v>
      </c>
    </row>
    <row r="488" spans="1:27" ht="13.2" x14ac:dyDescent="0.25">
      <c r="A488" s="55" t="s">
        <v>459</v>
      </c>
      <c r="B488" s="49" t="s">
        <v>460</v>
      </c>
      <c r="C488" s="21" t="s">
        <v>61</v>
      </c>
      <c r="D488" s="20" t="s">
        <v>454</v>
      </c>
      <c r="E488" s="20">
        <v>13</v>
      </c>
      <c r="F488" s="21">
        <v>23000</v>
      </c>
      <c r="G488" s="21" t="s">
        <v>138</v>
      </c>
      <c r="H488" s="21">
        <v>0.68</v>
      </c>
      <c r="I488" s="68">
        <f>MAX('Max rate concentrations'!$L$3:$L$368)</f>
        <v>350.52744091332482</v>
      </c>
      <c r="J488" s="68">
        <f>MAX('Max rate concentrations'!AD:AD)</f>
        <v>242.38599637623525</v>
      </c>
      <c r="K488" s="70">
        <f t="shared" si="42"/>
        <v>43.07768451841612</v>
      </c>
      <c r="L488" s="70">
        <f t="shared" si="43"/>
        <v>29.78776057124519</v>
      </c>
      <c r="M488" s="70">
        <f>IF((((0.326*F488^0.818)-(0.398*F488^0.85)/(1-H488)*H488)*(MAX('Max rate concentrations'!$P$3:$P$368)))/F488&gt;0, (((0.326*F488^0.818)-(0.398*F488^0.85)/(1-H488)*H488)*(MAX('Max rate concentrations'!$P$3:$P$368)))/F488, 0)</f>
        <v>0</v>
      </c>
      <c r="N488" s="70">
        <f>IF((((0.326*F488^0.818)-(0.398*F488^0.85)/(1-H488)*H488)*(MAX('Max rate concentrations'!$Q$3:$Q$368)))/F488&gt; 0, (((0.326*F488^0.818)-(0.398*F488^0.85)/(1-H488)*H488)*(MAX('Max rate concentrations'!$Q$3:$Q$368)))/F488, 0)</f>
        <v>0</v>
      </c>
      <c r="O488" s="70">
        <f>((MAX('Max rate concentrations'!$F$3:$F$368))*0.62*6.01*8*(12.3*F488^0.65)*0.079*0.1/F488)*inputs!$E$73/inputs!$E$74</f>
        <v>8.0522367280104827</v>
      </c>
      <c r="P488" s="70">
        <f>((MAX('Max rate concentrations'!Y:Y))*0.62*6.01*8*(12.3*F488^0.65)*0.079*0.1/F488)*inputs!$E$73/inputs!$E$74</f>
        <v>2.6840789093368276</v>
      </c>
      <c r="Q488" s="70">
        <f>(inputs!$C$18*11.2*(12.3*F488^0.65)*0.5/F488)*inputs!$E$73/inputs!$E$74</f>
        <v>1.4183635206357439</v>
      </c>
      <c r="R488" s="60">
        <f>(60*379*((F488/1000)^0.8)*3*24*(MAX('Max rate concentrations'!$R$3:$R$368))/F488)*(inputs!$E$73/inputs!$E$75)</f>
        <v>5.8963484559382022E-3</v>
      </c>
      <c r="S488" s="60">
        <f>(IF(inputs!$C$17="aerial",((0.025*0.112*inputs!$C$18/3.3)*(3*60*379*((F488/1000)^0.8))*MAX(inputs!$I$14:$I$16))/F488,((0.0083*0.112*inputs!$C$18/1)*(3*60*379*((F488/1000)^0.8))*MAX(inputs!$I$14:$I$16))/F488))*(inputs!E$75/inputs!$E$73)</f>
        <v>3.2518723996178896E-2</v>
      </c>
      <c r="T488" s="63">
        <f>IF((((inputs!$P$13/(V488/MAX(K488:S488)))^(1/inputs!$O$13))-1)/inputs!$N$13&lt;0, 0, IF((((inputs!$P$13/(V488/MAX(K488:S488)))^(1/inputs!$O$13))-1)/inputs!$N$13&lt;inputs!$I$17, (((inputs!$P$13/(V488/MAX(K488:S488)))^(1/inputs!$O$13))-1)/inputs!$N$13, inputs!$I$17))</f>
        <v>8.4318110946510831</v>
      </c>
      <c r="U488" s="63">
        <f>IF((((inputs!$P$13/(X488/MAX(K488:S488)))^(1/inputs!$O$13))-1)/inputs!$N$13&lt;0, 0, IF((((inputs!$P$13/(X488/MAX(K488:S488)))^(1/inputs!$O$13))-1)/inputs!$N$13&lt;inputs!$I$17, (((inputs!$P$13/(X488/MAX(K488:S488)))^(1/inputs!$O$13))-1)/inputs!$N$13, inputs!$I$17))</f>
        <v>5.814006559580668</v>
      </c>
      <c r="V488" s="54">
        <f>inputs!$E$70*(F488/inputs!$F$70)^(0.25)</f>
        <v>13.859623002884094</v>
      </c>
      <c r="W488" s="54">
        <f>inputs!$E$76*(F488/inputs!$F$76)^(0.25)</f>
        <v>0.99651305417328961</v>
      </c>
      <c r="X488" s="54">
        <f>inputs!$E$72*(inputs!$F$72/F488)^(0.25)</f>
        <v>18.030793474540939</v>
      </c>
      <c r="Y488" s="54" t="s">
        <v>13</v>
      </c>
      <c r="Z488" s="106">
        <f t="shared" si="40"/>
        <v>3.1081425886874374</v>
      </c>
      <c r="AA488" s="106">
        <f t="shared" si="41"/>
        <v>43.228419676000634</v>
      </c>
    </row>
    <row r="489" spans="1:27" ht="13.2" x14ac:dyDescent="0.25">
      <c r="A489" s="55" t="s">
        <v>459</v>
      </c>
      <c r="B489" s="49" t="s">
        <v>460</v>
      </c>
      <c r="C489" s="21" t="s">
        <v>61</v>
      </c>
      <c r="D489" s="20" t="s">
        <v>454</v>
      </c>
      <c r="E489" s="20">
        <v>13</v>
      </c>
      <c r="F489" s="21">
        <v>23000</v>
      </c>
      <c r="G489" s="21" t="s">
        <v>455</v>
      </c>
      <c r="H489" s="21">
        <v>0.68</v>
      </c>
      <c r="I489" s="71">
        <f>MAX('Max rate concentrations'!$K$3:$K$368)</f>
        <v>110.00035859694511</v>
      </c>
      <c r="J489" s="71">
        <f>MAX('Max rate concentrations'!AC:AC)</f>
        <v>38.958460336418057</v>
      </c>
      <c r="K489" s="70">
        <f t="shared" si="42"/>
        <v>13.518373147064258</v>
      </c>
      <c r="L489" s="70">
        <f t="shared" si="43"/>
        <v>4.7877571562519243</v>
      </c>
      <c r="M489" s="70">
        <f>IF((((0.326*F489^0.818)-(0.398*F489^0.85)/(1-H489)*H489)*(MAX('Max rate concentrations'!$P$3:$P$368)))/F489&gt;0, (((0.326*F489^0.818)-(0.398*F489^0.85)/(1-H489)*H489)*(MAX('Max rate concentrations'!$P$3:$P$368)))/F489, 0)</f>
        <v>0</v>
      </c>
      <c r="N489" s="70">
        <f>IF((((0.326*F489^0.818)-(0.398*F489^0.85)/(1-H489)*H489)*(MAX('Max rate concentrations'!$Q$3:$Q$368)))/F489&gt; 0, (((0.326*F489^0.818)-(0.398*F489^0.85)/(1-H489)*H489)*(MAX('Max rate concentrations'!$Q$3:$Q$368)))/F489, 0)</f>
        <v>0</v>
      </c>
      <c r="O489" s="70">
        <f>((MAX('Max rate concentrations'!$F$3:$F$368))*0.62*6.01*8*(12.3*F489^0.65)*0.079*0.1/F489)*inputs!$E$73/inputs!$E$74</f>
        <v>8.0522367280104827</v>
      </c>
      <c r="P489" s="70">
        <f>((MAX('Max rate concentrations'!Y:Y))*0.62*6.01*8*(12.3*F489^0.65)*0.079*0.1/F489)*inputs!$E$73/inputs!$E$74</f>
        <v>2.6840789093368276</v>
      </c>
      <c r="Q489" s="70">
        <f>(inputs!$C$18*11.2*(12.3*F489^0.65)*0.5/F489)*inputs!$E$73/inputs!$E$74</f>
        <v>1.4183635206357439</v>
      </c>
      <c r="R489" s="60">
        <f>(60*379*((F489/1000)^0.8)*3*24*(MAX('Max rate concentrations'!$R$3:$R$368))/F489)*(inputs!$E$73/inputs!$E$75)</f>
        <v>5.8963484559382022E-3</v>
      </c>
      <c r="S489" s="60">
        <f>(IF(inputs!$C$17="aerial",((0.025*0.112*inputs!$C$18/3.3)*(3*60*379*((F489/1000)^0.8))*MAX(inputs!$I$14:$I$16))/F489,((0.0083*0.112*inputs!$C$18/1)*(3*60*379*((F489/1000)^0.8))*MAX(inputs!$I$14:$I$16))/F489))*(inputs!E$75/inputs!$E$73)</f>
        <v>3.2518723996178896E-2</v>
      </c>
      <c r="T489" s="63">
        <f>IF((((inputs!$P$13/(V489/MAX(K489:S489)))^(1/inputs!$O$13))-1)/inputs!$N$13&lt;0, 0, IF((((inputs!$P$13/(V489/MAX(K489:S489)))^(1/inputs!$O$13))-1)/inputs!$N$13&lt;inputs!$I$17, (((inputs!$P$13/(V489/MAX(K489:S489)))^(1/inputs!$O$13))-1)/inputs!$N$13, inputs!$I$17))</f>
        <v>0.12317409948977158</v>
      </c>
      <c r="U489" s="63">
        <f>IF((((inputs!$P$13/(X489/MAX(K489:S489)))^(1/inputs!$O$13))-1)/inputs!$N$13&lt;0, 0, IF((((inputs!$P$13/(X489/MAX(K489:S489)))^(1/inputs!$O$13))-1)/inputs!$N$13&lt;inputs!$I$17, (((inputs!$P$13/(X489/MAX(K489:S489)))^(1/inputs!$O$13))-1)/inputs!$N$13, inputs!$I$17))</f>
        <v>0</v>
      </c>
      <c r="V489" s="54">
        <f>inputs!$E$70*(F489/inputs!$F$70)^(0.25)</f>
        <v>13.859623002884094</v>
      </c>
      <c r="W489" s="54">
        <f>inputs!$E$76*(F489/inputs!$F$76)^(0.25)</f>
        <v>0.99651305417328961</v>
      </c>
      <c r="X489" s="54">
        <f>inputs!$E$72*(inputs!$F$72/F489)^(0.25)</f>
        <v>18.030793474540939</v>
      </c>
      <c r="Y489" s="54" t="s">
        <v>13</v>
      </c>
      <c r="Z489" s="106">
        <f t="shared" si="40"/>
        <v>0.97537812855740569</v>
      </c>
      <c r="AA489" s="106">
        <f t="shared" si="41"/>
        <v>13.565675924114354</v>
      </c>
    </row>
    <row r="490" spans="1:27" ht="13.2" x14ac:dyDescent="0.25">
      <c r="A490" s="55" t="s">
        <v>459</v>
      </c>
      <c r="B490" s="49" t="s">
        <v>460</v>
      </c>
      <c r="C490" s="21" t="s">
        <v>61</v>
      </c>
      <c r="D490" s="20" t="s">
        <v>454</v>
      </c>
      <c r="E490" s="20">
        <v>13</v>
      </c>
      <c r="F490" s="21">
        <v>23000</v>
      </c>
      <c r="G490" s="21" t="s">
        <v>456</v>
      </c>
      <c r="H490" s="21">
        <v>0.68</v>
      </c>
      <c r="I490" s="68">
        <f>MAX('Max rate concentrations'!$J$3:$J$368)</f>
        <v>686.46486205830786</v>
      </c>
      <c r="J490" s="68">
        <f>MAX('Max rate concentrations'!AB:AB)</f>
        <v>243.122971978984</v>
      </c>
      <c r="K490" s="70">
        <f t="shared" si="42"/>
        <v>84.362344596119499</v>
      </c>
      <c r="L490" s="70">
        <f t="shared" si="43"/>
        <v>29.878330377792317</v>
      </c>
      <c r="M490" s="70">
        <f>IF((((0.326*F490^0.818)-(0.398*F490^0.85)/(1-H490)*H490)*(MAX('Max rate concentrations'!$P$3:$P$368)))/F490&gt;0, (((0.326*F490^0.818)-(0.398*F490^0.85)/(1-H490)*H490)*(MAX('Max rate concentrations'!$P$3:$P$368)))/F490, 0)</f>
        <v>0</v>
      </c>
      <c r="N490" s="70">
        <f>IF((((0.326*F490^0.818)-(0.398*F490^0.85)/(1-H490)*H490)*(MAX('Max rate concentrations'!$Q$3:$Q$368)))/F490&gt; 0, (((0.326*F490^0.818)-(0.398*F490^0.85)/(1-H490)*H490)*(MAX('Max rate concentrations'!$Q$3:$Q$368)))/F490, 0)</f>
        <v>0</v>
      </c>
      <c r="O490" s="70">
        <f>((MAX('Max rate concentrations'!$F$3:$F$368))*0.62*6.01*8*(12.3*F490^0.65)*0.079*0.1/F490)*inputs!$E$73/inputs!$E$74</f>
        <v>8.0522367280104827</v>
      </c>
      <c r="P490" s="70">
        <f>((MAX('Max rate concentrations'!Y:Y))*0.62*6.01*8*(12.3*F490^0.65)*0.079*0.1/F490)*inputs!$E$73/inputs!$E$74</f>
        <v>2.6840789093368276</v>
      </c>
      <c r="Q490" s="70">
        <f>(inputs!$C$18*11.2*(12.3*F490^0.65)*0.5/F490)*inputs!$E$73/inputs!$E$74</f>
        <v>1.4183635206357439</v>
      </c>
      <c r="R490" s="60">
        <f>(60*379*((F490/1000)^0.8)*3*24*(MAX('Max rate concentrations'!$R$3:$R$368))/F490)*(inputs!$E$73/inputs!$E$75)</f>
        <v>5.8963484559382022E-3</v>
      </c>
      <c r="S490" s="60">
        <f>(IF(inputs!$C$17="aerial",((0.025*0.112*inputs!$C$18/3.3)*(3*60*379*((F490/1000)^0.8))*MAX(inputs!$I$14:$I$16))/F490,((0.0083*0.112*inputs!$C$18/1)*(3*60*379*((F490/1000)^0.8))*MAX(inputs!$I$14:$I$16))/F490))*(inputs!E$75/inputs!$E$73)</f>
        <v>3.2518723996178896E-2</v>
      </c>
      <c r="T490" s="63">
        <f>IF((((inputs!$P$13/(V490/MAX(K490:S490)))^(1/inputs!$O$13))-1)/inputs!$N$13&lt;0, 0, IF((((inputs!$P$13/(V490/MAX(K490:S490)))^(1/inputs!$O$13))-1)/inputs!$N$13&lt;inputs!$I$17, (((inputs!$P$13/(V490/MAX(K490:S490)))^(1/inputs!$O$13))-1)/inputs!$N$13, inputs!$I$17))</f>
        <v>18.294530613750116</v>
      </c>
      <c r="U490" s="63">
        <f>IF((((inputs!$P$13/(X490/MAX(K490:S490)))^(1/inputs!$O$13))-1)/inputs!$N$13&lt;0, 0, IF((((inputs!$P$13/(X490/MAX(K490:S490)))^(1/inputs!$O$13))-1)/inputs!$N$13&lt;inputs!$I$17, (((inputs!$P$13/(X490/MAX(K490:S490)))^(1/inputs!$O$13))-1)/inputs!$N$13, inputs!$I$17))</f>
        <v>13.786522631843324</v>
      </c>
      <c r="V490" s="54">
        <f>inputs!$E$70*(F490/inputs!$F$70)^(0.25)</f>
        <v>13.859623002884094</v>
      </c>
      <c r="W490" s="54">
        <f>inputs!$E$76*(F490/inputs!$F$76)^(0.25)</f>
        <v>0.99651305417328961</v>
      </c>
      <c r="X490" s="54">
        <f>inputs!$E$72*(inputs!$F$72/F490)^(0.25)</f>
        <v>18.030793474540939</v>
      </c>
      <c r="Y490" s="54" t="s">
        <v>13</v>
      </c>
      <c r="Z490" s="106">
        <f t="shared" si="40"/>
        <v>6.0869148156890169</v>
      </c>
      <c r="AA490" s="106">
        <f t="shared" si="41"/>
        <v>84.657540854903061</v>
      </c>
    </row>
    <row r="491" spans="1:27" ht="13.2" x14ac:dyDescent="0.25">
      <c r="A491" s="55" t="s">
        <v>459</v>
      </c>
      <c r="B491" s="49" t="s">
        <v>461</v>
      </c>
      <c r="C491" s="21" t="s">
        <v>61</v>
      </c>
      <c r="D491" s="20" t="s">
        <v>454</v>
      </c>
      <c r="E491" s="20">
        <v>10484</v>
      </c>
      <c r="F491" s="21">
        <v>23000</v>
      </c>
      <c r="G491" s="21" t="s">
        <v>138</v>
      </c>
      <c r="H491" s="21">
        <v>0.68</v>
      </c>
      <c r="I491" s="68">
        <f>MAX('Max rate concentrations'!$L$3:$L$368)</f>
        <v>350.52744091332482</v>
      </c>
      <c r="J491" s="68">
        <f>MAX('Max rate concentrations'!AD:AD)</f>
        <v>242.38599637623525</v>
      </c>
      <c r="K491" s="70">
        <f t="shared" si="42"/>
        <v>43.07768451841612</v>
      </c>
      <c r="L491" s="70">
        <f t="shared" si="43"/>
        <v>29.78776057124519</v>
      </c>
      <c r="M491" s="70">
        <f>IF((((0.326*F491^0.818)-(0.398*F491^0.85)/(1-H491)*H491)*(MAX('Max rate concentrations'!$P$3:$P$368)))/F491&gt;0, (((0.326*F491^0.818)-(0.398*F491^0.85)/(1-H491)*H491)*(MAX('Max rate concentrations'!$P$3:$P$368)))/F491, 0)</f>
        <v>0</v>
      </c>
      <c r="N491" s="70">
        <f>IF((((0.326*F491^0.818)-(0.398*F491^0.85)/(1-H491)*H491)*(MAX('Max rate concentrations'!$Q$3:$Q$368)))/F491&gt; 0, (((0.326*F491^0.818)-(0.398*F491^0.85)/(1-H491)*H491)*(MAX('Max rate concentrations'!$Q$3:$Q$368)))/F491, 0)</f>
        <v>0</v>
      </c>
      <c r="O491" s="70">
        <f>((MAX('Max rate concentrations'!$F$3:$F$368))*0.62*6.01*8*(12.3*F491^0.65)*0.079*0.1/F491)*inputs!$E$73/inputs!$E$74</f>
        <v>8.0522367280104827</v>
      </c>
      <c r="P491" s="70">
        <f>((MAX('Max rate concentrations'!Y:Y))*0.62*6.01*8*(12.3*F491^0.65)*0.079*0.1/F491)*inputs!$E$73/inputs!$E$74</f>
        <v>2.6840789093368276</v>
      </c>
      <c r="Q491" s="70">
        <f>(inputs!$C$18*11.2*(12.3*F491^0.65)*0.5/F491)*inputs!$E$73/inputs!$E$74</f>
        <v>1.4183635206357439</v>
      </c>
      <c r="R491" s="60">
        <f>(60*379*((F491/1000)^0.8)*3*24*(MAX('Max rate concentrations'!$R$3:$R$368))/F491)*(inputs!$E$73/inputs!$E$75)</f>
        <v>5.8963484559382022E-3</v>
      </c>
      <c r="S491" s="60">
        <f>(IF(inputs!$C$17="aerial",((0.025*0.112*inputs!$C$18/3.3)*(3*60*379*((F491/1000)^0.8))*MAX(inputs!$I$14:$I$16))/F491,((0.0083*0.112*inputs!$C$18/1)*(3*60*379*((F491/1000)^0.8))*MAX(inputs!$I$14:$I$16))/F491))*(inputs!E$75/inputs!$E$73)</f>
        <v>3.2518723996178896E-2</v>
      </c>
      <c r="T491" s="63">
        <f>IF((((inputs!$P$13/(V491/MAX(K491:S491)))^(1/inputs!$O$13))-1)/inputs!$N$13&lt;0, 0, IF((((inputs!$P$13/(V491/MAX(K491:S491)))^(1/inputs!$O$13))-1)/inputs!$N$13&lt;inputs!$I$17, (((inputs!$P$13/(V491/MAX(K491:S491)))^(1/inputs!$O$13))-1)/inputs!$N$13, inputs!$I$17))</f>
        <v>8.4318110946510831</v>
      </c>
      <c r="U491" s="63">
        <f>IF((((inputs!$P$13/(X491/MAX(K491:S491)))^(1/inputs!$O$13))-1)/inputs!$N$13&lt;0, 0, IF((((inputs!$P$13/(X491/MAX(K491:S491)))^(1/inputs!$O$13))-1)/inputs!$N$13&lt;inputs!$I$17, (((inputs!$P$13/(X491/MAX(K491:S491)))^(1/inputs!$O$13))-1)/inputs!$N$13, inputs!$I$17))</f>
        <v>5.814006559580668</v>
      </c>
      <c r="V491" s="54">
        <f>inputs!$E$70*(F491/inputs!$F$70)^(0.25)</f>
        <v>13.859623002884094</v>
      </c>
      <c r="W491" s="54">
        <f>inputs!$E$76*(F491/inputs!$F$76)^(0.25)</f>
        <v>0.99651305417328961</v>
      </c>
      <c r="X491" s="54">
        <f>inputs!$E$72*(inputs!$F$72/F491)^(0.25)</f>
        <v>18.030793474540939</v>
      </c>
      <c r="Y491" s="54" t="s">
        <v>13</v>
      </c>
      <c r="Z491" s="106">
        <f t="shared" si="40"/>
        <v>3.1081425886874374</v>
      </c>
      <c r="AA491" s="106">
        <f t="shared" si="41"/>
        <v>43.228419676000634</v>
      </c>
    </row>
    <row r="492" spans="1:27" ht="13.2" x14ac:dyDescent="0.25">
      <c r="A492" s="55" t="s">
        <v>459</v>
      </c>
      <c r="B492" s="49" t="s">
        <v>461</v>
      </c>
      <c r="C492" s="21" t="s">
        <v>61</v>
      </c>
      <c r="D492" s="20" t="s">
        <v>454</v>
      </c>
      <c r="E492" s="20">
        <v>10484</v>
      </c>
      <c r="F492" s="21">
        <v>23000</v>
      </c>
      <c r="G492" s="21" t="s">
        <v>455</v>
      </c>
      <c r="H492" s="21">
        <v>0.68</v>
      </c>
      <c r="I492" s="71">
        <f>MAX('Max rate concentrations'!$K$3:$K$368)</f>
        <v>110.00035859694511</v>
      </c>
      <c r="J492" s="71">
        <f>MAX('Max rate concentrations'!AC:AC)</f>
        <v>38.958460336418057</v>
      </c>
      <c r="K492" s="70">
        <f t="shared" si="42"/>
        <v>13.518373147064258</v>
      </c>
      <c r="L492" s="70">
        <f t="shared" si="43"/>
        <v>4.7877571562519243</v>
      </c>
      <c r="M492" s="70">
        <f>IF((((0.326*F492^0.818)-(0.398*F492^0.85)/(1-H492)*H492)*(MAX('Max rate concentrations'!$P$3:$P$368)))/F492&gt;0, (((0.326*F492^0.818)-(0.398*F492^0.85)/(1-H492)*H492)*(MAX('Max rate concentrations'!$P$3:$P$368)))/F492, 0)</f>
        <v>0</v>
      </c>
      <c r="N492" s="70">
        <f>IF((((0.326*F492^0.818)-(0.398*F492^0.85)/(1-H492)*H492)*(MAX('Max rate concentrations'!$Q$3:$Q$368)))/F492&gt; 0, (((0.326*F492^0.818)-(0.398*F492^0.85)/(1-H492)*H492)*(MAX('Max rate concentrations'!$Q$3:$Q$368)))/F492, 0)</f>
        <v>0</v>
      </c>
      <c r="O492" s="70">
        <f>((MAX('Max rate concentrations'!$F$3:$F$368))*0.62*6.01*8*(12.3*F492^0.65)*0.079*0.1/F492)*inputs!$E$73/inputs!$E$74</f>
        <v>8.0522367280104827</v>
      </c>
      <c r="P492" s="70">
        <f>((MAX('Max rate concentrations'!Y:Y))*0.62*6.01*8*(12.3*F492^0.65)*0.079*0.1/F492)*inputs!$E$73/inputs!$E$74</f>
        <v>2.6840789093368276</v>
      </c>
      <c r="Q492" s="70">
        <f>(inputs!$C$18*11.2*(12.3*F492^0.65)*0.5/F492)*inputs!$E$73/inputs!$E$74</f>
        <v>1.4183635206357439</v>
      </c>
      <c r="R492" s="60">
        <f>(60*379*((F492/1000)^0.8)*3*24*(MAX('Max rate concentrations'!$R$3:$R$368))/F492)*(inputs!$E$73/inputs!$E$75)</f>
        <v>5.8963484559382022E-3</v>
      </c>
      <c r="S492" s="60">
        <f>(IF(inputs!$C$17="aerial",((0.025*0.112*inputs!$C$18/3.3)*(3*60*379*((F492/1000)^0.8))*MAX(inputs!$I$14:$I$16))/F492,((0.0083*0.112*inputs!$C$18/1)*(3*60*379*((F492/1000)^0.8))*MAX(inputs!$I$14:$I$16))/F492))*(inputs!E$75/inputs!$E$73)</f>
        <v>3.2518723996178896E-2</v>
      </c>
      <c r="T492" s="63">
        <f>IF((((inputs!$P$13/(V492/MAX(K492:S492)))^(1/inputs!$O$13))-1)/inputs!$N$13&lt;0, 0, IF((((inputs!$P$13/(V492/MAX(K492:S492)))^(1/inputs!$O$13))-1)/inputs!$N$13&lt;inputs!$I$17, (((inputs!$P$13/(V492/MAX(K492:S492)))^(1/inputs!$O$13))-1)/inputs!$N$13, inputs!$I$17))</f>
        <v>0.12317409948977158</v>
      </c>
      <c r="U492" s="63">
        <f>IF((((inputs!$P$13/(X492/MAX(K492:S492)))^(1/inputs!$O$13))-1)/inputs!$N$13&lt;0, 0, IF((((inputs!$P$13/(X492/MAX(K492:S492)))^(1/inputs!$O$13))-1)/inputs!$N$13&lt;inputs!$I$17, (((inputs!$P$13/(X492/MAX(K492:S492)))^(1/inputs!$O$13))-1)/inputs!$N$13, inputs!$I$17))</f>
        <v>0</v>
      </c>
      <c r="V492" s="54">
        <f>inputs!$E$70*(F492/inputs!$F$70)^(0.25)</f>
        <v>13.859623002884094</v>
      </c>
      <c r="W492" s="54">
        <f>inputs!$E$76*(F492/inputs!$F$76)^(0.25)</f>
        <v>0.99651305417328961</v>
      </c>
      <c r="X492" s="54">
        <f>inputs!$E$72*(inputs!$F$72/F492)^(0.25)</f>
        <v>18.030793474540939</v>
      </c>
      <c r="Y492" s="54" t="s">
        <v>13</v>
      </c>
      <c r="Z492" s="106">
        <f t="shared" si="40"/>
        <v>0.97537812855740569</v>
      </c>
      <c r="AA492" s="106">
        <f t="shared" si="41"/>
        <v>13.565675924114354</v>
      </c>
    </row>
    <row r="493" spans="1:27" ht="13.2" x14ac:dyDescent="0.25">
      <c r="A493" s="55" t="s">
        <v>459</v>
      </c>
      <c r="B493" s="49" t="s">
        <v>461</v>
      </c>
      <c r="C493" s="21" t="s">
        <v>61</v>
      </c>
      <c r="D493" s="20" t="s">
        <v>454</v>
      </c>
      <c r="E493" s="20">
        <v>10484</v>
      </c>
      <c r="F493" s="21">
        <v>23000</v>
      </c>
      <c r="G493" s="21" t="s">
        <v>456</v>
      </c>
      <c r="H493" s="21">
        <v>0.68</v>
      </c>
      <c r="I493" s="68">
        <f>MAX('Max rate concentrations'!$J$3:$J$368)</f>
        <v>686.46486205830786</v>
      </c>
      <c r="J493" s="68">
        <f>MAX('Max rate concentrations'!AB:AB)</f>
        <v>243.122971978984</v>
      </c>
      <c r="K493" s="70">
        <f t="shared" si="42"/>
        <v>84.362344596119499</v>
      </c>
      <c r="L493" s="70">
        <f t="shared" si="43"/>
        <v>29.878330377792317</v>
      </c>
      <c r="M493" s="70">
        <f>IF((((0.326*F493^0.818)-(0.398*F493^0.85)/(1-H493)*H493)*(MAX('Max rate concentrations'!$P$3:$P$368)))/F493&gt;0, (((0.326*F493^0.818)-(0.398*F493^0.85)/(1-H493)*H493)*(MAX('Max rate concentrations'!$P$3:$P$368)))/F493, 0)</f>
        <v>0</v>
      </c>
      <c r="N493" s="70">
        <f>IF((((0.326*F493^0.818)-(0.398*F493^0.85)/(1-H493)*H493)*(MAX('Max rate concentrations'!$Q$3:$Q$368)))/F493&gt; 0, (((0.326*F493^0.818)-(0.398*F493^0.85)/(1-H493)*H493)*(MAX('Max rate concentrations'!$Q$3:$Q$368)))/F493, 0)</f>
        <v>0</v>
      </c>
      <c r="O493" s="70">
        <f>((MAX('Max rate concentrations'!$F$3:$F$368))*0.62*6.01*8*(12.3*F493^0.65)*0.079*0.1/F493)*inputs!$E$73/inputs!$E$74</f>
        <v>8.0522367280104827</v>
      </c>
      <c r="P493" s="70">
        <f>((MAX('Max rate concentrations'!Y:Y))*0.62*6.01*8*(12.3*F493^0.65)*0.079*0.1/F493)*inputs!$E$73/inputs!$E$74</f>
        <v>2.6840789093368276</v>
      </c>
      <c r="Q493" s="70">
        <f>(inputs!$C$18*11.2*(12.3*F493^0.65)*0.5/F493)*inputs!$E$73/inputs!$E$74</f>
        <v>1.4183635206357439</v>
      </c>
      <c r="R493" s="60">
        <f>(60*379*((F493/1000)^0.8)*3*24*(MAX('Max rate concentrations'!$R$3:$R$368))/F493)*(inputs!$E$73/inputs!$E$75)</f>
        <v>5.8963484559382022E-3</v>
      </c>
      <c r="S493" s="60">
        <f>(IF(inputs!$C$17="aerial",((0.025*0.112*inputs!$C$18/3.3)*(3*60*379*((F493/1000)^0.8))*MAX(inputs!$I$14:$I$16))/F493,((0.0083*0.112*inputs!$C$18/1)*(3*60*379*((F493/1000)^0.8))*MAX(inputs!$I$14:$I$16))/F493))*(inputs!E$75/inputs!$E$73)</f>
        <v>3.2518723996178896E-2</v>
      </c>
      <c r="T493" s="63">
        <f>IF((((inputs!$P$13/(V493/MAX(K493:S493)))^(1/inputs!$O$13))-1)/inputs!$N$13&lt;0, 0, IF((((inputs!$P$13/(V493/MAX(K493:S493)))^(1/inputs!$O$13))-1)/inputs!$N$13&lt;inputs!$I$17, (((inputs!$P$13/(V493/MAX(K493:S493)))^(1/inputs!$O$13))-1)/inputs!$N$13, inputs!$I$17))</f>
        <v>18.294530613750116</v>
      </c>
      <c r="U493" s="63">
        <f>IF((((inputs!$P$13/(X493/MAX(K493:S493)))^(1/inputs!$O$13))-1)/inputs!$N$13&lt;0, 0, IF((((inputs!$P$13/(X493/MAX(K493:S493)))^(1/inputs!$O$13))-1)/inputs!$N$13&lt;inputs!$I$17, (((inputs!$P$13/(X493/MAX(K493:S493)))^(1/inputs!$O$13))-1)/inputs!$N$13, inputs!$I$17))</f>
        <v>13.786522631843324</v>
      </c>
      <c r="V493" s="54">
        <f>inputs!$E$70*(F493/inputs!$F$70)^(0.25)</f>
        <v>13.859623002884094</v>
      </c>
      <c r="W493" s="54">
        <f>inputs!$E$76*(F493/inputs!$F$76)^(0.25)</f>
        <v>0.99651305417328961</v>
      </c>
      <c r="X493" s="54">
        <f>inputs!$E$72*(inputs!$F$72/F493)^(0.25)</f>
        <v>18.030793474540939</v>
      </c>
      <c r="Y493" s="54" t="s">
        <v>13</v>
      </c>
      <c r="Z493" s="106">
        <f t="shared" si="40"/>
        <v>6.0869148156890169</v>
      </c>
      <c r="AA493" s="106">
        <f t="shared" si="41"/>
        <v>84.657540854903061</v>
      </c>
    </row>
    <row r="494" spans="1:27" ht="13.2" x14ac:dyDescent="0.25">
      <c r="A494" s="55" t="s">
        <v>497</v>
      </c>
      <c r="B494" s="49" t="s">
        <v>498</v>
      </c>
      <c r="C494" s="21" t="s">
        <v>61</v>
      </c>
      <c r="D494" s="20" t="s">
        <v>454</v>
      </c>
      <c r="E494" s="20">
        <v>30</v>
      </c>
      <c r="F494" s="21">
        <v>7000</v>
      </c>
      <c r="G494" s="21" t="s">
        <v>138</v>
      </c>
      <c r="H494" s="21">
        <v>0.68</v>
      </c>
      <c r="I494" s="68">
        <f>MAX('Max rate concentrations'!$L$3:$L$368)</f>
        <v>350.52744091332482</v>
      </c>
      <c r="J494" s="68">
        <f>MAX('Max rate concentrations'!AD:AD)</f>
        <v>242.38599637623525</v>
      </c>
      <c r="K494" s="70">
        <f t="shared" si="42"/>
        <v>53.236862808755227</v>
      </c>
      <c r="L494" s="70">
        <f t="shared" si="43"/>
        <v>36.812724282649889</v>
      </c>
      <c r="M494" s="70">
        <f>IF((((0.326*F494^0.818)-(0.398*F494^0.85)/(1-H494)*H494)*(MAX('Max rate concentrations'!$P$3:$P$368)))/F494&gt;0, (((0.326*F494^0.818)-(0.398*F494^0.85)/(1-H494)*H494)*(MAX('Max rate concentrations'!$P$3:$P$368)))/F494, 0)</f>
        <v>0</v>
      </c>
      <c r="N494" s="70">
        <f>IF((((0.326*F494^0.818)-(0.398*F494^0.85)/(1-H494)*H494)*(MAX('Max rate concentrations'!$Q$3:$Q$368)))/F494&gt; 0, (((0.326*F494^0.818)-(0.398*F494^0.85)/(1-H494)*H494)*(MAX('Max rate concentrations'!$Q$3:$Q$368)))/F494, 0)</f>
        <v>0</v>
      </c>
      <c r="O494" s="70">
        <f>((MAX('Max rate concentrations'!$F$3:$F$368))*0.62*6.01*8*(12.3*F494^0.65)*0.079*0.1/F494)*inputs!$E$73/inputs!$E$74</f>
        <v>12.210598823981867</v>
      </c>
      <c r="P494" s="70">
        <f>((MAX('Max rate concentrations'!Y:Y))*0.62*6.01*8*(12.3*F494^0.65)*0.079*0.1/F494)*inputs!$E$73/inputs!$E$74</f>
        <v>4.0701996079939562</v>
      </c>
      <c r="Q494" s="70">
        <f>(inputs!$C$18*11.2*(12.3*F494^0.65)*0.5/F494)*inputs!$E$73/inputs!$E$74</f>
        <v>2.1508393906015635</v>
      </c>
      <c r="R494" s="60">
        <f>(60*379*((F494/1000)^0.8)*3*24*(MAX('Max rate concentrations'!$R$3:$R$368))/F494)*(inputs!$E$73/inputs!$E$75)</f>
        <v>7.4801292175598333E-3</v>
      </c>
      <c r="S494" s="60">
        <f>(IF(inputs!$C$17="aerial",((0.025*0.112*inputs!$C$18/3.3)*(3*60*379*((F494/1000)^0.8))*MAX(inputs!$I$14:$I$16))/F494,((0.0083*0.112*inputs!$C$18/1)*(3*60*379*((F494/1000)^0.8))*MAX(inputs!$I$14:$I$16))/F494))*(inputs!E$75/inputs!$E$73)</f>
        <v>4.1253372201334362E-2</v>
      </c>
      <c r="T494" s="63">
        <f>IF((((inputs!$P$13/(V494/MAX(K494:S494)))^(1/inputs!$O$13))-1)/inputs!$N$13&lt;0, 0, IF((((inputs!$P$13/(V494/MAX(K494:S494)))^(1/inputs!$O$13))-1)/inputs!$N$13&lt;inputs!$I$17, (((inputs!$P$13/(V494/MAX(K494:S494)))^(1/inputs!$O$13))-1)/inputs!$N$13, inputs!$I$17))</f>
        <v>15.390119828336566</v>
      </c>
      <c r="U494" s="63">
        <f>IF((((inputs!$P$13/(X494/MAX(K494:S494)))^(1/inputs!$O$13))-1)/inputs!$N$13&lt;0, 0, IF((((inputs!$P$13/(X494/MAX(K494:S494)))^(1/inputs!$O$13))-1)/inputs!$N$13&lt;inputs!$I$17, (((inputs!$P$13/(X494/MAX(K494:S494)))^(1/inputs!$O$13))-1)/inputs!$N$13, inputs!$I$17))</f>
        <v>5.0751347464956718</v>
      </c>
      <c r="V494" s="54">
        <f>inputs!$E$70*(F494/inputs!$F$70)^(0.25)</f>
        <v>10.294232390431622</v>
      </c>
      <c r="W494" s="54">
        <f>inputs!$E$76*(F494/inputs!$F$76)^(0.25)</f>
        <v>0.74015988440839486</v>
      </c>
      <c r="X494" s="54">
        <f>inputs!$E$72*(inputs!$F$72/F494)^(0.25)</f>
        <v>24.275729410604654</v>
      </c>
      <c r="Y494" s="54" t="s">
        <v>13</v>
      </c>
      <c r="Z494" s="106">
        <f t="shared" si="40"/>
        <v>5.1715233141849719</v>
      </c>
      <c r="AA494" s="106">
        <f t="shared" si="41"/>
        <v>71.926166130047861</v>
      </c>
    </row>
    <row r="495" spans="1:27" ht="13.2" x14ac:dyDescent="0.25">
      <c r="A495" s="55" t="s">
        <v>497</v>
      </c>
      <c r="B495" s="49" t="s">
        <v>498</v>
      </c>
      <c r="C495" s="21" t="s">
        <v>61</v>
      </c>
      <c r="D495" s="20" t="s">
        <v>454</v>
      </c>
      <c r="E495" s="20">
        <v>30</v>
      </c>
      <c r="F495" s="21">
        <v>7000</v>
      </c>
      <c r="G495" s="21" t="s">
        <v>456</v>
      </c>
      <c r="H495" s="21">
        <v>0.68</v>
      </c>
      <c r="I495" s="68">
        <f>MAX('Max rate concentrations'!$J$3:$J$368)</f>
        <v>686.46486205830786</v>
      </c>
      <c r="J495" s="68">
        <f>MAX('Max rate concentrations'!AB:AB)</f>
        <v>243.122971978984</v>
      </c>
      <c r="K495" s="70">
        <f t="shared" si="42"/>
        <v>104.25784523233884</v>
      </c>
      <c r="L495" s="70">
        <f t="shared" si="43"/>
        <v>36.924653519786666</v>
      </c>
      <c r="M495" s="70">
        <f>IF((((0.326*F495^0.818)-(0.398*F495^0.85)/(1-H495)*H495)*(MAX('Max rate concentrations'!$P$3:$P$368)))/F495&gt;0, (((0.326*F495^0.818)-(0.398*F495^0.85)/(1-H495)*H495)*(MAX('Max rate concentrations'!$P$3:$P$368)))/F495, 0)</f>
        <v>0</v>
      </c>
      <c r="N495" s="70">
        <f>IF((((0.326*F495^0.818)-(0.398*F495^0.85)/(1-H495)*H495)*(MAX('Max rate concentrations'!$Q$3:$Q$368)))/F495&gt; 0, (((0.326*F495^0.818)-(0.398*F495^0.85)/(1-H495)*H495)*(MAX('Max rate concentrations'!$Q$3:$Q$368)))/F495, 0)</f>
        <v>0</v>
      </c>
      <c r="O495" s="70">
        <f>((MAX('Max rate concentrations'!$F$3:$F$368))*0.62*6.01*8*(12.3*F495^0.65)*0.079*0.1/F495)*inputs!$E$73/inputs!$E$74</f>
        <v>12.210598823981867</v>
      </c>
      <c r="P495" s="70">
        <f>((MAX('Max rate concentrations'!Y:Y))*0.62*6.01*8*(12.3*F495^0.65)*0.079*0.1/F495)*inputs!$E$73/inputs!$E$74</f>
        <v>4.0701996079939562</v>
      </c>
      <c r="Q495" s="70">
        <f>(inputs!$C$18*11.2*(12.3*F495^0.65)*0.5/F495)*inputs!$E$73/inputs!$E$74</f>
        <v>2.1508393906015635</v>
      </c>
      <c r="R495" s="60">
        <f>(60*379*((F495/1000)^0.8)*3*24*(MAX('Max rate concentrations'!$R$3:$R$368))/F495)*(inputs!$E$73/inputs!$E$75)</f>
        <v>7.4801292175598333E-3</v>
      </c>
      <c r="S495" s="60">
        <f>(IF(inputs!$C$17="aerial",((0.025*0.112*inputs!$C$18/3.3)*(3*60*379*((F495/1000)^0.8))*MAX(inputs!$I$14:$I$16))/F495,((0.0083*0.112*inputs!$C$18/1)*(3*60*379*((F495/1000)^0.8))*MAX(inputs!$I$14:$I$16))/F495))*(inputs!E$75/inputs!$E$73)</f>
        <v>4.1253372201334362E-2</v>
      </c>
      <c r="T495" s="63">
        <f>IF((((inputs!$P$13/(V495/MAX(K495:S495)))^(1/inputs!$O$13))-1)/inputs!$N$13&lt;0, 0, IF((((inputs!$P$13/(V495/MAX(K495:S495)))^(1/inputs!$O$13))-1)/inputs!$N$13&lt;inputs!$I$17, (((inputs!$P$13/(V495/MAX(K495:S495)))^(1/inputs!$O$13))-1)/inputs!$N$13, inputs!$I$17))</f>
        <v>30.277133169361548</v>
      </c>
      <c r="U495" s="63">
        <f>IF((((inputs!$P$13/(X495/MAX(K495:S495)))^(1/inputs!$O$13))-1)/inputs!$N$13&lt;0, 0, IF((((inputs!$P$13/(X495/MAX(K495:S495)))^(1/inputs!$O$13))-1)/inputs!$N$13&lt;inputs!$I$17, (((inputs!$P$13/(X495/MAX(K495:S495)))^(1/inputs!$O$13))-1)/inputs!$N$13, inputs!$I$17))</f>
        <v>12.514143435318049</v>
      </c>
      <c r="V495" s="54">
        <f>inputs!$E$70*(F495/inputs!$F$70)^(0.25)</f>
        <v>10.294232390431622</v>
      </c>
      <c r="W495" s="54">
        <f>inputs!$E$76*(F495/inputs!$F$76)^(0.25)</f>
        <v>0.74015988440839486</v>
      </c>
      <c r="X495" s="54">
        <f>inputs!$E$72*(inputs!$F$72/F495)^(0.25)</f>
        <v>24.275729410604654</v>
      </c>
      <c r="Y495" s="54" t="s">
        <v>13</v>
      </c>
      <c r="Z495" s="106">
        <f t="shared" si="40"/>
        <v>10.127792076002226</v>
      </c>
      <c r="AA495" s="106">
        <f t="shared" si="41"/>
        <v>140.85854614462318</v>
      </c>
    </row>
    <row r="496" spans="1:27" ht="13.2" x14ac:dyDescent="0.25">
      <c r="A496" s="55" t="s">
        <v>497</v>
      </c>
      <c r="B496" s="49" t="s">
        <v>498</v>
      </c>
      <c r="C496" s="21" t="s">
        <v>61</v>
      </c>
      <c r="D496" s="20" t="s">
        <v>454</v>
      </c>
      <c r="E496" s="20">
        <v>30</v>
      </c>
      <c r="F496" s="21">
        <v>7000</v>
      </c>
      <c r="G496" s="21" t="s">
        <v>145</v>
      </c>
      <c r="H496" s="21">
        <v>0.66</v>
      </c>
      <c r="I496" s="68">
        <f>MAX('Max rate concentrations'!$M$3:$M$368)</f>
        <v>17.092910873809167</v>
      </c>
      <c r="J496" s="68">
        <f>MAX('Max rate concentrations'!AE:AE)</f>
        <v>11.81956602976166</v>
      </c>
      <c r="K496" s="70">
        <f t="shared" si="42"/>
        <v>2.4433040914041406</v>
      </c>
      <c r="L496" s="70">
        <f t="shared" si="43"/>
        <v>1.6895187866092463</v>
      </c>
      <c r="M496" s="70">
        <f>IF((((0.326*F496^0.818)-(0.398*F496^0.85)/(1-H496)*H496)*(MAX('Max rate concentrations'!$P$3:$P$368)))/F496&gt;0, (((0.326*F496^0.818)-(0.398*F496^0.85)/(1-H496)*H496)*(MAX('Max rate concentrations'!$P$3:$P$368)))/F496, 0)</f>
        <v>0</v>
      </c>
      <c r="N496" s="70">
        <f>IF((((0.326*F496^0.818)-(0.398*F496^0.85)/(1-H496)*H496)*(MAX('Max rate concentrations'!$Q$3:$Q$368)))/F496&gt; 0, (((0.326*F496^0.818)-(0.398*F496^0.85)/(1-H496)*H496)*(MAX('Max rate concentrations'!$Q$3:$Q$368)))/F496, 0)</f>
        <v>0</v>
      </c>
      <c r="O496" s="70">
        <f>((MAX('Max rate concentrations'!$F$3:$F$368))*0.62*6.01*8*(12.3*F496^0.65)*0.079*0.1/F496)*inputs!$E$73/inputs!$E$74</f>
        <v>12.210598823981867</v>
      </c>
      <c r="P496" s="70">
        <f>((MAX('Max rate concentrations'!Y:Y))*0.62*6.01*8*(12.3*F496^0.65)*0.079*0.1/F496)*inputs!$E$73/inputs!$E$74</f>
        <v>4.0701996079939562</v>
      </c>
      <c r="Q496" s="70">
        <f>(inputs!$C$18*11.2*(12.3*F496^0.65)*0.5/F496)*inputs!$E$73/inputs!$E$74</f>
        <v>2.1508393906015635</v>
      </c>
      <c r="R496" s="60">
        <f>(60*379*((F496/1000)^0.8)*3*24*(MAX('Max rate concentrations'!$R$3:$R$368))/F496)*(inputs!$E$73/inputs!$E$75)</f>
        <v>7.4801292175598333E-3</v>
      </c>
      <c r="S496" s="60">
        <f>(IF(inputs!$C$17="aerial",((0.025*0.112*inputs!$C$18/3.3)*(3*60*379*((F496/1000)^0.8))*MAX(inputs!$I$14:$I$16))/F496,((0.0083*0.112*inputs!$C$18/1)*(3*60*379*((F496/1000)^0.8))*MAX(inputs!$I$14:$I$16))/F496))*(inputs!E$75/inputs!$E$73)</f>
        <v>4.1253372201334362E-2</v>
      </c>
      <c r="T496" s="63">
        <f>IF((((inputs!$P$13/(V496/MAX(K496:S496)))^(1/inputs!$O$13))-1)/inputs!$N$13&lt;0, 0, IF((((inputs!$P$13/(V496/MAX(K496:S496)))^(1/inputs!$O$13))-1)/inputs!$N$13&lt;inputs!$I$17, (((inputs!$P$13/(V496/MAX(K496:S496)))^(1/inputs!$O$13))-1)/inputs!$N$13, inputs!$I$17))</f>
        <v>1.040367334328467</v>
      </c>
      <c r="U496" s="63">
        <f>IF((((inputs!$P$13/(X496/MAX(K496:S496)))^(1/inputs!$O$13))-1)/inputs!$N$13&lt;0, 0, IF((((inputs!$P$13/(X496/MAX(K496:S496)))^(1/inputs!$O$13))-1)/inputs!$N$13&lt;inputs!$I$17, (((inputs!$P$13/(X496/MAX(K496:S496)))^(1/inputs!$O$13))-1)/inputs!$N$13, inputs!$I$17))</f>
        <v>0</v>
      </c>
      <c r="V496" s="54">
        <f>inputs!$E$70*(F496/inputs!$F$70)^(0.25)</f>
        <v>10.294232390431622</v>
      </c>
      <c r="W496" s="54">
        <f>inputs!$E$76*(F496/inputs!$F$76)^(0.25)</f>
        <v>0.74015988440839486</v>
      </c>
      <c r="X496" s="54">
        <f>inputs!$E$72*(inputs!$F$72/F496)^(0.25)</f>
        <v>24.275729410604654</v>
      </c>
      <c r="Y496" s="54" t="s">
        <v>13</v>
      </c>
      <c r="Z496" s="106">
        <f t="shared" si="40"/>
        <v>1.1861592356639905</v>
      </c>
      <c r="AA496" s="106">
        <f t="shared" si="41"/>
        <v>16.497244826692711</v>
      </c>
    </row>
    <row r="497" spans="1:27" ht="13.2" x14ac:dyDescent="0.25">
      <c r="A497" s="55" t="s">
        <v>462</v>
      </c>
      <c r="B497" s="49" t="s">
        <v>463</v>
      </c>
      <c r="C497" s="21" t="s">
        <v>61</v>
      </c>
      <c r="D497" s="20" t="s">
        <v>454</v>
      </c>
      <c r="E497" s="20">
        <v>14</v>
      </c>
      <c r="F497" s="21">
        <v>19000</v>
      </c>
      <c r="G497" s="21" t="s">
        <v>455</v>
      </c>
      <c r="H497" s="21">
        <v>0.68</v>
      </c>
      <c r="I497" s="71">
        <f>MAX('Max rate concentrations'!$K$3:$K$368)</f>
        <v>110.00035859694511</v>
      </c>
      <c r="J497" s="71">
        <f>MAX('Max rate concentrations'!AC:AC)</f>
        <v>38.958460336418057</v>
      </c>
      <c r="K497" s="70">
        <f t="shared" si="42"/>
        <v>13.986010305973837</v>
      </c>
      <c r="L497" s="70">
        <f t="shared" si="43"/>
        <v>4.9533786500324002</v>
      </c>
      <c r="M497" s="70">
        <f>IF((((0.326*F497^0.818)-(0.398*F497^0.85)/(1-H497)*H497)*(MAX('Max rate concentrations'!$P$3:$P$368)))/F497&gt;0, (((0.326*F497^0.818)-(0.398*F497^0.85)/(1-H497)*H497)*(MAX('Max rate concentrations'!$P$3:$P$368)))/F497, 0)</f>
        <v>0</v>
      </c>
      <c r="N497" s="70">
        <f>IF((((0.326*F497^0.818)-(0.398*F497^0.85)/(1-H497)*H497)*(MAX('Max rate concentrations'!$Q$3:$Q$368)))/F497&gt; 0, (((0.326*F497^0.818)-(0.398*F497^0.85)/(1-H497)*H497)*(MAX('Max rate concentrations'!$Q$3:$Q$368)))/F497, 0)</f>
        <v>0</v>
      </c>
      <c r="O497" s="70">
        <f>((MAX('Max rate concentrations'!$F$3:$F$368))*0.62*6.01*8*(12.3*F497^0.65)*0.079*0.1/F497)*inputs!$E$73/inputs!$E$74</f>
        <v>8.6090953231503882</v>
      </c>
      <c r="P497" s="70">
        <f>((MAX('Max rate concentrations'!Y:Y))*0.62*6.01*8*(12.3*F497^0.65)*0.079*0.1/F497)*inputs!$E$73/inputs!$E$74</f>
        <v>2.8696984410501298</v>
      </c>
      <c r="Q497" s="70">
        <f>(inputs!$C$18*11.2*(12.3*F497^0.65)*0.5/F497)*inputs!$E$73/inputs!$E$74</f>
        <v>1.5164515357025912</v>
      </c>
      <c r="R497" s="60">
        <f>(60*379*((F497/1000)^0.8)*3*24*(MAX('Max rate concentrations'!$R$3:$R$368))/F497)*(inputs!$E$73/inputs!$E$75)</f>
        <v>6.1260140437437282E-3</v>
      </c>
      <c r="S497" s="60">
        <f>(IF(inputs!$C$17="aerial",((0.025*0.112*inputs!$C$18/3.3)*(3*60*379*((F497/1000)^0.8))*MAX(inputs!$I$14:$I$16))/F497,((0.0083*0.112*inputs!$C$18/1)*(3*60*379*((F497/1000)^0.8))*MAX(inputs!$I$14:$I$16))/F497))*(inputs!E$75/inputs!$E$73)</f>
        <v>3.3785343823191767E-2</v>
      </c>
      <c r="T497" s="63">
        <f>IF((((inputs!$P$13/(V497/MAX(K497:S497)))^(1/inputs!$O$13))-1)/inputs!$N$13&lt;0, 0, IF((((inputs!$P$13/(V497/MAX(K497:S497)))^(1/inputs!$O$13))-1)/inputs!$N$13&lt;inputs!$I$17, (((inputs!$P$13/(V497/MAX(K497:S497)))^(1/inputs!$O$13))-1)/inputs!$N$13, inputs!$I$17))</f>
        <v>0.48894690259262857</v>
      </c>
      <c r="U497" s="63">
        <f>IF((((inputs!$P$13/(X497/MAX(K497:S497)))^(1/inputs!$O$13))-1)/inputs!$N$13&lt;0, 0, IF((((inputs!$P$13/(X497/MAX(K497:S497)))^(1/inputs!$O$13))-1)/inputs!$N$13&lt;inputs!$I$17, (((inputs!$P$13/(X497/MAX(K497:S497)))^(1/inputs!$O$13))-1)/inputs!$N$13, inputs!$I$17))</f>
        <v>0</v>
      </c>
      <c r="V497" s="54">
        <f>inputs!$E$70*(F497/inputs!$F$70)^(0.25)</f>
        <v>13.213195426999759</v>
      </c>
      <c r="W497" s="54">
        <f>inputs!$E$76*(F497/inputs!$F$76)^(0.25)</f>
        <v>0.95003462414584328</v>
      </c>
      <c r="X497" s="54">
        <f>inputs!$E$72*(inputs!$F$72/F497)^(0.25)</f>
        <v>18.91291182217406</v>
      </c>
      <c r="Y497" s="54" t="s">
        <v>13</v>
      </c>
      <c r="Z497" s="106">
        <f t="shared" si="40"/>
        <v>1.0584881138891591</v>
      </c>
      <c r="AA497" s="106">
        <f t="shared" si="41"/>
        <v>14.721579561953726</v>
      </c>
    </row>
    <row r="498" spans="1:27" ht="13.2" x14ac:dyDescent="0.25">
      <c r="A498" s="55" t="s">
        <v>462</v>
      </c>
      <c r="B498" s="49" t="s">
        <v>463</v>
      </c>
      <c r="C498" s="21" t="s">
        <v>61</v>
      </c>
      <c r="D498" s="20" t="s">
        <v>454</v>
      </c>
      <c r="E498" s="20">
        <v>14</v>
      </c>
      <c r="F498" s="21">
        <v>19000</v>
      </c>
      <c r="G498" s="21" t="s">
        <v>456</v>
      </c>
      <c r="H498" s="21">
        <v>0.68</v>
      </c>
      <c r="I498" s="68">
        <f>MAX('Max rate concentrations'!$J$3:$J$368)</f>
        <v>686.46486205830786</v>
      </c>
      <c r="J498" s="68">
        <f>MAX('Max rate concentrations'!AB:AB)</f>
        <v>243.122971978984</v>
      </c>
      <c r="K498" s="70">
        <f t="shared" si="42"/>
        <v>87.28066669869051</v>
      </c>
      <c r="L498" s="70">
        <f t="shared" si="43"/>
        <v>30.911902789119559</v>
      </c>
      <c r="M498" s="70">
        <f>IF((((0.326*F498^0.818)-(0.398*F498^0.85)/(1-H498)*H498)*(MAX('Max rate concentrations'!$P$3:$P$368)))/F498&gt;0, (((0.326*F498^0.818)-(0.398*F498^0.85)/(1-H498)*H498)*(MAX('Max rate concentrations'!$P$3:$P$368)))/F498, 0)</f>
        <v>0</v>
      </c>
      <c r="N498" s="70">
        <f>IF((((0.326*F498^0.818)-(0.398*F498^0.85)/(1-H498)*H498)*(MAX('Max rate concentrations'!$Q$3:$Q$368)))/F498&gt; 0, (((0.326*F498^0.818)-(0.398*F498^0.85)/(1-H498)*H498)*(MAX('Max rate concentrations'!$Q$3:$Q$368)))/F498, 0)</f>
        <v>0</v>
      </c>
      <c r="O498" s="70">
        <f>((MAX('Max rate concentrations'!$F$3:$F$368))*0.62*6.01*8*(12.3*F498^0.65)*0.079*0.1/F498)*inputs!$E$73/inputs!$E$74</f>
        <v>8.6090953231503882</v>
      </c>
      <c r="P498" s="70">
        <f>((MAX('Max rate concentrations'!Y:Y))*0.62*6.01*8*(12.3*F498^0.65)*0.079*0.1/F498)*inputs!$E$73/inputs!$E$74</f>
        <v>2.8696984410501298</v>
      </c>
      <c r="Q498" s="70">
        <f>(inputs!$C$18*11.2*(12.3*F498^0.65)*0.5/F498)*inputs!$E$73/inputs!$E$74</f>
        <v>1.5164515357025912</v>
      </c>
      <c r="R498" s="60">
        <f>(60*379*((F498/1000)^0.8)*3*24*(MAX('Max rate concentrations'!$R$3:$R$368))/F498)*(inputs!$E$73/inputs!$E$75)</f>
        <v>6.1260140437437282E-3</v>
      </c>
      <c r="S498" s="60">
        <f>(IF(inputs!$C$17="aerial",((0.025*0.112*inputs!$C$18/3.3)*(3*60*379*((F498/1000)^0.8))*MAX(inputs!$I$14:$I$16))/F498,((0.0083*0.112*inputs!$C$18/1)*(3*60*379*((F498/1000)^0.8))*MAX(inputs!$I$14:$I$16))/F498))*(inputs!E$75/inputs!$E$73)</f>
        <v>3.3785343823191767E-2</v>
      </c>
      <c r="T498" s="63">
        <f>IF((((inputs!$P$13/(V498/MAX(K498:S498)))^(1/inputs!$O$13))-1)/inputs!$N$13&lt;0, 0, IF((((inputs!$P$13/(V498/MAX(K498:S498)))^(1/inputs!$O$13))-1)/inputs!$N$13&lt;inputs!$I$17, (((inputs!$P$13/(V498/MAX(K498:S498)))^(1/inputs!$O$13))-1)/inputs!$N$13, inputs!$I$17))</f>
        <v>19.902524981195629</v>
      </c>
      <c r="U498" s="63">
        <f>IF((((inputs!$P$13/(X498/MAX(K498:S498)))^(1/inputs!$O$13))-1)/inputs!$N$13&lt;0, 0, IF((((inputs!$P$13/(X498/MAX(K498:S498)))^(1/inputs!$O$13))-1)/inputs!$N$13&lt;inputs!$I$17, (((inputs!$P$13/(X498/MAX(K498:S498)))^(1/inputs!$O$13))-1)/inputs!$N$13, inputs!$I$17))</f>
        <v>13.576183335921744</v>
      </c>
      <c r="V498" s="54">
        <f>inputs!$E$70*(F498/inputs!$F$70)^(0.25)</f>
        <v>13.213195426999759</v>
      </c>
      <c r="W498" s="54">
        <f>inputs!$E$76*(F498/inputs!$F$76)^(0.25)</f>
        <v>0.95003462414584328</v>
      </c>
      <c r="X498" s="54">
        <f>inputs!$E$72*(inputs!$F$72/F498)^(0.25)</f>
        <v>18.91291182217406</v>
      </c>
      <c r="Y498" s="54" t="s">
        <v>13</v>
      </c>
      <c r="Z498" s="106">
        <f t="shared" si="40"/>
        <v>6.6055684395874259</v>
      </c>
      <c r="AA498" s="106">
        <f t="shared" si="41"/>
        <v>91.871037623668485</v>
      </c>
    </row>
    <row r="499" spans="1:27" ht="13.2" x14ac:dyDescent="0.25">
      <c r="A499" s="55" t="s">
        <v>462</v>
      </c>
      <c r="B499" s="49" t="s">
        <v>464</v>
      </c>
      <c r="C499" s="21" t="s">
        <v>61</v>
      </c>
      <c r="D499" s="20" t="s">
        <v>454</v>
      </c>
      <c r="E499" s="20">
        <v>4369</v>
      </c>
      <c r="F499" s="21">
        <v>19000</v>
      </c>
      <c r="G499" s="21" t="s">
        <v>455</v>
      </c>
      <c r="H499" s="21">
        <v>0.68</v>
      </c>
      <c r="I499" s="71">
        <f>MAX('Max rate concentrations'!$K$3:$K$368)</f>
        <v>110.00035859694511</v>
      </c>
      <c r="J499" s="71">
        <f>MAX('Max rate concentrations'!AC:AC)</f>
        <v>38.958460336418057</v>
      </c>
      <c r="K499" s="70">
        <f t="shared" si="42"/>
        <v>13.986010305973837</v>
      </c>
      <c r="L499" s="70">
        <f t="shared" si="43"/>
        <v>4.9533786500324002</v>
      </c>
      <c r="M499" s="70">
        <f>IF((((0.326*F499^0.818)-(0.398*F499^0.85)/(1-H499)*H499)*(MAX('Max rate concentrations'!$P$3:$P$368)))/F499&gt;0, (((0.326*F499^0.818)-(0.398*F499^0.85)/(1-H499)*H499)*(MAX('Max rate concentrations'!$P$3:$P$368)))/F499, 0)</f>
        <v>0</v>
      </c>
      <c r="N499" s="70">
        <f>IF((((0.326*F499^0.818)-(0.398*F499^0.85)/(1-H499)*H499)*(MAX('Max rate concentrations'!$Q$3:$Q$368)))/F499&gt; 0, (((0.326*F499^0.818)-(0.398*F499^0.85)/(1-H499)*H499)*(MAX('Max rate concentrations'!$Q$3:$Q$368)))/F499, 0)</f>
        <v>0</v>
      </c>
      <c r="O499" s="70">
        <f>((MAX('Max rate concentrations'!$F$3:$F$368))*0.62*6.01*8*(12.3*F499^0.65)*0.079*0.1/F499)*inputs!$E$73/inputs!$E$74</f>
        <v>8.6090953231503882</v>
      </c>
      <c r="P499" s="70">
        <f>((MAX('Max rate concentrations'!Y:Y))*0.62*6.01*8*(12.3*F499^0.65)*0.079*0.1/F499)*inputs!$E$73/inputs!$E$74</f>
        <v>2.8696984410501298</v>
      </c>
      <c r="Q499" s="70">
        <f>(inputs!$C$18*11.2*(12.3*F499^0.65)*0.5/F499)*inputs!$E$73/inputs!$E$74</f>
        <v>1.5164515357025912</v>
      </c>
      <c r="R499" s="60">
        <f>(60*379*((F499/1000)^0.8)*3*24*(MAX('Max rate concentrations'!$R$3:$R$368))/F499)*(inputs!$E$73/inputs!$E$75)</f>
        <v>6.1260140437437282E-3</v>
      </c>
      <c r="S499" s="60">
        <f>(IF(inputs!$C$17="aerial",((0.025*0.112*inputs!$C$18/3.3)*(3*60*379*((F499/1000)^0.8))*MAX(inputs!$I$14:$I$16))/F499,((0.0083*0.112*inputs!$C$18/1)*(3*60*379*((F499/1000)^0.8))*MAX(inputs!$I$14:$I$16))/F499))*(inputs!E$75/inputs!$E$73)</f>
        <v>3.3785343823191767E-2</v>
      </c>
      <c r="T499" s="63">
        <f>IF((((inputs!$P$13/(V499/MAX(K499:S499)))^(1/inputs!$O$13))-1)/inputs!$N$13&lt;0, 0, IF((((inputs!$P$13/(V499/MAX(K499:S499)))^(1/inputs!$O$13))-1)/inputs!$N$13&lt;inputs!$I$17, (((inputs!$P$13/(V499/MAX(K499:S499)))^(1/inputs!$O$13))-1)/inputs!$N$13, inputs!$I$17))</f>
        <v>0.48894690259262857</v>
      </c>
      <c r="U499" s="63">
        <f>IF((((inputs!$P$13/(X499/MAX(K499:S499)))^(1/inputs!$O$13))-1)/inputs!$N$13&lt;0, 0, IF((((inputs!$P$13/(X499/MAX(K499:S499)))^(1/inputs!$O$13))-1)/inputs!$N$13&lt;inputs!$I$17, (((inputs!$P$13/(X499/MAX(K499:S499)))^(1/inputs!$O$13))-1)/inputs!$N$13, inputs!$I$17))</f>
        <v>0</v>
      </c>
      <c r="V499" s="54">
        <f>inputs!$E$70*(F499/inputs!$F$70)^(0.25)</f>
        <v>13.213195426999759</v>
      </c>
      <c r="W499" s="54">
        <f>inputs!$E$76*(F499/inputs!$F$76)^(0.25)</f>
        <v>0.95003462414584328</v>
      </c>
      <c r="X499" s="54">
        <f>inputs!$E$72*(inputs!$F$72/F499)^(0.25)</f>
        <v>18.91291182217406</v>
      </c>
      <c r="Y499" s="54" t="s">
        <v>13</v>
      </c>
      <c r="Z499" s="106">
        <f t="shared" si="40"/>
        <v>1.0584881138891591</v>
      </c>
      <c r="AA499" s="106">
        <f t="shared" si="41"/>
        <v>14.721579561953726</v>
      </c>
    </row>
    <row r="500" spans="1:27" ht="13.2" x14ac:dyDescent="0.25">
      <c r="A500" s="55" t="s">
        <v>462</v>
      </c>
      <c r="B500" s="49" t="s">
        <v>464</v>
      </c>
      <c r="C500" s="21" t="s">
        <v>61</v>
      </c>
      <c r="D500" s="20" t="s">
        <v>454</v>
      </c>
      <c r="E500" s="20">
        <v>4369</v>
      </c>
      <c r="F500" s="21">
        <v>19000</v>
      </c>
      <c r="G500" s="21" t="s">
        <v>456</v>
      </c>
      <c r="H500" s="21">
        <v>0.68</v>
      </c>
      <c r="I500" s="68">
        <f>MAX('Max rate concentrations'!$J$3:$J$368)</f>
        <v>686.46486205830786</v>
      </c>
      <c r="J500" s="68">
        <f>MAX('Max rate concentrations'!AB:AB)</f>
        <v>243.122971978984</v>
      </c>
      <c r="K500" s="70">
        <f t="shared" si="42"/>
        <v>87.28066669869051</v>
      </c>
      <c r="L500" s="70">
        <f t="shared" si="43"/>
        <v>30.911902789119559</v>
      </c>
      <c r="M500" s="70">
        <f>IF((((0.326*F500^0.818)-(0.398*F500^0.85)/(1-H500)*H500)*(MAX('Max rate concentrations'!$P$3:$P$368)))/F500&gt;0, (((0.326*F500^0.818)-(0.398*F500^0.85)/(1-H500)*H500)*(MAX('Max rate concentrations'!$P$3:$P$368)))/F500, 0)</f>
        <v>0</v>
      </c>
      <c r="N500" s="70">
        <f>IF((((0.326*F500^0.818)-(0.398*F500^0.85)/(1-H500)*H500)*(MAX('Max rate concentrations'!$Q$3:$Q$368)))/F500&gt; 0, (((0.326*F500^0.818)-(0.398*F500^0.85)/(1-H500)*H500)*(MAX('Max rate concentrations'!$Q$3:$Q$368)))/F500, 0)</f>
        <v>0</v>
      </c>
      <c r="O500" s="70">
        <f>((MAX('Max rate concentrations'!$F$3:$F$368))*0.62*6.01*8*(12.3*F500^0.65)*0.079*0.1/F500)*inputs!$E$73/inputs!$E$74</f>
        <v>8.6090953231503882</v>
      </c>
      <c r="P500" s="70">
        <f>((MAX('Max rate concentrations'!Y:Y))*0.62*6.01*8*(12.3*F500^0.65)*0.079*0.1/F500)*inputs!$E$73/inputs!$E$74</f>
        <v>2.8696984410501298</v>
      </c>
      <c r="Q500" s="70">
        <f>(inputs!$C$18*11.2*(12.3*F500^0.65)*0.5/F500)*inputs!$E$73/inputs!$E$74</f>
        <v>1.5164515357025912</v>
      </c>
      <c r="R500" s="60">
        <f>(60*379*((F500/1000)^0.8)*3*24*(MAX('Max rate concentrations'!$R$3:$R$368))/F500)*(inputs!$E$73/inputs!$E$75)</f>
        <v>6.1260140437437282E-3</v>
      </c>
      <c r="S500" s="60">
        <f>(IF(inputs!$C$17="aerial",((0.025*0.112*inputs!$C$18/3.3)*(3*60*379*((F500/1000)^0.8))*MAX(inputs!$I$14:$I$16))/F500,((0.0083*0.112*inputs!$C$18/1)*(3*60*379*((F500/1000)^0.8))*MAX(inputs!$I$14:$I$16))/F500))*(inputs!E$75/inputs!$E$73)</f>
        <v>3.3785343823191767E-2</v>
      </c>
      <c r="T500" s="63">
        <f>IF((((inputs!$P$13/(V500/MAX(K500:S500)))^(1/inputs!$O$13))-1)/inputs!$N$13&lt;0, 0, IF((((inputs!$P$13/(V500/MAX(K500:S500)))^(1/inputs!$O$13))-1)/inputs!$N$13&lt;inputs!$I$17, (((inputs!$P$13/(V500/MAX(K500:S500)))^(1/inputs!$O$13))-1)/inputs!$N$13, inputs!$I$17))</f>
        <v>19.902524981195629</v>
      </c>
      <c r="U500" s="63">
        <f>IF((((inputs!$P$13/(X500/MAX(K500:S500)))^(1/inputs!$O$13))-1)/inputs!$N$13&lt;0, 0, IF((((inputs!$P$13/(X500/MAX(K500:S500)))^(1/inputs!$O$13))-1)/inputs!$N$13&lt;inputs!$I$17, (((inputs!$P$13/(X500/MAX(K500:S500)))^(1/inputs!$O$13))-1)/inputs!$N$13, inputs!$I$17))</f>
        <v>13.576183335921744</v>
      </c>
      <c r="V500" s="54">
        <f>inputs!$E$70*(F500/inputs!$F$70)^(0.25)</f>
        <v>13.213195426999759</v>
      </c>
      <c r="W500" s="54">
        <f>inputs!$E$76*(F500/inputs!$F$76)^(0.25)</f>
        <v>0.95003462414584328</v>
      </c>
      <c r="X500" s="54">
        <f>inputs!$E$72*(inputs!$F$72/F500)^(0.25)</f>
        <v>18.91291182217406</v>
      </c>
      <c r="Y500" s="54" t="s">
        <v>13</v>
      </c>
      <c r="Z500" s="106">
        <f t="shared" si="40"/>
        <v>6.6055684395874259</v>
      </c>
      <c r="AA500" s="106">
        <f t="shared" si="41"/>
        <v>91.871037623668485</v>
      </c>
    </row>
    <row r="501" spans="1:27" ht="13.2" x14ac:dyDescent="0.25">
      <c r="A501" s="55" t="s">
        <v>609</v>
      </c>
      <c r="B501" s="49" t="s">
        <v>610</v>
      </c>
      <c r="C501" s="21" t="s">
        <v>61</v>
      </c>
      <c r="D501" s="20" t="s">
        <v>454</v>
      </c>
      <c r="E501" s="20">
        <v>6</v>
      </c>
      <c r="F501" s="21">
        <v>2100</v>
      </c>
      <c r="G501" s="21" t="s">
        <v>142</v>
      </c>
      <c r="H501" s="21">
        <v>0.69</v>
      </c>
      <c r="I501" s="68">
        <f>MAX('Max rate concentrations'!$H$3:$H$368)</f>
        <v>282</v>
      </c>
      <c r="J501" s="68">
        <f>MAX('Max rate concentrations'!AA:AA)</f>
        <v>195</v>
      </c>
      <c r="K501" s="70">
        <f t="shared" si="42"/>
        <v>54.777252125949673</v>
      </c>
      <c r="L501" s="70">
        <f t="shared" si="43"/>
        <v>37.877887108369457</v>
      </c>
      <c r="M501" s="70">
        <f>IF((((0.326*F501^0.818)-(0.398*F501^0.85)/(1-H501)*H501)*(MAX('Max rate concentrations'!$P$3:$P$368)))/F501&gt;0, (((0.326*F501^0.818)-(0.398*F501^0.85)/(1-H501)*H501)*(MAX('Max rate concentrations'!$P$3:$P$368)))/F501, 0)</f>
        <v>0</v>
      </c>
      <c r="N501" s="70">
        <f>IF((((0.326*F501^0.818)-(0.398*F501^0.85)/(1-H501)*H501)*(MAX('Max rate concentrations'!$Q$3:$Q$368)))/F501&gt; 0, (((0.326*F501^0.818)-(0.398*F501^0.85)/(1-H501)*H501)*(MAX('Max rate concentrations'!$Q$3:$Q$368)))/F501, 0)</f>
        <v>0</v>
      </c>
      <c r="O501" s="70">
        <f>((MAX('Max rate concentrations'!$F$3:$F$368))*0.62*6.01*8*(12.3*F501^0.65)*0.079*0.1/F501)*inputs!$E$73/inputs!$E$74</f>
        <v>18.609920749727259</v>
      </c>
      <c r="P501" s="70">
        <f>((MAX('Max rate concentrations'!Y:Y))*0.62*6.01*8*(12.3*F501^0.65)*0.079*0.1/F501)*inputs!$E$73/inputs!$E$74</f>
        <v>6.2033069165757535</v>
      </c>
      <c r="Q501" s="70">
        <f>(inputs!$C$18*11.2*(12.3*F501^0.65)*0.5/F501)*inputs!$E$73/inputs!$E$74</f>
        <v>3.2780497649200475</v>
      </c>
      <c r="R501" s="60">
        <f>(60*379*((F501/1000)^0.8)*3*24*(MAX('Max rate concentrations'!$R$3:$R$368))/F501)*(inputs!$E$73/inputs!$E$75)</f>
        <v>9.5166664796003594E-3</v>
      </c>
      <c r="S501" s="60">
        <f>(IF(inputs!$C$17="aerial",((0.025*0.112*inputs!$C$18/3.3)*(3*60*379*((F501/1000)^0.8))*MAX(inputs!$I$14:$I$16))/F501,((0.0083*0.112*inputs!$C$18/1)*(3*60*379*((F501/1000)^0.8))*MAX(inputs!$I$14:$I$16))/F501))*(inputs!E$75/inputs!$E$73)</f>
        <v>5.2485000322893917E-2</v>
      </c>
      <c r="T501" s="63">
        <f>IF((((inputs!$P$13/(V501/MAX(K501:S501)))^(1/inputs!$O$13))-1)/inputs!$N$13&lt;0, 0, IF((((inputs!$P$13/(V501/MAX(K501:S501)))^(1/inputs!$O$13))-1)/inputs!$N$13&lt;inputs!$I$17, (((inputs!$P$13/(V501/MAX(K501:S501)))^(1/inputs!$O$13))-1)/inputs!$N$13, inputs!$I$17))</f>
        <v>21.685651771932811</v>
      </c>
      <c r="U501" s="63">
        <f>IF((((inputs!$P$13/(X501/MAX(K501:S501)))^(1/inputs!$O$13))-1)/inputs!$N$13&lt;0, 0, IF((((inputs!$P$13/(X501/MAX(K501:S501)))^(1/inputs!$O$13))-1)/inputs!$N$13&lt;inputs!$I$17, (((inputs!$P$13/(X501/MAX(K501:S501)))^(1/inputs!$O$13))-1)/inputs!$N$13, inputs!$I$17))</f>
        <v>3.0377900762601406</v>
      </c>
      <c r="V501" s="54">
        <f>inputs!$E$70*(F501/inputs!$F$70)^(0.25)</f>
        <v>7.6185843776059556</v>
      </c>
      <c r="W501" s="54">
        <f>inputs!$E$76*(F501/inputs!$F$76)^(0.25)</f>
        <v>0.54777960302565054</v>
      </c>
      <c r="X501" s="54">
        <f>inputs!$E$72*(inputs!$F$72/F501)^(0.25)</f>
        <v>32.801369337662685</v>
      </c>
      <c r="Y501" s="54" t="s">
        <v>13</v>
      </c>
      <c r="Z501" s="106">
        <f t="shared" si="40"/>
        <v>7.189951493739672</v>
      </c>
      <c r="AA501" s="106">
        <f t="shared" si="41"/>
        <v>99.998707186957176</v>
      </c>
    </row>
    <row r="502" spans="1:27" ht="13.2" x14ac:dyDescent="0.25">
      <c r="A502" s="55" t="s">
        <v>609</v>
      </c>
      <c r="B502" s="49" t="s">
        <v>610</v>
      </c>
      <c r="C502" s="21" t="s">
        <v>61</v>
      </c>
      <c r="D502" s="20" t="s">
        <v>454</v>
      </c>
      <c r="E502" s="20">
        <v>6</v>
      </c>
      <c r="F502" s="21">
        <v>2100</v>
      </c>
      <c r="G502" s="21" t="s">
        <v>138</v>
      </c>
      <c r="H502" s="21">
        <v>0.68</v>
      </c>
      <c r="I502" s="68">
        <f>MAX('Max rate concentrations'!$L$3:$L$368)</f>
        <v>350.52744091332482</v>
      </c>
      <c r="J502" s="68">
        <f>MAX('Max rate concentrations'!AD:AD)</f>
        <v>242.38599637623525</v>
      </c>
      <c r="K502" s="70">
        <f t="shared" si="42"/>
        <v>65.960641649730391</v>
      </c>
      <c r="L502" s="70">
        <f t="shared" si="43"/>
        <v>45.611081991834837</v>
      </c>
      <c r="M502" s="70">
        <f>IF((((0.326*F502^0.818)-(0.398*F502^0.85)/(1-H502)*H502)*(MAX('Max rate concentrations'!$P$3:$P$368)))/F502&gt;0, (((0.326*F502^0.818)-(0.398*F502^0.85)/(1-H502)*H502)*(MAX('Max rate concentrations'!$P$3:$P$368)))/F502, 0)</f>
        <v>0</v>
      </c>
      <c r="N502" s="70">
        <f>IF((((0.326*F502^0.818)-(0.398*F502^0.85)/(1-H502)*H502)*(MAX('Max rate concentrations'!$Q$3:$Q$368)))/F502&gt; 0, (((0.326*F502^0.818)-(0.398*F502^0.85)/(1-H502)*H502)*(MAX('Max rate concentrations'!$Q$3:$Q$368)))/F502, 0)</f>
        <v>0</v>
      </c>
      <c r="O502" s="70">
        <f>((MAX('Max rate concentrations'!$F$3:$F$368))*0.62*6.01*8*(12.3*F502^0.65)*0.079*0.1/F502)*inputs!$E$73/inputs!$E$74</f>
        <v>18.609920749727259</v>
      </c>
      <c r="P502" s="70">
        <f>((MAX('Max rate concentrations'!Y:Y))*0.62*6.01*8*(12.3*F502^0.65)*0.079*0.1/F502)*inputs!$E$73/inputs!$E$74</f>
        <v>6.2033069165757535</v>
      </c>
      <c r="Q502" s="70">
        <f>(inputs!$C$18*11.2*(12.3*F502^0.65)*0.5/F502)*inputs!$E$73/inputs!$E$74</f>
        <v>3.2780497649200475</v>
      </c>
      <c r="R502" s="60">
        <f>(60*379*((F502/1000)^0.8)*3*24*(MAX('Max rate concentrations'!$R$3:$R$368))/F502)*(inputs!$E$73/inputs!$E$75)</f>
        <v>9.5166664796003594E-3</v>
      </c>
      <c r="S502" s="60">
        <f>(IF(inputs!$C$17="aerial",((0.025*0.112*inputs!$C$18/3.3)*(3*60*379*((F502/1000)^0.8))*MAX(inputs!$I$14:$I$16))/F502,((0.0083*0.112*inputs!$C$18/1)*(3*60*379*((F502/1000)^0.8))*MAX(inputs!$I$14:$I$16))/F502))*(inputs!E$75/inputs!$E$73)</f>
        <v>5.2485000322893917E-2</v>
      </c>
      <c r="T502" s="63">
        <f>IF((((inputs!$P$13/(V502/MAX(K502:S502)))^(1/inputs!$O$13))-1)/inputs!$N$13&lt;0, 0, IF((((inputs!$P$13/(V502/MAX(K502:S502)))^(1/inputs!$O$13))-1)/inputs!$N$13&lt;inputs!$I$17, (((inputs!$P$13/(V502/MAX(K502:S502)))^(1/inputs!$O$13))-1)/inputs!$N$13, inputs!$I$17))</f>
        <v>26.048519078152733</v>
      </c>
      <c r="U502" s="63">
        <f>IF((((inputs!$P$13/(X502/MAX(K502:S502)))^(1/inputs!$O$13))-1)/inputs!$N$13&lt;0, 0, IF((((inputs!$P$13/(X502/MAX(K502:S502)))^(1/inputs!$O$13))-1)/inputs!$N$13&lt;inputs!$I$17, (((inputs!$P$13/(X502/MAX(K502:S502)))^(1/inputs!$O$13))-1)/inputs!$N$13, inputs!$I$17))</f>
        <v>4.3776567799356583</v>
      </c>
      <c r="V502" s="54">
        <f>inputs!$E$70*(F502/inputs!$F$70)^(0.25)</f>
        <v>7.6185843776059556</v>
      </c>
      <c r="W502" s="54">
        <f>inputs!$E$76*(F502/inputs!$F$76)^(0.25)</f>
        <v>0.54777960302565054</v>
      </c>
      <c r="X502" s="54">
        <f>inputs!$E$72*(inputs!$F$72/F502)^(0.25)</f>
        <v>32.801369337662685</v>
      </c>
      <c r="Y502" s="54" t="s">
        <v>13</v>
      </c>
      <c r="Z502" s="106">
        <f t="shared" si="40"/>
        <v>8.6578606182553948</v>
      </c>
      <c r="AA502" s="106">
        <f t="shared" si="41"/>
        <v>120.41456323929917</v>
      </c>
    </row>
    <row r="503" spans="1:27" ht="13.2" x14ac:dyDescent="0.25">
      <c r="A503" s="55" t="s">
        <v>609</v>
      </c>
      <c r="B503" s="49" t="s">
        <v>610</v>
      </c>
      <c r="C503" s="21" t="s">
        <v>61</v>
      </c>
      <c r="D503" s="20" t="s">
        <v>454</v>
      </c>
      <c r="E503" s="20">
        <v>6</v>
      </c>
      <c r="F503" s="21">
        <v>2100</v>
      </c>
      <c r="G503" s="21" t="s">
        <v>169</v>
      </c>
      <c r="H503" s="21">
        <v>0.79</v>
      </c>
      <c r="I503" s="68">
        <f>MAX('Max rate concentrations'!$D$3:$D$368)</f>
        <v>720</v>
      </c>
      <c r="J503" s="68">
        <f>MAX('Max rate concentrations'!W:W)</f>
        <v>255</v>
      </c>
      <c r="K503" s="70">
        <f t="shared" si="42"/>
        <v>206.45529676649733</v>
      </c>
      <c r="L503" s="70">
        <f t="shared" si="43"/>
        <v>73.119584271467815</v>
      </c>
      <c r="M503" s="70">
        <f>IF((((0.326*F503^0.818)-(0.398*F503^0.85)/(1-H503)*H503)*(MAX('Max rate concentrations'!$P$3:$P$368)))/F503&gt;0, (((0.326*F503^0.818)-(0.398*F503^0.85)/(1-H503)*H503)*(MAX('Max rate concentrations'!$P$3:$P$368)))/F503, 0)</f>
        <v>0</v>
      </c>
      <c r="N503" s="70">
        <f>IF((((0.326*F503^0.818)-(0.398*F503^0.85)/(1-H503)*H503)*(MAX('Max rate concentrations'!$Q$3:$Q$368)))/F503&gt; 0, (((0.326*F503^0.818)-(0.398*F503^0.85)/(1-H503)*H503)*(MAX('Max rate concentrations'!$Q$3:$Q$368)))/F503, 0)</f>
        <v>0</v>
      </c>
      <c r="O503" s="70">
        <f>((MAX('Max rate concentrations'!$F$3:$F$368))*0.62*6.01*8*(12.3*F503^0.65)*0.079*0.1/F503)*inputs!$E$73/inputs!$E$74</f>
        <v>18.609920749727259</v>
      </c>
      <c r="P503" s="70">
        <f>((MAX('Max rate concentrations'!Y:Y))*0.62*6.01*8*(12.3*F503^0.65)*0.079*0.1/F503)*inputs!$E$73/inputs!$E$74</f>
        <v>6.2033069165757535</v>
      </c>
      <c r="Q503" s="70">
        <f>(inputs!$C$18*11.2*(12.3*F503^0.65)*0.5/F503)*inputs!$E$73/inputs!$E$74</f>
        <v>3.2780497649200475</v>
      </c>
      <c r="R503" s="60">
        <f>(60*379*((F503/1000)^0.8)*3*24*(MAX('Max rate concentrations'!$R$3:$R$368))/F503)*(inputs!$E$73/inputs!$E$75)</f>
        <v>9.5166664796003594E-3</v>
      </c>
      <c r="S503" s="60">
        <f>(IF(inputs!$C$17="aerial",((0.025*0.112*inputs!$C$18/3.3)*(3*60*379*((F503/1000)^0.8))*MAX(inputs!$I$14:$I$16))/F503,((0.0083*0.112*inputs!$C$18/1)*(3*60*379*((F503/1000)^0.8))*MAX(inputs!$I$14:$I$16))/F503))*(inputs!E$75/inputs!$E$73)</f>
        <v>5.2485000322893917E-2</v>
      </c>
      <c r="T503" s="63">
        <f>IF((((inputs!$P$13/(V503/MAX(K503:S503)))^(1/inputs!$O$13))-1)/inputs!$N$13&lt;0, 0, IF((((inputs!$P$13/(V503/MAX(K503:S503)))^(1/inputs!$O$13))-1)/inputs!$N$13&lt;inputs!$I$17, (((inputs!$P$13/(V503/MAX(K503:S503)))^(1/inputs!$O$13))-1)/inputs!$N$13, inputs!$I$17))</f>
        <v>73.466079464532527</v>
      </c>
      <c r="U503" s="63">
        <f>IF((((inputs!$P$13/(X503/MAX(K503:S503)))^(1/inputs!$O$13))-1)/inputs!$N$13&lt;0, 0, IF((((inputs!$P$13/(X503/MAX(K503:S503)))^(1/inputs!$O$13))-1)/inputs!$N$13&lt;inputs!$I$17, (((inputs!$P$13/(X503/MAX(K503:S503)))^(1/inputs!$O$13))-1)/inputs!$N$13, inputs!$I$17))</f>
        <v>18.93991730082233</v>
      </c>
      <c r="V503" s="54">
        <f>inputs!$E$70*(F503/inputs!$F$70)^(0.25)</f>
        <v>7.6185843776059556</v>
      </c>
      <c r="W503" s="54">
        <f>inputs!$E$76*(F503/inputs!$F$76)^(0.25)</f>
        <v>0.54777960302565054</v>
      </c>
      <c r="X503" s="54">
        <f>inputs!$E$72*(inputs!$F$72/F503)^(0.25)</f>
        <v>32.801369337662685</v>
      </c>
      <c r="Y503" s="54" t="s">
        <v>13</v>
      </c>
      <c r="Z503" s="106">
        <f t="shared" si="40"/>
        <v>27.098905325948927</v>
      </c>
      <c r="AA503" s="106">
        <f t="shared" si="41"/>
        <v>376.89482344020348</v>
      </c>
    </row>
    <row r="504" spans="1:27" ht="13.2" x14ac:dyDescent="0.25">
      <c r="A504" s="55" t="s">
        <v>609</v>
      </c>
      <c r="B504" s="49" t="s">
        <v>610</v>
      </c>
      <c r="C504" s="21" t="s">
        <v>61</v>
      </c>
      <c r="D504" s="20" t="s">
        <v>454</v>
      </c>
      <c r="E504" s="20">
        <v>6</v>
      </c>
      <c r="F504" s="21">
        <v>2100</v>
      </c>
      <c r="G504" s="21" t="s">
        <v>177</v>
      </c>
      <c r="H504" s="21">
        <v>0.85</v>
      </c>
      <c r="I504" s="68">
        <f>MAX('Max rate concentrations'!$F$3:$F$368)</f>
        <v>405</v>
      </c>
      <c r="J504" s="68">
        <f>MAX('Max rate concentrations'!Y:Y)</f>
        <v>135</v>
      </c>
      <c r="K504" s="70">
        <f t="shared" si="42"/>
        <v>162.58354620361658</v>
      </c>
      <c r="L504" s="70">
        <f t="shared" si="43"/>
        <v>54.194515401205528</v>
      </c>
      <c r="M504" s="70">
        <f>IF((((0.326*F504^0.818)-(0.398*F504^0.85)/(1-H504)*H504)*(MAX('Max rate concentrations'!$P$3:$P$368)))/F504&gt;0, (((0.326*F504^0.818)-(0.398*F504^0.85)/(1-H504)*H504)*(MAX('Max rate concentrations'!$P$3:$P$368)))/F504, 0)</f>
        <v>0</v>
      </c>
      <c r="N504" s="70">
        <f>IF((((0.326*F504^0.818)-(0.398*F504^0.85)/(1-H504)*H504)*(MAX('Max rate concentrations'!$Q$3:$Q$368)))/F504&gt; 0, (((0.326*F504^0.818)-(0.398*F504^0.85)/(1-H504)*H504)*(MAX('Max rate concentrations'!$Q$3:$Q$368)))/F504, 0)</f>
        <v>0</v>
      </c>
      <c r="O504" s="70">
        <f>((MAX('Max rate concentrations'!$F$3:$F$368))*0.62*6.01*8*(12.3*F504^0.65)*0.079*0.1/F504)*inputs!$E$73/inputs!$E$74</f>
        <v>18.609920749727259</v>
      </c>
      <c r="P504" s="70">
        <f>((MAX('Max rate concentrations'!Y:Y))*0.62*6.01*8*(12.3*F504^0.65)*0.079*0.1/F504)*inputs!$E$73/inputs!$E$74</f>
        <v>6.2033069165757535</v>
      </c>
      <c r="Q504" s="70">
        <f>(inputs!$C$18*11.2*(12.3*F504^0.65)*0.5/F504)*inputs!$E$73/inputs!$E$74</f>
        <v>3.2780497649200475</v>
      </c>
      <c r="R504" s="60">
        <f>(60*379*((F504/1000)^0.8)*3*24*(MAX('Max rate concentrations'!$R$3:$R$368))/F504)*(inputs!$E$73/inputs!$E$75)</f>
        <v>9.5166664796003594E-3</v>
      </c>
      <c r="S504" s="60">
        <f>(IF(inputs!$C$17="aerial",((0.025*0.112*inputs!$C$18/3.3)*(3*60*379*((F504/1000)^0.8))*MAX(inputs!$I$14:$I$16))/F504,((0.0083*0.112*inputs!$C$18/1)*(3*60*379*((F504/1000)^0.8))*MAX(inputs!$I$14:$I$16))/F504))*(inputs!E$75/inputs!$E$73)</f>
        <v>5.2485000322893917E-2</v>
      </c>
      <c r="T504" s="63">
        <f>IF((((inputs!$P$13/(V504/MAX(K504:S504)))^(1/inputs!$O$13))-1)/inputs!$N$13&lt;0, 0, IF((((inputs!$P$13/(V504/MAX(K504:S504)))^(1/inputs!$O$13))-1)/inputs!$N$13&lt;inputs!$I$17, (((inputs!$P$13/(V504/MAX(K504:S504)))^(1/inputs!$O$13))-1)/inputs!$N$13, inputs!$I$17))</f>
        <v>59.641989612656012</v>
      </c>
      <c r="U504" s="63">
        <f>IF((((inputs!$P$13/(X504/MAX(K504:S504)))^(1/inputs!$O$13))-1)/inputs!$N$13&lt;0, 0, IF((((inputs!$P$13/(X504/MAX(K504:S504)))^(1/inputs!$O$13))-1)/inputs!$N$13&lt;inputs!$I$17, (((inputs!$P$13/(X504/MAX(K504:S504)))^(1/inputs!$O$13))-1)/inputs!$N$13, inputs!$I$17))</f>
        <v>14.694443762183752</v>
      </c>
      <c r="V504" s="54">
        <f>inputs!$E$70*(F504/inputs!$F$70)^(0.25)</f>
        <v>7.6185843776059556</v>
      </c>
      <c r="W504" s="54">
        <f>inputs!$E$76*(F504/inputs!$F$76)^(0.25)</f>
        <v>0.54777960302565054</v>
      </c>
      <c r="X504" s="54">
        <f>inputs!$E$72*(inputs!$F$72/F504)^(0.25)</f>
        <v>32.801369337662685</v>
      </c>
      <c r="Y504" s="54" t="s">
        <v>13</v>
      </c>
      <c r="Z504" s="106">
        <f t="shared" si="40"/>
        <v>21.340387944184773</v>
      </c>
      <c r="AA504" s="106">
        <f t="shared" si="41"/>
        <v>296.80467345916014</v>
      </c>
    </row>
    <row r="505" spans="1:27" ht="13.2" x14ac:dyDescent="0.25">
      <c r="A505" s="55" t="s">
        <v>609</v>
      </c>
      <c r="B505" s="49" t="s">
        <v>610</v>
      </c>
      <c r="C505" s="21" t="s">
        <v>61</v>
      </c>
      <c r="D505" s="20" t="s">
        <v>454</v>
      </c>
      <c r="E505" s="20">
        <v>6</v>
      </c>
      <c r="F505" s="21">
        <v>2100</v>
      </c>
      <c r="G505" s="21" t="s">
        <v>456</v>
      </c>
      <c r="H505" s="21">
        <v>0.68</v>
      </c>
      <c r="I505" s="68">
        <f>MAX('Max rate concentrations'!$J$3:$J$368)</f>
        <v>686.46486205830786</v>
      </c>
      <c r="J505" s="68">
        <f>MAX('Max rate concentrations'!AB:AB)</f>
        <v>243.122971978984</v>
      </c>
      <c r="K505" s="70">
        <f t="shared" si="42"/>
        <v>129.17580048335211</v>
      </c>
      <c r="L505" s="70">
        <f t="shared" si="43"/>
        <v>45.749762671187199</v>
      </c>
      <c r="M505" s="70">
        <f>IF((((0.326*F505^0.818)-(0.398*F505^0.85)/(1-H505)*H505)*(MAX('Max rate concentrations'!$P$3:$P$368)))/F505&gt;0, (((0.326*F505^0.818)-(0.398*F505^0.85)/(1-H505)*H505)*(MAX('Max rate concentrations'!$P$3:$P$368)))/F505, 0)</f>
        <v>0</v>
      </c>
      <c r="N505" s="70">
        <f>IF((((0.326*F505^0.818)-(0.398*F505^0.85)/(1-H505)*H505)*(MAX('Max rate concentrations'!$Q$3:$Q$368)))/F505&gt; 0, (((0.326*F505^0.818)-(0.398*F505^0.85)/(1-H505)*H505)*(MAX('Max rate concentrations'!$Q$3:$Q$368)))/F505, 0)</f>
        <v>0</v>
      </c>
      <c r="O505" s="70">
        <f>((MAX('Max rate concentrations'!$F$3:$F$368))*0.62*6.01*8*(12.3*F505^0.65)*0.079*0.1/F505)*inputs!$E$73/inputs!$E$74</f>
        <v>18.609920749727259</v>
      </c>
      <c r="P505" s="70">
        <f>((MAX('Max rate concentrations'!Y:Y))*0.62*6.01*8*(12.3*F505^0.65)*0.079*0.1/F505)*inputs!$E$73/inputs!$E$74</f>
        <v>6.2033069165757535</v>
      </c>
      <c r="Q505" s="70">
        <f>(inputs!$C$18*11.2*(12.3*F505^0.65)*0.5/F505)*inputs!$E$73/inputs!$E$74</f>
        <v>3.2780497649200475</v>
      </c>
      <c r="R505" s="60">
        <f>(60*379*((F505/1000)^0.8)*3*24*(MAX('Max rate concentrations'!$R$3:$R$368))/F505)*(inputs!$E$73/inputs!$E$75)</f>
        <v>9.5166664796003594E-3</v>
      </c>
      <c r="S505" s="60">
        <f>(IF(inputs!$C$17="aerial",((0.025*0.112*inputs!$C$18/3.3)*(3*60*379*((F505/1000)^0.8))*MAX(inputs!$I$14:$I$16))/F505,((0.0083*0.112*inputs!$C$18/1)*(3*60*379*((F505/1000)^0.8))*MAX(inputs!$I$14:$I$16))/F505))*(inputs!E$75/inputs!$E$73)</f>
        <v>5.2485000322893917E-2</v>
      </c>
      <c r="T505" s="63">
        <f>IF((((inputs!$P$13/(V505/MAX(K505:S505)))^(1/inputs!$O$13))-1)/inputs!$N$13&lt;0, 0, IF((((inputs!$P$13/(V505/MAX(K505:S505)))^(1/inputs!$O$13))-1)/inputs!$N$13&lt;inputs!$I$17, (((inputs!$P$13/(V505/MAX(K505:S505)))^(1/inputs!$O$13))-1)/inputs!$N$13, inputs!$I$17))</f>
        <v>48.63150159100087</v>
      </c>
      <c r="U505" s="63">
        <f>IF((((inputs!$P$13/(X505/MAX(K505:S505)))^(1/inputs!$O$13))-1)/inputs!$N$13&lt;0, 0, IF((((inputs!$P$13/(X505/MAX(K505:S505)))^(1/inputs!$O$13))-1)/inputs!$N$13&lt;inputs!$I$17, (((inputs!$P$13/(X505/MAX(K505:S505)))^(1/inputs!$O$13))-1)/inputs!$N$13, inputs!$I$17))</f>
        <v>11.313046791801042</v>
      </c>
      <c r="V505" s="54">
        <f>inputs!$E$70*(F505/inputs!$F$70)^(0.25)</f>
        <v>7.6185843776059556</v>
      </c>
      <c r="W505" s="54">
        <f>inputs!$E$76*(F505/inputs!$F$76)^(0.25)</f>
        <v>0.54777960302565054</v>
      </c>
      <c r="X505" s="54">
        <f>inputs!$E$72*(inputs!$F$72/F505)^(0.25)</f>
        <v>32.801369337662685</v>
      </c>
      <c r="Y505" s="54" t="s">
        <v>13</v>
      </c>
      <c r="Z505" s="106">
        <f t="shared" si="40"/>
        <v>16.955354706453218</v>
      </c>
      <c r="AA505" s="106">
        <f t="shared" si="41"/>
        <v>235.81710558380041</v>
      </c>
    </row>
    <row r="506" spans="1:27" ht="13.2" x14ac:dyDescent="0.25">
      <c r="A506" s="55" t="s">
        <v>596</v>
      </c>
      <c r="B506" s="49" t="s">
        <v>597</v>
      </c>
      <c r="C506" s="21" t="s">
        <v>61</v>
      </c>
      <c r="D506" s="20" t="s">
        <v>454</v>
      </c>
      <c r="E506" s="20">
        <v>1236</v>
      </c>
      <c r="F506" s="21">
        <v>1400</v>
      </c>
      <c r="G506" s="21" t="s">
        <v>182</v>
      </c>
      <c r="H506" s="21">
        <v>0.85</v>
      </c>
      <c r="I506" s="68">
        <f>MAX('Max rate concentrations'!$M$3:$M$368)</f>
        <v>17.092910873809167</v>
      </c>
      <c r="J506" s="68">
        <f>MAX('Max rate concentrations'!AE:AE)</f>
        <v>11.81956602976166</v>
      </c>
      <c r="K506" s="70">
        <f t="shared" si="42"/>
        <v>7.3753365201714898</v>
      </c>
      <c r="L506" s="70">
        <f t="shared" si="43"/>
        <v>5.099966742671775</v>
      </c>
      <c r="M506" s="70">
        <f>IF((((0.326*F506^0.818)-(0.398*F506^0.85)/(1-H506)*H506)*(MAX('Max rate concentrations'!$P$3:$P$368)))/F506&gt;0, (((0.326*F506^0.818)-(0.398*F506^0.85)/(1-H506)*H506)*(MAX('Max rate concentrations'!$P$3:$P$368)))/F506, 0)</f>
        <v>0</v>
      </c>
      <c r="N506" s="70">
        <f>IF((((0.326*F506^0.818)-(0.398*F506^0.85)/(1-H506)*H506)*(MAX('Max rate concentrations'!$Q$3:$Q$368)))/F506&gt; 0, (((0.326*F506^0.818)-(0.398*F506^0.85)/(1-H506)*H506)*(MAX('Max rate concentrations'!$Q$3:$Q$368)))/F506, 0)</f>
        <v>0</v>
      </c>
      <c r="O506" s="70">
        <f>((MAX('Max rate concentrations'!$F$3:$F$368))*0.62*6.01*8*(12.3*F506^0.65)*0.079*0.1/F506)*inputs!$E$73/inputs!$E$74</f>
        <v>21.447489523759263</v>
      </c>
      <c r="P506" s="70">
        <f>((MAX('Max rate concentrations'!Y:Y))*0.62*6.01*8*(12.3*F506^0.65)*0.079*0.1/F506)*inputs!$E$73/inputs!$E$74</f>
        <v>7.1491631745864215</v>
      </c>
      <c r="Q506" s="70">
        <f>(inputs!$C$18*11.2*(12.3*F506^0.65)*0.5/F506)*inputs!$E$73/inputs!$E$74</f>
        <v>3.7778741208510853</v>
      </c>
      <c r="R506" s="60">
        <f>(60*379*((F506/1000)^0.8)*3*24*(MAX('Max rate concentrations'!$R$3:$R$368))/F506)*(inputs!$E$73/inputs!$E$75)</f>
        <v>1.0320556153029972E-2</v>
      </c>
      <c r="S506" s="60">
        <f>(IF(inputs!$C$17="aerial",((0.025*0.112*inputs!$C$18/3.3)*(3*60*379*((F506/1000)^0.8))*MAX(inputs!$I$14:$I$16))/F506,((0.0083*0.112*inputs!$C$18/1)*(3*60*379*((F506/1000)^0.8))*MAX(inputs!$I$14:$I$16))/F506))*(inputs!E$75/inputs!$E$73)</f>
        <v>5.6918501261480535E-2</v>
      </c>
      <c r="T506" s="63">
        <f>IF((((inputs!$P$13/(V506/MAX(K506:S506)))^(1/inputs!$O$13))-1)/inputs!$N$13&lt;0, 0, IF((((inputs!$P$13/(V506/MAX(K506:S506)))^(1/inputs!$O$13))-1)/inputs!$N$13&lt;inputs!$I$17, (((inputs!$P$13/(V506/MAX(K506:S506)))^(1/inputs!$O$13))-1)/inputs!$N$13, inputs!$I$17))</f>
        <v>8.4578817912954509</v>
      </c>
      <c r="U506" s="63">
        <f>IF((((inputs!$P$13/(X506/MAX(K506:S506)))^(1/inputs!$O$13))-1)/inputs!$N$13&lt;0, 0, IF((((inputs!$P$13/(X506/MAX(K506:S506)))^(1/inputs!$O$13))-1)/inputs!$N$13&lt;inputs!$I$17, (((inputs!$P$13/(X506/MAX(K506:S506)))^(1/inputs!$O$13))-1)/inputs!$N$13, inputs!$I$17))</f>
        <v>0</v>
      </c>
      <c r="V506" s="54">
        <f>inputs!$E$70*(F506/inputs!$F$70)^(0.25)</f>
        <v>6.8841681082754063</v>
      </c>
      <c r="W506" s="54">
        <f>inputs!$E$76*(F506/inputs!$F$76)^(0.25)</f>
        <v>0.49497474683058318</v>
      </c>
      <c r="X506" s="54">
        <f>inputs!$E$72*(inputs!$F$72/F506)^(0.25)</f>
        <v>36.300682387403803</v>
      </c>
      <c r="Y506" s="54" t="s">
        <v>13</v>
      </c>
      <c r="Z506" s="106">
        <f t="shared" si="40"/>
        <v>3.1154802129217907</v>
      </c>
      <c r="AA506" s="106">
        <f t="shared" si="41"/>
        <v>43.33047223336461</v>
      </c>
    </row>
    <row r="507" spans="1:27" ht="13.2" x14ac:dyDescent="0.25">
      <c r="A507" s="55" t="s">
        <v>596</v>
      </c>
      <c r="B507" s="49" t="s">
        <v>597</v>
      </c>
      <c r="C507" s="21" t="s">
        <v>61</v>
      </c>
      <c r="D507" s="20" t="s">
        <v>454</v>
      </c>
      <c r="E507" s="20">
        <v>1236</v>
      </c>
      <c r="F507" s="21">
        <v>1400</v>
      </c>
      <c r="G507" s="21" t="s">
        <v>142</v>
      </c>
      <c r="H507" s="21">
        <v>0.69</v>
      </c>
      <c r="I507" s="68">
        <f>MAX('Max rate concentrations'!$H$3:$H$368)</f>
        <v>282</v>
      </c>
      <c r="J507" s="68">
        <f>MAX('Max rate concentrations'!AA:AA)</f>
        <v>195</v>
      </c>
      <c r="K507" s="70">
        <f t="shared" si="42"/>
        <v>58.876839135895686</v>
      </c>
      <c r="L507" s="70">
        <f t="shared" si="43"/>
        <v>40.71270791311936</v>
      </c>
      <c r="M507" s="70">
        <f>IF((((0.326*F507^0.818)-(0.398*F507^0.85)/(1-H507)*H507)*(MAX('Max rate concentrations'!$P$3:$P$368)))/F507&gt;0, (((0.326*F507^0.818)-(0.398*F507^0.85)/(1-H507)*H507)*(MAX('Max rate concentrations'!$P$3:$P$368)))/F507, 0)</f>
        <v>0</v>
      </c>
      <c r="N507" s="70">
        <f>IF((((0.326*F507^0.818)-(0.398*F507^0.85)/(1-H507)*H507)*(MAX('Max rate concentrations'!$Q$3:$Q$368)))/F507&gt; 0, (((0.326*F507^0.818)-(0.398*F507^0.85)/(1-H507)*H507)*(MAX('Max rate concentrations'!$Q$3:$Q$368)))/F507, 0)</f>
        <v>0</v>
      </c>
      <c r="O507" s="70">
        <f>((MAX('Max rate concentrations'!$F$3:$F$368))*0.62*6.01*8*(12.3*F507^0.65)*0.079*0.1/F507)*inputs!$E$73/inputs!$E$74</f>
        <v>21.447489523759263</v>
      </c>
      <c r="P507" s="70">
        <f>((MAX('Max rate concentrations'!Y:Y))*0.62*6.01*8*(12.3*F507^0.65)*0.079*0.1/F507)*inputs!$E$73/inputs!$E$74</f>
        <v>7.1491631745864215</v>
      </c>
      <c r="Q507" s="70">
        <f>(inputs!$C$18*11.2*(12.3*F507^0.65)*0.5/F507)*inputs!$E$73/inputs!$E$74</f>
        <v>3.7778741208510853</v>
      </c>
      <c r="R507" s="60">
        <f>(60*379*((F507/1000)^0.8)*3*24*(MAX('Max rate concentrations'!$R$3:$R$368))/F507)*(inputs!$E$73/inputs!$E$75)</f>
        <v>1.0320556153029972E-2</v>
      </c>
      <c r="S507" s="60">
        <f>(IF(inputs!$C$17="aerial",((0.025*0.112*inputs!$C$18/3.3)*(3*60*379*((F507/1000)^0.8))*MAX(inputs!$I$14:$I$16))/F507,((0.0083*0.112*inputs!$C$18/1)*(3*60*379*((F507/1000)^0.8))*MAX(inputs!$I$14:$I$16))/F507))*(inputs!E$75/inputs!$E$73)</f>
        <v>5.6918501261480535E-2</v>
      </c>
      <c r="T507" s="63">
        <f>IF((((inputs!$P$13/(V507/MAX(K507:S507)))^(1/inputs!$O$13))-1)/inputs!$N$13&lt;0, 0, IF((((inputs!$P$13/(V507/MAX(K507:S507)))^(1/inputs!$O$13))-1)/inputs!$N$13&lt;inputs!$I$17, (((inputs!$P$13/(V507/MAX(K507:S507)))^(1/inputs!$O$13))-1)/inputs!$N$13, inputs!$I$17))</f>
        <v>25.740369649833113</v>
      </c>
      <c r="U507" s="63">
        <f>IF((((inputs!$P$13/(X507/MAX(K507:S507)))^(1/inputs!$O$13))-1)/inputs!$N$13&lt;0, 0, IF((((inputs!$P$13/(X507/MAX(K507:S507)))^(1/inputs!$O$13))-1)/inputs!$N$13&lt;inputs!$I$17, (((inputs!$P$13/(X507/MAX(K507:S507)))^(1/inputs!$O$13))-1)/inputs!$N$13, inputs!$I$17))</f>
        <v>2.8449519760082627</v>
      </c>
      <c r="V507" s="54">
        <f>inputs!$E$70*(F507/inputs!$F$70)^(0.25)</f>
        <v>6.8841681082754063</v>
      </c>
      <c r="W507" s="54">
        <f>inputs!$E$76*(F507/inputs!$F$76)^(0.25)</f>
        <v>0.49497474683058318</v>
      </c>
      <c r="X507" s="54">
        <f>inputs!$E$72*(inputs!$F$72/F507)^(0.25)</f>
        <v>36.300682387403803</v>
      </c>
      <c r="Y507" s="54" t="s">
        <v>13</v>
      </c>
      <c r="Z507" s="106">
        <f t="shared" si="40"/>
        <v>8.5524987492853768</v>
      </c>
      <c r="AA507" s="106">
        <f t="shared" si="41"/>
        <v>118.94917773663245</v>
      </c>
    </row>
    <row r="508" spans="1:27" ht="13.2" x14ac:dyDescent="0.25">
      <c r="A508" s="55" t="s">
        <v>596</v>
      </c>
      <c r="B508" s="49" t="s">
        <v>597</v>
      </c>
      <c r="C508" s="21" t="s">
        <v>61</v>
      </c>
      <c r="D508" s="20" t="s">
        <v>454</v>
      </c>
      <c r="E508" s="20">
        <v>1236</v>
      </c>
      <c r="F508" s="21">
        <v>1400</v>
      </c>
      <c r="G508" s="21" t="s">
        <v>164</v>
      </c>
      <c r="H508" s="21">
        <v>0.78</v>
      </c>
      <c r="I508" s="68">
        <f>inputs!$C$66*(inputs!$C$62/1000)</f>
        <v>8.2000000000000011</v>
      </c>
      <c r="J508" s="68">
        <f>inputs!$C$66*(inputs!$C$61/1000)</f>
        <v>2.5</v>
      </c>
      <c r="K508" s="70">
        <f t="shared" si="42"/>
        <v>2.4123940213321546</v>
      </c>
      <c r="L508" s="70">
        <f t="shared" si="43"/>
        <v>0.73548598211346172</v>
      </c>
      <c r="M508" s="70">
        <f>IF((((0.326*F508^0.818)-(0.398*F508^0.85)/(1-H508)*H508)*(MAX('Max rate concentrations'!$P$3:$P$368)))/F508&gt;0, (((0.326*F508^0.818)-(0.398*F508^0.85)/(1-H508)*H508)*(MAX('Max rate concentrations'!$P$3:$P$368)))/F508, 0)</f>
        <v>0</v>
      </c>
      <c r="N508" s="70">
        <f>IF((((0.326*F508^0.818)-(0.398*F508^0.85)/(1-H508)*H508)*(MAX('Max rate concentrations'!$Q$3:$Q$368)))/F508&gt; 0, (((0.326*F508^0.818)-(0.398*F508^0.85)/(1-H508)*H508)*(MAX('Max rate concentrations'!$Q$3:$Q$368)))/F508, 0)</f>
        <v>0</v>
      </c>
      <c r="O508" s="70">
        <f>((MAX('Max rate concentrations'!$F$3:$F$368))*0.62*6.01*8*(12.3*F508^0.65)*0.079*0.1/F508)*inputs!$E$73/inputs!$E$74</f>
        <v>21.447489523759263</v>
      </c>
      <c r="P508" s="70">
        <f>((MAX('Max rate concentrations'!Y:Y))*0.62*6.01*8*(12.3*F508^0.65)*0.079*0.1/F508)*inputs!$E$73/inputs!$E$74</f>
        <v>7.1491631745864215</v>
      </c>
      <c r="Q508" s="70">
        <f>(inputs!$C$18*11.2*(12.3*F508^0.65)*0.5/F508)*inputs!$E$73/inputs!$E$74</f>
        <v>3.7778741208510853</v>
      </c>
      <c r="R508" s="60">
        <f>(60*379*((F508/1000)^0.8)*3*24*(MAX('Max rate concentrations'!$R$3:$R$368))/F508)*(inputs!$E$73/inputs!$E$75)</f>
        <v>1.0320556153029972E-2</v>
      </c>
      <c r="S508" s="60">
        <f>(IF(inputs!$C$17="aerial",((0.025*0.112*inputs!$C$18/3.3)*(3*60*379*((F508/1000)^0.8))*MAX(inputs!$I$14:$I$16))/F508,((0.0083*0.112*inputs!$C$18/1)*(3*60*379*((F508/1000)^0.8))*MAX(inputs!$I$14:$I$16))/F508))*(inputs!E$75/inputs!$E$73)</f>
        <v>5.6918501261480535E-2</v>
      </c>
      <c r="T508" s="63">
        <f>IF((((inputs!$P$13/(V508/MAX(K508:S508)))^(1/inputs!$O$13))-1)/inputs!$N$13&lt;0, 0, IF((((inputs!$P$13/(V508/MAX(K508:S508)))^(1/inputs!$O$13))-1)/inputs!$N$13&lt;inputs!$I$17, (((inputs!$P$13/(V508/MAX(K508:S508)))^(1/inputs!$O$13))-1)/inputs!$N$13, inputs!$I$17))</f>
        <v>8.4578817912954509</v>
      </c>
      <c r="U508" s="63">
        <f>IF((((inputs!$P$13/(X508/MAX(K508:S508)))^(1/inputs!$O$13))-1)/inputs!$N$13&lt;0, 0, IF((((inputs!$P$13/(X508/MAX(K508:S508)))^(1/inputs!$O$13))-1)/inputs!$N$13&lt;inputs!$I$17, (((inputs!$P$13/(X508/MAX(K508:S508)))^(1/inputs!$O$13))-1)/inputs!$N$13, inputs!$I$17))</f>
        <v>0</v>
      </c>
      <c r="V508" s="54">
        <f>inputs!$E$70*(F508/inputs!$F$70)^(0.25)</f>
        <v>6.8841681082754063</v>
      </c>
      <c r="W508" s="54">
        <f>inputs!$E$76*(F508/inputs!$F$76)^(0.25)</f>
        <v>0.49497474683058318</v>
      </c>
      <c r="X508" s="54">
        <f>inputs!$E$72*(inputs!$F$72/F508)^(0.25)</f>
        <v>36.300682387403803</v>
      </c>
      <c r="Y508" s="54" t="s">
        <v>13</v>
      </c>
      <c r="Z508" s="106">
        <f t="shared" si="40"/>
        <v>3.1154802129217907</v>
      </c>
      <c r="AA508" s="106">
        <f t="shared" si="41"/>
        <v>43.33047223336461</v>
      </c>
    </row>
    <row r="509" spans="1:27" ht="13.2" x14ac:dyDescent="0.25">
      <c r="A509" s="55" t="s">
        <v>596</v>
      </c>
      <c r="B509" s="49" t="s">
        <v>597</v>
      </c>
      <c r="C509" s="21" t="s">
        <v>61</v>
      </c>
      <c r="D509" s="20" t="s">
        <v>454</v>
      </c>
      <c r="E509" s="20">
        <v>1236</v>
      </c>
      <c r="F509" s="21">
        <v>1400</v>
      </c>
      <c r="G509" s="21" t="s">
        <v>138</v>
      </c>
      <c r="H509" s="21">
        <v>0.68</v>
      </c>
      <c r="I509" s="68">
        <f>MAX('Max rate concentrations'!$L$3:$L$368)</f>
        <v>350.52744091332482</v>
      </c>
      <c r="J509" s="68">
        <f>MAX('Max rate concentrations'!AD:AD)</f>
        <v>242.38599637623525</v>
      </c>
      <c r="K509" s="70">
        <f t="shared" si="42"/>
        <v>70.897205262910163</v>
      </c>
      <c r="L509" s="70">
        <f t="shared" si="43"/>
        <v>49.024663213714476</v>
      </c>
      <c r="M509" s="70">
        <f>IF((((0.326*F509^0.818)-(0.398*F509^0.85)/(1-H509)*H509)*(MAX('Max rate concentrations'!$P$3:$P$368)))/F509&gt;0, (((0.326*F509^0.818)-(0.398*F509^0.85)/(1-H509)*H509)*(MAX('Max rate concentrations'!$P$3:$P$368)))/F509, 0)</f>
        <v>0</v>
      </c>
      <c r="N509" s="70">
        <f>IF((((0.326*F509^0.818)-(0.398*F509^0.85)/(1-H509)*H509)*(MAX('Max rate concentrations'!$Q$3:$Q$368)))/F509&gt; 0, (((0.326*F509^0.818)-(0.398*F509^0.85)/(1-H509)*H509)*(MAX('Max rate concentrations'!$Q$3:$Q$368)))/F509, 0)</f>
        <v>0</v>
      </c>
      <c r="O509" s="70">
        <f>((MAX('Max rate concentrations'!$F$3:$F$368))*0.62*6.01*8*(12.3*F509^0.65)*0.079*0.1/F509)*inputs!$E$73/inputs!$E$74</f>
        <v>21.447489523759263</v>
      </c>
      <c r="P509" s="70">
        <f>((MAX('Max rate concentrations'!Y:Y))*0.62*6.01*8*(12.3*F509^0.65)*0.079*0.1/F509)*inputs!$E$73/inputs!$E$74</f>
        <v>7.1491631745864215</v>
      </c>
      <c r="Q509" s="70">
        <f>(inputs!$C$18*11.2*(12.3*F509^0.65)*0.5/F509)*inputs!$E$73/inputs!$E$74</f>
        <v>3.7778741208510853</v>
      </c>
      <c r="R509" s="60">
        <f>(60*379*((F509/1000)^0.8)*3*24*(MAX('Max rate concentrations'!$R$3:$R$368))/F509)*(inputs!$E$73/inputs!$E$75)</f>
        <v>1.0320556153029972E-2</v>
      </c>
      <c r="S509" s="60">
        <f>(IF(inputs!$C$17="aerial",((0.025*0.112*inputs!$C$18/3.3)*(3*60*379*((F509/1000)^0.8))*MAX(inputs!$I$14:$I$16))/F509,((0.0083*0.112*inputs!$C$18/1)*(3*60*379*((F509/1000)^0.8))*MAX(inputs!$I$14:$I$16))/F509))*(inputs!E$75/inputs!$E$73)</f>
        <v>5.6918501261480535E-2</v>
      </c>
      <c r="T509" s="63">
        <f>IF((((inputs!$P$13/(V509/MAX(K509:S509)))^(1/inputs!$O$13))-1)/inputs!$N$13&lt;0, 0, IF((((inputs!$P$13/(V509/MAX(K509:S509)))^(1/inputs!$O$13))-1)/inputs!$N$13&lt;inputs!$I$17, (((inputs!$P$13/(V509/MAX(K509:S509)))^(1/inputs!$O$13))-1)/inputs!$N$13, inputs!$I$17))</f>
        <v>30.760546345626882</v>
      </c>
      <c r="U509" s="63">
        <f>IF((((inputs!$P$13/(X509/MAX(K509:S509)))^(1/inputs!$O$13))-1)/inputs!$N$13&lt;0, 0, IF((((inputs!$P$13/(X509/MAX(K509:S509)))^(1/inputs!$O$13))-1)/inputs!$N$13&lt;inputs!$I$17, (((inputs!$P$13/(X509/MAX(K509:S509)))^(1/inputs!$O$13))-1)/inputs!$N$13, inputs!$I$17))</f>
        <v>4.1535577392731007</v>
      </c>
      <c r="V509" s="54">
        <f>inputs!$E$70*(F509/inputs!$F$70)^(0.25)</f>
        <v>6.8841681082754063</v>
      </c>
      <c r="W509" s="54">
        <f>inputs!$E$76*(F509/inputs!$F$76)^(0.25)</f>
        <v>0.49497474683058318</v>
      </c>
      <c r="X509" s="54">
        <f>inputs!$E$72*(inputs!$F$72/F509)^(0.25)</f>
        <v>36.300682387403803</v>
      </c>
      <c r="Y509" s="54" t="s">
        <v>13</v>
      </c>
      <c r="Z509" s="106">
        <f t="shared" si="40"/>
        <v>10.298587156476492</v>
      </c>
      <c r="AA509" s="106">
        <f t="shared" si="41"/>
        <v>143.23398459593821</v>
      </c>
    </row>
    <row r="510" spans="1:27" ht="13.2" x14ac:dyDescent="0.25">
      <c r="A510" s="55" t="s">
        <v>596</v>
      </c>
      <c r="B510" s="49" t="s">
        <v>597</v>
      </c>
      <c r="C510" s="21" t="s">
        <v>61</v>
      </c>
      <c r="D510" s="20" t="s">
        <v>454</v>
      </c>
      <c r="E510" s="20">
        <v>1236</v>
      </c>
      <c r="F510" s="21">
        <v>1400</v>
      </c>
      <c r="G510" s="21" t="s">
        <v>152</v>
      </c>
      <c r="H510" s="21">
        <v>0.77</v>
      </c>
      <c r="I510" s="68">
        <f>MAX('Max rate concentrations'!$G$3:$G$368)</f>
        <v>45</v>
      </c>
      <c r="J510" s="68">
        <f>MAX('Max rate concentrations'!Z:Z)</f>
        <v>21</v>
      </c>
      <c r="K510" s="70">
        <f t="shared" si="42"/>
        <v>12.663149952910036</v>
      </c>
      <c r="L510" s="70">
        <f t="shared" si="43"/>
        <v>5.909469978024684</v>
      </c>
      <c r="M510" s="70">
        <f>IF((((0.326*F510^0.818)-(0.398*F510^0.85)/(1-H510)*H510)*(MAX('Max rate concentrations'!$P$3:$P$368)))/F510&gt;0, (((0.326*F510^0.818)-(0.398*F510^0.85)/(1-H510)*H510)*(MAX('Max rate concentrations'!$P$3:$P$368)))/F510, 0)</f>
        <v>0</v>
      </c>
      <c r="N510" s="70">
        <f>IF((((0.326*F510^0.818)-(0.398*F510^0.85)/(1-H510)*H510)*(MAX('Max rate concentrations'!$Q$3:$Q$368)))/F510&gt; 0, (((0.326*F510^0.818)-(0.398*F510^0.85)/(1-H510)*H510)*(MAX('Max rate concentrations'!$Q$3:$Q$368)))/F510, 0)</f>
        <v>0</v>
      </c>
      <c r="O510" s="70">
        <f>((MAX('Max rate concentrations'!$F$3:$F$368))*0.62*6.01*8*(12.3*F510^0.65)*0.079*0.1/F510)*inputs!$E$73/inputs!$E$74</f>
        <v>21.447489523759263</v>
      </c>
      <c r="P510" s="70">
        <f>((MAX('Max rate concentrations'!Y:Y))*0.62*6.01*8*(12.3*F510^0.65)*0.079*0.1/F510)*inputs!$E$73/inputs!$E$74</f>
        <v>7.1491631745864215</v>
      </c>
      <c r="Q510" s="70">
        <f>(inputs!$C$18*11.2*(12.3*F510^0.65)*0.5/F510)*inputs!$E$73/inputs!$E$74</f>
        <v>3.7778741208510853</v>
      </c>
      <c r="R510" s="60">
        <f>(60*379*((F510/1000)^0.8)*3*24*(MAX('Max rate concentrations'!$R$3:$R$368))/F510)*(inputs!$E$73/inputs!$E$75)</f>
        <v>1.0320556153029972E-2</v>
      </c>
      <c r="S510" s="60">
        <f>(IF(inputs!$C$17="aerial",((0.025*0.112*inputs!$C$18/3.3)*(3*60*379*((F510/1000)^0.8))*MAX(inputs!$I$14:$I$16))/F510,((0.0083*0.112*inputs!$C$18/1)*(3*60*379*((F510/1000)^0.8))*MAX(inputs!$I$14:$I$16))/F510))*(inputs!E$75/inputs!$E$73)</f>
        <v>5.6918501261480535E-2</v>
      </c>
      <c r="T510" s="63">
        <f>IF((((inputs!$P$13/(V510/MAX(K510:S510)))^(1/inputs!$O$13))-1)/inputs!$N$13&lt;0, 0, IF((((inputs!$P$13/(V510/MAX(K510:S510)))^(1/inputs!$O$13))-1)/inputs!$N$13&lt;inputs!$I$17, (((inputs!$P$13/(V510/MAX(K510:S510)))^(1/inputs!$O$13))-1)/inputs!$N$13, inputs!$I$17))</f>
        <v>8.4578817912954509</v>
      </c>
      <c r="U510" s="63">
        <f>IF((((inputs!$P$13/(X510/MAX(K510:S510)))^(1/inputs!$O$13))-1)/inputs!$N$13&lt;0, 0, IF((((inputs!$P$13/(X510/MAX(K510:S510)))^(1/inputs!$O$13))-1)/inputs!$N$13&lt;inputs!$I$17, (((inputs!$P$13/(X510/MAX(K510:S510)))^(1/inputs!$O$13))-1)/inputs!$N$13, inputs!$I$17))</f>
        <v>0</v>
      </c>
      <c r="V510" s="54">
        <f>inputs!$E$70*(F510/inputs!$F$70)^(0.25)</f>
        <v>6.8841681082754063</v>
      </c>
      <c r="W510" s="54">
        <f>inputs!$E$76*(F510/inputs!$F$76)^(0.25)</f>
        <v>0.49497474683058318</v>
      </c>
      <c r="X510" s="54">
        <f>inputs!$E$72*(inputs!$F$72/F510)^(0.25)</f>
        <v>36.300682387403803</v>
      </c>
      <c r="Y510" s="54" t="s">
        <v>13</v>
      </c>
      <c r="Z510" s="106">
        <f t="shared" si="40"/>
        <v>3.1154802129217907</v>
      </c>
      <c r="AA510" s="106">
        <f t="shared" si="41"/>
        <v>43.33047223336461</v>
      </c>
    </row>
    <row r="511" spans="1:27" ht="13.2" x14ac:dyDescent="0.25">
      <c r="A511" s="55" t="s">
        <v>596</v>
      </c>
      <c r="B511" s="49" t="s">
        <v>597</v>
      </c>
      <c r="C511" s="21" t="s">
        <v>61</v>
      </c>
      <c r="D511" s="20" t="s">
        <v>454</v>
      </c>
      <c r="E511" s="20">
        <v>1236</v>
      </c>
      <c r="F511" s="21">
        <v>1400</v>
      </c>
      <c r="G511" s="21" t="s">
        <v>169</v>
      </c>
      <c r="H511" s="21">
        <v>0.79</v>
      </c>
      <c r="I511" s="68">
        <f>MAX('Max rate concentrations'!$D$3:$D$368)</f>
        <v>720</v>
      </c>
      <c r="J511" s="68">
        <f>MAX('Max rate concentrations'!W:W)</f>
        <v>255</v>
      </c>
      <c r="K511" s="70">
        <f t="shared" si="42"/>
        <v>221.90662774623306</v>
      </c>
      <c r="L511" s="70">
        <f t="shared" si="43"/>
        <v>78.591930660124206</v>
      </c>
      <c r="M511" s="70">
        <f>IF((((0.326*F511^0.818)-(0.398*F511^0.85)/(1-H511)*H511)*(MAX('Max rate concentrations'!$P$3:$P$368)))/F511&gt;0, (((0.326*F511^0.818)-(0.398*F511^0.85)/(1-H511)*H511)*(MAX('Max rate concentrations'!$P$3:$P$368)))/F511, 0)</f>
        <v>0</v>
      </c>
      <c r="N511" s="70">
        <f>IF((((0.326*F511^0.818)-(0.398*F511^0.85)/(1-H511)*H511)*(MAX('Max rate concentrations'!$Q$3:$Q$368)))/F511&gt; 0, (((0.326*F511^0.818)-(0.398*F511^0.85)/(1-H511)*H511)*(MAX('Max rate concentrations'!$Q$3:$Q$368)))/F511, 0)</f>
        <v>0</v>
      </c>
      <c r="O511" s="70">
        <f>((MAX('Max rate concentrations'!$F$3:$F$368))*0.62*6.01*8*(12.3*F511^0.65)*0.079*0.1/F511)*inputs!$E$73/inputs!$E$74</f>
        <v>21.447489523759263</v>
      </c>
      <c r="P511" s="70">
        <f>((MAX('Max rate concentrations'!Y:Y))*0.62*6.01*8*(12.3*F511^0.65)*0.079*0.1/F511)*inputs!$E$73/inputs!$E$74</f>
        <v>7.1491631745864215</v>
      </c>
      <c r="Q511" s="70">
        <f>(inputs!$C$18*11.2*(12.3*F511^0.65)*0.5/F511)*inputs!$E$73/inputs!$E$74</f>
        <v>3.7778741208510853</v>
      </c>
      <c r="R511" s="60">
        <f>(60*379*((F511/1000)^0.8)*3*24*(MAX('Max rate concentrations'!$R$3:$R$368))/F511)*(inputs!$E$73/inputs!$E$75)</f>
        <v>1.0320556153029972E-2</v>
      </c>
      <c r="S511" s="60">
        <f>(IF(inputs!$C$17="aerial",((0.025*0.112*inputs!$C$18/3.3)*(3*60*379*((F511/1000)^0.8))*MAX(inputs!$I$14:$I$16))/F511,((0.0083*0.112*inputs!$C$18/1)*(3*60*379*((F511/1000)^0.8))*MAX(inputs!$I$14:$I$16))/F511))*(inputs!E$75/inputs!$E$73)</f>
        <v>5.6918501261480535E-2</v>
      </c>
      <c r="T511" s="63">
        <f>IF((((inputs!$P$13/(V511/MAX(K511:S511)))^(1/inputs!$O$13))-1)/inputs!$N$13&lt;0, 0, IF((((inputs!$P$13/(V511/MAX(K511:S511)))^(1/inputs!$O$13))-1)/inputs!$N$13&lt;inputs!$I$17, (((inputs!$P$13/(V511/MAX(K511:S511)))^(1/inputs!$O$13))-1)/inputs!$N$13, inputs!$I$17))</f>
        <v>85.322034219376718</v>
      </c>
      <c r="U511" s="63">
        <f>IF((((inputs!$P$13/(X511/MAX(K511:S511)))^(1/inputs!$O$13))-1)/inputs!$N$13&lt;0, 0, IF((((inputs!$P$13/(X511/MAX(K511:S511)))^(1/inputs!$O$13))-1)/inputs!$N$13&lt;inputs!$I$17, (((inputs!$P$13/(X511/MAX(K511:S511)))^(1/inputs!$O$13))-1)/inputs!$N$13, inputs!$I$17))</f>
        <v>18.376060613268933</v>
      </c>
      <c r="V511" s="54">
        <f>inputs!$E$70*(F511/inputs!$F$70)^(0.25)</f>
        <v>6.8841681082754063</v>
      </c>
      <c r="W511" s="54">
        <f>inputs!$E$76*(F511/inputs!$F$76)^(0.25)</f>
        <v>0.49497474683058318</v>
      </c>
      <c r="X511" s="54">
        <f>inputs!$E$72*(inputs!$F$72/F511)^(0.25)</f>
        <v>36.300682387403803</v>
      </c>
      <c r="Y511" s="54" t="s">
        <v>13</v>
      </c>
      <c r="Z511" s="106">
        <f t="shared" si="40"/>
        <v>32.234341790619666</v>
      </c>
      <c r="AA511" s="106">
        <f t="shared" si="41"/>
        <v>448.31908934171514</v>
      </c>
    </row>
    <row r="512" spans="1:27" ht="13.2" x14ac:dyDescent="0.25">
      <c r="A512" s="55" t="s">
        <v>596</v>
      </c>
      <c r="B512" s="49" t="s">
        <v>597</v>
      </c>
      <c r="C512" s="21" t="s">
        <v>61</v>
      </c>
      <c r="D512" s="20" t="s">
        <v>454</v>
      </c>
      <c r="E512" s="20">
        <v>1236</v>
      </c>
      <c r="F512" s="21">
        <v>1400</v>
      </c>
      <c r="G512" s="21" t="s">
        <v>456</v>
      </c>
      <c r="H512" s="21">
        <v>0.68</v>
      </c>
      <c r="I512" s="68">
        <f>MAX('Max rate concentrations'!$J$3:$J$368)</f>
        <v>686.46486205830786</v>
      </c>
      <c r="J512" s="68">
        <f>MAX('Max rate concentrations'!AB:AB)</f>
        <v>243.122971978984</v>
      </c>
      <c r="K512" s="70">
        <f t="shared" si="42"/>
        <v>138.84345289576757</v>
      </c>
      <c r="L512" s="70">
        <f t="shared" si="43"/>
        <v>49.173722900584345</v>
      </c>
      <c r="M512" s="70">
        <f>IF((((0.326*F512^0.818)-(0.398*F512^0.85)/(1-H512)*H512)*(MAX('Max rate concentrations'!$P$3:$P$368)))/F512&gt;0, (((0.326*F512^0.818)-(0.398*F512^0.85)/(1-H512)*H512)*(MAX('Max rate concentrations'!$P$3:$P$368)))/F512, 0)</f>
        <v>0</v>
      </c>
      <c r="N512" s="70">
        <f>IF((((0.326*F512^0.818)-(0.398*F512^0.85)/(1-H512)*H512)*(MAX('Max rate concentrations'!$Q$3:$Q$368)))/F512&gt; 0, (((0.326*F512^0.818)-(0.398*F512^0.85)/(1-H512)*H512)*(MAX('Max rate concentrations'!$Q$3:$Q$368)))/F512, 0)</f>
        <v>0</v>
      </c>
      <c r="O512" s="70">
        <f>((MAX('Max rate concentrations'!$F$3:$F$368))*0.62*6.01*8*(12.3*F512^0.65)*0.079*0.1/F512)*inputs!$E$73/inputs!$E$74</f>
        <v>21.447489523759263</v>
      </c>
      <c r="P512" s="70">
        <f>((MAX('Max rate concentrations'!Y:Y))*0.62*6.01*8*(12.3*F512^0.65)*0.079*0.1/F512)*inputs!$E$73/inputs!$E$74</f>
        <v>7.1491631745864215</v>
      </c>
      <c r="Q512" s="70">
        <f>(inputs!$C$18*11.2*(12.3*F512^0.65)*0.5/F512)*inputs!$E$73/inputs!$E$74</f>
        <v>3.7778741208510853</v>
      </c>
      <c r="R512" s="60">
        <f>(60*379*((F512/1000)^0.8)*3*24*(MAX('Max rate concentrations'!$R$3:$R$368))/F512)*(inputs!$E$73/inputs!$E$75)</f>
        <v>1.0320556153029972E-2</v>
      </c>
      <c r="S512" s="60">
        <f>(IF(inputs!$C$17="aerial",((0.025*0.112*inputs!$C$18/3.3)*(3*60*379*((F512/1000)^0.8))*MAX(inputs!$I$14:$I$16))/F512,((0.0083*0.112*inputs!$C$18/1)*(3*60*379*((F512/1000)^0.8))*MAX(inputs!$I$14:$I$16))/F512))*(inputs!E$75/inputs!$E$73)</f>
        <v>5.6918501261480535E-2</v>
      </c>
      <c r="T512" s="63">
        <f>IF((((inputs!$P$13/(V512/MAX(K512:S512)))^(1/inputs!$O$13))-1)/inputs!$N$13&lt;0, 0, IF((((inputs!$P$13/(V512/MAX(K512:S512)))^(1/inputs!$O$13))-1)/inputs!$N$13&lt;inputs!$I$17, (((inputs!$P$13/(V512/MAX(K512:S512)))^(1/inputs!$O$13))-1)/inputs!$N$13, inputs!$I$17))</f>
        <v>56.745879974933395</v>
      </c>
      <c r="U512" s="63">
        <f>IF((((inputs!$P$13/(X512/MAX(K512:S512)))^(1/inputs!$O$13))-1)/inputs!$N$13&lt;0, 0, IF((((inputs!$P$13/(X512/MAX(K512:S512)))^(1/inputs!$O$13))-1)/inputs!$N$13&lt;inputs!$I$17, (((inputs!$P$13/(X512/MAX(K512:S512)))^(1/inputs!$O$13))-1)/inputs!$N$13, inputs!$I$17))</f>
        <v>10.927135525123035</v>
      </c>
      <c r="V512" s="54">
        <f>inputs!$E$70*(F512/inputs!$F$70)^(0.25)</f>
        <v>6.8841681082754063</v>
      </c>
      <c r="W512" s="54">
        <f>inputs!$E$76*(F512/inputs!$F$76)^(0.25)</f>
        <v>0.49497474683058318</v>
      </c>
      <c r="X512" s="54">
        <f>inputs!$E$72*(inputs!$F$72/F512)^(0.25)</f>
        <v>36.300682387403803</v>
      </c>
      <c r="Y512" s="54" t="s">
        <v>13</v>
      </c>
      <c r="Z512" s="106">
        <f t="shared" si="40"/>
        <v>20.168515746857622</v>
      </c>
      <c r="AA512" s="106">
        <f t="shared" si="41"/>
        <v>280.50613447414929</v>
      </c>
    </row>
    <row r="513" spans="1:27" ht="13.2" x14ac:dyDescent="0.25">
      <c r="A513" s="55" t="s">
        <v>596</v>
      </c>
      <c r="B513" s="49" t="s">
        <v>597</v>
      </c>
      <c r="C513" s="21" t="s">
        <v>61</v>
      </c>
      <c r="D513" s="20" t="s">
        <v>454</v>
      </c>
      <c r="E513" s="20">
        <v>1236</v>
      </c>
      <c r="F513" s="21">
        <v>1400</v>
      </c>
      <c r="G513" s="21" t="s">
        <v>145</v>
      </c>
      <c r="H513" s="21">
        <v>0.66</v>
      </c>
      <c r="I513" s="68">
        <f>MAX('Max rate concentrations'!$M$3:$M$368)</f>
        <v>17.092910873809167</v>
      </c>
      <c r="J513" s="68">
        <f>MAX('Max rate concentrations'!AE:AE)</f>
        <v>11.81956602976166</v>
      </c>
      <c r="K513" s="70">
        <f t="shared" si="42"/>
        <v>3.2538249353697757</v>
      </c>
      <c r="L513" s="70">
        <f t="shared" si="43"/>
        <v>2.2499853276493131</v>
      </c>
      <c r="M513" s="70">
        <f>IF((((0.326*F513^0.818)-(0.398*F513^0.85)/(1-H513)*H513)*(MAX('Max rate concentrations'!$P$3:$P$368)))/F513&gt;0, (((0.326*F513^0.818)-(0.398*F513^0.85)/(1-H513)*H513)*(MAX('Max rate concentrations'!$P$3:$P$368)))/F513, 0)</f>
        <v>0</v>
      </c>
      <c r="N513" s="70">
        <f>IF((((0.326*F513^0.818)-(0.398*F513^0.85)/(1-H513)*H513)*(MAX('Max rate concentrations'!$Q$3:$Q$368)))/F513&gt; 0, (((0.326*F513^0.818)-(0.398*F513^0.85)/(1-H513)*H513)*(MAX('Max rate concentrations'!$Q$3:$Q$368)))/F513, 0)</f>
        <v>0</v>
      </c>
      <c r="O513" s="70">
        <f>((MAX('Max rate concentrations'!$F$3:$F$368))*0.62*6.01*8*(12.3*F513^0.65)*0.079*0.1/F513)*inputs!$E$73/inputs!$E$74</f>
        <v>21.447489523759263</v>
      </c>
      <c r="P513" s="70">
        <f>((MAX('Max rate concentrations'!Y:Y))*0.62*6.01*8*(12.3*F513^0.65)*0.079*0.1/F513)*inputs!$E$73/inputs!$E$74</f>
        <v>7.1491631745864215</v>
      </c>
      <c r="Q513" s="70">
        <f>(inputs!$C$18*11.2*(12.3*F513^0.65)*0.5/F513)*inputs!$E$73/inputs!$E$74</f>
        <v>3.7778741208510853</v>
      </c>
      <c r="R513" s="60">
        <f>(60*379*((F513/1000)^0.8)*3*24*(MAX('Max rate concentrations'!$R$3:$R$368))/F513)*(inputs!$E$73/inputs!$E$75)</f>
        <v>1.0320556153029972E-2</v>
      </c>
      <c r="S513" s="60">
        <f>(IF(inputs!$C$17="aerial",((0.025*0.112*inputs!$C$18/3.3)*(3*60*379*((F513/1000)^0.8))*MAX(inputs!$I$14:$I$16))/F513,((0.0083*0.112*inputs!$C$18/1)*(3*60*379*((F513/1000)^0.8))*MAX(inputs!$I$14:$I$16))/F513))*(inputs!E$75/inputs!$E$73)</f>
        <v>5.6918501261480535E-2</v>
      </c>
      <c r="T513" s="63">
        <f>IF((((inputs!$P$13/(V513/MAX(K513:S513)))^(1/inputs!$O$13))-1)/inputs!$N$13&lt;0, 0, IF((((inputs!$P$13/(V513/MAX(K513:S513)))^(1/inputs!$O$13))-1)/inputs!$N$13&lt;inputs!$I$17, (((inputs!$P$13/(V513/MAX(K513:S513)))^(1/inputs!$O$13))-1)/inputs!$N$13, inputs!$I$17))</f>
        <v>8.4578817912954509</v>
      </c>
      <c r="U513" s="63">
        <f>IF((((inputs!$P$13/(X513/MAX(K513:S513)))^(1/inputs!$O$13))-1)/inputs!$N$13&lt;0, 0, IF((((inputs!$P$13/(X513/MAX(K513:S513)))^(1/inputs!$O$13))-1)/inputs!$N$13&lt;inputs!$I$17, (((inputs!$P$13/(X513/MAX(K513:S513)))^(1/inputs!$O$13))-1)/inputs!$N$13, inputs!$I$17))</f>
        <v>0</v>
      </c>
      <c r="V513" s="54">
        <f>inputs!$E$70*(F513/inputs!$F$70)^(0.25)</f>
        <v>6.8841681082754063</v>
      </c>
      <c r="W513" s="54">
        <f>inputs!$E$76*(F513/inputs!$F$76)^(0.25)</f>
        <v>0.49497474683058318</v>
      </c>
      <c r="X513" s="54">
        <f>inputs!$E$72*(inputs!$F$72/F513)^(0.25)</f>
        <v>36.300682387403803</v>
      </c>
      <c r="Y513" s="54" t="s">
        <v>13</v>
      </c>
      <c r="Z513" s="106">
        <f t="shared" si="40"/>
        <v>3.1154802129217907</v>
      </c>
      <c r="AA513" s="106">
        <f t="shared" si="41"/>
        <v>43.33047223336461</v>
      </c>
    </row>
    <row r="514" spans="1:27" ht="13.2" x14ac:dyDescent="0.25">
      <c r="A514" s="55" t="s">
        <v>594</v>
      </c>
      <c r="B514" s="49" t="s">
        <v>595</v>
      </c>
      <c r="C514" s="21" t="s">
        <v>61</v>
      </c>
      <c r="D514" s="20" t="s">
        <v>454</v>
      </c>
      <c r="E514" s="20">
        <v>1237</v>
      </c>
      <c r="F514" s="21">
        <v>1400</v>
      </c>
      <c r="G514" s="21" t="s">
        <v>182</v>
      </c>
      <c r="H514" s="21">
        <v>0.85</v>
      </c>
      <c r="I514" s="68">
        <f>MAX('Max rate concentrations'!$M$3:$M$368)</f>
        <v>17.092910873809167</v>
      </c>
      <c r="J514" s="68">
        <f>MAX('Max rate concentrations'!AE:AE)</f>
        <v>11.81956602976166</v>
      </c>
      <c r="K514" s="70">
        <f t="shared" si="42"/>
        <v>7.3753365201714898</v>
      </c>
      <c r="L514" s="70">
        <f t="shared" si="43"/>
        <v>5.099966742671775</v>
      </c>
      <c r="M514" s="70">
        <f>IF((((0.326*F514^0.818)-(0.398*F514^0.85)/(1-H514)*H514)*(MAX('Max rate concentrations'!$P$3:$P$368)))/F514&gt;0, (((0.326*F514^0.818)-(0.398*F514^0.85)/(1-H514)*H514)*(MAX('Max rate concentrations'!$P$3:$P$368)))/F514, 0)</f>
        <v>0</v>
      </c>
      <c r="N514" s="70">
        <f>IF((((0.326*F514^0.818)-(0.398*F514^0.85)/(1-H514)*H514)*(MAX('Max rate concentrations'!$Q$3:$Q$368)))/F514&gt; 0, (((0.326*F514^0.818)-(0.398*F514^0.85)/(1-H514)*H514)*(MAX('Max rate concentrations'!$Q$3:$Q$368)))/F514, 0)</f>
        <v>0</v>
      </c>
      <c r="O514" s="70">
        <f>((MAX('Max rate concentrations'!$F$3:$F$368))*0.62*6.01*8*(12.3*F514^0.65)*0.079*0.1/F514)*inputs!$E$73/inputs!$E$74</f>
        <v>21.447489523759263</v>
      </c>
      <c r="P514" s="70">
        <f>((MAX('Max rate concentrations'!Y:Y))*0.62*6.01*8*(12.3*F514^0.65)*0.079*0.1/F514)*inputs!$E$73/inputs!$E$74</f>
        <v>7.1491631745864215</v>
      </c>
      <c r="Q514" s="70">
        <f>(inputs!$C$18*11.2*(12.3*F514^0.65)*0.5/F514)*inputs!$E$73/inputs!$E$74</f>
        <v>3.7778741208510853</v>
      </c>
      <c r="R514" s="60">
        <f>(60*379*((F514/1000)^0.8)*3*24*(MAX('Max rate concentrations'!$R$3:$R$368))/F514)*(inputs!$E$73/inputs!$E$75)</f>
        <v>1.0320556153029972E-2</v>
      </c>
      <c r="S514" s="60">
        <f>(IF(inputs!$C$17="aerial",((0.025*0.112*inputs!$C$18/3.3)*(3*60*379*((F514/1000)^0.8))*MAX(inputs!$I$14:$I$16))/F514,((0.0083*0.112*inputs!$C$18/1)*(3*60*379*((F514/1000)^0.8))*MAX(inputs!$I$14:$I$16))/F514))*(inputs!E$75/inputs!$E$73)</f>
        <v>5.6918501261480535E-2</v>
      </c>
      <c r="T514" s="63">
        <f>IF((((inputs!$P$13/(V514/MAX(K514:S514)))^(1/inputs!$O$13))-1)/inputs!$N$13&lt;0, 0, IF((((inputs!$P$13/(V514/MAX(K514:S514)))^(1/inputs!$O$13))-1)/inputs!$N$13&lt;inputs!$I$17, (((inputs!$P$13/(V514/MAX(K514:S514)))^(1/inputs!$O$13))-1)/inputs!$N$13, inputs!$I$17))</f>
        <v>8.4578817912954509</v>
      </c>
      <c r="U514" s="63">
        <f>IF((((inputs!$P$13/(X514/MAX(K514:S514)))^(1/inputs!$O$13))-1)/inputs!$N$13&lt;0, 0, IF((((inputs!$P$13/(X514/MAX(K514:S514)))^(1/inputs!$O$13))-1)/inputs!$N$13&lt;inputs!$I$17, (((inputs!$P$13/(X514/MAX(K514:S514)))^(1/inputs!$O$13))-1)/inputs!$N$13, inputs!$I$17))</f>
        <v>0</v>
      </c>
      <c r="V514" s="54">
        <f>inputs!$E$70*(F514/inputs!$F$70)^(0.25)</f>
        <v>6.8841681082754063</v>
      </c>
      <c r="W514" s="54">
        <f>inputs!$E$76*(F514/inputs!$F$76)^(0.25)</f>
        <v>0.49497474683058318</v>
      </c>
      <c r="X514" s="54">
        <f>inputs!$E$72*(inputs!$F$72/F514)^(0.25)</f>
        <v>36.300682387403803</v>
      </c>
      <c r="Y514" s="54" t="s">
        <v>13</v>
      </c>
      <c r="Z514" s="106">
        <f t="shared" si="40"/>
        <v>3.1154802129217907</v>
      </c>
      <c r="AA514" s="106">
        <f t="shared" si="41"/>
        <v>43.33047223336461</v>
      </c>
    </row>
    <row r="515" spans="1:27" ht="13.2" x14ac:dyDescent="0.25">
      <c r="A515" s="55" t="s">
        <v>594</v>
      </c>
      <c r="B515" s="49" t="s">
        <v>595</v>
      </c>
      <c r="C515" s="21" t="s">
        <v>61</v>
      </c>
      <c r="D515" s="20" t="s">
        <v>454</v>
      </c>
      <c r="E515" s="20">
        <v>1237</v>
      </c>
      <c r="F515" s="21">
        <v>1400</v>
      </c>
      <c r="G515" s="21" t="s">
        <v>142</v>
      </c>
      <c r="H515" s="21">
        <v>0.69</v>
      </c>
      <c r="I515" s="68">
        <f>MAX('Max rate concentrations'!$H$3:$H$368)</f>
        <v>282</v>
      </c>
      <c r="J515" s="68">
        <f>MAX('Max rate concentrations'!AA:AA)</f>
        <v>195</v>
      </c>
      <c r="K515" s="70">
        <f t="shared" si="42"/>
        <v>58.876839135895686</v>
      </c>
      <c r="L515" s="70">
        <f t="shared" si="43"/>
        <v>40.71270791311936</v>
      </c>
      <c r="M515" s="70">
        <f>IF((((0.326*F515^0.818)-(0.398*F515^0.85)/(1-H515)*H515)*(MAX('Max rate concentrations'!$P$3:$P$368)))/F515&gt;0, (((0.326*F515^0.818)-(0.398*F515^0.85)/(1-H515)*H515)*(MAX('Max rate concentrations'!$P$3:$P$368)))/F515, 0)</f>
        <v>0</v>
      </c>
      <c r="N515" s="70">
        <f>IF((((0.326*F515^0.818)-(0.398*F515^0.85)/(1-H515)*H515)*(MAX('Max rate concentrations'!$Q$3:$Q$368)))/F515&gt; 0, (((0.326*F515^0.818)-(0.398*F515^0.85)/(1-H515)*H515)*(MAX('Max rate concentrations'!$Q$3:$Q$368)))/F515, 0)</f>
        <v>0</v>
      </c>
      <c r="O515" s="70">
        <f>((MAX('Max rate concentrations'!$F$3:$F$368))*0.62*6.01*8*(12.3*F515^0.65)*0.079*0.1/F515)*inputs!$E$73/inputs!$E$74</f>
        <v>21.447489523759263</v>
      </c>
      <c r="P515" s="70">
        <f>((MAX('Max rate concentrations'!Y:Y))*0.62*6.01*8*(12.3*F515^0.65)*0.079*0.1/F515)*inputs!$E$73/inputs!$E$74</f>
        <v>7.1491631745864215</v>
      </c>
      <c r="Q515" s="70">
        <f>(inputs!$C$18*11.2*(12.3*F515^0.65)*0.5/F515)*inputs!$E$73/inputs!$E$74</f>
        <v>3.7778741208510853</v>
      </c>
      <c r="R515" s="60">
        <f>(60*379*((F515/1000)^0.8)*3*24*(MAX('Max rate concentrations'!$R$3:$R$368))/F515)*(inputs!$E$73/inputs!$E$75)</f>
        <v>1.0320556153029972E-2</v>
      </c>
      <c r="S515" s="60">
        <f>(IF(inputs!$C$17="aerial",((0.025*0.112*inputs!$C$18/3.3)*(3*60*379*((F515/1000)^0.8))*MAX(inputs!$I$14:$I$16))/F515,((0.0083*0.112*inputs!$C$18/1)*(3*60*379*((F515/1000)^0.8))*MAX(inputs!$I$14:$I$16))/F515))*(inputs!E$75/inputs!$E$73)</f>
        <v>5.6918501261480535E-2</v>
      </c>
      <c r="T515" s="63">
        <f>IF((((inputs!$P$13/(V515/MAX(K515:S515)))^(1/inputs!$O$13))-1)/inputs!$N$13&lt;0, 0, IF((((inputs!$P$13/(V515/MAX(K515:S515)))^(1/inputs!$O$13))-1)/inputs!$N$13&lt;inputs!$I$17, (((inputs!$P$13/(V515/MAX(K515:S515)))^(1/inputs!$O$13))-1)/inputs!$N$13, inputs!$I$17))</f>
        <v>25.740369649833113</v>
      </c>
      <c r="U515" s="63">
        <f>IF((((inputs!$P$13/(X515/MAX(K515:S515)))^(1/inputs!$O$13))-1)/inputs!$N$13&lt;0, 0, IF((((inputs!$P$13/(X515/MAX(K515:S515)))^(1/inputs!$O$13))-1)/inputs!$N$13&lt;inputs!$I$17, (((inputs!$P$13/(X515/MAX(K515:S515)))^(1/inputs!$O$13))-1)/inputs!$N$13, inputs!$I$17))</f>
        <v>2.8449519760082627</v>
      </c>
      <c r="V515" s="54">
        <f>inputs!$E$70*(F515/inputs!$F$70)^(0.25)</f>
        <v>6.8841681082754063</v>
      </c>
      <c r="W515" s="54">
        <f>inputs!$E$76*(F515/inputs!$F$76)^(0.25)</f>
        <v>0.49497474683058318</v>
      </c>
      <c r="X515" s="54">
        <f>inputs!$E$72*(inputs!$F$72/F515)^(0.25)</f>
        <v>36.300682387403803</v>
      </c>
      <c r="Y515" s="54" t="s">
        <v>13</v>
      </c>
      <c r="Z515" s="106">
        <f t="shared" si="40"/>
        <v>8.5524987492853768</v>
      </c>
      <c r="AA515" s="106">
        <f t="shared" si="41"/>
        <v>118.94917773663245</v>
      </c>
    </row>
    <row r="516" spans="1:27" ht="13.2" x14ac:dyDescent="0.25">
      <c r="A516" s="55" t="s">
        <v>594</v>
      </c>
      <c r="B516" s="49" t="s">
        <v>595</v>
      </c>
      <c r="C516" s="21" t="s">
        <v>61</v>
      </c>
      <c r="D516" s="20" t="s">
        <v>454</v>
      </c>
      <c r="E516" s="20">
        <v>1237</v>
      </c>
      <c r="F516" s="21">
        <v>1400</v>
      </c>
      <c r="G516" s="21" t="s">
        <v>164</v>
      </c>
      <c r="H516" s="21">
        <v>0.78</v>
      </c>
      <c r="I516" s="68">
        <f>inputs!$C$66*(inputs!$C$62/1000)</f>
        <v>8.2000000000000011</v>
      </c>
      <c r="J516" s="68">
        <f>inputs!$C$66*(inputs!$C$61/1000)</f>
        <v>2.5</v>
      </c>
      <c r="K516" s="70">
        <f t="shared" si="42"/>
        <v>2.4123940213321546</v>
      </c>
      <c r="L516" s="70">
        <f t="shared" si="43"/>
        <v>0.73548598211346172</v>
      </c>
      <c r="M516" s="70">
        <f>IF((((0.326*F516^0.818)-(0.398*F516^0.85)/(1-H516)*H516)*(MAX('Max rate concentrations'!$P$3:$P$368)))/F516&gt;0, (((0.326*F516^0.818)-(0.398*F516^0.85)/(1-H516)*H516)*(MAX('Max rate concentrations'!$P$3:$P$368)))/F516, 0)</f>
        <v>0</v>
      </c>
      <c r="N516" s="70">
        <f>IF((((0.326*F516^0.818)-(0.398*F516^0.85)/(1-H516)*H516)*(MAX('Max rate concentrations'!$Q$3:$Q$368)))/F516&gt; 0, (((0.326*F516^0.818)-(0.398*F516^0.85)/(1-H516)*H516)*(MAX('Max rate concentrations'!$Q$3:$Q$368)))/F516, 0)</f>
        <v>0</v>
      </c>
      <c r="O516" s="70">
        <f>((MAX('Max rate concentrations'!$F$3:$F$368))*0.62*6.01*8*(12.3*F516^0.65)*0.079*0.1/F516)*inputs!$E$73/inputs!$E$74</f>
        <v>21.447489523759263</v>
      </c>
      <c r="P516" s="70">
        <f>((MAX('Max rate concentrations'!Y:Y))*0.62*6.01*8*(12.3*F516^0.65)*0.079*0.1/F516)*inputs!$E$73/inputs!$E$74</f>
        <v>7.1491631745864215</v>
      </c>
      <c r="Q516" s="70">
        <f>(inputs!$C$18*11.2*(12.3*F516^0.65)*0.5/F516)*inputs!$E$73/inputs!$E$74</f>
        <v>3.7778741208510853</v>
      </c>
      <c r="R516" s="60">
        <f>(60*379*((F516/1000)^0.8)*3*24*(MAX('Max rate concentrations'!$R$3:$R$368))/F516)*(inputs!$E$73/inputs!$E$75)</f>
        <v>1.0320556153029972E-2</v>
      </c>
      <c r="S516" s="60">
        <f>(IF(inputs!$C$17="aerial",((0.025*0.112*inputs!$C$18/3.3)*(3*60*379*((F516/1000)^0.8))*MAX(inputs!$I$14:$I$16))/F516,((0.0083*0.112*inputs!$C$18/1)*(3*60*379*((F516/1000)^0.8))*MAX(inputs!$I$14:$I$16))/F516))*(inputs!E$75/inputs!$E$73)</f>
        <v>5.6918501261480535E-2</v>
      </c>
      <c r="T516" s="63">
        <f>IF((((inputs!$P$13/(V516/MAX(K516:S516)))^(1/inputs!$O$13))-1)/inputs!$N$13&lt;0, 0, IF((((inputs!$P$13/(V516/MAX(K516:S516)))^(1/inputs!$O$13))-1)/inputs!$N$13&lt;inputs!$I$17, (((inputs!$P$13/(V516/MAX(K516:S516)))^(1/inputs!$O$13))-1)/inputs!$N$13, inputs!$I$17))</f>
        <v>8.4578817912954509</v>
      </c>
      <c r="U516" s="63">
        <f>IF((((inputs!$P$13/(X516/MAX(K516:S516)))^(1/inputs!$O$13))-1)/inputs!$N$13&lt;0, 0, IF((((inputs!$P$13/(X516/MAX(K516:S516)))^(1/inputs!$O$13))-1)/inputs!$N$13&lt;inputs!$I$17, (((inputs!$P$13/(X516/MAX(K516:S516)))^(1/inputs!$O$13))-1)/inputs!$N$13, inputs!$I$17))</f>
        <v>0</v>
      </c>
      <c r="V516" s="54">
        <f>inputs!$E$70*(F516/inputs!$F$70)^(0.25)</f>
        <v>6.8841681082754063</v>
      </c>
      <c r="W516" s="54">
        <f>inputs!$E$76*(F516/inputs!$F$76)^(0.25)</f>
        <v>0.49497474683058318</v>
      </c>
      <c r="X516" s="54">
        <f>inputs!$E$72*(inputs!$F$72/F516)^(0.25)</f>
        <v>36.300682387403803</v>
      </c>
      <c r="Y516" s="54" t="s">
        <v>13</v>
      </c>
      <c r="Z516" s="106">
        <f t="shared" ref="Z516:Z579" si="44">MAX(K516:S516)/V516</f>
        <v>3.1154802129217907</v>
      </c>
      <c r="AA516" s="106">
        <f t="shared" ref="AA516:AA579" si="45">MAX(K516:S516)/W516</f>
        <v>43.33047223336461</v>
      </c>
    </row>
    <row r="517" spans="1:27" ht="13.2" x14ac:dyDescent="0.25">
      <c r="A517" s="55" t="s">
        <v>594</v>
      </c>
      <c r="B517" s="49" t="s">
        <v>595</v>
      </c>
      <c r="C517" s="21" t="s">
        <v>61</v>
      </c>
      <c r="D517" s="20" t="s">
        <v>454</v>
      </c>
      <c r="E517" s="20">
        <v>1237</v>
      </c>
      <c r="F517" s="21">
        <v>1400</v>
      </c>
      <c r="G517" s="21" t="s">
        <v>138</v>
      </c>
      <c r="H517" s="21">
        <v>0.68</v>
      </c>
      <c r="I517" s="68">
        <f>MAX('Max rate concentrations'!$L$3:$L$368)</f>
        <v>350.52744091332482</v>
      </c>
      <c r="J517" s="68">
        <f>MAX('Max rate concentrations'!AD:AD)</f>
        <v>242.38599637623525</v>
      </c>
      <c r="K517" s="70">
        <f t="shared" si="42"/>
        <v>70.897205262910163</v>
      </c>
      <c r="L517" s="70">
        <f t="shared" si="43"/>
        <v>49.024663213714476</v>
      </c>
      <c r="M517" s="70">
        <f>IF((((0.326*F517^0.818)-(0.398*F517^0.85)/(1-H517)*H517)*(MAX('Max rate concentrations'!$P$3:$P$368)))/F517&gt;0, (((0.326*F517^0.818)-(0.398*F517^0.85)/(1-H517)*H517)*(MAX('Max rate concentrations'!$P$3:$P$368)))/F517, 0)</f>
        <v>0</v>
      </c>
      <c r="N517" s="70">
        <f>IF((((0.326*F517^0.818)-(0.398*F517^0.85)/(1-H517)*H517)*(MAX('Max rate concentrations'!$Q$3:$Q$368)))/F517&gt; 0, (((0.326*F517^0.818)-(0.398*F517^0.85)/(1-H517)*H517)*(MAX('Max rate concentrations'!$Q$3:$Q$368)))/F517, 0)</f>
        <v>0</v>
      </c>
      <c r="O517" s="70">
        <f>((MAX('Max rate concentrations'!$F$3:$F$368))*0.62*6.01*8*(12.3*F517^0.65)*0.079*0.1/F517)*inputs!$E$73/inputs!$E$74</f>
        <v>21.447489523759263</v>
      </c>
      <c r="P517" s="70">
        <f>((MAX('Max rate concentrations'!Y:Y))*0.62*6.01*8*(12.3*F517^0.65)*0.079*0.1/F517)*inputs!$E$73/inputs!$E$74</f>
        <v>7.1491631745864215</v>
      </c>
      <c r="Q517" s="70">
        <f>(inputs!$C$18*11.2*(12.3*F517^0.65)*0.5/F517)*inputs!$E$73/inputs!$E$74</f>
        <v>3.7778741208510853</v>
      </c>
      <c r="R517" s="60">
        <f>(60*379*((F517/1000)^0.8)*3*24*(MAX('Max rate concentrations'!$R$3:$R$368))/F517)*(inputs!$E$73/inputs!$E$75)</f>
        <v>1.0320556153029972E-2</v>
      </c>
      <c r="S517" s="60">
        <f>(IF(inputs!$C$17="aerial",((0.025*0.112*inputs!$C$18/3.3)*(3*60*379*((F517/1000)^0.8))*MAX(inputs!$I$14:$I$16))/F517,((0.0083*0.112*inputs!$C$18/1)*(3*60*379*((F517/1000)^0.8))*MAX(inputs!$I$14:$I$16))/F517))*(inputs!E$75/inputs!$E$73)</f>
        <v>5.6918501261480535E-2</v>
      </c>
      <c r="T517" s="63">
        <f>IF((((inputs!$P$13/(V517/MAX(K517:S517)))^(1/inputs!$O$13))-1)/inputs!$N$13&lt;0, 0, IF((((inputs!$P$13/(V517/MAX(K517:S517)))^(1/inputs!$O$13))-1)/inputs!$N$13&lt;inputs!$I$17, (((inputs!$P$13/(V517/MAX(K517:S517)))^(1/inputs!$O$13))-1)/inputs!$N$13, inputs!$I$17))</f>
        <v>30.760546345626882</v>
      </c>
      <c r="U517" s="63">
        <f>IF((((inputs!$P$13/(X517/MAX(K517:S517)))^(1/inputs!$O$13))-1)/inputs!$N$13&lt;0, 0, IF((((inputs!$P$13/(X517/MAX(K517:S517)))^(1/inputs!$O$13))-1)/inputs!$N$13&lt;inputs!$I$17, (((inputs!$P$13/(X517/MAX(K517:S517)))^(1/inputs!$O$13))-1)/inputs!$N$13, inputs!$I$17))</f>
        <v>4.1535577392731007</v>
      </c>
      <c r="V517" s="54">
        <f>inputs!$E$70*(F517/inputs!$F$70)^(0.25)</f>
        <v>6.8841681082754063</v>
      </c>
      <c r="W517" s="54">
        <f>inputs!$E$76*(F517/inputs!$F$76)^(0.25)</f>
        <v>0.49497474683058318</v>
      </c>
      <c r="X517" s="54">
        <f>inputs!$E$72*(inputs!$F$72/F517)^(0.25)</f>
        <v>36.300682387403803</v>
      </c>
      <c r="Y517" s="54" t="s">
        <v>13</v>
      </c>
      <c r="Z517" s="106">
        <f t="shared" si="44"/>
        <v>10.298587156476492</v>
      </c>
      <c r="AA517" s="106">
        <f t="shared" si="45"/>
        <v>143.23398459593821</v>
      </c>
    </row>
    <row r="518" spans="1:27" ht="13.2" x14ac:dyDescent="0.25">
      <c r="A518" s="55" t="s">
        <v>594</v>
      </c>
      <c r="B518" s="49" t="s">
        <v>595</v>
      </c>
      <c r="C518" s="21" t="s">
        <v>61</v>
      </c>
      <c r="D518" s="20" t="s">
        <v>454</v>
      </c>
      <c r="E518" s="20">
        <v>1237</v>
      </c>
      <c r="F518" s="21">
        <v>1400</v>
      </c>
      <c r="G518" s="21" t="s">
        <v>152</v>
      </c>
      <c r="H518" s="21">
        <v>0.77</v>
      </c>
      <c r="I518" s="68">
        <f>MAX('Max rate concentrations'!$G$3:$G$368)</f>
        <v>45</v>
      </c>
      <c r="J518" s="68">
        <f>MAX('Max rate concentrations'!Z:Z)</f>
        <v>21</v>
      </c>
      <c r="K518" s="70">
        <f t="shared" si="42"/>
        <v>12.663149952910036</v>
      </c>
      <c r="L518" s="70">
        <f t="shared" si="43"/>
        <v>5.909469978024684</v>
      </c>
      <c r="M518" s="70">
        <f>IF((((0.326*F518^0.818)-(0.398*F518^0.85)/(1-H518)*H518)*(MAX('Max rate concentrations'!$P$3:$P$368)))/F518&gt;0, (((0.326*F518^0.818)-(0.398*F518^0.85)/(1-H518)*H518)*(MAX('Max rate concentrations'!$P$3:$P$368)))/F518, 0)</f>
        <v>0</v>
      </c>
      <c r="N518" s="70">
        <f>IF((((0.326*F518^0.818)-(0.398*F518^0.85)/(1-H518)*H518)*(MAX('Max rate concentrations'!$Q$3:$Q$368)))/F518&gt; 0, (((0.326*F518^0.818)-(0.398*F518^0.85)/(1-H518)*H518)*(MAX('Max rate concentrations'!$Q$3:$Q$368)))/F518, 0)</f>
        <v>0</v>
      </c>
      <c r="O518" s="70">
        <f>((MAX('Max rate concentrations'!$F$3:$F$368))*0.62*6.01*8*(12.3*F518^0.65)*0.079*0.1/F518)*inputs!$E$73/inputs!$E$74</f>
        <v>21.447489523759263</v>
      </c>
      <c r="P518" s="70">
        <f>((MAX('Max rate concentrations'!Y:Y))*0.62*6.01*8*(12.3*F518^0.65)*0.079*0.1/F518)*inputs!$E$73/inputs!$E$74</f>
        <v>7.1491631745864215</v>
      </c>
      <c r="Q518" s="70">
        <f>(inputs!$C$18*11.2*(12.3*F518^0.65)*0.5/F518)*inputs!$E$73/inputs!$E$74</f>
        <v>3.7778741208510853</v>
      </c>
      <c r="R518" s="60">
        <f>(60*379*((F518/1000)^0.8)*3*24*(MAX('Max rate concentrations'!$R$3:$R$368))/F518)*(inputs!$E$73/inputs!$E$75)</f>
        <v>1.0320556153029972E-2</v>
      </c>
      <c r="S518" s="60">
        <f>(IF(inputs!$C$17="aerial",((0.025*0.112*inputs!$C$18/3.3)*(3*60*379*((F518/1000)^0.8))*MAX(inputs!$I$14:$I$16))/F518,((0.0083*0.112*inputs!$C$18/1)*(3*60*379*((F518/1000)^0.8))*MAX(inputs!$I$14:$I$16))/F518))*(inputs!E$75/inputs!$E$73)</f>
        <v>5.6918501261480535E-2</v>
      </c>
      <c r="T518" s="63">
        <f>IF((((inputs!$P$13/(V518/MAX(K518:S518)))^(1/inputs!$O$13))-1)/inputs!$N$13&lt;0, 0, IF((((inputs!$P$13/(V518/MAX(K518:S518)))^(1/inputs!$O$13))-1)/inputs!$N$13&lt;inputs!$I$17, (((inputs!$P$13/(V518/MAX(K518:S518)))^(1/inputs!$O$13))-1)/inputs!$N$13, inputs!$I$17))</f>
        <v>8.4578817912954509</v>
      </c>
      <c r="U518" s="63">
        <f>IF((((inputs!$P$13/(X518/MAX(K518:S518)))^(1/inputs!$O$13))-1)/inputs!$N$13&lt;0, 0, IF((((inputs!$P$13/(X518/MAX(K518:S518)))^(1/inputs!$O$13))-1)/inputs!$N$13&lt;inputs!$I$17, (((inputs!$P$13/(X518/MAX(K518:S518)))^(1/inputs!$O$13))-1)/inputs!$N$13, inputs!$I$17))</f>
        <v>0</v>
      </c>
      <c r="V518" s="54">
        <f>inputs!$E$70*(F518/inputs!$F$70)^(0.25)</f>
        <v>6.8841681082754063</v>
      </c>
      <c r="W518" s="54">
        <f>inputs!$E$76*(F518/inputs!$F$76)^(0.25)</f>
        <v>0.49497474683058318</v>
      </c>
      <c r="X518" s="54">
        <f>inputs!$E$72*(inputs!$F$72/F518)^(0.25)</f>
        <v>36.300682387403803</v>
      </c>
      <c r="Y518" s="54" t="s">
        <v>13</v>
      </c>
      <c r="Z518" s="106">
        <f t="shared" si="44"/>
        <v>3.1154802129217907</v>
      </c>
      <c r="AA518" s="106">
        <f t="shared" si="45"/>
        <v>43.33047223336461</v>
      </c>
    </row>
    <row r="519" spans="1:27" ht="13.2" x14ac:dyDescent="0.25">
      <c r="A519" s="55" t="s">
        <v>594</v>
      </c>
      <c r="B519" s="49" t="s">
        <v>595</v>
      </c>
      <c r="C519" s="21" t="s">
        <v>61</v>
      </c>
      <c r="D519" s="20" t="s">
        <v>454</v>
      </c>
      <c r="E519" s="20">
        <v>1237</v>
      </c>
      <c r="F519" s="21">
        <v>1400</v>
      </c>
      <c r="G519" s="21" t="s">
        <v>169</v>
      </c>
      <c r="H519" s="21">
        <v>0.79</v>
      </c>
      <c r="I519" s="68">
        <f>MAX('Max rate concentrations'!$D$3:$D$368)</f>
        <v>720</v>
      </c>
      <c r="J519" s="68">
        <f>MAX('Max rate concentrations'!W:W)</f>
        <v>255</v>
      </c>
      <c r="K519" s="70">
        <f t="shared" si="42"/>
        <v>221.90662774623306</v>
      </c>
      <c r="L519" s="70">
        <f t="shared" si="43"/>
        <v>78.591930660124206</v>
      </c>
      <c r="M519" s="70">
        <f>IF((((0.326*F519^0.818)-(0.398*F519^0.85)/(1-H519)*H519)*(MAX('Max rate concentrations'!$P$3:$P$368)))/F519&gt;0, (((0.326*F519^0.818)-(0.398*F519^0.85)/(1-H519)*H519)*(MAX('Max rate concentrations'!$P$3:$P$368)))/F519, 0)</f>
        <v>0</v>
      </c>
      <c r="N519" s="70">
        <f>IF((((0.326*F519^0.818)-(0.398*F519^0.85)/(1-H519)*H519)*(MAX('Max rate concentrations'!$Q$3:$Q$368)))/F519&gt; 0, (((0.326*F519^0.818)-(0.398*F519^0.85)/(1-H519)*H519)*(MAX('Max rate concentrations'!$Q$3:$Q$368)))/F519, 0)</f>
        <v>0</v>
      </c>
      <c r="O519" s="70">
        <f>((MAX('Max rate concentrations'!$F$3:$F$368))*0.62*6.01*8*(12.3*F519^0.65)*0.079*0.1/F519)*inputs!$E$73/inputs!$E$74</f>
        <v>21.447489523759263</v>
      </c>
      <c r="P519" s="70">
        <f>((MAX('Max rate concentrations'!Y:Y))*0.62*6.01*8*(12.3*F519^0.65)*0.079*0.1/F519)*inputs!$E$73/inputs!$E$74</f>
        <v>7.1491631745864215</v>
      </c>
      <c r="Q519" s="70">
        <f>(inputs!$C$18*11.2*(12.3*F519^0.65)*0.5/F519)*inputs!$E$73/inputs!$E$74</f>
        <v>3.7778741208510853</v>
      </c>
      <c r="R519" s="60">
        <f>(60*379*((F519/1000)^0.8)*3*24*(MAX('Max rate concentrations'!$R$3:$R$368))/F519)*(inputs!$E$73/inputs!$E$75)</f>
        <v>1.0320556153029972E-2</v>
      </c>
      <c r="S519" s="60">
        <f>(IF(inputs!$C$17="aerial",((0.025*0.112*inputs!$C$18/3.3)*(3*60*379*((F519/1000)^0.8))*MAX(inputs!$I$14:$I$16))/F519,((0.0083*0.112*inputs!$C$18/1)*(3*60*379*((F519/1000)^0.8))*MAX(inputs!$I$14:$I$16))/F519))*(inputs!E$75/inputs!$E$73)</f>
        <v>5.6918501261480535E-2</v>
      </c>
      <c r="T519" s="63">
        <f>IF((((inputs!$P$13/(V519/MAX(K519:S519)))^(1/inputs!$O$13))-1)/inputs!$N$13&lt;0, 0, IF((((inputs!$P$13/(V519/MAX(K519:S519)))^(1/inputs!$O$13))-1)/inputs!$N$13&lt;inputs!$I$17, (((inputs!$P$13/(V519/MAX(K519:S519)))^(1/inputs!$O$13))-1)/inputs!$N$13, inputs!$I$17))</f>
        <v>85.322034219376718</v>
      </c>
      <c r="U519" s="63">
        <f>IF((((inputs!$P$13/(X519/MAX(K519:S519)))^(1/inputs!$O$13))-1)/inputs!$N$13&lt;0, 0, IF((((inputs!$P$13/(X519/MAX(K519:S519)))^(1/inputs!$O$13))-1)/inputs!$N$13&lt;inputs!$I$17, (((inputs!$P$13/(X519/MAX(K519:S519)))^(1/inputs!$O$13))-1)/inputs!$N$13, inputs!$I$17))</f>
        <v>18.376060613268933</v>
      </c>
      <c r="V519" s="54">
        <f>inputs!$E$70*(F519/inputs!$F$70)^(0.25)</f>
        <v>6.8841681082754063</v>
      </c>
      <c r="W519" s="54">
        <f>inputs!$E$76*(F519/inputs!$F$76)^(0.25)</f>
        <v>0.49497474683058318</v>
      </c>
      <c r="X519" s="54">
        <f>inputs!$E$72*(inputs!$F$72/F519)^(0.25)</f>
        <v>36.300682387403803</v>
      </c>
      <c r="Y519" s="54" t="s">
        <v>13</v>
      </c>
      <c r="Z519" s="106">
        <f t="shared" si="44"/>
        <v>32.234341790619666</v>
      </c>
      <c r="AA519" s="106">
        <f t="shared" si="45"/>
        <v>448.31908934171514</v>
      </c>
    </row>
    <row r="520" spans="1:27" ht="13.2" x14ac:dyDescent="0.25">
      <c r="A520" s="55" t="s">
        <v>594</v>
      </c>
      <c r="B520" s="49" t="s">
        <v>595</v>
      </c>
      <c r="C520" s="21" t="s">
        <v>61</v>
      </c>
      <c r="D520" s="20" t="s">
        <v>454</v>
      </c>
      <c r="E520" s="20">
        <v>1237</v>
      </c>
      <c r="F520" s="21">
        <v>1400</v>
      </c>
      <c r="G520" s="21" t="s">
        <v>456</v>
      </c>
      <c r="H520" s="21">
        <v>0.68</v>
      </c>
      <c r="I520" s="68">
        <f>MAX('Max rate concentrations'!$J$3:$J$368)</f>
        <v>686.46486205830786</v>
      </c>
      <c r="J520" s="68">
        <f>MAX('Max rate concentrations'!AB:AB)</f>
        <v>243.122971978984</v>
      </c>
      <c r="K520" s="70">
        <f t="shared" si="42"/>
        <v>138.84345289576757</v>
      </c>
      <c r="L520" s="70">
        <f t="shared" si="43"/>
        <v>49.173722900584345</v>
      </c>
      <c r="M520" s="70">
        <f>IF((((0.326*F520^0.818)-(0.398*F520^0.85)/(1-H520)*H520)*(MAX('Max rate concentrations'!$P$3:$P$368)))/F520&gt;0, (((0.326*F520^0.818)-(0.398*F520^0.85)/(1-H520)*H520)*(MAX('Max rate concentrations'!$P$3:$P$368)))/F520, 0)</f>
        <v>0</v>
      </c>
      <c r="N520" s="70">
        <f>IF((((0.326*F520^0.818)-(0.398*F520^0.85)/(1-H520)*H520)*(MAX('Max rate concentrations'!$Q$3:$Q$368)))/F520&gt; 0, (((0.326*F520^0.818)-(0.398*F520^0.85)/(1-H520)*H520)*(MAX('Max rate concentrations'!$Q$3:$Q$368)))/F520, 0)</f>
        <v>0</v>
      </c>
      <c r="O520" s="70">
        <f>((MAX('Max rate concentrations'!$F$3:$F$368))*0.62*6.01*8*(12.3*F520^0.65)*0.079*0.1/F520)*inputs!$E$73/inputs!$E$74</f>
        <v>21.447489523759263</v>
      </c>
      <c r="P520" s="70">
        <f>((MAX('Max rate concentrations'!Y:Y))*0.62*6.01*8*(12.3*F520^0.65)*0.079*0.1/F520)*inputs!$E$73/inputs!$E$74</f>
        <v>7.1491631745864215</v>
      </c>
      <c r="Q520" s="70">
        <f>(inputs!$C$18*11.2*(12.3*F520^0.65)*0.5/F520)*inputs!$E$73/inputs!$E$74</f>
        <v>3.7778741208510853</v>
      </c>
      <c r="R520" s="60">
        <f>(60*379*((F520/1000)^0.8)*3*24*(MAX('Max rate concentrations'!$R$3:$R$368))/F520)*(inputs!$E$73/inputs!$E$75)</f>
        <v>1.0320556153029972E-2</v>
      </c>
      <c r="S520" s="60">
        <f>(IF(inputs!$C$17="aerial",((0.025*0.112*inputs!$C$18/3.3)*(3*60*379*((F520/1000)^0.8))*MAX(inputs!$I$14:$I$16))/F520,((0.0083*0.112*inputs!$C$18/1)*(3*60*379*((F520/1000)^0.8))*MAX(inputs!$I$14:$I$16))/F520))*(inputs!E$75/inputs!$E$73)</f>
        <v>5.6918501261480535E-2</v>
      </c>
      <c r="T520" s="63">
        <f>IF((((inputs!$P$13/(V520/MAX(K520:S520)))^(1/inputs!$O$13))-1)/inputs!$N$13&lt;0, 0, IF((((inputs!$P$13/(V520/MAX(K520:S520)))^(1/inputs!$O$13))-1)/inputs!$N$13&lt;inputs!$I$17, (((inputs!$P$13/(V520/MAX(K520:S520)))^(1/inputs!$O$13))-1)/inputs!$N$13, inputs!$I$17))</f>
        <v>56.745879974933395</v>
      </c>
      <c r="U520" s="63">
        <f>IF((((inputs!$P$13/(X520/MAX(K520:S520)))^(1/inputs!$O$13))-1)/inputs!$N$13&lt;0, 0, IF((((inputs!$P$13/(X520/MAX(K520:S520)))^(1/inputs!$O$13))-1)/inputs!$N$13&lt;inputs!$I$17, (((inputs!$P$13/(X520/MAX(K520:S520)))^(1/inputs!$O$13))-1)/inputs!$N$13, inputs!$I$17))</f>
        <v>10.927135525123035</v>
      </c>
      <c r="V520" s="54">
        <f>inputs!$E$70*(F520/inputs!$F$70)^(0.25)</f>
        <v>6.8841681082754063</v>
      </c>
      <c r="W520" s="54">
        <f>inputs!$E$76*(F520/inputs!$F$76)^(0.25)</f>
        <v>0.49497474683058318</v>
      </c>
      <c r="X520" s="54">
        <f>inputs!$E$72*(inputs!$F$72/F520)^(0.25)</f>
        <v>36.300682387403803</v>
      </c>
      <c r="Y520" s="54" t="s">
        <v>13</v>
      </c>
      <c r="Z520" s="106">
        <f t="shared" si="44"/>
        <v>20.168515746857622</v>
      </c>
      <c r="AA520" s="106">
        <f t="shared" si="45"/>
        <v>280.50613447414929</v>
      </c>
    </row>
    <row r="521" spans="1:27" ht="13.2" x14ac:dyDescent="0.25">
      <c r="A521" s="55" t="s">
        <v>594</v>
      </c>
      <c r="B521" s="49" t="s">
        <v>595</v>
      </c>
      <c r="C521" s="21" t="s">
        <v>61</v>
      </c>
      <c r="D521" s="20" t="s">
        <v>454</v>
      </c>
      <c r="E521" s="20">
        <v>1237</v>
      </c>
      <c r="F521" s="21">
        <v>1400</v>
      </c>
      <c r="G521" s="21" t="s">
        <v>145</v>
      </c>
      <c r="H521" s="21">
        <v>0.66</v>
      </c>
      <c r="I521" s="68">
        <f>MAX('Max rate concentrations'!$M$3:$M$368)</f>
        <v>17.092910873809167</v>
      </c>
      <c r="J521" s="68">
        <f>MAX('Max rate concentrations'!AE:AE)</f>
        <v>11.81956602976166</v>
      </c>
      <c r="K521" s="70">
        <f t="shared" si="42"/>
        <v>3.2538249353697757</v>
      </c>
      <c r="L521" s="70">
        <f t="shared" si="43"/>
        <v>2.2499853276493131</v>
      </c>
      <c r="M521" s="70">
        <f>IF((((0.326*F521^0.818)-(0.398*F521^0.85)/(1-H521)*H521)*(MAX('Max rate concentrations'!$P$3:$P$368)))/F521&gt;0, (((0.326*F521^0.818)-(0.398*F521^0.85)/(1-H521)*H521)*(MAX('Max rate concentrations'!$P$3:$P$368)))/F521, 0)</f>
        <v>0</v>
      </c>
      <c r="N521" s="70">
        <f>IF((((0.326*F521^0.818)-(0.398*F521^0.85)/(1-H521)*H521)*(MAX('Max rate concentrations'!$Q$3:$Q$368)))/F521&gt; 0, (((0.326*F521^0.818)-(0.398*F521^0.85)/(1-H521)*H521)*(MAX('Max rate concentrations'!$Q$3:$Q$368)))/F521, 0)</f>
        <v>0</v>
      </c>
      <c r="O521" s="70">
        <f>((MAX('Max rate concentrations'!$F$3:$F$368))*0.62*6.01*8*(12.3*F521^0.65)*0.079*0.1/F521)*inputs!$E$73/inputs!$E$74</f>
        <v>21.447489523759263</v>
      </c>
      <c r="P521" s="70">
        <f>((MAX('Max rate concentrations'!Y:Y))*0.62*6.01*8*(12.3*F521^0.65)*0.079*0.1/F521)*inputs!$E$73/inputs!$E$74</f>
        <v>7.1491631745864215</v>
      </c>
      <c r="Q521" s="70">
        <f>(inputs!$C$18*11.2*(12.3*F521^0.65)*0.5/F521)*inputs!$E$73/inputs!$E$74</f>
        <v>3.7778741208510853</v>
      </c>
      <c r="R521" s="60">
        <f>(60*379*((F521/1000)^0.8)*3*24*(MAX('Max rate concentrations'!$R$3:$R$368))/F521)*(inputs!$E$73/inputs!$E$75)</f>
        <v>1.0320556153029972E-2</v>
      </c>
      <c r="S521" s="60">
        <f>(IF(inputs!$C$17="aerial",((0.025*0.112*inputs!$C$18/3.3)*(3*60*379*((F521/1000)^0.8))*MAX(inputs!$I$14:$I$16))/F521,((0.0083*0.112*inputs!$C$18/1)*(3*60*379*((F521/1000)^0.8))*MAX(inputs!$I$14:$I$16))/F521))*(inputs!E$75/inputs!$E$73)</f>
        <v>5.6918501261480535E-2</v>
      </c>
      <c r="T521" s="63">
        <f>IF((((inputs!$P$13/(V521/MAX(K521:S521)))^(1/inputs!$O$13))-1)/inputs!$N$13&lt;0, 0, IF((((inputs!$P$13/(V521/MAX(K521:S521)))^(1/inputs!$O$13))-1)/inputs!$N$13&lt;inputs!$I$17, (((inputs!$P$13/(V521/MAX(K521:S521)))^(1/inputs!$O$13))-1)/inputs!$N$13, inputs!$I$17))</f>
        <v>8.4578817912954509</v>
      </c>
      <c r="U521" s="63">
        <f>IF((((inputs!$P$13/(X521/MAX(K521:S521)))^(1/inputs!$O$13))-1)/inputs!$N$13&lt;0, 0, IF((((inputs!$P$13/(X521/MAX(K521:S521)))^(1/inputs!$O$13))-1)/inputs!$N$13&lt;inputs!$I$17, (((inputs!$P$13/(X521/MAX(K521:S521)))^(1/inputs!$O$13))-1)/inputs!$N$13, inputs!$I$17))</f>
        <v>0</v>
      </c>
      <c r="V521" s="54">
        <f>inputs!$E$70*(F521/inputs!$F$70)^(0.25)</f>
        <v>6.8841681082754063</v>
      </c>
      <c r="W521" s="54">
        <f>inputs!$E$76*(F521/inputs!$F$76)^(0.25)</f>
        <v>0.49497474683058318</v>
      </c>
      <c r="X521" s="54">
        <f>inputs!$E$72*(inputs!$F$72/F521)^(0.25)</f>
        <v>36.300682387403803</v>
      </c>
      <c r="Y521" s="54" t="s">
        <v>13</v>
      </c>
      <c r="Z521" s="106">
        <f t="shared" si="44"/>
        <v>3.1154802129217907</v>
      </c>
      <c r="AA521" s="106">
        <f t="shared" si="45"/>
        <v>43.33047223336461</v>
      </c>
    </row>
    <row r="522" spans="1:27" ht="13.2" x14ac:dyDescent="0.25">
      <c r="A522" s="55" t="s">
        <v>598</v>
      </c>
      <c r="B522" s="49" t="s">
        <v>599</v>
      </c>
      <c r="C522" s="21" t="s">
        <v>61</v>
      </c>
      <c r="D522" s="20" t="s">
        <v>454</v>
      </c>
      <c r="E522" s="20">
        <v>1238</v>
      </c>
      <c r="F522" s="21">
        <v>1400</v>
      </c>
      <c r="G522" s="21" t="s">
        <v>182</v>
      </c>
      <c r="H522" s="21">
        <v>0.85</v>
      </c>
      <c r="I522" s="68">
        <f>MAX('Max rate concentrations'!$M$3:$M$368)</f>
        <v>17.092910873809167</v>
      </c>
      <c r="J522" s="68">
        <f>MAX('Max rate concentrations'!AE:AE)</f>
        <v>11.81956602976166</v>
      </c>
      <c r="K522" s="70">
        <f t="shared" si="42"/>
        <v>7.3753365201714898</v>
      </c>
      <c r="L522" s="70">
        <f t="shared" si="43"/>
        <v>5.099966742671775</v>
      </c>
      <c r="M522" s="70">
        <f>IF((((0.326*F522^0.818)-(0.398*F522^0.85)/(1-H522)*H522)*(MAX('Max rate concentrations'!$P$3:$P$368)))/F522&gt;0, (((0.326*F522^0.818)-(0.398*F522^0.85)/(1-H522)*H522)*(MAX('Max rate concentrations'!$P$3:$P$368)))/F522, 0)</f>
        <v>0</v>
      </c>
      <c r="N522" s="70">
        <f>IF((((0.326*F522^0.818)-(0.398*F522^0.85)/(1-H522)*H522)*(MAX('Max rate concentrations'!$Q$3:$Q$368)))/F522&gt; 0, (((0.326*F522^0.818)-(0.398*F522^0.85)/(1-H522)*H522)*(MAX('Max rate concentrations'!$Q$3:$Q$368)))/F522, 0)</f>
        <v>0</v>
      </c>
      <c r="O522" s="70">
        <f>((MAX('Max rate concentrations'!$F$3:$F$368))*0.62*6.01*8*(12.3*F522^0.65)*0.079*0.1/F522)*inputs!$E$73/inputs!$E$74</f>
        <v>21.447489523759263</v>
      </c>
      <c r="P522" s="70">
        <f>((MAX('Max rate concentrations'!Y:Y))*0.62*6.01*8*(12.3*F522^0.65)*0.079*0.1/F522)*inputs!$E$73/inputs!$E$74</f>
        <v>7.1491631745864215</v>
      </c>
      <c r="Q522" s="70">
        <f>(inputs!$C$18*11.2*(12.3*F522^0.65)*0.5/F522)*inputs!$E$73/inputs!$E$74</f>
        <v>3.7778741208510853</v>
      </c>
      <c r="R522" s="60">
        <f>(60*379*((F522/1000)^0.8)*3*24*(MAX('Max rate concentrations'!$R$3:$R$368))/F522)*(inputs!$E$73/inputs!$E$75)</f>
        <v>1.0320556153029972E-2</v>
      </c>
      <c r="S522" s="60">
        <f>(IF(inputs!$C$17="aerial",((0.025*0.112*inputs!$C$18/3.3)*(3*60*379*((F522/1000)^0.8))*MAX(inputs!$I$14:$I$16))/F522,((0.0083*0.112*inputs!$C$18/1)*(3*60*379*((F522/1000)^0.8))*MAX(inputs!$I$14:$I$16))/F522))*(inputs!E$75/inputs!$E$73)</f>
        <v>5.6918501261480535E-2</v>
      </c>
      <c r="T522" s="63">
        <f>IF((((inputs!$P$13/(V522/MAX(K522:S522)))^(1/inputs!$O$13))-1)/inputs!$N$13&lt;0, 0, IF((((inputs!$P$13/(V522/MAX(K522:S522)))^(1/inputs!$O$13))-1)/inputs!$N$13&lt;inputs!$I$17, (((inputs!$P$13/(V522/MAX(K522:S522)))^(1/inputs!$O$13))-1)/inputs!$N$13, inputs!$I$17))</f>
        <v>8.4578817912954509</v>
      </c>
      <c r="U522" s="63">
        <f>IF((((inputs!$P$13/(X522/MAX(K522:S522)))^(1/inputs!$O$13))-1)/inputs!$N$13&lt;0, 0, IF((((inputs!$P$13/(X522/MAX(K522:S522)))^(1/inputs!$O$13))-1)/inputs!$N$13&lt;inputs!$I$17, (((inputs!$P$13/(X522/MAX(K522:S522)))^(1/inputs!$O$13))-1)/inputs!$N$13, inputs!$I$17))</f>
        <v>0</v>
      </c>
      <c r="V522" s="54">
        <f>inputs!$E$70*(F522/inputs!$F$70)^(0.25)</f>
        <v>6.8841681082754063</v>
      </c>
      <c r="W522" s="54">
        <f>inputs!$E$76*(F522/inputs!$F$76)^(0.25)</f>
        <v>0.49497474683058318</v>
      </c>
      <c r="X522" s="54">
        <f>inputs!$E$72*(inputs!$F$72/F522)^(0.25)</f>
        <v>36.300682387403803</v>
      </c>
      <c r="Y522" s="54" t="s">
        <v>13</v>
      </c>
      <c r="Z522" s="106">
        <f t="shared" si="44"/>
        <v>3.1154802129217907</v>
      </c>
      <c r="AA522" s="106">
        <f t="shared" si="45"/>
        <v>43.33047223336461</v>
      </c>
    </row>
    <row r="523" spans="1:27" ht="13.2" x14ac:dyDescent="0.25">
      <c r="A523" s="55" t="s">
        <v>598</v>
      </c>
      <c r="B523" s="49" t="s">
        <v>599</v>
      </c>
      <c r="C523" s="21" t="s">
        <v>61</v>
      </c>
      <c r="D523" s="20" t="s">
        <v>454</v>
      </c>
      <c r="E523" s="20">
        <v>1238</v>
      </c>
      <c r="F523" s="21">
        <v>1400</v>
      </c>
      <c r="G523" s="21" t="s">
        <v>142</v>
      </c>
      <c r="H523" s="21">
        <v>0.69</v>
      </c>
      <c r="I523" s="68">
        <f>MAX('Max rate concentrations'!$H$3:$H$368)</f>
        <v>282</v>
      </c>
      <c r="J523" s="68">
        <f>MAX('Max rate concentrations'!AA:AA)</f>
        <v>195</v>
      </c>
      <c r="K523" s="70">
        <f t="shared" si="42"/>
        <v>58.876839135895686</v>
      </c>
      <c r="L523" s="70">
        <f t="shared" si="43"/>
        <v>40.71270791311936</v>
      </c>
      <c r="M523" s="70">
        <f>IF((((0.326*F523^0.818)-(0.398*F523^0.85)/(1-H523)*H523)*(MAX('Max rate concentrations'!$P$3:$P$368)))/F523&gt;0, (((0.326*F523^0.818)-(0.398*F523^0.85)/(1-H523)*H523)*(MAX('Max rate concentrations'!$P$3:$P$368)))/F523, 0)</f>
        <v>0</v>
      </c>
      <c r="N523" s="70">
        <f>IF((((0.326*F523^0.818)-(0.398*F523^0.85)/(1-H523)*H523)*(MAX('Max rate concentrations'!$Q$3:$Q$368)))/F523&gt; 0, (((0.326*F523^0.818)-(0.398*F523^0.85)/(1-H523)*H523)*(MAX('Max rate concentrations'!$Q$3:$Q$368)))/F523, 0)</f>
        <v>0</v>
      </c>
      <c r="O523" s="70">
        <f>((MAX('Max rate concentrations'!$F$3:$F$368))*0.62*6.01*8*(12.3*F523^0.65)*0.079*0.1/F523)*inputs!$E$73/inputs!$E$74</f>
        <v>21.447489523759263</v>
      </c>
      <c r="P523" s="70">
        <f>((MAX('Max rate concentrations'!Y:Y))*0.62*6.01*8*(12.3*F523^0.65)*0.079*0.1/F523)*inputs!$E$73/inputs!$E$74</f>
        <v>7.1491631745864215</v>
      </c>
      <c r="Q523" s="70">
        <f>(inputs!$C$18*11.2*(12.3*F523^0.65)*0.5/F523)*inputs!$E$73/inputs!$E$74</f>
        <v>3.7778741208510853</v>
      </c>
      <c r="R523" s="60">
        <f>(60*379*((F523/1000)^0.8)*3*24*(MAX('Max rate concentrations'!$R$3:$R$368))/F523)*(inputs!$E$73/inputs!$E$75)</f>
        <v>1.0320556153029972E-2</v>
      </c>
      <c r="S523" s="60">
        <f>(IF(inputs!$C$17="aerial",((0.025*0.112*inputs!$C$18/3.3)*(3*60*379*((F523/1000)^0.8))*MAX(inputs!$I$14:$I$16))/F523,((0.0083*0.112*inputs!$C$18/1)*(3*60*379*((F523/1000)^0.8))*MAX(inputs!$I$14:$I$16))/F523))*(inputs!E$75/inputs!$E$73)</f>
        <v>5.6918501261480535E-2</v>
      </c>
      <c r="T523" s="63">
        <f>IF((((inputs!$P$13/(V523/MAX(K523:S523)))^(1/inputs!$O$13))-1)/inputs!$N$13&lt;0, 0, IF((((inputs!$P$13/(V523/MAX(K523:S523)))^(1/inputs!$O$13))-1)/inputs!$N$13&lt;inputs!$I$17, (((inputs!$P$13/(V523/MAX(K523:S523)))^(1/inputs!$O$13))-1)/inputs!$N$13, inputs!$I$17))</f>
        <v>25.740369649833113</v>
      </c>
      <c r="U523" s="63">
        <f>IF((((inputs!$P$13/(X523/MAX(K523:S523)))^(1/inputs!$O$13))-1)/inputs!$N$13&lt;0, 0, IF((((inputs!$P$13/(X523/MAX(K523:S523)))^(1/inputs!$O$13))-1)/inputs!$N$13&lt;inputs!$I$17, (((inputs!$P$13/(X523/MAX(K523:S523)))^(1/inputs!$O$13))-1)/inputs!$N$13, inputs!$I$17))</f>
        <v>2.8449519760082627</v>
      </c>
      <c r="V523" s="54">
        <f>inputs!$E$70*(F523/inputs!$F$70)^(0.25)</f>
        <v>6.8841681082754063</v>
      </c>
      <c r="W523" s="54">
        <f>inputs!$E$76*(F523/inputs!$F$76)^(0.25)</f>
        <v>0.49497474683058318</v>
      </c>
      <c r="X523" s="54">
        <f>inputs!$E$72*(inputs!$F$72/F523)^(0.25)</f>
        <v>36.300682387403803</v>
      </c>
      <c r="Y523" s="54" t="s">
        <v>13</v>
      </c>
      <c r="Z523" s="106">
        <f t="shared" si="44"/>
        <v>8.5524987492853768</v>
      </c>
      <c r="AA523" s="106">
        <f t="shared" si="45"/>
        <v>118.94917773663245</v>
      </c>
    </row>
    <row r="524" spans="1:27" ht="13.2" x14ac:dyDescent="0.25">
      <c r="A524" s="55" t="s">
        <v>598</v>
      </c>
      <c r="B524" s="49" t="s">
        <v>599</v>
      </c>
      <c r="C524" s="21" t="s">
        <v>61</v>
      </c>
      <c r="D524" s="20" t="s">
        <v>454</v>
      </c>
      <c r="E524" s="20">
        <v>1238</v>
      </c>
      <c r="F524" s="21">
        <v>1400</v>
      </c>
      <c r="G524" s="21" t="s">
        <v>164</v>
      </c>
      <c r="H524" s="21">
        <v>0.78</v>
      </c>
      <c r="I524" s="68">
        <f>inputs!$C$66*(inputs!$C$62/1000)</f>
        <v>8.2000000000000011</v>
      </c>
      <c r="J524" s="68">
        <f>inputs!$C$66*(inputs!$C$61/1000)</f>
        <v>2.5</v>
      </c>
      <c r="K524" s="70">
        <f t="shared" ref="K524:K573" si="46">(((0.235*F524^0.822)/(1-H524)))*I524/F524</f>
        <v>2.4123940213321546</v>
      </c>
      <c r="L524" s="70">
        <f t="shared" ref="L524:L562" si="47">(((0.235*F524^0.822)/(1-H524)))*J524/F524</f>
        <v>0.73548598211346172</v>
      </c>
      <c r="M524" s="70">
        <f>IF((((0.326*F524^0.818)-(0.398*F524^0.85)/(1-H524)*H524)*(MAX('Max rate concentrations'!$P$3:$P$368)))/F524&gt;0, (((0.326*F524^0.818)-(0.398*F524^0.85)/(1-H524)*H524)*(MAX('Max rate concentrations'!$P$3:$P$368)))/F524, 0)</f>
        <v>0</v>
      </c>
      <c r="N524" s="70">
        <f>IF((((0.326*F524^0.818)-(0.398*F524^0.85)/(1-H524)*H524)*(MAX('Max rate concentrations'!$Q$3:$Q$368)))/F524&gt; 0, (((0.326*F524^0.818)-(0.398*F524^0.85)/(1-H524)*H524)*(MAX('Max rate concentrations'!$Q$3:$Q$368)))/F524, 0)</f>
        <v>0</v>
      </c>
      <c r="O524" s="70">
        <f>((MAX('Max rate concentrations'!$F$3:$F$368))*0.62*6.01*8*(12.3*F524^0.65)*0.079*0.1/F524)*inputs!$E$73/inputs!$E$74</f>
        <v>21.447489523759263</v>
      </c>
      <c r="P524" s="70">
        <f>((MAX('Max rate concentrations'!Y:Y))*0.62*6.01*8*(12.3*F524^0.65)*0.079*0.1/F524)*inputs!$E$73/inputs!$E$74</f>
        <v>7.1491631745864215</v>
      </c>
      <c r="Q524" s="70">
        <f>(inputs!$C$18*11.2*(12.3*F524^0.65)*0.5/F524)*inputs!$E$73/inputs!$E$74</f>
        <v>3.7778741208510853</v>
      </c>
      <c r="R524" s="60">
        <f>(60*379*((F524/1000)^0.8)*3*24*(MAX('Max rate concentrations'!$R$3:$R$368))/F524)*(inputs!$E$73/inputs!$E$75)</f>
        <v>1.0320556153029972E-2</v>
      </c>
      <c r="S524" s="60">
        <f>(IF(inputs!$C$17="aerial",((0.025*0.112*inputs!$C$18/3.3)*(3*60*379*((F524/1000)^0.8))*MAX(inputs!$I$14:$I$16))/F524,((0.0083*0.112*inputs!$C$18/1)*(3*60*379*((F524/1000)^0.8))*MAX(inputs!$I$14:$I$16))/F524))*(inputs!E$75/inputs!$E$73)</f>
        <v>5.6918501261480535E-2</v>
      </c>
      <c r="T524" s="63">
        <f>IF((((inputs!$P$13/(V524/MAX(K524:S524)))^(1/inputs!$O$13))-1)/inputs!$N$13&lt;0, 0, IF((((inputs!$P$13/(V524/MAX(K524:S524)))^(1/inputs!$O$13))-1)/inputs!$N$13&lt;inputs!$I$17, (((inputs!$P$13/(V524/MAX(K524:S524)))^(1/inputs!$O$13))-1)/inputs!$N$13, inputs!$I$17))</f>
        <v>8.4578817912954509</v>
      </c>
      <c r="U524" s="63">
        <f>IF((((inputs!$P$13/(X524/MAX(K524:S524)))^(1/inputs!$O$13))-1)/inputs!$N$13&lt;0, 0, IF((((inputs!$P$13/(X524/MAX(K524:S524)))^(1/inputs!$O$13))-1)/inputs!$N$13&lt;inputs!$I$17, (((inputs!$P$13/(X524/MAX(K524:S524)))^(1/inputs!$O$13))-1)/inputs!$N$13, inputs!$I$17))</f>
        <v>0</v>
      </c>
      <c r="V524" s="54">
        <f>inputs!$E$70*(F524/inputs!$F$70)^(0.25)</f>
        <v>6.8841681082754063</v>
      </c>
      <c r="W524" s="54">
        <f>inputs!$E$76*(F524/inputs!$F$76)^(0.25)</f>
        <v>0.49497474683058318</v>
      </c>
      <c r="X524" s="54">
        <f>inputs!$E$72*(inputs!$F$72/F524)^(0.25)</f>
        <v>36.300682387403803</v>
      </c>
      <c r="Y524" s="54" t="s">
        <v>13</v>
      </c>
      <c r="Z524" s="106">
        <f t="shared" si="44"/>
        <v>3.1154802129217907</v>
      </c>
      <c r="AA524" s="106">
        <f t="shared" si="45"/>
        <v>43.33047223336461</v>
      </c>
    </row>
    <row r="525" spans="1:27" ht="13.2" x14ac:dyDescent="0.25">
      <c r="A525" s="55" t="s">
        <v>598</v>
      </c>
      <c r="B525" s="49" t="s">
        <v>599</v>
      </c>
      <c r="C525" s="21" t="s">
        <v>61</v>
      </c>
      <c r="D525" s="20" t="s">
        <v>454</v>
      </c>
      <c r="E525" s="20">
        <v>1238</v>
      </c>
      <c r="F525" s="21">
        <v>1400</v>
      </c>
      <c r="G525" s="21" t="s">
        <v>138</v>
      </c>
      <c r="H525" s="21">
        <v>0.68</v>
      </c>
      <c r="I525" s="68">
        <f>MAX('Max rate concentrations'!$L$3:$L$368)</f>
        <v>350.52744091332482</v>
      </c>
      <c r="J525" s="68">
        <f>MAX('Max rate concentrations'!AD:AD)</f>
        <v>242.38599637623525</v>
      </c>
      <c r="K525" s="70">
        <f t="shared" si="46"/>
        <v>70.897205262910163</v>
      </c>
      <c r="L525" s="70">
        <f t="shared" si="47"/>
        <v>49.024663213714476</v>
      </c>
      <c r="M525" s="70">
        <f>IF((((0.326*F525^0.818)-(0.398*F525^0.85)/(1-H525)*H525)*(MAX('Max rate concentrations'!$P$3:$P$368)))/F525&gt;0, (((0.326*F525^0.818)-(0.398*F525^0.85)/(1-H525)*H525)*(MAX('Max rate concentrations'!$P$3:$P$368)))/F525, 0)</f>
        <v>0</v>
      </c>
      <c r="N525" s="70">
        <f>IF((((0.326*F525^0.818)-(0.398*F525^0.85)/(1-H525)*H525)*(MAX('Max rate concentrations'!$Q$3:$Q$368)))/F525&gt; 0, (((0.326*F525^0.818)-(0.398*F525^0.85)/(1-H525)*H525)*(MAX('Max rate concentrations'!$Q$3:$Q$368)))/F525, 0)</f>
        <v>0</v>
      </c>
      <c r="O525" s="70">
        <f>((MAX('Max rate concentrations'!$F$3:$F$368))*0.62*6.01*8*(12.3*F525^0.65)*0.079*0.1/F525)*inputs!$E$73/inputs!$E$74</f>
        <v>21.447489523759263</v>
      </c>
      <c r="P525" s="70">
        <f>((MAX('Max rate concentrations'!Y:Y))*0.62*6.01*8*(12.3*F525^0.65)*0.079*0.1/F525)*inputs!$E$73/inputs!$E$74</f>
        <v>7.1491631745864215</v>
      </c>
      <c r="Q525" s="70">
        <f>(inputs!$C$18*11.2*(12.3*F525^0.65)*0.5/F525)*inputs!$E$73/inputs!$E$74</f>
        <v>3.7778741208510853</v>
      </c>
      <c r="R525" s="60">
        <f>(60*379*((F525/1000)^0.8)*3*24*(MAX('Max rate concentrations'!$R$3:$R$368))/F525)*(inputs!$E$73/inputs!$E$75)</f>
        <v>1.0320556153029972E-2</v>
      </c>
      <c r="S525" s="60">
        <f>(IF(inputs!$C$17="aerial",((0.025*0.112*inputs!$C$18/3.3)*(3*60*379*((F525/1000)^0.8))*MAX(inputs!$I$14:$I$16))/F525,((0.0083*0.112*inputs!$C$18/1)*(3*60*379*((F525/1000)^0.8))*MAX(inputs!$I$14:$I$16))/F525))*(inputs!E$75/inputs!$E$73)</f>
        <v>5.6918501261480535E-2</v>
      </c>
      <c r="T525" s="63">
        <f>IF((((inputs!$P$13/(V525/MAX(K525:S525)))^(1/inputs!$O$13))-1)/inputs!$N$13&lt;0, 0, IF((((inputs!$P$13/(V525/MAX(K525:S525)))^(1/inputs!$O$13))-1)/inputs!$N$13&lt;inputs!$I$17, (((inputs!$P$13/(V525/MAX(K525:S525)))^(1/inputs!$O$13))-1)/inputs!$N$13, inputs!$I$17))</f>
        <v>30.760546345626882</v>
      </c>
      <c r="U525" s="63">
        <f>IF((((inputs!$P$13/(X525/MAX(K525:S525)))^(1/inputs!$O$13))-1)/inputs!$N$13&lt;0, 0, IF((((inputs!$P$13/(X525/MAX(K525:S525)))^(1/inputs!$O$13))-1)/inputs!$N$13&lt;inputs!$I$17, (((inputs!$P$13/(X525/MAX(K525:S525)))^(1/inputs!$O$13))-1)/inputs!$N$13, inputs!$I$17))</f>
        <v>4.1535577392731007</v>
      </c>
      <c r="V525" s="54">
        <f>inputs!$E$70*(F525/inputs!$F$70)^(0.25)</f>
        <v>6.8841681082754063</v>
      </c>
      <c r="W525" s="54">
        <f>inputs!$E$76*(F525/inputs!$F$76)^(0.25)</f>
        <v>0.49497474683058318</v>
      </c>
      <c r="X525" s="54">
        <f>inputs!$E$72*(inputs!$F$72/F525)^(0.25)</f>
        <v>36.300682387403803</v>
      </c>
      <c r="Y525" s="54" t="s">
        <v>13</v>
      </c>
      <c r="Z525" s="106">
        <f t="shared" si="44"/>
        <v>10.298587156476492</v>
      </c>
      <c r="AA525" s="106">
        <f t="shared" si="45"/>
        <v>143.23398459593821</v>
      </c>
    </row>
    <row r="526" spans="1:27" ht="13.2" x14ac:dyDescent="0.25">
      <c r="A526" s="55" t="s">
        <v>598</v>
      </c>
      <c r="B526" s="49" t="s">
        <v>599</v>
      </c>
      <c r="C526" s="21" t="s">
        <v>61</v>
      </c>
      <c r="D526" s="20" t="s">
        <v>454</v>
      </c>
      <c r="E526" s="20">
        <v>1238</v>
      </c>
      <c r="F526" s="21">
        <v>1400</v>
      </c>
      <c r="G526" s="21" t="s">
        <v>152</v>
      </c>
      <c r="H526" s="21">
        <v>0.77</v>
      </c>
      <c r="I526" s="68">
        <f>MAX('Max rate concentrations'!$G$3:$G$368)</f>
        <v>45</v>
      </c>
      <c r="J526" s="68">
        <f>MAX('Max rate concentrations'!Z:Z)</f>
        <v>21</v>
      </c>
      <c r="K526" s="70">
        <f t="shared" si="46"/>
        <v>12.663149952910036</v>
      </c>
      <c r="L526" s="70">
        <f t="shared" si="47"/>
        <v>5.909469978024684</v>
      </c>
      <c r="M526" s="70">
        <f>IF((((0.326*F526^0.818)-(0.398*F526^0.85)/(1-H526)*H526)*(MAX('Max rate concentrations'!$P$3:$P$368)))/F526&gt;0, (((0.326*F526^0.818)-(0.398*F526^0.85)/(1-H526)*H526)*(MAX('Max rate concentrations'!$P$3:$P$368)))/F526, 0)</f>
        <v>0</v>
      </c>
      <c r="N526" s="70">
        <f>IF((((0.326*F526^0.818)-(0.398*F526^0.85)/(1-H526)*H526)*(MAX('Max rate concentrations'!$Q$3:$Q$368)))/F526&gt; 0, (((0.326*F526^0.818)-(0.398*F526^0.85)/(1-H526)*H526)*(MAX('Max rate concentrations'!$Q$3:$Q$368)))/F526, 0)</f>
        <v>0</v>
      </c>
      <c r="O526" s="70">
        <f>((MAX('Max rate concentrations'!$F$3:$F$368))*0.62*6.01*8*(12.3*F526^0.65)*0.079*0.1/F526)*inputs!$E$73/inputs!$E$74</f>
        <v>21.447489523759263</v>
      </c>
      <c r="P526" s="70">
        <f>((MAX('Max rate concentrations'!Y:Y))*0.62*6.01*8*(12.3*F526^0.65)*0.079*0.1/F526)*inputs!$E$73/inputs!$E$74</f>
        <v>7.1491631745864215</v>
      </c>
      <c r="Q526" s="70">
        <f>(inputs!$C$18*11.2*(12.3*F526^0.65)*0.5/F526)*inputs!$E$73/inputs!$E$74</f>
        <v>3.7778741208510853</v>
      </c>
      <c r="R526" s="60">
        <f>(60*379*((F526/1000)^0.8)*3*24*(MAX('Max rate concentrations'!$R$3:$R$368))/F526)*(inputs!$E$73/inputs!$E$75)</f>
        <v>1.0320556153029972E-2</v>
      </c>
      <c r="S526" s="60">
        <f>(IF(inputs!$C$17="aerial",((0.025*0.112*inputs!$C$18/3.3)*(3*60*379*((F526/1000)^0.8))*MAX(inputs!$I$14:$I$16))/F526,((0.0083*0.112*inputs!$C$18/1)*(3*60*379*((F526/1000)^0.8))*MAX(inputs!$I$14:$I$16))/F526))*(inputs!E$75/inputs!$E$73)</f>
        <v>5.6918501261480535E-2</v>
      </c>
      <c r="T526" s="63">
        <f>IF((((inputs!$P$13/(V526/MAX(K526:S526)))^(1/inputs!$O$13))-1)/inputs!$N$13&lt;0, 0, IF((((inputs!$P$13/(V526/MAX(K526:S526)))^(1/inputs!$O$13))-1)/inputs!$N$13&lt;inputs!$I$17, (((inputs!$P$13/(V526/MAX(K526:S526)))^(1/inputs!$O$13))-1)/inputs!$N$13, inputs!$I$17))</f>
        <v>8.4578817912954509</v>
      </c>
      <c r="U526" s="63">
        <f>IF((((inputs!$P$13/(X526/MAX(K526:S526)))^(1/inputs!$O$13))-1)/inputs!$N$13&lt;0, 0, IF((((inputs!$P$13/(X526/MAX(K526:S526)))^(1/inputs!$O$13))-1)/inputs!$N$13&lt;inputs!$I$17, (((inputs!$P$13/(X526/MAX(K526:S526)))^(1/inputs!$O$13))-1)/inputs!$N$13, inputs!$I$17))</f>
        <v>0</v>
      </c>
      <c r="V526" s="54">
        <f>inputs!$E$70*(F526/inputs!$F$70)^(0.25)</f>
        <v>6.8841681082754063</v>
      </c>
      <c r="W526" s="54">
        <f>inputs!$E$76*(F526/inputs!$F$76)^(0.25)</f>
        <v>0.49497474683058318</v>
      </c>
      <c r="X526" s="54">
        <f>inputs!$E$72*(inputs!$F$72/F526)^(0.25)</f>
        <v>36.300682387403803</v>
      </c>
      <c r="Y526" s="54" t="s">
        <v>13</v>
      </c>
      <c r="Z526" s="106">
        <f t="shared" si="44"/>
        <v>3.1154802129217907</v>
      </c>
      <c r="AA526" s="106">
        <f t="shared" si="45"/>
        <v>43.33047223336461</v>
      </c>
    </row>
    <row r="527" spans="1:27" ht="13.2" x14ac:dyDescent="0.25">
      <c r="A527" s="55" t="s">
        <v>598</v>
      </c>
      <c r="B527" s="49" t="s">
        <v>599</v>
      </c>
      <c r="C527" s="21" t="s">
        <v>61</v>
      </c>
      <c r="D527" s="20" t="s">
        <v>454</v>
      </c>
      <c r="E527" s="20">
        <v>1238</v>
      </c>
      <c r="F527" s="21">
        <v>1400</v>
      </c>
      <c r="G527" s="21" t="s">
        <v>169</v>
      </c>
      <c r="H527" s="21">
        <v>0.79</v>
      </c>
      <c r="I527" s="68">
        <f>MAX('Max rate concentrations'!$D$3:$D$368)</f>
        <v>720</v>
      </c>
      <c r="J527" s="68">
        <f>MAX('Max rate concentrations'!W:W)</f>
        <v>255</v>
      </c>
      <c r="K527" s="70">
        <f t="shared" si="46"/>
        <v>221.90662774623306</v>
      </c>
      <c r="L527" s="70">
        <f t="shared" si="47"/>
        <v>78.591930660124206</v>
      </c>
      <c r="M527" s="70">
        <f>IF((((0.326*F527^0.818)-(0.398*F527^0.85)/(1-H527)*H527)*(MAX('Max rate concentrations'!$P$3:$P$368)))/F527&gt;0, (((0.326*F527^0.818)-(0.398*F527^0.85)/(1-H527)*H527)*(MAX('Max rate concentrations'!$P$3:$P$368)))/F527, 0)</f>
        <v>0</v>
      </c>
      <c r="N527" s="70">
        <f>IF((((0.326*F527^0.818)-(0.398*F527^0.85)/(1-H527)*H527)*(MAX('Max rate concentrations'!$Q$3:$Q$368)))/F527&gt; 0, (((0.326*F527^0.818)-(0.398*F527^0.85)/(1-H527)*H527)*(MAX('Max rate concentrations'!$Q$3:$Q$368)))/F527, 0)</f>
        <v>0</v>
      </c>
      <c r="O527" s="70">
        <f>((MAX('Max rate concentrations'!$F$3:$F$368))*0.62*6.01*8*(12.3*F527^0.65)*0.079*0.1/F527)*inputs!$E$73/inputs!$E$74</f>
        <v>21.447489523759263</v>
      </c>
      <c r="P527" s="70">
        <f>((MAX('Max rate concentrations'!Y:Y))*0.62*6.01*8*(12.3*F527^0.65)*0.079*0.1/F527)*inputs!$E$73/inputs!$E$74</f>
        <v>7.1491631745864215</v>
      </c>
      <c r="Q527" s="70">
        <f>(inputs!$C$18*11.2*(12.3*F527^0.65)*0.5/F527)*inputs!$E$73/inputs!$E$74</f>
        <v>3.7778741208510853</v>
      </c>
      <c r="R527" s="60">
        <f>(60*379*((F527/1000)^0.8)*3*24*(MAX('Max rate concentrations'!$R$3:$R$368))/F527)*(inputs!$E$73/inputs!$E$75)</f>
        <v>1.0320556153029972E-2</v>
      </c>
      <c r="S527" s="60">
        <f>(IF(inputs!$C$17="aerial",((0.025*0.112*inputs!$C$18/3.3)*(3*60*379*((F527/1000)^0.8))*MAX(inputs!$I$14:$I$16))/F527,((0.0083*0.112*inputs!$C$18/1)*(3*60*379*((F527/1000)^0.8))*MAX(inputs!$I$14:$I$16))/F527))*(inputs!E$75/inputs!$E$73)</f>
        <v>5.6918501261480535E-2</v>
      </c>
      <c r="T527" s="63">
        <f>IF((((inputs!$P$13/(V527/MAX(K527:S527)))^(1/inputs!$O$13))-1)/inputs!$N$13&lt;0, 0, IF((((inputs!$P$13/(V527/MAX(K527:S527)))^(1/inputs!$O$13))-1)/inputs!$N$13&lt;inputs!$I$17, (((inputs!$P$13/(V527/MAX(K527:S527)))^(1/inputs!$O$13))-1)/inputs!$N$13, inputs!$I$17))</f>
        <v>85.322034219376718</v>
      </c>
      <c r="U527" s="63">
        <f>IF((((inputs!$P$13/(X527/MAX(K527:S527)))^(1/inputs!$O$13))-1)/inputs!$N$13&lt;0, 0, IF((((inputs!$P$13/(X527/MAX(K527:S527)))^(1/inputs!$O$13))-1)/inputs!$N$13&lt;inputs!$I$17, (((inputs!$P$13/(X527/MAX(K527:S527)))^(1/inputs!$O$13))-1)/inputs!$N$13, inputs!$I$17))</f>
        <v>18.376060613268933</v>
      </c>
      <c r="V527" s="54">
        <f>inputs!$E$70*(F527/inputs!$F$70)^(0.25)</f>
        <v>6.8841681082754063</v>
      </c>
      <c r="W527" s="54">
        <f>inputs!$E$76*(F527/inputs!$F$76)^(0.25)</f>
        <v>0.49497474683058318</v>
      </c>
      <c r="X527" s="54">
        <f>inputs!$E$72*(inputs!$F$72/F527)^(0.25)</f>
        <v>36.300682387403803</v>
      </c>
      <c r="Y527" s="54" t="s">
        <v>13</v>
      </c>
      <c r="Z527" s="106">
        <f t="shared" si="44"/>
        <v>32.234341790619666</v>
      </c>
      <c r="AA527" s="106">
        <f t="shared" si="45"/>
        <v>448.31908934171514</v>
      </c>
    </row>
    <row r="528" spans="1:27" ht="13.2" x14ac:dyDescent="0.25">
      <c r="A528" s="55" t="s">
        <v>598</v>
      </c>
      <c r="B528" s="49" t="s">
        <v>599</v>
      </c>
      <c r="C528" s="21" t="s">
        <v>61</v>
      </c>
      <c r="D528" s="20" t="s">
        <v>454</v>
      </c>
      <c r="E528" s="20">
        <v>1238</v>
      </c>
      <c r="F528" s="21">
        <v>1400</v>
      </c>
      <c r="G528" s="21" t="s">
        <v>456</v>
      </c>
      <c r="H528" s="21">
        <v>0.68</v>
      </c>
      <c r="I528" s="68">
        <f>MAX('Max rate concentrations'!$J$3:$J$368)</f>
        <v>686.46486205830786</v>
      </c>
      <c r="J528" s="68">
        <f>MAX('Max rate concentrations'!AB:AB)</f>
        <v>243.122971978984</v>
      </c>
      <c r="K528" s="70">
        <f t="shared" si="46"/>
        <v>138.84345289576757</v>
      </c>
      <c r="L528" s="70">
        <f t="shared" si="47"/>
        <v>49.173722900584345</v>
      </c>
      <c r="M528" s="70">
        <f>IF((((0.326*F528^0.818)-(0.398*F528^0.85)/(1-H528)*H528)*(MAX('Max rate concentrations'!$P$3:$P$368)))/F528&gt;0, (((0.326*F528^0.818)-(0.398*F528^0.85)/(1-H528)*H528)*(MAX('Max rate concentrations'!$P$3:$P$368)))/F528, 0)</f>
        <v>0</v>
      </c>
      <c r="N528" s="70">
        <f>IF((((0.326*F528^0.818)-(0.398*F528^0.85)/(1-H528)*H528)*(MAX('Max rate concentrations'!$Q$3:$Q$368)))/F528&gt; 0, (((0.326*F528^0.818)-(0.398*F528^0.85)/(1-H528)*H528)*(MAX('Max rate concentrations'!$Q$3:$Q$368)))/F528, 0)</f>
        <v>0</v>
      </c>
      <c r="O528" s="70">
        <f>((MAX('Max rate concentrations'!$F$3:$F$368))*0.62*6.01*8*(12.3*F528^0.65)*0.079*0.1/F528)*inputs!$E$73/inputs!$E$74</f>
        <v>21.447489523759263</v>
      </c>
      <c r="P528" s="70">
        <f>((MAX('Max rate concentrations'!Y:Y))*0.62*6.01*8*(12.3*F528^0.65)*0.079*0.1/F528)*inputs!$E$73/inputs!$E$74</f>
        <v>7.1491631745864215</v>
      </c>
      <c r="Q528" s="70">
        <f>(inputs!$C$18*11.2*(12.3*F528^0.65)*0.5/F528)*inputs!$E$73/inputs!$E$74</f>
        <v>3.7778741208510853</v>
      </c>
      <c r="R528" s="60">
        <f>(60*379*((F528/1000)^0.8)*3*24*(MAX('Max rate concentrations'!$R$3:$R$368))/F528)*(inputs!$E$73/inputs!$E$75)</f>
        <v>1.0320556153029972E-2</v>
      </c>
      <c r="S528" s="60">
        <f>(IF(inputs!$C$17="aerial",((0.025*0.112*inputs!$C$18/3.3)*(3*60*379*((F528/1000)^0.8))*MAX(inputs!$I$14:$I$16))/F528,((0.0083*0.112*inputs!$C$18/1)*(3*60*379*((F528/1000)^0.8))*MAX(inputs!$I$14:$I$16))/F528))*(inputs!E$75/inputs!$E$73)</f>
        <v>5.6918501261480535E-2</v>
      </c>
      <c r="T528" s="63">
        <f>IF((((inputs!$P$13/(V528/MAX(K528:S528)))^(1/inputs!$O$13))-1)/inputs!$N$13&lt;0, 0, IF((((inputs!$P$13/(V528/MAX(K528:S528)))^(1/inputs!$O$13))-1)/inputs!$N$13&lt;inputs!$I$17, (((inputs!$P$13/(V528/MAX(K528:S528)))^(1/inputs!$O$13))-1)/inputs!$N$13, inputs!$I$17))</f>
        <v>56.745879974933395</v>
      </c>
      <c r="U528" s="63">
        <f>IF((((inputs!$P$13/(X528/MAX(K528:S528)))^(1/inputs!$O$13))-1)/inputs!$N$13&lt;0, 0, IF((((inputs!$P$13/(X528/MAX(K528:S528)))^(1/inputs!$O$13))-1)/inputs!$N$13&lt;inputs!$I$17, (((inputs!$P$13/(X528/MAX(K528:S528)))^(1/inputs!$O$13))-1)/inputs!$N$13, inputs!$I$17))</f>
        <v>10.927135525123035</v>
      </c>
      <c r="V528" s="54">
        <f>inputs!$E$70*(F528/inputs!$F$70)^(0.25)</f>
        <v>6.8841681082754063</v>
      </c>
      <c r="W528" s="54">
        <f>inputs!$E$76*(F528/inputs!$F$76)^(0.25)</f>
        <v>0.49497474683058318</v>
      </c>
      <c r="X528" s="54">
        <f>inputs!$E$72*(inputs!$F$72/F528)^(0.25)</f>
        <v>36.300682387403803</v>
      </c>
      <c r="Y528" s="54" t="s">
        <v>13</v>
      </c>
      <c r="Z528" s="106">
        <f t="shared" si="44"/>
        <v>20.168515746857622</v>
      </c>
      <c r="AA528" s="106">
        <f t="shared" si="45"/>
        <v>280.50613447414929</v>
      </c>
    </row>
    <row r="529" spans="1:27" ht="13.2" x14ac:dyDescent="0.25">
      <c r="A529" s="55" t="s">
        <v>598</v>
      </c>
      <c r="B529" s="49" t="s">
        <v>599</v>
      </c>
      <c r="C529" s="21" t="s">
        <v>61</v>
      </c>
      <c r="D529" s="20" t="s">
        <v>454</v>
      </c>
      <c r="E529" s="20">
        <v>1238</v>
      </c>
      <c r="F529" s="21">
        <v>1400</v>
      </c>
      <c r="G529" s="21" t="s">
        <v>145</v>
      </c>
      <c r="H529" s="21">
        <v>0.66</v>
      </c>
      <c r="I529" s="68">
        <f>MAX('Max rate concentrations'!$M$3:$M$368)</f>
        <v>17.092910873809167</v>
      </c>
      <c r="J529" s="68">
        <f>MAX('Max rate concentrations'!AE:AE)</f>
        <v>11.81956602976166</v>
      </c>
      <c r="K529" s="70">
        <f t="shared" si="46"/>
        <v>3.2538249353697757</v>
      </c>
      <c r="L529" s="70">
        <f t="shared" si="47"/>
        <v>2.2499853276493131</v>
      </c>
      <c r="M529" s="70">
        <f>IF((((0.326*F529^0.818)-(0.398*F529^0.85)/(1-H529)*H529)*(MAX('Max rate concentrations'!$P$3:$P$368)))/F529&gt;0, (((0.326*F529^0.818)-(0.398*F529^0.85)/(1-H529)*H529)*(MAX('Max rate concentrations'!$P$3:$P$368)))/F529, 0)</f>
        <v>0</v>
      </c>
      <c r="N529" s="70">
        <f>IF((((0.326*F529^0.818)-(0.398*F529^0.85)/(1-H529)*H529)*(MAX('Max rate concentrations'!$Q$3:$Q$368)))/F529&gt; 0, (((0.326*F529^0.818)-(0.398*F529^0.85)/(1-H529)*H529)*(MAX('Max rate concentrations'!$Q$3:$Q$368)))/F529, 0)</f>
        <v>0</v>
      </c>
      <c r="O529" s="70">
        <f>((MAX('Max rate concentrations'!$F$3:$F$368))*0.62*6.01*8*(12.3*F529^0.65)*0.079*0.1/F529)*inputs!$E$73/inputs!$E$74</f>
        <v>21.447489523759263</v>
      </c>
      <c r="P529" s="70">
        <f>((MAX('Max rate concentrations'!Y:Y))*0.62*6.01*8*(12.3*F529^0.65)*0.079*0.1/F529)*inputs!$E$73/inputs!$E$74</f>
        <v>7.1491631745864215</v>
      </c>
      <c r="Q529" s="70">
        <f>(inputs!$C$18*11.2*(12.3*F529^0.65)*0.5/F529)*inputs!$E$73/inputs!$E$74</f>
        <v>3.7778741208510853</v>
      </c>
      <c r="R529" s="60">
        <f>(60*379*((F529/1000)^0.8)*3*24*(MAX('Max rate concentrations'!$R$3:$R$368))/F529)*(inputs!$E$73/inputs!$E$75)</f>
        <v>1.0320556153029972E-2</v>
      </c>
      <c r="S529" s="60">
        <f>(IF(inputs!$C$17="aerial",((0.025*0.112*inputs!$C$18/3.3)*(3*60*379*((F529/1000)^0.8))*MAX(inputs!$I$14:$I$16))/F529,((0.0083*0.112*inputs!$C$18/1)*(3*60*379*((F529/1000)^0.8))*MAX(inputs!$I$14:$I$16))/F529))*(inputs!E$75/inputs!$E$73)</f>
        <v>5.6918501261480535E-2</v>
      </c>
      <c r="T529" s="63">
        <f>IF((((inputs!$P$13/(V529/MAX(K529:S529)))^(1/inputs!$O$13))-1)/inputs!$N$13&lt;0, 0, IF((((inputs!$P$13/(V529/MAX(K529:S529)))^(1/inputs!$O$13))-1)/inputs!$N$13&lt;inputs!$I$17, (((inputs!$P$13/(V529/MAX(K529:S529)))^(1/inputs!$O$13))-1)/inputs!$N$13, inputs!$I$17))</f>
        <v>8.4578817912954509</v>
      </c>
      <c r="U529" s="63">
        <f>IF((((inputs!$P$13/(X529/MAX(K529:S529)))^(1/inputs!$O$13))-1)/inputs!$N$13&lt;0, 0, IF((((inputs!$P$13/(X529/MAX(K529:S529)))^(1/inputs!$O$13))-1)/inputs!$N$13&lt;inputs!$I$17, (((inputs!$P$13/(X529/MAX(K529:S529)))^(1/inputs!$O$13))-1)/inputs!$N$13, inputs!$I$17))</f>
        <v>0</v>
      </c>
      <c r="V529" s="54">
        <f>inputs!$E$70*(F529/inputs!$F$70)^(0.25)</f>
        <v>6.8841681082754063</v>
      </c>
      <c r="W529" s="54">
        <f>inputs!$E$76*(F529/inputs!$F$76)^(0.25)</f>
        <v>0.49497474683058318</v>
      </c>
      <c r="X529" s="54">
        <f>inputs!$E$72*(inputs!$F$72/F529)^(0.25)</f>
        <v>36.300682387403803</v>
      </c>
      <c r="Y529" s="54" t="s">
        <v>13</v>
      </c>
      <c r="Z529" s="106">
        <f t="shared" si="44"/>
        <v>3.1154802129217907</v>
      </c>
      <c r="AA529" s="106">
        <f t="shared" si="45"/>
        <v>43.33047223336461</v>
      </c>
    </row>
    <row r="530" spans="1:27" ht="13.2" x14ac:dyDescent="0.25">
      <c r="A530" s="55" t="s">
        <v>600</v>
      </c>
      <c r="B530" s="49" t="s">
        <v>601</v>
      </c>
      <c r="C530" s="21" t="s">
        <v>61</v>
      </c>
      <c r="D530" s="20" t="s">
        <v>454</v>
      </c>
      <c r="E530" s="20">
        <v>1239</v>
      </c>
      <c r="F530" s="21">
        <v>1400</v>
      </c>
      <c r="G530" s="21" t="s">
        <v>182</v>
      </c>
      <c r="H530" s="21">
        <v>0.85</v>
      </c>
      <c r="I530" s="68">
        <f>MAX('Max rate concentrations'!$M$3:$M$368)</f>
        <v>17.092910873809167</v>
      </c>
      <c r="J530" s="68">
        <f>MAX('Max rate concentrations'!AE:AE)</f>
        <v>11.81956602976166</v>
      </c>
      <c r="K530" s="70">
        <f t="shared" si="46"/>
        <v>7.3753365201714898</v>
      </c>
      <c r="L530" s="70">
        <f t="shared" si="47"/>
        <v>5.099966742671775</v>
      </c>
      <c r="M530" s="70">
        <f>IF((((0.326*F530^0.818)-(0.398*F530^0.85)/(1-H530)*H530)*(MAX('Max rate concentrations'!$P$3:$P$368)))/F530&gt;0, (((0.326*F530^0.818)-(0.398*F530^0.85)/(1-H530)*H530)*(MAX('Max rate concentrations'!$P$3:$P$368)))/F530, 0)</f>
        <v>0</v>
      </c>
      <c r="N530" s="70">
        <f>IF((((0.326*F530^0.818)-(0.398*F530^0.85)/(1-H530)*H530)*(MAX('Max rate concentrations'!$Q$3:$Q$368)))/F530&gt; 0, (((0.326*F530^0.818)-(0.398*F530^0.85)/(1-H530)*H530)*(MAX('Max rate concentrations'!$Q$3:$Q$368)))/F530, 0)</f>
        <v>0</v>
      </c>
      <c r="O530" s="70">
        <f>((MAX('Max rate concentrations'!$F$3:$F$368))*0.62*6.01*8*(12.3*F530^0.65)*0.079*0.1/F530)*inputs!$E$73/inputs!$E$74</f>
        <v>21.447489523759263</v>
      </c>
      <c r="P530" s="70">
        <f>((MAX('Max rate concentrations'!Y:Y))*0.62*6.01*8*(12.3*F530^0.65)*0.079*0.1/F530)*inputs!$E$73/inputs!$E$74</f>
        <v>7.1491631745864215</v>
      </c>
      <c r="Q530" s="70">
        <f>(inputs!$C$18*11.2*(12.3*F530^0.65)*0.5/F530)*inputs!$E$73/inputs!$E$74</f>
        <v>3.7778741208510853</v>
      </c>
      <c r="R530" s="60">
        <f>(60*379*((F530/1000)^0.8)*3*24*(MAX('Max rate concentrations'!$R$3:$R$368))/F530)*(inputs!$E$73/inputs!$E$75)</f>
        <v>1.0320556153029972E-2</v>
      </c>
      <c r="S530" s="60">
        <f>(IF(inputs!$C$17="aerial",((0.025*0.112*inputs!$C$18/3.3)*(3*60*379*((F530/1000)^0.8))*MAX(inputs!$I$14:$I$16))/F530,((0.0083*0.112*inputs!$C$18/1)*(3*60*379*((F530/1000)^0.8))*MAX(inputs!$I$14:$I$16))/F530))*(inputs!E$75/inputs!$E$73)</f>
        <v>5.6918501261480535E-2</v>
      </c>
      <c r="T530" s="63">
        <f>IF((((inputs!$P$13/(V530/MAX(K530:S530)))^(1/inputs!$O$13))-1)/inputs!$N$13&lt;0, 0, IF((((inputs!$P$13/(V530/MAX(K530:S530)))^(1/inputs!$O$13))-1)/inputs!$N$13&lt;inputs!$I$17, (((inputs!$P$13/(V530/MAX(K530:S530)))^(1/inputs!$O$13))-1)/inputs!$N$13, inputs!$I$17))</f>
        <v>8.4578817912954509</v>
      </c>
      <c r="U530" s="63">
        <f>IF((((inputs!$P$13/(X530/MAX(K530:S530)))^(1/inputs!$O$13))-1)/inputs!$N$13&lt;0, 0, IF((((inputs!$P$13/(X530/MAX(K530:S530)))^(1/inputs!$O$13))-1)/inputs!$N$13&lt;inputs!$I$17, (((inputs!$P$13/(X530/MAX(K530:S530)))^(1/inputs!$O$13))-1)/inputs!$N$13, inputs!$I$17))</f>
        <v>0</v>
      </c>
      <c r="V530" s="54">
        <f>inputs!$E$70*(F530/inputs!$F$70)^(0.25)</f>
        <v>6.8841681082754063</v>
      </c>
      <c r="W530" s="54">
        <f>inputs!$E$76*(F530/inputs!$F$76)^(0.25)</f>
        <v>0.49497474683058318</v>
      </c>
      <c r="X530" s="54">
        <f>inputs!$E$72*(inputs!$F$72/F530)^(0.25)</f>
        <v>36.300682387403803</v>
      </c>
      <c r="Y530" s="54" t="s">
        <v>13</v>
      </c>
      <c r="Z530" s="106">
        <f t="shared" si="44"/>
        <v>3.1154802129217907</v>
      </c>
      <c r="AA530" s="106">
        <f t="shared" si="45"/>
        <v>43.33047223336461</v>
      </c>
    </row>
    <row r="531" spans="1:27" ht="13.2" x14ac:dyDescent="0.25">
      <c r="A531" s="55" t="s">
        <v>600</v>
      </c>
      <c r="B531" s="49" t="s">
        <v>601</v>
      </c>
      <c r="C531" s="21" t="s">
        <v>61</v>
      </c>
      <c r="D531" s="20" t="s">
        <v>454</v>
      </c>
      <c r="E531" s="20">
        <v>1239</v>
      </c>
      <c r="F531" s="21">
        <v>1400</v>
      </c>
      <c r="G531" s="21" t="s">
        <v>142</v>
      </c>
      <c r="H531" s="21">
        <v>0.69</v>
      </c>
      <c r="I531" s="68">
        <f>MAX('Max rate concentrations'!$H$3:$H$368)</f>
        <v>282</v>
      </c>
      <c r="J531" s="68">
        <f>MAX('Max rate concentrations'!AA:AA)</f>
        <v>195</v>
      </c>
      <c r="K531" s="70">
        <f t="shared" si="46"/>
        <v>58.876839135895686</v>
      </c>
      <c r="L531" s="70">
        <f t="shared" si="47"/>
        <v>40.71270791311936</v>
      </c>
      <c r="M531" s="70">
        <f>IF((((0.326*F531^0.818)-(0.398*F531^0.85)/(1-H531)*H531)*(MAX('Max rate concentrations'!$P$3:$P$368)))/F531&gt;0, (((0.326*F531^0.818)-(0.398*F531^0.85)/(1-H531)*H531)*(MAX('Max rate concentrations'!$P$3:$P$368)))/F531, 0)</f>
        <v>0</v>
      </c>
      <c r="N531" s="70">
        <f>IF((((0.326*F531^0.818)-(0.398*F531^0.85)/(1-H531)*H531)*(MAX('Max rate concentrations'!$Q$3:$Q$368)))/F531&gt; 0, (((0.326*F531^0.818)-(0.398*F531^0.85)/(1-H531)*H531)*(MAX('Max rate concentrations'!$Q$3:$Q$368)))/F531, 0)</f>
        <v>0</v>
      </c>
      <c r="O531" s="70">
        <f>((MAX('Max rate concentrations'!$F$3:$F$368))*0.62*6.01*8*(12.3*F531^0.65)*0.079*0.1/F531)*inputs!$E$73/inputs!$E$74</f>
        <v>21.447489523759263</v>
      </c>
      <c r="P531" s="70">
        <f>((MAX('Max rate concentrations'!Y:Y))*0.62*6.01*8*(12.3*F531^0.65)*0.079*0.1/F531)*inputs!$E$73/inputs!$E$74</f>
        <v>7.1491631745864215</v>
      </c>
      <c r="Q531" s="70">
        <f>(inputs!$C$18*11.2*(12.3*F531^0.65)*0.5/F531)*inputs!$E$73/inputs!$E$74</f>
        <v>3.7778741208510853</v>
      </c>
      <c r="R531" s="60">
        <f>(60*379*((F531/1000)^0.8)*3*24*(MAX('Max rate concentrations'!$R$3:$R$368))/F531)*(inputs!$E$73/inputs!$E$75)</f>
        <v>1.0320556153029972E-2</v>
      </c>
      <c r="S531" s="60">
        <f>(IF(inputs!$C$17="aerial",((0.025*0.112*inputs!$C$18/3.3)*(3*60*379*((F531/1000)^0.8))*MAX(inputs!$I$14:$I$16))/F531,((0.0083*0.112*inputs!$C$18/1)*(3*60*379*((F531/1000)^0.8))*MAX(inputs!$I$14:$I$16))/F531))*(inputs!E$75/inputs!$E$73)</f>
        <v>5.6918501261480535E-2</v>
      </c>
      <c r="T531" s="63">
        <f>IF((((inputs!$P$13/(V531/MAX(K531:S531)))^(1/inputs!$O$13))-1)/inputs!$N$13&lt;0, 0, IF((((inputs!$P$13/(V531/MAX(K531:S531)))^(1/inputs!$O$13))-1)/inputs!$N$13&lt;inputs!$I$17, (((inputs!$P$13/(V531/MAX(K531:S531)))^(1/inputs!$O$13))-1)/inputs!$N$13, inputs!$I$17))</f>
        <v>25.740369649833113</v>
      </c>
      <c r="U531" s="63">
        <f>IF((((inputs!$P$13/(X531/MAX(K531:S531)))^(1/inputs!$O$13))-1)/inputs!$N$13&lt;0, 0, IF((((inputs!$P$13/(X531/MAX(K531:S531)))^(1/inputs!$O$13))-1)/inputs!$N$13&lt;inputs!$I$17, (((inputs!$P$13/(X531/MAX(K531:S531)))^(1/inputs!$O$13))-1)/inputs!$N$13, inputs!$I$17))</f>
        <v>2.8449519760082627</v>
      </c>
      <c r="V531" s="54">
        <f>inputs!$E$70*(F531/inputs!$F$70)^(0.25)</f>
        <v>6.8841681082754063</v>
      </c>
      <c r="W531" s="54">
        <f>inputs!$E$76*(F531/inputs!$F$76)^(0.25)</f>
        <v>0.49497474683058318</v>
      </c>
      <c r="X531" s="54">
        <f>inputs!$E$72*(inputs!$F$72/F531)^(0.25)</f>
        <v>36.300682387403803</v>
      </c>
      <c r="Y531" s="54" t="s">
        <v>13</v>
      </c>
      <c r="Z531" s="106">
        <f t="shared" si="44"/>
        <v>8.5524987492853768</v>
      </c>
      <c r="AA531" s="106">
        <f t="shared" si="45"/>
        <v>118.94917773663245</v>
      </c>
    </row>
    <row r="532" spans="1:27" ht="13.2" x14ac:dyDescent="0.25">
      <c r="A532" s="55" t="s">
        <v>600</v>
      </c>
      <c r="B532" s="49" t="s">
        <v>601</v>
      </c>
      <c r="C532" s="21" t="s">
        <v>61</v>
      </c>
      <c r="D532" s="20" t="s">
        <v>454</v>
      </c>
      <c r="E532" s="20">
        <v>1239</v>
      </c>
      <c r="F532" s="21">
        <v>1400</v>
      </c>
      <c r="G532" s="21" t="s">
        <v>164</v>
      </c>
      <c r="H532" s="21">
        <v>0.78</v>
      </c>
      <c r="I532" s="68">
        <f>inputs!$C$66*(inputs!$C$62/1000)</f>
        <v>8.2000000000000011</v>
      </c>
      <c r="J532" s="68">
        <f>inputs!$C$66*(inputs!$C$61/1000)</f>
        <v>2.5</v>
      </c>
      <c r="K532" s="70">
        <f t="shared" si="46"/>
        <v>2.4123940213321546</v>
      </c>
      <c r="L532" s="70">
        <f t="shared" si="47"/>
        <v>0.73548598211346172</v>
      </c>
      <c r="M532" s="70">
        <f>IF((((0.326*F532^0.818)-(0.398*F532^0.85)/(1-H532)*H532)*(MAX('Max rate concentrations'!$P$3:$P$368)))/F532&gt;0, (((0.326*F532^0.818)-(0.398*F532^0.85)/(1-H532)*H532)*(MAX('Max rate concentrations'!$P$3:$P$368)))/F532, 0)</f>
        <v>0</v>
      </c>
      <c r="N532" s="70">
        <f>IF((((0.326*F532^0.818)-(0.398*F532^0.85)/(1-H532)*H532)*(MAX('Max rate concentrations'!$Q$3:$Q$368)))/F532&gt; 0, (((0.326*F532^0.818)-(0.398*F532^0.85)/(1-H532)*H532)*(MAX('Max rate concentrations'!$Q$3:$Q$368)))/F532, 0)</f>
        <v>0</v>
      </c>
      <c r="O532" s="70">
        <f>((MAX('Max rate concentrations'!$F$3:$F$368))*0.62*6.01*8*(12.3*F532^0.65)*0.079*0.1/F532)*inputs!$E$73/inputs!$E$74</f>
        <v>21.447489523759263</v>
      </c>
      <c r="P532" s="70">
        <f>((MAX('Max rate concentrations'!Y:Y))*0.62*6.01*8*(12.3*F532^0.65)*0.079*0.1/F532)*inputs!$E$73/inputs!$E$74</f>
        <v>7.1491631745864215</v>
      </c>
      <c r="Q532" s="70">
        <f>(inputs!$C$18*11.2*(12.3*F532^0.65)*0.5/F532)*inputs!$E$73/inputs!$E$74</f>
        <v>3.7778741208510853</v>
      </c>
      <c r="R532" s="60">
        <f>(60*379*((F532/1000)^0.8)*3*24*(MAX('Max rate concentrations'!$R$3:$R$368))/F532)*(inputs!$E$73/inputs!$E$75)</f>
        <v>1.0320556153029972E-2</v>
      </c>
      <c r="S532" s="60">
        <f>(IF(inputs!$C$17="aerial",((0.025*0.112*inputs!$C$18/3.3)*(3*60*379*((F532/1000)^0.8))*MAX(inputs!$I$14:$I$16))/F532,((0.0083*0.112*inputs!$C$18/1)*(3*60*379*((F532/1000)^0.8))*MAX(inputs!$I$14:$I$16))/F532))*(inputs!E$75/inputs!$E$73)</f>
        <v>5.6918501261480535E-2</v>
      </c>
      <c r="T532" s="63">
        <f>IF((((inputs!$P$13/(V532/MAX(K532:S532)))^(1/inputs!$O$13))-1)/inputs!$N$13&lt;0, 0, IF((((inputs!$P$13/(V532/MAX(K532:S532)))^(1/inputs!$O$13))-1)/inputs!$N$13&lt;inputs!$I$17, (((inputs!$P$13/(V532/MAX(K532:S532)))^(1/inputs!$O$13))-1)/inputs!$N$13, inputs!$I$17))</f>
        <v>8.4578817912954509</v>
      </c>
      <c r="U532" s="63">
        <f>IF((((inputs!$P$13/(X532/MAX(K532:S532)))^(1/inputs!$O$13))-1)/inputs!$N$13&lt;0, 0, IF((((inputs!$P$13/(X532/MAX(K532:S532)))^(1/inputs!$O$13))-1)/inputs!$N$13&lt;inputs!$I$17, (((inputs!$P$13/(X532/MAX(K532:S532)))^(1/inputs!$O$13))-1)/inputs!$N$13, inputs!$I$17))</f>
        <v>0</v>
      </c>
      <c r="V532" s="54">
        <f>inputs!$E$70*(F532/inputs!$F$70)^(0.25)</f>
        <v>6.8841681082754063</v>
      </c>
      <c r="W532" s="54">
        <f>inputs!$E$76*(F532/inputs!$F$76)^(0.25)</f>
        <v>0.49497474683058318</v>
      </c>
      <c r="X532" s="54">
        <f>inputs!$E$72*(inputs!$F$72/F532)^(0.25)</f>
        <v>36.300682387403803</v>
      </c>
      <c r="Y532" s="54" t="s">
        <v>13</v>
      </c>
      <c r="Z532" s="106">
        <f t="shared" si="44"/>
        <v>3.1154802129217907</v>
      </c>
      <c r="AA532" s="106">
        <f t="shared" si="45"/>
        <v>43.33047223336461</v>
      </c>
    </row>
    <row r="533" spans="1:27" ht="13.2" x14ac:dyDescent="0.25">
      <c r="A533" s="55" t="s">
        <v>600</v>
      </c>
      <c r="B533" s="49" t="s">
        <v>601</v>
      </c>
      <c r="C533" s="21" t="s">
        <v>61</v>
      </c>
      <c r="D533" s="20" t="s">
        <v>454</v>
      </c>
      <c r="E533" s="20">
        <v>1239</v>
      </c>
      <c r="F533" s="21">
        <v>1400</v>
      </c>
      <c r="G533" s="21" t="s">
        <v>138</v>
      </c>
      <c r="H533" s="21">
        <v>0.68</v>
      </c>
      <c r="I533" s="68">
        <f>MAX('Max rate concentrations'!$L$3:$L$368)</f>
        <v>350.52744091332482</v>
      </c>
      <c r="J533" s="68">
        <f>MAX('Max rate concentrations'!AD:AD)</f>
        <v>242.38599637623525</v>
      </c>
      <c r="K533" s="70">
        <f t="shared" si="46"/>
        <v>70.897205262910163</v>
      </c>
      <c r="L533" s="70">
        <f t="shared" si="47"/>
        <v>49.024663213714476</v>
      </c>
      <c r="M533" s="70">
        <f>IF((((0.326*F533^0.818)-(0.398*F533^0.85)/(1-H533)*H533)*(MAX('Max rate concentrations'!$P$3:$P$368)))/F533&gt;0, (((0.326*F533^0.818)-(0.398*F533^0.85)/(1-H533)*H533)*(MAX('Max rate concentrations'!$P$3:$P$368)))/F533, 0)</f>
        <v>0</v>
      </c>
      <c r="N533" s="70">
        <f>IF((((0.326*F533^0.818)-(0.398*F533^0.85)/(1-H533)*H533)*(MAX('Max rate concentrations'!$Q$3:$Q$368)))/F533&gt; 0, (((0.326*F533^0.818)-(0.398*F533^0.85)/(1-H533)*H533)*(MAX('Max rate concentrations'!$Q$3:$Q$368)))/F533, 0)</f>
        <v>0</v>
      </c>
      <c r="O533" s="70">
        <f>((MAX('Max rate concentrations'!$F$3:$F$368))*0.62*6.01*8*(12.3*F533^0.65)*0.079*0.1/F533)*inputs!$E$73/inputs!$E$74</f>
        <v>21.447489523759263</v>
      </c>
      <c r="P533" s="70">
        <f>((MAX('Max rate concentrations'!Y:Y))*0.62*6.01*8*(12.3*F533^0.65)*0.079*0.1/F533)*inputs!$E$73/inputs!$E$74</f>
        <v>7.1491631745864215</v>
      </c>
      <c r="Q533" s="70">
        <f>(inputs!$C$18*11.2*(12.3*F533^0.65)*0.5/F533)*inputs!$E$73/inputs!$E$74</f>
        <v>3.7778741208510853</v>
      </c>
      <c r="R533" s="60">
        <f>(60*379*((F533/1000)^0.8)*3*24*(MAX('Max rate concentrations'!$R$3:$R$368))/F533)*(inputs!$E$73/inputs!$E$75)</f>
        <v>1.0320556153029972E-2</v>
      </c>
      <c r="S533" s="60">
        <f>(IF(inputs!$C$17="aerial",((0.025*0.112*inputs!$C$18/3.3)*(3*60*379*((F533/1000)^0.8))*MAX(inputs!$I$14:$I$16))/F533,((0.0083*0.112*inputs!$C$18/1)*(3*60*379*((F533/1000)^0.8))*MAX(inputs!$I$14:$I$16))/F533))*(inputs!E$75/inputs!$E$73)</f>
        <v>5.6918501261480535E-2</v>
      </c>
      <c r="T533" s="63">
        <f>IF((((inputs!$P$13/(V533/MAX(K533:S533)))^(1/inputs!$O$13))-1)/inputs!$N$13&lt;0, 0, IF((((inputs!$P$13/(V533/MAX(K533:S533)))^(1/inputs!$O$13))-1)/inputs!$N$13&lt;inputs!$I$17, (((inputs!$P$13/(V533/MAX(K533:S533)))^(1/inputs!$O$13))-1)/inputs!$N$13, inputs!$I$17))</f>
        <v>30.760546345626882</v>
      </c>
      <c r="U533" s="63">
        <f>IF((((inputs!$P$13/(X533/MAX(K533:S533)))^(1/inputs!$O$13))-1)/inputs!$N$13&lt;0, 0, IF((((inputs!$P$13/(X533/MAX(K533:S533)))^(1/inputs!$O$13))-1)/inputs!$N$13&lt;inputs!$I$17, (((inputs!$P$13/(X533/MAX(K533:S533)))^(1/inputs!$O$13))-1)/inputs!$N$13, inputs!$I$17))</f>
        <v>4.1535577392731007</v>
      </c>
      <c r="V533" s="54">
        <f>inputs!$E$70*(F533/inputs!$F$70)^(0.25)</f>
        <v>6.8841681082754063</v>
      </c>
      <c r="W533" s="54">
        <f>inputs!$E$76*(F533/inputs!$F$76)^(0.25)</f>
        <v>0.49497474683058318</v>
      </c>
      <c r="X533" s="54">
        <f>inputs!$E$72*(inputs!$F$72/F533)^(0.25)</f>
        <v>36.300682387403803</v>
      </c>
      <c r="Y533" s="54" t="s">
        <v>13</v>
      </c>
      <c r="Z533" s="106">
        <f t="shared" si="44"/>
        <v>10.298587156476492</v>
      </c>
      <c r="AA533" s="106">
        <f t="shared" si="45"/>
        <v>143.23398459593821</v>
      </c>
    </row>
    <row r="534" spans="1:27" ht="13.2" x14ac:dyDescent="0.25">
      <c r="A534" s="55" t="s">
        <v>600</v>
      </c>
      <c r="B534" s="49" t="s">
        <v>601</v>
      </c>
      <c r="C534" s="21" t="s">
        <v>61</v>
      </c>
      <c r="D534" s="20" t="s">
        <v>454</v>
      </c>
      <c r="E534" s="20">
        <v>1239</v>
      </c>
      <c r="F534" s="21">
        <v>1400</v>
      </c>
      <c r="G534" s="21" t="s">
        <v>152</v>
      </c>
      <c r="H534" s="21">
        <v>0.77</v>
      </c>
      <c r="I534" s="68">
        <f>MAX('Max rate concentrations'!$G$3:$G$368)</f>
        <v>45</v>
      </c>
      <c r="J534" s="68">
        <f>MAX('Max rate concentrations'!Z:Z)</f>
        <v>21</v>
      </c>
      <c r="K534" s="70">
        <f t="shared" si="46"/>
        <v>12.663149952910036</v>
      </c>
      <c r="L534" s="70">
        <f t="shared" si="47"/>
        <v>5.909469978024684</v>
      </c>
      <c r="M534" s="70">
        <f>IF((((0.326*F534^0.818)-(0.398*F534^0.85)/(1-H534)*H534)*(MAX('Max rate concentrations'!$P$3:$P$368)))/F534&gt;0, (((0.326*F534^0.818)-(0.398*F534^0.85)/(1-H534)*H534)*(MAX('Max rate concentrations'!$P$3:$P$368)))/F534, 0)</f>
        <v>0</v>
      </c>
      <c r="N534" s="70">
        <f>IF((((0.326*F534^0.818)-(0.398*F534^0.85)/(1-H534)*H534)*(MAX('Max rate concentrations'!$Q$3:$Q$368)))/F534&gt; 0, (((0.326*F534^0.818)-(0.398*F534^0.85)/(1-H534)*H534)*(MAX('Max rate concentrations'!$Q$3:$Q$368)))/F534, 0)</f>
        <v>0</v>
      </c>
      <c r="O534" s="70">
        <f>((MAX('Max rate concentrations'!$F$3:$F$368))*0.62*6.01*8*(12.3*F534^0.65)*0.079*0.1/F534)*inputs!$E$73/inputs!$E$74</f>
        <v>21.447489523759263</v>
      </c>
      <c r="P534" s="70">
        <f>((MAX('Max rate concentrations'!Y:Y))*0.62*6.01*8*(12.3*F534^0.65)*0.079*0.1/F534)*inputs!$E$73/inputs!$E$74</f>
        <v>7.1491631745864215</v>
      </c>
      <c r="Q534" s="70">
        <f>(inputs!$C$18*11.2*(12.3*F534^0.65)*0.5/F534)*inputs!$E$73/inputs!$E$74</f>
        <v>3.7778741208510853</v>
      </c>
      <c r="R534" s="60">
        <f>(60*379*((F534/1000)^0.8)*3*24*(MAX('Max rate concentrations'!$R$3:$R$368))/F534)*(inputs!$E$73/inputs!$E$75)</f>
        <v>1.0320556153029972E-2</v>
      </c>
      <c r="S534" s="60">
        <f>(IF(inputs!$C$17="aerial",((0.025*0.112*inputs!$C$18/3.3)*(3*60*379*((F534/1000)^0.8))*MAX(inputs!$I$14:$I$16))/F534,((0.0083*0.112*inputs!$C$18/1)*(3*60*379*((F534/1000)^0.8))*MAX(inputs!$I$14:$I$16))/F534))*(inputs!E$75/inputs!$E$73)</f>
        <v>5.6918501261480535E-2</v>
      </c>
      <c r="T534" s="63">
        <f>IF((((inputs!$P$13/(V534/MAX(K534:S534)))^(1/inputs!$O$13))-1)/inputs!$N$13&lt;0, 0, IF((((inputs!$P$13/(V534/MAX(K534:S534)))^(1/inputs!$O$13))-1)/inputs!$N$13&lt;inputs!$I$17, (((inputs!$P$13/(V534/MAX(K534:S534)))^(1/inputs!$O$13))-1)/inputs!$N$13, inputs!$I$17))</f>
        <v>8.4578817912954509</v>
      </c>
      <c r="U534" s="63">
        <f>IF((((inputs!$P$13/(X534/MAX(K534:S534)))^(1/inputs!$O$13))-1)/inputs!$N$13&lt;0, 0, IF((((inputs!$P$13/(X534/MAX(K534:S534)))^(1/inputs!$O$13))-1)/inputs!$N$13&lt;inputs!$I$17, (((inputs!$P$13/(X534/MAX(K534:S534)))^(1/inputs!$O$13))-1)/inputs!$N$13, inputs!$I$17))</f>
        <v>0</v>
      </c>
      <c r="V534" s="54">
        <f>inputs!$E$70*(F534/inputs!$F$70)^(0.25)</f>
        <v>6.8841681082754063</v>
      </c>
      <c r="W534" s="54">
        <f>inputs!$E$76*(F534/inputs!$F$76)^(0.25)</f>
        <v>0.49497474683058318</v>
      </c>
      <c r="X534" s="54">
        <f>inputs!$E$72*(inputs!$F$72/F534)^(0.25)</f>
        <v>36.300682387403803</v>
      </c>
      <c r="Y534" s="54" t="s">
        <v>13</v>
      </c>
      <c r="Z534" s="106">
        <f t="shared" si="44"/>
        <v>3.1154802129217907</v>
      </c>
      <c r="AA534" s="106">
        <f t="shared" si="45"/>
        <v>43.33047223336461</v>
      </c>
    </row>
    <row r="535" spans="1:27" ht="13.2" x14ac:dyDescent="0.25">
      <c r="A535" s="55" t="s">
        <v>600</v>
      </c>
      <c r="B535" s="49" t="s">
        <v>601</v>
      </c>
      <c r="C535" s="21" t="s">
        <v>61</v>
      </c>
      <c r="D535" s="20" t="s">
        <v>454</v>
      </c>
      <c r="E535" s="20">
        <v>1239</v>
      </c>
      <c r="F535" s="21">
        <v>1400</v>
      </c>
      <c r="G535" s="21" t="s">
        <v>169</v>
      </c>
      <c r="H535" s="21">
        <v>0.79</v>
      </c>
      <c r="I535" s="68">
        <f>MAX('Max rate concentrations'!$D$3:$D$368)</f>
        <v>720</v>
      </c>
      <c r="J535" s="68">
        <f>MAX('Max rate concentrations'!W:W)</f>
        <v>255</v>
      </c>
      <c r="K535" s="70">
        <f t="shared" si="46"/>
        <v>221.90662774623306</v>
      </c>
      <c r="L535" s="70">
        <f t="shared" si="47"/>
        <v>78.591930660124206</v>
      </c>
      <c r="M535" s="70">
        <f>IF((((0.326*F535^0.818)-(0.398*F535^0.85)/(1-H535)*H535)*(MAX('Max rate concentrations'!$P$3:$P$368)))/F535&gt;0, (((0.326*F535^0.818)-(0.398*F535^0.85)/(1-H535)*H535)*(MAX('Max rate concentrations'!$P$3:$P$368)))/F535, 0)</f>
        <v>0</v>
      </c>
      <c r="N535" s="70">
        <f>IF((((0.326*F535^0.818)-(0.398*F535^0.85)/(1-H535)*H535)*(MAX('Max rate concentrations'!$Q$3:$Q$368)))/F535&gt; 0, (((0.326*F535^0.818)-(0.398*F535^0.85)/(1-H535)*H535)*(MAX('Max rate concentrations'!$Q$3:$Q$368)))/F535, 0)</f>
        <v>0</v>
      </c>
      <c r="O535" s="70">
        <f>((MAX('Max rate concentrations'!$F$3:$F$368))*0.62*6.01*8*(12.3*F535^0.65)*0.079*0.1/F535)*inputs!$E$73/inputs!$E$74</f>
        <v>21.447489523759263</v>
      </c>
      <c r="P535" s="70">
        <f>((MAX('Max rate concentrations'!Y:Y))*0.62*6.01*8*(12.3*F535^0.65)*0.079*0.1/F535)*inputs!$E$73/inputs!$E$74</f>
        <v>7.1491631745864215</v>
      </c>
      <c r="Q535" s="70">
        <f>(inputs!$C$18*11.2*(12.3*F535^0.65)*0.5/F535)*inputs!$E$73/inputs!$E$74</f>
        <v>3.7778741208510853</v>
      </c>
      <c r="R535" s="60">
        <f>(60*379*((F535/1000)^0.8)*3*24*(MAX('Max rate concentrations'!$R$3:$R$368))/F535)*(inputs!$E$73/inputs!$E$75)</f>
        <v>1.0320556153029972E-2</v>
      </c>
      <c r="S535" s="60">
        <f>(IF(inputs!$C$17="aerial",((0.025*0.112*inputs!$C$18/3.3)*(3*60*379*((F535/1000)^0.8))*MAX(inputs!$I$14:$I$16))/F535,((0.0083*0.112*inputs!$C$18/1)*(3*60*379*((F535/1000)^0.8))*MAX(inputs!$I$14:$I$16))/F535))*(inputs!E$75/inputs!$E$73)</f>
        <v>5.6918501261480535E-2</v>
      </c>
      <c r="T535" s="63">
        <f>IF((((inputs!$P$13/(V535/MAX(K535:S535)))^(1/inputs!$O$13))-1)/inputs!$N$13&lt;0, 0, IF((((inputs!$P$13/(V535/MAX(K535:S535)))^(1/inputs!$O$13))-1)/inputs!$N$13&lt;inputs!$I$17, (((inputs!$P$13/(V535/MAX(K535:S535)))^(1/inputs!$O$13))-1)/inputs!$N$13, inputs!$I$17))</f>
        <v>85.322034219376718</v>
      </c>
      <c r="U535" s="63">
        <f>IF((((inputs!$P$13/(X535/MAX(K535:S535)))^(1/inputs!$O$13))-1)/inputs!$N$13&lt;0, 0, IF((((inputs!$P$13/(X535/MAX(K535:S535)))^(1/inputs!$O$13))-1)/inputs!$N$13&lt;inputs!$I$17, (((inputs!$P$13/(X535/MAX(K535:S535)))^(1/inputs!$O$13))-1)/inputs!$N$13, inputs!$I$17))</f>
        <v>18.376060613268933</v>
      </c>
      <c r="V535" s="54">
        <f>inputs!$E$70*(F535/inputs!$F$70)^(0.25)</f>
        <v>6.8841681082754063</v>
      </c>
      <c r="W535" s="54">
        <f>inputs!$E$76*(F535/inputs!$F$76)^(0.25)</f>
        <v>0.49497474683058318</v>
      </c>
      <c r="X535" s="54">
        <f>inputs!$E$72*(inputs!$F$72/F535)^(0.25)</f>
        <v>36.300682387403803</v>
      </c>
      <c r="Y535" s="54" t="s">
        <v>13</v>
      </c>
      <c r="Z535" s="106">
        <f t="shared" si="44"/>
        <v>32.234341790619666</v>
      </c>
      <c r="AA535" s="106">
        <f t="shared" si="45"/>
        <v>448.31908934171514</v>
      </c>
    </row>
    <row r="536" spans="1:27" ht="13.2" x14ac:dyDescent="0.25">
      <c r="A536" s="55" t="s">
        <v>600</v>
      </c>
      <c r="B536" s="49" t="s">
        <v>601</v>
      </c>
      <c r="C536" s="21" t="s">
        <v>61</v>
      </c>
      <c r="D536" s="20" t="s">
        <v>454</v>
      </c>
      <c r="E536" s="20">
        <v>1239</v>
      </c>
      <c r="F536" s="21">
        <v>1400</v>
      </c>
      <c r="G536" s="21" t="s">
        <v>456</v>
      </c>
      <c r="H536" s="21">
        <v>0.68</v>
      </c>
      <c r="I536" s="68">
        <f>MAX('Max rate concentrations'!$J$3:$J$368)</f>
        <v>686.46486205830786</v>
      </c>
      <c r="J536" s="68">
        <f>MAX('Max rate concentrations'!AB:AB)</f>
        <v>243.122971978984</v>
      </c>
      <c r="K536" s="70">
        <f t="shared" si="46"/>
        <v>138.84345289576757</v>
      </c>
      <c r="L536" s="70">
        <f t="shared" si="47"/>
        <v>49.173722900584345</v>
      </c>
      <c r="M536" s="70">
        <f>IF((((0.326*F536^0.818)-(0.398*F536^0.85)/(1-H536)*H536)*(MAX('Max rate concentrations'!$P$3:$P$368)))/F536&gt;0, (((0.326*F536^0.818)-(0.398*F536^0.85)/(1-H536)*H536)*(MAX('Max rate concentrations'!$P$3:$P$368)))/F536, 0)</f>
        <v>0</v>
      </c>
      <c r="N536" s="70">
        <f>IF((((0.326*F536^0.818)-(0.398*F536^0.85)/(1-H536)*H536)*(MAX('Max rate concentrations'!$Q$3:$Q$368)))/F536&gt; 0, (((0.326*F536^0.818)-(0.398*F536^0.85)/(1-H536)*H536)*(MAX('Max rate concentrations'!$Q$3:$Q$368)))/F536, 0)</f>
        <v>0</v>
      </c>
      <c r="O536" s="70">
        <f>((MAX('Max rate concentrations'!$F$3:$F$368))*0.62*6.01*8*(12.3*F536^0.65)*0.079*0.1/F536)*inputs!$E$73/inputs!$E$74</f>
        <v>21.447489523759263</v>
      </c>
      <c r="P536" s="70">
        <f>((MAX('Max rate concentrations'!Y:Y))*0.62*6.01*8*(12.3*F536^0.65)*0.079*0.1/F536)*inputs!$E$73/inputs!$E$74</f>
        <v>7.1491631745864215</v>
      </c>
      <c r="Q536" s="70">
        <f>(inputs!$C$18*11.2*(12.3*F536^0.65)*0.5/F536)*inputs!$E$73/inputs!$E$74</f>
        <v>3.7778741208510853</v>
      </c>
      <c r="R536" s="60">
        <f>(60*379*((F536/1000)^0.8)*3*24*(MAX('Max rate concentrations'!$R$3:$R$368))/F536)*(inputs!$E$73/inputs!$E$75)</f>
        <v>1.0320556153029972E-2</v>
      </c>
      <c r="S536" s="60">
        <f>(IF(inputs!$C$17="aerial",((0.025*0.112*inputs!$C$18/3.3)*(3*60*379*((F536/1000)^0.8))*MAX(inputs!$I$14:$I$16))/F536,((0.0083*0.112*inputs!$C$18/1)*(3*60*379*((F536/1000)^0.8))*MAX(inputs!$I$14:$I$16))/F536))*(inputs!E$75/inputs!$E$73)</f>
        <v>5.6918501261480535E-2</v>
      </c>
      <c r="T536" s="63">
        <f>IF((((inputs!$P$13/(V536/MAX(K536:S536)))^(1/inputs!$O$13))-1)/inputs!$N$13&lt;0, 0, IF((((inputs!$P$13/(V536/MAX(K536:S536)))^(1/inputs!$O$13))-1)/inputs!$N$13&lt;inputs!$I$17, (((inputs!$P$13/(V536/MAX(K536:S536)))^(1/inputs!$O$13))-1)/inputs!$N$13, inputs!$I$17))</f>
        <v>56.745879974933395</v>
      </c>
      <c r="U536" s="63">
        <f>IF((((inputs!$P$13/(X536/MAX(K536:S536)))^(1/inputs!$O$13))-1)/inputs!$N$13&lt;0, 0, IF((((inputs!$P$13/(X536/MAX(K536:S536)))^(1/inputs!$O$13))-1)/inputs!$N$13&lt;inputs!$I$17, (((inputs!$P$13/(X536/MAX(K536:S536)))^(1/inputs!$O$13))-1)/inputs!$N$13, inputs!$I$17))</f>
        <v>10.927135525123035</v>
      </c>
      <c r="V536" s="54">
        <f>inputs!$E$70*(F536/inputs!$F$70)^(0.25)</f>
        <v>6.8841681082754063</v>
      </c>
      <c r="W536" s="54">
        <f>inputs!$E$76*(F536/inputs!$F$76)^(0.25)</f>
        <v>0.49497474683058318</v>
      </c>
      <c r="X536" s="54">
        <f>inputs!$E$72*(inputs!$F$72/F536)^(0.25)</f>
        <v>36.300682387403803</v>
      </c>
      <c r="Y536" s="54" t="s">
        <v>13</v>
      </c>
      <c r="Z536" s="106">
        <f t="shared" si="44"/>
        <v>20.168515746857622</v>
      </c>
      <c r="AA536" s="106">
        <f t="shared" si="45"/>
        <v>280.50613447414929</v>
      </c>
    </row>
    <row r="537" spans="1:27" ht="13.2" x14ac:dyDescent="0.25">
      <c r="A537" s="55" t="s">
        <v>600</v>
      </c>
      <c r="B537" s="49" t="s">
        <v>601</v>
      </c>
      <c r="C537" s="21" t="s">
        <v>61</v>
      </c>
      <c r="D537" s="20" t="s">
        <v>454</v>
      </c>
      <c r="E537" s="20">
        <v>1239</v>
      </c>
      <c r="F537" s="21">
        <v>1400</v>
      </c>
      <c r="G537" s="21" t="s">
        <v>145</v>
      </c>
      <c r="H537" s="21">
        <v>0.66</v>
      </c>
      <c r="I537" s="68">
        <f>MAX('Max rate concentrations'!$M$3:$M$368)</f>
        <v>17.092910873809167</v>
      </c>
      <c r="J537" s="68">
        <f>MAX('Max rate concentrations'!AE:AE)</f>
        <v>11.81956602976166</v>
      </c>
      <c r="K537" s="70">
        <f t="shared" si="46"/>
        <v>3.2538249353697757</v>
      </c>
      <c r="L537" s="70">
        <f t="shared" si="47"/>
        <v>2.2499853276493131</v>
      </c>
      <c r="M537" s="70">
        <f>IF((((0.326*F537^0.818)-(0.398*F537^0.85)/(1-H537)*H537)*(MAX('Max rate concentrations'!$P$3:$P$368)))/F537&gt;0, (((0.326*F537^0.818)-(0.398*F537^0.85)/(1-H537)*H537)*(MAX('Max rate concentrations'!$P$3:$P$368)))/F537, 0)</f>
        <v>0</v>
      </c>
      <c r="N537" s="70">
        <f>IF((((0.326*F537^0.818)-(0.398*F537^0.85)/(1-H537)*H537)*(MAX('Max rate concentrations'!$Q$3:$Q$368)))/F537&gt; 0, (((0.326*F537^0.818)-(0.398*F537^0.85)/(1-H537)*H537)*(MAX('Max rate concentrations'!$Q$3:$Q$368)))/F537, 0)</f>
        <v>0</v>
      </c>
      <c r="O537" s="70">
        <f>((MAX('Max rate concentrations'!$F$3:$F$368))*0.62*6.01*8*(12.3*F537^0.65)*0.079*0.1/F537)*inputs!$E$73/inputs!$E$74</f>
        <v>21.447489523759263</v>
      </c>
      <c r="P537" s="70">
        <f>((MAX('Max rate concentrations'!Y:Y))*0.62*6.01*8*(12.3*F537^0.65)*0.079*0.1/F537)*inputs!$E$73/inputs!$E$74</f>
        <v>7.1491631745864215</v>
      </c>
      <c r="Q537" s="70">
        <f>(inputs!$C$18*11.2*(12.3*F537^0.65)*0.5/F537)*inputs!$E$73/inputs!$E$74</f>
        <v>3.7778741208510853</v>
      </c>
      <c r="R537" s="60">
        <f>(60*379*((F537/1000)^0.8)*3*24*(MAX('Max rate concentrations'!$R$3:$R$368))/F537)*(inputs!$E$73/inputs!$E$75)</f>
        <v>1.0320556153029972E-2</v>
      </c>
      <c r="S537" s="60">
        <f>(IF(inputs!$C$17="aerial",((0.025*0.112*inputs!$C$18/3.3)*(3*60*379*((F537/1000)^0.8))*MAX(inputs!$I$14:$I$16))/F537,((0.0083*0.112*inputs!$C$18/1)*(3*60*379*((F537/1000)^0.8))*MAX(inputs!$I$14:$I$16))/F537))*(inputs!E$75/inputs!$E$73)</f>
        <v>5.6918501261480535E-2</v>
      </c>
      <c r="T537" s="63">
        <f>IF((((inputs!$P$13/(V537/MAX(K537:S537)))^(1/inputs!$O$13))-1)/inputs!$N$13&lt;0, 0, IF((((inputs!$P$13/(V537/MAX(K537:S537)))^(1/inputs!$O$13))-1)/inputs!$N$13&lt;inputs!$I$17, (((inputs!$P$13/(V537/MAX(K537:S537)))^(1/inputs!$O$13))-1)/inputs!$N$13, inputs!$I$17))</f>
        <v>8.4578817912954509</v>
      </c>
      <c r="U537" s="63">
        <f>IF((((inputs!$P$13/(X537/MAX(K537:S537)))^(1/inputs!$O$13))-1)/inputs!$N$13&lt;0, 0, IF((((inputs!$P$13/(X537/MAX(K537:S537)))^(1/inputs!$O$13))-1)/inputs!$N$13&lt;inputs!$I$17, (((inputs!$P$13/(X537/MAX(K537:S537)))^(1/inputs!$O$13))-1)/inputs!$N$13, inputs!$I$17))</f>
        <v>0</v>
      </c>
      <c r="V537" s="54">
        <f>inputs!$E$70*(F537/inputs!$F$70)^(0.25)</f>
        <v>6.8841681082754063</v>
      </c>
      <c r="W537" s="54">
        <f>inputs!$E$76*(F537/inputs!$F$76)^(0.25)</f>
        <v>0.49497474683058318</v>
      </c>
      <c r="X537" s="54">
        <f>inputs!$E$72*(inputs!$F$72/F537)^(0.25)</f>
        <v>36.300682387403803</v>
      </c>
      <c r="Y537" s="54" t="s">
        <v>13</v>
      </c>
      <c r="Z537" s="106">
        <f t="shared" si="44"/>
        <v>3.1154802129217907</v>
      </c>
      <c r="AA537" s="106">
        <f t="shared" si="45"/>
        <v>43.33047223336461</v>
      </c>
    </row>
    <row r="538" spans="1:27" ht="13.2" x14ac:dyDescent="0.25">
      <c r="A538" s="185" t="s">
        <v>872</v>
      </c>
      <c r="B538" s="54" t="s">
        <v>874</v>
      </c>
      <c r="C538" s="21" t="s">
        <v>61</v>
      </c>
      <c r="D538" s="186" t="s">
        <v>454</v>
      </c>
      <c r="E538" s="21">
        <v>11260</v>
      </c>
      <c r="F538" s="21">
        <v>4200</v>
      </c>
      <c r="G538" s="21" t="s">
        <v>456</v>
      </c>
      <c r="H538" s="21">
        <v>0.68</v>
      </c>
      <c r="I538" s="68">
        <f>MAX('Max rate concentrations'!$J$3:$J$368)</f>
        <v>686.46486205830786</v>
      </c>
      <c r="J538" s="68">
        <f>MAX('Max rate concentrations'!AB:AB)</f>
        <v>243.122971978984</v>
      </c>
      <c r="K538" s="70">
        <f t="shared" si="46"/>
        <v>114.18204639442284</v>
      </c>
      <c r="L538" s="70">
        <f t="shared" si="47"/>
        <v>40.439474764691418</v>
      </c>
      <c r="M538" s="70">
        <f>IF((((0.326*F538^0.818)-(0.398*F538^0.85)/(1-H538)*H538)*(MAX('Max rate concentrations'!$P$3:$P$368)))/F538&gt;0, (((0.326*F538^0.818)-(0.398*F538^0.85)/(1-H538)*H538)*(MAX('Max rate concentrations'!$P$3:$P$368)))/F538, 0)</f>
        <v>0</v>
      </c>
      <c r="N538" s="70">
        <f>IF((((0.326*F538^0.818)-(0.398*F538^0.85)/(1-H538)*H538)*(MAX('Max rate concentrations'!$Q$3:$Q$368)))/F538&gt; 0, (((0.326*F538^0.818)-(0.398*F538^0.85)/(1-H538)*H538)*(MAX('Max rate concentrations'!$Q$3:$Q$368)))/F538, 0)</f>
        <v>0</v>
      </c>
      <c r="O538" s="70">
        <f>((MAX('Max rate concentrations'!$F$3:$F$368))*0.62*6.01*8*(12.3*F538^0.65)*0.079*0.1/F538)*inputs!$E$73/inputs!$E$74</f>
        <v>14.601047883354793</v>
      </c>
      <c r="P538" s="70">
        <f>((MAX('Max rate concentrations'!Y:Y))*0.62*6.01*8*(12.3*F538^0.65)*0.079*0.1/F538)*inputs!$E$73/inputs!$E$74</f>
        <v>4.8670159611182635</v>
      </c>
      <c r="Q538" s="70">
        <f>(inputs!$C$18*11.2*(12.3*F538^0.65)*0.5/F538)*inputs!$E$73/inputs!$E$74</f>
        <v>2.571905717670453</v>
      </c>
      <c r="R538" s="60">
        <f>(60*379*((F538/1000)^0.8)*3*24*(MAX('Max rate concentrations'!$R$3:$R$368))/F538)*(inputs!$E$73/inputs!$E$75)</f>
        <v>8.2847393645174346E-3</v>
      </c>
      <c r="S538" s="60">
        <f>(IF(inputs!$C$17="aerial",((0.025*0.112*inputs!$C$18/3.3)*(3*60*379*((F538/1000)^0.8))*MAX(inputs!$I$14:$I$16))/F538,((0.0083*0.112*inputs!$C$18/1)*(3*60*379*((F538/1000)^0.8))*MAX(inputs!$I$14:$I$16))/F538))*(inputs!E$75/inputs!$E$73)</f>
        <v>4.5690846595692558E-2</v>
      </c>
      <c r="T538" s="63">
        <f>IF((((inputs!$P$13/(V538/MAX(K538:S538)))^(1/inputs!$O$13))-1)/inputs!$N$13&lt;0, 0, IF((((inputs!$P$13/(V538/MAX(K538:S538)))^(1/inputs!$O$13))-1)/inputs!$N$13&lt;inputs!$I$17, (((inputs!$P$13/(V538/MAX(K538:S538)))^(1/inputs!$O$13))-1)/inputs!$N$13, inputs!$I$17))</f>
        <v>37.143523298399856</v>
      </c>
      <c r="U538" s="63">
        <f>IF((((inputs!$P$13/(X538/MAX(K538:S538)))^(1/inputs!$O$13))-1)/inputs!$N$13&lt;0, 0, IF((((inputs!$P$13/(X538/MAX(K538:S538)))^(1/inputs!$O$13))-1)/inputs!$N$13&lt;inputs!$I$17, (((inputs!$P$13/(X538/MAX(K538:S538)))^(1/inputs!$O$13))-1)/inputs!$N$13, inputs!$I$17))</f>
        <v>11.994237652142404</v>
      </c>
      <c r="V538" s="54">
        <f>inputs!$E$70*(F538/inputs!$F$70)^(0.25)</f>
        <v>9.0600747480975805</v>
      </c>
      <c r="W538" s="54">
        <f>inputs!$E$76*(F538/inputs!$F$76)^(0.25)</f>
        <v>0.6514234013714697</v>
      </c>
      <c r="X538" s="54">
        <f>inputs!$E$72*(inputs!$F$72/F538)^(0.25)</f>
        <v>27.58255389145366</v>
      </c>
      <c r="Y538" s="54" t="s">
        <v>13</v>
      </c>
      <c r="Z538" s="106">
        <f t="shared" si="44"/>
        <v>12.602770900802843</v>
      </c>
      <c r="AA538" s="106">
        <f t="shared" si="45"/>
        <v>175.28084829932493</v>
      </c>
    </row>
    <row r="539" spans="1:27" ht="13.2" x14ac:dyDescent="0.25">
      <c r="A539" s="185" t="s">
        <v>872</v>
      </c>
      <c r="B539" s="54" t="s">
        <v>874</v>
      </c>
      <c r="C539" s="21" t="s">
        <v>61</v>
      </c>
      <c r="D539" s="186" t="s">
        <v>454</v>
      </c>
      <c r="E539" s="21">
        <v>11260</v>
      </c>
      <c r="F539" s="21">
        <v>4200</v>
      </c>
      <c r="G539" s="21" t="s">
        <v>152</v>
      </c>
      <c r="H539" s="21">
        <v>0.77</v>
      </c>
      <c r="I539" s="68">
        <f>MAX('Max rate concentrations'!$G$3:$G$368)</f>
        <v>45</v>
      </c>
      <c r="J539" s="68">
        <f>MAX('Max rate concentrations'!Z:Z)</f>
        <v>21</v>
      </c>
      <c r="K539" s="70">
        <f t="shared" si="46"/>
        <v>10.413918303430378</v>
      </c>
      <c r="L539" s="70">
        <f t="shared" si="47"/>
        <v>4.8598285416008427</v>
      </c>
      <c r="M539" s="70">
        <f>IF((((0.326*F539^0.818)-(0.398*F539^0.85)/(1-H539)*H539)*(MAX('Max rate concentrations'!$P$3:$P$368)))/F539&gt;0, (((0.326*F539^0.818)-(0.398*F539^0.85)/(1-H539)*H539)*(MAX('Max rate concentrations'!$P$3:$P$368)))/F539, 0)</f>
        <v>0</v>
      </c>
      <c r="N539" s="70">
        <f>IF((((0.326*F539^0.818)-(0.398*F539^0.85)/(1-H539)*H539)*(MAX('Max rate concentrations'!$Q$3:$Q$368)))/F539&gt; 0, (((0.326*F539^0.818)-(0.398*F539^0.85)/(1-H539)*H539)*(MAX('Max rate concentrations'!$Q$3:$Q$368)))/F539, 0)</f>
        <v>0</v>
      </c>
      <c r="O539" s="70">
        <f>((MAX('Max rate concentrations'!$F$3:$F$368))*0.62*6.01*8*(12.3*F539^0.65)*0.079*0.1/F539)*inputs!$E$73/inputs!$E$74</f>
        <v>14.601047883354793</v>
      </c>
      <c r="P539" s="70">
        <f>((MAX('Max rate concentrations'!Y:Y))*0.62*6.01*8*(12.3*F539^0.65)*0.079*0.1/F539)*inputs!$E$73/inputs!$E$74</f>
        <v>4.8670159611182635</v>
      </c>
      <c r="Q539" s="70">
        <f>(inputs!$C$18*11.2*(12.3*F539^0.65)*0.5/F539)*inputs!$E$73/inputs!$E$74</f>
        <v>2.571905717670453</v>
      </c>
      <c r="R539" s="60">
        <f>(60*379*((F539/1000)^0.8)*3*24*(MAX('Max rate concentrations'!$R$3:$R$368))/F539)*(inputs!$E$73/inputs!$E$75)</f>
        <v>8.2847393645174346E-3</v>
      </c>
      <c r="S539" s="60">
        <f>(IF(inputs!$C$17="aerial",((0.025*0.112*inputs!$C$18/3.3)*(3*60*379*((F539/1000)^0.8))*MAX(inputs!$I$14:$I$16))/F539,((0.0083*0.112*inputs!$C$18/1)*(3*60*379*((F539/1000)^0.8))*MAX(inputs!$I$14:$I$16))/F539))*(inputs!E$75/inputs!$E$73)</f>
        <v>4.5690846595692558E-2</v>
      </c>
      <c r="T539" s="63">
        <f>IF((((inputs!$P$13/(V539/MAX(K539:S539)))^(1/inputs!$O$13))-1)/inputs!$N$13&lt;0, 0, IF((((inputs!$P$13/(V539/MAX(K539:S539)))^(1/inputs!$O$13))-1)/inputs!$N$13&lt;inputs!$I$17, (((inputs!$P$13/(V539/MAX(K539:S539)))^(1/inputs!$O$13))-1)/inputs!$N$13, inputs!$I$17))</f>
        <v>2.8033120218167116</v>
      </c>
      <c r="U539" s="63">
        <f>IF((((inputs!$P$13/(X539/MAX(K539:S539)))^(1/inputs!$O$13))-1)/inputs!$N$13&lt;0, 0, IF((((inputs!$P$13/(X539/MAX(K539:S539)))^(1/inputs!$O$13))-1)/inputs!$N$13&lt;inputs!$I$17, (((inputs!$P$13/(X539/MAX(K539:S539)))^(1/inputs!$O$13))-1)/inputs!$N$13, inputs!$I$17))</f>
        <v>0</v>
      </c>
      <c r="V539" s="54">
        <f>inputs!$E$70*(F539/inputs!$F$70)^(0.25)</f>
        <v>9.0600747480975805</v>
      </c>
      <c r="W539" s="54">
        <f>inputs!$E$76*(F539/inputs!$F$76)^(0.25)</f>
        <v>0.6514234013714697</v>
      </c>
      <c r="X539" s="54">
        <f>inputs!$E$72*(inputs!$F$72/F539)^(0.25)</f>
        <v>27.58255389145366</v>
      </c>
      <c r="Y539" s="54" t="s">
        <v>13</v>
      </c>
      <c r="Z539" s="106">
        <f t="shared" si="44"/>
        <v>1.611581393014522</v>
      </c>
      <c r="AA539" s="106">
        <f t="shared" si="45"/>
        <v>22.414067183669758</v>
      </c>
    </row>
    <row r="540" spans="1:27" ht="13.2" x14ac:dyDescent="0.25">
      <c r="A540" s="185" t="s">
        <v>872</v>
      </c>
      <c r="B540" s="54" t="s">
        <v>874</v>
      </c>
      <c r="C540" s="21" t="s">
        <v>61</v>
      </c>
      <c r="D540" s="186" t="s">
        <v>454</v>
      </c>
      <c r="E540" s="21">
        <v>11260</v>
      </c>
      <c r="F540" s="21">
        <v>4200</v>
      </c>
      <c r="G540" s="21" t="s">
        <v>218</v>
      </c>
      <c r="H540" s="21">
        <v>0.68</v>
      </c>
      <c r="I540" s="68">
        <f>MAX('Max rate concentrations'!$K$3:$K$368)</f>
        <v>110.00035859694511</v>
      </c>
      <c r="J540" s="68">
        <f>MAX('Max rate concentrations'!AC:AC)</f>
        <v>38.958460336418057</v>
      </c>
      <c r="K540" s="70">
        <f t="shared" si="46"/>
        <v>18.296735554765647</v>
      </c>
      <c r="L540" s="70">
        <f t="shared" si="47"/>
        <v>6.4800938423128329</v>
      </c>
      <c r="M540" s="70">
        <f>IF((((0.326*F540^0.818)-(0.398*F540^0.85)/(1-H540)*H540)*(MAX('Max rate concentrations'!$P$3:$P$368)))/F540&gt;0, (((0.326*F540^0.818)-(0.398*F540^0.85)/(1-H540)*H540)*(MAX('Max rate concentrations'!$P$3:$P$368)))/F540, 0)</f>
        <v>0</v>
      </c>
      <c r="N540" s="70">
        <f>IF((((0.326*F540^0.818)-(0.398*F540^0.85)/(1-H540)*H540)*(MAX('Max rate concentrations'!$Q$3:$Q$368)))/F540&gt; 0, (((0.326*F540^0.818)-(0.398*F540^0.85)/(1-H540)*H540)*(MAX('Max rate concentrations'!$Q$3:$Q$368)))/F540, 0)</f>
        <v>0</v>
      </c>
      <c r="O540" s="70">
        <f>((MAX('Max rate concentrations'!$F$3:$F$368))*0.62*6.01*8*(12.3*F540^0.65)*0.079*0.1/F540)*inputs!$E$73/inputs!$E$74</f>
        <v>14.601047883354793</v>
      </c>
      <c r="P540" s="70">
        <f>((MAX('Max rate concentrations'!Y:Y))*0.62*6.01*8*(12.3*F540^0.65)*0.079*0.1/F540)*inputs!$E$73/inputs!$E$74</f>
        <v>4.8670159611182635</v>
      </c>
      <c r="Q540" s="70">
        <f>(inputs!$C$18*11.2*(12.3*F540^0.65)*0.5/F540)*inputs!$E$73/inputs!$E$74</f>
        <v>2.571905717670453</v>
      </c>
      <c r="R540" s="60">
        <f>(60*379*((F540/1000)^0.8)*3*24*(MAX('Max rate concentrations'!$R$3:$R$368))/F540)*(inputs!$E$73/inputs!$E$75)</f>
        <v>8.2847393645174346E-3</v>
      </c>
      <c r="S540" s="60">
        <f>(IF(inputs!$C$17="aerial",((0.025*0.112*inputs!$C$18/3.3)*(3*60*379*((F540/1000)^0.8))*MAX(inputs!$I$14:$I$16))/F540,((0.0083*0.112*inputs!$C$18/1)*(3*60*379*((F540/1000)^0.8))*MAX(inputs!$I$14:$I$16))/F540))*(inputs!E$75/inputs!$E$73)</f>
        <v>4.5690846595692558E-2</v>
      </c>
      <c r="T540" s="63">
        <f>IF((((inputs!$P$13/(V540/MAX(K540:S540)))^(1/inputs!$O$13))-1)/inputs!$N$13&lt;0, 0, IF((((inputs!$P$13/(V540/MAX(K540:S540)))^(1/inputs!$O$13))-1)/inputs!$N$13&lt;inputs!$I$17, (((inputs!$P$13/(V540/MAX(K540:S540)))^(1/inputs!$O$13))-1)/inputs!$N$13, inputs!$I$17))</f>
        <v>4.4107817115003778</v>
      </c>
      <c r="U540" s="63">
        <f>IF((((inputs!$P$13/(X540/MAX(K540:S540)))^(1/inputs!$O$13))-1)/inputs!$N$13&lt;0, 0, IF((((inputs!$P$13/(X540/MAX(K540:S540)))^(1/inputs!$O$13))-1)/inputs!$N$13&lt;inputs!$I$17, (((inputs!$P$13/(X540/MAX(K540:S540)))^(1/inputs!$O$13))-1)/inputs!$N$13, inputs!$I$17))</f>
        <v>0</v>
      </c>
      <c r="V540" s="54">
        <f>inputs!$E$70*(F540/inputs!$F$70)^(0.25)</f>
        <v>9.0600747480975805</v>
      </c>
      <c r="W540" s="54">
        <f>inputs!$E$76*(F540/inputs!$F$76)^(0.25)</f>
        <v>0.6514234013714697</v>
      </c>
      <c r="X540" s="54">
        <f>inputs!$E$72*(inputs!$F$72/F540)^(0.25)</f>
        <v>27.58255389145366</v>
      </c>
      <c r="Y540" s="54" t="s">
        <v>13</v>
      </c>
      <c r="Z540" s="106">
        <f t="shared" si="44"/>
        <v>2.0194905741376545</v>
      </c>
      <c r="AA540" s="106">
        <f t="shared" si="45"/>
        <v>28.087316968111281</v>
      </c>
    </row>
    <row r="541" spans="1:27" ht="13.2" x14ac:dyDescent="0.25">
      <c r="A541" s="187" t="s">
        <v>872</v>
      </c>
      <c r="B541" s="188" t="s">
        <v>874</v>
      </c>
      <c r="C541" s="189" t="s">
        <v>61</v>
      </c>
      <c r="D541" s="190" t="s">
        <v>454</v>
      </c>
      <c r="E541" s="189">
        <v>11260</v>
      </c>
      <c r="F541" s="189">
        <v>4200</v>
      </c>
      <c r="G541" s="189" t="s">
        <v>138</v>
      </c>
      <c r="H541" s="189">
        <v>0.68</v>
      </c>
      <c r="I541" s="195">
        <f>MAX('Max rate concentrations'!$L$3:$L$368)</f>
        <v>350.52744091332482</v>
      </c>
      <c r="J541" s="195">
        <f>MAX('Max rate concentrations'!AD:AD)</f>
        <v>242.38599637623525</v>
      </c>
      <c r="K541" s="196">
        <f t="shared" si="46"/>
        <v>58.304427120821757</v>
      </c>
      <c r="L541" s="196">
        <f t="shared" si="47"/>
        <v>40.316891094185252</v>
      </c>
      <c r="M541" s="196">
        <f>IF((((0.326*F541^0.818)-(0.398*F541^0.85)/(1-H541)*H541)*(MAX('Max rate concentrations'!$P$3:$P$368)))/F541&gt;0, (((0.326*F541^0.818)-(0.398*F541^0.85)/(1-H541)*H541)*(MAX('Max rate concentrations'!$P$3:$P$368)))/F541, 0)</f>
        <v>0</v>
      </c>
      <c r="N541" s="196">
        <f>IF((((0.326*F541^0.818)-(0.398*F541^0.85)/(1-H541)*H541)*(MAX('Max rate concentrations'!$Q$3:$Q$368)))/F541&gt; 0, (((0.326*F541^0.818)-(0.398*F541^0.85)/(1-H541)*H541)*(MAX('Max rate concentrations'!$Q$3:$Q$368)))/F541, 0)</f>
        <v>0</v>
      </c>
      <c r="O541" s="196">
        <f>((MAX('Max rate concentrations'!$F$3:$F$368))*0.62*6.01*8*(12.3*F541^0.65)*0.079*0.1/F541)*inputs!$E$73/inputs!$E$74</f>
        <v>14.601047883354793</v>
      </c>
      <c r="P541" s="196">
        <f>((MAX('Max rate concentrations'!Y:Y))*0.62*6.01*8*(12.3*F541^0.65)*0.079*0.1/F541)*inputs!$E$73/inputs!$E$74</f>
        <v>4.8670159611182635</v>
      </c>
      <c r="Q541" s="196">
        <f>(inputs!$C$18*11.2*(12.3*F541^0.65)*0.5/F541)*inputs!$E$73/inputs!$E$74</f>
        <v>2.571905717670453</v>
      </c>
      <c r="R541" s="192">
        <f>(60*379*((F541/1000)^0.8)*3*24*(MAX('Max rate concentrations'!$R$3:$R$368))/F541)*(inputs!$E$73/inputs!$E$75)</f>
        <v>8.2847393645174346E-3</v>
      </c>
      <c r="S541" s="192">
        <f>(IF(inputs!$C$17="aerial",((0.025*0.112*inputs!$C$18/3.3)*(3*60*379*((F541/1000)^0.8))*MAX(inputs!$I$14:$I$16))/F541,((0.0083*0.112*inputs!$C$18/1)*(3*60*379*((F541/1000)^0.8))*MAX(inputs!$I$14:$I$16))/F541))*(inputs!E$75/inputs!$E$73)</f>
        <v>4.5690846595692558E-2</v>
      </c>
      <c r="T541" s="193">
        <f>IF((((inputs!$P$13/(V541/MAX(K541:S541)))^(1/inputs!$O$13))-1)/inputs!$N$13&lt;0, 0, IF((((inputs!$P$13/(V541/MAX(K541:S541)))^(1/inputs!$O$13))-1)/inputs!$N$13&lt;inputs!$I$17, (((inputs!$P$13/(V541/MAX(K541:S541)))^(1/inputs!$O$13))-1)/inputs!$N$13, inputs!$I$17))</f>
        <v>19.377439125796247</v>
      </c>
      <c r="U541" s="193">
        <f>IF((((inputs!$P$13/(X541/MAX(K541:S541)))^(1/inputs!$O$13))-1)/inputs!$N$13&lt;0, 0, IF((((inputs!$P$13/(X541/MAX(K541:S541)))^(1/inputs!$O$13))-1)/inputs!$N$13&lt;inputs!$I$17, (((inputs!$P$13/(X541/MAX(K541:S541)))^(1/inputs!$O$13))-1)/inputs!$N$13, inputs!$I$17))</f>
        <v>4.7732249622918594</v>
      </c>
      <c r="V541" s="54">
        <f>inputs!$E$70*(F541/inputs!$F$70)^(0.25)</f>
        <v>9.0600747480975805</v>
      </c>
      <c r="W541" s="54">
        <f>inputs!$E$76*(F541/inputs!$F$76)^(0.25)</f>
        <v>0.6514234013714697</v>
      </c>
      <c r="X541" s="188">
        <f>inputs!$E$72*(inputs!$F$72/F541)^(0.25)</f>
        <v>27.58255389145366</v>
      </c>
      <c r="Y541" s="188" t="s">
        <v>13</v>
      </c>
      <c r="Z541" s="194">
        <f t="shared" si="44"/>
        <v>6.4353141383369294</v>
      </c>
      <c r="AA541" s="194">
        <f t="shared" si="45"/>
        <v>89.503120394617298</v>
      </c>
    </row>
    <row r="542" spans="1:27" ht="13.2" x14ac:dyDescent="0.25">
      <c r="A542" s="187" t="s">
        <v>872</v>
      </c>
      <c r="B542" s="188" t="s">
        <v>874</v>
      </c>
      <c r="C542" s="189" t="s">
        <v>61</v>
      </c>
      <c r="D542" s="190" t="s">
        <v>454</v>
      </c>
      <c r="E542" s="189">
        <v>11260</v>
      </c>
      <c r="F542" s="189">
        <v>4200</v>
      </c>
      <c r="G542" s="189" t="s">
        <v>169</v>
      </c>
      <c r="H542" s="189">
        <v>0.79</v>
      </c>
      <c r="I542" s="195">
        <f>MAX('Max rate concentrations'!$D$3:$D$368)</f>
        <v>720</v>
      </c>
      <c r="J542" s="195">
        <f>MAX('Max rate concentrations'!W:W)</f>
        <v>255</v>
      </c>
      <c r="K542" s="196">
        <f t="shared" si="46"/>
        <v>182.49152074582759</v>
      </c>
      <c r="L542" s="196">
        <f t="shared" si="47"/>
        <v>64.632413597480593</v>
      </c>
      <c r="M542" s="196">
        <f>IF((((0.326*F542^0.818)-(0.398*F542^0.85)/(1-H542)*H542)*(MAX('Max rate concentrations'!$P$3:$P$368)))/F542&gt;0, (((0.326*F542^0.818)-(0.398*F542^0.85)/(1-H542)*H542)*(MAX('Max rate concentrations'!$P$3:$P$368)))/F542, 0)</f>
        <v>0</v>
      </c>
      <c r="N542" s="196">
        <f>IF((((0.326*F542^0.818)-(0.398*F542^0.85)/(1-H542)*H542)*(MAX('Max rate concentrations'!$Q$3:$Q$368)))/F542&gt; 0, (((0.326*F542^0.818)-(0.398*F542^0.85)/(1-H542)*H542)*(MAX('Max rate concentrations'!$Q$3:$Q$368)))/F542, 0)</f>
        <v>0</v>
      </c>
      <c r="O542" s="196">
        <f>((MAX('Max rate concentrations'!$F$3:$F$368))*0.62*6.01*8*(12.3*F542^0.65)*0.079*0.1/F542)*inputs!$E$73/inputs!$E$74</f>
        <v>14.601047883354793</v>
      </c>
      <c r="P542" s="196">
        <f>((MAX('Max rate concentrations'!Y:Y))*0.62*6.01*8*(12.3*F542^0.65)*0.079*0.1/F542)*inputs!$E$73/inputs!$E$74</f>
        <v>4.8670159611182635</v>
      </c>
      <c r="Q542" s="196">
        <f>(inputs!$C$18*11.2*(12.3*F542^0.65)*0.5/F542)*inputs!$E$73/inputs!$E$74</f>
        <v>2.571905717670453</v>
      </c>
      <c r="R542" s="192">
        <f>(60*379*((F542/1000)^0.8)*3*24*(MAX('Max rate concentrations'!$R$3:$R$368))/F542)*(inputs!$E$73/inputs!$E$75)</f>
        <v>8.2847393645174346E-3</v>
      </c>
      <c r="S542" s="192">
        <f>(IF(inputs!$C$17="aerial",((0.025*0.112*inputs!$C$18/3.3)*(3*60*379*((F542/1000)^0.8))*MAX(inputs!$I$14:$I$16))/F542,((0.0083*0.112*inputs!$C$18/1)*(3*60*379*((F542/1000)^0.8))*MAX(inputs!$I$14:$I$16))/F542))*(inputs!E$75/inputs!$E$73)</f>
        <v>4.5690846595692558E-2</v>
      </c>
      <c r="T542" s="193">
        <f>IF((((inputs!$P$13/(V542/MAX(K542:S542)))^(1/inputs!$O$13))-1)/inputs!$N$13&lt;0, 0, IF((((inputs!$P$13/(V542/MAX(K542:S542)))^(1/inputs!$O$13))-1)/inputs!$N$13&lt;inputs!$I$17, (((inputs!$P$13/(V542/MAX(K542:S542)))^(1/inputs!$O$13))-1)/inputs!$N$13, inputs!$I$17))</f>
        <v>56.680942708844171</v>
      </c>
      <c r="U542" s="193">
        <f>IF((((inputs!$P$13/(X542/MAX(K542:S542)))^(1/inputs!$O$13))-1)/inputs!$N$13&lt;0, 0, IF((((inputs!$P$13/(X542/MAX(K542:S542)))^(1/inputs!$O$13))-1)/inputs!$N$13&lt;inputs!$I$17, (((inputs!$P$13/(X542/MAX(K542:S542)))^(1/inputs!$O$13))-1)/inputs!$N$13, inputs!$I$17))</f>
        <v>19.935208330830527</v>
      </c>
      <c r="V542" s="54">
        <f>inputs!$E$70*(F542/inputs!$F$70)^(0.25)</f>
        <v>9.0600747480975805</v>
      </c>
      <c r="W542" s="54">
        <f>inputs!$E$76*(F542/inputs!$F$76)^(0.25)</f>
        <v>0.6514234013714697</v>
      </c>
      <c r="X542" s="188">
        <f>inputs!$E$72*(inputs!$F$72/F542)^(0.25)</f>
        <v>27.58255389145366</v>
      </c>
      <c r="Y542" s="188" t="s">
        <v>13</v>
      </c>
      <c r="Z542" s="194">
        <f t="shared" si="44"/>
        <v>20.142385777131349</v>
      </c>
      <c r="AA542" s="194">
        <f t="shared" si="45"/>
        <v>280.1427157231692</v>
      </c>
    </row>
    <row r="543" spans="1:27" ht="13.2" x14ac:dyDescent="0.25">
      <c r="A543" s="187" t="s">
        <v>872</v>
      </c>
      <c r="B543" s="188" t="s">
        <v>874</v>
      </c>
      <c r="C543" s="189" t="s">
        <v>61</v>
      </c>
      <c r="D543" s="190" t="s">
        <v>454</v>
      </c>
      <c r="E543" s="189">
        <v>11260</v>
      </c>
      <c r="F543" s="189">
        <v>4200</v>
      </c>
      <c r="G543" s="189" t="s">
        <v>142</v>
      </c>
      <c r="H543" s="189">
        <v>0.69</v>
      </c>
      <c r="I543" s="195">
        <f>MAX('Max rate concentrations'!$H$3:$H$368)</f>
        <v>282</v>
      </c>
      <c r="J543" s="195">
        <f>MAX('Max rate concentrations'!AA:AA)</f>
        <v>195</v>
      </c>
      <c r="K543" s="196">
        <f t="shared" si="46"/>
        <v>48.419121230142949</v>
      </c>
      <c r="L543" s="196">
        <f t="shared" si="47"/>
        <v>33.481307233609478</v>
      </c>
      <c r="M543" s="196">
        <f>IF((((0.326*F543^0.818)-(0.398*F543^0.85)/(1-H543)*H543)*(MAX('Max rate concentrations'!$P$3:$P$368)))/F543&gt;0, (((0.326*F543^0.818)-(0.398*F543^0.85)/(1-H543)*H543)*(MAX('Max rate concentrations'!$P$3:$P$368)))/F543, 0)</f>
        <v>0</v>
      </c>
      <c r="N543" s="196">
        <f>IF((((0.326*F543^0.818)-(0.398*F543^0.85)/(1-H543)*H543)*(MAX('Max rate concentrations'!$Q$3:$Q$368)))/F543&gt; 0, (((0.326*F543^0.818)-(0.398*F543^0.85)/(1-H543)*H543)*(MAX('Max rate concentrations'!$Q$3:$Q$368)))/F543, 0)</f>
        <v>0</v>
      </c>
      <c r="O543" s="196">
        <f>((MAX('Max rate concentrations'!$F$3:$F$368))*0.62*6.01*8*(12.3*F543^0.65)*0.079*0.1/F543)*inputs!$E$73/inputs!$E$74</f>
        <v>14.601047883354793</v>
      </c>
      <c r="P543" s="196">
        <f>((MAX('Max rate concentrations'!Y:Y))*0.62*6.01*8*(12.3*F543^0.65)*0.079*0.1/F543)*inputs!$E$73/inputs!$E$74</f>
        <v>4.8670159611182635</v>
      </c>
      <c r="Q543" s="196">
        <f>(inputs!$C$18*11.2*(12.3*F543^0.65)*0.5/F543)*inputs!$E$73/inputs!$E$74</f>
        <v>2.571905717670453</v>
      </c>
      <c r="R543" s="192">
        <f>(60*379*((F543/1000)^0.8)*3*24*(MAX('Max rate concentrations'!$R$3:$R$368))/F543)*(inputs!$E$73/inputs!$E$75)</f>
        <v>8.2847393645174346E-3</v>
      </c>
      <c r="S543" s="192">
        <f>(IF(inputs!$C$17="aerial",((0.025*0.112*inputs!$C$18/3.3)*(3*60*379*((F543/1000)^0.8))*MAX(inputs!$I$14:$I$16))/F543,((0.0083*0.112*inputs!$C$18/1)*(3*60*379*((F543/1000)^0.8))*MAX(inputs!$I$14:$I$16))/F543))*(inputs!E$75/inputs!$E$73)</f>
        <v>4.5690846595692558E-2</v>
      </c>
      <c r="T543" s="193">
        <f>IF((((inputs!$P$13/(V543/MAX(K543:S543)))^(1/inputs!$O$13))-1)/inputs!$N$13&lt;0, 0, IF((((inputs!$P$13/(V543/MAX(K543:S543)))^(1/inputs!$O$13))-1)/inputs!$N$13&lt;inputs!$I$17, (((inputs!$P$13/(V543/MAX(K543:S543)))^(1/inputs!$O$13))-1)/inputs!$N$13, inputs!$I$17))</f>
        <v>15.945161402864617</v>
      </c>
      <c r="U543" s="193">
        <f>IF((((inputs!$P$13/(X543/MAX(K543:S543)))^(1/inputs!$O$13))-1)/inputs!$N$13&lt;0, 0, IF((((inputs!$P$13/(X543/MAX(K543:S543)))^(1/inputs!$O$13))-1)/inputs!$N$13&lt;inputs!$I$17, (((inputs!$P$13/(X543/MAX(K543:S543)))^(1/inputs!$O$13))-1)/inputs!$N$13, inputs!$I$17))</f>
        <v>3.3781780430275727</v>
      </c>
      <c r="V543" s="54">
        <f>inputs!$E$70*(F543/inputs!$F$70)^(0.25)</f>
        <v>9.0600747480975805</v>
      </c>
      <c r="W543" s="54">
        <f>inputs!$E$76*(F543/inputs!$F$76)^(0.25)</f>
        <v>0.6514234013714697</v>
      </c>
      <c r="X543" s="188">
        <f>inputs!$E$72*(inputs!$F$72/F543)^(0.25)</f>
        <v>27.58255389145366</v>
      </c>
      <c r="Y543" s="188" t="s">
        <v>13</v>
      </c>
      <c r="Z543" s="194">
        <f t="shared" si="44"/>
        <v>5.3442297747388805</v>
      </c>
      <c r="AA543" s="194">
        <f t="shared" si="45"/>
        <v>74.328188284615024</v>
      </c>
    </row>
    <row r="544" spans="1:27" ht="13.2" x14ac:dyDescent="0.25">
      <c r="A544" s="55" t="s">
        <v>488</v>
      </c>
      <c r="B544" s="49" t="s">
        <v>489</v>
      </c>
      <c r="C544" s="21" t="s">
        <v>61</v>
      </c>
      <c r="D544" s="20" t="s">
        <v>467</v>
      </c>
      <c r="E544" s="20">
        <v>9725</v>
      </c>
      <c r="F544" s="21">
        <v>30</v>
      </c>
      <c r="G544" s="21" t="s">
        <v>142</v>
      </c>
      <c r="H544" s="21">
        <v>0.69</v>
      </c>
      <c r="I544" s="68">
        <f>MAX('Max rate concentrations'!$H$3:$H$368)</f>
        <v>282</v>
      </c>
      <c r="J544" s="68">
        <f>MAX('Max rate concentrations'!AA:AA)</f>
        <v>195</v>
      </c>
      <c r="K544" s="70">
        <f t="shared" si="46"/>
        <v>116.68840227386143</v>
      </c>
      <c r="L544" s="70">
        <f t="shared" si="47"/>
        <v>80.688788806393546</v>
      </c>
      <c r="M544" s="70">
        <f>IF((((0.326*F544^0.818)-(0.398*F544^0.85)/(1-H544)*H544)*(MAX('Max rate concentrations'!$P$3:$P$368)))/F544&gt;0, (((0.326*F544^0.818)-(0.398*F544^0.85)/(1-H544)*H544)*(MAX('Max rate concentrations'!$P$3:$P$368)))/F544, 0)</f>
        <v>0</v>
      </c>
      <c r="N544" s="70">
        <f>IF((((0.326*F544^0.818)-(0.398*F544^0.85)/(1-H544)*H544)*(MAX('Max rate concentrations'!$Q$3:$Q$368)))/F544&gt; 0, (((0.326*F544^0.818)-(0.398*F544^0.85)/(1-H544)*H544)*(MAX('Max rate concentrations'!$Q$3:$Q$368)))/F544, 0)</f>
        <v>0</v>
      </c>
      <c r="O544" s="70">
        <f>((MAX('Max rate concentrations'!$F$3:$F$368))*0.62*6.01*8*(12.3*F544^0.65)*0.079*0.1/F544)*inputs!$E$73/inputs!$E$74</f>
        <v>82.324449957401328</v>
      </c>
      <c r="P544" s="70">
        <f>((MAX('Max rate concentrations'!Y:Y))*0.62*6.01*8*(12.3*F544^0.65)*0.079*0.1/F544)*inputs!$E$73/inputs!$E$74</f>
        <v>27.441483319133773</v>
      </c>
      <c r="Q544" s="70">
        <f>(inputs!$C$18*11.2*(12.3*F544^0.65)*0.5/F544)*inputs!$E$73/inputs!$E$74</f>
        <v>14.501063570299548</v>
      </c>
      <c r="R544" s="60">
        <f>(60*379*((F544/1000)^0.8)*3*24*(MAX('Max rate concentrations'!$R$3:$R$368))/F544)*(inputs!$E$73/inputs!$E$75)</f>
        <v>2.2258938898652596E-2</v>
      </c>
      <c r="S544" s="60">
        <f>(IF(inputs!$C$17="aerial",((0.025*0.112*inputs!$C$18/3.3)*(3*60*379*((F544/1000)^0.8))*MAX(inputs!$I$14:$I$16))/F544,((0.0083*0.112*inputs!$C$18/1)*(3*60*379*((F544/1000)^0.8))*MAX(inputs!$I$14:$I$16))/F544))*(inputs!E$75/inputs!$E$73)</f>
        <v>0.12275941557764004</v>
      </c>
      <c r="T544" s="63">
        <f>IF((((inputs!$P$13/(V544/MAX(K544:S544)))^(1/inputs!$O$13))-1)/inputs!$N$13&lt;0, 0, IF((((inputs!$P$13/(V544/MAX(K544:S544)))^(1/inputs!$O$13))-1)/inputs!$N$13&lt;inputs!$I$17, (((inputs!$P$13/(V544/MAX(K544:S544)))^(1/inputs!$O$13))-1)/inputs!$N$13, inputs!$I$17))</f>
        <v>111.87620967783135</v>
      </c>
      <c r="U544" s="63">
        <f>IF((((inputs!$P$13/(X544/MAX(K544:S544)))^(1/inputs!$O$13))-1)/inputs!$N$13&lt;0, 0, IF((((inputs!$P$13/(X544/MAX(K544:S544)))^(1/inputs!$O$13))-1)/inputs!$N$13&lt;inputs!$I$17, (((inputs!$P$13/(X544/MAX(K544:S544)))^(1/inputs!$O$13))-1)/inputs!$N$13, inputs!$I$17))</f>
        <v>1.2265215395976974</v>
      </c>
      <c r="V544" s="54">
        <f>inputs!$E$70*(F544/inputs!$F$70)^(0.25)</f>
        <v>2.6339029688867654</v>
      </c>
      <c r="W544" s="54">
        <f>inputs!$E$76*(F544/inputs!$F$76)^(0.25)</f>
        <v>0.18937879416887887</v>
      </c>
      <c r="X544" s="54">
        <f>inputs!$E$72*(inputs!$F$72/F544)^(0.25)</f>
        <v>94.878210379033703</v>
      </c>
      <c r="Y544" s="54" t="s">
        <v>13</v>
      </c>
      <c r="Z544" s="106">
        <f t="shared" si="44"/>
        <v>44.302468106173428</v>
      </c>
      <c r="AA544" s="106">
        <f t="shared" si="45"/>
        <v>616.16403666507847</v>
      </c>
    </row>
    <row r="545" spans="1:27" ht="13.2" x14ac:dyDescent="0.25">
      <c r="A545" s="55" t="s">
        <v>515</v>
      </c>
      <c r="B545" s="49" t="s">
        <v>516</v>
      </c>
      <c r="C545" s="21" t="s">
        <v>61</v>
      </c>
      <c r="D545" s="20" t="s">
        <v>467</v>
      </c>
      <c r="E545" s="20">
        <v>21</v>
      </c>
      <c r="F545" s="21">
        <v>7</v>
      </c>
      <c r="G545" s="21" t="s">
        <v>142</v>
      </c>
      <c r="H545" s="21">
        <v>0.69</v>
      </c>
      <c r="I545" s="68">
        <f>MAX('Max rate concentrations'!$H$3:$H$368)</f>
        <v>282</v>
      </c>
      <c r="J545" s="68">
        <f>MAX('Max rate concentrations'!AA:AA)</f>
        <v>195</v>
      </c>
      <c r="K545" s="70">
        <f t="shared" si="46"/>
        <v>151.19165660986866</v>
      </c>
      <c r="L545" s="70">
        <f t="shared" si="47"/>
        <v>104.54742212384534</v>
      </c>
      <c r="M545" s="70">
        <f>IF((((0.326*F545^0.818)-(0.398*F545^0.85)/(1-H545)*H545)*(MAX('Max rate concentrations'!$P$3:$P$368)))/F545&gt;0, (((0.326*F545^0.818)-(0.398*F545^0.85)/(1-H545)*H545)*(MAX('Max rate concentrations'!$P$3:$P$368)))/F545, 0)</f>
        <v>0</v>
      </c>
      <c r="N545" s="70">
        <f>IF((((0.326*F545^0.818)-(0.398*F545^0.85)/(1-H545)*H545)*(MAX('Max rate concentrations'!$Q$3:$Q$368)))/F545&gt; 0, (((0.326*F545^0.818)-(0.398*F545^0.85)/(1-H545)*H545)*(MAX('Max rate concentrations'!$Q$3:$Q$368)))/F545, 0)</f>
        <v>0</v>
      </c>
      <c r="O545" s="70">
        <f>((MAX('Max rate concentrations'!$F$3:$F$368))*0.62*6.01*8*(12.3*F545^0.65)*0.079*0.1/F545)*inputs!$E$73/inputs!$E$74</f>
        <v>137.00517218585506</v>
      </c>
      <c r="P545" s="70">
        <f>((MAX('Max rate concentrations'!Y:Y))*0.62*6.01*8*(12.3*F545^0.65)*0.079*0.1/F545)*inputs!$E$73/inputs!$E$74</f>
        <v>45.668390728618363</v>
      </c>
      <c r="Q545" s="70">
        <f>(inputs!$C$18*11.2*(12.3*F545^0.65)*0.5/F545)*inputs!$E$73/inputs!$E$74</f>
        <v>24.132814884945432</v>
      </c>
      <c r="R545" s="60">
        <f>(60*379*((F545/1000)^0.8)*3*24*(MAX('Max rate concentrations'!$R$3:$R$368))/F545)*(inputs!$E$73/inputs!$E$75)</f>
        <v>2.9778930781772905E-2</v>
      </c>
      <c r="S545" s="60">
        <f>(IF(inputs!$C$17="aerial",((0.025*0.112*inputs!$C$18/3.3)*(3*60*379*((F545/1000)^0.8))*MAX(inputs!$I$14:$I$16))/F545,((0.0083*0.112*inputs!$C$18/1)*(3*60*379*((F545/1000)^0.8))*MAX(inputs!$I$14:$I$16))/F545))*(inputs!E$75/inputs!$E$73)</f>
        <v>0.16423263282863526</v>
      </c>
      <c r="T545" s="63">
        <f>IF((((inputs!$P$13/(V545/MAX(K545:S545)))^(1/inputs!$O$13))-1)/inputs!$N$13&lt;0, 0, IF((((inputs!$P$13/(V545/MAX(K545:S545)))^(1/inputs!$O$13))-1)/inputs!$N$13&lt;inputs!$I$17, (((inputs!$P$13/(V545/MAX(K545:S545)))^(1/inputs!$O$13))-1)/inputs!$N$13, inputs!$I$17))</f>
        <v>188.55753687478546</v>
      </c>
      <c r="U545" s="63">
        <f>IF((((inputs!$P$13/(X545/MAX(K545:S545)))^(1/inputs!$O$13))-1)/inputs!$N$13&lt;0, 0, IF((((inputs!$P$13/(X545/MAX(K545:S545)))^(1/inputs!$O$13))-1)/inputs!$N$13&lt;inputs!$I$17, (((inputs!$P$13/(X545/MAX(K545:S545)))^(1/inputs!$O$13))-1)/inputs!$N$13, inputs!$I$17))</f>
        <v>0.70219059878041523</v>
      </c>
      <c r="V545" s="54">
        <f>inputs!$E$70*(F545/inputs!$F$70)^(0.25)</f>
        <v>1.8306021502060315</v>
      </c>
      <c r="W545" s="54">
        <f>inputs!$E$76*(F545/inputs!$F$76)^(0.25)</f>
        <v>0.13162110825802378</v>
      </c>
      <c r="X545" s="54">
        <f>inputs!$E$72*(inputs!$F$72/F545)^(0.25)</f>
        <v>136.51245846721753</v>
      </c>
      <c r="Y545" s="54" t="s">
        <v>13</v>
      </c>
      <c r="Z545" s="106">
        <f t="shared" si="44"/>
        <v>82.591215460362193</v>
      </c>
      <c r="AA545" s="106">
        <f t="shared" si="45"/>
        <v>1148.688524286543</v>
      </c>
    </row>
    <row r="546" spans="1:27" ht="13.2" x14ac:dyDescent="0.25">
      <c r="A546" s="55" t="s">
        <v>495</v>
      </c>
      <c r="B546" s="49" t="s">
        <v>496</v>
      </c>
      <c r="C546" s="21" t="s">
        <v>61</v>
      </c>
      <c r="D546" s="20" t="s">
        <v>467</v>
      </c>
      <c r="E546" s="20">
        <v>15</v>
      </c>
      <c r="F546" s="21">
        <v>13</v>
      </c>
      <c r="G546" s="21" t="s">
        <v>142</v>
      </c>
      <c r="H546" s="21">
        <v>0.69</v>
      </c>
      <c r="I546" s="68">
        <f>MAX('Max rate concentrations'!$H$3:$H$368)</f>
        <v>282</v>
      </c>
      <c r="J546" s="68">
        <f>MAX('Max rate concentrations'!AA:AA)</f>
        <v>195</v>
      </c>
      <c r="K546" s="70">
        <f t="shared" si="46"/>
        <v>135.41705355251264</v>
      </c>
      <c r="L546" s="70">
        <f t="shared" si="47"/>
        <v>93.639451924609801</v>
      </c>
      <c r="M546" s="70">
        <f>IF((((0.326*F546^0.818)-(0.398*F546^0.85)/(1-H546)*H546)*(MAX('Max rate concentrations'!$P$3:$P$368)))/F546&gt;0, (((0.326*F546^0.818)-(0.398*F546^0.85)/(1-H546)*H546)*(MAX('Max rate concentrations'!$P$3:$P$368)))/F546, 0)</f>
        <v>0</v>
      </c>
      <c r="N546" s="70">
        <f>IF((((0.326*F546^0.818)-(0.398*F546^0.85)/(1-H546)*H546)*(MAX('Max rate concentrations'!$Q$3:$Q$368)))/F546&gt; 0, (((0.326*F546^0.818)-(0.398*F546^0.85)/(1-H546)*H546)*(MAX('Max rate concentrations'!$Q$3:$Q$368)))/F546, 0)</f>
        <v>0</v>
      </c>
      <c r="O546" s="70">
        <f>((MAX('Max rate concentrations'!$F$3:$F$368))*0.62*6.01*8*(12.3*F546^0.65)*0.079*0.1/F546)*inputs!$E$73/inputs!$E$74</f>
        <v>110.31665976723255</v>
      </c>
      <c r="P546" s="70">
        <f>((MAX('Max rate concentrations'!Y:Y))*0.62*6.01*8*(12.3*F546^0.65)*0.079*0.1/F546)*inputs!$E$73/inputs!$E$74</f>
        <v>36.772219922410862</v>
      </c>
      <c r="Q546" s="70">
        <f>(inputs!$C$18*11.2*(12.3*F546^0.65)*0.5/F546)*inputs!$E$73/inputs!$E$74</f>
        <v>19.431759300857927</v>
      </c>
      <c r="R546" s="60">
        <f>(60*379*((F546/1000)^0.8)*3*24*(MAX('Max rate concentrations'!$R$3:$R$368))/F546)*(inputs!$E$73/inputs!$E$75)</f>
        <v>2.6311162558686412E-2</v>
      </c>
      <c r="S546" s="60">
        <f>(IF(inputs!$C$17="aerial",((0.025*0.112*inputs!$C$18/3.3)*(3*60*379*((F546/1000)^0.8))*MAX(inputs!$I$14:$I$16))/F546,((0.0083*0.112*inputs!$C$18/1)*(3*60*379*((F546/1000)^0.8))*MAX(inputs!$I$14:$I$16))/F546))*(inputs!E$75/inputs!$E$73)</f>
        <v>0.14510767802449684</v>
      </c>
      <c r="T546" s="63">
        <f>IF((((inputs!$P$13/(V546/MAX(K546:S546)))^(1/inputs!$O$13))-1)/inputs!$N$13&lt;0, 0, IF((((inputs!$P$13/(V546/MAX(K546:S546)))^(1/inputs!$O$13))-1)/inputs!$N$13&lt;inputs!$I$17, (((inputs!$P$13/(V546/MAX(K546:S546)))^(1/inputs!$O$13))-1)/inputs!$N$13, inputs!$I$17))</f>
        <v>151.18453471639484</v>
      </c>
      <c r="U546" s="63">
        <f>IF((((inputs!$P$13/(X546/MAX(K546:S546)))^(1/inputs!$O$13))-1)/inputs!$N$13&lt;0, 0, IF((((inputs!$P$13/(X546/MAX(K546:S546)))^(1/inputs!$O$13))-1)/inputs!$N$13&lt;inputs!$I$17, (((inputs!$P$13/(X546/MAX(K546:S546)))^(1/inputs!$O$13))-1)/inputs!$N$13, inputs!$I$17))</f>
        <v>0.91980901963983475</v>
      </c>
      <c r="V546" s="54">
        <f>inputs!$E$70*(F546/inputs!$F$70)^(0.25)</f>
        <v>2.1370038088281991</v>
      </c>
      <c r="W546" s="54">
        <f>inputs!$E$76*(F546/inputs!$F$76)^(0.25)</f>
        <v>0.15365152370105564</v>
      </c>
      <c r="X546" s="54">
        <f>inputs!$E$72*(inputs!$F$72/F546)^(0.25)</f>
        <v>116.93942657829409</v>
      </c>
      <c r="Y546" s="54" t="s">
        <v>13</v>
      </c>
      <c r="Z546" s="106">
        <f t="shared" si="44"/>
        <v>63.367717452392839</v>
      </c>
      <c r="AA546" s="106">
        <f t="shared" si="45"/>
        <v>881.32580979789054</v>
      </c>
    </row>
    <row r="547" spans="1:27" ht="13.2" x14ac:dyDescent="0.25">
      <c r="A547" s="55" t="s">
        <v>519</v>
      </c>
      <c r="B547" s="49" t="s">
        <v>520</v>
      </c>
      <c r="C547" s="21" t="s">
        <v>61</v>
      </c>
      <c r="D547" s="20" t="s">
        <v>467</v>
      </c>
      <c r="E547" s="20">
        <v>1</v>
      </c>
      <c r="F547" s="21">
        <v>5.4</v>
      </c>
      <c r="G547" s="21" t="s">
        <v>142</v>
      </c>
      <c r="H547" s="21">
        <v>0.69</v>
      </c>
      <c r="I547" s="68">
        <f>MAX('Max rate concentrations'!$H$3:$H$368)</f>
        <v>282</v>
      </c>
      <c r="J547" s="68">
        <f>MAX('Max rate concentrations'!AA:AA)</f>
        <v>195</v>
      </c>
      <c r="K547" s="70">
        <f t="shared" si="46"/>
        <v>158.33947021492671</v>
      </c>
      <c r="L547" s="70">
        <f t="shared" si="47"/>
        <v>109.49005919117272</v>
      </c>
      <c r="M547" s="70">
        <f>IF((((0.326*F547^0.818)-(0.398*F547^0.85)/(1-H547)*H547)*(MAX('Max rate concentrations'!$P$3:$P$368)))/F547&gt;0, (((0.326*F547^0.818)-(0.398*F547^0.85)/(1-H547)*H547)*(MAX('Max rate concentrations'!$P$3:$P$368)))/F547, 0)</f>
        <v>0</v>
      </c>
      <c r="N547" s="70">
        <f>IF((((0.326*F547^0.818)-(0.398*F547^0.85)/(1-H547)*H547)*(MAX('Max rate concentrations'!$Q$3:$Q$368)))/F547&gt; 0, (((0.326*F547^0.818)-(0.398*F547^0.85)/(1-H547)*H547)*(MAX('Max rate concentrations'!$Q$3:$Q$368)))/F547, 0)</f>
        <v>0</v>
      </c>
      <c r="O547" s="70">
        <f>((MAX('Max rate concentrations'!$F$3:$F$368))*0.62*6.01*8*(12.3*F547^0.65)*0.079*0.1/F547)*inputs!$E$73/inputs!$E$74</f>
        <v>150.03184877373533</v>
      </c>
      <c r="P547" s="70">
        <f>((MAX('Max rate concentrations'!Y:Y))*0.62*6.01*8*(12.3*F547^0.65)*0.079*0.1/F547)*inputs!$E$73/inputs!$E$74</f>
        <v>50.010616257911771</v>
      </c>
      <c r="Q547" s="70">
        <f>(inputs!$C$18*11.2*(12.3*F547^0.65)*0.5/F547)*inputs!$E$73/inputs!$E$74</f>
        <v>26.427402524563199</v>
      </c>
      <c r="R547" s="60">
        <f>(60*379*((F547/1000)^0.8)*3*24*(MAX('Max rate concentrations'!$R$3:$R$368))/F547)*(inputs!$E$73/inputs!$E$75)</f>
        <v>3.1365336869962138E-2</v>
      </c>
      <c r="S547" s="60">
        <f>(IF(inputs!$C$17="aerial",((0.025*0.112*inputs!$C$18/3.3)*(3*60*379*((F547/1000)^0.8))*MAX(inputs!$I$14:$I$16))/F547,((0.0083*0.112*inputs!$C$18/1)*(3*60*379*((F547/1000)^0.8))*MAX(inputs!$I$14:$I$16))/F547))*(inputs!E$75/inputs!$E$73)</f>
        <v>0.17298175987110664</v>
      </c>
      <c r="T547" s="63">
        <f>IF((((inputs!$P$13/(V547/MAX(K547:S547)))^(1/inputs!$O$13))-1)/inputs!$N$13&lt;0, 0, IF((((inputs!$P$13/(V547/MAX(K547:S547)))^(1/inputs!$O$13))-1)/inputs!$N$13&lt;inputs!$I$17, (((inputs!$P$13/(V547/MAX(K547:S547)))^(1/inputs!$O$13))-1)/inputs!$N$13, inputs!$I$17))</f>
        <v>206.76882458117973</v>
      </c>
      <c r="U547" s="63">
        <f>IF((((inputs!$P$13/(X547/MAX(K547:S547)))^(1/inputs!$O$13))-1)/inputs!$N$13&lt;0, 0, IF((((inputs!$P$13/(X547/MAX(K547:S547)))^(1/inputs!$O$13))-1)/inputs!$N$13&lt;inputs!$I$17, (((inputs!$P$13/(X547/MAX(K547:S547)))^(1/inputs!$O$13))-1)/inputs!$N$13, inputs!$I$17))</f>
        <v>0.61326915273742677</v>
      </c>
      <c r="V547" s="54">
        <f>inputs!$E$70*(F547/inputs!$F$70)^(0.25)</f>
        <v>1.7156073496922144</v>
      </c>
      <c r="W547" s="54">
        <f>inputs!$E$76*(F547/inputs!$F$76)^(0.25)</f>
        <v>0.12335293098868348</v>
      </c>
      <c r="X547" s="54">
        <f>inputs!$E$72*(inputs!$F$72/F547)^(0.25)</f>
        <v>145.66270076007359</v>
      </c>
      <c r="Y547" s="54" t="s">
        <v>13</v>
      </c>
      <c r="Z547" s="106">
        <f t="shared" si="44"/>
        <v>92.293536888457211</v>
      </c>
      <c r="AA547" s="106">
        <f t="shared" si="45"/>
        <v>1283.6295736617149</v>
      </c>
    </row>
    <row r="548" spans="1:27" ht="26.4" x14ac:dyDescent="0.25">
      <c r="A548" s="55" t="s">
        <v>499</v>
      </c>
      <c r="B548" s="49" t="s">
        <v>500</v>
      </c>
      <c r="C548" s="21" t="s">
        <v>61</v>
      </c>
      <c r="D548" s="20" t="s">
        <v>467</v>
      </c>
      <c r="E548" s="20">
        <v>47</v>
      </c>
      <c r="F548" s="21">
        <v>20</v>
      </c>
      <c r="G548" s="21" t="s">
        <v>152</v>
      </c>
      <c r="H548" s="21">
        <v>0.77</v>
      </c>
      <c r="I548" s="68">
        <f>MAX('Max rate concentrations'!$G$3:$G$368)</f>
        <v>45</v>
      </c>
      <c r="J548" s="68">
        <f>MAX('Max rate concentrations'!Z:Z)</f>
        <v>21</v>
      </c>
      <c r="K548" s="70">
        <f t="shared" si="46"/>
        <v>26.975481215484166</v>
      </c>
      <c r="L548" s="70">
        <f t="shared" si="47"/>
        <v>12.588557900559277</v>
      </c>
      <c r="M548" s="70">
        <f>IF((((0.326*F548^0.818)-(0.398*F548^0.85)/(1-H548)*H548)*(MAX('Max rate concentrations'!$P$3:$P$368)))/F548&gt;0, (((0.326*F548^0.818)-(0.398*F548^0.85)/(1-H548)*H548)*(MAX('Max rate concentrations'!$P$3:$P$368)))/F548, 0)</f>
        <v>0</v>
      </c>
      <c r="N548" s="70">
        <f>IF((((0.326*F548^0.818)-(0.398*F548^0.85)/(1-H548)*H548)*(MAX('Max rate concentrations'!$Q$3:$Q$368)))/F548&gt; 0, (((0.326*F548^0.818)-(0.398*F548^0.85)/(1-H548)*H548)*(MAX('Max rate concentrations'!$Q$3:$Q$368)))/F548, 0)</f>
        <v>0</v>
      </c>
      <c r="O548" s="70">
        <f>((MAX('Max rate concentrations'!$F$3:$F$368))*0.62*6.01*8*(12.3*F548^0.65)*0.079*0.1/F548)*inputs!$E$73/inputs!$E$74</f>
        <v>94.876963838574341</v>
      </c>
      <c r="P548" s="70">
        <f>((MAX('Max rate concentrations'!Y:Y))*0.62*6.01*8*(12.3*F548^0.65)*0.079*0.1/F548)*inputs!$E$73/inputs!$E$74</f>
        <v>31.625654612858121</v>
      </c>
      <c r="Q548" s="70">
        <f>(inputs!$C$18*11.2*(12.3*F548^0.65)*0.5/F548)*inputs!$E$73/inputs!$E$74</f>
        <v>16.71212968555627</v>
      </c>
      <c r="R548" s="60">
        <f>(60*379*((F548/1000)^0.8)*3*24*(MAX('Max rate concentrations'!$R$3:$R$368))/F548)*(inputs!$E$73/inputs!$E$75)</f>
        <v>2.4139190892403128E-2</v>
      </c>
      <c r="S548" s="60">
        <f>(IF(inputs!$C$17="aerial",((0.025*0.112*inputs!$C$18/3.3)*(3*60*379*((F548/1000)^0.8))*MAX(inputs!$I$14:$I$16))/F548,((0.0083*0.112*inputs!$C$18/1)*(3*60*379*((F548/1000)^0.8))*MAX(inputs!$I$14:$I$16))/F548))*(inputs!E$75/inputs!$E$73)</f>
        <v>0.13312912084267761</v>
      </c>
      <c r="T548" s="63">
        <f>IF((((inputs!$P$13/(V548/MAX(K548:S548)))^(1/inputs!$O$13))-1)/inputs!$N$13&lt;0, 0, IF((((inputs!$P$13/(V548/MAX(K548:S548)))^(1/inputs!$O$13))-1)/inputs!$N$13&lt;inputs!$I$17, (((inputs!$P$13/(V548/MAX(K548:S548)))^(1/inputs!$O$13))-1)/inputs!$N$13, inputs!$I$17))</f>
        <v>102.29466225529146</v>
      </c>
      <c r="U548" s="63">
        <f>IF((((inputs!$P$13/(X548/MAX(K548:S548)))^(1/inputs!$O$13))-1)/inputs!$N$13&lt;0, 0, IF((((inputs!$P$13/(X548/MAX(K548:S548)))^(1/inputs!$O$13))-1)/inputs!$N$13&lt;inputs!$I$17, (((inputs!$P$13/(X548/MAX(K548:S548)))^(1/inputs!$O$13))-1)/inputs!$N$13, inputs!$I$17))</f>
        <v>0</v>
      </c>
      <c r="V548" s="54">
        <f>inputs!$E$70*(F548/inputs!$F$70)^(0.25)</f>
        <v>2.38</v>
      </c>
      <c r="W548" s="54">
        <f>inputs!$E$76*(F548/inputs!$F$76)^(0.25)</f>
        <v>0.17112305785221535</v>
      </c>
      <c r="X548" s="54">
        <f>inputs!$E$72*(inputs!$F$72/F548)^(0.25)</f>
        <v>105</v>
      </c>
      <c r="Y548" s="54" t="s">
        <v>13</v>
      </c>
      <c r="Z548" s="106">
        <f t="shared" si="44"/>
        <v>39.864270520409391</v>
      </c>
      <c r="AA548" s="106">
        <f t="shared" si="45"/>
        <v>554.43705266482334</v>
      </c>
    </row>
    <row r="549" spans="1:27" ht="26.4" x14ac:dyDescent="0.25">
      <c r="A549" s="55" t="s">
        <v>499</v>
      </c>
      <c r="B549" s="49" t="s">
        <v>500</v>
      </c>
      <c r="C549" s="21" t="s">
        <v>61</v>
      </c>
      <c r="D549" s="20" t="s">
        <v>467</v>
      </c>
      <c r="E549" s="20">
        <v>47</v>
      </c>
      <c r="F549" s="21">
        <v>20</v>
      </c>
      <c r="G549" s="21" t="s">
        <v>153</v>
      </c>
      <c r="H549" s="21">
        <v>0.7</v>
      </c>
      <c r="I549" s="68">
        <f>MAX('Max rate concentrations'!$E$3:$E$368)</f>
        <v>330</v>
      </c>
      <c r="J549" s="68">
        <f>MAX('Max rate concentrations'!X:X)</f>
        <v>108</v>
      </c>
      <c r="K549" s="70">
        <f t="shared" si="46"/>
        <v>151.66214994483317</v>
      </c>
      <c r="L549" s="70">
        <f t="shared" si="47"/>
        <v>49.634885436490855</v>
      </c>
      <c r="M549" s="70">
        <f>IF((((0.326*F549^0.818)-(0.398*F549^0.85)/(1-H549)*H549)*(MAX('Max rate concentrations'!$P$3:$P$368)))/F549&gt;0, (((0.326*F549^0.818)-(0.398*F549^0.85)/(1-H549)*H549)*(MAX('Max rate concentrations'!$P$3:$P$368)))/F549, 0)</f>
        <v>0</v>
      </c>
      <c r="N549" s="70">
        <f>IF((((0.326*F549^0.818)-(0.398*F549^0.85)/(1-H549)*H549)*(MAX('Max rate concentrations'!$Q$3:$Q$368)))/F549&gt; 0, (((0.326*F549^0.818)-(0.398*F549^0.85)/(1-H549)*H549)*(MAX('Max rate concentrations'!$Q$3:$Q$368)))/F549, 0)</f>
        <v>0</v>
      </c>
      <c r="O549" s="70">
        <f>((MAX('Max rate concentrations'!$F$3:$F$368))*0.62*6.01*8*(12.3*F549^0.65)*0.079*0.1/F549)*inputs!$E$73/inputs!$E$74</f>
        <v>94.876963838574341</v>
      </c>
      <c r="P549" s="70">
        <f>((MAX('Max rate concentrations'!Y:Y))*0.62*6.01*8*(12.3*F549^0.65)*0.079*0.1/F549)*inputs!$E$73/inputs!$E$74</f>
        <v>31.625654612858121</v>
      </c>
      <c r="Q549" s="70">
        <f>(inputs!$C$18*11.2*(12.3*F549^0.65)*0.5/F549)*inputs!$E$73/inputs!$E$74</f>
        <v>16.71212968555627</v>
      </c>
      <c r="R549" s="60">
        <f>(60*379*((F549/1000)^0.8)*3*24*(MAX('Max rate concentrations'!$R$3:$R$368))/F549)*(inputs!$E$73/inputs!$E$75)</f>
        <v>2.4139190892403128E-2</v>
      </c>
      <c r="S549" s="60">
        <f>(IF(inputs!$C$17="aerial",((0.025*0.112*inputs!$C$18/3.3)*(3*60*379*((F549/1000)^0.8))*MAX(inputs!$I$14:$I$16))/F549,((0.0083*0.112*inputs!$C$18/1)*(3*60*379*((F549/1000)^0.8))*MAX(inputs!$I$14:$I$16))/F549))*(inputs!E$75/inputs!$E$73)</f>
        <v>0.13312912084267761</v>
      </c>
      <c r="T549" s="63">
        <f>IF((((inputs!$P$13/(V549/MAX(K549:S549)))^(1/inputs!$O$13))-1)/inputs!$N$13&lt;0, 0, IF((((inputs!$P$13/(V549/MAX(K549:S549)))^(1/inputs!$O$13))-1)/inputs!$N$13&lt;inputs!$I$17, (((inputs!$P$13/(V549/MAX(K549:S549)))^(1/inputs!$O$13))-1)/inputs!$N$13, inputs!$I$17))</f>
        <v>151.89450000957893</v>
      </c>
      <c r="U549" s="63">
        <f>IF((((inputs!$P$13/(X549/MAX(K549:S549)))^(1/inputs!$O$13))-1)/inputs!$N$13&lt;0, 0, IF((((inputs!$P$13/(X549/MAX(K549:S549)))^(1/inputs!$O$13))-1)/inputs!$N$13&lt;inputs!$I$17, (((inputs!$P$13/(X549/MAX(K549:S549)))^(1/inputs!$O$13))-1)/inputs!$N$13, inputs!$I$17))</f>
        <v>2.1226500219748674</v>
      </c>
      <c r="V549" s="54">
        <f>inputs!$E$70*(F549/inputs!$F$70)^(0.25)</f>
        <v>2.38</v>
      </c>
      <c r="W549" s="54">
        <f>inputs!$E$76*(F549/inputs!$F$76)^(0.25)</f>
        <v>0.17112305785221535</v>
      </c>
      <c r="X549" s="54">
        <f>inputs!$E$72*(inputs!$F$72/F549)^(0.25)</f>
        <v>105</v>
      </c>
      <c r="Y549" s="54" t="s">
        <v>13</v>
      </c>
      <c r="Z549" s="106">
        <f t="shared" si="44"/>
        <v>63.723592413795451</v>
      </c>
      <c r="AA549" s="106">
        <f t="shared" si="45"/>
        <v>886.27536141746054</v>
      </c>
    </row>
    <row r="550" spans="1:27" ht="13.2" x14ac:dyDescent="0.25">
      <c r="A550" s="55" t="s">
        <v>554</v>
      </c>
      <c r="B550" s="49" t="s">
        <v>555</v>
      </c>
      <c r="C550" s="21" t="s">
        <v>61</v>
      </c>
      <c r="D550" s="20" t="s">
        <v>467</v>
      </c>
      <c r="E550" s="20">
        <v>8962</v>
      </c>
      <c r="F550" s="21">
        <v>350</v>
      </c>
      <c r="G550" s="21" t="s">
        <v>152</v>
      </c>
      <c r="H550" s="21">
        <v>0.77</v>
      </c>
      <c r="I550" s="68">
        <f>MAX('Max rate concentrations'!$G$3:$G$368)</f>
        <v>45</v>
      </c>
      <c r="J550" s="68">
        <f>MAX('Max rate concentrations'!Z:Z)</f>
        <v>21</v>
      </c>
      <c r="K550" s="70">
        <f t="shared" si="46"/>
        <v>16.207216297103404</v>
      </c>
      <c r="L550" s="70">
        <f t="shared" si="47"/>
        <v>7.5633676053149221</v>
      </c>
      <c r="M550" s="70">
        <f>IF((((0.326*F550^0.818)-(0.398*F550^0.85)/(1-H550)*H550)*(MAX('Max rate concentrations'!$P$3:$P$368)))/F550&gt;0, (((0.326*F550^0.818)-(0.398*F550^0.85)/(1-H550)*H550)*(MAX('Max rate concentrations'!$P$3:$P$368)))/F550, 0)</f>
        <v>0</v>
      </c>
      <c r="N550" s="70">
        <f>IF((((0.326*F550^0.818)-(0.398*F550^0.85)/(1-H550)*H550)*(MAX('Max rate concentrations'!$Q$3:$Q$368)))/F550&gt; 0, (((0.326*F550^0.818)-(0.398*F550^0.85)/(1-H550)*H550)*(MAX('Max rate concentrations'!$Q$3:$Q$368)))/F550, 0)</f>
        <v>0</v>
      </c>
      <c r="O550" s="70">
        <f>((MAX('Max rate concentrations'!$F$3:$F$368))*0.62*6.01*8*(12.3*F550^0.65)*0.079*0.1/F550)*inputs!$E$73/inputs!$E$74</f>
        <v>34.84154952299744</v>
      </c>
      <c r="P550" s="70">
        <f>((MAX('Max rate concentrations'!Y:Y))*0.62*6.01*8*(12.3*F550^0.65)*0.079*0.1/F550)*inputs!$E$73/inputs!$E$74</f>
        <v>11.61384984099915</v>
      </c>
      <c r="Q550" s="70">
        <f>(inputs!$C$18*11.2*(12.3*F550^0.65)*0.5/F550)*inputs!$E$73/inputs!$E$74</f>
        <v>6.1371746155870026</v>
      </c>
      <c r="R550" s="60">
        <f>(60*379*((F550/1000)^0.8)*3*24*(MAX('Max rate concentrations'!$R$3:$R$368))/F550)*(inputs!$E$73/inputs!$E$75)</f>
        <v>1.3618055487498908E-2</v>
      </c>
      <c r="S550" s="60">
        <f>(IF(inputs!$C$17="aerial",((0.025*0.112*inputs!$C$18/3.3)*(3*60*379*((F550/1000)^0.8))*MAX(inputs!$I$14:$I$16))/F550,((0.0083*0.112*inputs!$C$18/1)*(3*60*379*((F550/1000)^0.8))*MAX(inputs!$I$14:$I$16))/F550))*(inputs!E$75/inputs!$E$73)</f>
        <v>7.5104412683860519E-2</v>
      </c>
      <c r="T550" s="63">
        <f>IF((((inputs!$P$13/(V550/MAX(K550:S550)))^(1/inputs!$O$13))-1)/inputs!$N$13&lt;0, 0, IF((((inputs!$P$13/(V550/MAX(K550:S550)))^(1/inputs!$O$13))-1)/inputs!$N$13&lt;inputs!$I$17, (((inputs!$P$13/(V550/MAX(K550:S550)))^(1/inputs!$O$13))-1)/inputs!$N$13, inputs!$I$17))</f>
        <v>21.587361495018087</v>
      </c>
      <c r="U550" s="63">
        <f>IF((((inputs!$P$13/(X550/MAX(K550:S550)))^(1/inputs!$O$13))-1)/inputs!$N$13&lt;0, 0, IF((((inputs!$P$13/(X550/MAX(K550:S550)))^(1/inputs!$O$13))-1)/inputs!$N$13&lt;inputs!$I$17, (((inputs!$P$13/(X550/MAX(K550:S550)))^(1/inputs!$O$13))-1)/inputs!$N$13, inputs!$I$17))</f>
        <v>0</v>
      </c>
      <c r="V550" s="54">
        <f>inputs!$E$70*(F550/inputs!$F$70)^(0.25)</f>
        <v>4.8678419521897061</v>
      </c>
      <c r="W550" s="54">
        <f>inputs!$E$76*(F550/inputs!$F$76)^(0.25)</f>
        <v>0.35</v>
      </c>
      <c r="X550" s="54">
        <f>inputs!$E$72*(inputs!$F$72/F550)^(0.25)</f>
        <v>51.336917355664603</v>
      </c>
      <c r="Y550" s="54" t="s">
        <v>13</v>
      </c>
      <c r="Z550" s="106">
        <f t="shared" si="44"/>
        <v>7.1574939912181481</v>
      </c>
      <c r="AA550" s="106">
        <f t="shared" si="45"/>
        <v>99.547284351421268</v>
      </c>
    </row>
    <row r="551" spans="1:27" ht="13.2" x14ac:dyDescent="0.25">
      <c r="A551" s="55" t="s">
        <v>554</v>
      </c>
      <c r="B551" s="49" t="s">
        <v>555</v>
      </c>
      <c r="C551" s="21" t="s">
        <v>61</v>
      </c>
      <c r="D551" s="20" t="s">
        <v>467</v>
      </c>
      <c r="E551" s="20">
        <v>8962</v>
      </c>
      <c r="F551" s="21">
        <v>350</v>
      </c>
      <c r="G551" s="21" t="s">
        <v>177</v>
      </c>
      <c r="H551" s="21">
        <v>0.85</v>
      </c>
      <c r="I551" s="68">
        <f>MAX('Max rate concentrations'!$F$3:$F$368)</f>
        <v>405</v>
      </c>
      <c r="J551" s="68">
        <f>MAX('Max rate concentrations'!Y:Y)</f>
        <v>135</v>
      </c>
      <c r="K551" s="70">
        <f t="shared" si="46"/>
        <v>223.65958490002697</v>
      </c>
      <c r="L551" s="70">
        <f t="shared" si="47"/>
        <v>74.553194966675662</v>
      </c>
      <c r="M551" s="70">
        <f>IF((((0.326*F551^0.818)-(0.398*F551^0.85)/(1-H551)*H551)*(MAX('Max rate concentrations'!$P$3:$P$368)))/F551&gt;0, (((0.326*F551^0.818)-(0.398*F551^0.85)/(1-H551)*H551)*(MAX('Max rate concentrations'!$P$3:$P$368)))/F551, 0)</f>
        <v>0</v>
      </c>
      <c r="N551" s="70">
        <f>IF((((0.326*F551^0.818)-(0.398*F551^0.85)/(1-H551)*H551)*(MAX('Max rate concentrations'!$Q$3:$Q$368)))/F551&gt; 0, (((0.326*F551^0.818)-(0.398*F551^0.85)/(1-H551)*H551)*(MAX('Max rate concentrations'!$Q$3:$Q$368)))/F551, 0)</f>
        <v>0</v>
      </c>
      <c r="O551" s="70">
        <f>((MAX('Max rate concentrations'!$F$3:$F$368))*0.62*6.01*8*(12.3*F551^0.65)*0.079*0.1/F551)*inputs!$E$73/inputs!$E$74</f>
        <v>34.84154952299744</v>
      </c>
      <c r="P551" s="70">
        <f>((MAX('Max rate concentrations'!Y:Y))*0.62*6.01*8*(12.3*F551^0.65)*0.079*0.1/F551)*inputs!$E$73/inputs!$E$74</f>
        <v>11.61384984099915</v>
      </c>
      <c r="Q551" s="70">
        <f>(inputs!$C$18*11.2*(12.3*F551^0.65)*0.5/F551)*inputs!$E$73/inputs!$E$74</f>
        <v>6.1371746155870026</v>
      </c>
      <c r="R551" s="60">
        <f>(60*379*((F551/1000)^0.8)*3*24*(MAX('Max rate concentrations'!$R$3:$R$368))/F551)*(inputs!$E$73/inputs!$E$75)</f>
        <v>1.3618055487498908E-2</v>
      </c>
      <c r="S551" s="60">
        <f>(IF(inputs!$C$17="aerial",((0.025*0.112*inputs!$C$18/3.3)*(3*60*379*((F551/1000)^0.8))*MAX(inputs!$I$14:$I$16))/F551,((0.0083*0.112*inputs!$C$18/1)*(3*60*379*((F551/1000)^0.8))*MAX(inputs!$I$14:$I$16))/F551))*(inputs!E$75/inputs!$E$73)</f>
        <v>7.5104412683860519E-2</v>
      </c>
      <c r="T551" s="63">
        <f>IF((((inputs!$P$13/(V551/MAX(K551:S551)))^(1/inputs!$O$13))-1)/inputs!$N$13&lt;0, 0, IF((((inputs!$P$13/(V551/MAX(K551:S551)))^(1/inputs!$O$13))-1)/inputs!$N$13&lt;inputs!$I$17, (((inputs!$P$13/(V551/MAX(K551:S551)))^(1/inputs!$O$13))-1)/inputs!$N$13, inputs!$I$17))</f>
        <v>115.37777686166189</v>
      </c>
      <c r="U551" s="63">
        <f>IF((((inputs!$P$13/(X551/MAX(K551:S551)))^(1/inputs!$O$13))-1)/inputs!$N$13&lt;0, 0, IF((((inputs!$P$13/(X551/MAX(K551:S551)))^(1/inputs!$O$13))-1)/inputs!$N$13&lt;inputs!$I$17, (((inputs!$P$13/(X551/MAX(K551:S551)))^(1/inputs!$O$13))-1)/inputs!$N$13, inputs!$I$17))</f>
        <v>12.720859698687587</v>
      </c>
      <c r="V551" s="54">
        <f>inputs!$E$70*(F551/inputs!$F$70)^(0.25)</f>
        <v>4.8678419521897061</v>
      </c>
      <c r="W551" s="54">
        <f>inputs!$E$76*(F551/inputs!$F$76)^(0.25)</f>
        <v>0.35</v>
      </c>
      <c r="X551" s="54">
        <f>inputs!$E$72*(inputs!$F$72/F551)^(0.25)</f>
        <v>51.336917355664603</v>
      </c>
      <c r="Y551" s="54" t="s">
        <v>13</v>
      </c>
      <c r="Z551" s="106">
        <f t="shared" si="44"/>
        <v>45.946353044477533</v>
      </c>
      <c r="AA551" s="106">
        <f t="shared" si="45"/>
        <v>639.02738542864847</v>
      </c>
    </row>
    <row r="552" spans="1:27" ht="13.2" x14ac:dyDescent="0.25">
      <c r="A552" s="55" t="s">
        <v>554</v>
      </c>
      <c r="B552" s="49" t="s">
        <v>555</v>
      </c>
      <c r="C552" s="21" t="s">
        <v>61</v>
      </c>
      <c r="D552" s="20" t="s">
        <v>467</v>
      </c>
      <c r="E552" s="20">
        <v>8962</v>
      </c>
      <c r="F552" s="21">
        <v>350</v>
      </c>
      <c r="G552" s="21" t="s">
        <v>556</v>
      </c>
      <c r="H552" s="21">
        <v>0.7</v>
      </c>
      <c r="I552" s="68">
        <f>MAX('Max rate concentrations'!$E$3:$E$368)</f>
        <v>330</v>
      </c>
      <c r="J552" s="68">
        <f>MAX('Max rate concentrations'!X:X)</f>
        <v>108</v>
      </c>
      <c r="K552" s="70">
        <f t="shared" si="46"/>
        <v>91.120571625936904</v>
      </c>
      <c r="L552" s="70">
        <f t="shared" si="47"/>
        <v>29.821277986670264</v>
      </c>
      <c r="M552" s="70">
        <f>IF((((0.326*F552^0.818)-(0.398*F552^0.85)/(1-H552)*H552)*(MAX('Max rate concentrations'!$P$3:$P$368)))/F552&gt;0, (((0.326*F552^0.818)-(0.398*F552^0.85)/(1-H552)*H552)*(MAX('Max rate concentrations'!$P$3:$P$368)))/F552, 0)</f>
        <v>0</v>
      </c>
      <c r="N552" s="70">
        <f>IF((((0.326*F552^0.818)-(0.398*F552^0.85)/(1-H552)*H552)*(MAX('Max rate concentrations'!$Q$3:$Q$368)))/F552&gt; 0, (((0.326*F552^0.818)-(0.398*F552^0.85)/(1-H552)*H552)*(MAX('Max rate concentrations'!$Q$3:$Q$368)))/F552, 0)</f>
        <v>0</v>
      </c>
      <c r="O552" s="70">
        <f>((MAX('Max rate concentrations'!$F$3:$F$368))*0.62*6.01*8*(12.3*F552^0.65)*0.079*0.1/F552)*inputs!$E$73/inputs!$E$74</f>
        <v>34.84154952299744</v>
      </c>
      <c r="P552" s="70">
        <f>((MAX('Max rate concentrations'!Y:Y))*0.62*6.01*8*(12.3*F552^0.65)*0.079*0.1/F552)*inputs!$E$73/inputs!$E$74</f>
        <v>11.61384984099915</v>
      </c>
      <c r="Q552" s="70">
        <f>(inputs!$C$18*11.2*(12.3*F552^0.65)*0.5/F552)*inputs!$E$73/inputs!$E$74</f>
        <v>6.1371746155870026</v>
      </c>
      <c r="R552" s="60">
        <f>(60*379*((F552/1000)^0.8)*3*24*(MAX('Max rate concentrations'!$R$3:$R$368))/F552)*(inputs!$E$73/inputs!$E$75)</f>
        <v>1.3618055487498908E-2</v>
      </c>
      <c r="S552" s="60">
        <f>(IF(inputs!$C$17="aerial",((0.025*0.112*inputs!$C$18/3.3)*(3*60*379*((F552/1000)^0.8))*MAX(inputs!$I$14:$I$16))/F552,((0.0083*0.112*inputs!$C$18/1)*(3*60*379*((F552/1000)^0.8))*MAX(inputs!$I$14:$I$16))/F552))*(inputs!E$75/inputs!$E$73)</f>
        <v>7.5104412683860519E-2</v>
      </c>
      <c r="T552" s="63">
        <f>IF((((inputs!$P$13/(V552/MAX(K552:S552)))^(1/inputs!$O$13))-1)/inputs!$N$13&lt;0, 0, IF((((inputs!$P$13/(V552/MAX(K552:S552)))^(1/inputs!$O$13))-1)/inputs!$N$13&lt;inputs!$I$17, (((inputs!$P$13/(V552/MAX(K552:S552)))^(1/inputs!$O$13))-1)/inputs!$N$13, inputs!$I$17))</f>
        <v>53.118250591209183</v>
      </c>
      <c r="U552" s="63">
        <f>IF((((inputs!$P$13/(X552/MAX(K552:S552)))^(1/inputs!$O$13))-1)/inputs!$N$13&lt;0, 0, IF((((inputs!$P$13/(X552/MAX(K552:S552)))^(1/inputs!$O$13))-1)/inputs!$N$13&lt;inputs!$I$17, (((inputs!$P$13/(X552/MAX(K552:S552)))^(1/inputs!$O$13))-1)/inputs!$N$13, inputs!$I$17))</f>
        <v>3.4555053704350258</v>
      </c>
      <c r="V552" s="54">
        <f>inputs!$E$70*(F552/inputs!$F$70)^(0.25)</f>
        <v>4.8678419521897061</v>
      </c>
      <c r="W552" s="54">
        <f>inputs!$E$76*(F552/inputs!$F$76)^(0.25)</f>
        <v>0.35</v>
      </c>
      <c r="X552" s="54">
        <f>inputs!$E$72*(inputs!$F$72/F552)^(0.25)</f>
        <v>51.336917355664603</v>
      </c>
      <c r="Y552" s="54" t="s">
        <v>13</v>
      </c>
      <c r="Z552" s="106">
        <f t="shared" si="44"/>
        <v>18.718884573676032</v>
      </c>
      <c r="AA552" s="106">
        <f t="shared" si="45"/>
        <v>260.34449035981976</v>
      </c>
    </row>
    <row r="553" spans="1:27" ht="13.2" x14ac:dyDescent="0.25">
      <c r="A553" s="55" t="s">
        <v>501</v>
      </c>
      <c r="B553" s="49" t="s">
        <v>502</v>
      </c>
      <c r="C553" s="21" t="s">
        <v>61</v>
      </c>
      <c r="D553" s="20" t="s">
        <v>467</v>
      </c>
      <c r="E553" s="20">
        <v>48</v>
      </c>
      <c r="F553" s="21">
        <v>18</v>
      </c>
      <c r="G553" s="21" t="s">
        <v>142</v>
      </c>
      <c r="H553" s="21">
        <v>0.69</v>
      </c>
      <c r="I553" s="68">
        <f>MAX('Max rate concentrations'!$H$3:$H$368)</f>
        <v>282</v>
      </c>
      <c r="J553" s="68">
        <f>MAX('Max rate concentrations'!AA:AA)</f>
        <v>195</v>
      </c>
      <c r="K553" s="70">
        <f t="shared" si="46"/>
        <v>127.79585586516941</v>
      </c>
      <c r="L553" s="70">
        <f t="shared" si="47"/>
        <v>88.369474800383102</v>
      </c>
      <c r="M553" s="70">
        <f>IF((((0.326*F553^0.818)-(0.398*F553^0.85)/(1-H553)*H553)*(MAX('Max rate concentrations'!$P$3:$P$368)))/F553&gt;0, (((0.326*F553^0.818)-(0.398*F553^0.85)/(1-H553)*H553)*(MAX('Max rate concentrations'!$P$3:$P$368)))/F553, 0)</f>
        <v>0</v>
      </c>
      <c r="N553" s="70">
        <f>IF((((0.326*F553^0.818)-(0.398*F553^0.85)/(1-H553)*H553)*(MAX('Max rate concentrations'!$Q$3:$Q$368)))/F553&gt; 0, (((0.326*F553^0.818)-(0.398*F553^0.85)/(1-H553)*H553)*(MAX('Max rate concentrations'!$Q$3:$Q$368)))/F553, 0)</f>
        <v>0</v>
      </c>
      <c r="O553" s="70">
        <f>((MAX('Max rate concentrations'!$F$3:$F$368))*0.62*6.01*8*(12.3*F553^0.65)*0.079*0.1/F553)*inputs!$E$73/inputs!$E$74</f>
        <v>98.440973544889815</v>
      </c>
      <c r="P553" s="70">
        <f>((MAX('Max rate concentrations'!Y:Y))*0.62*6.01*8*(12.3*F553^0.65)*0.079*0.1/F553)*inputs!$E$73/inputs!$E$74</f>
        <v>32.813657848296607</v>
      </c>
      <c r="Q553" s="70">
        <f>(inputs!$C$18*11.2*(12.3*F553^0.65)*0.5/F553)*inputs!$E$73/inputs!$E$74</f>
        <v>17.339913185393652</v>
      </c>
      <c r="R553" s="60">
        <f>(60*379*((F553/1000)^0.8)*3*24*(MAX('Max rate concentrations'!$R$3:$R$368))/F553)*(inputs!$E$73/inputs!$E$75)</f>
        <v>2.4653251560567767E-2</v>
      </c>
      <c r="S553" s="60">
        <f>(IF(inputs!$C$17="aerial",((0.025*0.112*inputs!$C$18/3.3)*(3*60*379*((F553/1000)^0.8))*MAX(inputs!$I$14:$I$16))/F553,((0.0083*0.112*inputs!$C$18/1)*(3*60*379*((F553/1000)^0.8))*MAX(inputs!$I$14:$I$16))/F553))*(inputs!E$75/inputs!$E$73)</f>
        <v>0.1359641970106239</v>
      </c>
      <c r="T553" s="63">
        <f>IF((((inputs!$P$13/(V553/MAX(K553:S553)))^(1/inputs!$O$13))-1)/inputs!$N$13&lt;0, 0, IF((((inputs!$P$13/(V553/MAX(K553:S553)))^(1/inputs!$O$13))-1)/inputs!$N$13&lt;inputs!$I$17, (((inputs!$P$13/(V553/MAX(K553:S553)))^(1/inputs!$O$13))-1)/inputs!$N$13, inputs!$I$17))</f>
        <v>134.52343614238094</v>
      </c>
      <c r="U553" s="63">
        <f>IF((((inputs!$P$13/(X553/MAX(K553:S553)))^(1/inputs!$O$13))-1)/inputs!$N$13&lt;0, 0, IF((((inputs!$P$13/(X553/MAX(K553:S553)))^(1/inputs!$O$13))-1)/inputs!$N$13&lt;inputs!$I$17, (((inputs!$P$13/(X553/MAX(K553:S553)))^(1/inputs!$O$13))-1)/inputs!$N$13, inputs!$I$17))</f>
        <v>1.0373932180576562</v>
      </c>
      <c r="V553" s="54">
        <f>inputs!$E$70*(F553/inputs!$F$70)^(0.25)</f>
        <v>2.3181289164922063</v>
      </c>
      <c r="W553" s="54">
        <f>inputs!$E$76*(F553/inputs!$F$76)^(0.25)</f>
        <v>0.16667449944781054</v>
      </c>
      <c r="X553" s="54">
        <f>inputs!$E$72*(inputs!$F$72/F553)^(0.25)</f>
        <v>107.80246008843579</v>
      </c>
      <c r="Y553" s="54" t="s">
        <v>13</v>
      </c>
      <c r="Z553" s="106">
        <f t="shared" si="44"/>
        <v>55.128882158353022</v>
      </c>
      <c r="AA553" s="106">
        <f t="shared" si="45"/>
        <v>766.73910099358125</v>
      </c>
    </row>
    <row r="554" spans="1:27" ht="13.2" x14ac:dyDescent="0.25">
      <c r="A554" s="55" t="s">
        <v>501</v>
      </c>
      <c r="B554" s="49" t="s">
        <v>502</v>
      </c>
      <c r="C554" s="21" t="s">
        <v>61</v>
      </c>
      <c r="D554" s="20" t="s">
        <v>467</v>
      </c>
      <c r="E554" s="20">
        <v>48</v>
      </c>
      <c r="F554" s="21">
        <v>18</v>
      </c>
      <c r="G554" s="21" t="s">
        <v>152</v>
      </c>
      <c r="H554" s="21">
        <v>0.77</v>
      </c>
      <c r="I554" s="68">
        <f>MAX('Max rate concentrations'!$G$3:$G$368)</f>
        <v>45</v>
      </c>
      <c r="J554" s="68">
        <f>MAX('Max rate concentrations'!Z:Z)</f>
        <v>21</v>
      </c>
      <c r="K554" s="70">
        <f t="shared" si="46"/>
        <v>27.486157713831542</v>
      </c>
      <c r="L554" s="70">
        <f t="shared" si="47"/>
        <v>12.826873599788053</v>
      </c>
      <c r="M554" s="70">
        <f>IF((((0.326*F554^0.818)-(0.398*F554^0.85)/(1-H554)*H554)*(MAX('Max rate concentrations'!$P$3:$P$368)))/F554&gt;0, (((0.326*F554^0.818)-(0.398*F554^0.85)/(1-H554)*H554)*(MAX('Max rate concentrations'!$P$3:$P$368)))/F554, 0)</f>
        <v>0</v>
      </c>
      <c r="N554" s="70">
        <f>IF((((0.326*F554^0.818)-(0.398*F554^0.85)/(1-H554)*H554)*(MAX('Max rate concentrations'!$Q$3:$Q$368)))/F554&gt; 0, (((0.326*F554^0.818)-(0.398*F554^0.85)/(1-H554)*H554)*(MAX('Max rate concentrations'!$Q$3:$Q$368)))/F554, 0)</f>
        <v>0</v>
      </c>
      <c r="O554" s="70">
        <f>((MAX('Max rate concentrations'!$F$3:$F$368))*0.62*6.01*8*(12.3*F554^0.65)*0.079*0.1/F554)*inputs!$E$73/inputs!$E$74</f>
        <v>98.440973544889815</v>
      </c>
      <c r="P554" s="70">
        <f>((MAX('Max rate concentrations'!Y:Y))*0.62*6.01*8*(12.3*F554^0.65)*0.079*0.1/F554)*inputs!$E$73/inputs!$E$74</f>
        <v>32.813657848296607</v>
      </c>
      <c r="Q554" s="70">
        <f>(inputs!$C$18*11.2*(12.3*F554^0.65)*0.5/F554)*inputs!$E$73/inputs!$E$74</f>
        <v>17.339913185393652</v>
      </c>
      <c r="R554" s="60">
        <f>(60*379*((F554/1000)^0.8)*3*24*(MAX('Max rate concentrations'!$R$3:$R$368))/F554)*(inputs!$E$73/inputs!$E$75)</f>
        <v>2.4653251560567767E-2</v>
      </c>
      <c r="S554" s="60">
        <f>(IF(inputs!$C$17="aerial",((0.025*0.112*inputs!$C$18/3.3)*(3*60*379*((F554/1000)^0.8))*MAX(inputs!$I$14:$I$16))/F554,((0.0083*0.112*inputs!$C$18/1)*(3*60*379*((F554/1000)^0.8))*MAX(inputs!$I$14:$I$16))/F554))*(inputs!E$75/inputs!$E$73)</f>
        <v>0.1359641970106239</v>
      </c>
      <c r="T554" s="63">
        <f>IF((((inputs!$P$13/(V554/MAX(K554:S554)))^(1/inputs!$O$13))-1)/inputs!$N$13&lt;0, 0, IF((((inputs!$P$13/(V554/MAX(K554:S554)))^(1/inputs!$O$13))-1)/inputs!$N$13&lt;inputs!$I$17, (((inputs!$P$13/(V554/MAX(K554:S554)))^(1/inputs!$O$13))-1)/inputs!$N$13, inputs!$I$17))</f>
        <v>107.93422632122001</v>
      </c>
      <c r="U554" s="63">
        <f>IF((((inputs!$P$13/(X554/MAX(K554:S554)))^(1/inputs!$O$13))-1)/inputs!$N$13&lt;0, 0, IF((((inputs!$P$13/(X554/MAX(K554:S554)))^(1/inputs!$O$13))-1)/inputs!$N$13&lt;inputs!$I$17, (((inputs!$P$13/(X554/MAX(K554:S554)))^(1/inputs!$O$13))-1)/inputs!$N$13, inputs!$I$17))</f>
        <v>0</v>
      </c>
      <c r="V554" s="54">
        <f>inputs!$E$70*(F554/inputs!$F$70)^(0.25)</f>
        <v>2.3181289164922063</v>
      </c>
      <c r="W554" s="54">
        <f>inputs!$E$76*(F554/inputs!$F$76)^(0.25)</f>
        <v>0.16667449944781054</v>
      </c>
      <c r="X554" s="54">
        <f>inputs!$E$72*(inputs!$F$72/F554)^(0.25)</f>
        <v>107.80246008843579</v>
      </c>
      <c r="Y554" s="54" t="s">
        <v>13</v>
      </c>
      <c r="Z554" s="106">
        <f t="shared" si="44"/>
        <v>42.465702767666059</v>
      </c>
      <c r="AA554" s="106">
        <f t="shared" si="45"/>
        <v>590.61808417618113</v>
      </c>
    </row>
    <row r="555" spans="1:27" ht="13.2" x14ac:dyDescent="0.25">
      <c r="A555" s="55" t="s">
        <v>501</v>
      </c>
      <c r="B555" s="49" t="s">
        <v>502</v>
      </c>
      <c r="C555" s="21" t="s">
        <v>61</v>
      </c>
      <c r="D555" s="20" t="s">
        <v>467</v>
      </c>
      <c r="E555" s="20">
        <v>48</v>
      </c>
      <c r="F555" s="21">
        <v>18</v>
      </c>
      <c r="G555" s="21" t="s">
        <v>153</v>
      </c>
      <c r="H555" s="21">
        <v>0.7</v>
      </c>
      <c r="I555" s="68">
        <f>MAX('Max rate concentrations'!$E$3:$E$368)</f>
        <v>330</v>
      </c>
      <c r="J555" s="68">
        <f>MAX('Max rate concentrations'!X:X)</f>
        <v>108</v>
      </c>
      <c r="K555" s="70">
        <f t="shared" si="46"/>
        <v>154.53328670220841</v>
      </c>
      <c r="L555" s="70">
        <f t="shared" si="47"/>
        <v>50.57453019345003</v>
      </c>
      <c r="M555" s="70">
        <f>IF((((0.326*F555^0.818)-(0.398*F555^0.85)/(1-H555)*H555)*(MAX('Max rate concentrations'!$P$3:$P$368)))/F555&gt;0, (((0.326*F555^0.818)-(0.398*F555^0.85)/(1-H555)*H555)*(MAX('Max rate concentrations'!$P$3:$P$368)))/F555, 0)</f>
        <v>0</v>
      </c>
      <c r="N555" s="70">
        <f>IF((((0.326*F555^0.818)-(0.398*F555^0.85)/(1-H555)*H555)*(MAX('Max rate concentrations'!$Q$3:$Q$368)))/F555&gt; 0, (((0.326*F555^0.818)-(0.398*F555^0.85)/(1-H555)*H555)*(MAX('Max rate concentrations'!$Q$3:$Q$368)))/F555, 0)</f>
        <v>0</v>
      </c>
      <c r="O555" s="70">
        <f>((MAX('Max rate concentrations'!$F$3:$F$368))*0.62*6.01*8*(12.3*F555^0.65)*0.079*0.1/F555)*inputs!$E$73/inputs!$E$74</f>
        <v>98.440973544889815</v>
      </c>
      <c r="P555" s="70">
        <f>((MAX('Max rate concentrations'!Y:Y))*0.62*6.01*8*(12.3*F555^0.65)*0.079*0.1/F555)*inputs!$E$73/inputs!$E$74</f>
        <v>32.813657848296607</v>
      </c>
      <c r="Q555" s="70">
        <f>(inputs!$C$18*11.2*(12.3*F555^0.65)*0.5/F555)*inputs!$E$73/inputs!$E$74</f>
        <v>17.339913185393652</v>
      </c>
      <c r="R555" s="60">
        <f>(60*379*((F555/1000)^0.8)*3*24*(MAX('Max rate concentrations'!$R$3:$R$368))/F555)*(inputs!$E$73/inputs!$E$75)</f>
        <v>2.4653251560567767E-2</v>
      </c>
      <c r="S555" s="60">
        <f>(IF(inputs!$C$17="aerial",((0.025*0.112*inputs!$C$18/3.3)*(3*60*379*((F555/1000)^0.8))*MAX(inputs!$I$14:$I$16))/F555,((0.0083*0.112*inputs!$C$18/1)*(3*60*379*((F555/1000)^0.8))*MAX(inputs!$I$14:$I$16))/F555))*(inputs!E$75/inputs!$E$73)</f>
        <v>0.1359641970106239</v>
      </c>
      <c r="T555" s="63">
        <f>IF((((inputs!$P$13/(V555/MAX(K555:S555)))^(1/inputs!$O$13))-1)/inputs!$N$13&lt;0, 0, IF((((inputs!$P$13/(V555/MAX(K555:S555)))^(1/inputs!$O$13))-1)/inputs!$N$13&lt;inputs!$I$17, (((inputs!$P$13/(V555/MAX(K555:S555)))^(1/inputs!$O$13))-1)/inputs!$N$13, inputs!$I$17))</f>
        <v>157.7299149877667</v>
      </c>
      <c r="U555" s="63">
        <f>IF((((inputs!$P$13/(X555/MAX(K555:S555)))^(1/inputs!$O$13))-1)/inputs!$N$13&lt;0, 0, IF((((inputs!$P$13/(X555/MAX(K555:S555)))^(1/inputs!$O$13))-1)/inputs!$N$13&lt;inputs!$I$17, (((inputs!$P$13/(X555/MAX(K555:S555)))^(1/inputs!$O$13))-1)/inputs!$N$13, inputs!$I$17))</f>
        <v>2.0776990050370032</v>
      </c>
      <c r="V555" s="54">
        <f>inputs!$E$70*(F555/inputs!$F$70)^(0.25)</f>
        <v>2.3181289164922063</v>
      </c>
      <c r="W555" s="54">
        <f>inputs!$E$76*(F555/inputs!$F$76)^(0.25)</f>
        <v>0.16667449944781054</v>
      </c>
      <c r="X555" s="54">
        <f>inputs!$E$72*(inputs!$F$72/F555)^(0.25)</f>
        <v>107.80246008843579</v>
      </c>
      <c r="Y555" s="54" t="s">
        <v>13</v>
      </c>
      <c r="Z555" s="106">
        <f t="shared" si="44"/>
        <v>66.662939063824041</v>
      </c>
      <c r="AA555" s="106">
        <f t="shared" si="45"/>
        <v>927.15614694613907</v>
      </c>
    </row>
    <row r="556" spans="1:27" ht="13.2" x14ac:dyDescent="0.25">
      <c r="A556" s="55" t="s">
        <v>517</v>
      </c>
      <c r="B556" s="49" t="s">
        <v>518</v>
      </c>
      <c r="C556" s="21" t="s">
        <v>61</v>
      </c>
      <c r="D556" s="20" t="s">
        <v>467</v>
      </c>
      <c r="E556" s="20">
        <v>10043</v>
      </c>
      <c r="F556" s="21">
        <v>5</v>
      </c>
      <c r="G556" s="21" t="s">
        <v>142</v>
      </c>
      <c r="H556" s="21">
        <v>0.69</v>
      </c>
      <c r="I556" s="68">
        <f>MAX('Max rate concentrations'!$H$3:$H$368)</f>
        <v>282</v>
      </c>
      <c r="J556" s="68">
        <f>MAX('Max rate concentrations'!AA:AA)</f>
        <v>195</v>
      </c>
      <c r="K556" s="70">
        <f t="shared" si="46"/>
        <v>160.52349837746783</v>
      </c>
      <c r="L556" s="70">
        <f t="shared" si="47"/>
        <v>111.00029143122774</v>
      </c>
      <c r="M556" s="70">
        <f>IF((((0.326*F556^0.818)-(0.398*F556^0.85)/(1-H556)*H556)*(MAX('Max rate concentrations'!$P$3:$P$368)))/F556&gt;0, (((0.326*F556^0.818)-(0.398*F556^0.85)/(1-H556)*H556)*(MAX('Max rate concentrations'!$P$3:$P$368)))/F556, 0)</f>
        <v>0</v>
      </c>
      <c r="N556" s="70">
        <f>IF((((0.326*F556^0.818)-(0.398*F556^0.85)/(1-H556)*H556)*(MAX('Max rate concentrations'!$Q$3:$Q$368)))/F556&gt; 0, (((0.326*F556^0.818)-(0.398*F556^0.85)/(1-H556)*H556)*(MAX('Max rate concentrations'!$Q$3:$Q$368)))/F556, 0)</f>
        <v>0</v>
      </c>
      <c r="O556" s="70">
        <f>((MAX('Max rate concentrations'!$F$3:$F$368))*0.62*6.01*8*(12.3*F556^0.65)*0.079*0.1/F556)*inputs!$E$73/inputs!$E$74</f>
        <v>154.12808247377183</v>
      </c>
      <c r="P556" s="70">
        <f>((MAX('Max rate concentrations'!Y:Y))*0.62*6.01*8*(12.3*F556^0.65)*0.079*0.1/F556)*inputs!$E$73/inputs!$E$74</f>
        <v>51.37602749125729</v>
      </c>
      <c r="Q556" s="70">
        <f>(inputs!$C$18*11.2*(12.3*F556^0.65)*0.5/F556)*inputs!$E$73/inputs!$E$74</f>
        <v>27.148934770618521</v>
      </c>
      <c r="R556" s="60">
        <f>(60*379*((F556/1000)^0.8)*3*24*(MAX('Max rate concentrations'!$R$3:$R$368))/F556)*(inputs!$E$73/inputs!$E$75)</f>
        <v>3.1851853342182934E-2</v>
      </c>
      <c r="S556" s="60">
        <f>(IF(inputs!$C$17="aerial",((0.025*0.112*inputs!$C$18/3.3)*(3*60*379*((F556/1000)^0.8))*MAX(inputs!$I$14:$I$16))/F556,((0.0083*0.112*inputs!$C$18/1)*(3*60*379*((F556/1000)^0.8))*MAX(inputs!$I$14:$I$16))/F556))*(inputs!E$75/inputs!$E$73)</f>
        <v>0.17566492810615378</v>
      </c>
      <c r="T556" s="63">
        <f>IF((((inputs!$P$13/(V556/MAX(K556:S556)))^(1/inputs!$O$13))-1)/inputs!$N$13&lt;0, 0, IF((((inputs!$P$13/(V556/MAX(K556:S556)))^(1/inputs!$O$13))-1)/inputs!$N$13&lt;inputs!$I$17, (((inputs!$P$13/(V556/MAX(K556:S556)))^(1/inputs!$O$13))-1)/inputs!$N$13, inputs!$I$17))</f>
        <v>212.49165086087214</v>
      </c>
      <c r="U556" s="63">
        <f>IF((((inputs!$P$13/(X556/MAX(K556:S556)))^(1/inputs!$O$13))-1)/inputs!$N$13&lt;0, 0, IF((((inputs!$P$13/(X556/MAX(K556:S556)))^(1/inputs!$O$13))-1)/inputs!$N$13&lt;inputs!$I$17, (((inputs!$P$13/(X556/MAX(K556:S556)))^(1/inputs!$O$13))-1)/inputs!$N$13, inputs!$I$17))</f>
        <v>0.58715574840906448</v>
      </c>
      <c r="V556" s="54">
        <f>inputs!$E$70*(F556/inputs!$F$70)^(0.25)</f>
        <v>1.6829141392239833</v>
      </c>
      <c r="W556" s="54">
        <f>inputs!$E$76*(F556/inputs!$F$76)^(0.25)</f>
        <v>0.12100227462467934</v>
      </c>
      <c r="X556" s="54">
        <f>inputs!$E$72*(inputs!$F$72/F556)^(0.25)</f>
        <v>148.49242404917496</v>
      </c>
      <c r="Y556" s="54" t="s">
        <v>13</v>
      </c>
      <c r="Z556" s="106">
        <f t="shared" si="44"/>
        <v>95.38424726260105</v>
      </c>
      <c r="AA556" s="106">
        <f t="shared" si="45"/>
        <v>1326.6155440083589</v>
      </c>
    </row>
    <row r="557" spans="1:27" ht="26.4" x14ac:dyDescent="0.25">
      <c r="A557" s="55" t="s">
        <v>465</v>
      </c>
      <c r="B557" s="49" t="s">
        <v>466</v>
      </c>
      <c r="C557" s="21" t="s">
        <v>61</v>
      </c>
      <c r="D557" s="20" t="s">
        <v>467</v>
      </c>
      <c r="E557" s="20">
        <v>25</v>
      </c>
      <c r="F557" s="21">
        <v>7</v>
      </c>
      <c r="G557" s="21" t="s">
        <v>142</v>
      </c>
      <c r="H557" s="21">
        <v>0.69</v>
      </c>
      <c r="I557" s="68">
        <f>MAX('Max rate concentrations'!$H$3:$H$368)</f>
        <v>282</v>
      </c>
      <c r="J557" s="68">
        <f>MAX('Max rate concentrations'!AA:AA)</f>
        <v>195</v>
      </c>
      <c r="K557" s="70">
        <f t="shared" si="46"/>
        <v>151.19165660986866</v>
      </c>
      <c r="L557" s="70">
        <f t="shared" si="47"/>
        <v>104.54742212384534</v>
      </c>
      <c r="M557" s="70">
        <f>IF((((0.326*F557^0.818)-(0.398*F557^0.85)/(1-H557)*H557)*(MAX('Max rate concentrations'!$P$3:$P$368)))/F557&gt;0, (((0.326*F557^0.818)-(0.398*F557^0.85)/(1-H557)*H557)*(MAX('Max rate concentrations'!$P$3:$P$368)))/F557, 0)</f>
        <v>0</v>
      </c>
      <c r="N557" s="70">
        <f>IF((((0.326*F557^0.818)-(0.398*F557^0.85)/(1-H557)*H557)*(MAX('Max rate concentrations'!$Q$3:$Q$368)))/F557&gt; 0, (((0.326*F557^0.818)-(0.398*F557^0.85)/(1-H557)*H557)*(MAX('Max rate concentrations'!$Q$3:$Q$368)))/F557, 0)</f>
        <v>0</v>
      </c>
      <c r="O557" s="70">
        <f>((MAX('Max rate concentrations'!$F$3:$F$368))*0.62*6.01*8*(12.3*F557^0.65)*0.079*0.1/F557)*inputs!$E$73/inputs!$E$74</f>
        <v>137.00517218585506</v>
      </c>
      <c r="P557" s="70">
        <f>((MAX('Max rate concentrations'!Y:Y))*0.62*6.01*8*(12.3*F557^0.65)*0.079*0.1/F557)*inputs!$E$73/inputs!$E$74</f>
        <v>45.668390728618363</v>
      </c>
      <c r="Q557" s="70">
        <f>(inputs!$C$18*11.2*(12.3*F557^0.65)*0.5/F557)*inputs!$E$73/inputs!$E$74</f>
        <v>24.132814884945432</v>
      </c>
      <c r="R557" s="60">
        <f>(60*379*((F557/1000)^0.8)*3*24*(MAX('Max rate concentrations'!$R$3:$R$368))/F557)*(inputs!$E$73/inputs!$E$75)</f>
        <v>2.9778930781772905E-2</v>
      </c>
      <c r="S557" s="60">
        <f>(IF(inputs!$C$17="aerial",((0.025*0.112*inputs!$C$18/3.3)*(3*60*379*((F557/1000)^0.8))*MAX(inputs!$I$14:$I$16))/F557,((0.0083*0.112*inputs!$C$18/1)*(3*60*379*((F557/1000)^0.8))*MAX(inputs!$I$14:$I$16))/F557))*(inputs!E$75/inputs!$E$73)</f>
        <v>0.16423263282863526</v>
      </c>
      <c r="T557" s="63">
        <f>IF((((inputs!$P$13/(V557/MAX(K557:S557)))^(1/inputs!$O$13))-1)/inputs!$N$13&lt;0, 0, IF((((inputs!$P$13/(V557/MAX(K557:S557)))^(1/inputs!$O$13))-1)/inputs!$N$13&lt;inputs!$I$17, (((inputs!$P$13/(V557/MAX(K557:S557)))^(1/inputs!$O$13))-1)/inputs!$N$13, inputs!$I$17))</f>
        <v>188.55753687478546</v>
      </c>
      <c r="U557" s="63">
        <f>IF((((inputs!$P$13/(X557/MAX(K557:S557)))^(1/inputs!$O$13))-1)/inputs!$N$13&lt;0, 0, IF((((inputs!$P$13/(X557/MAX(K557:S557)))^(1/inputs!$O$13))-1)/inputs!$N$13&lt;inputs!$I$17, (((inputs!$P$13/(X557/MAX(K557:S557)))^(1/inputs!$O$13))-1)/inputs!$N$13, inputs!$I$17))</f>
        <v>0.70219059878041523</v>
      </c>
      <c r="V557" s="54">
        <f>inputs!$E$70*(F557/inputs!$F$70)^(0.25)</f>
        <v>1.8306021502060315</v>
      </c>
      <c r="W557" s="54">
        <f>inputs!$E$76*(F557/inputs!$F$76)^(0.25)</f>
        <v>0.13162110825802378</v>
      </c>
      <c r="X557" s="54">
        <f>inputs!$E$72*(inputs!$F$72/F557)^(0.25)</f>
        <v>136.51245846721753</v>
      </c>
      <c r="Y557" s="54" t="s">
        <v>13</v>
      </c>
      <c r="Z557" s="106">
        <f t="shared" si="44"/>
        <v>82.591215460362193</v>
      </c>
      <c r="AA557" s="106">
        <f t="shared" si="45"/>
        <v>1148.688524286543</v>
      </c>
    </row>
    <row r="558" spans="1:27" ht="13.2" x14ac:dyDescent="0.25">
      <c r="A558" s="55" t="s">
        <v>484</v>
      </c>
      <c r="B558" s="49" t="s">
        <v>485</v>
      </c>
      <c r="C558" s="21" t="s">
        <v>61</v>
      </c>
      <c r="D558" s="20" t="s">
        <v>467</v>
      </c>
      <c r="E558" s="20">
        <v>8166</v>
      </c>
      <c r="F558" s="21">
        <v>5.5</v>
      </c>
      <c r="G558" s="21" t="s">
        <v>142</v>
      </c>
      <c r="H558" s="21">
        <v>0.69</v>
      </c>
      <c r="I558" s="68">
        <f>MAX('Max rate concentrations'!$H$3:$H$368)</f>
        <v>282</v>
      </c>
      <c r="J558" s="68">
        <f>MAX('Max rate concentrations'!AA:AA)</f>
        <v>195</v>
      </c>
      <c r="K558" s="70">
        <f t="shared" si="46"/>
        <v>157.82315392087429</v>
      </c>
      <c r="L558" s="70">
        <f t="shared" si="47"/>
        <v>109.13303196656199</v>
      </c>
      <c r="M558" s="70">
        <f>IF((((0.326*F558^0.818)-(0.398*F558^0.85)/(1-H558)*H558)*(MAX('Max rate concentrations'!$P$3:$P$368)))/F558&gt;0, (((0.326*F558^0.818)-(0.398*F558^0.85)/(1-H558)*H558)*(MAX('Max rate concentrations'!$P$3:$P$368)))/F558, 0)</f>
        <v>0</v>
      </c>
      <c r="N558" s="70">
        <f>IF((((0.326*F558^0.818)-(0.398*F558^0.85)/(1-H558)*H558)*(MAX('Max rate concentrations'!$Q$3:$Q$368)))/F558&gt; 0, (((0.326*F558^0.818)-(0.398*F558^0.85)/(1-H558)*H558)*(MAX('Max rate concentrations'!$Q$3:$Q$368)))/F558, 0)</f>
        <v>0</v>
      </c>
      <c r="O558" s="70">
        <f>((MAX('Max rate concentrations'!$F$3:$F$368))*0.62*6.01*8*(12.3*F558^0.65)*0.079*0.1/F558)*inputs!$E$73/inputs!$E$74</f>
        <v>149.07140184603705</v>
      </c>
      <c r="P558" s="70">
        <f>((MAX('Max rate concentrations'!Y:Y))*0.62*6.01*8*(12.3*F558^0.65)*0.079*0.1/F558)*inputs!$E$73/inputs!$E$74</f>
        <v>49.690467282012364</v>
      </c>
      <c r="Q558" s="70">
        <f>(inputs!$C$18*11.2*(12.3*F558^0.65)*0.5/F558)*inputs!$E$73/inputs!$E$74</f>
        <v>26.258224328272082</v>
      </c>
      <c r="R558" s="60">
        <f>(60*379*((F558/1000)^0.8)*3*24*(MAX('Max rate concentrations'!$R$3:$R$368))/F558)*(inputs!$E$73/inputs!$E$75)</f>
        <v>3.1250442437176097E-2</v>
      </c>
      <c r="S558" s="60">
        <f>(IF(inputs!$C$17="aerial",((0.025*0.112*inputs!$C$18/3.3)*(3*60*379*((F558/1000)^0.8))*MAX(inputs!$I$14:$I$16))/F558,((0.0083*0.112*inputs!$C$18/1)*(3*60*379*((F558/1000)^0.8))*MAX(inputs!$I$14:$I$16))/F558))*(inputs!E$75/inputs!$E$73)</f>
        <v>0.17234811001537192</v>
      </c>
      <c r="T558" s="63">
        <f>IF((((inputs!$P$13/(V558/MAX(K558:S558)))^(1/inputs!$O$13))-1)/inputs!$N$13&lt;0, 0, IF((((inputs!$P$13/(V558/MAX(K558:S558)))^(1/inputs!$O$13))-1)/inputs!$N$13&lt;inputs!$I$17, (((inputs!$P$13/(V558/MAX(K558:S558)))^(1/inputs!$O$13))-1)/inputs!$N$13, inputs!$I$17))</f>
        <v>205.4267396985739</v>
      </c>
      <c r="U558" s="63">
        <f>IF((((inputs!$P$13/(X558/MAX(K558:S558)))^(1/inputs!$O$13))-1)/inputs!$N$13&lt;0, 0, IF((((inputs!$P$13/(X558/MAX(K558:S558)))^(1/inputs!$O$13))-1)/inputs!$N$13&lt;inputs!$I$17, (((inputs!$P$13/(X558/MAX(K558:S558)))^(1/inputs!$O$13))-1)/inputs!$N$13, inputs!$I$17))</f>
        <v>0.61951243436958203</v>
      </c>
      <c r="V558" s="54">
        <f>inputs!$E$70*(F558/inputs!$F$70)^(0.25)</f>
        <v>1.7234954075330469</v>
      </c>
      <c r="W558" s="54">
        <f>inputs!$E$76*(F558/inputs!$F$76)^(0.25)</f>
        <v>0.12392008585348951</v>
      </c>
      <c r="X558" s="54">
        <f>inputs!$E$72*(inputs!$F$72/F558)^(0.25)</f>
        <v>144.99603474876582</v>
      </c>
      <c r="Y558" s="54" t="s">
        <v>13</v>
      </c>
      <c r="Z558" s="106">
        <f t="shared" si="44"/>
        <v>91.571554662148486</v>
      </c>
      <c r="AA558" s="106">
        <f t="shared" si="45"/>
        <v>1273.5881583189694</v>
      </c>
    </row>
    <row r="559" spans="1:27" ht="26.4" x14ac:dyDescent="0.25">
      <c r="A559" s="55" t="s">
        <v>486</v>
      </c>
      <c r="B559" s="49" t="s">
        <v>487</v>
      </c>
      <c r="C559" s="21" t="s">
        <v>61</v>
      </c>
      <c r="D559" s="20" t="s">
        <v>467</v>
      </c>
      <c r="E559" s="20">
        <v>4564</v>
      </c>
      <c r="F559" s="21">
        <v>5.5</v>
      </c>
      <c r="G559" s="21" t="s">
        <v>142</v>
      </c>
      <c r="H559" s="21">
        <v>0.69</v>
      </c>
      <c r="I559" s="68">
        <f>MAX('Max rate concentrations'!$H$3:$H$368)</f>
        <v>282</v>
      </c>
      <c r="J559" s="68">
        <f>MAX('Max rate concentrations'!AA:AA)</f>
        <v>195</v>
      </c>
      <c r="K559" s="70">
        <f t="shared" si="46"/>
        <v>157.82315392087429</v>
      </c>
      <c r="L559" s="70">
        <f t="shared" si="47"/>
        <v>109.13303196656199</v>
      </c>
      <c r="M559" s="70">
        <f>IF((((0.326*F559^0.818)-(0.398*F559^0.85)/(1-H559)*H559)*(MAX('Max rate concentrations'!$P$3:$P$368)))/F559&gt;0, (((0.326*F559^0.818)-(0.398*F559^0.85)/(1-H559)*H559)*(MAX('Max rate concentrations'!$P$3:$P$368)))/F559, 0)</f>
        <v>0</v>
      </c>
      <c r="N559" s="70">
        <f>IF((((0.326*F559^0.818)-(0.398*F559^0.85)/(1-H559)*H559)*(MAX('Max rate concentrations'!$Q$3:$Q$368)))/F559&gt; 0, (((0.326*F559^0.818)-(0.398*F559^0.85)/(1-H559)*H559)*(MAX('Max rate concentrations'!$Q$3:$Q$368)))/F559, 0)</f>
        <v>0</v>
      </c>
      <c r="O559" s="70">
        <f>((MAX('Max rate concentrations'!$F$3:$F$368))*0.62*6.01*8*(12.3*F559^0.65)*0.079*0.1/F559)*inputs!$E$73/inputs!$E$74</f>
        <v>149.07140184603705</v>
      </c>
      <c r="P559" s="70">
        <f>((MAX('Max rate concentrations'!Y:Y))*0.62*6.01*8*(12.3*F559^0.65)*0.079*0.1/F559)*inputs!$E$73/inputs!$E$74</f>
        <v>49.690467282012364</v>
      </c>
      <c r="Q559" s="70">
        <f>(inputs!$C$18*11.2*(12.3*F559^0.65)*0.5/F559)*inputs!$E$73/inputs!$E$74</f>
        <v>26.258224328272082</v>
      </c>
      <c r="R559" s="60">
        <f>(60*379*((F559/1000)^0.8)*3*24*(MAX('Max rate concentrations'!$R$3:$R$368))/F559)*(inputs!$E$73/inputs!$E$75)</f>
        <v>3.1250442437176097E-2</v>
      </c>
      <c r="S559" s="60">
        <f>(IF(inputs!$C$17="aerial",((0.025*0.112*inputs!$C$18/3.3)*(3*60*379*((F559/1000)^0.8))*MAX(inputs!$I$14:$I$16))/F559,((0.0083*0.112*inputs!$C$18/1)*(3*60*379*((F559/1000)^0.8))*MAX(inputs!$I$14:$I$16))/F559))*(inputs!E$75/inputs!$E$73)</f>
        <v>0.17234811001537192</v>
      </c>
      <c r="T559" s="63">
        <f>IF((((inputs!$P$13/(V559/MAX(K559:S559)))^(1/inputs!$O$13))-1)/inputs!$N$13&lt;0, 0, IF((((inputs!$P$13/(V559/MAX(K559:S559)))^(1/inputs!$O$13))-1)/inputs!$N$13&lt;inputs!$I$17, (((inputs!$P$13/(V559/MAX(K559:S559)))^(1/inputs!$O$13))-1)/inputs!$N$13, inputs!$I$17))</f>
        <v>205.4267396985739</v>
      </c>
      <c r="U559" s="63">
        <f>IF((((inputs!$P$13/(X559/MAX(K559:S559)))^(1/inputs!$O$13))-1)/inputs!$N$13&lt;0, 0, IF((((inputs!$P$13/(X559/MAX(K559:S559)))^(1/inputs!$O$13))-1)/inputs!$N$13&lt;inputs!$I$17, (((inputs!$P$13/(X559/MAX(K559:S559)))^(1/inputs!$O$13))-1)/inputs!$N$13, inputs!$I$17))</f>
        <v>0.61951243436958203</v>
      </c>
      <c r="V559" s="54">
        <f>inputs!$E$70*(F559/inputs!$F$70)^(0.25)</f>
        <v>1.7234954075330469</v>
      </c>
      <c r="W559" s="54">
        <f>inputs!$E$76*(F559/inputs!$F$76)^(0.25)</f>
        <v>0.12392008585348951</v>
      </c>
      <c r="X559" s="54">
        <f>inputs!$E$72*(inputs!$F$72/F559)^(0.25)</f>
        <v>144.99603474876582</v>
      </c>
      <c r="Y559" s="54" t="s">
        <v>13</v>
      </c>
      <c r="Z559" s="106">
        <f t="shared" si="44"/>
        <v>91.571554662148486</v>
      </c>
      <c r="AA559" s="106">
        <f t="shared" si="45"/>
        <v>1273.5881583189694</v>
      </c>
    </row>
    <row r="560" spans="1:27" ht="26.4" x14ac:dyDescent="0.25">
      <c r="A560" s="55" t="s">
        <v>468</v>
      </c>
      <c r="B560" s="49" t="s">
        <v>469</v>
      </c>
      <c r="C560" s="21" t="s">
        <v>61</v>
      </c>
      <c r="D560" s="20" t="s">
        <v>467</v>
      </c>
      <c r="E560" s="20">
        <v>27</v>
      </c>
      <c r="F560" s="21">
        <v>5</v>
      </c>
      <c r="G560" s="21" t="s">
        <v>142</v>
      </c>
      <c r="H560" s="21">
        <v>0.69</v>
      </c>
      <c r="I560" s="68">
        <f>MAX('Max rate concentrations'!$H$3:$H$368)</f>
        <v>282</v>
      </c>
      <c r="J560" s="68">
        <f>MAX('Max rate concentrations'!AA:AA)</f>
        <v>195</v>
      </c>
      <c r="K560" s="70">
        <f t="shared" si="46"/>
        <v>160.52349837746783</v>
      </c>
      <c r="L560" s="70">
        <f t="shared" si="47"/>
        <v>111.00029143122774</v>
      </c>
      <c r="M560" s="70">
        <f>IF((((0.326*F560^0.818)-(0.398*F560^0.85)/(1-H560)*H560)*(MAX('Max rate concentrations'!$P$3:$P$368)))/F560&gt;0, (((0.326*F560^0.818)-(0.398*F560^0.85)/(1-H560)*H560)*(MAX('Max rate concentrations'!$P$3:$P$368)))/F560, 0)</f>
        <v>0</v>
      </c>
      <c r="N560" s="70">
        <f>IF((((0.326*F560^0.818)-(0.398*F560^0.85)/(1-H560)*H560)*(MAX('Max rate concentrations'!$Q$3:$Q$368)))/F560&gt; 0, (((0.326*F560^0.818)-(0.398*F560^0.85)/(1-H560)*H560)*(MAX('Max rate concentrations'!$Q$3:$Q$368)))/F560, 0)</f>
        <v>0</v>
      </c>
      <c r="O560" s="70">
        <f>((MAX('Max rate concentrations'!$F$3:$F$368))*0.62*6.01*8*(12.3*F560^0.65)*0.079*0.1/F560)*inputs!$E$73/inputs!$E$74</f>
        <v>154.12808247377183</v>
      </c>
      <c r="P560" s="70">
        <f>((MAX('Max rate concentrations'!Y:Y))*0.62*6.01*8*(12.3*F560^0.65)*0.079*0.1/F560)*inputs!$E$73/inputs!$E$74</f>
        <v>51.37602749125729</v>
      </c>
      <c r="Q560" s="70">
        <f>(inputs!$C$18*11.2*(12.3*F560^0.65)*0.5/F560)*inputs!$E$73/inputs!$E$74</f>
        <v>27.148934770618521</v>
      </c>
      <c r="R560" s="60">
        <f>(60*379*((F560/1000)^0.8)*3*24*(MAX('Max rate concentrations'!$R$3:$R$368))/F560)*(inputs!$E$73/inputs!$E$75)</f>
        <v>3.1851853342182934E-2</v>
      </c>
      <c r="S560" s="60">
        <f>(IF(inputs!$C$17="aerial",((0.025*0.112*inputs!$C$18/3.3)*(3*60*379*((F560/1000)^0.8))*MAX(inputs!$I$14:$I$16))/F560,((0.0083*0.112*inputs!$C$18/1)*(3*60*379*((F560/1000)^0.8))*MAX(inputs!$I$14:$I$16))/F560))*(inputs!E$75/inputs!$E$73)</f>
        <v>0.17566492810615378</v>
      </c>
      <c r="T560" s="63">
        <f>IF((((inputs!$P$13/(V560/MAX(K560:S560)))^(1/inputs!$O$13))-1)/inputs!$N$13&lt;0, 0, IF((((inputs!$P$13/(V560/MAX(K560:S560)))^(1/inputs!$O$13))-1)/inputs!$N$13&lt;inputs!$I$17, (((inputs!$P$13/(V560/MAX(K560:S560)))^(1/inputs!$O$13))-1)/inputs!$N$13, inputs!$I$17))</f>
        <v>212.49165086087214</v>
      </c>
      <c r="U560" s="63">
        <f>IF((((inputs!$P$13/(X560/MAX(K560:S560)))^(1/inputs!$O$13))-1)/inputs!$N$13&lt;0, 0, IF((((inputs!$P$13/(X560/MAX(K560:S560)))^(1/inputs!$O$13))-1)/inputs!$N$13&lt;inputs!$I$17, (((inputs!$P$13/(X560/MAX(K560:S560)))^(1/inputs!$O$13))-1)/inputs!$N$13, inputs!$I$17))</f>
        <v>0.58715574840906448</v>
      </c>
      <c r="V560" s="54">
        <f>inputs!$E$70*(F560/inputs!$F$70)^(0.25)</f>
        <v>1.6829141392239833</v>
      </c>
      <c r="W560" s="54">
        <f>inputs!$E$76*(F560/inputs!$F$76)^(0.25)</f>
        <v>0.12100227462467934</v>
      </c>
      <c r="X560" s="54">
        <f>inputs!$E$72*(inputs!$F$72/F560)^(0.25)</f>
        <v>148.49242404917496</v>
      </c>
      <c r="Y560" s="54" t="s">
        <v>13</v>
      </c>
      <c r="Z560" s="106">
        <f t="shared" si="44"/>
        <v>95.38424726260105</v>
      </c>
      <c r="AA560" s="106">
        <f t="shared" si="45"/>
        <v>1326.6155440083589</v>
      </c>
    </row>
    <row r="561" spans="1:27" ht="13.2" x14ac:dyDescent="0.25">
      <c r="A561" s="55" t="s">
        <v>565</v>
      </c>
      <c r="B561" s="49" t="s">
        <v>566</v>
      </c>
      <c r="C561" s="21" t="s">
        <v>61</v>
      </c>
      <c r="D561" s="20" t="s">
        <v>567</v>
      </c>
      <c r="E561" s="20">
        <v>58</v>
      </c>
      <c r="F561" s="21">
        <v>4.0999999999999996</v>
      </c>
      <c r="G561" s="21" t="s">
        <v>142</v>
      </c>
      <c r="H561" s="21">
        <v>0.69</v>
      </c>
      <c r="I561" s="68">
        <f>MAX('Max rate concentrations'!$H$3:$H$368)</f>
        <v>282</v>
      </c>
      <c r="J561" s="68">
        <f>MAX('Max rate concentrations'!AA:AA)</f>
        <v>195</v>
      </c>
      <c r="K561" s="70">
        <f t="shared" si="46"/>
        <v>166.29521396880236</v>
      </c>
      <c r="L561" s="70">
        <f t="shared" si="47"/>
        <v>114.99137136140588</v>
      </c>
      <c r="M561" s="70">
        <f>IF((((0.326*F561^0.818)-(0.398*F561^0.85)/(1-H561)*H561)*(MAX('Max rate concentrations'!$P$3:$P$368)))/F561&gt;0, (((0.326*F561^0.818)-(0.398*F561^0.85)/(1-H561)*H561)*(MAX('Max rate concentrations'!$P$3:$P$368)))/F561, 0)</f>
        <v>0</v>
      </c>
      <c r="N561" s="70">
        <f>IF((((0.326*F561^0.818)-(0.398*F561^0.85)/(1-H561)*H561)*(MAX('Max rate concentrations'!$Q$3:$Q$368)))/F561&gt; 0, (((0.326*F561^0.818)-(0.398*F561^0.85)/(1-H561)*H561)*(MAX('Max rate concentrations'!$Q$3:$Q$368)))/F561, 0)</f>
        <v>0</v>
      </c>
      <c r="O561" s="70">
        <f>((MAX('Max rate concentrations'!$F$3:$F$368))*0.62*6.01*8*(12.3*F561^0.65)*0.079*0.1/F561)*inputs!$E$73/inputs!$E$74</f>
        <v>165.21403079734853</v>
      </c>
      <c r="P561" s="70">
        <f>((MAX('Max rate concentrations'!Y:Y))*0.62*6.01*8*(12.3*F561^0.65)*0.079*0.1/F561)*inputs!$E$73/inputs!$E$74</f>
        <v>55.071343599116176</v>
      </c>
      <c r="Q561" s="70">
        <f>(inputs!$C$18*11.2*(12.3*F561^0.65)*0.5/F561)*inputs!$E$73/inputs!$E$74</f>
        <v>29.101672280075618</v>
      </c>
      <c r="R561" s="60">
        <f>(60*379*((F561/1000)^0.8)*3*24*(MAX('Max rate concentrations'!$R$3:$R$368))/F561)*(inputs!$E$73/inputs!$E$75)</f>
        <v>3.3141482908294009E-2</v>
      </c>
      <c r="S561" s="60">
        <f>(IF(inputs!$C$17="aerial",((0.025*0.112*inputs!$C$18/3.3)*(3*60*379*((F561/1000)^0.8))*MAX(inputs!$I$14:$I$16))/F561,((0.0083*0.112*inputs!$C$18/1)*(3*60*379*((F561/1000)^0.8))*MAX(inputs!$I$14:$I$16))/F561))*(inputs!E$75/inputs!$E$73)</f>
        <v>0.18277731439591641</v>
      </c>
      <c r="T561" s="63">
        <f>IF((((inputs!$P$13/(V561/MAX(K561:S561)))^(1/inputs!$O$13))-1)/inputs!$N$13&lt;0, 0, IF((((inputs!$P$13/(V561/MAX(K561:S561)))^(1/inputs!$O$13))-1)/inputs!$N$13&lt;inputs!$I$17, (((inputs!$P$13/(V561/MAX(K561:S561)))^(1/inputs!$O$13))-1)/inputs!$N$13, inputs!$I$17))</f>
        <v>227.97141802212261</v>
      </c>
      <c r="U561" s="63">
        <f>IF((((inputs!$P$13/(X561/MAX(K561:S561)))^(1/inputs!$O$13))-1)/inputs!$N$13&lt;0, 0, IF((((inputs!$P$13/(X561/MAX(K561:S561)))^(1/inputs!$O$13))-1)/inputs!$N$13&lt;inputs!$I$17, (((inputs!$P$13/(X561/MAX(K561:S561)))^(1/inputs!$O$13))-1)/inputs!$N$13, inputs!$I$17))</f>
        <v>0.52035740750282045</v>
      </c>
      <c r="V561" s="54">
        <f>inputs!$E$70*(F561/inputs!$F$70)^(0.25)</f>
        <v>1.6014575170210663</v>
      </c>
      <c r="W561" s="54">
        <f>inputs!$E$76*(F561/inputs!$F$76)^(0.25)</f>
        <v>0.11514550728279879</v>
      </c>
      <c r="X561" s="54">
        <f>inputs!$E$72*(inputs!$F$72/F561)^(0.25)</f>
        <v>156.04535077823903</v>
      </c>
      <c r="Y561" s="54" t="s">
        <v>13</v>
      </c>
      <c r="Z561" s="106">
        <f t="shared" si="44"/>
        <v>103.83991595239728</v>
      </c>
      <c r="AA561" s="106">
        <f t="shared" si="45"/>
        <v>1444.2179976712357</v>
      </c>
    </row>
    <row r="562" spans="1:27" ht="13.2" x14ac:dyDescent="0.25">
      <c r="A562" s="55" t="s">
        <v>565</v>
      </c>
      <c r="B562" s="49" t="s">
        <v>566</v>
      </c>
      <c r="C562" s="21" t="s">
        <v>61</v>
      </c>
      <c r="D562" s="20" t="s">
        <v>567</v>
      </c>
      <c r="E562" s="20">
        <v>58</v>
      </c>
      <c r="F562" s="21">
        <v>4.0999999999999996</v>
      </c>
      <c r="G562" s="21" t="s">
        <v>164</v>
      </c>
      <c r="H562" s="21">
        <v>0.78</v>
      </c>
      <c r="I562" s="68">
        <f>inputs!$C$66*(inputs!$C$62/1000)</f>
        <v>8.2000000000000011</v>
      </c>
      <c r="J562" s="68">
        <f>inputs!$C$66*(inputs!$C$61/1000)</f>
        <v>2.5</v>
      </c>
      <c r="K562" s="70">
        <f t="shared" si="46"/>
        <v>6.8137078321840061</v>
      </c>
      <c r="L562" s="70">
        <f t="shared" si="47"/>
        <v>2.077349948836587</v>
      </c>
      <c r="M562" s="70">
        <f>IF((((0.326*F562^0.818)-(0.398*F562^0.85)/(1-H562)*H562)*(MAX('Max rate concentrations'!$P$3:$P$368)))/F562&gt;0, (((0.326*F562^0.818)-(0.398*F562^0.85)/(1-H562)*H562)*(MAX('Max rate concentrations'!$P$3:$P$368)))/F562, 0)</f>
        <v>0</v>
      </c>
      <c r="N562" s="70">
        <f>IF((((0.326*F562^0.818)-(0.398*F562^0.85)/(1-H562)*H562)*(MAX('Max rate concentrations'!$Q$3:$Q$368)))/F562&gt; 0, (((0.326*F562^0.818)-(0.398*F562^0.85)/(1-H562)*H562)*(MAX('Max rate concentrations'!$Q$3:$Q$368)))/F562, 0)</f>
        <v>0</v>
      </c>
      <c r="O562" s="70">
        <f>((MAX('Max rate concentrations'!$F$3:$F$368))*0.62*6.01*8*(12.3*F562^0.65)*0.079*0.1/F562)*inputs!$E$73/inputs!$E$74</f>
        <v>165.21403079734853</v>
      </c>
      <c r="P562" s="70">
        <f>((MAX('Max rate concentrations'!Y:Y))*0.62*6.01*8*(12.3*F562^0.65)*0.079*0.1/F562)*inputs!$E$73/inputs!$E$74</f>
        <v>55.071343599116176</v>
      </c>
      <c r="Q562" s="70">
        <f>(inputs!$C$18*11.2*(12.3*F562^0.65)*0.5/F562)*inputs!$E$73/inputs!$E$74</f>
        <v>29.101672280075618</v>
      </c>
      <c r="R562" s="60">
        <f>(60*379*((F562/1000)^0.8)*3*24*(MAX('Max rate concentrations'!$R$3:$R$368))/F562)*(inputs!$E$73/inputs!$E$75)</f>
        <v>3.3141482908294009E-2</v>
      </c>
      <c r="S562" s="60">
        <f>(IF(inputs!$C$17="aerial",((0.025*0.112*inputs!$C$18/3.3)*(3*60*379*((F562/1000)^0.8))*MAX(inputs!$I$14:$I$16))/F562,((0.0083*0.112*inputs!$C$18/1)*(3*60*379*((F562/1000)^0.8))*MAX(inputs!$I$14:$I$16))/F562))*(inputs!E$75/inputs!$E$73)</f>
        <v>0.18277731439591641</v>
      </c>
      <c r="T562" s="63">
        <f>IF((((inputs!$P$13/(V562/MAX(K562:S562)))^(1/inputs!$O$13))-1)/inputs!$N$13&lt;0, 0, IF((((inputs!$P$13/(V562/MAX(K562:S562)))^(1/inputs!$O$13))-1)/inputs!$N$13&lt;inputs!$I$17, (((inputs!$P$13/(V562/MAX(K562:S562)))^(1/inputs!$O$13))-1)/inputs!$N$13, inputs!$I$17))</f>
        <v>226.74457964990455</v>
      </c>
      <c r="U562" s="63">
        <f>IF((((inputs!$P$13/(X562/MAX(K562:S562)))^(1/inputs!$O$13))-1)/inputs!$N$13&lt;0, 0, IF((((inputs!$P$13/(X562/MAX(K562:S562)))^(1/inputs!$O$13))-1)/inputs!$N$13&lt;inputs!$I$17, (((inputs!$P$13/(X562/MAX(K562:S562)))^(1/inputs!$O$13))-1)/inputs!$N$13, inputs!$I$17))</f>
        <v>0.49011900720441032</v>
      </c>
      <c r="V562" s="54">
        <f>inputs!$E$70*(F562/inputs!$F$70)^(0.25)</f>
        <v>1.6014575170210663</v>
      </c>
      <c r="W562" s="54">
        <f>inputs!$E$76*(F562/inputs!$F$76)^(0.25)</f>
        <v>0.11514550728279879</v>
      </c>
      <c r="X562" s="54">
        <f>inputs!$E$72*(inputs!$F$72/F562)^(0.25)</f>
        <v>156.04535077823903</v>
      </c>
      <c r="Y562" s="54" t="s">
        <v>13</v>
      </c>
      <c r="Z562" s="106">
        <f t="shared" si="44"/>
        <v>103.1647914736256</v>
      </c>
      <c r="AA562" s="106">
        <f t="shared" si="45"/>
        <v>1434.8282854977642</v>
      </c>
    </row>
    <row r="563" spans="1:27" ht="13.2" x14ac:dyDescent="0.25">
      <c r="A563" s="55" t="s">
        <v>565</v>
      </c>
      <c r="B563" s="49" t="s">
        <v>566</v>
      </c>
      <c r="C563" s="21" t="s">
        <v>61</v>
      </c>
      <c r="D563" s="20" t="s">
        <v>567</v>
      </c>
      <c r="E563" s="20">
        <v>58</v>
      </c>
      <c r="F563" s="21">
        <v>4.0999999999999996</v>
      </c>
      <c r="G563" s="21" t="s">
        <v>146</v>
      </c>
      <c r="H563" s="20">
        <v>0.84</v>
      </c>
      <c r="I563" s="68">
        <f>MAX('Max rate concentrations'!$I$3:$I$368)</f>
        <v>56.865414300472793</v>
      </c>
      <c r="J563" s="68" t="s">
        <v>13</v>
      </c>
      <c r="K563" s="70">
        <f t="shared" si="46"/>
        <v>64.97115101821214</v>
      </c>
      <c r="L563" s="69" t="s">
        <v>13</v>
      </c>
      <c r="M563" s="70">
        <f>IF((((0.326*F563^0.818)-(0.398*F563^0.85)/(1-H563)*H563)*(MAX('Max rate concentrations'!$P$3:$P$368)))/F563&gt;0, (((0.326*F563^0.818)-(0.398*F563^0.85)/(1-H563)*H563)*(MAX('Max rate concentrations'!$P$3:$P$368)))/F563, 0)</f>
        <v>0</v>
      </c>
      <c r="N563" s="70">
        <f>IF((((0.326*F563^0.818)-(0.398*F563^0.85)/(1-H563)*H563)*(MAX('Max rate concentrations'!$Q$3:$Q$368)))/F563&gt; 0, (((0.326*F563^0.818)-(0.398*F563^0.85)/(1-H563)*H563)*(MAX('Max rate concentrations'!$Q$3:$Q$368)))/F563, 0)</f>
        <v>0</v>
      </c>
      <c r="O563" s="70">
        <f>((MAX('Max rate concentrations'!$F$3:$F$368))*0.62*6.01*8*(12.3*F563^0.65)*0.079*0.1/F563)*inputs!$E$73/inputs!$E$74</f>
        <v>165.21403079734853</v>
      </c>
      <c r="P563" s="70">
        <f>((MAX('Max rate concentrations'!Y:Y))*0.62*6.01*8*(12.3*F563^0.65)*0.079*0.1/F563)*inputs!$E$73/inputs!$E$74</f>
        <v>55.071343599116176</v>
      </c>
      <c r="Q563" s="70">
        <f>(inputs!$C$18*11.2*(12.3*F563^0.65)*0.5/F563)*inputs!$E$73/inputs!$E$74</f>
        <v>29.101672280075618</v>
      </c>
      <c r="R563" s="60">
        <f>(60*379*((F563/1000)^0.8)*3*24*(MAX('Max rate concentrations'!$R$3:$R$368))/F563)*(inputs!$E$73/inputs!$E$75)</f>
        <v>3.3141482908294009E-2</v>
      </c>
      <c r="S563" s="60">
        <f>(IF(inputs!$C$17="aerial",((0.025*0.112*inputs!$C$18/3.3)*(3*60*379*((F563/1000)^0.8))*MAX(inputs!$I$14:$I$16))/F563,((0.0083*0.112*inputs!$C$18/1)*(3*60*379*((F563/1000)^0.8))*MAX(inputs!$I$14:$I$16))/F563))*(inputs!E$75/inputs!$E$73)</f>
        <v>0.18277731439591641</v>
      </c>
      <c r="T563" s="63">
        <f>IF((((inputs!$P$13/(V563/MAX(K563:S563)))^(1/inputs!$O$13))-1)/inputs!$N$13&lt;0, 0, IF((((inputs!$P$13/(V563/MAX(K563:S563)))^(1/inputs!$O$13))-1)/inputs!$N$13&lt;inputs!$I$17, (((inputs!$P$13/(V563/MAX(K563:S563)))^(1/inputs!$O$13))-1)/inputs!$N$13, inputs!$I$17))</f>
        <v>226.74457964990455</v>
      </c>
      <c r="U563" s="63">
        <f>IF((((inputs!$P$13/(X563/MAX(K563:S563)))^(1/inputs!$O$13))-1)/inputs!$N$13&lt;0, 0, IF((((inputs!$P$13/(X563/MAX(K563:S563)))^(1/inputs!$O$13))-1)/inputs!$N$13&lt;inputs!$I$17, (((inputs!$P$13/(X563/MAX(K563:S563)))^(1/inputs!$O$13))-1)/inputs!$N$13, inputs!$I$17))</f>
        <v>0.49011900720441032</v>
      </c>
      <c r="V563" s="54">
        <f>inputs!$E$70*(F563/inputs!$F$70)^(0.25)</f>
        <v>1.6014575170210663</v>
      </c>
      <c r="W563" s="54">
        <f>inputs!$E$76*(F563/inputs!$F$76)^(0.25)</f>
        <v>0.11514550728279879</v>
      </c>
      <c r="X563" s="54">
        <f>inputs!$E$72*(inputs!$F$72/F563)^(0.25)</f>
        <v>156.04535077823903</v>
      </c>
      <c r="Y563" s="54" t="s">
        <v>13</v>
      </c>
      <c r="Z563" s="106">
        <f t="shared" si="44"/>
        <v>103.1647914736256</v>
      </c>
      <c r="AA563" s="106">
        <f t="shared" si="45"/>
        <v>1434.8282854977642</v>
      </c>
    </row>
    <row r="564" spans="1:27" ht="13.2" x14ac:dyDescent="0.25">
      <c r="A564" s="55" t="s">
        <v>572</v>
      </c>
      <c r="B564" s="49" t="s">
        <v>573</v>
      </c>
      <c r="C564" s="21" t="s">
        <v>61</v>
      </c>
      <c r="D564" s="20" t="s">
        <v>451</v>
      </c>
      <c r="E564" s="20">
        <v>46</v>
      </c>
      <c r="F564" s="21">
        <v>1000</v>
      </c>
      <c r="G564" s="21" t="s">
        <v>169</v>
      </c>
      <c r="H564" s="21">
        <v>0.79</v>
      </c>
      <c r="I564" s="68">
        <f>MAX('Max rate concentrations'!$D$3:$D$368)</f>
        <v>720</v>
      </c>
      <c r="J564" s="68">
        <f>MAX('Max rate concentrations'!W:W)</f>
        <v>255</v>
      </c>
      <c r="K564" s="70">
        <f t="shared" si="46"/>
        <v>235.60313444337723</v>
      </c>
      <c r="L564" s="70">
        <f t="shared" ref="L564:L573" si="48">(((0.235*F564^0.822)/(1-H564)))*J564/F564</f>
        <v>83.442776782029441</v>
      </c>
      <c r="M564" s="70">
        <f>IF((((0.326*F564^0.818)-(0.398*F564^0.85)/(1-H564)*H564)*(MAX('Max rate concentrations'!$P$3:$P$368)))/F564&gt;0, (((0.326*F564^0.818)-(0.398*F564^0.85)/(1-H564)*H564)*(MAX('Max rate concentrations'!$P$3:$P$368)))/F564, 0)</f>
        <v>0</v>
      </c>
      <c r="N564" s="70">
        <f>IF((((0.326*F564^0.818)-(0.398*F564^0.85)/(1-H564)*H564)*(MAX('Max rate concentrations'!$Q$3:$Q$368)))/F564&gt; 0, (((0.326*F564^0.818)-(0.398*F564^0.85)/(1-H564)*H564)*(MAX('Max rate concentrations'!$Q$3:$Q$368)))/F564, 0)</f>
        <v>0</v>
      </c>
      <c r="O564" s="70">
        <f>((MAX('Max rate concentrations'!$F$3:$F$368))*0.62*6.01*8*(12.3*F564^0.65)*0.079*0.1/F564)*inputs!$E$73/inputs!$E$74</f>
        <v>24.127997369975315</v>
      </c>
      <c r="P564" s="70">
        <f>((MAX('Max rate concentrations'!Y:Y))*0.62*6.01*8*(12.3*F564^0.65)*0.079*0.1/F564)*inputs!$E$73/inputs!$E$74</f>
        <v>8.0426657899917728</v>
      </c>
      <c r="Q564" s="70">
        <f>(inputs!$C$18*11.2*(12.3*F564^0.65)*0.5/F564)*inputs!$E$73/inputs!$E$74</f>
        <v>4.2500329351374724</v>
      </c>
      <c r="R564" s="60">
        <f>(60*379*((F564/1000)^0.8)*3*24*(MAX('Max rate concentrations'!$R$3:$R$368))/F564)*(inputs!$E$73/inputs!$E$75)</f>
        <v>1.1038973944534057E-2</v>
      </c>
      <c r="S564" s="60">
        <f>(IF(inputs!$C$17="aerial",((0.025*0.112*inputs!$C$18/3.3)*(3*60*379*((F564/1000)^0.8))*MAX(inputs!$I$14:$I$16))/F564,((0.0083*0.112*inputs!$C$18/1)*(3*60*379*((F564/1000)^0.8))*MAX(inputs!$I$14:$I$16))/F564))*(inputs!E$75/inputs!$E$73)</f>
        <v>6.0880619519999998E-2</v>
      </c>
      <c r="T564" s="63">
        <f>IF((((inputs!$P$13/(V564/MAX(K564:S564)))^(1/inputs!$O$13))-1)/inputs!$N$13&lt;0, 0, IF((((inputs!$P$13/(V564/MAX(K564:S564)))^(1/inputs!$O$13))-1)/inputs!$N$13&lt;inputs!$I$17, (((inputs!$P$13/(V564/MAX(K564:S564)))^(1/inputs!$O$13))-1)/inputs!$N$13, inputs!$I$17))</f>
        <v>96.505671126133663</v>
      </c>
      <c r="U564" s="63">
        <f>IF((((inputs!$P$13/(X564/MAX(K564:S564)))^(1/inputs!$O$13))-1)/inputs!$N$13&lt;0, 0, IF((((inputs!$P$13/(X564/MAX(K564:S564)))^(1/inputs!$O$13))-1)/inputs!$N$13&lt;inputs!$I$17, (((inputs!$P$13/(X564/MAX(K564:S564)))^(1/inputs!$O$13))-1)/inputs!$N$13, inputs!$I$17))</f>
        <v>17.918149832033276</v>
      </c>
      <c r="V564" s="54">
        <f>inputs!$E$70*(F564/inputs!$F$70)^(0.25)</f>
        <v>6.3287721173645357</v>
      </c>
      <c r="W564" s="54">
        <f>inputs!$E$76*(F564/inputs!$F$76)^(0.25)</f>
        <v>0.45504152822405841</v>
      </c>
      <c r="X564" s="54">
        <f>inputs!$E$72*(inputs!$F$72/F564)^(0.25)</f>
        <v>39.486332477407132</v>
      </c>
      <c r="Y564" s="54" t="s">
        <v>13</v>
      </c>
      <c r="Z564" s="106">
        <f t="shared" si="44"/>
        <v>37.22730571968966</v>
      </c>
      <c r="AA564" s="106">
        <f t="shared" si="45"/>
        <v>517.76183014084893</v>
      </c>
    </row>
    <row r="565" spans="1:27" ht="13.2" x14ac:dyDescent="0.25">
      <c r="A565" s="55" t="s">
        <v>572</v>
      </c>
      <c r="B565" s="49" t="s">
        <v>573</v>
      </c>
      <c r="C565" s="21" t="s">
        <v>61</v>
      </c>
      <c r="D565" s="20" t="s">
        <v>451</v>
      </c>
      <c r="E565" s="20">
        <v>46</v>
      </c>
      <c r="F565" s="21">
        <v>1000</v>
      </c>
      <c r="G565" s="21" t="s">
        <v>177</v>
      </c>
      <c r="H565" s="21">
        <v>0.85</v>
      </c>
      <c r="I565" s="68">
        <f>MAX('Max rate concentrations'!$F$3:$F$368)</f>
        <v>405</v>
      </c>
      <c r="J565" s="68">
        <f>MAX('Max rate concentrations'!Y:Y)</f>
        <v>135</v>
      </c>
      <c r="K565" s="70">
        <f t="shared" si="46"/>
        <v>185.53746837415952</v>
      </c>
      <c r="L565" s="70">
        <f t="shared" si="48"/>
        <v>61.845822791386503</v>
      </c>
      <c r="M565" s="70">
        <f>IF((((0.326*F565^0.818)-(0.398*F565^0.85)/(1-H565)*H565)*(MAX('Max rate concentrations'!$P$3:$P$368)))/F565&gt;0, (((0.326*F565^0.818)-(0.398*F565^0.85)/(1-H565)*H565)*(MAX('Max rate concentrations'!$P$3:$P$368)))/F565, 0)</f>
        <v>0</v>
      </c>
      <c r="N565" s="70">
        <f>IF((((0.326*F565^0.818)-(0.398*F565^0.85)/(1-H565)*H565)*(MAX('Max rate concentrations'!$Q$3:$Q$368)))/F565&gt; 0, (((0.326*F565^0.818)-(0.398*F565^0.85)/(1-H565)*H565)*(MAX('Max rate concentrations'!$Q$3:$Q$368)))/F565, 0)</f>
        <v>0</v>
      </c>
      <c r="O565" s="70">
        <f>((MAX('Max rate concentrations'!$F$3:$F$368))*0.62*6.01*8*(12.3*F565^0.65)*0.079*0.1/F565)*inputs!$E$73/inputs!$E$74</f>
        <v>24.127997369975315</v>
      </c>
      <c r="P565" s="70">
        <f>((MAX('Max rate concentrations'!Y:Y))*0.62*6.01*8*(12.3*F565^0.65)*0.079*0.1/F565)*inputs!$E$73/inputs!$E$74</f>
        <v>8.0426657899917728</v>
      </c>
      <c r="Q565" s="70">
        <f>(inputs!$C$18*11.2*(12.3*F565^0.65)*0.5/F565)*inputs!$E$73/inputs!$E$74</f>
        <v>4.2500329351374724</v>
      </c>
      <c r="R565" s="60">
        <f>(60*379*((F565/1000)^0.8)*3*24*(MAX('Max rate concentrations'!$R$3:$R$368))/F565)*(inputs!$E$73/inputs!$E$75)</f>
        <v>1.1038973944534057E-2</v>
      </c>
      <c r="S565" s="60">
        <f>(IF(inputs!$C$17="aerial",((0.025*0.112*inputs!$C$18/3.3)*(3*60*379*((F565/1000)^0.8))*MAX(inputs!$I$14:$I$16))/F565,((0.0083*0.112*inputs!$C$18/1)*(3*60*379*((F565/1000)^0.8))*MAX(inputs!$I$14:$I$16))/F565))*(inputs!E$75/inputs!$E$73)</f>
        <v>6.0880619519999998E-2</v>
      </c>
      <c r="T565" s="63">
        <f>IF((((inputs!$P$13/(V565/MAX(K565:S565)))^(1/inputs!$O$13))-1)/inputs!$N$13&lt;0, 0, IF((((inputs!$P$13/(V565/MAX(K565:S565)))^(1/inputs!$O$13))-1)/inputs!$N$13&lt;inputs!$I$17, (((inputs!$P$13/(V565/MAX(K565:S565)))^(1/inputs!$O$13))-1)/inputs!$N$13, inputs!$I$17))</f>
        <v>78.63421392282757</v>
      </c>
      <c r="U565" s="63">
        <f>IF((((inputs!$P$13/(X565/MAX(K565:S565)))^(1/inputs!$O$13))-1)/inputs!$N$13&lt;0, 0, IF((((inputs!$P$13/(X565/MAX(K565:S565)))^(1/inputs!$O$13))-1)/inputs!$N$13&lt;inputs!$I$17, (((inputs!$P$13/(X565/MAX(K565:S565)))^(1/inputs!$O$13))-1)/inputs!$N$13, inputs!$I$17))</f>
        <v>13.852170285938936</v>
      </c>
      <c r="V565" s="54">
        <f>inputs!$E$70*(F565/inputs!$F$70)^(0.25)</f>
        <v>6.3287721173645357</v>
      </c>
      <c r="W565" s="54">
        <f>inputs!$E$76*(F565/inputs!$F$76)^(0.25)</f>
        <v>0.45504152822405841</v>
      </c>
      <c r="X565" s="54">
        <f>inputs!$E$72*(inputs!$F$72/F565)^(0.25)</f>
        <v>39.486332477407132</v>
      </c>
      <c r="Y565" s="54" t="s">
        <v>13</v>
      </c>
      <c r="Z565" s="106">
        <f t="shared" si="44"/>
        <v>29.316503254255601</v>
      </c>
      <c r="AA565" s="106">
        <f t="shared" si="45"/>
        <v>407.73744123591837</v>
      </c>
    </row>
    <row r="566" spans="1:27" ht="13.2" x14ac:dyDescent="0.25">
      <c r="A566" s="55" t="s">
        <v>574</v>
      </c>
      <c r="B566" s="49" t="s">
        <v>575</v>
      </c>
      <c r="C566" s="21" t="s">
        <v>61</v>
      </c>
      <c r="D566" s="20" t="s">
        <v>451</v>
      </c>
      <c r="E566" s="20">
        <v>3778</v>
      </c>
      <c r="F566" s="21">
        <v>756</v>
      </c>
      <c r="G566" s="21" t="s">
        <v>152</v>
      </c>
      <c r="H566" s="21">
        <v>0.77</v>
      </c>
      <c r="I566" s="68">
        <f>MAX('Max rate concentrations'!$G$3:$G$368)</f>
        <v>45</v>
      </c>
      <c r="J566" s="68">
        <f>MAX('Max rate concentrations'!Z:Z)</f>
        <v>21</v>
      </c>
      <c r="K566" s="70">
        <f t="shared" si="46"/>
        <v>14.131089936056664</v>
      </c>
      <c r="L566" s="70">
        <f t="shared" si="48"/>
        <v>6.5945086368264425</v>
      </c>
      <c r="M566" s="70">
        <f>IF((((0.326*F566^0.818)-(0.398*F566^0.85)/(1-H566)*H566)*(MAX('Max rate concentrations'!$P$3:$P$368)))/F566&gt;0, (((0.326*F566^0.818)-(0.398*F566^0.85)/(1-H566)*H566)*(MAX('Max rate concentrations'!$P$3:$P$368)))/F566, 0)</f>
        <v>0</v>
      </c>
      <c r="N566" s="70">
        <f>IF((((0.326*F566^0.818)-(0.398*F566^0.85)/(1-H566)*H566)*(MAX('Max rate concentrations'!$Q$3:$Q$368)))/F566&gt; 0, (((0.326*F566^0.818)-(0.398*F566^0.85)/(1-H566)*H566)*(MAX('Max rate concentrations'!$Q$3:$Q$368)))/F566, 0)</f>
        <v>0</v>
      </c>
      <c r="O566" s="70">
        <f>((MAX('Max rate concentrations'!$F$3:$F$368))*0.62*6.01*8*(12.3*F566^0.65)*0.079*0.1/F566)*inputs!$E$73/inputs!$E$74</f>
        <v>26.609618516820813</v>
      </c>
      <c r="P566" s="70">
        <f>((MAX('Max rate concentrations'!Y:Y))*0.62*6.01*8*(12.3*F566^0.65)*0.079*0.1/F566)*inputs!$E$73/inputs!$E$74</f>
        <v>8.869872838940271</v>
      </c>
      <c r="Q566" s="70">
        <f>(inputs!$C$18*11.2*(12.3*F566^0.65)*0.5/F566)*inputs!$E$73/inputs!$E$74</f>
        <v>4.6871587953943861</v>
      </c>
      <c r="R566" s="60">
        <f>(60*379*((F566/1000)^0.8)*3*24*(MAX('Max rate concentrations'!$R$3:$R$368))/F566)*(inputs!$E$73/inputs!$E$75)</f>
        <v>1.1674125268552462E-2</v>
      </c>
      <c r="S566" s="60">
        <f>(IF(inputs!$C$17="aerial",((0.025*0.112*inputs!$C$18/3.3)*(3*60*379*((F566/1000)^0.8))*MAX(inputs!$I$14:$I$16))/F566,((0.0083*0.112*inputs!$C$18/1)*(3*60*379*((F566/1000)^0.8))*MAX(inputs!$I$14:$I$16))/F566))*(inputs!E$75/inputs!$E$73)</f>
        <v>6.4383518094584966E-2</v>
      </c>
      <c r="T566" s="63">
        <f>IF((((inputs!$P$13/(V566/MAX(K566:S566)))^(1/inputs!$O$13))-1)/inputs!$N$13&lt;0, 0, IF((((inputs!$P$13/(V566/MAX(K566:S566)))^(1/inputs!$O$13))-1)/inputs!$N$13&lt;inputs!$I$17, (((inputs!$P$13/(V566/MAX(K566:S566)))^(1/inputs!$O$13))-1)/inputs!$N$13, inputs!$I$17))</f>
        <v>13.226857923099287</v>
      </c>
      <c r="U566" s="63">
        <f>IF((((inputs!$P$13/(X566/MAX(K566:S566)))^(1/inputs!$O$13))-1)/inputs!$N$13&lt;0, 0, IF((((inputs!$P$13/(X566/MAX(K566:S566)))^(1/inputs!$O$13))-1)/inputs!$N$13&lt;inputs!$I$17, (((inputs!$P$13/(X566/MAX(K566:S566)))^(1/inputs!$O$13))-1)/inputs!$N$13, inputs!$I$17))</f>
        <v>0</v>
      </c>
      <c r="V566" s="54">
        <f>inputs!$E$70*(F566/inputs!$F$70)^(0.25)</f>
        <v>5.9013300832287738</v>
      </c>
      <c r="W566" s="54">
        <f>inputs!$E$76*(F566/inputs!$F$76)^(0.25)</f>
        <v>0.42430825598209093</v>
      </c>
      <c r="X566" s="54">
        <f>inputs!$E$72*(inputs!$F$72/F566)^(0.25)</f>
        <v>42.346385725855399</v>
      </c>
      <c r="Y566" s="54" t="s">
        <v>13</v>
      </c>
      <c r="Z566" s="106">
        <f t="shared" si="44"/>
        <v>4.5090883142503335</v>
      </c>
      <c r="AA566" s="106">
        <f t="shared" si="45"/>
        <v>62.712940749246094</v>
      </c>
    </row>
    <row r="567" spans="1:27" ht="13.2" x14ac:dyDescent="0.25">
      <c r="A567" s="55" t="s">
        <v>574</v>
      </c>
      <c r="B567" s="49" t="s">
        <v>575</v>
      </c>
      <c r="C567" s="21" t="s">
        <v>61</v>
      </c>
      <c r="D567" s="20" t="s">
        <v>451</v>
      </c>
      <c r="E567" s="20">
        <v>3778</v>
      </c>
      <c r="F567" s="21">
        <v>756</v>
      </c>
      <c r="G567" s="21" t="s">
        <v>169</v>
      </c>
      <c r="H567" s="21">
        <v>0.79</v>
      </c>
      <c r="I567" s="68">
        <f>MAX('Max rate concentrations'!$D$3:$D$368)</f>
        <v>720</v>
      </c>
      <c r="J567" s="68">
        <f>MAX('Max rate concentrations'!W:W)</f>
        <v>255</v>
      </c>
      <c r="K567" s="70">
        <f t="shared" si="46"/>
        <v>247.6305284032787</v>
      </c>
      <c r="L567" s="70">
        <f t="shared" si="48"/>
        <v>87.702478809494536</v>
      </c>
      <c r="M567" s="70">
        <f>IF((((0.326*F567^0.818)-(0.398*F567^0.85)/(1-H567)*H567)*(MAX('Max rate concentrations'!$P$3:$P$368)))/F567&gt;0, (((0.326*F567^0.818)-(0.398*F567^0.85)/(1-H567)*H567)*(MAX('Max rate concentrations'!$P$3:$P$368)))/F567, 0)</f>
        <v>0</v>
      </c>
      <c r="N567" s="70">
        <f>IF((((0.326*F567^0.818)-(0.398*F567^0.85)/(1-H567)*H567)*(MAX('Max rate concentrations'!$Q$3:$Q$368)))/F567&gt; 0, (((0.326*F567^0.818)-(0.398*F567^0.85)/(1-H567)*H567)*(MAX('Max rate concentrations'!$Q$3:$Q$368)))/F567, 0)</f>
        <v>0</v>
      </c>
      <c r="O567" s="70">
        <f>((MAX('Max rate concentrations'!$F$3:$F$368))*0.62*6.01*8*(12.3*F567^0.65)*0.079*0.1/F567)*inputs!$E$73/inputs!$E$74</f>
        <v>26.609618516820813</v>
      </c>
      <c r="P567" s="70">
        <f>((MAX('Max rate concentrations'!Y:Y))*0.62*6.01*8*(12.3*F567^0.65)*0.079*0.1/F567)*inputs!$E$73/inputs!$E$74</f>
        <v>8.869872838940271</v>
      </c>
      <c r="Q567" s="70">
        <f>(inputs!$C$18*11.2*(12.3*F567^0.65)*0.5/F567)*inputs!$E$73/inputs!$E$74</f>
        <v>4.6871587953943861</v>
      </c>
      <c r="R567" s="60">
        <f>(60*379*((F567/1000)^0.8)*3*24*(MAX('Max rate concentrations'!$R$3:$R$368))/F567)*(inputs!$E$73/inputs!$E$75)</f>
        <v>1.1674125268552462E-2</v>
      </c>
      <c r="S567" s="60">
        <f>(IF(inputs!$C$17="aerial",((0.025*0.112*inputs!$C$18/3.3)*(3*60*379*((F567/1000)^0.8))*MAX(inputs!$I$14:$I$16))/F567,((0.0083*0.112*inputs!$C$18/1)*(3*60*379*((F567/1000)^0.8))*MAX(inputs!$I$14:$I$16))/F567))*(inputs!E$75/inputs!$E$73)</f>
        <v>6.4383518094584966E-2</v>
      </c>
      <c r="T567" s="63">
        <f>IF((((inputs!$P$13/(V567/MAX(K567:S567)))^(1/inputs!$O$13))-1)/inputs!$N$13&lt;0, 0, IF((((inputs!$P$13/(V567/MAX(K567:S567)))^(1/inputs!$O$13))-1)/inputs!$N$13&lt;inputs!$I$17, (((inputs!$P$13/(V567/MAX(K567:S567)))^(1/inputs!$O$13))-1)/inputs!$N$13, inputs!$I$17))</f>
        <v>106.84715160178004</v>
      </c>
      <c r="U567" s="63">
        <f>IF((((inputs!$P$13/(X567/MAX(K567:S567)))^(1/inputs!$O$13))-1)/inputs!$N$13&lt;0, 0, IF((((inputs!$P$13/(X567/MAX(K567:S567)))^(1/inputs!$O$13))-1)/inputs!$N$13&lt;inputs!$I$17, (((inputs!$P$13/(X567/MAX(K567:S567)))^(1/inputs!$O$13))-1)/inputs!$N$13, inputs!$I$17))</f>
        <v>17.54425198311262</v>
      </c>
      <c r="V567" s="54">
        <f>inputs!$E$70*(F567/inputs!$F$70)^(0.25)</f>
        <v>5.9013300832287738</v>
      </c>
      <c r="W567" s="54">
        <f>inputs!$E$76*(F567/inputs!$F$76)^(0.25)</f>
        <v>0.42430825598209093</v>
      </c>
      <c r="X567" s="54">
        <f>inputs!$E$72*(inputs!$F$72/F567)^(0.25)</f>
        <v>42.346385725855399</v>
      </c>
      <c r="Y567" s="54" t="s">
        <v>13</v>
      </c>
      <c r="Z567" s="106">
        <f t="shared" si="44"/>
        <v>41.961816219538342</v>
      </c>
      <c r="AA567" s="106">
        <f t="shared" si="45"/>
        <v>583.60996966726623</v>
      </c>
    </row>
    <row r="568" spans="1:27" ht="13.2" x14ac:dyDescent="0.25">
      <c r="A568" s="55" t="s">
        <v>574</v>
      </c>
      <c r="B568" s="49" t="s">
        <v>575</v>
      </c>
      <c r="C568" s="21" t="s">
        <v>61</v>
      </c>
      <c r="D568" s="20" t="s">
        <v>451</v>
      </c>
      <c r="E568" s="20">
        <v>3778</v>
      </c>
      <c r="F568" s="21">
        <v>756</v>
      </c>
      <c r="G568" s="21" t="s">
        <v>177</v>
      </c>
      <c r="H568" s="21">
        <v>0.85</v>
      </c>
      <c r="I568" s="68">
        <f>MAX('Max rate concentrations'!$F$3:$F$368)</f>
        <v>405</v>
      </c>
      <c r="J568" s="68">
        <f>MAX('Max rate concentrations'!Y:Y)</f>
        <v>135</v>
      </c>
      <c r="K568" s="70">
        <f t="shared" si="46"/>
        <v>195.00904111758192</v>
      </c>
      <c r="L568" s="70">
        <f t="shared" si="48"/>
        <v>65.003013705860639</v>
      </c>
      <c r="M568" s="70">
        <f>IF((((0.326*F568^0.818)-(0.398*F568^0.85)/(1-H568)*H568)*(MAX('Max rate concentrations'!$P$3:$P$368)))/F568&gt;0, (((0.326*F568^0.818)-(0.398*F568^0.85)/(1-H568)*H568)*(MAX('Max rate concentrations'!$P$3:$P$368)))/F568, 0)</f>
        <v>0</v>
      </c>
      <c r="N568" s="70">
        <f>IF((((0.326*F568^0.818)-(0.398*F568^0.85)/(1-H568)*H568)*(MAX('Max rate concentrations'!$Q$3:$Q$368)))/F568&gt; 0, (((0.326*F568^0.818)-(0.398*F568^0.85)/(1-H568)*H568)*(MAX('Max rate concentrations'!$Q$3:$Q$368)))/F568, 0)</f>
        <v>0</v>
      </c>
      <c r="O568" s="70">
        <f>((MAX('Max rate concentrations'!$F$3:$F$368))*0.62*6.01*8*(12.3*F568^0.65)*0.079*0.1/F568)*inputs!$E$73/inputs!$E$74</f>
        <v>26.609618516820813</v>
      </c>
      <c r="P568" s="70">
        <f>((MAX('Max rate concentrations'!Y:Y))*0.62*6.01*8*(12.3*F568^0.65)*0.079*0.1/F568)*inputs!$E$73/inputs!$E$74</f>
        <v>8.869872838940271</v>
      </c>
      <c r="Q568" s="70">
        <f>(inputs!$C$18*11.2*(12.3*F568^0.65)*0.5/F568)*inputs!$E$73/inputs!$E$74</f>
        <v>4.6871587953943861</v>
      </c>
      <c r="R568" s="60">
        <f>(60*379*((F568/1000)^0.8)*3*24*(MAX('Max rate concentrations'!$R$3:$R$368))/F568)*(inputs!$E$73/inputs!$E$75)</f>
        <v>1.1674125268552462E-2</v>
      </c>
      <c r="S568" s="60">
        <f>(IF(inputs!$C$17="aerial",((0.025*0.112*inputs!$C$18/3.3)*(3*60*379*((F568/1000)^0.8))*MAX(inputs!$I$14:$I$16))/F568,((0.0083*0.112*inputs!$C$18/1)*(3*60*379*((F568/1000)^0.8))*MAX(inputs!$I$14:$I$16))/F568))*(inputs!E$75/inputs!$E$73)</f>
        <v>6.4383518094584966E-2</v>
      </c>
      <c r="T568" s="63">
        <f>IF((((inputs!$P$13/(V568/MAX(K568:S568)))^(1/inputs!$O$13))-1)/inputs!$N$13&lt;0, 0, IF((((inputs!$P$13/(V568/MAX(K568:S568)))^(1/inputs!$O$13))-1)/inputs!$N$13&lt;inputs!$I$17, (((inputs!$P$13/(V568/MAX(K568:S568)))^(1/inputs!$O$13))-1)/inputs!$N$13, inputs!$I$17))</f>
        <v>87.159005498021969</v>
      </c>
      <c r="U568" s="63">
        <f>IF((((inputs!$P$13/(X568/MAX(K568:S568)))^(1/inputs!$O$13))-1)/inputs!$N$13&lt;0, 0, IF((((inputs!$P$13/(X568/MAX(K568:S568)))^(1/inputs!$O$13))-1)/inputs!$N$13&lt;inputs!$I$17, (((inputs!$P$13/(X568/MAX(K568:S568)))^(1/inputs!$O$13))-1)/inputs!$N$13, inputs!$I$17))</f>
        <v>13.543955109207889</v>
      </c>
      <c r="V568" s="54">
        <f>inputs!$E$70*(F568/inputs!$F$70)^(0.25)</f>
        <v>5.9013300832287738</v>
      </c>
      <c r="W568" s="54">
        <f>inputs!$E$76*(F568/inputs!$F$76)^(0.25)</f>
        <v>0.42430825598209093</v>
      </c>
      <c r="X568" s="54">
        <f>inputs!$E$72*(inputs!$F$72/F568)^(0.25)</f>
        <v>42.346385725855399</v>
      </c>
      <c r="Y568" s="54" t="s">
        <v>13</v>
      </c>
      <c r="Z568" s="106">
        <f t="shared" si="44"/>
        <v>33.044930272886432</v>
      </c>
      <c r="AA568" s="106">
        <f t="shared" si="45"/>
        <v>459.59285111297197</v>
      </c>
    </row>
    <row r="569" spans="1:27" ht="13.2" x14ac:dyDescent="0.25">
      <c r="A569" s="55" t="s">
        <v>574</v>
      </c>
      <c r="B569" s="49" t="s">
        <v>575</v>
      </c>
      <c r="C569" s="21" t="s">
        <v>61</v>
      </c>
      <c r="D569" s="20" t="s">
        <v>451</v>
      </c>
      <c r="E569" s="20">
        <v>3778</v>
      </c>
      <c r="F569" s="21">
        <v>756</v>
      </c>
      <c r="G569" s="21" t="s">
        <v>154</v>
      </c>
      <c r="H569" s="21">
        <v>9.2999999999999999E-2</v>
      </c>
      <c r="I569" s="68">
        <f>MAX('Max rate concentrations'!$G$3:$G$368)</f>
        <v>45</v>
      </c>
      <c r="J569" s="68">
        <f>MAX('Max rate concentrations'!Z:Z)</f>
        <v>21</v>
      </c>
      <c r="K569" s="70">
        <f t="shared" si="46"/>
        <v>3.5834075912822847</v>
      </c>
      <c r="L569" s="70">
        <f t="shared" si="48"/>
        <v>1.6722568759317329</v>
      </c>
      <c r="M569" s="70">
        <f>IF((((0.326*F569^0.818)-(0.398*F569^0.85)/(1-H569)*H569)*(MAX('Max rate concentrations'!$P$3:$P$368)))/F569&gt;0, (((0.326*F569^0.818)-(0.398*F569^0.85)/(1-H569)*H569)*(MAX('Max rate concentrations'!$P$3:$P$368)))/F569, 0)</f>
        <v>7.1824062999621449E-2</v>
      </c>
      <c r="N569" s="70">
        <f>IF((((0.326*F569^0.818)-(0.398*F569^0.85)/(1-H569)*H569)*(MAX('Max rate concentrations'!$Q$3:$Q$368)))/F569&gt; 0, (((0.326*F569^0.818)-(0.398*F569^0.85)/(1-H569)*H569)*(MAX('Max rate concentrations'!$Q$3:$Q$368)))/F569, 0)</f>
        <v>0.27350989113049617</v>
      </c>
      <c r="O569" s="70">
        <f>((MAX('Max rate concentrations'!$F$3:$F$368))*0.62*6.01*8*(12.3*F569^0.65)*0.079*0.1/F569)*inputs!$E$73/inputs!$E$74</f>
        <v>26.609618516820813</v>
      </c>
      <c r="P569" s="70">
        <f>((MAX('Max rate concentrations'!Y:Y))*0.62*6.01*8*(12.3*F569^0.65)*0.079*0.1/F569)*inputs!$E$73/inputs!$E$74</f>
        <v>8.869872838940271</v>
      </c>
      <c r="Q569" s="70">
        <f>(inputs!$C$18*11.2*(12.3*F569^0.65)*0.5/F569)*inputs!$E$73/inputs!$E$74</f>
        <v>4.6871587953943861</v>
      </c>
      <c r="R569" s="60">
        <f>(60*379*((F569/1000)^0.8)*3*24*(MAX('Max rate concentrations'!$R$3:$R$368))/F569)*(inputs!$E$73/inputs!$E$75)</f>
        <v>1.1674125268552462E-2</v>
      </c>
      <c r="S569" s="60">
        <f>(IF(inputs!$C$17="aerial",((0.025*0.112*inputs!$C$18/3.3)*(3*60*379*((F569/1000)^0.8))*MAX(inputs!$I$14:$I$16))/F569,((0.0083*0.112*inputs!$C$18/1)*(3*60*379*((F569/1000)^0.8))*MAX(inputs!$I$14:$I$16))/F569))*(inputs!E$75/inputs!$E$73)</f>
        <v>6.4383518094584966E-2</v>
      </c>
      <c r="T569" s="63">
        <f>IF((((inputs!$P$13/(V569/MAX(K569:S569)))^(1/inputs!$O$13))-1)/inputs!$N$13&lt;0, 0, IF((((inputs!$P$13/(V569/MAX(K569:S569)))^(1/inputs!$O$13))-1)/inputs!$N$13&lt;inputs!$I$17, (((inputs!$P$13/(V569/MAX(K569:S569)))^(1/inputs!$O$13))-1)/inputs!$N$13, inputs!$I$17))</f>
        <v>13.226857923099287</v>
      </c>
      <c r="U569" s="63">
        <f>IF((((inputs!$P$13/(X569/MAX(K569:S569)))^(1/inputs!$O$13))-1)/inputs!$N$13&lt;0, 0, IF((((inputs!$P$13/(X569/MAX(K569:S569)))^(1/inputs!$O$13))-1)/inputs!$N$13&lt;inputs!$I$17, (((inputs!$P$13/(X569/MAX(K569:S569)))^(1/inputs!$O$13))-1)/inputs!$N$13, inputs!$I$17))</f>
        <v>0</v>
      </c>
      <c r="V569" s="54">
        <f>inputs!$E$70*(F569/inputs!$F$70)^(0.25)</f>
        <v>5.9013300832287738</v>
      </c>
      <c r="W569" s="54">
        <f>inputs!$E$76*(F569/inputs!$F$76)^(0.25)</f>
        <v>0.42430825598209093</v>
      </c>
      <c r="X569" s="54">
        <f>inputs!$E$72*(inputs!$F$72/F569)^(0.25)</f>
        <v>42.346385725855399</v>
      </c>
      <c r="Y569" s="54" t="s">
        <v>13</v>
      </c>
      <c r="Z569" s="106">
        <f t="shared" si="44"/>
        <v>4.5090883142503335</v>
      </c>
      <c r="AA569" s="106">
        <f t="shared" si="45"/>
        <v>62.712940749246094</v>
      </c>
    </row>
    <row r="570" spans="1:27" ht="13.2" x14ac:dyDescent="0.25">
      <c r="A570" s="55" t="s">
        <v>449</v>
      </c>
      <c r="B570" s="49" t="s">
        <v>450</v>
      </c>
      <c r="C570" s="21" t="s">
        <v>61</v>
      </c>
      <c r="D570" s="20" t="s">
        <v>451</v>
      </c>
      <c r="E570" s="20">
        <v>1240</v>
      </c>
      <c r="F570" s="21">
        <v>375</v>
      </c>
      <c r="G570" s="21" t="s">
        <v>169</v>
      </c>
      <c r="H570" s="21">
        <v>0.79</v>
      </c>
      <c r="I570" s="68">
        <f>MAX('Max rate concentrations'!$D$3:$D$368)</f>
        <v>720</v>
      </c>
      <c r="J570" s="68">
        <f>MAX('Max rate concentrations'!W:W)</f>
        <v>255</v>
      </c>
      <c r="K570" s="70">
        <f t="shared" si="46"/>
        <v>280.54562362725522</v>
      </c>
      <c r="L570" s="70">
        <f t="shared" si="48"/>
        <v>99.359908367986222</v>
      </c>
      <c r="M570" s="70">
        <f>IF((((0.326*F570^0.818)-(0.398*F570^0.85)/(1-H570)*H570)*(MAX('Max rate concentrations'!$P$3:$P$368)))/F570&gt;0, (((0.326*F570^0.818)-(0.398*F570^0.85)/(1-H570)*H570)*(MAX('Max rate concentrations'!$P$3:$P$368)))/F570, 0)</f>
        <v>0</v>
      </c>
      <c r="N570" s="70">
        <f>IF((((0.326*F570^0.818)-(0.398*F570^0.85)/(1-H570)*H570)*(MAX('Max rate concentrations'!$Q$3:$Q$368)))/F570&gt; 0, (((0.326*F570^0.818)-(0.398*F570^0.85)/(1-H570)*H570)*(MAX('Max rate concentrations'!$Q$3:$Q$368)))/F570, 0)</f>
        <v>0</v>
      </c>
      <c r="O570" s="70">
        <f>((MAX('Max rate concentrations'!$F$3:$F$368))*0.62*6.01*8*(12.3*F570^0.65)*0.079*0.1/F570)*inputs!$E$73/inputs!$E$74</f>
        <v>34.010289846614583</v>
      </c>
      <c r="P570" s="70">
        <f>((MAX('Max rate concentrations'!Y:Y))*0.62*6.01*8*(12.3*F570^0.65)*0.079*0.1/F570)*inputs!$E$73/inputs!$E$74</f>
        <v>11.336763282204862</v>
      </c>
      <c r="Q570" s="70">
        <f>(inputs!$C$18*11.2*(12.3*F570^0.65)*0.5/F570)*inputs!$E$73/inputs!$E$74</f>
        <v>5.9907521442933351</v>
      </c>
      <c r="R570" s="60">
        <f>(60*379*((F570/1000)^0.8)*3*24*(MAX('Max rate concentrations'!$R$3:$R$368))/F570)*(inputs!$E$73/inputs!$E$75)</f>
        <v>1.3431436237885412E-2</v>
      </c>
      <c r="S570" s="60">
        <f>(IF(inputs!$C$17="aerial",((0.025*0.112*inputs!$C$18/3.3)*(3*60*379*((F570/1000)^0.8))*MAX(inputs!$I$14:$I$16))/F570,((0.0083*0.112*inputs!$C$18/1)*(3*60*379*((F570/1000)^0.8))*MAX(inputs!$I$14:$I$16))/F570))*(inputs!E$75/inputs!$E$73)</f>
        <v>7.4075196056670914E-2</v>
      </c>
      <c r="T570" s="63">
        <f>IF((((inputs!$P$13/(V570/MAX(K570:S570)))^(1/inputs!$O$13))-1)/inputs!$N$13&lt;0, 0, IF((((inputs!$P$13/(V570/MAX(K570:S570)))^(1/inputs!$O$13))-1)/inputs!$N$13&lt;inputs!$I$17, (((inputs!$P$13/(V570/MAX(K570:S570)))^(1/inputs!$O$13))-1)/inputs!$N$13, inputs!$I$17))</f>
        <v>137.62722700179745</v>
      </c>
      <c r="U570" s="63">
        <f>IF((((inputs!$P$13/(X570/MAX(K570:S570)))^(1/inputs!$O$13))-1)/inputs!$N$13&lt;0, 0, IF((((inputs!$P$13/(X570/MAX(K570:S570)))^(1/inputs!$O$13))-1)/inputs!$N$13&lt;inputs!$I$17, (((inputs!$P$13/(X570/MAX(K570:S570)))^(1/inputs!$O$13))-1)/inputs!$N$13, inputs!$I$17))</f>
        <v>16.633389304529349</v>
      </c>
      <c r="V570" s="54">
        <f>inputs!$E$70*(F570/inputs!$F$70)^(0.25)</f>
        <v>4.9525318258425015</v>
      </c>
      <c r="W570" s="54">
        <f>inputs!$E$76*(F570/inputs!$F$76)^(0.25)</f>
        <v>0.35608923955822863</v>
      </c>
      <c r="X570" s="54">
        <f>inputs!$E$72*(inputs!$F$72/F570)^(0.25)</f>
        <v>50.459039696829841</v>
      </c>
      <c r="Y570" s="54" t="s">
        <v>13</v>
      </c>
      <c r="Z570" s="106">
        <f t="shared" si="44"/>
        <v>56.646909801438809</v>
      </c>
      <c r="AA570" s="106">
        <f t="shared" si="45"/>
        <v>787.85201140957156</v>
      </c>
    </row>
    <row r="571" spans="1:27" ht="13.2" x14ac:dyDescent="0.25">
      <c r="A571" s="55" t="s">
        <v>449</v>
      </c>
      <c r="B571" s="49" t="s">
        <v>450</v>
      </c>
      <c r="C571" s="21" t="s">
        <v>61</v>
      </c>
      <c r="D571" s="20" t="s">
        <v>451</v>
      </c>
      <c r="E571" s="20">
        <v>1240</v>
      </c>
      <c r="F571" s="21">
        <v>375</v>
      </c>
      <c r="G571" s="21" t="s">
        <v>177</v>
      </c>
      <c r="H571" s="21">
        <v>0.85</v>
      </c>
      <c r="I571" s="68">
        <f>MAX('Max rate concentrations'!$F$3:$F$368)</f>
        <v>405</v>
      </c>
      <c r="J571" s="68">
        <f>MAX('Max rate concentrations'!Y:Y)</f>
        <v>135</v>
      </c>
      <c r="K571" s="70">
        <f t="shared" si="46"/>
        <v>220.92967860646345</v>
      </c>
      <c r="L571" s="70">
        <f t="shared" si="48"/>
        <v>73.64322620215448</v>
      </c>
      <c r="M571" s="70">
        <f>IF((((0.326*F571^0.818)-(0.398*F571^0.85)/(1-H571)*H571)*(MAX('Max rate concentrations'!$P$3:$P$368)))/F571&gt;0, (((0.326*F571^0.818)-(0.398*F571^0.85)/(1-H571)*H571)*(MAX('Max rate concentrations'!$P$3:$P$368)))/F571, 0)</f>
        <v>0</v>
      </c>
      <c r="N571" s="70">
        <f>IF((((0.326*F571^0.818)-(0.398*F571^0.85)/(1-H571)*H571)*(MAX('Max rate concentrations'!$Q$3:$Q$368)))/F571&gt; 0, (((0.326*F571^0.818)-(0.398*F571^0.85)/(1-H571)*H571)*(MAX('Max rate concentrations'!$Q$3:$Q$368)))/F571, 0)</f>
        <v>0</v>
      </c>
      <c r="O571" s="70">
        <f>((MAX('Max rate concentrations'!$F$3:$F$368))*0.62*6.01*8*(12.3*F571^0.65)*0.079*0.1/F571)*inputs!$E$73/inputs!$E$74</f>
        <v>34.010289846614583</v>
      </c>
      <c r="P571" s="70">
        <f>((MAX('Max rate concentrations'!Y:Y))*0.62*6.01*8*(12.3*F571^0.65)*0.079*0.1/F571)*inputs!$E$73/inputs!$E$74</f>
        <v>11.336763282204862</v>
      </c>
      <c r="Q571" s="70">
        <f>(inputs!$C$18*11.2*(12.3*F571^0.65)*0.5/F571)*inputs!$E$73/inputs!$E$74</f>
        <v>5.9907521442933351</v>
      </c>
      <c r="R571" s="60">
        <f>(60*379*((F571/1000)^0.8)*3*24*(MAX('Max rate concentrations'!$R$3:$R$368))/F571)*(inputs!$E$73/inputs!$E$75)</f>
        <v>1.3431436237885412E-2</v>
      </c>
      <c r="S571" s="60">
        <f>(IF(inputs!$C$17="aerial",((0.025*0.112*inputs!$C$18/3.3)*(3*60*379*((F571/1000)^0.8))*MAX(inputs!$I$14:$I$16))/F571,((0.0083*0.112*inputs!$C$18/1)*(3*60*379*((F571/1000)^0.8))*MAX(inputs!$I$14:$I$16))/F571))*(inputs!E$75/inputs!$E$73)</f>
        <v>7.4075196056670914E-2</v>
      </c>
      <c r="T571" s="63">
        <f>IF((((inputs!$P$13/(V571/MAX(K571:S571)))^(1/inputs!$O$13))-1)/inputs!$N$13&lt;0, 0, IF((((inputs!$P$13/(V571/MAX(K571:S571)))^(1/inputs!$O$13))-1)/inputs!$N$13&lt;inputs!$I$17, (((inputs!$P$13/(V571/MAX(K571:S571)))^(1/inputs!$O$13))-1)/inputs!$N$13, inputs!$I$17))</f>
        <v>112.53194200086007</v>
      </c>
      <c r="U571" s="63">
        <f>IF((((inputs!$P$13/(X571/MAX(K571:S571)))^(1/inputs!$O$13))-1)/inputs!$N$13&lt;0, 0, IF((((inputs!$P$13/(X571/MAX(K571:S571)))^(1/inputs!$O$13))-1)/inputs!$N$13&lt;inputs!$I$17, (((inputs!$P$13/(X571/MAX(K571:S571)))^(1/inputs!$O$13))-1)/inputs!$N$13, inputs!$I$17))</f>
        <v>12.793103767677861</v>
      </c>
      <c r="V571" s="54">
        <f>inputs!$E$70*(F571/inputs!$F$70)^(0.25)</f>
        <v>4.9525318258425015</v>
      </c>
      <c r="W571" s="54">
        <f>inputs!$E$76*(F571/inputs!$F$76)^(0.25)</f>
        <v>0.35608923955822863</v>
      </c>
      <c r="X571" s="54">
        <f>inputs!$E$72*(inputs!$F$72/F571)^(0.25)</f>
        <v>50.459039696829841</v>
      </c>
      <c r="Y571" s="54" t="s">
        <v>13</v>
      </c>
      <c r="Z571" s="106">
        <f t="shared" si="44"/>
        <v>44.609441468633051</v>
      </c>
      <c r="AA571" s="106">
        <f t="shared" si="45"/>
        <v>620.43345898503753</v>
      </c>
    </row>
    <row r="572" spans="1:27" ht="13.2" x14ac:dyDescent="0.25">
      <c r="A572" s="55" t="s">
        <v>570</v>
      </c>
      <c r="B572" s="49" t="s">
        <v>571</v>
      </c>
      <c r="C572" s="21" t="s">
        <v>61</v>
      </c>
      <c r="D572" s="20" t="s">
        <v>451</v>
      </c>
      <c r="E572" s="20">
        <v>55</v>
      </c>
      <c r="F572" s="21">
        <v>500</v>
      </c>
      <c r="G572" s="21" t="s">
        <v>169</v>
      </c>
      <c r="H572" s="21">
        <v>0.79</v>
      </c>
      <c r="I572" s="68">
        <f>MAX('Max rate concentrations'!$D$3:$D$368)</f>
        <v>720</v>
      </c>
      <c r="J572" s="68">
        <f>MAX('Max rate concentrations'!W:W)</f>
        <v>255</v>
      </c>
      <c r="K572" s="70">
        <f t="shared" si="46"/>
        <v>266.54123348761959</v>
      </c>
      <c r="L572" s="70">
        <f t="shared" si="48"/>
        <v>94.40002019353193</v>
      </c>
      <c r="M572" s="70">
        <f>IF((((0.326*F572^0.818)-(0.398*F572^0.85)/(1-H572)*H572)*(MAX('Max rate concentrations'!$P$3:$P$368)))/F572&gt;0, (((0.326*F572^0.818)-(0.398*F572^0.85)/(1-H572)*H572)*(MAX('Max rate concentrations'!$P$3:$P$368)))/F572, 0)</f>
        <v>0</v>
      </c>
      <c r="N572" s="70">
        <f>IF((((0.326*F572^0.818)-(0.398*F572^0.85)/(1-H572)*H572)*(MAX('Max rate concentrations'!$Q$3:$Q$368)))/F572&gt; 0, (((0.326*F572^0.818)-(0.398*F572^0.85)/(1-H572)*H572)*(MAX('Max rate concentrations'!$Q$3:$Q$368)))/F572, 0)</f>
        <v>0</v>
      </c>
      <c r="O572" s="70">
        <f>((MAX('Max rate concentrations'!$F$3:$F$368))*0.62*6.01*8*(12.3*F572^0.65)*0.079*0.1/F572)*inputs!$E$73/inputs!$E$74</f>
        <v>30.752595463833227</v>
      </c>
      <c r="P572" s="70">
        <f>((MAX('Max rate concentrations'!Y:Y))*0.62*6.01*8*(12.3*F572^0.65)*0.079*0.1/F572)*inputs!$E$73/inputs!$E$74</f>
        <v>10.250865154611077</v>
      </c>
      <c r="Q572" s="70">
        <f>(inputs!$C$18*11.2*(12.3*F572^0.65)*0.5/F572)*inputs!$E$73/inputs!$E$74</f>
        <v>5.4169246439363397</v>
      </c>
      <c r="R572" s="60">
        <f>(60*379*((F572/1000)^0.8)*3*24*(MAX('Max rate concentrations'!$R$3:$R$368))/F572)*(inputs!$E$73/inputs!$E$75)</f>
        <v>1.2680451210941402E-2</v>
      </c>
      <c r="S572" s="60">
        <f>(IF(inputs!$C$17="aerial",((0.025*0.112*inputs!$C$18/3.3)*(3*60*379*((F572/1000)^0.8))*MAX(inputs!$I$14:$I$16))/F572,((0.0083*0.112*inputs!$C$18/1)*(3*60*379*((F572/1000)^0.8))*MAX(inputs!$I$14:$I$16))/F572))*(inputs!E$75/inputs!$E$73)</f>
        <v>6.9933467493824383E-2</v>
      </c>
      <c r="T572" s="63">
        <f>IF((((inputs!$P$13/(V572/MAX(K572:S572)))^(1/inputs!$O$13))-1)/inputs!$N$13&lt;0, 0, IF((((inputs!$P$13/(V572/MAX(K572:S572)))^(1/inputs!$O$13))-1)/inputs!$N$13&lt;inputs!$I$17, (((inputs!$P$13/(V572/MAX(K572:S572)))^(1/inputs!$O$13))-1)/inputs!$N$13, inputs!$I$17))</f>
        <v>124.08844152749317</v>
      </c>
      <c r="U572" s="63">
        <f>IF((((inputs!$P$13/(X572/MAX(K572:S572)))^(1/inputs!$O$13))-1)/inputs!$N$13&lt;0, 0, IF((((inputs!$P$13/(X572/MAX(K572:S572)))^(1/inputs!$O$13))-1)/inputs!$N$13&lt;inputs!$I$17, (((inputs!$P$13/(X572/MAX(K572:S572)))^(1/inputs!$O$13))-1)/inputs!$N$13, inputs!$I$17))</f>
        <v>17.002642299828487</v>
      </c>
      <c r="V572" s="54">
        <f>inputs!$E$70*(F572/inputs!$F$70)^(0.25)</f>
        <v>5.3218417864494993</v>
      </c>
      <c r="W572" s="54">
        <f>inputs!$E$76*(F572/inputs!$F$76)^(0.25)</f>
        <v>0.38264278987518269</v>
      </c>
      <c r="X572" s="54">
        <f>inputs!$E$72*(inputs!$F$72/F572)^(0.25)</f>
        <v>46.957427527495589</v>
      </c>
      <c r="Y572" s="54" t="s">
        <v>13</v>
      </c>
      <c r="Z572" s="106">
        <f t="shared" si="44"/>
        <v>50.084396376887462</v>
      </c>
      <c r="AA572" s="106">
        <f t="shared" si="45"/>
        <v>696.57978809574536</v>
      </c>
    </row>
    <row r="573" spans="1:27" ht="13.2" x14ac:dyDescent="0.25">
      <c r="A573" s="55" t="s">
        <v>570</v>
      </c>
      <c r="B573" s="49" t="s">
        <v>571</v>
      </c>
      <c r="C573" s="21" t="s">
        <v>61</v>
      </c>
      <c r="D573" s="20" t="s">
        <v>451</v>
      </c>
      <c r="E573" s="20">
        <v>55</v>
      </c>
      <c r="F573" s="21">
        <v>500</v>
      </c>
      <c r="G573" s="21" t="s">
        <v>177</v>
      </c>
      <c r="H573" s="21">
        <v>0.85</v>
      </c>
      <c r="I573" s="68">
        <f>MAX('Max rate concentrations'!$F$3:$F$368)</f>
        <v>405</v>
      </c>
      <c r="J573" s="68">
        <f>MAX('Max rate concentrations'!Y:Y)</f>
        <v>135</v>
      </c>
      <c r="K573" s="70">
        <f t="shared" si="46"/>
        <v>209.90122137150038</v>
      </c>
      <c r="L573" s="70">
        <f t="shared" si="48"/>
        <v>69.967073790500123</v>
      </c>
      <c r="M573" s="70">
        <f>IF((((0.326*F573^0.818)-(0.398*F573^0.85)/(1-H573)*H573)*(MAX('Max rate concentrations'!$P$3:$P$368)))/F573&gt;0, (((0.326*F573^0.818)-(0.398*F573^0.85)/(1-H573)*H573)*(MAX('Max rate concentrations'!$P$3:$P$368)))/F573, 0)</f>
        <v>0</v>
      </c>
      <c r="N573" s="70">
        <f>IF((((0.326*F573^0.818)-(0.398*F573^0.85)/(1-H573)*H573)*(MAX('Max rate concentrations'!$Q$3:$Q$368)))/F573&gt; 0, (((0.326*F573^0.818)-(0.398*F573^0.85)/(1-H573)*H573)*(MAX('Max rate concentrations'!$Q$3:$Q$368)))/F573, 0)</f>
        <v>0</v>
      </c>
      <c r="O573" s="70">
        <f>((MAX('Max rate concentrations'!$F$3:$F$368))*0.62*6.01*8*(12.3*F573^0.65)*0.079*0.1/F573)*inputs!$E$73/inputs!$E$74</f>
        <v>30.752595463833227</v>
      </c>
      <c r="P573" s="70">
        <f>((MAX('Max rate concentrations'!Y:Y))*0.62*6.01*8*(12.3*F573^0.65)*0.079*0.1/F573)*inputs!$E$73/inputs!$E$74</f>
        <v>10.250865154611077</v>
      </c>
      <c r="Q573" s="70">
        <f>(inputs!$C$18*11.2*(12.3*F573^0.65)*0.5/F573)*inputs!$E$73/inputs!$E$74</f>
        <v>5.4169246439363397</v>
      </c>
      <c r="R573" s="60">
        <f>(60*379*((F573/1000)^0.8)*3*24*(MAX('Max rate concentrations'!$R$3:$R$368))/F573)*(inputs!$E$73/inputs!$E$75)</f>
        <v>1.2680451210941402E-2</v>
      </c>
      <c r="S573" s="60">
        <f>(IF(inputs!$C$17="aerial",((0.025*0.112*inputs!$C$18/3.3)*(3*60*379*((F573/1000)^0.8))*MAX(inputs!$I$14:$I$16))/F573,((0.0083*0.112*inputs!$C$18/1)*(3*60*379*((F573/1000)^0.8))*MAX(inputs!$I$14:$I$16))/F573))*(inputs!E$75/inputs!$E$73)</f>
        <v>6.9933467493824383E-2</v>
      </c>
      <c r="T573" s="63">
        <f>IF((((inputs!$P$13/(V573/MAX(K573:S573)))^(1/inputs!$O$13))-1)/inputs!$N$13&lt;0, 0, IF((((inputs!$P$13/(V573/MAX(K573:S573)))^(1/inputs!$O$13))-1)/inputs!$N$13&lt;inputs!$I$17, (((inputs!$P$13/(V573/MAX(K573:S573)))^(1/inputs!$O$13))-1)/inputs!$N$13, inputs!$I$17))</f>
        <v>101.37151631311546</v>
      </c>
      <c r="U573" s="63">
        <f>IF((((inputs!$P$13/(X573/MAX(K573:S573)))^(1/inputs!$O$13))-1)/inputs!$N$13&lt;0, 0, IF((((inputs!$P$13/(X573/MAX(K573:S573)))^(1/inputs!$O$13))-1)/inputs!$N$13&lt;inputs!$I$17, (((inputs!$P$13/(X573/MAX(K573:S573)))^(1/inputs!$O$13))-1)/inputs!$N$13, inputs!$I$17))</f>
        <v>13.097490052683597</v>
      </c>
      <c r="V573" s="54">
        <f>inputs!$E$70*(F573/inputs!$F$70)^(0.25)</f>
        <v>5.3218417864494993</v>
      </c>
      <c r="W573" s="54">
        <f>inputs!$E$76*(F573/inputs!$F$76)^(0.25)</f>
        <v>0.38264278987518269</v>
      </c>
      <c r="X573" s="54">
        <f>inputs!$E$72*(inputs!$F$72/F573)^(0.25)</f>
        <v>46.957427527495589</v>
      </c>
      <c r="Y573" s="54" t="s">
        <v>13</v>
      </c>
      <c r="Z573" s="106">
        <f t="shared" si="44"/>
        <v>39.44146214679887</v>
      </c>
      <c r="AA573" s="106">
        <f t="shared" si="45"/>
        <v>548.55658312539936</v>
      </c>
    </row>
    <row r="574" spans="1:27" ht="13.2" x14ac:dyDescent="0.25">
      <c r="A574" s="55" t="s">
        <v>544</v>
      </c>
      <c r="B574" s="49" t="s">
        <v>545</v>
      </c>
      <c r="C574" s="21" t="s">
        <v>61</v>
      </c>
      <c r="D574" s="20" t="s">
        <v>443</v>
      </c>
      <c r="E574" s="20">
        <v>41</v>
      </c>
      <c r="F574" s="21">
        <v>15</v>
      </c>
      <c r="G574" s="21" t="s">
        <v>182</v>
      </c>
      <c r="H574" s="21">
        <v>0.85</v>
      </c>
      <c r="I574" s="68">
        <f>MAX('Max rate concentrations'!$M$3:$M$368)</f>
        <v>17.092910873809167</v>
      </c>
      <c r="J574" s="68">
        <f>MAX('Max rate concentrations'!AE:AE)</f>
        <v>11.81956602976166</v>
      </c>
      <c r="K574" s="70">
        <f t="shared" ref="K574:K637" si="49">(((0.621*F574^0.564)/(1-H574)))*I574/F574</f>
        <v>21.729042046600661</v>
      </c>
      <c r="L574" s="70">
        <f t="shared" ref="L574:L637" si="50">(((0.621*F574^0.564)/(1-H574)))*J574/F574</f>
        <v>15.025401415202587</v>
      </c>
      <c r="M574" s="70">
        <f>IF((((0.326*F574^0.818)-(0.398*F574^0.85)/(1-H574)*H574)*(MAX('Max rate concentrations'!$P$3:$P$368)))/F574&gt;0, (((0.326*F574^0.818)-(0.398*F574^0.85)/(1-H574)*H574)*(MAX('Max rate concentrations'!$P$3:$P$368)))/F574, 0)</f>
        <v>0</v>
      </c>
      <c r="N574" s="70">
        <f>IF((((0.326*F574^0.818)-(0.398*F574^0.85)/(1-H574)*H574)*(MAX('Max rate concentrations'!$Q$3:$Q$368)))/F574&gt; 0, (((0.326*F574^0.818)-(0.398*F574^0.85)/(1-H574)*H574)*(MAX('Max rate concentrations'!$Q$3:$Q$368)))/F574, 0)</f>
        <v>0</v>
      </c>
      <c r="O574" s="70">
        <f>((MAX('Max rate concentrations'!$F$3:$F$368))*0.62*6.01*8*(12.3*F574^0.65)*0.079*0.1/F574)*inputs!$E$73/inputs!$E$74</f>
        <v>104.92750258141861</v>
      </c>
      <c r="P574" s="70">
        <f>((MAX('Max rate concentrations'!Y:Y))*0.62*6.01*8*(12.3*F574^0.65)*0.079*0.1/F574)*inputs!$E$73/inputs!$E$74</f>
        <v>34.9758341938062</v>
      </c>
      <c r="Q574" s="70">
        <f>(inputs!$C$18*11.2*(12.3*F574^0.65)*0.5/F574)*inputs!$E$73/inputs!$E$74</f>
        <v>18.482484680957491</v>
      </c>
      <c r="R574" s="60">
        <f>(60*379*((F574/1000)^0.8)*3*24*(MAX('Max rate concentrations'!$R$3:$R$368))/F574)*(inputs!$E$73/inputs!$E$75)</f>
        <v>2.5568806496861746E-2</v>
      </c>
      <c r="S574" s="60">
        <f>(IF(inputs!$C$17="aerial",((0.025*0.112*inputs!$C$18/3.3)*(3*60*379*((F574/1000)^0.8))*MAX(inputs!$I$14:$I$16))/F574,((0.0083*0.112*inputs!$C$18/1)*(3*60*379*((F574/1000)^0.8))*MAX(inputs!$I$14:$I$16))/F574))*(inputs!E$75/inputs!$E$73)</f>
        <v>0.14101353873443245</v>
      </c>
      <c r="T574" s="63">
        <f>IF((((inputs!$P$13/(V574/MAX(K574:S574)))^(1/inputs!$O$13))-1)/inputs!$N$13&lt;0, 0, IF((((inputs!$P$13/(V574/MAX(K574:S574)))^(1/inputs!$O$13))-1)/inputs!$N$13&lt;inputs!$I$17, (((inputs!$P$13/(V574/MAX(K574:S574)))^(1/inputs!$O$13))-1)/inputs!$N$13, inputs!$I$17))</f>
        <v>118.4009365573144</v>
      </c>
      <c r="U574" s="63">
        <f>IF((((inputs!$P$13/(X574/MAX(K574:S574)))^(1/inputs!$O$13))-1)/inputs!$N$13&lt;0, 0, IF((((inputs!$P$13/(X574/MAX(K574:S574)))^(1/inputs!$O$13))-1)/inputs!$N$13&lt;inputs!$I$17, (((inputs!$P$13/(X574/MAX(K574:S574)))^(1/inputs!$O$13))-1)/inputs!$N$13, inputs!$I$17))</f>
        <v>0</v>
      </c>
      <c r="V574" s="54">
        <f>inputs!$E$70*(F574/inputs!$F$70)^(0.25)</f>
        <v>2.2148395646629968</v>
      </c>
      <c r="W574" s="54">
        <f>inputs!$E$76*(F574/inputs!$F$76)^(0.25)</f>
        <v>0.15924794914168131</v>
      </c>
      <c r="X574" s="54">
        <f>inputs!$E$72*(inputs!$F$72/F574)^(0.25)</f>
        <v>112.82984284147192</v>
      </c>
      <c r="Y574" s="54" t="s">
        <v>13</v>
      </c>
      <c r="Z574" s="106">
        <f t="shared" si="44"/>
        <v>47.374764409802324</v>
      </c>
      <c r="AA574" s="106">
        <f t="shared" si="45"/>
        <v>658.89390191182724</v>
      </c>
    </row>
    <row r="575" spans="1:27" ht="13.2" x14ac:dyDescent="0.25">
      <c r="A575" s="55" t="s">
        <v>544</v>
      </c>
      <c r="B575" s="49" t="s">
        <v>545</v>
      </c>
      <c r="C575" s="21" t="s">
        <v>61</v>
      </c>
      <c r="D575" s="20" t="s">
        <v>443</v>
      </c>
      <c r="E575" s="20">
        <v>41</v>
      </c>
      <c r="F575" s="21">
        <v>15</v>
      </c>
      <c r="G575" s="21" t="s">
        <v>142</v>
      </c>
      <c r="H575" s="21">
        <v>0.69</v>
      </c>
      <c r="I575" s="68">
        <f>MAX('Max rate concentrations'!$H$3:$H$368)</f>
        <v>282</v>
      </c>
      <c r="J575" s="68">
        <f>MAX('Max rate concentrations'!AA:AA)</f>
        <v>195</v>
      </c>
      <c r="K575" s="70">
        <f t="shared" si="49"/>
        <v>173.46155116527132</v>
      </c>
      <c r="L575" s="70">
        <f t="shared" si="50"/>
        <v>119.94681729513441</v>
      </c>
      <c r="M575" s="70">
        <f>IF((((0.326*F575^0.818)-(0.398*F575^0.85)/(1-H575)*H575)*(MAX('Max rate concentrations'!$P$3:$P$368)))/F575&gt;0, (((0.326*F575^0.818)-(0.398*F575^0.85)/(1-H575)*H575)*(MAX('Max rate concentrations'!$P$3:$P$368)))/F575, 0)</f>
        <v>0</v>
      </c>
      <c r="N575" s="70">
        <f>IF((((0.326*F575^0.818)-(0.398*F575^0.85)/(1-H575)*H575)*(MAX('Max rate concentrations'!$Q$3:$Q$368)))/F575&gt; 0, (((0.326*F575^0.818)-(0.398*F575^0.85)/(1-H575)*H575)*(MAX('Max rate concentrations'!$Q$3:$Q$368)))/F575, 0)</f>
        <v>0</v>
      </c>
      <c r="O575" s="70">
        <f>((MAX('Max rate concentrations'!$F$3:$F$368))*0.62*6.01*8*(12.3*F575^0.65)*0.079*0.1/F575)*inputs!$E$73/inputs!$E$74</f>
        <v>104.92750258141861</v>
      </c>
      <c r="P575" s="70">
        <f>((MAX('Max rate concentrations'!Y:Y))*0.62*6.01*8*(12.3*F575^0.65)*0.079*0.1/F575)*inputs!$E$73/inputs!$E$74</f>
        <v>34.9758341938062</v>
      </c>
      <c r="Q575" s="70">
        <f>(inputs!$C$18*11.2*(12.3*F575^0.65)*0.5/F575)*inputs!$E$73/inputs!$E$74</f>
        <v>18.482484680957491</v>
      </c>
      <c r="R575" s="60">
        <f>(60*379*((F575/1000)^0.8)*3*24*(MAX('Max rate concentrations'!$R$3:$R$368))/F575)*(inputs!$E$73/inputs!$E$75)</f>
        <v>2.5568806496861746E-2</v>
      </c>
      <c r="S575" s="60">
        <f>(IF(inputs!$C$17="aerial",((0.025*0.112*inputs!$C$18/3.3)*(3*60*379*((F575/1000)^0.8))*MAX(inputs!$I$14:$I$16))/F575,((0.0083*0.112*inputs!$C$18/1)*(3*60*379*((F575/1000)^0.8))*MAX(inputs!$I$14:$I$16))/F575))*(inputs!E$75/inputs!$E$73)</f>
        <v>0.14101353873443245</v>
      </c>
      <c r="T575" s="63">
        <f>IF((((inputs!$P$13/(V575/MAX(K575:S575)))^(1/inputs!$O$13))-1)/inputs!$N$13&lt;0, 0, IF((((inputs!$P$13/(V575/MAX(K575:S575)))^(1/inputs!$O$13))-1)/inputs!$N$13&lt;inputs!$I$17, (((inputs!$P$13/(V575/MAX(K575:S575)))^(1/inputs!$O$13))-1)/inputs!$N$13, inputs!$I$17))</f>
        <v>180.40837500360377</v>
      </c>
      <c r="U575" s="63">
        <f>IF((((inputs!$P$13/(X575/MAX(K575:S575)))^(1/inputs!$O$13))-1)/inputs!$N$13&lt;0, 0, IF((((inputs!$P$13/(X575/MAX(K575:S575)))^(1/inputs!$O$13))-1)/inputs!$N$13&lt;inputs!$I$17, (((inputs!$P$13/(X575/MAX(K575:S575)))^(1/inputs!$O$13))-1)/inputs!$N$13, inputs!$I$17))</f>
        <v>2.5029327735431672</v>
      </c>
      <c r="V575" s="54">
        <f>inputs!$E$70*(F575/inputs!$F$70)^(0.25)</f>
        <v>2.2148395646629968</v>
      </c>
      <c r="W575" s="54">
        <f>inputs!$E$76*(F575/inputs!$F$76)^(0.25)</f>
        <v>0.15924794914168131</v>
      </c>
      <c r="X575" s="54">
        <f>inputs!$E$72*(inputs!$F$72/F575)^(0.25)</f>
        <v>112.82984284147192</v>
      </c>
      <c r="Y575" s="54" t="s">
        <v>13</v>
      </c>
      <c r="Z575" s="106">
        <f t="shared" si="44"/>
        <v>78.317885382214897</v>
      </c>
      <c r="AA575" s="106">
        <f t="shared" si="45"/>
        <v>1089.2545373438015</v>
      </c>
    </row>
    <row r="576" spans="1:27" ht="13.2" x14ac:dyDescent="0.25">
      <c r="A576" s="55" t="s">
        <v>544</v>
      </c>
      <c r="B576" s="49" t="s">
        <v>545</v>
      </c>
      <c r="C576" s="21" t="s">
        <v>61</v>
      </c>
      <c r="D576" s="20" t="s">
        <v>443</v>
      </c>
      <c r="E576" s="20">
        <v>41</v>
      </c>
      <c r="F576" s="21">
        <v>15</v>
      </c>
      <c r="G576" s="21" t="s">
        <v>152</v>
      </c>
      <c r="H576" s="21">
        <v>0.77</v>
      </c>
      <c r="I576" s="68">
        <f>MAX('Max rate concentrations'!$G$3:$G$368)</f>
        <v>45</v>
      </c>
      <c r="J576" s="68">
        <f>MAX('Max rate concentrations'!Z:Z)</f>
        <v>21</v>
      </c>
      <c r="K576" s="70">
        <f t="shared" si="49"/>
        <v>37.307872937951515</v>
      </c>
      <c r="L576" s="70">
        <f t="shared" si="50"/>
        <v>17.410340704377372</v>
      </c>
      <c r="M576" s="70">
        <f>IF((((0.326*F576^0.818)-(0.398*F576^0.85)/(1-H576)*H576)*(MAX('Max rate concentrations'!$P$3:$P$368)))/F576&gt;0, (((0.326*F576^0.818)-(0.398*F576^0.85)/(1-H576)*H576)*(MAX('Max rate concentrations'!$P$3:$P$368)))/F576, 0)</f>
        <v>0</v>
      </c>
      <c r="N576" s="70">
        <f>IF((((0.326*F576^0.818)-(0.398*F576^0.85)/(1-H576)*H576)*(MAX('Max rate concentrations'!$Q$3:$Q$368)))/F576&gt; 0, (((0.326*F576^0.818)-(0.398*F576^0.85)/(1-H576)*H576)*(MAX('Max rate concentrations'!$Q$3:$Q$368)))/F576, 0)</f>
        <v>0</v>
      </c>
      <c r="O576" s="70">
        <f>((MAX('Max rate concentrations'!$F$3:$F$368))*0.62*6.01*8*(12.3*F576^0.65)*0.079*0.1/F576)*inputs!$E$73/inputs!$E$74</f>
        <v>104.92750258141861</v>
      </c>
      <c r="P576" s="70">
        <f>((MAX('Max rate concentrations'!Y:Y))*0.62*6.01*8*(12.3*F576^0.65)*0.079*0.1/F576)*inputs!$E$73/inputs!$E$74</f>
        <v>34.9758341938062</v>
      </c>
      <c r="Q576" s="70">
        <f>(inputs!$C$18*11.2*(12.3*F576^0.65)*0.5/F576)*inputs!$E$73/inputs!$E$74</f>
        <v>18.482484680957491</v>
      </c>
      <c r="R576" s="60">
        <f>(60*379*((F576/1000)^0.8)*3*24*(MAX('Max rate concentrations'!$R$3:$R$368))/F576)*(inputs!$E$73/inputs!$E$75)</f>
        <v>2.5568806496861746E-2</v>
      </c>
      <c r="S576" s="60">
        <f>(IF(inputs!$C$17="aerial",((0.025*0.112*inputs!$C$18/3.3)*(3*60*379*((F576/1000)^0.8))*MAX(inputs!$I$14:$I$16))/F576,((0.0083*0.112*inputs!$C$18/1)*(3*60*379*((F576/1000)^0.8))*MAX(inputs!$I$14:$I$16))/F576))*(inputs!E$75/inputs!$E$73)</f>
        <v>0.14101353873443245</v>
      </c>
      <c r="T576" s="63">
        <f>IF((((inputs!$P$13/(V576/MAX(K576:S576)))^(1/inputs!$O$13))-1)/inputs!$N$13&lt;0, 0, IF((((inputs!$P$13/(V576/MAX(K576:S576)))^(1/inputs!$O$13))-1)/inputs!$N$13&lt;inputs!$I$17, (((inputs!$P$13/(V576/MAX(K576:S576)))^(1/inputs!$O$13))-1)/inputs!$N$13, inputs!$I$17))</f>
        <v>118.4009365573144</v>
      </c>
      <c r="U576" s="63">
        <f>IF((((inputs!$P$13/(X576/MAX(K576:S576)))^(1/inputs!$O$13))-1)/inputs!$N$13&lt;0, 0, IF((((inputs!$P$13/(X576/MAX(K576:S576)))^(1/inputs!$O$13))-1)/inputs!$N$13&lt;inputs!$I$17, (((inputs!$P$13/(X576/MAX(K576:S576)))^(1/inputs!$O$13))-1)/inputs!$N$13, inputs!$I$17))</f>
        <v>0</v>
      </c>
      <c r="V576" s="54">
        <f>inputs!$E$70*(F576/inputs!$F$70)^(0.25)</f>
        <v>2.2148395646629968</v>
      </c>
      <c r="W576" s="54">
        <f>inputs!$E$76*(F576/inputs!$F$76)^(0.25)</f>
        <v>0.15924794914168131</v>
      </c>
      <c r="X576" s="54">
        <f>inputs!$E$72*(inputs!$F$72/F576)^(0.25)</f>
        <v>112.82984284147192</v>
      </c>
      <c r="Y576" s="54" t="s">
        <v>13</v>
      </c>
      <c r="Z576" s="106">
        <f t="shared" si="44"/>
        <v>47.374764409802324</v>
      </c>
      <c r="AA576" s="106">
        <f t="shared" si="45"/>
        <v>658.89390191182724</v>
      </c>
    </row>
    <row r="577" spans="1:27" ht="13.2" x14ac:dyDescent="0.25">
      <c r="A577" s="55" t="s">
        <v>544</v>
      </c>
      <c r="B577" s="49" t="s">
        <v>545</v>
      </c>
      <c r="C577" s="21" t="s">
        <v>61</v>
      </c>
      <c r="D577" s="20" t="s">
        <v>443</v>
      </c>
      <c r="E577" s="20">
        <v>41</v>
      </c>
      <c r="F577" s="21">
        <v>15</v>
      </c>
      <c r="G577" s="21" t="s">
        <v>169</v>
      </c>
      <c r="H577" s="21">
        <v>0.79</v>
      </c>
      <c r="I577" s="68">
        <f>MAX('Max rate concentrations'!$D$3:$D$368)</f>
        <v>720</v>
      </c>
      <c r="J577" s="68">
        <f>MAX('Max rate concentrations'!W:W)</f>
        <v>255</v>
      </c>
      <c r="K577" s="70">
        <f t="shared" si="49"/>
        <v>653.77605910315049</v>
      </c>
      <c r="L577" s="70">
        <f t="shared" si="50"/>
        <v>231.54568759903245</v>
      </c>
      <c r="M577" s="70">
        <f>IF((((0.326*F577^0.818)-(0.398*F577^0.85)/(1-H577)*H577)*(MAX('Max rate concentrations'!$P$3:$P$368)))/F577&gt;0, (((0.326*F577^0.818)-(0.398*F577^0.85)/(1-H577)*H577)*(MAX('Max rate concentrations'!$P$3:$P$368)))/F577, 0)</f>
        <v>0</v>
      </c>
      <c r="N577" s="70">
        <f>IF((((0.326*F577^0.818)-(0.398*F577^0.85)/(1-H577)*H577)*(MAX('Max rate concentrations'!$Q$3:$Q$368)))/F577&gt; 0, (((0.326*F577^0.818)-(0.398*F577^0.85)/(1-H577)*H577)*(MAX('Max rate concentrations'!$Q$3:$Q$368)))/F577, 0)</f>
        <v>0</v>
      </c>
      <c r="O577" s="70">
        <f>((MAX('Max rate concentrations'!$F$3:$F$368))*0.62*6.01*8*(12.3*F577^0.65)*0.079*0.1/F577)*inputs!$E$73/inputs!$E$74</f>
        <v>104.92750258141861</v>
      </c>
      <c r="P577" s="70">
        <f>((MAX('Max rate concentrations'!Y:Y))*0.62*6.01*8*(12.3*F577^0.65)*0.079*0.1/F577)*inputs!$E$73/inputs!$E$74</f>
        <v>34.9758341938062</v>
      </c>
      <c r="Q577" s="70">
        <f>(inputs!$C$18*11.2*(12.3*F577^0.65)*0.5/F577)*inputs!$E$73/inputs!$E$74</f>
        <v>18.482484680957491</v>
      </c>
      <c r="R577" s="60">
        <f>(60*379*((F577/1000)^0.8)*3*24*(MAX('Max rate concentrations'!$R$3:$R$368))/F577)*(inputs!$E$73/inputs!$E$75)</f>
        <v>2.5568806496861746E-2</v>
      </c>
      <c r="S577" s="60">
        <f>(IF(inputs!$C$17="aerial",((0.025*0.112*inputs!$C$18/3.3)*(3*60*379*((F577/1000)^0.8))*MAX(inputs!$I$14:$I$16))/F577,((0.0083*0.112*inputs!$C$18/1)*(3*60*379*((F577/1000)^0.8))*MAX(inputs!$I$14:$I$16))/F577))*(inputs!E$75/inputs!$E$73)</f>
        <v>0.14101353873443245</v>
      </c>
      <c r="T577" s="63">
        <f>IF((((inputs!$P$13/(V577/MAX(K577:S577)))^(1/inputs!$O$13))-1)/inputs!$N$13&lt;0, 0, IF((((inputs!$P$13/(V577/MAX(K577:S577)))^(1/inputs!$O$13))-1)/inputs!$N$13&lt;inputs!$I$17, (((inputs!$P$13/(V577/MAX(K577:S577)))^(1/inputs!$O$13))-1)/inputs!$N$13, inputs!$I$17))</f>
        <v>537.56974385432773</v>
      </c>
      <c r="U577" s="63">
        <f>IF((((inputs!$P$13/(X577/MAX(K577:S577)))^(1/inputs!$O$13))-1)/inputs!$N$13&lt;0, 0, IF((((inputs!$P$13/(X577/MAX(K577:S577)))^(1/inputs!$O$13))-1)/inputs!$N$13&lt;inputs!$I$17, (((inputs!$P$13/(X577/MAX(K577:S577)))^(1/inputs!$O$13))-1)/inputs!$N$13, inputs!$I$17))</f>
        <v>17.375999866301779</v>
      </c>
      <c r="V577" s="54">
        <f>inputs!$E$70*(F577/inputs!$F$70)^(0.25)</f>
        <v>2.2148395646629968</v>
      </c>
      <c r="W577" s="54">
        <f>inputs!$E$76*(F577/inputs!$F$76)^(0.25)</f>
        <v>0.15924794914168131</v>
      </c>
      <c r="X577" s="54">
        <f>inputs!$E$72*(inputs!$F$72/F577)^(0.25)</f>
        <v>112.82984284147192</v>
      </c>
      <c r="Y577" s="54" t="s">
        <v>13</v>
      </c>
      <c r="Z577" s="106">
        <f t="shared" si="44"/>
        <v>295.17987195728421</v>
      </c>
      <c r="AA577" s="106">
        <f t="shared" si="45"/>
        <v>4105.3970404447246</v>
      </c>
    </row>
    <row r="578" spans="1:27" ht="13.2" x14ac:dyDescent="0.25">
      <c r="A578" s="55" t="s">
        <v>544</v>
      </c>
      <c r="B578" s="49" t="s">
        <v>545</v>
      </c>
      <c r="C578" s="21" t="s">
        <v>61</v>
      </c>
      <c r="D578" s="20" t="s">
        <v>443</v>
      </c>
      <c r="E578" s="20">
        <v>41</v>
      </c>
      <c r="F578" s="21">
        <v>15</v>
      </c>
      <c r="G578" s="21" t="s">
        <v>177</v>
      </c>
      <c r="H578" s="21">
        <v>0.85</v>
      </c>
      <c r="I578" s="68">
        <f>MAX('Max rate concentrations'!$F$3:$F$368)</f>
        <v>405</v>
      </c>
      <c r="J578" s="68">
        <f>MAX('Max rate concentrations'!Y:Y)</f>
        <v>135</v>
      </c>
      <c r="K578" s="70">
        <f t="shared" si="49"/>
        <v>514.84864654373075</v>
      </c>
      <c r="L578" s="70">
        <f t="shared" si="50"/>
        <v>171.61621551457694</v>
      </c>
      <c r="M578" s="70">
        <f>IF((((0.326*F578^0.818)-(0.398*F578^0.85)/(1-H578)*H578)*(MAX('Max rate concentrations'!$P$3:$P$368)))/F578&gt;0, (((0.326*F578^0.818)-(0.398*F578^0.85)/(1-H578)*H578)*(MAX('Max rate concentrations'!$P$3:$P$368)))/F578, 0)</f>
        <v>0</v>
      </c>
      <c r="N578" s="70">
        <f>IF((((0.326*F578^0.818)-(0.398*F578^0.85)/(1-H578)*H578)*(MAX('Max rate concentrations'!$Q$3:$Q$368)))/F578&gt; 0, (((0.326*F578^0.818)-(0.398*F578^0.85)/(1-H578)*H578)*(MAX('Max rate concentrations'!$Q$3:$Q$368)))/F578, 0)</f>
        <v>0</v>
      </c>
      <c r="O578" s="70">
        <f>((MAX('Max rate concentrations'!$F$3:$F$368))*0.62*6.01*8*(12.3*F578^0.65)*0.079*0.1/F578)*inputs!$E$73/inputs!$E$74</f>
        <v>104.92750258141861</v>
      </c>
      <c r="P578" s="70">
        <f>((MAX('Max rate concentrations'!Y:Y))*0.62*6.01*8*(12.3*F578^0.65)*0.079*0.1/F578)*inputs!$E$73/inputs!$E$74</f>
        <v>34.9758341938062</v>
      </c>
      <c r="Q578" s="70">
        <f>(inputs!$C$18*11.2*(12.3*F578^0.65)*0.5/F578)*inputs!$E$73/inputs!$E$74</f>
        <v>18.482484680957491</v>
      </c>
      <c r="R578" s="60">
        <f>(60*379*((F578/1000)^0.8)*3*24*(MAX('Max rate concentrations'!$R$3:$R$368))/F578)*(inputs!$E$73/inputs!$E$75)</f>
        <v>2.5568806496861746E-2</v>
      </c>
      <c r="S578" s="60">
        <f>(IF(inputs!$C$17="aerial",((0.025*0.112*inputs!$C$18/3.3)*(3*60*379*((F578/1000)^0.8))*MAX(inputs!$I$14:$I$16))/F578,((0.0083*0.112*inputs!$C$18/1)*(3*60*379*((F578/1000)^0.8))*MAX(inputs!$I$14:$I$16))/F578))*(inputs!E$75/inputs!$E$73)</f>
        <v>0.14101353873443245</v>
      </c>
      <c r="T578" s="63">
        <f>IF((((inputs!$P$13/(V578/MAX(K578:S578)))^(1/inputs!$O$13))-1)/inputs!$N$13&lt;0, 0, IF((((inputs!$P$13/(V578/MAX(K578:S578)))^(1/inputs!$O$13))-1)/inputs!$N$13&lt;inputs!$I$17, (((inputs!$P$13/(V578/MAX(K578:S578)))^(1/inputs!$O$13))-1)/inputs!$N$13, inputs!$I$17))</f>
        <v>442.21651726602613</v>
      </c>
      <c r="U578" s="63">
        <f>IF((((inputs!$P$13/(X578/MAX(K578:S578)))^(1/inputs!$O$13))-1)/inputs!$N$13&lt;0, 0, IF((((inputs!$P$13/(X578/MAX(K578:S578)))^(1/inputs!$O$13))-1)/inputs!$N$13&lt;inputs!$I$17, (((inputs!$P$13/(X578/MAX(K578:S578)))^(1/inputs!$O$13))-1)/inputs!$N$13, inputs!$I$17))</f>
        <v>13.405259858438381</v>
      </c>
      <c r="V578" s="54">
        <f>inputs!$E$70*(F578/inputs!$F$70)^(0.25)</f>
        <v>2.2148395646629968</v>
      </c>
      <c r="W578" s="54">
        <f>inputs!$E$76*(F578/inputs!$F$76)^(0.25)</f>
        <v>0.15924794914168131</v>
      </c>
      <c r="X578" s="54">
        <f>inputs!$E$72*(inputs!$F$72/F578)^(0.25)</f>
        <v>112.82984284147192</v>
      </c>
      <c r="Y578" s="54" t="s">
        <v>13</v>
      </c>
      <c r="Z578" s="106">
        <f t="shared" si="44"/>
        <v>232.45414916636119</v>
      </c>
      <c r="AA578" s="106">
        <f t="shared" si="45"/>
        <v>3233.000169350219</v>
      </c>
    </row>
    <row r="579" spans="1:27" ht="13.2" x14ac:dyDescent="0.25">
      <c r="A579" s="55" t="s">
        <v>544</v>
      </c>
      <c r="B579" s="49" t="s">
        <v>545</v>
      </c>
      <c r="C579" s="21" t="s">
        <v>61</v>
      </c>
      <c r="D579" s="20" t="s">
        <v>443</v>
      </c>
      <c r="E579" s="20">
        <v>41</v>
      </c>
      <c r="F579" s="21">
        <v>15</v>
      </c>
      <c r="G579" s="21" t="s">
        <v>456</v>
      </c>
      <c r="H579" s="21">
        <v>0.68</v>
      </c>
      <c r="I579" s="68">
        <f>MAX('Max rate concentrations'!$J$3:$J$368)</f>
        <v>686.46486205830786</v>
      </c>
      <c r="J579" s="68">
        <f>MAX('Max rate concentrations'!AB:AB)</f>
        <v>243.122971978984</v>
      </c>
      <c r="K579" s="70">
        <f t="shared" si="49"/>
        <v>409.05729760480182</v>
      </c>
      <c r="L579" s="70">
        <f t="shared" si="50"/>
        <v>144.87445956836729</v>
      </c>
      <c r="M579" s="70">
        <f>IF((((0.326*F579^0.818)-(0.398*F579^0.85)/(1-H579)*H579)*(MAX('Max rate concentrations'!$P$3:$P$368)))/F579&gt;0, (((0.326*F579^0.818)-(0.398*F579^0.85)/(1-H579)*H579)*(MAX('Max rate concentrations'!$P$3:$P$368)))/F579, 0)</f>
        <v>0</v>
      </c>
      <c r="N579" s="70">
        <f>IF((((0.326*F579^0.818)-(0.398*F579^0.85)/(1-H579)*H579)*(MAX('Max rate concentrations'!$Q$3:$Q$368)))/F579&gt; 0, (((0.326*F579^0.818)-(0.398*F579^0.85)/(1-H579)*H579)*(MAX('Max rate concentrations'!$Q$3:$Q$368)))/F579, 0)</f>
        <v>0</v>
      </c>
      <c r="O579" s="70">
        <f>((MAX('Max rate concentrations'!$F$3:$F$368))*0.62*6.01*8*(12.3*F579^0.65)*0.079*0.1/F579)*inputs!$E$73/inputs!$E$74</f>
        <v>104.92750258141861</v>
      </c>
      <c r="P579" s="70">
        <f>((MAX('Max rate concentrations'!Y:Y))*0.62*6.01*8*(12.3*F579^0.65)*0.079*0.1/F579)*inputs!$E$73/inputs!$E$74</f>
        <v>34.9758341938062</v>
      </c>
      <c r="Q579" s="70">
        <f>(inputs!$C$18*11.2*(12.3*F579^0.65)*0.5/F579)*inputs!$E$73/inputs!$E$74</f>
        <v>18.482484680957491</v>
      </c>
      <c r="R579" s="60">
        <f>(60*379*((F579/1000)^0.8)*3*24*(MAX('Max rate concentrations'!$R$3:$R$368))/F579)*(inputs!$E$73/inputs!$E$75)</f>
        <v>2.5568806496861746E-2</v>
      </c>
      <c r="S579" s="60">
        <f>(IF(inputs!$C$17="aerial",((0.025*0.112*inputs!$C$18/3.3)*(3*60*379*((F579/1000)^0.8))*MAX(inputs!$I$14:$I$16))/F579,((0.0083*0.112*inputs!$C$18/1)*(3*60*379*((F579/1000)^0.8))*MAX(inputs!$I$14:$I$16))/F579))*(inputs!E$75/inputs!$E$73)</f>
        <v>0.14101353873443245</v>
      </c>
      <c r="T579" s="63">
        <f>IF((((inputs!$P$13/(V579/MAX(K579:S579)))^(1/inputs!$O$13))-1)/inputs!$N$13&lt;0, 0, IF((((inputs!$P$13/(V579/MAX(K579:S579)))^(1/inputs!$O$13))-1)/inputs!$N$13&lt;inputs!$I$17, (((inputs!$P$13/(V579/MAX(K579:S579)))^(1/inputs!$O$13))-1)/inputs!$N$13, inputs!$I$17))</f>
        <v>366.27042819788079</v>
      </c>
      <c r="U579" s="63">
        <f>IF((((inputs!$P$13/(X579/MAX(K579:S579)))^(1/inputs!$O$13))-1)/inputs!$N$13&lt;0, 0, IF((((inputs!$P$13/(X579/MAX(K579:S579)))^(1/inputs!$O$13))-1)/inputs!$N$13&lt;inputs!$I$17, (((inputs!$P$13/(X579/MAX(K579:S579)))^(1/inputs!$O$13))-1)/inputs!$N$13, inputs!$I$17))</f>
        <v>10.24268020493939</v>
      </c>
      <c r="V579" s="54">
        <f>inputs!$E$70*(F579/inputs!$F$70)^(0.25)</f>
        <v>2.2148395646629968</v>
      </c>
      <c r="W579" s="54">
        <f>inputs!$E$76*(F579/inputs!$F$76)^(0.25)</f>
        <v>0.15924794914168131</v>
      </c>
      <c r="X579" s="54">
        <f>inputs!$E$72*(inputs!$F$72/F579)^(0.25)</f>
        <v>112.82984284147192</v>
      </c>
      <c r="Y579" s="54" t="s">
        <v>13</v>
      </c>
      <c r="Z579" s="106">
        <f t="shared" si="44"/>
        <v>184.68935815088832</v>
      </c>
      <c r="AA579" s="106">
        <f t="shared" si="45"/>
        <v>2568.6817306568114</v>
      </c>
    </row>
    <row r="580" spans="1:27" ht="13.2" x14ac:dyDescent="0.25">
      <c r="A580" s="55" t="s">
        <v>544</v>
      </c>
      <c r="B580" s="49" t="s">
        <v>545</v>
      </c>
      <c r="C580" s="21" t="s">
        <v>61</v>
      </c>
      <c r="D580" s="20" t="s">
        <v>443</v>
      </c>
      <c r="E580" s="20">
        <v>41</v>
      </c>
      <c r="F580" s="21">
        <v>15</v>
      </c>
      <c r="G580" s="21" t="s">
        <v>145</v>
      </c>
      <c r="H580" s="21">
        <v>0.66</v>
      </c>
      <c r="I580" s="68">
        <f>MAX('Max rate concentrations'!$M$3:$M$368)</f>
        <v>17.092910873809167</v>
      </c>
      <c r="J580" s="68">
        <f>MAX('Max rate concentrations'!AE:AE)</f>
        <v>11.81956602976166</v>
      </c>
      <c r="K580" s="70">
        <f t="shared" si="49"/>
        <v>9.5863420793826482</v>
      </c>
      <c r="L580" s="70">
        <f t="shared" si="50"/>
        <v>6.628853565530556</v>
      </c>
      <c r="M580" s="70">
        <f>IF((((0.326*F580^0.818)-(0.398*F580^0.85)/(1-H580)*H580)*(MAX('Max rate concentrations'!$P$3:$P$368)))/F580&gt;0, (((0.326*F580^0.818)-(0.398*F580^0.85)/(1-H580)*H580)*(MAX('Max rate concentrations'!$P$3:$P$368)))/F580, 0)</f>
        <v>0</v>
      </c>
      <c r="N580" s="70">
        <f>IF((((0.326*F580^0.818)-(0.398*F580^0.85)/(1-H580)*H580)*(MAX('Max rate concentrations'!$Q$3:$Q$368)))/F580&gt; 0, (((0.326*F580^0.818)-(0.398*F580^0.85)/(1-H580)*H580)*(MAX('Max rate concentrations'!$Q$3:$Q$368)))/F580, 0)</f>
        <v>0</v>
      </c>
      <c r="O580" s="70">
        <f>((MAX('Max rate concentrations'!$F$3:$F$368))*0.62*6.01*8*(12.3*F580^0.65)*0.079*0.1/F580)*inputs!$E$73/inputs!$E$74</f>
        <v>104.92750258141861</v>
      </c>
      <c r="P580" s="70">
        <f>((MAX('Max rate concentrations'!Y:Y))*0.62*6.01*8*(12.3*F580^0.65)*0.079*0.1/F580)*inputs!$E$73/inputs!$E$74</f>
        <v>34.9758341938062</v>
      </c>
      <c r="Q580" s="70">
        <f>(inputs!$C$18*11.2*(12.3*F580^0.65)*0.5/F580)*inputs!$E$73/inputs!$E$74</f>
        <v>18.482484680957491</v>
      </c>
      <c r="R580" s="60">
        <f>(60*379*((F580/1000)^0.8)*3*24*(MAX('Max rate concentrations'!$R$3:$R$368))/F580)*(inputs!$E$73/inputs!$E$75)</f>
        <v>2.5568806496861746E-2</v>
      </c>
      <c r="S580" s="60">
        <f>(IF(inputs!$C$17="aerial",((0.025*0.112*inputs!$C$18/3.3)*(3*60*379*((F580/1000)^0.8))*MAX(inputs!$I$14:$I$16))/F580,((0.0083*0.112*inputs!$C$18/1)*(3*60*379*((F580/1000)^0.8))*MAX(inputs!$I$14:$I$16))/F580))*(inputs!E$75/inputs!$E$73)</f>
        <v>0.14101353873443245</v>
      </c>
      <c r="T580" s="63">
        <f>IF((((inputs!$P$13/(V580/MAX(K580:S580)))^(1/inputs!$O$13))-1)/inputs!$N$13&lt;0, 0, IF((((inputs!$P$13/(V580/MAX(K580:S580)))^(1/inputs!$O$13))-1)/inputs!$N$13&lt;inputs!$I$17, (((inputs!$P$13/(V580/MAX(K580:S580)))^(1/inputs!$O$13))-1)/inputs!$N$13, inputs!$I$17))</f>
        <v>118.4009365573144</v>
      </c>
      <c r="U580" s="63">
        <f>IF((((inputs!$P$13/(X580/MAX(K580:S580)))^(1/inputs!$O$13))-1)/inputs!$N$13&lt;0, 0, IF((((inputs!$P$13/(X580/MAX(K580:S580)))^(1/inputs!$O$13))-1)/inputs!$N$13&lt;inputs!$I$17, (((inputs!$P$13/(X580/MAX(K580:S580)))^(1/inputs!$O$13))-1)/inputs!$N$13, inputs!$I$17))</f>
        <v>0</v>
      </c>
      <c r="V580" s="54">
        <f>inputs!$E$70*(F580/inputs!$F$70)^(0.25)</f>
        <v>2.2148395646629968</v>
      </c>
      <c r="W580" s="54">
        <f>inputs!$E$76*(F580/inputs!$F$76)^(0.25)</f>
        <v>0.15924794914168131</v>
      </c>
      <c r="X580" s="54">
        <f>inputs!$E$72*(inputs!$F$72/F580)^(0.25)</f>
        <v>112.82984284147192</v>
      </c>
      <c r="Y580" s="54" t="s">
        <v>13</v>
      </c>
      <c r="Z580" s="106">
        <f t="shared" ref="Z580:Z643" si="51">MAX(K580:S580)/V580</f>
        <v>47.374764409802324</v>
      </c>
      <c r="AA580" s="106">
        <f t="shared" ref="AA580:AA643" si="52">MAX(K580:S580)/W580</f>
        <v>658.89390191182724</v>
      </c>
    </row>
    <row r="581" spans="1:27" ht="13.2" x14ac:dyDescent="0.25">
      <c r="A581" s="55" t="s">
        <v>544</v>
      </c>
      <c r="B581" s="49" t="s">
        <v>545</v>
      </c>
      <c r="C581" s="21" t="s">
        <v>61</v>
      </c>
      <c r="D581" s="20" t="s">
        <v>443</v>
      </c>
      <c r="E581" s="20">
        <v>41</v>
      </c>
      <c r="F581" s="21">
        <v>15</v>
      </c>
      <c r="G581" s="21" t="s">
        <v>154</v>
      </c>
      <c r="H581" s="21">
        <v>9.2999999999999999E-2</v>
      </c>
      <c r="I581" s="68">
        <f>MAX('Max rate concentrations'!$G$3:$G$368)</f>
        <v>45</v>
      </c>
      <c r="J581" s="68">
        <f>MAX('Max rate concentrations'!Z:Z)</f>
        <v>21</v>
      </c>
      <c r="K581" s="70">
        <f t="shared" si="49"/>
        <v>9.4606513514099753</v>
      </c>
      <c r="L581" s="70">
        <f t="shared" si="50"/>
        <v>4.4149706306579883</v>
      </c>
      <c r="M581" s="70">
        <f>IF((((0.326*F581^0.818)-(0.398*F581^0.85)/(1-H581)*H581)*(MAX('Max rate concentrations'!$P$3:$P$368)))/F581&gt;0, (((0.326*F581^0.818)-(0.398*F581^0.85)/(1-H581)*H581)*(MAX('Max rate concentrations'!$P$3:$P$368)))/F581, 0)</f>
        <v>0.1497569099960554</v>
      </c>
      <c r="N581" s="70">
        <f>IF((((0.326*F581^0.818)-(0.398*F581^0.85)/(1-H581)*H581)*(MAX('Max rate concentrations'!$Q$3:$Q$368)))/F581&gt; 0, (((0.326*F581^0.818)-(0.398*F581^0.85)/(1-H581)*H581)*(MAX('Max rate concentrations'!$Q$3:$Q$368)))/F581, 0)</f>
        <v>0.57028235995611254</v>
      </c>
      <c r="O581" s="70">
        <f>((MAX('Max rate concentrations'!$F$3:$F$368))*0.62*6.01*8*(12.3*F581^0.65)*0.079*0.1/F581)*inputs!$E$73/inputs!$E$74</f>
        <v>104.92750258141861</v>
      </c>
      <c r="P581" s="70">
        <f>((MAX('Max rate concentrations'!Y:Y))*0.62*6.01*8*(12.3*F581^0.65)*0.079*0.1/F581)*inputs!$E$73/inputs!$E$74</f>
        <v>34.9758341938062</v>
      </c>
      <c r="Q581" s="70">
        <f>(inputs!$C$18*11.2*(12.3*F581^0.65)*0.5/F581)*inputs!$E$73/inputs!$E$74</f>
        <v>18.482484680957491</v>
      </c>
      <c r="R581" s="60">
        <f>(60*379*((F581/1000)^0.8)*3*24*(MAX('Max rate concentrations'!$R$3:$R$368))/F581)*(inputs!$E$73/inputs!$E$75)</f>
        <v>2.5568806496861746E-2</v>
      </c>
      <c r="S581" s="60">
        <f>(IF(inputs!$C$17="aerial",((0.025*0.112*inputs!$C$18/3.3)*(3*60*379*((F581/1000)^0.8))*MAX(inputs!$I$14:$I$16))/F581,((0.0083*0.112*inputs!$C$18/1)*(3*60*379*((F581/1000)^0.8))*MAX(inputs!$I$14:$I$16))/F581))*(inputs!E$75/inputs!$E$73)</f>
        <v>0.14101353873443245</v>
      </c>
      <c r="T581" s="63">
        <f>IF((((inputs!$P$13/(V581/MAX(K581:S581)))^(1/inputs!$O$13))-1)/inputs!$N$13&lt;0, 0, IF((((inputs!$P$13/(V581/MAX(K581:S581)))^(1/inputs!$O$13))-1)/inputs!$N$13&lt;inputs!$I$17, (((inputs!$P$13/(V581/MAX(K581:S581)))^(1/inputs!$O$13))-1)/inputs!$N$13, inputs!$I$17))</f>
        <v>118.4009365573144</v>
      </c>
      <c r="U581" s="63">
        <f>IF((((inputs!$P$13/(X581/MAX(K581:S581)))^(1/inputs!$O$13))-1)/inputs!$N$13&lt;0, 0, IF((((inputs!$P$13/(X581/MAX(K581:S581)))^(1/inputs!$O$13))-1)/inputs!$N$13&lt;inputs!$I$17, (((inputs!$P$13/(X581/MAX(K581:S581)))^(1/inputs!$O$13))-1)/inputs!$N$13, inputs!$I$17))</f>
        <v>0</v>
      </c>
      <c r="V581" s="54">
        <f>inputs!$E$70*(F581/inputs!$F$70)^(0.25)</f>
        <v>2.2148395646629968</v>
      </c>
      <c r="W581" s="54">
        <f>inputs!$E$76*(F581/inputs!$F$76)^(0.25)</f>
        <v>0.15924794914168131</v>
      </c>
      <c r="X581" s="54">
        <f>inputs!$E$72*(inputs!$F$72/F581)^(0.25)</f>
        <v>112.82984284147192</v>
      </c>
      <c r="Y581" s="54" t="s">
        <v>13</v>
      </c>
      <c r="Z581" s="106">
        <f t="shared" si="51"/>
        <v>47.374764409802324</v>
      </c>
      <c r="AA581" s="106">
        <f t="shared" si="52"/>
        <v>658.89390191182724</v>
      </c>
    </row>
    <row r="582" spans="1:27" ht="13.2" x14ac:dyDescent="0.25">
      <c r="A582" s="55" t="s">
        <v>507</v>
      </c>
      <c r="B582" s="49" t="s">
        <v>508</v>
      </c>
      <c r="C582" s="21" t="s">
        <v>61</v>
      </c>
      <c r="D582" s="20" t="s">
        <v>443</v>
      </c>
      <c r="E582" s="20">
        <v>28</v>
      </c>
      <c r="F582" s="21">
        <v>60</v>
      </c>
      <c r="G582" s="21" t="s">
        <v>169</v>
      </c>
      <c r="H582" s="21">
        <v>0.79</v>
      </c>
      <c r="I582" s="68">
        <f>MAX('Max rate concentrations'!$D$3:$D$368)</f>
        <v>720</v>
      </c>
      <c r="J582" s="68">
        <f>MAX('Max rate concentrations'!W:W)</f>
        <v>255</v>
      </c>
      <c r="K582" s="70">
        <f t="shared" si="49"/>
        <v>357.2159618725355</v>
      </c>
      <c r="L582" s="70">
        <f t="shared" si="50"/>
        <v>126.513986496523</v>
      </c>
      <c r="M582" s="70">
        <f>IF((((0.326*F582^0.818)-(0.398*F582^0.85)/(1-H582)*H582)*(MAX('Max rate concentrations'!$P$3:$P$368)))/F582&gt;0, (((0.326*F582^0.818)-(0.398*F582^0.85)/(1-H582)*H582)*(MAX('Max rate concentrations'!$P$3:$P$368)))/F582, 0)</f>
        <v>0</v>
      </c>
      <c r="N582" s="70">
        <f>IF((((0.326*F582^0.818)-(0.398*F582^0.85)/(1-H582)*H582)*(MAX('Max rate concentrations'!$Q$3:$Q$368)))/F582&gt; 0, (((0.326*F582^0.818)-(0.398*F582^0.85)/(1-H582)*H582)*(MAX('Max rate concentrations'!$Q$3:$Q$368)))/F582, 0)</f>
        <v>0</v>
      </c>
      <c r="O582" s="70">
        <f>((MAX('Max rate concentrations'!$F$3:$F$368))*0.62*6.01*8*(12.3*F582^0.65)*0.079*0.1/F582)*inputs!$E$73/inputs!$E$74</f>
        <v>64.59045430467387</v>
      </c>
      <c r="P582" s="70">
        <f>((MAX('Max rate concentrations'!Y:Y))*0.62*6.01*8*(12.3*F582^0.65)*0.079*0.1/F582)*inputs!$E$73/inputs!$E$74</f>
        <v>21.530151434891295</v>
      </c>
      <c r="Q582" s="70">
        <f>(inputs!$C$18*11.2*(12.3*F582^0.65)*0.5/F582)*inputs!$E$73/inputs!$E$74</f>
        <v>11.377303879846902</v>
      </c>
      <c r="R582" s="60">
        <f>(60*379*((F582/1000)^0.8)*3*24*(MAX('Max rate concentrations'!$R$3:$R$368))/F582)*(inputs!$E$73/inputs!$E$75)</f>
        <v>1.9377531796596022E-2</v>
      </c>
      <c r="S582" s="60">
        <f>(IF(inputs!$C$17="aerial",((0.025*0.112*inputs!$C$18/3.3)*(3*60*379*((F582/1000)^0.8))*MAX(inputs!$I$14:$I$16))/F582,((0.0083*0.112*inputs!$C$18/1)*(3*60*379*((F582/1000)^0.8))*MAX(inputs!$I$14:$I$16))/F582))*(inputs!E$75/inputs!$E$73)</f>
        <v>0.10686827838101753</v>
      </c>
      <c r="T582" s="63">
        <f>IF((((inputs!$P$13/(V582/MAX(K582:S582)))^(1/inputs!$O$13))-1)/inputs!$N$13&lt;0, 0, IF((((inputs!$P$13/(V582/MAX(K582:S582)))^(1/inputs!$O$13))-1)/inputs!$N$13&lt;inputs!$I$17, (((inputs!$P$13/(V582/MAX(K582:S582)))^(1/inputs!$O$13))-1)/inputs!$N$13, inputs!$I$17))</f>
        <v>246.33553664855293</v>
      </c>
      <c r="U582" s="63">
        <f>IF((((inputs!$P$13/(X582/MAX(K582:S582)))^(1/inputs!$O$13))-1)/inputs!$N$13&lt;0, 0, IF((((inputs!$P$13/(X582/MAX(K582:S582)))^(1/inputs!$O$13))-1)/inputs!$N$13&lt;inputs!$I$17, (((inputs!$P$13/(X582/MAX(K582:S582)))^(1/inputs!$O$13))-1)/inputs!$N$13, inputs!$I$17))</f>
        <v>13.121773398793895</v>
      </c>
      <c r="V582" s="54">
        <f>inputs!$E$70*(F582/inputs!$F$70)^(0.25)</f>
        <v>3.1322561508269322</v>
      </c>
      <c r="W582" s="54">
        <f>inputs!$E$76*(F582/inputs!$F$76)^(0.25)</f>
        <v>0.22521060945626659</v>
      </c>
      <c r="X582" s="54">
        <f>inputs!$E$72*(inputs!$F$72/F582)^(0.25)</f>
        <v>79.78274699341722</v>
      </c>
      <c r="Y582" s="54" t="s">
        <v>13</v>
      </c>
      <c r="Z582" s="106">
        <f t="shared" si="51"/>
        <v>114.04430055256771</v>
      </c>
      <c r="AA582" s="106">
        <f t="shared" si="52"/>
        <v>1586.1418018226309</v>
      </c>
    </row>
    <row r="583" spans="1:27" ht="13.2" x14ac:dyDescent="0.25">
      <c r="A583" s="55" t="s">
        <v>507</v>
      </c>
      <c r="B583" s="49" t="s">
        <v>508</v>
      </c>
      <c r="C583" s="21" t="s">
        <v>61</v>
      </c>
      <c r="D583" s="20" t="s">
        <v>443</v>
      </c>
      <c r="E583" s="20">
        <v>28</v>
      </c>
      <c r="F583" s="21">
        <v>60</v>
      </c>
      <c r="G583" s="21" t="s">
        <v>177</v>
      </c>
      <c r="H583" s="21">
        <v>0.85</v>
      </c>
      <c r="I583" s="68">
        <f>MAX('Max rate concentrations'!$F$3:$F$368)</f>
        <v>405</v>
      </c>
      <c r="J583" s="68">
        <f>MAX('Max rate concentrations'!Y:Y)</f>
        <v>135</v>
      </c>
      <c r="K583" s="70">
        <f t="shared" si="49"/>
        <v>281.30756997462163</v>
      </c>
      <c r="L583" s="70">
        <f t="shared" si="50"/>
        <v>93.769189991540543</v>
      </c>
      <c r="M583" s="70">
        <f>IF((((0.326*F583^0.818)-(0.398*F583^0.85)/(1-H583)*H583)*(MAX('Max rate concentrations'!$P$3:$P$368)))/F583&gt;0, (((0.326*F583^0.818)-(0.398*F583^0.85)/(1-H583)*H583)*(MAX('Max rate concentrations'!$P$3:$P$368)))/F583, 0)</f>
        <v>0</v>
      </c>
      <c r="N583" s="70">
        <f>IF((((0.326*F583^0.818)-(0.398*F583^0.85)/(1-H583)*H583)*(MAX('Max rate concentrations'!$Q$3:$Q$368)))/F583&gt; 0, (((0.326*F583^0.818)-(0.398*F583^0.85)/(1-H583)*H583)*(MAX('Max rate concentrations'!$Q$3:$Q$368)))/F583, 0)</f>
        <v>0</v>
      </c>
      <c r="O583" s="70">
        <f>((MAX('Max rate concentrations'!$F$3:$F$368))*0.62*6.01*8*(12.3*F583^0.65)*0.079*0.1/F583)*inputs!$E$73/inputs!$E$74</f>
        <v>64.59045430467387</v>
      </c>
      <c r="P583" s="70">
        <f>((MAX('Max rate concentrations'!Y:Y))*0.62*6.01*8*(12.3*F583^0.65)*0.079*0.1/F583)*inputs!$E$73/inputs!$E$74</f>
        <v>21.530151434891295</v>
      </c>
      <c r="Q583" s="70">
        <f>(inputs!$C$18*11.2*(12.3*F583^0.65)*0.5/F583)*inputs!$E$73/inputs!$E$74</f>
        <v>11.377303879846902</v>
      </c>
      <c r="R583" s="60">
        <f>(60*379*((F583/1000)^0.8)*3*24*(MAX('Max rate concentrations'!$R$3:$R$368))/F583)*(inputs!$E$73/inputs!$E$75)</f>
        <v>1.9377531796596022E-2</v>
      </c>
      <c r="S583" s="60">
        <f>(IF(inputs!$C$17="aerial",((0.025*0.112*inputs!$C$18/3.3)*(3*60*379*((F583/1000)^0.8))*MAX(inputs!$I$14:$I$16))/F583,((0.0083*0.112*inputs!$C$18/1)*(3*60*379*((F583/1000)^0.8))*MAX(inputs!$I$14:$I$16))/F583))*(inputs!E$75/inputs!$E$73)</f>
        <v>0.10686827838101753</v>
      </c>
      <c r="T583" s="63">
        <f>IF((((inputs!$P$13/(V583/MAX(K583:S583)))^(1/inputs!$O$13))-1)/inputs!$N$13&lt;0, 0, IF((((inputs!$P$13/(V583/MAX(K583:S583)))^(1/inputs!$O$13))-1)/inputs!$N$13&lt;inputs!$I$17, (((inputs!$P$13/(V583/MAX(K583:S583)))^(1/inputs!$O$13))-1)/inputs!$N$13, inputs!$I$17))</f>
        <v>202.14345211419905</v>
      </c>
      <c r="U583" s="63">
        <f>IF((((inputs!$P$13/(X583/MAX(K583:S583)))^(1/inputs!$O$13))-1)/inputs!$N$13&lt;0, 0, IF((((inputs!$P$13/(X583/MAX(K583:S583)))^(1/inputs!$O$13))-1)/inputs!$N$13&lt;inputs!$I$17, (((inputs!$P$13/(X583/MAX(K583:S583)))^(1/inputs!$O$13))-1)/inputs!$N$13, inputs!$I$17))</f>
        <v>9.8983737762584152</v>
      </c>
      <c r="V583" s="54">
        <f>inputs!$E$70*(F583/inputs!$F$70)^(0.25)</f>
        <v>3.1322561508269322</v>
      </c>
      <c r="W583" s="54">
        <f>inputs!$E$76*(F583/inputs!$F$76)^(0.25)</f>
        <v>0.22521060945626659</v>
      </c>
      <c r="X583" s="54">
        <f>inputs!$E$72*(inputs!$F$72/F583)^(0.25)</f>
        <v>79.78274699341722</v>
      </c>
      <c r="Y583" s="54" t="s">
        <v>13</v>
      </c>
      <c r="Z583" s="106">
        <f t="shared" si="51"/>
        <v>89.809886685147049</v>
      </c>
      <c r="AA583" s="106">
        <f t="shared" si="52"/>
        <v>1249.0866689353213</v>
      </c>
    </row>
    <row r="584" spans="1:27" ht="13.2" x14ac:dyDescent="0.25">
      <c r="A584" s="55" t="s">
        <v>507</v>
      </c>
      <c r="B584" s="49" t="s">
        <v>508</v>
      </c>
      <c r="C584" s="21" t="s">
        <v>61</v>
      </c>
      <c r="D584" s="20" t="s">
        <v>443</v>
      </c>
      <c r="E584" s="20">
        <v>28</v>
      </c>
      <c r="F584" s="21">
        <v>60</v>
      </c>
      <c r="G584" s="21" t="s">
        <v>154</v>
      </c>
      <c r="H584" s="21">
        <v>9.2999999999999999E-2</v>
      </c>
      <c r="I584" s="68">
        <f>MAX('Max rate concentrations'!$G$3:$G$368)</f>
        <v>45</v>
      </c>
      <c r="J584" s="68">
        <f>MAX('Max rate concentrations'!Z:Z)</f>
        <v>21</v>
      </c>
      <c r="K584" s="70">
        <f t="shared" si="49"/>
        <v>5.1691945971080786</v>
      </c>
      <c r="L584" s="70">
        <f t="shared" si="50"/>
        <v>2.4122908119837705</v>
      </c>
      <c r="M584" s="70">
        <f>IF((((0.326*F584^0.818)-(0.398*F584^0.85)/(1-H584)*H584)*(MAX('Max rate concentrations'!$P$3:$P$368)))/F584&gt;0, (((0.326*F584^0.818)-(0.398*F584^0.85)/(1-H584)*H584)*(MAX('Max rate concentrations'!$P$3:$P$368)))/F584, 0)</f>
        <v>0.11552774568259294</v>
      </c>
      <c r="N584" s="70">
        <f>IF((((0.326*F584^0.818)-(0.398*F584^0.85)/(1-H584)*H584)*(MAX('Max rate concentrations'!$Q$3:$Q$368)))/F584&gt; 0, (((0.326*F584^0.818)-(0.398*F584^0.85)/(1-H584)*H584)*(MAX('Max rate concentrations'!$Q$3:$Q$368)))/F584, 0)</f>
        <v>0.43993586305976845</v>
      </c>
      <c r="O584" s="70">
        <f>((MAX('Max rate concentrations'!$F$3:$F$368))*0.62*6.01*8*(12.3*F584^0.65)*0.079*0.1/F584)*inputs!$E$73/inputs!$E$74</f>
        <v>64.59045430467387</v>
      </c>
      <c r="P584" s="70">
        <f>((MAX('Max rate concentrations'!Y:Y))*0.62*6.01*8*(12.3*F584^0.65)*0.079*0.1/F584)*inputs!$E$73/inputs!$E$74</f>
        <v>21.530151434891295</v>
      </c>
      <c r="Q584" s="70">
        <f>(inputs!$C$18*11.2*(12.3*F584^0.65)*0.5/F584)*inputs!$E$73/inputs!$E$74</f>
        <v>11.377303879846902</v>
      </c>
      <c r="R584" s="60">
        <f>(60*379*((F584/1000)^0.8)*3*24*(MAX('Max rate concentrations'!$R$3:$R$368))/F584)*(inputs!$E$73/inputs!$E$75)</f>
        <v>1.9377531796596022E-2</v>
      </c>
      <c r="S584" s="60">
        <f>(IF(inputs!$C$17="aerial",((0.025*0.112*inputs!$C$18/3.3)*(3*60*379*((F584/1000)^0.8))*MAX(inputs!$I$14:$I$16))/F584,((0.0083*0.112*inputs!$C$18/1)*(3*60*379*((F584/1000)^0.8))*MAX(inputs!$I$14:$I$16))/F584))*(inputs!E$75/inputs!$E$73)</f>
        <v>0.10686827838101753</v>
      </c>
      <c r="T584" s="63">
        <f>IF((((inputs!$P$13/(V584/MAX(K584:S584)))^(1/inputs!$O$13))-1)/inputs!$N$13&lt;0, 0, IF((((inputs!$P$13/(V584/MAX(K584:S584)))^(1/inputs!$O$13))-1)/inputs!$N$13&lt;inputs!$I$17, (((inputs!$P$13/(V584/MAX(K584:S584)))^(1/inputs!$O$13))-1)/inputs!$N$13, inputs!$I$17))</f>
        <v>57.868004449527476</v>
      </c>
      <c r="U584" s="63">
        <f>IF((((inputs!$P$13/(X584/MAX(K584:S584)))^(1/inputs!$O$13))-1)/inputs!$N$13&lt;0, 0, IF((((inputs!$P$13/(X584/MAX(K584:S584)))^(1/inputs!$O$13))-1)/inputs!$N$13&lt;inputs!$I$17, (((inputs!$P$13/(X584/MAX(K584:S584)))^(1/inputs!$O$13))-1)/inputs!$N$13, inputs!$I$17))</f>
        <v>0</v>
      </c>
      <c r="V584" s="54">
        <f>inputs!$E$70*(F584/inputs!$F$70)^(0.25)</f>
        <v>3.1322561508269322</v>
      </c>
      <c r="W584" s="54">
        <f>inputs!$E$76*(F584/inputs!$F$76)^(0.25)</f>
        <v>0.22521060945626659</v>
      </c>
      <c r="X584" s="54">
        <f>inputs!$E$72*(inputs!$F$72/F584)^(0.25)</f>
        <v>79.78274699341722</v>
      </c>
      <c r="Y584" s="54" t="s">
        <v>13</v>
      </c>
      <c r="Z584" s="106">
        <f t="shared" si="51"/>
        <v>20.621063921487281</v>
      </c>
      <c r="AA584" s="106">
        <f t="shared" si="52"/>
        <v>286.80022873086102</v>
      </c>
    </row>
    <row r="585" spans="1:27" ht="13.2" x14ac:dyDescent="0.25">
      <c r="A585" s="55" t="s">
        <v>550</v>
      </c>
      <c r="B585" s="49" t="s">
        <v>551</v>
      </c>
      <c r="C585" s="21" t="s">
        <v>61</v>
      </c>
      <c r="D585" s="20" t="s">
        <v>443</v>
      </c>
      <c r="E585" s="20">
        <v>50</v>
      </c>
      <c r="F585" s="21">
        <v>12</v>
      </c>
      <c r="G585" s="21" t="s">
        <v>182</v>
      </c>
      <c r="H585" s="21">
        <v>0.85</v>
      </c>
      <c r="I585" s="68">
        <f>MAX('Max rate concentrations'!$M$3:$M$368)</f>
        <v>17.092910873809167</v>
      </c>
      <c r="J585" s="68">
        <f>MAX('Max rate concentrations'!AE:AE)</f>
        <v>11.81956602976166</v>
      </c>
      <c r="K585" s="70">
        <f t="shared" si="49"/>
        <v>23.949328773314715</v>
      </c>
      <c r="L585" s="70">
        <f t="shared" si="50"/>
        <v>16.560706066653793</v>
      </c>
      <c r="M585" s="70">
        <f>IF((((0.326*F585^0.818)-(0.398*F585^0.85)/(1-H585)*H585)*(MAX('Max rate concentrations'!$P$3:$P$368)))/F585&gt;0, (((0.326*F585^0.818)-(0.398*F585^0.85)/(1-H585)*H585)*(MAX('Max rate concentrations'!$P$3:$P$368)))/F585, 0)</f>
        <v>0</v>
      </c>
      <c r="N585" s="70">
        <f>IF((((0.326*F585^0.818)-(0.398*F585^0.85)/(1-H585)*H585)*(MAX('Max rate concentrations'!$Q$3:$Q$368)))/F585&gt; 0, (((0.326*F585^0.818)-(0.398*F585^0.85)/(1-H585)*H585)*(MAX('Max rate concentrations'!$Q$3:$Q$368)))/F585, 0)</f>
        <v>0</v>
      </c>
      <c r="O585" s="70">
        <f>((MAX('Max rate concentrations'!$F$3:$F$368))*0.62*6.01*8*(12.3*F585^0.65)*0.079*0.1/F585)*inputs!$E$73/inputs!$E$74</f>
        <v>113.45087263972519</v>
      </c>
      <c r="P585" s="70">
        <f>((MAX('Max rate concentrations'!Y:Y))*0.62*6.01*8*(12.3*F585^0.65)*0.079*0.1/F585)*inputs!$E$73/inputs!$E$74</f>
        <v>37.816957546575082</v>
      </c>
      <c r="Q585" s="70">
        <f>(inputs!$C$18*11.2*(12.3*F585^0.65)*0.5/F585)*inputs!$E$73/inputs!$E$74</f>
        <v>19.983836115587753</v>
      </c>
      <c r="R585" s="60">
        <f>(60*379*((F585/1000)^0.8)*3*24*(MAX('Max rate concentrations'!$R$3:$R$368))/F585)*(inputs!$E$73/inputs!$E$75)</f>
        <v>2.6735755385671349E-2</v>
      </c>
      <c r="S585" s="60">
        <f>(IF(inputs!$C$17="aerial",((0.025*0.112*inputs!$C$18/3.3)*(3*60*379*((F585/1000)^0.8))*MAX(inputs!$I$14:$I$16))/F585,((0.0083*0.112*inputs!$C$18/1)*(3*60*379*((F585/1000)^0.8))*MAX(inputs!$I$14:$I$16))/F585))*(inputs!E$75/inputs!$E$73)</f>
        <v>0.14744933355158416</v>
      </c>
      <c r="T585" s="63">
        <f>IF((((inputs!$P$13/(V585/MAX(K585:S585)))^(1/inputs!$O$13))-1)/inputs!$N$13&lt;0, 0, IF((((inputs!$P$13/(V585/MAX(K585:S585)))^(1/inputs!$O$13))-1)/inputs!$N$13&lt;inputs!$I$17, (((inputs!$P$13/(V585/MAX(K585:S585)))^(1/inputs!$O$13))-1)/inputs!$N$13, inputs!$I$17))</f>
        <v>132.53759877620911</v>
      </c>
      <c r="U585" s="63">
        <f>IF((((inputs!$P$13/(X585/MAX(K585:S585)))^(1/inputs!$O$13))-1)/inputs!$N$13&lt;0, 0, IF((((inputs!$P$13/(X585/MAX(K585:S585)))^(1/inputs!$O$13))-1)/inputs!$N$13&lt;inputs!$I$17, (((inputs!$P$13/(X585/MAX(K585:S585)))^(1/inputs!$O$13))-1)/inputs!$N$13, inputs!$I$17))</f>
        <v>1.4534229774466291E-2</v>
      </c>
      <c r="V585" s="54">
        <f>inputs!$E$70*(F585/inputs!$F$70)^(0.25)</f>
        <v>2.094665933568276</v>
      </c>
      <c r="W585" s="54">
        <f>inputs!$E$76*(F585/inputs!$F$76)^(0.25)</f>
        <v>0.1506074116517096</v>
      </c>
      <c r="X585" s="54">
        <f>inputs!$E$72*(inputs!$F$72/F585)^(0.25)</f>
        <v>119.30303347908743</v>
      </c>
      <c r="Y585" s="54" t="s">
        <v>13</v>
      </c>
      <c r="Z585" s="106">
        <f t="shared" si="51"/>
        <v>54.161797746173754</v>
      </c>
      <c r="AA585" s="106">
        <f t="shared" si="52"/>
        <v>753.28877507096684</v>
      </c>
    </row>
    <row r="586" spans="1:27" ht="13.2" x14ac:dyDescent="0.25">
      <c r="A586" s="55" t="s">
        <v>550</v>
      </c>
      <c r="B586" s="49" t="s">
        <v>551</v>
      </c>
      <c r="C586" s="21" t="s">
        <v>61</v>
      </c>
      <c r="D586" s="20" t="s">
        <v>443</v>
      </c>
      <c r="E586" s="20">
        <v>50</v>
      </c>
      <c r="F586" s="21">
        <v>12</v>
      </c>
      <c r="G586" s="21" t="s">
        <v>142</v>
      </c>
      <c r="H586" s="21">
        <v>0.69</v>
      </c>
      <c r="I586" s="68">
        <f>MAX('Max rate concentrations'!$H$3:$H$368)</f>
        <v>282</v>
      </c>
      <c r="J586" s="68">
        <f>MAX('Max rate concentrations'!AA:AA)</f>
        <v>195</v>
      </c>
      <c r="K586" s="70">
        <f t="shared" si="49"/>
        <v>191.18595792105523</v>
      </c>
      <c r="L586" s="70">
        <f t="shared" si="50"/>
        <v>132.20305600924033</v>
      </c>
      <c r="M586" s="70">
        <f>IF((((0.326*F586^0.818)-(0.398*F586^0.85)/(1-H586)*H586)*(MAX('Max rate concentrations'!$P$3:$P$368)))/F586&gt;0, (((0.326*F586^0.818)-(0.398*F586^0.85)/(1-H586)*H586)*(MAX('Max rate concentrations'!$P$3:$P$368)))/F586, 0)</f>
        <v>0</v>
      </c>
      <c r="N586" s="70">
        <f>IF((((0.326*F586^0.818)-(0.398*F586^0.85)/(1-H586)*H586)*(MAX('Max rate concentrations'!$Q$3:$Q$368)))/F586&gt; 0, (((0.326*F586^0.818)-(0.398*F586^0.85)/(1-H586)*H586)*(MAX('Max rate concentrations'!$Q$3:$Q$368)))/F586, 0)</f>
        <v>0</v>
      </c>
      <c r="O586" s="70">
        <f>((MAX('Max rate concentrations'!$F$3:$F$368))*0.62*6.01*8*(12.3*F586^0.65)*0.079*0.1/F586)*inputs!$E$73/inputs!$E$74</f>
        <v>113.45087263972519</v>
      </c>
      <c r="P586" s="70">
        <f>((MAX('Max rate concentrations'!Y:Y))*0.62*6.01*8*(12.3*F586^0.65)*0.079*0.1/F586)*inputs!$E$73/inputs!$E$74</f>
        <v>37.816957546575082</v>
      </c>
      <c r="Q586" s="70">
        <f>(inputs!$C$18*11.2*(12.3*F586^0.65)*0.5/F586)*inputs!$E$73/inputs!$E$74</f>
        <v>19.983836115587753</v>
      </c>
      <c r="R586" s="60">
        <f>(60*379*((F586/1000)^0.8)*3*24*(MAX('Max rate concentrations'!$R$3:$R$368))/F586)*(inputs!$E$73/inputs!$E$75)</f>
        <v>2.6735755385671349E-2</v>
      </c>
      <c r="S586" s="60">
        <f>(IF(inputs!$C$17="aerial",((0.025*0.112*inputs!$C$18/3.3)*(3*60*379*((F586/1000)^0.8))*MAX(inputs!$I$14:$I$16))/F586,((0.0083*0.112*inputs!$C$18/1)*(3*60*379*((F586/1000)^0.8))*MAX(inputs!$I$14:$I$16))/F586))*(inputs!E$75/inputs!$E$73)</f>
        <v>0.14744933355158416</v>
      </c>
      <c r="T586" s="63">
        <f>IF((((inputs!$P$13/(V586/MAX(K586:S586)))^(1/inputs!$O$13))-1)/inputs!$N$13&lt;0, 0, IF((((inputs!$P$13/(V586/MAX(K586:S586)))^(1/inputs!$O$13))-1)/inputs!$N$13&lt;inputs!$I$17, (((inputs!$P$13/(V586/MAX(K586:S586)))^(1/inputs!$O$13))-1)/inputs!$N$13, inputs!$I$17))</f>
        <v>204.87073688962616</v>
      </c>
      <c r="U586" s="63">
        <f>IF((((inputs!$P$13/(X586/MAX(K586:S586)))^(1/inputs!$O$13))-1)/inputs!$N$13&lt;0, 0, IF((((inputs!$P$13/(X586/MAX(K586:S586)))^(1/inputs!$O$13))-1)/inputs!$N$13&lt;inputs!$I$17, (((inputs!$P$13/(X586/MAX(K586:S586)))^(1/inputs!$O$13))-1)/inputs!$N$13, inputs!$I$17))</f>
        <v>2.7667932705684848</v>
      </c>
      <c r="V586" s="54">
        <f>inputs!$E$70*(F586/inputs!$F$70)^(0.25)</f>
        <v>2.094665933568276</v>
      </c>
      <c r="W586" s="54">
        <f>inputs!$E$76*(F586/inputs!$F$76)^(0.25)</f>
        <v>0.1506074116517096</v>
      </c>
      <c r="X586" s="54">
        <f>inputs!$E$72*(inputs!$F$72/F586)^(0.25)</f>
        <v>119.30303347908743</v>
      </c>
      <c r="Y586" s="54" t="s">
        <v>13</v>
      </c>
      <c r="Z586" s="106">
        <f t="shared" si="51"/>
        <v>91.272768061572862</v>
      </c>
      <c r="AA586" s="106">
        <f t="shared" si="52"/>
        <v>1269.4325984645857</v>
      </c>
    </row>
    <row r="587" spans="1:27" ht="13.2" x14ac:dyDescent="0.25">
      <c r="A587" s="55" t="s">
        <v>550</v>
      </c>
      <c r="B587" s="49" t="s">
        <v>551</v>
      </c>
      <c r="C587" s="21" t="s">
        <v>61</v>
      </c>
      <c r="D587" s="20" t="s">
        <v>443</v>
      </c>
      <c r="E587" s="20">
        <v>50</v>
      </c>
      <c r="F587" s="21">
        <v>12</v>
      </c>
      <c r="G587" s="21" t="s">
        <v>152</v>
      </c>
      <c r="H587" s="21">
        <v>0.77</v>
      </c>
      <c r="I587" s="68">
        <f>MAX('Max rate concentrations'!$G$3:$G$368)</f>
        <v>45</v>
      </c>
      <c r="J587" s="68">
        <f>MAX('Max rate concentrations'!Z:Z)</f>
        <v>21</v>
      </c>
      <c r="K587" s="70">
        <f t="shared" si="49"/>
        <v>41.120014076452684</v>
      </c>
      <c r="L587" s="70">
        <f t="shared" si="50"/>
        <v>19.189339902344585</v>
      </c>
      <c r="M587" s="70">
        <f>IF((((0.326*F587^0.818)-(0.398*F587^0.85)/(1-H587)*H587)*(MAX('Max rate concentrations'!$P$3:$P$368)))/F587&gt;0, (((0.326*F587^0.818)-(0.398*F587^0.85)/(1-H587)*H587)*(MAX('Max rate concentrations'!$P$3:$P$368)))/F587, 0)</f>
        <v>0</v>
      </c>
      <c r="N587" s="70">
        <f>IF((((0.326*F587^0.818)-(0.398*F587^0.85)/(1-H587)*H587)*(MAX('Max rate concentrations'!$Q$3:$Q$368)))/F587&gt; 0, (((0.326*F587^0.818)-(0.398*F587^0.85)/(1-H587)*H587)*(MAX('Max rate concentrations'!$Q$3:$Q$368)))/F587, 0)</f>
        <v>0</v>
      </c>
      <c r="O587" s="70">
        <f>((MAX('Max rate concentrations'!$F$3:$F$368))*0.62*6.01*8*(12.3*F587^0.65)*0.079*0.1/F587)*inputs!$E$73/inputs!$E$74</f>
        <v>113.45087263972519</v>
      </c>
      <c r="P587" s="70">
        <f>((MAX('Max rate concentrations'!Y:Y))*0.62*6.01*8*(12.3*F587^0.65)*0.079*0.1/F587)*inputs!$E$73/inputs!$E$74</f>
        <v>37.816957546575082</v>
      </c>
      <c r="Q587" s="70">
        <f>(inputs!$C$18*11.2*(12.3*F587^0.65)*0.5/F587)*inputs!$E$73/inputs!$E$74</f>
        <v>19.983836115587753</v>
      </c>
      <c r="R587" s="60">
        <f>(60*379*((F587/1000)^0.8)*3*24*(MAX('Max rate concentrations'!$R$3:$R$368))/F587)*(inputs!$E$73/inputs!$E$75)</f>
        <v>2.6735755385671349E-2</v>
      </c>
      <c r="S587" s="60">
        <f>(IF(inputs!$C$17="aerial",((0.025*0.112*inputs!$C$18/3.3)*(3*60*379*((F587/1000)^0.8))*MAX(inputs!$I$14:$I$16))/F587,((0.0083*0.112*inputs!$C$18/1)*(3*60*379*((F587/1000)^0.8))*MAX(inputs!$I$14:$I$16))/F587))*(inputs!E$75/inputs!$E$73)</f>
        <v>0.14744933355158416</v>
      </c>
      <c r="T587" s="63">
        <f>IF((((inputs!$P$13/(V587/MAX(K587:S587)))^(1/inputs!$O$13))-1)/inputs!$N$13&lt;0, 0, IF((((inputs!$P$13/(V587/MAX(K587:S587)))^(1/inputs!$O$13))-1)/inputs!$N$13&lt;inputs!$I$17, (((inputs!$P$13/(V587/MAX(K587:S587)))^(1/inputs!$O$13))-1)/inputs!$N$13, inputs!$I$17))</f>
        <v>132.53759877620911</v>
      </c>
      <c r="U587" s="63">
        <f>IF((((inputs!$P$13/(X587/MAX(K587:S587)))^(1/inputs!$O$13))-1)/inputs!$N$13&lt;0, 0, IF((((inputs!$P$13/(X587/MAX(K587:S587)))^(1/inputs!$O$13))-1)/inputs!$N$13&lt;inputs!$I$17, (((inputs!$P$13/(X587/MAX(K587:S587)))^(1/inputs!$O$13))-1)/inputs!$N$13, inputs!$I$17))</f>
        <v>1.4534229774466291E-2</v>
      </c>
      <c r="V587" s="54">
        <f>inputs!$E$70*(F587/inputs!$F$70)^(0.25)</f>
        <v>2.094665933568276</v>
      </c>
      <c r="W587" s="54">
        <f>inputs!$E$76*(F587/inputs!$F$76)^(0.25)</f>
        <v>0.1506074116517096</v>
      </c>
      <c r="X587" s="54">
        <f>inputs!$E$72*(inputs!$F$72/F587)^(0.25)</f>
        <v>119.30303347908743</v>
      </c>
      <c r="Y587" s="54" t="s">
        <v>13</v>
      </c>
      <c r="Z587" s="106">
        <f t="shared" si="51"/>
        <v>54.161797746173754</v>
      </c>
      <c r="AA587" s="106">
        <f t="shared" si="52"/>
        <v>753.28877507096684</v>
      </c>
    </row>
    <row r="588" spans="1:27" ht="13.2" x14ac:dyDescent="0.25">
      <c r="A588" s="55" t="s">
        <v>550</v>
      </c>
      <c r="B588" s="49" t="s">
        <v>551</v>
      </c>
      <c r="C588" s="21" t="s">
        <v>61</v>
      </c>
      <c r="D588" s="20" t="s">
        <v>443</v>
      </c>
      <c r="E588" s="20">
        <v>50</v>
      </c>
      <c r="F588" s="21">
        <v>12</v>
      </c>
      <c r="G588" s="21" t="s">
        <v>169</v>
      </c>
      <c r="H588" s="21">
        <v>0.79</v>
      </c>
      <c r="I588" s="68">
        <f>MAX('Max rate concentrations'!$D$3:$D$368)</f>
        <v>720</v>
      </c>
      <c r="J588" s="68">
        <f>MAX('Max rate concentrations'!W:W)</f>
        <v>255</v>
      </c>
      <c r="K588" s="70">
        <f t="shared" si="49"/>
        <v>720.57929429212345</v>
      </c>
      <c r="L588" s="70">
        <f t="shared" si="50"/>
        <v>255.2051667284604</v>
      </c>
      <c r="M588" s="70">
        <f>IF((((0.326*F588^0.818)-(0.398*F588^0.85)/(1-H588)*H588)*(MAX('Max rate concentrations'!$P$3:$P$368)))/F588&gt;0, (((0.326*F588^0.818)-(0.398*F588^0.85)/(1-H588)*H588)*(MAX('Max rate concentrations'!$P$3:$P$368)))/F588, 0)</f>
        <v>0</v>
      </c>
      <c r="N588" s="70">
        <f>IF((((0.326*F588^0.818)-(0.398*F588^0.85)/(1-H588)*H588)*(MAX('Max rate concentrations'!$Q$3:$Q$368)))/F588&gt; 0, (((0.326*F588^0.818)-(0.398*F588^0.85)/(1-H588)*H588)*(MAX('Max rate concentrations'!$Q$3:$Q$368)))/F588, 0)</f>
        <v>0</v>
      </c>
      <c r="O588" s="70">
        <f>((MAX('Max rate concentrations'!$F$3:$F$368))*0.62*6.01*8*(12.3*F588^0.65)*0.079*0.1/F588)*inputs!$E$73/inputs!$E$74</f>
        <v>113.45087263972519</v>
      </c>
      <c r="P588" s="70">
        <f>((MAX('Max rate concentrations'!Y:Y))*0.62*6.01*8*(12.3*F588^0.65)*0.079*0.1/F588)*inputs!$E$73/inputs!$E$74</f>
        <v>37.816957546575082</v>
      </c>
      <c r="Q588" s="70">
        <f>(inputs!$C$18*11.2*(12.3*F588^0.65)*0.5/F588)*inputs!$E$73/inputs!$E$74</f>
        <v>19.983836115587753</v>
      </c>
      <c r="R588" s="60">
        <f>(60*379*((F588/1000)^0.8)*3*24*(MAX('Max rate concentrations'!$R$3:$R$368))/F588)*(inputs!$E$73/inputs!$E$75)</f>
        <v>2.6735755385671349E-2</v>
      </c>
      <c r="S588" s="60">
        <f>(IF(inputs!$C$17="aerial",((0.025*0.112*inputs!$C$18/3.3)*(3*60*379*((F588/1000)^0.8))*MAX(inputs!$I$14:$I$16))/F588,((0.0083*0.112*inputs!$C$18/1)*(3*60*379*((F588/1000)^0.8))*MAX(inputs!$I$14:$I$16))/F588))*(inputs!E$75/inputs!$E$73)</f>
        <v>0.14744933355158416</v>
      </c>
      <c r="T588" s="63">
        <f>IF((((inputs!$P$13/(V588/MAX(K588:S588)))^(1/inputs!$O$13))-1)/inputs!$N$13&lt;0, 0, IF((((inputs!$P$13/(V588/MAX(K588:S588)))^(1/inputs!$O$13))-1)/inputs!$N$13&lt;inputs!$I$17, (((inputs!$P$13/(V588/MAX(K588:S588)))^(1/inputs!$O$13))-1)/inputs!$N$13, inputs!$I$17))</f>
        <v>609.09744675519983</v>
      </c>
      <c r="U588" s="63">
        <f>IF((((inputs!$P$13/(X588/MAX(K588:S588)))^(1/inputs!$O$13))-1)/inputs!$N$13&lt;0, 0, IF((((inputs!$P$13/(X588/MAX(K588:S588)))^(1/inputs!$O$13))-1)/inputs!$N$13&lt;inputs!$I$17, (((inputs!$P$13/(X588/MAX(K588:S588)))^(1/inputs!$O$13))-1)/inputs!$N$13, inputs!$I$17))</f>
        <v>18.147525335773611</v>
      </c>
      <c r="V588" s="54">
        <f>inputs!$E$70*(F588/inputs!$F$70)^(0.25)</f>
        <v>2.094665933568276</v>
      </c>
      <c r="W588" s="54">
        <f>inputs!$E$76*(F588/inputs!$F$76)^(0.25)</f>
        <v>0.1506074116517096</v>
      </c>
      <c r="X588" s="54">
        <f>inputs!$E$72*(inputs!$F$72/F588)^(0.25)</f>
        <v>119.30303347908743</v>
      </c>
      <c r="Y588" s="54" t="s">
        <v>13</v>
      </c>
      <c r="Z588" s="106">
        <f t="shared" si="51"/>
        <v>344.00678539924132</v>
      </c>
      <c r="AA588" s="106">
        <f t="shared" si="52"/>
        <v>4784.4876051552801</v>
      </c>
    </row>
    <row r="589" spans="1:27" ht="13.2" x14ac:dyDescent="0.25">
      <c r="A589" s="55" t="s">
        <v>550</v>
      </c>
      <c r="B589" s="49" t="s">
        <v>551</v>
      </c>
      <c r="C589" s="21" t="s">
        <v>61</v>
      </c>
      <c r="D589" s="20" t="s">
        <v>443</v>
      </c>
      <c r="E589" s="20">
        <v>50</v>
      </c>
      <c r="F589" s="21">
        <v>12</v>
      </c>
      <c r="G589" s="21" t="s">
        <v>456</v>
      </c>
      <c r="H589" s="21">
        <v>0.68</v>
      </c>
      <c r="I589" s="68">
        <f>MAX('Max rate concentrations'!$J$3:$J$368)</f>
        <v>686.46486205830786</v>
      </c>
      <c r="J589" s="68">
        <f>MAX('Max rate concentrations'!AB:AB)</f>
        <v>243.122971978984</v>
      </c>
      <c r="K589" s="70">
        <f t="shared" si="49"/>
        <v>450.85502096461028</v>
      </c>
      <c r="L589" s="70">
        <f t="shared" si="50"/>
        <v>159.67781992496612</v>
      </c>
      <c r="M589" s="70">
        <f>IF((((0.326*F589^0.818)-(0.398*F589^0.85)/(1-H589)*H589)*(MAX('Max rate concentrations'!$P$3:$P$368)))/F589&gt;0, (((0.326*F589^0.818)-(0.398*F589^0.85)/(1-H589)*H589)*(MAX('Max rate concentrations'!$P$3:$P$368)))/F589, 0)</f>
        <v>0</v>
      </c>
      <c r="N589" s="70">
        <f>IF((((0.326*F589^0.818)-(0.398*F589^0.85)/(1-H589)*H589)*(MAX('Max rate concentrations'!$Q$3:$Q$368)))/F589&gt; 0, (((0.326*F589^0.818)-(0.398*F589^0.85)/(1-H589)*H589)*(MAX('Max rate concentrations'!$Q$3:$Q$368)))/F589, 0)</f>
        <v>0</v>
      </c>
      <c r="O589" s="70">
        <f>((MAX('Max rate concentrations'!$F$3:$F$368))*0.62*6.01*8*(12.3*F589^0.65)*0.079*0.1/F589)*inputs!$E$73/inputs!$E$74</f>
        <v>113.45087263972519</v>
      </c>
      <c r="P589" s="70">
        <f>((MAX('Max rate concentrations'!Y:Y))*0.62*6.01*8*(12.3*F589^0.65)*0.079*0.1/F589)*inputs!$E$73/inputs!$E$74</f>
        <v>37.816957546575082</v>
      </c>
      <c r="Q589" s="70">
        <f>(inputs!$C$18*11.2*(12.3*F589^0.65)*0.5/F589)*inputs!$E$73/inputs!$E$74</f>
        <v>19.983836115587753</v>
      </c>
      <c r="R589" s="60">
        <f>(60*379*((F589/1000)^0.8)*3*24*(MAX('Max rate concentrations'!$R$3:$R$368))/F589)*(inputs!$E$73/inputs!$E$75)</f>
        <v>2.6735755385671349E-2</v>
      </c>
      <c r="S589" s="60">
        <f>(IF(inputs!$C$17="aerial",((0.025*0.112*inputs!$C$18/3.3)*(3*60*379*((F589/1000)^0.8))*MAX(inputs!$I$14:$I$16))/F589,((0.0083*0.112*inputs!$C$18/1)*(3*60*379*((F589/1000)^0.8))*MAX(inputs!$I$14:$I$16))/F589))*(inputs!E$75/inputs!$E$73)</f>
        <v>0.14744933355158416</v>
      </c>
      <c r="T589" s="63">
        <f>IF((((inputs!$P$13/(V589/MAX(K589:S589)))^(1/inputs!$O$13))-1)/inputs!$N$13&lt;0, 0, IF((((inputs!$P$13/(V589/MAX(K589:S589)))^(1/inputs!$O$13))-1)/inputs!$N$13&lt;inputs!$I$17, (((inputs!$P$13/(V589/MAX(K589:S589)))^(1/inputs!$O$13))-1)/inputs!$N$13, inputs!$I$17))</f>
        <v>415.22497114888534</v>
      </c>
      <c r="U589" s="63">
        <f>IF((((inputs!$P$13/(X589/MAX(K589:S589)))^(1/inputs!$O$13))-1)/inputs!$N$13&lt;0, 0, IF((((inputs!$P$13/(X589/MAX(K589:S589)))^(1/inputs!$O$13))-1)/inputs!$N$13&lt;inputs!$I$17, (((inputs!$P$13/(X589/MAX(K589:S589)))^(1/inputs!$O$13))-1)/inputs!$N$13, inputs!$I$17))</f>
        <v>10.770722840187952</v>
      </c>
      <c r="V589" s="54">
        <f>inputs!$E$70*(F589/inputs!$F$70)^(0.25)</f>
        <v>2.094665933568276</v>
      </c>
      <c r="W589" s="54">
        <f>inputs!$E$76*(F589/inputs!$F$76)^(0.25)</f>
        <v>0.1506074116517096</v>
      </c>
      <c r="X589" s="54">
        <f>inputs!$E$72*(inputs!$F$72/F589)^(0.25)</f>
        <v>119.30303347908743</v>
      </c>
      <c r="Y589" s="54" t="s">
        <v>13</v>
      </c>
      <c r="Z589" s="106">
        <f t="shared" si="51"/>
        <v>215.23958247441206</v>
      </c>
      <c r="AA589" s="106">
        <f t="shared" si="52"/>
        <v>2993.5779124021115</v>
      </c>
    </row>
    <row r="590" spans="1:27" ht="13.2" x14ac:dyDescent="0.25">
      <c r="A590" s="55" t="s">
        <v>550</v>
      </c>
      <c r="B590" s="49" t="s">
        <v>551</v>
      </c>
      <c r="C590" s="21" t="s">
        <v>61</v>
      </c>
      <c r="D590" s="20" t="s">
        <v>443</v>
      </c>
      <c r="E590" s="20">
        <v>50</v>
      </c>
      <c r="F590" s="21">
        <v>12</v>
      </c>
      <c r="G590" s="21" t="s">
        <v>145</v>
      </c>
      <c r="H590" s="21">
        <v>0.66</v>
      </c>
      <c r="I590" s="68">
        <f>MAX('Max rate concentrations'!$M$3:$M$368)</f>
        <v>17.092910873809167</v>
      </c>
      <c r="J590" s="68">
        <f>MAX('Max rate concentrations'!AE:AE)</f>
        <v>11.81956602976166</v>
      </c>
      <c r="K590" s="70">
        <f t="shared" si="49"/>
        <v>10.565880341168258</v>
      </c>
      <c r="L590" s="70">
        <f t="shared" si="50"/>
        <v>7.3061938529354995</v>
      </c>
      <c r="M590" s="70">
        <f>IF((((0.326*F590^0.818)-(0.398*F590^0.85)/(1-H590)*H590)*(MAX('Max rate concentrations'!$P$3:$P$368)))/F590&gt;0, (((0.326*F590^0.818)-(0.398*F590^0.85)/(1-H590)*H590)*(MAX('Max rate concentrations'!$P$3:$P$368)))/F590, 0)</f>
        <v>0</v>
      </c>
      <c r="N590" s="70">
        <f>IF((((0.326*F590^0.818)-(0.398*F590^0.85)/(1-H590)*H590)*(MAX('Max rate concentrations'!$Q$3:$Q$368)))/F590&gt; 0, (((0.326*F590^0.818)-(0.398*F590^0.85)/(1-H590)*H590)*(MAX('Max rate concentrations'!$Q$3:$Q$368)))/F590, 0)</f>
        <v>0</v>
      </c>
      <c r="O590" s="70">
        <f>((MAX('Max rate concentrations'!$F$3:$F$368))*0.62*6.01*8*(12.3*F590^0.65)*0.079*0.1/F590)*inputs!$E$73/inputs!$E$74</f>
        <v>113.45087263972519</v>
      </c>
      <c r="P590" s="70">
        <f>((MAX('Max rate concentrations'!Y:Y))*0.62*6.01*8*(12.3*F590^0.65)*0.079*0.1/F590)*inputs!$E$73/inputs!$E$74</f>
        <v>37.816957546575082</v>
      </c>
      <c r="Q590" s="70">
        <f>(inputs!$C$18*11.2*(12.3*F590^0.65)*0.5/F590)*inputs!$E$73/inputs!$E$74</f>
        <v>19.983836115587753</v>
      </c>
      <c r="R590" s="60">
        <f>(60*379*((F590/1000)^0.8)*3*24*(MAX('Max rate concentrations'!$R$3:$R$368))/F590)*(inputs!$E$73/inputs!$E$75)</f>
        <v>2.6735755385671349E-2</v>
      </c>
      <c r="S590" s="60">
        <f>(IF(inputs!$C$17="aerial",((0.025*0.112*inputs!$C$18/3.3)*(3*60*379*((F590/1000)^0.8))*MAX(inputs!$I$14:$I$16))/F590,((0.0083*0.112*inputs!$C$18/1)*(3*60*379*((F590/1000)^0.8))*MAX(inputs!$I$14:$I$16))/F590))*(inputs!E$75/inputs!$E$73)</f>
        <v>0.14744933355158416</v>
      </c>
      <c r="T590" s="63">
        <f>IF((((inputs!$P$13/(V590/MAX(K590:S590)))^(1/inputs!$O$13))-1)/inputs!$N$13&lt;0, 0, IF((((inputs!$P$13/(V590/MAX(K590:S590)))^(1/inputs!$O$13))-1)/inputs!$N$13&lt;inputs!$I$17, (((inputs!$P$13/(V590/MAX(K590:S590)))^(1/inputs!$O$13))-1)/inputs!$N$13, inputs!$I$17))</f>
        <v>132.53759877620911</v>
      </c>
      <c r="U590" s="63">
        <f>IF((((inputs!$P$13/(X590/MAX(K590:S590)))^(1/inputs!$O$13))-1)/inputs!$N$13&lt;0, 0, IF((((inputs!$P$13/(X590/MAX(K590:S590)))^(1/inputs!$O$13))-1)/inputs!$N$13&lt;inputs!$I$17, (((inputs!$P$13/(X590/MAX(K590:S590)))^(1/inputs!$O$13))-1)/inputs!$N$13, inputs!$I$17))</f>
        <v>1.4534229774466291E-2</v>
      </c>
      <c r="V590" s="54">
        <f>inputs!$E$70*(F590/inputs!$F$70)^(0.25)</f>
        <v>2.094665933568276</v>
      </c>
      <c r="W590" s="54">
        <f>inputs!$E$76*(F590/inputs!$F$76)^(0.25)</f>
        <v>0.1506074116517096</v>
      </c>
      <c r="X590" s="54">
        <f>inputs!$E$72*(inputs!$F$72/F590)^(0.25)</f>
        <v>119.30303347908743</v>
      </c>
      <c r="Y590" s="54" t="s">
        <v>13</v>
      </c>
      <c r="Z590" s="106">
        <f t="shared" si="51"/>
        <v>54.161797746173754</v>
      </c>
      <c r="AA590" s="106">
        <f t="shared" si="52"/>
        <v>753.28877507096684</v>
      </c>
    </row>
    <row r="591" spans="1:27" ht="13.2" x14ac:dyDescent="0.25">
      <c r="A591" s="55" t="s">
        <v>550</v>
      </c>
      <c r="B591" s="49" t="s">
        <v>551</v>
      </c>
      <c r="C591" s="21" t="s">
        <v>61</v>
      </c>
      <c r="D591" s="20" t="s">
        <v>443</v>
      </c>
      <c r="E591" s="20">
        <v>50</v>
      </c>
      <c r="F591" s="21">
        <v>12</v>
      </c>
      <c r="G591" s="21" t="s">
        <v>154</v>
      </c>
      <c r="H591" s="21">
        <v>9.2999999999999999E-2</v>
      </c>
      <c r="I591" s="68">
        <f>MAX('Max rate concentrations'!$G$3:$G$368)</f>
        <v>45</v>
      </c>
      <c r="J591" s="68">
        <f>MAX('Max rate concentrations'!Z:Z)</f>
        <v>21</v>
      </c>
      <c r="K591" s="70">
        <f t="shared" si="49"/>
        <v>10.42734645819638</v>
      </c>
      <c r="L591" s="70">
        <f t="shared" si="50"/>
        <v>4.8660950138249772</v>
      </c>
      <c r="M591" s="70">
        <f>IF((((0.326*F591^0.818)-(0.398*F591^0.85)/(1-H591)*H591)*(MAX('Max rate concentrations'!$P$3:$P$368)))/F591&gt;0, (((0.326*F591^0.818)-(0.398*F591^0.85)/(1-H591)*H591)*(MAX('Max rate concentrations'!$P$3:$P$368)))/F591, 0)</f>
        <v>0.15613948637630762</v>
      </c>
      <c r="N591" s="70">
        <f>IF((((0.326*F591^0.818)-(0.398*F591^0.85)/(1-H591)*H591)*(MAX('Max rate concentrations'!$Q$3:$Q$368)))/F591&gt; 0, (((0.326*F591^0.818)-(0.398*F591^0.85)/(1-H591)*H591)*(MAX('Max rate concentrations'!$Q$3:$Q$368)))/F591, 0)</f>
        <v>0.59458755375869743</v>
      </c>
      <c r="O591" s="70">
        <f>((MAX('Max rate concentrations'!$F$3:$F$368))*0.62*6.01*8*(12.3*F591^0.65)*0.079*0.1/F591)*inputs!$E$73/inputs!$E$74</f>
        <v>113.45087263972519</v>
      </c>
      <c r="P591" s="70">
        <f>((MAX('Max rate concentrations'!Y:Y))*0.62*6.01*8*(12.3*F591^0.65)*0.079*0.1/F591)*inputs!$E$73/inputs!$E$74</f>
        <v>37.816957546575082</v>
      </c>
      <c r="Q591" s="70">
        <f>(inputs!$C$18*11.2*(12.3*F591^0.65)*0.5/F591)*inputs!$E$73/inputs!$E$74</f>
        <v>19.983836115587753</v>
      </c>
      <c r="R591" s="60">
        <f>(60*379*((F591/1000)^0.8)*3*24*(MAX('Max rate concentrations'!$R$3:$R$368))/F591)*(inputs!$E$73/inputs!$E$75)</f>
        <v>2.6735755385671349E-2</v>
      </c>
      <c r="S591" s="60">
        <f>(IF(inputs!$C$17="aerial",((0.025*0.112*inputs!$C$18/3.3)*(3*60*379*((F591/1000)^0.8))*MAX(inputs!$I$14:$I$16))/F591,((0.0083*0.112*inputs!$C$18/1)*(3*60*379*((F591/1000)^0.8))*MAX(inputs!$I$14:$I$16))/F591))*(inputs!E$75/inputs!$E$73)</f>
        <v>0.14744933355158416</v>
      </c>
      <c r="T591" s="63">
        <f>IF((((inputs!$P$13/(V591/MAX(K591:S591)))^(1/inputs!$O$13))-1)/inputs!$N$13&lt;0, 0, IF((((inputs!$P$13/(V591/MAX(K591:S591)))^(1/inputs!$O$13))-1)/inputs!$N$13&lt;inputs!$I$17, (((inputs!$P$13/(V591/MAX(K591:S591)))^(1/inputs!$O$13))-1)/inputs!$N$13, inputs!$I$17))</f>
        <v>132.53759877620911</v>
      </c>
      <c r="U591" s="63">
        <f>IF((((inputs!$P$13/(X591/MAX(K591:S591)))^(1/inputs!$O$13))-1)/inputs!$N$13&lt;0, 0, IF((((inputs!$P$13/(X591/MAX(K591:S591)))^(1/inputs!$O$13))-1)/inputs!$N$13&lt;inputs!$I$17, (((inputs!$P$13/(X591/MAX(K591:S591)))^(1/inputs!$O$13))-1)/inputs!$N$13, inputs!$I$17))</f>
        <v>1.4534229774466291E-2</v>
      </c>
      <c r="V591" s="54">
        <f>inputs!$E$70*(F591/inputs!$F$70)^(0.25)</f>
        <v>2.094665933568276</v>
      </c>
      <c r="W591" s="54">
        <f>inputs!$E$76*(F591/inputs!$F$76)^(0.25)</f>
        <v>0.1506074116517096</v>
      </c>
      <c r="X591" s="54">
        <f>inputs!$E$72*(inputs!$F$72/F591)^(0.25)</f>
        <v>119.30303347908743</v>
      </c>
      <c r="Y591" s="54" t="s">
        <v>13</v>
      </c>
      <c r="Z591" s="106">
        <f t="shared" si="51"/>
        <v>54.161797746173754</v>
      </c>
      <c r="AA591" s="106">
        <f t="shared" si="52"/>
        <v>753.28877507096684</v>
      </c>
    </row>
    <row r="592" spans="1:27" ht="13.2" x14ac:dyDescent="0.25">
      <c r="A592" s="55" t="s">
        <v>490</v>
      </c>
      <c r="B592" s="49" t="s">
        <v>491</v>
      </c>
      <c r="C592" s="21" t="s">
        <v>61</v>
      </c>
      <c r="D592" s="20" t="s">
        <v>443</v>
      </c>
      <c r="E592" s="20">
        <v>42</v>
      </c>
      <c r="F592" s="21">
        <v>90</v>
      </c>
      <c r="G592" s="21" t="s">
        <v>152</v>
      </c>
      <c r="H592" s="21">
        <v>0.77</v>
      </c>
      <c r="I592" s="68">
        <f>MAX('Max rate concentrations'!$G$3:$G$368)</f>
        <v>45</v>
      </c>
      <c r="J592" s="68">
        <f>MAX('Max rate concentrations'!Z:Z)</f>
        <v>21</v>
      </c>
      <c r="K592" s="70">
        <f t="shared" si="49"/>
        <v>17.081521181043403</v>
      </c>
      <c r="L592" s="70">
        <f t="shared" si="50"/>
        <v>7.9713765511535879</v>
      </c>
      <c r="M592" s="70">
        <f>IF((((0.326*F592^0.818)-(0.398*F592^0.85)/(1-H592)*H592)*(MAX('Max rate concentrations'!$P$3:$P$368)))/F592&gt;0, (((0.326*F592^0.818)-(0.398*F592^0.85)/(1-H592)*H592)*(MAX('Max rate concentrations'!$P$3:$P$368)))/F592, 0)</f>
        <v>0</v>
      </c>
      <c r="N592" s="70">
        <f>IF((((0.326*F592^0.818)-(0.398*F592^0.85)/(1-H592)*H592)*(MAX('Max rate concentrations'!$Q$3:$Q$368)))/F592&gt; 0, (((0.326*F592^0.818)-(0.398*F592^0.85)/(1-H592)*H592)*(MAX('Max rate concentrations'!$Q$3:$Q$368)))/F592, 0)</f>
        <v>0</v>
      </c>
      <c r="O592" s="70">
        <f>((MAX('Max rate concentrations'!$F$3:$F$368))*0.62*6.01*8*(12.3*F592^0.65)*0.079*0.1/F592)*inputs!$E$73/inputs!$E$74</f>
        <v>56.044938707967425</v>
      </c>
      <c r="P592" s="70">
        <f>((MAX('Max rate concentrations'!Y:Y))*0.62*6.01*8*(12.3*F592^0.65)*0.079*0.1/F592)*inputs!$E$73/inputs!$E$74</f>
        <v>18.681646235989138</v>
      </c>
      <c r="Q592" s="70">
        <f>(inputs!$C$18*11.2*(12.3*F592^0.65)*0.5/F592)*inputs!$E$73/inputs!$E$74</f>
        <v>9.8720516130786642</v>
      </c>
      <c r="R592" s="60">
        <f>(60*379*((F592/1000)^0.8)*3*24*(MAX('Max rate concentrations'!$R$3:$R$368))/F592)*(inputs!$E$73/inputs!$E$75)</f>
        <v>1.7868175374629924E-2</v>
      </c>
      <c r="S592" s="60">
        <f>(IF(inputs!$C$17="aerial",((0.025*0.112*inputs!$C$18/3.3)*(3*60*379*((F592/1000)^0.8))*MAX(inputs!$I$14:$I$16))/F592,((0.0083*0.112*inputs!$C$18/1)*(3*60*379*((F592/1000)^0.8))*MAX(inputs!$I$14:$I$16))/F592))*(inputs!E$75/inputs!$E$73)</f>
        <v>9.8544084981567914E-2</v>
      </c>
      <c r="T592" s="63">
        <f>IF((((inputs!$P$13/(V592/MAX(K592:S592)))^(1/inputs!$O$13))-1)/inputs!$N$13&lt;0, 0, IF((((inputs!$P$13/(V592/MAX(K592:S592)))^(1/inputs!$O$13))-1)/inputs!$N$13&lt;inputs!$I$17, (((inputs!$P$13/(V592/MAX(K592:S592)))^(1/inputs!$O$13))-1)/inputs!$N$13, inputs!$I$17))</f>
        <v>46.599833021862196</v>
      </c>
      <c r="U592" s="63">
        <f>IF((((inputs!$P$13/(X592/MAX(K592:S592)))^(1/inputs!$O$13))-1)/inputs!$N$13&lt;0, 0, IF((((inputs!$P$13/(X592/MAX(K592:S592)))^(1/inputs!$O$13))-1)/inputs!$N$13&lt;inputs!$I$17, (((inputs!$P$13/(X592/MAX(K592:S592)))^(1/inputs!$O$13))-1)/inputs!$N$13, inputs!$I$17))</f>
        <v>0</v>
      </c>
      <c r="V592" s="54">
        <f>inputs!$E$70*(F592/inputs!$F$70)^(0.25)</f>
        <v>3.4664112499902893</v>
      </c>
      <c r="W592" s="54">
        <f>inputs!$E$76*(F592/inputs!$F$76)^(0.25)</f>
        <v>0.24923650960994048</v>
      </c>
      <c r="X592" s="54">
        <f>inputs!$E$72*(inputs!$F$72/F592)^(0.25)</f>
        <v>72.091850036749122</v>
      </c>
      <c r="Y592" s="54" t="s">
        <v>13</v>
      </c>
      <c r="Z592" s="106">
        <f t="shared" si="51"/>
        <v>16.168000466801054</v>
      </c>
      <c r="AA592" s="106">
        <f t="shared" si="52"/>
        <v>224.86648844376268</v>
      </c>
    </row>
    <row r="593" spans="1:27" ht="26.4" x14ac:dyDescent="0.25">
      <c r="A593" s="55" t="s">
        <v>490</v>
      </c>
      <c r="B593" s="49" t="s">
        <v>491</v>
      </c>
      <c r="C593" s="21" t="s">
        <v>61</v>
      </c>
      <c r="D593" s="20" t="s">
        <v>443</v>
      </c>
      <c r="E593" s="20">
        <v>42</v>
      </c>
      <c r="F593" s="21">
        <v>90</v>
      </c>
      <c r="G593" s="21" t="s">
        <v>492</v>
      </c>
      <c r="H593" s="21">
        <v>0.85</v>
      </c>
      <c r="I593" s="68">
        <f>MAX('Max rate concentrations'!$F$3:$F$368)</f>
        <v>405</v>
      </c>
      <c r="J593" s="68">
        <f>MAX('Max rate concentrations'!Y:Y)</f>
        <v>135</v>
      </c>
      <c r="K593" s="70">
        <f t="shared" si="49"/>
        <v>235.72499229839892</v>
      </c>
      <c r="L593" s="70">
        <f t="shared" si="50"/>
        <v>78.574997432799648</v>
      </c>
      <c r="M593" s="70">
        <f>IF((((0.326*F593^0.818)-(0.398*F593^0.85)/(1-H593)*H593)*(MAX('Max rate concentrations'!$P$3:$P$368)))/F593&gt;0, (((0.326*F593^0.818)-(0.398*F593^0.85)/(1-H593)*H593)*(MAX('Max rate concentrations'!$P$3:$P$368)))/F593, 0)</f>
        <v>0</v>
      </c>
      <c r="N593" s="70">
        <f>IF((((0.326*F593^0.818)-(0.398*F593^0.85)/(1-H593)*H593)*(MAX('Max rate concentrations'!$Q$3:$Q$368)))/F593&gt; 0, (((0.326*F593^0.818)-(0.398*F593^0.85)/(1-H593)*H593)*(MAX('Max rate concentrations'!$Q$3:$Q$368)))/F593, 0)</f>
        <v>0</v>
      </c>
      <c r="O593" s="70">
        <f>((MAX('Max rate concentrations'!$F$3:$F$368))*0.62*6.01*8*(12.3*F593^0.65)*0.079*0.1/F593)*inputs!$E$73/inputs!$E$74</f>
        <v>56.044938707967425</v>
      </c>
      <c r="P593" s="70">
        <f>((MAX('Max rate concentrations'!Y:Y))*0.62*6.01*8*(12.3*F593^0.65)*0.079*0.1/F593)*inputs!$E$73/inputs!$E$74</f>
        <v>18.681646235989138</v>
      </c>
      <c r="Q593" s="70">
        <f>(inputs!$C$18*11.2*(12.3*F593^0.65)*0.5/F593)*inputs!$E$73/inputs!$E$74</f>
        <v>9.8720516130786642</v>
      </c>
      <c r="R593" s="60">
        <f>(60*379*((F593/1000)^0.8)*3*24*(MAX('Max rate concentrations'!$R$3:$R$368))/F593)*(inputs!$E$73/inputs!$E$75)</f>
        <v>1.7868175374629924E-2</v>
      </c>
      <c r="S593" s="60">
        <f>(IF(inputs!$C$17="aerial",((0.025*0.112*inputs!$C$18/3.3)*(3*60*379*((F593/1000)^0.8))*MAX(inputs!$I$14:$I$16))/F593,((0.0083*0.112*inputs!$C$18/1)*(3*60*379*((F593/1000)^0.8))*MAX(inputs!$I$14:$I$16))/F593))*(inputs!E$75/inputs!$E$73)</f>
        <v>9.8544084981567914E-2</v>
      </c>
      <c r="T593" s="63">
        <f>IF((((inputs!$P$13/(V593/MAX(K593:S593)))^(1/inputs!$O$13))-1)/inputs!$N$13&lt;0, 0, IF((((inputs!$P$13/(V593/MAX(K593:S593)))^(1/inputs!$O$13))-1)/inputs!$N$13&lt;inputs!$I$17, (((inputs!$P$13/(V593/MAX(K593:S593)))^(1/inputs!$O$13))-1)/inputs!$N$13, inputs!$I$17))</f>
        <v>160.37309819867878</v>
      </c>
      <c r="U593" s="63">
        <f>IF((((inputs!$P$13/(X593/MAX(K593:S593)))^(1/inputs!$O$13))-1)/inputs!$N$13&lt;0, 0, IF((((inputs!$P$13/(X593/MAX(K593:S593)))^(1/inputs!$O$13))-1)/inputs!$N$13&lt;inputs!$I$17, (((inputs!$P$13/(X593/MAX(K593:S593)))^(1/inputs!$O$13))-1)/inputs!$N$13, inputs!$I$17))</f>
        <v>9.0034651515317865</v>
      </c>
      <c r="V593" s="54">
        <f>inputs!$E$70*(F593/inputs!$F$70)^(0.25)</f>
        <v>3.4664112499902893</v>
      </c>
      <c r="W593" s="54">
        <f>inputs!$E$76*(F593/inputs!$F$76)^(0.25)</f>
        <v>0.24923650960994048</v>
      </c>
      <c r="X593" s="54">
        <f>inputs!$E$72*(inputs!$F$72/F593)^(0.25)</f>
        <v>72.091850036749122</v>
      </c>
      <c r="Y593" s="54" t="s">
        <v>13</v>
      </c>
      <c r="Z593" s="106">
        <f t="shared" si="51"/>
        <v>68.002604220448248</v>
      </c>
      <c r="AA593" s="106">
        <f t="shared" si="52"/>
        <v>945.7883705212879</v>
      </c>
    </row>
    <row r="594" spans="1:27" ht="13.2" x14ac:dyDescent="0.25">
      <c r="A594" s="55" t="s">
        <v>490</v>
      </c>
      <c r="B594" s="49" t="s">
        <v>491</v>
      </c>
      <c r="C594" s="21" t="s">
        <v>61</v>
      </c>
      <c r="D594" s="20" t="s">
        <v>443</v>
      </c>
      <c r="E594" s="20">
        <v>42</v>
      </c>
      <c r="F594" s="21">
        <v>90</v>
      </c>
      <c r="G594" s="21" t="s">
        <v>154</v>
      </c>
      <c r="H594" s="21">
        <v>9.2999999999999999E-2</v>
      </c>
      <c r="I594" s="68">
        <f>MAX('Max rate concentrations'!$G$3:$G$368)</f>
        <v>45</v>
      </c>
      <c r="J594" s="68">
        <f>MAX('Max rate concentrations'!Z:Z)</f>
        <v>21</v>
      </c>
      <c r="K594" s="70">
        <f t="shared" si="49"/>
        <v>4.3315875100771581</v>
      </c>
      <c r="L594" s="70">
        <f t="shared" si="50"/>
        <v>2.0214075047026738</v>
      </c>
      <c r="M594" s="70">
        <f>IF((((0.326*F594^0.818)-(0.398*F594^0.85)/(1-H594)*H594)*(MAX('Max rate concentrations'!$P$3:$P$368)))/F594&gt;0, (((0.326*F594^0.818)-(0.398*F594^0.85)/(1-H594)*H594)*(MAX('Max rate concentrations'!$P$3:$P$368)))/F594, 0)</f>
        <v>0.10707610300918717</v>
      </c>
      <c r="N594" s="70">
        <f>IF((((0.326*F594^0.818)-(0.398*F594^0.85)/(1-H594)*H594)*(MAX('Max rate concentrations'!$Q$3:$Q$368)))/F594&gt; 0, (((0.326*F594^0.818)-(0.398*F594^0.85)/(1-H594)*H594)*(MAX('Max rate concentrations'!$Q$3:$Q$368)))/F594, 0)</f>
        <v>0.40775155363843635</v>
      </c>
      <c r="O594" s="70">
        <f>((MAX('Max rate concentrations'!$F$3:$F$368))*0.62*6.01*8*(12.3*F594^0.65)*0.079*0.1/F594)*inputs!$E$73/inputs!$E$74</f>
        <v>56.044938707967425</v>
      </c>
      <c r="P594" s="70">
        <f>((MAX('Max rate concentrations'!Y:Y))*0.62*6.01*8*(12.3*F594^0.65)*0.079*0.1/F594)*inputs!$E$73/inputs!$E$74</f>
        <v>18.681646235989138</v>
      </c>
      <c r="Q594" s="70">
        <f>(inputs!$C$18*11.2*(12.3*F594^0.65)*0.5/F594)*inputs!$E$73/inputs!$E$74</f>
        <v>9.8720516130786642</v>
      </c>
      <c r="R594" s="60">
        <f>(60*379*((F594/1000)^0.8)*3*24*(MAX('Max rate concentrations'!$R$3:$R$368))/F594)*(inputs!$E$73/inputs!$E$75)</f>
        <v>1.7868175374629924E-2</v>
      </c>
      <c r="S594" s="60">
        <f>(IF(inputs!$C$17="aerial",((0.025*0.112*inputs!$C$18/3.3)*(3*60*379*((F594/1000)^0.8))*MAX(inputs!$I$14:$I$16))/F594,((0.0083*0.112*inputs!$C$18/1)*(3*60*379*((F594/1000)^0.8))*MAX(inputs!$I$14:$I$16))/F594))*(inputs!E$75/inputs!$E$73)</f>
        <v>9.8544084981567914E-2</v>
      </c>
      <c r="T594" s="63">
        <f>IF((((inputs!$P$13/(V594/MAX(K594:S594)))^(1/inputs!$O$13))-1)/inputs!$N$13&lt;0, 0, IF((((inputs!$P$13/(V594/MAX(K594:S594)))^(1/inputs!$O$13))-1)/inputs!$N$13&lt;inputs!$I$17, (((inputs!$P$13/(V594/MAX(K594:S594)))^(1/inputs!$O$13))-1)/inputs!$N$13, inputs!$I$17))</f>
        <v>46.599833021862196</v>
      </c>
      <c r="U594" s="63">
        <f>IF((((inputs!$P$13/(X594/MAX(K594:S594)))^(1/inputs!$O$13))-1)/inputs!$N$13&lt;0, 0, IF((((inputs!$P$13/(X594/MAX(K594:S594)))^(1/inputs!$O$13))-1)/inputs!$N$13&lt;inputs!$I$17, (((inputs!$P$13/(X594/MAX(K594:S594)))^(1/inputs!$O$13))-1)/inputs!$N$13, inputs!$I$17))</f>
        <v>0</v>
      </c>
      <c r="V594" s="54">
        <f>inputs!$E$70*(F594/inputs!$F$70)^(0.25)</f>
        <v>3.4664112499902893</v>
      </c>
      <c r="W594" s="54">
        <f>inputs!$E$76*(F594/inputs!$F$76)^(0.25)</f>
        <v>0.24923650960994048</v>
      </c>
      <c r="X594" s="54">
        <f>inputs!$E$72*(inputs!$F$72/F594)^(0.25)</f>
        <v>72.091850036749122</v>
      </c>
      <c r="Y594" s="54" t="s">
        <v>13</v>
      </c>
      <c r="Z594" s="106">
        <f t="shared" si="51"/>
        <v>16.168000466801054</v>
      </c>
      <c r="AA594" s="106">
        <f t="shared" si="52"/>
        <v>224.86648844376268</v>
      </c>
    </row>
    <row r="595" spans="1:27" ht="13.2" x14ac:dyDescent="0.25">
      <c r="A595" s="55" t="s">
        <v>542</v>
      </c>
      <c r="B595" s="49" t="s">
        <v>543</v>
      </c>
      <c r="C595" s="21" t="s">
        <v>61</v>
      </c>
      <c r="D595" s="20" t="s">
        <v>443</v>
      </c>
      <c r="E595" s="20">
        <v>34</v>
      </c>
      <c r="F595" s="21">
        <v>15</v>
      </c>
      <c r="G595" s="21" t="s">
        <v>182</v>
      </c>
      <c r="H595" s="21">
        <v>0.85</v>
      </c>
      <c r="I595" s="68">
        <f>MAX('Max rate concentrations'!$M$3:$M$368)</f>
        <v>17.092910873809167</v>
      </c>
      <c r="J595" s="68">
        <f>MAX('Max rate concentrations'!AE:AE)</f>
        <v>11.81956602976166</v>
      </c>
      <c r="K595" s="70">
        <f t="shared" si="49"/>
        <v>21.729042046600661</v>
      </c>
      <c r="L595" s="70">
        <f t="shared" si="50"/>
        <v>15.025401415202587</v>
      </c>
      <c r="M595" s="70">
        <f>IF((((0.326*F595^0.818)-(0.398*F595^0.85)/(1-H595)*H595)*(MAX('Max rate concentrations'!$P$3:$P$368)))/F595&gt;0, (((0.326*F595^0.818)-(0.398*F595^0.85)/(1-H595)*H595)*(MAX('Max rate concentrations'!$P$3:$P$368)))/F595, 0)</f>
        <v>0</v>
      </c>
      <c r="N595" s="70">
        <f>IF((((0.326*F595^0.818)-(0.398*F595^0.85)/(1-H595)*H595)*(MAX('Max rate concentrations'!$Q$3:$Q$368)))/F595&gt; 0, (((0.326*F595^0.818)-(0.398*F595^0.85)/(1-H595)*H595)*(MAX('Max rate concentrations'!$Q$3:$Q$368)))/F595, 0)</f>
        <v>0</v>
      </c>
      <c r="O595" s="70">
        <f>((MAX('Max rate concentrations'!$F$3:$F$368))*0.62*6.01*8*(12.3*F595^0.65)*0.079*0.1/F595)*inputs!$E$73/inputs!$E$74</f>
        <v>104.92750258141861</v>
      </c>
      <c r="P595" s="70">
        <f>((MAX('Max rate concentrations'!Y:Y))*0.62*6.01*8*(12.3*F595^0.65)*0.079*0.1/F595)*inputs!$E$73/inputs!$E$74</f>
        <v>34.9758341938062</v>
      </c>
      <c r="Q595" s="70">
        <f>(inputs!$C$18*11.2*(12.3*F595^0.65)*0.5/F595)*inputs!$E$73/inputs!$E$74</f>
        <v>18.482484680957491</v>
      </c>
      <c r="R595" s="60">
        <f>(60*379*((F595/1000)^0.8)*3*24*(MAX('Max rate concentrations'!$R$3:$R$368))/F595)*(inputs!$E$73/inputs!$E$75)</f>
        <v>2.5568806496861746E-2</v>
      </c>
      <c r="S595" s="60">
        <f>(IF(inputs!$C$17="aerial",((0.025*0.112*inputs!$C$18/3.3)*(3*60*379*((F595/1000)^0.8))*MAX(inputs!$I$14:$I$16))/F595,((0.0083*0.112*inputs!$C$18/1)*(3*60*379*((F595/1000)^0.8))*MAX(inputs!$I$14:$I$16))/F595))*(inputs!E$75/inputs!$E$73)</f>
        <v>0.14101353873443245</v>
      </c>
      <c r="T595" s="63">
        <f>IF((((inputs!$P$13/(V595/MAX(K595:S595)))^(1/inputs!$O$13))-1)/inputs!$N$13&lt;0, 0, IF((((inputs!$P$13/(V595/MAX(K595:S595)))^(1/inputs!$O$13))-1)/inputs!$N$13&lt;inputs!$I$17, (((inputs!$P$13/(V595/MAX(K595:S595)))^(1/inputs!$O$13))-1)/inputs!$N$13, inputs!$I$17))</f>
        <v>118.4009365573144</v>
      </c>
      <c r="U595" s="63">
        <f>IF((((inputs!$P$13/(X595/MAX(K595:S595)))^(1/inputs!$O$13))-1)/inputs!$N$13&lt;0, 0, IF((((inputs!$P$13/(X595/MAX(K595:S595)))^(1/inputs!$O$13))-1)/inputs!$N$13&lt;inputs!$I$17, (((inputs!$P$13/(X595/MAX(K595:S595)))^(1/inputs!$O$13))-1)/inputs!$N$13, inputs!$I$17))</f>
        <v>0</v>
      </c>
      <c r="V595" s="54">
        <f>inputs!$E$70*(F595/inputs!$F$70)^(0.25)</f>
        <v>2.2148395646629968</v>
      </c>
      <c r="W595" s="54">
        <f>inputs!$E$76*(F595/inputs!$F$76)^(0.25)</f>
        <v>0.15924794914168131</v>
      </c>
      <c r="X595" s="54">
        <f>inputs!$E$72*(inputs!$F$72/F595)^(0.25)</f>
        <v>112.82984284147192</v>
      </c>
      <c r="Y595" s="54" t="s">
        <v>13</v>
      </c>
      <c r="Z595" s="106">
        <f t="shared" si="51"/>
        <v>47.374764409802324</v>
      </c>
      <c r="AA595" s="106">
        <f t="shared" si="52"/>
        <v>658.89390191182724</v>
      </c>
    </row>
    <row r="596" spans="1:27" ht="13.2" x14ac:dyDescent="0.25">
      <c r="A596" s="55" t="s">
        <v>542</v>
      </c>
      <c r="B596" s="49" t="s">
        <v>543</v>
      </c>
      <c r="C596" s="21" t="s">
        <v>61</v>
      </c>
      <c r="D596" s="20" t="s">
        <v>443</v>
      </c>
      <c r="E596" s="20">
        <v>34</v>
      </c>
      <c r="F596" s="21">
        <v>15</v>
      </c>
      <c r="G596" s="21" t="s">
        <v>142</v>
      </c>
      <c r="H596" s="21">
        <v>0.69</v>
      </c>
      <c r="I596" s="68">
        <f>MAX('Max rate concentrations'!$H$3:$H$368)</f>
        <v>282</v>
      </c>
      <c r="J596" s="68">
        <f>MAX('Max rate concentrations'!AA:AA)</f>
        <v>195</v>
      </c>
      <c r="K596" s="70">
        <f t="shared" si="49"/>
        <v>173.46155116527132</v>
      </c>
      <c r="L596" s="70">
        <f t="shared" si="50"/>
        <v>119.94681729513441</v>
      </c>
      <c r="M596" s="70">
        <f>IF((((0.326*F596^0.818)-(0.398*F596^0.85)/(1-H596)*H596)*(MAX('Max rate concentrations'!$P$3:$P$368)))/F596&gt;0, (((0.326*F596^0.818)-(0.398*F596^0.85)/(1-H596)*H596)*(MAX('Max rate concentrations'!$P$3:$P$368)))/F596, 0)</f>
        <v>0</v>
      </c>
      <c r="N596" s="70">
        <f>IF((((0.326*F596^0.818)-(0.398*F596^0.85)/(1-H596)*H596)*(MAX('Max rate concentrations'!$Q$3:$Q$368)))/F596&gt; 0, (((0.326*F596^0.818)-(0.398*F596^0.85)/(1-H596)*H596)*(MAX('Max rate concentrations'!$Q$3:$Q$368)))/F596, 0)</f>
        <v>0</v>
      </c>
      <c r="O596" s="70">
        <f>((MAX('Max rate concentrations'!$F$3:$F$368))*0.62*6.01*8*(12.3*F596^0.65)*0.079*0.1/F596)*inputs!$E$73/inputs!$E$74</f>
        <v>104.92750258141861</v>
      </c>
      <c r="P596" s="70">
        <f>((MAX('Max rate concentrations'!Y:Y))*0.62*6.01*8*(12.3*F596^0.65)*0.079*0.1/F596)*inputs!$E$73/inputs!$E$74</f>
        <v>34.9758341938062</v>
      </c>
      <c r="Q596" s="70">
        <f>(inputs!$C$18*11.2*(12.3*F596^0.65)*0.5/F596)*inputs!$E$73/inputs!$E$74</f>
        <v>18.482484680957491</v>
      </c>
      <c r="R596" s="60">
        <f>(60*379*((F596/1000)^0.8)*3*24*(MAX('Max rate concentrations'!$R$3:$R$368))/F596)*(inputs!$E$73/inputs!$E$75)</f>
        <v>2.5568806496861746E-2</v>
      </c>
      <c r="S596" s="60">
        <f>(IF(inputs!$C$17="aerial",((0.025*0.112*inputs!$C$18/3.3)*(3*60*379*((F596/1000)^0.8))*MAX(inputs!$I$14:$I$16))/F596,((0.0083*0.112*inputs!$C$18/1)*(3*60*379*((F596/1000)^0.8))*MAX(inputs!$I$14:$I$16))/F596))*(inputs!E$75/inputs!$E$73)</f>
        <v>0.14101353873443245</v>
      </c>
      <c r="T596" s="63">
        <f>IF((((inputs!$P$13/(V596/MAX(K596:S596)))^(1/inputs!$O$13))-1)/inputs!$N$13&lt;0, 0, IF((((inputs!$P$13/(V596/MAX(K596:S596)))^(1/inputs!$O$13))-1)/inputs!$N$13&lt;inputs!$I$17, (((inputs!$P$13/(V596/MAX(K596:S596)))^(1/inputs!$O$13))-1)/inputs!$N$13, inputs!$I$17))</f>
        <v>180.40837500360377</v>
      </c>
      <c r="U596" s="63">
        <f>IF((((inputs!$P$13/(X596/MAX(K596:S596)))^(1/inputs!$O$13))-1)/inputs!$N$13&lt;0, 0, IF((((inputs!$P$13/(X596/MAX(K596:S596)))^(1/inputs!$O$13))-1)/inputs!$N$13&lt;inputs!$I$17, (((inputs!$P$13/(X596/MAX(K596:S596)))^(1/inputs!$O$13))-1)/inputs!$N$13, inputs!$I$17))</f>
        <v>2.5029327735431672</v>
      </c>
      <c r="V596" s="54">
        <f>inputs!$E$70*(F596/inputs!$F$70)^(0.25)</f>
        <v>2.2148395646629968</v>
      </c>
      <c r="W596" s="54">
        <f>inputs!$E$76*(F596/inputs!$F$76)^(0.25)</f>
        <v>0.15924794914168131</v>
      </c>
      <c r="X596" s="54">
        <f>inputs!$E$72*(inputs!$F$72/F596)^(0.25)</f>
        <v>112.82984284147192</v>
      </c>
      <c r="Y596" s="54" t="s">
        <v>13</v>
      </c>
      <c r="Z596" s="106">
        <f t="shared" si="51"/>
        <v>78.317885382214897</v>
      </c>
      <c r="AA596" s="106">
        <f t="shared" si="52"/>
        <v>1089.2545373438015</v>
      </c>
    </row>
    <row r="597" spans="1:27" ht="13.2" x14ac:dyDescent="0.25">
      <c r="A597" s="55" t="s">
        <v>542</v>
      </c>
      <c r="B597" s="49" t="s">
        <v>543</v>
      </c>
      <c r="C597" s="21" t="s">
        <v>61</v>
      </c>
      <c r="D597" s="20" t="s">
        <v>443</v>
      </c>
      <c r="E597" s="20">
        <v>34</v>
      </c>
      <c r="F597" s="21">
        <v>15</v>
      </c>
      <c r="G597" s="21" t="s">
        <v>152</v>
      </c>
      <c r="H597" s="21">
        <v>0.77</v>
      </c>
      <c r="I597" s="68">
        <f>MAX('Max rate concentrations'!$G$3:$G$368)</f>
        <v>45</v>
      </c>
      <c r="J597" s="68">
        <f>MAX('Max rate concentrations'!Z:Z)</f>
        <v>21</v>
      </c>
      <c r="K597" s="70">
        <f t="shared" si="49"/>
        <v>37.307872937951515</v>
      </c>
      <c r="L597" s="70">
        <f t="shared" si="50"/>
        <v>17.410340704377372</v>
      </c>
      <c r="M597" s="70">
        <f>IF((((0.326*F597^0.818)-(0.398*F597^0.85)/(1-H597)*H597)*(MAX('Max rate concentrations'!$P$3:$P$368)))/F597&gt;0, (((0.326*F597^0.818)-(0.398*F597^0.85)/(1-H597)*H597)*(MAX('Max rate concentrations'!$P$3:$P$368)))/F597, 0)</f>
        <v>0</v>
      </c>
      <c r="N597" s="70">
        <f>IF((((0.326*F597^0.818)-(0.398*F597^0.85)/(1-H597)*H597)*(MAX('Max rate concentrations'!$Q$3:$Q$368)))/F597&gt; 0, (((0.326*F597^0.818)-(0.398*F597^0.85)/(1-H597)*H597)*(MAX('Max rate concentrations'!$Q$3:$Q$368)))/F597, 0)</f>
        <v>0</v>
      </c>
      <c r="O597" s="70">
        <f>((MAX('Max rate concentrations'!$F$3:$F$368))*0.62*6.01*8*(12.3*F597^0.65)*0.079*0.1/F597)*inputs!$E$73/inputs!$E$74</f>
        <v>104.92750258141861</v>
      </c>
      <c r="P597" s="70">
        <f>((MAX('Max rate concentrations'!Y:Y))*0.62*6.01*8*(12.3*F597^0.65)*0.079*0.1/F597)*inputs!$E$73/inputs!$E$74</f>
        <v>34.9758341938062</v>
      </c>
      <c r="Q597" s="70">
        <f>(inputs!$C$18*11.2*(12.3*F597^0.65)*0.5/F597)*inputs!$E$73/inputs!$E$74</f>
        <v>18.482484680957491</v>
      </c>
      <c r="R597" s="60">
        <f>(60*379*((F597/1000)^0.8)*3*24*(MAX('Max rate concentrations'!$R$3:$R$368))/F597)*(inputs!$E$73/inputs!$E$75)</f>
        <v>2.5568806496861746E-2</v>
      </c>
      <c r="S597" s="60">
        <f>(IF(inputs!$C$17="aerial",((0.025*0.112*inputs!$C$18/3.3)*(3*60*379*((F597/1000)^0.8))*MAX(inputs!$I$14:$I$16))/F597,((0.0083*0.112*inputs!$C$18/1)*(3*60*379*((F597/1000)^0.8))*MAX(inputs!$I$14:$I$16))/F597))*(inputs!E$75/inputs!$E$73)</f>
        <v>0.14101353873443245</v>
      </c>
      <c r="T597" s="63">
        <f>IF((((inputs!$P$13/(V597/MAX(K597:S597)))^(1/inputs!$O$13))-1)/inputs!$N$13&lt;0, 0, IF((((inputs!$P$13/(V597/MAX(K597:S597)))^(1/inputs!$O$13))-1)/inputs!$N$13&lt;inputs!$I$17, (((inputs!$P$13/(V597/MAX(K597:S597)))^(1/inputs!$O$13))-1)/inputs!$N$13, inputs!$I$17))</f>
        <v>118.4009365573144</v>
      </c>
      <c r="U597" s="63">
        <f>IF((((inputs!$P$13/(X597/MAX(K597:S597)))^(1/inputs!$O$13))-1)/inputs!$N$13&lt;0, 0, IF((((inputs!$P$13/(X597/MAX(K597:S597)))^(1/inputs!$O$13))-1)/inputs!$N$13&lt;inputs!$I$17, (((inputs!$P$13/(X597/MAX(K597:S597)))^(1/inputs!$O$13))-1)/inputs!$N$13, inputs!$I$17))</f>
        <v>0</v>
      </c>
      <c r="V597" s="54">
        <f>inputs!$E$70*(F597/inputs!$F$70)^(0.25)</f>
        <v>2.2148395646629968</v>
      </c>
      <c r="W597" s="54">
        <f>inputs!$E$76*(F597/inputs!$F$76)^(0.25)</f>
        <v>0.15924794914168131</v>
      </c>
      <c r="X597" s="54">
        <f>inputs!$E$72*(inputs!$F$72/F597)^(0.25)</f>
        <v>112.82984284147192</v>
      </c>
      <c r="Y597" s="54" t="s">
        <v>13</v>
      </c>
      <c r="Z597" s="106">
        <f t="shared" si="51"/>
        <v>47.374764409802324</v>
      </c>
      <c r="AA597" s="106">
        <f t="shared" si="52"/>
        <v>658.89390191182724</v>
      </c>
    </row>
    <row r="598" spans="1:27" ht="13.2" x14ac:dyDescent="0.25">
      <c r="A598" s="55" t="s">
        <v>542</v>
      </c>
      <c r="B598" s="49" t="s">
        <v>543</v>
      </c>
      <c r="C598" s="21" t="s">
        <v>61</v>
      </c>
      <c r="D598" s="20" t="s">
        <v>443</v>
      </c>
      <c r="E598" s="20">
        <v>34</v>
      </c>
      <c r="F598" s="21">
        <v>15</v>
      </c>
      <c r="G598" s="21" t="s">
        <v>169</v>
      </c>
      <c r="H598" s="21">
        <v>0.79</v>
      </c>
      <c r="I598" s="68">
        <f>MAX('Max rate concentrations'!$D$3:$D$368)</f>
        <v>720</v>
      </c>
      <c r="J598" s="68">
        <f>MAX('Max rate concentrations'!W:W)</f>
        <v>255</v>
      </c>
      <c r="K598" s="70">
        <f t="shared" si="49"/>
        <v>653.77605910315049</v>
      </c>
      <c r="L598" s="70">
        <f t="shared" si="50"/>
        <v>231.54568759903245</v>
      </c>
      <c r="M598" s="70">
        <f>IF((((0.326*F598^0.818)-(0.398*F598^0.85)/(1-H598)*H598)*(MAX('Max rate concentrations'!$P$3:$P$368)))/F598&gt;0, (((0.326*F598^0.818)-(0.398*F598^0.85)/(1-H598)*H598)*(MAX('Max rate concentrations'!$P$3:$P$368)))/F598, 0)</f>
        <v>0</v>
      </c>
      <c r="N598" s="70">
        <f>IF((((0.326*F598^0.818)-(0.398*F598^0.85)/(1-H598)*H598)*(MAX('Max rate concentrations'!$Q$3:$Q$368)))/F598&gt; 0, (((0.326*F598^0.818)-(0.398*F598^0.85)/(1-H598)*H598)*(MAX('Max rate concentrations'!$Q$3:$Q$368)))/F598, 0)</f>
        <v>0</v>
      </c>
      <c r="O598" s="70">
        <f>((MAX('Max rate concentrations'!$F$3:$F$368))*0.62*6.01*8*(12.3*F598^0.65)*0.079*0.1/F598)*inputs!$E$73/inputs!$E$74</f>
        <v>104.92750258141861</v>
      </c>
      <c r="P598" s="70">
        <f>((MAX('Max rate concentrations'!Y:Y))*0.62*6.01*8*(12.3*F598^0.65)*0.079*0.1/F598)*inputs!$E$73/inputs!$E$74</f>
        <v>34.9758341938062</v>
      </c>
      <c r="Q598" s="70">
        <f>(inputs!$C$18*11.2*(12.3*F598^0.65)*0.5/F598)*inputs!$E$73/inputs!$E$74</f>
        <v>18.482484680957491</v>
      </c>
      <c r="R598" s="60">
        <f>(60*379*((F598/1000)^0.8)*3*24*(MAX('Max rate concentrations'!$R$3:$R$368))/F598)*(inputs!$E$73/inputs!$E$75)</f>
        <v>2.5568806496861746E-2</v>
      </c>
      <c r="S598" s="60">
        <f>(IF(inputs!$C$17="aerial",((0.025*0.112*inputs!$C$18/3.3)*(3*60*379*((F598/1000)^0.8))*MAX(inputs!$I$14:$I$16))/F598,((0.0083*0.112*inputs!$C$18/1)*(3*60*379*((F598/1000)^0.8))*MAX(inputs!$I$14:$I$16))/F598))*(inputs!E$75/inputs!$E$73)</f>
        <v>0.14101353873443245</v>
      </c>
      <c r="T598" s="63">
        <f>IF((((inputs!$P$13/(V598/MAX(K598:S598)))^(1/inputs!$O$13))-1)/inputs!$N$13&lt;0, 0, IF((((inputs!$P$13/(V598/MAX(K598:S598)))^(1/inputs!$O$13))-1)/inputs!$N$13&lt;inputs!$I$17, (((inputs!$P$13/(V598/MAX(K598:S598)))^(1/inputs!$O$13))-1)/inputs!$N$13, inputs!$I$17))</f>
        <v>537.56974385432773</v>
      </c>
      <c r="U598" s="63">
        <f>IF((((inputs!$P$13/(X598/MAX(K598:S598)))^(1/inputs!$O$13))-1)/inputs!$N$13&lt;0, 0, IF((((inputs!$P$13/(X598/MAX(K598:S598)))^(1/inputs!$O$13))-1)/inputs!$N$13&lt;inputs!$I$17, (((inputs!$P$13/(X598/MAX(K598:S598)))^(1/inputs!$O$13))-1)/inputs!$N$13, inputs!$I$17))</f>
        <v>17.375999866301779</v>
      </c>
      <c r="V598" s="54">
        <f>inputs!$E$70*(F598/inputs!$F$70)^(0.25)</f>
        <v>2.2148395646629968</v>
      </c>
      <c r="W598" s="54">
        <f>inputs!$E$76*(F598/inputs!$F$76)^(0.25)</f>
        <v>0.15924794914168131</v>
      </c>
      <c r="X598" s="54">
        <f>inputs!$E$72*(inputs!$F$72/F598)^(0.25)</f>
        <v>112.82984284147192</v>
      </c>
      <c r="Y598" s="54" t="s">
        <v>13</v>
      </c>
      <c r="Z598" s="106">
        <f t="shared" si="51"/>
        <v>295.17987195728421</v>
      </c>
      <c r="AA598" s="106">
        <f t="shared" si="52"/>
        <v>4105.3970404447246</v>
      </c>
    </row>
    <row r="599" spans="1:27" ht="13.2" x14ac:dyDescent="0.25">
      <c r="A599" s="55" t="s">
        <v>542</v>
      </c>
      <c r="B599" s="49" t="s">
        <v>543</v>
      </c>
      <c r="C599" s="21" t="s">
        <v>61</v>
      </c>
      <c r="D599" s="20" t="s">
        <v>443</v>
      </c>
      <c r="E599" s="20">
        <v>34</v>
      </c>
      <c r="F599" s="21">
        <v>15</v>
      </c>
      <c r="G599" s="21" t="s">
        <v>177</v>
      </c>
      <c r="H599" s="21">
        <v>0.85</v>
      </c>
      <c r="I599" s="68">
        <f>MAX('Max rate concentrations'!$F$3:$F$368)</f>
        <v>405</v>
      </c>
      <c r="J599" s="68">
        <f>MAX('Max rate concentrations'!Y:Y)</f>
        <v>135</v>
      </c>
      <c r="K599" s="70">
        <f t="shared" si="49"/>
        <v>514.84864654373075</v>
      </c>
      <c r="L599" s="70">
        <f t="shared" si="50"/>
        <v>171.61621551457694</v>
      </c>
      <c r="M599" s="70">
        <f>IF((((0.326*F599^0.818)-(0.398*F599^0.85)/(1-H599)*H599)*(MAX('Max rate concentrations'!$P$3:$P$368)))/F599&gt;0, (((0.326*F599^0.818)-(0.398*F599^0.85)/(1-H599)*H599)*(MAX('Max rate concentrations'!$P$3:$P$368)))/F599, 0)</f>
        <v>0</v>
      </c>
      <c r="N599" s="70">
        <f>IF((((0.326*F599^0.818)-(0.398*F599^0.85)/(1-H599)*H599)*(MAX('Max rate concentrations'!$Q$3:$Q$368)))/F599&gt; 0, (((0.326*F599^0.818)-(0.398*F599^0.85)/(1-H599)*H599)*(MAX('Max rate concentrations'!$Q$3:$Q$368)))/F599, 0)</f>
        <v>0</v>
      </c>
      <c r="O599" s="70">
        <f>((MAX('Max rate concentrations'!$F$3:$F$368))*0.62*6.01*8*(12.3*F599^0.65)*0.079*0.1/F599)*inputs!$E$73/inputs!$E$74</f>
        <v>104.92750258141861</v>
      </c>
      <c r="P599" s="70">
        <f>((MAX('Max rate concentrations'!Y:Y))*0.62*6.01*8*(12.3*F599^0.65)*0.079*0.1/F599)*inputs!$E$73/inputs!$E$74</f>
        <v>34.9758341938062</v>
      </c>
      <c r="Q599" s="70">
        <f>(inputs!$C$18*11.2*(12.3*F599^0.65)*0.5/F599)*inputs!$E$73/inputs!$E$74</f>
        <v>18.482484680957491</v>
      </c>
      <c r="R599" s="60">
        <f>(60*379*((F599/1000)^0.8)*3*24*(MAX('Max rate concentrations'!$R$3:$R$368))/F599)*(inputs!$E$73/inputs!$E$75)</f>
        <v>2.5568806496861746E-2</v>
      </c>
      <c r="S599" s="60">
        <f>(IF(inputs!$C$17="aerial",((0.025*0.112*inputs!$C$18/3.3)*(3*60*379*((F599/1000)^0.8))*MAX(inputs!$I$14:$I$16))/F599,((0.0083*0.112*inputs!$C$18/1)*(3*60*379*((F599/1000)^0.8))*MAX(inputs!$I$14:$I$16))/F599))*(inputs!E$75/inputs!$E$73)</f>
        <v>0.14101353873443245</v>
      </c>
      <c r="T599" s="63">
        <f>IF((((inputs!$P$13/(V599/MAX(K599:S599)))^(1/inputs!$O$13))-1)/inputs!$N$13&lt;0, 0, IF((((inputs!$P$13/(V599/MAX(K599:S599)))^(1/inputs!$O$13))-1)/inputs!$N$13&lt;inputs!$I$17, (((inputs!$P$13/(V599/MAX(K599:S599)))^(1/inputs!$O$13))-1)/inputs!$N$13, inputs!$I$17))</f>
        <v>442.21651726602613</v>
      </c>
      <c r="U599" s="63">
        <f>IF((((inputs!$P$13/(X599/MAX(K599:S599)))^(1/inputs!$O$13))-1)/inputs!$N$13&lt;0, 0, IF((((inputs!$P$13/(X599/MAX(K599:S599)))^(1/inputs!$O$13))-1)/inputs!$N$13&lt;inputs!$I$17, (((inputs!$P$13/(X599/MAX(K599:S599)))^(1/inputs!$O$13))-1)/inputs!$N$13, inputs!$I$17))</f>
        <v>13.405259858438381</v>
      </c>
      <c r="V599" s="54">
        <f>inputs!$E$70*(F599/inputs!$F$70)^(0.25)</f>
        <v>2.2148395646629968</v>
      </c>
      <c r="W599" s="54">
        <f>inputs!$E$76*(F599/inputs!$F$76)^(0.25)</f>
        <v>0.15924794914168131</v>
      </c>
      <c r="X599" s="54">
        <f>inputs!$E$72*(inputs!$F$72/F599)^(0.25)</f>
        <v>112.82984284147192</v>
      </c>
      <c r="Y599" s="54" t="s">
        <v>13</v>
      </c>
      <c r="Z599" s="106">
        <f t="shared" si="51"/>
        <v>232.45414916636119</v>
      </c>
      <c r="AA599" s="106">
        <f t="shared" si="52"/>
        <v>3233.000169350219</v>
      </c>
    </row>
    <row r="600" spans="1:27" ht="13.2" x14ac:dyDescent="0.25">
      <c r="A600" s="55" t="s">
        <v>542</v>
      </c>
      <c r="B600" s="49" t="s">
        <v>543</v>
      </c>
      <c r="C600" s="21" t="s">
        <v>61</v>
      </c>
      <c r="D600" s="20" t="s">
        <v>443</v>
      </c>
      <c r="E600" s="20">
        <v>34</v>
      </c>
      <c r="F600" s="21">
        <v>15</v>
      </c>
      <c r="G600" s="21" t="s">
        <v>456</v>
      </c>
      <c r="H600" s="21">
        <v>0.68</v>
      </c>
      <c r="I600" s="68">
        <f>MAX('Max rate concentrations'!$J$3:$J$368)</f>
        <v>686.46486205830786</v>
      </c>
      <c r="J600" s="68">
        <f>MAX('Max rate concentrations'!AB:AB)</f>
        <v>243.122971978984</v>
      </c>
      <c r="K600" s="70">
        <f t="shared" si="49"/>
        <v>409.05729760480182</v>
      </c>
      <c r="L600" s="70">
        <f t="shared" si="50"/>
        <v>144.87445956836729</v>
      </c>
      <c r="M600" s="70">
        <f>IF((((0.326*F600^0.818)-(0.398*F600^0.85)/(1-H600)*H600)*(MAX('Max rate concentrations'!$P$3:$P$368)))/F600&gt;0, (((0.326*F600^0.818)-(0.398*F600^0.85)/(1-H600)*H600)*(MAX('Max rate concentrations'!$P$3:$P$368)))/F600, 0)</f>
        <v>0</v>
      </c>
      <c r="N600" s="70">
        <f>IF((((0.326*F600^0.818)-(0.398*F600^0.85)/(1-H600)*H600)*(MAX('Max rate concentrations'!$Q$3:$Q$368)))/F600&gt; 0, (((0.326*F600^0.818)-(0.398*F600^0.85)/(1-H600)*H600)*(MAX('Max rate concentrations'!$Q$3:$Q$368)))/F600, 0)</f>
        <v>0</v>
      </c>
      <c r="O600" s="70">
        <f>((MAX('Max rate concentrations'!$F$3:$F$368))*0.62*6.01*8*(12.3*F600^0.65)*0.079*0.1/F600)*inputs!$E$73/inputs!$E$74</f>
        <v>104.92750258141861</v>
      </c>
      <c r="P600" s="70">
        <f>((MAX('Max rate concentrations'!Y:Y))*0.62*6.01*8*(12.3*F600^0.65)*0.079*0.1/F600)*inputs!$E$73/inputs!$E$74</f>
        <v>34.9758341938062</v>
      </c>
      <c r="Q600" s="70">
        <f>(inputs!$C$18*11.2*(12.3*F600^0.65)*0.5/F600)*inputs!$E$73/inputs!$E$74</f>
        <v>18.482484680957491</v>
      </c>
      <c r="R600" s="60">
        <f>(60*379*((F600/1000)^0.8)*3*24*(MAX('Max rate concentrations'!$R$3:$R$368))/F600)*(inputs!$E$73/inputs!$E$75)</f>
        <v>2.5568806496861746E-2</v>
      </c>
      <c r="S600" s="60">
        <f>(IF(inputs!$C$17="aerial",((0.025*0.112*inputs!$C$18/3.3)*(3*60*379*((F600/1000)^0.8))*MAX(inputs!$I$14:$I$16))/F600,((0.0083*0.112*inputs!$C$18/1)*(3*60*379*((F600/1000)^0.8))*MAX(inputs!$I$14:$I$16))/F600))*(inputs!E$75/inputs!$E$73)</f>
        <v>0.14101353873443245</v>
      </c>
      <c r="T600" s="63">
        <f>IF((((inputs!$P$13/(V600/MAX(K600:S600)))^(1/inputs!$O$13))-1)/inputs!$N$13&lt;0, 0, IF((((inputs!$P$13/(V600/MAX(K600:S600)))^(1/inputs!$O$13))-1)/inputs!$N$13&lt;inputs!$I$17, (((inputs!$P$13/(V600/MAX(K600:S600)))^(1/inputs!$O$13))-1)/inputs!$N$13, inputs!$I$17))</f>
        <v>366.27042819788079</v>
      </c>
      <c r="U600" s="63">
        <f>IF((((inputs!$P$13/(X600/MAX(K600:S600)))^(1/inputs!$O$13))-1)/inputs!$N$13&lt;0, 0, IF((((inputs!$P$13/(X600/MAX(K600:S600)))^(1/inputs!$O$13))-1)/inputs!$N$13&lt;inputs!$I$17, (((inputs!$P$13/(X600/MAX(K600:S600)))^(1/inputs!$O$13))-1)/inputs!$N$13, inputs!$I$17))</f>
        <v>10.24268020493939</v>
      </c>
      <c r="V600" s="54">
        <f>inputs!$E$70*(F600/inputs!$F$70)^(0.25)</f>
        <v>2.2148395646629968</v>
      </c>
      <c r="W600" s="54">
        <f>inputs!$E$76*(F600/inputs!$F$76)^(0.25)</f>
        <v>0.15924794914168131</v>
      </c>
      <c r="X600" s="54">
        <f>inputs!$E$72*(inputs!$F$72/F600)^(0.25)</f>
        <v>112.82984284147192</v>
      </c>
      <c r="Y600" s="54" t="s">
        <v>13</v>
      </c>
      <c r="Z600" s="106">
        <f t="shared" si="51"/>
        <v>184.68935815088832</v>
      </c>
      <c r="AA600" s="106">
        <f t="shared" si="52"/>
        <v>2568.6817306568114</v>
      </c>
    </row>
    <row r="601" spans="1:27" ht="13.2" x14ac:dyDescent="0.25">
      <c r="A601" s="55" t="s">
        <v>542</v>
      </c>
      <c r="B601" s="49" t="s">
        <v>543</v>
      </c>
      <c r="C601" s="21" t="s">
        <v>61</v>
      </c>
      <c r="D601" s="20" t="s">
        <v>443</v>
      </c>
      <c r="E601" s="20">
        <v>34</v>
      </c>
      <c r="F601" s="21">
        <v>15</v>
      </c>
      <c r="G601" s="21" t="s">
        <v>145</v>
      </c>
      <c r="H601" s="21">
        <v>0.66</v>
      </c>
      <c r="I601" s="68">
        <f>MAX('Max rate concentrations'!$M$3:$M$368)</f>
        <v>17.092910873809167</v>
      </c>
      <c r="J601" s="68">
        <f>MAX('Max rate concentrations'!AE:AE)</f>
        <v>11.81956602976166</v>
      </c>
      <c r="K601" s="70">
        <f t="shared" si="49"/>
        <v>9.5863420793826482</v>
      </c>
      <c r="L601" s="70">
        <f t="shared" si="50"/>
        <v>6.628853565530556</v>
      </c>
      <c r="M601" s="70">
        <f>IF((((0.326*F601^0.818)-(0.398*F601^0.85)/(1-H601)*H601)*(MAX('Max rate concentrations'!$P$3:$P$368)))/F601&gt;0, (((0.326*F601^0.818)-(0.398*F601^0.85)/(1-H601)*H601)*(MAX('Max rate concentrations'!$P$3:$P$368)))/F601, 0)</f>
        <v>0</v>
      </c>
      <c r="N601" s="70">
        <f>IF((((0.326*F601^0.818)-(0.398*F601^0.85)/(1-H601)*H601)*(MAX('Max rate concentrations'!$Q$3:$Q$368)))/F601&gt; 0, (((0.326*F601^0.818)-(0.398*F601^0.85)/(1-H601)*H601)*(MAX('Max rate concentrations'!$Q$3:$Q$368)))/F601, 0)</f>
        <v>0</v>
      </c>
      <c r="O601" s="70">
        <f>((MAX('Max rate concentrations'!$F$3:$F$368))*0.62*6.01*8*(12.3*F601^0.65)*0.079*0.1/F601)*inputs!$E$73/inputs!$E$74</f>
        <v>104.92750258141861</v>
      </c>
      <c r="P601" s="70">
        <f>((MAX('Max rate concentrations'!Y:Y))*0.62*6.01*8*(12.3*F601^0.65)*0.079*0.1/F601)*inputs!$E$73/inputs!$E$74</f>
        <v>34.9758341938062</v>
      </c>
      <c r="Q601" s="70">
        <f>(inputs!$C$18*11.2*(12.3*F601^0.65)*0.5/F601)*inputs!$E$73/inputs!$E$74</f>
        <v>18.482484680957491</v>
      </c>
      <c r="R601" s="60">
        <f>(60*379*((F601/1000)^0.8)*3*24*(MAX('Max rate concentrations'!$R$3:$R$368))/F601)*(inputs!$E$73/inputs!$E$75)</f>
        <v>2.5568806496861746E-2</v>
      </c>
      <c r="S601" s="60">
        <f>(IF(inputs!$C$17="aerial",((0.025*0.112*inputs!$C$18/3.3)*(3*60*379*((F601/1000)^0.8))*MAX(inputs!$I$14:$I$16))/F601,((0.0083*0.112*inputs!$C$18/1)*(3*60*379*((F601/1000)^0.8))*MAX(inputs!$I$14:$I$16))/F601))*(inputs!E$75/inputs!$E$73)</f>
        <v>0.14101353873443245</v>
      </c>
      <c r="T601" s="63">
        <f>IF((((inputs!$P$13/(V601/MAX(K601:S601)))^(1/inputs!$O$13))-1)/inputs!$N$13&lt;0, 0, IF((((inputs!$P$13/(V601/MAX(K601:S601)))^(1/inputs!$O$13))-1)/inputs!$N$13&lt;inputs!$I$17, (((inputs!$P$13/(V601/MAX(K601:S601)))^(1/inputs!$O$13))-1)/inputs!$N$13, inputs!$I$17))</f>
        <v>118.4009365573144</v>
      </c>
      <c r="U601" s="63">
        <f>IF((((inputs!$P$13/(X601/MAX(K601:S601)))^(1/inputs!$O$13))-1)/inputs!$N$13&lt;0, 0, IF((((inputs!$P$13/(X601/MAX(K601:S601)))^(1/inputs!$O$13))-1)/inputs!$N$13&lt;inputs!$I$17, (((inputs!$P$13/(X601/MAX(K601:S601)))^(1/inputs!$O$13))-1)/inputs!$N$13, inputs!$I$17))</f>
        <v>0</v>
      </c>
      <c r="V601" s="54">
        <f>inputs!$E$70*(F601/inputs!$F$70)^(0.25)</f>
        <v>2.2148395646629968</v>
      </c>
      <c r="W601" s="54">
        <f>inputs!$E$76*(F601/inputs!$F$76)^(0.25)</f>
        <v>0.15924794914168131</v>
      </c>
      <c r="X601" s="54">
        <f>inputs!$E$72*(inputs!$F$72/F601)^(0.25)</f>
        <v>112.82984284147192</v>
      </c>
      <c r="Y601" s="54" t="s">
        <v>13</v>
      </c>
      <c r="Z601" s="106">
        <f t="shared" si="51"/>
        <v>47.374764409802324</v>
      </c>
      <c r="AA601" s="106">
        <f t="shared" si="52"/>
        <v>658.89390191182724</v>
      </c>
    </row>
    <row r="602" spans="1:27" ht="13.2" x14ac:dyDescent="0.25">
      <c r="A602" s="55" t="s">
        <v>542</v>
      </c>
      <c r="B602" s="49" t="s">
        <v>543</v>
      </c>
      <c r="C602" s="21" t="s">
        <v>61</v>
      </c>
      <c r="D602" s="20" t="s">
        <v>443</v>
      </c>
      <c r="E602" s="20">
        <v>34</v>
      </c>
      <c r="F602" s="21">
        <v>15</v>
      </c>
      <c r="G602" s="21" t="s">
        <v>154</v>
      </c>
      <c r="H602" s="21">
        <v>9.2999999999999999E-2</v>
      </c>
      <c r="I602" s="68">
        <f>MAX('Max rate concentrations'!$G$3:$G$368)</f>
        <v>45</v>
      </c>
      <c r="J602" s="68">
        <f>MAX('Max rate concentrations'!Z:Z)</f>
        <v>21</v>
      </c>
      <c r="K602" s="70">
        <f t="shared" si="49"/>
        <v>9.4606513514099753</v>
      </c>
      <c r="L602" s="70">
        <f t="shared" si="50"/>
        <v>4.4149706306579883</v>
      </c>
      <c r="M602" s="70">
        <f>IF((((0.326*F602^0.818)-(0.398*F602^0.85)/(1-H602)*H602)*(MAX('Max rate concentrations'!$P$3:$P$368)))/F602&gt;0, (((0.326*F602^0.818)-(0.398*F602^0.85)/(1-H602)*H602)*(MAX('Max rate concentrations'!$P$3:$P$368)))/F602, 0)</f>
        <v>0.1497569099960554</v>
      </c>
      <c r="N602" s="70">
        <f>IF((((0.326*F602^0.818)-(0.398*F602^0.85)/(1-H602)*H602)*(MAX('Max rate concentrations'!$Q$3:$Q$368)))/F602&gt; 0, (((0.326*F602^0.818)-(0.398*F602^0.85)/(1-H602)*H602)*(MAX('Max rate concentrations'!$Q$3:$Q$368)))/F602, 0)</f>
        <v>0.57028235995611254</v>
      </c>
      <c r="O602" s="70">
        <f>((MAX('Max rate concentrations'!$F$3:$F$368))*0.62*6.01*8*(12.3*F602^0.65)*0.079*0.1/F602)*inputs!$E$73/inputs!$E$74</f>
        <v>104.92750258141861</v>
      </c>
      <c r="P602" s="70">
        <f>((MAX('Max rate concentrations'!Y:Y))*0.62*6.01*8*(12.3*F602^0.65)*0.079*0.1/F602)*inputs!$E$73/inputs!$E$74</f>
        <v>34.9758341938062</v>
      </c>
      <c r="Q602" s="70">
        <f>(inputs!$C$18*11.2*(12.3*F602^0.65)*0.5/F602)*inputs!$E$73/inputs!$E$74</f>
        <v>18.482484680957491</v>
      </c>
      <c r="R602" s="60">
        <f>(60*379*((F602/1000)^0.8)*3*24*(MAX('Max rate concentrations'!$R$3:$R$368))/F602)*(inputs!$E$73/inputs!$E$75)</f>
        <v>2.5568806496861746E-2</v>
      </c>
      <c r="S602" s="60">
        <f>(IF(inputs!$C$17="aerial",((0.025*0.112*inputs!$C$18/3.3)*(3*60*379*((F602/1000)^0.8))*MAX(inputs!$I$14:$I$16))/F602,((0.0083*0.112*inputs!$C$18/1)*(3*60*379*((F602/1000)^0.8))*MAX(inputs!$I$14:$I$16))/F602))*(inputs!E$75/inputs!$E$73)</f>
        <v>0.14101353873443245</v>
      </c>
      <c r="T602" s="63">
        <f>IF((((inputs!$P$13/(V602/MAX(K602:S602)))^(1/inputs!$O$13))-1)/inputs!$N$13&lt;0, 0, IF((((inputs!$P$13/(V602/MAX(K602:S602)))^(1/inputs!$O$13))-1)/inputs!$N$13&lt;inputs!$I$17, (((inputs!$P$13/(V602/MAX(K602:S602)))^(1/inputs!$O$13))-1)/inputs!$N$13, inputs!$I$17))</f>
        <v>118.4009365573144</v>
      </c>
      <c r="U602" s="63">
        <f>IF((((inputs!$P$13/(X602/MAX(K602:S602)))^(1/inputs!$O$13))-1)/inputs!$N$13&lt;0, 0, IF((((inputs!$P$13/(X602/MAX(K602:S602)))^(1/inputs!$O$13))-1)/inputs!$N$13&lt;inputs!$I$17, (((inputs!$P$13/(X602/MAX(K602:S602)))^(1/inputs!$O$13))-1)/inputs!$N$13, inputs!$I$17))</f>
        <v>0</v>
      </c>
      <c r="V602" s="54">
        <f>inputs!$E$70*(F602/inputs!$F$70)^(0.25)</f>
        <v>2.2148395646629968</v>
      </c>
      <c r="W602" s="54">
        <f>inputs!$E$76*(F602/inputs!$F$76)^(0.25)</f>
        <v>0.15924794914168131</v>
      </c>
      <c r="X602" s="54">
        <f>inputs!$E$72*(inputs!$F$72/F602)^(0.25)</f>
        <v>112.82984284147192</v>
      </c>
      <c r="Y602" s="54" t="s">
        <v>13</v>
      </c>
      <c r="Z602" s="106">
        <f t="shared" si="51"/>
        <v>47.374764409802324</v>
      </c>
      <c r="AA602" s="106">
        <f t="shared" si="52"/>
        <v>658.89390191182724</v>
      </c>
    </row>
    <row r="603" spans="1:27" ht="13.2" x14ac:dyDescent="0.25">
      <c r="A603" s="55" t="s">
        <v>563</v>
      </c>
      <c r="B603" s="49" t="s">
        <v>564</v>
      </c>
      <c r="C603" s="21" t="s">
        <v>61</v>
      </c>
      <c r="D603" s="20" t="s">
        <v>443</v>
      </c>
      <c r="E603" s="20">
        <v>10</v>
      </c>
      <c r="F603" s="21">
        <v>800</v>
      </c>
      <c r="G603" s="21" t="s">
        <v>142</v>
      </c>
      <c r="H603" s="21">
        <v>0.69</v>
      </c>
      <c r="I603" s="68">
        <f>MAX('Max rate concentrations'!$H$3:$H$368)</f>
        <v>282</v>
      </c>
      <c r="J603" s="68">
        <f>MAX('Max rate concentrations'!AA:AA)</f>
        <v>195</v>
      </c>
      <c r="K603" s="70">
        <f t="shared" si="49"/>
        <v>30.635980211657522</v>
      </c>
      <c r="L603" s="70">
        <f t="shared" si="50"/>
        <v>21.184454401678071</v>
      </c>
      <c r="M603" s="70">
        <f>IF((((0.326*F603^0.818)-(0.398*F603^0.85)/(1-H603)*H603)*(MAX('Max rate concentrations'!$P$3:$P$368)))/F603&gt;0, (((0.326*F603^0.818)-(0.398*F603^0.85)/(1-H603)*H603)*(MAX('Max rate concentrations'!$P$3:$P$368)))/F603, 0)</f>
        <v>0</v>
      </c>
      <c r="N603" s="70">
        <f>IF((((0.326*F603^0.818)-(0.398*F603^0.85)/(1-H603)*H603)*(MAX('Max rate concentrations'!$Q$3:$Q$368)))/F603&gt; 0, (((0.326*F603^0.818)-(0.398*F603^0.85)/(1-H603)*H603)*(MAX('Max rate concentrations'!$Q$3:$Q$368)))/F603, 0)</f>
        <v>0</v>
      </c>
      <c r="O603" s="70">
        <f>((MAX('Max rate concentrations'!$F$3:$F$368))*0.62*6.01*8*(12.3*F603^0.65)*0.079*0.1/F603)*inputs!$E$73/inputs!$E$74</f>
        <v>26.087939666234309</v>
      </c>
      <c r="P603" s="70">
        <f>((MAX('Max rate concentrations'!Y:Y))*0.62*6.01*8*(12.3*F603^0.65)*0.079*0.1/F603)*inputs!$E$73/inputs!$E$74</f>
        <v>8.6959798887447679</v>
      </c>
      <c r="Q603" s="70">
        <f>(inputs!$C$18*11.2*(12.3*F603^0.65)*0.5/F603)*inputs!$E$73/inputs!$E$74</f>
        <v>4.5952675264026075</v>
      </c>
      <c r="R603" s="60">
        <f>(60*379*((F603/1000)^0.8)*3*24*(MAX('Max rate concentrations'!$R$3:$R$368))/F603)*(inputs!$E$73/inputs!$E$75)</f>
        <v>1.1542787776429314E-2</v>
      </c>
      <c r="S603" s="60">
        <f>(IF(inputs!$C$17="aerial",((0.025*0.112*inputs!$C$18/3.3)*(3*60*379*((F603/1000)^0.8))*MAX(inputs!$I$14:$I$16))/F603,((0.0083*0.112*inputs!$C$18/1)*(3*60*379*((F603/1000)^0.8))*MAX(inputs!$I$14:$I$16))/F603))*(inputs!E$75/inputs!$E$73)</f>
        <v>6.3659183756372348E-2</v>
      </c>
      <c r="T603" s="63">
        <f>IF((((inputs!$P$13/(V603/MAX(K603:S603)))^(1/inputs!$O$13))-1)/inputs!$N$13&lt;0, 0, IF((((inputs!$P$13/(V603/MAX(K603:S603)))^(1/inputs!$O$13))-1)/inputs!$N$13&lt;inputs!$I$17, (((inputs!$P$13/(V603/MAX(K603:S603)))^(1/inputs!$O$13))-1)/inputs!$N$13, inputs!$I$17))</f>
        <v>15.21889714223448</v>
      </c>
      <c r="U603" s="63">
        <f>IF((((inputs!$P$13/(X603/MAX(K603:S603)))^(1/inputs!$O$13))-1)/inputs!$N$13&lt;0, 0, IF((((inputs!$P$13/(X603/MAX(K603:S603)))^(1/inputs!$O$13))-1)/inputs!$N$13&lt;inputs!$I$17, (((inputs!$P$13/(X603/MAX(K603:S603)))^(1/inputs!$O$13))-1)/inputs!$N$13, inputs!$I$17))</f>
        <v>0</v>
      </c>
      <c r="V603" s="54">
        <f>inputs!$E$70*(F603/inputs!$F$70)^(0.25)</f>
        <v>5.985383125290773</v>
      </c>
      <c r="W603" s="54">
        <f>inputs!$E$76*(F603/inputs!$F$76)^(0.25)</f>
        <v>0.43035170706588499</v>
      </c>
      <c r="X603" s="54">
        <f>inputs!$E$72*(inputs!$F$72/F603)^(0.25)</f>
        <v>41.751713260270158</v>
      </c>
      <c r="Y603" s="54" t="s">
        <v>13</v>
      </c>
      <c r="Z603" s="106">
        <f t="shared" si="51"/>
        <v>5.1184660313902981</v>
      </c>
      <c r="AA603" s="106">
        <f t="shared" si="52"/>
        <v>71.188239081313284</v>
      </c>
    </row>
    <row r="604" spans="1:27" ht="13.2" x14ac:dyDescent="0.25">
      <c r="A604" s="55" t="s">
        <v>563</v>
      </c>
      <c r="B604" s="49" t="s">
        <v>564</v>
      </c>
      <c r="C604" s="21" t="s">
        <v>61</v>
      </c>
      <c r="D604" s="20" t="s">
        <v>443</v>
      </c>
      <c r="E604" s="20">
        <v>10</v>
      </c>
      <c r="F604" s="21">
        <v>800</v>
      </c>
      <c r="G604" s="21" t="s">
        <v>138</v>
      </c>
      <c r="H604" s="21">
        <v>0.68</v>
      </c>
      <c r="I604" s="68">
        <f>MAX('Max rate concentrations'!$L$3:$L$368)</f>
        <v>350.52744091332482</v>
      </c>
      <c r="J604" s="68">
        <f>MAX('Max rate concentrations'!AD:AD)</f>
        <v>242.38599637623525</v>
      </c>
      <c r="K604" s="70">
        <f t="shared" si="49"/>
        <v>36.890658693192684</v>
      </c>
      <c r="L604" s="70">
        <f t="shared" si="50"/>
        <v>25.509498032526857</v>
      </c>
      <c r="M604" s="70">
        <f>IF((((0.326*F604^0.818)-(0.398*F604^0.85)/(1-H604)*H604)*(MAX('Max rate concentrations'!$P$3:$P$368)))/F604&gt;0, (((0.326*F604^0.818)-(0.398*F604^0.85)/(1-H604)*H604)*(MAX('Max rate concentrations'!$P$3:$P$368)))/F604, 0)</f>
        <v>0</v>
      </c>
      <c r="N604" s="70">
        <f>IF((((0.326*F604^0.818)-(0.398*F604^0.85)/(1-H604)*H604)*(MAX('Max rate concentrations'!$Q$3:$Q$368)))/F604&gt; 0, (((0.326*F604^0.818)-(0.398*F604^0.85)/(1-H604)*H604)*(MAX('Max rate concentrations'!$Q$3:$Q$368)))/F604, 0)</f>
        <v>0</v>
      </c>
      <c r="O604" s="70">
        <f>((MAX('Max rate concentrations'!$F$3:$F$368))*0.62*6.01*8*(12.3*F604^0.65)*0.079*0.1/F604)*inputs!$E$73/inputs!$E$74</f>
        <v>26.087939666234309</v>
      </c>
      <c r="P604" s="70">
        <f>((MAX('Max rate concentrations'!Y:Y))*0.62*6.01*8*(12.3*F604^0.65)*0.079*0.1/F604)*inputs!$E$73/inputs!$E$74</f>
        <v>8.6959798887447679</v>
      </c>
      <c r="Q604" s="70">
        <f>(inputs!$C$18*11.2*(12.3*F604^0.65)*0.5/F604)*inputs!$E$73/inputs!$E$74</f>
        <v>4.5952675264026075</v>
      </c>
      <c r="R604" s="60">
        <f>(60*379*((F604/1000)^0.8)*3*24*(MAX('Max rate concentrations'!$R$3:$R$368))/F604)*(inputs!$E$73/inputs!$E$75)</f>
        <v>1.1542787776429314E-2</v>
      </c>
      <c r="S604" s="60">
        <f>(IF(inputs!$C$17="aerial",((0.025*0.112*inputs!$C$18/3.3)*(3*60*379*((F604/1000)^0.8))*MAX(inputs!$I$14:$I$16))/F604,((0.0083*0.112*inputs!$C$18/1)*(3*60*379*((F604/1000)^0.8))*MAX(inputs!$I$14:$I$16))/F604))*(inputs!E$75/inputs!$E$73)</f>
        <v>6.3659183756372348E-2</v>
      </c>
      <c r="T604" s="63">
        <f>IF((((inputs!$P$13/(V604/MAX(K604:S604)))^(1/inputs!$O$13))-1)/inputs!$N$13&lt;0, 0, IF((((inputs!$P$13/(V604/MAX(K604:S604)))^(1/inputs!$O$13))-1)/inputs!$N$13&lt;inputs!$I$17, (((inputs!$P$13/(V604/MAX(K604:S604)))^(1/inputs!$O$13))-1)/inputs!$N$13, inputs!$I$17))</f>
        <v>18.533440331667247</v>
      </c>
      <c r="U604" s="63">
        <f>IF((((inputs!$P$13/(X604/MAX(K604:S604)))^(1/inputs!$O$13))-1)/inputs!$N$13&lt;0, 0, IF((((inputs!$P$13/(X604/MAX(K604:S604)))^(1/inputs!$O$13))-1)/inputs!$N$13&lt;inputs!$I$17, (((inputs!$P$13/(X604/MAX(K604:S604)))^(1/inputs!$O$13))-1)/inputs!$N$13, inputs!$I$17))</f>
        <v>0</v>
      </c>
      <c r="V604" s="54">
        <f>inputs!$E$70*(F604/inputs!$F$70)^(0.25)</f>
        <v>5.985383125290773</v>
      </c>
      <c r="W604" s="54">
        <f>inputs!$E$76*(F604/inputs!$F$76)^(0.25)</f>
        <v>0.43035170706588499</v>
      </c>
      <c r="X604" s="54">
        <f>inputs!$E$72*(inputs!$F$72/F604)^(0.25)</f>
        <v>41.751713260270158</v>
      </c>
      <c r="Y604" s="54" t="s">
        <v>13</v>
      </c>
      <c r="Z604" s="106">
        <f t="shared" si="51"/>
        <v>6.1634581982419911</v>
      </c>
      <c r="AA604" s="106">
        <f t="shared" si="52"/>
        <v>85.722115394199847</v>
      </c>
    </row>
    <row r="605" spans="1:27" ht="13.2" x14ac:dyDescent="0.25">
      <c r="A605" s="55" t="s">
        <v>563</v>
      </c>
      <c r="B605" s="49" t="s">
        <v>564</v>
      </c>
      <c r="C605" s="21" t="s">
        <v>61</v>
      </c>
      <c r="D605" s="20" t="s">
        <v>443</v>
      </c>
      <c r="E605" s="20">
        <v>10</v>
      </c>
      <c r="F605" s="21">
        <v>800</v>
      </c>
      <c r="G605" s="21" t="s">
        <v>158</v>
      </c>
      <c r="H605" s="21">
        <v>0.85</v>
      </c>
      <c r="I605" s="68">
        <f>MAX('Max rate concentrations'!$F$3:$F$368)</f>
        <v>405</v>
      </c>
      <c r="J605" s="68">
        <f>MAX('Max rate concentrations'!Y:Y)</f>
        <v>135</v>
      </c>
      <c r="K605" s="70">
        <f t="shared" si="49"/>
        <v>90.930196585664362</v>
      </c>
      <c r="L605" s="70">
        <f t="shared" si="50"/>
        <v>30.310065528554784</v>
      </c>
      <c r="M605" s="70">
        <f>IF((((0.326*F605^0.818)-(0.398*F605^0.85)/(1-H605)*H605)*(MAX('Max rate concentrations'!$P$3:$P$368)))/F605&gt;0, (((0.326*F605^0.818)-(0.398*F605^0.85)/(1-H605)*H605)*(MAX('Max rate concentrations'!$P$3:$P$368)))/F605, 0)</f>
        <v>0</v>
      </c>
      <c r="N605" s="70">
        <f>IF((((0.326*F605^0.818)-(0.398*F605^0.85)/(1-H605)*H605)*(MAX('Max rate concentrations'!$Q$3:$Q$368)))/F605&gt; 0, (((0.326*F605^0.818)-(0.398*F605^0.85)/(1-H605)*H605)*(MAX('Max rate concentrations'!$Q$3:$Q$368)))/F605, 0)</f>
        <v>0</v>
      </c>
      <c r="O605" s="70">
        <f>((MAX('Max rate concentrations'!$F$3:$F$368))*0.62*6.01*8*(12.3*F605^0.65)*0.079*0.1/F605)*inputs!$E$73/inputs!$E$74</f>
        <v>26.087939666234309</v>
      </c>
      <c r="P605" s="70">
        <f>((MAX('Max rate concentrations'!Y:Y))*0.62*6.01*8*(12.3*F605^0.65)*0.079*0.1/F605)*inputs!$E$73/inputs!$E$74</f>
        <v>8.6959798887447679</v>
      </c>
      <c r="Q605" s="70">
        <f>(inputs!$C$18*11.2*(12.3*F605^0.65)*0.5/F605)*inputs!$E$73/inputs!$E$74</f>
        <v>4.5952675264026075</v>
      </c>
      <c r="R605" s="60">
        <f>(60*379*((F605/1000)^0.8)*3*24*(MAX('Max rate concentrations'!$R$3:$R$368))/F605)*(inputs!$E$73/inputs!$E$75)</f>
        <v>1.1542787776429314E-2</v>
      </c>
      <c r="S605" s="60">
        <f>(IF(inputs!$C$17="aerial",((0.025*0.112*inputs!$C$18/3.3)*(3*60*379*((F605/1000)^0.8))*MAX(inputs!$I$14:$I$16))/F605,((0.0083*0.112*inputs!$C$18/1)*(3*60*379*((F605/1000)^0.8))*MAX(inputs!$I$14:$I$16))/F605))*(inputs!E$75/inputs!$E$73)</f>
        <v>6.3659183756372348E-2</v>
      </c>
      <c r="T605" s="63">
        <f>IF((((inputs!$P$13/(V605/MAX(K605:S605)))^(1/inputs!$O$13))-1)/inputs!$N$13&lt;0, 0, IF((((inputs!$P$13/(V605/MAX(K605:S605)))^(1/inputs!$O$13))-1)/inputs!$N$13&lt;inputs!$I$17, (((inputs!$P$13/(V605/MAX(K605:S605)))^(1/inputs!$O$13))-1)/inputs!$N$13, inputs!$I$17))</f>
        <v>44.054961192686015</v>
      </c>
      <c r="U605" s="63">
        <f>IF((((inputs!$P$13/(X605/MAX(K605:S605)))^(1/inputs!$O$13))-1)/inputs!$N$13&lt;0, 0, IF((((inputs!$P$13/(X605/MAX(K605:S605)))^(1/inputs!$O$13))-1)/inputs!$N$13&lt;inputs!$I$17, (((inputs!$P$13/(X605/MAX(K605:S605)))^(1/inputs!$O$13))-1)/inputs!$N$13, inputs!$I$17))</f>
        <v>5.0176234672896411</v>
      </c>
      <c r="V605" s="54">
        <f>inputs!$E$70*(F605/inputs!$F$70)^(0.25)</f>
        <v>5.985383125290773</v>
      </c>
      <c r="W605" s="54">
        <f>inputs!$E$76*(F605/inputs!$F$76)^(0.25)</f>
        <v>0.43035170706588499</v>
      </c>
      <c r="X605" s="54">
        <f>inputs!$E$72*(inputs!$F$72/F605)^(0.25)</f>
        <v>41.751713260270158</v>
      </c>
      <c r="Y605" s="54" t="s">
        <v>13</v>
      </c>
      <c r="Z605" s="106">
        <f t="shared" si="51"/>
        <v>15.192042795296738</v>
      </c>
      <c r="AA605" s="106">
        <f t="shared" si="52"/>
        <v>211.29275216687671</v>
      </c>
    </row>
    <row r="606" spans="1:27" ht="13.2" x14ac:dyDescent="0.25">
      <c r="A606" s="55" t="s">
        <v>563</v>
      </c>
      <c r="B606" s="49" t="s">
        <v>564</v>
      </c>
      <c r="C606" s="21" t="s">
        <v>61</v>
      </c>
      <c r="D606" s="20" t="s">
        <v>443</v>
      </c>
      <c r="E606" s="20">
        <v>10</v>
      </c>
      <c r="F606" s="21">
        <v>800</v>
      </c>
      <c r="G606" s="21" t="s">
        <v>154</v>
      </c>
      <c r="H606" s="21">
        <v>9.2999999999999999E-2</v>
      </c>
      <c r="I606" s="68">
        <f>MAX('Max rate concentrations'!$G$3:$G$368)</f>
        <v>45</v>
      </c>
      <c r="J606" s="68">
        <f>MAX('Max rate concentrations'!Z:Z)</f>
        <v>21</v>
      </c>
      <c r="K606" s="70">
        <f t="shared" si="49"/>
        <v>1.6708966664032407</v>
      </c>
      <c r="L606" s="70">
        <f t="shared" si="50"/>
        <v>0.77975177765484571</v>
      </c>
      <c r="M606" s="70">
        <f>IF((((0.326*F606^0.818)-(0.398*F606^0.85)/(1-H606)*H606)*(MAX('Max rate concentrations'!$P$3:$P$368)))/F606&gt;0, (((0.326*F606^0.818)-(0.398*F606^0.85)/(1-H606)*H606)*(MAX('Max rate concentrations'!$P$3:$P$368)))/F606, 0)</f>
        <v>7.1064787060001508E-2</v>
      </c>
      <c r="N606" s="70">
        <f>IF((((0.326*F606^0.818)-(0.398*F606^0.85)/(1-H606)*H606)*(MAX('Max rate concentrations'!$Q$3:$Q$368)))/F606&gt; 0, (((0.326*F606^0.818)-(0.398*F606^0.85)/(1-H606)*H606)*(MAX('Max rate concentrations'!$Q$3:$Q$368)))/F606, 0)</f>
        <v>0.27061852755524773</v>
      </c>
      <c r="O606" s="70">
        <f>((MAX('Max rate concentrations'!$F$3:$F$368))*0.62*6.01*8*(12.3*F606^0.65)*0.079*0.1/F606)*inputs!$E$73/inputs!$E$74</f>
        <v>26.087939666234309</v>
      </c>
      <c r="P606" s="70">
        <f>((MAX('Max rate concentrations'!Y:Y))*0.62*6.01*8*(12.3*F606^0.65)*0.079*0.1/F606)*inputs!$E$73/inputs!$E$74</f>
        <v>8.6959798887447679</v>
      </c>
      <c r="Q606" s="70">
        <f>(inputs!$C$18*11.2*(12.3*F606^0.65)*0.5/F606)*inputs!$E$73/inputs!$E$74</f>
        <v>4.5952675264026075</v>
      </c>
      <c r="R606" s="60">
        <f>(60*379*((F606/1000)^0.8)*3*24*(MAX('Max rate concentrations'!$R$3:$R$368))/F606)*(inputs!$E$73/inputs!$E$75)</f>
        <v>1.1542787776429314E-2</v>
      </c>
      <c r="S606" s="60">
        <f>(IF(inputs!$C$17="aerial",((0.025*0.112*inputs!$C$18/3.3)*(3*60*379*((F606/1000)^0.8))*MAX(inputs!$I$14:$I$16))/F606,((0.0083*0.112*inputs!$C$18/1)*(3*60*379*((F606/1000)^0.8))*MAX(inputs!$I$14:$I$16))/F606))*(inputs!E$75/inputs!$E$73)</f>
        <v>6.3659183756372348E-2</v>
      </c>
      <c r="T606" s="63">
        <f>IF((((inputs!$P$13/(V606/MAX(K606:S606)))^(1/inputs!$O$13))-1)/inputs!$N$13&lt;0, 0, IF((((inputs!$P$13/(V606/MAX(K606:S606)))^(1/inputs!$O$13))-1)/inputs!$N$13&lt;inputs!$I$17, (((inputs!$P$13/(V606/MAX(K606:S606)))^(1/inputs!$O$13))-1)/inputs!$N$13, inputs!$I$17))</f>
        <v>12.727213959002587</v>
      </c>
      <c r="U606" s="63">
        <f>IF((((inputs!$P$13/(X606/MAX(K606:S606)))^(1/inputs!$O$13))-1)/inputs!$N$13&lt;0, 0, IF((((inputs!$P$13/(X606/MAX(K606:S606)))^(1/inputs!$O$13))-1)/inputs!$N$13&lt;inputs!$I$17, (((inputs!$P$13/(X606/MAX(K606:S606)))^(1/inputs!$O$13))-1)/inputs!$N$13, inputs!$I$17))</f>
        <v>0</v>
      </c>
      <c r="V606" s="54">
        <f>inputs!$E$70*(F606/inputs!$F$70)^(0.25)</f>
        <v>5.985383125290773</v>
      </c>
      <c r="W606" s="54">
        <f>inputs!$E$76*(F606/inputs!$F$76)^(0.25)</f>
        <v>0.43035170706588499</v>
      </c>
      <c r="X606" s="54">
        <f>inputs!$E$72*(inputs!$F$72/F606)^(0.25)</f>
        <v>41.751713260270158</v>
      </c>
      <c r="Y606" s="54" t="s">
        <v>13</v>
      </c>
      <c r="Z606" s="106">
        <f t="shared" si="51"/>
        <v>4.3586081492430688</v>
      </c>
      <c r="AA606" s="106">
        <f t="shared" si="52"/>
        <v>60.620044577260984</v>
      </c>
    </row>
    <row r="607" spans="1:27" ht="13.2" x14ac:dyDescent="0.25">
      <c r="A607" s="55" t="s">
        <v>563</v>
      </c>
      <c r="B607" s="49" t="s">
        <v>564</v>
      </c>
      <c r="C607" s="21" t="s">
        <v>61</v>
      </c>
      <c r="D607" s="20" t="s">
        <v>443</v>
      </c>
      <c r="E607" s="20">
        <v>6334</v>
      </c>
      <c r="F607" s="21">
        <v>800</v>
      </c>
      <c r="G607" s="21" t="s">
        <v>142</v>
      </c>
      <c r="H607" s="21">
        <v>0.69</v>
      </c>
      <c r="I607" s="68">
        <f>MAX('Max rate concentrations'!$H$3:$H$368)</f>
        <v>282</v>
      </c>
      <c r="J607" s="68">
        <f>MAX('Max rate concentrations'!AA:AA)</f>
        <v>195</v>
      </c>
      <c r="K607" s="70">
        <f t="shared" si="49"/>
        <v>30.635980211657522</v>
      </c>
      <c r="L607" s="70">
        <f t="shared" si="50"/>
        <v>21.184454401678071</v>
      </c>
      <c r="M607" s="70">
        <f>IF((((0.326*F607^0.818)-(0.398*F607^0.85)/(1-H607)*H607)*(MAX('Max rate concentrations'!$P$3:$P$368)))/F607&gt;0, (((0.326*F607^0.818)-(0.398*F607^0.85)/(1-H607)*H607)*(MAX('Max rate concentrations'!$P$3:$P$368)))/F607, 0)</f>
        <v>0</v>
      </c>
      <c r="N607" s="70">
        <f>IF((((0.326*F607^0.818)-(0.398*F607^0.85)/(1-H607)*H607)*(MAX('Max rate concentrations'!$Q$3:$Q$368)))/F607&gt; 0, (((0.326*F607^0.818)-(0.398*F607^0.85)/(1-H607)*H607)*(MAX('Max rate concentrations'!$Q$3:$Q$368)))/F607, 0)</f>
        <v>0</v>
      </c>
      <c r="O607" s="70">
        <f>((MAX('Max rate concentrations'!$F$3:$F$368))*0.62*6.01*8*(12.3*F607^0.65)*0.079*0.1/F607)*inputs!$E$73/inputs!$E$74</f>
        <v>26.087939666234309</v>
      </c>
      <c r="P607" s="70">
        <f>((MAX('Max rate concentrations'!Y:Y))*0.62*6.01*8*(12.3*F607^0.65)*0.079*0.1/F607)*inputs!$E$73/inputs!$E$74</f>
        <v>8.6959798887447679</v>
      </c>
      <c r="Q607" s="70">
        <f>(inputs!$C$18*11.2*(12.3*F607^0.65)*0.5/F607)*inputs!$E$73/inputs!$E$74</f>
        <v>4.5952675264026075</v>
      </c>
      <c r="R607" s="60">
        <f>(60*379*((F607/1000)^0.8)*3*24*(MAX('Max rate concentrations'!$R$3:$R$368))/F607)*(inputs!$E$73/inputs!$E$75)</f>
        <v>1.1542787776429314E-2</v>
      </c>
      <c r="S607" s="60">
        <f>(IF(inputs!$C$17="aerial",((0.025*0.112*inputs!$C$18/3.3)*(3*60*379*((F607/1000)^0.8))*MAX(inputs!$I$14:$I$16))/F607,((0.0083*0.112*inputs!$C$18/1)*(3*60*379*((F607/1000)^0.8))*MAX(inputs!$I$14:$I$16))/F607))*(inputs!E$75/inputs!$E$73)</f>
        <v>6.3659183756372348E-2</v>
      </c>
      <c r="T607" s="63">
        <f>IF((((inputs!$P$13/(V607/MAX(K607:S607)))^(1/inputs!$O$13))-1)/inputs!$N$13&lt;0, 0, IF((((inputs!$P$13/(V607/MAX(K607:S607)))^(1/inputs!$O$13))-1)/inputs!$N$13&lt;inputs!$I$17, (((inputs!$P$13/(V607/MAX(K607:S607)))^(1/inputs!$O$13))-1)/inputs!$N$13, inputs!$I$17))</f>
        <v>15.21889714223448</v>
      </c>
      <c r="U607" s="63">
        <f>IF((((inputs!$P$13/(X607/MAX(K607:S607)))^(1/inputs!$O$13))-1)/inputs!$N$13&lt;0, 0, IF((((inputs!$P$13/(X607/MAX(K607:S607)))^(1/inputs!$O$13))-1)/inputs!$N$13&lt;inputs!$I$17, (((inputs!$P$13/(X607/MAX(K607:S607)))^(1/inputs!$O$13))-1)/inputs!$N$13, inputs!$I$17))</f>
        <v>0</v>
      </c>
      <c r="V607" s="54">
        <f>inputs!$E$70*(F607/inputs!$F$70)^(0.25)</f>
        <v>5.985383125290773</v>
      </c>
      <c r="W607" s="54">
        <f>inputs!$E$76*(F607/inputs!$F$76)^(0.25)</f>
        <v>0.43035170706588499</v>
      </c>
      <c r="X607" s="54">
        <f>inputs!$E$72*(inputs!$F$72/F607)^(0.25)</f>
        <v>41.751713260270158</v>
      </c>
      <c r="Y607" s="54" t="s">
        <v>13</v>
      </c>
      <c r="Z607" s="106">
        <f t="shared" si="51"/>
        <v>5.1184660313902981</v>
      </c>
      <c r="AA607" s="106">
        <f t="shared" si="52"/>
        <v>71.188239081313284</v>
      </c>
    </row>
    <row r="608" spans="1:27" ht="13.2" x14ac:dyDescent="0.25">
      <c r="A608" s="55" t="s">
        <v>563</v>
      </c>
      <c r="B608" s="49" t="s">
        <v>564</v>
      </c>
      <c r="C608" s="21" t="s">
        <v>61</v>
      </c>
      <c r="D608" s="20" t="s">
        <v>443</v>
      </c>
      <c r="E608" s="20">
        <v>6334</v>
      </c>
      <c r="F608" s="21">
        <v>800</v>
      </c>
      <c r="G608" s="21" t="s">
        <v>138</v>
      </c>
      <c r="H608" s="21">
        <v>0.68</v>
      </c>
      <c r="I608" s="68">
        <f>MAX('Max rate concentrations'!$L$3:$L$368)</f>
        <v>350.52744091332482</v>
      </c>
      <c r="J608" s="68">
        <f>MAX('Max rate concentrations'!AD:AD)</f>
        <v>242.38599637623525</v>
      </c>
      <c r="K608" s="70">
        <f t="shared" si="49"/>
        <v>36.890658693192684</v>
      </c>
      <c r="L608" s="70">
        <f t="shared" si="50"/>
        <v>25.509498032526857</v>
      </c>
      <c r="M608" s="70">
        <f>IF((((0.326*F608^0.818)-(0.398*F608^0.85)/(1-H608)*H608)*(MAX('Max rate concentrations'!$P$3:$P$368)))/F608&gt;0, (((0.326*F608^0.818)-(0.398*F608^0.85)/(1-H608)*H608)*(MAX('Max rate concentrations'!$P$3:$P$368)))/F608, 0)</f>
        <v>0</v>
      </c>
      <c r="N608" s="70">
        <f>IF((((0.326*F608^0.818)-(0.398*F608^0.85)/(1-H608)*H608)*(MAX('Max rate concentrations'!$Q$3:$Q$368)))/F608&gt; 0, (((0.326*F608^0.818)-(0.398*F608^0.85)/(1-H608)*H608)*(MAX('Max rate concentrations'!$Q$3:$Q$368)))/F608, 0)</f>
        <v>0</v>
      </c>
      <c r="O608" s="70">
        <f>((MAX('Max rate concentrations'!$F$3:$F$368))*0.62*6.01*8*(12.3*F608^0.65)*0.079*0.1/F608)*inputs!$E$73/inputs!$E$74</f>
        <v>26.087939666234309</v>
      </c>
      <c r="P608" s="70">
        <f>((MAX('Max rate concentrations'!Y:Y))*0.62*6.01*8*(12.3*F608^0.65)*0.079*0.1/F608)*inputs!$E$73/inputs!$E$74</f>
        <v>8.6959798887447679</v>
      </c>
      <c r="Q608" s="70">
        <f>(inputs!$C$18*11.2*(12.3*F608^0.65)*0.5/F608)*inputs!$E$73/inputs!$E$74</f>
        <v>4.5952675264026075</v>
      </c>
      <c r="R608" s="60">
        <f>(60*379*((F608/1000)^0.8)*3*24*(MAX('Max rate concentrations'!$R$3:$R$368))/F608)*(inputs!$E$73/inputs!$E$75)</f>
        <v>1.1542787776429314E-2</v>
      </c>
      <c r="S608" s="60">
        <f>(IF(inputs!$C$17="aerial",((0.025*0.112*inputs!$C$18/3.3)*(3*60*379*((F608/1000)^0.8))*MAX(inputs!$I$14:$I$16))/F608,((0.0083*0.112*inputs!$C$18/1)*(3*60*379*((F608/1000)^0.8))*MAX(inputs!$I$14:$I$16))/F608))*(inputs!E$75/inputs!$E$73)</f>
        <v>6.3659183756372348E-2</v>
      </c>
      <c r="T608" s="63">
        <f>IF((((inputs!$P$13/(V608/MAX(K608:S608)))^(1/inputs!$O$13))-1)/inputs!$N$13&lt;0, 0, IF((((inputs!$P$13/(V608/MAX(K608:S608)))^(1/inputs!$O$13))-1)/inputs!$N$13&lt;inputs!$I$17, (((inputs!$P$13/(V608/MAX(K608:S608)))^(1/inputs!$O$13))-1)/inputs!$N$13, inputs!$I$17))</f>
        <v>18.533440331667247</v>
      </c>
      <c r="U608" s="63">
        <f>IF((((inputs!$P$13/(X608/MAX(K608:S608)))^(1/inputs!$O$13))-1)/inputs!$N$13&lt;0, 0, IF((((inputs!$P$13/(X608/MAX(K608:S608)))^(1/inputs!$O$13))-1)/inputs!$N$13&lt;inputs!$I$17, (((inputs!$P$13/(X608/MAX(K608:S608)))^(1/inputs!$O$13))-1)/inputs!$N$13, inputs!$I$17))</f>
        <v>0</v>
      </c>
      <c r="V608" s="54">
        <f>inputs!$E$70*(F608/inputs!$F$70)^(0.25)</f>
        <v>5.985383125290773</v>
      </c>
      <c r="W608" s="54">
        <f>inputs!$E$76*(F608/inputs!$F$76)^(0.25)</f>
        <v>0.43035170706588499</v>
      </c>
      <c r="X608" s="54">
        <f>inputs!$E$72*(inputs!$F$72/F608)^(0.25)</f>
        <v>41.751713260270158</v>
      </c>
      <c r="Y608" s="54" t="s">
        <v>13</v>
      </c>
      <c r="Z608" s="106">
        <f t="shared" si="51"/>
        <v>6.1634581982419911</v>
      </c>
      <c r="AA608" s="106">
        <f t="shared" si="52"/>
        <v>85.722115394199847</v>
      </c>
    </row>
    <row r="609" spans="1:27" ht="13.2" x14ac:dyDescent="0.25">
      <c r="A609" s="55" t="s">
        <v>563</v>
      </c>
      <c r="B609" s="49" t="s">
        <v>564</v>
      </c>
      <c r="C609" s="21" t="s">
        <v>61</v>
      </c>
      <c r="D609" s="20" t="s">
        <v>443</v>
      </c>
      <c r="E609" s="20">
        <v>6334</v>
      </c>
      <c r="F609" s="21">
        <v>800</v>
      </c>
      <c r="G609" s="21" t="s">
        <v>158</v>
      </c>
      <c r="H609" s="21">
        <v>0.85</v>
      </c>
      <c r="I609" s="68">
        <f>MAX('Max rate concentrations'!$F$3:$F$368)</f>
        <v>405</v>
      </c>
      <c r="J609" s="68">
        <f>MAX('Max rate concentrations'!Y:Y)</f>
        <v>135</v>
      </c>
      <c r="K609" s="70">
        <f t="shared" si="49"/>
        <v>90.930196585664362</v>
      </c>
      <c r="L609" s="70">
        <f t="shared" si="50"/>
        <v>30.310065528554784</v>
      </c>
      <c r="M609" s="70">
        <f>IF((((0.326*F609^0.818)-(0.398*F609^0.85)/(1-H609)*H609)*(MAX('Max rate concentrations'!$P$3:$P$368)))/F609&gt;0, (((0.326*F609^0.818)-(0.398*F609^0.85)/(1-H609)*H609)*(MAX('Max rate concentrations'!$P$3:$P$368)))/F609, 0)</f>
        <v>0</v>
      </c>
      <c r="N609" s="70">
        <f>IF((((0.326*F609^0.818)-(0.398*F609^0.85)/(1-H609)*H609)*(MAX('Max rate concentrations'!$Q$3:$Q$368)))/F609&gt; 0, (((0.326*F609^0.818)-(0.398*F609^0.85)/(1-H609)*H609)*(MAX('Max rate concentrations'!$Q$3:$Q$368)))/F609, 0)</f>
        <v>0</v>
      </c>
      <c r="O609" s="70">
        <f>((MAX('Max rate concentrations'!$F$3:$F$368))*0.62*6.01*8*(12.3*F609^0.65)*0.079*0.1/F609)*inputs!$E$73/inputs!$E$74</f>
        <v>26.087939666234309</v>
      </c>
      <c r="P609" s="70">
        <f>((MAX('Max rate concentrations'!Y:Y))*0.62*6.01*8*(12.3*F609^0.65)*0.079*0.1/F609)*inputs!$E$73/inputs!$E$74</f>
        <v>8.6959798887447679</v>
      </c>
      <c r="Q609" s="70">
        <f>(inputs!$C$18*11.2*(12.3*F609^0.65)*0.5/F609)*inputs!$E$73/inputs!$E$74</f>
        <v>4.5952675264026075</v>
      </c>
      <c r="R609" s="60">
        <f>(60*379*((F609/1000)^0.8)*3*24*(MAX('Max rate concentrations'!$R$3:$R$368))/F609)*(inputs!$E$73/inputs!$E$75)</f>
        <v>1.1542787776429314E-2</v>
      </c>
      <c r="S609" s="60">
        <f>(IF(inputs!$C$17="aerial",((0.025*0.112*inputs!$C$18/3.3)*(3*60*379*((F609/1000)^0.8))*MAX(inputs!$I$14:$I$16))/F609,((0.0083*0.112*inputs!$C$18/1)*(3*60*379*((F609/1000)^0.8))*MAX(inputs!$I$14:$I$16))/F609))*(inputs!E$75/inputs!$E$73)</f>
        <v>6.3659183756372348E-2</v>
      </c>
      <c r="T609" s="63">
        <f>IF((((inputs!$P$13/(V609/MAX(K609:S609)))^(1/inputs!$O$13))-1)/inputs!$N$13&lt;0, 0, IF((((inputs!$P$13/(V609/MAX(K609:S609)))^(1/inputs!$O$13))-1)/inputs!$N$13&lt;inputs!$I$17, (((inputs!$P$13/(V609/MAX(K609:S609)))^(1/inputs!$O$13))-1)/inputs!$N$13, inputs!$I$17))</f>
        <v>44.054961192686015</v>
      </c>
      <c r="U609" s="63">
        <f>IF((((inputs!$P$13/(X609/MAX(K609:S609)))^(1/inputs!$O$13))-1)/inputs!$N$13&lt;0, 0, IF((((inputs!$P$13/(X609/MAX(K609:S609)))^(1/inputs!$O$13))-1)/inputs!$N$13&lt;inputs!$I$17, (((inputs!$P$13/(X609/MAX(K609:S609)))^(1/inputs!$O$13))-1)/inputs!$N$13, inputs!$I$17))</f>
        <v>5.0176234672896411</v>
      </c>
      <c r="V609" s="54">
        <f>inputs!$E$70*(F609/inputs!$F$70)^(0.25)</f>
        <v>5.985383125290773</v>
      </c>
      <c r="W609" s="54">
        <f>inputs!$E$76*(F609/inputs!$F$76)^(0.25)</f>
        <v>0.43035170706588499</v>
      </c>
      <c r="X609" s="54">
        <f>inputs!$E$72*(inputs!$F$72/F609)^(0.25)</f>
        <v>41.751713260270158</v>
      </c>
      <c r="Y609" s="54" t="s">
        <v>13</v>
      </c>
      <c r="Z609" s="106">
        <f t="shared" si="51"/>
        <v>15.192042795296738</v>
      </c>
      <c r="AA609" s="106">
        <f t="shared" si="52"/>
        <v>211.29275216687671</v>
      </c>
    </row>
    <row r="610" spans="1:27" ht="13.2" x14ac:dyDescent="0.25">
      <c r="A610" s="55" t="s">
        <v>563</v>
      </c>
      <c r="B610" s="49" t="s">
        <v>564</v>
      </c>
      <c r="C610" s="21" t="s">
        <v>61</v>
      </c>
      <c r="D610" s="20" t="s">
        <v>443</v>
      </c>
      <c r="E610" s="20">
        <v>6334</v>
      </c>
      <c r="F610" s="21">
        <v>800</v>
      </c>
      <c r="G610" s="21" t="s">
        <v>154</v>
      </c>
      <c r="H610" s="21">
        <v>9.2999999999999999E-2</v>
      </c>
      <c r="I610" s="68">
        <f>MAX('Max rate concentrations'!$G$3:$G$368)</f>
        <v>45</v>
      </c>
      <c r="J610" s="68">
        <f>MAX('Max rate concentrations'!Z:Z)</f>
        <v>21</v>
      </c>
      <c r="K610" s="70">
        <f t="shared" si="49"/>
        <v>1.6708966664032407</v>
      </c>
      <c r="L610" s="70">
        <f t="shared" si="50"/>
        <v>0.77975177765484571</v>
      </c>
      <c r="M610" s="70">
        <f>IF((((0.326*F610^0.818)-(0.398*F610^0.85)/(1-H610)*H610)*(MAX('Max rate concentrations'!$P$3:$P$368)))/F610&gt;0, (((0.326*F610^0.818)-(0.398*F610^0.85)/(1-H610)*H610)*(MAX('Max rate concentrations'!$P$3:$P$368)))/F610, 0)</f>
        <v>7.1064787060001508E-2</v>
      </c>
      <c r="N610" s="70">
        <f>IF((((0.326*F610^0.818)-(0.398*F610^0.85)/(1-H610)*H610)*(MAX('Max rate concentrations'!$Q$3:$Q$368)))/F610&gt; 0, (((0.326*F610^0.818)-(0.398*F610^0.85)/(1-H610)*H610)*(MAX('Max rate concentrations'!$Q$3:$Q$368)))/F610, 0)</f>
        <v>0.27061852755524773</v>
      </c>
      <c r="O610" s="70">
        <f>((MAX('Max rate concentrations'!$F$3:$F$368))*0.62*6.01*8*(12.3*F610^0.65)*0.079*0.1/F610)*inputs!$E$73/inputs!$E$74</f>
        <v>26.087939666234309</v>
      </c>
      <c r="P610" s="70">
        <f>((MAX('Max rate concentrations'!Y:Y))*0.62*6.01*8*(12.3*F610^0.65)*0.079*0.1/F610)*inputs!$E$73/inputs!$E$74</f>
        <v>8.6959798887447679</v>
      </c>
      <c r="Q610" s="70">
        <f>(inputs!$C$18*11.2*(12.3*F610^0.65)*0.5/F610)*inputs!$E$73/inputs!$E$74</f>
        <v>4.5952675264026075</v>
      </c>
      <c r="R610" s="60">
        <f>(60*379*((F610/1000)^0.8)*3*24*(MAX('Max rate concentrations'!$R$3:$R$368))/F610)*(inputs!$E$73/inputs!$E$75)</f>
        <v>1.1542787776429314E-2</v>
      </c>
      <c r="S610" s="60">
        <f>(IF(inputs!$C$17="aerial",((0.025*0.112*inputs!$C$18/3.3)*(3*60*379*((F610/1000)^0.8))*MAX(inputs!$I$14:$I$16))/F610,((0.0083*0.112*inputs!$C$18/1)*(3*60*379*((F610/1000)^0.8))*MAX(inputs!$I$14:$I$16))/F610))*(inputs!E$75/inputs!$E$73)</f>
        <v>6.3659183756372348E-2</v>
      </c>
      <c r="T610" s="63">
        <f>IF((((inputs!$P$13/(V610/MAX(K610:S610)))^(1/inputs!$O$13))-1)/inputs!$N$13&lt;0, 0, IF((((inputs!$P$13/(V610/MAX(K610:S610)))^(1/inputs!$O$13))-1)/inputs!$N$13&lt;inputs!$I$17, (((inputs!$P$13/(V610/MAX(K610:S610)))^(1/inputs!$O$13))-1)/inputs!$N$13, inputs!$I$17))</f>
        <v>12.727213959002587</v>
      </c>
      <c r="U610" s="63">
        <f>IF((((inputs!$P$13/(X610/MAX(K610:S610)))^(1/inputs!$O$13))-1)/inputs!$N$13&lt;0, 0, IF((((inputs!$P$13/(X610/MAX(K610:S610)))^(1/inputs!$O$13))-1)/inputs!$N$13&lt;inputs!$I$17, (((inputs!$P$13/(X610/MAX(K610:S610)))^(1/inputs!$O$13))-1)/inputs!$N$13, inputs!$I$17))</f>
        <v>0</v>
      </c>
      <c r="V610" s="54">
        <f>inputs!$E$70*(F610/inputs!$F$70)^(0.25)</f>
        <v>5.985383125290773</v>
      </c>
      <c r="W610" s="54">
        <f>inputs!$E$76*(F610/inputs!$F$76)^(0.25)</f>
        <v>0.43035170706588499</v>
      </c>
      <c r="X610" s="54">
        <f>inputs!$E$72*(inputs!$F$72/F610)^(0.25)</f>
        <v>41.751713260270158</v>
      </c>
      <c r="Y610" s="54" t="s">
        <v>13</v>
      </c>
      <c r="Z610" s="106">
        <f t="shared" si="51"/>
        <v>4.3586081492430688</v>
      </c>
      <c r="AA610" s="106">
        <f t="shared" si="52"/>
        <v>60.620044577260984</v>
      </c>
    </row>
    <row r="611" spans="1:27" ht="26.4" x14ac:dyDescent="0.25">
      <c r="A611" s="55" t="s">
        <v>511</v>
      </c>
      <c r="B611" s="49" t="s">
        <v>512</v>
      </c>
      <c r="C611" s="21" t="s">
        <v>61</v>
      </c>
      <c r="D611" s="20" t="s">
        <v>443</v>
      </c>
      <c r="E611" s="20">
        <v>60</v>
      </c>
      <c r="F611" s="21">
        <v>34</v>
      </c>
      <c r="G611" s="21" t="s">
        <v>169</v>
      </c>
      <c r="H611" s="21">
        <v>0.79</v>
      </c>
      <c r="I611" s="68">
        <f>MAX('Max rate concentrations'!$D$3:$D$368)</f>
        <v>720</v>
      </c>
      <c r="J611" s="68">
        <f>MAX('Max rate concentrations'!W:W)</f>
        <v>255</v>
      </c>
      <c r="K611" s="70">
        <f t="shared" si="49"/>
        <v>457.59365515818394</v>
      </c>
      <c r="L611" s="70">
        <f t="shared" si="50"/>
        <v>162.06441953519013</v>
      </c>
      <c r="M611" s="70">
        <f>IF((((0.326*F611^0.818)-(0.398*F611^0.85)/(1-H611)*H611)*(MAX('Max rate concentrations'!$P$3:$P$368)))/F611&gt;0, (((0.326*F611^0.818)-(0.398*F611^0.85)/(1-H611)*H611)*(MAX('Max rate concentrations'!$P$3:$P$368)))/F611, 0)</f>
        <v>0</v>
      </c>
      <c r="N611" s="70">
        <f>IF((((0.326*F611^0.818)-(0.398*F611^0.85)/(1-H611)*H611)*(MAX('Max rate concentrations'!$Q$3:$Q$368)))/F611&gt; 0, (((0.326*F611^0.818)-(0.398*F611^0.85)/(1-H611)*H611)*(MAX('Max rate concentrations'!$Q$3:$Q$368)))/F611, 0)</f>
        <v>0</v>
      </c>
      <c r="O611" s="70">
        <f>((MAX('Max rate concentrations'!$F$3:$F$368))*0.62*6.01*8*(12.3*F611^0.65)*0.079*0.1/F611)*inputs!$E$73/inputs!$E$74</f>
        <v>78.795906445289717</v>
      </c>
      <c r="P611" s="70">
        <f>((MAX('Max rate concentrations'!Y:Y))*0.62*6.01*8*(12.3*F611^0.65)*0.079*0.1/F611)*inputs!$E$73/inputs!$E$74</f>
        <v>26.265302148429903</v>
      </c>
      <c r="Q611" s="70">
        <f>(inputs!$C$18*11.2*(12.3*F611^0.65)*0.5/F611)*inputs!$E$73/inputs!$E$74</f>
        <v>13.8795272732921</v>
      </c>
      <c r="R611" s="60">
        <f>(60*379*((F611/1000)^0.8)*3*24*(MAX('Max rate concentrations'!$R$3:$R$368))/F611)*(inputs!$E$73/inputs!$E$75)</f>
        <v>2.1708655404698924E-2</v>
      </c>
      <c r="S611" s="60">
        <f>(IF(inputs!$C$17="aerial",((0.025*0.112*inputs!$C$18/3.3)*(3*60*379*((F611/1000)^0.8))*MAX(inputs!$I$14:$I$16))/F611,((0.0083*0.112*inputs!$C$18/1)*(3*60*379*((F611/1000)^0.8))*MAX(inputs!$I$14:$I$16))/F611))*(inputs!E$75/inputs!$E$73)</f>
        <v>0.11972456829999811</v>
      </c>
      <c r="T611" s="63">
        <f>IF((((inputs!$P$13/(V611/MAX(K611:S611)))^(1/inputs!$O$13))-1)/inputs!$N$13&lt;0, 0, IF((((inputs!$P$13/(V611/MAX(K611:S611)))^(1/inputs!$O$13))-1)/inputs!$N$13&lt;inputs!$I$17, (((inputs!$P$13/(V611/MAX(K611:S611)))^(1/inputs!$O$13))-1)/inputs!$N$13, inputs!$I$17))</f>
        <v>339.50917366238002</v>
      </c>
      <c r="U611" s="63">
        <f>IF((((inputs!$P$13/(X611/MAX(K611:S611)))^(1/inputs!$O$13))-1)/inputs!$N$13&lt;0, 0, IF((((inputs!$P$13/(X611/MAX(K611:S611)))^(1/inputs!$O$13))-1)/inputs!$N$13&lt;inputs!$I$17, (((inputs!$P$13/(X611/MAX(K611:S611)))^(1/inputs!$O$13))-1)/inputs!$N$13, inputs!$I$17))</f>
        <v>14.758286524887508</v>
      </c>
      <c r="V611" s="54">
        <f>inputs!$E$70*(F611/inputs!$F$70)^(0.25)</f>
        <v>2.7176228621363152</v>
      </c>
      <c r="W611" s="54">
        <f>inputs!$E$76*(F611/inputs!$F$76)^(0.25)</f>
        <v>0.19539829170498138</v>
      </c>
      <c r="X611" s="54">
        <f>inputs!$E$72*(inputs!$F$72/F611)^(0.25)</f>
        <v>91.955364183076668</v>
      </c>
      <c r="Y611" s="54" t="s">
        <v>13</v>
      </c>
      <c r="Z611" s="106">
        <f t="shared" si="51"/>
        <v>168.38011687849539</v>
      </c>
      <c r="AA611" s="106">
        <f t="shared" si="52"/>
        <v>2341.8508481592744</v>
      </c>
    </row>
    <row r="612" spans="1:27" ht="26.4" x14ac:dyDescent="0.25">
      <c r="A612" s="55" t="s">
        <v>511</v>
      </c>
      <c r="B612" s="49" t="s">
        <v>512</v>
      </c>
      <c r="C612" s="21" t="s">
        <v>61</v>
      </c>
      <c r="D612" s="20" t="s">
        <v>443</v>
      </c>
      <c r="E612" s="20">
        <v>60</v>
      </c>
      <c r="F612" s="21">
        <v>34</v>
      </c>
      <c r="G612" s="21" t="s">
        <v>154</v>
      </c>
      <c r="H612" s="21">
        <v>9.2999999999999999E-2</v>
      </c>
      <c r="I612" s="68">
        <f>MAX('Max rate concentrations'!$G$3:$G$368)</f>
        <v>45</v>
      </c>
      <c r="J612" s="68">
        <f>MAX('Max rate concentrations'!Z:Z)</f>
        <v>21</v>
      </c>
      <c r="K612" s="70">
        <f t="shared" si="49"/>
        <v>6.6217383946539821</v>
      </c>
      <c r="L612" s="70">
        <f t="shared" si="50"/>
        <v>3.0901445841718584</v>
      </c>
      <c r="M612" s="70">
        <f>IF((((0.326*F612^0.818)-(0.398*F612^0.85)/(1-H612)*H612)*(MAX('Max rate concentrations'!$P$3:$P$368)))/F612&gt;0, (((0.326*F612^0.818)-(0.398*F612^0.85)/(1-H612)*H612)*(MAX('Max rate concentrations'!$P$3:$P$368)))/F612, 0)</f>
        <v>0.12849339614863209</v>
      </c>
      <c r="N612" s="70">
        <f>IF((((0.326*F612^0.818)-(0.398*F612^0.85)/(1-H612)*H612)*(MAX('Max rate concentrations'!$Q$3:$Q$368)))/F612&gt; 0, (((0.326*F612^0.818)-(0.398*F612^0.85)/(1-H612)*H612)*(MAX('Max rate concentrations'!$Q$3:$Q$368)))/F612, 0)</f>
        <v>0.48930975670069399</v>
      </c>
      <c r="O612" s="70">
        <f>((MAX('Max rate concentrations'!$F$3:$F$368))*0.62*6.01*8*(12.3*F612^0.65)*0.079*0.1/F612)*inputs!$E$73/inputs!$E$74</f>
        <v>78.795906445289717</v>
      </c>
      <c r="P612" s="70">
        <f>((MAX('Max rate concentrations'!Y:Y))*0.62*6.01*8*(12.3*F612^0.65)*0.079*0.1/F612)*inputs!$E$73/inputs!$E$74</f>
        <v>26.265302148429903</v>
      </c>
      <c r="Q612" s="70">
        <f>(inputs!$C$18*11.2*(12.3*F612^0.65)*0.5/F612)*inputs!$E$73/inputs!$E$74</f>
        <v>13.8795272732921</v>
      </c>
      <c r="R612" s="60">
        <f>(60*379*((F612/1000)^0.8)*3*24*(MAX('Max rate concentrations'!$R$3:$R$368))/F612)*(inputs!$E$73/inputs!$E$75)</f>
        <v>2.1708655404698924E-2</v>
      </c>
      <c r="S612" s="60">
        <f>(IF(inputs!$C$17="aerial",((0.025*0.112*inputs!$C$18/3.3)*(3*60*379*((F612/1000)^0.8))*MAX(inputs!$I$14:$I$16))/F612,((0.0083*0.112*inputs!$C$18/1)*(3*60*379*((F612/1000)^0.8))*MAX(inputs!$I$14:$I$16))/F612))*(inputs!E$75/inputs!$E$73)</f>
        <v>0.11972456829999811</v>
      </c>
      <c r="T612" s="63">
        <f>IF((((inputs!$P$13/(V612/MAX(K612:S612)))^(1/inputs!$O$13))-1)/inputs!$N$13&lt;0, 0, IF((((inputs!$P$13/(V612/MAX(K612:S612)))^(1/inputs!$O$13))-1)/inputs!$N$13&lt;inputs!$I$17, (((inputs!$P$13/(V612/MAX(K612:S612)))^(1/inputs!$O$13))-1)/inputs!$N$13, inputs!$I$17))</f>
        <v>77.888376349639259</v>
      </c>
      <c r="U612" s="63">
        <f>IF((((inputs!$P$13/(X612/MAX(K612:S612)))^(1/inputs!$O$13))-1)/inputs!$N$13&lt;0, 0, IF((((inputs!$P$13/(X612/MAX(K612:S612)))^(1/inputs!$O$13))-1)/inputs!$N$13&lt;inputs!$I$17, (((inputs!$P$13/(X612/MAX(K612:S612)))^(1/inputs!$O$13))-1)/inputs!$N$13, inputs!$I$17))</f>
        <v>0</v>
      </c>
      <c r="V612" s="54">
        <f>inputs!$E$70*(F612/inputs!$F$70)^(0.25)</f>
        <v>2.7176228621363152</v>
      </c>
      <c r="W612" s="54">
        <f>inputs!$E$76*(F612/inputs!$F$76)^(0.25)</f>
        <v>0.19539829170498138</v>
      </c>
      <c r="X612" s="54">
        <f>inputs!$E$72*(inputs!$F$72/F612)^(0.25)</f>
        <v>91.955364183076668</v>
      </c>
      <c r="Y612" s="54" t="s">
        <v>13</v>
      </c>
      <c r="Z612" s="106">
        <f t="shared" si="51"/>
        <v>28.994422862393971</v>
      </c>
      <c r="AA612" s="106">
        <f t="shared" si="52"/>
        <v>403.25790854025638</v>
      </c>
    </row>
    <row r="613" spans="1:27" ht="13.2" x14ac:dyDescent="0.25">
      <c r="A613" s="55" t="s">
        <v>478</v>
      </c>
      <c r="B613" s="49" t="s">
        <v>479</v>
      </c>
      <c r="C613" s="21" t="s">
        <v>61</v>
      </c>
      <c r="D613" s="20" t="s">
        <v>443</v>
      </c>
      <c r="E613" s="20">
        <v>37</v>
      </c>
      <c r="F613" s="21">
        <v>34</v>
      </c>
      <c r="G613" s="21" t="s">
        <v>142</v>
      </c>
      <c r="H613" s="21">
        <v>0.69</v>
      </c>
      <c r="I613" s="68">
        <f>MAX('Max rate concentrations'!$H$3:$H$368)</f>
        <v>282</v>
      </c>
      <c r="J613" s="68">
        <f>MAX('Max rate concentrations'!AA:AA)</f>
        <v>195</v>
      </c>
      <c r="K613" s="70">
        <f t="shared" si="49"/>
        <v>121.40992947342134</v>
      </c>
      <c r="L613" s="70">
        <f t="shared" si="50"/>
        <v>83.953674635876453</v>
      </c>
      <c r="M613" s="70">
        <f>IF((((0.326*F613^0.818)-(0.398*F613^0.85)/(1-H613)*H613)*(MAX('Max rate concentrations'!$P$3:$P$368)))/F613&gt;0, (((0.326*F613^0.818)-(0.398*F613^0.85)/(1-H613)*H613)*(MAX('Max rate concentrations'!$P$3:$P$368)))/F613, 0)</f>
        <v>0</v>
      </c>
      <c r="N613" s="70">
        <f>IF((((0.326*F613^0.818)-(0.398*F613^0.85)/(1-H613)*H613)*(MAX('Max rate concentrations'!$Q$3:$Q$368)))/F613&gt; 0, (((0.326*F613^0.818)-(0.398*F613^0.85)/(1-H613)*H613)*(MAX('Max rate concentrations'!$Q$3:$Q$368)))/F613, 0)</f>
        <v>0</v>
      </c>
      <c r="O613" s="70">
        <f>((MAX('Max rate concentrations'!$F$3:$F$368))*0.62*6.01*8*(12.3*F613^0.65)*0.079*0.1/F613)*inputs!$E$73/inputs!$E$74</f>
        <v>78.795906445289717</v>
      </c>
      <c r="P613" s="70">
        <f>((MAX('Max rate concentrations'!Y:Y))*0.62*6.01*8*(12.3*F613^0.65)*0.079*0.1/F613)*inputs!$E$73/inputs!$E$74</f>
        <v>26.265302148429903</v>
      </c>
      <c r="Q613" s="70">
        <f>(inputs!$C$18*11.2*(12.3*F613^0.65)*0.5/F613)*inputs!$E$73/inputs!$E$74</f>
        <v>13.8795272732921</v>
      </c>
      <c r="R613" s="60">
        <f>(60*379*((F613/1000)^0.8)*3*24*(MAX('Max rate concentrations'!$R$3:$R$368))/F613)*(inputs!$E$73/inputs!$E$75)</f>
        <v>2.1708655404698924E-2</v>
      </c>
      <c r="S613" s="60">
        <f>(IF(inputs!$C$17="aerial",((0.025*0.112*inputs!$C$18/3.3)*(3*60*379*((F613/1000)^0.8))*MAX(inputs!$I$14:$I$16))/F613,((0.0083*0.112*inputs!$C$18/1)*(3*60*379*((F613/1000)^0.8))*MAX(inputs!$I$14:$I$16))/F613))*(inputs!E$75/inputs!$E$73)</f>
        <v>0.11972456829999811</v>
      </c>
      <c r="T613" s="63">
        <f>IF((((inputs!$P$13/(V613/MAX(K613:S613)))^(1/inputs!$O$13))-1)/inputs!$N$13&lt;0, 0, IF((((inputs!$P$13/(V613/MAX(K613:S613)))^(1/inputs!$O$13))-1)/inputs!$N$13&lt;inputs!$I$17, (((inputs!$P$13/(V613/MAX(K613:S613)))^(1/inputs!$O$13))-1)/inputs!$N$13, inputs!$I$17))</f>
        <v>112.67197152784901</v>
      </c>
      <c r="U613" s="63">
        <f>IF((((inputs!$P$13/(X613/MAX(K613:S613)))^(1/inputs!$O$13))-1)/inputs!$N$13&lt;0, 0, IF((((inputs!$P$13/(X613/MAX(K613:S613)))^(1/inputs!$O$13))-1)/inputs!$N$13&lt;inputs!$I$17, (((inputs!$P$13/(X613/MAX(K613:S613)))^(1/inputs!$O$13))-1)/inputs!$N$13, inputs!$I$17))</f>
        <v>1.607678928186359</v>
      </c>
      <c r="V613" s="54">
        <f>inputs!$E$70*(F613/inputs!$F$70)^(0.25)</f>
        <v>2.7176228621363152</v>
      </c>
      <c r="W613" s="54">
        <f>inputs!$E$76*(F613/inputs!$F$76)^(0.25)</f>
        <v>0.19539829170498138</v>
      </c>
      <c r="X613" s="54">
        <f>inputs!$E$72*(inputs!$F$72/F613)^(0.25)</f>
        <v>91.955364183076668</v>
      </c>
      <c r="Y613" s="54" t="s">
        <v>13</v>
      </c>
      <c r="Z613" s="106">
        <f t="shared" si="51"/>
        <v>44.675047139536261</v>
      </c>
      <c r="AA613" s="106">
        <f t="shared" si="52"/>
        <v>621.34591051967823</v>
      </c>
    </row>
    <row r="614" spans="1:27" ht="13.2" x14ac:dyDescent="0.25">
      <c r="A614" s="55" t="s">
        <v>478</v>
      </c>
      <c r="B614" s="49" t="s">
        <v>479</v>
      </c>
      <c r="C614" s="21" t="s">
        <v>61</v>
      </c>
      <c r="D614" s="20" t="s">
        <v>443</v>
      </c>
      <c r="E614" s="20">
        <v>37</v>
      </c>
      <c r="F614" s="21">
        <v>34</v>
      </c>
      <c r="G614" s="21" t="s">
        <v>169</v>
      </c>
      <c r="H614" s="21">
        <v>0.79</v>
      </c>
      <c r="I614" s="68">
        <f>MAX('Max rate concentrations'!$D$3:$D$368)</f>
        <v>720</v>
      </c>
      <c r="J614" s="68">
        <f>MAX('Max rate concentrations'!W:W)</f>
        <v>255</v>
      </c>
      <c r="K614" s="70">
        <f t="shared" si="49"/>
        <v>457.59365515818394</v>
      </c>
      <c r="L614" s="70">
        <f t="shared" si="50"/>
        <v>162.06441953519013</v>
      </c>
      <c r="M614" s="70">
        <f>IF((((0.326*F614^0.818)-(0.398*F614^0.85)/(1-H614)*H614)*(MAX('Max rate concentrations'!$P$3:$P$368)))/F614&gt;0, (((0.326*F614^0.818)-(0.398*F614^0.85)/(1-H614)*H614)*(MAX('Max rate concentrations'!$P$3:$P$368)))/F614, 0)</f>
        <v>0</v>
      </c>
      <c r="N614" s="70">
        <f>IF((((0.326*F614^0.818)-(0.398*F614^0.85)/(1-H614)*H614)*(MAX('Max rate concentrations'!$Q$3:$Q$368)))/F614&gt; 0, (((0.326*F614^0.818)-(0.398*F614^0.85)/(1-H614)*H614)*(MAX('Max rate concentrations'!$Q$3:$Q$368)))/F614, 0)</f>
        <v>0</v>
      </c>
      <c r="O614" s="70">
        <f>((MAX('Max rate concentrations'!$F$3:$F$368))*0.62*6.01*8*(12.3*F614^0.65)*0.079*0.1/F614)*inputs!$E$73/inputs!$E$74</f>
        <v>78.795906445289717</v>
      </c>
      <c r="P614" s="70">
        <f>((MAX('Max rate concentrations'!Y:Y))*0.62*6.01*8*(12.3*F614^0.65)*0.079*0.1/F614)*inputs!$E$73/inputs!$E$74</f>
        <v>26.265302148429903</v>
      </c>
      <c r="Q614" s="70">
        <f>(inputs!$C$18*11.2*(12.3*F614^0.65)*0.5/F614)*inputs!$E$73/inputs!$E$74</f>
        <v>13.8795272732921</v>
      </c>
      <c r="R614" s="60">
        <f>(60*379*((F614/1000)^0.8)*3*24*(MAX('Max rate concentrations'!$R$3:$R$368))/F614)*(inputs!$E$73/inputs!$E$75)</f>
        <v>2.1708655404698924E-2</v>
      </c>
      <c r="S614" s="60">
        <f>(IF(inputs!$C$17="aerial",((0.025*0.112*inputs!$C$18/3.3)*(3*60*379*((F614/1000)^0.8))*MAX(inputs!$I$14:$I$16))/F614,((0.0083*0.112*inputs!$C$18/1)*(3*60*379*((F614/1000)^0.8))*MAX(inputs!$I$14:$I$16))/F614))*(inputs!E$75/inputs!$E$73)</f>
        <v>0.11972456829999811</v>
      </c>
      <c r="T614" s="63">
        <f>IF((((inputs!$P$13/(V614/MAX(K614:S614)))^(1/inputs!$O$13))-1)/inputs!$N$13&lt;0, 0, IF((((inputs!$P$13/(V614/MAX(K614:S614)))^(1/inputs!$O$13))-1)/inputs!$N$13&lt;inputs!$I$17, (((inputs!$P$13/(V614/MAX(K614:S614)))^(1/inputs!$O$13))-1)/inputs!$N$13, inputs!$I$17))</f>
        <v>339.50917366238002</v>
      </c>
      <c r="U614" s="63">
        <f>IF((((inputs!$P$13/(X614/MAX(K614:S614)))^(1/inputs!$O$13))-1)/inputs!$N$13&lt;0, 0, IF((((inputs!$P$13/(X614/MAX(K614:S614)))^(1/inputs!$O$13))-1)/inputs!$N$13&lt;inputs!$I$17, (((inputs!$P$13/(X614/MAX(K614:S614)))^(1/inputs!$O$13))-1)/inputs!$N$13, inputs!$I$17))</f>
        <v>14.758286524887508</v>
      </c>
      <c r="V614" s="54">
        <f>inputs!$E$70*(F614/inputs!$F$70)^(0.25)</f>
        <v>2.7176228621363152</v>
      </c>
      <c r="W614" s="54">
        <f>inputs!$E$76*(F614/inputs!$F$76)^(0.25)</f>
        <v>0.19539829170498138</v>
      </c>
      <c r="X614" s="54">
        <f>inputs!$E$72*(inputs!$F$72/F614)^(0.25)</f>
        <v>91.955364183076668</v>
      </c>
      <c r="Y614" s="54" t="s">
        <v>13</v>
      </c>
      <c r="Z614" s="106">
        <f t="shared" si="51"/>
        <v>168.38011687849539</v>
      </c>
      <c r="AA614" s="106">
        <f t="shared" si="52"/>
        <v>2341.8508481592744</v>
      </c>
    </row>
    <row r="615" spans="1:27" ht="13.2" x14ac:dyDescent="0.25">
      <c r="A615" s="55" t="s">
        <v>478</v>
      </c>
      <c r="B615" s="49" t="s">
        <v>479</v>
      </c>
      <c r="C615" s="21" t="s">
        <v>61</v>
      </c>
      <c r="D615" s="20" t="s">
        <v>443</v>
      </c>
      <c r="E615" s="20">
        <v>37</v>
      </c>
      <c r="F615" s="21">
        <v>34</v>
      </c>
      <c r="G615" s="21" t="s">
        <v>177</v>
      </c>
      <c r="H615" s="21">
        <v>0.85</v>
      </c>
      <c r="I615" s="68">
        <f>MAX('Max rate concentrations'!$F$3:$F$368)</f>
        <v>405</v>
      </c>
      <c r="J615" s="68">
        <f>MAX('Max rate concentrations'!Y:Y)</f>
        <v>135</v>
      </c>
      <c r="K615" s="70">
        <f t="shared" si="49"/>
        <v>360.35500343706963</v>
      </c>
      <c r="L615" s="70">
        <f t="shared" si="50"/>
        <v>120.11833447902323</v>
      </c>
      <c r="M615" s="70">
        <f>IF((((0.326*F615^0.818)-(0.398*F615^0.85)/(1-H615)*H615)*(MAX('Max rate concentrations'!$P$3:$P$368)))/F615&gt;0, (((0.326*F615^0.818)-(0.398*F615^0.85)/(1-H615)*H615)*(MAX('Max rate concentrations'!$P$3:$P$368)))/F615, 0)</f>
        <v>0</v>
      </c>
      <c r="N615" s="70">
        <f>IF((((0.326*F615^0.818)-(0.398*F615^0.85)/(1-H615)*H615)*(MAX('Max rate concentrations'!$Q$3:$Q$368)))/F615&gt; 0, (((0.326*F615^0.818)-(0.398*F615^0.85)/(1-H615)*H615)*(MAX('Max rate concentrations'!$Q$3:$Q$368)))/F615, 0)</f>
        <v>0</v>
      </c>
      <c r="O615" s="70">
        <f>((MAX('Max rate concentrations'!$F$3:$F$368))*0.62*6.01*8*(12.3*F615^0.65)*0.079*0.1/F615)*inputs!$E$73/inputs!$E$74</f>
        <v>78.795906445289717</v>
      </c>
      <c r="P615" s="70">
        <f>((MAX('Max rate concentrations'!Y:Y))*0.62*6.01*8*(12.3*F615^0.65)*0.079*0.1/F615)*inputs!$E$73/inputs!$E$74</f>
        <v>26.265302148429903</v>
      </c>
      <c r="Q615" s="70">
        <f>(inputs!$C$18*11.2*(12.3*F615^0.65)*0.5/F615)*inputs!$E$73/inputs!$E$74</f>
        <v>13.8795272732921</v>
      </c>
      <c r="R615" s="60">
        <f>(60*379*((F615/1000)^0.8)*3*24*(MAX('Max rate concentrations'!$R$3:$R$368))/F615)*(inputs!$E$73/inputs!$E$75)</f>
        <v>2.1708655404698924E-2</v>
      </c>
      <c r="S615" s="60">
        <f>(IF(inputs!$C$17="aerial",((0.025*0.112*inputs!$C$18/3.3)*(3*60*379*((F615/1000)^0.8))*MAX(inputs!$I$14:$I$16))/F615,((0.0083*0.112*inputs!$C$18/1)*(3*60*379*((F615/1000)^0.8))*MAX(inputs!$I$14:$I$16))/F615))*(inputs!E$75/inputs!$E$73)</f>
        <v>0.11972456829999811</v>
      </c>
      <c r="T615" s="63">
        <f>IF((((inputs!$P$13/(V615/MAX(K615:S615)))^(1/inputs!$O$13))-1)/inputs!$N$13&lt;0, 0, IF((((inputs!$P$13/(V615/MAX(K615:S615)))^(1/inputs!$O$13))-1)/inputs!$N$13&lt;inputs!$I$17, (((inputs!$P$13/(V615/MAX(K615:S615)))^(1/inputs!$O$13))-1)/inputs!$N$13, inputs!$I$17))</f>
        <v>278.94926707620476</v>
      </c>
      <c r="U615" s="63">
        <f>IF((((inputs!$P$13/(X615/MAX(K615:S615)))^(1/inputs!$O$13))-1)/inputs!$N$13&lt;0, 0, IF((((inputs!$P$13/(X615/MAX(K615:S615)))^(1/inputs!$O$13))-1)/inputs!$N$13&lt;inputs!$I$17, (((inputs!$P$13/(X615/MAX(K615:S615)))^(1/inputs!$O$13))-1)/inputs!$N$13, inputs!$I$17))</f>
        <v>11.247400479240792</v>
      </c>
      <c r="V615" s="54">
        <f>inputs!$E$70*(F615/inputs!$F$70)^(0.25)</f>
        <v>2.7176228621363152</v>
      </c>
      <c r="W615" s="54">
        <f>inputs!$E$76*(F615/inputs!$F$76)^(0.25)</f>
        <v>0.19539829170498138</v>
      </c>
      <c r="X615" s="54">
        <f>inputs!$E$72*(inputs!$F$72/F615)^(0.25)</f>
        <v>91.955364183076668</v>
      </c>
      <c r="Y615" s="54" t="s">
        <v>13</v>
      </c>
      <c r="Z615" s="106">
        <f t="shared" si="51"/>
        <v>132.59934204181505</v>
      </c>
      <c r="AA615" s="106">
        <f t="shared" si="52"/>
        <v>1844.2075429254273</v>
      </c>
    </row>
    <row r="616" spans="1:27" ht="13.2" x14ac:dyDescent="0.25">
      <c r="A616" s="55" t="s">
        <v>478</v>
      </c>
      <c r="B616" s="49" t="s">
        <v>479</v>
      </c>
      <c r="C616" s="21" t="s">
        <v>61</v>
      </c>
      <c r="D616" s="20" t="s">
        <v>443</v>
      </c>
      <c r="E616" s="20">
        <v>37</v>
      </c>
      <c r="F616" s="21">
        <v>34</v>
      </c>
      <c r="G616" s="21" t="s">
        <v>154</v>
      </c>
      <c r="H616" s="21">
        <v>9.2999999999999999E-2</v>
      </c>
      <c r="I616" s="68">
        <f>MAX('Max rate concentrations'!$G$3:$G$368)</f>
        <v>45</v>
      </c>
      <c r="J616" s="68">
        <f>MAX('Max rate concentrations'!Z:Z)</f>
        <v>21</v>
      </c>
      <c r="K616" s="70">
        <f t="shared" si="49"/>
        <v>6.6217383946539821</v>
      </c>
      <c r="L616" s="70">
        <f t="shared" si="50"/>
        <v>3.0901445841718584</v>
      </c>
      <c r="M616" s="70">
        <f>IF((((0.326*F616^0.818)-(0.398*F616^0.85)/(1-H616)*H616)*(MAX('Max rate concentrations'!$P$3:$P$368)))/F616&gt;0, (((0.326*F616^0.818)-(0.398*F616^0.85)/(1-H616)*H616)*(MAX('Max rate concentrations'!$P$3:$P$368)))/F616, 0)</f>
        <v>0.12849339614863209</v>
      </c>
      <c r="N616" s="70">
        <f>IF((((0.326*F616^0.818)-(0.398*F616^0.85)/(1-H616)*H616)*(MAX('Max rate concentrations'!$Q$3:$Q$368)))/F616&gt; 0, (((0.326*F616^0.818)-(0.398*F616^0.85)/(1-H616)*H616)*(MAX('Max rate concentrations'!$Q$3:$Q$368)))/F616, 0)</f>
        <v>0.48930975670069399</v>
      </c>
      <c r="O616" s="70">
        <f>((MAX('Max rate concentrations'!$F$3:$F$368))*0.62*6.01*8*(12.3*F616^0.65)*0.079*0.1/F616)*inputs!$E$73/inputs!$E$74</f>
        <v>78.795906445289717</v>
      </c>
      <c r="P616" s="70">
        <f>((MAX('Max rate concentrations'!Y:Y))*0.62*6.01*8*(12.3*F616^0.65)*0.079*0.1/F616)*inputs!$E$73/inputs!$E$74</f>
        <v>26.265302148429903</v>
      </c>
      <c r="Q616" s="70">
        <f>(inputs!$C$18*11.2*(12.3*F616^0.65)*0.5/F616)*inputs!$E$73/inputs!$E$74</f>
        <v>13.8795272732921</v>
      </c>
      <c r="R616" s="60">
        <f>(60*379*((F616/1000)^0.8)*3*24*(MAX('Max rate concentrations'!$R$3:$R$368))/F616)*(inputs!$E$73/inputs!$E$75)</f>
        <v>2.1708655404698924E-2</v>
      </c>
      <c r="S616" s="60">
        <f>(IF(inputs!$C$17="aerial",((0.025*0.112*inputs!$C$18/3.3)*(3*60*379*((F616/1000)^0.8))*MAX(inputs!$I$14:$I$16))/F616,((0.0083*0.112*inputs!$C$18/1)*(3*60*379*((F616/1000)^0.8))*MAX(inputs!$I$14:$I$16))/F616))*(inputs!E$75/inputs!$E$73)</f>
        <v>0.11972456829999811</v>
      </c>
      <c r="T616" s="63">
        <f>IF((((inputs!$P$13/(V616/MAX(K616:S616)))^(1/inputs!$O$13))-1)/inputs!$N$13&lt;0, 0, IF((((inputs!$P$13/(V616/MAX(K616:S616)))^(1/inputs!$O$13))-1)/inputs!$N$13&lt;inputs!$I$17, (((inputs!$P$13/(V616/MAX(K616:S616)))^(1/inputs!$O$13))-1)/inputs!$N$13, inputs!$I$17))</f>
        <v>77.888376349639259</v>
      </c>
      <c r="U616" s="63">
        <f>IF((((inputs!$P$13/(X616/MAX(K616:S616)))^(1/inputs!$O$13))-1)/inputs!$N$13&lt;0, 0, IF((((inputs!$P$13/(X616/MAX(K616:S616)))^(1/inputs!$O$13))-1)/inputs!$N$13&lt;inputs!$I$17, (((inputs!$P$13/(X616/MAX(K616:S616)))^(1/inputs!$O$13))-1)/inputs!$N$13, inputs!$I$17))</f>
        <v>0</v>
      </c>
      <c r="V616" s="54">
        <f>inputs!$E$70*(F616/inputs!$F$70)^(0.25)</f>
        <v>2.7176228621363152</v>
      </c>
      <c r="W616" s="54">
        <f>inputs!$E$76*(F616/inputs!$F$76)^(0.25)</f>
        <v>0.19539829170498138</v>
      </c>
      <c r="X616" s="54">
        <f>inputs!$E$72*(inputs!$F$72/F616)^(0.25)</f>
        <v>91.955364183076668</v>
      </c>
      <c r="Y616" s="54" t="s">
        <v>13</v>
      </c>
      <c r="Z616" s="106">
        <f t="shared" si="51"/>
        <v>28.994422862393971</v>
      </c>
      <c r="AA616" s="106">
        <f t="shared" si="52"/>
        <v>403.25790854025638</v>
      </c>
    </row>
    <row r="617" spans="1:27" ht="13.2" x14ac:dyDescent="0.25">
      <c r="A617" s="55" t="s">
        <v>474</v>
      </c>
      <c r="B617" s="49" t="s">
        <v>475</v>
      </c>
      <c r="C617" s="21" t="s">
        <v>61</v>
      </c>
      <c r="D617" s="20" t="s">
        <v>443</v>
      </c>
      <c r="E617" s="20">
        <v>38</v>
      </c>
      <c r="F617" s="21">
        <v>151.4</v>
      </c>
      <c r="G617" s="21" t="s">
        <v>142</v>
      </c>
      <c r="H617" s="21">
        <v>0.69</v>
      </c>
      <c r="I617" s="68">
        <f>MAX('Max rate concentrations'!$H$3:$H$368)</f>
        <v>282</v>
      </c>
      <c r="J617" s="68">
        <f>MAX('Max rate concentrations'!AA:AA)</f>
        <v>195</v>
      </c>
      <c r="K617" s="70">
        <f t="shared" si="49"/>
        <v>63.30589208405862</v>
      </c>
      <c r="L617" s="70">
        <f t="shared" si="50"/>
        <v>43.77535090918947</v>
      </c>
      <c r="M617" s="70">
        <f>IF((((0.326*F617^0.818)-(0.398*F617^0.85)/(1-H617)*H617)*(MAX('Max rate concentrations'!$P$3:$P$368)))/F617&gt;0, (((0.326*F617^0.818)-(0.398*F617^0.85)/(1-H617)*H617)*(MAX('Max rate concentrations'!$P$3:$P$368)))/F617, 0)</f>
        <v>0</v>
      </c>
      <c r="N617" s="70">
        <f>IF((((0.326*F617^0.818)-(0.398*F617^0.85)/(1-H617)*H617)*(MAX('Max rate concentrations'!$Q$3:$Q$368)))/F617&gt; 0, (((0.326*F617^0.818)-(0.398*F617^0.85)/(1-H617)*H617)*(MAX('Max rate concentrations'!$Q$3:$Q$368)))/F617, 0)</f>
        <v>0</v>
      </c>
      <c r="O617" s="70">
        <f>((MAX('Max rate concentrations'!$F$3:$F$368))*0.62*6.01*8*(12.3*F617^0.65)*0.079*0.1/F617)*inputs!$E$73/inputs!$E$74</f>
        <v>46.71724465689686</v>
      </c>
      <c r="P617" s="70">
        <f>((MAX('Max rate concentrations'!Y:Y))*0.62*6.01*8*(12.3*F617^0.65)*0.079*0.1/F617)*inputs!$E$73/inputs!$E$74</f>
        <v>15.572414885632289</v>
      </c>
      <c r="Q617" s="70">
        <f>(inputs!$C$18*11.2*(12.3*F617^0.65)*0.5/F617)*inputs!$E$73/inputs!$E$74</f>
        <v>8.229022300779949</v>
      </c>
      <c r="R617" s="60">
        <f>(60*379*((F617/1000)^0.8)*3*24*(MAX('Max rate concentrations'!$R$3:$R$368))/F617)*(inputs!$E$73/inputs!$E$75)</f>
        <v>1.6102879135892395E-2</v>
      </c>
      <c r="S617" s="60">
        <f>(IF(inputs!$C$17="aerial",((0.025*0.112*inputs!$C$18/3.3)*(3*60*379*((F617/1000)^0.8))*MAX(inputs!$I$14:$I$16))/F617,((0.0083*0.112*inputs!$C$18/1)*(3*60*379*((F617/1000)^0.8))*MAX(inputs!$I$14:$I$16))/F617))*(inputs!E$75/inputs!$E$73)</f>
        <v>8.8808367768114238E-2</v>
      </c>
      <c r="T617" s="63">
        <f>IF((((inputs!$P$13/(V617/MAX(K617:S617)))^(1/inputs!$O$13))-1)/inputs!$N$13&lt;0, 0, IF((((inputs!$P$13/(V617/MAX(K617:S617)))^(1/inputs!$O$13))-1)/inputs!$N$13&lt;inputs!$I$17, (((inputs!$P$13/(V617/MAX(K617:S617)))^(1/inputs!$O$13))-1)/inputs!$N$13, inputs!$I$17))</f>
        <v>46.257117827816735</v>
      </c>
      <c r="U617" s="63">
        <f>IF((((inputs!$P$13/(X617/MAX(K617:S617)))^(1/inputs!$O$13))-1)/inputs!$N$13&lt;0, 0, IF((((inputs!$P$13/(X617/MAX(K617:S617)))^(1/inputs!$O$13))-1)/inputs!$N$13&lt;inputs!$I$17, (((inputs!$P$13/(X617/MAX(K617:S617)))^(1/inputs!$O$13))-1)/inputs!$N$13, inputs!$I$17))</f>
        <v>0.23242986846704011</v>
      </c>
      <c r="V617" s="54">
        <f>inputs!$E$70*(F617/inputs!$F$70)^(0.25)</f>
        <v>3.9477616781767391</v>
      </c>
      <c r="W617" s="54">
        <f>inputs!$E$76*(F617/inputs!$F$76)^(0.25)</f>
        <v>0.28384581934512471</v>
      </c>
      <c r="X617" s="54">
        <f>inputs!$E$72*(inputs!$F$72/F617)^(0.25)</f>
        <v>63.301693560036661</v>
      </c>
      <c r="Y617" s="54" t="s">
        <v>13</v>
      </c>
      <c r="Z617" s="106">
        <f t="shared" si="51"/>
        <v>16.035895083032528</v>
      </c>
      <c r="AA617" s="106">
        <f t="shared" si="52"/>
        <v>223.02915093170969</v>
      </c>
    </row>
    <row r="618" spans="1:27" ht="13.2" x14ac:dyDescent="0.25">
      <c r="A618" s="55" t="s">
        <v>474</v>
      </c>
      <c r="B618" s="49" t="s">
        <v>475</v>
      </c>
      <c r="C618" s="21" t="s">
        <v>61</v>
      </c>
      <c r="D618" s="20" t="s">
        <v>443</v>
      </c>
      <c r="E618" s="20">
        <v>38</v>
      </c>
      <c r="F618" s="21">
        <v>151.4</v>
      </c>
      <c r="G618" s="21" t="s">
        <v>169</v>
      </c>
      <c r="H618" s="21">
        <v>0.79</v>
      </c>
      <c r="I618" s="68">
        <f>MAX('Max rate concentrations'!$D$3:$D$368)</f>
        <v>720</v>
      </c>
      <c r="J618" s="68">
        <f>MAX('Max rate concentrations'!W:W)</f>
        <v>255</v>
      </c>
      <c r="K618" s="70">
        <f t="shared" si="49"/>
        <v>238.59971484569215</v>
      </c>
      <c r="L618" s="70">
        <f t="shared" si="50"/>
        <v>84.504065674515971</v>
      </c>
      <c r="M618" s="70">
        <f>IF((((0.326*F618^0.818)-(0.398*F618^0.85)/(1-H618)*H618)*(MAX('Max rate concentrations'!$P$3:$P$368)))/F618&gt;0, (((0.326*F618^0.818)-(0.398*F618^0.85)/(1-H618)*H618)*(MAX('Max rate concentrations'!$P$3:$P$368)))/F618, 0)</f>
        <v>0</v>
      </c>
      <c r="N618" s="70">
        <f>IF((((0.326*F618^0.818)-(0.398*F618^0.85)/(1-H618)*H618)*(MAX('Max rate concentrations'!$Q$3:$Q$368)))/F618&gt; 0, (((0.326*F618^0.818)-(0.398*F618^0.85)/(1-H618)*H618)*(MAX('Max rate concentrations'!$Q$3:$Q$368)))/F618, 0)</f>
        <v>0</v>
      </c>
      <c r="O618" s="70">
        <f>((MAX('Max rate concentrations'!$F$3:$F$368))*0.62*6.01*8*(12.3*F618^0.65)*0.079*0.1/F618)*inputs!$E$73/inputs!$E$74</f>
        <v>46.71724465689686</v>
      </c>
      <c r="P618" s="70">
        <f>((MAX('Max rate concentrations'!Y:Y))*0.62*6.01*8*(12.3*F618^0.65)*0.079*0.1/F618)*inputs!$E$73/inputs!$E$74</f>
        <v>15.572414885632289</v>
      </c>
      <c r="Q618" s="70">
        <f>(inputs!$C$18*11.2*(12.3*F618^0.65)*0.5/F618)*inputs!$E$73/inputs!$E$74</f>
        <v>8.229022300779949</v>
      </c>
      <c r="R618" s="60">
        <f>(60*379*((F618/1000)^0.8)*3*24*(MAX('Max rate concentrations'!$R$3:$R$368))/F618)*(inputs!$E$73/inputs!$E$75)</f>
        <v>1.6102879135892395E-2</v>
      </c>
      <c r="S618" s="60">
        <f>(IF(inputs!$C$17="aerial",((0.025*0.112*inputs!$C$18/3.3)*(3*60*379*((F618/1000)^0.8))*MAX(inputs!$I$14:$I$16))/F618,((0.0083*0.112*inputs!$C$18/1)*(3*60*379*((F618/1000)^0.8))*MAX(inputs!$I$14:$I$16))/F618))*(inputs!E$75/inputs!$E$73)</f>
        <v>8.8808367768114238E-2</v>
      </c>
      <c r="T618" s="63">
        <f>IF((((inputs!$P$13/(V618/MAX(K618:S618)))^(1/inputs!$O$13))-1)/inputs!$N$13&lt;0, 0, IF((((inputs!$P$13/(V618/MAX(K618:S618)))^(1/inputs!$O$13))-1)/inputs!$N$13&lt;inputs!$I$17, (((inputs!$P$13/(V618/MAX(K618:S618)))^(1/inputs!$O$13))-1)/inputs!$N$13, inputs!$I$17))</f>
        <v>145.31280187314687</v>
      </c>
      <c r="U618" s="63">
        <f>IF((((inputs!$P$13/(X618/MAX(K618:S618)))^(1/inputs!$O$13))-1)/inputs!$N$13&lt;0, 0, IF((((inputs!$P$13/(X618/MAX(K618:S618)))^(1/inputs!$O$13))-1)/inputs!$N$13&lt;inputs!$I$17, (((inputs!$P$13/(X618/MAX(K618:S618)))^(1/inputs!$O$13))-1)/inputs!$N$13, inputs!$I$17))</f>
        <v>10.737071949752242</v>
      </c>
      <c r="V618" s="54">
        <f>inputs!$E$70*(F618/inputs!$F$70)^(0.25)</f>
        <v>3.9477616781767391</v>
      </c>
      <c r="W618" s="54">
        <f>inputs!$E$76*(F618/inputs!$F$76)^(0.25)</f>
        <v>0.28384581934512471</v>
      </c>
      <c r="X618" s="54">
        <f>inputs!$E$72*(inputs!$F$72/F618)^(0.25)</f>
        <v>63.301693560036661</v>
      </c>
      <c r="Y618" s="54" t="s">
        <v>13</v>
      </c>
      <c r="Z618" s="106">
        <f t="shared" si="51"/>
        <v>60.439239826627187</v>
      </c>
      <c r="AA618" s="106">
        <f t="shared" si="52"/>
        <v>840.59619196145934</v>
      </c>
    </row>
    <row r="619" spans="1:27" ht="13.2" x14ac:dyDescent="0.25">
      <c r="A619" s="55" t="s">
        <v>474</v>
      </c>
      <c r="B619" s="49" t="s">
        <v>475</v>
      </c>
      <c r="C619" s="21" t="s">
        <v>61</v>
      </c>
      <c r="D619" s="20" t="s">
        <v>443</v>
      </c>
      <c r="E619" s="20">
        <v>38</v>
      </c>
      <c r="F619" s="21">
        <v>151.4</v>
      </c>
      <c r="G619" s="21" t="s">
        <v>177</v>
      </c>
      <c r="H619" s="21">
        <v>0.85</v>
      </c>
      <c r="I619" s="68">
        <f>MAX('Max rate concentrations'!$F$3:$F$368)</f>
        <v>405</v>
      </c>
      <c r="J619" s="68">
        <f>MAX('Max rate concentrations'!Y:Y)</f>
        <v>135</v>
      </c>
      <c r="K619" s="70">
        <f t="shared" si="49"/>
        <v>187.89727544098253</v>
      </c>
      <c r="L619" s="70">
        <f t="shared" si="50"/>
        <v>62.632425146994173</v>
      </c>
      <c r="M619" s="70">
        <f>IF((((0.326*F619^0.818)-(0.398*F619^0.85)/(1-H619)*H619)*(MAX('Max rate concentrations'!$P$3:$P$368)))/F619&gt;0, (((0.326*F619^0.818)-(0.398*F619^0.85)/(1-H619)*H619)*(MAX('Max rate concentrations'!$P$3:$P$368)))/F619, 0)</f>
        <v>0</v>
      </c>
      <c r="N619" s="70">
        <f>IF((((0.326*F619^0.818)-(0.398*F619^0.85)/(1-H619)*H619)*(MAX('Max rate concentrations'!$Q$3:$Q$368)))/F619&gt; 0, (((0.326*F619^0.818)-(0.398*F619^0.85)/(1-H619)*H619)*(MAX('Max rate concentrations'!$Q$3:$Q$368)))/F619, 0)</f>
        <v>0</v>
      </c>
      <c r="O619" s="70">
        <f>((MAX('Max rate concentrations'!$F$3:$F$368))*0.62*6.01*8*(12.3*F619^0.65)*0.079*0.1/F619)*inputs!$E$73/inputs!$E$74</f>
        <v>46.71724465689686</v>
      </c>
      <c r="P619" s="70">
        <f>((MAX('Max rate concentrations'!Y:Y))*0.62*6.01*8*(12.3*F619^0.65)*0.079*0.1/F619)*inputs!$E$73/inputs!$E$74</f>
        <v>15.572414885632289</v>
      </c>
      <c r="Q619" s="70">
        <f>(inputs!$C$18*11.2*(12.3*F619^0.65)*0.5/F619)*inputs!$E$73/inputs!$E$74</f>
        <v>8.229022300779949</v>
      </c>
      <c r="R619" s="60">
        <f>(60*379*((F619/1000)^0.8)*3*24*(MAX('Max rate concentrations'!$R$3:$R$368))/F619)*(inputs!$E$73/inputs!$E$75)</f>
        <v>1.6102879135892395E-2</v>
      </c>
      <c r="S619" s="60">
        <f>(IF(inputs!$C$17="aerial",((0.025*0.112*inputs!$C$18/3.3)*(3*60*379*((F619/1000)^0.8))*MAX(inputs!$I$14:$I$16))/F619,((0.0083*0.112*inputs!$C$18/1)*(3*60*379*((F619/1000)^0.8))*MAX(inputs!$I$14:$I$16))/F619))*(inputs!E$75/inputs!$E$73)</f>
        <v>8.8808367768114238E-2</v>
      </c>
      <c r="T619" s="63">
        <f>IF((((inputs!$P$13/(V619/MAX(K619:S619)))^(1/inputs!$O$13))-1)/inputs!$N$13&lt;0, 0, IF((((inputs!$P$13/(V619/MAX(K619:S619)))^(1/inputs!$O$13))-1)/inputs!$N$13&lt;inputs!$I$17, (((inputs!$P$13/(V619/MAX(K619:S619)))^(1/inputs!$O$13))-1)/inputs!$N$13, inputs!$I$17))</f>
        <v>118.86739117258136</v>
      </c>
      <c r="U619" s="63">
        <f>IF((((inputs!$P$13/(X619/MAX(K619:S619)))^(1/inputs!$O$13))-1)/inputs!$N$13&lt;0, 0, IF((((inputs!$P$13/(X619/MAX(K619:S619)))^(1/inputs!$O$13))-1)/inputs!$N$13&lt;inputs!$I$17, (((inputs!$P$13/(X619/MAX(K619:S619)))^(1/inputs!$O$13))-1)/inputs!$N$13, inputs!$I$17))</f>
        <v>7.9325930671986331</v>
      </c>
      <c r="V619" s="54">
        <f>inputs!$E$70*(F619/inputs!$F$70)^(0.25)</f>
        <v>3.9477616781767391</v>
      </c>
      <c r="W619" s="54">
        <f>inputs!$E$76*(F619/inputs!$F$76)^(0.25)</f>
        <v>0.28384581934512471</v>
      </c>
      <c r="X619" s="54">
        <f>inputs!$E$72*(inputs!$F$72/F619)^(0.25)</f>
        <v>63.301693560036661</v>
      </c>
      <c r="Y619" s="54" t="s">
        <v>13</v>
      </c>
      <c r="Z619" s="106">
        <f t="shared" si="51"/>
        <v>47.595901363468897</v>
      </c>
      <c r="AA619" s="106">
        <f t="shared" si="52"/>
        <v>661.96950116964911</v>
      </c>
    </row>
    <row r="620" spans="1:27" ht="13.2" x14ac:dyDescent="0.25">
      <c r="A620" s="55" t="s">
        <v>474</v>
      </c>
      <c r="B620" s="49" t="s">
        <v>475</v>
      </c>
      <c r="C620" s="21" t="s">
        <v>61</v>
      </c>
      <c r="D620" s="20" t="s">
        <v>443</v>
      </c>
      <c r="E620" s="20">
        <v>38</v>
      </c>
      <c r="F620" s="21">
        <v>151.4</v>
      </c>
      <c r="G620" s="21" t="s">
        <v>154</v>
      </c>
      <c r="H620" s="21">
        <v>9.2999999999999999E-2</v>
      </c>
      <c r="I620" s="68">
        <f>MAX('Max rate concentrations'!$G$3:$G$368)</f>
        <v>45</v>
      </c>
      <c r="J620" s="68">
        <f>MAX('Max rate concentrations'!Z:Z)</f>
        <v>21</v>
      </c>
      <c r="K620" s="70">
        <f t="shared" si="49"/>
        <v>3.4527246497791722</v>
      </c>
      <c r="L620" s="70">
        <f t="shared" si="50"/>
        <v>1.6112715032302802</v>
      </c>
      <c r="M620" s="70">
        <f>IF((((0.326*F620^0.818)-(0.398*F620^0.85)/(1-H620)*H620)*(MAX('Max rate concentrations'!$P$3:$P$368)))/F620&gt;0, (((0.326*F620^0.818)-(0.398*F620^0.85)/(1-H620)*H620)*(MAX('Max rate concentrations'!$P$3:$P$368)))/F620, 0)</f>
        <v>9.7128843746051977E-2</v>
      </c>
      <c r="N620" s="70">
        <f>IF((((0.326*F620^0.818)-(0.398*F620^0.85)/(1-H620)*H620)*(MAX('Max rate concentrations'!$Q$3:$Q$368)))/F620&gt; 0, (((0.326*F620^0.818)-(0.398*F620^0.85)/(1-H620)*H620)*(MAX('Max rate concentrations'!$Q$3:$Q$368)))/F620, 0)</f>
        <v>0.36987185588141491</v>
      </c>
      <c r="O620" s="70">
        <f>((MAX('Max rate concentrations'!$F$3:$F$368))*0.62*6.01*8*(12.3*F620^0.65)*0.079*0.1/F620)*inputs!$E$73/inputs!$E$74</f>
        <v>46.71724465689686</v>
      </c>
      <c r="P620" s="70">
        <f>((MAX('Max rate concentrations'!Y:Y))*0.62*6.01*8*(12.3*F620^0.65)*0.079*0.1/F620)*inputs!$E$73/inputs!$E$74</f>
        <v>15.572414885632289</v>
      </c>
      <c r="Q620" s="70">
        <f>(inputs!$C$18*11.2*(12.3*F620^0.65)*0.5/F620)*inputs!$E$73/inputs!$E$74</f>
        <v>8.229022300779949</v>
      </c>
      <c r="R620" s="60">
        <f>(60*379*((F620/1000)^0.8)*3*24*(MAX('Max rate concentrations'!$R$3:$R$368))/F620)*(inputs!$E$73/inputs!$E$75)</f>
        <v>1.6102879135892395E-2</v>
      </c>
      <c r="S620" s="60">
        <f>(IF(inputs!$C$17="aerial",((0.025*0.112*inputs!$C$18/3.3)*(3*60*379*((F620/1000)^0.8))*MAX(inputs!$I$14:$I$16))/F620,((0.0083*0.112*inputs!$C$18/1)*(3*60*379*((F620/1000)^0.8))*MAX(inputs!$I$14:$I$16))/F620))*(inputs!E$75/inputs!$E$73)</f>
        <v>8.8808367768114238E-2</v>
      </c>
      <c r="T620" s="63">
        <f>IF((((inputs!$P$13/(V620/MAX(K620:S620)))^(1/inputs!$O$13))-1)/inputs!$N$13&lt;0, 0, IF((((inputs!$P$13/(V620/MAX(K620:S620)))^(1/inputs!$O$13))-1)/inputs!$N$13&lt;inputs!$I$17, (((inputs!$P$13/(V620/MAX(K620:S620)))^(1/inputs!$O$13))-1)/inputs!$N$13, inputs!$I$17))</f>
        <v>35.040513550536097</v>
      </c>
      <c r="U620" s="63">
        <f>IF((((inputs!$P$13/(X620/MAX(K620:S620)))^(1/inputs!$O$13))-1)/inputs!$N$13&lt;0, 0, IF((((inputs!$P$13/(X620/MAX(K620:S620)))^(1/inputs!$O$13))-1)/inputs!$N$13&lt;inputs!$I$17, (((inputs!$P$13/(X620/MAX(K620:S620)))^(1/inputs!$O$13))-1)/inputs!$N$13, inputs!$I$17))</f>
        <v>0</v>
      </c>
      <c r="V620" s="54">
        <f>inputs!$E$70*(F620/inputs!$F$70)^(0.25)</f>
        <v>3.9477616781767391</v>
      </c>
      <c r="W620" s="54">
        <f>inputs!$E$76*(F620/inputs!$F$76)^(0.25)</f>
        <v>0.28384581934512471</v>
      </c>
      <c r="X620" s="54">
        <f>inputs!$E$72*(inputs!$F$72/F620)^(0.25)</f>
        <v>63.301693560036661</v>
      </c>
      <c r="Y620" s="54" t="s">
        <v>13</v>
      </c>
      <c r="Z620" s="106">
        <f t="shared" si="51"/>
        <v>11.833856363505982</v>
      </c>
      <c r="AA620" s="106">
        <f t="shared" si="52"/>
        <v>164.58669274989012</v>
      </c>
    </row>
    <row r="621" spans="1:27" ht="13.2" x14ac:dyDescent="0.25">
      <c r="A621" s="55" t="s">
        <v>509</v>
      </c>
      <c r="B621" s="49" t="s">
        <v>510</v>
      </c>
      <c r="C621" s="21" t="s">
        <v>61</v>
      </c>
      <c r="D621" s="20" t="s">
        <v>443</v>
      </c>
      <c r="E621" s="20">
        <v>61</v>
      </c>
      <c r="F621" s="21">
        <v>28</v>
      </c>
      <c r="G621" s="21" t="s">
        <v>169</v>
      </c>
      <c r="H621" s="21">
        <v>0.79</v>
      </c>
      <c r="I621" s="68">
        <f>MAX('Max rate concentrations'!$D$3:$D$368)</f>
        <v>720</v>
      </c>
      <c r="J621" s="68">
        <f>MAX('Max rate concentrations'!W:W)</f>
        <v>255</v>
      </c>
      <c r="K621" s="70">
        <f t="shared" si="49"/>
        <v>498.01669312277767</v>
      </c>
      <c r="L621" s="70">
        <f t="shared" si="50"/>
        <v>176.38091214765043</v>
      </c>
      <c r="M621" s="70">
        <f>IF((((0.326*F621^0.818)-(0.398*F621^0.85)/(1-H621)*H621)*(MAX('Max rate concentrations'!$P$3:$P$368)))/F621&gt;0, (((0.326*F621^0.818)-(0.398*F621^0.85)/(1-H621)*H621)*(MAX('Max rate concentrations'!$P$3:$P$368)))/F621, 0)</f>
        <v>0</v>
      </c>
      <c r="N621" s="70">
        <f>IF((((0.326*F621^0.818)-(0.398*F621^0.85)/(1-H621)*H621)*(MAX('Max rate concentrations'!$Q$3:$Q$368)))/F621&gt; 0, (((0.326*F621^0.818)-(0.398*F621^0.85)/(1-H621)*H621)*(MAX('Max rate concentrations'!$Q$3:$Q$368)))/F621, 0)</f>
        <v>0</v>
      </c>
      <c r="O621" s="70">
        <f>((MAX('Max rate concentrations'!$F$3:$F$368))*0.62*6.01*8*(12.3*F621^0.65)*0.079*0.1/F621)*inputs!$E$73/inputs!$E$74</f>
        <v>84.336576167986905</v>
      </c>
      <c r="P621" s="70">
        <f>((MAX('Max rate concentrations'!Y:Y))*0.62*6.01*8*(12.3*F621^0.65)*0.079*0.1/F621)*inputs!$E$73/inputs!$E$74</f>
        <v>28.112192055995635</v>
      </c>
      <c r="Q621" s="70">
        <f>(inputs!$C$18*11.2*(12.3*F621^0.65)*0.5/F621)*inputs!$E$73/inputs!$E$74</f>
        <v>14.855490111943803</v>
      </c>
      <c r="R621" s="60">
        <f>(60*379*((F621/1000)^0.8)*3*24*(MAX('Max rate concentrations'!$R$3:$R$368))/F621)*(inputs!$E$73/inputs!$E$75)</f>
        <v>2.2568209359449809E-2</v>
      </c>
      <c r="S621" s="60">
        <f>(IF(inputs!$C$17="aerial",((0.025*0.112*inputs!$C$18/3.3)*(3*60*379*((F621/1000)^0.8))*MAX(inputs!$I$14:$I$16))/F621,((0.0083*0.112*inputs!$C$18/1)*(3*60*379*((F621/1000)^0.8))*MAX(inputs!$I$14:$I$16))/F621))*(inputs!E$75/inputs!$E$73)</f>
        <v>0.1244650611699909</v>
      </c>
      <c r="T621" s="63">
        <f>IF((((inputs!$P$13/(V621/MAX(K621:S621)))^(1/inputs!$O$13))-1)/inputs!$N$13&lt;0, 0, IF((((inputs!$P$13/(V621/MAX(K621:S621)))^(1/inputs!$O$13))-1)/inputs!$N$13&lt;inputs!$I$17, (((inputs!$P$13/(V621/MAX(K621:S621)))^(1/inputs!$O$13))-1)/inputs!$N$13, inputs!$I$17))</f>
        <v>378.71326130501183</v>
      </c>
      <c r="U621" s="63">
        <f>IF((((inputs!$P$13/(X621/MAX(K621:S621)))^(1/inputs!$O$13))-1)/inputs!$N$13&lt;0, 0, IF((((inputs!$P$13/(X621/MAX(K621:S621)))^(1/inputs!$O$13))-1)/inputs!$N$13&lt;inputs!$I$17, (((inputs!$P$13/(X621/MAX(K621:S621)))^(1/inputs!$O$13))-1)/inputs!$N$13, inputs!$I$17))</f>
        <v>15.350543691397672</v>
      </c>
      <c r="V621" s="54">
        <f>inputs!$E$70*(F621/inputs!$F$70)^(0.25)</f>
        <v>2.5888623881307193</v>
      </c>
      <c r="W621" s="54">
        <f>inputs!$E$76*(F621/inputs!$F$76)^(0.25)</f>
        <v>0.18614035639307461</v>
      </c>
      <c r="X621" s="54">
        <f>inputs!$E$72*(inputs!$F$72/F621)^(0.25)</f>
        <v>96.528885098616442</v>
      </c>
      <c r="Y621" s="54" t="s">
        <v>13</v>
      </c>
      <c r="Z621" s="106">
        <f t="shared" si="51"/>
        <v>192.36893216343151</v>
      </c>
      <c r="AA621" s="106">
        <f t="shared" si="52"/>
        <v>2675.4901665231068</v>
      </c>
    </row>
    <row r="622" spans="1:27" ht="13.2" x14ac:dyDescent="0.25">
      <c r="A622" s="55" t="s">
        <v>509</v>
      </c>
      <c r="B622" s="49" t="s">
        <v>510</v>
      </c>
      <c r="C622" s="21" t="s">
        <v>61</v>
      </c>
      <c r="D622" s="20" t="s">
        <v>443</v>
      </c>
      <c r="E622" s="20">
        <v>61</v>
      </c>
      <c r="F622" s="21">
        <v>28</v>
      </c>
      <c r="G622" s="21" t="s">
        <v>177</v>
      </c>
      <c r="H622" s="21">
        <v>0.85</v>
      </c>
      <c r="I622" s="68">
        <f>MAX('Max rate concentrations'!$F$3:$F$368)</f>
        <v>405</v>
      </c>
      <c r="J622" s="68">
        <f>MAX('Max rate concentrations'!Y:Y)</f>
        <v>135</v>
      </c>
      <c r="K622" s="70">
        <f t="shared" si="49"/>
        <v>392.18814583418725</v>
      </c>
      <c r="L622" s="70">
        <f t="shared" si="50"/>
        <v>130.72938194472911</v>
      </c>
      <c r="M622" s="70">
        <f>IF((((0.326*F622^0.818)-(0.398*F622^0.85)/(1-H622)*H622)*(MAX('Max rate concentrations'!$P$3:$P$368)))/F622&gt;0, (((0.326*F622^0.818)-(0.398*F622^0.85)/(1-H622)*H622)*(MAX('Max rate concentrations'!$P$3:$P$368)))/F622, 0)</f>
        <v>0</v>
      </c>
      <c r="N622" s="70">
        <f>IF((((0.326*F622^0.818)-(0.398*F622^0.85)/(1-H622)*H622)*(MAX('Max rate concentrations'!$Q$3:$Q$368)))/F622&gt; 0, (((0.326*F622^0.818)-(0.398*F622^0.85)/(1-H622)*H622)*(MAX('Max rate concentrations'!$Q$3:$Q$368)))/F622, 0)</f>
        <v>0</v>
      </c>
      <c r="O622" s="70">
        <f>((MAX('Max rate concentrations'!$F$3:$F$368))*0.62*6.01*8*(12.3*F622^0.65)*0.079*0.1/F622)*inputs!$E$73/inputs!$E$74</f>
        <v>84.336576167986905</v>
      </c>
      <c r="P622" s="70">
        <f>((MAX('Max rate concentrations'!Y:Y))*0.62*6.01*8*(12.3*F622^0.65)*0.079*0.1/F622)*inputs!$E$73/inputs!$E$74</f>
        <v>28.112192055995635</v>
      </c>
      <c r="Q622" s="70">
        <f>(inputs!$C$18*11.2*(12.3*F622^0.65)*0.5/F622)*inputs!$E$73/inputs!$E$74</f>
        <v>14.855490111943803</v>
      </c>
      <c r="R622" s="60">
        <f>(60*379*((F622/1000)^0.8)*3*24*(MAX('Max rate concentrations'!$R$3:$R$368))/F622)*(inputs!$E$73/inputs!$E$75)</f>
        <v>2.2568209359449809E-2</v>
      </c>
      <c r="S622" s="60">
        <f>(IF(inputs!$C$17="aerial",((0.025*0.112*inputs!$C$18/3.3)*(3*60*379*((F622/1000)^0.8))*MAX(inputs!$I$14:$I$16))/F622,((0.0083*0.112*inputs!$C$18/1)*(3*60*379*((F622/1000)^0.8))*MAX(inputs!$I$14:$I$16))/F622))*(inputs!E$75/inputs!$E$73)</f>
        <v>0.1244650611699909</v>
      </c>
      <c r="T622" s="63">
        <f>IF((((inputs!$P$13/(V622/MAX(K622:S622)))^(1/inputs!$O$13))-1)/inputs!$N$13&lt;0, 0, IF((((inputs!$P$13/(V622/MAX(K622:S622)))^(1/inputs!$O$13))-1)/inputs!$N$13&lt;inputs!$I$17, (((inputs!$P$13/(V622/MAX(K622:S622)))^(1/inputs!$O$13))-1)/inputs!$N$13, inputs!$I$17))</f>
        <v>311.26636875580778</v>
      </c>
      <c r="U622" s="63">
        <f>IF((((inputs!$P$13/(X622/MAX(K622:S622)))^(1/inputs!$O$13))-1)/inputs!$N$13&lt;0, 0, IF((((inputs!$P$13/(X622/MAX(K622:S622)))^(1/inputs!$O$13))-1)/inputs!$N$13&lt;inputs!$I$17, (((inputs!$P$13/(X622/MAX(K622:S622)))^(1/inputs!$O$13))-1)/inputs!$N$13, inputs!$I$17))</f>
        <v>11.7356157705914</v>
      </c>
      <c r="V622" s="54">
        <f>inputs!$E$70*(F622/inputs!$F$70)^(0.25)</f>
        <v>2.5888623881307193</v>
      </c>
      <c r="W622" s="54">
        <f>inputs!$E$76*(F622/inputs!$F$76)^(0.25)</f>
        <v>0.18614035639307461</v>
      </c>
      <c r="X622" s="54">
        <f>inputs!$E$72*(inputs!$F$72/F622)^(0.25)</f>
        <v>96.528885098616442</v>
      </c>
      <c r="Y622" s="54" t="s">
        <v>13</v>
      </c>
      <c r="Z622" s="106">
        <f t="shared" si="51"/>
        <v>151.49053407870227</v>
      </c>
      <c r="AA622" s="106">
        <f t="shared" si="52"/>
        <v>2106.948506136946</v>
      </c>
    </row>
    <row r="623" spans="1:27" ht="13.2" x14ac:dyDescent="0.25">
      <c r="A623" s="55" t="s">
        <v>540</v>
      </c>
      <c r="B623" s="49" t="s">
        <v>541</v>
      </c>
      <c r="C623" s="21" t="s">
        <v>61</v>
      </c>
      <c r="D623" s="20" t="s">
        <v>443</v>
      </c>
      <c r="E623" s="20">
        <v>31</v>
      </c>
      <c r="F623" s="21">
        <v>17</v>
      </c>
      <c r="G623" s="21" t="s">
        <v>142</v>
      </c>
      <c r="H623" s="21">
        <v>0.69</v>
      </c>
      <c r="I623" s="68">
        <f>MAX('Max rate concentrations'!$H$3:$H$368)</f>
        <v>282</v>
      </c>
      <c r="J623" s="68">
        <f>MAX('Max rate concentrations'!AA:AA)</f>
        <v>195</v>
      </c>
      <c r="K623" s="70">
        <f t="shared" si="49"/>
        <v>164.24920832005662</v>
      </c>
      <c r="L623" s="70">
        <f t="shared" si="50"/>
        <v>113.57658022131577</v>
      </c>
      <c r="M623" s="70">
        <f>IF((((0.326*F623^0.818)-(0.398*F623^0.85)/(1-H623)*H623)*(MAX('Max rate concentrations'!$P$3:$P$368)))/F623&gt;0, (((0.326*F623^0.818)-(0.398*F623^0.85)/(1-H623)*H623)*(MAX('Max rate concentrations'!$P$3:$P$368)))/F623, 0)</f>
        <v>0</v>
      </c>
      <c r="N623" s="70">
        <f>IF((((0.326*F623^0.818)-(0.398*F623^0.85)/(1-H623)*H623)*(MAX('Max rate concentrations'!$Q$3:$Q$368)))/F623&gt; 0, (((0.326*F623^0.818)-(0.398*F623^0.85)/(1-H623)*H623)*(MAX('Max rate concentrations'!$Q$3:$Q$368)))/F623, 0)</f>
        <v>0</v>
      </c>
      <c r="O623" s="70">
        <f>((MAX('Max rate concentrations'!$F$3:$F$368))*0.62*6.01*8*(12.3*F623^0.65)*0.079*0.1/F623)*inputs!$E$73/inputs!$E$74</f>
        <v>100.43015994909835</v>
      </c>
      <c r="P623" s="70">
        <f>((MAX('Max rate concentrations'!Y:Y))*0.62*6.01*8*(12.3*F623^0.65)*0.079*0.1/F623)*inputs!$E$73/inputs!$E$74</f>
        <v>33.476719983032787</v>
      </c>
      <c r="Q623" s="70">
        <f>(inputs!$C$18*11.2*(12.3*F623^0.65)*0.5/F623)*inputs!$E$73/inputs!$E$74</f>
        <v>17.690298988341983</v>
      </c>
      <c r="R623" s="60">
        <f>(60*379*((F623/1000)^0.8)*3*24*(MAX('Max rate concentrations'!$R$3:$R$368))/F623)*(inputs!$E$73/inputs!$E$75)</f>
        <v>2.4936696752575163E-2</v>
      </c>
      <c r="S623" s="60">
        <f>(IF(inputs!$C$17="aerial",((0.025*0.112*inputs!$C$18/3.3)*(3*60*379*((F623/1000)^0.8))*MAX(inputs!$I$14:$I$16))/F623,((0.0083*0.112*inputs!$C$18/1)*(3*60*379*((F623/1000)^0.8))*MAX(inputs!$I$14:$I$16))/F623))*(inputs!E$75/inputs!$E$73)</f>
        <v>0.13752741465893806</v>
      </c>
      <c r="T623" s="63">
        <f>IF((((inputs!$P$13/(V623/MAX(K623:S623)))^(1/inputs!$O$13))-1)/inputs!$N$13&lt;0, 0, IF((((inputs!$P$13/(V623/MAX(K623:S623)))^(1/inputs!$O$13))-1)/inputs!$N$13&lt;inputs!$I$17, (((inputs!$P$13/(V623/MAX(K623:S623)))^(1/inputs!$O$13))-1)/inputs!$N$13, inputs!$I$17))</f>
        <v>167.95626771695845</v>
      </c>
      <c r="U623" s="63">
        <f>IF((((inputs!$P$13/(X623/MAX(K623:S623)))^(1/inputs!$O$13))-1)/inputs!$N$13&lt;0, 0, IF((((inputs!$P$13/(X623/MAX(K623:S623)))^(1/inputs!$O$13))-1)/inputs!$N$13&lt;inputs!$I$17, (((inputs!$P$13/(X623/MAX(K623:S623)))^(1/inputs!$O$13))-1)/inputs!$N$13, inputs!$I$17))</f>
        <v>2.3587623229538068</v>
      </c>
      <c r="V623" s="54">
        <f>inputs!$E$70*(F623/inputs!$F$70)^(0.25)</f>
        <v>2.2852393227819667</v>
      </c>
      <c r="W623" s="54">
        <f>inputs!$E$76*(F623/inputs!$F$76)^(0.25)</f>
        <v>0.16430972304141847</v>
      </c>
      <c r="X623" s="54">
        <f>inputs!$E$72*(inputs!$F$72/F623)^(0.25)</f>
        <v>109.35397334918115</v>
      </c>
      <c r="Y623" s="54" t="s">
        <v>13</v>
      </c>
      <c r="Z623" s="106">
        <f t="shared" si="51"/>
        <v>71.873963782535327</v>
      </c>
      <c r="AA623" s="106">
        <f t="shared" si="52"/>
        <v>999.6317033451113</v>
      </c>
    </row>
    <row r="624" spans="1:27" ht="13.2" x14ac:dyDescent="0.25">
      <c r="A624" s="55" t="s">
        <v>540</v>
      </c>
      <c r="B624" s="49" t="s">
        <v>541</v>
      </c>
      <c r="C624" s="21" t="s">
        <v>61</v>
      </c>
      <c r="D624" s="20" t="s">
        <v>443</v>
      </c>
      <c r="E624" s="20">
        <v>31</v>
      </c>
      <c r="F624" s="21">
        <v>17</v>
      </c>
      <c r="G624" s="21" t="s">
        <v>152</v>
      </c>
      <c r="H624" s="21">
        <v>0.77</v>
      </c>
      <c r="I624" s="68">
        <f>MAX('Max rate concentrations'!$G$3:$G$368)</f>
        <v>45</v>
      </c>
      <c r="J624" s="68">
        <f>MAX('Max rate concentrations'!Z:Z)</f>
        <v>21</v>
      </c>
      <c r="K624" s="70">
        <f t="shared" si="49"/>
        <v>35.32649485144605</v>
      </c>
      <c r="L624" s="70">
        <f t="shared" si="50"/>
        <v>16.485697597341492</v>
      </c>
      <c r="M624" s="70">
        <f>IF((((0.326*F624^0.818)-(0.398*F624^0.85)/(1-H624)*H624)*(MAX('Max rate concentrations'!$P$3:$P$368)))/F624&gt;0, (((0.326*F624^0.818)-(0.398*F624^0.85)/(1-H624)*H624)*(MAX('Max rate concentrations'!$P$3:$P$368)))/F624, 0)</f>
        <v>0</v>
      </c>
      <c r="N624" s="70">
        <f>IF((((0.326*F624^0.818)-(0.398*F624^0.85)/(1-H624)*H624)*(MAX('Max rate concentrations'!$Q$3:$Q$368)))/F624&gt; 0, (((0.326*F624^0.818)-(0.398*F624^0.85)/(1-H624)*H624)*(MAX('Max rate concentrations'!$Q$3:$Q$368)))/F624, 0)</f>
        <v>0</v>
      </c>
      <c r="O624" s="70">
        <f>((MAX('Max rate concentrations'!$F$3:$F$368))*0.62*6.01*8*(12.3*F624^0.65)*0.079*0.1/F624)*inputs!$E$73/inputs!$E$74</f>
        <v>100.43015994909835</v>
      </c>
      <c r="P624" s="70">
        <f>((MAX('Max rate concentrations'!Y:Y))*0.62*6.01*8*(12.3*F624^0.65)*0.079*0.1/F624)*inputs!$E$73/inputs!$E$74</f>
        <v>33.476719983032787</v>
      </c>
      <c r="Q624" s="70">
        <f>(inputs!$C$18*11.2*(12.3*F624^0.65)*0.5/F624)*inputs!$E$73/inputs!$E$74</f>
        <v>17.690298988341983</v>
      </c>
      <c r="R624" s="60">
        <f>(60*379*((F624/1000)^0.8)*3*24*(MAX('Max rate concentrations'!$R$3:$R$368))/F624)*(inputs!$E$73/inputs!$E$75)</f>
        <v>2.4936696752575163E-2</v>
      </c>
      <c r="S624" s="60">
        <f>(IF(inputs!$C$17="aerial",((0.025*0.112*inputs!$C$18/3.3)*(3*60*379*((F624/1000)^0.8))*MAX(inputs!$I$14:$I$16))/F624,((0.0083*0.112*inputs!$C$18/1)*(3*60*379*((F624/1000)^0.8))*MAX(inputs!$I$14:$I$16))/F624))*(inputs!E$75/inputs!$E$73)</f>
        <v>0.13752741465893806</v>
      </c>
      <c r="T624" s="63">
        <f>IF((((inputs!$P$13/(V624/MAX(K624:S624)))^(1/inputs!$O$13))-1)/inputs!$N$13&lt;0, 0, IF((((inputs!$P$13/(V624/MAX(K624:S624)))^(1/inputs!$O$13))-1)/inputs!$N$13&lt;inputs!$I$17, (((inputs!$P$13/(V624/MAX(K624:S624)))^(1/inputs!$O$13))-1)/inputs!$N$13, inputs!$I$17))</f>
        <v>111.11649951721139</v>
      </c>
      <c r="U624" s="63">
        <f>IF((((inputs!$P$13/(X624/MAX(K624:S624)))^(1/inputs!$O$13))-1)/inputs!$N$13&lt;0, 0, IF((((inputs!$P$13/(X624/MAX(K624:S624)))^(1/inputs!$O$13))-1)/inputs!$N$13&lt;inputs!$I$17, (((inputs!$P$13/(X624/MAX(K624:S624)))^(1/inputs!$O$13))-1)/inputs!$N$13, inputs!$I$17))</f>
        <v>0</v>
      </c>
      <c r="V624" s="54">
        <f>inputs!$E$70*(F624/inputs!$F$70)^(0.25)</f>
        <v>2.2852393227819667</v>
      </c>
      <c r="W624" s="54">
        <f>inputs!$E$76*(F624/inputs!$F$76)^(0.25)</f>
        <v>0.16430972304141847</v>
      </c>
      <c r="X624" s="54">
        <f>inputs!$E$72*(inputs!$F$72/F624)^(0.25)</f>
        <v>109.35397334918115</v>
      </c>
      <c r="Y624" s="54" t="s">
        <v>13</v>
      </c>
      <c r="Z624" s="106">
        <f t="shared" si="51"/>
        <v>43.947327068938385</v>
      </c>
      <c r="AA624" s="106">
        <f t="shared" si="52"/>
        <v>611.22469255080148</v>
      </c>
    </row>
    <row r="625" spans="1:27" ht="13.2" x14ac:dyDescent="0.25">
      <c r="A625" s="55" t="s">
        <v>540</v>
      </c>
      <c r="B625" s="49" t="s">
        <v>541</v>
      </c>
      <c r="C625" s="21" t="s">
        <v>61</v>
      </c>
      <c r="D625" s="20" t="s">
        <v>443</v>
      </c>
      <c r="E625" s="20">
        <v>31</v>
      </c>
      <c r="F625" s="21">
        <v>17</v>
      </c>
      <c r="G625" s="21" t="s">
        <v>169</v>
      </c>
      <c r="H625" s="21">
        <v>0.79</v>
      </c>
      <c r="I625" s="68">
        <f>MAX('Max rate concentrations'!$D$3:$D$368)</f>
        <v>720</v>
      </c>
      <c r="J625" s="68">
        <f>MAX('Max rate concentrations'!W:W)</f>
        <v>255</v>
      </c>
      <c r="K625" s="70">
        <f t="shared" si="49"/>
        <v>619.05476692057846</v>
      </c>
      <c r="L625" s="70">
        <f t="shared" si="50"/>
        <v>219.24856328437156</v>
      </c>
      <c r="M625" s="70">
        <f>IF((((0.326*F625^0.818)-(0.398*F625^0.85)/(1-H625)*H625)*(MAX('Max rate concentrations'!$P$3:$P$368)))/F625&gt;0, (((0.326*F625^0.818)-(0.398*F625^0.85)/(1-H625)*H625)*(MAX('Max rate concentrations'!$P$3:$P$368)))/F625, 0)</f>
        <v>0</v>
      </c>
      <c r="N625" s="70">
        <f>IF((((0.326*F625^0.818)-(0.398*F625^0.85)/(1-H625)*H625)*(MAX('Max rate concentrations'!$Q$3:$Q$368)))/F625&gt; 0, (((0.326*F625^0.818)-(0.398*F625^0.85)/(1-H625)*H625)*(MAX('Max rate concentrations'!$Q$3:$Q$368)))/F625, 0)</f>
        <v>0</v>
      </c>
      <c r="O625" s="70">
        <f>((MAX('Max rate concentrations'!$F$3:$F$368))*0.62*6.01*8*(12.3*F625^0.65)*0.079*0.1/F625)*inputs!$E$73/inputs!$E$74</f>
        <v>100.43015994909835</v>
      </c>
      <c r="P625" s="70">
        <f>((MAX('Max rate concentrations'!Y:Y))*0.62*6.01*8*(12.3*F625^0.65)*0.079*0.1/F625)*inputs!$E$73/inputs!$E$74</f>
        <v>33.476719983032787</v>
      </c>
      <c r="Q625" s="70">
        <f>(inputs!$C$18*11.2*(12.3*F625^0.65)*0.5/F625)*inputs!$E$73/inputs!$E$74</f>
        <v>17.690298988341983</v>
      </c>
      <c r="R625" s="60">
        <f>(60*379*((F625/1000)^0.8)*3*24*(MAX('Max rate concentrations'!$R$3:$R$368))/F625)*(inputs!$E$73/inputs!$E$75)</f>
        <v>2.4936696752575163E-2</v>
      </c>
      <c r="S625" s="60">
        <f>(IF(inputs!$C$17="aerial",((0.025*0.112*inputs!$C$18/3.3)*(3*60*379*((F625/1000)^0.8))*MAX(inputs!$I$14:$I$16))/F625,((0.0083*0.112*inputs!$C$18/1)*(3*60*379*((F625/1000)^0.8))*MAX(inputs!$I$14:$I$16))/F625))*(inputs!E$75/inputs!$E$73)</f>
        <v>0.13752741465893806</v>
      </c>
      <c r="T625" s="63">
        <f>IF((((inputs!$P$13/(V625/MAX(K625:S625)))^(1/inputs!$O$13))-1)/inputs!$N$13&lt;0, 0, IF((((inputs!$P$13/(V625/MAX(K625:S625)))^(1/inputs!$O$13))-1)/inputs!$N$13&lt;inputs!$I$17, (((inputs!$P$13/(V625/MAX(K625:S625)))^(1/inputs!$O$13))-1)/inputs!$N$13, inputs!$I$17))</f>
        <v>501.15990597199846</v>
      </c>
      <c r="U625" s="63">
        <f>IF((((inputs!$P$13/(X625/MAX(K625:S625)))^(1/inputs!$O$13))-1)/inputs!$N$13&lt;0, 0, IF((((inputs!$P$13/(X625/MAX(K625:S625)))^(1/inputs!$O$13))-1)/inputs!$N$13&lt;inputs!$I$17, (((inputs!$P$13/(X625/MAX(K625:S625)))^(1/inputs!$O$13))-1)/inputs!$N$13, inputs!$I$17))</f>
        <v>16.954446902410226</v>
      </c>
      <c r="V625" s="54">
        <f>inputs!$E$70*(F625/inputs!$F$70)^(0.25)</f>
        <v>2.2852393227819667</v>
      </c>
      <c r="W625" s="54">
        <f>inputs!$E$76*(F625/inputs!$F$76)^(0.25)</f>
        <v>0.16430972304141847</v>
      </c>
      <c r="X625" s="54">
        <f>inputs!$E$72*(inputs!$F$72/F625)^(0.25)</f>
        <v>109.35397334918115</v>
      </c>
      <c r="Y625" s="54" t="s">
        <v>13</v>
      </c>
      <c r="Z625" s="106">
        <f t="shared" si="51"/>
        <v>270.89275103447977</v>
      </c>
      <c r="AA625" s="106">
        <f t="shared" si="52"/>
        <v>3767.6088515134911</v>
      </c>
    </row>
    <row r="626" spans="1:27" ht="13.2" x14ac:dyDescent="0.25">
      <c r="A626" s="55" t="s">
        <v>540</v>
      </c>
      <c r="B626" s="49" t="s">
        <v>541</v>
      </c>
      <c r="C626" s="21" t="s">
        <v>61</v>
      </c>
      <c r="D626" s="20" t="s">
        <v>443</v>
      </c>
      <c r="E626" s="20">
        <v>31</v>
      </c>
      <c r="F626" s="21">
        <v>17</v>
      </c>
      <c r="G626" s="21" t="s">
        <v>177</v>
      </c>
      <c r="H626" s="21">
        <v>0.85</v>
      </c>
      <c r="I626" s="68">
        <f>MAX('Max rate concentrations'!$F$3:$F$368)</f>
        <v>405</v>
      </c>
      <c r="J626" s="68">
        <f>MAX('Max rate concentrations'!Y:Y)</f>
        <v>135</v>
      </c>
      <c r="K626" s="70">
        <f t="shared" si="49"/>
        <v>487.50562894995539</v>
      </c>
      <c r="L626" s="70">
        <f t="shared" si="50"/>
        <v>162.50187631665182</v>
      </c>
      <c r="M626" s="70">
        <f>IF((((0.326*F626^0.818)-(0.398*F626^0.85)/(1-H626)*H626)*(MAX('Max rate concentrations'!$P$3:$P$368)))/F626&gt;0, (((0.326*F626^0.818)-(0.398*F626^0.85)/(1-H626)*H626)*(MAX('Max rate concentrations'!$P$3:$P$368)))/F626, 0)</f>
        <v>0</v>
      </c>
      <c r="N626" s="70">
        <f>IF((((0.326*F626^0.818)-(0.398*F626^0.85)/(1-H626)*H626)*(MAX('Max rate concentrations'!$Q$3:$Q$368)))/F626&gt; 0, (((0.326*F626^0.818)-(0.398*F626^0.85)/(1-H626)*H626)*(MAX('Max rate concentrations'!$Q$3:$Q$368)))/F626, 0)</f>
        <v>0</v>
      </c>
      <c r="O626" s="70">
        <f>((MAX('Max rate concentrations'!$F$3:$F$368))*0.62*6.01*8*(12.3*F626^0.65)*0.079*0.1/F626)*inputs!$E$73/inputs!$E$74</f>
        <v>100.43015994909835</v>
      </c>
      <c r="P626" s="70">
        <f>((MAX('Max rate concentrations'!Y:Y))*0.62*6.01*8*(12.3*F626^0.65)*0.079*0.1/F626)*inputs!$E$73/inputs!$E$74</f>
        <v>33.476719983032787</v>
      </c>
      <c r="Q626" s="70">
        <f>(inputs!$C$18*11.2*(12.3*F626^0.65)*0.5/F626)*inputs!$E$73/inputs!$E$74</f>
        <v>17.690298988341983</v>
      </c>
      <c r="R626" s="60">
        <f>(60*379*((F626/1000)^0.8)*3*24*(MAX('Max rate concentrations'!$R$3:$R$368))/F626)*(inputs!$E$73/inputs!$E$75)</f>
        <v>2.4936696752575163E-2</v>
      </c>
      <c r="S626" s="60">
        <f>(IF(inputs!$C$17="aerial",((0.025*0.112*inputs!$C$18/3.3)*(3*60*379*((F626/1000)^0.8))*MAX(inputs!$I$14:$I$16))/F626,((0.0083*0.112*inputs!$C$18/1)*(3*60*379*((F626/1000)^0.8))*MAX(inputs!$I$14:$I$16))/F626))*(inputs!E$75/inputs!$E$73)</f>
        <v>0.13752741465893806</v>
      </c>
      <c r="T626" s="63">
        <f>IF((((inputs!$P$13/(V626/MAX(K626:S626)))^(1/inputs!$O$13))-1)/inputs!$N$13&lt;0, 0, IF((((inputs!$P$13/(V626/MAX(K626:S626)))^(1/inputs!$O$13))-1)/inputs!$N$13&lt;inputs!$I$17, (((inputs!$P$13/(V626/MAX(K626:S626)))^(1/inputs!$O$13))-1)/inputs!$N$13, inputs!$I$17))</f>
        <v>412.20279921430068</v>
      </c>
      <c r="U626" s="63">
        <f>IF((((inputs!$P$13/(X626/MAX(K626:S626)))^(1/inputs!$O$13))-1)/inputs!$N$13&lt;0, 0, IF((((inputs!$P$13/(X626/MAX(K626:S626)))^(1/inputs!$O$13))-1)/inputs!$N$13&lt;inputs!$I$17, (((inputs!$P$13/(X626/MAX(K626:S626)))^(1/inputs!$O$13))-1)/inputs!$N$13, inputs!$I$17))</f>
        <v>13.057761145508087</v>
      </c>
      <c r="V626" s="54">
        <f>inputs!$E$70*(F626/inputs!$F$70)^(0.25)</f>
        <v>2.2852393227819667</v>
      </c>
      <c r="W626" s="54">
        <f>inputs!$E$76*(F626/inputs!$F$76)^(0.25)</f>
        <v>0.16430972304141847</v>
      </c>
      <c r="X626" s="54">
        <f>inputs!$E$72*(inputs!$F$72/F626)^(0.25)</f>
        <v>109.35397334918115</v>
      </c>
      <c r="Y626" s="54" t="s">
        <v>13</v>
      </c>
      <c r="Z626" s="106">
        <f t="shared" si="51"/>
        <v>213.32804143965276</v>
      </c>
      <c r="AA626" s="106">
        <f t="shared" si="52"/>
        <v>2966.9919705668735</v>
      </c>
    </row>
    <row r="627" spans="1:27" ht="13.2" x14ac:dyDescent="0.25">
      <c r="A627" s="55" t="s">
        <v>521</v>
      </c>
      <c r="B627" s="49" t="s">
        <v>522</v>
      </c>
      <c r="C627" s="21" t="s">
        <v>61</v>
      </c>
      <c r="D627" s="20" t="s">
        <v>443</v>
      </c>
      <c r="E627" s="20">
        <v>32</v>
      </c>
      <c r="F627" s="21">
        <v>210</v>
      </c>
      <c r="G627" s="21" t="s">
        <v>142</v>
      </c>
      <c r="H627" s="21">
        <v>0.69</v>
      </c>
      <c r="I627" s="68">
        <f>MAX('Max rate concentrations'!$H$3:$H$368)</f>
        <v>282</v>
      </c>
      <c r="J627" s="68">
        <f>MAX('Max rate concentrations'!AA:AA)</f>
        <v>195</v>
      </c>
      <c r="K627" s="70">
        <f t="shared" si="49"/>
        <v>54.889768882726642</v>
      </c>
      <c r="L627" s="70">
        <f t="shared" si="50"/>
        <v>37.955691248693952</v>
      </c>
      <c r="M627" s="70">
        <f>IF((((0.326*F627^0.818)-(0.398*F627^0.85)/(1-H627)*H627)*(MAX('Max rate concentrations'!$P$3:$P$368)))/F627&gt;0, (((0.326*F627^0.818)-(0.398*F627^0.85)/(1-H627)*H627)*(MAX('Max rate concentrations'!$P$3:$P$368)))/F627, 0)</f>
        <v>0</v>
      </c>
      <c r="N627" s="70">
        <f>IF((((0.326*F627^0.818)-(0.398*F627^0.85)/(1-H627)*H627)*(MAX('Max rate concentrations'!$Q$3:$Q$368)))/F627&gt; 0, (((0.326*F627^0.818)-(0.398*F627^0.85)/(1-H627)*H627)*(MAX('Max rate concentrations'!$Q$3:$Q$368)))/F627, 0)</f>
        <v>0</v>
      </c>
      <c r="O627" s="70">
        <f>((MAX('Max rate concentrations'!$F$3:$F$368))*0.62*6.01*8*(12.3*F627^0.65)*0.079*0.1/F627)*inputs!$E$73/inputs!$E$74</f>
        <v>41.662422969495999</v>
      </c>
      <c r="P627" s="70">
        <f>((MAX('Max rate concentrations'!Y:Y))*0.62*6.01*8*(12.3*F627^0.65)*0.079*0.1/F627)*inputs!$E$73/inputs!$E$74</f>
        <v>13.887474323165334</v>
      </c>
      <c r="Q627" s="70">
        <f>(inputs!$C$18*11.2*(12.3*F627^0.65)*0.5/F627)*inputs!$E$73/inputs!$E$74</f>
        <v>7.3386393020054905</v>
      </c>
      <c r="R627" s="60">
        <f>(60*379*((F627/1000)^0.8)*3*24*(MAX('Max rate concentrations'!$R$3:$R$368))/F627)*(inputs!$E$73/inputs!$E$75)</f>
        <v>1.5082899918441481E-2</v>
      </c>
      <c r="S627" s="60">
        <f>(IF(inputs!$C$17="aerial",((0.025*0.112*inputs!$C$18/3.3)*(3*60*379*((F627/1000)^0.8))*MAX(inputs!$I$14:$I$16))/F627,((0.0083*0.112*inputs!$C$18/1)*(3*60*379*((F627/1000)^0.8))*MAX(inputs!$I$14:$I$16))/F627))*(inputs!E$75/inputs!$E$73)</f>
        <v>8.3183119718073906E-2</v>
      </c>
      <c r="T627" s="63">
        <f>IF((((inputs!$P$13/(V627/MAX(K627:S627)))^(1/inputs!$O$13))-1)/inputs!$N$13&lt;0, 0, IF((((inputs!$P$13/(V627/MAX(K627:S627)))^(1/inputs!$O$13))-1)/inputs!$N$13&lt;inputs!$I$17, (((inputs!$P$13/(V627/MAX(K627:S627)))^(1/inputs!$O$13))-1)/inputs!$N$13, inputs!$I$17))</f>
        <v>37.71148687875565</v>
      </c>
      <c r="U627" s="63">
        <f>IF((((inputs!$P$13/(X627/MAX(K627:S627)))^(1/inputs!$O$13))-1)/inputs!$N$13&lt;0, 0, IF((((inputs!$P$13/(X627/MAX(K627:S627)))^(1/inputs!$O$13))-1)/inputs!$N$13&lt;inputs!$I$17, (((inputs!$P$13/(X627/MAX(K627:S627)))^(1/inputs!$O$13))-1)/inputs!$N$13, inputs!$I$17))</f>
        <v>0</v>
      </c>
      <c r="V627" s="54">
        <f>inputs!$E$70*(F627/inputs!$F$70)^(0.25)</f>
        <v>4.2842448349774243</v>
      </c>
      <c r="W627" s="54">
        <f>inputs!$E$76*(F627/inputs!$F$76)^(0.25)</f>
        <v>0.30803910787768768</v>
      </c>
      <c r="X627" s="54">
        <f>inputs!$E$72*(inputs!$F$72/F627)^(0.25)</f>
        <v>58.329999714247613</v>
      </c>
      <c r="Y627" s="54" t="s">
        <v>13</v>
      </c>
      <c r="Z627" s="106">
        <f t="shared" si="51"/>
        <v>12.812005615224342</v>
      </c>
      <c r="AA627" s="106">
        <f t="shared" si="52"/>
        <v>178.19090978708323</v>
      </c>
    </row>
    <row r="628" spans="1:27" ht="13.2" x14ac:dyDescent="0.25">
      <c r="A628" s="55" t="s">
        <v>521</v>
      </c>
      <c r="B628" s="49" t="s">
        <v>522</v>
      </c>
      <c r="C628" s="21" t="s">
        <v>61</v>
      </c>
      <c r="D628" s="20" t="s">
        <v>443</v>
      </c>
      <c r="E628" s="20">
        <v>32</v>
      </c>
      <c r="F628" s="21">
        <v>210</v>
      </c>
      <c r="G628" s="21" t="s">
        <v>152</v>
      </c>
      <c r="H628" s="21">
        <v>0.77</v>
      </c>
      <c r="I628" s="68">
        <f>MAX('Max rate concentrations'!$G$3:$G$368)</f>
        <v>45</v>
      </c>
      <c r="J628" s="68">
        <f>MAX('Max rate concentrations'!Z:Z)</f>
        <v>21</v>
      </c>
      <c r="K628" s="70">
        <f t="shared" si="49"/>
        <v>11.805616341567017</v>
      </c>
      <c r="L628" s="70">
        <f t="shared" si="50"/>
        <v>5.5092876260646078</v>
      </c>
      <c r="M628" s="70">
        <f>IF((((0.326*F628^0.818)-(0.398*F628^0.85)/(1-H628)*H628)*(MAX('Max rate concentrations'!$P$3:$P$368)))/F628&gt;0, (((0.326*F628^0.818)-(0.398*F628^0.85)/(1-H628)*H628)*(MAX('Max rate concentrations'!$P$3:$P$368)))/F628, 0)</f>
        <v>0</v>
      </c>
      <c r="N628" s="70">
        <f>IF((((0.326*F628^0.818)-(0.398*F628^0.85)/(1-H628)*H628)*(MAX('Max rate concentrations'!$Q$3:$Q$368)))/F628&gt; 0, (((0.326*F628^0.818)-(0.398*F628^0.85)/(1-H628)*H628)*(MAX('Max rate concentrations'!$Q$3:$Q$368)))/F628, 0)</f>
        <v>0</v>
      </c>
      <c r="O628" s="70">
        <f>((MAX('Max rate concentrations'!$F$3:$F$368))*0.62*6.01*8*(12.3*F628^0.65)*0.079*0.1/F628)*inputs!$E$73/inputs!$E$74</f>
        <v>41.662422969495999</v>
      </c>
      <c r="P628" s="70">
        <f>((MAX('Max rate concentrations'!Y:Y))*0.62*6.01*8*(12.3*F628^0.65)*0.079*0.1/F628)*inputs!$E$73/inputs!$E$74</f>
        <v>13.887474323165334</v>
      </c>
      <c r="Q628" s="70">
        <f>(inputs!$C$18*11.2*(12.3*F628^0.65)*0.5/F628)*inputs!$E$73/inputs!$E$74</f>
        <v>7.3386393020054905</v>
      </c>
      <c r="R628" s="60">
        <f>(60*379*((F628/1000)^0.8)*3*24*(MAX('Max rate concentrations'!$R$3:$R$368))/F628)*(inputs!$E$73/inputs!$E$75)</f>
        <v>1.5082899918441481E-2</v>
      </c>
      <c r="S628" s="60">
        <f>(IF(inputs!$C$17="aerial",((0.025*0.112*inputs!$C$18/3.3)*(3*60*379*((F628/1000)^0.8))*MAX(inputs!$I$14:$I$16))/F628,((0.0083*0.112*inputs!$C$18/1)*(3*60*379*((F628/1000)^0.8))*MAX(inputs!$I$14:$I$16))/F628))*(inputs!E$75/inputs!$E$73)</f>
        <v>8.3183119718073906E-2</v>
      </c>
      <c r="T628" s="63">
        <f>IF((((inputs!$P$13/(V628/MAX(K628:S628)))^(1/inputs!$O$13))-1)/inputs!$N$13&lt;0, 0, IF((((inputs!$P$13/(V628/MAX(K628:S628)))^(1/inputs!$O$13))-1)/inputs!$N$13&lt;inputs!$I$17, (((inputs!$P$13/(V628/MAX(K628:S628)))^(1/inputs!$O$13))-1)/inputs!$N$13, inputs!$I$17))</f>
        <v>29.129599064400779</v>
      </c>
      <c r="U628" s="63">
        <f>IF((((inputs!$P$13/(X628/MAX(K628:S628)))^(1/inputs!$O$13))-1)/inputs!$N$13&lt;0, 0, IF((((inputs!$P$13/(X628/MAX(K628:S628)))^(1/inputs!$O$13))-1)/inputs!$N$13&lt;inputs!$I$17, (((inputs!$P$13/(X628/MAX(K628:S628)))^(1/inputs!$O$13))-1)/inputs!$N$13, inputs!$I$17))</f>
        <v>0</v>
      </c>
      <c r="V628" s="54">
        <f>inputs!$E$70*(F628/inputs!$F$70)^(0.25)</f>
        <v>4.2842448349774243</v>
      </c>
      <c r="W628" s="54">
        <f>inputs!$E$76*(F628/inputs!$F$76)^(0.25)</f>
        <v>0.30803910787768768</v>
      </c>
      <c r="X628" s="54">
        <f>inputs!$E$72*(inputs!$F$72/F628)^(0.25)</f>
        <v>58.329999714247613</v>
      </c>
      <c r="Y628" s="54" t="s">
        <v>13</v>
      </c>
      <c r="Z628" s="106">
        <f t="shared" si="51"/>
        <v>9.7245663061447178</v>
      </c>
      <c r="AA628" s="106">
        <f t="shared" si="52"/>
        <v>135.25043380543354</v>
      </c>
    </row>
    <row r="629" spans="1:27" ht="13.2" x14ac:dyDescent="0.25">
      <c r="A629" s="55" t="s">
        <v>521</v>
      </c>
      <c r="B629" s="49" t="s">
        <v>522</v>
      </c>
      <c r="C629" s="21" t="s">
        <v>61</v>
      </c>
      <c r="D629" s="20" t="s">
        <v>443</v>
      </c>
      <c r="E629" s="20">
        <v>32</v>
      </c>
      <c r="F629" s="21">
        <v>210</v>
      </c>
      <c r="G629" s="21" t="s">
        <v>169</v>
      </c>
      <c r="H629" s="21">
        <v>0.79</v>
      </c>
      <c r="I629" s="68">
        <f>MAX('Max rate concentrations'!$D$3:$D$368)</f>
        <v>720</v>
      </c>
      <c r="J629" s="68">
        <f>MAX('Max rate concentrations'!W:W)</f>
        <v>255</v>
      </c>
      <c r="K629" s="70">
        <f t="shared" si="49"/>
        <v>206.87937208079344</v>
      </c>
      <c r="L629" s="70">
        <f t="shared" si="50"/>
        <v>73.269777611947674</v>
      </c>
      <c r="M629" s="70">
        <f>IF((((0.326*F629^0.818)-(0.398*F629^0.85)/(1-H629)*H629)*(MAX('Max rate concentrations'!$P$3:$P$368)))/F629&gt;0, (((0.326*F629^0.818)-(0.398*F629^0.85)/(1-H629)*H629)*(MAX('Max rate concentrations'!$P$3:$P$368)))/F629, 0)</f>
        <v>0</v>
      </c>
      <c r="N629" s="70">
        <f>IF((((0.326*F629^0.818)-(0.398*F629^0.85)/(1-H629)*H629)*(MAX('Max rate concentrations'!$Q$3:$Q$368)))/F629&gt; 0, (((0.326*F629^0.818)-(0.398*F629^0.85)/(1-H629)*H629)*(MAX('Max rate concentrations'!$Q$3:$Q$368)))/F629, 0)</f>
        <v>0</v>
      </c>
      <c r="O629" s="70">
        <f>((MAX('Max rate concentrations'!$F$3:$F$368))*0.62*6.01*8*(12.3*F629^0.65)*0.079*0.1/F629)*inputs!$E$73/inputs!$E$74</f>
        <v>41.662422969495999</v>
      </c>
      <c r="P629" s="70">
        <f>((MAX('Max rate concentrations'!Y:Y))*0.62*6.01*8*(12.3*F629^0.65)*0.079*0.1/F629)*inputs!$E$73/inputs!$E$74</f>
        <v>13.887474323165334</v>
      </c>
      <c r="Q629" s="70">
        <f>(inputs!$C$18*11.2*(12.3*F629^0.65)*0.5/F629)*inputs!$E$73/inputs!$E$74</f>
        <v>7.3386393020054905</v>
      </c>
      <c r="R629" s="60">
        <f>(60*379*((F629/1000)^0.8)*3*24*(MAX('Max rate concentrations'!$R$3:$R$368))/F629)*(inputs!$E$73/inputs!$E$75)</f>
        <v>1.5082899918441481E-2</v>
      </c>
      <c r="S629" s="60">
        <f>(IF(inputs!$C$17="aerial",((0.025*0.112*inputs!$C$18/3.3)*(3*60*379*((F629/1000)^0.8))*MAX(inputs!$I$14:$I$16))/F629,((0.0083*0.112*inputs!$C$18/1)*(3*60*379*((F629/1000)^0.8))*MAX(inputs!$I$14:$I$16))/F629))*(inputs!E$75/inputs!$E$73)</f>
        <v>8.3183119718073906E-2</v>
      </c>
      <c r="T629" s="63">
        <f>IF((((inputs!$P$13/(V629/MAX(K629:S629)))^(1/inputs!$O$13))-1)/inputs!$N$13&lt;0, 0, IF((((inputs!$P$13/(V629/MAX(K629:S629)))^(1/inputs!$O$13))-1)/inputs!$N$13&lt;inputs!$I$17, (((inputs!$P$13/(V629/MAX(K629:S629)))^(1/inputs!$O$13))-1)/inputs!$N$13, inputs!$I$17))</f>
        <v>120.32546195589231</v>
      </c>
      <c r="U629" s="63">
        <f>IF((((inputs!$P$13/(X629/MAX(K629:S629)))^(1/inputs!$O$13))-1)/inputs!$N$13&lt;0, 0, IF((((inputs!$P$13/(X629/MAX(K629:S629)))^(1/inputs!$O$13))-1)/inputs!$N$13&lt;inputs!$I$17, (((inputs!$P$13/(X629/MAX(K629:S629)))^(1/inputs!$O$13))-1)/inputs!$N$13, inputs!$I$17))</f>
        <v>9.9704430255792662</v>
      </c>
      <c r="V629" s="54">
        <f>inputs!$E$70*(F629/inputs!$F$70)^(0.25)</f>
        <v>4.2842448349774243</v>
      </c>
      <c r="W629" s="54">
        <f>inputs!$E$76*(F629/inputs!$F$76)^(0.25)</f>
        <v>0.30803910787768768</v>
      </c>
      <c r="X629" s="54">
        <f>inputs!$E$72*(inputs!$F$72/F629)^(0.25)</f>
        <v>58.329999714247613</v>
      </c>
      <c r="Y629" s="54" t="s">
        <v>13</v>
      </c>
      <c r="Z629" s="106">
        <f t="shared" si="51"/>
        <v>48.288410221514241</v>
      </c>
      <c r="AA629" s="106">
        <f t="shared" si="52"/>
        <v>671.60099737380915</v>
      </c>
    </row>
    <row r="630" spans="1:27" ht="13.2" x14ac:dyDescent="0.25">
      <c r="A630" s="55" t="s">
        <v>521</v>
      </c>
      <c r="B630" s="49" t="s">
        <v>522</v>
      </c>
      <c r="C630" s="21" t="s">
        <v>61</v>
      </c>
      <c r="D630" s="20" t="s">
        <v>443</v>
      </c>
      <c r="E630" s="20">
        <v>32</v>
      </c>
      <c r="F630" s="21">
        <v>210</v>
      </c>
      <c r="G630" s="21" t="s">
        <v>177</v>
      </c>
      <c r="H630" s="21">
        <v>0.85</v>
      </c>
      <c r="I630" s="68">
        <f>MAX('Max rate concentrations'!$F$3:$F$368)</f>
        <v>405</v>
      </c>
      <c r="J630" s="68">
        <f>MAX('Max rate concentrations'!Y:Y)</f>
        <v>135</v>
      </c>
      <c r="K630" s="70">
        <f t="shared" si="49"/>
        <v>162.9175055136248</v>
      </c>
      <c r="L630" s="70">
        <f t="shared" si="50"/>
        <v>54.305835171208265</v>
      </c>
      <c r="M630" s="70">
        <f>IF((((0.326*F630^0.818)-(0.398*F630^0.85)/(1-H630)*H630)*(MAX('Max rate concentrations'!$P$3:$P$368)))/F630&gt;0, (((0.326*F630^0.818)-(0.398*F630^0.85)/(1-H630)*H630)*(MAX('Max rate concentrations'!$P$3:$P$368)))/F630, 0)</f>
        <v>0</v>
      </c>
      <c r="N630" s="70">
        <f>IF((((0.326*F630^0.818)-(0.398*F630^0.85)/(1-H630)*H630)*(MAX('Max rate concentrations'!$Q$3:$Q$368)))/F630&gt; 0, (((0.326*F630^0.818)-(0.398*F630^0.85)/(1-H630)*H630)*(MAX('Max rate concentrations'!$Q$3:$Q$368)))/F630, 0)</f>
        <v>0</v>
      </c>
      <c r="O630" s="70">
        <f>((MAX('Max rate concentrations'!$F$3:$F$368))*0.62*6.01*8*(12.3*F630^0.65)*0.079*0.1/F630)*inputs!$E$73/inputs!$E$74</f>
        <v>41.662422969495999</v>
      </c>
      <c r="P630" s="70">
        <f>((MAX('Max rate concentrations'!Y:Y))*0.62*6.01*8*(12.3*F630^0.65)*0.079*0.1/F630)*inputs!$E$73/inputs!$E$74</f>
        <v>13.887474323165334</v>
      </c>
      <c r="Q630" s="70">
        <f>(inputs!$C$18*11.2*(12.3*F630^0.65)*0.5/F630)*inputs!$E$73/inputs!$E$74</f>
        <v>7.3386393020054905</v>
      </c>
      <c r="R630" s="60">
        <f>(60*379*((F630/1000)^0.8)*3*24*(MAX('Max rate concentrations'!$R$3:$R$368))/F630)*(inputs!$E$73/inputs!$E$75)</f>
        <v>1.5082899918441481E-2</v>
      </c>
      <c r="S630" s="60">
        <f>(IF(inputs!$C$17="aerial",((0.025*0.112*inputs!$C$18/3.3)*(3*60*379*((F630/1000)^0.8))*MAX(inputs!$I$14:$I$16))/F630,((0.0083*0.112*inputs!$C$18/1)*(3*60*379*((F630/1000)^0.8))*MAX(inputs!$I$14:$I$16))/F630))*(inputs!E$75/inputs!$E$73)</f>
        <v>8.3183119718073906E-2</v>
      </c>
      <c r="T630" s="63">
        <f>IF((((inputs!$P$13/(V630/MAX(K630:S630)))^(1/inputs!$O$13))-1)/inputs!$N$13&lt;0, 0, IF((((inputs!$P$13/(V630/MAX(K630:S630)))^(1/inputs!$O$13))-1)/inputs!$N$13&lt;inputs!$I$17, (((inputs!$P$13/(V630/MAX(K630:S630)))^(1/inputs!$O$13))-1)/inputs!$N$13, inputs!$I$17))</f>
        <v>98.269579735934371</v>
      </c>
      <c r="U630" s="63">
        <f>IF((((inputs!$P$13/(X630/MAX(K630:S630)))^(1/inputs!$O$13))-1)/inputs!$N$13&lt;0, 0, IF((((inputs!$P$13/(X630/MAX(K630:S630)))^(1/inputs!$O$13))-1)/inputs!$N$13&lt;inputs!$I$17, (((inputs!$P$13/(X630/MAX(K630:S630)))^(1/inputs!$O$13))-1)/inputs!$N$13, inputs!$I$17))</f>
        <v>7.3006379221417452</v>
      </c>
      <c r="V630" s="54">
        <f>inputs!$E$70*(F630/inputs!$F$70)^(0.25)</f>
        <v>4.2842448349774243</v>
      </c>
      <c r="W630" s="54">
        <f>inputs!$E$76*(F630/inputs!$F$76)^(0.25)</f>
        <v>0.30803910787768768</v>
      </c>
      <c r="X630" s="54">
        <f>inputs!$E$72*(inputs!$F$72/F630)^(0.25)</f>
        <v>58.329999714247613</v>
      </c>
      <c r="Y630" s="54" t="s">
        <v>13</v>
      </c>
      <c r="Z630" s="106">
        <f t="shared" si="51"/>
        <v>38.027123049442459</v>
      </c>
      <c r="AA630" s="106">
        <f t="shared" si="52"/>
        <v>528.88578543187464</v>
      </c>
    </row>
    <row r="631" spans="1:27" ht="13.2" x14ac:dyDescent="0.25">
      <c r="A631" s="55" t="s">
        <v>521</v>
      </c>
      <c r="B631" s="49" t="s">
        <v>522</v>
      </c>
      <c r="C631" s="21" t="s">
        <v>61</v>
      </c>
      <c r="D631" s="20" t="s">
        <v>443</v>
      </c>
      <c r="E631" s="20">
        <v>32</v>
      </c>
      <c r="F631" s="21">
        <v>210</v>
      </c>
      <c r="G631" s="21" t="s">
        <v>154</v>
      </c>
      <c r="H631" s="21">
        <v>9.2999999999999999E-2</v>
      </c>
      <c r="I631" s="68">
        <f>MAX('Max rate concentrations'!$G$3:$G$368)</f>
        <v>45</v>
      </c>
      <c r="J631" s="68">
        <f>MAX('Max rate concentrations'!Z:Z)</f>
        <v>21</v>
      </c>
      <c r="K631" s="70">
        <f t="shared" si="49"/>
        <v>2.9937064592727824</v>
      </c>
      <c r="L631" s="70">
        <f t="shared" si="50"/>
        <v>1.3970630143272984</v>
      </c>
      <c r="M631" s="70">
        <f>IF((((0.326*F631^0.818)-(0.398*F631^0.85)/(1-H631)*H631)*(MAX('Max rate concentrations'!$P$3:$P$368)))/F631&gt;0, (((0.326*F631^0.818)-(0.398*F631^0.85)/(1-H631)*H631)*(MAX('Max rate concentrations'!$P$3:$P$368)))/F631, 0)</f>
        <v>9.1347951920770887E-2</v>
      </c>
      <c r="N631" s="70">
        <f>IF((((0.326*F631^0.818)-(0.398*F631^0.85)/(1-H631)*H631)*(MAX('Max rate concentrations'!$Q$3:$Q$368)))/F631&gt; 0, (((0.326*F631^0.818)-(0.398*F631^0.85)/(1-H631)*H631)*(MAX('Max rate concentrations'!$Q$3:$Q$368)))/F631, 0)</f>
        <v>0.3478579091936852</v>
      </c>
      <c r="O631" s="70">
        <f>((MAX('Max rate concentrations'!$F$3:$F$368))*0.62*6.01*8*(12.3*F631^0.65)*0.079*0.1/F631)*inputs!$E$73/inputs!$E$74</f>
        <v>41.662422969495999</v>
      </c>
      <c r="P631" s="70">
        <f>((MAX('Max rate concentrations'!Y:Y))*0.62*6.01*8*(12.3*F631^0.65)*0.079*0.1/F631)*inputs!$E$73/inputs!$E$74</f>
        <v>13.887474323165334</v>
      </c>
      <c r="Q631" s="70">
        <f>(inputs!$C$18*11.2*(12.3*F631^0.65)*0.5/F631)*inputs!$E$73/inputs!$E$74</f>
        <v>7.3386393020054905</v>
      </c>
      <c r="R631" s="60">
        <f>(60*379*((F631/1000)^0.8)*3*24*(MAX('Max rate concentrations'!$R$3:$R$368))/F631)*(inputs!$E$73/inputs!$E$75)</f>
        <v>1.5082899918441481E-2</v>
      </c>
      <c r="S631" s="60">
        <f>(IF(inputs!$C$17="aerial",((0.025*0.112*inputs!$C$18/3.3)*(3*60*379*((F631/1000)^0.8))*MAX(inputs!$I$14:$I$16))/F631,((0.0083*0.112*inputs!$C$18/1)*(3*60*379*((F631/1000)^0.8))*MAX(inputs!$I$14:$I$16))/F631))*(inputs!E$75/inputs!$E$73)</f>
        <v>8.3183119718073906E-2</v>
      </c>
      <c r="T631" s="63">
        <f>IF((((inputs!$P$13/(V631/MAX(K631:S631)))^(1/inputs!$O$13))-1)/inputs!$N$13&lt;0, 0, IF((((inputs!$P$13/(V631/MAX(K631:S631)))^(1/inputs!$O$13))-1)/inputs!$N$13&lt;inputs!$I$17, (((inputs!$P$13/(V631/MAX(K631:S631)))^(1/inputs!$O$13))-1)/inputs!$N$13, inputs!$I$17))</f>
        <v>29.129599064400779</v>
      </c>
      <c r="U631" s="63">
        <f>IF((((inputs!$P$13/(X631/MAX(K631:S631)))^(1/inputs!$O$13))-1)/inputs!$N$13&lt;0, 0, IF((((inputs!$P$13/(X631/MAX(K631:S631)))^(1/inputs!$O$13))-1)/inputs!$N$13&lt;inputs!$I$17, (((inputs!$P$13/(X631/MAX(K631:S631)))^(1/inputs!$O$13))-1)/inputs!$N$13, inputs!$I$17))</f>
        <v>0</v>
      </c>
      <c r="V631" s="54">
        <f>inputs!$E$70*(F631/inputs!$F$70)^(0.25)</f>
        <v>4.2842448349774243</v>
      </c>
      <c r="W631" s="54">
        <f>inputs!$E$76*(F631/inputs!$F$76)^(0.25)</f>
        <v>0.30803910787768768</v>
      </c>
      <c r="X631" s="54">
        <f>inputs!$E$72*(inputs!$F$72/F631)^(0.25)</f>
        <v>58.329999714247613</v>
      </c>
      <c r="Y631" s="54" t="s">
        <v>13</v>
      </c>
      <c r="Z631" s="106">
        <f t="shared" si="51"/>
        <v>9.7245663061447178</v>
      </c>
      <c r="AA631" s="106">
        <f t="shared" si="52"/>
        <v>135.25043380543354</v>
      </c>
    </row>
    <row r="632" spans="1:27" ht="13.2" x14ac:dyDescent="0.25">
      <c r="A632" s="55" t="s">
        <v>472</v>
      </c>
      <c r="B632" s="49" t="s">
        <v>473</v>
      </c>
      <c r="C632" s="21" t="s">
        <v>61</v>
      </c>
      <c r="D632" s="20" t="s">
        <v>443</v>
      </c>
      <c r="E632" s="20">
        <v>16</v>
      </c>
      <c r="F632" s="21">
        <v>56</v>
      </c>
      <c r="G632" s="21" t="s">
        <v>142</v>
      </c>
      <c r="H632" s="21">
        <v>0.69</v>
      </c>
      <c r="I632" s="68">
        <f>MAX('Max rate concentrations'!$H$3:$H$368)</f>
        <v>282</v>
      </c>
      <c r="J632" s="68">
        <f>MAX('Max rate concentrations'!AA:AA)</f>
        <v>195</v>
      </c>
      <c r="K632" s="70">
        <f t="shared" si="49"/>
        <v>97.671764792952828</v>
      </c>
      <c r="L632" s="70">
        <f t="shared" si="50"/>
        <v>67.538986292999297</v>
      </c>
      <c r="M632" s="70">
        <f>IF((((0.326*F632^0.818)-(0.398*F632^0.85)/(1-H632)*H632)*(MAX('Max rate concentrations'!$P$3:$P$368)))/F632&gt;0, (((0.326*F632^0.818)-(0.398*F632^0.85)/(1-H632)*H632)*(MAX('Max rate concentrations'!$P$3:$P$368)))/F632, 0)</f>
        <v>0</v>
      </c>
      <c r="N632" s="70">
        <f>IF((((0.326*F632^0.818)-(0.398*F632^0.85)/(1-H632)*H632)*(MAX('Max rate concentrations'!$Q$3:$Q$368)))/F632&gt; 0, (((0.326*F632^0.818)-(0.398*F632^0.85)/(1-H632)*H632)*(MAX('Max rate concentrations'!$Q$3:$Q$368)))/F632, 0)</f>
        <v>0</v>
      </c>
      <c r="O632" s="70">
        <f>((MAX('Max rate concentrations'!$F$3:$F$368))*0.62*6.01*8*(12.3*F632^0.65)*0.079*0.1/F632)*inputs!$E$73/inputs!$E$74</f>
        <v>66.169136532460627</v>
      </c>
      <c r="P632" s="70">
        <f>((MAX('Max rate concentrations'!Y:Y))*0.62*6.01*8*(12.3*F632^0.65)*0.079*0.1/F632)*inputs!$E$73/inputs!$E$74</f>
        <v>22.056378844153542</v>
      </c>
      <c r="Q632" s="70">
        <f>(inputs!$C$18*11.2*(12.3*F632^0.65)*0.5/F632)*inputs!$E$73/inputs!$E$74</f>
        <v>11.655381308293533</v>
      </c>
      <c r="R632" s="60">
        <f>(60*379*((F632/1000)^0.8)*3*24*(MAX('Max rate concentrations'!$R$3:$R$368))/F632)*(inputs!$E$73/inputs!$E$75)</f>
        <v>1.9646767370453896E-2</v>
      </c>
      <c r="S632" s="60">
        <f>(IF(inputs!$C$17="aerial",((0.025*0.112*inputs!$C$18/3.3)*(3*60*379*((F632/1000)^0.8))*MAX(inputs!$I$14:$I$16))/F632,((0.0083*0.112*inputs!$C$18/1)*(3*60*379*((F632/1000)^0.8))*MAX(inputs!$I$14:$I$16))/F632))*(inputs!E$75/inputs!$E$73)</f>
        <v>0.10835312911222214</v>
      </c>
      <c r="T632" s="63">
        <f>IF((((inputs!$P$13/(V632/MAX(K632:S632)))^(1/inputs!$O$13))-1)/inputs!$N$13&lt;0, 0, IF((((inputs!$P$13/(V632/MAX(K632:S632)))^(1/inputs!$O$13))-1)/inputs!$N$13&lt;inputs!$I$17, (((inputs!$P$13/(V632/MAX(K632:S632)))^(1/inputs!$O$13))-1)/inputs!$N$13, inputs!$I$17))</f>
        <v>84.163394227084069</v>
      </c>
      <c r="U632" s="63">
        <f>IF((((inputs!$P$13/(X632/MAX(K632:S632)))^(1/inputs!$O$13))-1)/inputs!$N$13&lt;0, 0, IF((((inputs!$P$13/(X632/MAX(K632:S632)))^(1/inputs!$O$13))-1)/inputs!$N$13&lt;inputs!$I$17, (((inputs!$P$13/(X632/MAX(K632:S632)))^(1/inputs!$O$13))-1)/inputs!$N$13, inputs!$I$17))</f>
        <v>1.1134551743441961</v>
      </c>
      <c r="V632" s="54">
        <f>inputs!$E$70*(F632/inputs!$F$70)^(0.25)</f>
        <v>3.0786935717279875</v>
      </c>
      <c r="W632" s="54">
        <f>inputs!$E$76*(F632/inputs!$F$76)^(0.25)</f>
        <v>0.22135943621178655</v>
      </c>
      <c r="X632" s="54">
        <f>inputs!$E$72*(inputs!$F$72/F632)^(0.25)</f>
        <v>81.17079344786427</v>
      </c>
      <c r="Y632" s="54" t="s">
        <v>13</v>
      </c>
      <c r="Z632" s="106">
        <f t="shared" si="51"/>
        <v>31.725068610232718</v>
      </c>
      <c r="AA632" s="106">
        <f t="shared" si="52"/>
        <v>441.23605690567882</v>
      </c>
    </row>
    <row r="633" spans="1:27" ht="13.2" x14ac:dyDescent="0.25">
      <c r="A633" s="55" t="s">
        <v>472</v>
      </c>
      <c r="B633" s="49" t="s">
        <v>473</v>
      </c>
      <c r="C633" s="21" t="s">
        <v>61</v>
      </c>
      <c r="D633" s="20" t="s">
        <v>443</v>
      </c>
      <c r="E633" s="20">
        <v>16</v>
      </c>
      <c r="F633" s="21">
        <v>56</v>
      </c>
      <c r="G633" s="21" t="s">
        <v>152</v>
      </c>
      <c r="H633" s="21">
        <v>0.77</v>
      </c>
      <c r="I633" s="68">
        <f>MAX('Max rate concentrations'!$G$3:$G$368)</f>
        <v>45</v>
      </c>
      <c r="J633" s="68">
        <f>MAX('Max rate concentrations'!Z:Z)</f>
        <v>21</v>
      </c>
      <c r="K633" s="70">
        <f t="shared" si="49"/>
        <v>21.007109448993102</v>
      </c>
      <c r="L633" s="70">
        <f t="shared" si="50"/>
        <v>9.8033177428634453</v>
      </c>
      <c r="M633" s="70">
        <f>IF((((0.326*F633^0.818)-(0.398*F633^0.85)/(1-H633)*H633)*(MAX('Max rate concentrations'!$P$3:$P$368)))/F633&gt;0, (((0.326*F633^0.818)-(0.398*F633^0.85)/(1-H633)*H633)*(MAX('Max rate concentrations'!$P$3:$P$368)))/F633, 0)</f>
        <v>0</v>
      </c>
      <c r="N633" s="70">
        <f>IF((((0.326*F633^0.818)-(0.398*F633^0.85)/(1-H633)*H633)*(MAX('Max rate concentrations'!$Q$3:$Q$368)))/F633&gt; 0, (((0.326*F633^0.818)-(0.398*F633^0.85)/(1-H633)*H633)*(MAX('Max rate concentrations'!$Q$3:$Q$368)))/F633, 0)</f>
        <v>0</v>
      </c>
      <c r="O633" s="70">
        <f>((MAX('Max rate concentrations'!$F$3:$F$368))*0.62*6.01*8*(12.3*F633^0.65)*0.079*0.1/F633)*inputs!$E$73/inputs!$E$74</f>
        <v>66.169136532460627</v>
      </c>
      <c r="P633" s="70">
        <f>((MAX('Max rate concentrations'!Y:Y))*0.62*6.01*8*(12.3*F633^0.65)*0.079*0.1/F633)*inputs!$E$73/inputs!$E$74</f>
        <v>22.056378844153542</v>
      </c>
      <c r="Q633" s="70">
        <f>(inputs!$C$18*11.2*(12.3*F633^0.65)*0.5/F633)*inputs!$E$73/inputs!$E$74</f>
        <v>11.655381308293533</v>
      </c>
      <c r="R633" s="60">
        <f>(60*379*((F633/1000)^0.8)*3*24*(MAX('Max rate concentrations'!$R$3:$R$368))/F633)*(inputs!$E$73/inputs!$E$75)</f>
        <v>1.9646767370453896E-2</v>
      </c>
      <c r="S633" s="60">
        <f>(IF(inputs!$C$17="aerial",((0.025*0.112*inputs!$C$18/3.3)*(3*60*379*((F633/1000)^0.8))*MAX(inputs!$I$14:$I$16))/F633,((0.0083*0.112*inputs!$C$18/1)*(3*60*379*((F633/1000)^0.8))*MAX(inputs!$I$14:$I$16))/F633))*(inputs!E$75/inputs!$E$73)</f>
        <v>0.10835312911222214</v>
      </c>
      <c r="T633" s="63">
        <f>IF((((inputs!$P$13/(V633/MAX(K633:S633)))^(1/inputs!$O$13))-1)/inputs!$N$13&lt;0, 0, IF((((inputs!$P$13/(V633/MAX(K633:S633)))^(1/inputs!$O$13))-1)/inputs!$N$13&lt;inputs!$I$17, (((inputs!$P$13/(V633/MAX(K633:S633)))^(1/inputs!$O$13))-1)/inputs!$N$13, inputs!$I$17))</f>
        <v>60.015900578825622</v>
      </c>
      <c r="U633" s="63">
        <f>IF((((inputs!$P$13/(X633/MAX(K633:S633)))^(1/inputs!$O$13))-1)/inputs!$N$13&lt;0, 0, IF((((inputs!$P$13/(X633/MAX(K633:S633)))^(1/inputs!$O$13))-1)/inputs!$N$13&lt;inputs!$I$17, (((inputs!$P$13/(X633/MAX(K633:S633)))^(1/inputs!$O$13))-1)/inputs!$N$13, inputs!$I$17))</f>
        <v>0</v>
      </c>
      <c r="V633" s="54">
        <f>inputs!$E$70*(F633/inputs!$F$70)^(0.25)</f>
        <v>3.0786935717279875</v>
      </c>
      <c r="W633" s="54">
        <f>inputs!$E$76*(F633/inputs!$F$76)^(0.25)</f>
        <v>0.22135943621178655</v>
      </c>
      <c r="X633" s="54">
        <f>inputs!$E$72*(inputs!$F$72/F633)^(0.25)</f>
        <v>81.17079344786427</v>
      </c>
      <c r="Y633" s="54" t="s">
        <v>13</v>
      </c>
      <c r="Z633" s="106">
        <f t="shared" si="51"/>
        <v>21.492602297318495</v>
      </c>
      <c r="AA633" s="106">
        <f t="shared" si="52"/>
        <v>298.92168892747372</v>
      </c>
    </row>
    <row r="634" spans="1:27" ht="13.2" x14ac:dyDescent="0.25">
      <c r="A634" s="55" t="s">
        <v>472</v>
      </c>
      <c r="B634" s="49" t="s">
        <v>473</v>
      </c>
      <c r="C634" s="21" t="s">
        <v>61</v>
      </c>
      <c r="D634" s="20" t="s">
        <v>443</v>
      </c>
      <c r="E634" s="20">
        <v>16</v>
      </c>
      <c r="F634" s="21">
        <v>56</v>
      </c>
      <c r="G634" s="21" t="s">
        <v>169</v>
      </c>
      <c r="H634" s="21">
        <v>0.79</v>
      </c>
      <c r="I634" s="68">
        <f>MAX('Max rate concentrations'!$D$3:$D$368)</f>
        <v>720</v>
      </c>
      <c r="J634" s="68">
        <f>MAX('Max rate concentrations'!W:W)</f>
        <v>255</v>
      </c>
      <c r="K634" s="70">
        <f t="shared" si="49"/>
        <v>368.12458462997432</v>
      </c>
      <c r="L634" s="70">
        <f t="shared" si="50"/>
        <v>130.37745705644926</v>
      </c>
      <c r="M634" s="70">
        <f>IF((((0.326*F634^0.818)-(0.398*F634^0.85)/(1-H634)*H634)*(MAX('Max rate concentrations'!$P$3:$P$368)))/F634&gt;0, (((0.326*F634^0.818)-(0.398*F634^0.85)/(1-H634)*H634)*(MAX('Max rate concentrations'!$P$3:$P$368)))/F634, 0)</f>
        <v>0</v>
      </c>
      <c r="N634" s="70">
        <f>IF((((0.326*F634^0.818)-(0.398*F634^0.85)/(1-H634)*H634)*(MAX('Max rate concentrations'!$Q$3:$Q$368)))/F634&gt; 0, (((0.326*F634^0.818)-(0.398*F634^0.85)/(1-H634)*H634)*(MAX('Max rate concentrations'!$Q$3:$Q$368)))/F634, 0)</f>
        <v>0</v>
      </c>
      <c r="O634" s="70">
        <f>((MAX('Max rate concentrations'!$F$3:$F$368))*0.62*6.01*8*(12.3*F634^0.65)*0.079*0.1/F634)*inputs!$E$73/inputs!$E$74</f>
        <v>66.169136532460627</v>
      </c>
      <c r="P634" s="70">
        <f>((MAX('Max rate concentrations'!Y:Y))*0.62*6.01*8*(12.3*F634^0.65)*0.079*0.1/F634)*inputs!$E$73/inputs!$E$74</f>
        <v>22.056378844153542</v>
      </c>
      <c r="Q634" s="70">
        <f>(inputs!$C$18*11.2*(12.3*F634^0.65)*0.5/F634)*inputs!$E$73/inputs!$E$74</f>
        <v>11.655381308293533</v>
      </c>
      <c r="R634" s="60">
        <f>(60*379*((F634/1000)^0.8)*3*24*(MAX('Max rate concentrations'!$R$3:$R$368))/F634)*(inputs!$E$73/inputs!$E$75)</f>
        <v>1.9646767370453896E-2</v>
      </c>
      <c r="S634" s="60">
        <f>(IF(inputs!$C$17="aerial",((0.025*0.112*inputs!$C$18/3.3)*(3*60*379*((F634/1000)^0.8))*MAX(inputs!$I$14:$I$16))/F634,((0.0083*0.112*inputs!$C$18/1)*(3*60*379*((F634/1000)^0.8))*MAX(inputs!$I$14:$I$16))/F634))*(inputs!E$75/inputs!$E$73)</f>
        <v>0.10835312911222214</v>
      </c>
      <c r="T634" s="63">
        <f>IF((((inputs!$P$13/(V634/MAX(K634:S634)))^(1/inputs!$O$13))-1)/inputs!$N$13&lt;0, 0, IF((((inputs!$P$13/(V634/MAX(K634:S634)))^(1/inputs!$O$13))-1)/inputs!$N$13&lt;inputs!$I$17, (((inputs!$P$13/(V634/MAX(K634:S634)))^(1/inputs!$O$13))-1)/inputs!$N$13, inputs!$I$17))</f>
        <v>256.15037712438908</v>
      </c>
      <c r="U634" s="63">
        <f>IF((((inputs!$P$13/(X634/MAX(K634:S634)))^(1/inputs!$O$13))-1)/inputs!$N$13&lt;0, 0, IF((((inputs!$P$13/(X634/MAX(K634:S634)))^(1/inputs!$O$13))-1)/inputs!$N$13&lt;inputs!$I$17, (((inputs!$P$13/(X634/MAX(K634:S634)))^(1/inputs!$O$13))-1)/inputs!$N$13, inputs!$I$17))</f>
        <v>13.313181183216683</v>
      </c>
      <c r="V634" s="54">
        <f>inputs!$E$70*(F634/inputs!$F$70)^(0.25)</f>
        <v>3.0786935717279875</v>
      </c>
      <c r="W634" s="54">
        <f>inputs!$E$76*(F634/inputs!$F$76)^(0.25)</f>
        <v>0.22135943621178655</v>
      </c>
      <c r="X634" s="54">
        <f>inputs!$E$72*(inputs!$F$72/F634)^(0.25)</f>
        <v>81.17079344786427</v>
      </c>
      <c r="Y634" s="54" t="s">
        <v>13</v>
      </c>
      <c r="Z634" s="106">
        <f t="shared" si="51"/>
        <v>119.57168716318719</v>
      </c>
      <c r="AA634" s="106">
        <f t="shared" si="52"/>
        <v>1663.0173573344739</v>
      </c>
    </row>
    <row r="635" spans="1:27" ht="13.2" x14ac:dyDescent="0.25">
      <c r="A635" s="55" t="s">
        <v>472</v>
      </c>
      <c r="B635" s="49" t="s">
        <v>473</v>
      </c>
      <c r="C635" s="21" t="s">
        <v>61</v>
      </c>
      <c r="D635" s="20" t="s">
        <v>443</v>
      </c>
      <c r="E635" s="20">
        <v>16</v>
      </c>
      <c r="F635" s="21">
        <v>56</v>
      </c>
      <c r="G635" s="21" t="s">
        <v>177</v>
      </c>
      <c r="H635" s="21">
        <v>0.85</v>
      </c>
      <c r="I635" s="68">
        <f>MAX('Max rate concentrations'!$F$3:$F$368)</f>
        <v>405</v>
      </c>
      <c r="J635" s="68">
        <f>MAX('Max rate concentrations'!Y:Y)</f>
        <v>135</v>
      </c>
      <c r="K635" s="70">
        <f t="shared" si="49"/>
        <v>289.8981103961047</v>
      </c>
      <c r="L635" s="70">
        <f t="shared" si="50"/>
        <v>96.632703465368238</v>
      </c>
      <c r="M635" s="70">
        <f>IF((((0.326*F635^0.818)-(0.398*F635^0.85)/(1-H635)*H635)*(MAX('Max rate concentrations'!$P$3:$P$368)))/F635&gt;0, (((0.326*F635^0.818)-(0.398*F635^0.85)/(1-H635)*H635)*(MAX('Max rate concentrations'!$P$3:$P$368)))/F635, 0)</f>
        <v>0</v>
      </c>
      <c r="N635" s="70">
        <f>IF((((0.326*F635^0.818)-(0.398*F635^0.85)/(1-H635)*H635)*(MAX('Max rate concentrations'!$Q$3:$Q$368)))/F635&gt; 0, (((0.326*F635^0.818)-(0.398*F635^0.85)/(1-H635)*H635)*(MAX('Max rate concentrations'!$Q$3:$Q$368)))/F635, 0)</f>
        <v>0</v>
      </c>
      <c r="O635" s="70">
        <f>((MAX('Max rate concentrations'!$F$3:$F$368))*0.62*6.01*8*(12.3*F635^0.65)*0.079*0.1/F635)*inputs!$E$73/inputs!$E$74</f>
        <v>66.169136532460627</v>
      </c>
      <c r="P635" s="70">
        <f>((MAX('Max rate concentrations'!Y:Y))*0.62*6.01*8*(12.3*F635^0.65)*0.079*0.1/F635)*inputs!$E$73/inputs!$E$74</f>
        <v>22.056378844153542</v>
      </c>
      <c r="Q635" s="70">
        <f>(inputs!$C$18*11.2*(12.3*F635^0.65)*0.5/F635)*inputs!$E$73/inputs!$E$74</f>
        <v>11.655381308293533</v>
      </c>
      <c r="R635" s="60">
        <f>(60*379*((F635/1000)^0.8)*3*24*(MAX('Max rate concentrations'!$R$3:$R$368))/F635)*(inputs!$E$73/inputs!$E$75)</f>
        <v>1.9646767370453896E-2</v>
      </c>
      <c r="S635" s="60">
        <f>(IF(inputs!$C$17="aerial",((0.025*0.112*inputs!$C$18/3.3)*(3*60*379*((F635/1000)^0.8))*MAX(inputs!$I$14:$I$16))/F635,((0.0083*0.112*inputs!$C$18/1)*(3*60*379*((F635/1000)^0.8))*MAX(inputs!$I$14:$I$16))/F635))*(inputs!E$75/inputs!$E$73)</f>
        <v>0.10835312911222214</v>
      </c>
      <c r="T635" s="63">
        <f>IF((((inputs!$P$13/(V635/MAX(K635:S635)))^(1/inputs!$O$13))-1)/inputs!$N$13&lt;0, 0, IF((((inputs!$P$13/(V635/MAX(K635:S635)))^(1/inputs!$O$13))-1)/inputs!$N$13&lt;inputs!$I$17, (((inputs!$P$13/(V635/MAX(K635:S635)))^(1/inputs!$O$13))-1)/inputs!$N$13, inputs!$I$17))</f>
        <v>210.23411859056282</v>
      </c>
      <c r="U635" s="63">
        <f>IF((((inputs!$P$13/(X635/MAX(K635:S635)))^(1/inputs!$O$13))-1)/inputs!$N$13&lt;0, 0, IF((((inputs!$P$13/(X635/MAX(K635:S635)))^(1/inputs!$O$13))-1)/inputs!$N$13&lt;inputs!$I$17, (((inputs!$P$13/(X635/MAX(K635:S635)))^(1/inputs!$O$13))-1)/inputs!$N$13, inputs!$I$17))</f>
        <v>10.056156936214734</v>
      </c>
      <c r="V635" s="54">
        <f>inputs!$E$70*(F635/inputs!$F$70)^(0.25)</f>
        <v>3.0786935717279875</v>
      </c>
      <c r="W635" s="54">
        <f>inputs!$E$76*(F635/inputs!$F$76)^(0.25)</f>
        <v>0.22135943621178655</v>
      </c>
      <c r="X635" s="54">
        <f>inputs!$E$72*(inputs!$F$72/F635)^(0.25)</f>
        <v>81.17079344786427</v>
      </c>
      <c r="Y635" s="54" t="s">
        <v>13</v>
      </c>
      <c r="Z635" s="106">
        <f t="shared" si="51"/>
        <v>94.162703641009884</v>
      </c>
      <c r="AA635" s="106">
        <f t="shared" si="52"/>
        <v>1309.6261689008979</v>
      </c>
    </row>
    <row r="636" spans="1:27" ht="13.2" x14ac:dyDescent="0.25">
      <c r="A636" s="55" t="s">
        <v>472</v>
      </c>
      <c r="B636" s="49" t="s">
        <v>473</v>
      </c>
      <c r="C636" s="21" t="s">
        <v>61</v>
      </c>
      <c r="D636" s="20" t="s">
        <v>443</v>
      </c>
      <c r="E636" s="20">
        <v>16</v>
      </c>
      <c r="F636" s="21">
        <v>56</v>
      </c>
      <c r="G636" s="21" t="s">
        <v>154</v>
      </c>
      <c r="H636" s="21">
        <v>9.2999999999999999E-2</v>
      </c>
      <c r="I636" s="68">
        <f>MAX('Max rate concentrations'!$G$3:$G$368)</f>
        <v>45</v>
      </c>
      <c r="J636" s="68">
        <f>MAX('Max rate concentrations'!Z:Z)</f>
        <v>21</v>
      </c>
      <c r="K636" s="70">
        <f t="shared" si="49"/>
        <v>5.3270509076829242</v>
      </c>
      <c r="L636" s="70">
        <f t="shared" si="50"/>
        <v>2.4859570902520312</v>
      </c>
      <c r="M636" s="70">
        <f>IF((((0.326*F636^0.818)-(0.398*F636^0.85)/(1-H636)*H636)*(MAX('Max rate concentrations'!$P$3:$P$368)))/F636&gt;0, (((0.326*F636^0.818)-(0.398*F636^0.85)/(1-H636)*H636)*(MAX('Max rate concentrations'!$P$3:$P$368)))/F636, 0)</f>
        <v>0.11703048553048123</v>
      </c>
      <c r="N636" s="70">
        <f>IF((((0.326*F636^0.818)-(0.398*F636^0.85)/(1-H636)*H636)*(MAX('Max rate concentrations'!$Q$3:$Q$368)))/F636&gt; 0, (((0.326*F636^0.818)-(0.398*F636^0.85)/(1-H636)*H636)*(MAX('Max rate concentrations'!$Q$3:$Q$368)))/F636, 0)</f>
        <v>0.4456583771452714</v>
      </c>
      <c r="O636" s="70">
        <f>((MAX('Max rate concentrations'!$F$3:$F$368))*0.62*6.01*8*(12.3*F636^0.65)*0.079*0.1/F636)*inputs!$E$73/inputs!$E$74</f>
        <v>66.169136532460627</v>
      </c>
      <c r="P636" s="70">
        <f>((MAX('Max rate concentrations'!Y:Y))*0.62*6.01*8*(12.3*F636^0.65)*0.079*0.1/F636)*inputs!$E$73/inputs!$E$74</f>
        <v>22.056378844153542</v>
      </c>
      <c r="Q636" s="70">
        <f>(inputs!$C$18*11.2*(12.3*F636^0.65)*0.5/F636)*inputs!$E$73/inputs!$E$74</f>
        <v>11.655381308293533</v>
      </c>
      <c r="R636" s="60">
        <f>(60*379*((F636/1000)^0.8)*3*24*(MAX('Max rate concentrations'!$R$3:$R$368))/F636)*(inputs!$E$73/inputs!$E$75)</f>
        <v>1.9646767370453896E-2</v>
      </c>
      <c r="S636" s="60">
        <f>(IF(inputs!$C$17="aerial",((0.025*0.112*inputs!$C$18/3.3)*(3*60*379*((F636/1000)^0.8))*MAX(inputs!$I$14:$I$16))/F636,((0.0083*0.112*inputs!$C$18/1)*(3*60*379*((F636/1000)^0.8))*MAX(inputs!$I$14:$I$16))/F636))*(inputs!E$75/inputs!$E$73)</f>
        <v>0.10835312911222214</v>
      </c>
      <c r="T636" s="63">
        <f>IF((((inputs!$P$13/(V636/MAX(K636:S636)))^(1/inputs!$O$13))-1)/inputs!$N$13&lt;0, 0, IF((((inputs!$P$13/(V636/MAX(K636:S636)))^(1/inputs!$O$13))-1)/inputs!$N$13&lt;inputs!$I$17, (((inputs!$P$13/(V636/MAX(K636:S636)))^(1/inputs!$O$13))-1)/inputs!$N$13, inputs!$I$17))</f>
        <v>60.015900578825622</v>
      </c>
      <c r="U636" s="63">
        <f>IF((((inputs!$P$13/(X636/MAX(K636:S636)))^(1/inputs!$O$13))-1)/inputs!$N$13&lt;0, 0, IF((((inputs!$P$13/(X636/MAX(K636:S636)))^(1/inputs!$O$13))-1)/inputs!$N$13&lt;inputs!$I$17, (((inputs!$P$13/(X636/MAX(K636:S636)))^(1/inputs!$O$13))-1)/inputs!$N$13, inputs!$I$17))</f>
        <v>0</v>
      </c>
      <c r="V636" s="54">
        <f>inputs!$E$70*(F636/inputs!$F$70)^(0.25)</f>
        <v>3.0786935717279875</v>
      </c>
      <c r="W636" s="54">
        <f>inputs!$E$76*(F636/inputs!$F$76)^(0.25)</f>
        <v>0.22135943621178655</v>
      </c>
      <c r="X636" s="54">
        <f>inputs!$E$72*(inputs!$F$72/F636)^(0.25)</f>
        <v>81.17079344786427</v>
      </c>
      <c r="Y636" s="54" t="s">
        <v>13</v>
      </c>
      <c r="Z636" s="106">
        <f t="shared" si="51"/>
        <v>21.492602297318495</v>
      </c>
      <c r="AA636" s="106">
        <f t="shared" si="52"/>
        <v>298.92168892747372</v>
      </c>
    </row>
    <row r="637" spans="1:27" ht="26.4" x14ac:dyDescent="0.25">
      <c r="A637" s="55" t="s">
        <v>578</v>
      </c>
      <c r="B637" s="49" t="s">
        <v>579</v>
      </c>
      <c r="C637" s="21" t="s">
        <v>61</v>
      </c>
      <c r="D637" s="20" t="s">
        <v>443</v>
      </c>
      <c r="E637" s="20">
        <v>43</v>
      </c>
      <c r="F637" s="21">
        <v>236.4</v>
      </c>
      <c r="G637" s="21" t="s">
        <v>152</v>
      </c>
      <c r="H637" s="21">
        <v>0.77</v>
      </c>
      <c r="I637" s="68">
        <f>MAX('Max rate concentrations'!$G$3:$G$368)</f>
        <v>45</v>
      </c>
      <c r="J637" s="68">
        <f>MAX('Max rate concentrations'!Z:Z)</f>
        <v>21</v>
      </c>
      <c r="K637" s="70">
        <f t="shared" si="49"/>
        <v>11.211558311804747</v>
      </c>
      <c r="L637" s="70">
        <f t="shared" si="50"/>
        <v>5.2320605455088813</v>
      </c>
      <c r="M637" s="70">
        <f>IF((((0.326*F637^0.818)-(0.398*F637^0.85)/(1-H637)*H637)*(MAX('Max rate concentrations'!$P$3:$P$368)))/F637&gt;0, (((0.326*F637^0.818)-(0.398*F637^0.85)/(1-H637)*H637)*(MAX('Max rate concentrations'!$P$3:$P$368)))/F637, 0)</f>
        <v>0</v>
      </c>
      <c r="N637" s="70">
        <f>IF((((0.326*F637^0.818)-(0.398*F637^0.85)/(1-H637)*H637)*(MAX('Max rate concentrations'!$Q$3:$Q$368)))/F637&gt; 0, (((0.326*F637^0.818)-(0.398*F637^0.85)/(1-H637)*H637)*(MAX('Max rate concentrations'!$Q$3:$Q$368)))/F637, 0)</f>
        <v>0</v>
      </c>
      <c r="O637" s="70">
        <f>((MAX('Max rate concentrations'!$F$3:$F$368))*0.62*6.01*8*(12.3*F637^0.65)*0.079*0.1/F637)*inputs!$E$73/inputs!$E$74</f>
        <v>39.970967597751986</v>
      </c>
      <c r="P637" s="70">
        <f>((MAX('Max rate concentrations'!Y:Y))*0.62*6.01*8*(12.3*F637^0.65)*0.079*0.1/F637)*inputs!$E$73/inputs!$E$74</f>
        <v>13.323655865917331</v>
      </c>
      <c r="Q637" s="70">
        <f>(inputs!$C$18*11.2*(12.3*F637^0.65)*0.5/F637)*inputs!$E$73/inputs!$E$74</f>
        <v>7.0406974161541243</v>
      </c>
      <c r="R637" s="60">
        <f>(60*379*((F637/1000)^0.8)*3*24*(MAX('Max rate concentrations'!$R$3:$R$368))/F637)*(inputs!$E$73/inputs!$E$75)</f>
        <v>1.4729880171032687E-2</v>
      </c>
      <c r="S637" s="60">
        <f>(IF(inputs!$C$17="aerial",((0.025*0.112*inputs!$C$18/3.3)*(3*60*379*((F637/1000)^0.8))*MAX(inputs!$I$14:$I$16))/F637,((0.0083*0.112*inputs!$C$18/1)*(3*60*379*((F637/1000)^0.8))*MAX(inputs!$I$14:$I$16))/F637))*(inputs!E$75/inputs!$E$73)</f>
        <v>8.1236194122178015E-2</v>
      </c>
      <c r="T637" s="63">
        <f>IF((((inputs!$P$13/(V637/MAX(K637:S637)))^(1/inputs!$O$13))-1)/inputs!$N$13&lt;0, 0, IF((((inputs!$P$13/(V637/MAX(K637:S637)))^(1/inputs!$O$13))-1)/inputs!$N$13&lt;inputs!$I$17, (((inputs!$P$13/(V637/MAX(K637:S637)))^(1/inputs!$O$13))-1)/inputs!$N$13, inputs!$I$17))</f>
        <v>27.211207869265611</v>
      </c>
      <c r="U637" s="63">
        <f>IF((((inputs!$P$13/(X637/MAX(K637:S637)))^(1/inputs!$O$13))-1)/inputs!$N$13&lt;0, 0, IF((((inputs!$P$13/(X637/MAX(K637:S637)))^(1/inputs!$O$13))-1)/inputs!$N$13&lt;inputs!$I$17, (((inputs!$P$13/(X637/MAX(K637:S637)))^(1/inputs!$O$13))-1)/inputs!$N$13, inputs!$I$17))</f>
        <v>0</v>
      </c>
      <c r="V637" s="54">
        <f>inputs!$E$70*(F637/inputs!$F$70)^(0.25)</f>
        <v>4.4129735679322639</v>
      </c>
      <c r="W637" s="54">
        <f>inputs!$E$76*(F637/inputs!$F$76)^(0.25)</f>
        <v>0.317294760993937</v>
      </c>
      <c r="X637" s="54">
        <f>inputs!$E$72*(inputs!$F$72/F637)^(0.25)</f>
        <v>56.628483301134466</v>
      </c>
      <c r="Y637" s="54" t="s">
        <v>13</v>
      </c>
      <c r="Z637" s="106">
        <f t="shared" si="51"/>
        <v>9.0576041262084246</v>
      </c>
      <c r="AA637" s="106">
        <f t="shared" si="52"/>
        <v>125.97424386252557</v>
      </c>
    </row>
    <row r="638" spans="1:27" ht="26.4" x14ac:dyDescent="0.25">
      <c r="A638" s="55" t="s">
        <v>578</v>
      </c>
      <c r="B638" s="49" t="s">
        <v>579</v>
      </c>
      <c r="C638" s="21" t="s">
        <v>61</v>
      </c>
      <c r="D638" s="20" t="s">
        <v>443</v>
      </c>
      <c r="E638" s="20">
        <v>43</v>
      </c>
      <c r="F638" s="21">
        <v>236.4</v>
      </c>
      <c r="G638" s="21" t="s">
        <v>580</v>
      </c>
      <c r="H638" s="21">
        <v>0.85</v>
      </c>
      <c r="I638" s="68">
        <f>MAX('Max rate concentrations'!$F$3:$F$368)</f>
        <v>405</v>
      </c>
      <c r="J638" s="68">
        <f>MAX('Max rate concentrations'!Y:Y)</f>
        <v>135</v>
      </c>
      <c r="K638" s="70">
        <f t="shared" ref="K638:K701" si="53">(((0.621*F638^0.564)/(1-H638)))*I638/F638</f>
        <v>154.71950470290548</v>
      </c>
      <c r="L638" s="70">
        <f t="shared" ref="L638:L701" si="54">(((0.621*F638^0.564)/(1-H638)))*J638/F638</f>
        <v>51.573168234301825</v>
      </c>
      <c r="M638" s="70">
        <f>IF((((0.326*F638^0.818)-(0.398*F638^0.85)/(1-H638)*H638)*(MAX('Max rate concentrations'!$P$3:$P$368)))/F638&gt;0, (((0.326*F638^0.818)-(0.398*F638^0.85)/(1-H638)*H638)*(MAX('Max rate concentrations'!$P$3:$P$368)))/F638, 0)</f>
        <v>0</v>
      </c>
      <c r="N638" s="70">
        <f>IF((((0.326*F638^0.818)-(0.398*F638^0.85)/(1-H638)*H638)*(MAX('Max rate concentrations'!$Q$3:$Q$368)))/F638&gt; 0, (((0.326*F638^0.818)-(0.398*F638^0.85)/(1-H638)*H638)*(MAX('Max rate concentrations'!$Q$3:$Q$368)))/F638, 0)</f>
        <v>0</v>
      </c>
      <c r="O638" s="70">
        <f>((MAX('Max rate concentrations'!$F$3:$F$368))*0.62*6.01*8*(12.3*F638^0.65)*0.079*0.1/F638)*inputs!$E$73/inputs!$E$74</f>
        <v>39.970967597751986</v>
      </c>
      <c r="P638" s="70">
        <f>((MAX('Max rate concentrations'!Y:Y))*0.62*6.01*8*(12.3*F638^0.65)*0.079*0.1/F638)*inputs!$E$73/inputs!$E$74</f>
        <v>13.323655865917331</v>
      </c>
      <c r="Q638" s="70">
        <f>(inputs!$C$18*11.2*(12.3*F638^0.65)*0.5/F638)*inputs!$E$73/inputs!$E$74</f>
        <v>7.0406974161541243</v>
      </c>
      <c r="R638" s="60">
        <f>(60*379*((F638/1000)^0.8)*3*24*(MAX('Max rate concentrations'!$R$3:$R$368))/F638)*(inputs!$E$73/inputs!$E$75)</f>
        <v>1.4729880171032687E-2</v>
      </c>
      <c r="S638" s="60">
        <f>(IF(inputs!$C$17="aerial",((0.025*0.112*inputs!$C$18/3.3)*(3*60*379*((F638/1000)^0.8))*MAX(inputs!$I$14:$I$16))/F638,((0.0083*0.112*inputs!$C$18/1)*(3*60*379*((F638/1000)^0.8))*MAX(inputs!$I$14:$I$16))/F638))*(inputs!E$75/inputs!$E$73)</f>
        <v>8.1236194122178015E-2</v>
      </c>
      <c r="T638" s="63">
        <f>IF((((inputs!$P$13/(V638/MAX(K638:S638)))^(1/inputs!$O$13))-1)/inputs!$N$13&lt;0, 0, IF((((inputs!$P$13/(V638/MAX(K638:S638)))^(1/inputs!$O$13))-1)/inputs!$N$13&lt;inputs!$I$17, (((inputs!$P$13/(V638/MAX(K638:S638)))^(1/inputs!$O$13))-1)/inputs!$N$13, inputs!$I$17))</f>
        <v>91.689174887091909</v>
      </c>
      <c r="U638" s="63">
        <f>IF((((inputs!$P$13/(X638/MAX(K638:S638)))^(1/inputs!$O$13))-1)/inputs!$N$13&lt;0, 0, IF((((inputs!$P$13/(X638/MAX(K638:S638)))^(1/inputs!$O$13))-1)/inputs!$N$13&lt;inputs!$I$17, (((inputs!$P$13/(X638/MAX(K638:S638)))^(1/inputs!$O$13))-1)/inputs!$N$13, inputs!$I$17))</f>
        <v>7.0794704200675147</v>
      </c>
      <c r="V638" s="54">
        <f>inputs!$E$70*(F638/inputs!$F$70)^(0.25)</f>
        <v>4.4129735679322639</v>
      </c>
      <c r="W638" s="54">
        <f>inputs!$E$76*(F638/inputs!$F$76)^(0.25)</f>
        <v>0.317294760993937</v>
      </c>
      <c r="X638" s="54">
        <f>inputs!$E$72*(inputs!$F$72/F638)^(0.25)</f>
        <v>56.628483301134466</v>
      </c>
      <c r="Y638" s="54" t="s">
        <v>13</v>
      </c>
      <c r="Z638" s="106">
        <f t="shared" si="51"/>
        <v>35.060147612758222</v>
      </c>
      <c r="AA638" s="106">
        <f t="shared" si="52"/>
        <v>487.62073542670919</v>
      </c>
    </row>
    <row r="639" spans="1:27" ht="26.4" x14ac:dyDescent="0.25">
      <c r="A639" s="55" t="s">
        <v>578</v>
      </c>
      <c r="B639" s="49" t="s">
        <v>579</v>
      </c>
      <c r="C639" s="21" t="s">
        <v>61</v>
      </c>
      <c r="D639" s="20" t="s">
        <v>443</v>
      </c>
      <c r="E639" s="20">
        <v>43</v>
      </c>
      <c r="F639" s="21">
        <v>236.4</v>
      </c>
      <c r="G639" s="21" t="s">
        <v>581</v>
      </c>
      <c r="H639" s="21">
        <v>6.3E-2</v>
      </c>
      <c r="I639" s="68">
        <f>MAX('Max rate concentrations'!$E$3:$E$368)</f>
        <v>330</v>
      </c>
      <c r="J639" s="68">
        <f>MAX('Max rate concentrations'!X:X)</f>
        <v>108</v>
      </c>
      <c r="K639" s="70">
        <f t="shared" si="53"/>
        <v>20.181602653053009</v>
      </c>
      <c r="L639" s="70">
        <f t="shared" si="54"/>
        <v>6.6048881409991669</v>
      </c>
      <c r="M639" s="70">
        <f>IF((((0.326*F639^0.818)-(0.398*F639^0.85)/(1-H639)*H639)*(MAX('Max rate concentrations'!$P$3:$P$368)))/F639&gt;0, (((0.326*F639^0.818)-(0.398*F639^0.85)/(1-H639)*H639)*(MAX('Max rate concentrations'!$P$3:$P$368)))/F639, 0)</f>
        <v>9.4730869307970353E-2</v>
      </c>
      <c r="N639" s="70">
        <f>IF((((0.326*F639^0.818)-(0.398*F639^0.85)/(1-H639)*H639)*(MAX('Max rate concentrations'!$Q$3:$Q$368)))/F639&gt; 0, (((0.326*F639^0.818)-(0.398*F639^0.85)/(1-H639)*H639)*(MAX('Max rate concentrations'!$Q$3:$Q$368)))/F639, 0)</f>
        <v>0.3607402403739926</v>
      </c>
      <c r="O639" s="70">
        <f>((MAX('Max rate concentrations'!$F$3:$F$368))*0.62*6.01*8*(12.3*F639^0.65)*0.079*0.1/F639)*inputs!$E$73/inputs!$E$74</f>
        <v>39.970967597751986</v>
      </c>
      <c r="P639" s="70">
        <f>((MAX('Max rate concentrations'!Y:Y))*0.62*6.01*8*(12.3*F639^0.65)*0.079*0.1/F639)*inputs!$E$73/inputs!$E$74</f>
        <v>13.323655865917331</v>
      </c>
      <c r="Q639" s="70">
        <f>(inputs!$C$18*11.2*(12.3*F639^0.65)*0.5/F639)*inputs!$E$73/inputs!$E$74</f>
        <v>7.0406974161541243</v>
      </c>
      <c r="R639" s="60">
        <f>(60*379*((F639/1000)^0.8)*3*24*(MAX('Max rate concentrations'!$R$3:$R$368))/F639)*(inputs!$E$73/inputs!$E$75)</f>
        <v>1.4729880171032687E-2</v>
      </c>
      <c r="S639" s="60">
        <f>(IF(inputs!$C$17="aerial",((0.025*0.112*inputs!$C$18/3.3)*(3*60*379*((F639/1000)^0.8))*MAX(inputs!$I$14:$I$16))/F639,((0.0083*0.112*inputs!$C$18/1)*(3*60*379*((F639/1000)^0.8))*MAX(inputs!$I$14:$I$16))/F639))*(inputs!E$75/inputs!$E$73)</f>
        <v>8.1236194122178015E-2</v>
      </c>
      <c r="T639" s="63">
        <f>IF((((inputs!$P$13/(V639/MAX(K639:S639)))^(1/inputs!$O$13))-1)/inputs!$N$13&lt;0, 0, IF((((inputs!$P$13/(V639/MAX(K639:S639)))^(1/inputs!$O$13))-1)/inputs!$N$13&lt;inputs!$I$17, (((inputs!$P$13/(V639/MAX(K639:S639)))^(1/inputs!$O$13))-1)/inputs!$N$13, inputs!$I$17))</f>
        <v>27.211207869265611</v>
      </c>
      <c r="U639" s="63">
        <f>IF((((inputs!$P$13/(X639/MAX(K639:S639)))^(1/inputs!$O$13))-1)/inputs!$N$13&lt;0, 0, IF((((inputs!$P$13/(X639/MAX(K639:S639)))^(1/inputs!$O$13))-1)/inputs!$N$13&lt;inputs!$I$17, (((inputs!$P$13/(X639/MAX(K639:S639)))^(1/inputs!$O$13))-1)/inputs!$N$13, inputs!$I$17))</f>
        <v>0</v>
      </c>
      <c r="V639" s="54">
        <f>inputs!$E$70*(F639/inputs!$F$70)^(0.25)</f>
        <v>4.4129735679322639</v>
      </c>
      <c r="W639" s="54">
        <f>inputs!$E$76*(F639/inputs!$F$76)^(0.25)</f>
        <v>0.317294760993937</v>
      </c>
      <c r="X639" s="54">
        <f>inputs!$E$72*(inputs!$F$72/F639)^(0.25)</f>
        <v>56.628483301134466</v>
      </c>
      <c r="Y639" s="54" t="s">
        <v>13</v>
      </c>
      <c r="Z639" s="106">
        <f t="shared" si="51"/>
        <v>9.0576041262084246</v>
      </c>
      <c r="AA639" s="106">
        <f t="shared" si="52"/>
        <v>125.97424386252557</v>
      </c>
    </row>
    <row r="640" spans="1:27" ht="26.4" x14ac:dyDescent="0.25">
      <c r="A640" s="55" t="s">
        <v>578</v>
      </c>
      <c r="B640" s="49" t="s">
        <v>579</v>
      </c>
      <c r="C640" s="21" t="s">
        <v>61</v>
      </c>
      <c r="D640" s="20" t="s">
        <v>443</v>
      </c>
      <c r="E640" s="20">
        <v>43</v>
      </c>
      <c r="F640" s="21">
        <v>236.4</v>
      </c>
      <c r="G640" s="21" t="s">
        <v>154</v>
      </c>
      <c r="H640" s="21">
        <v>9.2999999999999999E-2</v>
      </c>
      <c r="I640" s="68">
        <f>MAX('Max rate concentrations'!$G$3:$G$368)</f>
        <v>45</v>
      </c>
      <c r="J640" s="68">
        <f>MAX('Max rate concentrations'!Z:Z)</f>
        <v>21</v>
      </c>
      <c r="K640" s="70">
        <f t="shared" si="53"/>
        <v>2.8430632984730888</v>
      </c>
      <c r="L640" s="70">
        <f t="shared" si="54"/>
        <v>1.3267628726207747</v>
      </c>
      <c r="M640" s="70">
        <f>IF((((0.326*F640^0.818)-(0.398*F640^0.85)/(1-H640)*H640)*(MAX('Max rate concentrations'!$P$3:$P$368)))/F640&gt;0, (((0.326*F640^0.818)-(0.398*F640^0.85)/(1-H640)*H640)*(MAX('Max rate concentrations'!$P$3:$P$368)))/F640, 0)</f>
        <v>8.9341068352878306E-2</v>
      </c>
      <c r="N640" s="70">
        <f>IF((((0.326*F640^0.818)-(0.398*F640^0.85)/(1-H640)*H640)*(MAX('Max rate concentrations'!$Q$3:$Q$368)))/F640&gt; 0, (((0.326*F640^0.818)-(0.398*F640^0.85)/(1-H640)*H640)*(MAX('Max rate concentrations'!$Q$3:$Q$368)))/F640, 0)</f>
        <v>0.34021558873391428</v>
      </c>
      <c r="O640" s="70">
        <f>((MAX('Max rate concentrations'!$F$3:$F$368))*0.62*6.01*8*(12.3*F640^0.65)*0.079*0.1/F640)*inputs!$E$73/inputs!$E$74</f>
        <v>39.970967597751986</v>
      </c>
      <c r="P640" s="70">
        <f>((MAX('Max rate concentrations'!Y:Y))*0.62*6.01*8*(12.3*F640^0.65)*0.079*0.1/F640)*inputs!$E$73/inputs!$E$74</f>
        <v>13.323655865917331</v>
      </c>
      <c r="Q640" s="70">
        <f>(inputs!$C$18*11.2*(12.3*F640^0.65)*0.5/F640)*inputs!$E$73/inputs!$E$74</f>
        <v>7.0406974161541243</v>
      </c>
      <c r="R640" s="60">
        <f>(60*379*((F640/1000)^0.8)*3*24*(MAX('Max rate concentrations'!$R$3:$R$368))/F640)*(inputs!$E$73/inputs!$E$75)</f>
        <v>1.4729880171032687E-2</v>
      </c>
      <c r="S640" s="60">
        <f>(IF(inputs!$C$17="aerial",((0.025*0.112*inputs!$C$18/3.3)*(3*60*379*((F640/1000)^0.8))*MAX(inputs!$I$14:$I$16))/F640,((0.0083*0.112*inputs!$C$18/1)*(3*60*379*((F640/1000)^0.8))*MAX(inputs!$I$14:$I$16))/F640))*(inputs!E$75/inputs!$E$73)</f>
        <v>8.1236194122178015E-2</v>
      </c>
      <c r="T640" s="63">
        <f>IF((((inputs!$P$13/(V640/MAX(K640:S640)))^(1/inputs!$O$13))-1)/inputs!$N$13&lt;0, 0, IF((((inputs!$P$13/(V640/MAX(K640:S640)))^(1/inputs!$O$13))-1)/inputs!$N$13&lt;inputs!$I$17, (((inputs!$P$13/(V640/MAX(K640:S640)))^(1/inputs!$O$13))-1)/inputs!$N$13, inputs!$I$17))</f>
        <v>27.211207869265611</v>
      </c>
      <c r="U640" s="63">
        <f>IF((((inputs!$P$13/(X640/MAX(K640:S640)))^(1/inputs!$O$13))-1)/inputs!$N$13&lt;0, 0, IF((((inputs!$P$13/(X640/MAX(K640:S640)))^(1/inputs!$O$13))-1)/inputs!$N$13&lt;inputs!$I$17, (((inputs!$P$13/(X640/MAX(K640:S640)))^(1/inputs!$O$13))-1)/inputs!$N$13, inputs!$I$17))</f>
        <v>0</v>
      </c>
      <c r="V640" s="54">
        <f>inputs!$E$70*(F640/inputs!$F$70)^(0.25)</f>
        <v>4.4129735679322639</v>
      </c>
      <c r="W640" s="54">
        <f>inputs!$E$76*(F640/inputs!$F$76)^(0.25)</f>
        <v>0.317294760993937</v>
      </c>
      <c r="X640" s="54">
        <f>inputs!$E$72*(inputs!$F$72/F640)^(0.25)</f>
        <v>56.628483301134466</v>
      </c>
      <c r="Y640" s="54" t="s">
        <v>13</v>
      </c>
      <c r="Z640" s="106">
        <f t="shared" si="51"/>
        <v>9.0576041262084246</v>
      </c>
      <c r="AA640" s="106">
        <f t="shared" si="52"/>
        <v>125.97424386252557</v>
      </c>
    </row>
    <row r="641" spans="1:27" ht="13.2" x14ac:dyDescent="0.25">
      <c r="A641" s="55" t="s">
        <v>611</v>
      </c>
      <c r="B641" s="49" t="s">
        <v>612</v>
      </c>
      <c r="C641" s="21" t="s">
        <v>61</v>
      </c>
      <c r="D641" s="20" t="s">
        <v>443</v>
      </c>
      <c r="E641" s="20">
        <v>5210</v>
      </c>
      <c r="F641" s="21">
        <v>12</v>
      </c>
      <c r="G641" s="21" t="s">
        <v>142</v>
      </c>
      <c r="H641" s="21">
        <v>0.69</v>
      </c>
      <c r="I641" s="68">
        <f>MAX('Max rate concentrations'!$H$3:$H$368)</f>
        <v>282</v>
      </c>
      <c r="J641" s="68">
        <f>MAX('Max rate concentrations'!AA:AA)</f>
        <v>195</v>
      </c>
      <c r="K641" s="70">
        <f t="shared" si="53"/>
        <v>191.18595792105523</v>
      </c>
      <c r="L641" s="70">
        <f t="shared" si="54"/>
        <v>132.20305600924033</v>
      </c>
      <c r="M641" s="70">
        <f>IF((((0.326*F641^0.818)-(0.398*F641^0.85)/(1-H641)*H641)*(MAX('Max rate concentrations'!$P$3:$P$368)))/F641&gt;0, (((0.326*F641^0.818)-(0.398*F641^0.85)/(1-H641)*H641)*(MAX('Max rate concentrations'!$P$3:$P$368)))/F641, 0)</f>
        <v>0</v>
      </c>
      <c r="N641" s="70">
        <f>IF((((0.326*F641^0.818)-(0.398*F641^0.85)/(1-H641)*H641)*(MAX('Max rate concentrations'!$Q$3:$Q$368)))/F641&gt; 0, (((0.326*F641^0.818)-(0.398*F641^0.85)/(1-H641)*H641)*(MAX('Max rate concentrations'!$Q$3:$Q$368)))/F641, 0)</f>
        <v>0</v>
      </c>
      <c r="O641" s="70">
        <f>((MAX('Max rate concentrations'!$F$3:$F$368))*0.62*6.01*8*(12.3*F641^0.65)*0.079*0.1/F641)*inputs!$E$73/inputs!$E$74</f>
        <v>113.45087263972519</v>
      </c>
      <c r="P641" s="70">
        <f>((MAX('Max rate concentrations'!Y:Y))*0.62*6.01*8*(12.3*F641^0.65)*0.079*0.1/F641)*inputs!$E$73/inputs!$E$74</f>
        <v>37.816957546575082</v>
      </c>
      <c r="Q641" s="70">
        <f>(inputs!$C$18*11.2*(12.3*F641^0.65)*0.5/F641)*inputs!$E$73/inputs!$E$74</f>
        <v>19.983836115587753</v>
      </c>
      <c r="R641" s="60">
        <f>(60*379*((F641/1000)^0.8)*3*24*(MAX('Max rate concentrations'!$R$3:$R$368))/F641)*(inputs!$E$73/inputs!$E$75)</f>
        <v>2.6735755385671349E-2</v>
      </c>
      <c r="S641" s="60">
        <f>(IF(inputs!$C$17="aerial",((0.025*0.112*inputs!$C$18/3.3)*(3*60*379*((F641/1000)^0.8))*MAX(inputs!$I$14:$I$16))/F641,((0.0083*0.112*inputs!$C$18/1)*(3*60*379*((F641/1000)^0.8))*MAX(inputs!$I$14:$I$16))/F641))*(inputs!E$75/inputs!$E$73)</f>
        <v>0.14744933355158416</v>
      </c>
      <c r="T641" s="63">
        <f>IF((((inputs!$P$13/(V641/MAX(K641:S641)))^(1/inputs!$O$13))-1)/inputs!$N$13&lt;0, 0, IF((((inputs!$P$13/(V641/MAX(K641:S641)))^(1/inputs!$O$13))-1)/inputs!$N$13&lt;inputs!$I$17, (((inputs!$P$13/(V641/MAX(K641:S641)))^(1/inputs!$O$13))-1)/inputs!$N$13, inputs!$I$17))</f>
        <v>204.87073688962616</v>
      </c>
      <c r="U641" s="63">
        <f>IF((((inputs!$P$13/(X641/MAX(K641:S641)))^(1/inputs!$O$13))-1)/inputs!$N$13&lt;0, 0, IF((((inputs!$P$13/(X641/MAX(K641:S641)))^(1/inputs!$O$13))-1)/inputs!$N$13&lt;inputs!$I$17, (((inputs!$P$13/(X641/MAX(K641:S641)))^(1/inputs!$O$13))-1)/inputs!$N$13, inputs!$I$17))</f>
        <v>2.7667932705684848</v>
      </c>
      <c r="V641" s="54">
        <f>inputs!$E$70*(F641/inputs!$F$70)^(0.25)</f>
        <v>2.094665933568276</v>
      </c>
      <c r="W641" s="54">
        <f>inputs!$E$76*(F641/inputs!$F$76)^(0.25)</f>
        <v>0.1506074116517096</v>
      </c>
      <c r="X641" s="54">
        <f>inputs!$E$72*(inputs!$F$72/F641)^(0.25)</f>
        <v>119.30303347908743</v>
      </c>
      <c r="Y641" s="54" t="s">
        <v>13</v>
      </c>
      <c r="Z641" s="106">
        <f t="shared" si="51"/>
        <v>91.272768061572862</v>
      </c>
      <c r="AA641" s="106">
        <f t="shared" si="52"/>
        <v>1269.4325984645857</v>
      </c>
    </row>
    <row r="642" spans="1:27" ht="13.2" x14ac:dyDescent="0.25">
      <c r="A642" s="55" t="s">
        <v>611</v>
      </c>
      <c r="B642" s="49" t="s">
        <v>612</v>
      </c>
      <c r="C642" s="21" t="s">
        <v>61</v>
      </c>
      <c r="D642" s="20" t="s">
        <v>443</v>
      </c>
      <c r="E642" s="20">
        <v>5210</v>
      </c>
      <c r="F642" s="21">
        <v>12</v>
      </c>
      <c r="G642" s="21" t="s">
        <v>152</v>
      </c>
      <c r="H642" s="21">
        <v>0.77</v>
      </c>
      <c r="I642" s="68">
        <f>MAX('Max rate concentrations'!$G$3:$G$368)</f>
        <v>45</v>
      </c>
      <c r="J642" s="68">
        <f>MAX('Max rate concentrations'!Z:Z)</f>
        <v>21</v>
      </c>
      <c r="K642" s="70">
        <f t="shared" si="53"/>
        <v>41.120014076452684</v>
      </c>
      <c r="L642" s="70">
        <f t="shared" si="54"/>
        <v>19.189339902344585</v>
      </c>
      <c r="M642" s="70">
        <f>IF((((0.326*F642^0.818)-(0.398*F642^0.85)/(1-H642)*H642)*(MAX('Max rate concentrations'!$P$3:$P$368)))/F642&gt;0, (((0.326*F642^0.818)-(0.398*F642^0.85)/(1-H642)*H642)*(MAX('Max rate concentrations'!$P$3:$P$368)))/F642, 0)</f>
        <v>0</v>
      </c>
      <c r="N642" s="70">
        <f>IF((((0.326*F642^0.818)-(0.398*F642^0.85)/(1-H642)*H642)*(MAX('Max rate concentrations'!$Q$3:$Q$368)))/F642&gt; 0, (((0.326*F642^0.818)-(0.398*F642^0.85)/(1-H642)*H642)*(MAX('Max rate concentrations'!$Q$3:$Q$368)))/F642, 0)</f>
        <v>0</v>
      </c>
      <c r="O642" s="70">
        <f>((MAX('Max rate concentrations'!$F$3:$F$368))*0.62*6.01*8*(12.3*F642^0.65)*0.079*0.1/F642)*inputs!$E$73/inputs!$E$74</f>
        <v>113.45087263972519</v>
      </c>
      <c r="P642" s="70">
        <f>((MAX('Max rate concentrations'!Y:Y))*0.62*6.01*8*(12.3*F642^0.65)*0.079*0.1/F642)*inputs!$E$73/inputs!$E$74</f>
        <v>37.816957546575082</v>
      </c>
      <c r="Q642" s="70">
        <f>(inputs!$C$18*11.2*(12.3*F642^0.65)*0.5/F642)*inputs!$E$73/inputs!$E$74</f>
        <v>19.983836115587753</v>
      </c>
      <c r="R642" s="60">
        <f>(60*379*((F642/1000)^0.8)*3*24*(MAX('Max rate concentrations'!$R$3:$R$368))/F642)*(inputs!$E$73/inputs!$E$75)</f>
        <v>2.6735755385671349E-2</v>
      </c>
      <c r="S642" s="60">
        <f>(IF(inputs!$C$17="aerial",((0.025*0.112*inputs!$C$18/3.3)*(3*60*379*((F642/1000)^0.8))*MAX(inputs!$I$14:$I$16))/F642,((0.0083*0.112*inputs!$C$18/1)*(3*60*379*((F642/1000)^0.8))*MAX(inputs!$I$14:$I$16))/F642))*(inputs!E$75/inputs!$E$73)</f>
        <v>0.14744933355158416</v>
      </c>
      <c r="T642" s="63">
        <f>IF((((inputs!$P$13/(V642/MAX(K642:S642)))^(1/inputs!$O$13))-1)/inputs!$N$13&lt;0, 0, IF((((inputs!$P$13/(V642/MAX(K642:S642)))^(1/inputs!$O$13))-1)/inputs!$N$13&lt;inputs!$I$17, (((inputs!$P$13/(V642/MAX(K642:S642)))^(1/inputs!$O$13))-1)/inputs!$N$13, inputs!$I$17))</f>
        <v>132.53759877620911</v>
      </c>
      <c r="U642" s="63">
        <f>IF((((inputs!$P$13/(X642/MAX(K642:S642)))^(1/inputs!$O$13))-1)/inputs!$N$13&lt;0, 0, IF((((inputs!$P$13/(X642/MAX(K642:S642)))^(1/inputs!$O$13))-1)/inputs!$N$13&lt;inputs!$I$17, (((inputs!$P$13/(X642/MAX(K642:S642)))^(1/inputs!$O$13))-1)/inputs!$N$13, inputs!$I$17))</f>
        <v>1.4534229774466291E-2</v>
      </c>
      <c r="V642" s="54">
        <f>inputs!$E$70*(F642/inputs!$F$70)^(0.25)</f>
        <v>2.094665933568276</v>
      </c>
      <c r="W642" s="54">
        <f>inputs!$E$76*(F642/inputs!$F$76)^(0.25)</f>
        <v>0.1506074116517096</v>
      </c>
      <c r="X642" s="54">
        <f>inputs!$E$72*(inputs!$F$72/F642)^(0.25)</f>
        <v>119.30303347908743</v>
      </c>
      <c r="Y642" s="54" t="s">
        <v>13</v>
      </c>
      <c r="Z642" s="106">
        <f t="shared" si="51"/>
        <v>54.161797746173754</v>
      </c>
      <c r="AA642" s="106">
        <f t="shared" si="52"/>
        <v>753.28877507096684</v>
      </c>
    </row>
    <row r="643" spans="1:27" ht="26.4" x14ac:dyDescent="0.25">
      <c r="A643" s="55" t="s">
        <v>611</v>
      </c>
      <c r="B643" s="49" t="s">
        <v>612</v>
      </c>
      <c r="C643" s="21" t="s">
        <v>61</v>
      </c>
      <c r="D643" s="20" t="s">
        <v>443</v>
      </c>
      <c r="E643" s="20">
        <v>5210</v>
      </c>
      <c r="F643" s="21">
        <v>12</v>
      </c>
      <c r="G643" s="21" t="s">
        <v>580</v>
      </c>
      <c r="H643" s="21">
        <v>0.85</v>
      </c>
      <c r="I643" s="68">
        <f>MAX('Max rate concentrations'!$F$3:$F$368)</f>
        <v>405</v>
      </c>
      <c r="J643" s="68">
        <f>MAX('Max rate concentrations'!Y:Y)</f>
        <v>135</v>
      </c>
      <c r="K643" s="70">
        <f t="shared" si="53"/>
        <v>567.45619425504685</v>
      </c>
      <c r="L643" s="70">
        <f t="shared" si="54"/>
        <v>189.15206475168227</v>
      </c>
      <c r="M643" s="70">
        <f>IF((((0.326*F643^0.818)-(0.398*F643^0.85)/(1-H643)*H643)*(MAX('Max rate concentrations'!$P$3:$P$368)))/F643&gt;0, (((0.326*F643^0.818)-(0.398*F643^0.85)/(1-H643)*H643)*(MAX('Max rate concentrations'!$P$3:$P$368)))/F643, 0)</f>
        <v>0</v>
      </c>
      <c r="N643" s="70">
        <f>IF((((0.326*F643^0.818)-(0.398*F643^0.85)/(1-H643)*H643)*(MAX('Max rate concentrations'!$Q$3:$Q$368)))/F643&gt; 0, (((0.326*F643^0.818)-(0.398*F643^0.85)/(1-H643)*H643)*(MAX('Max rate concentrations'!$Q$3:$Q$368)))/F643, 0)</f>
        <v>0</v>
      </c>
      <c r="O643" s="70">
        <f>((MAX('Max rate concentrations'!$F$3:$F$368))*0.62*6.01*8*(12.3*F643^0.65)*0.079*0.1/F643)*inputs!$E$73/inputs!$E$74</f>
        <v>113.45087263972519</v>
      </c>
      <c r="P643" s="70">
        <f>((MAX('Max rate concentrations'!Y:Y))*0.62*6.01*8*(12.3*F643^0.65)*0.079*0.1/F643)*inputs!$E$73/inputs!$E$74</f>
        <v>37.816957546575082</v>
      </c>
      <c r="Q643" s="70">
        <f>(inputs!$C$18*11.2*(12.3*F643^0.65)*0.5/F643)*inputs!$E$73/inputs!$E$74</f>
        <v>19.983836115587753</v>
      </c>
      <c r="R643" s="60">
        <f>(60*379*((F643/1000)^0.8)*3*24*(MAX('Max rate concentrations'!$R$3:$R$368))/F643)*(inputs!$E$73/inputs!$E$75)</f>
        <v>2.6735755385671349E-2</v>
      </c>
      <c r="S643" s="60">
        <f>(IF(inputs!$C$17="aerial",((0.025*0.112*inputs!$C$18/3.3)*(3*60*379*((F643/1000)^0.8))*MAX(inputs!$I$14:$I$16))/F643,((0.0083*0.112*inputs!$C$18/1)*(3*60*379*((F643/1000)^0.8))*MAX(inputs!$I$14:$I$16))/F643))*(inputs!E$75/inputs!$E$73)</f>
        <v>0.14744933355158416</v>
      </c>
      <c r="T643" s="63">
        <f>IF((((inputs!$P$13/(V643/MAX(K643:S643)))^(1/inputs!$O$13))-1)/inputs!$N$13&lt;0, 0, IF((((inputs!$P$13/(V643/MAX(K643:S643)))^(1/inputs!$O$13))-1)/inputs!$N$13&lt;inputs!$I$17, (((inputs!$P$13/(V643/MAX(K643:S643)))^(1/inputs!$O$13))-1)/inputs!$N$13, inputs!$I$17))</f>
        <v>501.17894150676307</v>
      </c>
      <c r="U643" s="63">
        <f>IF((((inputs!$P$13/(X643/MAX(K643:S643)))^(1/inputs!$O$13))-1)/inputs!$N$13&lt;0, 0, IF((((inputs!$P$13/(X643/MAX(K643:S643)))^(1/inputs!$O$13))-1)/inputs!$N$13&lt;inputs!$I$17, (((inputs!$P$13/(X643/MAX(K643:S643)))^(1/inputs!$O$13))-1)/inputs!$N$13, inputs!$I$17))</f>
        <v>14.041251372196015</v>
      </c>
      <c r="V643" s="54">
        <f>inputs!$E$70*(F643/inputs!$F$70)^(0.25)</f>
        <v>2.094665933568276</v>
      </c>
      <c r="W643" s="54">
        <f>inputs!$E$76*(F643/inputs!$F$76)^(0.25)</f>
        <v>0.1506074116517096</v>
      </c>
      <c r="X643" s="54">
        <f>inputs!$E$72*(inputs!$F$72/F643)^(0.25)</f>
        <v>119.30303347908743</v>
      </c>
      <c r="Y643" s="54" t="s">
        <v>13</v>
      </c>
      <c r="Z643" s="106">
        <f t="shared" si="51"/>
        <v>270.90534350190239</v>
      </c>
      <c r="AA643" s="106">
        <f t="shared" si="52"/>
        <v>3767.7839890597807</v>
      </c>
    </row>
    <row r="644" spans="1:27" ht="13.2" x14ac:dyDescent="0.25">
      <c r="A644" s="55" t="s">
        <v>611</v>
      </c>
      <c r="B644" s="49" t="s">
        <v>612</v>
      </c>
      <c r="C644" s="21" t="s">
        <v>61</v>
      </c>
      <c r="D644" s="20" t="s">
        <v>443</v>
      </c>
      <c r="E644" s="20">
        <v>5210</v>
      </c>
      <c r="F644" s="21">
        <v>12</v>
      </c>
      <c r="G644" s="21" t="s">
        <v>154</v>
      </c>
      <c r="H644" s="21">
        <v>9.2999999999999999E-2</v>
      </c>
      <c r="I644" s="68">
        <f>MAX('Max rate concentrations'!$G$3:$G$368)</f>
        <v>45</v>
      </c>
      <c r="J644" s="68">
        <f>MAX('Max rate concentrations'!Z:Z)</f>
        <v>21</v>
      </c>
      <c r="K644" s="70">
        <f t="shared" si="53"/>
        <v>10.42734645819638</v>
      </c>
      <c r="L644" s="70">
        <f t="shared" si="54"/>
        <v>4.8660950138249772</v>
      </c>
      <c r="M644" s="70">
        <f>IF((((0.326*F644^0.818)-(0.398*F644^0.85)/(1-H644)*H644)*(MAX('Max rate concentrations'!$P$3:$P$368)))/F644&gt;0, (((0.326*F644^0.818)-(0.398*F644^0.85)/(1-H644)*H644)*(MAX('Max rate concentrations'!$P$3:$P$368)))/F644, 0)</f>
        <v>0.15613948637630762</v>
      </c>
      <c r="N644" s="70">
        <f>IF((((0.326*F644^0.818)-(0.398*F644^0.85)/(1-H644)*H644)*(MAX('Max rate concentrations'!$Q$3:$Q$368)))/F644&gt; 0, (((0.326*F644^0.818)-(0.398*F644^0.85)/(1-H644)*H644)*(MAX('Max rate concentrations'!$Q$3:$Q$368)))/F644, 0)</f>
        <v>0.59458755375869743</v>
      </c>
      <c r="O644" s="70">
        <f>((MAX('Max rate concentrations'!$F$3:$F$368))*0.62*6.01*8*(12.3*F644^0.65)*0.079*0.1/F644)*inputs!$E$73/inputs!$E$74</f>
        <v>113.45087263972519</v>
      </c>
      <c r="P644" s="70">
        <f>((MAX('Max rate concentrations'!Y:Y))*0.62*6.01*8*(12.3*F644^0.65)*0.079*0.1/F644)*inputs!$E$73/inputs!$E$74</f>
        <v>37.816957546575082</v>
      </c>
      <c r="Q644" s="70">
        <f>(inputs!$C$18*11.2*(12.3*F644^0.65)*0.5/F644)*inputs!$E$73/inputs!$E$74</f>
        <v>19.983836115587753</v>
      </c>
      <c r="R644" s="60">
        <f>(60*379*((F644/1000)^0.8)*3*24*(MAX('Max rate concentrations'!$R$3:$R$368))/F644)*(inputs!$E$73/inputs!$E$75)</f>
        <v>2.6735755385671349E-2</v>
      </c>
      <c r="S644" s="60">
        <f>(IF(inputs!$C$17="aerial",((0.025*0.112*inputs!$C$18/3.3)*(3*60*379*((F644/1000)^0.8))*MAX(inputs!$I$14:$I$16))/F644,((0.0083*0.112*inputs!$C$18/1)*(3*60*379*((F644/1000)^0.8))*MAX(inputs!$I$14:$I$16))/F644))*(inputs!E$75/inputs!$E$73)</f>
        <v>0.14744933355158416</v>
      </c>
      <c r="T644" s="63">
        <f>IF((((inputs!$P$13/(V644/MAX(K644:S644)))^(1/inputs!$O$13))-1)/inputs!$N$13&lt;0, 0, IF((((inputs!$P$13/(V644/MAX(K644:S644)))^(1/inputs!$O$13))-1)/inputs!$N$13&lt;inputs!$I$17, (((inputs!$P$13/(V644/MAX(K644:S644)))^(1/inputs!$O$13))-1)/inputs!$N$13, inputs!$I$17))</f>
        <v>132.53759877620911</v>
      </c>
      <c r="U644" s="63">
        <f>IF((((inputs!$P$13/(X644/MAX(K644:S644)))^(1/inputs!$O$13))-1)/inputs!$N$13&lt;0, 0, IF((((inputs!$P$13/(X644/MAX(K644:S644)))^(1/inputs!$O$13))-1)/inputs!$N$13&lt;inputs!$I$17, (((inputs!$P$13/(X644/MAX(K644:S644)))^(1/inputs!$O$13))-1)/inputs!$N$13, inputs!$I$17))</f>
        <v>1.4534229774466291E-2</v>
      </c>
      <c r="V644" s="54">
        <f>inputs!$E$70*(F644/inputs!$F$70)^(0.25)</f>
        <v>2.094665933568276</v>
      </c>
      <c r="W644" s="54">
        <f>inputs!$E$76*(F644/inputs!$F$76)^(0.25)</f>
        <v>0.1506074116517096</v>
      </c>
      <c r="X644" s="54">
        <f>inputs!$E$72*(inputs!$F$72/F644)^(0.25)</f>
        <v>119.30303347908743</v>
      </c>
      <c r="Y644" s="54" t="s">
        <v>13</v>
      </c>
      <c r="Z644" s="106">
        <f t="shared" ref="Z644:Z707" si="55">MAX(K644:S644)/V644</f>
        <v>54.161797746173754</v>
      </c>
      <c r="AA644" s="106">
        <f t="shared" ref="AA644:AA707" si="56">MAX(K644:S644)/W644</f>
        <v>753.28877507096684</v>
      </c>
    </row>
    <row r="645" spans="1:27" ht="13.2" x14ac:dyDescent="0.25">
      <c r="A645" s="55" t="s">
        <v>568</v>
      </c>
      <c r="B645" s="49" t="s">
        <v>569</v>
      </c>
      <c r="C645" s="21" t="s">
        <v>61</v>
      </c>
      <c r="D645" s="20" t="s">
        <v>443</v>
      </c>
      <c r="E645" s="20">
        <v>59</v>
      </c>
      <c r="F645" s="21">
        <v>120</v>
      </c>
      <c r="G645" s="21" t="s">
        <v>169</v>
      </c>
      <c r="H645" s="21">
        <v>0.79</v>
      </c>
      <c r="I645" s="68">
        <f>MAX('Max rate concentrations'!$D$3:$D$368)</f>
        <v>720</v>
      </c>
      <c r="J645" s="68">
        <f>MAX('Max rate concentrations'!W:W)</f>
        <v>255</v>
      </c>
      <c r="K645" s="70">
        <f t="shared" si="53"/>
        <v>264.04732894185292</v>
      </c>
      <c r="L645" s="70">
        <f t="shared" si="54"/>
        <v>93.516762333572899</v>
      </c>
      <c r="M645" s="70">
        <f>IF((((0.326*F645^0.818)-(0.398*F645^0.85)/(1-H645)*H645)*(MAX('Max rate concentrations'!$P$3:$P$368)))/F645&gt;0, (((0.326*F645^0.818)-(0.398*F645^0.85)/(1-H645)*H645)*(MAX('Max rate concentrations'!$P$3:$P$368)))/F645, 0)</f>
        <v>0</v>
      </c>
      <c r="N645" s="70">
        <f>IF((((0.326*F645^0.818)-(0.398*F645^0.85)/(1-H645)*H645)*(MAX('Max rate concentrations'!$Q$3:$Q$368)))/F645&gt; 0, (((0.326*F645^0.818)-(0.398*F645^0.85)/(1-H645)*H645)*(MAX('Max rate concentrations'!$Q$3:$Q$368)))/F645, 0)</f>
        <v>0</v>
      </c>
      <c r="O645" s="70">
        <f>((MAX('Max rate concentrations'!$F$3:$F$368))*0.62*6.01*8*(12.3*F645^0.65)*0.079*0.1/F645)*inputs!$E$73/inputs!$E$74</f>
        <v>50.67664332337386</v>
      </c>
      <c r="P645" s="70">
        <f>((MAX('Max rate concentrations'!Y:Y))*0.62*6.01*8*(12.3*F645^0.65)*0.079*0.1/F645)*inputs!$E$73/inputs!$E$74</f>
        <v>16.892214441124622</v>
      </c>
      <c r="Q645" s="70">
        <f>(inputs!$C$18*11.2*(12.3*F645^0.65)*0.5/F645)*inputs!$E$73/inputs!$E$74</f>
        <v>8.9264517010668847</v>
      </c>
      <c r="R645" s="60">
        <f>(60*379*((F645/1000)^0.8)*3*24*(MAX('Max rate concentrations'!$R$3:$R$368))/F645)*(inputs!$E$73/inputs!$E$75)</f>
        <v>1.6869121220815221E-2</v>
      </c>
      <c r="S645" s="60">
        <f>(IF(inputs!$C$17="aerial",((0.025*0.112*inputs!$C$18/3.3)*(3*60*379*((F645/1000)^0.8))*MAX(inputs!$I$14:$I$16))/F645,((0.0083*0.112*inputs!$C$18/1)*(3*60*379*((F645/1000)^0.8))*MAX(inputs!$I$14:$I$16))/F645))*(inputs!E$75/inputs!$E$73)</f>
        <v>9.3034239943081826E-2</v>
      </c>
      <c r="T645" s="63">
        <f>IF((((inputs!$P$13/(V645/MAX(K645:S645)))^(1/inputs!$O$13))-1)/inputs!$N$13&lt;0, 0, IF((((inputs!$P$13/(V645/MAX(K645:S645)))^(1/inputs!$O$13))-1)/inputs!$N$13&lt;inputs!$I$17, (((inputs!$P$13/(V645/MAX(K645:S645)))^(1/inputs!$O$13))-1)/inputs!$N$13, inputs!$I$17))</f>
        <v>166.03073484418556</v>
      </c>
      <c r="U645" s="63">
        <f>IF((((inputs!$P$13/(X645/MAX(K645:S645)))^(1/inputs!$O$13))-1)/inputs!$N$13&lt;0, 0, IF((((inputs!$P$13/(X645/MAX(K645:S645)))^(1/inputs!$O$13))-1)/inputs!$N$13&lt;inputs!$I$17, (((inputs!$P$13/(X645/MAX(K645:S645)))^(1/inputs!$O$13))-1)/inputs!$N$13, inputs!$I$17))</f>
        <v>11.305075062420489</v>
      </c>
      <c r="V645" s="54">
        <f>inputs!$E$70*(F645/inputs!$F$70)^(0.25)</f>
        <v>3.7249013005744236</v>
      </c>
      <c r="W645" s="54">
        <f>inputs!$E$76*(F645/inputs!$F$76)^(0.25)</f>
        <v>0.26782205913949131</v>
      </c>
      <c r="X645" s="54">
        <f>inputs!$E$72*(inputs!$F$72/F645)^(0.25)</f>
        <v>67.089025945858609</v>
      </c>
      <c r="Y645" s="54" t="s">
        <v>13</v>
      </c>
      <c r="Z645" s="106">
        <f t="shared" si="55"/>
        <v>70.887067236153001</v>
      </c>
      <c r="AA645" s="106">
        <f t="shared" si="56"/>
        <v>985.90582788525137</v>
      </c>
    </row>
    <row r="646" spans="1:27" ht="13.2" x14ac:dyDescent="0.25">
      <c r="A646" s="55" t="s">
        <v>568</v>
      </c>
      <c r="B646" s="49" t="s">
        <v>569</v>
      </c>
      <c r="C646" s="21" t="s">
        <v>61</v>
      </c>
      <c r="D646" s="20" t="s">
        <v>443</v>
      </c>
      <c r="E646" s="20">
        <v>59</v>
      </c>
      <c r="F646" s="21">
        <v>120</v>
      </c>
      <c r="G646" s="21" t="s">
        <v>158</v>
      </c>
      <c r="H646" s="21">
        <v>0.85</v>
      </c>
      <c r="I646" s="68">
        <f>MAX('Max rate concentrations'!$F$3:$F$368)</f>
        <v>405</v>
      </c>
      <c r="J646" s="68">
        <f>MAX('Max rate concentrations'!Y:Y)</f>
        <v>135</v>
      </c>
      <c r="K646" s="70">
        <f t="shared" si="53"/>
        <v>207.93727154170909</v>
      </c>
      <c r="L646" s="70">
        <f t="shared" si="54"/>
        <v>69.312423847236374</v>
      </c>
      <c r="M646" s="70">
        <f>IF((((0.326*F646^0.818)-(0.398*F646^0.85)/(1-H646)*H646)*(MAX('Max rate concentrations'!$P$3:$P$368)))/F646&gt;0, (((0.326*F646^0.818)-(0.398*F646^0.85)/(1-H646)*H646)*(MAX('Max rate concentrations'!$P$3:$P$368)))/F646, 0)</f>
        <v>0</v>
      </c>
      <c r="N646" s="70">
        <f>IF((((0.326*F646^0.818)-(0.398*F646^0.85)/(1-H646)*H646)*(MAX('Max rate concentrations'!$Q$3:$Q$368)))/F646&gt; 0, (((0.326*F646^0.818)-(0.398*F646^0.85)/(1-H646)*H646)*(MAX('Max rate concentrations'!$Q$3:$Q$368)))/F646, 0)</f>
        <v>0</v>
      </c>
      <c r="O646" s="70">
        <f>((MAX('Max rate concentrations'!$F$3:$F$368))*0.62*6.01*8*(12.3*F646^0.65)*0.079*0.1/F646)*inputs!$E$73/inputs!$E$74</f>
        <v>50.67664332337386</v>
      </c>
      <c r="P646" s="70">
        <f>((MAX('Max rate concentrations'!Y:Y))*0.62*6.01*8*(12.3*F646^0.65)*0.079*0.1/F646)*inputs!$E$73/inputs!$E$74</f>
        <v>16.892214441124622</v>
      </c>
      <c r="Q646" s="70">
        <f>(inputs!$C$18*11.2*(12.3*F646^0.65)*0.5/F646)*inputs!$E$73/inputs!$E$74</f>
        <v>8.9264517010668847</v>
      </c>
      <c r="R646" s="60">
        <f>(60*379*((F646/1000)^0.8)*3*24*(MAX('Max rate concentrations'!$R$3:$R$368))/F646)*(inputs!$E$73/inputs!$E$75)</f>
        <v>1.6869121220815221E-2</v>
      </c>
      <c r="S646" s="60">
        <f>(IF(inputs!$C$17="aerial",((0.025*0.112*inputs!$C$18/3.3)*(3*60*379*((F646/1000)^0.8))*MAX(inputs!$I$14:$I$16))/F646,((0.0083*0.112*inputs!$C$18/1)*(3*60*379*((F646/1000)^0.8))*MAX(inputs!$I$14:$I$16))/F646))*(inputs!E$75/inputs!$E$73)</f>
        <v>9.3034239943081826E-2</v>
      </c>
      <c r="T646" s="63">
        <f>IF((((inputs!$P$13/(V646/MAX(K646:S646)))^(1/inputs!$O$13))-1)/inputs!$N$13&lt;0, 0, IF((((inputs!$P$13/(V646/MAX(K646:S646)))^(1/inputs!$O$13))-1)/inputs!$N$13&lt;inputs!$I$17, (((inputs!$P$13/(V646/MAX(K646:S646)))^(1/inputs!$O$13))-1)/inputs!$N$13, inputs!$I$17))</f>
        <v>135.94580280453988</v>
      </c>
      <c r="U646" s="63">
        <f>IF((((inputs!$P$13/(X646/MAX(K646:S646)))^(1/inputs!$O$13))-1)/inputs!$N$13&lt;0, 0, IF((((inputs!$P$13/(X646/MAX(K646:S646)))^(1/inputs!$O$13))-1)/inputs!$N$13&lt;inputs!$I$17, (((inputs!$P$13/(X646/MAX(K646:S646)))^(1/inputs!$O$13))-1)/inputs!$N$13, inputs!$I$17))</f>
        <v>8.400815016750375</v>
      </c>
      <c r="V646" s="54">
        <f>inputs!$E$70*(F646/inputs!$F$70)^(0.25)</f>
        <v>3.7249013005744236</v>
      </c>
      <c r="W646" s="54">
        <f>inputs!$E$76*(F646/inputs!$F$76)^(0.25)</f>
        <v>0.26782205913949131</v>
      </c>
      <c r="X646" s="54">
        <f>inputs!$E$72*(inputs!$F$72/F646)^(0.25)</f>
        <v>67.089025945858609</v>
      </c>
      <c r="Y646" s="54" t="s">
        <v>13</v>
      </c>
      <c r="Z646" s="106">
        <f t="shared" si="55"/>
        <v>55.823565448470468</v>
      </c>
      <c r="AA646" s="106">
        <f t="shared" si="56"/>
        <v>776.40083945963511</v>
      </c>
    </row>
    <row r="647" spans="1:27" ht="13.2" x14ac:dyDescent="0.25">
      <c r="A647" s="55" t="s">
        <v>568</v>
      </c>
      <c r="B647" s="49" t="s">
        <v>569</v>
      </c>
      <c r="C647" s="21" t="s">
        <v>61</v>
      </c>
      <c r="D647" s="20" t="s">
        <v>443</v>
      </c>
      <c r="E647" s="20">
        <v>59</v>
      </c>
      <c r="F647" s="21">
        <v>120</v>
      </c>
      <c r="G647" s="21" t="s">
        <v>154</v>
      </c>
      <c r="H647" s="21">
        <v>9.2999999999999999E-2</v>
      </c>
      <c r="I647" s="68">
        <f>MAX('Max rate concentrations'!$G$3:$G$368)</f>
        <v>45</v>
      </c>
      <c r="J647" s="68">
        <f>MAX('Max rate concentrations'!Z:Z)</f>
        <v>21</v>
      </c>
      <c r="K647" s="70">
        <f t="shared" si="53"/>
        <v>3.8209715461541554</v>
      </c>
      <c r="L647" s="70">
        <f t="shared" si="54"/>
        <v>1.7831200548719393</v>
      </c>
      <c r="M647" s="70">
        <f>IF((((0.326*F647^0.818)-(0.398*F647^0.85)/(1-H647)*H647)*(MAX('Max rate concentrations'!$P$3:$P$368)))/F647&gt;0, (((0.326*F647^0.818)-(0.398*F647^0.85)/(1-H647)*H647)*(MAX('Max rate concentrations'!$P$3:$P$368)))/F647, 0)</f>
        <v>0.10145521577371337</v>
      </c>
      <c r="N647" s="70">
        <f>IF((((0.326*F647^0.818)-(0.398*F647^0.85)/(1-H647)*H647)*(MAX('Max rate concentrations'!$Q$3:$Q$368)))/F647&gt; 0, (((0.326*F647^0.818)-(0.398*F647^0.85)/(1-H647)*H647)*(MAX('Max rate concentrations'!$Q$3:$Q$368)))/F647, 0)</f>
        <v>0.38634691302600904</v>
      </c>
      <c r="O647" s="70">
        <f>((MAX('Max rate concentrations'!$F$3:$F$368))*0.62*6.01*8*(12.3*F647^0.65)*0.079*0.1/F647)*inputs!$E$73/inputs!$E$74</f>
        <v>50.67664332337386</v>
      </c>
      <c r="P647" s="70">
        <f>((MAX('Max rate concentrations'!Y:Y))*0.62*6.01*8*(12.3*F647^0.65)*0.079*0.1/F647)*inputs!$E$73/inputs!$E$74</f>
        <v>16.892214441124622</v>
      </c>
      <c r="Q647" s="70">
        <f>(inputs!$C$18*11.2*(12.3*F647^0.65)*0.5/F647)*inputs!$E$73/inputs!$E$74</f>
        <v>8.9264517010668847</v>
      </c>
      <c r="R647" s="60">
        <f>(60*379*((F647/1000)^0.8)*3*24*(MAX('Max rate concentrations'!$R$3:$R$368))/F647)*(inputs!$E$73/inputs!$E$75)</f>
        <v>1.6869121220815221E-2</v>
      </c>
      <c r="S647" s="60">
        <f>(IF(inputs!$C$17="aerial",((0.025*0.112*inputs!$C$18/3.3)*(3*60*379*((F647/1000)^0.8))*MAX(inputs!$I$14:$I$16))/F647,((0.0083*0.112*inputs!$C$18/1)*(3*60*379*((F647/1000)^0.8))*MAX(inputs!$I$14:$I$16))/F647))*(inputs!E$75/inputs!$E$73)</f>
        <v>9.3034239943081826E-2</v>
      </c>
      <c r="T647" s="63">
        <f>IF((((inputs!$P$13/(V647/MAX(K647:S647)))^(1/inputs!$O$13))-1)/inputs!$N$13&lt;0, 0, IF((((inputs!$P$13/(V647/MAX(K647:S647)))^(1/inputs!$O$13))-1)/inputs!$N$13&lt;inputs!$I$17, (((inputs!$P$13/(V647/MAX(K647:S647)))^(1/inputs!$O$13))-1)/inputs!$N$13, inputs!$I$17))</f>
        <v>39.847792386236293</v>
      </c>
      <c r="U647" s="63">
        <f>IF((((inputs!$P$13/(X647/MAX(K647:S647)))^(1/inputs!$O$13))-1)/inputs!$N$13&lt;0, 0, IF((((inputs!$P$13/(X647/MAX(K647:S647)))^(1/inputs!$O$13))-1)/inputs!$N$13&lt;inputs!$I$17, (((inputs!$P$13/(X647/MAX(K647:S647)))^(1/inputs!$O$13))-1)/inputs!$N$13, inputs!$I$17))</f>
        <v>0</v>
      </c>
      <c r="V647" s="54">
        <f>inputs!$E$70*(F647/inputs!$F$70)^(0.25)</f>
        <v>3.7249013005744236</v>
      </c>
      <c r="W647" s="54">
        <f>inputs!$E$76*(F647/inputs!$F$76)^(0.25)</f>
        <v>0.26782205913949131</v>
      </c>
      <c r="X647" s="54">
        <f>inputs!$E$72*(inputs!$F$72/F647)^(0.25)</f>
        <v>67.089025945858609</v>
      </c>
      <c r="Y647" s="54" t="s">
        <v>13</v>
      </c>
      <c r="Z647" s="106">
        <f t="shared" si="55"/>
        <v>13.604828486477997</v>
      </c>
      <c r="AA647" s="106">
        <f t="shared" si="56"/>
        <v>189.21758531092337</v>
      </c>
    </row>
    <row r="648" spans="1:27" ht="13.2" x14ac:dyDescent="0.25">
      <c r="A648" s="55" t="s">
        <v>584</v>
      </c>
      <c r="B648" s="49" t="s">
        <v>585</v>
      </c>
      <c r="C648" s="21" t="s">
        <v>61</v>
      </c>
      <c r="D648" s="20" t="s">
        <v>443</v>
      </c>
      <c r="E648" s="20">
        <v>8683</v>
      </c>
      <c r="F648" s="21">
        <v>75</v>
      </c>
      <c r="G648" s="21" t="s">
        <v>177</v>
      </c>
      <c r="H648" s="21">
        <v>0.85</v>
      </c>
      <c r="I648" s="68">
        <f>MAX('Max rate concentrations'!$F$3:$F$368)</f>
        <v>405</v>
      </c>
      <c r="J648" s="68">
        <f>MAX('Max rate concentrations'!Y:Y)</f>
        <v>135</v>
      </c>
      <c r="K648" s="70">
        <f t="shared" si="53"/>
        <v>255.22819757756429</v>
      </c>
      <c r="L648" s="70">
        <f t="shared" si="54"/>
        <v>85.076065859188091</v>
      </c>
      <c r="M648" s="70">
        <f>IF((((0.326*F648^0.818)-(0.398*F648^0.85)/(1-H648)*H648)*(MAX('Max rate concentrations'!$P$3:$P$368)))/F648&gt;0, (((0.326*F648^0.818)-(0.398*F648^0.85)/(1-H648)*H648)*(MAX('Max rate concentrations'!$P$3:$P$368)))/F648, 0)</f>
        <v>0</v>
      </c>
      <c r="N648" s="70">
        <f>IF((((0.326*F648^0.818)-(0.398*F648^0.85)/(1-H648)*H648)*(MAX('Max rate concentrations'!$Q$3:$Q$368)))/F648&gt; 0, (((0.326*F648^0.818)-(0.398*F648^0.85)/(1-H648)*H648)*(MAX('Max rate concentrations'!$Q$3:$Q$368)))/F648, 0)</f>
        <v>0</v>
      </c>
      <c r="O648" s="70">
        <f>((MAX('Max rate concentrations'!$F$3:$F$368))*0.62*6.01*8*(12.3*F648^0.65)*0.079*0.1/F648)*inputs!$E$73/inputs!$E$74</f>
        <v>59.737883923649726</v>
      </c>
      <c r="P648" s="70">
        <f>((MAX('Max rate concentrations'!Y:Y))*0.62*6.01*8*(12.3*F648^0.65)*0.079*0.1/F648)*inputs!$E$73/inputs!$E$74</f>
        <v>19.91262797454991</v>
      </c>
      <c r="Q648" s="70">
        <f>(inputs!$C$18*11.2*(12.3*F648^0.65)*0.5/F648)*inputs!$E$73/inputs!$E$74</f>
        <v>10.522546494756618</v>
      </c>
      <c r="R648" s="60">
        <f>(60*379*((F648/1000)^0.8)*3*24*(MAX('Max rate concentrations'!$R$3:$R$368))/F648)*(inputs!$E$73/inputs!$E$75)</f>
        <v>1.8531750973435526E-2</v>
      </c>
      <c r="S648" s="60">
        <f>(IF(inputs!$C$17="aerial",((0.025*0.112*inputs!$C$18/3.3)*(3*60*379*((F648/1000)^0.8))*MAX(inputs!$I$14:$I$16))/F648,((0.0083*0.112*inputs!$C$18/1)*(3*60*379*((F648/1000)^0.8))*MAX(inputs!$I$14:$I$16))/F648))*(inputs!E$75/inputs!$E$73)</f>
        <v>0.10220374517794364</v>
      </c>
      <c r="T648" s="63">
        <f>IF((((inputs!$P$13/(V648/MAX(K648:S648)))^(1/inputs!$O$13))-1)/inputs!$N$13&lt;0, 0, IF((((inputs!$P$13/(V648/MAX(K648:S648)))^(1/inputs!$O$13))-1)/inputs!$N$13&lt;inputs!$I$17, (((inputs!$P$13/(V648/MAX(K648:S648)))^(1/inputs!$O$13))-1)/inputs!$N$13, inputs!$I$17))</f>
        <v>177.99863626080457</v>
      </c>
      <c r="U648" s="63">
        <f>IF((((inputs!$P$13/(X648/MAX(K648:S648)))^(1/inputs!$O$13))-1)/inputs!$N$13&lt;0, 0, IF((((inputs!$P$13/(X648/MAX(K648:S648)))^(1/inputs!$O$13))-1)/inputs!$N$13&lt;inputs!$I$17, (((inputs!$P$13/(X648/MAX(K648:S648)))^(1/inputs!$O$13))-1)/inputs!$N$13, inputs!$I$17))</f>
        <v>9.3991243780044389</v>
      </c>
      <c r="V648" s="54">
        <f>inputs!$E$70*(F648/inputs!$F$70)^(0.25)</f>
        <v>3.3119576436193516</v>
      </c>
      <c r="W648" s="54">
        <f>inputs!$E$76*(F648/inputs!$F$76)^(0.25)</f>
        <v>0.23813122666099204</v>
      </c>
      <c r="X648" s="54">
        <f>inputs!$E$72*(inputs!$F$72/F648)^(0.25)</f>
        <v>75.453863512247679</v>
      </c>
      <c r="Y648" s="54" t="s">
        <v>13</v>
      </c>
      <c r="Z648" s="106">
        <f t="shared" si="55"/>
        <v>77.062639393735566</v>
      </c>
      <c r="AA648" s="106">
        <f t="shared" si="56"/>
        <v>1071.7964256779806</v>
      </c>
    </row>
    <row r="649" spans="1:27" ht="13.2" x14ac:dyDescent="0.25">
      <c r="A649" s="55" t="s">
        <v>538</v>
      </c>
      <c r="B649" s="49" t="s">
        <v>539</v>
      </c>
      <c r="C649" s="21" t="s">
        <v>61</v>
      </c>
      <c r="D649" s="20" t="s">
        <v>443</v>
      </c>
      <c r="E649" s="20">
        <v>51</v>
      </c>
      <c r="F649" s="21">
        <v>5</v>
      </c>
      <c r="G649" s="21" t="s">
        <v>142</v>
      </c>
      <c r="H649" s="21">
        <v>0.69</v>
      </c>
      <c r="I649" s="68">
        <f>MAX('Max rate concentrations'!$H$3:$H$368)</f>
        <v>282</v>
      </c>
      <c r="J649" s="68">
        <f>MAX('Max rate concentrations'!AA:AA)</f>
        <v>195</v>
      </c>
      <c r="K649" s="70">
        <f t="shared" si="53"/>
        <v>280.04517391621147</v>
      </c>
      <c r="L649" s="70">
        <f t="shared" si="54"/>
        <v>193.64825855908242</v>
      </c>
      <c r="M649" s="70">
        <f>IF((((0.326*F649^0.818)-(0.398*F649^0.85)/(1-H649)*H649)*(MAX('Max rate concentrations'!$P$3:$P$368)))/F649&gt;0, (((0.326*F649^0.818)-(0.398*F649^0.85)/(1-H649)*H649)*(MAX('Max rate concentrations'!$P$3:$P$368)))/F649, 0)</f>
        <v>0</v>
      </c>
      <c r="N649" s="70">
        <f>IF((((0.326*F649^0.818)-(0.398*F649^0.85)/(1-H649)*H649)*(MAX('Max rate concentrations'!$Q$3:$Q$368)))/F649&gt; 0, (((0.326*F649^0.818)-(0.398*F649^0.85)/(1-H649)*H649)*(MAX('Max rate concentrations'!$Q$3:$Q$368)))/F649, 0)</f>
        <v>0</v>
      </c>
      <c r="O649" s="70">
        <f>((MAX('Max rate concentrations'!$F$3:$F$368))*0.62*6.01*8*(12.3*F649^0.65)*0.079*0.1/F649)*inputs!$E$73/inputs!$E$74</f>
        <v>154.12808247377183</v>
      </c>
      <c r="P649" s="70">
        <f>((MAX('Max rate concentrations'!Y:Y))*0.62*6.01*8*(12.3*F649^0.65)*0.079*0.1/F649)*inputs!$E$73/inputs!$E$74</f>
        <v>51.37602749125729</v>
      </c>
      <c r="Q649" s="70">
        <f>(inputs!$C$18*11.2*(12.3*F649^0.65)*0.5/F649)*inputs!$E$73/inputs!$E$74</f>
        <v>27.148934770618521</v>
      </c>
      <c r="R649" s="60">
        <f>(60*379*((F649/1000)^0.8)*3*24*(MAX('Max rate concentrations'!$R$3:$R$368))/F649)*(inputs!$E$73/inputs!$E$75)</f>
        <v>3.1851853342182934E-2</v>
      </c>
      <c r="S649" s="60">
        <f>(IF(inputs!$C$17="aerial",((0.025*0.112*inputs!$C$18/3.3)*(3*60*379*((F649/1000)^0.8))*MAX(inputs!$I$14:$I$16))/F649,((0.0083*0.112*inputs!$C$18/1)*(3*60*379*((F649/1000)^0.8))*MAX(inputs!$I$14:$I$16))/F649))*(inputs!E$75/inputs!$E$73)</f>
        <v>0.17566492810615378</v>
      </c>
      <c r="T649" s="63">
        <f>IF((((inputs!$P$13/(V649/MAX(K649:S649)))^(1/inputs!$O$13))-1)/inputs!$N$13&lt;0, 0, IF((((inputs!$P$13/(V649/MAX(K649:S649)))^(1/inputs!$O$13))-1)/inputs!$N$13&lt;inputs!$I$17, (((inputs!$P$13/(V649/MAX(K649:S649)))^(1/inputs!$O$13))-1)/inputs!$N$13, inputs!$I$17))</f>
        <v>336.23524260840452</v>
      </c>
      <c r="U649" s="63">
        <f>IF((((inputs!$P$13/(X649/MAX(K649:S649)))^(1/inputs!$O$13))-1)/inputs!$N$13&lt;0, 0, IF((((inputs!$P$13/(X649/MAX(K649:S649)))^(1/inputs!$O$13))-1)/inputs!$N$13&lt;inputs!$I$17, (((inputs!$P$13/(X649/MAX(K649:S649)))^(1/inputs!$O$13))-1)/inputs!$N$13, inputs!$I$17))</f>
        <v>3.8919331207081362</v>
      </c>
      <c r="V649" s="54">
        <f>inputs!$E$70*(F649/inputs!$F$70)^(0.25)</f>
        <v>1.6829141392239833</v>
      </c>
      <c r="W649" s="54">
        <f>inputs!$E$76*(F649/inputs!$F$76)^(0.25)</f>
        <v>0.12100227462467934</v>
      </c>
      <c r="X649" s="54">
        <f>inputs!$E$72*(inputs!$F$72/F649)^(0.25)</f>
        <v>148.49242404917496</v>
      </c>
      <c r="Y649" s="54" t="s">
        <v>13</v>
      </c>
      <c r="Z649" s="106">
        <f t="shared" si="55"/>
        <v>166.40490883589845</v>
      </c>
      <c r="AA649" s="106">
        <f t="shared" si="56"/>
        <v>2314.3794179476863</v>
      </c>
    </row>
    <row r="650" spans="1:27" ht="13.2" x14ac:dyDescent="0.25">
      <c r="A650" s="55" t="s">
        <v>538</v>
      </c>
      <c r="B650" s="49" t="s">
        <v>539</v>
      </c>
      <c r="C650" s="21" t="s">
        <v>61</v>
      </c>
      <c r="D650" s="20" t="s">
        <v>443</v>
      </c>
      <c r="E650" s="20">
        <v>51</v>
      </c>
      <c r="F650" s="21">
        <v>5</v>
      </c>
      <c r="G650" s="21" t="s">
        <v>169</v>
      </c>
      <c r="H650" s="21">
        <v>0.79</v>
      </c>
      <c r="I650" s="68">
        <f>MAX('Max rate concentrations'!$D$3:$D$368)</f>
        <v>720</v>
      </c>
      <c r="J650" s="68">
        <f>MAX('Max rate concentrations'!W:W)</f>
        <v>255</v>
      </c>
      <c r="K650" s="70">
        <f t="shared" si="53"/>
        <v>1055.489409289065</v>
      </c>
      <c r="L650" s="70">
        <f t="shared" si="54"/>
        <v>373.81916578987722</v>
      </c>
      <c r="M650" s="70">
        <f>IF((((0.326*F650^0.818)-(0.398*F650^0.85)/(1-H650)*H650)*(MAX('Max rate concentrations'!$P$3:$P$368)))/F650&gt;0, (((0.326*F650^0.818)-(0.398*F650^0.85)/(1-H650)*H650)*(MAX('Max rate concentrations'!$P$3:$P$368)))/F650, 0)</f>
        <v>0</v>
      </c>
      <c r="N650" s="70">
        <f>IF((((0.326*F650^0.818)-(0.398*F650^0.85)/(1-H650)*H650)*(MAX('Max rate concentrations'!$Q$3:$Q$368)))/F650&gt; 0, (((0.326*F650^0.818)-(0.398*F650^0.85)/(1-H650)*H650)*(MAX('Max rate concentrations'!$Q$3:$Q$368)))/F650, 0)</f>
        <v>0</v>
      </c>
      <c r="O650" s="70">
        <f>((MAX('Max rate concentrations'!$F$3:$F$368))*0.62*6.01*8*(12.3*F650^0.65)*0.079*0.1/F650)*inputs!$E$73/inputs!$E$74</f>
        <v>154.12808247377183</v>
      </c>
      <c r="P650" s="70">
        <f>((MAX('Max rate concentrations'!Y:Y))*0.62*6.01*8*(12.3*F650^0.65)*0.079*0.1/F650)*inputs!$E$73/inputs!$E$74</f>
        <v>51.37602749125729</v>
      </c>
      <c r="Q650" s="70">
        <f>(inputs!$C$18*11.2*(12.3*F650^0.65)*0.5/F650)*inputs!$E$73/inputs!$E$74</f>
        <v>27.148934770618521</v>
      </c>
      <c r="R650" s="60">
        <f>(60*379*((F650/1000)^0.8)*3*24*(MAX('Max rate concentrations'!$R$3:$R$368))/F650)*(inputs!$E$73/inputs!$E$75)</f>
        <v>3.1851853342182934E-2</v>
      </c>
      <c r="S650" s="60">
        <f>(IF(inputs!$C$17="aerial",((0.025*0.112*inputs!$C$18/3.3)*(3*60*379*((F650/1000)^0.8))*MAX(inputs!$I$14:$I$16))/F650,((0.0083*0.112*inputs!$C$18/1)*(3*60*379*((F650/1000)^0.8))*MAX(inputs!$I$14:$I$16))/F650))*(inputs!E$75/inputs!$E$73)</f>
        <v>0.17566492810615378</v>
      </c>
      <c r="T650" s="63">
        <f>IF((((inputs!$P$13/(V650/MAX(K650:S650)))^(1/inputs!$O$13))-1)/inputs!$N$13&lt;0, 0, IF((((inputs!$P$13/(V650/MAX(K650:S650)))^(1/inputs!$O$13))-1)/inputs!$N$13&lt;inputs!$I$17, (((inputs!$P$13/(V650/MAX(K650:S650)))^(1/inputs!$O$13))-1)/inputs!$N$13, inputs!$I$17))</f>
        <v>993.20595518755897</v>
      </c>
      <c r="U650" s="63">
        <f>IF((((inputs!$P$13/(X650/MAX(K650:S650)))^(1/inputs!$O$13))-1)/inputs!$N$13&lt;0, 0, IF((((inputs!$P$13/(X650/MAX(K650:S650)))^(1/inputs!$O$13))-1)/inputs!$N$13&lt;inputs!$I$17, (((inputs!$P$13/(X650/MAX(K650:S650)))^(1/inputs!$O$13))-1)/inputs!$N$13, inputs!$I$17))</f>
        <v>21.437423069185247</v>
      </c>
      <c r="V650" s="54">
        <f>inputs!$E$70*(F650/inputs!$F$70)^(0.25)</f>
        <v>1.6829141392239833</v>
      </c>
      <c r="W650" s="54">
        <f>inputs!$E$76*(F650/inputs!$F$76)^(0.25)</f>
        <v>0.12100227462467934</v>
      </c>
      <c r="X650" s="54">
        <f>inputs!$E$72*(inputs!$F$72/F650)^(0.25)</f>
        <v>148.49242404917496</v>
      </c>
      <c r="Y650" s="54" t="s">
        <v>13</v>
      </c>
      <c r="Z650" s="106">
        <f t="shared" si="55"/>
        <v>627.17959561250507</v>
      </c>
      <c r="AA650" s="106">
        <f t="shared" si="56"/>
        <v>8722.8889916569369</v>
      </c>
    </row>
    <row r="651" spans="1:27" ht="13.2" x14ac:dyDescent="0.25">
      <c r="A651" s="55" t="s">
        <v>538</v>
      </c>
      <c r="B651" s="49" t="s">
        <v>539</v>
      </c>
      <c r="C651" s="21" t="s">
        <v>61</v>
      </c>
      <c r="D651" s="20" t="s">
        <v>443</v>
      </c>
      <c r="E651" s="20">
        <v>51</v>
      </c>
      <c r="F651" s="21">
        <v>5</v>
      </c>
      <c r="G651" s="21" t="s">
        <v>177</v>
      </c>
      <c r="H651" s="21">
        <v>0.85</v>
      </c>
      <c r="I651" s="68">
        <f>MAX('Max rate concentrations'!$F$3:$F$368)</f>
        <v>405</v>
      </c>
      <c r="J651" s="68">
        <f>MAX('Max rate concentrations'!Y:Y)</f>
        <v>135</v>
      </c>
      <c r="K651" s="70">
        <f t="shared" si="53"/>
        <v>831.19790981513847</v>
      </c>
      <c r="L651" s="70">
        <f t="shared" si="54"/>
        <v>277.06596993837945</v>
      </c>
      <c r="M651" s="70">
        <f>IF((((0.326*F651^0.818)-(0.398*F651^0.85)/(1-H651)*H651)*(MAX('Max rate concentrations'!$P$3:$P$368)))/F651&gt;0, (((0.326*F651^0.818)-(0.398*F651^0.85)/(1-H651)*H651)*(MAX('Max rate concentrations'!$P$3:$P$368)))/F651, 0)</f>
        <v>0</v>
      </c>
      <c r="N651" s="70">
        <f>IF((((0.326*F651^0.818)-(0.398*F651^0.85)/(1-H651)*H651)*(MAX('Max rate concentrations'!$Q$3:$Q$368)))/F651&gt; 0, (((0.326*F651^0.818)-(0.398*F651^0.85)/(1-H651)*H651)*(MAX('Max rate concentrations'!$Q$3:$Q$368)))/F651, 0)</f>
        <v>0</v>
      </c>
      <c r="O651" s="70">
        <f>((MAX('Max rate concentrations'!$F$3:$F$368))*0.62*6.01*8*(12.3*F651^0.65)*0.079*0.1/F651)*inputs!$E$73/inputs!$E$74</f>
        <v>154.12808247377183</v>
      </c>
      <c r="P651" s="70">
        <f>((MAX('Max rate concentrations'!Y:Y))*0.62*6.01*8*(12.3*F651^0.65)*0.079*0.1/F651)*inputs!$E$73/inputs!$E$74</f>
        <v>51.37602749125729</v>
      </c>
      <c r="Q651" s="70">
        <f>(inputs!$C$18*11.2*(12.3*F651^0.65)*0.5/F651)*inputs!$E$73/inputs!$E$74</f>
        <v>27.148934770618521</v>
      </c>
      <c r="R651" s="60">
        <f>(60*379*((F651/1000)^0.8)*3*24*(MAX('Max rate concentrations'!$R$3:$R$368))/F651)*(inputs!$E$73/inputs!$E$75)</f>
        <v>3.1851853342182934E-2</v>
      </c>
      <c r="S651" s="60">
        <f>(IF(inputs!$C$17="aerial",((0.025*0.112*inputs!$C$18/3.3)*(3*60*379*((F651/1000)^0.8))*MAX(inputs!$I$14:$I$16))/F651,((0.0083*0.112*inputs!$C$18/1)*(3*60*379*((F651/1000)^0.8))*MAX(inputs!$I$14:$I$16))/F651))*(inputs!E$75/inputs!$E$73)</f>
        <v>0.17566492810615378</v>
      </c>
      <c r="T651" s="63">
        <f>IF((((inputs!$P$13/(V651/MAX(K651:S651)))^(1/inputs!$O$13))-1)/inputs!$N$13&lt;0, 0, IF((((inputs!$P$13/(V651/MAX(K651:S651)))^(1/inputs!$O$13))-1)/inputs!$N$13&lt;inputs!$I$17, (((inputs!$P$13/(V651/MAX(K651:S651)))^(1/inputs!$O$13))-1)/inputs!$N$13, inputs!$I$17))</f>
        <v>817.81107018077546</v>
      </c>
      <c r="U651" s="63">
        <f>IF((((inputs!$P$13/(X651/MAX(K651:S651)))^(1/inputs!$O$13))-1)/inputs!$N$13&lt;0, 0, IF((((inputs!$P$13/(X651/MAX(K651:S651)))^(1/inputs!$O$13))-1)/inputs!$N$13&lt;inputs!$I$17, (((inputs!$P$13/(X651/MAX(K651:S651)))^(1/inputs!$O$13))-1)/inputs!$N$13, inputs!$I$17))</f>
        <v>16.753212444605783</v>
      </c>
      <c r="V651" s="54">
        <f>inputs!$E$70*(F651/inputs!$F$70)^(0.25)</f>
        <v>1.6829141392239833</v>
      </c>
      <c r="W651" s="54">
        <f>inputs!$E$76*(F651/inputs!$F$76)^(0.25)</f>
        <v>0.12100227462467934</v>
      </c>
      <c r="X651" s="54">
        <f>inputs!$E$72*(inputs!$F$72/F651)^(0.25)</f>
        <v>148.49242404917496</v>
      </c>
      <c r="Y651" s="54" t="s">
        <v>13</v>
      </c>
      <c r="Z651" s="106">
        <f t="shared" si="55"/>
        <v>493.90393154484769</v>
      </c>
      <c r="AA651" s="106">
        <f t="shared" si="56"/>
        <v>6869.2750809298359</v>
      </c>
    </row>
    <row r="652" spans="1:27" ht="13.2" x14ac:dyDescent="0.25">
      <c r="A652" s="55" t="s">
        <v>538</v>
      </c>
      <c r="B652" s="49" t="s">
        <v>539</v>
      </c>
      <c r="C652" s="21" t="s">
        <v>61</v>
      </c>
      <c r="D652" s="20" t="s">
        <v>443</v>
      </c>
      <c r="E652" s="20">
        <v>51</v>
      </c>
      <c r="F652" s="21">
        <v>5</v>
      </c>
      <c r="G652" s="21" t="s">
        <v>154</v>
      </c>
      <c r="H652" s="21">
        <v>9.2999999999999999E-2</v>
      </c>
      <c r="I652" s="68">
        <f>MAX('Max rate concentrations'!$G$3:$G$368)</f>
        <v>45</v>
      </c>
      <c r="J652" s="68">
        <f>MAX('Max rate concentrations'!Z:Z)</f>
        <v>21</v>
      </c>
      <c r="K652" s="70">
        <f t="shared" si="53"/>
        <v>15.273757989987846</v>
      </c>
      <c r="L652" s="70">
        <f t="shared" si="54"/>
        <v>7.1277537286609958</v>
      </c>
      <c r="M652" s="70">
        <f>IF((((0.326*F652^0.818)-(0.398*F652^0.85)/(1-H652)*H652)*(MAX('Max rate concentrations'!$P$3:$P$368)))/F652&gt;0, (((0.326*F652^0.818)-(0.398*F652^0.85)/(1-H652)*H652)*(MAX('Max rate concentrations'!$P$3:$P$368)))/F652, 0)</f>
        <v>0.1839027986232496</v>
      </c>
      <c r="N652" s="70">
        <f>IF((((0.326*F652^0.818)-(0.398*F652^0.85)/(1-H652)*H652)*(MAX('Max rate concentrations'!$Q$3:$Q$368)))/F652&gt; 0, (((0.326*F652^0.818)-(0.398*F652^0.85)/(1-H652)*H652)*(MAX('Max rate concentrations'!$Q$3:$Q$368)))/F652, 0)</f>
        <v>0.70031173856460405</v>
      </c>
      <c r="O652" s="70">
        <f>((MAX('Max rate concentrations'!$F$3:$F$368))*0.62*6.01*8*(12.3*F652^0.65)*0.079*0.1/F652)*inputs!$E$73/inputs!$E$74</f>
        <v>154.12808247377183</v>
      </c>
      <c r="P652" s="70">
        <f>((MAX('Max rate concentrations'!Y:Y))*0.62*6.01*8*(12.3*F652^0.65)*0.079*0.1/F652)*inputs!$E$73/inputs!$E$74</f>
        <v>51.37602749125729</v>
      </c>
      <c r="Q652" s="70">
        <f>(inputs!$C$18*11.2*(12.3*F652^0.65)*0.5/F652)*inputs!$E$73/inputs!$E$74</f>
        <v>27.148934770618521</v>
      </c>
      <c r="R652" s="60">
        <f>(60*379*((F652/1000)^0.8)*3*24*(MAX('Max rate concentrations'!$R$3:$R$368))/F652)*(inputs!$E$73/inputs!$E$75)</f>
        <v>3.1851853342182934E-2</v>
      </c>
      <c r="S652" s="60">
        <f>(IF(inputs!$C$17="aerial",((0.025*0.112*inputs!$C$18/3.3)*(3*60*379*((F652/1000)^0.8))*MAX(inputs!$I$14:$I$16))/F652,((0.0083*0.112*inputs!$C$18/1)*(3*60*379*((F652/1000)^0.8))*MAX(inputs!$I$14:$I$16))/F652))*(inputs!E$75/inputs!$E$73)</f>
        <v>0.17566492810615378</v>
      </c>
      <c r="T652" s="63">
        <f>IF((((inputs!$P$13/(V652/MAX(K652:S652)))^(1/inputs!$O$13))-1)/inputs!$N$13&lt;0, 0, IF((((inputs!$P$13/(V652/MAX(K652:S652)))^(1/inputs!$O$13))-1)/inputs!$N$13&lt;inputs!$I$17, (((inputs!$P$13/(V652/MAX(K652:S652)))^(1/inputs!$O$13))-1)/inputs!$N$13, inputs!$I$17))</f>
        <v>205.44997304718208</v>
      </c>
      <c r="U652" s="63">
        <f>IF((((inputs!$P$13/(X652/MAX(K652:S652)))^(1/inputs!$O$13))-1)/inputs!$N$13&lt;0, 0, IF((((inputs!$P$13/(X652/MAX(K652:S652)))^(1/inputs!$O$13))-1)/inputs!$N$13&lt;inputs!$I$17, (((inputs!$P$13/(X652/MAX(K652:S652)))^(1/inputs!$O$13))-1)/inputs!$N$13, inputs!$I$17))</f>
        <v>0.39909609074871294</v>
      </c>
      <c r="V652" s="54">
        <f>inputs!$E$70*(F652/inputs!$F$70)^(0.25)</f>
        <v>1.6829141392239833</v>
      </c>
      <c r="W652" s="54">
        <f>inputs!$E$76*(F652/inputs!$F$76)^(0.25)</f>
        <v>0.12100227462467934</v>
      </c>
      <c r="X652" s="54">
        <f>inputs!$E$72*(inputs!$F$72/F652)^(0.25)</f>
        <v>148.49242404917496</v>
      </c>
      <c r="Y652" s="54" t="s">
        <v>13</v>
      </c>
      <c r="Z652" s="106">
        <f t="shared" si="55"/>
        <v>91.584043939902116</v>
      </c>
      <c r="AA652" s="106">
        <f t="shared" si="56"/>
        <v>1273.7618606909743</v>
      </c>
    </row>
    <row r="653" spans="1:27" ht="13.2" x14ac:dyDescent="0.25">
      <c r="A653" s="55" t="s">
        <v>576</v>
      </c>
      <c r="B653" s="49" t="s">
        <v>577</v>
      </c>
      <c r="C653" s="21" t="s">
        <v>61</v>
      </c>
      <c r="D653" s="20" t="s">
        <v>443</v>
      </c>
      <c r="E653" s="20">
        <v>4228</v>
      </c>
      <c r="F653" s="21">
        <v>32</v>
      </c>
      <c r="G653" s="21" t="s">
        <v>142</v>
      </c>
      <c r="H653" s="21">
        <v>0.69</v>
      </c>
      <c r="I653" s="68">
        <f>MAX('Max rate concentrations'!$H$3:$H$368)</f>
        <v>282</v>
      </c>
      <c r="J653" s="68">
        <f>MAX('Max rate concentrations'!AA:AA)</f>
        <v>195</v>
      </c>
      <c r="K653" s="70">
        <f t="shared" si="53"/>
        <v>124.66186622291292</v>
      </c>
      <c r="L653" s="70">
        <f t="shared" si="54"/>
        <v>86.202354303078081</v>
      </c>
      <c r="M653" s="70">
        <f>IF((((0.326*F653^0.818)-(0.398*F653^0.85)/(1-H653)*H653)*(MAX('Max rate concentrations'!$P$3:$P$368)))/F653&gt;0, (((0.326*F653^0.818)-(0.398*F653^0.85)/(1-H653)*H653)*(MAX('Max rate concentrations'!$P$3:$P$368)))/F653, 0)</f>
        <v>0</v>
      </c>
      <c r="N653" s="70">
        <f>IF((((0.326*F653^0.818)-(0.398*F653^0.85)/(1-H653)*H653)*(MAX('Max rate concentrations'!$Q$3:$Q$368)))/F653&gt; 0, (((0.326*F653^0.818)-(0.398*F653^0.85)/(1-H653)*H653)*(MAX('Max rate concentrations'!$Q$3:$Q$368)))/F653, 0)</f>
        <v>0</v>
      </c>
      <c r="O653" s="70">
        <f>((MAX('Max rate concentrations'!$F$3:$F$368))*0.62*6.01*8*(12.3*F653^0.65)*0.079*0.1/F653)*inputs!$E$73/inputs!$E$74</f>
        <v>80.485710913315614</v>
      </c>
      <c r="P653" s="70">
        <f>((MAX('Max rate concentrations'!Y:Y))*0.62*6.01*8*(12.3*F653^0.65)*0.079*0.1/F653)*inputs!$E$73/inputs!$E$74</f>
        <v>26.828570304438536</v>
      </c>
      <c r="Q653" s="70">
        <f>(inputs!$C$18*11.2*(12.3*F653^0.65)*0.5/F653)*inputs!$E$73/inputs!$E$74</f>
        <v>14.177178360240134</v>
      </c>
      <c r="R653" s="60">
        <f>(60*379*((F653/1000)^0.8)*3*24*(MAX('Max rate concentrations'!$R$3:$R$368))/F653)*(inputs!$E$73/inputs!$E$75)</f>
        <v>2.1973473414361164E-2</v>
      </c>
      <c r="S653" s="60">
        <f>(IF(inputs!$C$17="aerial",((0.025*0.112*inputs!$C$18/3.3)*(3*60*379*((F653/1000)^0.8))*MAX(inputs!$I$14:$I$16))/F653,((0.0083*0.112*inputs!$C$18/1)*(3*60*379*((F653/1000)^0.8))*MAX(inputs!$I$14:$I$16))/F653))*(inputs!E$75/inputs!$E$73)</f>
        <v>0.12118505589325612</v>
      </c>
      <c r="T653" s="63">
        <f>IF((((inputs!$P$13/(V653/MAX(K653:S653)))^(1/inputs!$O$13))-1)/inputs!$N$13&lt;0, 0, IF((((inputs!$P$13/(V653/MAX(K653:S653)))^(1/inputs!$O$13))-1)/inputs!$N$13&lt;inputs!$I$17, (((inputs!$P$13/(V653/MAX(K653:S653)))^(1/inputs!$O$13))-1)/inputs!$N$13, inputs!$I$17))</f>
        <v>116.70451251562194</v>
      </c>
      <c r="U653" s="63">
        <f>IF((((inputs!$P$13/(X653/MAX(K653:S653)))^(1/inputs!$O$13))-1)/inputs!$N$13&lt;0, 0, IF((((inputs!$P$13/(X653/MAX(K653:S653)))^(1/inputs!$O$13))-1)/inputs!$N$13&lt;inputs!$I$17, (((inputs!$P$13/(X653/MAX(K653:S653)))^(1/inputs!$O$13))-1)/inputs!$N$13, inputs!$I$17))</f>
        <v>1.6702908947642856</v>
      </c>
      <c r="V653" s="54">
        <f>inputs!$E$70*(F653/inputs!$F$70)^(0.25)</f>
        <v>2.6767447079060616</v>
      </c>
      <c r="W653" s="54">
        <f>inputs!$E$76*(F653/inputs!$F$76)^(0.25)</f>
        <v>0.19245913424647909</v>
      </c>
      <c r="X653" s="54">
        <f>inputs!$E$72*(inputs!$F$72/F653)^(0.25)</f>
        <v>93.359669027043438</v>
      </c>
      <c r="Y653" s="54" t="s">
        <v>13</v>
      </c>
      <c r="Z653" s="106">
        <f t="shared" si="55"/>
        <v>46.572191159922838</v>
      </c>
      <c r="AA653" s="106">
        <f t="shared" si="56"/>
        <v>647.73161695334568</v>
      </c>
    </row>
    <row r="654" spans="1:27" ht="13.2" x14ac:dyDescent="0.25">
      <c r="A654" s="55" t="s">
        <v>576</v>
      </c>
      <c r="B654" s="49" t="s">
        <v>577</v>
      </c>
      <c r="C654" s="21" t="s">
        <v>61</v>
      </c>
      <c r="D654" s="20" t="s">
        <v>443</v>
      </c>
      <c r="E654" s="20">
        <v>4228</v>
      </c>
      <c r="F654" s="21">
        <v>32</v>
      </c>
      <c r="G654" s="21" t="s">
        <v>152</v>
      </c>
      <c r="H654" s="21">
        <v>0.77</v>
      </c>
      <c r="I654" s="68">
        <f>MAX('Max rate concentrations'!$G$3:$G$368)</f>
        <v>45</v>
      </c>
      <c r="J654" s="68">
        <f>MAX('Max rate concentrations'!Z:Z)</f>
        <v>21</v>
      </c>
      <c r="K654" s="70">
        <f t="shared" si="53"/>
        <v>26.81210351232864</v>
      </c>
      <c r="L654" s="70">
        <f t="shared" si="54"/>
        <v>12.512314972420032</v>
      </c>
      <c r="M654" s="70">
        <f>IF((((0.326*F654^0.818)-(0.398*F654^0.85)/(1-H654)*H654)*(MAX('Max rate concentrations'!$P$3:$P$368)))/F654&gt;0, (((0.326*F654^0.818)-(0.398*F654^0.85)/(1-H654)*H654)*(MAX('Max rate concentrations'!$P$3:$P$368)))/F654, 0)</f>
        <v>0</v>
      </c>
      <c r="N654" s="70">
        <f>IF((((0.326*F654^0.818)-(0.398*F654^0.85)/(1-H654)*H654)*(MAX('Max rate concentrations'!$Q$3:$Q$368)))/F654&gt; 0, (((0.326*F654^0.818)-(0.398*F654^0.85)/(1-H654)*H654)*(MAX('Max rate concentrations'!$Q$3:$Q$368)))/F654, 0)</f>
        <v>0</v>
      </c>
      <c r="O654" s="70">
        <f>((MAX('Max rate concentrations'!$F$3:$F$368))*0.62*6.01*8*(12.3*F654^0.65)*0.079*0.1/F654)*inputs!$E$73/inputs!$E$74</f>
        <v>80.485710913315614</v>
      </c>
      <c r="P654" s="70">
        <f>((MAX('Max rate concentrations'!Y:Y))*0.62*6.01*8*(12.3*F654^0.65)*0.079*0.1/F654)*inputs!$E$73/inputs!$E$74</f>
        <v>26.828570304438536</v>
      </c>
      <c r="Q654" s="70">
        <f>(inputs!$C$18*11.2*(12.3*F654^0.65)*0.5/F654)*inputs!$E$73/inputs!$E$74</f>
        <v>14.177178360240134</v>
      </c>
      <c r="R654" s="60">
        <f>(60*379*((F654/1000)^0.8)*3*24*(MAX('Max rate concentrations'!$R$3:$R$368))/F654)*(inputs!$E$73/inputs!$E$75)</f>
        <v>2.1973473414361164E-2</v>
      </c>
      <c r="S654" s="60">
        <f>(IF(inputs!$C$17="aerial",((0.025*0.112*inputs!$C$18/3.3)*(3*60*379*((F654/1000)^0.8))*MAX(inputs!$I$14:$I$16))/F654,((0.0083*0.112*inputs!$C$18/1)*(3*60*379*((F654/1000)^0.8))*MAX(inputs!$I$14:$I$16))/F654))*(inputs!E$75/inputs!$E$73)</f>
        <v>0.12118505589325612</v>
      </c>
      <c r="T654" s="63">
        <f>IF((((inputs!$P$13/(V654/MAX(K654:S654)))^(1/inputs!$O$13))-1)/inputs!$N$13&lt;0, 0, IF((((inputs!$P$13/(V654/MAX(K654:S654)))^(1/inputs!$O$13))-1)/inputs!$N$13&lt;inputs!$I$17, (((inputs!$P$13/(V654/MAX(K654:S654)))^(1/inputs!$O$13))-1)/inputs!$N$13, inputs!$I$17))</f>
        <v>80.369552213077895</v>
      </c>
      <c r="U654" s="63">
        <f>IF((((inputs!$P$13/(X654/MAX(K654:S654)))^(1/inputs!$O$13))-1)/inputs!$N$13&lt;0, 0, IF((((inputs!$P$13/(X654/MAX(K654:S654)))^(1/inputs!$O$13))-1)/inputs!$N$13&lt;inputs!$I$17, (((inputs!$P$13/(X654/MAX(K654:S654)))^(1/inputs!$O$13))-1)/inputs!$N$13, inputs!$I$17))</f>
        <v>0</v>
      </c>
      <c r="V654" s="54">
        <f>inputs!$E$70*(F654/inputs!$F$70)^(0.25)</f>
        <v>2.6767447079060616</v>
      </c>
      <c r="W654" s="54">
        <f>inputs!$E$76*(F654/inputs!$F$76)^(0.25)</f>
        <v>0.19245913424647909</v>
      </c>
      <c r="X654" s="54">
        <f>inputs!$E$72*(inputs!$F$72/F654)^(0.25)</f>
        <v>93.359669027043438</v>
      </c>
      <c r="Y654" s="54" t="s">
        <v>13</v>
      </c>
      <c r="Z654" s="106">
        <f t="shared" si="55"/>
        <v>30.068504730986174</v>
      </c>
      <c r="AA654" s="106">
        <f t="shared" si="56"/>
        <v>418.19636791174042</v>
      </c>
    </row>
    <row r="655" spans="1:27" ht="13.2" x14ac:dyDescent="0.25">
      <c r="A655" s="55" t="s">
        <v>576</v>
      </c>
      <c r="B655" s="49" t="s">
        <v>577</v>
      </c>
      <c r="C655" s="21" t="s">
        <v>61</v>
      </c>
      <c r="D655" s="20" t="s">
        <v>443</v>
      </c>
      <c r="E655" s="20">
        <v>4228</v>
      </c>
      <c r="F655" s="21">
        <v>32</v>
      </c>
      <c r="G655" s="21" t="s">
        <v>177</v>
      </c>
      <c r="H655" s="21">
        <v>0.85</v>
      </c>
      <c r="I655" s="68">
        <f>MAX('Max rate concentrations'!$F$3:$F$368)</f>
        <v>405</v>
      </c>
      <c r="J655" s="68">
        <f>MAX('Max rate concentrations'!Y:Y)</f>
        <v>135</v>
      </c>
      <c r="K655" s="70">
        <f t="shared" si="53"/>
        <v>370.00702847013514</v>
      </c>
      <c r="L655" s="70">
        <f t="shared" si="54"/>
        <v>123.33567615671171</v>
      </c>
      <c r="M655" s="70">
        <f>IF((((0.326*F655^0.818)-(0.398*F655^0.85)/(1-H655)*H655)*(MAX('Max rate concentrations'!$P$3:$P$368)))/F655&gt;0, (((0.326*F655^0.818)-(0.398*F655^0.85)/(1-H655)*H655)*(MAX('Max rate concentrations'!$P$3:$P$368)))/F655, 0)</f>
        <v>0</v>
      </c>
      <c r="N655" s="70">
        <f>IF((((0.326*F655^0.818)-(0.398*F655^0.85)/(1-H655)*H655)*(MAX('Max rate concentrations'!$Q$3:$Q$368)))/F655&gt; 0, (((0.326*F655^0.818)-(0.398*F655^0.85)/(1-H655)*H655)*(MAX('Max rate concentrations'!$Q$3:$Q$368)))/F655, 0)</f>
        <v>0</v>
      </c>
      <c r="O655" s="70">
        <f>((MAX('Max rate concentrations'!$F$3:$F$368))*0.62*6.01*8*(12.3*F655^0.65)*0.079*0.1/F655)*inputs!$E$73/inputs!$E$74</f>
        <v>80.485710913315614</v>
      </c>
      <c r="P655" s="70">
        <f>((MAX('Max rate concentrations'!Y:Y))*0.62*6.01*8*(12.3*F655^0.65)*0.079*0.1/F655)*inputs!$E$73/inputs!$E$74</f>
        <v>26.828570304438536</v>
      </c>
      <c r="Q655" s="70">
        <f>(inputs!$C$18*11.2*(12.3*F655^0.65)*0.5/F655)*inputs!$E$73/inputs!$E$74</f>
        <v>14.177178360240134</v>
      </c>
      <c r="R655" s="60">
        <f>(60*379*((F655/1000)^0.8)*3*24*(MAX('Max rate concentrations'!$R$3:$R$368))/F655)*(inputs!$E$73/inputs!$E$75)</f>
        <v>2.1973473414361164E-2</v>
      </c>
      <c r="S655" s="60">
        <f>(IF(inputs!$C$17="aerial",((0.025*0.112*inputs!$C$18/3.3)*(3*60*379*((F655/1000)^0.8))*MAX(inputs!$I$14:$I$16))/F655,((0.0083*0.112*inputs!$C$18/1)*(3*60*379*((F655/1000)^0.8))*MAX(inputs!$I$14:$I$16))/F655))*(inputs!E$75/inputs!$E$73)</f>
        <v>0.12118505589325612</v>
      </c>
      <c r="T655" s="63">
        <f>IF((((inputs!$P$13/(V655/MAX(K655:S655)))^(1/inputs!$O$13))-1)/inputs!$N$13&lt;0, 0, IF((((inputs!$P$13/(V655/MAX(K655:S655)))^(1/inputs!$O$13))-1)/inputs!$N$13&lt;inputs!$I$17, (((inputs!$P$13/(V655/MAX(K655:S655)))^(1/inputs!$O$13))-1)/inputs!$N$13, inputs!$I$17))</f>
        <v>288.66903140628341</v>
      </c>
      <c r="U655" s="63">
        <f>IF((((inputs!$P$13/(X655/MAX(K655:S655)))^(1/inputs!$O$13))-1)/inputs!$N$13&lt;0, 0, IF((((inputs!$P$13/(X655/MAX(K655:S655)))^(1/inputs!$O$13))-1)/inputs!$N$13&lt;inputs!$I$17, (((inputs!$P$13/(X655/MAX(K655:S655)))^(1/inputs!$O$13))-1)/inputs!$N$13, inputs!$I$17))</f>
        <v>11.398316132975109</v>
      </c>
      <c r="V655" s="54">
        <f>inputs!$E$70*(F655/inputs!$F$70)^(0.25)</f>
        <v>2.6767447079060616</v>
      </c>
      <c r="W655" s="54">
        <f>inputs!$E$76*(F655/inputs!$F$76)^(0.25)</f>
        <v>0.19245913424647909</v>
      </c>
      <c r="X655" s="54">
        <f>inputs!$E$72*(inputs!$F$72/F655)^(0.25)</f>
        <v>93.359669027043438</v>
      </c>
      <c r="Y655" s="54" t="s">
        <v>13</v>
      </c>
      <c r="Z655" s="106">
        <f t="shared" si="55"/>
        <v>138.23022695338798</v>
      </c>
      <c r="AA655" s="106">
        <f t="shared" si="56"/>
        <v>1922.5225652125896</v>
      </c>
    </row>
    <row r="656" spans="1:27" ht="13.2" x14ac:dyDescent="0.25">
      <c r="A656" s="55" t="s">
        <v>576</v>
      </c>
      <c r="B656" s="49" t="s">
        <v>577</v>
      </c>
      <c r="C656" s="21" t="s">
        <v>61</v>
      </c>
      <c r="D656" s="20" t="s">
        <v>443</v>
      </c>
      <c r="E656" s="20">
        <v>4228</v>
      </c>
      <c r="F656" s="21">
        <v>32</v>
      </c>
      <c r="G656" s="21" t="s">
        <v>154</v>
      </c>
      <c r="H656" s="21">
        <v>9.2999999999999999E-2</v>
      </c>
      <c r="I656" s="68">
        <f>MAX('Max rate concentrations'!$G$3:$G$368)</f>
        <v>45</v>
      </c>
      <c r="J656" s="68">
        <f>MAX('Max rate concentrations'!Z:Z)</f>
        <v>21</v>
      </c>
      <c r="K656" s="70">
        <f t="shared" si="53"/>
        <v>6.799100118892599</v>
      </c>
      <c r="L656" s="70">
        <f t="shared" si="54"/>
        <v>3.1729133888165459</v>
      </c>
      <c r="M656" s="70">
        <f>IF((((0.326*F656^0.818)-(0.398*F656^0.85)/(1-H656)*H656)*(MAX('Max rate concentrations'!$P$3:$P$368)))/F656&gt;0, (((0.326*F656^0.818)-(0.398*F656^0.85)/(1-H656)*H656)*(MAX('Max rate concentrations'!$P$3:$P$368)))/F656, 0)</f>
        <v>0.12996003806457793</v>
      </c>
      <c r="N656" s="70">
        <f>IF((((0.326*F656^0.818)-(0.398*F656^0.85)/(1-H656)*H656)*(MAX('Max rate concentrations'!$Q$3:$Q$368)))/F656&gt; 0, (((0.326*F656^0.818)-(0.398*F656^0.85)/(1-H656)*H656)*(MAX('Max rate concentrations'!$Q$3:$Q$368)))/F656, 0)</f>
        <v>0.49489480792175722</v>
      </c>
      <c r="O656" s="70">
        <f>((MAX('Max rate concentrations'!$F$3:$F$368))*0.62*6.01*8*(12.3*F656^0.65)*0.079*0.1/F656)*inputs!$E$73/inputs!$E$74</f>
        <v>80.485710913315614</v>
      </c>
      <c r="P656" s="70">
        <f>((MAX('Max rate concentrations'!Y:Y))*0.62*6.01*8*(12.3*F656^0.65)*0.079*0.1/F656)*inputs!$E$73/inputs!$E$74</f>
        <v>26.828570304438536</v>
      </c>
      <c r="Q656" s="70">
        <f>(inputs!$C$18*11.2*(12.3*F656^0.65)*0.5/F656)*inputs!$E$73/inputs!$E$74</f>
        <v>14.177178360240134</v>
      </c>
      <c r="R656" s="60">
        <f>(60*379*((F656/1000)^0.8)*3*24*(MAX('Max rate concentrations'!$R$3:$R$368))/F656)*(inputs!$E$73/inputs!$E$75)</f>
        <v>2.1973473414361164E-2</v>
      </c>
      <c r="S656" s="60">
        <f>(IF(inputs!$C$17="aerial",((0.025*0.112*inputs!$C$18/3.3)*(3*60*379*((F656/1000)^0.8))*MAX(inputs!$I$14:$I$16))/F656,((0.0083*0.112*inputs!$C$18/1)*(3*60*379*((F656/1000)^0.8))*MAX(inputs!$I$14:$I$16))/F656))*(inputs!E$75/inputs!$E$73)</f>
        <v>0.12118505589325612</v>
      </c>
      <c r="T656" s="63">
        <f>IF((((inputs!$P$13/(V656/MAX(K656:S656)))^(1/inputs!$O$13))-1)/inputs!$N$13&lt;0, 0, IF((((inputs!$P$13/(V656/MAX(K656:S656)))^(1/inputs!$O$13))-1)/inputs!$N$13&lt;inputs!$I$17, (((inputs!$P$13/(V656/MAX(K656:S656)))^(1/inputs!$O$13))-1)/inputs!$N$13, inputs!$I$17))</f>
        <v>80.369552213077895</v>
      </c>
      <c r="U656" s="63">
        <f>IF((((inputs!$P$13/(X656/MAX(K656:S656)))^(1/inputs!$O$13))-1)/inputs!$N$13&lt;0, 0, IF((((inputs!$P$13/(X656/MAX(K656:S656)))^(1/inputs!$O$13))-1)/inputs!$N$13&lt;inputs!$I$17, (((inputs!$P$13/(X656/MAX(K656:S656)))^(1/inputs!$O$13))-1)/inputs!$N$13, inputs!$I$17))</f>
        <v>0</v>
      </c>
      <c r="V656" s="54">
        <f>inputs!$E$70*(F656/inputs!$F$70)^(0.25)</f>
        <v>2.6767447079060616</v>
      </c>
      <c r="W656" s="54">
        <f>inputs!$E$76*(F656/inputs!$F$76)^(0.25)</f>
        <v>0.19245913424647909</v>
      </c>
      <c r="X656" s="54">
        <f>inputs!$E$72*(inputs!$F$72/F656)^(0.25)</f>
        <v>93.359669027043438</v>
      </c>
      <c r="Y656" s="54" t="s">
        <v>13</v>
      </c>
      <c r="Z656" s="106">
        <f t="shared" si="55"/>
        <v>30.068504730986174</v>
      </c>
      <c r="AA656" s="106">
        <f t="shared" si="56"/>
        <v>418.19636791174042</v>
      </c>
    </row>
    <row r="657" spans="1:27" ht="13.2" x14ac:dyDescent="0.25">
      <c r="A657" s="55" t="s">
        <v>552</v>
      </c>
      <c r="B657" s="49" t="s">
        <v>553</v>
      </c>
      <c r="C657" s="21" t="s">
        <v>61</v>
      </c>
      <c r="D657" s="20" t="s">
        <v>443</v>
      </c>
      <c r="E657" s="20">
        <v>35</v>
      </c>
      <c r="F657" s="21">
        <v>15</v>
      </c>
      <c r="G657" s="21" t="s">
        <v>182</v>
      </c>
      <c r="H657" s="21">
        <v>0.85</v>
      </c>
      <c r="I657" s="68">
        <f>MAX('Max rate concentrations'!$M$3:$M$368)</f>
        <v>17.092910873809167</v>
      </c>
      <c r="J657" s="68">
        <f>MAX('Max rate concentrations'!AE:AE)</f>
        <v>11.81956602976166</v>
      </c>
      <c r="K657" s="70">
        <f t="shared" si="53"/>
        <v>21.729042046600661</v>
      </c>
      <c r="L657" s="70">
        <f t="shared" si="54"/>
        <v>15.025401415202587</v>
      </c>
      <c r="M657" s="70">
        <f>IF((((0.326*F657^0.818)-(0.398*F657^0.85)/(1-H657)*H657)*(MAX('Max rate concentrations'!$P$3:$P$368)))/F657&gt;0, (((0.326*F657^0.818)-(0.398*F657^0.85)/(1-H657)*H657)*(MAX('Max rate concentrations'!$P$3:$P$368)))/F657, 0)</f>
        <v>0</v>
      </c>
      <c r="N657" s="70">
        <f>IF((((0.326*F657^0.818)-(0.398*F657^0.85)/(1-H657)*H657)*(MAX('Max rate concentrations'!$Q$3:$Q$368)))/F657&gt; 0, (((0.326*F657^0.818)-(0.398*F657^0.85)/(1-H657)*H657)*(MAX('Max rate concentrations'!$Q$3:$Q$368)))/F657, 0)</f>
        <v>0</v>
      </c>
      <c r="O657" s="70">
        <f>((MAX('Max rate concentrations'!$F$3:$F$368))*0.62*6.01*8*(12.3*F657^0.65)*0.079*0.1/F657)*inputs!$E$73/inputs!$E$74</f>
        <v>104.92750258141861</v>
      </c>
      <c r="P657" s="70">
        <f>((MAX('Max rate concentrations'!Y:Y))*0.62*6.01*8*(12.3*F657^0.65)*0.079*0.1/F657)*inputs!$E$73/inputs!$E$74</f>
        <v>34.9758341938062</v>
      </c>
      <c r="Q657" s="70">
        <f>(inputs!$C$18*11.2*(12.3*F657^0.65)*0.5/F657)*inputs!$E$73/inputs!$E$74</f>
        <v>18.482484680957491</v>
      </c>
      <c r="R657" s="60">
        <f>(60*379*((F657/1000)^0.8)*3*24*(MAX('Max rate concentrations'!$R$3:$R$368))/F657)*(inputs!$E$73/inputs!$E$75)</f>
        <v>2.5568806496861746E-2</v>
      </c>
      <c r="S657" s="60">
        <f>(IF(inputs!$C$17="aerial",((0.025*0.112*inputs!$C$18/3.3)*(3*60*379*((F657/1000)^0.8))*MAX(inputs!$I$14:$I$16))/F657,((0.0083*0.112*inputs!$C$18/1)*(3*60*379*((F657/1000)^0.8))*MAX(inputs!$I$14:$I$16))/F657))*(inputs!E$75/inputs!$E$73)</f>
        <v>0.14101353873443245</v>
      </c>
      <c r="T657" s="63">
        <f>IF((((inputs!$P$13/(V657/MAX(K657:S657)))^(1/inputs!$O$13))-1)/inputs!$N$13&lt;0, 0, IF((((inputs!$P$13/(V657/MAX(K657:S657)))^(1/inputs!$O$13))-1)/inputs!$N$13&lt;inputs!$I$17, (((inputs!$P$13/(V657/MAX(K657:S657)))^(1/inputs!$O$13))-1)/inputs!$N$13, inputs!$I$17))</f>
        <v>118.4009365573144</v>
      </c>
      <c r="U657" s="63">
        <f>IF((((inputs!$P$13/(X657/MAX(K657:S657)))^(1/inputs!$O$13))-1)/inputs!$N$13&lt;0, 0, IF((((inputs!$P$13/(X657/MAX(K657:S657)))^(1/inputs!$O$13))-1)/inputs!$N$13&lt;inputs!$I$17, (((inputs!$P$13/(X657/MAX(K657:S657)))^(1/inputs!$O$13))-1)/inputs!$N$13, inputs!$I$17))</f>
        <v>0</v>
      </c>
      <c r="V657" s="54">
        <f>inputs!$E$70*(F657/inputs!$F$70)^(0.25)</f>
        <v>2.2148395646629968</v>
      </c>
      <c r="W657" s="54">
        <f>inputs!$E$76*(F657/inputs!$F$76)^(0.25)</f>
        <v>0.15924794914168131</v>
      </c>
      <c r="X657" s="54">
        <f>inputs!$E$72*(inputs!$F$72/F657)^(0.25)</f>
        <v>112.82984284147192</v>
      </c>
      <c r="Y657" s="54" t="s">
        <v>13</v>
      </c>
      <c r="Z657" s="106">
        <f t="shared" si="55"/>
        <v>47.374764409802324</v>
      </c>
      <c r="AA657" s="106">
        <f t="shared" si="56"/>
        <v>658.89390191182724</v>
      </c>
    </row>
    <row r="658" spans="1:27" ht="13.2" x14ac:dyDescent="0.25">
      <c r="A658" s="55" t="s">
        <v>552</v>
      </c>
      <c r="B658" s="49" t="s">
        <v>553</v>
      </c>
      <c r="C658" s="21" t="s">
        <v>61</v>
      </c>
      <c r="D658" s="20" t="s">
        <v>443</v>
      </c>
      <c r="E658" s="20">
        <v>35</v>
      </c>
      <c r="F658" s="21">
        <v>15</v>
      </c>
      <c r="G658" s="21" t="s">
        <v>142</v>
      </c>
      <c r="H658" s="21">
        <v>0.69</v>
      </c>
      <c r="I658" s="68">
        <f>MAX('Max rate concentrations'!$H$3:$H$368)</f>
        <v>282</v>
      </c>
      <c r="J658" s="68">
        <f>MAX('Max rate concentrations'!AA:AA)</f>
        <v>195</v>
      </c>
      <c r="K658" s="70">
        <f t="shared" si="53"/>
        <v>173.46155116527132</v>
      </c>
      <c r="L658" s="70">
        <f t="shared" si="54"/>
        <v>119.94681729513441</v>
      </c>
      <c r="M658" s="70">
        <f>IF((((0.326*F658^0.818)-(0.398*F658^0.85)/(1-H658)*H658)*(MAX('Max rate concentrations'!$P$3:$P$368)))/F658&gt;0, (((0.326*F658^0.818)-(0.398*F658^0.85)/(1-H658)*H658)*(MAX('Max rate concentrations'!$P$3:$P$368)))/F658, 0)</f>
        <v>0</v>
      </c>
      <c r="N658" s="70">
        <f>IF((((0.326*F658^0.818)-(0.398*F658^0.85)/(1-H658)*H658)*(MAX('Max rate concentrations'!$Q$3:$Q$368)))/F658&gt; 0, (((0.326*F658^0.818)-(0.398*F658^0.85)/(1-H658)*H658)*(MAX('Max rate concentrations'!$Q$3:$Q$368)))/F658, 0)</f>
        <v>0</v>
      </c>
      <c r="O658" s="70">
        <f>((MAX('Max rate concentrations'!$F$3:$F$368))*0.62*6.01*8*(12.3*F658^0.65)*0.079*0.1/F658)*inputs!$E$73/inputs!$E$74</f>
        <v>104.92750258141861</v>
      </c>
      <c r="P658" s="70">
        <f>((MAX('Max rate concentrations'!Y:Y))*0.62*6.01*8*(12.3*F658^0.65)*0.079*0.1/F658)*inputs!$E$73/inputs!$E$74</f>
        <v>34.9758341938062</v>
      </c>
      <c r="Q658" s="70">
        <f>(inputs!$C$18*11.2*(12.3*F658^0.65)*0.5/F658)*inputs!$E$73/inputs!$E$74</f>
        <v>18.482484680957491</v>
      </c>
      <c r="R658" s="60">
        <f>(60*379*((F658/1000)^0.8)*3*24*(MAX('Max rate concentrations'!$R$3:$R$368))/F658)*(inputs!$E$73/inputs!$E$75)</f>
        <v>2.5568806496861746E-2</v>
      </c>
      <c r="S658" s="60">
        <f>(IF(inputs!$C$17="aerial",((0.025*0.112*inputs!$C$18/3.3)*(3*60*379*((F658/1000)^0.8))*MAX(inputs!$I$14:$I$16))/F658,((0.0083*0.112*inputs!$C$18/1)*(3*60*379*((F658/1000)^0.8))*MAX(inputs!$I$14:$I$16))/F658))*(inputs!E$75/inputs!$E$73)</f>
        <v>0.14101353873443245</v>
      </c>
      <c r="T658" s="63">
        <f>IF((((inputs!$P$13/(V658/MAX(K658:S658)))^(1/inputs!$O$13))-1)/inputs!$N$13&lt;0, 0, IF((((inputs!$P$13/(V658/MAX(K658:S658)))^(1/inputs!$O$13))-1)/inputs!$N$13&lt;inputs!$I$17, (((inputs!$P$13/(V658/MAX(K658:S658)))^(1/inputs!$O$13))-1)/inputs!$N$13, inputs!$I$17))</f>
        <v>180.40837500360377</v>
      </c>
      <c r="U658" s="63">
        <f>IF((((inputs!$P$13/(X658/MAX(K658:S658)))^(1/inputs!$O$13))-1)/inputs!$N$13&lt;0, 0, IF((((inputs!$P$13/(X658/MAX(K658:S658)))^(1/inputs!$O$13))-1)/inputs!$N$13&lt;inputs!$I$17, (((inputs!$P$13/(X658/MAX(K658:S658)))^(1/inputs!$O$13))-1)/inputs!$N$13, inputs!$I$17))</f>
        <v>2.5029327735431672</v>
      </c>
      <c r="V658" s="54">
        <f>inputs!$E$70*(F658/inputs!$F$70)^(0.25)</f>
        <v>2.2148395646629968</v>
      </c>
      <c r="W658" s="54">
        <f>inputs!$E$76*(F658/inputs!$F$76)^(0.25)</f>
        <v>0.15924794914168131</v>
      </c>
      <c r="X658" s="54">
        <f>inputs!$E$72*(inputs!$F$72/F658)^(0.25)</f>
        <v>112.82984284147192</v>
      </c>
      <c r="Y658" s="54" t="s">
        <v>13</v>
      </c>
      <c r="Z658" s="106">
        <f t="shared" si="55"/>
        <v>78.317885382214897</v>
      </c>
      <c r="AA658" s="106">
        <f t="shared" si="56"/>
        <v>1089.2545373438015</v>
      </c>
    </row>
    <row r="659" spans="1:27" ht="13.2" x14ac:dyDescent="0.25">
      <c r="A659" s="55" t="s">
        <v>552</v>
      </c>
      <c r="B659" s="49" t="s">
        <v>553</v>
      </c>
      <c r="C659" s="21" t="s">
        <v>61</v>
      </c>
      <c r="D659" s="20" t="s">
        <v>443</v>
      </c>
      <c r="E659" s="20">
        <v>35</v>
      </c>
      <c r="F659" s="21">
        <v>15</v>
      </c>
      <c r="G659" s="21" t="s">
        <v>152</v>
      </c>
      <c r="H659" s="21">
        <v>0.77</v>
      </c>
      <c r="I659" s="68">
        <f>MAX('Max rate concentrations'!$G$3:$G$368)</f>
        <v>45</v>
      </c>
      <c r="J659" s="68">
        <f>MAX('Max rate concentrations'!Z:Z)</f>
        <v>21</v>
      </c>
      <c r="K659" s="70">
        <f t="shared" si="53"/>
        <v>37.307872937951515</v>
      </c>
      <c r="L659" s="70">
        <f t="shared" si="54"/>
        <v>17.410340704377372</v>
      </c>
      <c r="M659" s="70">
        <f>IF((((0.326*F659^0.818)-(0.398*F659^0.85)/(1-H659)*H659)*(MAX('Max rate concentrations'!$P$3:$P$368)))/F659&gt;0, (((0.326*F659^0.818)-(0.398*F659^0.85)/(1-H659)*H659)*(MAX('Max rate concentrations'!$P$3:$P$368)))/F659, 0)</f>
        <v>0</v>
      </c>
      <c r="N659" s="70">
        <f>IF((((0.326*F659^0.818)-(0.398*F659^0.85)/(1-H659)*H659)*(MAX('Max rate concentrations'!$Q$3:$Q$368)))/F659&gt; 0, (((0.326*F659^0.818)-(0.398*F659^0.85)/(1-H659)*H659)*(MAX('Max rate concentrations'!$Q$3:$Q$368)))/F659, 0)</f>
        <v>0</v>
      </c>
      <c r="O659" s="70">
        <f>((MAX('Max rate concentrations'!$F$3:$F$368))*0.62*6.01*8*(12.3*F659^0.65)*0.079*0.1/F659)*inputs!$E$73/inputs!$E$74</f>
        <v>104.92750258141861</v>
      </c>
      <c r="P659" s="70">
        <f>((MAX('Max rate concentrations'!Y:Y))*0.62*6.01*8*(12.3*F659^0.65)*0.079*0.1/F659)*inputs!$E$73/inputs!$E$74</f>
        <v>34.9758341938062</v>
      </c>
      <c r="Q659" s="70">
        <f>(inputs!$C$18*11.2*(12.3*F659^0.65)*0.5/F659)*inputs!$E$73/inputs!$E$74</f>
        <v>18.482484680957491</v>
      </c>
      <c r="R659" s="60">
        <f>(60*379*((F659/1000)^0.8)*3*24*(MAX('Max rate concentrations'!$R$3:$R$368))/F659)*(inputs!$E$73/inputs!$E$75)</f>
        <v>2.5568806496861746E-2</v>
      </c>
      <c r="S659" s="60">
        <f>(IF(inputs!$C$17="aerial",((0.025*0.112*inputs!$C$18/3.3)*(3*60*379*((F659/1000)^0.8))*MAX(inputs!$I$14:$I$16))/F659,((0.0083*0.112*inputs!$C$18/1)*(3*60*379*((F659/1000)^0.8))*MAX(inputs!$I$14:$I$16))/F659))*(inputs!E$75/inputs!$E$73)</f>
        <v>0.14101353873443245</v>
      </c>
      <c r="T659" s="63">
        <f>IF((((inputs!$P$13/(V659/MAX(K659:S659)))^(1/inputs!$O$13))-1)/inputs!$N$13&lt;0, 0, IF((((inputs!$P$13/(V659/MAX(K659:S659)))^(1/inputs!$O$13))-1)/inputs!$N$13&lt;inputs!$I$17, (((inputs!$P$13/(V659/MAX(K659:S659)))^(1/inputs!$O$13))-1)/inputs!$N$13, inputs!$I$17))</f>
        <v>118.4009365573144</v>
      </c>
      <c r="U659" s="63">
        <f>IF((((inputs!$P$13/(X659/MAX(K659:S659)))^(1/inputs!$O$13))-1)/inputs!$N$13&lt;0, 0, IF((((inputs!$P$13/(X659/MAX(K659:S659)))^(1/inputs!$O$13))-1)/inputs!$N$13&lt;inputs!$I$17, (((inputs!$P$13/(X659/MAX(K659:S659)))^(1/inputs!$O$13))-1)/inputs!$N$13, inputs!$I$17))</f>
        <v>0</v>
      </c>
      <c r="V659" s="54">
        <f>inputs!$E$70*(F659/inputs!$F$70)^(0.25)</f>
        <v>2.2148395646629968</v>
      </c>
      <c r="W659" s="54">
        <f>inputs!$E$76*(F659/inputs!$F$76)^(0.25)</f>
        <v>0.15924794914168131</v>
      </c>
      <c r="X659" s="54">
        <f>inputs!$E$72*(inputs!$F$72/F659)^(0.25)</f>
        <v>112.82984284147192</v>
      </c>
      <c r="Y659" s="54" t="s">
        <v>13</v>
      </c>
      <c r="Z659" s="106">
        <f t="shared" si="55"/>
        <v>47.374764409802324</v>
      </c>
      <c r="AA659" s="106">
        <f t="shared" si="56"/>
        <v>658.89390191182724</v>
      </c>
    </row>
    <row r="660" spans="1:27" ht="13.2" x14ac:dyDescent="0.25">
      <c r="A660" s="55" t="s">
        <v>552</v>
      </c>
      <c r="B660" s="49" t="s">
        <v>553</v>
      </c>
      <c r="C660" s="21" t="s">
        <v>61</v>
      </c>
      <c r="D660" s="20" t="s">
        <v>443</v>
      </c>
      <c r="E660" s="20">
        <v>35</v>
      </c>
      <c r="F660" s="21">
        <v>15</v>
      </c>
      <c r="G660" s="21" t="s">
        <v>169</v>
      </c>
      <c r="H660" s="21">
        <v>0.79</v>
      </c>
      <c r="I660" s="68">
        <f>MAX('Max rate concentrations'!$D$3:$D$368)</f>
        <v>720</v>
      </c>
      <c r="J660" s="68">
        <f>MAX('Max rate concentrations'!W:W)</f>
        <v>255</v>
      </c>
      <c r="K660" s="70">
        <f t="shared" si="53"/>
        <v>653.77605910315049</v>
      </c>
      <c r="L660" s="70">
        <f t="shared" si="54"/>
        <v>231.54568759903245</v>
      </c>
      <c r="M660" s="70">
        <f>IF((((0.326*F660^0.818)-(0.398*F660^0.85)/(1-H660)*H660)*(MAX('Max rate concentrations'!$P$3:$P$368)))/F660&gt;0, (((0.326*F660^0.818)-(0.398*F660^0.85)/(1-H660)*H660)*(MAX('Max rate concentrations'!$P$3:$P$368)))/F660, 0)</f>
        <v>0</v>
      </c>
      <c r="N660" s="70">
        <f>IF((((0.326*F660^0.818)-(0.398*F660^0.85)/(1-H660)*H660)*(MAX('Max rate concentrations'!$Q$3:$Q$368)))/F660&gt; 0, (((0.326*F660^0.818)-(0.398*F660^0.85)/(1-H660)*H660)*(MAX('Max rate concentrations'!$Q$3:$Q$368)))/F660, 0)</f>
        <v>0</v>
      </c>
      <c r="O660" s="70">
        <f>((MAX('Max rate concentrations'!$F$3:$F$368))*0.62*6.01*8*(12.3*F660^0.65)*0.079*0.1/F660)*inputs!$E$73/inputs!$E$74</f>
        <v>104.92750258141861</v>
      </c>
      <c r="P660" s="70">
        <f>((MAX('Max rate concentrations'!Y:Y))*0.62*6.01*8*(12.3*F660^0.65)*0.079*0.1/F660)*inputs!$E$73/inputs!$E$74</f>
        <v>34.9758341938062</v>
      </c>
      <c r="Q660" s="70">
        <f>(inputs!$C$18*11.2*(12.3*F660^0.65)*0.5/F660)*inputs!$E$73/inputs!$E$74</f>
        <v>18.482484680957491</v>
      </c>
      <c r="R660" s="60">
        <f>(60*379*((F660/1000)^0.8)*3*24*(MAX('Max rate concentrations'!$R$3:$R$368))/F660)*(inputs!$E$73/inputs!$E$75)</f>
        <v>2.5568806496861746E-2</v>
      </c>
      <c r="S660" s="60">
        <f>(IF(inputs!$C$17="aerial",((0.025*0.112*inputs!$C$18/3.3)*(3*60*379*((F660/1000)^0.8))*MAX(inputs!$I$14:$I$16))/F660,((0.0083*0.112*inputs!$C$18/1)*(3*60*379*((F660/1000)^0.8))*MAX(inputs!$I$14:$I$16))/F660))*(inputs!E$75/inputs!$E$73)</f>
        <v>0.14101353873443245</v>
      </c>
      <c r="T660" s="63">
        <f>IF((((inputs!$P$13/(V660/MAX(K660:S660)))^(1/inputs!$O$13))-1)/inputs!$N$13&lt;0, 0, IF((((inputs!$P$13/(V660/MAX(K660:S660)))^(1/inputs!$O$13))-1)/inputs!$N$13&lt;inputs!$I$17, (((inputs!$P$13/(V660/MAX(K660:S660)))^(1/inputs!$O$13))-1)/inputs!$N$13, inputs!$I$17))</f>
        <v>537.56974385432773</v>
      </c>
      <c r="U660" s="63">
        <f>IF((((inputs!$P$13/(X660/MAX(K660:S660)))^(1/inputs!$O$13))-1)/inputs!$N$13&lt;0, 0, IF((((inputs!$P$13/(X660/MAX(K660:S660)))^(1/inputs!$O$13))-1)/inputs!$N$13&lt;inputs!$I$17, (((inputs!$P$13/(X660/MAX(K660:S660)))^(1/inputs!$O$13))-1)/inputs!$N$13, inputs!$I$17))</f>
        <v>17.375999866301779</v>
      </c>
      <c r="V660" s="54">
        <f>inputs!$E$70*(F660/inputs!$F$70)^(0.25)</f>
        <v>2.2148395646629968</v>
      </c>
      <c r="W660" s="54">
        <f>inputs!$E$76*(F660/inputs!$F$76)^(0.25)</f>
        <v>0.15924794914168131</v>
      </c>
      <c r="X660" s="54">
        <f>inputs!$E$72*(inputs!$F$72/F660)^(0.25)</f>
        <v>112.82984284147192</v>
      </c>
      <c r="Y660" s="54" t="s">
        <v>13</v>
      </c>
      <c r="Z660" s="106">
        <f t="shared" si="55"/>
        <v>295.17987195728421</v>
      </c>
      <c r="AA660" s="106">
        <f t="shared" si="56"/>
        <v>4105.3970404447246</v>
      </c>
    </row>
    <row r="661" spans="1:27" ht="13.2" x14ac:dyDescent="0.25">
      <c r="A661" s="55" t="s">
        <v>552</v>
      </c>
      <c r="B661" s="49" t="s">
        <v>553</v>
      </c>
      <c r="C661" s="21" t="s">
        <v>61</v>
      </c>
      <c r="D661" s="20" t="s">
        <v>443</v>
      </c>
      <c r="E661" s="20">
        <v>35</v>
      </c>
      <c r="F661" s="21">
        <v>15</v>
      </c>
      <c r="G661" s="21" t="s">
        <v>177</v>
      </c>
      <c r="H661" s="21">
        <v>0.85</v>
      </c>
      <c r="I661" s="68">
        <f>MAX('Max rate concentrations'!$F$3:$F$368)</f>
        <v>405</v>
      </c>
      <c r="J661" s="68">
        <f>MAX('Max rate concentrations'!Y:Y)</f>
        <v>135</v>
      </c>
      <c r="K661" s="70">
        <f t="shared" si="53"/>
        <v>514.84864654373075</v>
      </c>
      <c r="L661" s="70">
        <f t="shared" si="54"/>
        <v>171.61621551457694</v>
      </c>
      <c r="M661" s="70">
        <f>IF((((0.326*F661^0.818)-(0.398*F661^0.85)/(1-H661)*H661)*(MAX('Max rate concentrations'!$P$3:$P$368)))/F661&gt;0, (((0.326*F661^0.818)-(0.398*F661^0.85)/(1-H661)*H661)*(MAX('Max rate concentrations'!$P$3:$P$368)))/F661, 0)</f>
        <v>0</v>
      </c>
      <c r="N661" s="70">
        <f>IF((((0.326*F661^0.818)-(0.398*F661^0.85)/(1-H661)*H661)*(MAX('Max rate concentrations'!$Q$3:$Q$368)))/F661&gt; 0, (((0.326*F661^0.818)-(0.398*F661^0.85)/(1-H661)*H661)*(MAX('Max rate concentrations'!$Q$3:$Q$368)))/F661, 0)</f>
        <v>0</v>
      </c>
      <c r="O661" s="70">
        <f>((MAX('Max rate concentrations'!$F$3:$F$368))*0.62*6.01*8*(12.3*F661^0.65)*0.079*0.1/F661)*inputs!$E$73/inputs!$E$74</f>
        <v>104.92750258141861</v>
      </c>
      <c r="P661" s="70">
        <f>((MAX('Max rate concentrations'!Y:Y))*0.62*6.01*8*(12.3*F661^0.65)*0.079*0.1/F661)*inputs!$E$73/inputs!$E$74</f>
        <v>34.9758341938062</v>
      </c>
      <c r="Q661" s="70">
        <f>(inputs!$C$18*11.2*(12.3*F661^0.65)*0.5/F661)*inputs!$E$73/inputs!$E$74</f>
        <v>18.482484680957491</v>
      </c>
      <c r="R661" s="60">
        <f>(60*379*((F661/1000)^0.8)*3*24*(MAX('Max rate concentrations'!$R$3:$R$368))/F661)*(inputs!$E$73/inputs!$E$75)</f>
        <v>2.5568806496861746E-2</v>
      </c>
      <c r="S661" s="60">
        <f>(IF(inputs!$C$17="aerial",((0.025*0.112*inputs!$C$18/3.3)*(3*60*379*((F661/1000)^0.8))*MAX(inputs!$I$14:$I$16))/F661,((0.0083*0.112*inputs!$C$18/1)*(3*60*379*((F661/1000)^0.8))*MAX(inputs!$I$14:$I$16))/F661))*(inputs!E$75/inputs!$E$73)</f>
        <v>0.14101353873443245</v>
      </c>
      <c r="T661" s="63">
        <f>IF((((inputs!$P$13/(V661/MAX(K661:S661)))^(1/inputs!$O$13))-1)/inputs!$N$13&lt;0, 0, IF((((inputs!$P$13/(V661/MAX(K661:S661)))^(1/inputs!$O$13))-1)/inputs!$N$13&lt;inputs!$I$17, (((inputs!$P$13/(V661/MAX(K661:S661)))^(1/inputs!$O$13))-1)/inputs!$N$13, inputs!$I$17))</f>
        <v>442.21651726602613</v>
      </c>
      <c r="U661" s="63">
        <f>IF((((inputs!$P$13/(X661/MAX(K661:S661)))^(1/inputs!$O$13))-1)/inputs!$N$13&lt;0, 0, IF((((inputs!$P$13/(X661/MAX(K661:S661)))^(1/inputs!$O$13))-1)/inputs!$N$13&lt;inputs!$I$17, (((inputs!$P$13/(X661/MAX(K661:S661)))^(1/inputs!$O$13))-1)/inputs!$N$13, inputs!$I$17))</f>
        <v>13.405259858438381</v>
      </c>
      <c r="V661" s="54">
        <f>inputs!$E$70*(F661/inputs!$F$70)^(0.25)</f>
        <v>2.2148395646629968</v>
      </c>
      <c r="W661" s="54">
        <f>inputs!$E$76*(F661/inputs!$F$76)^(0.25)</f>
        <v>0.15924794914168131</v>
      </c>
      <c r="X661" s="54">
        <f>inputs!$E$72*(inputs!$F$72/F661)^(0.25)</f>
        <v>112.82984284147192</v>
      </c>
      <c r="Y661" s="54" t="s">
        <v>13</v>
      </c>
      <c r="Z661" s="106">
        <f t="shared" si="55"/>
        <v>232.45414916636119</v>
      </c>
      <c r="AA661" s="106">
        <f t="shared" si="56"/>
        <v>3233.000169350219</v>
      </c>
    </row>
    <row r="662" spans="1:27" ht="13.2" x14ac:dyDescent="0.25">
      <c r="A662" s="55" t="s">
        <v>552</v>
      </c>
      <c r="B662" s="49" t="s">
        <v>553</v>
      </c>
      <c r="C662" s="21" t="s">
        <v>61</v>
      </c>
      <c r="D662" s="20" t="s">
        <v>443</v>
      </c>
      <c r="E662" s="20">
        <v>35</v>
      </c>
      <c r="F662" s="21">
        <v>15</v>
      </c>
      <c r="G662" s="21" t="s">
        <v>456</v>
      </c>
      <c r="H662" s="21">
        <v>0.68</v>
      </c>
      <c r="I662" s="68">
        <f>MAX('Max rate concentrations'!$J$3:$J$368)</f>
        <v>686.46486205830786</v>
      </c>
      <c r="J662" s="68">
        <f>MAX('Max rate concentrations'!AB:AB)</f>
        <v>243.122971978984</v>
      </c>
      <c r="K662" s="70">
        <f t="shared" si="53"/>
        <v>409.05729760480182</v>
      </c>
      <c r="L662" s="70">
        <f t="shared" si="54"/>
        <v>144.87445956836729</v>
      </c>
      <c r="M662" s="70">
        <f>IF((((0.326*F662^0.818)-(0.398*F662^0.85)/(1-H662)*H662)*(MAX('Max rate concentrations'!$P$3:$P$368)))/F662&gt;0, (((0.326*F662^0.818)-(0.398*F662^0.85)/(1-H662)*H662)*(MAX('Max rate concentrations'!$P$3:$P$368)))/F662, 0)</f>
        <v>0</v>
      </c>
      <c r="N662" s="70">
        <f>IF((((0.326*F662^0.818)-(0.398*F662^0.85)/(1-H662)*H662)*(MAX('Max rate concentrations'!$Q$3:$Q$368)))/F662&gt; 0, (((0.326*F662^0.818)-(0.398*F662^0.85)/(1-H662)*H662)*(MAX('Max rate concentrations'!$Q$3:$Q$368)))/F662, 0)</f>
        <v>0</v>
      </c>
      <c r="O662" s="70">
        <f>((MAX('Max rate concentrations'!$F$3:$F$368))*0.62*6.01*8*(12.3*F662^0.65)*0.079*0.1/F662)*inputs!$E$73/inputs!$E$74</f>
        <v>104.92750258141861</v>
      </c>
      <c r="P662" s="70">
        <f>((MAX('Max rate concentrations'!Y:Y))*0.62*6.01*8*(12.3*F662^0.65)*0.079*0.1/F662)*inputs!$E$73/inputs!$E$74</f>
        <v>34.9758341938062</v>
      </c>
      <c r="Q662" s="70">
        <f>(inputs!$C$18*11.2*(12.3*F662^0.65)*0.5/F662)*inputs!$E$73/inputs!$E$74</f>
        <v>18.482484680957491</v>
      </c>
      <c r="R662" s="60">
        <f>(60*379*((F662/1000)^0.8)*3*24*(MAX('Max rate concentrations'!$R$3:$R$368))/F662)*(inputs!$E$73/inputs!$E$75)</f>
        <v>2.5568806496861746E-2</v>
      </c>
      <c r="S662" s="60">
        <f>(IF(inputs!$C$17="aerial",((0.025*0.112*inputs!$C$18/3.3)*(3*60*379*((F662/1000)^0.8))*MAX(inputs!$I$14:$I$16))/F662,((0.0083*0.112*inputs!$C$18/1)*(3*60*379*((F662/1000)^0.8))*MAX(inputs!$I$14:$I$16))/F662))*(inputs!E$75/inputs!$E$73)</f>
        <v>0.14101353873443245</v>
      </c>
      <c r="T662" s="63">
        <f>IF((((inputs!$P$13/(V662/MAX(K662:S662)))^(1/inputs!$O$13))-1)/inputs!$N$13&lt;0, 0, IF((((inputs!$P$13/(V662/MAX(K662:S662)))^(1/inputs!$O$13))-1)/inputs!$N$13&lt;inputs!$I$17, (((inputs!$P$13/(V662/MAX(K662:S662)))^(1/inputs!$O$13))-1)/inputs!$N$13, inputs!$I$17))</f>
        <v>366.27042819788079</v>
      </c>
      <c r="U662" s="63">
        <f>IF((((inputs!$P$13/(X662/MAX(K662:S662)))^(1/inputs!$O$13))-1)/inputs!$N$13&lt;0, 0, IF((((inputs!$P$13/(X662/MAX(K662:S662)))^(1/inputs!$O$13))-1)/inputs!$N$13&lt;inputs!$I$17, (((inputs!$P$13/(X662/MAX(K662:S662)))^(1/inputs!$O$13))-1)/inputs!$N$13, inputs!$I$17))</f>
        <v>10.24268020493939</v>
      </c>
      <c r="V662" s="54">
        <f>inputs!$E$70*(F662/inputs!$F$70)^(0.25)</f>
        <v>2.2148395646629968</v>
      </c>
      <c r="W662" s="54">
        <f>inputs!$E$76*(F662/inputs!$F$76)^(0.25)</f>
        <v>0.15924794914168131</v>
      </c>
      <c r="X662" s="54">
        <f>inputs!$E$72*(inputs!$F$72/F662)^(0.25)</f>
        <v>112.82984284147192</v>
      </c>
      <c r="Y662" s="54" t="s">
        <v>13</v>
      </c>
      <c r="Z662" s="106">
        <f t="shared" si="55"/>
        <v>184.68935815088832</v>
      </c>
      <c r="AA662" s="106">
        <f t="shared" si="56"/>
        <v>2568.6817306568114</v>
      </c>
    </row>
    <row r="663" spans="1:27" ht="13.2" x14ac:dyDescent="0.25">
      <c r="A663" s="55" t="s">
        <v>552</v>
      </c>
      <c r="B663" s="49" t="s">
        <v>553</v>
      </c>
      <c r="C663" s="21" t="s">
        <v>61</v>
      </c>
      <c r="D663" s="20" t="s">
        <v>443</v>
      </c>
      <c r="E663" s="20">
        <v>35</v>
      </c>
      <c r="F663" s="21">
        <v>15</v>
      </c>
      <c r="G663" s="21" t="s">
        <v>145</v>
      </c>
      <c r="H663" s="21">
        <v>0.66</v>
      </c>
      <c r="I663" s="68">
        <f>MAX('Max rate concentrations'!$M$3:$M$368)</f>
        <v>17.092910873809167</v>
      </c>
      <c r="J663" s="68">
        <f>MAX('Max rate concentrations'!AE:AE)</f>
        <v>11.81956602976166</v>
      </c>
      <c r="K663" s="70">
        <f t="shared" si="53"/>
        <v>9.5863420793826482</v>
      </c>
      <c r="L663" s="70">
        <f t="shared" si="54"/>
        <v>6.628853565530556</v>
      </c>
      <c r="M663" s="70">
        <f>IF((((0.326*F663^0.818)-(0.398*F663^0.85)/(1-H663)*H663)*(MAX('Max rate concentrations'!$P$3:$P$368)))/F663&gt;0, (((0.326*F663^0.818)-(0.398*F663^0.85)/(1-H663)*H663)*(MAX('Max rate concentrations'!$P$3:$P$368)))/F663, 0)</f>
        <v>0</v>
      </c>
      <c r="N663" s="70">
        <f>IF((((0.326*F663^0.818)-(0.398*F663^0.85)/(1-H663)*H663)*(MAX('Max rate concentrations'!$Q$3:$Q$368)))/F663&gt; 0, (((0.326*F663^0.818)-(0.398*F663^0.85)/(1-H663)*H663)*(MAX('Max rate concentrations'!$Q$3:$Q$368)))/F663, 0)</f>
        <v>0</v>
      </c>
      <c r="O663" s="70">
        <f>((MAX('Max rate concentrations'!$F$3:$F$368))*0.62*6.01*8*(12.3*F663^0.65)*0.079*0.1/F663)*inputs!$E$73/inputs!$E$74</f>
        <v>104.92750258141861</v>
      </c>
      <c r="P663" s="70">
        <f>((MAX('Max rate concentrations'!Y:Y))*0.62*6.01*8*(12.3*F663^0.65)*0.079*0.1/F663)*inputs!$E$73/inputs!$E$74</f>
        <v>34.9758341938062</v>
      </c>
      <c r="Q663" s="70">
        <f>(inputs!$C$18*11.2*(12.3*F663^0.65)*0.5/F663)*inputs!$E$73/inputs!$E$74</f>
        <v>18.482484680957491</v>
      </c>
      <c r="R663" s="60">
        <f>(60*379*((F663/1000)^0.8)*3*24*(MAX('Max rate concentrations'!$R$3:$R$368))/F663)*(inputs!$E$73/inputs!$E$75)</f>
        <v>2.5568806496861746E-2</v>
      </c>
      <c r="S663" s="60">
        <f>(IF(inputs!$C$17="aerial",((0.025*0.112*inputs!$C$18/3.3)*(3*60*379*((F663/1000)^0.8))*MAX(inputs!$I$14:$I$16))/F663,((0.0083*0.112*inputs!$C$18/1)*(3*60*379*((F663/1000)^0.8))*MAX(inputs!$I$14:$I$16))/F663))*(inputs!E$75/inputs!$E$73)</f>
        <v>0.14101353873443245</v>
      </c>
      <c r="T663" s="63">
        <f>IF((((inputs!$P$13/(V663/MAX(K663:S663)))^(1/inputs!$O$13))-1)/inputs!$N$13&lt;0, 0, IF((((inputs!$P$13/(V663/MAX(K663:S663)))^(1/inputs!$O$13))-1)/inputs!$N$13&lt;inputs!$I$17, (((inputs!$P$13/(V663/MAX(K663:S663)))^(1/inputs!$O$13))-1)/inputs!$N$13, inputs!$I$17))</f>
        <v>118.4009365573144</v>
      </c>
      <c r="U663" s="63">
        <f>IF((((inputs!$P$13/(X663/MAX(K663:S663)))^(1/inputs!$O$13))-1)/inputs!$N$13&lt;0, 0, IF((((inputs!$P$13/(X663/MAX(K663:S663)))^(1/inputs!$O$13))-1)/inputs!$N$13&lt;inputs!$I$17, (((inputs!$P$13/(X663/MAX(K663:S663)))^(1/inputs!$O$13))-1)/inputs!$N$13, inputs!$I$17))</f>
        <v>0</v>
      </c>
      <c r="V663" s="54">
        <f>inputs!$E$70*(F663/inputs!$F$70)^(0.25)</f>
        <v>2.2148395646629968</v>
      </c>
      <c r="W663" s="54">
        <f>inputs!$E$76*(F663/inputs!$F$76)^(0.25)</f>
        <v>0.15924794914168131</v>
      </c>
      <c r="X663" s="54">
        <f>inputs!$E$72*(inputs!$F$72/F663)^(0.25)</f>
        <v>112.82984284147192</v>
      </c>
      <c r="Y663" s="54" t="s">
        <v>13</v>
      </c>
      <c r="Z663" s="106">
        <f t="shared" si="55"/>
        <v>47.374764409802324</v>
      </c>
      <c r="AA663" s="106">
        <f t="shared" si="56"/>
        <v>658.89390191182724</v>
      </c>
    </row>
    <row r="664" spans="1:27" ht="13.2" x14ac:dyDescent="0.25">
      <c r="A664" s="55" t="s">
        <v>552</v>
      </c>
      <c r="B664" s="49" t="s">
        <v>553</v>
      </c>
      <c r="C664" s="21" t="s">
        <v>61</v>
      </c>
      <c r="D664" s="20" t="s">
        <v>443</v>
      </c>
      <c r="E664" s="20">
        <v>35</v>
      </c>
      <c r="F664" s="21">
        <v>15</v>
      </c>
      <c r="G664" s="21" t="s">
        <v>154</v>
      </c>
      <c r="H664" s="21">
        <v>9.2999999999999999E-2</v>
      </c>
      <c r="I664" s="68">
        <f>MAX('Max rate concentrations'!$G$3:$G$368)</f>
        <v>45</v>
      </c>
      <c r="J664" s="68">
        <f>MAX('Max rate concentrations'!Z:Z)</f>
        <v>21</v>
      </c>
      <c r="K664" s="70">
        <f t="shared" si="53"/>
        <v>9.4606513514099753</v>
      </c>
      <c r="L664" s="70">
        <f t="shared" si="54"/>
        <v>4.4149706306579883</v>
      </c>
      <c r="M664" s="70">
        <f>IF((((0.326*F664^0.818)-(0.398*F664^0.85)/(1-H664)*H664)*(MAX('Max rate concentrations'!$P$3:$P$368)))/F664&gt;0, (((0.326*F664^0.818)-(0.398*F664^0.85)/(1-H664)*H664)*(MAX('Max rate concentrations'!$P$3:$P$368)))/F664, 0)</f>
        <v>0.1497569099960554</v>
      </c>
      <c r="N664" s="70">
        <f>IF((((0.326*F664^0.818)-(0.398*F664^0.85)/(1-H664)*H664)*(MAX('Max rate concentrations'!$Q$3:$Q$368)))/F664&gt; 0, (((0.326*F664^0.818)-(0.398*F664^0.85)/(1-H664)*H664)*(MAX('Max rate concentrations'!$Q$3:$Q$368)))/F664, 0)</f>
        <v>0.57028235995611254</v>
      </c>
      <c r="O664" s="70">
        <f>((MAX('Max rate concentrations'!$F$3:$F$368))*0.62*6.01*8*(12.3*F664^0.65)*0.079*0.1/F664)*inputs!$E$73/inputs!$E$74</f>
        <v>104.92750258141861</v>
      </c>
      <c r="P664" s="70">
        <f>((MAX('Max rate concentrations'!Y:Y))*0.62*6.01*8*(12.3*F664^0.65)*0.079*0.1/F664)*inputs!$E$73/inputs!$E$74</f>
        <v>34.9758341938062</v>
      </c>
      <c r="Q664" s="70">
        <f>(inputs!$C$18*11.2*(12.3*F664^0.65)*0.5/F664)*inputs!$E$73/inputs!$E$74</f>
        <v>18.482484680957491</v>
      </c>
      <c r="R664" s="60">
        <f>(60*379*((F664/1000)^0.8)*3*24*(MAX('Max rate concentrations'!$R$3:$R$368))/F664)*(inputs!$E$73/inputs!$E$75)</f>
        <v>2.5568806496861746E-2</v>
      </c>
      <c r="S664" s="60">
        <f>(IF(inputs!$C$17="aerial",((0.025*0.112*inputs!$C$18/3.3)*(3*60*379*((F664/1000)^0.8))*MAX(inputs!$I$14:$I$16))/F664,((0.0083*0.112*inputs!$C$18/1)*(3*60*379*((F664/1000)^0.8))*MAX(inputs!$I$14:$I$16))/F664))*(inputs!E$75/inputs!$E$73)</f>
        <v>0.14101353873443245</v>
      </c>
      <c r="T664" s="63">
        <f>IF((((inputs!$P$13/(V664/MAX(K664:S664)))^(1/inputs!$O$13))-1)/inputs!$N$13&lt;0, 0, IF((((inputs!$P$13/(V664/MAX(K664:S664)))^(1/inputs!$O$13))-1)/inputs!$N$13&lt;inputs!$I$17, (((inputs!$P$13/(V664/MAX(K664:S664)))^(1/inputs!$O$13))-1)/inputs!$N$13, inputs!$I$17))</f>
        <v>118.4009365573144</v>
      </c>
      <c r="U664" s="63">
        <f>IF((((inputs!$P$13/(X664/MAX(K664:S664)))^(1/inputs!$O$13))-1)/inputs!$N$13&lt;0, 0, IF((((inputs!$P$13/(X664/MAX(K664:S664)))^(1/inputs!$O$13))-1)/inputs!$N$13&lt;inputs!$I$17, (((inputs!$P$13/(X664/MAX(K664:S664)))^(1/inputs!$O$13))-1)/inputs!$N$13, inputs!$I$17))</f>
        <v>0</v>
      </c>
      <c r="V664" s="54">
        <f>inputs!$E$70*(F664/inputs!$F$70)^(0.25)</f>
        <v>2.2148395646629968</v>
      </c>
      <c r="W664" s="54">
        <f>inputs!$E$76*(F664/inputs!$F$76)^(0.25)</f>
        <v>0.15924794914168131</v>
      </c>
      <c r="X664" s="54">
        <f>inputs!$E$72*(inputs!$F$72/F664)^(0.25)</f>
        <v>112.82984284147192</v>
      </c>
      <c r="Y664" s="54" t="s">
        <v>13</v>
      </c>
      <c r="Z664" s="106">
        <f t="shared" si="55"/>
        <v>47.374764409802324</v>
      </c>
      <c r="AA664" s="106">
        <f t="shared" si="56"/>
        <v>658.89390191182724</v>
      </c>
    </row>
    <row r="665" spans="1:27" ht="13.2" x14ac:dyDescent="0.25">
      <c r="A665" s="55" t="s">
        <v>441</v>
      </c>
      <c r="B665" s="49" t="s">
        <v>442</v>
      </c>
      <c r="C665" s="21" t="s">
        <v>61</v>
      </c>
      <c r="D665" s="20" t="s">
        <v>443</v>
      </c>
      <c r="E665" s="20">
        <v>49</v>
      </c>
      <c r="F665" s="21">
        <v>453</v>
      </c>
      <c r="G665" s="21" t="s">
        <v>177</v>
      </c>
      <c r="H665" s="21">
        <v>0.85</v>
      </c>
      <c r="I665" s="68">
        <f>MAX('Max rate concentrations'!$F$3:$F$368)</f>
        <v>405</v>
      </c>
      <c r="J665" s="68">
        <f>MAX('Max rate concentrations'!Y:Y)</f>
        <v>135</v>
      </c>
      <c r="K665" s="70">
        <f t="shared" si="53"/>
        <v>116.51894621442229</v>
      </c>
      <c r="L665" s="70">
        <f t="shared" si="54"/>
        <v>38.839648738140767</v>
      </c>
      <c r="M665" s="70">
        <f>IF((((0.326*F665^0.818)-(0.398*F665^0.85)/(1-H665)*H665)*(MAX('Max rate concentrations'!$P$3:$P$368)))/F665&gt;0, (((0.326*F665^0.818)-(0.398*F665^0.85)/(1-H665)*H665)*(MAX('Max rate concentrations'!$P$3:$P$368)))/F665, 0)</f>
        <v>0</v>
      </c>
      <c r="N665" s="70">
        <f>IF((((0.326*F665^0.818)-(0.398*F665^0.85)/(1-H665)*H665)*(MAX('Max rate concentrations'!$Q$3:$Q$368)))/F665&gt; 0, (((0.326*F665^0.818)-(0.398*F665^0.85)/(1-H665)*H665)*(MAX('Max rate concentrations'!$Q$3:$Q$368)))/F665, 0)</f>
        <v>0</v>
      </c>
      <c r="O665" s="70">
        <f>((MAX('Max rate concentrations'!$F$3:$F$368))*0.62*6.01*8*(12.3*F665^0.65)*0.079*0.1/F665)*inputs!$E$73/inputs!$E$74</f>
        <v>31.83368438463064</v>
      </c>
      <c r="P665" s="70">
        <f>((MAX('Max rate concentrations'!Y:Y))*0.62*6.01*8*(12.3*F665^0.65)*0.079*0.1/F665)*inputs!$E$73/inputs!$E$74</f>
        <v>10.611228128210213</v>
      </c>
      <c r="Q665" s="70">
        <f>(inputs!$C$18*11.2*(12.3*F665^0.65)*0.5/F665)*inputs!$E$73/inputs!$E$74</f>
        <v>5.6073533582944899</v>
      </c>
      <c r="R665" s="60">
        <f>(60*379*((F665/1000)^0.8)*3*24*(MAX('Max rate concentrations'!$R$3:$R$368))/F665)*(inputs!$E$73/inputs!$E$75)</f>
        <v>1.293329155177321E-2</v>
      </c>
      <c r="S665" s="60">
        <f>(IF(inputs!$C$17="aerial",((0.025*0.112*inputs!$C$18/3.3)*(3*60*379*((F665/1000)^0.8))*MAX(inputs!$I$14:$I$16))/F665,((0.0083*0.112*inputs!$C$18/1)*(3*60*379*((F665/1000)^0.8))*MAX(inputs!$I$14:$I$16))/F665))*(inputs!E$75/inputs!$E$73)</f>
        <v>7.1327897507594856E-2</v>
      </c>
      <c r="T665" s="63">
        <f>IF((((inputs!$P$13/(V665/MAX(K665:S665)))^(1/inputs!$O$13))-1)/inputs!$N$13&lt;0, 0, IF((((inputs!$P$13/(V665/MAX(K665:S665)))^(1/inputs!$O$13))-1)/inputs!$N$13&lt;inputs!$I$17, (((inputs!$P$13/(V665/MAX(K665:S665)))^(1/inputs!$O$13))-1)/inputs!$N$13, inputs!$I$17))</f>
        <v>62.335675545199891</v>
      </c>
      <c r="U665" s="63">
        <f>IF((((inputs!$P$13/(X665/MAX(K665:S665)))^(1/inputs!$O$13))-1)/inputs!$N$13&lt;0, 0, IF((((inputs!$P$13/(X665/MAX(K665:S665)))^(1/inputs!$O$13))-1)/inputs!$N$13&lt;inputs!$I$17, (((inputs!$P$13/(X665/MAX(K665:S665)))^(1/inputs!$O$13))-1)/inputs!$N$13, inputs!$I$17))</f>
        <v>5.9325837052814805</v>
      </c>
      <c r="V665" s="54">
        <f>inputs!$E$70*(F665/inputs!$F$70)^(0.25)</f>
        <v>5.19211147999874</v>
      </c>
      <c r="W665" s="54">
        <f>inputs!$E$76*(F665/inputs!$F$76)^(0.25)</f>
        <v>0.37331512317940163</v>
      </c>
      <c r="X665" s="54">
        <f>inputs!$E$72*(inputs!$F$72/F665)^(0.25)</f>
        <v>48.130707701996535</v>
      </c>
      <c r="Y665" s="54" t="s">
        <v>13</v>
      </c>
      <c r="Z665" s="106">
        <f t="shared" si="55"/>
        <v>22.441533981556685</v>
      </c>
      <c r="AA665" s="106">
        <f t="shared" si="56"/>
        <v>312.11954453403575</v>
      </c>
    </row>
    <row r="666" spans="1:27" ht="13.2" x14ac:dyDescent="0.25">
      <c r="A666" s="55" t="s">
        <v>613</v>
      </c>
      <c r="B666" s="49" t="s">
        <v>614</v>
      </c>
      <c r="C666" s="21" t="s">
        <v>61</v>
      </c>
      <c r="D666" s="20" t="s">
        <v>443</v>
      </c>
      <c r="E666" s="20">
        <v>52</v>
      </c>
      <c r="F666" s="21">
        <v>3</v>
      </c>
      <c r="G666" s="21" t="s">
        <v>142</v>
      </c>
      <c r="H666" s="21">
        <v>0.69</v>
      </c>
      <c r="I666" s="68">
        <f>MAX('Max rate concentrations'!$H$3:$H$368)</f>
        <v>282</v>
      </c>
      <c r="J666" s="68">
        <f>MAX('Max rate concentrations'!AA:AA)</f>
        <v>195</v>
      </c>
      <c r="K666" s="70">
        <f t="shared" si="53"/>
        <v>349.90822210259756</v>
      </c>
      <c r="L666" s="70">
        <f t="shared" si="54"/>
        <v>241.95781315605151</v>
      </c>
      <c r="M666" s="70">
        <f>IF((((0.326*F666^0.818)-(0.398*F666^0.85)/(1-H666)*H666)*(MAX('Max rate concentrations'!$P$3:$P$368)))/F666&gt;0, (((0.326*F666^0.818)-(0.398*F666^0.85)/(1-H666)*H666)*(MAX('Max rate concentrations'!$P$3:$P$368)))/F666, 0)</f>
        <v>0</v>
      </c>
      <c r="N666" s="70">
        <f>IF((((0.326*F666^0.818)-(0.398*F666^0.85)/(1-H666)*H666)*(MAX('Max rate concentrations'!$Q$3:$Q$368)))/F666&gt; 0, (((0.326*F666^0.818)-(0.398*F666^0.85)/(1-H666)*H666)*(MAX('Max rate concentrations'!$Q$3:$Q$368)))/F666, 0)</f>
        <v>0</v>
      </c>
      <c r="O666" s="70">
        <f>((MAX('Max rate concentrations'!$F$3:$F$368))*0.62*6.01*8*(12.3*F666^0.65)*0.079*0.1/F666)*inputs!$E$73/inputs!$E$74</f>
        <v>184.30148634064577</v>
      </c>
      <c r="P666" s="70">
        <f>((MAX('Max rate concentrations'!Y:Y))*0.62*6.01*8*(12.3*F666^0.65)*0.079*0.1/F666)*inputs!$E$73/inputs!$E$74</f>
        <v>61.433828780215258</v>
      </c>
      <c r="Q666" s="70">
        <f>(inputs!$C$18*11.2*(12.3*F666^0.65)*0.5/F666)*inputs!$E$73/inputs!$E$74</f>
        <v>32.463837546552874</v>
      </c>
      <c r="R666" s="60">
        <f>(60*379*((F666/1000)^0.8)*3*24*(MAX('Max rate concentrations'!$R$3:$R$368))/F666)*(inputs!$E$73/inputs!$E$75)</f>
        <v>3.5278040731882357E-2</v>
      </c>
      <c r="S666" s="60">
        <f>(IF(inputs!$C$17="aerial",((0.025*0.112*inputs!$C$18/3.3)*(3*60*379*((F666/1000)^0.8))*MAX(inputs!$I$14:$I$16))/F666,((0.0083*0.112*inputs!$C$18/1)*(3*60*379*((F666/1000)^0.8))*MAX(inputs!$I$14:$I$16))/F666))*(inputs!E$75/inputs!$E$73)</f>
        <v>0.19456056205950639</v>
      </c>
      <c r="T666" s="63">
        <f>IF((((inputs!$P$13/(V666/MAX(K666:S666)))^(1/inputs!$O$13))-1)/inputs!$N$13&lt;0, 0, IF((((inputs!$P$13/(V666/MAX(K666:S666)))^(1/inputs!$O$13))-1)/inputs!$N$13&lt;inputs!$I$17, (((inputs!$P$13/(V666/MAX(K666:S666)))^(1/inputs!$O$13))-1)/inputs!$N$13, inputs!$I$17))</f>
        <v>448.1011775146273</v>
      </c>
      <c r="U666" s="63">
        <f>IF((((inputs!$P$13/(X666/MAX(K666:S666)))^(1/inputs!$O$13))-1)/inputs!$N$13&lt;0, 0, IF((((inputs!$P$13/(X666/MAX(K666:S666)))^(1/inputs!$O$13))-1)/inputs!$N$13&lt;inputs!$I$17, (((inputs!$P$13/(X666/MAX(K666:S666)))^(1/inputs!$O$13))-1)/inputs!$N$13, inputs!$I$17))</f>
        <v>4.6202330701782675</v>
      </c>
      <c r="V666" s="54">
        <f>inputs!$E$70*(F666/inputs!$F$70)^(0.25)</f>
        <v>1.4811524859465783</v>
      </c>
      <c r="W666" s="54">
        <f>inputs!$E$76*(F666/inputs!$F$76)^(0.25)</f>
        <v>0.10649552207587769</v>
      </c>
      <c r="X666" s="54">
        <f>inputs!$E$72*(inputs!$F$72/F666)^(0.25)</f>
        <v>168.71996797837687</v>
      </c>
      <c r="Y666" s="54" t="s">
        <v>13</v>
      </c>
      <c r="Z666" s="106">
        <f t="shared" si="55"/>
        <v>236.24051231901177</v>
      </c>
      <c r="AA666" s="106">
        <f t="shared" si="56"/>
        <v>3285.6613619236418</v>
      </c>
    </row>
    <row r="667" spans="1:27" ht="13.2" x14ac:dyDescent="0.25">
      <c r="A667" s="55" t="s">
        <v>613</v>
      </c>
      <c r="B667" s="49" t="s">
        <v>614</v>
      </c>
      <c r="C667" s="21" t="s">
        <v>61</v>
      </c>
      <c r="D667" s="20" t="s">
        <v>443</v>
      </c>
      <c r="E667" s="20">
        <v>52</v>
      </c>
      <c r="F667" s="21">
        <v>3</v>
      </c>
      <c r="G667" s="21" t="s">
        <v>152</v>
      </c>
      <c r="H667" s="21">
        <v>0.77</v>
      </c>
      <c r="I667" s="68">
        <f>MAX('Max rate concentrations'!$G$3:$G$368)</f>
        <v>45</v>
      </c>
      <c r="J667" s="68">
        <f>MAX('Max rate concentrations'!Z:Z)</f>
        <v>21</v>
      </c>
      <c r="K667" s="70">
        <f t="shared" si="53"/>
        <v>75.257781349541133</v>
      </c>
      <c r="L667" s="70">
        <f t="shared" si="54"/>
        <v>35.120297963119192</v>
      </c>
      <c r="M667" s="70">
        <f>IF((((0.326*F667^0.818)-(0.398*F667^0.85)/(1-H667)*H667)*(MAX('Max rate concentrations'!$P$3:$P$368)))/F667&gt;0, (((0.326*F667^0.818)-(0.398*F667^0.85)/(1-H667)*H667)*(MAX('Max rate concentrations'!$P$3:$P$368)))/F667, 0)</f>
        <v>0</v>
      </c>
      <c r="N667" s="70">
        <f>IF((((0.326*F667^0.818)-(0.398*F667^0.85)/(1-H667)*H667)*(MAX('Max rate concentrations'!$Q$3:$Q$368)))/F667&gt; 0, (((0.326*F667^0.818)-(0.398*F667^0.85)/(1-H667)*H667)*(MAX('Max rate concentrations'!$Q$3:$Q$368)))/F667, 0)</f>
        <v>0</v>
      </c>
      <c r="O667" s="70">
        <f>((MAX('Max rate concentrations'!$F$3:$F$368))*0.62*6.01*8*(12.3*F667^0.65)*0.079*0.1/F667)*inputs!$E$73/inputs!$E$74</f>
        <v>184.30148634064577</v>
      </c>
      <c r="P667" s="70">
        <f>((MAX('Max rate concentrations'!Y:Y))*0.62*6.01*8*(12.3*F667^0.65)*0.079*0.1/F667)*inputs!$E$73/inputs!$E$74</f>
        <v>61.433828780215258</v>
      </c>
      <c r="Q667" s="70">
        <f>(inputs!$C$18*11.2*(12.3*F667^0.65)*0.5/F667)*inputs!$E$73/inputs!$E$74</f>
        <v>32.463837546552874</v>
      </c>
      <c r="R667" s="60">
        <f>(60*379*((F667/1000)^0.8)*3*24*(MAX('Max rate concentrations'!$R$3:$R$368))/F667)*(inputs!$E$73/inputs!$E$75)</f>
        <v>3.5278040731882357E-2</v>
      </c>
      <c r="S667" s="60">
        <f>(IF(inputs!$C$17="aerial",((0.025*0.112*inputs!$C$18/3.3)*(3*60*379*((F667/1000)^0.8))*MAX(inputs!$I$14:$I$16))/F667,((0.0083*0.112*inputs!$C$18/1)*(3*60*379*((F667/1000)^0.8))*MAX(inputs!$I$14:$I$16))/F667))*(inputs!E$75/inputs!$E$73)</f>
        <v>0.19456056205950639</v>
      </c>
      <c r="T667" s="63">
        <f>IF((((inputs!$P$13/(V667/MAX(K667:S667)))^(1/inputs!$O$13))-1)/inputs!$N$13&lt;0, 0, IF((((inputs!$P$13/(V667/MAX(K667:S667)))^(1/inputs!$O$13))-1)/inputs!$N$13&lt;inputs!$I$17, (((inputs!$P$13/(V667/MAX(K667:S667)))^(1/inputs!$O$13))-1)/inputs!$N$13, inputs!$I$17))</f>
        <v>264.70760382103146</v>
      </c>
      <c r="U667" s="63">
        <f>IF((((inputs!$P$13/(X667/MAX(K667:S667)))^(1/inputs!$O$13))-1)/inputs!$N$13&lt;0, 0, IF((((inputs!$P$13/(X667/MAX(K667:S667)))^(1/inputs!$O$13))-1)/inputs!$N$13&lt;inputs!$I$17, (((inputs!$P$13/(X667/MAX(K667:S667)))^(1/inputs!$O$13))-1)/inputs!$N$13, inputs!$I$17))</f>
        <v>0.63638737539360513</v>
      </c>
      <c r="V667" s="54">
        <f>inputs!$E$70*(F667/inputs!$F$70)^(0.25)</f>
        <v>1.4811524859465783</v>
      </c>
      <c r="W667" s="54">
        <f>inputs!$E$76*(F667/inputs!$F$76)^(0.25)</f>
        <v>0.10649552207587769</v>
      </c>
      <c r="X667" s="54">
        <f>inputs!$E$72*(inputs!$F$72/F667)^(0.25)</f>
        <v>168.71996797837687</v>
      </c>
      <c r="Y667" s="54" t="s">
        <v>13</v>
      </c>
      <c r="Z667" s="106">
        <f t="shared" si="55"/>
        <v>124.43113594942383</v>
      </c>
      <c r="AA667" s="106">
        <f t="shared" si="56"/>
        <v>1730.6031535235031</v>
      </c>
    </row>
    <row r="668" spans="1:27" ht="26.4" x14ac:dyDescent="0.25">
      <c r="A668" s="55" t="s">
        <v>613</v>
      </c>
      <c r="B668" s="49" t="s">
        <v>614</v>
      </c>
      <c r="C668" s="21" t="s">
        <v>61</v>
      </c>
      <c r="D668" s="20" t="s">
        <v>443</v>
      </c>
      <c r="E668" s="20">
        <v>52</v>
      </c>
      <c r="F668" s="21">
        <v>3</v>
      </c>
      <c r="G668" s="21" t="s">
        <v>580</v>
      </c>
      <c r="H668" s="21">
        <v>0.85</v>
      </c>
      <c r="I668" s="68">
        <f>MAX('Max rate concentrations'!$F$3:$F$368)</f>
        <v>405</v>
      </c>
      <c r="J668" s="68">
        <f>MAX('Max rate concentrations'!Y:Y)</f>
        <v>135</v>
      </c>
      <c r="K668" s="70">
        <f t="shared" si="53"/>
        <v>1038.5573826236671</v>
      </c>
      <c r="L668" s="70">
        <f t="shared" si="54"/>
        <v>346.1857942078891</v>
      </c>
      <c r="M668" s="70">
        <f>IF((((0.326*F668^0.818)-(0.398*F668^0.85)/(1-H668)*H668)*(MAX('Max rate concentrations'!$P$3:$P$368)))/F668&gt;0, (((0.326*F668^0.818)-(0.398*F668^0.85)/(1-H668)*H668)*(MAX('Max rate concentrations'!$P$3:$P$368)))/F668, 0)</f>
        <v>0</v>
      </c>
      <c r="N668" s="70">
        <f>IF((((0.326*F668^0.818)-(0.398*F668^0.85)/(1-H668)*H668)*(MAX('Max rate concentrations'!$Q$3:$Q$368)))/F668&gt; 0, (((0.326*F668^0.818)-(0.398*F668^0.85)/(1-H668)*H668)*(MAX('Max rate concentrations'!$Q$3:$Q$368)))/F668, 0)</f>
        <v>0</v>
      </c>
      <c r="O668" s="70">
        <f>((MAX('Max rate concentrations'!$F$3:$F$368))*0.62*6.01*8*(12.3*F668^0.65)*0.079*0.1/F668)*inputs!$E$73/inputs!$E$74</f>
        <v>184.30148634064577</v>
      </c>
      <c r="P668" s="70">
        <f>((MAX('Max rate concentrations'!Y:Y))*0.62*6.01*8*(12.3*F668^0.65)*0.079*0.1/F668)*inputs!$E$73/inputs!$E$74</f>
        <v>61.433828780215258</v>
      </c>
      <c r="Q668" s="70">
        <f>(inputs!$C$18*11.2*(12.3*F668^0.65)*0.5/F668)*inputs!$E$73/inputs!$E$74</f>
        <v>32.463837546552874</v>
      </c>
      <c r="R668" s="60">
        <f>(60*379*((F668/1000)^0.8)*3*24*(MAX('Max rate concentrations'!$R$3:$R$368))/F668)*(inputs!$E$73/inputs!$E$75)</f>
        <v>3.5278040731882357E-2</v>
      </c>
      <c r="S668" s="60">
        <f>(IF(inputs!$C$17="aerial",((0.025*0.112*inputs!$C$18/3.3)*(3*60*379*((F668/1000)^0.8))*MAX(inputs!$I$14:$I$16))/F668,((0.0083*0.112*inputs!$C$18/1)*(3*60*379*((F668/1000)^0.8))*MAX(inputs!$I$14:$I$16))/F668))*(inputs!E$75/inputs!$E$73)</f>
        <v>0.19456056205950639</v>
      </c>
      <c r="T668" s="63">
        <f>IF((((inputs!$P$13/(V668/MAX(K668:S668)))^(1/inputs!$O$13))-1)/inputs!$N$13&lt;0, 0, IF((((inputs!$P$13/(V668/MAX(K668:S668)))^(1/inputs!$O$13))-1)/inputs!$N$13&lt;inputs!$I$17, (((inputs!$P$13/(V668/MAX(K668:S668)))^(1/inputs!$O$13))-1)/inputs!$N$13, inputs!$I$17))</f>
        <v>1000</v>
      </c>
      <c r="U668" s="63">
        <f>IF((((inputs!$P$13/(X668/MAX(K668:S668)))^(1/inputs!$O$13))-1)/inputs!$N$13&lt;0, 0, IF((((inputs!$P$13/(X668/MAX(K668:S668)))^(1/inputs!$O$13))-1)/inputs!$N$13&lt;inputs!$I$17, (((inputs!$P$13/(X668/MAX(K668:S668)))^(1/inputs!$O$13))-1)/inputs!$N$13, inputs!$I$17))</f>
        <v>18.508657433738318</v>
      </c>
      <c r="V668" s="54">
        <f>inputs!$E$70*(F668/inputs!$F$70)^(0.25)</f>
        <v>1.4811524859465783</v>
      </c>
      <c r="W668" s="54">
        <f>inputs!$E$76*(F668/inputs!$F$76)^(0.25)</f>
        <v>0.10649552207587769</v>
      </c>
      <c r="X668" s="54">
        <f>inputs!$E$72*(inputs!$F$72/F668)^(0.25)</f>
        <v>168.71996797837687</v>
      </c>
      <c r="Y668" s="54" t="s">
        <v>13</v>
      </c>
      <c r="Z668" s="106">
        <f t="shared" si="55"/>
        <v>701.18194613834339</v>
      </c>
      <c r="AA668" s="106">
        <f t="shared" si="56"/>
        <v>9752.1225529435742</v>
      </c>
    </row>
    <row r="669" spans="1:27" ht="13.2" x14ac:dyDescent="0.25">
      <c r="A669" s="55" t="s">
        <v>613</v>
      </c>
      <c r="B669" s="49" t="s">
        <v>614</v>
      </c>
      <c r="C669" s="21" t="s">
        <v>61</v>
      </c>
      <c r="D669" s="20" t="s">
        <v>443</v>
      </c>
      <c r="E669" s="20">
        <v>52</v>
      </c>
      <c r="F669" s="21">
        <v>3</v>
      </c>
      <c r="G669" s="21" t="s">
        <v>154</v>
      </c>
      <c r="H669" s="21">
        <v>9.2999999999999999E-2</v>
      </c>
      <c r="I669" s="68">
        <f>MAX('Max rate concentrations'!$G$3:$G$368)</f>
        <v>45</v>
      </c>
      <c r="J669" s="68">
        <f>MAX('Max rate concentrations'!Z:Z)</f>
        <v>21</v>
      </c>
      <c r="K669" s="70">
        <f t="shared" si="53"/>
        <v>19.084112139354414</v>
      </c>
      <c r="L669" s="70">
        <f t="shared" si="54"/>
        <v>8.9059189983653937</v>
      </c>
      <c r="M669" s="70">
        <f>IF((((0.326*F669^0.818)-(0.398*F669^0.85)/(1-H669)*H669)*(MAX('Max rate concentrations'!$P$3:$P$368)))/F669&gt;0, (((0.326*F669^0.818)-(0.398*F669^0.85)/(1-H669)*H669)*(MAX('Max rate concentrations'!$P$3:$P$368)))/F669, 0)</f>
        <v>0.20231702399008647</v>
      </c>
      <c r="N669" s="70">
        <f>IF((((0.326*F669^0.818)-(0.398*F669^0.85)/(1-H669)*H669)*(MAX('Max rate concentrations'!$Q$3:$Q$368)))/F669&gt; 0, (((0.326*F669^0.818)-(0.398*F669^0.85)/(1-H669)*H669)*(MAX('Max rate concentrations'!$Q$3:$Q$368)))/F669, 0)</f>
        <v>0.77043409818887831</v>
      </c>
      <c r="O669" s="70">
        <f>((MAX('Max rate concentrations'!$F$3:$F$368))*0.62*6.01*8*(12.3*F669^0.65)*0.079*0.1/F669)*inputs!$E$73/inputs!$E$74</f>
        <v>184.30148634064577</v>
      </c>
      <c r="P669" s="70">
        <f>((MAX('Max rate concentrations'!Y:Y))*0.62*6.01*8*(12.3*F669^0.65)*0.079*0.1/F669)*inputs!$E$73/inputs!$E$74</f>
        <v>61.433828780215258</v>
      </c>
      <c r="Q669" s="70">
        <f>(inputs!$C$18*11.2*(12.3*F669^0.65)*0.5/F669)*inputs!$E$73/inputs!$E$74</f>
        <v>32.463837546552874</v>
      </c>
      <c r="R669" s="60">
        <f>(60*379*((F669/1000)^0.8)*3*24*(MAX('Max rate concentrations'!$R$3:$R$368))/F669)*(inputs!$E$73/inputs!$E$75)</f>
        <v>3.5278040731882357E-2</v>
      </c>
      <c r="S669" s="60">
        <f>(IF(inputs!$C$17="aerial",((0.025*0.112*inputs!$C$18/3.3)*(3*60*379*((F669/1000)^0.8))*MAX(inputs!$I$14:$I$16))/F669,((0.0083*0.112*inputs!$C$18/1)*(3*60*379*((F669/1000)^0.8))*MAX(inputs!$I$14:$I$16))/F669))*(inputs!E$75/inputs!$E$73)</f>
        <v>0.19456056205950639</v>
      </c>
      <c r="T669" s="63">
        <f>IF((((inputs!$P$13/(V669/MAX(K669:S669)))^(1/inputs!$O$13))-1)/inputs!$N$13&lt;0, 0, IF((((inputs!$P$13/(V669/MAX(K669:S669)))^(1/inputs!$O$13))-1)/inputs!$N$13&lt;inputs!$I$17, (((inputs!$P$13/(V669/MAX(K669:S669)))^(1/inputs!$O$13))-1)/inputs!$N$13, inputs!$I$17))</f>
        <v>264.70760382103146</v>
      </c>
      <c r="U669" s="63">
        <f>IF((((inputs!$P$13/(X669/MAX(K669:S669)))^(1/inputs!$O$13))-1)/inputs!$N$13&lt;0, 0, IF((((inputs!$P$13/(X669/MAX(K669:S669)))^(1/inputs!$O$13))-1)/inputs!$N$13&lt;inputs!$I$17, (((inputs!$P$13/(X669/MAX(K669:S669)))^(1/inputs!$O$13))-1)/inputs!$N$13, inputs!$I$17))</f>
        <v>0.63638737539360513</v>
      </c>
      <c r="V669" s="54">
        <f>inputs!$E$70*(F669/inputs!$F$70)^(0.25)</f>
        <v>1.4811524859465783</v>
      </c>
      <c r="W669" s="54">
        <f>inputs!$E$76*(F669/inputs!$F$76)^(0.25)</f>
        <v>0.10649552207587769</v>
      </c>
      <c r="X669" s="54">
        <f>inputs!$E$72*(inputs!$F$72/F669)^(0.25)</f>
        <v>168.71996797837687</v>
      </c>
      <c r="Y669" s="54" t="s">
        <v>13</v>
      </c>
      <c r="Z669" s="106">
        <f t="shared" si="55"/>
        <v>124.43113594942383</v>
      </c>
      <c r="AA669" s="106">
        <f t="shared" si="56"/>
        <v>1730.6031535235031</v>
      </c>
    </row>
    <row r="670" spans="1:27" ht="39.6" x14ac:dyDescent="0.25">
      <c r="A670" s="55" t="s">
        <v>444</v>
      </c>
      <c r="B670" s="49" t="s">
        <v>445</v>
      </c>
      <c r="C670" s="21" t="s">
        <v>61</v>
      </c>
      <c r="D670" s="20" t="s">
        <v>443</v>
      </c>
      <c r="E670" s="20">
        <v>10178</v>
      </c>
      <c r="F670" s="21">
        <v>25</v>
      </c>
      <c r="G670" s="21" t="s">
        <v>446</v>
      </c>
      <c r="H670" s="21">
        <v>9.2999999999999999E-2</v>
      </c>
      <c r="I670" s="71">
        <f>MAX('Max rate concentrations'!$D$3:$D$368)</f>
        <v>720</v>
      </c>
      <c r="J670" s="71">
        <f>MAX('Max rate concentrations'!W:W)</f>
        <v>255</v>
      </c>
      <c r="K670" s="70">
        <f t="shared" si="53"/>
        <v>121.14764207121293</v>
      </c>
      <c r="L670" s="70">
        <f t="shared" si="54"/>
        <v>42.906456566887911</v>
      </c>
      <c r="M670" s="70">
        <f>IF((((0.326*F670^0.818)-(0.398*F670^0.85)/(1-H670)*H670)*(MAX('Max rate concentrations'!$P$3:$P$368)))/F670&gt;0, (((0.326*F670^0.818)-(0.398*F670^0.85)/(1-H670)*H670)*(MAX('Max rate concentrations'!$P$3:$P$368)))/F670, 0)</f>
        <v>0.13610602481667125</v>
      </c>
      <c r="N670" s="70">
        <f>IF((((0.326*F670^0.818)-(0.398*F670^0.85)/(1-H670)*H670)*(MAX('Max rate concentrations'!$Q$3:$Q$368)))/F670&gt; 0, (((0.326*F670^0.818)-(0.398*F670^0.85)/(1-H670)*H670)*(MAX('Max rate concentrations'!$Q$3:$Q$368)))/F670, 0)</f>
        <v>0.51829905570795354</v>
      </c>
      <c r="O670" s="70">
        <f>((MAX('Max rate concentrations'!$F$3:$F$368))*0.62*6.01*8*(12.3*F670^0.65)*0.079*0.1/F670)*inputs!$E$73/inputs!$E$74</f>
        <v>87.749019786766482</v>
      </c>
      <c r="P670" s="70">
        <f>((MAX('Max rate concentrations'!Y:Y))*0.62*6.01*8*(12.3*F670^0.65)*0.079*0.1/F670)*inputs!$E$73/inputs!$E$74</f>
        <v>29.249673262255492</v>
      </c>
      <c r="Q670" s="70">
        <f>(inputs!$C$18*11.2*(12.3*F670^0.65)*0.5/F670)*inputs!$E$73/inputs!$E$74</f>
        <v>15.456575960335032</v>
      </c>
      <c r="R670" s="60">
        <f>(60*379*((F670/1000)^0.8)*3*24*(MAX('Max rate concentrations'!$R$3:$R$368))/F670)*(inputs!$E$73/inputs!$E$75)</f>
        <v>2.3085575552858627E-2</v>
      </c>
      <c r="S670" s="60">
        <f>(IF(inputs!$C$17="aerial",((0.025*0.112*inputs!$C$18/3.3)*(3*60*379*((F670/1000)^0.8))*MAX(inputs!$I$14:$I$16))/F670,((0.0083*0.112*inputs!$C$18/1)*(3*60*379*((F670/1000)^0.8))*MAX(inputs!$I$14:$I$16))/F670))*(inputs!E$75/inputs!$E$73)</f>
        <v>0.12731836751274467</v>
      </c>
      <c r="T670" s="63">
        <f>IF((((inputs!$P$13/(V670/MAX(K670:S670)))^(1/inputs!$O$13))-1)/inputs!$N$13&lt;0, 0, IF((((inputs!$P$13/(V670/MAX(K670:S670)))^(1/inputs!$O$13))-1)/inputs!$N$13&lt;inputs!$I$17, (((inputs!$P$13/(V670/MAX(K670:S670)))^(1/inputs!$O$13))-1)/inputs!$N$13, inputs!$I$17))</f>
        <v>120.01435500538686</v>
      </c>
      <c r="U670" s="63">
        <f>IF((((inputs!$P$13/(X670/MAX(K670:S670)))^(1/inputs!$O$13))-1)/inputs!$N$13&lt;0, 0, IF((((inputs!$P$13/(X670/MAX(K670:S670)))^(1/inputs!$O$13))-1)/inputs!$N$13&lt;inputs!$I$17, (((inputs!$P$13/(X670/MAX(K670:S670)))^(1/inputs!$O$13))-1)/inputs!$N$13, inputs!$I$17))</f>
        <v>1.184501511160587</v>
      </c>
      <c r="V670" s="54">
        <f>inputs!$E$70*(F670/inputs!$F$70)^(0.25)</f>
        <v>2.5165436069885425</v>
      </c>
      <c r="W670" s="54">
        <f>inputs!$E$76*(F670/inputs!$F$76)^(0.25)</f>
        <v>0.18094060388500968</v>
      </c>
      <c r="X670" s="54">
        <f>inputs!$E$72*(inputs!$F$72/F670)^(0.25)</f>
        <v>99.302868945333458</v>
      </c>
      <c r="Y670" s="54" t="s">
        <v>13</v>
      </c>
      <c r="Z670" s="106">
        <f t="shared" si="55"/>
        <v>48.140489890491494</v>
      </c>
      <c r="AA670" s="106">
        <f t="shared" si="56"/>
        <v>669.54370367971126</v>
      </c>
    </row>
    <row r="671" spans="1:27" ht="13.2" x14ac:dyDescent="0.25">
      <c r="A671" s="55" t="s">
        <v>530</v>
      </c>
      <c r="B671" s="49" t="s">
        <v>531</v>
      </c>
      <c r="C671" s="21" t="s">
        <v>61</v>
      </c>
      <c r="D671" s="20" t="s">
        <v>443</v>
      </c>
      <c r="E671" s="20">
        <v>29</v>
      </c>
      <c r="F671" s="21">
        <v>14</v>
      </c>
      <c r="G671" s="21" t="s">
        <v>142</v>
      </c>
      <c r="H671" s="21">
        <v>0.69</v>
      </c>
      <c r="I671" s="68">
        <f>MAX('Max rate concentrations'!$H$3:$H$368)</f>
        <v>282</v>
      </c>
      <c r="J671" s="68">
        <f>MAX('Max rate concentrations'!AA:AA)</f>
        <v>195</v>
      </c>
      <c r="K671" s="70">
        <f t="shared" si="53"/>
        <v>178.75870142323561</v>
      </c>
      <c r="L671" s="70">
        <f t="shared" si="54"/>
        <v>123.60974034585441</v>
      </c>
      <c r="M671" s="70">
        <f>IF((((0.326*F671^0.818)-(0.398*F671^0.85)/(1-H671)*H671)*(MAX('Max rate concentrations'!$P$3:$P$368)))/F671&gt;0, (((0.326*F671^0.818)-(0.398*F671^0.85)/(1-H671)*H671)*(MAX('Max rate concentrations'!$P$3:$P$368)))/F671, 0)</f>
        <v>0</v>
      </c>
      <c r="N671" s="70">
        <f>IF((((0.326*F671^0.818)-(0.398*F671^0.85)/(1-H671)*H671)*(MAX('Max rate concentrations'!$Q$3:$Q$368)))/F671&gt; 0, (((0.326*F671^0.818)-(0.398*F671^0.85)/(1-H671)*H671)*(MAX('Max rate concentrations'!$Q$3:$Q$368)))/F671, 0)</f>
        <v>0</v>
      </c>
      <c r="O671" s="70">
        <f>((MAX('Max rate concentrations'!$F$3:$F$368))*0.62*6.01*8*(12.3*F671^0.65)*0.079*0.1/F671)*inputs!$E$73/inputs!$E$74</f>
        <v>107.49207942662808</v>
      </c>
      <c r="P671" s="70">
        <f>((MAX('Max rate concentrations'!Y:Y))*0.62*6.01*8*(12.3*F671^0.65)*0.079*0.1/F671)*inputs!$E$73/inputs!$E$74</f>
        <v>35.83069314220937</v>
      </c>
      <c r="Q671" s="70">
        <f>(inputs!$C$18*11.2*(12.3*F671^0.65)*0.5/F671)*inputs!$E$73/inputs!$E$74</f>
        <v>18.934222796214193</v>
      </c>
      <c r="R671" s="60">
        <f>(60*379*((F671/1000)^0.8)*3*24*(MAX('Max rate concentrations'!$R$3:$R$368))/F671)*(inputs!$E$73/inputs!$E$75)</f>
        <v>2.5924064966428673E-2</v>
      </c>
      <c r="S671" s="60">
        <f>(IF(inputs!$C$17="aerial",((0.025*0.112*inputs!$C$18/3.3)*(3*60*379*((F671/1000)^0.8))*MAX(inputs!$I$14:$I$16))/F671,((0.0083*0.112*inputs!$C$18/1)*(3*60*379*((F671/1000)^0.8))*MAX(inputs!$I$14:$I$16))/F671))*(inputs!E$75/inputs!$E$73)</f>
        <v>0.1429728110205738</v>
      </c>
      <c r="T671" s="63">
        <f>IF((((inputs!$P$13/(V671/MAX(K671:S671)))^(1/inputs!$O$13))-1)/inputs!$N$13&lt;0, 0, IF((((inputs!$P$13/(V671/MAX(K671:S671)))^(1/inputs!$O$13))-1)/inputs!$N$13&lt;inputs!$I$17, (((inputs!$P$13/(V671/MAX(K671:S671)))^(1/inputs!$O$13))-1)/inputs!$N$13, inputs!$I$17))</f>
        <v>187.65103769771838</v>
      </c>
      <c r="U671" s="63">
        <f>IF((((inputs!$P$13/(X671/MAX(K671:S671)))^(1/inputs!$O$13))-1)/inputs!$N$13&lt;0, 0, IF((((inputs!$P$13/(X671/MAX(K671:S671)))^(1/inputs!$O$13))-1)/inputs!$N$13&lt;inputs!$I$17, (((inputs!$P$13/(X671/MAX(K671:S671)))^(1/inputs!$O$13))-1)/inputs!$N$13, inputs!$I$17))</f>
        <v>2.5835710071484974</v>
      </c>
      <c r="V671" s="54">
        <f>inputs!$E$70*(F671/inputs!$F$70)^(0.25)</f>
        <v>2.1769651017642926</v>
      </c>
      <c r="W671" s="54">
        <f>inputs!$E$76*(F671/inputs!$F$76)^(0.25)</f>
        <v>0.15652475842498528</v>
      </c>
      <c r="X671" s="54">
        <f>inputs!$E$72*(inputs!$F$72/F671)^(0.25)</f>
        <v>114.79283696255482</v>
      </c>
      <c r="Y671" s="54" t="s">
        <v>13</v>
      </c>
      <c r="Z671" s="106">
        <f t="shared" si="55"/>
        <v>82.11371936020609</v>
      </c>
      <c r="AA671" s="106">
        <f t="shared" si="56"/>
        <v>1142.0474512912663</v>
      </c>
    </row>
    <row r="672" spans="1:27" ht="13.2" x14ac:dyDescent="0.25">
      <c r="A672" s="55" t="s">
        <v>530</v>
      </c>
      <c r="B672" s="49" t="s">
        <v>531</v>
      </c>
      <c r="C672" s="21" t="s">
        <v>61</v>
      </c>
      <c r="D672" s="20" t="s">
        <v>443</v>
      </c>
      <c r="E672" s="20">
        <v>29</v>
      </c>
      <c r="F672" s="21">
        <v>14</v>
      </c>
      <c r="G672" s="21" t="s">
        <v>164</v>
      </c>
      <c r="H672" s="21">
        <v>0.78</v>
      </c>
      <c r="I672" s="68">
        <f>inputs!$C$66*(inputs!$C$62/1000)</f>
        <v>8.2000000000000011</v>
      </c>
      <c r="J672" s="68">
        <f>inputs!$C$66*(inputs!$C$61/1000)</f>
        <v>2.5</v>
      </c>
      <c r="K672" s="70">
        <f t="shared" si="53"/>
        <v>7.3243813510294169</v>
      </c>
      <c r="L672" s="70">
        <f t="shared" si="54"/>
        <v>2.2330430948260416</v>
      </c>
      <c r="M672" s="70">
        <f>IF((((0.326*F672^0.818)-(0.398*F672^0.85)/(1-H672)*H672)*(MAX('Max rate concentrations'!$P$3:$P$368)))/F672&gt;0, (((0.326*F672^0.818)-(0.398*F672^0.85)/(1-H672)*H672)*(MAX('Max rate concentrations'!$P$3:$P$368)))/F672, 0)</f>
        <v>0</v>
      </c>
      <c r="N672" s="70">
        <f>IF((((0.326*F672^0.818)-(0.398*F672^0.85)/(1-H672)*H672)*(MAX('Max rate concentrations'!$Q$3:$Q$368)))/F672&gt; 0, (((0.326*F672^0.818)-(0.398*F672^0.85)/(1-H672)*H672)*(MAX('Max rate concentrations'!$Q$3:$Q$368)))/F672, 0)</f>
        <v>0</v>
      </c>
      <c r="O672" s="70">
        <f>((MAX('Max rate concentrations'!$F$3:$F$368))*0.62*6.01*8*(12.3*F672^0.65)*0.079*0.1/F672)*inputs!$E$73/inputs!$E$74</f>
        <v>107.49207942662808</v>
      </c>
      <c r="P672" s="70">
        <f>((MAX('Max rate concentrations'!Y:Y))*0.62*6.01*8*(12.3*F672^0.65)*0.079*0.1/F672)*inputs!$E$73/inputs!$E$74</f>
        <v>35.83069314220937</v>
      </c>
      <c r="Q672" s="70">
        <f>(inputs!$C$18*11.2*(12.3*F672^0.65)*0.5/F672)*inputs!$E$73/inputs!$E$74</f>
        <v>18.934222796214193</v>
      </c>
      <c r="R672" s="60">
        <f>(60*379*((F672/1000)^0.8)*3*24*(MAX('Max rate concentrations'!$R$3:$R$368))/F672)*(inputs!$E$73/inputs!$E$75)</f>
        <v>2.5924064966428673E-2</v>
      </c>
      <c r="S672" s="60">
        <f>(IF(inputs!$C$17="aerial",((0.025*0.112*inputs!$C$18/3.3)*(3*60*379*((F672/1000)^0.8))*MAX(inputs!$I$14:$I$16))/F672,((0.0083*0.112*inputs!$C$18/1)*(3*60*379*((F672/1000)^0.8))*MAX(inputs!$I$14:$I$16))/F672))*(inputs!E$75/inputs!$E$73)</f>
        <v>0.1429728110205738</v>
      </c>
      <c r="T672" s="63">
        <f>IF((((inputs!$P$13/(V672/MAX(K672:S672)))^(1/inputs!$O$13))-1)/inputs!$N$13&lt;0, 0, IF((((inputs!$P$13/(V672/MAX(K672:S672)))^(1/inputs!$O$13))-1)/inputs!$N$13&lt;inputs!$I$17, (((inputs!$P$13/(V672/MAX(K672:S672)))^(1/inputs!$O$13))-1)/inputs!$N$13, inputs!$I$17))</f>
        <v>122.60949731273217</v>
      </c>
      <c r="U672" s="63">
        <f>IF((((inputs!$P$13/(X672/MAX(K672:S672)))^(1/inputs!$O$13))-1)/inputs!$N$13&lt;0, 0, IF((((inputs!$P$13/(X672/MAX(K672:S672)))^(1/inputs!$O$13))-1)/inputs!$N$13&lt;inputs!$I$17, (((inputs!$P$13/(X672/MAX(K672:S672)))^(1/inputs!$O$13))-1)/inputs!$N$13, inputs!$I$17))</f>
        <v>0</v>
      </c>
      <c r="V672" s="54">
        <f>inputs!$E$70*(F672/inputs!$F$70)^(0.25)</f>
        <v>2.1769651017642926</v>
      </c>
      <c r="W672" s="54">
        <f>inputs!$E$76*(F672/inputs!$F$76)^(0.25)</f>
        <v>0.15652475842498528</v>
      </c>
      <c r="X672" s="54">
        <f>inputs!$E$72*(inputs!$F$72/F672)^(0.25)</f>
        <v>114.79283696255482</v>
      </c>
      <c r="Y672" s="54" t="s">
        <v>13</v>
      </c>
      <c r="Z672" s="106">
        <f t="shared" si="55"/>
        <v>49.377033807070468</v>
      </c>
      <c r="AA672" s="106">
        <f t="shared" si="56"/>
        <v>686.7417046878486</v>
      </c>
    </row>
    <row r="673" spans="1:27" ht="13.2" x14ac:dyDescent="0.25">
      <c r="A673" s="55" t="s">
        <v>530</v>
      </c>
      <c r="B673" s="49" t="s">
        <v>531</v>
      </c>
      <c r="C673" s="21" t="s">
        <v>61</v>
      </c>
      <c r="D673" s="20" t="s">
        <v>443</v>
      </c>
      <c r="E673" s="20">
        <v>29</v>
      </c>
      <c r="F673" s="21">
        <v>14</v>
      </c>
      <c r="G673" s="21" t="s">
        <v>138</v>
      </c>
      <c r="H673" s="21">
        <v>0.68</v>
      </c>
      <c r="I673" s="68">
        <f>MAX('Max rate concentrations'!$L$3:$L$368)</f>
        <v>350.52744091332482</v>
      </c>
      <c r="J673" s="68">
        <f>MAX('Max rate concentrations'!AD:AD)</f>
        <v>242.38599637623525</v>
      </c>
      <c r="K673" s="70">
        <f t="shared" si="53"/>
        <v>215.25429240659938</v>
      </c>
      <c r="L673" s="70">
        <f t="shared" si="54"/>
        <v>148.84605325988255</v>
      </c>
      <c r="M673" s="70">
        <f>IF((((0.326*F673^0.818)-(0.398*F673^0.85)/(1-H673)*H673)*(MAX('Max rate concentrations'!$P$3:$P$368)))/F673&gt;0, (((0.326*F673^0.818)-(0.398*F673^0.85)/(1-H673)*H673)*(MAX('Max rate concentrations'!$P$3:$P$368)))/F673, 0)</f>
        <v>0</v>
      </c>
      <c r="N673" s="70">
        <f>IF((((0.326*F673^0.818)-(0.398*F673^0.85)/(1-H673)*H673)*(MAX('Max rate concentrations'!$Q$3:$Q$368)))/F673&gt; 0, (((0.326*F673^0.818)-(0.398*F673^0.85)/(1-H673)*H673)*(MAX('Max rate concentrations'!$Q$3:$Q$368)))/F673, 0)</f>
        <v>0</v>
      </c>
      <c r="O673" s="70">
        <f>((MAX('Max rate concentrations'!$F$3:$F$368))*0.62*6.01*8*(12.3*F673^0.65)*0.079*0.1/F673)*inputs!$E$73/inputs!$E$74</f>
        <v>107.49207942662808</v>
      </c>
      <c r="P673" s="70">
        <f>((MAX('Max rate concentrations'!Y:Y))*0.62*6.01*8*(12.3*F673^0.65)*0.079*0.1/F673)*inputs!$E$73/inputs!$E$74</f>
        <v>35.83069314220937</v>
      </c>
      <c r="Q673" s="70">
        <f>(inputs!$C$18*11.2*(12.3*F673^0.65)*0.5/F673)*inputs!$E$73/inputs!$E$74</f>
        <v>18.934222796214193</v>
      </c>
      <c r="R673" s="60">
        <f>(60*379*((F673/1000)^0.8)*3*24*(MAX('Max rate concentrations'!$R$3:$R$368))/F673)*(inputs!$E$73/inputs!$E$75)</f>
        <v>2.5924064966428673E-2</v>
      </c>
      <c r="S673" s="60">
        <f>(IF(inputs!$C$17="aerial",((0.025*0.112*inputs!$C$18/3.3)*(3*60*379*((F673/1000)^0.8))*MAX(inputs!$I$14:$I$16))/F673,((0.0083*0.112*inputs!$C$18/1)*(3*60*379*((F673/1000)^0.8))*MAX(inputs!$I$14:$I$16))/F673))*(inputs!E$75/inputs!$E$73)</f>
        <v>0.1429728110205738</v>
      </c>
      <c r="T673" s="63">
        <f>IF((((inputs!$P$13/(V673/MAX(K673:S673)))^(1/inputs!$O$13))-1)/inputs!$N$13&lt;0, 0, IF((((inputs!$P$13/(V673/MAX(K673:S673)))^(1/inputs!$O$13))-1)/inputs!$N$13&lt;inputs!$I$17, (((inputs!$P$13/(V673/MAX(K673:S673)))^(1/inputs!$O$13))-1)/inputs!$N$13, inputs!$I$17))</f>
        <v>218.91851582972473</v>
      </c>
      <c r="U673" s="63">
        <f>IF((((inputs!$P$13/(X673/MAX(K673:S673)))^(1/inputs!$O$13))-1)/inputs!$N$13&lt;0, 0, IF((((inputs!$P$13/(X673/MAX(K673:S673)))^(1/inputs!$O$13))-1)/inputs!$N$13&lt;inputs!$I$17, (((inputs!$P$13/(X673/MAX(K673:S673)))^(1/inputs!$O$13))-1)/inputs!$N$13, inputs!$I$17))</f>
        <v>3.8498043612196287</v>
      </c>
      <c r="V673" s="54">
        <f>inputs!$E$70*(F673/inputs!$F$70)^(0.25)</f>
        <v>2.1769651017642926</v>
      </c>
      <c r="W673" s="54">
        <f>inputs!$E$76*(F673/inputs!$F$76)^(0.25)</f>
        <v>0.15652475842498528</v>
      </c>
      <c r="X673" s="54">
        <f>inputs!$E$72*(inputs!$F$72/F673)^(0.25)</f>
        <v>114.79283696255482</v>
      </c>
      <c r="Y673" s="54" t="s">
        <v>13</v>
      </c>
      <c r="Z673" s="106">
        <f t="shared" si="55"/>
        <v>98.878154836818183</v>
      </c>
      <c r="AA673" s="106">
        <f t="shared" si="56"/>
        <v>1375.2092293422086</v>
      </c>
    </row>
    <row r="674" spans="1:27" ht="13.2" x14ac:dyDescent="0.25">
      <c r="A674" s="55" t="s">
        <v>530</v>
      </c>
      <c r="B674" s="49" t="s">
        <v>531</v>
      </c>
      <c r="C674" s="21" t="s">
        <v>61</v>
      </c>
      <c r="D674" s="20" t="s">
        <v>443</v>
      </c>
      <c r="E674" s="20">
        <v>29</v>
      </c>
      <c r="F674" s="21">
        <v>14</v>
      </c>
      <c r="G674" s="21" t="s">
        <v>218</v>
      </c>
      <c r="H674" s="21">
        <v>0.68</v>
      </c>
      <c r="I674" s="68">
        <f>MAX('Max rate concentrations'!$K$3:$K$368)</f>
        <v>110.00035859694511</v>
      </c>
      <c r="J674" s="68">
        <f>MAX('Max rate concentrations'!AC:AC)</f>
        <v>38.958460336418057</v>
      </c>
      <c r="K674" s="70">
        <f t="shared" si="53"/>
        <v>67.549773828156574</v>
      </c>
      <c r="L674" s="70">
        <f t="shared" si="54"/>
        <v>23.923878230805453</v>
      </c>
      <c r="M674" s="70">
        <f>IF((((0.326*F674^0.818)-(0.398*F674^0.85)/(1-H674)*H674)*(MAX('Max rate concentrations'!$P$3:$P$368)))/F674&gt;0, (((0.326*F674^0.818)-(0.398*F674^0.85)/(1-H674)*H674)*(MAX('Max rate concentrations'!$P$3:$P$368)))/F674, 0)</f>
        <v>0</v>
      </c>
      <c r="N674" s="70">
        <f>IF((((0.326*F674^0.818)-(0.398*F674^0.85)/(1-H674)*H674)*(MAX('Max rate concentrations'!$Q$3:$Q$368)))/F674&gt; 0, (((0.326*F674^0.818)-(0.398*F674^0.85)/(1-H674)*H674)*(MAX('Max rate concentrations'!$Q$3:$Q$368)))/F674, 0)</f>
        <v>0</v>
      </c>
      <c r="O674" s="70">
        <f>((MAX('Max rate concentrations'!$F$3:$F$368))*0.62*6.01*8*(12.3*F674^0.65)*0.079*0.1/F674)*inputs!$E$73/inputs!$E$74</f>
        <v>107.49207942662808</v>
      </c>
      <c r="P674" s="70">
        <f>((MAX('Max rate concentrations'!Y:Y))*0.62*6.01*8*(12.3*F674^0.65)*0.079*0.1/F674)*inputs!$E$73/inputs!$E$74</f>
        <v>35.83069314220937</v>
      </c>
      <c r="Q674" s="70">
        <f>(inputs!$C$18*11.2*(12.3*F674^0.65)*0.5/F674)*inputs!$E$73/inputs!$E$74</f>
        <v>18.934222796214193</v>
      </c>
      <c r="R674" s="60">
        <f>(60*379*((F674/1000)^0.8)*3*24*(MAX('Max rate concentrations'!$R$3:$R$368))/F674)*(inputs!$E$73/inputs!$E$75)</f>
        <v>2.5924064966428673E-2</v>
      </c>
      <c r="S674" s="60">
        <f>(IF(inputs!$C$17="aerial",((0.025*0.112*inputs!$C$18/3.3)*(3*60*379*((F674/1000)^0.8))*MAX(inputs!$I$14:$I$16))/F674,((0.0083*0.112*inputs!$C$18/1)*(3*60*379*((F674/1000)^0.8))*MAX(inputs!$I$14:$I$16))/F674))*(inputs!E$75/inputs!$E$73)</f>
        <v>0.1429728110205738</v>
      </c>
      <c r="T674" s="63">
        <f>IF((((inputs!$P$13/(V674/MAX(K674:S674)))^(1/inputs!$O$13))-1)/inputs!$N$13&lt;0, 0, IF((((inputs!$P$13/(V674/MAX(K674:S674)))^(1/inputs!$O$13))-1)/inputs!$N$13&lt;inputs!$I$17, (((inputs!$P$13/(V674/MAX(K674:S674)))^(1/inputs!$O$13))-1)/inputs!$N$13, inputs!$I$17))</f>
        <v>122.60949731273217</v>
      </c>
      <c r="U674" s="63">
        <f>IF((((inputs!$P$13/(X674/MAX(K674:S674)))^(1/inputs!$O$13))-1)/inputs!$N$13&lt;0, 0, IF((((inputs!$P$13/(X674/MAX(K674:S674)))^(1/inputs!$O$13))-1)/inputs!$N$13&lt;inputs!$I$17, (((inputs!$P$13/(X674/MAX(K674:S674)))^(1/inputs!$O$13))-1)/inputs!$N$13, inputs!$I$17))</f>
        <v>0</v>
      </c>
      <c r="V674" s="54">
        <f>inputs!$E$70*(F674/inputs!$F$70)^(0.25)</f>
        <v>2.1769651017642926</v>
      </c>
      <c r="W674" s="54">
        <f>inputs!$E$76*(F674/inputs!$F$76)^(0.25)</f>
        <v>0.15652475842498528</v>
      </c>
      <c r="X674" s="54">
        <f>inputs!$E$72*(inputs!$F$72/F674)^(0.25)</f>
        <v>114.79283696255482</v>
      </c>
      <c r="Y674" s="54" t="s">
        <v>13</v>
      </c>
      <c r="Z674" s="106">
        <f t="shared" si="55"/>
        <v>49.377033807070468</v>
      </c>
      <c r="AA674" s="106">
        <f t="shared" si="56"/>
        <v>686.7417046878486</v>
      </c>
    </row>
    <row r="675" spans="1:27" ht="13.2" x14ac:dyDescent="0.25">
      <c r="A675" s="55" t="s">
        <v>530</v>
      </c>
      <c r="B675" s="49" t="s">
        <v>531</v>
      </c>
      <c r="C675" s="21" t="s">
        <v>61</v>
      </c>
      <c r="D675" s="20" t="s">
        <v>443</v>
      </c>
      <c r="E675" s="20">
        <v>29</v>
      </c>
      <c r="F675" s="21">
        <v>14</v>
      </c>
      <c r="G675" s="21" t="s">
        <v>186</v>
      </c>
      <c r="H675" s="21">
        <v>0.75</v>
      </c>
      <c r="I675" s="68">
        <f>inputs!$C$66*inputs!$C$64/1000</f>
        <v>21.3</v>
      </c>
      <c r="J675" s="68">
        <f>inputs!$C$66*inputs!$C$63/1000</f>
        <v>8.8000000000000007</v>
      </c>
      <c r="K675" s="70">
        <f t="shared" si="53"/>
        <v>16.742463907767725</v>
      </c>
      <c r="L675" s="70">
        <f t="shared" si="54"/>
        <v>6.9170742905331455</v>
      </c>
      <c r="M675" s="70">
        <f>IF((((0.326*F675^0.818)-(0.398*F675^0.85)/(1-H675)*H675)*(MAX('Max rate concentrations'!$P$3:$P$368)))/F675&gt;0, (((0.326*F675^0.818)-(0.398*F675^0.85)/(1-H675)*H675)*(MAX('Max rate concentrations'!$P$3:$P$368)))/F675, 0)</f>
        <v>0</v>
      </c>
      <c r="N675" s="70">
        <f>IF((((0.326*F675^0.818)-(0.398*F675^0.85)/(1-H675)*H675)*(MAX('Max rate concentrations'!$Q$3:$Q$368)))/F675&gt; 0, (((0.326*F675^0.818)-(0.398*F675^0.85)/(1-H675)*H675)*(MAX('Max rate concentrations'!$Q$3:$Q$368)))/F675, 0)</f>
        <v>0</v>
      </c>
      <c r="O675" s="70">
        <f>((MAX('Max rate concentrations'!$F$3:$F$368))*0.62*6.01*8*(12.3*F675^0.65)*0.079*0.1/F675)*inputs!$E$73/inputs!$E$74</f>
        <v>107.49207942662808</v>
      </c>
      <c r="P675" s="70">
        <f>((MAX('Max rate concentrations'!Y:Y))*0.62*6.01*8*(12.3*F675^0.65)*0.079*0.1/F675)*inputs!$E$73/inputs!$E$74</f>
        <v>35.83069314220937</v>
      </c>
      <c r="Q675" s="70">
        <f>(inputs!$C$18*11.2*(12.3*F675^0.65)*0.5/F675)*inputs!$E$73/inputs!$E$74</f>
        <v>18.934222796214193</v>
      </c>
      <c r="R675" s="60">
        <f>(60*379*((F675/1000)^0.8)*3*24*(MAX('Max rate concentrations'!$R$3:$R$368))/F675)*(inputs!$E$73/inputs!$E$75)</f>
        <v>2.5924064966428673E-2</v>
      </c>
      <c r="S675" s="60">
        <f>(IF(inputs!$C$17="aerial",((0.025*0.112*inputs!$C$18/3.3)*(3*60*379*((F675/1000)^0.8))*MAX(inputs!$I$14:$I$16))/F675,((0.0083*0.112*inputs!$C$18/1)*(3*60*379*((F675/1000)^0.8))*MAX(inputs!$I$14:$I$16))/F675))*(inputs!E$75/inputs!$E$73)</f>
        <v>0.1429728110205738</v>
      </c>
      <c r="T675" s="63">
        <f>IF((((inputs!$P$13/(V675/MAX(K675:S675)))^(1/inputs!$O$13))-1)/inputs!$N$13&lt;0, 0, IF((((inputs!$P$13/(V675/MAX(K675:S675)))^(1/inputs!$O$13))-1)/inputs!$N$13&lt;inputs!$I$17, (((inputs!$P$13/(V675/MAX(K675:S675)))^(1/inputs!$O$13))-1)/inputs!$N$13, inputs!$I$17))</f>
        <v>122.60949731273217</v>
      </c>
      <c r="U675" s="63">
        <f>IF((((inputs!$P$13/(X675/MAX(K675:S675)))^(1/inputs!$O$13))-1)/inputs!$N$13&lt;0, 0, IF((((inputs!$P$13/(X675/MAX(K675:S675)))^(1/inputs!$O$13))-1)/inputs!$N$13&lt;inputs!$I$17, (((inputs!$P$13/(X675/MAX(K675:S675)))^(1/inputs!$O$13))-1)/inputs!$N$13, inputs!$I$17))</f>
        <v>0</v>
      </c>
      <c r="V675" s="54">
        <f>inputs!$E$70*(F675/inputs!$F$70)^(0.25)</f>
        <v>2.1769651017642926</v>
      </c>
      <c r="W675" s="54">
        <f>inputs!$E$76*(F675/inputs!$F$76)^(0.25)</f>
        <v>0.15652475842498528</v>
      </c>
      <c r="X675" s="54">
        <f>inputs!$E$72*(inputs!$F$72/F675)^(0.25)</f>
        <v>114.79283696255482</v>
      </c>
      <c r="Y675" s="54" t="s">
        <v>13</v>
      </c>
      <c r="Z675" s="106">
        <f t="shared" si="55"/>
        <v>49.377033807070468</v>
      </c>
      <c r="AA675" s="106">
        <f t="shared" si="56"/>
        <v>686.7417046878486</v>
      </c>
    </row>
    <row r="676" spans="1:27" ht="13.2" x14ac:dyDescent="0.25">
      <c r="A676" s="55" t="s">
        <v>530</v>
      </c>
      <c r="B676" s="49" t="s">
        <v>531</v>
      </c>
      <c r="C676" s="21" t="s">
        <v>61</v>
      </c>
      <c r="D676" s="20" t="s">
        <v>443</v>
      </c>
      <c r="E676" s="20">
        <v>29</v>
      </c>
      <c r="F676" s="21">
        <v>14</v>
      </c>
      <c r="G676" s="21" t="s">
        <v>456</v>
      </c>
      <c r="H676" s="21">
        <v>0.68</v>
      </c>
      <c r="I676" s="68">
        <f>MAX('Max rate concentrations'!$J$3:$J$368)</f>
        <v>686.46486205830786</v>
      </c>
      <c r="J676" s="68">
        <f>MAX('Max rate concentrations'!AB:AB)</f>
        <v>243.122971978984</v>
      </c>
      <c r="K676" s="70">
        <f t="shared" si="53"/>
        <v>421.54904551650418</v>
      </c>
      <c r="L676" s="70">
        <f t="shared" si="54"/>
        <v>149.29862028709522</v>
      </c>
      <c r="M676" s="70">
        <f>IF((((0.326*F676^0.818)-(0.398*F676^0.85)/(1-H676)*H676)*(MAX('Max rate concentrations'!$P$3:$P$368)))/F676&gt;0, (((0.326*F676^0.818)-(0.398*F676^0.85)/(1-H676)*H676)*(MAX('Max rate concentrations'!$P$3:$P$368)))/F676, 0)</f>
        <v>0</v>
      </c>
      <c r="N676" s="70">
        <f>IF((((0.326*F676^0.818)-(0.398*F676^0.85)/(1-H676)*H676)*(MAX('Max rate concentrations'!$Q$3:$Q$368)))/F676&gt; 0, (((0.326*F676^0.818)-(0.398*F676^0.85)/(1-H676)*H676)*(MAX('Max rate concentrations'!$Q$3:$Q$368)))/F676, 0)</f>
        <v>0</v>
      </c>
      <c r="O676" s="70">
        <f>((MAX('Max rate concentrations'!$F$3:$F$368))*0.62*6.01*8*(12.3*F676^0.65)*0.079*0.1/F676)*inputs!$E$73/inputs!$E$74</f>
        <v>107.49207942662808</v>
      </c>
      <c r="P676" s="70">
        <f>((MAX('Max rate concentrations'!Y:Y))*0.62*6.01*8*(12.3*F676^0.65)*0.079*0.1/F676)*inputs!$E$73/inputs!$E$74</f>
        <v>35.83069314220937</v>
      </c>
      <c r="Q676" s="70">
        <f>(inputs!$C$18*11.2*(12.3*F676^0.65)*0.5/F676)*inputs!$E$73/inputs!$E$74</f>
        <v>18.934222796214193</v>
      </c>
      <c r="R676" s="60">
        <f>(60*379*((F676/1000)^0.8)*3*24*(MAX('Max rate concentrations'!$R$3:$R$368))/F676)*(inputs!$E$73/inputs!$E$75)</f>
        <v>2.5924064966428673E-2</v>
      </c>
      <c r="S676" s="60">
        <f>(IF(inputs!$C$17="aerial",((0.025*0.112*inputs!$C$18/3.3)*(3*60*379*((F676/1000)^0.8))*MAX(inputs!$I$14:$I$16))/F676,((0.0083*0.112*inputs!$C$18/1)*(3*60*379*((F676/1000)^0.8))*MAX(inputs!$I$14:$I$16))/F676))*(inputs!E$75/inputs!$E$73)</f>
        <v>0.1429728110205738</v>
      </c>
      <c r="T676" s="63">
        <f>IF((((inputs!$P$13/(V676/MAX(K676:S676)))^(1/inputs!$O$13))-1)/inputs!$N$13&lt;0, 0, IF((((inputs!$P$13/(V676/MAX(K676:S676)))^(1/inputs!$O$13))-1)/inputs!$N$13&lt;inputs!$I$17, (((inputs!$P$13/(V676/MAX(K676:S676)))^(1/inputs!$O$13))-1)/inputs!$N$13, inputs!$I$17))</f>
        <v>380.7645822616085</v>
      </c>
      <c r="U676" s="63">
        <f>IF((((inputs!$P$13/(X676/MAX(K676:S676)))^(1/inputs!$O$13))-1)/inputs!$N$13&lt;0, 0, IF((((inputs!$P$13/(X676/MAX(K676:S676)))^(1/inputs!$O$13))-1)/inputs!$N$13&lt;inputs!$I$17, (((inputs!$P$13/(X676/MAX(K676:S676)))^(1/inputs!$O$13))-1)/inputs!$N$13, inputs!$I$17))</f>
        <v>10.404054968705795</v>
      </c>
      <c r="V676" s="54">
        <f>inputs!$E$70*(F676/inputs!$F$70)^(0.25)</f>
        <v>2.1769651017642926</v>
      </c>
      <c r="W676" s="54">
        <f>inputs!$E$76*(F676/inputs!$F$76)^(0.25)</f>
        <v>0.15652475842498528</v>
      </c>
      <c r="X676" s="54">
        <f>inputs!$E$72*(inputs!$F$72/F676)^(0.25)</f>
        <v>114.79283696255482</v>
      </c>
      <c r="Y676" s="54" t="s">
        <v>13</v>
      </c>
      <c r="Z676" s="106">
        <f t="shared" si="55"/>
        <v>193.64069969466453</v>
      </c>
      <c r="AA676" s="106">
        <f t="shared" si="56"/>
        <v>2693.1780617858749</v>
      </c>
    </row>
    <row r="677" spans="1:27" ht="13.2" x14ac:dyDescent="0.25">
      <c r="A677" s="55" t="s">
        <v>530</v>
      </c>
      <c r="B677" s="49" t="s">
        <v>531</v>
      </c>
      <c r="C677" s="21" t="s">
        <v>61</v>
      </c>
      <c r="D677" s="20" t="s">
        <v>443</v>
      </c>
      <c r="E677" s="20">
        <v>29</v>
      </c>
      <c r="F677" s="21">
        <v>14</v>
      </c>
      <c r="G677" s="21" t="s">
        <v>145</v>
      </c>
      <c r="H677" s="21">
        <v>0.66</v>
      </c>
      <c r="I677" s="68">
        <f>MAX('Max rate concentrations'!$M$3:$M$368)</f>
        <v>17.092910873809167</v>
      </c>
      <c r="J677" s="68">
        <f>MAX('Max rate concentrations'!AE:AE)</f>
        <v>11.81956602976166</v>
      </c>
      <c r="K677" s="70">
        <f t="shared" si="53"/>
        <v>9.8790887663435694</v>
      </c>
      <c r="L677" s="70">
        <f t="shared" si="54"/>
        <v>6.8312847852375764</v>
      </c>
      <c r="M677" s="70">
        <f>IF((((0.326*F677^0.818)-(0.398*F677^0.85)/(1-H677)*H677)*(MAX('Max rate concentrations'!$P$3:$P$368)))/F677&gt;0, (((0.326*F677^0.818)-(0.398*F677^0.85)/(1-H677)*H677)*(MAX('Max rate concentrations'!$P$3:$P$368)))/F677, 0)</f>
        <v>0</v>
      </c>
      <c r="N677" s="70">
        <f>IF((((0.326*F677^0.818)-(0.398*F677^0.85)/(1-H677)*H677)*(MAX('Max rate concentrations'!$Q$3:$Q$368)))/F677&gt; 0, (((0.326*F677^0.818)-(0.398*F677^0.85)/(1-H677)*H677)*(MAX('Max rate concentrations'!$Q$3:$Q$368)))/F677, 0)</f>
        <v>0</v>
      </c>
      <c r="O677" s="70">
        <f>((MAX('Max rate concentrations'!$F$3:$F$368))*0.62*6.01*8*(12.3*F677^0.65)*0.079*0.1/F677)*inputs!$E$73/inputs!$E$74</f>
        <v>107.49207942662808</v>
      </c>
      <c r="P677" s="70">
        <f>((MAX('Max rate concentrations'!Y:Y))*0.62*6.01*8*(12.3*F677^0.65)*0.079*0.1/F677)*inputs!$E$73/inputs!$E$74</f>
        <v>35.83069314220937</v>
      </c>
      <c r="Q677" s="70">
        <f>(inputs!$C$18*11.2*(12.3*F677^0.65)*0.5/F677)*inputs!$E$73/inputs!$E$74</f>
        <v>18.934222796214193</v>
      </c>
      <c r="R677" s="60">
        <f>(60*379*((F677/1000)^0.8)*3*24*(MAX('Max rate concentrations'!$R$3:$R$368))/F677)*(inputs!$E$73/inputs!$E$75)</f>
        <v>2.5924064966428673E-2</v>
      </c>
      <c r="S677" s="60">
        <f>(IF(inputs!$C$17="aerial",((0.025*0.112*inputs!$C$18/3.3)*(3*60*379*((F677/1000)^0.8))*MAX(inputs!$I$14:$I$16))/F677,((0.0083*0.112*inputs!$C$18/1)*(3*60*379*((F677/1000)^0.8))*MAX(inputs!$I$14:$I$16))/F677))*(inputs!E$75/inputs!$E$73)</f>
        <v>0.1429728110205738</v>
      </c>
      <c r="T677" s="63">
        <f>IF((((inputs!$P$13/(V677/MAX(K677:S677)))^(1/inputs!$O$13))-1)/inputs!$N$13&lt;0, 0, IF((((inputs!$P$13/(V677/MAX(K677:S677)))^(1/inputs!$O$13))-1)/inputs!$N$13&lt;inputs!$I$17, (((inputs!$P$13/(V677/MAX(K677:S677)))^(1/inputs!$O$13))-1)/inputs!$N$13, inputs!$I$17))</f>
        <v>122.60949731273217</v>
      </c>
      <c r="U677" s="63">
        <f>IF((((inputs!$P$13/(X677/MAX(K677:S677)))^(1/inputs!$O$13))-1)/inputs!$N$13&lt;0, 0, IF((((inputs!$P$13/(X677/MAX(K677:S677)))^(1/inputs!$O$13))-1)/inputs!$N$13&lt;inputs!$I$17, (((inputs!$P$13/(X677/MAX(K677:S677)))^(1/inputs!$O$13))-1)/inputs!$N$13, inputs!$I$17))</f>
        <v>0</v>
      </c>
      <c r="V677" s="54">
        <f>inputs!$E$70*(F677/inputs!$F$70)^(0.25)</f>
        <v>2.1769651017642926</v>
      </c>
      <c r="W677" s="54">
        <f>inputs!$E$76*(F677/inputs!$F$76)^(0.25)</f>
        <v>0.15652475842498528</v>
      </c>
      <c r="X677" s="54">
        <f>inputs!$E$72*(inputs!$F$72/F677)^(0.25)</f>
        <v>114.79283696255482</v>
      </c>
      <c r="Y677" s="54" t="s">
        <v>13</v>
      </c>
      <c r="Z677" s="106">
        <f t="shared" si="55"/>
        <v>49.377033807070468</v>
      </c>
      <c r="AA677" s="106">
        <f t="shared" si="56"/>
        <v>686.7417046878486</v>
      </c>
    </row>
    <row r="678" spans="1:27" ht="13.2" x14ac:dyDescent="0.25">
      <c r="A678" s="55" t="s">
        <v>523</v>
      </c>
      <c r="B678" s="49" t="s">
        <v>524</v>
      </c>
      <c r="C678" s="21" t="s">
        <v>61</v>
      </c>
      <c r="D678" s="20" t="s">
        <v>443</v>
      </c>
      <c r="E678" s="20">
        <v>62</v>
      </c>
      <c r="F678" s="21">
        <v>400</v>
      </c>
      <c r="G678" s="21" t="s">
        <v>152</v>
      </c>
      <c r="H678" s="21">
        <v>0.77</v>
      </c>
      <c r="I678" s="68">
        <f>MAX('Max rate concentrations'!$G$3:$G$368)</f>
        <v>45</v>
      </c>
      <c r="J678" s="68">
        <f>MAX('Max rate concentrations'!Z:Z)</f>
        <v>21</v>
      </c>
      <c r="K678" s="70">
        <f t="shared" si="53"/>
        <v>8.9141127246354941</v>
      </c>
      <c r="L678" s="70">
        <f t="shared" si="54"/>
        <v>4.1599192714965634</v>
      </c>
      <c r="M678" s="70">
        <f>IF((((0.326*F678^0.818)-(0.398*F678^0.85)/(1-H678)*H678)*(MAX('Max rate concentrations'!$P$3:$P$368)))/F678&gt;0, (((0.326*F678^0.818)-(0.398*F678^0.85)/(1-H678)*H678)*(MAX('Max rate concentrations'!$P$3:$P$368)))/F678, 0)</f>
        <v>0</v>
      </c>
      <c r="N678" s="70">
        <f>IF((((0.326*F678^0.818)-(0.398*F678^0.85)/(1-H678)*H678)*(MAX('Max rate concentrations'!$Q$3:$Q$368)))/F678&gt; 0, (((0.326*F678^0.818)-(0.398*F678^0.85)/(1-H678)*H678)*(MAX('Max rate concentrations'!$Q$3:$Q$368)))/F678, 0)</f>
        <v>0</v>
      </c>
      <c r="O678" s="70">
        <f>((MAX('Max rate concentrations'!$F$3:$F$368))*0.62*6.01*8*(12.3*F678^0.65)*0.079*0.1/F678)*inputs!$E$73/inputs!$E$74</f>
        <v>33.250660746462671</v>
      </c>
      <c r="P678" s="70">
        <f>((MAX('Max rate concentrations'!Y:Y))*0.62*6.01*8*(12.3*F678^0.65)*0.079*0.1/F678)*inputs!$E$73/inputs!$E$74</f>
        <v>11.083553582154224</v>
      </c>
      <c r="Q678" s="70">
        <f>(inputs!$C$18*11.2*(12.3*F678^0.65)*0.5/F678)*inputs!$E$73/inputs!$E$74</f>
        <v>5.8569470611515442</v>
      </c>
      <c r="R678" s="60">
        <f>(60*379*((F678/1000)^0.8)*3*24*(MAX('Max rate concentrations'!$R$3:$R$368))/F678)*(inputs!$E$73/inputs!$E$75)</f>
        <v>1.3259181330864234E-2</v>
      </c>
      <c r="S678" s="60">
        <f>(IF(inputs!$C$17="aerial",((0.025*0.112*inputs!$C$18/3.3)*(3*60*379*((F678/1000)^0.8))*MAX(inputs!$I$14:$I$16))/F678,((0.0083*0.112*inputs!$C$18/1)*(3*60*379*((F678/1000)^0.8))*MAX(inputs!$I$14:$I$16))/F678))*(inputs!E$75/inputs!$E$73)</f>
        <v>7.3125199661398896E-2</v>
      </c>
      <c r="T678" s="63">
        <f>IF((((inputs!$P$13/(V678/MAX(K678:S678)))^(1/inputs!$O$13))-1)/inputs!$N$13&lt;0, 0, IF((((inputs!$P$13/(V678/MAX(K678:S678)))^(1/inputs!$O$13))-1)/inputs!$N$13&lt;inputs!$I$17, (((inputs!$P$13/(V678/MAX(K678:S678)))^(1/inputs!$O$13))-1)/inputs!$N$13, inputs!$I$17))</f>
        <v>19.90512806454311</v>
      </c>
      <c r="U678" s="63">
        <f>IF((((inputs!$P$13/(X678/MAX(K678:S678)))^(1/inputs!$O$13))-1)/inputs!$N$13&lt;0, 0, IF((((inputs!$P$13/(X678/MAX(K678:S678)))^(1/inputs!$O$13))-1)/inputs!$N$13&lt;inputs!$I$17, (((inputs!$P$13/(X678/MAX(K678:S678)))^(1/inputs!$O$13))-1)/inputs!$N$13, inputs!$I$17))</f>
        <v>0</v>
      </c>
      <c r="V678" s="54">
        <f>inputs!$E$70*(F678/inputs!$F$70)^(0.25)</f>
        <v>5.033087213977085</v>
      </c>
      <c r="W678" s="54">
        <f>inputs!$E$76*(F678/inputs!$F$76)^(0.25)</f>
        <v>0.36188120777001936</v>
      </c>
      <c r="X678" s="54">
        <f>inputs!$E$72*(inputs!$F$72/F678)^(0.25)</f>
        <v>49.651434472666729</v>
      </c>
      <c r="Y678" s="54" t="s">
        <v>13</v>
      </c>
      <c r="Z678" s="106">
        <f t="shared" si="55"/>
        <v>6.6064145787349471</v>
      </c>
      <c r="AA678" s="106">
        <f t="shared" si="56"/>
        <v>91.882805828353312</v>
      </c>
    </row>
    <row r="679" spans="1:27" ht="26.4" x14ac:dyDescent="0.25">
      <c r="A679" s="55" t="s">
        <v>523</v>
      </c>
      <c r="B679" s="49" t="s">
        <v>524</v>
      </c>
      <c r="C679" s="21" t="s">
        <v>61</v>
      </c>
      <c r="D679" s="20" t="s">
        <v>443</v>
      </c>
      <c r="E679" s="20">
        <v>62</v>
      </c>
      <c r="F679" s="21">
        <v>400</v>
      </c>
      <c r="G679" s="21" t="s">
        <v>525</v>
      </c>
      <c r="H679" s="21">
        <v>0.85</v>
      </c>
      <c r="I679" s="68">
        <f>MAX('Max rate concentrations'!$F$3:$F$368)</f>
        <v>405</v>
      </c>
      <c r="J679" s="68">
        <f>MAX('Max rate concentrations'!Y:Y)</f>
        <v>135</v>
      </c>
      <c r="K679" s="70">
        <f t="shared" si="53"/>
        <v>123.01475559996977</v>
      </c>
      <c r="L679" s="70">
        <f t="shared" si="54"/>
        <v>41.004918533323263</v>
      </c>
      <c r="M679" s="70">
        <f>IF((((0.326*F679^0.818)-(0.398*F679^0.85)/(1-H679)*H679)*(MAX('Max rate concentrations'!$P$3:$P$368)))/F679&gt;0, (((0.326*F679^0.818)-(0.398*F679^0.85)/(1-H679)*H679)*(MAX('Max rate concentrations'!$P$3:$P$368)))/F679, 0)</f>
        <v>0</v>
      </c>
      <c r="N679" s="70">
        <f>IF((((0.326*F679^0.818)-(0.398*F679^0.85)/(1-H679)*H679)*(MAX('Max rate concentrations'!$Q$3:$Q$368)))/F679&gt; 0, (((0.326*F679^0.818)-(0.398*F679^0.85)/(1-H679)*H679)*(MAX('Max rate concentrations'!$Q$3:$Q$368)))/F679, 0)</f>
        <v>0</v>
      </c>
      <c r="O679" s="70">
        <f>((MAX('Max rate concentrations'!$F$3:$F$368))*0.62*6.01*8*(12.3*F679^0.65)*0.079*0.1/F679)*inputs!$E$73/inputs!$E$74</f>
        <v>33.250660746462671</v>
      </c>
      <c r="P679" s="70">
        <f>((MAX('Max rate concentrations'!Y:Y))*0.62*6.01*8*(12.3*F679^0.65)*0.079*0.1/F679)*inputs!$E$73/inputs!$E$74</f>
        <v>11.083553582154224</v>
      </c>
      <c r="Q679" s="70">
        <f>(inputs!$C$18*11.2*(12.3*F679^0.65)*0.5/F679)*inputs!$E$73/inputs!$E$74</f>
        <v>5.8569470611515442</v>
      </c>
      <c r="R679" s="60">
        <f>(60*379*((F679/1000)^0.8)*3*24*(MAX('Max rate concentrations'!$R$3:$R$368))/F679)*(inputs!$E$73/inputs!$E$75)</f>
        <v>1.3259181330864234E-2</v>
      </c>
      <c r="S679" s="60">
        <f>(IF(inputs!$C$17="aerial",((0.025*0.112*inputs!$C$18/3.3)*(3*60*379*((F679/1000)^0.8))*MAX(inputs!$I$14:$I$16))/F679,((0.0083*0.112*inputs!$C$18/1)*(3*60*379*((F679/1000)^0.8))*MAX(inputs!$I$14:$I$16))/F679))*(inputs!E$75/inputs!$E$73)</f>
        <v>7.3125199661398896E-2</v>
      </c>
      <c r="T679" s="63">
        <f>IF((((inputs!$P$13/(V679/MAX(K679:S679)))^(1/inputs!$O$13))-1)/inputs!$N$13&lt;0, 0, IF((((inputs!$P$13/(V679/MAX(K679:S679)))^(1/inputs!$O$13))-1)/inputs!$N$13&lt;inputs!$I$17, (((inputs!$P$13/(V679/MAX(K679:S679)))^(1/inputs!$O$13))-1)/inputs!$N$13, inputs!$I$17))</f>
        <v>67.163993457199723</v>
      </c>
      <c r="U679" s="63">
        <f>IF((((inputs!$P$13/(X679/MAX(K679:S679)))^(1/inputs!$O$13))-1)/inputs!$N$13&lt;0, 0, IF((((inputs!$P$13/(X679/MAX(K679:S679)))^(1/inputs!$O$13))-1)/inputs!$N$13&lt;inputs!$I$17, (((inputs!$P$13/(X679/MAX(K679:S679)))^(1/inputs!$O$13))-1)/inputs!$N$13, inputs!$I$17))</f>
        <v>6.1434144434137323</v>
      </c>
      <c r="V679" s="54">
        <f>inputs!$E$70*(F679/inputs!$F$70)^(0.25)</f>
        <v>5.033087213977085</v>
      </c>
      <c r="W679" s="54">
        <f>inputs!$E$76*(F679/inputs!$F$76)^(0.25)</f>
        <v>0.36188120777001936</v>
      </c>
      <c r="X679" s="54">
        <f>inputs!$E$72*(inputs!$F$72/F679)^(0.25)</f>
        <v>49.651434472666729</v>
      </c>
      <c r="Y679" s="54" t="s">
        <v>13</v>
      </c>
      <c r="Z679" s="106">
        <f t="shared" si="55"/>
        <v>24.441212792489043</v>
      </c>
      <c r="AA679" s="106">
        <f t="shared" si="56"/>
        <v>339.93131712478254</v>
      </c>
    </row>
    <row r="680" spans="1:27" ht="13.2" x14ac:dyDescent="0.25">
      <c r="A680" s="55" t="s">
        <v>582</v>
      </c>
      <c r="B680" s="49" t="s">
        <v>583</v>
      </c>
      <c r="C680" s="21" t="s">
        <v>61</v>
      </c>
      <c r="D680" s="20" t="s">
        <v>443</v>
      </c>
      <c r="E680" s="20">
        <v>3194</v>
      </c>
      <c r="F680" s="21">
        <v>75</v>
      </c>
      <c r="G680" s="21" t="s">
        <v>177</v>
      </c>
      <c r="H680" s="21">
        <v>0.85</v>
      </c>
      <c r="I680" s="68">
        <f>MAX('Max rate concentrations'!$F$3:$F$368)</f>
        <v>405</v>
      </c>
      <c r="J680" s="68">
        <f>MAX('Max rate concentrations'!Y:Y)</f>
        <v>135</v>
      </c>
      <c r="K680" s="70">
        <f t="shared" si="53"/>
        <v>255.22819757756429</v>
      </c>
      <c r="L680" s="70">
        <f t="shared" si="54"/>
        <v>85.076065859188091</v>
      </c>
      <c r="M680" s="70">
        <f>IF((((0.326*F680^0.818)-(0.398*F680^0.85)/(1-H680)*H680)*(MAX('Max rate concentrations'!$P$3:$P$368)))/F680&gt;0, (((0.326*F680^0.818)-(0.398*F680^0.85)/(1-H680)*H680)*(MAX('Max rate concentrations'!$P$3:$P$368)))/F680, 0)</f>
        <v>0</v>
      </c>
      <c r="N680" s="70">
        <f>IF((((0.326*F680^0.818)-(0.398*F680^0.85)/(1-H680)*H680)*(MAX('Max rate concentrations'!$Q$3:$Q$368)))/F680&gt; 0, (((0.326*F680^0.818)-(0.398*F680^0.85)/(1-H680)*H680)*(MAX('Max rate concentrations'!$Q$3:$Q$368)))/F680, 0)</f>
        <v>0</v>
      </c>
      <c r="O680" s="70">
        <f>((MAX('Max rate concentrations'!$F$3:$F$368))*0.62*6.01*8*(12.3*F680^0.65)*0.079*0.1/F680)*inputs!$E$73/inputs!$E$74</f>
        <v>59.737883923649726</v>
      </c>
      <c r="P680" s="70">
        <f>((MAX('Max rate concentrations'!Y:Y))*0.62*6.01*8*(12.3*F680^0.65)*0.079*0.1/F680)*inputs!$E$73/inputs!$E$74</f>
        <v>19.91262797454991</v>
      </c>
      <c r="Q680" s="70">
        <f>(inputs!$C$18*11.2*(12.3*F680^0.65)*0.5/F680)*inputs!$E$73/inputs!$E$74</f>
        <v>10.522546494756618</v>
      </c>
      <c r="R680" s="60">
        <f>(60*379*((F680/1000)^0.8)*3*24*(MAX('Max rate concentrations'!$R$3:$R$368))/F680)*(inputs!$E$73/inputs!$E$75)</f>
        <v>1.8531750973435526E-2</v>
      </c>
      <c r="S680" s="60">
        <f>(IF(inputs!$C$17="aerial",((0.025*0.112*inputs!$C$18/3.3)*(3*60*379*((F680/1000)^0.8))*MAX(inputs!$I$14:$I$16))/F680,((0.0083*0.112*inputs!$C$18/1)*(3*60*379*((F680/1000)^0.8))*MAX(inputs!$I$14:$I$16))/F680))*(inputs!E$75/inputs!$E$73)</f>
        <v>0.10220374517794364</v>
      </c>
      <c r="T680" s="63">
        <f>IF((((inputs!$P$13/(V680/MAX(K680:S680)))^(1/inputs!$O$13))-1)/inputs!$N$13&lt;0, 0, IF((((inputs!$P$13/(V680/MAX(K680:S680)))^(1/inputs!$O$13))-1)/inputs!$N$13&lt;inputs!$I$17, (((inputs!$P$13/(V680/MAX(K680:S680)))^(1/inputs!$O$13))-1)/inputs!$N$13, inputs!$I$17))</f>
        <v>177.99863626080457</v>
      </c>
      <c r="U680" s="63">
        <f>IF((((inputs!$P$13/(X680/MAX(K680:S680)))^(1/inputs!$O$13))-1)/inputs!$N$13&lt;0, 0, IF((((inputs!$P$13/(X680/MAX(K680:S680)))^(1/inputs!$O$13))-1)/inputs!$N$13&lt;inputs!$I$17, (((inputs!$P$13/(X680/MAX(K680:S680)))^(1/inputs!$O$13))-1)/inputs!$N$13, inputs!$I$17))</f>
        <v>9.3991243780044389</v>
      </c>
      <c r="V680" s="54">
        <f>inputs!$E$70*(F680/inputs!$F$70)^(0.25)</f>
        <v>3.3119576436193516</v>
      </c>
      <c r="W680" s="54">
        <f>inputs!$E$76*(F680/inputs!$F$76)^(0.25)</f>
        <v>0.23813122666099204</v>
      </c>
      <c r="X680" s="54">
        <f>inputs!$E$72*(inputs!$F$72/F680)^(0.25)</f>
        <v>75.453863512247679</v>
      </c>
      <c r="Y680" s="54" t="s">
        <v>13</v>
      </c>
      <c r="Z680" s="106">
        <f t="shared" si="55"/>
        <v>77.062639393735566</v>
      </c>
      <c r="AA680" s="106">
        <f t="shared" si="56"/>
        <v>1071.7964256779806</v>
      </c>
    </row>
    <row r="681" spans="1:27" ht="13.2" x14ac:dyDescent="0.25">
      <c r="A681" s="55" t="s">
        <v>561</v>
      </c>
      <c r="B681" s="49" t="s">
        <v>562</v>
      </c>
      <c r="C681" s="21" t="s">
        <v>61</v>
      </c>
      <c r="D681" s="20" t="s">
        <v>443</v>
      </c>
      <c r="E681" s="20">
        <v>17</v>
      </c>
      <c r="F681" s="21">
        <v>7.6</v>
      </c>
      <c r="G681" s="21" t="s">
        <v>142</v>
      </c>
      <c r="H681" s="21">
        <v>0.69</v>
      </c>
      <c r="I681" s="68">
        <f>MAX('Max rate concentrations'!$H$3:$H$368)</f>
        <v>282</v>
      </c>
      <c r="J681" s="68">
        <f>MAX('Max rate concentrations'!AA:AA)</f>
        <v>195</v>
      </c>
      <c r="K681" s="70">
        <f t="shared" si="53"/>
        <v>233.31587439932892</v>
      </c>
      <c r="L681" s="70">
        <f t="shared" si="54"/>
        <v>161.33544506336574</v>
      </c>
      <c r="M681" s="70">
        <f>IF((((0.326*F681^0.818)-(0.398*F681^0.85)/(1-H681)*H681)*(MAX('Max rate concentrations'!$P$3:$P$368)))/F681&gt;0, (((0.326*F681^0.818)-(0.398*F681^0.85)/(1-H681)*H681)*(MAX('Max rate concentrations'!$P$3:$P$368)))/F681, 0)</f>
        <v>0</v>
      </c>
      <c r="N681" s="70">
        <f>IF((((0.326*F681^0.818)-(0.398*F681^0.85)/(1-H681)*H681)*(MAX('Max rate concentrations'!$Q$3:$Q$368)))/F681&gt; 0, (((0.326*F681^0.818)-(0.398*F681^0.85)/(1-H681)*H681)*(MAX('Max rate concentrations'!$Q$3:$Q$368)))/F681, 0)</f>
        <v>0</v>
      </c>
      <c r="O681" s="70">
        <f>((MAX('Max rate concentrations'!$F$3:$F$368))*0.62*6.01*8*(12.3*F681^0.65)*0.079*0.1/F681)*inputs!$E$73/inputs!$E$74</f>
        <v>133.11791893015101</v>
      </c>
      <c r="P681" s="70">
        <f>((MAX('Max rate concentrations'!Y:Y))*0.62*6.01*8*(12.3*F681^0.65)*0.079*0.1/F681)*inputs!$E$73/inputs!$E$74</f>
        <v>44.372639643383671</v>
      </c>
      <c r="Q681" s="70">
        <f>(inputs!$C$18*11.2*(12.3*F681^0.65)*0.5/F681)*inputs!$E$73/inputs!$E$74</f>
        <v>23.44809355848669</v>
      </c>
      <c r="R681" s="60">
        <f>(60*379*((F681/1000)^0.8)*3*24*(MAX('Max rate concentrations'!$R$3:$R$368))/F681)*(inputs!$E$73/inputs!$E$75)</f>
        <v>2.9293144222415933E-2</v>
      </c>
      <c r="S681" s="60">
        <f>(IF(inputs!$C$17="aerial",((0.025*0.112*inputs!$C$18/3.3)*(3*60*379*((F681/1000)^0.8))*MAX(inputs!$I$14:$I$16))/F681,((0.0083*0.112*inputs!$C$18/1)*(3*60*379*((F681/1000)^0.8))*MAX(inputs!$I$14:$I$16))/F681))*(inputs!E$75/inputs!$E$73)</f>
        <v>0.16155349010787662</v>
      </c>
      <c r="T681" s="63">
        <f>IF((((inputs!$P$13/(V681/MAX(K681:S681)))^(1/inputs!$O$13))-1)/inputs!$N$13&lt;0, 0, IF((((inputs!$P$13/(V681/MAX(K681:S681)))^(1/inputs!$O$13))-1)/inputs!$N$13&lt;inputs!$I$17, (((inputs!$P$13/(V681/MAX(K681:S681)))^(1/inputs!$O$13))-1)/inputs!$N$13, inputs!$I$17))</f>
        <v>265.45875030340386</v>
      </c>
      <c r="U681" s="63">
        <f>IF((((inputs!$P$13/(X681/MAX(K681:S681)))^(1/inputs!$O$13))-1)/inputs!$N$13&lt;0, 0, IF((((inputs!$P$13/(X681/MAX(K681:S681)))^(1/inputs!$O$13))-1)/inputs!$N$13&lt;inputs!$I$17, (((inputs!$P$13/(X681/MAX(K681:S681)))^(1/inputs!$O$13))-1)/inputs!$N$13, inputs!$I$17))</f>
        <v>3.3353166359676845</v>
      </c>
      <c r="V681" s="54">
        <f>inputs!$E$70*(F681/inputs!$F$70)^(0.25)</f>
        <v>1.8686280175149219</v>
      </c>
      <c r="W681" s="54">
        <f>inputs!$E$76*(F681/inputs!$F$76)^(0.25)</f>
        <v>0.13435518501910776</v>
      </c>
      <c r="X681" s="54">
        <f>inputs!$E$72*(inputs!$F$72/F681)^(0.25)</f>
        <v>133.73448201442503</v>
      </c>
      <c r="Y681" s="54" t="s">
        <v>13</v>
      </c>
      <c r="Z681" s="106">
        <f t="shared" si="55"/>
        <v>124.85945421583394</v>
      </c>
      <c r="AA681" s="106">
        <f t="shared" si="56"/>
        <v>1736.5602553124179</v>
      </c>
    </row>
    <row r="682" spans="1:27" ht="13.2" x14ac:dyDescent="0.25">
      <c r="A682" s="55" t="s">
        <v>561</v>
      </c>
      <c r="B682" s="49" t="s">
        <v>562</v>
      </c>
      <c r="C682" s="21" t="s">
        <v>61</v>
      </c>
      <c r="D682" s="20" t="s">
        <v>443</v>
      </c>
      <c r="E682" s="20">
        <v>17</v>
      </c>
      <c r="F682" s="21">
        <v>7.6</v>
      </c>
      <c r="G682" s="21" t="s">
        <v>169</v>
      </c>
      <c r="H682" s="21">
        <v>0.79</v>
      </c>
      <c r="I682" s="68">
        <f>MAX('Max rate concentrations'!$D$3:$D$368)</f>
        <v>720</v>
      </c>
      <c r="J682" s="68">
        <f>MAX('Max rate concentrations'!W:W)</f>
        <v>255</v>
      </c>
      <c r="K682" s="70">
        <f t="shared" si="53"/>
        <v>879.36682144427959</v>
      </c>
      <c r="L682" s="70">
        <f t="shared" si="54"/>
        <v>311.44241592818236</v>
      </c>
      <c r="M682" s="70">
        <f>IF((((0.326*F682^0.818)-(0.398*F682^0.85)/(1-H682)*H682)*(MAX('Max rate concentrations'!$P$3:$P$368)))/F682&gt;0, (((0.326*F682^0.818)-(0.398*F682^0.85)/(1-H682)*H682)*(MAX('Max rate concentrations'!$P$3:$P$368)))/F682, 0)</f>
        <v>0</v>
      </c>
      <c r="N682" s="70">
        <f>IF((((0.326*F682^0.818)-(0.398*F682^0.85)/(1-H682)*H682)*(MAX('Max rate concentrations'!$Q$3:$Q$368)))/F682&gt; 0, (((0.326*F682^0.818)-(0.398*F682^0.85)/(1-H682)*H682)*(MAX('Max rate concentrations'!$Q$3:$Q$368)))/F682, 0)</f>
        <v>0</v>
      </c>
      <c r="O682" s="70">
        <f>((MAX('Max rate concentrations'!$F$3:$F$368))*0.62*6.01*8*(12.3*F682^0.65)*0.079*0.1/F682)*inputs!$E$73/inputs!$E$74</f>
        <v>133.11791893015101</v>
      </c>
      <c r="P682" s="70">
        <f>((MAX('Max rate concentrations'!Y:Y))*0.62*6.01*8*(12.3*F682^0.65)*0.079*0.1/F682)*inputs!$E$73/inputs!$E$74</f>
        <v>44.372639643383671</v>
      </c>
      <c r="Q682" s="70">
        <f>(inputs!$C$18*11.2*(12.3*F682^0.65)*0.5/F682)*inputs!$E$73/inputs!$E$74</f>
        <v>23.44809355848669</v>
      </c>
      <c r="R682" s="60">
        <f>(60*379*((F682/1000)^0.8)*3*24*(MAX('Max rate concentrations'!$R$3:$R$368))/F682)*(inputs!$E$73/inputs!$E$75)</f>
        <v>2.9293144222415933E-2</v>
      </c>
      <c r="S682" s="60">
        <f>(IF(inputs!$C$17="aerial",((0.025*0.112*inputs!$C$18/3.3)*(3*60*379*((F682/1000)^0.8))*MAX(inputs!$I$14:$I$16))/F682,((0.0083*0.112*inputs!$C$18/1)*(3*60*379*((F682/1000)^0.8))*MAX(inputs!$I$14:$I$16))/F682))*(inputs!E$75/inputs!$E$73)</f>
        <v>0.16155349010787662</v>
      </c>
      <c r="T682" s="63">
        <f>IF((((inputs!$P$13/(V682/MAX(K682:S682)))^(1/inputs!$O$13))-1)/inputs!$N$13&lt;0, 0, IF((((inputs!$P$13/(V682/MAX(K682:S682)))^(1/inputs!$O$13))-1)/inputs!$N$13&lt;inputs!$I$17, (((inputs!$P$13/(V682/MAX(K682:S682)))^(1/inputs!$O$13))-1)/inputs!$N$13, inputs!$I$17))</f>
        <v>786.25619548955581</v>
      </c>
      <c r="U682" s="63">
        <f>IF((((inputs!$P$13/(X682/MAX(K682:S682)))^(1/inputs!$O$13))-1)/inputs!$N$13&lt;0, 0, IF((((inputs!$P$13/(X682/MAX(K682:S682)))^(1/inputs!$O$13))-1)/inputs!$N$13&lt;inputs!$I$17, (((inputs!$P$13/(X682/MAX(K682:S682)))^(1/inputs!$O$13))-1)/inputs!$N$13, inputs!$I$17))</f>
        <v>19.809882002801483</v>
      </c>
      <c r="V682" s="54">
        <f>inputs!$E$70*(F682/inputs!$F$70)^(0.25)</f>
        <v>1.8686280175149219</v>
      </c>
      <c r="W682" s="54">
        <f>inputs!$E$76*(F682/inputs!$F$76)^(0.25)</f>
        <v>0.13435518501910776</v>
      </c>
      <c r="X682" s="54">
        <f>inputs!$E$72*(inputs!$F$72/F682)^(0.25)</f>
        <v>133.73448201442503</v>
      </c>
      <c r="Y682" s="54" t="s">
        <v>13</v>
      </c>
      <c r="Z682" s="106">
        <f t="shared" si="55"/>
        <v>470.59490342745943</v>
      </c>
      <c r="AA682" s="106">
        <f t="shared" si="56"/>
        <v>6545.0903239738573</v>
      </c>
    </row>
    <row r="683" spans="1:27" ht="13.2" x14ac:dyDescent="0.25">
      <c r="A683" s="55" t="s">
        <v>561</v>
      </c>
      <c r="B683" s="49" t="s">
        <v>562</v>
      </c>
      <c r="C683" s="21" t="s">
        <v>61</v>
      </c>
      <c r="D683" s="20" t="s">
        <v>443</v>
      </c>
      <c r="E683" s="20">
        <v>17</v>
      </c>
      <c r="F683" s="21">
        <v>7.6</v>
      </c>
      <c r="G683" s="21" t="s">
        <v>177</v>
      </c>
      <c r="H683" s="21">
        <v>0.85</v>
      </c>
      <c r="I683" s="68">
        <f>MAX('Max rate concentrations'!$F$3:$F$368)</f>
        <v>405</v>
      </c>
      <c r="J683" s="68">
        <f>MAX('Max rate concentrations'!Y:Y)</f>
        <v>135</v>
      </c>
      <c r="K683" s="70">
        <f t="shared" si="53"/>
        <v>692.50137188736994</v>
      </c>
      <c r="L683" s="70">
        <f t="shared" si="54"/>
        <v>230.83379062912331</v>
      </c>
      <c r="M683" s="70">
        <f>IF((((0.326*F683^0.818)-(0.398*F683^0.85)/(1-H683)*H683)*(MAX('Max rate concentrations'!$P$3:$P$368)))/F683&gt;0, (((0.326*F683^0.818)-(0.398*F683^0.85)/(1-H683)*H683)*(MAX('Max rate concentrations'!$P$3:$P$368)))/F683, 0)</f>
        <v>0</v>
      </c>
      <c r="N683" s="70">
        <f>IF((((0.326*F683^0.818)-(0.398*F683^0.85)/(1-H683)*H683)*(MAX('Max rate concentrations'!$Q$3:$Q$368)))/F683&gt; 0, (((0.326*F683^0.818)-(0.398*F683^0.85)/(1-H683)*H683)*(MAX('Max rate concentrations'!$Q$3:$Q$368)))/F683, 0)</f>
        <v>0</v>
      </c>
      <c r="O683" s="70">
        <f>((MAX('Max rate concentrations'!$F$3:$F$368))*0.62*6.01*8*(12.3*F683^0.65)*0.079*0.1/F683)*inputs!$E$73/inputs!$E$74</f>
        <v>133.11791893015101</v>
      </c>
      <c r="P683" s="70">
        <f>((MAX('Max rate concentrations'!Y:Y))*0.62*6.01*8*(12.3*F683^0.65)*0.079*0.1/F683)*inputs!$E$73/inputs!$E$74</f>
        <v>44.372639643383671</v>
      </c>
      <c r="Q683" s="70">
        <f>(inputs!$C$18*11.2*(12.3*F683^0.65)*0.5/F683)*inputs!$E$73/inputs!$E$74</f>
        <v>23.44809355848669</v>
      </c>
      <c r="R683" s="60">
        <f>(60*379*((F683/1000)^0.8)*3*24*(MAX('Max rate concentrations'!$R$3:$R$368))/F683)*(inputs!$E$73/inputs!$E$75)</f>
        <v>2.9293144222415933E-2</v>
      </c>
      <c r="S683" s="60">
        <f>(IF(inputs!$C$17="aerial",((0.025*0.112*inputs!$C$18/3.3)*(3*60*379*((F683/1000)^0.8))*MAX(inputs!$I$14:$I$16))/F683,((0.0083*0.112*inputs!$C$18/1)*(3*60*379*((F683/1000)^0.8))*MAX(inputs!$I$14:$I$16))/F683))*(inputs!E$75/inputs!$E$73)</f>
        <v>0.16155349010787662</v>
      </c>
      <c r="T683" s="63">
        <f>IF((((inputs!$P$13/(V683/MAX(K683:S683)))^(1/inputs!$O$13))-1)/inputs!$N$13&lt;0, 0, IF((((inputs!$P$13/(V683/MAX(K683:S683)))^(1/inputs!$O$13))-1)/inputs!$N$13&lt;inputs!$I$17, (((inputs!$P$13/(V683/MAX(K683:S683)))^(1/inputs!$O$13))-1)/inputs!$N$13, inputs!$I$17))</f>
        <v>647.21619528673693</v>
      </c>
      <c r="U683" s="63">
        <f>IF((((inputs!$P$13/(X683/MAX(K683:S683)))^(1/inputs!$O$13))-1)/inputs!$N$13&lt;0, 0, IF((((inputs!$P$13/(X683/MAX(K683:S683)))^(1/inputs!$O$13))-1)/inputs!$N$13&lt;inputs!$I$17, (((inputs!$P$13/(X683/MAX(K683:S683)))^(1/inputs!$O$13))-1)/inputs!$N$13, inputs!$I$17))</f>
        <v>15.4115816787145</v>
      </c>
      <c r="V683" s="54">
        <f>inputs!$E$70*(F683/inputs!$F$70)^(0.25)</f>
        <v>1.8686280175149219</v>
      </c>
      <c r="W683" s="54">
        <f>inputs!$E$76*(F683/inputs!$F$76)^(0.25)</f>
        <v>0.13435518501910776</v>
      </c>
      <c r="X683" s="54">
        <f>inputs!$E$72*(inputs!$F$72/F683)^(0.25)</f>
        <v>133.73448201442503</v>
      </c>
      <c r="Y683" s="54" t="s">
        <v>13</v>
      </c>
      <c r="Z683" s="106">
        <f t="shared" si="55"/>
        <v>370.59348644912416</v>
      </c>
      <c r="AA683" s="106">
        <f t="shared" si="56"/>
        <v>5154.2586301294114</v>
      </c>
    </row>
    <row r="684" spans="1:27" ht="13.2" x14ac:dyDescent="0.25">
      <c r="A684" s="55" t="s">
        <v>561</v>
      </c>
      <c r="B684" s="49" t="s">
        <v>562</v>
      </c>
      <c r="C684" s="21" t="s">
        <v>61</v>
      </c>
      <c r="D684" s="20" t="s">
        <v>443</v>
      </c>
      <c r="E684" s="20">
        <v>17</v>
      </c>
      <c r="F684" s="21">
        <v>7.6</v>
      </c>
      <c r="G684" s="21" t="s">
        <v>154</v>
      </c>
      <c r="H684" s="21">
        <v>9.2999999999999999E-2</v>
      </c>
      <c r="I684" s="68">
        <f>MAX('Max rate concentrations'!$G$3:$G$368)</f>
        <v>45</v>
      </c>
      <c r="J684" s="68">
        <f>MAX('Max rate concentrations'!Z:Z)</f>
        <v>21</v>
      </c>
      <c r="K684" s="70">
        <f t="shared" si="53"/>
        <v>12.725126275034363</v>
      </c>
      <c r="L684" s="70">
        <f t="shared" si="54"/>
        <v>5.9383922616827025</v>
      </c>
      <c r="M684" s="70">
        <f>IF((((0.326*F684^0.818)-(0.398*F684^0.85)/(1-H684)*H684)*(MAX('Max rate concentrations'!$P$3:$P$368)))/F684&gt;0, (((0.326*F684^0.818)-(0.398*F684^0.85)/(1-H684)*H684)*(MAX('Max rate concentrations'!$P$3:$P$368)))/F684, 0)</f>
        <v>0.17006016424449752</v>
      </c>
      <c r="N684" s="70">
        <f>IF((((0.326*F684^0.818)-(0.398*F684^0.85)/(1-H684)*H684)*(MAX('Max rate concentrations'!$Q$3:$Q$368)))/F684&gt; 0, (((0.326*F684^0.818)-(0.398*F684^0.85)/(1-H684)*H684)*(MAX('Max rate concentrations'!$Q$3:$Q$368)))/F684, 0)</f>
        <v>0.64759824306224445</v>
      </c>
      <c r="O684" s="70">
        <f>((MAX('Max rate concentrations'!$F$3:$F$368))*0.62*6.01*8*(12.3*F684^0.65)*0.079*0.1/F684)*inputs!$E$73/inputs!$E$74</f>
        <v>133.11791893015101</v>
      </c>
      <c r="P684" s="70">
        <f>((MAX('Max rate concentrations'!Y:Y))*0.62*6.01*8*(12.3*F684^0.65)*0.079*0.1/F684)*inputs!$E$73/inputs!$E$74</f>
        <v>44.372639643383671</v>
      </c>
      <c r="Q684" s="70">
        <f>(inputs!$C$18*11.2*(12.3*F684^0.65)*0.5/F684)*inputs!$E$73/inputs!$E$74</f>
        <v>23.44809355848669</v>
      </c>
      <c r="R684" s="60">
        <f>(60*379*((F684/1000)^0.8)*3*24*(MAX('Max rate concentrations'!$R$3:$R$368))/F684)*(inputs!$E$73/inputs!$E$75)</f>
        <v>2.9293144222415933E-2</v>
      </c>
      <c r="S684" s="60">
        <f>(IF(inputs!$C$17="aerial",((0.025*0.112*inputs!$C$18/3.3)*(3*60*379*((F684/1000)^0.8))*MAX(inputs!$I$14:$I$16))/F684,((0.0083*0.112*inputs!$C$18/1)*(3*60*379*((F684/1000)^0.8))*MAX(inputs!$I$14:$I$16))/F684))*(inputs!E$75/inputs!$E$73)</f>
        <v>0.16155349010787662</v>
      </c>
      <c r="T684" s="63">
        <f>IF((((inputs!$P$13/(V684/MAX(K684:S684)))^(1/inputs!$O$13))-1)/inputs!$N$13&lt;0, 0, IF((((inputs!$P$13/(V684/MAX(K684:S684)))^(1/inputs!$O$13))-1)/inputs!$N$13&lt;inputs!$I$17, (((inputs!$P$13/(V684/MAX(K684:S684)))^(1/inputs!$O$13))-1)/inputs!$N$13, inputs!$I$17))</f>
        <v>166.71664624362782</v>
      </c>
      <c r="U684" s="63">
        <f>IF((((inputs!$P$13/(X684/MAX(K684:S684)))^(1/inputs!$O$13))-1)/inputs!$N$13&lt;0, 0, IF((((inputs!$P$13/(X684/MAX(K684:S684)))^(1/inputs!$O$13))-1)/inputs!$N$13&lt;inputs!$I$17, (((inputs!$P$13/(X684/MAX(K684:S684)))^(1/inputs!$O$13))-1)/inputs!$N$13, inputs!$I$17))</f>
        <v>0.2117735717154538</v>
      </c>
      <c r="V684" s="54">
        <f>inputs!$E$70*(F684/inputs!$F$70)^(0.25)</f>
        <v>1.8686280175149219</v>
      </c>
      <c r="W684" s="54">
        <f>inputs!$E$76*(F684/inputs!$F$76)^(0.25)</f>
        <v>0.13435518501910776</v>
      </c>
      <c r="X684" s="54">
        <f>inputs!$E$72*(inputs!$F$72/F684)^(0.25)</f>
        <v>133.73448201442503</v>
      </c>
      <c r="Y684" s="54" t="s">
        <v>13</v>
      </c>
      <c r="Z684" s="106">
        <f t="shared" si="55"/>
        <v>71.238319067474862</v>
      </c>
      <c r="AA684" s="106">
        <f t="shared" si="56"/>
        <v>990.79108045751423</v>
      </c>
    </row>
    <row r="685" spans="1:27" ht="13.2" x14ac:dyDescent="0.25">
      <c r="A685" s="55" t="s">
        <v>476</v>
      </c>
      <c r="B685" s="49" t="s">
        <v>477</v>
      </c>
      <c r="C685" s="21" t="s">
        <v>61</v>
      </c>
      <c r="D685" s="20" t="s">
        <v>443</v>
      </c>
      <c r="E685" s="20">
        <v>63</v>
      </c>
      <c r="F685" s="21">
        <v>23.2</v>
      </c>
      <c r="G685" s="21" t="s">
        <v>142</v>
      </c>
      <c r="H685" s="21">
        <v>0.69</v>
      </c>
      <c r="I685" s="68">
        <f>MAX('Max rate concentrations'!$H$3:$H$368)</f>
        <v>282</v>
      </c>
      <c r="J685" s="68">
        <f>MAX('Max rate concentrations'!AA:AA)</f>
        <v>195</v>
      </c>
      <c r="K685" s="70">
        <f t="shared" si="53"/>
        <v>143.42546059626625</v>
      </c>
      <c r="L685" s="70">
        <f t="shared" si="54"/>
        <v>99.177180199545816</v>
      </c>
      <c r="M685" s="70">
        <f>IF((((0.326*F685^0.818)-(0.398*F685^0.85)/(1-H685)*H685)*(MAX('Max rate concentrations'!$P$3:$P$368)))/F685&gt;0, (((0.326*F685^0.818)-(0.398*F685^0.85)/(1-H685)*H685)*(MAX('Max rate concentrations'!$P$3:$P$368)))/F685, 0)</f>
        <v>0</v>
      </c>
      <c r="N685" s="70">
        <f>IF((((0.326*F685^0.818)-(0.398*F685^0.85)/(1-H685)*H685)*(MAX('Max rate concentrations'!$Q$3:$Q$368)))/F685&gt; 0, (((0.326*F685^0.818)-(0.398*F685^0.85)/(1-H685)*H685)*(MAX('Max rate concentrations'!$Q$3:$Q$368)))/F685, 0)</f>
        <v>0</v>
      </c>
      <c r="O685" s="70">
        <f>((MAX('Max rate concentrations'!$F$3:$F$368))*0.62*6.01*8*(12.3*F685^0.65)*0.079*0.1/F685)*inputs!$E$73/inputs!$E$74</f>
        <v>90.074214215864089</v>
      </c>
      <c r="P685" s="70">
        <f>((MAX('Max rate concentrations'!Y:Y))*0.62*6.01*8*(12.3*F685^0.65)*0.079*0.1/F685)*inputs!$E$73/inputs!$E$74</f>
        <v>30.024738071954701</v>
      </c>
      <c r="Q685" s="70">
        <f>(inputs!$C$18*11.2*(12.3*F685^0.65)*0.5/F685)*inputs!$E$73/inputs!$E$74</f>
        <v>15.866147992059481</v>
      </c>
      <c r="R685" s="60">
        <f>(60*379*((F685/1000)^0.8)*3*24*(MAX('Max rate concentrations'!$R$3:$R$368))/F685)*(inputs!$E$73/inputs!$E$75)</f>
        <v>2.3433173674060274E-2</v>
      </c>
      <c r="S685" s="60">
        <f>(IF(inputs!$C$17="aerial",((0.025*0.112*inputs!$C$18/3.3)*(3*60*379*((F685/1000)^0.8))*MAX(inputs!$I$14:$I$16))/F685,((0.0083*0.112*inputs!$C$18/1)*(3*60*379*((F685/1000)^0.8))*MAX(inputs!$I$14:$I$16))/F685))*(inputs!E$75/inputs!$E$73)</f>
        <v>0.12923539250701263</v>
      </c>
      <c r="T685" s="63">
        <f>IF((((inputs!$P$13/(V685/MAX(K685:S685)))^(1/inputs!$O$13))-1)/inputs!$N$13&lt;0, 0, IF((((inputs!$P$13/(V685/MAX(K685:S685)))^(1/inputs!$O$13))-1)/inputs!$N$13&lt;inputs!$I$17, (((inputs!$P$13/(V685/MAX(K685:S685)))^(1/inputs!$O$13))-1)/inputs!$N$13, inputs!$I$17))</f>
        <v>140.51785919432245</v>
      </c>
      <c r="U685" s="63">
        <f>IF((((inputs!$P$13/(X685/MAX(K685:S685)))^(1/inputs!$O$13))-1)/inputs!$N$13&lt;0, 0, IF((((inputs!$P$13/(X685/MAX(K685:S685)))^(1/inputs!$O$13))-1)/inputs!$N$13&lt;inputs!$I$17, (((inputs!$P$13/(X685/MAX(K685:S685)))^(1/inputs!$O$13))-1)/inputs!$N$13, inputs!$I$17))</f>
        <v>2.0121338299718019</v>
      </c>
      <c r="V685" s="54">
        <f>inputs!$E$70*(F685/inputs!$F$70)^(0.25)</f>
        <v>2.4699687258559644</v>
      </c>
      <c r="W685" s="54">
        <f>inputs!$E$76*(F685/inputs!$F$76)^(0.25)</f>
        <v>0.17759184923017349</v>
      </c>
      <c r="X685" s="54">
        <f>inputs!$E$72*(inputs!$F$72/F685)^(0.25)</f>
        <v>101.17537011056586</v>
      </c>
      <c r="Y685" s="54" t="s">
        <v>13</v>
      </c>
      <c r="Z685" s="106">
        <f t="shared" si="55"/>
        <v>58.067723325752773</v>
      </c>
      <c r="AA685" s="106">
        <f t="shared" si="56"/>
        <v>807.61285620926878</v>
      </c>
    </row>
    <row r="686" spans="1:27" ht="13.2" x14ac:dyDescent="0.25">
      <c r="A686" s="55" t="s">
        <v>476</v>
      </c>
      <c r="B686" s="49" t="s">
        <v>477</v>
      </c>
      <c r="C686" s="21" t="s">
        <v>61</v>
      </c>
      <c r="D686" s="20" t="s">
        <v>443</v>
      </c>
      <c r="E686" s="20">
        <v>63</v>
      </c>
      <c r="F686" s="21">
        <v>23.2</v>
      </c>
      <c r="G686" s="21" t="s">
        <v>169</v>
      </c>
      <c r="H686" s="21">
        <v>0.79</v>
      </c>
      <c r="I686" s="68">
        <f>MAX('Max rate concentrations'!$D$3:$D$368)</f>
        <v>720</v>
      </c>
      <c r="J686" s="68">
        <f>MAX('Max rate concentrations'!W:W)</f>
        <v>255</v>
      </c>
      <c r="K686" s="70">
        <f t="shared" si="53"/>
        <v>540.57012504367844</v>
      </c>
      <c r="L686" s="70">
        <f t="shared" si="54"/>
        <v>191.45191928630277</v>
      </c>
      <c r="M686" s="70">
        <f>IF((((0.326*F686^0.818)-(0.398*F686^0.85)/(1-H686)*H686)*(MAX('Max rate concentrations'!$P$3:$P$368)))/F686&gt;0, (((0.326*F686^0.818)-(0.398*F686^0.85)/(1-H686)*H686)*(MAX('Max rate concentrations'!$P$3:$P$368)))/F686, 0)</f>
        <v>0</v>
      </c>
      <c r="N686" s="70">
        <f>IF((((0.326*F686^0.818)-(0.398*F686^0.85)/(1-H686)*H686)*(MAX('Max rate concentrations'!$Q$3:$Q$368)))/F686&gt; 0, (((0.326*F686^0.818)-(0.398*F686^0.85)/(1-H686)*H686)*(MAX('Max rate concentrations'!$Q$3:$Q$368)))/F686, 0)</f>
        <v>0</v>
      </c>
      <c r="O686" s="70">
        <f>((MAX('Max rate concentrations'!$F$3:$F$368))*0.62*6.01*8*(12.3*F686^0.65)*0.079*0.1/F686)*inputs!$E$73/inputs!$E$74</f>
        <v>90.074214215864089</v>
      </c>
      <c r="P686" s="70">
        <f>((MAX('Max rate concentrations'!Y:Y))*0.62*6.01*8*(12.3*F686^0.65)*0.079*0.1/F686)*inputs!$E$73/inputs!$E$74</f>
        <v>30.024738071954701</v>
      </c>
      <c r="Q686" s="70">
        <f>(inputs!$C$18*11.2*(12.3*F686^0.65)*0.5/F686)*inputs!$E$73/inputs!$E$74</f>
        <v>15.866147992059481</v>
      </c>
      <c r="R686" s="60">
        <f>(60*379*((F686/1000)^0.8)*3*24*(MAX('Max rate concentrations'!$R$3:$R$368))/F686)*(inputs!$E$73/inputs!$E$75)</f>
        <v>2.3433173674060274E-2</v>
      </c>
      <c r="S686" s="60">
        <f>(IF(inputs!$C$17="aerial",((0.025*0.112*inputs!$C$18/3.3)*(3*60*379*((F686/1000)^0.8))*MAX(inputs!$I$14:$I$16))/F686,((0.0083*0.112*inputs!$C$18/1)*(3*60*379*((F686/1000)^0.8))*MAX(inputs!$I$14:$I$16))/F686))*(inputs!E$75/inputs!$E$73)</f>
        <v>0.12923539250701263</v>
      </c>
      <c r="T686" s="63">
        <f>IF((((inputs!$P$13/(V686/MAX(K686:S686)))^(1/inputs!$O$13))-1)/inputs!$N$13&lt;0, 0, IF((((inputs!$P$13/(V686/MAX(K686:S686)))^(1/inputs!$O$13))-1)/inputs!$N$13&lt;inputs!$I$17, (((inputs!$P$13/(V686/MAX(K686:S686)))^(1/inputs!$O$13))-1)/inputs!$N$13, inputs!$I$17))</f>
        <v>420.93027229949246</v>
      </c>
      <c r="U686" s="63">
        <f>IF((((inputs!$P$13/(X686/MAX(K686:S686)))^(1/inputs!$O$13))-1)/inputs!$N$13&lt;0, 0, IF((((inputs!$P$13/(X686/MAX(K686:S686)))^(1/inputs!$O$13))-1)/inputs!$N$13&lt;inputs!$I$17, (((inputs!$P$13/(X686/MAX(K686:S686)))^(1/inputs!$O$13))-1)/inputs!$N$13, inputs!$I$17))</f>
        <v>15.940908635806434</v>
      </c>
      <c r="V686" s="54">
        <f>inputs!$E$70*(F686/inputs!$F$70)^(0.25)</f>
        <v>2.4699687258559644</v>
      </c>
      <c r="W686" s="54">
        <f>inputs!$E$76*(F686/inputs!$F$76)^(0.25)</f>
        <v>0.17759184923017349</v>
      </c>
      <c r="X686" s="54">
        <f>inputs!$E$72*(inputs!$F$72/F686)^(0.25)</f>
        <v>101.17537011056586</v>
      </c>
      <c r="Y686" s="54" t="s">
        <v>13</v>
      </c>
      <c r="Z686" s="106">
        <f t="shared" si="55"/>
        <v>218.857072717123</v>
      </c>
      <c r="AA686" s="106">
        <f t="shared" si="56"/>
        <v>3043.8904003024122</v>
      </c>
    </row>
    <row r="687" spans="1:27" ht="13.2" x14ac:dyDescent="0.25">
      <c r="A687" s="55" t="s">
        <v>476</v>
      </c>
      <c r="B687" s="49" t="s">
        <v>477</v>
      </c>
      <c r="C687" s="21" t="s">
        <v>61</v>
      </c>
      <c r="D687" s="20" t="s">
        <v>443</v>
      </c>
      <c r="E687" s="20">
        <v>63</v>
      </c>
      <c r="F687" s="21">
        <v>23.2</v>
      </c>
      <c r="G687" s="21" t="s">
        <v>177</v>
      </c>
      <c r="H687" s="21">
        <v>0.85</v>
      </c>
      <c r="I687" s="68">
        <f>MAX('Max rate concentrations'!$F$3:$F$368)</f>
        <v>405</v>
      </c>
      <c r="J687" s="68">
        <f>MAX('Max rate concentrations'!Y:Y)</f>
        <v>135</v>
      </c>
      <c r="K687" s="70">
        <f t="shared" si="53"/>
        <v>425.69897347189658</v>
      </c>
      <c r="L687" s="70">
        <f t="shared" si="54"/>
        <v>141.89965782396553</v>
      </c>
      <c r="M687" s="70">
        <f>IF((((0.326*F687^0.818)-(0.398*F687^0.85)/(1-H687)*H687)*(MAX('Max rate concentrations'!$P$3:$P$368)))/F687&gt;0, (((0.326*F687^0.818)-(0.398*F687^0.85)/(1-H687)*H687)*(MAX('Max rate concentrations'!$P$3:$P$368)))/F687, 0)</f>
        <v>0</v>
      </c>
      <c r="N687" s="70">
        <f>IF((((0.326*F687^0.818)-(0.398*F687^0.85)/(1-H687)*H687)*(MAX('Max rate concentrations'!$Q$3:$Q$368)))/F687&gt; 0, (((0.326*F687^0.818)-(0.398*F687^0.85)/(1-H687)*H687)*(MAX('Max rate concentrations'!$Q$3:$Q$368)))/F687, 0)</f>
        <v>0</v>
      </c>
      <c r="O687" s="70">
        <f>((MAX('Max rate concentrations'!$F$3:$F$368))*0.62*6.01*8*(12.3*F687^0.65)*0.079*0.1/F687)*inputs!$E$73/inputs!$E$74</f>
        <v>90.074214215864089</v>
      </c>
      <c r="P687" s="70">
        <f>((MAX('Max rate concentrations'!Y:Y))*0.62*6.01*8*(12.3*F687^0.65)*0.079*0.1/F687)*inputs!$E$73/inputs!$E$74</f>
        <v>30.024738071954701</v>
      </c>
      <c r="Q687" s="70">
        <f>(inputs!$C$18*11.2*(12.3*F687^0.65)*0.5/F687)*inputs!$E$73/inputs!$E$74</f>
        <v>15.866147992059481</v>
      </c>
      <c r="R687" s="60">
        <f>(60*379*((F687/1000)^0.8)*3*24*(MAX('Max rate concentrations'!$R$3:$R$368))/F687)*(inputs!$E$73/inputs!$E$75)</f>
        <v>2.3433173674060274E-2</v>
      </c>
      <c r="S687" s="60">
        <f>(IF(inputs!$C$17="aerial",((0.025*0.112*inputs!$C$18/3.3)*(3*60*379*((F687/1000)^0.8))*MAX(inputs!$I$14:$I$16))/F687,((0.0083*0.112*inputs!$C$18/1)*(3*60*379*((F687/1000)^0.8))*MAX(inputs!$I$14:$I$16))/F687))*(inputs!E$75/inputs!$E$73)</f>
        <v>0.12923539250701263</v>
      </c>
      <c r="T687" s="63">
        <f>IF((((inputs!$P$13/(V687/MAX(K687:S687)))^(1/inputs!$O$13))-1)/inputs!$N$13&lt;0, 0, IF((((inputs!$P$13/(V687/MAX(K687:S687)))^(1/inputs!$O$13))-1)/inputs!$N$13&lt;inputs!$I$17, (((inputs!$P$13/(V687/MAX(K687:S687)))^(1/inputs!$O$13))-1)/inputs!$N$13, inputs!$I$17))</f>
        <v>346.0671132433265</v>
      </c>
      <c r="U687" s="63">
        <f>IF((((inputs!$P$13/(X687/MAX(K687:S687)))^(1/inputs!$O$13))-1)/inputs!$N$13&lt;0, 0, IF((((inputs!$P$13/(X687/MAX(K687:S687)))^(1/inputs!$O$13))-1)/inputs!$N$13&lt;inputs!$I$17, (((inputs!$P$13/(X687/MAX(K687:S687)))^(1/inputs!$O$13))-1)/inputs!$N$13, inputs!$I$17))</f>
        <v>12.222271246684764</v>
      </c>
      <c r="V687" s="54">
        <f>inputs!$E$70*(F687/inputs!$F$70)^(0.25)</f>
        <v>2.4699687258559644</v>
      </c>
      <c r="W687" s="54">
        <f>inputs!$E$76*(F687/inputs!$F$76)^(0.25)</f>
        <v>0.17759184923017349</v>
      </c>
      <c r="X687" s="54">
        <f>inputs!$E$72*(inputs!$F$72/F687)^(0.25)</f>
        <v>101.17537011056586</v>
      </c>
      <c r="Y687" s="54" t="s">
        <v>13</v>
      </c>
      <c r="Z687" s="106">
        <f t="shared" si="55"/>
        <v>172.34994476473429</v>
      </c>
      <c r="AA687" s="106">
        <f t="shared" si="56"/>
        <v>2397.0636902381489</v>
      </c>
    </row>
    <row r="688" spans="1:27" ht="13.2" x14ac:dyDescent="0.25">
      <c r="A688" s="55" t="s">
        <v>476</v>
      </c>
      <c r="B688" s="49" t="s">
        <v>477</v>
      </c>
      <c r="C688" s="21" t="s">
        <v>61</v>
      </c>
      <c r="D688" s="20" t="s">
        <v>443</v>
      </c>
      <c r="E688" s="20">
        <v>63</v>
      </c>
      <c r="F688" s="21">
        <v>23.2</v>
      </c>
      <c r="G688" s="21" t="s">
        <v>154</v>
      </c>
      <c r="H688" s="21">
        <v>9.2999999999999999E-2</v>
      </c>
      <c r="I688" s="68">
        <f>MAX('Max rate concentrations'!$G$3:$G$368)</f>
        <v>45</v>
      </c>
      <c r="J688" s="68">
        <f>MAX('Max rate concentrations'!Z:Z)</f>
        <v>21</v>
      </c>
      <c r="K688" s="70">
        <f t="shared" si="53"/>
        <v>7.8224728679143078</v>
      </c>
      <c r="L688" s="70">
        <f t="shared" si="54"/>
        <v>3.6504873383600103</v>
      </c>
      <c r="M688" s="70">
        <f>IF((((0.326*F688^0.818)-(0.398*F688^0.85)/(1-H688)*H688)*(MAX('Max rate concentrations'!$P$3:$P$368)))/F688&gt;0, (((0.326*F688^0.818)-(0.398*F688^0.85)/(1-H688)*H688)*(MAX('Max rate concentrations'!$P$3:$P$368)))/F688, 0)</f>
        <v>0.13802275915783402</v>
      </c>
      <c r="N688" s="70">
        <f>IF((((0.326*F688^0.818)-(0.398*F688^0.85)/(1-H688)*H688)*(MAX('Max rate concentrations'!$Q$3:$Q$368)))/F688&gt; 0, (((0.326*F688^0.818)-(0.398*F688^0.85)/(1-H688)*H688)*(MAX('Max rate concentrations'!$Q$3:$Q$368)))/F688, 0)</f>
        <v>0.52559808306846745</v>
      </c>
      <c r="O688" s="70">
        <f>((MAX('Max rate concentrations'!$F$3:$F$368))*0.62*6.01*8*(12.3*F688^0.65)*0.079*0.1/F688)*inputs!$E$73/inputs!$E$74</f>
        <v>90.074214215864089</v>
      </c>
      <c r="P688" s="70">
        <f>((MAX('Max rate concentrations'!Y:Y))*0.62*6.01*8*(12.3*F688^0.65)*0.079*0.1/F688)*inputs!$E$73/inputs!$E$74</f>
        <v>30.024738071954701</v>
      </c>
      <c r="Q688" s="70">
        <f>(inputs!$C$18*11.2*(12.3*F688^0.65)*0.5/F688)*inputs!$E$73/inputs!$E$74</f>
        <v>15.866147992059481</v>
      </c>
      <c r="R688" s="60">
        <f>(60*379*((F688/1000)^0.8)*3*24*(MAX('Max rate concentrations'!$R$3:$R$368))/F688)*(inputs!$E$73/inputs!$E$75)</f>
        <v>2.3433173674060274E-2</v>
      </c>
      <c r="S688" s="60">
        <f>(IF(inputs!$C$17="aerial",((0.025*0.112*inputs!$C$18/3.3)*(3*60*379*((F688/1000)^0.8))*MAX(inputs!$I$14:$I$16))/F688,((0.0083*0.112*inputs!$C$18/1)*(3*60*379*((F688/1000)^0.8))*MAX(inputs!$I$14:$I$16))/F688))*(inputs!E$75/inputs!$E$73)</f>
        <v>0.12923539250701263</v>
      </c>
      <c r="T688" s="63">
        <f>IF((((inputs!$P$13/(V688/MAX(K688:S688)))^(1/inputs!$O$13))-1)/inputs!$N$13&lt;0, 0, IF((((inputs!$P$13/(V688/MAX(K688:S688)))^(1/inputs!$O$13))-1)/inputs!$N$13&lt;inputs!$I$17, (((inputs!$P$13/(V688/MAX(K688:S688)))^(1/inputs!$O$13))-1)/inputs!$N$13, inputs!$I$17))</f>
        <v>94.823841980627947</v>
      </c>
      <c r="U688" s="63">
        <f>IF((((inputs!$P$13/(X688/MAX(K688:S688)))^(1/inputs!$O$13))-1)/inputs!$N$13&lt;0, 0, IF((((inputs!$P$13/(X688/MAX(K688:S688)))^(1/inputs!$O$13))-1)/inputs!$N$13&lt;inputs!$I$17, (((inputs!$P$13/(X688/MAX(K688:S688)))^(1/inputs!$O$13))-1)/inputs!$N$13, inputs!$I$17))</f>
        <v>0</v>
      </c>
      <c r="V688" s="54">
        <f>inputs!$E$70*(F688/inputs!$F$70)^(0.25)</f>
        <v>2.4699687258559644</v>
      </c>
      <c r="W688" s="54">
        <f>inputs!$E$76*(F688/inputs!$F$76)^(0.25)</f>
        <v>0.17759184923017349</v>
      </c>
      <c r="X688" s="54">
        <f>inputs!$E$72*(inputs!$F$72/F688)^(0.25)</f>
        <v>101.17537011056586</v>
      </c>
      <c r="Y688" s="54" t="s">
        <v>13</v>
      </c>
      <c r="Z688" s="106">
        <f t="shared" si="55"/>
        <v>36.467754944811695</v>
      </c>
      <c r="AA688" s="106">
        <f t="shared" si="56"/>
        <v>507.19790692150843</v>
      </c>
    </row>
    <row r="689" spans="1:27" ht="13.2" x14ac:dyDescent="0.25">
      <c r="A689" s="55" t="s">
        <v>546</v>
      </c>
      <c r="B689" s="49" t="s">
        <v>547</v>
      </c>
      <c r="C689" s="21" t="s">
        <v>61</v>
      </c>
      <c r="D689" s="20" t="s">
        <v>443</v>
      </c>
      <c r="E689" s="20">
        <v>53</v>
      </c>
      <c r="F689" s="21">
        <v>12</v>
      </c>
      <c r="G689" s="21" t="s">
        <v>182</v>
      </c>
      <c r="H689" s="21">
        <v>0.85</v>
      </c>
      <c r="I689" s="68">
        <f>MAX('Max rate concentrations'!$M$3:$M$368)</f>
        <v>17.092910873809167</v>
      </c>
      <c r="J689" s="68">
        <f>MAX('Max rate concentrations'!AE:AE)</f>
        <v>11.81956602976166</v>
      </c>
      <c r="K689" s="70">
        <f t="shared" si="53"/>
        <v>23.949328773314715</v>
      </c>
      <c r="L689" s="70">
        <f t="shared" si="54"/>
        <v>16.560706066653793</v>
      </c>
      <c r="M689" s="70">
        <f>IF((((0.326*F689^0.818)-(0.398*F689^0.85)/(1-H689)*H689)*(MAX('Max rate concentrations'!$P$3:$P$368)))/F689&gt;0, (((0.326*F689^0.818)-(0.398*F689^0.85)/(1-H689)*H689)*(MAX('Max rate concentrations'!$P$3:$P$368)))/F689, 0)</f>
        <v>0</v>
      </c>
      <c r="N689" s="70">
        <f>IF((((0.326*F689^0.818)-(0.398*F689^0.85)/(1-H689)*H689)*(MAX('Max rate concentrations'!$Q$3:$Q$368)))/F689&gt; 0, (((0.326*F689^0.818)-(0.398*F689^0.85)/(1-H689)*H689)*(MAX('Max rate concentrations'!$Q$3:$Q$368)))/F689, 0)</f>
        <v>0</v>
      </c>
      <c r="O689" s="70">
        <f>((MAX('Max rate concentrations'!$F$3:$F$368))*0.62*6.01*8*(12.3*F689^0.65)*0.079*0.1/F689)*inputs!$E$73/inputs!$E$74</f>
        <v>113.45087263972519</v>
      </c>
      <c r="P689" s="70">
        <f>((MAX('Max rate concentrations'!Y:Y))*0.62*6.01*8*(12.3*F689^0.65)*0.079*0.1/F689)*inputs!$E$73/inputs!$E$74</f>
        <v>37.816957546575082</v>
      </c>
      <c r="Q689" s="70">
        <f>(inputs!$C$18*11.2*(12.3*F689^0.65)*0.5/F689)*inputs!$E$73/inputs!$E$74</f>
        <v>19.983836115587753</v>
      </c>
      <c r="R689" s="60">
        <f>(60*379*((F689/1000)^0.8)*3*24*(MAX('Max rate concentrations'!$R$3:$R$368))/F689)*(inputs!$E$73/inputs!$E$75)</f>
        <v>2.6735755385671349E-2</v>
      </c>
      <c r="S689" s="60">
        <f>(IF(inputs!$C$17="aerial",((0.025*0.112*inputs!$C$18/3.3)*(3*60*379*((F689/1000)^0.8))*MAX(inputs!$I$14:$I$16))/F689,((0.0083*0.112*inputs!$C$18/1)*(3*60*379*((F689/1000)^0.8))*MAX(inputs!$I$14:$I$16))/F689))*(inputs!E$75/inputs!$E$73)</f>
        <v>0.14744933355158416</v>
      </c>
      <c r="T689" s="63">
        <f>IF((((inputs!$P$13/(V689/MAX(K689:S689)))^(1/inputs!$O$13))-1)/inputs!$N$13&lt;0, 0, IF((((inputs!$P$13/(V689/MAX(K689:S689)))^(1/inputs!$O$13))-1)/inputs!$N$13&lt;inputs!$I$17, (((inputs!$P$13/(V689/MAX(K689:S689)))^(1/inputs!$O$13))-1)/inputs!$N$13, inputs!$I$17))</f>
        <v>132.53759877620911</v>
      </c>
      <c r="U689" s="63">
        <f>IF((((inputs!$P$13/(X689/MAX(K689:S689)))^(1/inputs!$O$13))-1)/inputs!$N$13&lt;0, 0, IF((((inputs!$P$13/(X689/MAX(K689:S689)))^(1/inputs!$O$13))-1)/inputs!$N$13&lt;inputs!$I$17, (((inputs!$P$13/(X689/MAX(K689:S689)))^(1/inputs!$O$13))-1)/inputs!$N$13, inputs!$I$17))</f>
        <v>1.4534229774466291E-2</v>
      </c>
      <c r="V689" s="54">
        <f>inputs!$E$70*(F689/inputs!$F$70)^(0.25)</f>
        <v>2.094665933568276</v>
      </c>
      <c r="W689" s="54">
        <f>inputs!$E$76*(F689/inputs!$F$76)^(0.25)</f>
        <v>0.1506074116517096</v>
      </c>
      <c r="X689" s="54">
        <f>inputs!$E$72*(inputs!$F$72/F689)^(0.25)</f>
        <v>119.30303347908743</v>
      </c>
      <c r="Y689" s="54" t="s">
        <v>13</v>
      </c>
      <c r="Z689" s="106">
        <f t="shared" si="55"/>
        <v>54.161797746173754</v>
      </c>
      <c r="AA689" s="106">
        <f t="shared" si="56"/>
        <v>753.28877507096684</v>
      </c>
    </row>
    <row r="690" spans="1:27" ht="13.2" x14ac:dyDescent="0.25">
      <c r="A690" s="55" t="s">
        <v>546</v>
      </c>
      <c r="B690" s="49" t="s">
        <v>547</v>
      </c>
      <c r="C690" s="21" t="s">
        <v>61</v>
      </c>
      <c r="D690" s="20" t="s">
        <v>443</v>
      </c>
      <c r="E690" s="20">
        <v>53</v>
      </c>
      <c r="F690" s="21">
        <v>12</v>
      </c>
      <c r="G690" s="21" t="s">
        <v>142</v>
      </c>
      <c r="H690" s="21">
        <v>0.69</v>
      </c>
      <c r="I690" s="68">
        <f>MAX('Max rate concentrations'!$H$3:$H$368)</f>
        <v>282</v>
      </c>
      <c r="J690" s="68">
        <f>MAX('Max rate concentrations'!AA:AA)</f>
        <v>195</v>
      </c>
      <c r="K690" s="70">
        <f t="shared" si="53"/>
        <v>191.18595792105523</v>
      </c>
      <c r="L690" s="70">
        <f t="shared" si="54"/>
        <v>132.20305600924033</v>
      </c>
      <c r="M690" s="70">
        <f>IF((((0.326*F690^0.818)-(0.398*F690^0.85)/(1-H690)*H690)*(MAX('Max rate concentrations'!$P$3:$P$368)))/F690&gt;0, (((0.326*F690^0.818)-(0.398*F690^0.85)/(1-H690)*H690)*(MAX('Max rate concentrations'!$P$3:$P$368)))/F690, 0)</f>
        <v>0</v>
      </c>
      <c r="N690" s="70">
        <f>IF((((0.326*F690^0.818)-(0.398*F690^0.85)/(1-H690)*H690)*(MAX('Max rate concentrations'!$Q$3:$Q$368)))/F690&gt; 0, (((0.326*F690^0.818)-(0.398*F690^0.85)/(1-H690)*H690)*(MAX('Max rate concentrations'!$Q$3:$Q$368)))/F690, 0)</f>
        <v>0</v>
      </c>
      <c r="O690" s="70">
        <f>((MAX('Max rate concentrations'!$F$3:$F$368))*0.62*6.01*8*(12.3*F690^0.65)*0.079*0.1/F690)*inputs!$E$73/inputs!$E$74</f>
        <v>113.45087263972519</v>
      </c>
      <c r="P690" s="70">
        <f>((MAX('Max rate concentrations'!Y:Y))*0.62*6.01*8*(12.3*F690^0.65)*0.079*0.1/F690)*inputs!$E$73/inputs!$E$74</f>
        <v>37.816957546575082</v>
      </c>
      <c r="Q690" s="70">
        <f>(inputs!$C$18*11.2*(12.3*F690^0.65)*0.5/F690)*inputs!$E$73/inputs!$E$74</f>
        <v>19.983836115587753</v>
      </c>
      <c r="R690" s="60">
        <f>(60*379*((F690/1000)^0.8)*3*24*(MAX('Max rate concentrations'!$R$3:$R$368))/F690)*(inputs!$E$73/inputs!$E$75)</f>
        <v>2.6735755385671349E-2</v>
      </c>
      <c r="S690" s="60">
        <f>(IF(inputs!$C$17="aerial",((0.025*0.112*inputs!$C$18/3.3)*(3*60*379*((F690/1000)^0.8))*MAX(inputs!$I$14:$I$16))/F690,((0.0083*0.112*inputs!$C$18/1)*(3*60*379*((F690/1000)^0.8))*MAX(inputs!$I$14:$I$16))/F690))*(inputs!E$75/inputs!$E$73)</f>
        <v>0.14744933355158416</v>
      </c>
      <c r="T690" s="63">
        <f>IF((((inputs!$P$13/(V690/MAX(K690:S690)))^(1/inputs!$O$13))-1)/inputs!$N$13&lt;0, 0, IF((((inputs!$P$13/(V690/MAX(K690:S690)))^(1/inputs!$O$13))-1)/inputs!$N$13&lt;inputs!$I$17, (((inputs!$P$13/(V690/MAX(K690:S690)))^(1/inputs!$O$13))-1)/inputs!$N$13, inputs!$I$17))</f>
        <v>204.87073688962616</v>
      </c>
      <c r="U690" s="63">
        <f>IF((((inputs!$P$13/(X690/MAX(K690:S690)))^(1/inputs!$O$13))-1)/inputs!$N$13&lt;0, 0, IF((((inputs!$P$13/(X690/MAX(K690:S690)))^(1/inputs!$O$13))-1)/inputs!$N$13&lt;inputs!$I$17, (((inputs!$P$13/(X690/MAX(K690:S690)))^(1/inputs!$O$13))-1)/inputs!$N$13, inputs!$I$17))</f>
        <v>2.7667932705684848</v>
      </c>
      <c r="V690" s="54">
        <f>inputs!$E$70*(F690/inputs!$F$70)^(0.25)</f>
        <v>2.094665933568276</v>
      </c>
      <c r="W690" s="54">
        <f>inputs!$E$76*(F690/inputs!$F$76)^(0.25)</f>
        <v>0.1506074116517096</v>
      </c>
      <c r="X690" s="54">
        <f>inputs!$E$72*(inputs!$F$72/F690)^(0.25)</f>
        <v>119.30303347908743</v>
      </c>
      <c r="Y690" s="54" t="s">
        <v>13</v>
      </c>
      <c r="Z690" s="106">
        <f t="shared" si="55"/>
        <v>91.272768061572862</v>
      </c>
      <c r="AA690" s="106">
        <f t="shared" si="56"/>
        <v>1269.4325984645857</v>
      </c>
    </row>
    <row r="691" spans="1:27" ht="13.2" x14ac:dyDescent="0.25">
      <c r="A691" s="55" t="s">
        <v>546</v>
      </c>
      <c r="B691" s="49" t="s">
        <v>547</v>
      </c>
      <c r="C691" s="21" t="s">
        <v>61</v>
      </c>
      <c r="D691" s="20" t="s">
        <v>443</v>
      </c>
      <c r="E691" s="20">
        <v>53</v>
      </c>
      <c r="F691" s="21">
        <v>12</v>
      </c>
      <c r="G691" s="21" t="s">
        <v>169</v>
      </c>
      <c r="H691" s="21">
        <v>0.79</v>
      </c>
      <c r="I691" s="68">
        <f>MAX('Max rate concentrations'!$D$3:$D$368)</f>
        <v>720</v>
      </c>
      <c r="J691" s="68">
        <f>MAX('Max rate concentrations'!W:W)</f>
        <v>255</v>
      </c>
      <c r="K691" s="70">
        <f t="shared" si="53"/>
        <v>720.57929429212345</v>
      </c>
      <c r="L691" s="70">
        <f t="shared" si="54"/>
        <v>255.2051667284604</v>
      </c>
      <c r="M691" s="70">
        <f>IF((((0.326*F691^0.818)-(0.398*F691^0.85)/(1-H691)*H691)*(MAX('Max rate concentrations'!$P$3:$P$368)))/F691&gt;0, (((0.326*F691^0.818)-(0.398*F691^0.85)/(1-H691)*H691)*(MAX('Max rate concentrations'!$P$3:$P$368)))/F691, 0)</f>
        <v>0</v>
      </c>
      <c r="N691" s="70">
        <f>IF((((0.326*F691^0.818)-(0.398*F691^0.85)/(1-H691)*H691)*(MAX('Max rate concentrations'!$Q$3:$Q$368)))/F691&gt; 0, (((0.326*F691^0.818)-(0.398*F691^0.85)/(1-H691)*H691)*(MAX('Max rate concentrations'!$Q$3:$Q$368)))/F691, 0)</f>
        <v>0</v>
      </c>
      <c r="O691" s="70">
        <f>((MAX('Max rate concentrations'!$F$3:$F$368))*0.62*6.01*8*(12.3*F691^0.65)*0.079*0.1/F691)*inputs!$E$73/inputs!$E$74</f>
        <v>113.45087263972519</v>
      </c>
      <c r="P691" s="70">
        <f>((MAX('Max rate concentrations'!Y:Y))*0.62*6.01*8*(12.3*F691^0.65)*0.079*0.1/F691)*inputs!$E$73/inputs!$E$74</f>
        <v>37.816957546575082</v>
      </c>
      <c r="Q691" s="70">
        <f>(inputs!$C$18*11.2*(12.3*F691^0.65)*0.5/F691)*inputs!$E$73/inputs!$E$74</f>
        <v>19.983836115587753</v>
      </c>
      <c r="R691" s="60">
        <f>(60*379*((F691/1000)^0.8)*3*24*(MAX('Max rate concentrations'!$R$3:$R$368))/F691)*(inputs!$E$73/inputs!$E$75)</f>
        <v>2.6735755385671349E-2</v>
      </c>
      <c r="S691" s="60">
        <f>(IF(inputs!$C$17="aerial",((0.025*0.112*inputs!$C$18/3.3)*(3*60*379*((F691/1000)^0.8))*MAX(inputs!$I$14:$I$16))/F691,((0.0083*0.112*inputs!$C$18/1)*(3*60*379*((F691/1000)^0.8))*MAX(inputs!$I$14:$I$16))/F691))*(inputs!E$75/inputs!$E$73)</f>
        <v>0.14744933355158416</v>
      </c>
      <c r="T691" s="63">
        <f>IF((((inputs!$P$13/(V691/MAX(K691:S691)))^(1/inputs!$O$13))-1)/inputs!$N$13&lt;0, 0, IF((((inputs!$P$13/(V691/MAX(K691:S691)))^(1/inputs!$O$13))-1)/inputs!$N$13&lt;inputs!$I$17, (((inputs!$P$13/(V691/MAX(K691:S691)))^(1/inputs!$O$13))-1)/inputs!$N$13, inputs!$I$17))</f>
        <v>609.09744675519983</v>
      </c>
      <c r="U691" s="63">
        <f>IF((((inputs!$P$13/(X691/MAX(K691:S691)))^(1/inputs!$O$13))-1)/inputs!$N$13&lt;0, 0, IF((((inputs!$P$13/(X691/MAX(K691:S691)))^(1/inputs!$O$13))-1)/inputs!$N$13&lt;inputs!$I$17, (((inputs!$P$13/(X691/MAX(K691:S691)))^(1/inputs!$O$13))-1)/inputs!$N$13, inputs!$I$17))</f>
        <v>18.147525335773611</v>
      </c>
      <c r="V691" s="54">
        <f>inputs!$E$70*(F691/inputs!$F$70)^(0.25)</f>
        <v>2.094665933568276</v>
      </c>
      <c r="W691" s="54">
        <f>inputs!$E$76*(F691/inputs!$F$76)^(0.25)</f>
        <v>0.1506074116517096</v>
      </c>
      <c r="X691" s="54">
        <f>inputs!$E$72*(inputs!$F$72/F691)^(0.25)</f>
        <v>119.30303347908743</v>
      </c>
      <c r="Y691" s="54" t="s">
        <v>13</v>
      </c>
      <c r="Z691" s="106">
        <f t="shared" si="55"/>
        <v>344.00678539924132</v>
      </c>
      <c r="AA691" s="106">
        <f t="shared" si="56"/>
        <v>4784.4876051552801</v>
      </c>
    </row>
    <row r="692" spans="1:27" ht="13.2" x14ac:dyDescent="0.25">
      <c r="A692" s="55" t="s">
        <v>546</v>
      </c>
      <c r="B692" s="49" t="s">
        <v>547</v>
      </c>
      <c r="C692" s="21" t="s">
        <v>61</v>
      </c>
      <c r="D692" s="20" t="s">
        <v>443</v>
      </c>
      <c r="E692" s="20">
        <v>53</v>
      </c>
      <c r="F692" s="21">
        <v>12</v>
      </c>
      <c r="G692" s="21" t="s">
        <v>456</v>
      </c>
      <c r="H692" s="21">
        <v>0.68</v>
      </c>
      <c r="I692" s="68">
        <f>MAX('Max rate concentrations'!$J$3:$J$368)</f>
        <v>686.46486205830786</v>
      </c>
      <c r="J692" s="68">
        <f>MAX('Max rate concentrations'!AB:AB)</f>
        <v>243.122971978984</v>
      </c>
      <c r="K692" s="70">
        <f t="shared" si="53"/>
        <v>450.85502096461028</v>
      </c>
      <c r="L692" s="70">
        <f t="shared" si="54"/>
        <v>159.67781992496612</v>
      </c>
      <c r="M692" s="70">
        <f>IF((((0.326*F692^0.818)-(0.398*F692^0.85)/(1-H692)*H692)*(MAX('Max rate concentrations'!$P$3:$P$368)))/F692&gt;0, (((0.326*F692^0.818)-(0.398*F692^0.85)/(1-H692)*H692)*(MAX('Max rate concentrations'!$P$3:$P$368)))/F692, 0)</f>
        <v>0</v>
      </c>
      <c r="N692" s="70">
        <f>IF((((0.326*F692^0.818)-(0.398*F692^0.85)/(1-H692)*H692)*(MAX('Max rate concentrations'!$Q$3:$Q$368)))/F692&gt; 0, (((0.326*F692^0.818)-(0.398*F692^0.85)/(1-H692)*H692)*(MAX('Max rate concentrations'!$Q$3:$Q$368)))/F692, 0)</f>
        <v>0</v>
      </c>
      <c r="O692" s="70">
        <f>((MAX('Max rate concentrations'!$F$3:$F$368))*0.62*6.01*8*(12.3*F692^0.65)*0.079*0.1/F692)*inputs!$E$73/inputs!$E$74</f>
        <v>113.45087263972519</v>
      </c>
      <c r="P692" s="70">
        <f>((MAX('Max rate concentrations'!Y:Y))*0.62*6.01*8*(12.3*F692^0.65)*0.079*0.1/F692)*inputs!$E$73/inputs!$E$74</f>
        <v>37.816957546575082</v>
      </c>
      <c r="Q692" s="70">
        <f>(inputs!$C$18*11.2*(12.3*F692^0.65)*0.5/F692)*inputs!$E$73/inputs!$E$74</f>
        <v>19.983836115587753</v>
      </c>
      <c r="R692" s="60">
        <f>(60*379*((F692/1000)^0.8)*3*24*(MAX('Max rate concentrations'!$R$3:$R$368))/F692)*(inputs!$E$73/inputs!$E$75)</f>
        <v>2.6735755385671349E-2</v>
      </c>
      <c r="S692" s="60">
        <f>(IF(inputs!$C$17="aerial",((0.025*0.112*inputs!$C$18/3.3)*(3*60*379*((F692/1000)^0.8))*MAX(inputs!$I$14:$I$16))/F692,((0.0083*0.112*inputs!$C$18/1)*(3*60*379*((F692/1000)^0.8))*MAX(inputs!$I$14:$I$16))/F692))*(inputs!E$75/inputs!$E$73)</f>
        <v>0.14744933355158416</v>
      </c>
      <c r="T692" s="63">
        <f>IF((((inputs!$P$13/(V692/MAX(K692:S692)))^(1/inputs!$O$13))-1)/inputs!$N$13&lt;0, 0, IF((((inputs!$P$13/(V692/MAX(K692:S692)))^(1/inputs!$O$13))-1)/inputs!$N$13&lt;inputs!$I$17, (((inputs!$P$13/(V692/MAX(K692:S692)))^(1/inputs!$O$13))-1)/inputs!$N$13, inputs!$I$17))</f>
        <v>415.22497114888534</v>
      </c>
      <c r="U692" s="63">
        <f>IF((((inputs!$P$13/(X692/MAX(K692:S692)))^(1/inputs!$O$13))-1)/inputs!$N$13&lt;0, 0, IF((((inputs!$P$13/(X692/MAX(K692:S692)))^(1/inputs!$O$13))-1)/inputs!$N$13&lt;inputs!$I$17, (((inputs!$P$13/(X692/MAX(K692:S692)))^(1/inputs!$O$13))-1)/inputs!$N$13, inputs!$I$17))</f>
        <v>10.770722840187952</v>
      </c>
      <c r="V692" s="54">
        <f>inputs!$E$70*(F692/inputs!$F$70)^(0.25)</f>
        <v>2.094665933568276</v>
      </c>
      <c r="W692" s="54">
        <f>inputs!$E$76*(F692/inputs!$F$76)^(0.25)</f>
        <v>0.1506074116517096</v>
      </c>
      <c r="X692" s="54">
        <f>inputs!$E$72*(inputs!$F$72/F692)^(0.25)</f>
        <v>119.30303347908743</v>
      </c>
      <c r="Y692" s="54" t="s">
        <v>13</v>
      </c>
      <c r="Z692" s="106">
        <f t="shared" si="55"/>
        <v>215.23958247441206</v>
      </c>
      <c r="AA692" s="106">
        <f t="shared" si="56"/>
        <v>2993.5779124021115</v>
      </c>
    </row>
    <row r="693" spans="1:27" ht="13.2" x14ac:dyDescent="0.25">
      <c r="A693" s="55" t="s">
        <v>546</v>
      </c>
      <c r="B693" s="49" t="s">
        <v>547</v>
      </c>
      <c r="C693" s="21" t="s">
        <v>61</v>
      </c>
      <c r="D693" s="20" t="s">
        <v>443</v>
      </c>
      <c r="E693" s="20">
        <v>53</v>
      </c>
      <c r="F693" s="21">
        <v>12</v>
      </c>
      <c r="G693" s="21" t="s">
        <v>145</v>
      </c>
      <c r="H693" s="21">
        <v>0.66</v>
      </c>
      <c r="I693" s="68">
        <f>MAX('Max rate concentrations'!$M$3:$M$368)</f>
        <v>17.092910873809167</v>
      </c>
      <c r="J693" s="68">
        <f>MAX('Max rate concentrations'!AE:AE)</f>
        <v>11.81956602976166</v>
      </c>
      <c r="K693" s="70">
        <f t="shared" si="53"/>
        <v>10.565880341168258</v>
      </c>
      <c r="L693" s="70">
        <f t="shared" si="54"/>
        <v>7.3061938529354995</v>
      </c>
      <c r="M693" s="70">
        <f>IF((((0.326*F693^0.818)-(0.398*F693^0.85)/(1-H693)*H693)*(MAX('Max rate concentrations'!$P$3:$P$368)))/F693&gt;0, (((0.326*F693^0.818)-(0.398*F693^0.85)/(1-H693)*H693)*(MAX('Max rate concentrations'!$P$3:$P$368)))/F693, 0)</f>
        <v>0</v>
      </c>
      <c r="N693" s="70">
        <f>IF((((0.326*F693^0.818)-(0.398*F693^0.85)/(1-H693)*H693)*(MAX('Max rate concentrations'!$Q$3:$Q$368)))/F693&gt; 0, (((0.326*F693^0.818)-(0.398*F693^0.85)/(1-H693)*H693)*(MAX('Max rate concentrations'!$Q$3:$Q$368)))/F693, 0)</f>
        <v>0</v>
      </c>
      <c r="O693" s="70">
        <f>((MAX('Max rate concentrations'!$F$3:$F$368))*0.62*6.01*8*(12.3*F693^0.65)*0.079*0.1/F693)*inputs!$E$73/inputs!$E$74</f>
        <v>113.45087263972519</v>
      </c>
      <c r="P693" s="70">
        <f>((MAX('Max rate concentrations'!Y:Y))*0.62*6.01*8*(12.3*F693^0.65)*0.079*0.1/F693)*inputs!$E$73/inputs!$E$74</f>
        <v>37.816957546575082</v>
      </c>
      <c r="Q693" s="70">
        <f>(inputs!$C$18*11.2*(12.3*F693^0.65)*0.5/F693)*inputs!$E$73/inputs!$E$74</f>
        <v>19.983836115587753</v>
      </c>
      <c r="R693" s="60">
        <f>(60*379*((F693/1000)^0.8)*3*24*(MAX('Max rate concentrations'!$R$3:$R$368))/F693)*(inputs!$E$73/inputs!$E$75)</f>
        <v>2.6735755385671349E-2</v>
      </c>
      <c r="S693" s="60">
        <f>(IF(inputs!$C$17="aerial",((0.025*0.112*inputs!$C$18/3.3)*(3*60*379*((F693/1000)^0.8))*MAX(inputs!$I$14:$I$16))/F693,((0.0083*0.112*inputs!$C$18/1)*(3*60*379*((F693/1000)^0.8))*MAX(inputs!$I$14:$I$16))/F693))*(inputs!E$75/inputs!$E$73)</f>
        <v>0.14744933355158416</v>
      </c>
      <c r="T693" s="63">
        <f>IF((((inputs!$P$13/(V693/MAX(K693:S693)))^(1/inputs!$O$13))-1)/inputs!$N$13&lt;0, 0, IF((((inputs!$P$13/(V693/MAX(K693:S693)))^(1/inputs!$O$13))-1)/inputs!$N$13&lt;inputs!$I$17, (((inputs!$P$13/(V693/MAX(K693:S693)))^(1/inputs!$O$13))-1)/inputs!$N$13, inputs!$I$17))</f>
        <v>132.53759877620911</v>
      </c>
      <c r="U693" s="63">
        <f>IF((((inputs!$P$13/(X693/MAX(K693:S693)))^(1/inputs!$O$13))-1)/inputs!$N$13&lt;0, 0, IF((((inputs!$P$13/(X693/MAX(K693:S693)))^(1/inputs!$O$13))-1)/inputs!$N$13&lt;inputs!$I$17, (((inputs!$P$13/(X693/MAX(K693:S693)))^(1/inputs!$O$13))-1)/inputs!$N$13, inputs!$I$17))</f>
        <v>1.4534229774466291E-2</v>
      </c>
      <c r="V693" s="54">
        <f>inputs!$E$70*(F693/inputs!$F$70)^(0.25)</f>
        <v>2.094665933568276</v>
      </c>
      <c r="W693" s="54">
        <f>inputs!$E$76*(F693/inputs!$F$76)^(0.25)</f>
        <v>0.1506074116517096</v>
      </c>
      <c r="X693" s="54">
        <f>inputs!$E$72*(inputs!$F$72/F693)^(0.25)</f>
        <v>119.30303347908743</v>
      </c>
      <c r="Y693" s="54" t="s">
        <v>13</v>
      </c>
      <c r="Z693" s="106">
        <f t="shared" si="55"/>
        <v>54.161797746173754</v>
      </c>
      <c r="AA693" s="106">
        <f t="shared" si="56"/>
        <v>753.28877507096684</v>
      </c>
    </row>
    <row r="694" spans="1:27" ht="13.2" x14ac:dyDescent="0.25">
      <c r="A694" s="55" t="s">
        <v>546</v>
      </c>
      <c r="B694" s="49" t="s">
        <v>547</v>
      </c>
      <c r="C694" s="21" t="s">
        <v>61</v>
      </c>
      <c r="D694" s="20" t="s">
        <v>443</v>
      </c>
      <c r="E694" s="20">
        <v>53</v>
      </c>
      <c r="F694" s="21">
        <v>12</v>
      </c>
      <c r="G694" s="21" t="s">
        <v>154</v>
      </c>
      <c r="H694" s="21">
        <v>9.2999999999999999E-2</v>
      </c>
      <c r="I694" s="68">
        <f>MAX('Max rate concentrations'!$G$3:$G$368)</f>
        <v>45</v>
      </c>
      <c r="J694" s="68">
        <f>MAX('Max rate concentrations'!Z:Z)</f>
        <v>21</v>
      </c>
      <c r="K694" s="70">
        <f t="shared" si="53"/>
        <v>10.42734645819638</v>
      </c>
      <c r="L694" s="70">
        <f t="shared" si="54"/>
        <v>4.8660950138249772</v>
      </c>
      <c r="M694" s="70">
        <f>IF((((0.326*F694^0.818)-(0.398*F694^0.85)/(1-H694)*H694)*(MAX('Max rate concentrations'!$P$3:$P$368)))/F694&gt;0, (((0.326*F694^0.818)-(0.398*F694^0.85)/(1-H694)*H694)*(MAX('Max rate concentrations'!$P$3:$P$368)))/F694, 0)</f>
        <v>0.15613948637630762</v>
      </c>
      <c r="N694" s="70">
        <f>IF((((0.326*F694^0.818)-(0.398*F694^0.85)/(1-H694)*H694)*(MAX('Max rate concentrations'!$Q$3:$Q$368)))/F694&gt; 0, (((0.326*F694^0.818)-(0.398*F694^0.85)/(1-H694)*H694)*(MAX('Max rate concentrations'!$Q$3:$Q$368)))/F694, 0)</f>
        <v>0.59458755375869743</v>
      </c>
      <c r="O694" s="70">
        <f>((MAX('Max rate concentrations'!$F$3:$F$368))*0.62*6.01*8*(12.3*F694^0.65)*0.079*0.1/F694)*inputs!$E$73/inputs!$E$74</f>
        <v>113.45087263972519</v>
      </c>
      <c r="P694" s="70">
        <f>((MAX('Max rate concentrations'!Y:Y))*0.62*6.01*8*(12.3*F694^0.65)*0.079*0.1/F694)*inputs!$E$73/inputs!$E$74</f>
        <v>37.816957546575082</v>
      </c>
      <c r="Q694" s="70">
        <f>(inputs!$C$18*11.2*(12.3*F694^0.65)*0.5/F694)*inputs!$E$73/inputs!$E$74</f>
        <v>19.983836115587753</v>
      </c>
      <c r="R694" s="60">
        <f>(60*379*((F694/1000)^0.8)*3*24*(MAX('Max rate concentrations'!$R$3:$R$368))/F694)*(inputs!$E$73/inputs!$E$75)</f>
        <v>2.6735755385671349E-2</v>
      </c>
      <c r="S694" s="60">
        <f>(IF(inputs!$C$17="aerial",((0.025*0.112*inputs!$C$18/3.3)*(3*60*379*((F694/1000)^0.8))*MAX(inputs!$I$14:$I$16))/F694,((0.0083*0.112*inputs!$C$18/1)*(3*60*379*((F694/1000)^0.8))*MAX(inputs!$I$14:$I$16))/F694))*(inputs!E$75/inputs!$E$73)</f>
        <v>0.14744933355158416</v>
      </c>
      <c r="T694" s="63">
        <f>IF((((inputs!$P$13/(V694/MAX(K694:S694)))^(1/inputs!$O$13))-1)/inputs!$N$13&lt;0, 0, IF((((inputs!$P$13/(V694/MAX(K694:S694)))^(1/inputs!$O$13))-1)/inputs!$N$13&lt;inputs!$I$17, (((inputs!$P$13/(V694/MAX(K694:S694)))^(1/inputs!$O$13))-1)/inputs!$N$13, inputs!$I$17))</f>
        <v>132.53759877620911</v>
      </c>
      <c r="U694" s="63">
        <f>IF((((inputs!$P$13/(X694/MAX(K694:S694)))^(1/inputs!$O$13))-1)/inputs!$N$13&lt;0, 0, IF((((inputs!$P$13/(X694/MAX(K694:S694)))^(1/inputs!$O$13))-1)/inputs!$N$13&lt;inputs!$I$17, (((inputs!$P$13/(X694/MAX(K694:S694)))^(1/inputs!$O$13))-1)/inputs!$N$13, inputs!$I$17))</f>
        <v>1.4534229774466291E-2</v>
      </c>
      <c r="V694" s="54">
        <f>inputs!$E$70*(F694/inputs!$F$70)^(0.25)</f>
        <v>2.094665933568276</v>
      </c>
      <c r="W694" s="54">
        <f>inputs!$E$76*(F694/inputs!$F$76)^(0.25)</f>
        <v>0.1506074116517096</v>
      </c>
      <c r="X694" s="54">
        <f>inputs!$E$72*(inputs!$F$72/F694)^(0.25)</f>
        <v>119.30303347908743</v>
      </c>
      <c r="Y694" s="54" t="s">
        <v>13</v>
      </c>
      <c r="Z694" s="106">
        <f t="shared" si="55"/>
        <v>54.161797746173754</v>
      </c>
      <c r="AA694" s="106">
        <f t="shared" si="56"/>
        <v>753.28877507096684</v>
      </c>
    </row>
    <row r="695" spans="1:27" ht="13.2" x14ac:dyDescent="0.25">
      <c r="A695" s="55" t="s">
        <v>590</v>
      </c>
      <c r="B695" s="49" t="s">
        <v>591</v>
      </c>
      <c r="C695" s="21" t="s">
        <v>61</v>
      </c>
      <c r="D695" s="20" t="s">
        <v>443</v>
      </c>
      <c r="E695" s="20">
        <v>2299</v>
      </c>
      <c r="F695" s="21">
        <v>120</v>
      </c>
      <c r="G695" s="21" t="s">
        <v>169</v>
      </c>
      <c r="H695" s="21">
        <v>0.79</v>
      </c>
      <c r="I695" s="68">
        <f>MAX('Max rate concentrations'!$D$3:$D$368)</f>
        <v>720</v>
      </c>
      <c r="J695" s="68">
        <f>MAX('Max rate concentrations'!W:W)</f>
        <v>255</v>
      </c>
      <c r="K695" s="70">
        <f t="shared" si="53"/>
        <v>264.04732894185292</v>
      </c>
      <c r="L695" s="70">
        <f t="shared" si="54"/>
        <v>93.516762333572899</v>
      </c>
      <c r="M695" s="70">
        <f>IF((((0.326*F695^0.818)-(0.398*F695^0.85)/(1-H695)*H695)*(MAX('Max rate concentrations'!$P$3:$P$368)))/F695&gt;0, (((0.326*F695^0.818)-(0.398*F695^0.85)/(1-H695)*H695)*(MAX('Max rate concentrations'!$P$3:$P$368)))/F695, 0)</f>
        <v>0</v>
      </c>
      <c r="N695" s="70">
        <f>IF((((0.326*F695^0.818)-(0.398*F695^0.85)/(1-H695)*H695)*(MAX('Max rate concentrations'!$Q$3:$Q$368)))/F695&gt; 0, (((0.326*F695^0.818)-(0.398*F695^0.85)/(1-H695)*H695)*(MAX('Max rate concentrations'!$Q$3:$Q$368)))/F695, 0)</f>
        <v>0</v>
      </c>
      <c r="O695" s="70">
        <f>((MAX('Max rate concentrations'!$F$3:$F$368))*0.62*6.01*8*(12.3*F695^0.65)*0.079*0.1/F695)*inputs!$E$73/inputs!$E$74</f>
        <v>50.67664332337386</v>
      </c>
      <c r="P695" s="70">
        <f>((MAX('Max rate concentrations'!Y:Y))*0.62*6.01*8*(12.3*F695^0.65)*0.079*0.1/F695)*inputs!$E$73/inputs!$E$74</f>
        <v>16.892214441124622</v>
      </c>
      <c r="Q695" s="70">
        <f>(inputs!$C$18*11.2*(12.3*F695^0.65)*0.5/F695)*inputs!$E$73/inputs!$E$74</f>
        <v>8.9264517010668847</v>
      </c>
      <c r="R695" s="60">
        <f>(60*379*((F695/1000)^0.8)*3*24*(MAX('Max rate concentrations'!$R$3:$R$368))/F695)*(inputs!$E$73/inputs!$E$75)</f>
        <v>1.6869121220815221E-2</v>
      </c>
      <c r="S695" s="60">
        <f>(IF(inputs!$C$17="aerial",((0.025*0.112*inputs!$C$18/3.3)*(3*60*379*((F695/1000)^0.8))*MAX(inputs!$I$14:$I$16))/F695,((0.0083*0.112*inputs!$C$18/1)*(3*60*379*((F695/1000)^0.8))*MAX(inputs!$I$14:$I$16))/F695))*(inputs!E$75/inputs!$E$73)</f>
        <v>9.3034239943081826E-2</v>
      </c>
      <c r="T695" s="63">
        <f>IF((((inputs!$P$13/(V695/MAX(K695:S695)))^(1/inputs!$O$13))-1)/inputs!$N$13&lt;0, 0, IF((((inputs!$P$13/(V695/MAX(K695:S695)))^(1/inputs!$O$13))-1)/inputs!$N$13&lt;inputs!$I$17, (((inputs!$P$13/(V695/MAX(K695:S695)))^(1/inputs!$O$13))-1)/inputs!$N$13, inputs!$I$17))</f>
        <v>166.03073484418556</v>
      </c>
      <c r="U695" s="63">
        <f>IF((((inputs!$P$13/(X695/MAX(K695:S695)))^(1/inputs!$O$13))-1)/inputs!$N$13&lt;0, 0, IF((((inputs!$P$13/(X695/MAX(K695:S695)))^(1/inputs!$O$13))-1)/inputs!$N$13&lt;inputs!$I$17, (((inputs!$P$13/(X695/MAX(K695:S695)))^(1/inputs!$O$13))-1)/inputs!$N$13, inputs!$I$17))</f>
        <v>11.305075062420489</v>
      </c>
      <c r="V695" s="54">
        <f>inputs!$E$70*(F695/inputs!$F$70)^(0.25)</f>
        <v>3.7249013005744236</v>
      </c>
      <c r="W695" s="54">
        <f>inputs!$E$76*(F695/inputs!$F$76)^(0.25)</f>
        <v>0.26782205913949131</v>
      </c>
      <c r="X695" s="54">
        <f>inputs!$E$72*(inputs!$F$72/F695)^(0.25)</f>
        <v>67.089025945858609</v>
      </c>
      <c r="Y695" s="54" t="s">
        <v>13</v>
      </c>
      <c r="Z695" s="106">
        <f t="shared" si="55"/>
        <v>70.887067236153001</v>
      </c>
      <c r="AA695" s="106">
        <f t="shared" si="56"/>
        <v>985.90582788525137</v>
      </c>
    </row>
    <row r="696" spans="1:27" ht="13.2" x14ac:dyDescent="0.25">
      <c r="A696" s="55" t="s">
        <v>590</v>
      </c>
      <c r="B696" s="49" t="s">
        <v>591</v>
      </c>
      <c r="C696" s="21" t="s">
        <v>61</v>
      </c>
      <c r="D696" s="20" t="s">
        <v>443</v>
      </c>
      <c r="E696" s="20">
        <v>2299</v>
      </c>
      <c r="F696" s="21">
        <v>120</v>
      </c>
      <c r="G696" s="21" t="s">
        <v>177</v>
      </c>
      <c r="H696" s="21">
        <v>0.85</v>
      </c>
      <c r="I696" s="68">
        <f>MAX('Max rate concentrations'!$F$3:$F$368)</f>
        <v>405</v>
      </c>
      <c r="J696" s="68">
        <f>MAX('Max rate concentrations'!Y:Y)</f>
        <v>135</v>
      </c>
      <c r="K696" s="70">
        <f t="shared" si="53"/>
        <v>207.93727154170909</v>
      </c>
      <c r="L696" s="70">
        <f t="shared" si="54"/>
        <v>69.312423847236374</v>
      </c>
      <c r="M696" s="70">
        <f>IF((((0.326*F696^0.818)-(0.398*F696^0.85)/(1-H696)*H696)*(MAX('Max rate concentrations'!$P$3:$P$368)))/F696&gt;0, (((0.326*F696^0.818)-(0.398*F696^0.85)/(1-H696)*H696)*(MAX('Max rate concentrations'!$P$3:$P$368)))/F696, 0)</f>
        <v>0</v>
      </c>
      <c r="N696" s="70">
        <f>IF((((0.326*F696^0.818)-(0.398*F696^0.85)/(1-H696)*H696)*(MAX('Max rate concentrations'!$Q$3:$Q$368)))/F696&gt; 0, (((0.326*F696^0.818)-(0.398*F696^0.85)/(1-H696)*H696)*(MAX('Max rate concentrations'!$Q$3:$Q$368)))/F696, 0)</f>
        <v>0</v>
      </c>
      <c r="O696" s="70">
        <f>((MAX('Max rate concentrations'!$F$3:$F$368))*0.62*6.01*8*(12.3*F696^0.65)*0.079*0.1/F696)*inputs!$E$73/inputs!$E$74</f>
        <v>50.67664332337386</v>
      </c>
      <c r="P696" s="70">
        <f>((MAX('Max rate concentrations'!Y:Y))*0.62*6.01*8*(12.3*F696^0.65)*0.079*0.1/F696)*inputs!$E$73/inputs!$E$74</f>
        <v>16.892214441124622</v>
      </c>
      <c r="Q696" s="70">
        <f>(inputs!$C$18*11.2*(12.3*F696^0.65)*0.5/F696)*inputs!$E$73/inputs!$E$74</f>
        <v>8.9264517010668847</v>
      </c>
      <c r="R696" s="60">
        <f>(60*379*((F696/1000)^0.8)*3*24*(MAX('Max rate concentrations'!$R$3:$R$368))/F696)*(inputs!$E$73/inputs!$E$75)</f>
        <v>1.6869121220815221E-2</v>
      </c>
      <c r="S696" s="60">
        <f>(IF(inputs!$C$17="aerial",((0.025*0.112*inputs!$C$18/3.3)*(3*60*379*((F696/1000)^0.8))*MAX(inputs!$I$14:$I$16))/F696,((0.0083*0.112*inputs!$C$18/1)*(3*60*379*((F696/1000)^0.8))*MAX(inputs!$I$14:$I$16))/F696))*(inputs!E$75/inputs!$E$73)</f>
        <v>9.3034239943081826E-2</v>
      </c>
      <c r="T696" s="63">
        <f>IF((((inputs!$P$13/(V696/MAX(K696:S696)))^(1/inputs!$O$13))-1)/inputs!$N$13&lt;0, 0, IF((((inputs!$P$13/(V696/MAX(K696:S696)))^(1/inputs!$O$13))-1)/inputs!$N$13&lt;inputs!$I$17, (((inputs!$P$13/(V696/MAX(K696:S696)))^(1/inputs!$O$13))-1)/inputs!$N$13, inputs!$I$17))</f>
        <v>135.94580280453988</v>
      </c>
      <c r="U696" s="63">
        <f>IF((((inputs!$P$13/(X696/MAX(K696:S696)))^(1/inputs!$O$13))-1)/inputs!$N$13&lt;0, 0, IF((((inputs!$P$13/(X696/MAX(K696:S696)))^(1/inputs!$O$13))-1)/inputs!$N$13&lt;inputs!$I$17, (((inputs!$P$13/(X696/MAX(K696:S696)))^(1/inputs!$O$13))-1)/inputs!$N$13, inputs!$I$17))</f>
        <v>8.400815016750375</v>
      </c>
      <c r="V696" s="54">
        <f>inputs!$E$70*(F696/inputs!$F$70)^(0.25)</f>
        <v>3.7249013005744236</v>
      </c>
      <c r="W696" s="54">
        <f>inputs!$E$76*(F696/inputs!$F$76)^(0.25)</f>
        <v>0.26782205913949131</v>
      </c>
      <c r="X696" s="54">
        <f>inputs!$E$72*(inputs!$F$72/F696)^(0.25)</f>
        <v>67.089025945858609</v>
      </c>
      <c r="Y696" s="54" t="s">
        <v>13</v>
      </c>
      <c r="Z696" s="106">
        <f t="shared" si="55"/>
        <v>55.823565448470468</v>
      </c>
      <c r="AA696" s="106">
        <f t="shared" si="56"/>
        <v>776.40083945963511</v>
      </c>
    </row>
    <row r="697" spans="1:27" ht="13.2" x14ac:dyDescent="0.25">
      <c r="A697" s="55" t="s">
        <v>590</v>
      </c>
      <c r="B697" s="49" t="s">
        <v>591</v>
      </c>
      <c r="C697" s="21" t="s">
        <v>61</v>
      </c>
      <c r="D697" s="20" t="s">
        <v>443</v>
      </c>
      <c r="E697" s="20">
        <v>2299</v>
      </c>
      <c r="F697" s="21">
        <v>120</v>
      </c>
      <c r="G697" s="21" t="s">
        <v>154</v>
      </c>
      <c r="H697" s="21">
        <v>9.2999999999999999E-2</v>
      </c>
      <c r="I697" s="68">
        <f>MAX('Max rate concentrations'!$G$3:$G$368)</f>
        <v>45</v>
      </c>
      <c r="J697" s="68">
        <f>MAX('Max rate concentrations'!Z:Z)</f>
        <v>21</v>
      </c>
      <c r="K697" s="70">
        <f t="shared" si="53"/>
        <v>3.8209715461541554</v>
      </c>
      <c r="L697" s="70">
        <f t="shared" si="54"/>
        <v>1.7831200548719393</v>
      </c>
      <c r="M697" s="70">
        <f>IF((((0.326*F697^0.818)-(0.398*F697^0.85)/(1-H697)*H697)*(MAX('Max rate concentrations'!$P$3:$P$368)))/F697&gt;0, (((0.326*F697^0.818)-(0.398*F697^0.85)/(1-H697)*H697)*(MAX('Max rate concentrations'!$P$3:$P$368)))/F697, 0)</f>
        <v>0.10145521577371337</v>
      </c>
      <c r="N697" s="70">
        <f>IF((((0.326*F697^0.818)-(0.398*F697^0.85)/(1-H697)*H697)*(MAX('Max rate concentrations'!$Q$3:$Q$368)))/F697&gt; 0, (((0.326*F697^0.818)-(0.398*F697^0.85)/(1-H697)*H697)*(MAX('Max rate concentrations'!$Q$3:$Q$368)))/F697, 0)</f>
        <v>0.38634691302600904</v>
      </c>
      <c r="O697" s="70">
        <f>((MAX('Max rate concentrations'!$F$3:$F$368))*0.62*6.01*8*(12.3*F697^0.65)*0.079*0.1/F697)*inputs!$E$73/inputs!$E$74</f>
        <v>50.67664332337386</v>
      </c>
      <c r="P697" s="70">
        <f>((MAX('Max rate concentrations'!Y:Y))*0.62*6.01*8*(12.3*F697^0.65)*0.079*0.1/F697)*inputs!$E$73/inputs!$E$74</f>
        <v>16.892214441124622</v>
      </c>
      <c r="Q697" s="70">
        <f>(inputs!$C$18*11.2*(12.3*F697^0.65)*0.5/F697)*inputs!$E$73/inputs!$E$74</f>
        <v>8.9264517010668847</v>
      </c>
      <c r="R697" s="60">
        <f>(60*379*((F697/1000)^0.8)*3*24*(MAX('Max rate concentrations'!$R$3:$R$368))/F697)*(inputs!$E$73/inputs!$E$75)</f>
        <v>1.6869121220815221E-2</v>
      </c>
      <c r="S697" s="60">
        <f>(IF(inputs!$C$17="aerial",((0.025*0.112*inputs!$C$18/3.3)*(3*60*379*((F697/1000)^0.8))*MAX(inputs!$I$14:$I$16))/F697,((0.0083*0.112*inputs!$C$18/1)*(3*60*379*((F697/1000)^0.8))*MAX(inputs!$I$14:$I$16))/F697))*(inputs!E$75/inputs!$E$73)</f>
        <v>9.3034239943081826E-2</v>
      </c>
      <c r="T697" s="63">
        <f>IF((((inputs!$P$13/(V697/MAX(K697:S697)))^(1/inputs!$O$13))-1)/inputs!$N$13&lt;0, 0, IF((((inputs!$P$13/(V697/MAX(K697:S697)))^(1/inputs!$O$13))-1)/inputs!$N$13&lt;inputs!$I$17, (((inputs!$P$13/(V697/MAX(K697:S697)))^(1/inputs!$O$13))-1)/inputs!$N$13, inputs!$I$17))</f>
        <v>39.847792386236293</v>
      </c>
      <c r="U697" s="63">
        <f>IF((((inputs!$P$13/(X697/MAX(K697:S697)))^(1/inputs!$O$13))-1)/inputs!$N$13&lt;0, 0, IF((((inputs!$P$13/(X697/MAX(K697:S697)))^(1/inputs!$O$13))-1)/inputs!$N$13&lt;inputs!$I$17, (((inputs!$P$13/(X697/MAX(K697:S697)))^(1/inputs!$O$13))-1)/inputs!$N$13, inputs!$I$17))</f>
        <v>0</v>
      </c>
      <c r="V697" s="54">
        <f>inputs!$E$70*(F697/inputs!$F$70)^(0.25)</f>
        <v>3.7249013005744236</v>
      </c>
      <c r="W697" s="54">
        <f>inputs!$E$76*(F697/inputs!$F$76)^(0.25)</f>
        <v>0.26782205913949131</v>
      </c>
      <c r="X697" s="54">
        <f>inputs!$E$72*(inputs!$F$72/F697)^(0.25)</f>
        <v>67.089025945858609</v>
      </c>
      <c r="Y697" s="54" t="s">
        <v>13</v>
      </c>
      <c r="Z697" s="106">
        <f t="shared" si="55"/>
        <v>13.604828486477997</v>
      </c>
      <c r="AA697" s="106">
        <f t="shared" si="56"/>
        <v>189.21758531092337</v>
      </c>
    </row>
    <row r="698" spans="1:27" ht="13.2" x14ac:dyDescent="0.25">
      <c r="A698" s="55" t="s">
        <v>548</v>
      </c>
      <c r="B698" s="49" t="s">
        <v>549</v>
      </c>
      <c r="C698" s="21" t="s">
        <v>61</v>
      </c>
      <c r="D698" s="20" t="s">
        <v>443</v>
      </c>
      <c r="E698" s="20">
        <v>54</v>
      </c>
      <c r="F698" s="21">
        <v>15</v>
      </c>
      <c r="G698" s="21" t="s">
        <v>182</v>
      </c>
      <c r="H698" s="21">
        <v>0.85</v>
      </c>
      <c r="I698" s="68">
        <f>MAX('Max rate concentrations'!$M$3:$M$368)</f>
        <v>17.092910873809167</v>
      </c>
      <c r="J698" s="68">
        <f>MAX('Max rate concentrations'!AE:AE)</f>
        <v>11.81956602976166</v>
      </c>
      <c r="K698" s="70">
        <f t="shared" si="53"/>
        <v>21.729042046600661</v>
      </c>
      <c r="L698" s="70">
        <f t="shared" si="54"/>
        <v>15.025401415202587</v>
      </c>
      <c r="M698" s="70">
        <f>IF((((0.326*F698^0.818)-(0.398*F698^0.85)/(1-H698)*H698)*(MAX('Max rate concentrations'!$P$3:$P$368)))/F698&gt;0, (((0.326*F698^0.818)-(0.398*F698^0.85)/(1-H698)*H698)*(MAX('Max rate concentrations'!$P$3:$P$368)))/F698, 0)</f>
        <v>0</v>
      </c>
      <c r="N698" s="70">
        <f>IF((((0.326*F698^0.818)-(0.398*F698^0.85)/(1-H698)*H698)*(MAX('Max rate concentrations'!$Q$3:$Q$368)))/F698&gt; 0, (((0.326*F698^0.818)-(0.398*F698^0.85)/(1-H698)*H698)*(MAX('Max rate concentrations'!$Q$3:$Q$368)))/F698, 0)</f>
        <v>0</v>
      </c>
      <c r="O698" s="70">
        <f>((MAX('Max rate concentrations'!$F$3:$F$368))*0.62*6.01*8*(12.3*F698^0.65)*0.079*0.1/F698)*inputs!$E$73/inputs!$E$74</f>
        <v>104.92750258141861</v>
      </c>
      <c r="P698" s="70">
        <f>((MAX('Max rate concentrations'!Y:Y))*0.62*6.01*8*(12.3*F698^0.65)*0.079*0.1/F698)*inputs!$E$73/inputs!$E$74</f>
        <v>34.9758341938062</v>
      </c>
      <c r="Q698" s="70">
        <f>(inputs!$C$18*11.2*(12.3*F698^0.65)*0.5/F698)*inputs!$E$73/inputs!$E$74</f>
        <v>18.482484680957491</v>
      </c>
      <c r="R698" s="60">
        <f>(60*379*((F698/1000)^0.8)*3*24*(MAX('Max rate concentrations'!$R$3:$R$368))/F698)*(inputs!$E$73/inputs!$E$75)</f>
        <v>2.5568806496861746E-2</v>
      </c>
      <c r="S698" s="60">
        <f>(IF(inputs!$C$17="aerial",((0.025*0.112*inputs!$C$18/3.3)*(3*60*379*((F698/1000)^0.8))*MAX(inputs!$I$14:$I$16))/F698,((0.0083*0.112*inputs!$C$18/1)*(3*60*379*((F698/1000)^0.8))*MAX(inputs!$I$14:$I$16))/F698))*(inputs!E$75/inputs!$E$73)</f>
        <v>0.14101353873443245</v>
      </c>
      <c r="T698" s="63">
        <f>IF((((inputs!$P$13/(V698/MAX(K698:S698)))^(1/inputs!$O$13))-1)/inputs!$N$13&lt;0, 0, IF((((inputs!$P$13/(V698/MAX(K698:S698)))^(1/inputs!$O$13))-1)/inputs!$N$13&lt;inputs!$I$17, (((inputs!$P$13/(V698/MAX(K698:S698)))^(1/inputs!$O$13))-1)/inputs!$N$13, inputs!$I$17))</f>
        <v>118.4009365573144</v>
      </c>
      <c r="U698" s="63">
        <f>IF((((inputs!$P$13/(X698/MAX(K698:S698)))^(1/inputs!$O$13))-1)/inputs!$N$13&lt;0, 0, IF((((inputs!$P$13/(X698/MAX(K698:S698)))^(1/inputs!$O$13))-1)/inputs!$N$13&lt;inputs!$I$17, (((inputs!$P$13/(X698/MAX(K698:S698)))^(1/inputs!$O$13))-1)/inputs!$N$13, inputs!$I$17))</f>
        <v>0</v>
      </c>
      <c r="V698" s="54">
        <f>inputs!$E$70*(F698/inputs!$F$70)^(0.25)</f>
        <v>2.2148395646629968</v>
      </c>
      <c r="W698" s="54">
        <f>inputs!$E$76*(F698/inputs!$F$76)^(0.25)</f>
        <v>0.15924794914168131</v>
      </c>
      <c r="X698" s="54">
        <f>inputs!$E$72*(inputs!$F$72/F698)^(0.25)</f>
        <v>112.82984284147192</v>
      </c>
      <c r="Y698" s="54" t="s">
        <v>13</v>
      </c>
      <c r="Z698" s="106">
        <f t="shared" si="55"/>
        <v>47.374764409802324</v>
      </c>
      <c r="AA698" s="106">
        <f t="shared" si="56"/>
        <v>658.89390191182724</v>
      </c>
    </row>
    <row r="699" spans="1:27" ht="13.2" x14ac:dyDescent="0.25">
      <c r="A699" s="55" t="s">
        <v>548</v>
      </c>
      <c r="B699" s="49" t="s">
        <v>549</v>
      </c>
      <c r="C699" s="21" t="s">
        <v>61</v>
      </c>
      <c r="D699" s="20" t="s">
        <v>443</v>
      </c>
      <c r="E699" s="20">
        <v>54</v>
      </c>
      <c r="F699" s="21">
        <v>15</v>
      </c>
      <c r="G699" s="21" t="s">
        <v>142</v>
      </c>
      <c r="H699" s="21">
        <v>0.69</v>
      </c>
      <c r="I699" s="68">
        <f>MAX('Max rate concentrations'!$H$3:$H$368)</f>
        <v>282</v>
      </c>
      <c r="J699" s="68">
        <f>MAX('Max rate concentrations'!AA:AA)</f>
        <v>195</v>
      </c>
      <c r="K699" s="70">
        <f t="shared" si="53"/>
        <v>173.46155116527132</v>
      </c>
      <c r="L699" s="70">
        <f t="shared" si="54"/>
        <v>119.94681729513441</v>
      </c>
      <c r="M699" s="70">
        <f>IF((((0.326*F699^0.818)-(0.398*F699^0.85)/(1-H699)*H699)*(MAX('Max rate concentrations'!$P$3:$P$368)))/F699&gt;0, (((0.326*F699^0.818)-(0.398*F699^0.85)/(1-H699)*H699)*(MAX('Max rate concentrations'!$P$3:$P$368)))/F699, 0)</f>
        <v>0</v>
      </c>
      <c r="N699" s="70">
        <f>IF((((0.326*F699^0.818)-(0.398*F699^0.85)/(1-H699)*H699)*(MAX('Max rate concentrations'!$Q$3:$Q$368)))/F699&gt; 0, (((0.326*F699^0.818)-(0.398*F699^0.85)/(1-H699)*H699)*(MAX('Max rate concentrations'!$Q$3:$Q$368)))/F699, 0)</f>
        <v>0</v>
      </c>
      <c r="O699" s="70">
        <f>((MAX('Max rate concentrations'!$F$3:$F$368))*0.62*6.01*8*(12.3*F699^0.65)*0.079*0.1/F699)*inputs!$E$73/inputs!$E$74</f>
        <v>104.92750258141861</v>
      </c>
      <c r="P699" s="70">
        <f>((MAX('Max rate concentrations'!Y:Y))*0.62*6.01*8*(12.3*F699^0.65)*0.079*0.1/F699)*inputs!$E$73/inputs!$E$74</f>
        <v>34.9758341938062</v>
      </c>
      <c r="Q699" s="70">
        <f>(inputs!$C$18*11.2*(12.3*F699^0.65)*0.5/F699)*inputs!$E$73/inputs!$E$74</f>
        <v>18.482484680957491</v>
      </c>
      <c r="R699" s="60">
        <f>(60*379*((F699/1000)^0.8)*3*24*(MAX('Max rate concentrations'!$R$3:$R$368))/F699)*(inputs!$E$73/inputs!$E$75)</f>
        <v>2.5568806496861746E-2</v>
      </c>
      <c r="S699" s="60">
        <f>(IF(inputs!$C$17="aerial",((0.025*0.112*inputs!$C$18/3.3)*(3*60*379*((F699/1000)^0.8))*MAX(inputs!$I$14:$I$16))/F699,((0.0083*0.112*inputs!$C$18/1)*(3*60*379*((F699/1000)^0.8))*MAX(inputs!$I$14:$I$16))/F699))*(inputs!E$75/inputs!$E$73)</f>
        <v>0.14101353873443245</v>
      </c>
      <c r="T699" s="63">
        <f>IF((((inputs!$P$13/(V699/MAX(K699:S699)))^(1/inputs!$O$13))-1)/inputs!$N$13&lt;0, 0, IF((((inputs!$P$13/(V699/MAX(K699:S699)))^(1/inputs!$O$13))-1)/inputs!$N$13&lt;inputs!$I$17, (((inputs!$P$13/(V699/MAX(K699:S699)))^(1/inputs!$O$13))-1)/inputs!$N$13, inputs!$I$17))</f>
        <v>180.40837500360377</v>
      </c>
      <c r="U699" s="63">
        <f>IF((((inputs!$P$13/(X699/MAX(K699:S699)))^(1/inputs!$O$13))-1)/inputs!$N$13&lt;0, 0, IF((((inputs!$P$13/(X699/MAX(K699:S699)))^(1/inputs!$O$13))-1)/inputs!$N$13&lt;inputs!$I$17, (((inputs!$P$13/(X699/MAX(K699:S699)))^(1/inputs!$O$13))-1)/inputs!$N$13, inputs!$I$17))</f>
        <v>2.5029327735431672</v>
      </c>
      <c r="V699" s="54">
        <f>inputs!$E$70*(F699/inputs!$F$70)^(0.25)</f>
        <v>2.2148395646629968</v>
      </c>
      <c r="W699" s="54">
        <f>inputs!$E$76*(F699/inputs!$F$76)^(0.25)</f>
        <v>0.15924794914168131</v>
      </c>
      <c r="X699" s="54">
        <f>inputs!$E$72*(inputs!$F$72/F699)^(0.25)</f>
        <v>112.82984284147192</v>
      </c>
      <c r="Y699" s="54" t="s">
        <v>13</v>
      </c>
      <c r="Z699" s="106">
        <f t="shared" si="55"/>
        <v>78.317885382214897</v>
      </c>
      <c r="AA699" s="106">
        <f t="shared" si="56"/>
        <v>1089.2545373438015</v>
      </c>
    </row>
    <row r="700" spans="1:27" ht="13.2" x14ac:dyDescent="0.25">
      <c r="A700" s="55" t="s">
        <v>548</v>
      </c>
      <c r="B700" s="49" t="s">
        <v>549</v>
      </c>
      <c r="C700" s="21" t="s">
        <v>61</v>
      </c>
      <c r="D700" s="20" t="s">
        <v>443</v>
      </c>
      <c r="E700" s="20">
        <v>54</v>
      </c>
      <c r="F700" s="21">
        <v>15</v>
      </c>
      <c r="G700" s="21" t="s">
        <v>152</v>
      </c>
      <c r="H700" s="21">
        <v>0.77</v>
      </c>
      <c r="I700" s="68">
        <f>MAX('Max rate concentrations'!$G$3:$G$368)</f>
        <v>45</v>
      </c>
      <c r="J700" s="68">
        <f>MAX('Max rate concentrations'!Z:Z)</f>
        <v>21</v>
      </c>
      <c r="K700" s="70">
        <f t="shared" si="53"/>
        <v>37.307872937951515</v>
      </c>
      <c r="L700" s="70">
        <f t="shared" si="54"/>
        <v>17.410340704377372</v>
      </c>
      <c r="M700" s="70">
        <f>IF((((0.326*F700^0.818)-(0.398*F700^0.85)/(1-H700)*H700)*(MAX('Max rate concentrations'!$P$3:$P$368)))/F700&gt;0, (((0.326*F700^0.818)-(0.398*F700^0.85)/(1-H700)*H700)*(MAX('Max rate concentrations'!$P$3:$P$368)))/F700, 0)</f>
        <v>0</v>
      </c>
      <c r="N700" s="70">
        <f>IF((((0.326*F700^0.818)-(0.398*F700^0.85)/(1-H700)*H700)*(MAX('Max rate concentrations'!$Q$3:$Q$368)))/F700&gt; 0, (((0.326*F700^0.818)-(0.398*F700^0.85)/(1-H700)*H700)*(MAX('Max rate concentrations'!$Q$3:$Q$368)))/F700, 0)</f>
        <v>0</v>
      </c>
      <c r="O700" s="70">
        <f>((MAX('Max rate concentrations'!$F$3:$F$368))*0.62*6.01*8*(12.3*F700^0.65)*0.079*0.1/F700)*inputs!$E$73/inputs!$E$74</f>
        <v>104.92750258141861</v>
      </c>
      <c r="P700" s="70">
        <f>((MAX('Max rate concentrations'!Y:Y))*0.62*6.01*8*(12.3*F700^0.65)*0.079*0.1/F700)*inputs!$E$73/inputs!$E$74</f>
        <v>34.9758341938062</v>
      </c>
      <c r="Q700" s="70">
        <f>(inputs!$C$18*11.2*(12.3*F700^0.65)*0.5/F700)*inputs!$E$73/inputs!$E$74</f>
        <v>18.482484680957491</v>
      </c>
      <c r="R700" s="60">
        <f>(60*379*((F700/1000)^0.8)*3*24*(MAX('Max rate concentrations'!$R$3:$R$368))/F700)*(inputs!$E$73/inputs!$E$75)</f>
        <v>2.5568806496861746E-2</v>
      </c>
      <c r="S700" s="60">
        <f>(IF(inputs!$C$17="aerial",((0.025*0.112*inputs!$C$18/3.3)*(3*60*379*((F700/1000)^0.8))*MAX(inputs!$I$14:$I$16))/F700,((0.0083*0.112*inputs!$C$18/1)*(3*60*379*((F700/1000)^0.8))*MAX(inputs!$I$14:$I$16))/F700))*(inputs!E$75/inputs!$E$73)</f>
        <v>0.14101353873443245</v>
      </c>
      <c r="T700" s="63">
        <f>IF((((inputs!$P$13/(V700/MAX(K700:S700)))^(1/inputs!$O$13))-1)/inputs!$N$13&lt;0, 0, IF((((inputs!$P$13/(V700/MAX(K700:S700)))^(1/inputs!$O$13))-1)/inputs!$N$13&lt;inputs!$I$17, (((inputs!$P$13/(V700/MAX(K700:S700)))^(1/inputs!$O$13))-1)/inputs!$N$13, inputs!$I$17))</f>
        <v>118.4009365573144</v>
      </c>
      <c r="U700" s="63">
        <f>IF((((inputs!$P$13/(X700/MAX(K700:S700)))^(1/inputs!$O$13))-1)/inputs!$N$13&lt;0, 0, IF((((inputs!$P$13/(X700/MAX(K700:S700)))^(1/inputs!$O$13))-1)/inputs!$N$13&lt;inputs!$I$17, (((inputs!$P$13/(X700/MAX(K700:S700)))^(1/inputs!$O$13))-1)/inputs!$N$13, inputs!$I$17))</f>
        <v>0</v>
      </c>
      <c r="V700" s="54">
        <f>inputs!$E$70*(F700/inputs!$F$70)^(0.25)</f>
        <v>2.2148395646629968</v>
      </c>
      <c r="W700" s="54">
        <f>inputs!$E$76*(F700/inputs!$F$76)^(0.25)</f>
        <v>0.15924794914168131</v>
      </c>
      <c r="X700" s="54">
        <f>inputs!$E$72*(inputs!$F$72/F700)^(0.25)</f>
        <v>112.82984284147192</v>
      </c>
      <c r="Y700" s="54" t="s">
        <v>13</v>
      </c>
      <c r="Z700" s="106">
        <f t="shared" si="55"/>
        <v>47.374764409802324</v>
      </c>
      <c r="AA700" s="106">
        <f t="shared" si="56"/>
        <v>658.89390191182724</v>
      </c>
    </row>
    <row r="701" spans="1:27" ht="13.2" x14ac:dyDescent="0.25">
      <c r="A701" s="55" t="s">
        <v>548</v>
      </c>
      <c r="B701" s="49" t="s">
        <v>549</v>
      </c>
      <c r="C701" s="21" t="s">
        <v>61</v>
      </c>
      <c r="D701" s="20" t="s">
        <v>443</v>
      </c>
      <c r="E701" s="20">
        <v>54</v>
      </c>
      <c r="F701" s="21">
        <v>15</v>
      </c>
      <c r="G701" s="21" t="s">
        <v>169</v>
      </c>
      <c r="H701" s="21">
        <v>0.79</v>
      </c>
      <c r="I701" s="68">
        <f>MAX('Max rate concentrations'!$D$3:$D$368)</f>
        <v>720</v>
      </c>
      <c r="J701" s="68">
        <f>MAX('Max rate concentrations'!W:W)</f>
        <v>255</v>
      </c>
      <c r="K701" s="70">
        <f t="shared" si="53"/>
        <v>653.77605910315049</v>
      </c>
      <c r="L701" s="70">
        <f t="shared" si="54"/>
        <v>231.54568759903245</v>
      </c>
      <c r="M701" s="70">
        <f>IF((((0.326*F701^0.818)-(0.398*F701^0.85)/(1-H701)*H701)*(MAX('Max rate concentrations'!$P$3:$P$368)))/F701&gt;0, (((0.326*F701^0.818)-(0.398*F701^0.85)/(1-H701)*H701)*(MAX('Max rate concentrations'!$P$3:$P$368)))/F701, 0)</f>
        <v>0</v>
      </c>
      <c r="N701" s="70">
        <f>IF((((0.326*F701^0.818)-(0.398*F701^0.85)/(1-H701)*H701)*(MAX('Max rate concentrations'!$Q$3:$Q$368)))/F701&gt; 0, (((0.326*F701^0.818)-(0.398*F701^0.85)/(1-H701)*H701)*(MAX('Max rate concentrations'!$Q$3:$Q$368)))/F701, 0)</f>
        <v>0</v>
      </c>
      <c r="O701" s="70">
        <f>((MAX('Max rate concentrations'!$F$3:$F$368))*0.62*6.01*8*(12.3*F701^0.65)*0.079*0.1/F701)*inputs!$E$73/inputs!$E$74</f>
        <v>104.92750258141861</v>
      </c>
      <c r="P701" s="70">
        <f>((MAX('Max rate concentrations'!Y:Y))*0.62*6.01*8*(12.3*F701^0.65)*0.079*0.1/F701)*inputs!$E$73/inputs!$E$74</f>
        <v>34.9758341938062</v>
      </c>
      <c r="Q701" s="70">
        <f>(inputs!$C$18*11.2*(12.3*F701^0.65)*0.5/F701)*inputs!$E$73/inputs!$E$74</f>
        <v>18.482484680957491</v>
      </c>
      <c r="R701" s="60">
        <f>(60*379*((F701/1000)^0.8)*3*24*(MAX('Max rate concentrations'!$R$3:$R$368))/F701)*(inputs!$E$73/inputs!$E$75)</f>
        <v>2.5568806496861746E-2</v>
      </c>
      <c r="S701" s="60">
        <f>(IF(inputs!$C$17="aerial",((0.025*0.112*inputs!$C$18/3.3)*(3*60*379*((F701/1000)^0.8))*MAX(inputs!$I$14:$I$16))/F701,((0.0083*0.112*inputs!$C$18/1)*(3*60*379*((F701/1000)^0.8))*MAX(inputs!$I$14:$I$16))/F701))*(inputs!E$75/inputs!$E$73)</f>
        <v>0.14101353873443245</v>
      </c>
      <c r="T701" s="63">
        <f>IF((((inputs!$P$13/(V701/MAX(K701:S701)))^(1/inputs!$O$13))-1)/inputs!$N$13&lt;0, 0, IF((((inputs!$P$13/(V701/MAX(K701:S701)))^(1/inputs!$O$13))-1)/inputs!$N$13&lt;inputs!$I$17, (((inputs!$P$13/(V701/MAX(K701:S701)))^(1/inputs!$O$13))-1)/inputs!$N$13, inputs!$I$17))</f>
        <v>537.56974385432773</v>
      </c>
      <c r="U701" s="63">
        <f>IF((((inputs!$P$13/(X701/MAX(K701:S701)))^(1/inputs!$O$13))-1)/inputs!$N$13&lt;0, 0, IF((((inputs!$P$13/(X701/MAX(K701:S701)))^(1/inputs!$O$13))-1)/inputs!$N$13&lt;inputs!$I$17, (((inputs!$P$13/(X701/MAX(K701:S701)))^(1/inputs!$O$13))-1)/inputs!$N$13, inputs!$I$17))</f>
        <v>17.375999866301779</v>
      </c>
      <c r="V701" s="54">
        <f>inputs!$E$70*(F701/inputs!$F$70)^(0.25)</f>
        <v>2.2148395646629968</v>
      </c>
      <c r="W701" s="54">
        <f>inputs!$E$76*(F701/inputs!$F$76)^(0.25)</f>
        <v>0.15924794914168131</v>
      </c>
      <c r="X701" s="54">
        <f>inputs!$E$72*(inputs!$F$72/F701)^(0.25)</f>
        <v>112.82984284147192</v>
      </c>
      <c r="Y701" s="54" t="s">
        <v>13</v>
      </c>
      <c r="Z701" s="106">
        <f t="shared" si="55"/>
        <v>295.17987195728421</v>
      </c>
      <c r="AA701" s="106">
        <f t="shared" si="56"/>
        <v>4105.3970404447246</v>
      </c>
    </row>
    <row r="702" spans="1:27" ht="13.2" x14ac:dyDescent="0.25">
      <c r="A702" s="55" t="s">
        <v>548</v>
      </c>
      <c r="B702" s="49" t="s">
        <v>549</v>
      </c>
      <c r="C702" s="21" t="s">
        <v>61</v>
      </c>
      <c r="D702" s="20" t="s">
        <v>443</v>
      </c>
      <c r="E702" s="20">
        <v>54</v>
      </c>
      <c r="F702" s="21">
        <v>15</v>
      </c>
      <c r="G702" s="21" t="s">
        <v>456</v>
      </c>
      <c r="H702" s="21">
        <v>0.68</v>
      </c>
      <c r="I702" s="68">
        <f>MAX('Max rate concentrations'!$J$3:$J$368)</f>
        <v>686.46486205830786</v>
      </c>
      <c r="J702" s="68">
        <f>MAX('Max rate concentrations'!AB:AB)</f>
        <v>243.122971978984</v>
      </c>
      <c r="K702" s="70">
        <f t="shared" ref="K702:K720" si="57">(((0.621*F702^0.564)/(1-H702)))*I702/F702</f>
        <v>409.05729760480182</v>
      </c>
      <c r="L702" s="70">
        <f t="shared" ref="L702:L720" si="58">(((0.621*F702^0.564)/(1-H702)))*J702/F702</f>
        <v>144.87445956836729</v>
      </c>
      <c r="M702" s="70">
        <f>IF((((0.326*F702^0.818)-(0.398*F702^0.85)/(1-H702)*H702)*(MAX('Max rate concentrations'!$P$3:$P$368)))/F702&gt;0, (((0.326*F702^0.818)-(0.398*F702^0.85)/(1-H702)*H702)*(MAX('Max rate concentrations'!$P$3:$P$368)))/F702, 0)</f>
        <v>0</v>
      </c>
      <c r="N702" s="70">
        <f>IF((((0.326*F702^0.818)-(0.398*F702^0.85)/(1-H702)*H702)*(MAX('Max rate concentrations'!$Q$3:$Q$368)))/F702&gt; 0, (((0.326*F702^0.818)-(0.398*F702^0.85)/(1-H702)*H702)*(MAX('Max rate concentrations'!$Q$3:$Q$368)))/F702, 0)</f>
        <v>0</v>
      </c>
      <c r="O702" s="70">
        <f>((MAX('Max rate concentrations'!$F$3:$F$368))*0.62*6.01*8*(12.3*F702^0.65)*0.079*0.1/F702)*inputs!$E$73/inputs!$E$74</f>
        <v>104.92750258141861</v>
      </c>
      <c r="P702" s="70">
        <f>((MAX('Max rate concentrations'!Y:Y))*0.62*6.01*8*(12.3*F702^0.65)*0.079*0.1/F702)*inputs!$E$73/inputs!$E$74</f>
        <v>34.9758341938062</v>
      </c>
      <c r="Q702" s="70">
        <f>(inputs!$C$18*11.2*(12.3*F702^0.65)*0.5/F702)*inputs!$E$73/inputs!$E$74</f>
        <v>18.482484680957491</v>
      </c>
      <c r="R702" s="60">
        <f>(60*379*((F702/1000)^0.8)*3*24*(MAX('Max rate concentrations'!$R$3:$R$368))/F702)*(inputs!$E$73/inputs!$E$75)</f>
        <v>2.5568806496861746E-2</v>
      </c>
      <c r="S702" s="60">
        <f>(IF(inputs!$C$17="aerial",((0.025*0.112*inputs!$C$18/3.3)*(3*60*379*((F702/1000)^0.8))*MAX(inputs!$I$14:$I$16))/F702,((0.0083*0.112*inputs!$C$18/1)*(3*60*379*((F702/1000)^0.8))*MAX(inputs!$I$14:$I$16))/F702))*(inputs!E$75/inputs!$E$73)</f>
        <v>0.14101353873443245</v>
      </c>
      <c r="T702" s="63">
        <f>IF((((inputs!$P$13/(V702/MAX(K702:S702)))^(1/inputs!$O$13))-1)/inputs!$N$13&lt;0, 0, IF((((inputs!$P$13/(V702/MAX(K702:S702)))^(1/inputs!$O$13))-1)/inputs!$N$13&lt;inputs!$I$17, (((inputs!$P$13/(V702/MAX(K702:S702)))^(1/inputs!$O$13))-1)/inputs!$N$13, inputs!$I$17))</f>
        <v>366.27042819788079</v>
      </c>
      <c r="U702" s="63">
        <f>IF((((inputs!$P$13/(X702/MAX(K702:S702)))^(1/inputs!$O$13))-1)/inputs!$N$13&lt;0, 0, IF((((inputs!$P$13/(X702/MAX(K702:S702)))^(1/inputs!$O$13))-1)/inputs!$N$13&lt;inputs!$I$17, (((inputs!$P$13/(X702/MAX(K702:S702)))^(1/inputs!$O$13))-1)/inputs!$N$13, inputs!$I$17))</f>
        <v>10.24268020493939</v>
      </c>
      <c r="V702" s="54">
        <f>inputs!$E$70*(F702/inputs!$F$70)^(0.25)</f>
        <v>2.2148395646629968</v>
      </c>
      <c r="W702" s="54">
        <f>inputs!$E$76*(F702/inputs!$F$76)^(0.25)</f>
        <v>0.15924794914168131</v>
      </c>
      <c r="X702" s="54">
        <f>inputs!$E$72*(inputs!$F$72/F702)^(0.25)</f>
        <v>112.82984284147192</v>
      </c>
      <c r="Y702" s="54" t="s">
        <v>13</v>
      </c>
      <c r="Z702" s="106">
        <f t="shared" si="55"/>
        <v>184.68935815088832</v>
      </c>
      <c r="AA702" s="106">
        <f t="shared" si="56"/>
        <v>2568.6817306568114</v>
      </c>
    </row>
    <row r="703" spans="1:27" ht="13.2" x14ac:dyDescent="0.25">
      <c r="A703" s="55" t="s">
        <v>548</v>
      </c>
      <c r="B703" s="49" t="s">
        <v>549</v>
      </c>
      <c r="C703" s="21" t="s">
        <v>61</v>
      </c>
      <c r="D703" s="20" t="s">
        <v>443</v>
      </c>
      <c r="E703" s="20">
        <v>54</v>
      </c>
      <c r="F703" s="21">
        <v>15</v>
      </c>
      <c r="G703" s="21" t="s">
        <v>145</v>
      </c>
      <c r="H703" s="21">
        <v>0.66</v>
      </c>
      <c r="I703" s="68">
        <f>MAX('Max rate concentrations'!$M$3:$M$368)</f>
        <v>17.092910873809167</v>
      </c>
      <c r="J703" s="68">
        <f>MAX('Max rate concentrations'!AE:AE)</f>
        <v>11.81956602976166</v>
      </c>
      <c r="K703" s="70">
        <f t="shared" si="57"/>
        <v>9.5863420793826482</v>
      </c>
      <c r="L703" s="70">
        <f t="shared" si="58"/>
        <v>6.628853565530556</v>
      </c>
      <c r="M703" s="70">
        <f>IF((((0.326*F703^0.818)-(0.398*F703^0.85)/(1-H703)*H703)*(MAX('Max rate concentrations'!$P$3:$P$368)))/F703&gt;0, (((0.326*F703^0.818)-(0.398*F703^0.85)/(1-H703)*H703)*(MAX('Max rate concentrations'!$P$3:$P$368)))/F703, 0)</f>
        <v>0</v>
      </c>
      <c r="N703" s="70">
        <f>IF((((0.326*F703^0.818)-(0.398*F703^0.85)/(1-H703)*H703)*(MAX('Max rate concentrations'!$Q$3:$Q$368)))/F703&gt; 0, (((0.326*F703^0.818)-(0.398*F703^0.85)/(1-H703)*H703)*(MAX('Max rate concentrations'!$Q$3:$Q$368)))/F703, 0)</f>
        <v>0</v>
      </c>
      <c r="O703" s="70">
        <f>((MAX('Max rate concentrations'!$F$3:$F$368))*0.62*6.01*8*(12.3*F703^0.65)*0.079*0.1/F703)*inputs!$E$73/inputs!$E$74</f>
        <v>104.92750258141861</v>
      </c>
      <c r="P703" s="70">
        <f>((MAX('Max rate concentrations'!Y:Y))*0.62*6.01*8*(12.3*F703^0.65)*0.079*0.1/F703)*inputs!$E$73/inputs!$E$74</f>
        <v>34.9758341938062</v>
      </c>
      <c r="Q703" s="70">
        <f>(inputs!$C$18*11.2*(12.3*F703^0.65)*0.5/F703)*inputs!$E$73/inputs!$E$74</f>
        <v>18.482484680957491</v>
      </c>
      <c r="R703" s="60">
        <f>(60*379*((F703/1000)^0.8)*3*24*(MAX('Max rate concentrations'!$R$3:$R$368))/F703)*(inputs!$E$73/inputs!$E$75)</f>
        <v>2.5568806496861746E-2</v>
      </c>
      <c r="S703" s="60">
        <f>(IF(inputs!$C$17="aerial",((0.025*0.112*inputs!$C$18/3.3)*(3*60*379*((F703/1000)^0.8))*MAX(inputs!$I$14:$I$16))/F703,((0.0083*0.112*inputs!$C$18/1)*(3*60*379*((F703/1000)^0.8))*MAX(inputs!$I$14:$I$16))/F703))*(inputs!E$75/inputs!$E$73)</f>
        <v>0.14101353873443245</v>
      </c>
      <c r="T703" s="63">
        <f>IF((((inputs!$P$13/(V703/MAX(K703:S703)))^(1/inputs!$O$13))-1)/inputs!$N$13&lt;0, 0, IF((((inputs!$P$13/(V703/MAX(K703:S703)))^(1/inputs!$O$13))-1)/inputs!$N$13&lt;inputs!$I$17, (((inputs!$P$13/(V703/MAX(K703:S703)))^(1/inputs!$O$13))-1)/inputs!$N$13, inputs!$I$17))</f>
        <v>118.4009365573144</v>
      </c>
      <c r="U703" s="63">
        <f>IF((((inputs!$P$13/(X703/MAX(K703:S703)))^(1/inputs!$O$13))-1)/inputs!$N$13&lt;0, 0, IF((((inputs!$P$13/(X703/MAX(K703:S703)))^(1/inputs!$O$13))-1)/inputs!$N$13&lt;inputs!$I$17, (((inputs!$P$13/(X703/MAX(K703:S703)))^(1/inputs!$O$13))-1)/inputs!$N$13, inputs!$I$17))</f>
        <v>0</v>
      </c>
      <c r="V703" s="54">
        <f>inputs!$E$70*(F703/inputs!$F$70)^(0.25)</f>
        <v>2.2148395646629968</v>
      </c>
      <c r="W703" s="54">
        <f>inputs!$E$76*(F703/inputs!$F$76)^(0.25)</f>
        <v>0.15924794914168131</v>
      </c>
      <c r="X703" s="54">
        <f>inputs!$E$72*(inputs!$F$72/F703)^(0.25)</f>
        <v>112.82984284147192</v>
      </c>
      <c r="Y703" s="54" t="s">
        <v>13</v>
      </c>
      <c r="Z703" s="106">
        <f t="shared" si="55"/>
        <v>47.374764409802324</v>
      </c>
      <c r="AA703" s="106">
        <f t="shared" si="56"/>
        <v>658.89390191182724</v>
      </c>
    </row>
    <row r="704" spans="1:27" ht="26.4" x14ac:dyDescent="0.25">
      <c r="A704" s="55" t="s">
        <v>482</v>
      </c>
      <c r="B704" s="49" t="s">
        <v>483</v>
      </c>
      <c r="C704" s="21" t="s">
        <v>61</v>
      </c>
      <c r="D704" s="20" t="s">
        <v>443</v>
      </c>
      <c r="E704" s="20">
        <v>39</v>
      </c>
      <c r="F704" s="21">
        <v>70</v>
      </c>
      <c r="G704" s="21" t="s">
        <v>142</v>
      </c>
      <c r="H704" s="21">
        <v>0.69</v>
      </c>
      <c r="I704" s="68">
        <f>MAX('Max rate concentrations'!$H$3:$H$368)</f>
        <v>282</v>
      </c>
      <c r="J704" s="68">
        <f>MAX('Max rate concentrations'!AA:AA)</f>
        <v>195</v>
      </c>
      <c r="K704" s="70">
        <f t="shared" si="57"/>
        <v>88.616842001706885</v>
      </c>
      <c r="L704" s="70">
        <f t="shared" si="58"/>
        <v>61.277603511818597</v>
      </c>
      <c r="M704" s="70">
        <f>IF((((0.326*F704^0.818)-(0.398*F704^0.85)/(1-H704)*H704)*(MAX('Max rate concentrations'!$P$3:$P$368)))/F704&gt;0, (((0.326*F704^0.818)-(0.398*F704^0.85)/(1-H704)*H704)*(MAX('Max rate concentrations'!$P$3:$P$368)))/F704, 0)</f>
        <v>0</v>
      </c>
      <c r="N704" s="70">
        <f>IF((((0.326*F704^0.818)-(0.398*F704^0.85)/(1-H704)*H704)*(MAX('Max rate concentrations'!$Q$3:$Q$368)))/F704&gt; 0, (((0.326*F704^0.818)-(0.398*F704^0.85)/(1-H704)*H704)*(MAX('Max rate concentrations'!$Q$3:$Q$368)))/F704, 0)</f>
        <v>0</v>
      </c>
      <c r="O704" s="70">
        <f>((MAX('Max rate concentrations'!$F$3:$F$368))*0.62*6.01*8*(12.3*F704^0.65)*0.079*0.1/F704)*inputs!$E$73/inputs!$E$74</f>
        <v>61.197962455238979</v>
      </c>
      <c r="P704" s="70">
        <f>((MAX('Max rate concentrations'!Y:Y))*0.62*6.01*8*(12.3*F704^0.65)*0.079*0.1/F704)*inputs!$E$73/inputs!$E$74</f>
        <v>20.399320818413003</v>
      </c>
      <c r="Q704" s="70">
        <f>(inputs!$C$18*11.2*(12.3*F704^0.65)*0.5/F704)*inputs!$E$73/inputs!$E$74</f>
        <v>10.779732441521663</v>
      </c>
      <c r="R704" s="60">
        <f>(60*379*((F704/1000)^0.8)*3*24*(MAX('Max rate concentrations'!$R$3:$R$368))/F704)*(inputs!$E$73/inputs!$E$75)</f>
        <v>1.8789235087526914E-2</v>
      </c>
      <c r="S704" s="60">
        <f>(IF(inputs!$C$17="aerial",((0.025*0.112*inputs!$C$18/3.3)*(3*60*379*((F704/1000)^0.8))*MAX(inputs!$I$14:$I$16))/F704,((0.0083*0.112*inputs!$C$18/1)*(3*60*379*((F704/1000)^0.8))*MAX(inputs!$I$14:$I$16))/F704))*(inputs!E$75/inputs!$E$73)</f>
        <v>0.10362378588654626</v>
      </c>
      <c r="T704" s="63">
        <f>IF((((inputs!$P$13/(V704/MAX(K704:S704)))^(1/inputs!$O$13))-1)/inputs!$N$13&lt;0, 0, IF((((inputs!$P$13/(V704/MAX(K704:S704)))^(1/inputs!$O$13))-1)/inputs!$N$13&lt;inputs!$I$17, (((inputs!$P$13/(V704/MAX(K704:S704)))^(1/inputs!$O$13))-1)/inputs!$N$13, inputs!$I$17))</f>
        <v>73.755354103465976</v>
      </c>
      <c r="U704" s="63">
        <f>IF((((inputs!$P$13/(X704/MAX(K704:S704)))^(1/inputs!$O$13))-1)/inputs!$N$13&lt;0, 0, IF((((inputs!$P$13/(X704/MAX(K704:S704)))^(1/inputs!$O$13))-1)/inputs!$N$13&lt;inputs!$I$17, (((inputs!$P$13/(X704/MAX(K704:S704)))^(1/inputs!$O$13))-1)/inputs!$N$13, inputs!$I$17))</f>
        <v>0.9041656714371159</v>
      </c>
      <c r="V704" s="54">
        <f>inputs!$E$70*(F704/inputs!$F$70)^(0.25)</f>
        <v>3.2553221116843658</v>
      </c>
      <c r="W704" s="54">
        <f>inputs!$E$76*(F704/inputs!$F$76)^(0.25)</f>
        <v>0.23405910674174768</v>
      </c>
      <c r="X704" s="54">
        <f>inputs!$E$72*(inputs!$F$72/F704)^(0.25)</f>
        <v>76.766596799447598</v>
      </c>
      <c r="Y704" s="54" t="s">
        <v>13</v>
      </c>
      <c r="Z704" s="106">
        <f t="shared" si="55"/>
        <v>27.222142375291654</v>
      </c>
      <c r="AA704" s="106">
        <f t="shared" si="56"/>
        <v>378.60881909407391</v>
      </c>
    </row>
    <row r="705" spans="1:27" ht="26.4" x14ac:dyDescent="0.25">
      <c r="A705" s="55" t="s">
        <v>482</v>
      </c>
      <c r="B705" s="49" t="s">
        <v>483</v>
      </c>
      <c r="C705" s="21" t="s">
        <v>61</v>
      </c>
      <c r="D705" s="20" t="s">
        <v>443</v>
      </c>
      <c r="E705" s="20">
        <v>39</v>
      </c>
      <c r="F705" s="21">
        <v>70</v>
      </c>
      <c r="G705" s="21" t="s">
        <v>169</v>
      </c>
      <c r="H705" s="21">
        <v>0.79</v>
      </c>
      <c r="I705" s="68">
        <f>MAX('Max rate concentrations'!$D$3:$D$368)</f>
        <v>720</v>
      </c>
      <c r="J705" s="68">
        <f>MAX('Max rate concentrations'!W:W)</f>
        <v>255</v>
      </c>
      <c r="K705" s="70">
        <f t="shared" si="57"/>
        <v>333.99660815233</v>
      </c>
      <c r="L705" s="70">
        <f t="shared" si="58"/>
        <v>118.29046538728355</v>
      </c>
      <c r="M705" s="70">
        <f>IF((((0.326*F705^0.818)-(0.398*F705^0.85)/(1-H705)*H705)*(MAX('Max rate concentrations'!$P$3:$P$368)))/F705&gt;0, (((0.326*F705^0.818)-(0.398*F705^0.85)/(1-H705)*H705)*(MAX('Max rate concentrations'!$P$3:$P$368)))/F705, 0)</f>
        <v>0</v>
      </c>
      <c r="N705" s="70">
        <f>IF((((0.326*F705^0.818)-(0.398*F705^0.85)/(1-H705)*H705)*(MAX('Max rate concentrations'!$Q$3:$Q$368)))/F705&gt; 0, (((0.326*F705^0.818)-(0.398*F705^0.85)/(1-H705)*H705)*(MAX('Max rate concentrations'!$Q$3:$Q$368)))/F705, 0)</f>
        <v>0</v>
      </c>
      <c r="O705" s="70">
        <f>((MAX('Max rate concentrations'!$F$3:$F$368))*0.62*6.01*8*(12.3*F705^0.65)*0.079*0.1/F705)*inputs!$E$73/inputs!$E$74</f>
        <v>61.197962455238979</v>
      </c>
      <c r="P705" s="70">
        <f>((MAX('Max rate concentrations'!Y:Y))*0.62*6.01*8*(12.3*F705^0.65)*0.079*0.1/F705)*inputs!$E$73/inputs!$E$74</f>
        <v>20.399320818413003</v>
      </c>
      <c r="Q705" s="70">
        <f>(inputs!$C$18*11.2*(12.3*F705^0.65)*0.5/F705)*inputs!$E$73/inputs!$E$74</f>
        <v>10.779732441521663</v>
      </c>
      <c r="R705" s="60">
        <f>(60*379*((F705/1000)^0.8)*3*24*(MAX('Max rate concentrations'!$R$3:$R$368))/F705)*(inputs!$E$73/inputs!$E$75)</f>
        <v>1.8789235087526914E-2</v>
      </c>
      <c r="S705" s="60">
        <f>(IF(inputs!$C$17="aerial",((0.025*0.112*inputs!$C$18/3.3)*(3*60*379*((F705/1000)^0.8))*MAX(inputs!$I$14:$I$16))/F705,((0.0083*0.112*inputs!$C$18/1)*(3*60*379*((F705/1000)^0.8))*MAX(inputs!$I$14:$I$16))/F705))*(inputs!E$75/inputs!$E$73)</f>
        <v>0.10362378588654626</v>
      </c>
      <c r="T705" s="63">
        <f>IF((((inputs!$P$13/(V705/MAX(K705:S705)))^(1/inputs!$O$13))-1)/inputs!$N$13&lt;0, 0, IF((((inputs!$P$13/(V705/MAX(K705:S705)))^(1/inputs!$O$13))-1)/inputs!$N$13&lt;inputs!$I$17, (((inputs!$P$13/(V705/MAX(K705:S705)))^(1/inputs!$O$13))-1)/inputs!$N$13, inputs!$I$17))</f>
        <v>225.71737130053648</v>
      </c>
      <c r="U705" s="63">
        <f>IF((((inputs!$P$13/(X705/MAX(K705:S705)))^(1/inputs!$O$13))-1)/inputs!$N$13&lt;0, 0, IF((((inputs!$P$13/(X705/MAX(K705:S705)))^(1/inputs!$O$13))-1)/inputs!$N$13&lt;inputs!$I$17, (((inputs!$P$13/(X705/MAX(K705:S705)))^(1/inputs!$O$13))-1)/inputs!$N$13, inputs!$I$17))</f>
        <v>12.701220757892321</v>
      </c>
      <c r="V705" s="54">
        <f>inputs!$E$70*(F705/inputs!$F$70)^(0.25)</f>
        <v>3.2553221116843658</v>
      </c>
      <c r="W705" s="54">
        <f>inputs!$E$76*(F705/inputs!$F$76)^(0.25)</f>
        <v>0.23405910674174768</v>
      </c>
      <c r="X705" s="54">
        <f>inputs!$E$72*(inputs!$F$72/F705)^(0.25)</f>
        <v>76.766596799447598</v>
      </c>
      <c r="Y705" s="54" t="s">
        <v>13</v>
      </c>
      <c r="Z705" s="106">
        <f t="shared" si="55"/>
        <v>102.60017187040019</v>
      </c>
      <c r="AA705" s="106">
        <f t="shared" si="56"/>
        <v>1426.9754883788808</v>
      </c>
    </row>
    <row r="706" spans="1:27" ht="26.4" x14ac:dyDescent="0.25">
      <c r="A706" s="55" t="s">
        <v>482</v>
      </c>
      <c r="B706" s="49" t="s">
        <v>483</v>
      </c>
      <c r="C706" s="21" t="s">
        <v>61</v>
      </c>
      <c r="D706" s="20" t="s">
        <v>443</v>
      </c>
      <c r="E706" s="20">
        <v>39</v>
      </c>
      <c r="F706" s="21">
        <v>70</v>
      </c>
      <c r="G706" s="21" t="s">
        <v>177</v>
      </c>
      <c r="H706" s="21">
        <v>0.85</v>
      </c>
      <c r="I706" s="68">
        <f>MAX('Max rate concentrations'!$F$3:$F$368)</f>
        <v>405</v>
      </c>
      <c r="J706" s="68">
        <f>MAX('Max rate concentrations'!Y:Y)</f>
        <v>135</v>
      </c>
      <c r="K706" s="70">
        <f t="shared" si="57"/>
        <v>263.02232891995982</v>
      </c>
      <c r="L706" s="70">
        <f t="shared" si="58"/>
        <v>87.674109639986611</v>
      </c>
      <c r="M706" s="70">
        <f>IF((((0.326*F706^0.818)-(0.398*F706^0.85)/(1-H706)*H706)*(MAX('Max rate concentrations'!$P$3:$P$368)))/F706&gt;0, (((0.326*F706^0.818)-(0.398*F706^0.85)/(1-H706)*H706)*(MAX('Max rate concentrations'!$P$3:$P$368)))/F706, 0)</f>
        <v>0</v>
      </c>
      <c r="N706" s="70">
        <f>IF((((0.326*F706^0.818)-(0.398*F706^0.85)/(1-H706)*H706)*(MAX('Max rate concentrations'!$Q$3:$Q$368)))/F706&gt; 0, (((0.326*F706^0.818)-(0.398*F706^0.85)/(1-H706)*H706)*(MAX('Max rate concentrations'!$Q$3:$Q$368)))/F706, 0)</f>
        <v>0</v>
      </c>
      <c r="O706" s="70">
        <f>((MAX('Max rate concentrations'!$F$3:$F$368))*0.62*6.01*8*(12.3*F706^0.65)*0.079*0.1/F706)*inputs!$E$73/inputs!$E$74</f>
        <v>61.197962455238979</v>
      </c>
      <c r="P706" s="70">
        <f>((MAX('Max rate concentrations'!Y:Y))*0.62*6.01*8*(12.3*F706^0.65)*0.079*0.1/F706)*inputs!$E$73/inputs!$E$74</f>
        <v>20.399320818413003</v>
      </c>
      <c r="Q706" s="70">
        <f>(inputs!$C$18*11.2*(12.3*F706^0.65)*0.5/F706)*inputs!$E$73/inputs!$E$74</f>
        <v>10.779732441521663</v>
      </c>
      <c r="R706" s="60">
        <f>(60*379*((F706/1000)^0.8)*3*24*(MAX('Max rate concentrations'!$R$3:$R$368))/F706)*(inputs!$E$73/inputs!$E$75)</f>
        <v>1.8789235087526914E-2</v>
      </c>
      <c r="S706" s="60">
        <f>(IF(inputs!$C$17="aerial",((0.025*0.112*inputs!$C$18/3.3)*(3*60*379*((F706/1000)^0.8))*MAX(inputs!$I$14:$I$16))/F706,((0.0083*0.112*inputs!$C$18/1)*(3*60*379*((F706/1000)^0.8))*MAX(inputs!$I$14:$I$16))/F706))*(inputs!E$75/inputs!$E$73)</f>
        <v>0.10362378588654626</v>
      </c>
      <c r="T706" s="63">
        <f>IF((((inputs!$P$13/(V706/MAX(K706:S706)))^(1/inputs!$O$13))-1)/inputs!$N$13&lt;0, 0, IF((((inputs!$P$13/(V706/MAX(K706:S706)))^(1/inputs!$O$13))-1)/inputs!$N$13&lt;inputs!$I$17, (((inputs!$P$13/(V706/MAX(K706:S706)))^(1/inputs!$O$13))-1)/inputs!$N$13, inputs!$I$17))</f>
        <v>185.14728191703483</v>
      </c>
      <c r="U706" s="63">
        <f>IF((((inputs!$P$13/(X706/MAX(K706:S706)))^(1/inputs!$O$13))-1)/inputs!$N$13&lt;0, 0, IF((((inputs!$P$13/(X706/MAX(K706:S706)))^(1/inputs!$O$13))-1)/inputs!$N$13&lt;inputs!$I$17, (((inputs!$P$13/(X706/MAX(K706:S706)))^(1/inputs!$O$13))-1)/inputs!$N$13, inputs!$I$17))</f>
        <v>9.5516996594792722</v>
      </c>
      <c r="V706" s="54">
        <f>inputs!$E$70*(F706/inputs!$F$70)^(0.25)</f>
        <v>3.2553221116843658</v>
      </c>
      <c r="W706" s="54">
        <f>inputs!$E$76*(F706/inputs!$F$76)^(0.25)</f>
        <v>0.23405910674174768</v>
      </c>
      <c r="X706" s="54">
        <f>inputs!$E$72*(inputs!$F$72/F706)^(0.25)</f>
        <v>76.766596799447598</v>
      </c>
      <c r="Y706" s="54" t="s">
        <v>13</v>
      </c>
      <c r="Z706" s="106">
        <f t="shared" si="55"/>
        <v>80.79763534794013</v>
      </c>
      <c r="AA706" s="106">
        <f t="shared" si="56"/>
        <v>1123.7431970983685</v>
      </c>
    </row>
    <row r="707" spans="1:27" ht="26.4" x14ac:dyDescent="0.25">
      <c r="A707" s="55" t="s">
        <v>482</v>
      </c>
      <c r="B707" s="49" t="s">
        <v>483</v>
      </c>
      <c r="C707" s="21" t="s">
        <v>61</v>
      </c>
      <c r="D707" s="20" t="s">
        <v>443</v>
      </c>
      <c r="E707" s="20">
        <v>39</v>
      </c>
      <c r="F707" s="21">
        <v>70</v>
      </c>
      <c r="G707" s="21" t="s">
        <v>154</v>
      </c>
      <c r="H707" s="21">
        <v>9.2999999999999999E-2</v>
      </c>
      <c r="I707" s="68">
        <f>MAX('Max rate concentrations'!$G$3:$G$368)</f>
        <v>45</v>
      </c>
      <c r="J707" s="68">
        <f>MAX('Max rate concentrations'!Z:Z)</f>
        <v>21</v>
      </c>
      <c r="K707" s="70">
        <f t="shared" si="57"/>
        <v>4.8331923726563737</v>
      </c>
      <c r="L707" s="70">
        <f t="shared" si="58"/>
        <v>2.2554897739063073</v>
      </c>
      <c r="M707" s="70">
        <f>IF((((0.326*F707^0.818)-(0.398*F707^0.85)/(1-H707)*H707)*(MAX('Max rate concentrations'!$P$3:$P$368)))/F707&gt;0, (((0.326*F707^0.818)-(0.398*F707^0.85)/(1-H707)*H707)*(MAX('Max rate concentrations'!$P$3:$P$368)))/F707, 0)</f>
        <v>0.11223914413331763</v>
      </c>
      <c r="N707" s="70">
        <f>IF((((0.326*F707^0.818)-(0.398*F707^0.85)/(1-H707)*H707)*(MAX('Max rate concentrations'!$Q$3:$Q$368)))/F707&gt; 0, (((0.326*F707^0.818)-(0.398*F707^0.85)/(1-H707)*H707)*(MAX('Max rate concentrations'!$Q$3:$Q$368)))/F707, 0)</f>
        <v>0.42741269165802515</v>
      </c>
      <c r="O707" s="70">
        <f>((MAX('Max rate concentrations'!$F$3:$F$368))*0.62*6.01*8*(12.3*F707^0.65)*0.079*0.1/F707)*inputs!$E$73/inputs!$E$74</f>
        <v>61.197962455238979</v>
      </c>
      <c r="P707" s="70">
        <f>((MAX('Max rate concentrations'!Y:Y))*0.62*6.01*8*(12.3*F707^0.65)*0.079*0.1/F707)*inputs!$E$73/inputs!$E$74</f>
        <v>20.399320818413003</v>
      </c>
      <c r="Q707" s="70">
        <f>(inputs!$C$18*11.2*(12.3*F707^0.65)*0.5/F707)*inputs!$E$73/inputs!$E$74</f>
        <v>10.779732441521663</v>
      </c>
      <c r="R707" s="60">
        <f>(60*379*((F707/1000)^0.8)*3*24*(MAX('Max rate concentrations'!$R$3:$R$368))/F707)*(inputs!$E$73/inputs!$E$75)</f>
        <v>1.8789235087526914E-2</v>
      </c>
      <c r="S707" s="60">
        <f>(IF(inputs!$C$17="aerial",((0.025*0.112*inputs!$C$18/3.3)*(3*60*379*((F707/1000)^0.8))*MAX(inputs!$I$14:$I$16))/F707,((0.0083*0.112*inputs!$C$18/1)*(3*60*379*((F707/1000)^0.8))*MAX(inputs!$I$14:$I$16))/F707))*(inputs!E$75/inputs!$E$73)</f>
        <v>0.10362378588654626</v>
      </c>
      <c r="T707" s="63">
        <f>IF((((inputs!$P$13/(V707/MAX(K707:S707)))^(1/inputs!$O$13))-1)/inputs!$N$13&lt;0, 0, IF((((inputs!$P$13/(V707/MAX(K707:S707)))^(1/inputs!$O$13))-1)/inputs!$N$13&lt;inputs!$I$17, (((inputs!$P$13/(V707/MAX(K707:S707)))^(1/inputs!$O$13))-1)/inputs!$N$13, inputs!$I$17))</f>
        <v>53.321003852500517</v>
      </c>
      <c r="U707" s="63">
        <f>IF((((inputs!$P$13/(X707/MAX(K707:S707)))^(1/inputs!$O$13))-1)/inputs!$N$13&lt;0, 0, IF((((inputs!$P$13/(X707/MAX(K707:S707)))^(1/inputs!$O$13))-1)/inputs!$N$13&lt;inputs!$I$17, (((inputs!$P$13/(X707/MAX(K707:S707)))^(1/inputs!$O$13))-1)/inputs!$N$13, inputs!$I$17))</f>
        <v>0</v>
      </c>
      <c r="V707" s="54">
        <f>inputs!$E$70*(F707/inputs!$F$70)^(0.25)</f>
        <v>3.2553221116843658</v>
      </c>
      <c r="W707" s="54">
        <f>inputs!$E$76*(F707/inputs!$F$76)^(0.25)</f>
        <v>0.23405910674174768</v>
      </c>
      <c r="X707" s="54">
        <f>inputs!$E$72*(inputs!$F$72/F707)^(0.25)</f>
        <v>76.766596799447598</v>
      </c>
      <c r="Y707" s="54" t="s">
        <v>13</v>
      </c>
      <c r="Z707" s="106">
        <f t="shared" si="55"/>
        <v>18.799356977787365</v>
      </c>
      <c r="AA707" s="106">
        <f t="shared" si="56"/>
        <v>261.46371020189611</v>
      </c>
    </row>
    <row r="708" spans="1:27" ht="13.2" x14ac:dyDescent="0.25">
      <c r="A708" s="55" t="s">
        <v>586</v>
      </c>
      <c r="B708" s="49" t="s">
        <v>587</v>
      </c>
      <c r="C708" s="21" t="s">
        <v>61</v>
      </c>
      <c r="D708" s="20" t="s">
        <v>443</v>
      </c>
      <c r="E708" s="20">
        <v>8684</v>
      </c>
      <c r="F708" s="21">
        <v>75</v>
      </c>
      <c r="G708" s="21" t="s">
        <v>177</v>
      </c>
      <c r="H708" s="21">
        <v>0.85</v>
      </c>
      <c r="I708" s="68">
        <f>MAX('Max rate concentrations'!$F$3:$F$368)</f>
        <v>405</v>
      </c>
      <c r="J708" s="68">
        <f>MAX('Max rate concentrations'!Y:Y)</f>
        <v>135</v>
      </c>
      <c r="K708" s="70">
        <f t="shared" si="57"/>
        <v>255.22819757756429</v>
      </c>
      <c r="L708" s="70">
        <f t="shared" si="58"/>
        <v>85.076065859188091</v>
      </c>
      <c r="M708" s="70">
        <f>IF((((0.326*F708^0.818)-(0.398*F708^0.85)/(1-H708)*H708)*(MAX('Max rate concentrations'!$P$3:$P$368)))/F708&gt;0, (((0.326*F708^0.818)-(0.398*F708^0.85)/(1-H708)*H708)*(MAX('Max rate concentrations'!$P$3:$P$368)))/F708, 0)</f>
        <v>0</v>
      </c>
      <c r="N708" s="70">
        <f>IF((((0.326*F708^0.818)-(0.398*F708^0.85)/(1-H708)*H708)*(MAX('Max rate concentrations'!$Q$3:$Q$368)))/F708&gt; 0, (((0.326*F708^0.818)-(0.398*F708^0.85)/(1-H708)*H708)*(MAX('Max rate concentrations'!$Q$3:$Q$368)))/F708, 0)</f>
        <v>0</v>
      </c>
      <c r="O708" s="70">
        <f>((MAX('Max rate concentrations'!$F$3:$F$368))*0.62*6.01*8*(12.3*F708^0.65)*0.079*0.1/F708)*inputs!$E$73/inputs!$E$74</f>
        <v>59.737883923649726</v>
      </c>
      <c r="P708" s="70">
        <f>((MAX('Max rate concentrations'!Y:Y))*0.62*6.01*8*(12.3*F708^0.65)*0.079*0.1/F708)*inputs!$E$73/inputs!$E$74</f>
        <v>19.91262797454991</v>
      </c>
      <c r="Q708" s="70">
        <f>(inputs!$C$18*11.2*(12.3*F708^0.65)*0.5/F708)*inputs!$E$73/inputs!$E$74</f>
        <v>10.522546494756618</v>
      </c>
      <c r="R708" s="60">
        <f>(60*379*((F708/1000)^0.8)*3*24*(MAX('Max rate concentrations'!$R$3:$R$368))/F708)*(inputs!$E$73/inputs!$E$75)</f>
        <v>1.8531750973435526E-2</v>
      </c>
      <c r="S708" s="60">
        <f>(IF(inputs!$C$17="aerial",((0.025*0.112*inputs!$C$18/3.3)*(3*60*379*((F708/1000)^0.8))*MAX(inputs!$I$14:$I$16))/F708,((0.0083*0.112*inputs!$C$18/1)*(3*60*379*((F708/1000)^0.8))*MAX(inputs!$I$14:$I$16))/F708))*(inputs!E$75/inputs!$E$73)</f>
        <v>0.10220374517794364</v>
      </c>
      <c r="T708" s="63">
        <f>IF((((inputs!$P$13/(V708/MAX(K708:S708)))^(1/inputs!$O$13))-1)/inputs!$N$13&lt;0, 0, IF((((inputs!$P$13/(V708/MAX(K708:S708)))^(1/inputs!$O$13))-1)/inputs!$N$13&lt;inputs!$I$17, (((inputs!$P$13/(V708/MAX(K708:S708)))^(1/inputs!$O$13))-1)/inputs!$N$13, inputs!$I$17))</f>
        <v>177.99863626080457</v>
      </c>
      <c r="U708" s="63">
        <f>IF((((inputs!$P$13/(X708/MAX(K708:S708)))^(1/inputs!$O$13))-1)/inputs!$N$13&lt;0, 0, IF((((inputs!$P$13/(X708/MAX(K708:S708)))^(1/inputs!$O$13))-1)/inputs!$N$13&lt;inputs!$I$17, (((inputs!$P$13/(X708/MAX(K708:S708)))^(1/inputs!$O$13))-1)/inputs!$N$13, inputs!$I$17))</f>
        <v>9.3991243780044389</v>
      </c>
      <c r="V708" s="54">
        <f>inputs!$E$70*(F708/inputs!$F$70)^(0.25)</f>
        <v>3.3119576436193516</v>
      </c>
      <c r="W708" s="54">
        <f>inputs!$E$76*(F708/inputs!$F$76)^(0.25)</f>
        <v>0.23813122666099204</v>
      </c>
      <c r="X708" s="54">
        <f>inputs!$E$72*(inputs!$F$72/F708)^(0.25)</f>
        <v>75.453863512247679</v>
      </c>
      <c r="Y708" s="54" t="s">
        <v>13</v>
      </c>
      <c r="Z708" s="106">
        <f t="shared" ref="Z708:Z771" si="59">MAX(K708:S708)/V708</f>
        <v>77.062639393735566</v>
      </c>
      <c r="AA708" s="106">
        <f t="shared" ref="AA708:AA771" si="60">MAX(K708:S708)/W708</f>
        <v>1071.7964256779806</v>
      </c>
    </row>
    <row r="709" spans="1:27" ht="13.2" x14ac:dyDescent="0.25">
      <c r="A709" s="55" t="s">
        <v>480</v>
      </c>
      <c r="B709" s="49" t="s">
        <v>481</v>
      </c>
      <c r="C709" s="21" t="s">
        <v>61</v>
      </c>
      <c r="D709" s="20" t="s">
        <v>443</v>
      </c>
      <c r="E709" s="20">
        <v>40</v>
      </c>
      <c r="F709" s="21">
        <v>35</v>
      </c>
      <c r="G709" s="21" t="s">
        <v>142</v>
      </c>
      <c r="H709" s="21">
        <v>0.69</v>
      </c>
      <c r="I709" s="68">
        <f>MAX('Max rate concentrations'!$H$3:$H$368)</f>
        <v>282</v>
      </c>
      <c r="J709" s="68">
        <f>MAX('Max rate concentrations'!AA:AA)</f>
        <v>195</v>
      </c>
      <c r="K709" s="70">
        <f t="shared" si="57"/>
        <v>119.88513794327076</v>
      </c>
      <c r="L709" s="70">
        <f t="shared" si="58"/>
        <v>82.899297513963816</v>
      </c>
      <c r="M709" s="70">
        <f>IF((((0.326*F709^0.818)-(0.398*F709^0.85)/(1-H709)*H709)*(MAX('Max rate concentrations'!$P$3:$P$368)))/F709&gt;0, (((0.326*F709^0.818)-(0.398*F709^0.85)/(1-H709)*H709)*(MAX('Max rate concentrations'!$P$3:$P$368)))/F709, 0)</f>
        <v>0</v>
      </c>
      <c r="N709" s="70">
        <f>IF((((0.326*F709^0.818)-(0.398*F709^0.85)/(1-H709)*H709)*(MAX('Max rate concentrations'!$Q$3:$Q$368)))/F709&gt; 0, (((0.326*F709^0.818)-(0.398*F709^0.85)/(1-H709)*H709)*(MAX('Max rate concentrations'!$Q$3:$Q$368)))/F709, 0)</f>
        <v>0</v>
      </c>
      <c r="O709" s="70">
        <f>((MAX('Max rate concentrations'!$F$3:$F$368))*0.62*6.01*8*(12.3*F709^0.65)*0.079*0.1/F709)*inputs!$E$73/inputs!$E$74</f>
        <v>78.000513417610009</v>
      </c>
      <c r="P709" s="70">
        <f>((MAX('Max rate concentrations'!Y:Y))*0.62*6.01*8*(12.3*F709^0.65)*0.079*0.1/F709)*inputs!$E$73/inputs!$E$74</f>
        <v>26.000171139203339</v>
      </c>
      <c r="Q709" s="70">
        <f>(inputs!$C$18*11.2*(12.3*F709^0.65)*0.5/F709)*inputs!$E$73/inputs!$E$74</f>
        <v>13.739422542999643</v>
      </c>
      <c r="R709" s="60">
        <f>(60*379*((F709/1000)^0.8)*3*24*(MAX('Max rate concentrations'!$R$3:$R$368))/F709)*(inputs!$E$73/inputs!$E$75)</f>
        <v>2.1583163436694738E-2</v>
      </c>
      <c r="S709" s="60">
        <f>(IF(inputs!$C$17="aerial",((0.025*0.112*inputs!$C$18/3.3)*(3*60*379*((F709/1000)^0.8))*MAX(inputs!$I$14:$I$16))/F709,((0.0083*0.112*inputs!$C$18/1)*(3*60*379*((F709/1000)^0.8))*MAX(inputs!$I$14:$I$16))/F709))*(inputs!E$75/inputs!$E$73)</f>
        <v>0.11903247238644067</v>
      </c>
      <c r="T709" s="63">
        <f>IF((((inputs!$P$13/(V709/MAX(K709:S709)))^(1/inputs!$O$13))-1)/inputs!$N$13&lt;0, 0, IF((((inputs!$P$13/(V709/MAX(K709:S709)))^(1/inputs!$O$13))-1)/inputs!$N$13&lt;inputs!$I$17, (((inputs!$P$13/(V709/MAX(K709:S709)))^(1/inputs!$O$13))-1)/inputs!$N$13, inputs!$I$17))</f>
        <v>110.79122427451007</v>
      </c>
      <c r="U709" s="63">
        <f>IF((((inputs!$P$13/(X709/MAX(K709:S709)))^(1/inputs!$O$13))-1)/inputs!$N$13&lt;0, 0, IF((((inputs!$P$13/(X709/MAX(K709:S709)))^(1/inputs!$O$13))-1)/inputs!$N$13&lt;inputs!$I$17, (((inputs!$P$13/(X709/MAX(K709:S709)))^(1/inputs!$O$13))-1)/inputs!$N$13, inputs!$I$17))</f>
        <v>1.57794231007821</v>
      </c>
      <c r="V709" s="54">
        <f>inputs!$E$70*(F709/inputs!$F$70)^(0.25)</f>
        <v>2.7373886942115346</v>
      </c>
      <c r="W709" s="54">
        <f>inputs!$E$76*(F709/inputs!$F$76)^(0.25)</f>
        <v>0.19681946381662216</v>
      </c>
      <c r="X709" s="54">
        <f>inputs!$E$72*(inputs!$F$72/F709)^(0.25)</f>
        <v>91.291383108448187</v>
      </c>
      <c r="Y709" s="54" t="s">
        <v>13</v>
      </c>
      <c r="Z709" s="106">
        <f t="shared" si="59"/>
        <v>43.795438403314492</v>
      </c>
      <c r="AA709" s="106">
        <f t="shared" si="60"/>
        <v>609.11220678341272</v>
      </c>
    </row>
    <row r="710" spans="1:27" ht="13.2" x14ac:dyDescent="0.25">
      <c r="A710" s="55" t="s">
        <v>480</v>
      </c>
      <c r="B710" s="49" t="s">
        <v>481</v>
      </c>
      <c r="C710" s="21" t="s">
        <v>61</v>
      </c>
      <c r="D710" s="20" t="s">
        <v>443</v>
      </c>
      <c r="E710" s="20">
        <v>40</v>
      </c>
      <c r="F710" s="21">
        <v>35</v>
      </c>
      <c r="G710" s="21" t="s">
        <v>169</v>
      </c>
      <c r="H710" s="21">
        <v>0.79</v>
      </c>
      <c r="I710" s="68">
        <f>MAX('Max rate concentrations'!$D$3:$D$368)</f>
        <v>720</v>
      </c>
      <c r="J710" s="68">
        <f>MAX('Max rate concentrations'!W:W)</f>
        <v>255</v>
      </c>
      <c r="K710" s="70">
        <f t="shared" si="57"/>
        <v>451.84672051567111</v>
      </c>
      <c r="L710" s="70">
        <f t="shared" si="58"/>
        <v>160.02904684930019</v>
      </c>
      <c r="M710" s="70">
        <f>IF((((0.326*F710^0.818)-(0.398*F710^0.85)/(1-H710)*H710)*(MAX('Max rate concentrations'!$P$3:$P$368)))/F710&gt;0, (((0.326*F710^0.818)-(0.398*F710^0.85)/(1-H710)*H710)*(MAX('Max rate concentrations'!$P$3:$P$368)))/F710, 0)</f>
        <v>0</v>
      </c>
      <c r="N710" s="70">
        <f>IF((((0.326*F710^0.818)-(0.398*F710^0.85)/(1-H710)*H710)*(MAX('Max rate concentrations'!$Q$3:$Q$368)))/F710&gt; 0, (((0.326*F710^0.818)-(0.398*F710^0.85)/(1-H710)*H710)*(MAX('Max rate concentrations'!$Q$3:$Q$368)))/F710, 0)</f>
        <v>0</v>
      </c>
      <c r="O710" s="70">
        <f>((MAX('Max rate concentrations'!$F$3:$F$368))*0.62*6.01*8*(12.3*F710^0.65)*0.079*0.1/F710)*inputs!$E$73/inputs!$E$74</f>
        <v>78.000513417610009</v>
      </c>
      <c r="P710" s="70">
        <f>((MAX('Max rate concentrations'!Y:Y))*0.62*6.01*8*(12.3*F710^0.65)*0.079*0.1/F710)*inputs!$E$73/inputs!$E$74</f>
        <v>26.000171139203339</v>
      </c>
      <c r="Q710" s="70">
        <f>(inputs!$C$18*11.2*(12.3*F710^0.65)*0.5/F710)*inputs!$E$73/inputs!$E$74</f>
        <v>13.739422542999643</v>
      </c>
      <c r="R710" s="60">
        <f>(60*379*((F710/1000)^0.8)*3*24*(MAX('Max rate concentrations'!$R$3:$R$368))/F710)*(inputs!$E$73/inputs!$E$75)</f>
        <v>2.1583163436694738E-2</v>
      </c>
      <c r="S710" s="60">
        <f>(IF(inputs!$C$17="aerial",((0.025*0.112*inputs!$C$18/3.3)*(3*60*379*((F710/1000)^0.8))*MAX(inputs!$I$14:$I$16))/F710,((0.0083*0.112*inputs!$C$18/1)*(3*60*379*((F710/1000)^0.8))*MAX(inputs!$I$14:$I$16))/F710))*(inputs!E$75/inputs!$E$73)</f>
        <v>0.11903247238644067</v>
      </c>
      <c r="T710" s="63">
        <f>IF((((inputs!$P$13/(V710/MAX(K710:S710)))^(1/inputs!$O$13))-1)/inputs!$N$13&lt;0, 0, IF((((inputs!$P$13/(V710/MAX(K710:S710)))^(1/inputs!$O$13))-1)/inputs!$N$13&lt;inputs!$I$17, (((inputs!$P$13/(V710/MAX(K710:S710)))^(1/inputs!$O$13))-1)/inputs!$N$13, inputs!$I$17))</f>
        <v>334.00988739577787</v>
      </c>
      <c r="U710" s="63">
        <f>IF((((inputs!$P$13/(X710/MAX(K710:S710)))^(1/inputs!$O$13))-1)/inputs!$N$13&lt;0, 0, IF((((inputs!$P$13/(X710/MAX(K710:S710)))^(1/inputs!$O$13))-1)/inputs!$N$13&lt;inputs!$I$17, (((inputs!$P$13/(X710/MAX(K710:S710)))^(1/inputs!$O$13))-1)/inputs!$N$13, inputs!$I$17))</f>
        <v>14.67133694924037</v>
      </c>
      <c r="V710" s="54">
        <f>inputs!$E$70*(F710/inputs!$F$70)^(0.25)</f>
        <v>2.7373886942115346</v>
      </c>
      <c r="W710" s="54">
        <f>inputs!$E$76*(F710/inputs!$F$76)^(0.25)</f>
        <v>0.19681946381662216</v>
      </c>
      <c r="X710" s="54">
        <f>inputs!$E$72*(inputs!$F$72/F710)^(0.25)</f>
        <v>91.291383108448187</v>
      </c>
      <c r="Y710" s="54" t="s">
        <v>13</v>
      </c>
      <c r="Z710" s="106">
        <f t="shared" si="59"/>
        <v>165.06487422525834</v>
      </c>
      <c r="AA710" s="106">
        <f t="shared" si="60"/>
        <v>2295.7420559617995</v>
      </c>
    </row>
    <row r="711" spans="1:27" ht="13.2" x14ac:dyDescent="0.25">
      <c r="A711" s="55" t="s">
        <v>480</v>
      </c>
      <c r="B711" s="49" t="s">
        <v>481</v>
      </c>
      <c r="C711" s="21" t="s">
        <v>61</v>
      </c>
      <c r="D711" s="20" t="s">
        <v>443</v>
      </c>
      <c r="E711" s="20">
        <v>40</v>
      </c>
      <c r="F711" s="21">
        <v>35</v>
      </c>
      <c r="G711" s="21" t="s">
        <v>177</v>
      </c>
      <c r="H711" s="21">
        <v>0.85</v>
      </c>
      <c r="I711" s="68">
        <f>MAX('Max rate concentrations'!$F$3:$F$368)</f>
        <v>405</v>
      </c>
      <c r="J711" s="68">
        <f>MAX('Max rate concentrations'!Y:Y)</f>
        <v>135</v>
      </c>
      <c r="K711" s="70">
        <f t="shared" si="57"/>
        <v>355.82929240609087</v>
      </c>
      <c r="L711" s="70">
        <f t="shared" si="58"/>
        <v>118.60976413536362</v>
      </c>
      <c r="M711" s="70">
        <f>IF((((0.326*F711^0.818)-(0.398*F711^0.85)/(1-H711)*H711)*(MAX('Max rate concentrations'!$P$3:$P$368)))/F711&gt;0, (((0.326*F711^0.818)-(0.398*F711^0.85)/(1-H711)*H711)*(MAX('Max rate concentrations'!$P$3:$P$368)))/F711, 0)</f>
        <v>0</v>
      </c>
      <c r="N711" s="70">
        <f>IF((((0.326*F711^0.818)-(0.398*F711^0.85)/(1-H711)*H711)*(MAX('Max rate concentrations'!$Q$3:$Q$368)))/F711&gt; 0, (((0.326*F711^0.818)-(0.398*F711^0.85)/(1-H711)*H711)*(MAX('Max rate concentrations'!$Q$3:$Q$368)))/F711, 0)</f>
        <v>0</v>
      </c>
      <c r="O711" s="70">
        <f>((MAX('Max rate concentrations'!$F$3:$F$368))*0.62*6.01*8*(12.3*F711^0.65)*0.079*0.1/F711)*inputs!$E$73/inputs!$E$74</f>
        <v>78.000513417610009</v>
      </c>
      <c r="P711" s="70">
        <f>((MAX('Max rate concentrations'!Y:Y))*0.62*6.01*8*(12.3*F711^0.65)*0.079*0.1/F711)*inputs!$E$73/inputs!$E$74</f>
        <v>26.000171139203339</v>
      </c>
      <c r="Q711" s="70">
        <f>(inputs!$C$18*11.2*(12.3*F711^0.65)*0.5/F711)*inputs!$E$73/inputs!$E$74</f>
        <v>13.739422542999643</v>
      </c>
      <c r="R711" s="60">
        <f>(60*379*((F711/1000)^0.8)*3*24*(MAX('Max rate concentrations'!$R$3:$R$368))/F711)*(inputs!$E$73/inputs!$E$75)</f>
        <v>2.1583163436694738E-2</v>
      </c>
      <c r="S711" s="60">
        <f>(IF(inputs!$C$17="aerial",((0.025*0.112*inputs!$C$18/3.3)*(3*60*379*((F711/1000)^0.8))*MAX(inputs!$I$14:$I$16))/F711,((0.0083*0.112*inputs!$C$18/1)*(3*60*379*((F711/1000)^0.8))*MAX(inputs!$I$14:$I$16))/F711))*(inputs!E$75/inputs!$E$73)</f>
        <v>0.11903247238644067</v>
      </c>
      <c r="T711" s="63">
        <f>IF((((inputs!$P$13/(V711/MAX(K711:S711)))^(1/inputs!$O$13))-1)/inputs!$N$13&lt;0, 0, IF((((inputs!$P$13/(V711/MAX(K711:S711)))^(1/inputs!$O$13))-1)/inputs!$N$13&lt;inputs!$I$17, (((inputs!$P$13/(V711/MAX(K711:S711)))^(1/inputs!$O$13))-1)/inputs!$N$13, inputs!$I$17))</f>
        <v>274.41604097327769</v>
      </c>
      <c r="U711" s="63">
        <f>IF((((inputs!$P$13/(X711/MAX(K711:S711)))^(1/inputs!$O$13))-1)/inputs!$N$13&lt;0, 0, IF((((inputs!$P$13/(X711/MAX(K711:S711)))^(1/inputs!$O$13))-1)/inputs!$N$13&lt;inputs!$I$17, (((inputs!$P$13/(X711/MAX(K711:S711)))^(1/inputs!$O$13))-1)/inputs!$N$13, inputs!$I$17))</f>
        <v>11.175725344168116</v>
      </c>
      <c r="V711" s="54">
        <f>inputs!$E$70*(F711/inputs!$F$70)^(0.25)</f>
        <v>2.7373886942115346</v>
      </c>
      <c r="W711" s="54">
        <f>inputs!$E$76*(F711/inputs!$F$76)^(0.25)</f>
        <v>0.19681946381662216</v>
      </c>
      <c r="X711" s="54">
        <f>inputs!$E$72*(inputs!$F$72/F711)^(0.25)</f>
        <v>91.291383108448187</v>
      </c>
      <c r="Y711" s="54" t="s">
        <v>13</v>
      </c>
      <c r="Z711" s="106">
        <f t="shared" si="59"/>
        <v>129.9885884523909</v>
      </c>
      <c r="AA711" s="106">
        <f t="shared" si="60"/>
        <v>1807.8968690699162</v>
      </c>
    </row>
    <row r="712" spans="1:27" ht="13.2" x14ac:dyDescent="0.25">
      <c r="A712" s="55" t="s">
        <v>480</v>
      </c>
      <c r="B712" s="49" t="s">
        <v>481</v>
      </c>
      <c r="C712" s="21" t="s">
        <v>61</v>
      </c>
      <c r="D712" s="20" t="s">
        <v>443</v>
      </c>
      <c r="E712" s="20">
        <v>40</v>
      </c>
      <c r="F712" s="21">
        <v>35</v>
      </c>
      <c r="G712" s="21" t="s">
        <v>154</v>
      </c>
      <c r="H712" s="21">
        <v>9.2999999999999999E-2</v>
      </c>
      <c r="I712" s="68">
        <f>MAX('Max rate concentrations'!$G$3:$G$368)</f>
        <v>45</v>
      </c>
      <c r="J712" s="68">
        <f>MAX('Max rate concentrations'!Z:Z)</f>
        <v>21</v>
      </c>
      <c r="K712" s="70">
        <f t="shared" si="57"/>
        <v>6.5385757516738501</v>
      </c>
      <c r="L712" s="70">
        <f t="shared" si="58"/>
        <v>3.0513353507811298</v>
      </c>
      <c r="M712" s="70">
        <f>IF((((0.326*F712^0.818)-(0.398*F712^0.85)/(1-H712)*H712)*(MAX('Max rate concentrations'!$P$3:$P$368)))/F712&gt;0, (((0.326*F712^0.818)-(0.398*F712^0.85)/(1-H712)*H712)*(MAX('Max rate concentrations'!$P$3:$P$368)))/F712, 0)</f>
        <v>0.12779795279002523</v>
      </c>
      <c r="N712" s="70">
        <f>IF((((0.326*F712^0.818)-(0.398*F712^0.85)/(1-H712)*H712)*(MAX('Max rate concentrations'!$Q$3:$Q$368)))/F712&gt; 0, (((0.326*F712^0.818)-(0.398*F712^0.85)/(1-H712)*H712)*(MAX('Max rate concentrations'!$Q$3:$Q$368)))/F712, 0)</f>
        <v>0.48666147102377533</v>
      </c>
      <c r="O712" s="70">
        <f>((MAX('Max rate concentrations'!$F$3:$F$368))*0.62*6.01*8*(12.3*F712^0.65)*0.079*0.1/F712)*inputs!$E$73/inputs!$E$74</f>
        <v>78.000513417610009</v>
      </c>
      <c r="P712" s="70">
        <f>((MAX('Max rate concentrations'!Y:Y))*0.62*6.01*8*(12.3*F712^0.65)*0.079*0.1/F712)*inputs!$E$73/inputs!$E$74</f>
        <v>26.000171139203339</v>
      </c>
      <c r="Q712" s="70">
        <f>(inputs!$C$18*11.2*(12.3*F712^0.65)*0.5/F712)*inputs!$E$73/inputs!$E$74</f>
        <v>13.739422542999643</v>
      </c>
      <c r="R712" s="60">
        <f>(60*379*((F712/1000)^0.8)*3*24*(MAX('Max rate concentrations'!$R$3:$R$368))/F712)*(inputs!$E$73/inputs!$E$75)</f>
        <v>2.1583163436694738E-2</v>
      </c>
      <c r="S712" s="60">
        <f>(IF(inputs!$C$17="aerial",((0.025*0.112*inputs!$C$18/3.3)*(3*60*379*((F712/1000)^0.8))*MAX(inputs!$I$14:$I$16))/F712,((0.0083*0.112*inputs!$C$18/1)*(3*60*379*((F712/1000)^0.8))*MAX(inputs!$I$14:$I$16))/F712))*(inputs!E$75/inputs!$E$73)</f>
        <v>0.11903247238644067</v>
      </c>
      <c r="T712" s="63">
        <f>IF((((inputs!$P$13/(V712/MAX(K712:S712)))^(1/inputs!$O$13))-1)/inputs!$N$13&lt;0, 0, IF((((inputs!$P$13/(V712/MAX(K712:S712)))^(1/inputs!$O$13))-1)/inputs!$N$13&lt;inputs!$I$17, (((inputs!$P$13/(V712/MAX(K712:S712)))^(1/inputs!$O$13))-1)/inputs!$N$13, inputs!$I$17))</f>
        <v>76.727552846508885</v>
      </c>
      <c r="U712" s="63">
        <f>IF((((inputs!$P$13/(X712/MAX(K712:S712)))^(1/inputs!$O$13))-1)/inputs!$N$13&lt;0, 0, IF((((inputs!$P$13/(X712/MAX(K712:S712)))^(1/inputs!$O$13))-1)/inputs!$N$13&lt;inputs!$I$17, (((inputs!$P$13/(X712/MAX(K712:S712)))^(1/inputs!$O$13))-1)/inputs!$N$13, inputs!$I$17))</f>
        <v>0</v>
      </c>
      <c r="V712" s="54">
        <f>inputs!$E$70*(F712/inputs!$F$70)^(0.25)</f>
        <v>2.7373886942115346</v>
      </c>
      <c r="W712" s="54">
        <f>inputs!$E$76*(F712/inputs!$F$76)^(0.25)</f>
        <v>0.19681946381662216</v>
      </c>
      <c r="X712" s="54">
        <f>inputs!$E$72*(inputs!$F$72/F712)^(0.25)</f>
        <v>91.291383108448187</v>
      </c>
      <c r="Y712" s="54" t="s">
        <v>13</v>
      </c>
      <c r="Z712" s="106">
        <f t="shared" si="59"/>
        <v>28.494496810975154</v>
      </c>
      <c r="AA712" s="106">
        <f t="shared" si="60"/>
        <v>396.30487709428746</v>
      </c>
    </row>
    <row r="713" spans="1:27" ht="13.2" x14ac:dyDescent="0.25">
      <c r="A713" s="55" t="s">
        <v>470</v>
      </c>
      <c r="B713" s="49" t="s">
        <v>471</v>
      </c>
      <c r="C713" s="21" t="s">
        <v>61</v>
      </c>
      <c r="D713" s="20" t="s">
        <v>443</v>
      </c>
      <c r="E713" s="20">
        <v>20</v>
      </c>
      <c r="F713" s="21">
        <v>640</v>
      </c>
      <c r="G713" s="21" t="s">
        <v>142</v>
      </c>
      <c r="H713" s="21">
        <v>0.69</v>
      </c>
      <c r="I713" s="68">
        <f>MAX('Max rate concentrations'!$H$3:$H$368)</f>
        <v>282</v>
      </c>
      <c r="J713" s="68">
        <f>MAX('Max rate concentrations'!AA:AA)</f>
        <v>195</v>
      </c>
      <c r="K713" s="70">
        <f t="shared" si="57"/>
        <v>33.766383295140855</v>
      </c>
      <c r="L713" s="70">
        <f t="shared" si="58"/>
        <v>23.349094831746335</v>
      </c>
      <c r="M713" s="70">
        <f>IF((((0.326*F713^0.818)-(0.398*F713^0.85)/(1-H713)*H713)*(MAX('Max rate concentrations'!$P$3:$P$368)))/F713&gt;0, (((0.326*F713^0.818)-(0.398*F713^0.85)/(1-H713)*H713)*(MAX('Max rate concentrations'!$P$3:$P$368)))/F713, 0)</f>
        <v>0</v>
      </c>
      <c r="N713" s="70">
        <f>IF((((0.326*F713^0.818)-(0.398*F713^0.85)/(1-H713)*H713)*(MAX('Max rate concentrations'!$Q$3:$Q$368)))/F713&gt; 0, (((0.326*F713^0.818)-(0.398*F713^0.85)/(1-H713)*H713)*(MAX('Max rate concentrations'!$Q$3:$Q$368)))/F713, 0)</f>
        <v>0</v>
      </c>
      <c r="O713" s="70">
        <f>((MAX('Max rate concentrations'!$F$3:$F$368))*0.62*6.01*8*(12.3*F713^0.65)*0.079*0.1/F713)*inputs!$E$73/inputs!$E$74</f>
        <v>28.207090111672134</v>
      </c>
      <c r="P713" s="70">
        <f>((MAX('Max rate concentrations'!Y:Y))*0.62*6.01*8*(12.3*F713^0.65)*0.079*0.1/F713)*inputs!$E$73/inputs!$E$74</f>
        <v>9.4023633705573779</v>
      </c>
      <c r="Q713" s="70">
        <f>(inputs!$C$18*11.2*(12.3*F713^0.65)*0.5/F713)*inputs!$E$73/inputs!$E$74</f>
        <v>4.9685458822279269</v>
      </c>
      <c r="R713" s="60">
        <f>(60*379*((F713/1000)^0.8)*3*24*(MAX('Max rate concentrations'!$R$3:$R$368))/F713)*(inputs!$E$73/inputs!$E$75)</f>
        <v>1.2069595446201564E-2</v>
      </c>
      <c r="S713" s="60">
        <f>(IF(inputs!$C$17="aerial",((0.025*0.112*inputs!$C$18/3.3)*(3*60*379*((F713/1000)^0.8))*MAX(inputs!$I$14:$I$16))/F713,((0.0083*0.112*inputs!$C$18/1)*(3*60*379*((F713/1000)^0.8))*MAX(inputs!$I$14:$I$16))/F713))*(inputs!E$75/inputs!$E$73)</f>
        <v>6.656456042133882E-2</v>
      </c>
      <c r="T713" s="63">
        <f>IF((((inputs!$P$13/(V713/MAX(K713:S713)))^(1/inputs!$O$13))-1)/inputs!$N$13&lt;0, 0, IF((((inputs!$P$13/(V713/MAX(K713:S713)))^(1/inputs!$O$13))-1)/inputs!$N$13&lt;inputs!$I$17, (((inputs!$P$13/(V713/MAX(K713:S713)))^(1/inputs!$O$13))-1)/inputs!$N$13, inputs!$I$17))</f>
        <v>17.913229824461052</v>
      </c>
      <c r="U713" s="63">
        <f>IF((((inputs!$P$13/(X713/MAX(K713:S713)))^(1/inputs!$O$13))-1)/inputs!$N$13&lt;0, 0, IF((((inputs!$P$13/(X713/MAX(K713:S713)))^(1/inputs!$O$13))-1)/inputs!$N$13&lt;inputs!$I$17, (((inputs!$P$13/(X713/MAX(K713:S713)))^(1/inputs!$O$13))-1)/inputs!$N$13, inputs!$I$17))</f>
        <v>0</v>
      </c>
      <c r="V713" s="54">
        <f>inputs!$E$70*(F713/inputs!$F$70)^(0.25)</f>
        <v>5.6606258674129517</v>
      </c>
      <c r="W713" s="54">
        <f>inputs!$E$76*(F713/inputs!$F$76)^(0.25)</f>
        <v>0.40700151587775352</v>
      </c>
      <c r="X713" s="54">
        <f>inputs!$E$72*(inputs!$F$72/F713)^(0.25)</f>
        <v>44.147061800820012</v>
      </c>
      <c r="Y713" s="54" t="s">
        <v>13</v>
      </c>
      <c r="Z713" s="106">
        <f t="shared" si="59"/>
        <v>5.9651324934804322</v>
      </c>
      <c r="AA713" s="106">
        <f t="shared" si="60"/>
        <v>82.96377772038295</v>
      </c>
    </row>
    <row r="714" spans="1:27" ht="13.2" x14ac:dyDescent="0.25">
      <c r="A714" s="55" t="s">
        <v>470</v>
      </c>
      <c r="B714" s="49" t="s">
        <v>471</v>
      </c>
      <c r="C714" s="21" t="s">
        <v>61</v>
      </c>
      <c r="D714" s="20" t="s">
        <v>443</v>
      </c>
      <c r="E714" s="20">
        <v>20</v>
      </c>
      <c r="F714" s="21">
        <v>640</v>
      </c>
      <c r="G714" s="21" t="s">
        <v>169</v>
      </c>
      <c r="H714" s="21">
        <v>0.79</v>
      </c>
      <c r="I714" s="68">
        <f>MAX('Max rate concentrations'!$D$3:$D$368)</f>
        <v>720</v>
      </c>
      <c r="J714" s="68">
        <f>MAX('Max rate concentrations'!W:W)</f>
        <v>255</v>
      </c>
      <c r="K714" s="70">
        <f t="shared" si="57"/>
        <v>127.26539600600206</v>
      </c>
      <c r="L714" s="70">
        <f t="shared" si="58"/>
        <v>45.073161085459063</v>
      </c>
      <c r="M714" s="70">
        <f>IF((((0.326*F714^0.818)-(0.398*F714^0.85)/(1-H714)*H714)*(MAX('Max rate concentrations'!$P$3:$P$368)))/F714&gt;0, (((0.326*F714^0.818)-(0.398*F714^0.85)/(1-H714)*H714)*(MAX('Max rate concentrations'!$P$3:$P$368)))/F714, 0)</f>
        <v>0</v>
      </c>
      <c r="N714" s="70">
        <f>IF((((0.326*F714^0.818)-(0.398*F714^0.85)/(1-H714)*H714)*(MAX('Max rate concentrations'!$Q$3:$Q$368)))/F714&gt; 0, (((0.326*F714^0.818)-(0.398*F714^0.85)/(1-H714)*H714)*(MAX('Max rate concentrations'!$Q$3:$Q$368)))/F714, 0)</f>
        <v>0</v>
      </c>
      <c r="O714" s="70">
        <f>((MAX('Max rate concentrations'!$F$3:$F$368))*0.62*6.01*8*(12.3*F714^0.65)*0.079*0.1/F714)*inputs!$E$73/inputs!$E$74</f>
        <v>28.207090111672134</v>
      </c>
      <c r="P714" s="70">
        <f>((MAX('Max rate concentrations'!Y:Y))*0.62*6.01*8*(12.3*F714^0.65)*0.079*0.1/F714)*inputs!$E$73/inputs!$E$74</f>
        <v>9.4023633705573779</v>
      </c>
      <c r="Q714" s="70">
        <f>(inputs!$C$18*11.2*(12.3*F714^0.65)*0.5/F714)*inputs!$E$73/inputs!$E$74</f>
        <v>4.9685458822279269</v>
      </c>
      <c r="R714" s="60">
        <f>(60*379*((F714/1000)^0.8)*3*24*(MAX('Max rate concentrations'!$R$3:$R$368))/F714)*(inputs!$E$73/inputs!$E$75)</f>
        <v>1.2069595446201564E-2</v>
      </c>
      <c r="S714" s="60">
        <f>(IF(inputs!$C$17="aerial",((0.025*0.112*inputs!$C$18/3.3)*(3*60*379*((F714/1000)^0.8))*MAX(inputs!$I$14:$I$16))/F714,((0.0083*0.112*inputs!$C$18/1)*(3*60*379*((F714/1000)^0.8))*MAX(inputs!$I$14:$I$16))/F714))*(inputs!E$75/inputs!$E$73)</f>
        <v>6.656456042133882E-2</v>
      </c>
      <c r="T714" s="63">
        <f>IF((((inputs!$P$13/(V714/MAX(K714:S714)))^(1/inputs!$O$13))-1)/inputs!$N$13&lt;0, 0, IF((((inputs!$P$13/(V714/MAX(K714:S714)))^(1/inputs!$O$13))-1)/inputs!$N$13&lt;inputs!$I$17, (((inputs!$P$13/(V714/MAX(K714:S714)))^(1/inputs!$O$13))-1)/inputs!$N$13, inputs!$I$17))</f>
        <v>62.435555203109189</v>
      </c>
      <c r="U714" s="63">
        <f>IF((((inputs!$P$13/(X714/MAX(K714:S714)))^(1/inputs!$O$13))-1)/inputs!$N$13&lt;0, 0, IF((((inputs!$P$13/(X714/MAX(K714:S714)))^(1/inputs!$O$13))-1)/inputs!$N$13&lt;inputs!$I$17, (((inputs!$P$13/(X714/MAX(K714:S714)))^(1/inputs!$O$13))-1)/inputs!$N$13, inputs!$I$17))</f>
        <v>7.6251203783328947</v>
      </c>
      <c r="V714" s="54">
        <f>inputs!$E$70*(F714/inputs!$F$70)^(0.25)</f>
        <v>5.6606258674129517</v>
      </c>
      <c r="W714" s="54">
        <f>inputs!$E$76*(F714/inputs!$F$76)^(0.25)</f>
        <v>0.40700151587775352</v>
      </c>
      <c r="X714" s="54">
        <f>inputs!$E$72*(inputs!$F$72/F714)^(0.25)</f>
        <v>44.147061800820012</v>
      </c>
      <c r="Y714" s="54" t="s">
        <v>13</v>
      </c>
      <c r="Z714" s="106">
        <f t="shared" si="59"/>
        <v>22.482566236825956</v>
      </c>
      <c r="AA714" s="106">
        <f t="shared" si="60"/>
        <v>312.69022605858635</v>
      </c>
    </row>
    <row r="715" spans="1:27" ht="13.2" x14ac:dyDescent="0.25">
      <c r="A715" s="55" t="s">
        <v>470</v>
      </c>
      <c r="B715" s="49" t="s">
        <v>471</v>
      </c>
      <c r="C715" s="21" t="s">
        <v>61</v>
      </c>
      <c r="D715" s="20" t="s">
        <v>443</v>
      </c>
      <c r="E715" s="20">
        <v>20</v>
      </c>
      <c r="F715" s="21">
        <v>640</v>
      </c>
      <c r="G715" s="21" t="s">
        <v>177</v>
      </c>
      <c r="H715" s="21">
        <v>0.85</v>
      </c>
      <c r="I715" s="68">
        <f>MAX('Max rate concentrations'!$F$3:$F$368)</f>
        <v>405</v>
      </c>
      <c r="J715" s="68">
        <f>MAX('Max rate concentrations'!Y:Y)</f>
        <v>135</v>
      </c>
      <c r="K715" s="70">
        <f t="shared" si="57"/>
        <v>100.22149935472659</v>
      </c>
      <c r="L715" s="70">
        <f t="shared" si="58"/>
        <v>33.407166451575527</v>
      </c>
      <c r="M715" s="70">
        <f>IF((((0.326*F715^0.818)-(0.398*F715^0.85)/(1-H715)*H715)*(MAX('Max rate concentrations'!$P$3:$P$368)))/F715&gt;0, (((0.326*F715^0.818)-(0.398*F715^0.85)/(1-H715)*H715)*(MAX('Max rate concentrations'!$P$3:$P$368)))/F715, 0)</f>
        <v>0</v>
      </c>
      <c r="N715" s="70">
        <f>IF((((0.326*F715^0.818)-(0.398*F715^0.85)/(1-H715)*H715)*(MAX('Max rate concentrations'!$Q$3:$Q$368)))/F715&gt; 0, (((0.326*F715^0.818)-(0.398*F715^0.85)/(1-H715)*H715)*(MAX('Max rate concentrations'!$Q$3:$Q$368)))/F715, 0)</f>
        <v>0</v>
      </c>
      <c r="O715" s="70">
        <f>((MAX('Max rate concentrations'!$F$3:$F$368))*0.62*6.01*8*(12.3*F715^0.65)*0.079*0.1/F715)*inputs!$E$73/inputs!$E$74</f>
        <v>28.207090111672134</v>
      </c>
      <c r="P715" s="70">
        <f>((MAX('Max rate concentrations'!Y:Y))*0.62*6.01*8*(12.3*F715^0.65)*0.079*0.1/F715)*inputs!$E$73/inputs!$E$74</f>
        <v>9.4023633705573779</v>
      </c>
      <c r="Q715" s="70">
        <f>(inputs!$C$18*11.2*(12.3*F715^0.65)*0.5/F715)*inputs!$E$73/inputs!$E$74</f>
        <v>4.9685458822279269</v>
      </c>
      <c r="R715" s="60">
        <f>(60*379*((F715/1000)^0.8)*3*24*(MAX('Max rate concentrations'!$R$3:$R$368))/F715)*(inputs!$E$73/inputs!$E$75)</f>
        <v>1.2069595446201564E-2</v>
      </c>
      <c r="S715" s="60">
        <f>(IF(inputs!$C$17="aerial",((0.025*0.112*inputs!$C$18/3.3)*(3*60*379*((F715/1000)^0.8))*MAX(inputs!$I$14:$I$16))/F715,((0.0083*0.112*inputs!$C$18/1)*(3*60*379*((F715/1000)^0.8))*MAX(inputs!$I$14:$I$16))/F715))*(inputs!E$75/inputs!$E$73)</f>
        <v>6.656456042133882E-2</v>
      </c>
      <c r="T715" s="63">
        <f>IF((((inputs!$P$13/(V715/MAX(K715:S715)))^(1/inputs!$O$13))-1)/inputs!$N$13&lt;0, 0, IF((((inputs!$P$13/(V715/MAX(K715:S715)))^(1/inputs!$O$13))-1)/inputs!$N$13&lt;inputs!$I$17, (((inputs!$P$13/(V715/MAX(K715:S715)))^(1/inputs!$O$13))-1)/inputs!$N$13, inputs!$I$17))</f>
        <v>50.549198641846608</v>
      </c>
      <c r="U715" s="63">
        <f>IF((((inputs!$P$13/(X715/MAX(K715:S715)))^(1/inputs!$O$13))-1)/inputs!$N$13&lt;0, 0, IF((((inputs!$P$13/(X715/MAX(K715:S715)))^(1/inputs!$O$13))-1)/inputs!$N$13&lt;inputs!$I$17, (((inputs!$P$13/(X715/MAX(K715:S715)))^(1/inputs!$O$13))-1)/inputs!$N$13, inputs!$I$17))</f>
        <v>5.3673183368616852</v>
      </c>
      <c r="V715" s="54">
        <f>inputs!$E$70*(F715/inputs!$F$70)^(0.25)</f>
        <v>5.6606258674129517</v>
      </c>
      <c r="W715" s="54">
        <f>inputs!$E$76*(F715/inputs!$F$76)^(0.25)</f>
        <v>0.40700151587775352</v>
      </c>
      <c r="X715" s="54">
        <f>inputs!$E$72*(inputs!$F$72/F715)^(0.25)</f>
        <v>44.147061800820012</v>
      </c>
      <c r="Y715" s="54" t="s">
        <v>13</v>
      </c>
      <c r="Z715" s="106">
        <f t="shared" si="59"/>
        <v>17.705020911500434</v>
      </c>
      <c r="AA715" s="106">
        <f t="shared" si="60"/>
        <v>246.24355302113665</v>
      </c>
    </row>
    <row r="716" spans="1:27" ht="13.2" x14ac:dyDescent="0.25">
      <c r="A716" s="55" t="s">
        <v>470</v>
      </c>
      <c r="B716" s="49" t="s">
        <v>471</v>
      </c>
      <c r="C716" s="21" t="s">
        <v>61</v>
      </c>
      <c r="D716" s="20" t="s">
        <v>443</v>
      </c>
      <c r="E716" s="20">
        <v>20</v>
      </c>
      <c r="F716" s="21">
        <v>640</v>
      </c>
      <c r="G716" s="21" t="s">
        <v>154</v>
      </c>
      <c r="H716" s="21">
        <v>9.2999999999999999E-2</v>
      </c>
      <c r="I716" s="68">
        <f>MAX('Max rate concentrations'!$G$3:$G$368)</f>
        <v>45</v>
      </c>
      <c r="J716" s="68">
        <f>MAX('Max rate concentrations'!Z:Z)</f>
        <v>21</v>
      </c>
      <c r="K716" s="70">
        <f t="shared" si="57"/>
        <v>1.8416299036149688</v>
      </c>
      <c r="L716" s="70">
        <f t="shared" si="58"/>
        <v>0.85942728835365201</v>
      </c>
      <c r="M716" s="70">
        <f>IF((((0.326*F716^0.818)-(0.398*F716^0.85)/(1-H716)*H716)*(MAX('Max rate concentrations'!$P$3:$P$368)))/F716&gt;0, (((0.326*F716^0.818)-(0.398*F716^0.85)/(1-H716)*H716)*(MAX('Max rate concentrations'!$P$3:$P$368)))/F716, 0)</f>
        <v>7.4106908691220524E-2</v>
      </c>
      <c r="N716" s="70">
        <f>IF((((0.326*F716^0.818)-(0.398*F716^0.85)/(1-H716)*H716)*(MAX('Max rate concentrations'!$Q$3:$Q$368)))/F716&gt; 0, (((0.326*F716^0.818)-(0.398*F716^0.85)/(1-H716)*H716)*(MAX('Max rate concentrations'!$Q$3:$Q$368)))/F716, 0)</f>
        <v>0.2822030901852513</v>
      </c>
      <c r="O716" s="70">
        <f>((MAX('Max rate concentrations'!$F$3:$F$368))*0.62*6.01*8*(12.3*F716^0.65)*0.079*0.1/F716)*inputs!$E$73/inputs!$E$74</f>
        <v>28.207090111672134</v>
      </c>
      <c r="P716" s="70">
        <f>((MAX('Max rate concentrations'!Y:Y))*0.62*6.01*8*(12.3*F716^0.65)*0.079*0.1/F716)*inputs!$E$73/inputs!$E$74</f>
        <v>9.4023633705573779</v>
      </c>
      <c r="Q716" s="70">
        <f>(inputs!$C$18*11.2*(12.3*F716^0.65)*0.5/F716)*inputs!$E$73/inputs!$E$74</f>
        <v>4.9685458822279269</v>
      </c>
      <c r="R716" s="60">
        <f>(60*379*((F716/1000)^0.8)*3*24*(MAX('Max rate concentrations'!$R$3:$R$368))/F716)*(inputs!$E$73/inputs!$E$75)</f>
        <v>1.2069595446201564E-2</v>
      </c>
      <c r="S716" s="60">
        <f>(IF(inputs!$C$17="aerial",((0.025*0.112*inputs!$C$18/3.3)*(3*60*379*((F716/1000)^0.8))*MAX(inputs!$I$14:$I$16))/F716,((0.0083*0.112*inputs!$C$18/1)*(3*60*379*((F716/1000)^0.8))*MAX(inputs!$I$14:$I$16))/F716))*(inputs!E$75/inputs!$E$73)</f>
        <v>6.656456042133882E-2</v>
      </c>
      <c r="T716" s="63">
        <f>IF((((inputs!$P$13/(V716/MAX(K716:S716)))^(1/inputs!$O$13))-1)/inputs!$N$13&lt;0, 0, IF((((inputs!$P$13/(V716/MAX(K716:S716)))^(1/inputs!$O$13))-1)/inputs!$N$13&lt;inputs!$I$17, (((inputs!$P$13/(V716/MAX(K716:S716)))^(1/inputs!$O$13))-1)/inputs!$N$13, inputs!$I$17))</f>
        <v>14.780288662980835</v>
      </c>
      <c r="U716" s="63">
        <f>IF((((inputs!$P$13/(X716/MAX(K716:S716)))^(1/inputs!$O$13))-1)/inputs!$N$13&lt;0, 0, IF((((inputs!$P$13/(X716/MAX(K716:S716)))^(1/inputs!$O$13))-1)/inputs!$N$13&lt;inputs!$I$17, (((inputs!$P$13/(X716/MAX(K716:S716)))^(1/inputs!$O$13))-1)/inputs!$N$13, inputs!$I$17))</f>
        <v>0</v>
      </c>
      <c r="V716" s="54">
        <f>inputs!$E$70*(F716/inputs!$F$70)^(0.25)</f>
        <v>5.6606258674129517</v>
      </c>
      <c r="W716" s="54">
        <f>inputs!$E$76*(F716/inputs!$F$76)^(0.25)</f>
        <v>0.40700151587775352</v>
      </c>
      <c r="X716" s="54">
        <f>inputs!$E$72*(inputs!$F$72/F716)^(0.25)</f>
        <v>44.147061800820012</v>
      </c>
      <c r="Y716" s="54" t="s">
        <v>13</v>
      </c>
      <c r="Z716" s="106">
        <f t="shared" si="59"/>
        <v>4.9830338150511757</v>
      </c>
      <c r="AA716" s="106">
        <f t="shared" si="60"/>
        <v>69.304631583102946</v>
      </c>
    </row>
    <row r="717" spans="1:27" ht="13.2" x14ac:dyDescent="0.25">
      <c r="A717" s="55" t="s">
        <v>592</v>
      </c>
      <c r="B717" s="49" t="s">
        <v>593</v>
      </c>
      <c r="C717" s="21" t="s">
        <v>61</v>
      </c>
      <c r="D717" s="20" t="s">
        <v>443</v>
      </c>
      <c r="E717" s="20">
        <v>2389</v>
      </c>
      <c r="F717" s="21">
        <v>120</v>
      </c>
      <c r="G717" s="21" t="s">
        <v>142</v>
      </c>
      <c r="H717" s="21">
        <v>0.69</v>
      </c>
      <c r="I717" s="68">
        <f>MAX('Max rate concentrations'!$H$3:$H$368)</f>
        <v>282</v>
      </c>
      <c r="J717" s="68">
        <f>MAX('Max rate concentrations'!AA:AA)</f>
        <v>195</v>
      </c>
      <c r="K717" s="70">
        <f t="shared" si="57"/>
        <v>70.057718727314167</v>
      </c>
      <c r="L717" s="70">
        <f t="shared" si="58"/>
        <v>48.444167205057667</v>
      </c>
      <c r="M717" s="70">
        <f>IF((((0.326*F717^0.818)-(0.398*F717^0.85)/(1-H717)*H717)*(MAX('Max rate concentrations'!$P$3:$P$368)))/F717&gt;0, (((0.326*F717^0.818)-(0.398*F717^0.85)/(1-H717)*H717)*(MAX('Max rate concentrations'!$P$3:$P$368)))/F717, 0)</f>
        <v>0</v>
      </c>
      <c r="N717" s="70">
        <f>IF((((0.326*F717^0.818)-(0.398*F717^0.85)/(1-H717)*H717)*(MAX('Max rate concentrations'!$Q$3:$Q$368)))/F717&gt; 0, (((0.326*F717^0.818)-(0.398*F717^0.85)/(1-H717)*H717)*(MAX('Max rate concentrations'!$Q$3:$Q$368)))/F717, 0)</f>
        <v>0</v>
      </c>
      <c r="O717" s="70">
        <f>((MAX('Max rate concentrations'!$F$3:$F$368))*0.62*6.01*8*(12.3*F717^0.65)*0.079*0.1/F717)*inputs!$E$73/inputs!$E$74</f>
        <v>50.67664332337386</v>
      </c>
      <c r="P717" s="70">
        <f>((MAX('Max rate concentrations'!Y:Y))*0.62*6.01*8*(12.3*F717^0.65)*0.079*0.1/F717)*inputs!$E$73/inputs!$E$74</f>
        <v>16.892214441124622</v>
      </c>
      <c r="Q717" s="70">
        <f>(inputs!$C$18*11.2*(12.3*F717^0.65)*0.5/F717)*inputs!$E$73/inputs!$E$74</f>
        <v>8.9264517010668847</v>
      </c>
      <c r="R717" s="60">
        <f>(60*379*((F717/1000)^0.8)*3*24*(MAX('Max rate concentrations'!$R$3:$R$368))/F717)*(inputs!$E$73/inputs!$E$75)</f>
        <v>1.6869121220815221E-2</v>
      </c>
      <c r="S717" s="60">
        <f>(IF(inputs!$C$17="aerial",((0.025*0.112*inputs!$C$18/3.3)*(3*60*379*((F717/1000)^0.8))*MAX(inputs!$I$14:$I$16))/F717,((0.0083*0.112*inputs!$C$18/1)*(3*60*379*((F717/1000)^0.8))*MAX(inputs!$I$14:$I$16))/F717))*(inputs!E$75/inputs!$E$73)</f>
        <v>9.3034239943081826E-2</v>
      </c>
      <c r="T717" s="63">
        <f>IF((((inputs!$P$13/(V717/MAX(K717:S717)))^(1/inputs!$O$13))-1)/inputs!$N$13&lt;0, 0, IF((((inputs!$P$13/(V717/MAX(K717:S717)))^(1/inputs!$O$13))-1)/inputs!$N$13&lt;inputs!$I$17, (((inputs!$P$13/(V717/MAX(K717:S717)))^(1/inputs!$O$13))-1)/inputs!$N$13, inputs!$I$17))</f>
        <v>53.342618316631153</v>
      </c>
      <c r="U717" s="63">
        <f>IF((((inputs!$P$13/(X717/MAX(K717:S717)))^(1/inputs!$O$13))-1)/inputs!$N$13&lt;0, 0, IF((((inputs!$P$13/(X717/MAX(K717:S717)))^(1/inputs!$O$13))-1)/inputs!$N$13&lt;inputs!$I$17, (((inputs!$P$13/(X717/MAX(K717:S717)))^(1/inputs!$O$13))-1)/inputs!$N$13, inputs!$I$17))</f>
        <v>0.42668603958627827</v>
      </c>
      <c r="V717" s="54">
        <f>inputs!$E$70*(F717/inputs!$F$70)^(0.25)</f>
        <v>3.7249013005744236</v>
      </c>
      <c r="W717" s="54">
        <f>inputs!$E$76*(F717/inputs!$F$76)^(0.25)</f>
        <v>0.26782205913949131</v>
      </c>
      <c r="X717" s="54">
        <f>inputs!$E$72*(inputs!$F$72/F717)^(0.25)</f>
        <v>67.089025945858609</v>
      </c>
      <c r="Y717" s="54" t="s">
        <v>13</v>
      </c>
      <c r="Z717" s="106">
        <f t="shared" si="59"/>
        <v>18.807939613463166</v>
      </c>
      <c r="AA717" s="106">
        <f t="shared" si="60"/>
        <v>261.58307852761897</v>
      </c>
    </row>
    <row r="718" spans="1:27" ht="13.2" x14ac:dyDescent="0.25">
      <c r="A718" s="55" t="s">
        <v>592</v>
      </c>
      <c r="B718" s="49" t="s">
        <v>593</v>
      </c>
      <c r="C718" s="21" t="s">
        <v>61</v>
      </c>
      <c r="D718" s="20" t="s">
        <v>443</v>
      </c>
      <c r="E718" s="20">
        <v>2389</v>
      </c>
      <c r="F718" s="21">
        <v>120</v>
      </c>
      <c r="G718" s="21" t="s">
        <v>177</v>
      </c>
      <c r="H718" s="21">
        <v>0.85</v>
      </c>
      <c r="I718" s="68">
        <f>MAX('Max rate concentrations'!$F$3:$F$368)</f>
        <v>405</v>
      </c>
      <c r="J718" s="68">
        <f>MAX('Max rate concentrations'!Y:Y)</f>
        <v>135</v>
      </c>
      <c r="K718" s="70">
        <f t="shared" si="57"/>
        <v>207.93727154170909</v>
      </c>
      <c r="L718" s="70">
        <f t="shared" si="58"/>
        <v>69.312423847236374</v>
      </c>
      <c r="M718" s="70">
        <f>IF((((0.326*F718^0.818)-(0.398*F718^0.85)/(1-H718)*H718)*(MAX('Max rate concentrations'!$P$3:$P$368)))/F718&gt;0, (((0.326*F718^0.818)-(0.398*F718^0.85)/(1-H718)*H718)*(MAX('Max rate concentrations'!$P$3:$P$368)))/F718, 0)</f>
        <v>0</v>
      </c>
      <c r="N718" s="70">
        <f>IF((((0.326*F718^0.818)-(0.398*F718^0.85)/(1-H718)*H718)*(MAX('Max rate concentrations'!$Q$3:$Q$368)))/F718&gt; 0, (((0.326*F718^0.818)-(0.398*F718^0.85)/(1-H718)*H718)*(MAX('Max rate concentrations'!$Q$3:$Q$368)))/F718, 0)</f>
        <v>0</v>
      </c>
      <c r="O718" s="70">
        <f>((MAX('Max rate concentrations'!$F$3:$F$368))*0.62*6.01*8*(12.3*F718^0.65)*0.079*0.1/F718)*inputs!$E$73/inputs!$E$74</f>
        <v>50.67664332337386</v>
      </c>
      <c r="P718" s="70">
        <f>((MAX('Max rate concentrations'!Y:Y))*0.62*6.01*8*(12.3*F718^0.65)*0.079*0.1/F718)*inputs!$E$73/inputs!$E$74</f>
        <v>16.892214441124622</v>
      </c>
      <c r="Q718" s="70">
        <f>(inputs!$C$18*11.2*(12.3*F718^0.65)*0.5/F718)*inputs!$E$73/inputs!$E$74</f>
        <v>8.9264517010668847</v>
      </c>
      <c r="R718" s="60">
        <f>(60*379*((F718/1000)^0.8)*3*24*(MAX('Max rate concentrations'!$R$3:$R$368))/F718)*(inputs!$E$73/inputs!$E$75)</f>
        <v>1.6869121220815221E-2</v>
      </c>
      <c r="S718" s="60">
        <f>(IF(inputs!$C$17="aerial",((0.025*0.112*inputs!$C$18/3.3)*(3*60*379*((F718/1000)^0.8))*MAX(inputs!$I$14:$I$16))/F718,((0.0083*0.112*inputs!$C$18/1)*(3*60*379*((F718/1000)^0.8))*MAX(inputs!$I$14:$I$16))/F718))*(inputs!E$75/inputs!$E$73)</f>
        <v>9.3034239943081826E-2</v>
      </c>
      <c r="T718" s="63">
        <f>IF((((inputs!$P$13/(V718/MAX(K718:S718)))^(1/inputs!$O$13))-1)/inputs!$N$13&lt;0, 0, IF((((inputs!$P$13/(V718/MAX(K718:S718)))^(1/inputs!$O$13))-1)/inputs!$N$13&lt;inputs!$I$17, (((inputs!$P$13/(V718/MAX(K718:S718)))^(1/inputs!$O$13))-1)/inputs!$N$13, inputs!$I$17))</f>
        <v>135.94580280453988</v>
      </c>
      <c r="U718" s="63">
        <f>IF((((inputs!$P$13/(X718/MAX(K718:S718)))^(1/inputs!$O$13))-1)/inputs!$N$13&lt;0, 0, IF((((inputs!$P$13/(X718/MAX(K718:S718)))^(1/inputs!$O$13))-1)/inputs!$N$13&lt;inputs!$I$17, (((inputs!$P$13/(X718/MAX(K718:S718)))^(1/inputs!$O$13))-1)/inputs!$N$13, inputs!$I$17))</f>
        <v>8.400815016750375</v>
      </c>
      <c r="V718" s="54">
        <f>inputs!$E$70*(F718/inputs!$F$70)^(0.25)</f>
        <v>3.7249013005744236</v>
      </c>
      <c r="W718" s="54">
        <f>inputs!$E$76*(F718/inputs!$F$76)^(0.25)</f>
        <v>0.26782205913949131</v>
      </c>
      <c r="X718" s="54">
        <f>inputs!$E$72*(inputs!$F$72/F718)^(0.25)</f>
        <v>67.089025945858609</v>
      </c>
      <c r="Y718" s="54" t="s">
        <v>13</v>
      </c>
      <c r="Z718" s="106">
        <f t="shared" si="59"/>
        <v>55.823565448470468</v>
      </c>
      <c r="AA718" s="106">
        <f t="shared" si="60"/>
        <v>776.40083945963511</v>
      </c>
    </row>
    <row r="719" spans="1:27" ht="13.2" x14ac:dyDescent="0.25">
      <c r="A719" s="55" t="s">
        <v>592</v>
      </c>
      <c r="B719" s="49" t="s">
        <v>593</v>
      </c>
      <c r="C719" s="21" t="s">
        <v>61</v>
      </c>
      <c r="D719" s="20" t="s">
        <v>443</v>
      </c>
      <c r="E719" s="20">
        <v>2389</v>
      </c>
      <c r="F719" s="21">
        <v>120</v>
      </c>
      <c r="G719" s="21" t="s">
        <v>154</v>
      </c>
      <c r="H719" s="21">
        <v>9.2999999999999999E-2</v>
      </c>
      <c r="I719" s="68">
        <f>MAX('Max rate concentrations'!$G$3:$G$368)</f>
        <v>45</v>
      </c>
      <c r="J719" s="68">
        <f>MAX('Max rate concentrations'!Z:Z)</f>
        <v>21</v>
      </c>
      <c r="K719" s="70">
        <f t="shared" si="57"/>
        <v>3.8209715461541554</v>
      </c>
      <c r="L719" s="70">
        <f t="shared" si="58"/>
        <v>1.7831200548719393</v>
      </c>
      <c r="M719" s="70">
        <f>IF((((0.326*F719^0.818)-(0.398*F719^0.85)/(1-H719)*H719)*(MAX('Max rate concentrations'!$P$3:$P$368)))/F719&gt;0, (((0.326*F719^0.818)-(0.398*F719^0.85)/(1-H719)*H719)*(MAX('Max rate concentrations'!$P$3:$P$368)))/F719, 0)</f>
        <v>0.10145521577371337</v>
      </c>
      <c r="N719" s="70">
        <f>IF((((0.326*F719^0.818)-(0.398*F719^0.85)/(1-H719)*H719)*(MAX('Max rate concentrations'!$Q$3:$Q$368)))/F719&gt; 0, (((0.326*F719^0.818)-(0.398*F719^0.85)/(1-H719)*H719)*(MAX('Max rate concentrations'!$Q$3:$Q$368)))/F719, 0)</f>
        <v>0.38634691302600904</v>
      </c>
      <c r="O719" s="70">
        <f>((MAX('Max rate concentrations'!$F$3:$F$368))*0.62*6.01*8*(12.3*F719^0.65)*0.079*0.1/F719)*inputs!$E$73/inputs!$E$74</f>
        <v>50.67664332337386</v>
      </c>
      <c r="P719" s="70">
        <f>((MAX('Max rate concentrations'!Y:Y))*0.62*6.01*8*(12.3*F719^0.65)*0.079*0.1/F719)*inputs!$E$73/inputs!$E$74</f>
        <v>16.892214441124622</v>
      </c>
      <c r="Q719" s="70">
        <f>(inputs!$C$18*11.2*(12.3*F719^0.65)*0.5/F719)*inputs!$E$73/inputs!$E$74</f>
        <v>8.9264517010668847</v>
      </c>
      <c r="R719" s="60">
        <f>(60*379*((F719/1000)^0.8)*3*24*(MAX('Max rate concentrations'!$R$3:$R$368))/F719)*(inputs!$E$73/inputs!$E$75)</f>
        <v>1.6869121220815221E-2</v>
      </c>
      <c r="S719" s="60">
        <f>(IF(inputs!$C$17="aerial",((0.025*0.112*inputs!$C$18/3.3)*(3*60*379*((F719/1000)^0.8))*MAX(inputs!$I$14:$I$16))/F719,((0.0083*0.112*inputs!$C$18/1)*(3*60*379*((F719/1000)^0.8))*MAX(inputs!$I$14:$I$16))/F719))*(inputs!E$75/inputs!$E$73)</f>
        <v>9.3034239943081826E-2</v>
      </c>
      <c r="T719" s="63">
        <f>IF((((inputs!$P$13/(V719/MAX(K719:S719)))^(1/inputs!$O$13))-1)/inputs!$N$13&lt;0, 0, IF((((inputs!$P$13/(V719/MAX(K719:S719)))^(1/inputs!$O$13))-1)/inputs!$N$13&lt;inputs!$I$17, (((inputs!$P$13/(V719/MAX(K719:S719)))^(1/inputs!$O$13))-1)/inputs!$N$13, inputs!$I$17))</f>
        <v>39.847792386236293</v>
      </c>
      <c r="U719" s="63">
        <f>IF((((inputs!$P$13/(X719/MAX(K719:S719)))^(1/inputs!$O$13))-1)/inputs!$N$13&lt;0, 0, IF((((inputs!$P$13/(X719/MAX(K719:S719)))^(1/inputs!$O$13))-1)/inputs!$N$13&lt;inputs!$I$17, (((inputs!$P$13/(X719/MAX(K719:S719)))^(1/inputs!$O$13))-1)/inputs!$N$13, inputs!$I$17))</f>
        <v>0</v>
      </c>
      <c r="V719" s="54">
        <f>inputs!$E$70*(F719/inputs!$F$70)^(0.25)</f>
        <v>3.7249013005744236</v>
      </c>
      <c r="W719" s="54">
        <f>inputs!$E$76*(F719/inputs!$F$76)^(0.25)</f>
        <v>0.26782205913949131</v>
      </c>
      <c r="X719" s="54">
        <f>inputs!$E$72*(inputs!$F$72/F719)^(0.25)</f>
        <v>67.089025945858609</v>
      </c>
      <c r="Y719" s="54" t="s">
        <v>13</v>
      </c>
      <c r="Z719" s="106">
        <f t="shared" si="59"/>
        <v>13.604828486477997</v>
      </c>
      <c r="AA719" s="106">
        <f t="shared" si="60"/>
        <v>189.21758531092337</v>
      </c>
    </row>
    <row r="720" spans="1:27" ht="13.2" x14ac:dyDescent="0.25">
      <c r="A720" s="55" t="s">
        <v>588</v>
      </c>
      <c r="B720" s="49" t="s">
        <v>589</v>
      </c>
      <c r="C720" s="21" t="s">
        <v>61</v>
      </c>
      <c r="D720" s="20" t="s">
        <v>443</v>
      </c>
      <c r="E720" s="20">
        <v>8685</v>
      </c>
      <c r="F720" s="21">
        <v>75</v>
      </c>
      <c r="G720" s="21" t="s">
        <v>177</v>
      </c>
      <c r="H720" s="21">
        <v>0.85</v>
      </c>
      <c r="I720" s="68">
        <f>MAX('Max rate concentrations'!$F$3:$F$368)</f>
        <v>405</v>
      </c>
      <c r="J720" s="68">
        <f>MAX('Max rate concentrations'!Y:Y)</f>
        <v>135</v>
      </c>
      <c r="K720" s="70">
        <f t="shared" si="57"/>
        <v>255.22819757756429</v>
      </c>
      <c r="L720" s="70">
        <f t="shared" si="58"/>
        <v>85.076065859188091</v>
      </c>
      <c r="M720" s="70">
        <f>IF((((0.326*F720^0.818)-(0.398*F720^0.85)/(1-H720)*H720)*(MAX('Max rate concentrations'!$P$3:$P$368)))/F720&gt;0, (((0.326*F720^0.818)-(0.398*F720^0.85)/(1-H720)*H720)*(MAX('Max rate concentrations'!$P$3:$P$368)))/F720, 0)</f>
        <v>0</v>
      </c>
      <c r="N720" s="70">
        <f>IF((((0.326*F720^0.818)-(0.398*F720^0.85)/(1-H720)*H720)*(MAX('Max rate concentrations'!$Q$3:$Q$368)))/F720&gt; 0, (((0.326*F720^0.818)-(0.398*F720^0.85)/(1-H720)*H720)*(MAX('Max rate concentrations'!$Q$3:$Q$368)))/F720, 0)</f>
        <v>0</v>
      </c>
      <c r="O720" s="70">
        <f>((MAX('Max rate concentrations'!$F$3:$F$368))*0.62*6.01*8*(12.3*F720^0.65)*0.079*0.1/F720)*inputs!$E$73/inputs!$E$74</f>
        <v>59.737883923649726</v>
      </c>
      <c r="P720" s="70">
        <f>((MAX('Max rate concentrations'!Y:Y))*0.62*6.01*8*(12.3*F720^0.65)*0.079*0.1/F720)*inputs!$E$73/inputs!$E$74</f>
        <v>19.91262797454991</v>
      </c>
      <c r="Q720" s="70">
        <f>(inputs!$C$18*11.2*(12.3*F720^0.65)*0.5/F720)*inputs!$E$73/inputs!$E$74</f>
        <v>10.522546494756618</v>
      </c>
      <c r="R720" s="60">
        <f>(60*379*((F720/1000)^0.8)*3*24*(MAX('Max rate concentrations'!$R$3:$R$368))/F720)*(inputs!$E$73/inputs!$E$75)</f>
        <v>1.8531750973435526E-2</v>
      </c>
      <c r="S720" s="60">
        <f>(IF(inputs!$C$17="aerial",((0.025*0.112*inputs!$C$18/3.3)*(3*60*379*((F720/1000)^0.8))*MAX(inputs!$I$14:$I$16))/F720,((0.0083*0.112*inputs!$C$18/1)*(3*60*379*((F720/1000)^0.8))*MAX(inputs!$I$14:$I$16))/F720))*(inputs!E$75/inputs!$E$73)</f>
        <v>0.10220374517794364</v>
      </c>
      <c r="T720" s="63">
        <f>IF((((inputs!$P$13/(V720/MAX(K720:S720)))^(1/inputs!$O$13))-1)/inputs!$N$13&lt;0, 0, IF((((inputs!$P$13/(V720/MAX(K720:S720)))^(1/inputs!$O$13))-1)/inputs!$N$13&lt;inputs!$I$17, (((inputs!$P$13/(V720/MAX(K720:S720)))^(1/inputs!$O$13))-1)/inputs!$N$13, inputs!$I$17))</f>
        <v>177.99863626080457</v>
      </c>
      <c r="U720" s="63">
        <f>IF((((inputs!$P$13/(X720/MAX(K720:S720)))^(1/inputs!$O$13))-1)/inputs!$N$13&lt;0, 0, IF((((inputs!$P$13/(X720/MAX(K720:S720)))^(1/inputs!$O$13))-1)/inputs!$N$13&lt;inputs!$I$17, (((inputs!$P$13/(X720/MAX(K720:S720)))^(1/inputs!$O$13))-1)/inputs!$N$13, inputs!$I$17))</f>
        <v>9.3991243780044389</v>
      </c>
      <c r="V720" s="54">
        <f>inputs!$E$70*(F720/inputs!$F$70)^(0.25)</f>
        <v>3.3119576436193516</v>
      </c>
      <c r="W720" s="54">
        <f>inputs!$E$76*(F720/inputs!$F$76)^(0.25)</f>
        <v>0.23813122666099204</v>
      </c>
      <c r="X720" s="54">
        <f>inputs!$E$72*(inputs!$F$72/F720)^(0.25)</f>
        <v>75.453863512247679</v>
      </c>
      <c r="Y720" s="54" t="s">
        <v>13</v>
      </c>
      <c r="Z720" s="106">
        <f t="shared" si="59"/>
        <v>77.062639393735566</v>
      </c>
      <c r="AA720" s="106">
        <f t="shared" si="60"/>
        <v>1071.7964256779806</v>
      </c>
    </row>
    <row r="721" spans="1:27" ht="13.2" x14ac:dyDescent="0.25">
      <c r="A721" s="103" t="s">
        <v>384</v>
      </c>
      <c r="B721" s="20" t="s">
        <v>385</v>
      </c>
      <c r="C721" s="21" t="s">
        <v>79</v>
      </c>
      <c r="D721" s="105" t="s">
        <v>386</v>
      </c>
      <c r="E721" s="15">
        <v>176</v>
      </c>
      <c r="F721" s="15">
        <v>45000</v>
      </c>
      <c r="G721" s="21" t="s">
        <v>164</v>
      </c>
      <c r="H721" s="20">
        <v>0.78</v>
      </c>
      <c r="I721" s="68">
        <f>inputs!$C$66*(inputs!$C$62/1000)</f>
        <v>8.2000000000000011</v>
      </c>
      <c r="J721" s="68">
        <f>inputs!$C$66*(inputs!$C$61/1000)</f>
        <v>2.5</v>
      </c>
      <c r="K721" s="69">
        <f t="shared" ref="K721:K784" si="61">(((0.013*F721^0.773)/(1-H721)))*I721/F721</f>
        <v>4.2565259286282811E-2</v>
      </c>
      <c r="L721" s="69">
        <f t="shared" ref="L721:L773" si="62">(((0.013*F721^0.773)/(1-H721)))*J721/F721</f>
        <v>1.297721319703744E-2</v>
      </c>
      <c r="M721" s="69">
        <f>IF((((0.065*F721^0.726)/3.7-(0.301*F721^0.751)/(1-H721)*H721)*(MAX('Max rate concentrations'!$P$3:$P$368)))/F721&gt;0, (((0.065*F721^0.726)/3.7-(0.301*F721^0.751)/(1-H721)*H721)*(MAX('Max rate concentrations'!$P$3:$P$368)))/F721, 0)</f>
        <v>0</v>
      </c>
      <c r="N721" s="69">
        <f>IF((((0.065*F721^0.726)/3.7-(0.301*F721^0.751)/(1-H721)*H721)*(MAX('Max rate concentrations'!$Q$3:$Q$368)))/F721&gt;0, (((0.065*F721^0.726)/3.7-(0.301*F721^0.751)/(1-H721)*H721)*(MAX('Max rate concentrations'!$Q$3:$Q$368)))/F721, 0)</f>
        <v>0</v>
      </c>
      <c r="O721" s="69" t="s">
        <v>13</v>
      </c>
      <c r="P721" s="69" t="s">
        <v>13</v>
      </c>
      <c r="Q721" s="69">
        <f>(inputs!$C$18*11.2)*(25.05*F721^0.63)*0.5*1/F721</f>
        <v>7.9878220608793908</v>
      </c>
      <c r="R721" s="59">
        <f>(60*76.9*((F721/1000)^0.76)*3*24*(MAX('Max rate concentrations'!$R$3:$R$368))/F721)</f>
        <v>1.026683971191411E-3</v>
      </c>
      <c r="S721" s="59">
        <f>(IF(inputs!$C$17="aerial",((0.025*0.112*inputs!$C$18/3.3)*(3*60*76.9*((F721/1000)^0.76))*MAX(inputs!$I$14:$I$16))/F721,((0.0083*0.112*inputs!$C$18/1)*(3*60*76.9*((F721/1000)^0.76))*MAX(inputs!$I$14:$I$16))/F721))</f>
        <v>4.3351411525554438E-3</v>
      </c>
      <c r="T721" s="63">
        <f>IF((((inputs!$P$13/(V721/MAX(K721:S721)))^(1/inputs!$O$13))-1)/inputs!$N$13&lt;0, 0, IF((((inputs!$P$13/(V721/MAX(K721:S721)))^(1/inputs!$O$13))-1)/inputs!$N$13&lt;inputs!$I$17, (((inputs!$P$13/(V721/MAX(K721:S721)))^(1/inputs!$O$13))-1)/inputs!$N$13, inputs!$I$17))</f>
        <v>0</v>
      </c>
      <c r="U721" s="63">
        <f>IF((((inputs!$P$13/(X721/MAX(K721:S721)))^(1/inputs!$O$13))-1)/inputs!$N$13&lt;0, 0, IF((((inputs!$P$13/(X721/MAX(K721:S721)))^(1/inputs!$O$13))-1)/inputs!$N$13&lt;inputs!$I$17, (((inputs!$P$13/(X721/MAX(K721:S721)))^(1/inputs!$O$13))-1)/inputs!$N$13, inputs!$I$17))</f>
        <v>0</v>
      </c>
      <c r="V721" s="21">
        <f>inputs!$E$87*(F721/inputs!$F$87)^(1)</f>
        <v>8.5499999999999989</v>
      </c>
      <c r="W721" s="21">
        <f>inputs!$E$90*(F721/inputs!$F$90)^(1)</f>
        <v>9</v>
      </c>
      <c r="X721" s="21">
        <f>inputs!$E$89*(F721/inputs!$F$89)^(1)</f>
        <v>33.607594936708857</v>
      </c>
      <c r="Y721" s="21" t="s">
        <v>13</v>
      </c>
      <c r="Z721" s="63">
        <f t="shared" si="59"/>
        <v>0.93424819425489958</v>
      </c>
      <c r="AA721" s="63">
        <f t="shared" si="60"/>
        <v>0.88753578454215454</v>
      </c>
    </row>
    <row r="722" spans="1:27" ht="13.2" x14ac:dyDescent="0.25">
      <c r="A722" s="103" t="s">
        <v>384</v>
      </c>
      <c r="B722" s="20" t="s">
        <v>385</v>
      </c>
      <c r="C722" s="21" t="s">
        <v>79</v>
      </c>
      <c r="D722" s="105" t="s">
        <v>386</v>
      </c>
      <c r="E722" s="15">
        <v>176</v>
      </c>
      <c r="F722" s="15">
        <v>45000</v>
      </c>
      <c r="G722" s="21" t="s">
        <v>138</v>
      </c>
      <c r="H722" s="20">
        <v>0.68</v>
      </c>
      <c r="I722" s="68">
        <f>MAX('Max rate concentrations'!$L$3:$L$368)</f>
        <v>350.52744091332482</v>
      </c>
      <c r="J722" s="68">
        <f>MAX('Max rate concentrations'!AD:AD)</f>
        <v>242.38599637623525</v>
      </c>
      <c r="K722" s="69">
        <f t="shared" si="61"/>
        <v>1.2509390663396442</v>
      </c>
      <c r="L722" s="69">
        <f t="shared" si="62"/>
        <v>0.86501105651145616</v>
      </c>
      <c r="M722" s="69">
        <f>IF((((0.065*F722^0.726)/3.7-(0.301*F722^0.751)/(1-H722)*H722)*(MAX('Max rate concentrations'!$P$3:$P$368)))/F722&gt;0, (((0.065*F722^0.726)/3.7-(0.301*F722^0.751)/(1-H722)*H722)*(MAX('Max rate concentrations'!$P$3:$P$368)))/F722, 0)</f>
        <v>0</v>
      </c>
      <c r="N722" s="69">
        <f>IF((((0.065*F722^0.726)/3.7-(0.301*F722^0.751)/(1-H722)*H722)*(MAX('Max rate concentrations'!$Q$3:$Q$368)))/F722&gt;0, (((0.065*F722^0.726)/3.7-(0.301*F722^0.751)/(1-H722)*H722)*(MAX('Max rate concentrations'!$Q$3:$Q$368)))/F722, 0)</f>
        <v>0</v>
      </c>
      <c r="O722" s="69" t="s">
        <v>13</v>
      </c>
      <c r="P722" s="69" t="s">
        <v>13</v>
      </c>
      <c r="Q722" s="69">
        <f>(inputs!$C$18*11.2)*(25.05*F722^0.63)*0.5*1/F722</f>
        <v>7.9878220608793908</v>
      </c>
      <c r="R722" s="59">
        <f>(60*76.9*((F722/1000)^0.76)*3*24*(MAX('Max rate concentrations'!$R$3:$R$368))/F722)</f>
        <v>1.026683971191411E-3</v>
      </c>
      <c r="S722" s="59">
        <f>(IF(inputs!$C$17="aerial",((0.025*0.112*inputs!$C$18/3.3)*(3*60*76.9*((F722/1000)^0.76))*MAX(inputs!$I$14:$I$16))/F722,((0.0083*0.112*inputs!$C$18/1)*(3*60*76.9*((F722/1000)^0.76))*MAX(inputs!$I$14:$I$16))/F722))</f>
        <v>4.3351411525554438E-3</v>
      </c>
      <c r="T722" s="63">
        <f>IF((((inputs!$P$13/(V722/MAX(K722:S722)))^(1/inputs!$O$13))-1)/inputs!$N$13&lt;0, 0, IF((((inputs!$P$13/(V722/MAX(K722:S722)))^(1/inputs!$O$13))-1)/inputs!$N$13&lt;inputs!$I$17, (((inputs!$P$13/(V722/MAX(K722:S722)))^(1/inputs!$O$13))-1)/inputs!$N$13, inputs!$I$17))</f>
        <v>0</v>
      </c>
      <c r="U722" s="63">
        <f>IF((((inputs!$P$13/(X722/MAX(K722:S722)))^(1/inputs!$O$13))-1)/inputs!$N$13&lt;0, 0, IF((((inputs!$P$13/(X722/MAX(K722:S722)))^(1/inputs!$O$13))-1)/inputs!$N$13&lt;inputs!$I$17, (((inputs!$P$13/(X722/MAX(K722:S722)))^(1/inputs!$O$13))-1)/inputs!$N$13, inputs!$I$17))</f>
        <v>0</v>
      </c>
      <c r="V722" s="21">
        <f>inputs!$E$87*(F722/inputs!$F$87)^(1)</f>
        <v>8.5499999999999989</v>
      </c>
      <c r="W722" s="21">
        <f>inputs!$E$90*(F722/inputs!$F$90)^(1)</f>
        <v>9</v>
      </c>
      <c r="X722" s="21">
        <f>inputs!$E$89*(F722/inputs!$F$89)^(1)</f>
        <v>33.607594936708857</v>
      </c>
      <c r="Y722" s="21" t="s">
        <v>13</v>
      </c>
      <c r="Z722" s="63">
        <f t="shared" si="59"/>
        <v>0.93424819425489958</v>
      </c>
      <c r="AA722" s="63">
        <f t="shared" si="60"/>
        <v>0.88753578454215454</v>
      </c>
    </row>
    <row r="723" spans="1:27" ht="13.2" x14ac:dyDescent="0.25">
      <c r="A723" s="103" t="s">
        <v>384</v>
      </c>
      <c r="B723" s="20" t="s">
        <v>385</v>
      </c>
      <c r="C723" s="21" t="s">
        <v>79</v>
      </c>
      <c r="D723" s="105" t="s">
        <v>386</v>
      </c>
      <c r="E723" s="15">
        <v>176</v>
      </c>
      <c r="F723" s="15">
        <v>45000</v>
      </c>
      <c r="G723" s="21" t="s">
        <v>186</v>
      </c>
      <c r="H723" s="49">
        <v>0.75</v>
      </c>
      <c r="I723" s="68">
        <f>inputs!$C$66*inputs!$C$64/1000</f>
        <v>21.3</v>
      </c>
      <c r="J723" s="68">
        <f>inputs!$C$66*inputs!$C$63/1000</f>
        <v>8.8000000000000007</v>
      </c>
      <c r="K723" s="69">
        <f t="shared" si="61"/>
        <v>9.7297953666107911E-2</v>
      </c>
      <c r="L723" s="69">
        <f t="shared" si="62"/>
        <v>4.0198215599143175E-2</v>
      </c>
      <c r="M723" s="69">
        <f>IF((((0.065*F723^0.726)/3.7-(0.301*F723^0.751)/(1-H723)*H723)*(MAX('Max rate concentrations'!$P$3:$P$368)))/F723&gt;0, (((0.065*F723^0.726)/3.7-(0.301*F723^0.751)/(1-H723)*H723)*(MAX('Max rate concentrations'!$P$3:$P$368)))/F723, 0)</f>
        <v>0</v>
      </c>
      <c r="N723" s="69">
        <f>IF((((0.065*F723^0.726)/3.7-(0.301*F723^0.751)/(1-H723)*H723)*(MAX('Max rate concentrations'!$Q$3:$Q$368)))/F723&gt;0, (((0.065*F723^0.726)/3.7-(0.301*F723^0.751)/(1-H723)*H723)*(MAX('Max rate concentrations'!$Q$3:$Q$368)))/F723, 0)</f>
        <v>0</v>
      </c>
      <c r="O723" s="69" t="s">
        <v>13</v>
      </c>
      <c r="P723" s="69" t="s">
        <v>13</v>
      </c>
      <c r="Q723" s="69">
        <f>(inputs!$C$18*11.2)*(25.05*F723^0.63)*0.5*1/F723</f>
        <v>7.9878220608793908</v>
      </c>
      <c r="R723" s="59">
        <f>(60*76.9*((F723/1000)^0.76)*3*24*(MAX('Max rate concentrations'!$R$3:$R$368))/F723)</f>
        <v>1.026683971191411E-3</v>
      </c>
      <c r="S723" s="59">
        <f>(IF(inputs!$C$17="aerial",((0.025*0.112*inputs!$C$18/3.3)*(3*60*76.9*((F723/1000)^0.76))*MAX(inputs!$I$14:$I$16))/F723,((0.0083*0.112*inputs!$C$18/1)*(3*60*76.9*((F723/1000)^0.76))*MAX(inputs!$I$14:$I$16))/F723))</f>
        <v>4.3351411525554438E-3</v>
      </c>
      <c r="T723" s="63">
        <f>IF((((inputs!$P$13/(V723/MAX(K723:S723)))^(1/inputs!$O$13))-1)/inputs!$N$13&lt;0, 0, IF((((inputs!$P$13/(V723/MAX(K723:S723)))^(1/inputs!$O$13))-1)/inputs!$N$13&lt;inputs!$I$17, (((inputs!$P$13/(V723/MAX(K723:S723)))^(1/inputs!$O$13))-1)/inputs!$N$13, inputs!$I$17))</f>
        <v>0</v>
      </c>
      <c r="U723" s="63">
        <f>IF((((inputs!$P$13/(X723/MAX(K723:S723)))^(1/inputs!$O$13))-1)/inputs!$N$13&lt;0, 0, IF((((inputs!$P$13/(X723/MAX(K723:S723)))^(1/inputs!$O$13))-1)/inputs!$N$13&lt;inputs!$I$17, (((inputs!$P$13/(X723/MAX(K723:S723)))^(1/inputs!$O$13))-1)/inputs!$N$13, inputs!$I$17))</f>
        <v>0</v>
      </c>
      <c r="V723" s="21">
        <f>inputs!$E$87*(F723/inputs!$F$87)^(1)</f>
        <v>8.5499999999999989</v>
      </c>
      <c r="W723" s="21">
        <f>inputs!$E$90*(F723/inputs!$F$90)^(1)</f>
        <v>9</v>
      </c>
      <c r="X723" s="21">
        <f>inputs!$E$89*(F723/inputs!$F$89)^(1)</f>
        <v>33.607594936708857</v>
      </c>
      <c r="Y723" s="21" t="s">
        <v>13</v>
      </c>
      <c r="Z723" s="63">
        <f t="shared" si="59"/>
        <v>0.93424819425489958</v>
      </c>
      <c r="AA723" s="63">
        <f t="shared" si="60"/>
        <v>0.88753578454215454</v>
      </c>
    </row>
    <row r="724" spans="1:27" ht="13.2" x14ac:dyDescent="0.25">
      <c r="A724" s="103" t="s">
        <v>384</v>
      </c>
      <c r="B724" s="20" t="s">
        <v>385</v>
      </c>
      <c r="C724" s="21" t="s">
        <v>79</v>
      </c>
      <c r="D724" s="105" t="s">
        <v>386</v>
      </c>
      <c r="E724" s="15">
        <v>176</v>
      </c>
      <c r="F724" s="15">
        <v>45000</v>
      </c>
      <c r="G724" s="21" t="s">
        <v>456</v>
      </c>
      <c r="H724" s="20">
        <v>0.68</v>
      </c>
      <c r="I724" s="68">
        <f>MAX('Max rate concentrations'!$J$3:$J$368)</f>
        <v>686.46486205830786</v>
      </c>
      <c r="J724" s="68">
        <f>MAX('Max rate concentrations'!AB:AB)</f>
        <v>243.122971978984</v>
      </c>
      <c r="K724" s="69">
        <f t="shared" si="61"/>
        <v>2.4498102384815286</v>
      </c>
      <c r="L724" s="69">
        <f t="shared" si="62"/>
        <v>0.86764112612887467</v>
      </c>
      <c r="M724" s="69">
        <f>IF((((0.065*F724^0.726)/3.7-(0.301*F724^0.751)/(1-H724)*H724)*(MAX('Max rate concentrations'!$P$3:$P$368)))/F724&gt;0, (((0.065*F724^0.726)/3.7-(0.301*F724^0.751)/(1-H724)*H724)*(MAX('Max rate concentrations'!$P$3:$P$368)))/F724, 0)</f>
        <v>0</v>
      </c>
      <c r="N724" s="69">
        <f>IF((((0.065*F724^0.726)/3.7-(0.301*F724^0.751)/(1-H724)*H724)*(MAX('Max rate concentrations'!$Q$3:$Q$368)))/F724&gt;0, (((0.065*F724^0.726)/3.7-(0.301*F724^0.751)/(1-H724)*H724)*(MAX('Max rate concentrations'!$Q$3:$Q$368)))/F724, 0)</f>
        <v>0</v>
      </c>
      <c r="O724" s="69" t="s">
        <v>13</v>
      </c>
      <c r="P724" s="69" t="s">
        <v>13</v>
      </c>
      <c r="Q724" s="69">
        <f>(inputs!$C$18*11.2)*(25.05*F724^0.63)*0.5*1/F724</f>
        <v>7.9878220608793908</v>
      </c>
      <c r="R724" s="59">
        <f>(60*76.9*((F724/1000)^0.76)*3*24*(MAX('Max rate concentrations'!$R$3:$R$368))/F724)</f>
        <v>1.026683971191411E-3</v>
      </c>
      <c r="S724" s="59">
        <f>(IF(inputs!$C$17="aerial",((0.025*0.112*inputs!$C$18/3.3)*(3*60*76.9*((F724/1000)^0.76))*MAX(inputs!$I$14:$I$16))/F724,((0.0083*0.112*inputs!$C$18/1)*(3*60*76.9*((F724/1000)^0.76))*MAX(inputs!$I$14:$I$16))/F724))</f>
        <v>4.3351411525554438E-3</v>
      </c>
      <c r="T724" s="63">
        <f>IF((((inputs!$P$13/(V724/MAX(K724:S724)))^(1/inputs!$O$13))-1)/inputs!$N$13&lt;0, 0, IF((((inputs!$P$13/(V724/MAX(K724:S724)))^(1/inputs!$O$13))-1)/inputs!$N$13&lt;inputs!$I$17, (((inputs!$P$13/(V724/MAX(K724:S724)))^(1/inputs!$O$13))-1)/inputs!$N$13, inputs!$I$17))</f>
        <v>0</v>
      </c>
      <c r="U724" s="63">
        <f>IF((((inputs!$P$13/(X724/MAX(K724:S724)))^(1/inputs!$O$13))-1)/inputs!$N$13&lt;0, 0, IF((((inputs!$P$13/(X724/MAX(K724:S724)))^(1/inputs!$O$13))-1)/inputs!$N$13&lt;inputs!$I$17, (((inputs!$P$13/(X724/MAX(K724:S724)))^(1/inputs!$O$13))-1)/inputs!$N$13, inputs!$I$17))</f>
        <v>0</v>
      </c>
      <c r="V724" s="21">
        <f>inputs!$E$87*(F724/inputs!$F$87)^(1)</f>
        <v>8.5499999999999989</v>
      </c>
      <c r="W724" s="21">
        <f>inputs!$E$90*(F724/inputs!$F$90)^(1)</f>
        <v>9</v>
      </c>
      <c r="X724" s="21">
        <f>inputs!$E$89*(F724/inputs!$F$89)^(1)</f>
        <v>33.607594936708857</v>
      </c>
      <c r="Y724" s="21" t="s">
        <v>13</v>
      </c>
      <c r="Z724" s="63">
        <f t="shared" si="59"/>
        <v>0.93424819425489958</v>
      </c>
      <c r="AA724" s="63">
        <f t="shared" si="60"/>
        <v>0.88753578454215454</v>
      </c>
    </row>
    <row r="725" spans="1:27" ht="13.2" x14ac:dyDescent="0.25">
      <c r="A725" s="103" t="s">
        <v>384</v>
      </c>
      <c r="B725" s="20" t="s">
        <v>385</v>
      </c>
      <c r="C725" s="21" t="s">
        <v>79</v>
      </c>
      <c r="D725" s="105" t="s">
        <v>386</v>
      </c>
      <c r="E725" s="15">
        <v>176</v>
      </c>
      <c r="F725" s="15">
        <v>45000</v>
      </c>
      <c r="G725" s="21" t="s">
        <v>145</v>
      </c>
      <c r="H725" s="20">
        <v>0.66</v>
      </c>
      <c r="I725" s="68">
        <f>MAX('Max rate concentrations'!$M$3:$M$368)</f>
        <v>17.092910873809167</v>
      </c>
      <c r="J725" s="68">
        <f>MAX('Max rate concentrations'!AE:AE)</f>
        <v>11.81956602976166</v>
      </c>
      <c r="K725" s="69">
        <f t="shared" si="61"/>
        <v>5.7411807864498628E-2</v>
      </c>
      <c r="L725" s="69">
        <f t="shared" si="62"/>
        <v>3.9699654374387362E-2</v>
      </c>
      <c r="M725" s="69">
        <f>IF((((0.065*F725^0.726)/3.7-(0.301*F725^0.751)/(1-H725)*H725)*(MAX('Max rate concentrations'!$P$3:$P$368)))/F725&gt;0, (((0.065*F725^0.726)/3.7-(0.301*F725^0.751)/(1-H725)*H725)*(MAX('Max rate concentrations'!$P$3:$P$368)))/F725, 0)</f>
        <v>0</v>
      </c>
      <c r="N725" s="69">
        <f>IF((((0.065*F725^0.726)/3.7-(0.301*F725^0.751)/(1-H725)*H725)*(MAX('Max rate concentrations'!$Q$3:$Q$368)))/F725&gt;0, (((0.065*F725^0.726)/3.7-(0.301*F725^0.751)/(1-H725)*H725)*(MAX('Max rate concentrations'!$Q$3:$Q$368)))/F725, 0)</f>
        <v>0</v>
      </c>
      <c r="O725" s="69" t="s">
        <v>13</v>
      </c>
      <c r="P725" s="69" t="s">
        <v>13</v>
      </c>
      <c r="Q725" s="69">
        <f>(inputs!$C$18*11.2)*(25.05*F725^0.63)*0.5*1/F725</f>
        <v>7.9878220608793908</v>
      </c>
      <c r="R725" s="59">
        <f>(60*76.9*((F725/1000)^0.76)*3*24*(MAX('Max rate concentrations'!$R$3:$R$368))/F725)</f>
        <v>1.026683971191411E-3</v>
      </c>
      <c r="S725" s="59">
        <f>(IF(inputs!$C$17="aerial",((0.025*0.112*inputs!$C$18/3.3)*(3*60*76.9*((F725/1000)^0.76))*MAX(inputs!$I$14:$I$16))/F725,((0.0083*0.112*inputs!$C$18/1)*(3*60*76.9*((F725/1000)^0.76))*MAX(inputs!$I$14:$I$16))/F725))</f>
        <v>4.3351411525554438E-3</v>
      </c>
      <c r="T725" s="63">
        <f>IF((((inputs!$P$13/(V725/MAX(K725:S725)))^(1/inputs!$O$13))-1)/inputs!$N$13&lt;0, 0, IF((((inputs!$P$13/(V725/MAX(K725:S725)))^(1/inputs!$O$13))-1)/inputs!$N$13&lt;inputs!$I$17, (((inputs!$P$13/(V725/MAX(K725:S725)))^(1/inputs!$O$13))-1)/inputs!$N$13, inputs!$I$17))</f>
        <v>0</v>
      </c>
      <c r="U725" s="63">
        <f>IF((((inputs!$P$13/(X725/MAX(K725:S725)))^(1/inputs!$O$13))-1)/inputs!$N$13&lt;0, 0, IF((((inputs!$P$13/(X725/MAX(K725:S725)))^(1/inputs!$O$13))-1)/inputs!$N$13&lt;inputs!$I$17, (((inputs!$P$13/(X725/MAX(K725:S725)))^(1/inputs!$O$13))-1)/inputs!$N$13, inputs!$I$17))</f>
        <v>0</v>
      </c>
      <c r="V725" s="21">
        <f>inputs!$E$87*(F725/inputs!$F$87)^(1)</f>
        <v>8.5499999999999989</v>
      </c>
      <c r="W725" s="21">
        <f>inputs!$E$90*(F725/inputs!$F$90)^(1)</f>
        <v>9</v>
      </c>
      <c r="X725" s="21">
        <f>inputs!$E$89*(F725/inputs!$F$89)^(1)</f>
        <v>33.607594936708857</v>
      </c>
      <c r="Y725" s="21" t="s">
        <v>13</v>
      </c>
      <c r="Z725" s="63">
        <f t="shared" si="59"/>
        <v>0.93424819425489958</v>
      </c>
      <c r="AA725" s="63">
        <f t="shared" si="60"/>
        <v>0.88753578454215454</v>
      </c>
    </row>
    <row r="726" spans="1:27" ht="13.2" x14ac:dyDescent="0.25">
      <c r="A726" s="103" t="s">
        <v>414</v>
      </c>
      <c r="B726" s="20" t="s">
        <v>415</v>
      </c>
      <c r="C726" s="21" t="s">
        <v>79</v>
      </c>
      <c r="D726" s="105" t="s">
        <v>378</v>
      </c>
      <c r="E726" s="15">
        <v>183</v>
      </c>
      <c r="F726" s="15">
        <v>60</v>
      </c>
      <c r="G726" s="21" t="s">
        <v>182</v>
      </c>
      <c r="H726" s="20">
        <v>0.85</v>
      </c>
      <c r="I726" s="68">
        <f>MAX('Max rate concentrations'!$M$3:$M$368)</f>
        <v>17.092910873809167</v>
      </c>
      <c r="J726" s="68">
        <f>MAX('Max rate concentrations'!AE:AE)</f>
        <v>11.81956602976166</v>
      </c>
      <c r="K726" s="69">
        <f t="shared" si="61"/>
        <v>0.58482750206875755</v>
      </c>
      <c r="L726" s="69">
        <f t="shared" si="62"/>
        <v>0.40440199611137501</v>
      </c>
      <c r="M726" s="69">
        <f>IF((((0.065*F726^0.726)/3.7-(0.301*F726^0.751)/(1-H726)*H726)*(MAX('Max rate concentrations'!$P$3:$P$368)))/F726&gt;0, (((0.065*F726^0.726)/3.7-(0.301*F726^0.751)/(1-H726)*H726)*(MAX('Max rate concentrations'!$P$3:$P$368)))/F726, 0)</f>
        <v>0</v>
      </c>
      <c r="N726" s="69">
        <f>IF((((0.065*F726^0.726)/3.7-(0.301*F726^0.751)/(1-H726)*H726)*(MAX('Max rate concentrations'!$Q$3:$Q$368)))/F726&gt;0, (((0.065*F726^0.726)/3.7-(0.301*F726^0.751)/(1-H726)*H726)*(MAX('Max rate concentrations'!$Q$3:$Q$368)))/F726, 0)</f>
        <v>0</v>
      </c>
      <c r="O726" s="69" t="s">
        <v>13</v>
      </c>
      <c r="P726" s="69" t="s">
        <v>13</v>
      </c>
      <c r="Q726" s="69">
        <f>(inputs!$C$18*11.2)*(25.05*F726^0.63)*0.5*1/F726</f>
        <v>92.512634642265439</v>
      </c>
      <c r="R726" s="59">
        <f>(60*76.9*((F726/1000)^0.76)*3*24*(MAX('Max rate concentrations'!$R$3:$R$368))/F726)</f>
        <v>5.0286508768584183E-3</v>
      </c>
      <c r="S726" s="59">
        <f>(IF(inputs!$C$17="aerial",((0.025*0.112*inputs!$C$18/3.3)*(3*60*76.9*((F726/1000)^0.76))*MAX(inputs!$I$14:$I$16))/F726,((0.0083*0.112*inputs!$C$18/1)*(3*60*76.9*((F726/1000)^0.76))*MAX(inputs!$I$14:$I$16))/F726))</f>
        <v>2.1233322005412572E-2</v>
      </c>
      <c r="T726" s="63">
        <f>IF((((inputs!$P$13/(V726/MAX(K726:S726)))^(1/inputs!$O$13))-1)/inputs!$N$13&lt;0, 0, IF((((inputs!$P$13/(V726/MAX(K726:S726)))^(1/inputs!$O$13))-1)/inputs!$N$13&lt;inputs!$I$17, (((inputs!$P$13/(V726/MAX(K726:S726)))^(1/inputs!$O$13))-1)/inputs!$N$13, inputs!$I$17))</f>
        <v>1000</v>
      </c>
      <c r="U726" s="63">
        <f>IF((((inputs!$P$13/(X726/MAX(K726:S726)))^(1/inputs!$O$13))-1)/inputs!$N$13&lt;0, 0, IF((((inputs!$P$13/(X726/MAX(K726:S726)))^(1/inputs!$O$13))-1)/inputs!$N$13&lt;inputs!$I$17, (((inputs!$P$13/(X726/MAX(K726:S726)))^(1/inputs!$O$13))-1)/inputs!$N$13, inputs!$I$17))</f>
        <v>1000</v>
      </c>
      <c r="V726" s="21">
        <f>inputs!$E$87*(F726/inputs!$F$87)^(1)</f>
        <v>1.1399999999999999E-2</v>
      </c>
      <c r="W726" s="21">
        <f>inputs!$E$90*(F726/inputs!$F$90)^(1)</f>
        <v>1.2E-2</v>
      </c>
      <c r="X726" s="21">
        <f>inputs!$E$89*(F726/inputs!$F$89)^(1)</f>
        <v>4.4810126582278481E-2</v>
      </c>
      <c r="Y726" s="21" t="s">
        <v>13</v>
      </c>
      <c r="Z726" s="63">
        <f t="shared" si="59"/>
        <v>8115.1433896724075</v>
      </c>
      <c r="AA726" s="63">
        <f t="shared" si="60"/>
        <v>7709.3862201887869</v>
      </c>
    </row>
    <row r="727" spans="1:27" ht="13.2" x14ac:dyDescent="0.25">
      <c r="A727" s="103" t="s">
        <v>414</v>
      </c>
      <c r="B727" s="20" t="s">
        <v>415</v>
      </c>
      <c r="C727" s="21" t="s">
        <v>79</v>
      </c>
      <c r="D727" s="105" t="s">
        <v>378</v>
      </c>
      <c r="E727" s="15">
        <v>183</v>
      </c>
      <c r="F727" s="15">
        <v>60</v>
      </c>
      <c r="G727" s="21" t="s">
        <v>142</v>
      </c>
      <c r="H727" s="21">
        <v>0.69</v>
      </c>
      <c r="I727" s="68">
        <f>MAX('Max rate concentrations'!$H$3:$H$368)</f>
        <v>282</v>
      </c>
      <c r="J727" s="68">
        <f>MAX('Max rate concentrations'!AA:AA)</f>
        <v>195</v>
      </c>
      <c r="K727" s="69">
        <f t="shared" si="61"/>
        <v>4.6686404976066536</v>
      </c>
      <c r="L727" s="69">
        <f t="shared" si="62"/>
        <v>3.2283152377067283</v>
      </c>
      <c r="M727" s="69">
        <f>IF((((0.065*F727^0.726)/3.7-(0.301*F727^0.751)/(1-H727)*H727)*(MAX('Max rate concentrations'!$P$3:$P$368)))/F727&gt;0, (((0.065*F727^0.726)/3.7-(0.301*F727^0.751)/(1-H727)*H727)*(MAX('Max rate concentrations'!$P$3:$P$368)))/F727, 0)</f>
        <v>0</v>
      </c>
      <c r="N727" s="69">
        <f>IF((((0.065*F727^0.726)/3.7-(0.301*F727^0.751)/(1-H727)*H727)*(MAX('Max rate concentrations'!$Q$3:$Q$368)))/F727&gt;0, (((0.065*F727^0.726)/3.7-(0.301*F727^0.751)/(1-H727)*H727)*(MAX('Max rate concentrations'!$Q$3:$Q$368)))/F727, 0)</f>
        <v>0</v>
      </c>
      <c r="O727" s="69" t="s">
        <v>13</v>
      </c>
      <c r="P727" s="69" t="s">
        <v>13</v>
      </c>
      <c r="Q727" s="69">
        <f>(inputs!$C$18*11.2)*(25.05*F727^0.63)*0.5*1/F727</f>
        <v>92.512634642265439</v>
      </c>
      <c r="R727" s="59">
        <f>(60*76.9*((F727/1000)^0.76)*3*24*(MAX('Max rate concentrations'!$R$3:$R$368))/F727)</f>
        <v>5.0286508768584183E-3</v>
      </c>
      <c r="S727" s="59">
        <f>(IF(inputs!$C$17="aerial",((0.025*0.112*inputs!$C$18/3.3)*(3*60*76.9*((F727/1000)^0.76))*MAX(inputs!$I$14:$I$16))/F727,((0.0083*0.112*inputs!$C$18/1)*(3*60*76.9*((F727/1000)^0.76))*MAX(inputs!$I$14:$I$16))/F727))</f>
        <v>2.1233322005412572E-2</v>
      </c>
      <c r="T727" s="63">
        <f>IF((((inputs!$P$13/(V727/MAX(K727:S727)))^(1/inputs!$O$13))-1)/inputs!$N$13&lt;0, 0, IF((((inputs!$P$13/(V727/MAX(K727:S727)))^(1/inputs!$O$13))-1)/inputs!$N$13&lt;inputs!$I$17, (((inputs!$P$13/(V727/MAX(K727:S727)))^(1/inputs!$O$13))-1)/inputs!$N$13, inputs!$I$17))</f>
        <v>1000</v>
      </c>
      <c r="U727" s="63">
        <f>IF((((inputs!$P$13/(X727/MAX(K727:S727)))^(1/inputs!$O$13))-1)/inputs!$N$13&lt;0, 0, IF((((inputs!$P$13/(X727/MAX(K727:S727)))^(1/inputs!$O$13))-1)/inputs!$N$13&lt;inputs!$I$17, (((inputs!$P$13/(X727/MAX(K727:S727)))^(1/inputs!$O$13))-1)/inputs!$N$13, inputs!$I$17))</f>
        <v>1000</v>
      </c>
      <c r="V727" s="21">
        <f>inputs!$E$87*(F727/inputs!$F$87)^(1)</f>
        <v>1.1399999999999999E-2</v>
      </c>
      <c r="W727" s="21">
        <f>inputs!$E$90*(F727/inputs!$F$90)^(1)</f>
        <v>1.2E-2</v>
      </c>
      <c r="X727" s="21">
        <f>inputs!$E$89*(F727/inputs!$F$89)^(1)</f>
        <v>4.4810126582278481E-2</v>
      </c>
      <c r="Y727" s="21" t="s">
        <v>13</v>
      </c>
      <c r="Z727" s="63">
        <f t="shared" si="59"/>
        <v>8115.1433896724075</v>
      </c>
      <c r="AA727" s="63">
        <f t="shared" si="60"/>
        <v>7709.3862201887869</v>
      </c>
    </row>
    <row r="728" spans="1:27" ht="13.2" x14ac:dyDescent="0.25">
      <c r="A728" s="103" t="s">
        <v>414</v>
      </c>
      <c r="B728" s="20" t="s">
        <v>415</v>
      </c>
      <c r="C728" s="21" t="s">
        <v>79</v>
      </c>
      <c r="D728" s="105" t="s">
        <v>378</v>
      </c>
      <c r="E728" s="15">
        <v>183</v>
      </c>
      <c r="F728" s="15">
        <v>60</v>
      </c>
      <c r="G728" s="21" t="s">
        <v>138</v>
      </c>
      <c r="H728" s="20">
        <v>0.68</v>
      </c>
      <c r="I728" s="68">
        <f>MAX('Max rate concentrations'!$L$3:$L$368)</f>
        <v>350.52744091332482</v>
      </c>
      <c r="J728" s="68">
        <f>MAX('Max rate concentrations'!AD:AD)</f>
        <v>242.38599637623525</v>
      </c>
      <c r="K728" s="69">
        <f t="shared" si="61"/>
        <v>5.621795743714709</v>
      </c>
      <c r="L728" s="69">
        <f t="shared" si="62"/>
        <v>3.8874119504410221</v>
      </c>
      <c r="M728" s="69">
        <f>IF((((0.065*F728^0.726)/3.7-(0.301*F728^0.751)/(1-H728)*H728)*(MAX('Max rate concentrations'!$P$3:$P$368)))/F728&gt;0, (((0.065*F728^0.726)/3.7-(0.301*F728^0.751)/(1-H728)*H728)*(MAX('Max rate concentrations'!$P$3:$P$368)))/F728, 0)</f>
        <v>0</v>
      </c>
      <c r="N728" s="69">
        <f>IF((((0.065*F728^0.726)/3.7-(0.301*F728^0.751)/(1-H728)*H728)*(MAX('Max rate concentrations'!$Q$3:$Q$368)))/F728&gt;0, (((0.065*F728^0.726)/3.7-(0.301*F728^0.751)/(1-H728)*H728)*(MAX('Max rate concentrations'!$Q$3:$Q$368)))/F728, 0)</f>
        <v>0</v>
      </c>
      <c r="O728" s="69" t="s">
        <v>13</v>
      </c>
      <c r="P728" s="69" t="s">
        <v>13</v>
      </c>
      <c r="Q728" s="69">
        <f>(inputs!$C$18*11.2)*(25.05*F728^0.63)*0.5*1/F728</f>
        <v>92.512634642265439</v>
      </c>
      <c r="R728" s="59">
        <f>(60*76.9*((F728/1000)^0.76)*3*24*(MAX('Max rate concentrations'!$R$3:$R$368))/F728)</f>
        <v>5.0286508768584183E-3</v>
      </c>
      <c r="S728" s="59">
        <f>(IF(inputs!$C$17="aerial",((0.025*0.112*inputs!$C$18/3.3)*(3*60*76.9*((F728/1000)^0.76))*MAX(inputs!$I$14:$I$16))/F728,((0.0083*0.112*inputs!$C$18/1)*(3*60*76.9*((F728/1000)^0.76))*MAX(inputs!$I$14:$I$16))/F728))</f>
        <v>2.1233322005412572E-2</v>
      </c>
      <c r="T728" s="63">
        <f>IF((((inputs!$P$13/(V728/MAX(K728:S728)))^(1/inputs!$O$13))-1)/inputs!$N$13&lt;0, 0, IF((((inputs!$P$13/(V728/MAX(K728:S728)))^(1/inputs!$O$13))-1)/inputs!$N$13&lt;inputs!$I$17, (((inputs!$P$13/(V728/MAX(K728:S728)))^(1/inputs!$O$13))-1)/inputs!$N$13, inputs!$I$17))</f>
        <v>1000</v>
      </c>
      <c r="U728" s="63">
        <f>IF((((inputs!$P$13/(X728/MAX(K728:S728)))^(1/inputs!$O$13))-1)/inputs!$N$13&lt;0, 0, IF((((inputs!$P$13/(X728/MAX(K728:S728)))^(1/inputs!$O$13))-1)/inputs!$N$13&lt;inputs!$I$17, (((inputs!$P$13/(X728/MAX(K728:S728)))^(1/inputs!$O$13))-1)/inputs!$N$13, inputs!$I$17))</f>
        <v>1000</v>
      </c>
      <c r="V728" s="21">
        <f>inputs!$E$87*(F728/inputs!$F$87)^(1)</f>
        <v>1.1399999999999999E-2</v>
      </c>
      <c r="W728" s="21">
        <f>inputs!$E$90*(F728/inputs!$F$90)^(1)</f>
        <v>1.2E-2</v>
      </c>
      <c r="X728" s="21">
        <f>inputs!$E$89*(F728/inputs!$F$89)^(1)</f>
        <v>4.4810126582278481E-2</v>
      </c>
      <c r="Y728" s="21" t="s">
        <v>13</v>
      </c>
      <c r="Z728" s="63">
        <f t="shared" si="59"/>
        <v>8115.1433896724075</v>
      </c>
      <c r="AA728" s="63">
        <f t="shared" si="60"/>
        <v>7709.3862201887869</v>
      </c>
    </row>
    <row r="729" spans="1:27" ht="13.2" x14ac:dyDescent="0.25">
      <c r="A729" s="103" t="s">
        <v>414</v>
      </c>
      <c r="B729" s="20" t="s">
        <v>415</v>
      </c>
      <c r="C729" s="21" t="s">
        <v>79</v>
      </c>
      <c r="D729" s="105" t="s">
        <v>378</v>
      </c>
      <c r="E729" s="15">
        <v>183</v>
      </c>
      <c r="F729" s="15">
        <v>60</v>
      </c>
      <c r="G729" s="21" t="s">
        <v>456</v>
      </c>
      <c r="H729" s="20">
        <v>0.68</v>
      </c>
      <c r="I729" s="68">
        <f>MAX('Max rate concentrations'!$J$3:$J$368)</f>
        <v>686.46486205830786</v>
      </c>
      <c r="J729" s="68">
        <f>MAX('Max rate concentrations'!AB:AB)</f>
        <v>243.122971978984</v>
      </c>
      <c r="K729" s="69">
        <f t="shared" si="61"/>
        <v>11.009595225052177</v>
      </c>
      <c r="L729" s="69">
        <f t="shared" si="62"/>
        <v>3.8992316422059785</v>
      </c>
      <c r="M729" s="69">
        <f>IF((((0.065*F729^0.726)/3.7-(0.301*F729^0.751)/(1-H729)*H729)*(MAX('Max rate concentrations'!$P$3:$P$368)))/F729&gt;0, (((0.065*F729^0.726)/3.7-(0.301*F729^0.751)/(1-H729)*H729)*(MAX('Max rate concentrations'!$P$3:$P$368)))/F729, 0)</f>
        <v>0</v>
      </c>
      <c r="N729" s="69">
        <f>IF((((0.065*F729^0.726)/3.7-(0.301*F729^0.751)/(1-H729)*H729)*(MAX('Max rate concentrations'!$Q$3:$Q$368)))/F729&gt;0, (((0.065*F729^0.726)/3.7-(0.301*F729^0.751)/(1-H729)*H729)*(MAX('Max rate concentrations'!$Q$3:$Q$368)))/F729, 0)</f>
        <v>0</v>
      </c>
      <c r="O729" s="69" t="s">
        <v>13</v>
      </c>
      <c r="P729" s="69" t="s">
        <v>13</v>
      </c>
      <c r="Q729" s="69">
        <f>(inputs!$C$18*11.2)*(25.05*F729^0.63)*0.5*1/F729</f>
        <v>92.512634642265439</v>
      </c>
      <c r="R729" s="59">
        <f>(60*76.9*((F729/1000)^0.76)*3*24*(MAX('Max rate concentrations'!$R$3:$R$368))/F729)</f>
        <v>5.0286508768584183E-3</v>
      </c>
      <c r="S729" s="59">
        <f>(IF(inputs!$C$17="aerial",((0.025*0.112*inputs!$C$18/3.3)*(3*60*76.9*((F729/1000)^0.76))*MAX(inputs!$I$14:$I$16))/F729,((0.0083*0.112*inputs!$C$18/1)*(3*60*76.9*((F729/1000)^0.76))*MAX(inputs!$I$14:$I$16))/F729))</f>
        <v>2.1233322005412572E-2</v>
      </c>
      <c r="T729" s="63">
        <f>IF((((inputs!$P$13/(V729/MAX(K729:S729)))^(1/inputs!$O$13))-1)/inputs!$N$13&lt;0, 0, IF((((inputs!$P$13/(V729/MAX(K729:S729)))^(1/inputs!$O$13))-1)/inputs!$N$13&lt;inputs!$I$17, (((inputs!$P$13/(V729/MAX(K729:S729)))^(1/inputs!$O$13))-1)/inputs!$N$13, inputs!$I$17))</f>
        <v>1000</v>
      </c>
      <c r="U729" s="63">
        <f>IF((((inputs!$P$13/(X729/MAX(K729:S729)))^(1/inputs!$O$13))-1)/inputs!$N$13&lt;0, 0, IF((((inputs!$P$13/(X729/MAX(K729:S729)))^(1/inputs!$O$13))-1)/inputs!$N$13&lt;inputs!$I$17, (((inputs!$P$13/(X729/MAX(K729:S729)))^(1/inputs!$O$13))-1)/inputs!$N$13, inputs!$I$17))</f>
        <v>1000</v>
      </c>
      <c r="V729" s="21">
        <f>inputs!$E$87*(F729/inputs!$F$87)^(1)</f>
        <v>1.1399999999999999E-2</v>
      </c>
      <c r="W729" s="21">
        <f>inputs!$E$90*(F729/inputs!$F$90)^(1)</f>
        <v>1.2E-2</v>
      </c>
      <c r="X729" s="21">
        <f>inputs!$E$89*(F729/inputs!$F$89)^(1)</f>
        <v>4.4810126582278481E-2</v>
      </c>
      <c r="Y729" s="21" t="s">
        <v>13</v>
      </c>
      <c r="Z729" s="63">
        <f t="shared" si="59"/>
        <v>8115.1433896724075</v>
      </c>
      <c r="AA729" s="63">
        <f t="shared" si="60"/>
        <v>7709.3862201887869</v>
      </c>
    </row>
    <row r="730" spans="1:27" ht="13.2" x14ac:dyDescent="0.25">
      <c r="A730" s="103" t="s">
        <v>414</v>
      </c>
      <c r="B730" s="20" t="s">
        <v>415</v>
      </c>
      <c r="C730" s="21" t="s">
        <v>79</v>
      </c>
      <c r="D730" s="105" t="s">
        <v>378</v>
      </c>
      <c r="E730" s="15">
        <v>183</v>
      </c>
      <c r="F730" s="15">
        <v>60</v>
      </c>
      <c r="G730" s="21" t="s">
        <v>145</v>
      </c>
      <c r="H730" s="20">
        <v>0.66</v>
      </c>
      <c r="I730" s="68">
        <f>MAX('Max rate concentrations'!$M$3:$M$368)</f>
        <v>17.092910873809167</v>
      </c>
      <c r="J730" s="68">
        <f>MAX('Max rate concentrations'!AE:AE)</f>
        <v>11.81956602976166</v>
      </c>
      <c r="K730" s="69">
        <f t="shared" si="61"/>
        <v>0.25801213326562844</v>
      </c>
      <c r="L730" s="69">
        <f t="shared" si="62"/>
        <v>0.17841264534325374</v>
      </c>
      <c r="M730" s="69">
        <f>IF((((0.065*F730^0.726)/3.7-(0.301*F730^0.751)/(1-H730)*H730)*(MAX('Max rate concentrations'!$P$3:$P$368)))/F730&gt;0, (((0.065*F730^0.726)/3.7-(0.301*F730^0.751)/(1-H730)*H730)*(MAX('Max rate concentrations'!$P$3:$P$368)))/F730, 0)</f>
        <v>0</v>
      </c>
      <c r="N730" s="69">
        <f>IF((((0.065*F730^0.726)/3.7-(0.301*F730^0.751)/(1-H730)*H730)*(MAX('Max rate concentrations'!$Q$3:$Q$368)))/F730&gt;0, (((0.065*F730^0.726)/3.7-(0.301*F730^0.751)/(1-H730)*H730)*(MAX('Max rate concentrations'!$Q$3:$Q$368)))/F730, 0)</f>
        <v>0</v>
      </c>
      <c r="O730" s="69" t="s">
        <v>13</v>
      </c>
      <c r="P730" s="69" t="s">
        <v>13</v>
      </c>
      <c r="Q730" s="69">
        <f>(inputs!$C$18*11.2)*(25.05*F730^0.63)*0.5*1/F730</f>
        <v>92.512634642265439</v>
      </c>
      <c r="R730" s="59">
        <f>(60*76.9*((F730/1000)^0.76)*3*24*(MAX('Max rate concentrations'!$R$3:$R$368))/F730)</f>
        <v>5.0286508768584183E-3</v>
      </c>
      <c r="S730" s="59">
        <f>(IF(inputs!$C$17="aerial",((0.025*0.112*inputs!$C$18/3.3)*(3*60*76.9*((F730/1000)^0.76))*MAX(inputs!$I$14:$I$16))/F730,((0.0083*0.112*inputs!$C$18/1)*(3*60*76.9*((F730/1000)^0.76))*MAX(inputs!$I$14:$I$16))/F730))</f>
        <v>2.1233322005412572E-2</v>
      </c>
      <c r="T730" s="63">
        <f>IF((((inputs!$P$13/(V730/MAX(K730:S730)))^(1/inputs!$O$13))-1)/inputs!$N$13&lt;0, 0, IF((((inputs!$P$13/(V730/MAX(K730:S730)))^(1/inputs!$O$13))-1)/inputs!$N$13&lt;inputs!$I$17, (((inputs!$P$13/(V730/MAX(K730:S730)))^(1/inputs!$O$13))-1)/inputs!$N$13, inputs!$I$17))</f>
        <v>1000</v>
      </c>
      <c r="U730" s="63">
        <f>IF((((inputs!$P$13/(X730/MAX(K730:S730)))^(1/inputs!$O$13))-1)/inputs!$N$13&lt;0, 0, IF((((inputs!$P$13/(X730/MAX(K730:S730)))^(1/inputs!$O$13))-1)/inputs!$N$13&lt;inputs!$I$17, (((inputs!$P$13/(X730/MAX(K730:S730)))^(1/inputs!$O$13))-1)/inputs!$N$13, inputs!$I$17))</f>
        <v>1000</v>
      </c>
      <c r="V730" s="21">
        <f>inputs!$E$87*(F730/inputs!$F$87)^(1)</f>
        <v>1.1399999999999999E-2</v>
      </c>
      <c r="W730" s="21">
        <f>inputs!$E$90*(F730/inputs!$F$90)^(1)</f>
        <v>1.2E-2</v>
      </c>
      <c r="X730" s="21">
        <f>inputs!$E$89*(F730/inputs!$F$89)^(1)</f>
        <v>4.4810126582278481E-2</v>
      </c>
      <c r="Y730" s="21" t="s">
        <v>13</v>
      </c>
      <c r="Z730" s="63">
        <f t="shared" si="59"/>
        <v>8115.1433896724075</v>
      </c>
      <c r="AA730" s="63">
        <f t="shared" si="60"/>
        <v>7709.3862201887869</v>
      </c>
    </row>
    <row r="731" spans="1:27" ht="26.4" x14ac:dyDescent="0.25">
      <c r="A731" s="103" t="s">
        <v>418</v>
      </c>
      <c r="B731" s="20" t="s">
        <v>419</v>
      </c>
      <c r="C731" s="21" t="s">
        <v>79</v>
      </c>
      <c r="D731" s="105" t="s">
        <v>378</v>
      </c>
      <c r="E731" s="15">
        <v>167</v>
      </c>
      <c r="F731" s="15">
        <v>70</v>
      </c>
      <c r="G731" s="21" t="s">
        <v>634</v>
      </c>
      <c r="H731" s="21">
        <v>0.75</v>
      </c>
      <c r="I731" s="68">
        <f>inputs!$C$66*inputs!$C$64/1000</f>
        <v>21.3</v>
      </c>
      <c r="J731" s="68">
        <f>inputs!$C$66*inputs!$C$63/1000</f>
        <v>8.8000000000000007</v>
      </c>
      <c r="K731" s="69">
        <f t="shared" si="61"/>
        <v>0.42222669905692389</v>
      </c>
      <c r="L731" s="69">
        <f t="shared" si="62"/>
        <v>0.17444107754464461</v>
      </c>
      <c r="M731" s="69">
        <f>IF((((0.065*F731^0.726)/3.7-(0.301*F731^0.751)/(1-H731)*H731)*(MAX('Max rate concentrations'!$P$3:$P$368)))/F731&gt;0, (((0.065*F731^0.726)/3.7-(0.301*F731^0.751)/(1-H731)*H731)*(MAX('Max rate concentrations'!$P$3:$P$368)))/F731, 0)</f>
        <v>0</v>
      </c>
      <c r="N731" s="69">
        <f>IF((((0.065*F731^0.726)/3.7-(0.301*F731^0.751)/(1-H731)*H731)*(MAX('Max rate concentrations'!$Q$3:$Q$368)))/F731&gt;0, (((0.065*F731^0.726)/3.7-(0.301*F731^0.751)/(1-H731)*H731)*(MAX('Max rate concentrations'!$Q$3:$Q$368)))/F731, 0)</f>
        <v>0</v>
      </c>
      <c r="O731" s="69" t="s">
        <v>13</v>
      </c>
      <c r="P731" s="69" t="s">
        <v>13</v>
      </c>
      <c r="Q731" s="69">
        <f>(inputs!$C$18*11.2)*(25.05*F731^0.63)*0.5*1/F731</f>
        <v>87.3837618649939</v>
      </c>
      <c r="R731" s="59">
        <f>(60*76.9*((F731/1000)^0.76)*3*24*(MAX('Max rate concentrations'!$R$3:$R$368))/F731)</f>
        <v>4.8460094363647925E-3</v>
      </c>
      <c r="S731" s="59">
        <f>(IF(inputs!$C$17="aerial",((0.025*0.112*inputs!$C$18/3.3)*(3*60*76.9*((F731/1000)^0.76))*MAX(inputs!$I$14:$I$16))/F731,((0.0083*0.112*inputs!$C$18/1)*(3*60*76.9*((F731/1000)^0.76))*MAX(inputs!$I$14:$I$16))/F731))</f>
        <v>2.0462124200573837E-2</v>
      </c>
      <c r="T731" s="63">
        <f>IF((((inputs!$P$13/(V731/MAX(K731:S731)))^(1/inputs!$O$13))-1)/inputs!$N$13&lt;0, 0, IF((((inputs!$P$13/(V731/MAX(K731:S731)))^(1/inputs!$O$13))-1)/inputs!$N$13&lt;inputs!$I$17, (((inputs!$P$13/(V731/MAX(K731:S731)))^(1/inputs!$O$13))-1)/inputs!$N$13, inputs!$I$17))</f>
        <v>1000</v>
      </c>
      <c r="U731" s="63">
        <f>IF((((inputs!$P$13/(X731/MAX(K731:S731)))^(1/inputs!$O$13))-1)/inputs!$N$13&lt;0, 0, IF((((inputs!$P$13/(X731/MAX(K731:S731)))^(1/inputs!$O$13))-1)/inputs!$N$13&lt;inputs!$I$17, (((inputs!$P$13/(X731/MAX(K731:S731)))^(1/inputs!$O$13))-1)/inputs!$N$13, inputs!$I$17))</f>
        <v>1000</v>
      </c>
      <c r="V731" s="21">
        <f>inputs!$E$87*(F731/inputs!$F$87)^(1)</f>
        <v>1.3299999999999999E-2</v>
      </c>
      <c r="W731" s="21">
        <f>inputs!$E$90*(F731/inputs!$F$90)^(1)</f>
        <v>1.4E-2</v>
      </c>
      <c r="X731" s="21">
        <f>inputs!$E$89*(F731/inputs!$F$89)^(1)</f>
        <v>5.2278481012658223E-2</v>
      </c>
      <c r="Y731" s="21" t="s">
        <v>13</v>
      </c>
      <c r="Z731" s="63">
        <f t="shared" si="59"/>
        <v>6570.2076590220977</v>
      </c>
      <c r="AA731" s="63">
        <f t="shared" si="60"/>
        <v>6241.6972760709923</v>
      </c>
    </row>
    <row r="732" spans="1:27" ht="13.2" x14ac:dyDescent="0.25">
      <c r="A732" s="103" t="s">
        <v>422</v>
      </c>
      <c r="B732" s="20" t="s">
        <v>423</v>
      </c>
      <c r="C732" s="21" t="s">
        <v>79</v>
      </c>
      <c r="D732" s="105" t="s">
        <v>378</v>
      </c>
      <c r="E732" s="15">
        <v>6097</v>
      </c>
      <c r="F732" s="56">
        <v>1000</v>
      </c>
      <c r="G732" s="21" t="s">
        <v>138</v>
      </c>
      <c r="H732" s="20">
        <v>0.68</v>
      </c>
      <c r="I732" s="68">
        <f>MAX('Max rate concentrations'!$L$3:$L$368)</f>
        <v>350.52744091332482</v>
      </c>
      <c r="J732" s="68">
        <f>MAX('Max rate concentrations'!AD:AD)</f>
        <v>242.38599637623525</v>
      </c>
      <c r="K732" s="69">
        <f t="shared" si="61"/>
        <v>2.9683519728657011</v>
      </c>
      <c r="L732" s="69">
        <f t="shared" si="62"/>
        <v>2.0525838110241552</v>
      </c>
      <c r="M732" s="69">
        <f>IF((((0.065*F732^0.726)/3.7-(0.301*F732^0.751)/(1-H732)*H732)*(MAX('Max rate concentrations'!$P$3:$P$368)))/F732&gt;0, (((0.065*F732^0.726)/3.7-(0.301*F732^0.751)/(1-H732)*H732)*(MAX('Max rate concentrations'!$P$3:$P$368)))/F732, 0)</f>
        <v>0</v>
      </c>
      <c r="N732" s="69">
        <f>IF((((0.065*F732^0.726)/3.7-(0.301*F732^0.751)/(1-H732)*H732)*(MAX('Max rate concentrations'!$Q$3:$Q$368)))/F732&gt;0, (((0.065*F732^0.726)/3.7-(0.301*F732^0.751)/(1-H732)*H732)*(MAX('Max rate concentrations'!$Q$3:$Q$368)))/F732, 0)</f>
        <v>0</v>
      </c>
      <c r="O732" s="69" t="s">
        <v>13</v>
      </c>
      <c r="P732" s="69" t="s">
        <v>13</v>
      </c>
      <c r="Q732" s="69">
        <f>(inputs!$C$18*11.2)*(25.05*F732^0.63)*0.5*1/F732</f>
        <v>32.667583656201849</v>
      </c>
      <c r="R732" s="59">
        <f>(60*76.9*((F732/1000)^0.76)*3*24*(MAX('Max rate concentrations'!$R$3:$R$368))/F732)</f>
        <v>2.5598103168780065E-3</v>
      </c>
      <c r="S732" s="59">
        <f>(IF(inputs!$C$17="aerial",((0.025*0.112*inputs!$C$18/3.3)*(3*60*76.9*((F732/1000)^0.76))*MAX(inputs!$I$14:$I$16))/F732,((0.0083*0.112*inputs!$C$18/1)*(3*60*76.9*((F732/1000)^0.76))*MAX(inputs!$I$14:$I$16))/F732))</f>
        <v>1.0808719488000003E-2</v>
      </c>
      <c r="T732" s="63">
        <f>IF((((inputs!$P$13/(V732/MAX(K732:S732)))^(1/inputs!$O$13))-1)/inputs!$N$13&lt;0, 0, IF((((inputs!$P$13/(V732/MAX(K732:S732)))^(1/inputs!$O$13))-1)/inputs!$N$13&lt;inputs!$I$17, (((inputs!$P$13/(V732/MAX(K732:S732)))^(1/inputs!$O$13))-1)/inputs!$N$13, inputs!$I$17))</f>
        <v>345.38243463679424</v>
      </c>
      <c r="U732" s="63">
        <f>IF((((inputs!$P$13/(X732/MAX(K732:S732)))^(1/inputs!$O$13))-1)/inputs!$N$13&lt;0, 0, IF((((inputs!$P$13/(X732/MAX(K732:S732)))^(1/inputs!$O$13))-1)/inputs!$N$13&lt;inputs!$I$17, (((inputs!$P$13/(X732/MAX(K732:S732)))^(1/inputs!$O$13))-1)/inputs!$N$13, inputs!$I$17))</f>
        <v>110.67532019995024</v>
      </c>
      <c r="V732" s="21">
        <f>inputs!$E$87*(F732/inputs!$F$87)^(1)</f>
        <v>0.19</v>
      </c>
      <c r="W732" s="21">
        <f>inputs!$E$90*(F732/inputs!$F$90)^(1)</f>
        <v>0.2</v>
      </c>
      <c r="X732" s="21">
        <f>inputs!$E$89*(F732/inputs!$F$89)^(1)</f>
        <v>0.74683544303797467</v>
      </c>
      <c r="Y732" s="21" t="s">
        <v>13</v>
      </c>
      <c r="Z732" s="63">
        <f t="shared" si="59"/>
        <v>171.934650822115</v>
      </c>
      <c r="AA732" s="63">
        <f t="shared" si="60"/>
        <v>163.33791828100922</v>
      </c>
    </row>
    <row r="733" spans="1:27" ht="13.2" x14ac:dyDescent="0.25">
      <c r="A733" s="103" t="s">
        <v>422</v>
      </c>
      <c r="B733" s="20" t="s">
        <v>423</v>
      </c>
      <c r="C733" s="21" t="s">
        <v>79</v>
      </c>
      <c r="D733" s="105" t="s">
        <v>378</v>
      </c>
      <c r="E733" s="15">
        <v>6097</v>
      </c>
      <c r="F733" s="56">
        <v>1000</v>
      </c>
      <c r="G733" s="21" t="s">
        <v>456</v>
      </c>
      <c r="H733" s="20">
        <v>0.68</v>
      </c>
      <c r="I733" s="68">
        <f>MAX('Max rate concentrations'!$J$3:$J$368)</f>
        <v>686.46486205830786</v>
      </c>
      <c r="J733" s="68">
        <f>MAX('Max rate concentrations'!AB:AB)</f>
        <v>243.122971978984</v>
      </c>
      <c r="K733" s="69">
        <f t="shared" si="61"/>
        <v>5.8131520952666742</v>
      </c>
      <c r="L733" s="69">
        <f t="shared" si="62"/>
        <v>2.0588247004069467</v>
      </c>
      <c r="M733" s="69">
        <f>IF((((0.065*F733^0.726)/3.7-(0.301*F733^0.751)/(1-H733)*H733)*(MAX('Max rate concentrations'!$P$3:$P$368)))/F733&gt;0, (((0.065*F733^0.726)/3.7-(0.301*F733^0.751)/(1-H733)*H733)*(MAX('Max rate concentrations'!$P$3:$P$368)))/F733, 0)</f>
        <v>0</v>
      </c>
      <c r="N733" s="69">
        <f>IF((((0.065*F733^0.726)/3.7-(0.301*F733^0.751)/(1-H733)*H733)*(MAX('Max rate concentrations'!$Q$3:$Q$368)))/F733&gt;0, (((0.065*F733^0.726)/3.7-(0.301*F733^0.751)/(1-H733)*H733)*(MAX('Max rate concentrations'!$Q$3:$Q$368)))/F733, 0)</f>
        <v>0</v>
      </c>
      <c r="O733" s="69" t="s">
        <v>13</v>
      </c>
      <c r="P733" s="69" t="s">
        <v>13</v>
      </c>
      <c r="Q733" s="69">
        <f>(inputs!$C$18*11.2)*(25.05*F733^0.63)*0.5*1/F733</f>
        <v>32.667583656201849</v>
      </c>
      <c r="R733" s="59">
        <f>(60*76.9*((F733/1000)^0.76)*3*24*(MAX('Max rate concentrations'!$R$3:$R$368))/F733)</f>
        <v>2.5598103168780065E-3</v>
      </c>
      <c r="S733" s="59">
        <f>(IF(inputs!$C$17="aerial",((0.025*0.112*inputs!$C$18/3.3)*(3*60*76.9*((F733/1000)^0.76))*MAX(inputs!$I$14:$I$16))/F733,((0.0083*0.112*inputs!$C$18/1)*(3*60*76.9*((F733/1000)^0.76))*MAX(inputs!$I$14:$I$16))/F733))</f>
        <v>1.0808719488000003E-2</v>
      </c>
      <c r="T733" s="63">
        <f>IF((((inputs!$P$13/(V733/MAX(K733:S733)))^(1/inputs!$O$13))-1)/inputs!$N$13&lt;0, 0, IF((((inputs!$P$13/(V733/MAX(K733:S733)))^(1/inputs!$O$13))-1)/inputs!$N$13&lt;inputs!$I$17, (((inputs!$P$13/(V733/MAX(K733:S733)))^(1/inputs!$O$13))-1)/inputs!$N$13, inputs!$I$17))</f>
        <v>345.38243463679424</v>
      </c>
      <c r="U733" s="63">
        <f>IF((((inputs!$P$13/(X733/MAX(K733:S733)))^(1/inputs!$O$13))-1)/inputs!$N$13&lt;0, 0, IF((((inputs!$P$13/(X733/MAX(K733:S733)))^(1/inputs!$O$13))-1)/inputs!$N$13&lt;inputs!$I$17, (((inputs!$P$13/(X733/MAX(K733:S733)))^(1/inputs!$O$13))-1)/inputs!$N$13, inputs!$I$17))</f>
        <v>110.67532019995024</v>
      </c>
      <c r="V733" s="21">
        <f>inputs!$E$87*(F733/inputs!$F$87)^(1)</f>
        <v>0.19</v>
      </c>
      <c r="W733" s="21">
        <f>inputs!$E$90*(F733/inputs!$F$90)^(1)</f>
        <v>0.2</v>
      </c>
      <c r="X733" s="21">
        <f>inputs!$E$89*(F733/inputs!$F$89)^(1)</f>
        <v>0.74683544303797467</v>
      </c>
      <c r="Y733" s="21" t="s">
        <v>13</v>
      </c>
      <c r="Z733" s="63">
        <f t="shared" si="59"/>
        <v>171.934650822115</v>
      </c>
      <c r="AA733" s="63">
        <f t="shared" si="60"/>
        <v>163.33791828100922</v>
      </c>
    </row>
    <row r="734" spans="1:27" ht="13.2" x14ac:dyDescent="0.25">
      <c r="A734" s="103" t="s">
        <v>399</v>
      </c>
      <c r="B734" s="20" t="s">
        <v>400</v>
      </c>
      <c r="C734" s="21" t="s">
        <v>79</v>
      </c>
      <c r="D734" s="105" t="s">
        <v>378</v>
      </c>
      <c r="E734" s="15">
        <v>178</v>
      </c>
      <c r="F734" s="15">
        <v>3.7</v>
      </c>
      <c r="G734" s="21" t="s">
        <v>142</v>
      </c>
      <c r="H734" s="21">
        <v>0.69</v>
      </c>
      <c r="I734" s="68">
        <f>MAX('Max rate concentrations'!$H$3:$H$368)</f>
        <v>282</v>
      </c>
      <c r="J734" s="68">
        <f>MAX('Max rate concentrations'!AA:AA)</f>
        <v>195</v>
      </c>
      <c r="K734" s="69">
        <f t="shared" si="61"/>
        <v>8.7871689259534609</v>
      </c>
      <c r="L734" s="69">
        <f t="shared" si="62"/>
        <v>6.0762338317763298</v>
      </c>
      <c r="M734" s="69">
        <f>IF((((0.065*F734^0.726)/3.7-(0.301*F734^0.751)/(1-H734)*H734)*(MAX('Max rate concentrations'!$P$3:$P$368)))/F734&gt;0, (((0.065*F734^0.726)/3.7-(0.301*F734^0.751)/(1-H734)*H734)*(MAX('Max rate concentrations'!$P$3:$P$368)))/F734, 0)</f>
        <v>0</v>
      </c>
      <c r="N734" s="69">
        <f>IF((((0.065*F734^0.726)/3.7-(0.301*F734^0.751)/(1-H734)*H734)*(MAX('Max rate concentrations'!$Q$3:$Q$368)))/F734&gt;0, (((0.065*F734^0.726)/3.7-(0.301*F734^0.751)/(1-H734)*H734)*(MAX('Max rate concentrations'!$Q$3:$Q$368)))/F734, 0)</f>
        <v>0</v>
      </c>
      <c r="O734" s="69" t="s">
        <v>13</v>
      </c>
      <c r="P734" s="69" t="s">
        <v>13</v>
      </c>
      <c r="Q734" s="69">
        <f>(inputs!$C$18*11.2)*(25.05*F734^0.63)*0.5*1/F734</f>
        <v>259.34768398167336</v>
      </c>
      <c r="R734" s="59">
        <f>(60*76.9*((F734/1000)^0.76)*3*24*(MAX('Max rate concentrations'!$R$3:$R$368))/F734)</f>
        <v>9.8138489965661838E-3</v>
      </c>
      <c r="S734" s="59">
        <f>(IF(inputs!$C$17="aerial",((0.025*0.112*inputs!$C$18/3.3)*(3*60*76.9*((F734/1000)^0.76))*MAX(inputs!$I$14:$I$16))/F734,((0.0083*0.112*inputs!$C$18/1)*(3*60*76.9*((F734/1000)^0.76))*MAX(inputs!$I$14:$I$16))/F734))</f>
        <v>4.1438672311800609E-2</v>
      </c>
      <c r="T734" s="63">
        <f>IF((((inputs!$P$13/(V734/MAX(K734:S734)))^(1/inputs!$O$13))-1)/inputs!$N$13&lt;0, 0, IF((((inputs!$P$13/(V734/MAX(K734:S734)))^(1/inputs!$O$13))-1)/inputs!$N$13&lt;inputs!$I$17, (((inputs!$P$13/(V734/MAX(K734:S734)))^(1/inputs!$O$13))-1)/inputs!$N$13, inputs!$I$17))</f>
        <v>1000</v>
      </c>
      <c r="U734" s="63">
        <f>IF((((inputs!$P$13/(X734/MAX(K734:S734)))^(1/inputs!$O$13))-1)/inputs!$N$13&lt;0, 0, IF((((inputs!$P$13/(X734/MAX(K734:S734)))^(1/inputs!$O$13))-1)/inputs!$N$13&lt;inputs!$I$17, (((inputs!$P$13/(X734/MAX(K734:S734)))^(1/inputs!$O$13))-1)/inputs!$N$13, inputs!$I$17))</f>
        <v>1000</v>
      </c>
      <c r="V734" s="21">
        <f>inputs!$E$87*(F734/inputs!$F$87)^(1)</f>
        <v>7.0300000000000007E-4</v>
      </c>
      <c r="W734" s="21">
        <f>inputs!$E$90*(F734/inputs!$F$90)^(1)</f>
        <v>7.3999999999999999E-4</v>
      </c>
      <c r="X734" s="21">
        <f>inputs!$E$89*(F734/inputs!$F$89)^(1)</f>
        <v>2.7632911392405065E-3</v>
      </c>
      <c r="Y734" s="21" t="s">
        <v>13</v>
      </c>
      <c r="Z734" s="63">
        <f t="shared" si="59"/>
        <v>368915.62444050261</v>
      </c>
      <c r="AA734" s="63">
        <f t="shared" si="60"/>
        <v>350469.8432184775</v>
      </c>
    </row>
    <row r="735" spans="1:27" ht="13.2" x14ac:dyDescent="0.25">
      <c r="A735" s="103" t="s">
        <v>401</v>
      </c>
      <c r="B735" s="20" t="s">
        <v>402</v>
      </c>
      <c r="C735" s="21" t="s">
        <v>79</v>
      </c>
      <c r="D735" s="105" t="s">
        <v>378</v>
      </c>
      <c r="E735" s="15">
        <v>151</v>
      </c>
      <c r="F735" s="15">
        <v>20.6</v>
      </c>
      <c r="G735" s="21" t="s">
        <v>142</v>
      </c>
      <c r="H735" s="21">
        <v>0.69</v>
      </c>
      <c r="I735" s="68">
        <f>MAX('Max rate concentrations'!$H$3:$H$368)</f>
        <v>282</v>
      </c>
      <c r="J735" s="68">
        <f>MAX('Max rate concentrations'!AA:AA)</f>
        <v>195</v>
      </c>
      <c r="K735" s="69">
        <f t="shared" si="61"/>
        <v>5.9509034996768069</v>
      </c>
      <c r="L735" s="69">
        <f t="shared" si="62"/>
        <v>4.1149864625424728</v>
      </c>
      <c r="M735" s="69">
        <f>IF((((0.065*F735^0.726)/3.7-(0.301*F735^0.751)/(1-H735)*H735)*(MAX('Max rate concentrations'!$P$3:$P$368)))/F735&gt;0, (((0.065*F735^0.726)/3.7-(0.301*F735^0.751)/(1-H735)*H735)*(MAX('Max rate concentrations'!$P$3:$P$368)))/F735, 0)</f>
        <v>0</v>
      </c>
      <c r="N735" s="69">
        <f>IF((((0.065*F735^0.726)/3.7-(0.301*F735^0.751)/(1-H735)*H735)*(MAX('Max rate concentrations'!$Q$3:$Q$368)))/F735&gt;0, (((0.065*F735^0.726)/3.7-(0.301*F735^0.751)/(1-H735)*H735)*(MAX('Max rate concentrations'!$Q$3:$Q$368)))/F735, 0)</f>
        <v>0</v>
      </c>
      <c r="O735" s="69" t="s">
        <v>13</v>
      </c>
      <c r="P735" s="69" t="s">
        <v>13</v>
      </c>
      <c r="Q735" s="69">
        <f>(inputs!$C$18*11.2)*(25.05*F735^0.63)*0.5*1/F735</f>
        <v>137.39981260129687</v>
      </c>
      <c r="R735" s="59">
        <f>(60*76.9*((F735/1000)^0.76)*3*24*(MAX('Max rate concentrations'!$R$3:$R$368))/F735)</f>
        <v>6.499495571733716E-3</v>
      </c>
      <c r="S735" s="59">
        <f>(IF(inputs!$C$17="aerial",((0.025*0.112*inputs!$C$18/3.3)*(3*60*76.9*((F735/1000)^0.76))*MAX(inputs!$I$14:$I$16))/F735,((0.0083*0.112*inputs!$C$18/1)*(3*60*76.9*((F735/1000)^0.76))*MAX(inputs!$I$14:$I$16))/F735))</f>
        <v>2.7443918006412157E-2</v>
      </c>
      <c r="T735" s="63">
        <f>IF((((inputs!$P$13/(V735/MAX(K735:S735)))^(1/inputs!$O$13))-1)/inputs!$N$13&lt;0, 0, IF((((inputs!$P$13/(V735/MAX(K735:S735)))^(1/inputs!$O$13))-1)/inputs!$N$13&lt;inputs!$I$17, (((inputs!$P$13/(V735/MAX(K735:S735)))^(1/inputs!$O$13))-1)/inputs!$N$13, inputs!$I$17))</f>
        <v>1000</v>
      </c>
      <c r="U735" s="63">
        <f>IF((((inputs!$P$13/(X735/MAX(K735:S735)))^(1/inputs!$O$13))-1)/inputs!$N$13&lt;0, 0, IF((((inputs!$P$13/(X735/MAX(K735:S735)))^(1/inputs!$O$13))-1)/inputs!$N$13&lt;inputs!$I$17, (((inputs!$P$13/(X735/MAX(K735:S735)))^(1/inputs!$O$13))-1)/inputs!$N$13, inputs!$I$17))</f>
        <v>1000</v>
      </c>
      <c r="V735" s="21">
        <f>inputs!$E$87*(F735/inputs!$F$87)^(1)</f>
        <v>3.9139999999999999E-3</v>
      </c>
      <c r="W735" s="21">
        <f>inputs!$E$90*(F735/inputs!$F$90)^(1)</f>
        <v>4.1200000000000004E-3</v>
      </c>
      <c r="X735" s="21">
        <f>inputs!$E$89*(F735/inputs!$F$89)^(1)</f>
        <v>1.538481012658228E-2</v>
      </c>
      <c r="Y735" s="21" t="s">
        <v>13</v>
      </c>
      <c r="Z735" s="63">
        <f t="shared" si="59"/>
        <v>35104.704292615454</v>
      </c>
      <c r="AA735" s="63">
        <f t="shared" si="60"/>
        <v>33349.469077984671</v>
      </c>
    </row>
    <row r="736" spans="1:27" ht="13.2" x14ac:dyDescent="0.25">
      <c r="A736" s="103" t="s">
        <v>401</v>
      </c>
      <c r="B736" s="20" t="s">
        <v>402</v>
      </c>
      <c r="C736" s="21" t="s">
        <v>79</v>
      </c>
      <c r="D736" s="105" t="s">
        <v>378</v>
      </c>
      <c r="E736" s="15">
        <v>151</v>
      </c>
      <c r="F736" s="15">
        <v>20.6</v>
      </c>
      <c r="G736" s="21" t="s">
        <v>177</v>
      </c>
      <c r="H736" s="20">
        <v>0.85</v>
      </c>
      <c r="I736" s="68">
        <f>MAX('Max rate concentrations'!$F$3:$F$368)</f>
        <v>405</v>
      </c>
      <c r="J736" s="68">
        <f>MAX('Max rate concentrations'!Y:Y)</f>
        <v>135</v>
      </c>
      <c r="K736" s="69">
        <f t="shared" si="61"/>
        <v>17.662788046913079</v>
      </c>
      <c r="L736" s="69">
        <f t="shared" si="62"/>
        <v>5.8875960156376923</v>
      </c>
      <c r="M736" s="69">
        <f>IF((((0.065*F736^0.726)/3.7-(0.301*F736^0.751)/(1-H736)*H736)*(MAX('Max rate concentrations'!$P$3:$P$368)))/F736&gt;0, (((0.065*F736^0.726)/3.7-(0.301*F736^0.751)/(1-H736)*H736)*(MAX('Max rate concentrations'!$P$3:$P$368)))/F736, 0)</f>
        <v>0</v>
      </c>
      <c r="N736" s="69">
        <f>IF((((0.065*F736^0.726)/3.7-(0.301*F736^0.751)/(1-H736)*H736)*(MAX('Max rate concentrations'!$Q$3:$Q$368)))/F736&gt;0, (((0.065*F736^0.726)/3.7-(0.301*F736^0.751)/(1-H736)*H736)*(MAX('Max rate concentrations'!$Q$3:$Q$368)))/F736, 0)</f>
        <v>0</v>
      </c>
      <c r="O736" s="69" t="s">
        <v>13</v>
      </c>
      <c r="P736" s="69" t="s">
        <v>13</v>
      </c>
      <c r="Q736" s="69">
        <f>(inputs!$C$18*11.2)*(25.05*F736^0.63)*0.5*1/F736</f>
        <v>137.39981260129687</v>
      </c>
      <c r="R736" s="59">
        <f>(60*76.9*((F736/1000)^0.76)*3*24*(MAX('Max rate concentrations'!$R$3:$R$368))/F736)</f>
        <v>6.499495571733716E-3</v>
      </c>
      <c r="S736" s="59">
        <f>(IF(inputs!$C$17="aerial",((0.025*0.112*inputs!$C$18/3.3)*(3*60*76.9*((F736/1000)^0.76))*MAX(inputs!$I$14:$I$16))/F736,((0.0083*0.112*inputs!$C$18/1)*(3*60*76.9*((F736/1000)^0.76))*MAX(inputs!$I$14:$I$16))/F736))</f>
        <v>2.7443918006412157E-2</v>
      </c>
      <c r="T736" s="63">
        <f>IF((((inputs!$P$13/(V736/MAX(K736:S736)))^(1/inputs!$O$13))-1)/inputs!$N$13&lt;0, 0, IF((((inputs!$P$13/(V736/MAX(K736:S736)))^(1/inputs!$O$13))-1)/inputs!$N$13&lt;inputs!$I$17, (((inputs!$P$13/(V736/MAX(K736:S736)))^(1/inputs!$O$13))-1)/inputs!$N$13, inputs!$I$17))</f>
        <v>1000</v>
      </c>
      <c r="U736" s="63">
        <f>IF((((inputs!$P$13/(X736/MAX(K736:S736)))^(1/inputs!$O$13))-1)/inputs!$N$13&lt;0, 0, IF((((inputs!$P$13/(X736/MAX(K736:S736)))^(1/inputs!$O$13))-1)/inputs!$N$13&lt;inputs!$I$17, (((inputs!$P$13/(X736/MAX(K736:S736)))^(1/inputs!$O$13))-1)/inputs!$N$13, inputs!$I$17))</f>
        <v>1000</v>
      </c>
      <c r="V736" s="21">
        <f>inputs!$E$87*(F736/inputs!$F$87)^(1)</f>
        <v>3.9139999999999999E-3</v>
      </c>
      <c r="W736" s="21">
        <f>inputs!$E$90*(F736/inputs!$F$90)^(1)</f>
        <v>4.1200000000000004E-3</v>
      </c>
      <c r="X736" s="21">
        <f>inputs!$E$89*(F736/inputs!$F$89)^(1)</f>
        <v>1.538481012658228E-2</v>
      </c>
      <c r="Y736" s="21" t="s">
        <v>13</v>
      </c>
      <c r="Z736" s="63">
        <f t="shared" si="59"/>
        <v>35104.704292615454</v>
      </c>
      <c r="AA736" s="63">
        <f t="shared" si="60"/>
        <v>33349.469077984671</v>
      </c>
    </row>
    <row r="737" spans="1:27" ht="13.2" x14ac:dyDescent="0.25">
      <c r="A737" s="103" t="s">
        <v>401</v>
      </c>
      <c r="B737" s="20" t="s">
        <v>402</v>
      </c>
      <c r="C737" s="21" t="s">
        <v>79</v>
      </c>
      <c r="D737" s="105" t="s">
        <v>378</v>
      </c>
      <c r="E737" s="15">
        <v>151</v>
      </c>
      <c r="F737" s="15">
        <v>20.6</v>
      </c>
      <c r="G737" s="21" t="s">
        <v>145</v>
      </c>
      <c r="H737" s="20">
        <v>0.66</v>
      </c>
      <c r="I737" s="68">
        <f>MAX('Max rate concentrations'!$M$3:$M$368)</f>
        <v>17.092910873809167</v>
      </c>
      <c r="J737" s="68">
        <f>MAX('Max rate concentrations'!AE:AE)</f>
        <v>11.81956602976166</v>
      </c>
      <c r="K737" s="69">
        <f t="shared" si="61"/>
        <v>0.32887632011859169</v>
      </c>
      <c r="L737" s="69">
        <f t="shared" si="62"/>
        <v>0.22741447667774961</v>
      </c>
      <c r="M737" s="69">
        <f>IF((((0.065*F737^0.726)/3.7-(0.301*F737^0.751)/(1-H737)*H737)*(MAX('Max rate concentrations'!$P$3:$P$368)))/F737&gt;0, (((0.065*F737^0.726)/3.7-(0.301*F737^0.751)/(1-H737)*H737)*(MAX('Max rate concentrations'!$P$3:$P$368)))/F737, 0)</f>
        <v>0</v>
      </c>
      <c r="N737" s="69">
        <f>IF((((0.065*F737^0.726)/3.7-(0.301*F737^0.751)/(1-H737)*H737)*(MAX('Max rate concentrations'!$Q$3:$Q$368)))/F737&gt;0, (((0.065*F737^0.726)/3.7-(0.301*F737^0.751)/(1-H737)*H737)*(MAX('Max rate concentrations'!$Q$3:$Q$368)))/F737, 0)</f>
        <v>0</v>
      </c>
      <c r="O737" s="69" t="s">
        <v>13</v>
      </c>
      <c r="P737" s="69" t="s">
        <v>13</v>
      </c>
      <c r="Q737" s="69">
        <f>(inputs!$C$18*11.2)*(25.05*F737^0.63)*0.5*1/F737</f>
        <v>137.39981260129687</v>
      </c>
      <c r="R737" s="59">
        <f>(60*76.9*((F737/1000)^0.76)*3*24*(MAX('Max rate concentrations'!$R$3:$R$368))/F737)</f>
        <v>6.499495571733716E-3</v>
      </c>
      <c r="S737" s="59">
        <f>(IF(inputs!$C$17="aerial",((0.025*0.112*inputs!$C$18/3.3)*(3*60*76.9*((F737/1000)^0.76))*MAX(inputs!$I$14:$I$16))/F737,((0.0083*0.112*inputs!$C$18/1)*(3*60*76.9*((F737/1000)^0.76))*MAX(inputs!$I$14:$I$16))/F737))</f>
        <v>2.7443918006412157E-2</v>
      </c>
      <c r="T737" s="63">
        <f>IF((((inputs!$P$13/(V737/MAX(K737:S737)))^(1/inputs!$O$13))-1)/inputs!$N$13&lt;0, 0, IF((((inputs!$P$13/(V737/MAX(K737:S737)))^(1/inputs!$O$13))-1)/inputs!$N$13&lt;inputs!$I$17, (((inputs!$P$13/(V737/MAX(K737:S737)))^(1/inputs!$O$13))-1)/inputs!$N$13, inputs!$I$17))</f>
        <v>1000</v>
      </c>
      <c r="U737" s="63">
        <f>IF((((inputs!$P$13/(X737/MAX(K737:S737)))^(1/inputs!$O$13))-1)/inputs!$N$13&lt;0, 0, IF((((inputs!$P$13/(X737/MAX(K737:S737)))^(1/inputs!$O$13))-1)/inputs!$N$13&lt;inputs!$I$17, (((inputs!$P$13/(X737/MAX(K737:S737)))^(1/inputs!$O$13))-1)/inputs!$N$13, inputs!$I$17))</f>
        <v>1000</v>
      </c>
      <c r="V737" s="21">
        <f>inputs!$E$87*(F737/inputs!$F$87)^(1)</f>
        <v>3.9139999999999999E-3</v>
      </c>
      <c r="W737" s="21">
        <f>inputs!$E$90*(F737/inputs!$F$90)^(1)</f>
        <v>4.1200000000000004E-3</v>
      </c>
      <c r="X737" s="21">
        <f>inputs!$E$89*(F737/inputs!$F$89)^(1)</f>
        <v>1.538481012658228E-2</v>
      </c>
      <c r="Y737" s="21" t="s">
        <v>13</v>
      </c>
      <c r="Z737" s="63">
        <f t="shared" si="59"/>
        <v>35104.704292615454</v>
      </c>
      <c r="AA737" s="63">
        <f t="shared" si="60"/>
        <v>33349.469077984671</v>
      </c>
    </row>
    <row r="738" spans="1:27" ht="13.2" x14ac:dyDescent="0.25">
      <c r="A738" s="120" t="s">
        <v>436</v>
      </c>
      <c r="B738" s="20" t="s">
        <v>437</v>
      </c>
      <c r="C738" s="21" t="s">
        <v>79</v>
      </c>
      <c r="D738" s="105" t="s">
        <v>378</v>
      </c>
      <c r="E738" s="15">
        <v>175</v>
      </c>
      <c r="F738" s="15">
        <v>9.8000000000000007</v>
      </c>
      <c r="G738" s="21" t="s">
        <v>142</v>
      </c>
      <c r="H738" s="21">
        <v>0.69</v>
      </c>
      <c r="I738" s="68">
        <f>MAX('Max rate concentrations'!$H$3:$H$368)</f>
        <v>282</v>
      </c>
      <c r="J738" s="68">
        <f>MAX('Max rate concentrations'!AA:AA)</f>
        <v>195</v>
      </c>
      <c r="K738" s="69">
        <f t="shared" si="61"/>
        <v>7.044050285449444</v>
      </c>
      <c r="L738" s="69">
        <f t="shared" si="62"/>
        <v>4.8708858356831266</v>
      </c>
      <c r="M738" s="69">
        <f>IF((((0.065*F738^0.726)/3.7-(0.301*F738^0.751)/(1-H738)*H738)*(MAX('Max rate concentrations'!$P$3:$P$368)))/F738&gt;0, (((0.065*F738^0.726)/3.7-(0.301*F738^0.751)/(1-H738)*H738)*(MAX('Max rate concentrations'!$P$3:$P$368)))/F738, 0)</f>
        <v>0</v>
      </c>
      <c r="N738" s="69">
        <f>IF((((0.065*F738^0.726)/3.7-(0.301*F738^0.751)/(1-H738)*H738)*(MAX('Max rate concentrations'!$Q$3:$Q$368)))/F738&gt;0, (((0.065*F738^0.726)/3.7-(0.301*F738^0.751)/(1-H738)*H738)*(MAX('Max rate concentrations'!$Q$3:$Q$368)))/F738, 0)</f>
        <v>0</v>
      </c>
      <c r="O738" s="69" t="s">
        <v>13</v>
      </c>
      <c r="P738" s="69" t="s">
        <v>13</v>
      </c>
      <c r="Q738" s="69">
        <f>(inputs!$C$18*11.2)*(25.05*F738^0.63)*0.5*1/F738</f>
        <v>180.86867785785628</v>
      </c>
      <c r="R738" s="59">
        <f>(60*76.9*((F738/1000)^0.76)*3*24*(MAX('Max rate concentrations'!$R$3:$R$368))/F738)</f>
        <v>7.7680770914213002E-3</v>
      </c>
      <c r="S738" s="59">
        <f>(IF(inputs!$C$17="aerial",((0.025*0.112*inputs!$C$18/3.3)*(3*60*76.9*((F738/1000)^0.76))*MAX(inputs!$I$14:$I$16))/F738,((0.0083*0.112*inputs!$C$18/1)*(3*60*76.9*((F738/1000)^0.76))*MAX(inputs!$I$14:$I$16))/F738))</f>
        <v>3.2800464037794262E-2</v>
      </c>
      <c r="T738" s="63">
        <f>IF((((inputs!$P$13/(V738/MAX(K738:S738)))^(1/inputs!$O$13))-1)/inputs!$N$13&lt;0, 0, IF((((inputs!$P$13/(V738/MAX(K738:S738)))^(1/inputs!$O$13))-1)/inputs!$N$13&lt;inputs!$I$17, (((inputs!$P$13/(V738/MAX(K738:S738)))^(1/inputs!$O$13))-1)/inputs!$N$13, inputs!$I$17))</f>
        <v>1000</v>
      </c>
      <c r="U738" s="63">
        <f>IF((((inputs!$P$13/(X738/MAX(K738:S738)))^(1/inputs!$O$13))-1)/inputs!$N$13&lt;0, 0, IF((((inputs!$P$13/(X738/MAX(K738:S738)))^(1/inputs!$O$13))-1)/inputs!$N$13&lt;inputs!$I$17, (((inputs!$P$13/(X738/MAX(K738:S738)))^(1/inputs!$O$13))-1)/inputs!$N$13, inputs!$I$17))</f>
        <v>1000</v>
      </c>
      <c r="V738" s="21">
        <f>inputs!$E$87*(F738/inputs!$F$87)^(1)</f>
        <v>1.8619999999999999E-3</v>
      </c>
      <c r="W738" s="21">
        <f>inputs!$E$90*(F738/inputs!$F$90)^(1)</f>
        <v>1.9600000000000004E-3</v>
      </c>
      <c r="X738" s="21">
        <f>inputs!$E$89*(F738/inputs!$F$89)^(1)</f>
        <v>7.3189873417721521E-3</v>
      </c>
      <c r="Y738" s="21" t="s">
        <v>13</v>
      </c>
      <c r="Z738" s="63">
        <f t="shared" si="59"/>
        <v>97136.776507978677</v>
      </c>
      <c r="AA738" s="63">
        <f t="shared" si="60"/>
        <v>92279.937682579723</v>
      </c>
    </row>
    <row r="739" spans="1:27" ht="13.2" x14ac:dyDescent="0.25">
      <c r="A739" s="120" t="s">
        <v>436</v>
      </c>
      <c r="B739" s="20" t="s">
        <v>437</v>
      </c>
      <c r="C739" s="21" t="s">
        <v>79</v>
      </c>
      <c r="D739" s="105" t="s">
        <v>378</v>
      </c>
      <c r="E739" s="15">
        <v>175</v>
      </c>
      <c r="F739" s="15">
        <v>9.8000000000000007</v>
      </c>
      <c r="G739" s="21" t="s">
        <v>158</v>
      </c>
      <c r="H739" s="20">
        <v>0.85</v>
      </c>
      <c r="I739" s="68">
        <f>MAX('Max rate concentrations'!$F$3:$F$368)</f>
        <v>405</v>
      </c>
      <c r="J739" s="68">
        <f>MAX('Max rate concentrations'!Y:Y)</f>
        <v>135</v>
      </c>
      <c r="K739" s="69">
        <f t="shared" si="61"/>
        <v>20.907340740855268</v>
      </c>
      <c r="L739" s="69">
        <f t="shared" si="62"/>
        <v>6.9691135802850894</v>
      </c>
      <c r="M739" s="69">
        <f>IF((((0.065*F739^0.726)/3.7-(0.301*F739^0.751)/(1-H739)*H739)*(MAX('Max rate concentrations'!$P$3:$P$368)))/F739&gt;0, (((0.065*F739^0.726)/3.7-(0.301*F739^0.751)/(1-H739)*H739)*(MAX('Max rate concentrations'!$P$3:$P$368)))/F739, 0)</f>
        <v>0</v>
      </c>
      <c r="N739" s="69">
        <f>IF((((0.065*F739^0.726)/3.7-(0.301*F739^0.751)/(1-H739)*H739)*(MAX('Max rate concentrations'!$Q$3:$Q$368)))/F739&gt;0, (((0.065*F739^0.726)/3.7-(0.301*F739^0.751)/(1-H739)*H739)*(MAX('Max rate concentrations'!$Q$3:$Q$368)))/F739, 0)</f>
        <v>0</v>
      </c>
      <c r="O739" s="69" t="s">
        <v>13</v>
      </c>
      <c r="P739" s="69" t="s">
        <v>13</v>
      </c>
      <c r="Q739" s="69">
        <f>(inputs!$C$18*11.2)*(25.05*F739^0.63)*0.5*1/F739</f>
        <v>180.86867785785628</v>
      </c>
      <c r="R739" s="59">
        <f>(60*76.9*((F739/1000)^0.76)*3*24*(MAX('Max rate concentrations'!$R$3:$R$368))/F739)</f>
        <v>7.7680770914213002E-3</v>
      </c>
      <c r="S739" s="59">
        <f>(IF(inputs!$C$17="aerial",((0.025*0.112*inputs!$C$18/3.3)*(3*60*76.9*((F739/1000)^0.76))*MAX(inputs!$I$14:$I$16))/F739,((0.0083*0.112*inputs!$C$18/1)*(3*60*76.9*((F739/1000)^0.76))*MAX(inputs!$I$14:$I$16))/F739))</f>
        <v>3.2800464037794262E-2</v>
      </c>
      <c r="T739" s="63">
        <f>IF((((inputs!$P$13/(V739/MAX(K739:S739)))^(1/inputs!$O$13))-1)/inputs!$N$13&lt;0, 0, IF((((inputs!$P$13/(V739/MAX(K739:S739)))^(1/inputs!$O$13))-1)/inputs!$N$13&lt;inputs!$I$17, (((inputs!$P$13/(V739/MAX(K739:S739)))^(1/inputs!$O$13))-1)/inputs!$N$13, inputs!$I$17))</f>
        <v>1000</v>
      </c>
      <c r="U739" s="63">
        <f>IF((((inputs!$P$13/(X739/MAX(K739:S739)))^(1/inputs!$O$13))-1)/inputs!$N$13&lt;0, 0, IF((((inputs!$P$13/(X739/MAX(K739:S739)))^(1/inputs!$O$13))-1)/inputs!$N$13&lt;inputs!$I$17, (((inputs!$P$13/(X739/MAX(K739:S739)))^(1/inputs!$O$13))-1)/inputs!$N$13, inputs!$I$17))</f>
        <v>1000</v>
      </c>
      <c r="V739" s="21">
        <f>inputs!$E$87*(F739/inputs!$F$87)^(1)</f>
        <v>1.8619999999999999E-3</v>
      </c>
      <c r="W739" s="21">
        <f>inputs!$E$90*(F739/inputs!$F$90)^(1)</f>
        <v>1.9600000000000004E-3</v>
      </c>
      <c r="X739" s="21">
        <f>inputs!$E$89*(F739/inputs!$F$89)^(1)</f>
        <v>7.3189873417721521E-3</v>
      </c>
      <c r="Y739" s="21" t="s">
        <v>13</v>
      </c>
      <c r="Z739" s="63">
        <f t="shared" si="59"/>
        <v>97136.776507978677</v>
      </c>
      <c r="AA739" s="63">
        <f t="shared" si="60"/>
        <v>92279.937682579723</v>
      </c>
    </row>
    <row r="740" spans="1:27" ht="13.2" x14ac:dyDescent="0.25">
      <c r="A740" s="120" t="s">
        <v>436</v>
      </c>
      <c r="B740" s="20" t="s">
        <v>437</v>
      </c>
      <c r="C740" s="21" t="s">
        <v>79</v>
      </c>
      <c r="D740" s="105" t="s">
        <v>378</v>
      </c>
      <c r="E740" s="15">
        <v>175</v>
      </c>
      <c r="F740" s="15">
        <v>9.8000000000000007</v>
      </c>
      <c r="G740" s="21" t="s">
        <v>145</v>
      </c>
      <c r="H740" s="20">
        <v>0.66</v>
      </c>
      <c r="I740" s="68">
        <f>MAX('Max rate concentrations'!$M$3:$M$368)</f>
        <v>17.092910873809167</v>
      </c>
      <c r="J740" s="68">
        <f>MAX('Max rate concentrations'!AE:AE)</f>
        <v>11.81956602976166</v>
      </c>
      <c r="K740" s="69">
        <f t="shared" si="61"/>
        <v>0.38928901077537964</v>
      </c>
      <c r="L740" s="69">
        <f t="shared" si="62"/>
        <v>0.26918920957872</v>
      </c>
      <c r="M740" s="69">
        <f>IF((((0.065*F740^0.726)/3.7-(0.301*F740^0.751)/(1-H740)*H740)*(MAX('Max rate concentrations'!$P$3:$P$368)))/F740&gt;0, (((0.065*F740^0.726)/3.7-(0.301*F740^0.751)/(1-H740)*H740)*(MAX('Max rate concentrations'!$P$3:$P$368)))/F740, 0)</f>
        <v>0</v>
      </c>
      <c r="N740" s="69">
        <f>IF((((0.065*F740^0.726)/3.7-(0.301*F740^0.751)/(1-H740)*H740)*(MAX('Max rate concentrations'!$Q$3:$Q$368)))/F740&gt;0, (((0.065*F740^0.726)/3.7-(0.301*F740^0.751)/(1-H740)*H740)*(MAX('Max rate concentrations'!$Q$3:$Q$368)))/F740, 0)</f>
        <v>0</v>
      </c>
      <c r="O740" s="69" t="s">
        <v>13</v>
      </c>
      <c r="P740" s="69" t="s">
        <v>13</v>
      </c>
      <c r="Q740" s="69">
        <f>(inputs!$C$18*11.2)*(25.05*F740^0.63)*0.5*1/F740</f>
        <v>180.86867785785628</v>
      </c>
      <c r="R740" s="59">
        <f>(60*76.9*((F740/1000)^0.76)*3*24*(MAX('Max rate concentrations'!$R$3:$R$368))/F740)</f>
        <v>7.7680770914213002E-3</v>
      </c>
      <c r="S740" s="59">
        <f>(IF(inputs!$C$17="aerial",((0.025*0.112*inputs!$C$18/3.3)*(3*60*76.9*((F740/1000)^0.76))*MAX(inputs!$I$14:$I$16))/F740,((0.0083*0.112*inputs!$C$18/1)*(3*60*76.9*((F740/1000)^0.76))*MAX(inputs!$I$14:$I$16))/F740))</f>
        <v>3.2800464037794262E-2</v>
      </c>
      <c r="T740" s="63">
        <f>IF((((inputs!$P$13/(V740/MAX(K740:S740)))^(1/inputs!$O$13))-1)/inputs!$N$13&lt;0, 0, IF((((inputs!$P$13/(V740/MAX(K740:S740)))^(1/inputs!$O$13))-1)/inputs!$N$13&lt;inputs!$I$17, (((inputs!$P$13/(V740/MAX(K740:S740)))^(1/inputs!$O$13))-1)/inputs!$N$13, inputs!$I$17))</f>
        <v>1000</v>
      </c>
      <c r="U740" s="63">
        <f>IF((((inputs!$P$13/(X740/MAX(K740:S740)))^(1/inputs!$O$13))-1)/inputs!$N$13&lt;0, 0, IF((((inputs!$P$13/(X740/MAX(K740:S740)))^(1/inputs!$O$13))-1)/inputs!$N$13&lt;inputs!$I$17, (((inputs!$P$13/(X740/MAX(K740:S740)))^(1/inputs!$O$13))-1)/inputs!$N$13, inputs!$I$17))</f>
        <v>1000</v>
      </c>
      <c r="V740" s="21">
        <f>inputs!$E$87*(F740/inputs!$F$87)^(1)</f>
        <v>1.8619999999999999E-3</v>
      </c>
      <c r="W740" s="21">
        <f>inputs!$E$90*(F740/inputs!$F$90)^(1)</f>
        <v>1.9600000000000004E-3</v>
      </c>
      <c r="X740" s="21">
        <f>inputs!$E$89*(F740/inputs!$F$89)^(1)</f>
        <v>7.3189873417721521E-3</v>
      </c>
      <c r="Y740" s="21" t="s">
        <v>13</v>
      </c>
      <c r="Z740" s="63">
        <f t="shared" si="59"/>
        <v>97136.776507978677</v>
      </c>
      <c r="AA740" s="63">
        <f t="shared" si="60"/>
        <v>92279.937682579723</v>
      </c>
    </row>
    <row r="741" spans="1:27" ht="13.2" x14ac:dyDescent="0.25">
      <c r="A741" s="103" t="s">
        <v>420</v>
      </c>
      <c r="B741" s="20" t="s">
        <v>421</v>
      </c>
      <c r="C741" s="21" t="s">
        <v>79</v>
      </c>
      <c r="D741" s="105" t="s">
        <v>378</v>
      </c>
      <c r="E741" s="15">
        <v>180</v>
      </c>
      <c r="F741" s="15">
        <v>50</v>
      </c>
      <c r="G741" s="21" t="s">
        <v>164</v>
      </c>
      <c r="H741" s="20">
        <v>0.78</v>
      </c>
      <c r="I741" s="68">
        <f>inputs!$C$66*(inputs!$C$62/1000)</f>
        <v>8.2000000000000011</v>
      </c>
      <c r="J741" s="68">
        <f>inputs!$C$66*(inputs!$C$61/1000)</f>
        <v>2.5</v>
      </c>
      <c r="K741" s="69">
        <f t="shared" si="61"/>
        <v>0.19937391312813799</v>
      </c>
      <c r="L741" s="69">
        <f t="shared" si="62"/>
        <v>6.0784729612237173E-2</v>
      </c>
      <c r="M741" s="69">
        <f>IF((((0.065*F741^0.726)/3.7-(0.301*F741^0.751)/(1-H741)*H741)*(MAX('Max rate concentrations'!$P$3:$P$368)))/F741&gt;0, (((0.065*F741^0.726)/3.7-(0.301*F741^0.751)/(1-H741)*H741)*(MAX('Max rate concentrations'!$P$3:$P$368)))/F741, 0)</f>
        <v>0</v>
      </c>
      <c r="N741" s="69">
        <f>IF((((0.065*F741^0.726)/3.7-(0.301*F741^0.751)/(1-H741)*H741)*(MAX('Max rate concentrations'!$Q$3:$Q$368)))/F741&gt;0, (((0.065*F741^0.726)/3.7-(0.301*F741^0.751)/(1-H741)*H741)*(MAX('Max rate concentrations'!$Q$3:$Q$368)))/F741, 0)</f>
        <v>0</v>
      </c>
      <c r="O741" s="69" t="s">
        <v>13</v>
      </c>
      <c r="P741" s="69" t="s">
        <v>13</v>
      </c>
      <c r="Q741" s="69">
        <f>(inputs!$C$18*11.2)*(25.05*F741^0.63)*0.5*1/F741</f>
        <v>98.968755759264837</v>
      </c>
      <c r="R741" s="59">
        <f>(60*76.9*((F741/1000)^0.76)*3*24*(MAX('Max rate concentrations'!$R$3:$R$368))/F741)</f>
        <v>5.2535755736280209E-3</v>
      </c>
      <c r="S741" s="59">
        <f>(IF(inputs!$C$17="aerial",((0.025*0.112*inputs!$C$18/3.3)*(3*60*76.9*((F741/1000)^0.76))*MAX(inputs!$I$14:$I$16))/F741,((0.0083*0.112*inputs!$C$18/1)*(3*60*76.9*((F741/1000)^0.76))*MAX(inputs!$I$14:$I$16))/F741))</f>
        <v>2.2183059545446849E-2</v>
      </c>
      <c r="T741" s="63">
        <f>IF((((inputs!$P$13/(V741/MAX(K741:S741)))^(1/inputs!$O$13))-1)/inputs!$N$13&lt;0, 0, IF((((inputs!$P$13/(V741/MAX(K741:S741)))^(1/inputs!$O$13))-1)/inputs!$N$13&lt;inputs!$I$17, (((inputs!$P$13/(V741/MAX(K741:S741)))^(1/inputs!$O$13))-1)/inputs!$N$13, inputs!$I$17))</f>
        <v>1000</v>
      </c>
      <c r="U741" s="63">
        <f>IF((((inputs!$P$13/(X741/MAX(K741:S741)))^(1/inputs!$O$13))-1)/inputs!$N$13&lt;0, 0, IF((((inputs!$P$13/(X741/MAX(K741:S741)))^(1/inputs!$O$13))-1)/inputs!$N$13&lt;inputs!$I$17, (((inputs!$P$13/(X741/MAX(K741:S741)))^(1/inputs!$O$13))-1)/inputs!$N$13, inputs!$I$17))</f>
        <v>1000</v>
      </c>
      <c r="V741" s="21">
        <f>inputs!$E$87*(F741/inputs!$F$87)^(1)</f>
        <v>9.4999999999999998E-3</v>
      </c>
      <c r="W741" s="21">
        <f>inputs!$E$90*(F741/inputs!$F$90)^(1)</f>
        <v>0.01</v>
      </c>
      <c r="X741" s="21">
        <f>inputs!$E$89*(F741/inputs!$F$89)^(1)</f>
        <v>3.7341772151898732E-2</v>
      </c>
      <c r="Y741" s="21" t="s">
        <v>13</v>
      </c>
      <c r="Z741" s="63">
        <f t="shared" si="59"/>
        <v>10417.76376413314</v>
      </c>
      <c r="AA741" s="63">
        <f t="shared" si="60"/>
        <v>9896.8755759264841</v>
      </c>
    </row>
    <row r="742" spans="1:27" ht="26.4" x14ac:dyDescent="0.25">
      <c r="A742" s="103" t="s">
        <v>420</v>
      </c>
      <c r="B742" s="20" t="s">
        <v>421</v>
      </c>
      <c r="C742" s="21" t="s">
        <v>79</v>
      </c>
      <c r="D742" s="105" t="s">
        <v>378</v>
      </c>
      <c r="E742" s="15">
        <v>180</v>
      </c>
      <c r="F742" s="15">
        <v>50</v>
      </c>
      <c r="G742" s="21" t="s">
        <v>634</v>
      </c>
      <c r="H742" s="21">
        <v>0.75</v>
      </c>
      <c r="I742" s="68">
        <f>inputs!$C$66*inputs!$C$64/1000</f>
        <v>21.3</v>
      </c>
      <c r="J742" s="68">
        <f>inputs!$C$66*inputs!$C$63/1000</f>
        <v>8.8000000000000007</v>
      </c>
      <c r="K742" s="69">
        <f t="shared" si="61"/>
        <v>0.45573958874070941</v>
      </c>
      <c r="L742" s="69">
        <f t="shared" si="62"/>
        <v>0.18828677844686589</v>
      </c>
      <c r="M742" s="69">
        <f>IF((((0.065*F742^0.726)/3.7-(0.301*F742^0.751)/(1-H742)*H742)*(MAX('Max rate concentrations'!$P$3:$P$368)))/F742&gt;0, (((0.065*F742^0.726)/3.7-(0.301*F742^0.751)/(1-H742)*H742)*(MAX('Max rate concentrations'!$P$3:$P$368)))/F742, 0)</f>
        <v>0</v>
      </c>
      <c r="N742" s="69">
        <f>IF((((0.065*F742^0.726)/3.7-(0.301*F742^0.751)/(1-H742)*H742)*(MAX('Max rate concentrations'!$Q$3:$Q$368)))/F742&gt;0, (((0.065*F742^0.726)/3.7-(0.301*F742^0.751)/(1-H742)*H742)*(MAX('Max rate concentrations'!$Q$3:$Q$368)))/F742, 0)</f>
        <v>0</v>
      </c>
      <c r="O742" s="69" t="s">
        <v>13</v>
      </c>
      <c r="P742" s="69" t="s">
        <v>13</v>
      </c>
      <c r="Q742" s="69">
        <f>(inputs!$C$18*11.2)*(25.05*F742^0.63)*0.5*1/F742</f>
        <v>98.968755759264837</v>
      </c>
      <c r="R742" s="59">
        <f>(60*76.9*((F742/1000)^0.76)*3*24*(MAX('Max rate concentrations'!$R$3:$R$368))/F742)</f>
        <v>5.2535755736280209E-3</v>
      </c>
      <c r="S742" s="59">
        <f>(IF(inputs!$C$17="aerial",((0.025*0.112*inputs!$C$18/3.3)*(3*60*76.9*((F742/1000)^0.76))*MAX(inputs!$I$14:$I$16))/F742,((0.0083*0.112*inputs!$C$18/1)*(3*60*76.9*((F742/1000)^0.76))*MAX(inputs!$I$14:$I$16))/F742))</f>
        <v>2.2183059545446849E-2</v>
      </c>
      <c r="T742" s="63">
        <f>IF((((inputs!$P$13/(V742/MAX(K742:S742)))^(1/inputs!$O$13))-1)/inputs!$N$13&lt;0, 0, IF((((inputs!$P$13/(V742/MAX(K742:S742)))^(1/inputs!$O$13))-1)/inputs!$N$13&lt;inputs!$I$17, (((inputs!$P$13/(V742/MAX(K742:S742)))^(1/inputs!$O$13))-1)/inputs!$N$13, inputs!$I$17))</f>
        <v>1000</v>
      </c>
      <c r="U742" s="63">
        <f>IF((((inputs!$P$13/(X742/MAX(K742:S742)))^(1/inputs!$O$13))-1)/inputs!$N$13&lt;0, 0, IF((((inputs!$P$13/(X742/MAX(K742:S742)))^(1/inputs!$O$13))-1)/inputs!$N$13&lt;inputs!$I$17, (((inputs!$P$13/(X742/MAX(K742:S742)))^(1/inputs!$O$13))-1)/inputs!$N$13, inputs!$I$17))</f>
        <v>1000</v>
      </c>
      <c r="V742" s="21">
        <f>inputs!$E$87*(F742/inputs!$F$87)^(1)</f>
        <v>9.4999999999999998E-3</v>
      </c>
      <c r="W742" s="21">
        <f>inputs!$E$90*(F742/inputs!$F$90)^(1)</f>
        <v>0.01</v>
      </c>
      <c r="X742" s="21">
        <f>inputs!$E$89*(F742/inputs!$F$89)^(1)</f>
        <v>3.7341772151898732E-2</v>
      </c>
      <c r="Y742" s="21" t="s">
        <v>13</v>
      </c>
      <c r="Z742" s="63">
        <f t="shared" si="59"/>
        <v>10417.76376413314</v>
      </c>
      <c r="AA742" s="63">
        <f t="shared" si="60"/>
        <v>9896.8755759264841</v>
      </c>
    </row>
    <row r="743" spans="1:27" ht="13.2" x14ac:dyDescent="0.25">
      <c r="A743" s="103" t="s">
        <v>379</v>
      </c>
      <c r="B743" s="20" t="s">
        <v>380</v>
      </c>
      <c r="C743" s="21" t="s">
        <v>79</v>
      </c>
      <c r="D743" s="105" t="s">
        <v>378</v>
      </c>
      <c r="E743" s="15">
        <v>162</v>
      </c>
      <c r="F743" s="15">
        <v>78</v>
      </c>
      <c r="G743" s="21" t="s">
        <v>142</v>
      </c>
      <c r="H743" s="21">
        <v>0.69</v>
      </c>
      <c r="I743" s="68">
        <f>MAX('Max rate concentrations'!$H$3:$H$368)</f>
        <v>282</v>
      </c>
      <c r="J743" s="68">
        <f>MAX('Max rate concentrations'!AA:AA)</f>
        <v>195</v>
      </c>
      <c r="K743" s="69">
        <f t="shared" si="61"/>
        <v>4.3987096091397886</v>
      </c>
      <c r="L743" s="69">
        <f t="shared" si="62"/>
        <v>3.0416608999370882</v>
      </c>
      <c r="M743" s="69">
        <f>IF((((0.065*F743^0.726)/3.7-(0.301*F743^0.751)/(1-H743)*H743)*(MAX('Max rate concentrations'!$P$3:$P$368)))/F743&gt;0, (((0.065*F743^0.726)/3.7-(0.301*F743^0.751)/(1-H743)*H743)*(MAX('Max rate concentrations'!$P$3:$P$368)))/F743, 0)</f>
        <v>0</v>
      </c>
      <c r="N743" s="69">
        <f>IF((((0.065*F743^0.726)/3.7-(0.301*F743^0.751)/(1-H743)*H743)*(MAX('Max rate concentrations'!$Q$3:$Q$368)))/F743&gt;0, (((0.065*F743^0.726)/3.7-(0.301*F743^0.751)/(1-H743)*H743)*(MAX('Max rate concentrations'!$Q$3:$Q$368)))/F743, 0)</f>
        <v>0</v>
      </c>
      <c r="O743" s="69" t="s">
        <v>13</v>
      </c>
      <c r="P743" s="69" t="s">
        <v>13</v>
      </c>
      <c r="Q743" s="69">
        <f>(inputs!$C$18*11.2)*(25.05*F743^0.63)*0.5*1/F743</f>
        <v>83.954119069298841</v>
      </c>
      <c r="R743" s="59">
        <f>(60*76.9*((F743/1000)^0.76)*3*24*(MAX('Max rate concentrations'!$R$3:$R$368))/F743)</f>
        <v>4.7217727387428342E-3</v>
      </c>
      <c r="S743" s="59">
        <f>(IF(inputs!$C$17="aerial",((0.025*0.112*inputs!$C$18/3.3)*(3*60*76.9*((F743/1000)^0.76))*MAX(inputs!$I$14:$I$16))/F743,((0.0083*0.112*inputs!$C$18/1)*(3*60*76.9*((F743/1000)^0.76))*MAX(inputs!$I$14:$I$16))/F743))</f>
        <v>1.993753860692369E-2</v>
      </c>
      <c r="T743" s="63">
        <f>IF((((inputs!$P$13/(V743/MAX(K743:S743)))^(1/inputs!$O$13))-1)/inputs!$N$13&lt;0, 0, IF((((inputs!$P$13/(V743/MAX(K743:S743)))^(1/inputs!$O$13))-1)/inputs!$N$13&lt;inputs!$I$17, (((inputs!$P$13/(V743/MAX(K743:S743)))^(1/inputs!$O$13))-1)/inputs!$N$13, inputs!$I$17))</f>
        <v>1000</v>
      </c>
      <c r="U743" s="63">
        <f>IF((((inputs!$P$13/(X743/MAX(K743:S743)))^(1/inputs!$O$13))-1)/inputs!$N$13&lt;0, 0, IF((((inputs!$P$13/(X743/MAX(K743:S743)))^(1/inputs!$O$13))-1)/inputs!$N$13&lt;inputs!$I$17, (((inputs!$P$13/(X743/MAX(K743:S743)))^(1/inputs!$O$13))-1)/inputs!$N$13, inputs!$I$17))</f>
        <v>1000</v>
      </c>
      <c r="V743" s="21">
        <f>inputs!$E$87*(F743/inputs!$F$87)^(1)</f>
        <v>1.482E-2</v>
      </c>
      <c r="W743" s="21">
        <f>inputs!$E$90*(F743/inputs!$F$90)^(1)</f>
        <v>1.5599999999999999E-2</v>
      </c>
      <c r="X743" s="21">
        <f>inputs!$E$89*(F743/inputs!$F$89)^(1)</f>
        <v>5.8253164556962021E-2</v>
      </c>
      <c r="Y743" s="21" t="s">
        <v>13</v>
      </c>
      <c r="Z743" s="63">
        <f t="shared" si="59"/>
        <v>5664.9203150673984</v>
      </c>
      <c r="AA743" s="63">
        <f t="shared" si="60"/>
        <v>5381.6742993140288</v>
      </c>
    </row>
    <row r="744" spans="1:27" ht="13.2" x14ac:dyDescent="0.25">
      <c r="A744" s="103" t="s">
        <v>379</v>
      </c>
      <c r="B744" s="20" t="s">
        <v>380</v>
      </c>
      <c r="C744" s="21" t="s">
        <v>79</v>
      </c>
      <c r="D744" s="105" t="s">
        <v>378</v>
      </c>
      <c r="E744" s="15">
        <v>162</v>
      </c>
      <c r="F744" s="15">
        <v>78</v>
      </c>
      <c r="G744" s="21" t="s">
        <v>152</v>
      </c>
      <c r="H744" s="20">
        <v>0.77</v>
      </c>
      <c r="I744" s="68">
        <f>MAX('Max rate concentrations'!$G$3:$G$368)</f>
        <v>45</v>
      </c>
      <c r="J744" s="68">
        <f>MAX('Max rate concentrations'!Z:Z)</f>
        <v>21</v>
      </c>
      <c r="K744" s="69">
        <f t="shared" si="61"/>
        <v>0.94606844044865968</v>
      </c>
      <c r="L744" s="69">
        <f t="shared" si="62"/>
        <v>0.44149860554270787</v>
      </c>
      <c r="M744" s="69">
        <f>IF((((0.065*F744^0.726)/3.7-(0.301*F744^0.751)/(1-H744)*H744)*(MAX('Max rate concentrations'!$P$3:$P$368)))/F744&gt;0, (((0.065*F744^0.726)/3.7-(0.301*F744^0.751)/(1-H744)*H744)*(MAX('Max rate concentrations'!$P$3:$P$368)))/F744, 0)</f>
        <v>0</v>
      </c>
      <c r="N744" s="69">
        <f>IF((((0.065*F744^0.726)/3.7-(0.301*F744^0.751)/(1-H744)*H744)*(MAX('Max rate concentrations'!$Q$3:$Q$368)))/F744&gt;0, (((0.065*F744^0.726)/3.7-(0.301*F744^0.751)/(1-H744)*H744)*(MAX('Max rate concentrations'!$Q$3:$Q$368)))/F744, 0)</f>
        <v>0</v>
      </c>
      <c r="O744" s="69" t="s">
        <v>13</v>
      </c>
      <c r="P744" s="69" t="s">
        <v>13</v>
      </c>
      <c r="Q744" s="69">
        <f>(inputs!$C$18*11.2)*(25.05*F744^0.63)*0.5*1/F744</f>
        <v>83.954119069298841</v>
      </c>
      <c r="R744" s="59">
        <f>(60*76.9*((F744/1000)^0.76)*3*24*(MAX('Max rate concentrations'!$R$3:$R$368))/F744)</f>
        <v>4.7217727387428342E-3</v>
      </c>
      <c r="S744" s="59">
        <f>(IF(inputs!$C$17="aerial",((0.025*0.112*inputs!$C$18/3.3)*(3*60*76.9*((F744/1000)^0.76))*MAX(inputs!$I$14:$I$16))/F744,((0.0083*0.112*inputs!$C$18/1)*(3*60*76.9*((F744/1000)^0.76))*MAX(inputs!$I$14:$I$16))/F744))</f>
        <v>1.993753860692369E-2</v>
      </c>
      <c r="T744" s="63">
        <f>IF((((inputs!$P$13/(V744/MAX(K744:S744)))^(1/inputs!$O$13))-1)/inputs!$N$13&lt;0, 0, IF((((inputs!$P$13/(V744/MAX(K744:S744)))^(1/inputs!$O$13))-1)/inputs!$N$13&lt;inputs!$I$17, (((inputs!$P$13/(V744/MAX(K744:S744)))^(1/inputs!$O$13))-1)/inputs!$N$13, inputs!$I$17))</f>
        <v>1000</v>
      </c>
      <c r="U744" s="63">
        <f>IF((((inputs!$P$13/(X744/MAX(K744:S744)))^(1/inputs!$O$13))-1)/inputs!$N$13&lt;0, 0, IF((((inputs!$P$13/(X744/MAX(K744:S744)))^(1/inputs!$O$13))-1)/inputs!$N$13&lt;inputs!$I$17, (((inputs!$P$13/(X744/MAX(K744:S744)))^(1/inputs!$O$13))-1)/inputs!$N$13, inputs!$I$17))</f>
        <v>1000</v>
      </c>
      <c r="V744" s="21">
        <f>inputs!$E$87*(F744/inputs!$F$87)^(1)</f>
        <v>1.482E-2</v>
      </c>
      <c r="W744" s="21">
        <f>inputs!$E$90*(F744/inputs!$F$90)^(1)</f>
        <v>1.5599999999999999E-2</v>
      </c>
      <c r="X744" s="21">
        <f>inputs!$E$89*(F744/inputs!$F$89)^(1)</f>
        <v>5.8253164556962021E-2</v>
      </c>
      <c r="Y744" s="21" t="s">
        <v>13</v>
      </c>
      <c r="Z744" s="63">
        <f t="shared" si="59"/>
        <v>5664.9203150673984</v>
      </c>
      <c r="AA744" s="63">
        <f t="shared" si="60"/>
        <v>5381.6742993140288</v>
      </c>
    </row>
    <row r="745" spans="1:27" ht="13.2" x14ac:dyDescent="0.25">
      <c r="A745" s="103" t="s">
        <v>379</v>
      </c>
      <c r="B745" s="20" t="s">
        <v>380</v>
      </c>
      <c r="C745" s="21" t="s">
        <v>79</v>
      </c>
      <c r="D745" s="105" t="s">
        <v>378</v>
      </c>
      <c r="E745" s="15">
        <v>162</v>
      </c>
      <c r="F745" s="15">
        <v>78</v>
      </c>
      <c r="G745" s="21" t="s">
        <v>145</v>
      </c>
      <c r="H745" s="20">
        <v>0.66</v>
      </c>
      <c r="I745" s="68">
        <f>MAX('Max rate concentrations'!$M$3:$M$368)</f>
        <v>17.092910873809167</v>
      </c>
      <c r="J745" s="68">
        <f>MAX('Max rate concentrations'!AE:AE)</f>
        <v>11.81956602976166</v>
      </c>
      <c r="K745" s="69">
        <f t="shared" si="61"/>
        <v>0.24309441912522176</v>
      </c>
      <c r="L745" s="69">
        <f t="shared" si="62"/>
        <v>0.16809720471424913</v>
      </c>
      <c r="M745" s="69">
        <f>IF((((0.065*F745^0.726)/3.7-(0.301*F745^0.751)/(1-H745)*H745)*(MAX('Max rate concentrations'!$P$3:$P$368)))/F745&gt;0, (((0.065*F745^0.726)/3.7-(0.301*F745^0.751)/(1-H745)*H745)*(MAX('Max rate concentrations'!$P$3:$P$368)))/F745, 0)</f>
        <v>0</v>
      </c>
      <c r="N745" s="69">
        <f>IF((((0.065*F745^0.726)/3.7-(0.301*F745^0.751)/(1-H745)*H745)*(MAX('Max rate concentrations'!$Q$3:$Q$368)))/F745&gt;0, (((0.065*F745^0.726)/3.7-(0.301*F745^0.751)/(1-H745)*H745)*(MAX('Max rate concentrations'!$Q$3:$Q$368)))/F745, 0)</f>
        <v>0</v>
      </c>
      <c r="O745" s="69" t="s">
        <v>13</v>
      </c>
      <c r="P745" s="69" t="s">
        <v>13</v>
      </c>
      <c r="Q745" s="69">
        <f>(inputs!$C$18*11.2)*(25.05*F745^0.63)*0.5*1/F745</f>
        <v>83.954119069298841</v>
      </c>
      <c r="R745" s="59">
        <f>(60*76.9*((F745/1000)^0.76)*3*24*(MAX('Max rate concentrations'!$R$3:$R$368))/F745)</f>
        <v>4.7217727387428342E-3</v>
      </c>
      <c r="S745" s="59">
        <f>(IF(inputs!$C$17="aerial",((0.025*0.112*inputs!$C$18/3.3)*(3*60*76.9*((F745/1000)^0.76))*MAX(inputs!$I$14:$I$16))/F745,((0.0083*0.112*inputs!$C$18/1)*(3*60*76.9*((F745/1000)^0.76))*MAX(inputs!$I$14:$I$16))/F745))</f>
        <v>1.993753860692369E-2</v>
      </c>
      <c r="T745" s="63">
        <f>IF((((inputs!$P$13/(V745/MAX(K745:S745)))^(1/inputs!$O$13))-1)/inputs!$N$13&lt;0, 0, IF((((inputs!$P$13/(V745/MAX(K745:S745)))^(1/inputs!$O$13))-1)/inputs!$N$13&lt;inputs!$I$17, (((inputs!$P$13/(V745/MAX(K745:S745)))^(1/inputs!$O$13))-1)/inputs!$N$13, inputs!$I$17))</f>
        <v>1000</v>
      </c>
      <c r="U745" s="63">
        <f>IF((((inputs!$P$13/(X745/MAX(K745:S745)))^(1/inputs!$O$13))-1)/inputs!$N$13&lt;0, 0, IF((((inputs!$P$13/(X745/MAX(K745:S745)))^(1/inputs!$O$13))-1)/inputs!$N$13&lt;inputs!$I$17, (((inputs!$P$13/(X745/MAX(K745:S745)))^(1/inputs!$O$13))-1)/inputs!$N$13, inputs!$I$17))</f>
        <v>1000</v>
      </c>
      <c r="V745" s="21">
        <f>inputs!$E$87*(F745/inputs!$F$87)^(1)</f>
        <v>1.482E-2</v>
      </c>
      <c r="W745" s="21">
        <f>inputs!$E$90*(F745/inputs!$F$90)^(1)</f>
        <v>1.5599999999999999E-2</v>
      </c>
      <c r="X745" s="21">
        <f>inputs!$E$89*(F745/inputs!$F$89)^(1)</f>
        <v>5.8253164556962021E-2</v>
      </c>
      <c r="Y745" s="21" t="s">
        <v>13</v>
      </c>
      <c r="Z745" s="63">
        <f t="shared" si="59"/>
        <v>5664.9203150673984</v>
      </c>
      <c r="AA745" s="63">
        <f t="shared" si="60"/>
        <v>5381.6742993140288</v>
      </c>
    </row>
    <row r="746" spans="1:27" ht="13.2" x14ac:dyDescent="0.25">
      <c r="A746" s="103" t="s">
        <v>391</v>
      </c>
      <c r="B746" s="20" t="s">
        <v>392</v>
      </c>
      <c r="C746" s="21" t="s">
        <v>79</v>
      </c>
      <c r="D746" s="105" t="s">
        <v>378</v>
      </c>
      <c r="E746" s="15">
        <v>173</v>
      </c>
      <c r="F746" s="15">
        <v>550</v>
      </c>
      <c r="G746" s="21" t="s">
        <v>182</v>
      </c>
      <c r="H746" s="20">
        <v>0.85</v>
      </c>
      <c r="I746" s="68">
        <f>MAX('Max rate concentrations'!$M$3:$M$368)</f>
        <v>17.092910873809167</v>
      </c>
      <c r="J746" s="68">
        <f>MAX('Max rate concentrations'!AE:AE)</f>
        <v>11.81956602976166</v>
      </c>
      <c r="K746" s="69">
        <f t="shared" si="61"/>
        <v>0.35367616345583702</v>
      </c>
      <c r="L746" s="69">
        <f t="shared" si="62"/>
        <v>0.24456330451733416</v>
      </c>
      <c r="M746" s="69">
        <f>IF((((0.065*F746^0.726)/3.7-(0.301*F746^0.751)/(1-H746)*H746)*(MAX('Max rate concentrations'!$P$3:$P$368)))/F746&gt;0, (((0.065*F746^0.726)/3.7-(0.301*F746^0.751)/(1-H746)*H746)*(MAX('Max rate concentrations'!$P$3:$P$368)))/F746, 0)</f>
        <v>0</v>
      </c>
      <c r="N746" s="69">
        <f>IF((((0.065*F746^0.726)/3.7-(0.301*F746^0.751)/(1-H746)*H746)*(MAX('Max rate concentrations'!$Q$3:$Q$368)))/F746&gt;0, (((0.065*F746^0.726)/3.7-(0.301*F746^0.751)/(1-H746)*H746)*(MAX('Max rate concentrations'!$Q$3:$Q$368)))/F746, 0)</f>
        <v>0</v>
      </c>
      <c r="O746" s="69" t="s">
        <v>13</v>
      </c>
      <c r="P746" s="69" t="s">
        <v>13</v>
      </c>
      <c r="Q746" s="69">
        <f>(inputs!$C$18*11.2)*(25.05*F746^0.63)*0.5*1/F746</f>
        <v>40.755180115076826</v>
      </c>
      <c r="R746" s="59">
        <f>(60*76.9*((F746/1000)^0.76)*3*24*(MAX('Max rate concentrations'!$R$3:$R$368))/F746)</f>
        <v>2.9547499883225631E-3</v>
      </c>
      <c r="S746" s="59">
        <f>(IF(inputs!$C$17="aerial",((0.025*0.112*inputs!$C$18/3.3)*(3*60*76.9*((F746/1000)^0.76))*MAX(inputs!$I$14:$I$16))/F746,((0.0083*0.112*inputs!$C$18/1)*(3*60*76.9*((F746/1000)^0.76))*MAX(inputs!$I$14:$I$16))/F746))</f>
        <v>1.247633997346371E-2</v>
      </c>
      <c r="T746" s="63">
        <f>IF((((inputs!$P$13/(V746/MAX(K746:S746)))^(1/inputs!$O$13))-1)/inputs!$N$13&lt;0, 0, IF((((inputs!$P$13/(V746/MAX(K746:S746)))^(1/inputs!$O$13))-1)/inputs!$N$13&lt;inputs!$I$17, (((inputs!$P$13/(V746/MAX(K746:S746)))^(1/inputs!$O$13))-1)/inputs!$N$13, inputs!$I$17))</f>
        <v>674.71190484794431</v>
      </c>
      <c r="U746" s="63">
        <f>IF((((inputs!$P$13/(X746/MAX(K746:S746)))^(1/inputs!$O$13))-1)/inputs!$N$13&lt;0, 0, IF((((inputs!$P$13/(X746/MAX(K746:S746)))^(1/inputs!$O$13))-1)/inputs!$N$13&lt;inputs!$I$17, (((inputs!$P$13/(X746/MAX(K746:S746)))^(1/inputs!$O$13))-1)/inputs!$N$13, inputs!$I$17))</f>
        <v>219.54328624565957</v>
      </c>
      <c r="V746" s="21">
        <f>inputs!$E$87*(F746/inputs!$F$87)^(1)</f>
        <v>0.1045</v>
      </c>
      <c r="W746" s="21">
        <f>inputs!$E$90*(F746/inputs!$F$90)^(1)</f>
        <v>0.11000000000000001</v>
      </c>
      <c r="X746" s="21">
        <f>inputs!$E$89*(F746/inputs!$F$89)^(1)</f>
        <v>0.4107594936708861</v>
      </c>
      <c r="Y746" s="21" t="s">
        <v>13</v>
      </c>
      <c r="Z746" s="63">
        <f t="shared" si="59"/>
        <v>390.00172358925192</v>
      </c>
      <c r="AA746" s="63">
        <f t="shared" si="60"/>
        <v>370.50163740978928</v>
      </c>
    </row>
    <row r="747" spans="1:27" ht="13.2" x14ac:dyDescent="0.25">
      <c r="A747" s="103" t="s">
        <v>391</v>
      </c>
      <c r="B747" s="20" t="s">
        <v>392</v>
      </c>
      <c r="C747" s="21" t="s">
        <v>79</v>
      </c>
      <c r="D747" s="105" t="s">
        <v>378</v>
      </c>
      <c r="E747" s="15">
        <v>173</v>
      </c>
      <c r="F747" s="15">
        <v>550</v>
      </c>
      <c r="G747" s="21" t="s">
        <v>142</v>
      </c>
      <c r="H747" s="21">
        <v>0.69</v>
      </c>
      <c r="I747" s="68">
        <f>MAX('Max rate concentrations'!$H$3:$H$368)</f>
        <v>282</v>
      </c>
      <c r="J747" s="68">
        <f>MAX('Max rate concentrations'!AA:AA)</f>
        <v>195</v>
      </c>
      <c r="K747" s="69">
        <f t="shared" si="61"/>
        <v>2.8233741640179271</v>
      </c>
      <c r="L747" s="69">
        <f t="shared" si="62"/>
        <v>1.9523331985230346</v>
      </c>
      <c r="M747" s="69">
        <f>IF((((0.065*F747^0.726)/3.7-(0.301*F747^0.751)/(1-H747)*H747)*(MAX('Max rate concentrations'!$P$3:$P$368)))/F747&gt;0, (((0.065*F747^0.726)/3.7-(0.301*F747^0.751)/(1-H747)*H747)*(MAX('Max rate concentrations'!$P$3:$P$368)))/F747, 0)</f>
        <v>0</v>
      </c>
      <c r="N747" s="69">
        <f>IF((((0.065*F747^0.726)/3.7-(0.301*F747^0.751)/(1-H747)*H747)*(MAX('Max rate concentrations'!$Q$3:$Q$368)))/F747&gt;0, (((0.065*F747^0.726)/3.7-(0.301*F747^0.751)/(1-H747)*H747)*(MAX('Max rate concentrations'!$Q$3:$Q$368)))/F747, 0)</f>
        <v>0</v>
      </c>
      <c r="O747" s="69" t="s">
        <v>13</v>
      </c>
      <c r="P747" s="69" t="s">
        <v>13</v>
      </c>
      <c r="Q747" s="69">
        <f>(inputs!$C$18*11.2)*(25.05*F747^0.63)*0.5*1/F747</f>
        <v>40.755180115076826</v>
      </c>
      <c r="R747" s="59">
        <f>(60*76.9*((F747/1000)^0.76)*3*24*(MAX('Max rate concentrations'!$R$3:$R$368))/F747)</f>
        <v>2.9547499883225631E-3</v>
      </c>
      <c r="S747" s="59">
        <f>(IF(inputs!$C$17="aerial",((0.025*0.112*inputs!$C$18/3.3)*(3*60*76.9*((F747/1000)^0.76))*MAX(inputs!$I$14:$I$16))/F747,((0.0083*0.112*inputs!$C$18/1)*(3*60*76.9*((F747/1000)^0.76))*MAX(inputs!$I$14:$I$16))/F747))</f>
        <v>1.247633997346371E-2</v>
      </c>
      <c r="T747" s="63">
        <f>IF((((inputs!$P$13/(V747/MAX(K747:S747)))^(1/inputs!$O$13))-1)/inputs!$N$13&lt;0, 0, IF((((inputs!$P$13/(V747/MAX(K747:S747)))^(1/inputs!$O$13))-1)/inputs!$N$13&lt;inputs!$I$17, (((inputs!$P$13/(V747/MAX(K747:S747)))^(1/inputs!$O$13))-1)/inputs!$N$13, inputs!$I$17))</f>
        <v>674.71190484794431</v>
      </c>
      <c r="U747" s="63">
        <f>IF((((inputs!$P$13/(X747/MAX(K747:S747)))^(1/inputs!$O$13))-1)/inputs!$N$13&lt;0, 0, IF((((inputs!$P$13/(X747/MAX(K747:S747)))^(1/inputs!$O$13))-1)/inputs!$N$13&lt;inputs!$I$17, (((inputs!$P$13/(X747/MAX(K747:S747)))^(1/inputs!$O$13))-1)/inputs!$N$13, inputs!$I$17))</f>
        <v>219.54328624565957</v>
      </c>
      <c r="V747" s="21">
        <f>inputs!$E$87*(F747/inputs!$F$87)^(1)</f>
        <v>0.1045</v>
      </c>
      <c r="W747" s="21">
        <f>inputs!$E$90*(F747/inputs!$F$90)^(1)</f>
        <v>0.11000000000000001</v>
      </c>
      <c r="X747" s="21">
        <f>inputs!$E$89*(F747/inputs!$F$89)^(1)</f>
        <v>0.4107594936708861</v>
      </c>
      <c r="Y747" s="21" t="s">
        <v>13</v>
      </c>
      <c r="Z747" s="63">
        <f t="shared" si="59"/>
        <v>390.00172358925192</v>
      </c>
      <c r="AA747" s="63">
        <f t="shared" si="60"/>
        <v>370.50163740978928</v>
      </c>
    </row>
    <row r="748" spans="1:27" ht="13.2" x14ac:dyDescent="0.25">
      <c r="A748" s="103" t="s">
        <v>391</v>
      </c>
      <c r="B748" s="20" t="s">
        <v>392</v>
      </c>
      <c r="C748" s="21" t="s">
        <v>79</v>
      </c>
      <c r="D748" s="105" t="s">
        <v>378</v>
      </c>
      <c r="E748" s="15">
        <v>173</v>
      </c>
      <c r="F748" s="15">
        <v>550</v>
      </c>
      <c r="G748" s="21" t="s">
        <v>138</v>
      </c>
      <c r="H748" s="20">
        <v>0.68</v>
      </c>
      <c r="I748" s="68">
        <f>MAX('Max rate concentrations'!$L$3:$L$368)</f>
        <v>350.52744091332482</v>
      </c>
      <c r="J748" s="68">
        <f>MAX('Max rate concentrations'!AD:AD)</f>
        <v>242.38599637623525</v>
      </c>
      <c r="K748" s="69">
        <f t="shared" si="61"/>
        <v>3.3997976212404768</v>
      </c>
      <c r="L748" s="69">
        <f t="shared" si="62"/>
        <v>2.3509238870279896</v>
      </c>
      <c r="M748" s="69">
        <f>IF((((0.065*F748^0.726)/3.7-(0.301*F748^0.751)/(1-H748)*H748)*(MAX('Max rate concentrations'!$P$3:$P$368)))/F748&gt;0, (((0.065*F748^0.726)/3.7-(0.301*F748^0.751)/(1-H748)*H748)*(MAX('Max rate concentrations'!$P$3:$P$368)))/F748, 0)</f>
        <v>0</v>
      </c>
      <c r="N748" s="69">
        <f>IF((((0.065*F748^0.726)/3.7-(0.301*F748^0.751)/(1-H748)*H748)*(MAX('Max rate concentrations'!$Q$3:$Q$368)))/F748&gt;0, (((0.065*F748^0.726)/3.7-(0.301*F748^0.751)/(1-H748)*H748)*(MAX('Max rate concentrations'!$Q$3:$Q$368)))/F748, 0)</f>
        <v>0</v>
      </c>
      <c r="O748" s="69" t="s">
        <v>13</v>
      </c>
      <c r="P748" s="69" t="s">
        <v>13</v>
      </c>
      <c r="Q748" s="69">
        <f>(inputs!$C$18*11.2)*(25.05*F748^0.63)*0.5*1/F748</f>
        <v>40.755180115076826</v>
      </c>
      <c r="R748" s="59">
        <f>(60*76.9*((F748/1000)^0.76)*3*24*(MAX('Max rate concentrations'!$R$3:$R$368))/F748)</f>
        <v>2.9547499883225631E-3</v>
      </c>
      <c r="S748" s="59">
        <f>(IF(inputs!$C$17="aerial",((0.025*0.112*inputs!$C$18/3.3)*(3*60*76.9*((F748/1000)^0.76))*MAX(inputs!$I$14:$I$16))/F748,((0.0083*0.112*inputs!$C$18/1)*(3*60*76.9*((F748/1000)^0.76))*MAX(inputs!$I$14:$I$16))/F748))</f>
        <v>1.247633997346371E-2</v>
      </c>
      <c r="T748" s="63">
        <f>IF((((inputs!$P$13/(V748/MAX(K748:S748)))^(1/inputs!$O$13))-1)/inputs!$N$13&lt;0, 0, IF((((inputs!$P$13/(V748/MAX(K748:S748)))^(1/inputs!$O$13))-1)/inputs!$N$13&lt;inputs!$I$17, (((inputs!$P$13/(V748/MAX(K748:S748)))^(1/inputs!$O$13))-1)/inputs!$N$13, inputs!$I$17))</f>
        <v>674.71190484794431</v>
      </c>
      <c r="U748" s="63">
        <f>IF((((inputs!$P$13/(X748/MAX(K748:S748)))^(1/inputs!$O$13))-1)/inputs!$N$13&lt;0, 0, IF((((inputs!$P$13/(X748/MAX(K748:S748)))^(1/inputs!$O$13))-1)/inputs!$N$13&lt;inputs!$I$17, (((inputs!$P$13/(X748/MAX(K748:S748)))^(1/inputs!$O$13))-1)/inputs!$N$13, inputs!$I$17))</f>
        <v>219.54328624565957</v>
      </c>
      <c r="V748" s="21">
        <f>inputs!$E$87*(F748/inputs!$F$87)^(1)</f>
        <v>0.1045</v>
      </c>
      <c r="W748" s="21">
        <f>inputs!$E$90*(F748/inputs!$F$90)^(1)</f>
        <v>0.11000000000000001</v>
      </c>
      <c r="X748" s="21">
        <f>inputs!$E$89*(F748/inputs!$F$89)^(1)</f>
        <v>0.4107594936708861</v>
      </c>
      <c r="Y748" s="21" t="s">
        <v>13</v>
      </c>
      <c r="Z748" s="63">
        <f t="shared" si="59"/>
        <v>390.00172358925192</v>
      </c>
      <c r="AA748" s="63">
        <f t="shared" si="60"/>
        <v>370.50163740978928</v>
      </c>
    </row>
    <row r="749" spans="1:27" ht="13.2" x14ac:dyDescent="0.25">
      <c r="A749" s="103" t="s">
        <v>391</v>
      </c>
      <c r="B749" s="20" t="s">
        <v>392</v>
      </c>
      <c r="C749" s="21" t="s">
        <v>79</v>
      </c>
      <c r="D749" s="105" t="s">
        <v>378</v>
      </c>
      <c r="E749" s="15">
        <v>173</v>
      </c>
      <c r="F749" s="15">
        <v>550</v>
      </c>
      <c r="G749" s="21" t="s">
        <v>186</v>
      </c>
      <c r="H749" s="49">
        <v>0.75</v>
      </c>
      <c r="I749" s="68">
        <f>inputs!$C$66*inputs!$C$64/1000</f>
        <v>21.3</v>
      </c>
      <c r="J749" s="68">
        <f>inputs!$C$66*inputs!$C$63/1000</f>
        <v>8.8000000000000007</v>
      </c>
      <c r="K749" s="69">
        <f t="shared" si="61"/>
        <v>0.26443602276610462</v>
      </c>
      <c r="L749" s="69">
        <f t="shared" si="62"/>
        <v>0.10925056339632493</v>
      </c>
      <c r="M749" s="69">
        <f>IF((((0.065*F749^0.726)/3.7-(0.301*F749^0.751)/(1-H749)*H749)*(MAX('Max rate concentrations'!$P$3:$P$368)))/F749&gt;0, (((0.065*F749^0.726)/3.7-(0.301*F749^0.751)/(1-H749)*H749)*(MAX('Max rate concentrations'!$P$3:$P$368)))/F749, 0)</f>
        <v>0</v>
      </c>
      <c r="N749" s="69">
        <f>IF((((0.065*F749^0.726)/3.7-(0.301*F749^0.751)/(1-H749)*H749)*(MAX('Max rate concentrations'!$Q$3:$Q$368)))/F749&gt;0, (((0.065*F749^0.726)/3.7-(0.301*F749^0.751)/(1-H749)*H749)*(MAX('Max rate concentrations'!$Q$3:$Q$368)))/F749, 0)</f>
        <v>0</v>
      </c>
      <c r="O749" s="69" t="s">
        <v>13</v>
      </c>
      <c r="P749" s="69" t="s">
        <v>13</v>
      </c>
      <c r="Q749" s="69">
        <f>(inputs!$C$18*11.2)*(25.05*F749^0.63)*0.5*1/F749</f>
        <v>40.755180115076826</v>
      </c>
      <c r="R749" s="59">
        <f>(60*76.9*((F749/1000)^0.76)*3*24*(MAX('Max rate concentrations'!$R$3:$R$368))/F749)</f>
        <v>2.9547499883225631E-3</v>
      </c>
      <c r="S749" s="59">
        <f>(IF(inputs!$C$17="aerial",((0.025*0.112*inputs!$C$18/3.3)*(3*60*76.9*((F749/1000)^0.76))*MAX(inputs!$I$14:$I$16))/F749,((0.0083*0.112*inputs!$C$18/1)*(3*60*76.9*((F749/1000)^0.76))*MAX(inputs!$I$14:$I$16))/F749))</f>
        <v>1.247633997346371E-2</v>
      </c>
      <c r="T749" s="63">
        <f>IF((((inputs!$P$13/(V749/MAX(K749:S749)))^(1/inputs!$O$13))-1)/inputs!$N$13&lt;0, 0, IF((((inputs!$P$13/(V749/MAX(K749:S749)))^(1/inputs!$O$13))-1)/inputs!$N$13&lt;inputs!$I$17, (((inputs!$P$13/(V749/MAX(K749:S749)))^(1/inputs!$O$13))-1)/inputs!$N$13, inputs!$I$17))</f>
        <v>674.71190484794431</v>
      </c>
      <c r="U749" s="63">
        <f>IF((((inputs!$P$13/(X749/MAX(K749:S749)))^(1/inputs!$O$13))-1)/inputs!$N$13&lt;0, 0, IF((((inputs!$P$13/(X749/MAX(K749:S749)))^(1/inputs!$O$13))-1)/inputs!$N$13&lt;inputs!$I$17, (((inputs!$P$13/(X749/MAX(K749:S749)))^(1/inputs!$O$13))-1)/inputs!$N$13, inputs!$I$17))</f>
        <v>219.54328624565957</v>
      </c>
      <c r="V749" s="21">
        <f>inputs!$E$87*(F749/inputs!$F$87)^(1)</f>
        <v>0.1045</v>
      </c>
      <c r="W749" s="21">
        <f>inputs!$E$90*(F749/inputs!$F$90)^(1)</f>
        <v>0.11000000000000001</v>
      </c>
      <c r="X749" s="21">
        <f>inputs!$E$89*(F749/inputs!$F$89)^(1)</f>
        <v>0.4107594936708861</v>
      </c>
      <c r="Y749" s="21" t="s">
        <v>13</v>
      </c>
      <c r="Z749" s="63">
        <f t="shared" si="59"/>
        <v>390.00172358925192</v>
      </c>
      <c r="AA749" s="63">
        <f t="shared" si="60"/>
        <v>370.50163740978928</v>
      </c>
    </row>
    <row r="750" spans="1:27" ht="13.2" x14ac:dyDescent="0.25">
      <c r="A750" s="103" t="s">
        <v>391</v>
      </c>
      <c r="B750" s="20" t="s">
        <v>392</v>
      </c>
      <c r="C750" s="21" t="s">
        <v>79</v>
      </c>
      <c r="D750" s="105" t="s">
        <v>378</v>
      </c>
      <c r="E750" s="15">
        <v>173</v>
      </c>
      <c r="F750" s="15">
        <v>550</v>
      </c>
      <c r="G750" s="21" t="s">
        <v>456</v>
      </c>
      <c r="H750" s="20">
        <v>0.68</v>
      </c>
      <c r="I750" s="68">
        <f>MAX('Max rate concentrations'!$J$3:$J$368)</f>
        <v>686.46486205830786</v>
      </c>
      <c r="J750" s="68">
        <f>MAX('Max rate concentrations'!AB:AB)</f>
        <v>243.122971978984</v>
      </c>
      <c r="K750" s="69">
        <f t="shared" si="61"/>
        <v>6.6580853099831856</v>
      </c>
      <c r="L750" s="69">
        <f t="shared" si="62"/>
        <v>2.358071880619045</v>
      </c>
      <c r="M750" s="69">
        <f>IF((((0.065*F750^0.726)/3.7-(0.301*F750^0.751)/(1-H750)*H750)*(MAX('Max rate concentrations'!$P$3:$P$368)))/F750&gt;0, (((0.065*F750^0.726)/3.7-(0.301*F750^0.751)/(1-H750)*H750)*(MAX('Max rate concentrations'!$P$3:$P$368)))/F750, 0)</f>
        <v>0</v>
      </c>
      <c r="N750" s="69">
        <f>IF((((0.065*F750^0.726)/3.7-(0.301*F750^0.751)/(1-H750)*H750)*(MAX('Max rate concentrations'!$Q$3:$Q$368)))/F750&gt;0, (((0.065*F750^0.726)/3.7-(0.301*F750^0.751)/(1-H750)*H750)*(MAX('Max rate concentrations'!$Q$3:$Q$368)))/F750, 0)</f>
        <v>0</v>
      </c>
      <c r="O750" s="69" t="s">
        <v>13</v>
      </c>
      <c r="P750" s="69" t="s">
        <v>13</v>
      </c>
      <c r="Q750" s="69">
        <f>(inputs!$C$18*11.2)*(25.05*F750^0.63)*0.5*1/F750</f>
        <v>40.755180115076826</v>
      </c>
      <c r="R750" s="59">
        <f>(60*76.9*((F750/1000)^0.76)*3*24*(MAX('Max rate concentrations'!$R$3:$R$368))/F750)</f>
        <v>2.9547499883225631E-3</v>
      </c>
      <c r="S750" s="59">
        <f>(IF(inputs!$C$17="aerial",((0.025*0.112*inputs!$C$18/3.3)*(3*60*76.9*((F750/1000)^0.76))*MAX(inputs!$I$14:$I$16))/F750,((0.0083*0.112*inputs!$C$18/1)*(3*60*76.9*((F750/1000)^0.76))*MAX(inputs!$I$14:$I$16))/F750))</f>
        <v>1.247633997346371E-2</v>
      </c>
      <c r="T750" s="63">
        <f>IF((((inputs!$P$13/(V750/MAX(K750:S750)))^(1/inputs!$O$13))-1)/inputs!$N$13&lt;0, 0, IF((((inputs!$P$13/(V750/MAX(K750:S750)))^(1/inputs!$O$13))-1)/inputs!$N$13&lt;inputs!$I$17, (((inputs!$P$13/(V750/MAX(K750:S750)))^(1/inputs!$O$13))-1)/inputs!$N$13, inputs!$I$17))</f>
        <v>674.71190484794431</v>
      </c>
      <c r="U750" s="63">
        <f>IF((((inputs!$P$13/(X750/MAX(K750:S750)))^(1/inputs!$O$13))-1)/inputs!$N$13&lt;0, 0, IF((((inputs!$P$13/(X750/MAX(K750:S750)))^(1/inputs!$O$13))-1)/inputs!$N$13&lt;inputs!$I$17, (((inputs!$P$13/(X750/MAX(K750:S750)))^(1/inputs!$O$13))-1)/inputs!$N$13, inputs!$I$17))</f>
        <v>219.54328624565957</v>
      </c>
      <c r="V750" s="21">
        <f>inputs!$E$87*(F750/inputs!$F$87)^(1)</f>
        <v>0.1045</v>
      </c>
      <c r="W750" s="21">
        <f>inputs!$E$90*(F750/inputs!$F$90)^(1)</f>
        <v>0.11000000000000001</v>
      </c>
      <c r="X750" s="21">
        <f>inputs!$E$89*(F750/inputs!$F$89)^(1)</f>
        <v>0.4107594936708861</v>
      </c>
      <c r="Y750" s="21" t="s">
        <v>13</v>
      </c>
      <c r="Z750" s="63">
        <f t="shared" si="59"/>
        <v>390.00172358925192</v>
      </c>
      <c r="AA750" s="63">
        <f t="shared" si="60"/>
        <v>370.50163740978928</v>
      </c>
    </row>
    <row r="751" spans="1:27" ht="13.2" x14ac:dyDescent="0.25">
      <c r="A751" s="103" t="s">
        <v>391</v>
      </c>
      <c r="B751" s="20" t="s">
        <v>392</v>
      </c>
      <c r="C751" s="21" t="s">
        <v>79</v>
      </c>
      <c r="D751" s="105" t="s">
        <v>378</v>
      </c>
      <c r="E751" s="15">
        <v>173</v>
      </c>
      <c r="F751" s="15">
        <v>550</v>
      </c>
      <c r="G751" s="21" t="s">
        <v>145</v>
      </c>
      <c r="H751" s="20">
        <v>0.66</v>
      </c>
      <c r="I751" s="68">
        <f>MAX('Max rate concentrations'!$M$3:$M$368)</f>
        <v>17.092910873809167</v>
      </c>
      <c r="J751" s="68">
        <f>MAX('Max rate concentrations'!AE:AE)</f>
        <v>11.81956602976166</v>
      </c>
      <c r="K751" s="69">
        <f t="shared" si="61"/>
        <v>0.15603360152463402</v>
      </c>
      <c r="L751" s="69">
        <f t="shared" si="62"/>
        <v>0.10789557552235333</v>
      </c>
      <c r="M751" s="69">
        <f>IF((((0.065*F751^0.726)/3.7-(0.301*F751^0.751)/(1-H751)*H751)*(MAX('Max rate concentrations'!$P$3:$P$368)))/F751&gt;0, (((0.065*F751^0.726)/3.7-(0.301*F751^0.751)/(1-H751)*H751)*(MAX('Max rate concentrations'!$P$3:$P$368)))/F751, 0)</f>
        <v>0</v>
      </c>
      <c r="N751" s="69">
        <f>IF((((0.065*F751^0.726)/3.7-(0.301*F751^0.751)/(1-H751)*H751)*(MAX('Max rate concentrations'!$Q$3:$Q$368)))/F751&gt;0, (((0.065*F751^0.726)/3.7-(0.301*F751^0.751)/(1-H751)*H751)*(MAX('Max rate concentrations'!$Q$3:$Q$368)))/F751, 0)</f>
        <v>0</v>
      </c>
      <c r="O751" s="69" t="s">
        <v>13</v>
      </c>
      <c r="P751" s="69" t="s">
        <v>13</v>
      </c>
      <c r="Q751" s="69">
        <f>(inputs!$C$18*11.2)*(25.05*F751^0.63)*0.5*1/F751</f>
        <v>40.755180115076826</v>
      </c>
      <c r="R751" s="59">
        <f>(60*76.9*((F751/1000)^0.76)*3*24*(MAX('Max rate concentrations'!$R$3:$R$368))/F751)</f>
        <v>2.9547499883225631E-3</v>
      </c>
      <c r="S751" s="59">
        <f>(IF(inputs!$C$17="aerial",((0.025*0.112*inputs!$C$18/3.3)*(3*60*76.9*((F751/1000)^0.76))*MAX(inputs!$I$14:$I$16))/F751,((0.0083*0.112*inputs!$C$18/1)*(3*60*76.9*((F751/1000)^0.76))*MAX(inputs!$I$14:$I$16))/F751))</f>
        <v>1.247633997346371E-2</v>
      </c>
      <c r="T751" s="63">
        <f>IF((((inputs!$P$13/(V751/MAX(K751:S751)))^(1/inputs!$O$13))-1)/inputs!$N$13&lt;0, 0, IF((((inputs!$P$13/(V751/MAX(K751:S751)))^(1/inputs!$O$13))-1)/inputs!$N$13&lt;inputs!$I$17, (((inputs!$P$13/(V751/MAX(K751:S751)))^(1/inputs!$O$13))-1)/inputs!$N$13, inputs!$I$17))</f>
        <v>674.71190484794431</v>
      </c>
      <c r="U751" s="63">
        <f>IF((((inputs!$P$13/(X751/MAX(K751:S751)))^(1/inputs!$O$13))-1)/inputs!$N$13&lt;0, 0, IF((((inputs!$P$13/(X751/MAX(K751:S751)))^(1/inputs!$O$13))-1)/inputs!$N$13&lt;inputs!$I$17, (((inputs!$P$13/(X751/MAX(K751:S751)))^(1/inputs!$O$13))-1)/inputs!$N$13, inputs!$I$17))</f>
        <v>219.54328624565957</v>
      </c>
      <c r="V751" s="21">
        <f>inputs!$E$87*(F751/inputs!$F$87)^(1)</f>
        <v>0.1045</v>
      </c>
      <c r="W751" s="21">
        <f>inputs!$E$90*(F751/inputs!$F$90)^(1)</f>
        <v>0.11000000000000001</v>
      </c>
      <c r="X751" s="21">
        <f>inputs!$E$89*(F751/inputs!$F$89)^(1)</f>
        <v>0.4107594936708861</v>
      </c>
      <c r="Y751" s="21" t="s">
        <v>13</v>
      </c>
      <c r="Z751" s="63">
        <f t="shared" si="59"/>
        <v>390.00172358925192</v>
      </c>
      <c r="AA751" s="63">
        <f t="shared" si="60"/>
        <v>370.50163740978928</v>
      </c>
    </row>
    <row r="752" spans="1:27" ht="13.2" x14ac:dyDescent="0.25">
      <c r="A752" s="103" t="s">
        <v>426</v>
      </c>
      <c r="B752" s="20" t="s">
        <v>427</v>
      </c>
      <c r="C752" s="21" t="s">
        <v>79</v>
      </c>
      <c r="D752" s="105" t="s">
        <v>378</v>
      </c>
      <c r="E752" s="15">
        <v>7800</v>
      </c>
      <c r="F752" s="56">
        <v>130</v>
      </c>
      <c r="G752" s="21" t="s">
        <v>182</v>
      </c>
      <c r="H752" s="20">
        <v>0.85</v>
      </c>
      <c r="I752" s="68">
        <f>MAX('Max rate concentrations'!$M$3:$M$368)</f>
        <v>17.092910873809167</v>
      </c>
      <c r="J752" s="68">
        <f>MAX('Max rate concentrations'!AE:AE)</f>
        <v>11.81956602976166</v>
      </c>
      <c r="K752" s="69">
        <f t="shared" si="61"/>
        <v>0.4906852241493776</v>
      </c>
      <c r="L752" s="69">
        <f t="shared" si="62"/>
        <v>0.33930361244371859</v>
      </c>
      <c r="M752" s="69">
        <f>IF((((0.065*F752^0.726)/3.7-(0.301*F752^0.751)/(1-H752)*H752)*(MAX('Max rate concentrations'!$P$3:$P$368)))/F752&gt;0, (((0.065*F752^0.726)/3.7-(0.301*F752^0.751)/(1-H752)*H752)*(MAX('Max rate concentrations'!$P$3:$P$368)))/F752, 0)</f>
        <v>0</v>
      </c>
      <c r="N752" s="69">
        <f>IF((((0.065*F752^0.726)/3.7-(0.301*F752^0.751)/(1-H752)*H752)*(MAX('Max rate concentrations'!$Q$3:$Q$368)))/F752&gt;0, (((0.065*F752^0.726)/3.7-(0.301*F752^0.751)/(1-H752)*H752)*(MAX('Max rate concentrations'!$Q$3:$Q$368)))/F752, 0)</f>
        <v>0</v>
      </c>
      <c r="O752" s="69" t="s">
        <v>13</v>
      </c>
      <c r="P752" s="69" t="s">
        <v>13</v>
      </c>
      <c r="Q752" s="69">
        <f>(inputs!$C$18*11.2)*(25.05*F752^0.63)*0.5*1/F752</f>
        <v>69.495706054356589</v>
      </c>
      <c r="R752" s="59">
        <f>(60*76.9*((F752/1000)^0.76)*3*24*(MAX('Max rate concentrations'!$R$3:$R$368))/F752)</f>
        <v>4.1769702352556235E-3</v>
      </c>
      <c r="S752" s="59">
        <f>(IF(inputs!$C$17="aerial",((0.025*0.112*inputs!$C$18/3.3)*(3*60*76.9*((F752/1000)^0.76))*MAX(inputs!$I$14:$I$16))/F752,((0.0083*0.112*inputs!$C$18/1)*(3*60*76.9*((F752/1000)^0.76))*MAX(inputs!$I$14:$I$16))/F752))</f>
        <v>1.7637126971840007E-2</v>
      </c>
      <c r="T752" s="63">
        <f>IF((((inputs!$P$13/(V752/MAX(K752:S752)))^(1/inputs!$O$13))-1)/inputs!$N$13&lt;0, 0, IF((((inputs!$P$13/(V752/MAX(K752:S752)))^(1/inputs!$O$13))-1)/inputs!$N$13&lt;inputs!$I$17, (((inputs!$P$13/(V752/MAX(K752:S752)))^(1/inputs!$O$13))-1)/inputs!$N$13, inputs!$I$17))</f>
        <v>1000</v>
      </c>
      <c r="U752" s="63">
        <f>IF((((inputs!$P$13/(X752/MAX(K752:S752)))^(1/inputs!$O$13))-1)/inputs!$N$13&lt;0, 0, IF((((inputs!$P$13/(X752/MAX(K752:S752)))^(1/inputs!$O$13))-1)/inputs!$N$13&lt;inputs!$I$17, (((inputs!$P$13/(X752/MAX(K752:S752)))^(1/inputs!$O$13))-1)/inputs!$N$13, inputs!$I$17))</f>
        <v>1000</v>
      </c>
      <c r="V752" s="21">
        <f>inputs!$E$87*(F752/inputs!$F$87)^(1)</f>
        <v>2.47E-2</v>
      </c>
      <c r="W752" s="21">
        <f>inputs!$E$90*(F752/inputs!$F$90)^(1)</f>
        <v>2.5999999999999999E-2</v>
      </c>
      <c r="X752" s="21">
        <f>inputs!$E$89*(F752/inputs!$F$89)^(1)</f>
        <v>9.7088607594936691E-2</v>
      </c>
      <c r="Y752" s="21" t="s">
        <v>13</v>
      </c>
      <c r="Z752" s="63">
        <f t="shared" si="59"/>
        <v>2813.5913382330605</v>
      </c>
      <c r="AA752" s="63">
        <f t="shared" si="60"/>
        <v>2672.9117713214073</v>
      </c>
    </row>
    <row r="753" spans="1:27" ht="13.2" x14ac:dyDescent="0.25">
      <c r="A753" s="103" t="s">
        <v>426</v>
      </c>
      <c r="B753" s="20" t="s">
        <v>427</v>
      </c>
      <c r="C753" s="21" t="s">
        <v>79</v>
      </c>
      <c r="D753" s="105" t="s">
        <v>378</v>
      </c>
      <c r="E753" s="15">
        <v>7800</v>
      </c>
      <c r="F753" s="56">
        <v>130</v>
      </c>
      <c r="G753" s="21" t="s">
        <v>456</v>
      </c>
      <c r="H753" s="20">
        <v>0.68</v>
      </c>
      <c r="I753" s="68">
        <f>MAX('Max rate concentrations'!$J$3:$J$368)</f>
        <v>686.46486205830786</v>
      </c>
      <c r="J753" s="68">
        <f>MAX('Max rate concentrations'!AB:AB)</f>
        <v>243.122971978984</v>
      </c>
      <c r="K753" s="69">
        <f t="shared" si="61"/>
        <v>9.2373318315038944</v>
      </c>
      <c r="L753" s="69">
        <f t="shared" si="62"/>
        <v>3.2715550236576285</v>
      </c>
      <c r="M753" s="69">
        <f>IF((((0.065*F753^0.726)/3.7-(0.301*F753^0.751)/(1-H753)*H753)*(MAX('Max rate concentrations'!$P$3:$P$368)))/F753&gt;0, (((0.065*F753^0.726)/3.7-(0.301*F753^0.751)/(1-H753)*H753)*(MAX('Max rate concentrations'!$P$3:$P$368)))/F753, 0)</f>
        <v>0</v>
      </c>
      <c r="N753" s="69">
        <f>IF((((0.065*F753^0.726)/3.7-(0.301*F753^0.751)/(1-H753)*H753)*(MAX('Max rate concentrations'!$Q$3:$Q$368)))/F753&gt;0, (((0.065*F753^0.726)/3.7-(0.301*F753^0.751)/(1-H753)*H753)*(MAX('Max rate concentrations'!$Q$3:$Q$368)))/F753, 0)</f>
        <v>0</v>
      </c>
      <c r="O753" s="69" t="s">
        <v>13</v>
      </c>
      <c r="P753" s="69" t="s">
        <v>13</v>
      </c>
      <c r="Q753" s="69">
        <f>(inputs!$C$18*11.2)*(25.05*F753^0.63)*0.5*1/F753</f>
        <v>69.495706054356589</v>
      </c>
      <c r="R753" s="59">
        <f>(60*76.9*((F753/1000)^0.76)*3*24*(MAX('Max rate concentrations'!$R$3:$R$368))/F753)</f>
        <v>4.1769702352556235E-3</v>
      </c>
      <c r="S753" s="59">
        <f>(IF(inputs!$C$17="aerial",((0.025*0.112*inputs!$C$18/3.3)*(3*60*76.9*((F753/1000)^0.76))*MAX(inputs!$I$14:$I$16))/F753,((0.0083*0.112*inputs!$C$18/1)*(3*60*76.9*((F753/1000)^0.76))*MAX(inputs!$I$14:$I$16))/F753))</f>
        <v>1.7637126971840007E-2</v>
      </c>
      <c r="T753" s="63">
        <f>IF((((inputs!$P$13/(V753/MAX(K753:S753)))^(1/inputs!$O$13))-1)/inputs!$N$13&lt;0, 0, IF((((inputs!$P$13/(V753/MAX(K753:S753)))^(1/inputs!$O$13))-1)/inputs!$N$13&lt;inputs!$I$17, (((inputs!$P$13/(V753/MAX(K753:S753)))^(1/inputs!$O$13))-1)/inputs!$N$13, inputs!$I$17))</f>
        <v>1000</v>
      </c>
      <c r="U753" s="63">
        <f>IF((((inputs!$P$13/(X753/MAX(K753:S753)))^(1/inputs!$O$13))-1)/inputs!$N$13&lt;0, 0, IF((((inputs!$P$13/(X753/MAX(K753:S753)))^(1/inputs!$O$13))-1)/inputs!$N$13&lt;inputs!$I$17, (((inputs!$P$13/(X753/MAX(K753:S753)))^(1/inputs!$O$13))-1)/inputs!$N$13, inputs!$I$17))</f>
        <v>1000</v>
      </c>
      <c r="V753" s="21">
        <f>inputs!$E$87*(F753/inputs!$F$87)^(1)</f>
        <v>2.47E-2</v>
      </c>
      <c r="W753" s="21">
        <f>inputs!$E$90*(F753/inputs!$F$90)^(1)</f>
        <v>2.5999999999999999E-2</v>
      </c>
      <c r="X753" s="21">
        <f>inputs!$E$89*(F753/inputs!$F$89)^(1)</f>
        <v>9.7088607594936691E-2</v>
      </c>
      <c r="Y753" s="21" t="s">
        <v>13</v>
      </c>
      <c r="Z753" s="63">
        <f t="shared" si="59"/>
        <v>2813.5913382330605</v>
      </c>
      <c r="AA753" s="63">
        <f t="shared" si="60"/>
        <v>2672.9117713214073</v>
      </c>
    </row>
    <row r="754" spans="1:27" ht="13.2" x14ac:dyDescent="0.25">
      <c r="A754" s="103" t="s">
        <v>426</v>
      </c>
      <c r="B754" s="20" t="s">
        <v>427</v>
      </c>
      <c r="C754" s="21" t="s">
        <v>79</v>
      </c>
      <c r="D754" s="105" t="s">
        <v>378</v>
      </c>
      <c r="E754" s="15">
        <v>7800</v>
      </c>
      <c r="F754" s="56">
        <v>130</v>
      </c>
      <c r="G754" s="21" t="s">
        <v>145</v>
      </c>
      <c r="H754" s="20">
        <v>0.66</v>
      </c>
      <c r="I754" s="68">
        <f>MAX('Max rate concentrations'!$M$3:$M$368)</f>
        <v>17.092910873809167</v>
      </c>
      <c r="J754" s="68">
        <f>MAX('Max rate concentrations'!AE:AE)</f>
        <v>11.81956602976166</v>
      </c>
      <c r="K754" s="69">
        <f t="shared" si="61"/>
        <v>0.21647877536001958</v>
      </c>
      <c r="L754" s="69">
        <f t="shared" si="62"/>
        <v>0.14969277019575825</v>
      </c>
      <c r="M754" s="69">
        <f>IF((((0.065*F754^0.726)/3.7-(0.301*F754^0.751)/(1-H754)*H754)*(MAX('Max rate concentrations'!$P$3:$P$368)))/F754&gt;0, (((0.065*F754^0.726)/3.7-(0.301*F754^0.751)/(1-H754)*H754)*(MAX('Max rate concentrations'!$P$3:$P$368)))/F754, 0)</f>
        <v>0</v>
      </c>
      <c r="N754" s="69">
        <f>IF((((0.065*F754^0.726)/3.7-(0.301*F754^0.751)/(1-H754)*H754)*(MAX('Max rate concentrations'!$Q$3:$Q$368)))/F754&gt;0, (((0.065*F754^0.726)/3.7-(0.301*F754^0.751)/(1-H754)*H754)*(MAX('Max rate concentrations'!$Q$3:$Q$368)))/F754, 0)</f>
        <v>0</v>
      </c>
      <c r="O754" s="69" t="s">
        <v>13</v>
      </c>
      <c r="P754" s="69" t="s">
        <v>13</v>
      </c>
      <c r="Q754" s="69">
        <f>(inputs!$C$18*11.2)*(25.05*F754^0.63)*0.5*1/F754</f>
        <v>69.495706054356589</v>
      </c>
      <c r="R754" s="59">
        <f>(60*76.9*((F754/1000)^0.76)*3*24*(MAX('Max rate concentrations'!$R$3:$R$368))/F754)</f>
        <v>4.1769702352556235E-3</v>
      </c>
      <c r="S754" s="59">
        <f>(IF(inputs!$C$17="aerial",((0.025*0.112*inputs!$C$18/3.3)*(3*60*76.9*((F754/1000)^0.76))*MAX(inputs!$I$14:$I$16))/F754,((0.0083*0.112*inputs!$C$18/1)*(3*60*76.9*((F754/1000)^0.76))*MAX(inputs!$I$14:$I$16))/F754))</f>
        <v>1.7637126971840007E-2</v>
      </c>
      <c r="T754" s="63">
        <f>IF((((inputs!$P$13/(V754/MAX(K754:S754)))^(1/inputs!$O$13))-1)/inputs!$N$13&lt;0, 0, IF((((inputs!$P$13/(V754/MAX(K754:S754)))^(1/inputs!$O$13))-1)/inputs!$N$13&lt;inputs!$I$17, (((inputs!$P$13/(V754/MAX(K754:S754)))^(1/inputs!$O$13))-1)/inputs!$N$13, inputs!$I$17))</f>
        <v>1000</v>
      </c>
      <c r="U754" s="63">
        <f>IF((((inputs!$P$13/(X754/MAX(K754:S754)))^(1/inputs!$O$13))-1)/inputs!$N$13&lt;0, 0, IF((((inputs!$P$13/(X754/MAX(K754:S754)))^(1/inputs!$O$13))-1)/inputs!$N$13&lt;inputs!$I$17, (((inputs!$P$13/(X754/MAX(K754:S754)))^(1/inputs!$O$13))-1)/inputs!$N$13, inputs!$I$17))</f>
        <v>1000</v>
      </c>
      <c r="V754" s="21">
        <f>inputs!$E$87*(F754/inputs!$F$87)^(1)</f>
        <v>2.47E-2</v>
      </c>
      <c r="W754" s="21">
        <f>inputs!$E$90*(F754/inputs!$F$90)^(1)</f>
        <v>2.5999999999999999E-2</v>
      </c>
      <c r="X754" s="21">
        <f>inputs!$E$89*(F754/inputs!$F$89)^(1)</f>
        <v>9.7088607594936691E-2</v>
      </c>
      <c r="Y754" s="21" t="s">
        <v>13</v>
      </c>
      <c r="Z754" s="63">
        <f t="shared" si="59"/>
        <v>2813.5913382330605</v>
      </c>
      <c r="AA754" s="63">
        <f t="shared" si="60"/>
        <v>2672.9117713214073</v>
      </c>
    </row>
    <row r="755" spans="1:27" ht="26.4" x14ac:dyDescent="0.25">
      <c r="A755" s="120" t="s">
        <v>432</v>
      </c>
      <c r="B755" s="20" t="s">
        <v>433</v>
      </c>
      <c r="C755" s="21" t="s">
        <v>79</v>
      </c>
      <c r="D755" s="105" t="s">
        <v>378</v>
      </c>
      <c r="E755" s="15">
        <v>187</v>
      </c>
      <c r="F755" s="15">
        <v>140</v>
      </c>
      <c r="G755" s="21" t="s">
        <v>634</v>
      </c>
      <c r="H755" s="21">
        <v>0.75</v>
      </c>
      <c r="I755" s="68">
        <f>inputs!$C$66*inputs!$C$64/1000</f>
        <v>21.3</v>
      </c>
      <c r="J755" s="68">
        <f>inputs!$C$66*inputs!$C$63/1000</f>
        <v>8.8000000000000007</v>
      </c>
      <c r="K755" s="69">
        <f t="shared" si="61"/>
        <v>0.36075460453795338</v>
      </c>
      <c r="L755" s="69">
        <f t="shared" si="62"/>
        <v>0.14904415586544553</v>
      </c>
      <c r="M755" s="69">
        <f>IF((((0.065*F755^0.726)/3.7-(0.301*F755^0.751)/(1-H755)*H755)*(MAX('Max rate concentrations'!$P$3:$P$368)))/F755&gt;0, (((0.065*F755^0.726)/3.7-(0.301*F755^0.751)/(1-H755)*H755)*(MAX('Max rate concentrations'!$P$3:$P$368)))/F755, 0)</f>
        <v>0</v>
      </c>
      <c r="N755" s="69">
        <f>IF((((0.065*F755^0.726)/3.7-(0.301*F755^0.751)/(1-H755)*H755)*(MAX('Max rate concentrations'!$Q$3:$Q$368)))/F755&gt;0, (((0.065*F755^0.726)/3.7-(0.301*F755^0.751)/(1-H755)*H755)*(MAX('Max rate concentrations'!$Q$3:$Q$368)))/F755, 0)</f>
        <v>0</v>
      </c>
      <c r="O755" s="69" t="s">
        <v>13</v>
      </c>
      <c r="P755" s="69" t="s">
        <v>13</v>
      </c>
      <c r="Q755" s="69">
        <f>(inputs!$C$18*11.2)*(25.05*F755^0.63)*0.5*1/F755</f>
        <v>67.616025433154491</v>
      </c>
      <c r="R755" s="59">
        <f>(60*76.9*((F755/1000)^0.76)*3*24*(MAX('Max rate concentrations'!$R$3:$R$368))/F755)</f>
        <v>4.1033357739064602E-3</v>
      </c>
      <c r="S755" s="59">
        <f>(IF(inputs!$C$17="aerial",((0.025*0.112*inputs!$C$18/3.3)*(3*60*76.9*((F755/1000)^0.76))*MAX(inputs!$I$14:$I$16))/F755,((0.0083*0.112*inputs!$C$18/1)*(3*60*76.9*((F755/1000)^0.76))*MAX(inputs!$I$14:$I$16))/F755))</f>
        <v>1.7326207747815722E-2</v>
      </c>
      <c r="T755" s="63">
        <f>IF((((inputs!$P$13/(V755/MAX(K755:S755)))^(1/inputs!$O$13))-1)/inputs!$N$13&lt;0, 0, IF((((inputs!$P$13/(V755/MAX(K755:S755)))^(1/inputs!$O$13))-1)/inputs!$N$13&lt;inputs!$I$17, (((inputs!$P$13/(V755/MAX(K755:S755)))^(1/inputs!$O$13))-1)/inputs!$N$13, inputs!$I$17))</f>
        <v>1000</v>
      </c>
      <c r="U755" s="63">
        <f>IF((((inputs!$P$13/(X755/MAX(K755:S755)))^(1/inputs!$O$13))-1)/inputs!$N$13&lt;0, 0, IF((((inputs!$P$13/(X755/MAX(K755:S755)))^(1/inputs!$O$13))-1)/inputs!$N$13&lt;inputs!$I$17, (((inputs!$P$13/(X755/MAX(K755:S755)))^(1/inputs!$O$13))-1)/inputs!$N$13, inputs!$I$17))</f>
        <v>1000</v>
      </c>
      <c r="V755" s="21">
        <f>inputs!$E$87*(F755/inputs!$F$87)^(1)</f>
        <v>2.6599999999999999E-2</v>
      </c>
      <c r="W755" s="21">
        <f>inputs!$E$90*(F755/inputs!$F$90)^(1)</f>
        <v>2.8000000000000001E-2</v>
      </c>
      <c r="X755" s="21">
        <f>inputs!$E$89*(F755/inputs!$F$89)^(1)</f>
        <v>0.10455696202531645</v>
      </c>
      <c r="Y755" s="21" t="s">
        <v>13</v>
      </c>
      <c r="Z755" s="63">
        <f t="shared" si="59"/>
        <v>2541.9558433516727</v>
      </c>
      <c r="AA755" s="63">
        <f t="shared" si="60"/>
        <v>2414.8580511840887</v>
      </c>
    </row>
    <row r="756" spans="1:27" ht="13.2" x14ac:dyDescent="0.25">
      <c r="A756" s="103" t="s">
        <v>424</v>
      </c>
      <c r="B756" s="20" t="s">
        <v>425</v>
      </c>
      <c r="C756" s="21" t="s">
        <v>79</v>
      </c>
      <c r="D756" s="105" t="s">
        <v>378</v>
      </c>
      <c r="E756" s="15">
        <v>3722</v>
      </c>
      <c r="F756" s="56">
        <v>1000</v>
      </c>
      <c r="G756" s="21" t="s">
        <v>456</v>
      </c>
      <c r="H756" s="20">
        <v>0.68</v>
      </c>
      <c r="I756" s="68">
        <f>MAX('Max rate concentrations'!$J$3:$J$368)</f>
        <v>686.46486205830786</v>
      </c>
      <c r="J756" s="68">
        <f>MAX('Max rate concentrations'!AB:AB)</f>
        <v>243.122971978984</v>
      </c>
      <c r="K756" s="69">
        <f t="shared" si="61"/>
        <v>5.8131520952666742</v>
      </c>
      <c r="L756" s="69">
        <f t="shared" si="62"/>
        <v>2.0588247004069467</v>
      </c>
      <c r="M756" s="69">
        <f>IF((((0.065*F756^0.726)/3.7-(0.301*F756^0.751)/(1-H756)*H756)*(MAX('Max rate concentrations'!$P$3:$P$368)))/F756&gt;0, (((0.065*F756^0.726)/3.7-(0.301*F756^0.751)/(1-H756)*H756)*(MAX('Max rate concentrations'!$P$3:$P$368)))/F756, 0)</f>
        <v>0</v>
      </c>
      <c r="N756" s="69">
        <f>IF((((0.065*F756^0.726)/3.7-(0.301*F756^0.751)/(1-H756)*H756)*(MAX('Max rate concentrations'!$Q$3:$Q$368)))/F756&gt;0, (((0.065*F756^0.726)/3.7-(0.301*F756^0.751)/(1-H756)*H756)*(MAX('Max rate concentrations'!$Q$3:$Q$368)))/F756, 0)</f>
        <v>0</v>
      </c>
      <c r="O756" s="69" t="s">
        <v>13</v>
      </c>
      <c r="P756" s="69" t="s">
        <v>13</v>
      </c>
      <c r="Q756" s="69">
        <f>(inputs!$C$18*11.2)*(25.05*F756^0.63)*0.5*1/F756</f>
        <v>32.667583656201849</v>
      </c>
      <c r="R756" s="59">
        <f>(60*76.9*((F756/1000)^0.76)*3*24*(MAX('Max rate concentrations'!$R$3:$R$368))/F756)</f>
        <v>2.5598103168780065E-3</v>
      </c>
      <c r="S756" s="59">
        <f>(IF(inputs!$C$17="aerial",((0.025*0.112*inputs!$C$18/3.3)*(3*60*76.9*((F756/1000)^0.76))*MAX(inputs!$I$14:$I$16))/F756,((0.0083*0.112*inputs!$C$18/1)*(3*60*76.9*((F756/1000)^0.76))*MAX(inputs!$I$14:$I$16))/F756))</f>
        <v>1.0808719488000003E-2</v>
      </c>
      <c r="T756" s="63">
        <f>IF((((inputs!$P$13/(V756/MAX(K756:S756)))^(1/inputs!$O$13))-1)/inputs!$N$13&lt;0, 0, IF((((inputs!$P$13/(V756/MAX(K756:S756)))^(1/inputs!$O$13))-1)/inputs!$N$13&lt;inputs!$I$17, (((inputs!$P$13/(V756/MAX(K756:S756)))^(1/inputs!$O$13))-1)/inputs!$N$13, inputs!$I$17))</f>
        <v>345.38243463679424</v>
      </c>
      <c r="U756" s="63">
        <f>IF((((inputs!$P$13/(X756/MAX(K756:S756)))^(1/inputs!$O$13))-1)/inputs!$N$13&lt;0, 0, IF((((inputs!$P$13/(X756/MAX(K756:S756)))^(1/inputs!$O$13))-1)/inputs!$N$13&lt;inputs!$I$17, (((inputs!$P$13/(X756/MAX(K756:S756)))^(1/inputs!$O$13))-1)/inputs!$N$13, inputs!$I$17))</f>
        <v>110.67532019995024</v>
      </c>
      <c r="V756" s="21">
        <f>inputs!$E$87*(F756/inputs!$F$87)^(1)</f>
        <v>0.19</v>
      </c>
      <c r="W756" s="21">
        <f>inputs!$E$90*(F756/inputs!$F$90)^(1)</f>
        <v>0.2</v>
      </c>
      <c r="X756" s="21">
        <f>inputs!$E$89*(F756/inputs!$F$89)^(1)</f>
        <v>0.74683544303797467</v>
      </c>
      <c r="Y756" s="21" t="s">
        <v>13</v>
      </c>
      <c r="Z756" s="63">
        <f t="shared" si="59"/>
        <v>171.934650822115</v>
      </c>
      <c r="AA756" s="63">
        <f t="shared" si="60"/>
        <v>163.33791828100922</v>
      </c>
    </row>
    <row r="757" spans="1:27" ht="13.2" x14ac:dyDescent="0.25">
      <c r="A757" s="103" t="s">
        <v>397</v>
      </c>
      <c r="B757" s="20" t="s">
        <v>398</v>
      </c>
      <c r="C757" s="21" t="s">
        <v>79</v>
      </c>
      <c r="D757" s="105" t="s">
        <v>378</v>
      </c>
      <c r="E757" s="15">
        <v>164</v>
      </c>
      <c r="F757" s="15">
        <v>70</v>
      </c>
      <c r="G757" s="21" t="s">
        <v>456</v>
      </c>
      <c r="H757" s="20">
        <v>0.68</v>
      </c>
      <c r="I757" s="68">
        <f>MAX('Max rate concentrations'!$J$3:$J$368)</f>
        <v>686.46486205830786</v>
      </c>
      <c r="J757" s="68">
        <f>MAX('Max rate concentrations'!AB:AB)</f>
        <v>243.122971978984</v>
      </c>
      <c r="K757" s="69">
        <f t="shared" si="61"/>
        <v>10.63100765571618</v>
      </c>
      <c r="L757" s="69">
        <f t="shared" si="62"/>
        <v>3.7651485447328135</v>
      </c>
      <c r="M757" s="69">
        <f>IF((((0.065*F757^0.726)/3.7-(0.301*F757^0.751)/(1-H757)*H757)*(MAX('Max rate concentrations'!$P$3:$P$368)))/F757&gt;0, (((0.065*F757^0.726)/3.7-(0.301*F757^0.751)/(1-H757)*H757)*(MAX('Max rate concentrations'!$P$3:$P$368)))/F757, 0)</f>
        <v>0</v>
      </c>
      <c r="N757" s="69">
        <f>IF((((0.065*F757^0.726)/3.7-(0.301*F757^0.751)/(1-H757)*H757)*(MAX('Max rate concentrations'!$Q$3:$Q$368)))/F757&gt;0, (((0.065*F757^0.726)/3.7-(0.301*F757^0.751)/(1-H757)*H757)*(MAX('Max rate concentrations'!$Q$3:$Q$368)))/F757, 0)</f>
        <v>0</v>
      </c>
      <c r="O757" s="69" t="s">
        <v>13</v>
      </c>
      <c r="P757" s="69" t="s">
        <v>13</v>
      </c>
      <c r="Q757" s="69">
        <f>(inputs!$C$18*11.2)*(25.05*F757^0.63)*0.5*1/F757</f>
        <v>87.3837618649939</v>
      </c>
      <c r="R757" s="59">
        <f>(60*76.9*((F757/1000)^0.76)*3*24*(MAX('Max rate concentrations'!$R$3:$R$368))/F757)</f>
        <v>4.8460094363647925E-3</v>
      </c>
      <c r="S757" s="59">
        <f>(IF(inputs!$C$17="aerial",((0.025*0.112*inputs!$C$18/3.3)*(3*60*76.9*((F757/1000)^0.76))*MAX(inputs!$I$14:$I$16))/F757,((0.0083*0.112*inputs!$C$18/1)*(3*60*76.9*((F757/1000)^0.76))*MAX(inputs!$I$14:$I$16))/F757))</f>
        <v>2.0462124200573837E-2</v>
      </c>
      <c r="T757" s="63">
        <f>IF((((inputs!$P$13/(V757/MAX(K757:S757)))^(1/inputs!$O$13))-1)/inputs!$N$13&lt;0, 0, IF((((inputs!$P$13/(V757/MAX(K757:S757)))^(1/inputs!$O$13))-1)/inputs!$N$13&lt;inputs!$I$17, (((inputs!$P$13/(V757/MAX(K757:S757)))^(1/inputs!$O$13))-1)/inputs!$N$13, inputs!$I$17))</f>
        <v>1000</v>
      </c>
      <c r="U757" s="63">
        <f>IF((((inputs!$P$13/(X757/MAX(K757:S757)))^(1/inputs!$O$13))-1)/inputs!$N$13&lt;0, 0, IF((((inputs!$P$13/(X757/MAX(K757:S757)))^(1/inputs!$O$13))-1)/inputs!$N$13&lt;inputs!$I$17, (((inputs!$P$13/(X757/MAX(K757:S757)))^(1/inputs!$O$13))-1)/inputs!$N$13, inputs!$I$17))</f>
        <v>1000</v>
      </c>
      <c r="V757" s="21">
        <f>inputs!$E$87*(F757/inputs!$F$87)^(1)</f>
        <v>1.3299999999999999E-2</v>
      </c>
      <c r="W757" s="21">
        <f>inputs!$E$90*(F757/inputs!$F$90)^(1)</f>
        <v>1.4E-2</v>
      </c>
      <c r="X757" s="21">
        <f>inputs!$E$89*(F757/inputs!$F$89)^(1)</f>
        <v>5.2278481012658223E-2</v>
      </c>
      <c r="Y757" s="21" t="s">
        <v>13</v>
      </c>
      <c r="Z757" s="63">
        <f t="shared" si="59"/>
        <v>6570.2076590220977</v>
      </c>
      <c r="AA757" s="63">
        <f t="shared" si="60"/>
        <v>6241.6972760709923</v>
      </c>
    </row>
    <row r="758" spans="1:27" ht="13.2" x14ac:dyDescent="0.25">
      <c r="A758" s="103" t="s">
        <v>397</v>
      </c>
      <c r="B758" s="20" t="s">
        <v>398</v>
      </c>
      <c r="C758" s="21" t="s">
        <v>79</v>
      </c>
      <c r="D758" s="105" t="s">
        <v>378</v>
      </c>
      <c r="E758" s="15">
        <v>164</v>
      </c>
      <c r="F758" s="15">
        <v>70</v>
      </c>
      <c r="G758" s="21" t="s">
        <v>145</v>
      </c>
      <c r="H758" s="20">
        <v>0.66</v>
      </c>
      <c r="I758" s="68">
        <f>MAX('Max rate concentrations'!$M$3:$M$368)</f>
        <v>17.092910873809167</v>
      </c>
      <c r="J758" s="68">
        <f>MAX('Max rate concentrations'!AE:AE)</f>
        <v>11.81956602976166</v>
      </c>
      <c r="K758" s="69">
        <f t="shared" si="61"/>
        <v>0.24913985554828244</v>
      </c>
      <c r="L758" s="69">
        <f t="shared" si="62"/>
        <v>0.17227755968764213</v>
      </c>
      <c r="M758" s="69">
        <f>IF((((0.065*F758^0.726)/3.7-(0.301*F758^0.751)/(1-H758)*H758)*(MAX('Max rate concentrations'!$P$3:$P$368)))/F758&gt;0, (((0.065*F758^0.726)/3.7-(0.301*F758^0.751)/(1-H758)*H758)*(MAX('Max rate concentrations'!$P$3:$P$368)))/F758, 0)</f>
        <v>0</v>
      </c>
      <c r="N758" s="69">
        <f>IF((((0.065*F758^0.726)/3.7-(0.301*F758^0.751)/(1-H758)*H758)*(MAX('Max rate concentrations'!$Q$3:$Q$368)))/F758&gt;0, (((0.065*F758^0.726)/3.7-(0.301*F758^0.751)/(1-H758)*H758)*(MAX('Max rate concentrations'!$Q$3:$Q$368)))/F758, 0)</f>
        <v>0</v>
      </c>
      <c r="O758" s="69" t="s">
        <v>13</v>
      </c>
      <c r="P758" s="69" t="s">
        <v>13</v>
      </c>
      <c r="Q758" s="69">
        <f>(inputs!$C$18*11.2)*(25.05*F758^0.63)*0.5*1/F758</f>
        <v>87.3837618649939</v>
      </c>
      <c r="R758" s="59">
        <f>(60*76.9*((F758/1000)^0.76)*3*24*(MAX('Max rate concentrations'!$R$3:$R$368))/F758)</f>
        <v>4.8460094363647925E-3</v>
      </c>
      <c r="S758" s="59">
        <f>(IF(inputs!$C$17="aerial",((0.025*0.112*inputs!$C$18/3.3)*(3*60*76.9*((F758/1000)^0.76))*MAX(inputs!$I$14:$I$16))/F758,((0.0083*0.112*inputs!$C$18/1)*(3*60*76.9*((F758/1000)^0.76))*MAX(inputs!$I$14:$I$16))/F758))</f>
        <v>2.0462124200573837E-2</v>
      </c>
      <c r="T758" s="63">
        <f>IF((((inputs!$P$13/(V758/MAX(K758:S758)))^(1/inputs!$O$13))-1)/inputs!$N$13&lt;0, 0, IF((((inputs!$P$13/(V758/MAX(K758:S758)))^(1/inputs!$O$13))-1)/inputs!$N$13&lt;inputs!$I$17, (((inputs!$P$13/(V758/MAX(K758:S758)))^(1/inputs!$O$13))-1)/inputs!$N$13, inputs!$I$17))</f>
        <v>1000</v>
      </c>
      <c r="U758" s="63">
        <f>IF((((inputs!$P$13/(X758/MAX(K758:S758)))^(1/inputs!$O$13))-1)/inputs!$N$13&lt;0, 0, IF((((inputs!$P$13/(X758/MAX(K758:S758)))^(1/inputs!$O$13))-1)/inputs!$N$13&lt;inputs!$I$17, (((inputs!$P$13/(X758/MAX(K758:S758)))^(1/inputs!$O$13))-1)/inputs!$N$13, inputs!$I$17))</f>
        <v>1000</v>
      </c>
      <c r="V758" s="21">
        <f>inputs!$E$87*(F758/inputs!$F$87)^(1)</f>
        <v>1.3299999999999999E-2</v>
      </c>
      <c r="W758" s="21">
        <f>inputs!$E$90*(F758/inputs!$F$90)^(1)</f>
        <v>1.4E-2</v>
      </c>
      <c r="X758" s="21">
        <f>inputs!$E$89*(F758/inputs!$F$89)^(1)</f>
        <v>5.2278481012658223E-2</v>
      </c>
      <c r="Y758" s="21" t="s">
        <v>13</v>
      </c>
      <c r="Z758" s="63">
        <f t="shared" si="59"/>
        <v>6570.2076590220977</v>
      </c>
      <c r="AA758" s="63">
        <f t="shared" si="60"/>
        <v>6241.6972760709923</v>
      </c>
    </row>
    <row r="759" spans="1:27" ht="13.2" x14ac:dyDescent="0.25">
      <c r="A759" s="103" t="s">
        <v>389</v>
      </c>
      <c r="B759" s="20" t="s">
        <v>390</v>
      </c>
      <c r="C759" s="21" t="s">
        <v>79</v>
      </c>
      <c r="D759" s="105" t="s">
        <v>378</v>
      </c>
      <c r="E759" s="15">
        <v>165</v>
      </c>
      <c r="F759" s="15">
        <v>4135</v>
      </c>
      <c r="G759" s="21" t="s">
        <v>142</v>
      </c>
      <c r="H759" s="21">
        <v>0.69</v>
      </c>
      <c r="I759" s="68">
        <f>MAX('Max rate concentrations'!$H$3:$H$368)</f>
        <v>282</v>
      </c>
      <c r="J759" s="68">
        <f>MAX('Max rate concentrations'!AA:AA)</f>
        <v>195</v>
      </c>
      <c r="K759" s="69">
        <f t="shared" si="61"/>
        <v>1.7860385361755324</v>
      </c>
      <c r="L759" s="69">
        <f t="shared" si="62"/>
        <v>1.2350266473554214</v>
      </c>
      <c r="M759" s="69">
        <f>IF((((0.065*F759^0.726)/3.7-(0.301*F759^0.751)/(1-H759)*H759)*(MAX('Max rate concentrations'!$P$3:$P$368)))/F759&gt;0, (((0.065*F759^0.726)/3.7-(0.301*F759^0.751)/(1-H759)*H759)*(MAX('Max rate concentrations'!$P$3:$P$368)))/F759, 0)</f>
        <v>0</v>
      </c>
      <c r="N759" s="69">
        <f>IF((((0.065*F759^0.726)/3.7-(0.301*F759^0.751)/(1-H759)*H759)*(MAX('Max rate concentrations'!$Q$3:$Q$368)))/F759&gt;0, (((0.065*F759^0.726)/3.7-(0.301*F759^0.751)/(1-H759)*H759)*(MAX('Max rate concentrations'!$Q$3:$Q$368)))/F759, 0)</f>
        <v>0</v>
      </c>
      <c r="O759" s="69" t="s">
        <v>13</v>
      </c>
      <c r="P759" s="69" t="s">
        <v>13</v>
      </c>
      <c r="Q759" s="69">
        <f>(inputs!$C$18*11.2)*(25.05*F759^0.63)*0.5*1/F759</f>
        <v>19.320620576023671</v>
      </c>
      <c r="R759" s="59">
        <f>(60*76.9*((F759/1000)^0.76)*3*24*(MAX('Max rate concentrations'!$R$3:$R$368))/F759)</f>
        <v>1.8207640158719642E-3</v>
      </c>
      <c r="S759" s="59">
        <f>(IF(inputs!$C$17="aerial",((0.025*0.112*inputs!$C$18/3.3)*(3*60*76.9*((F759/1000)^0.76))*MAX(inputs!$I$14:$I$16))/F759,((0.0083*0.112*inputs!$C$18/1)*(3*60*76.9*((F759/1000)^0.76))*MAX(inputs!$I$14:$I$16))/F759))</f>
        <v>7.688119456212953E-3</v>
      </c>
      <c r="T759" s="63">
        <f>IF((((inputs!$P$13/(V759/MAX(K759:S759)))^(1/inputs!$O$13))-1)/inputs!$N$13&lt;0, 0, IF((((inputs!$P$13/(V759/MAX(K759:S759)))^(1/inputs!$O$13))-1)/inputs!$N$13&lt;inputs!$I$17, (((inputs!$P$13/(V759/MAX(K759:S759)))^(1/inputs!$O$13))-1)/inputs!$N$13, inputs!$I$17))</f>
        <v>67.524684143859716</v>
      </c>
      <c r="U759" s="63">
        <f>IF((((inputs!$P$13/(X759/MAX(K759:S759)))^(1/inputs!$O$13))-1)/inputs!$N$13&lt;0, 0, IF((((inputs!$P$13/(X759/MAX(K759:S759)))^(1/inputs!$O$13))-1)/inputs!$N$13&lt;inputs!$I$17, (((inputs!$P$13/(X759/MAX(K759:S759)))^(1/inputs!$O$13))-1)/inputs!$N$13, inputs!$I$17))</f>
        <v>18.822598587131228</v>
      </c>
      <c r="V759" s="21">
        <f>inputs!$E$87*(F759/inputs!$F$87)^(1)</f>
        <v>0.78564999999999996</v>
      </c>
      <c r="W759" s="21">
        <f>inputs!$E$90*(F759/inputs!$F$90)^(1)</f>
        <v>0.82700000000000007</v>
      </c>
      <c r="X759" s="21">
        <f>inputs!$E$89*(F759/inputs!$F$89)^(1)</f>
        <v>3.0881645569620253</v>
      </c>
      <c r="Y759" s="21" t="s">
        <v>13</v>
      </c>
      <c r="Z759" s="63">
        <f t="shared" si="59"/>
        <v>24.591892797077161</v>
      </c>
      <c r="AA759" s="63">
        <f t="shared" si="60"/>
        <v>23.3622981572233</v>
      </c>
    </row>
    <row r="760" spans="1:27" ht="13.2" x14ac:dyDescent="0.25">
      <c r="A760" s="103" t="s">
        <v>389</v>
      </c>
      <c r="B760" s="20" t="s">
        <v>390</v>
      </c>
      <c r="C760" s="21" t="s">
        <v>79</v>
      </c>
      <c r="D760" s="105" t="s">
        <v>378</v>
      </c>
      <c r="E760" s="15">
        <v>165</v>
      </c>
      <c r="F760" s="15">
        <v>4135</v>
      </c>
      <c r="G760" s="21" t="s">
        <v>152</v>
      </c>
      <c r="H760" s="20">
        <v>0.77</v>
      </c>
      <c r="I760" s="68">
        <f>MAX('Max rate concentrations'!$G$3:$G$368)</f>
        <v>45</v>
      </c>
      <c r="J760" s="68">
        <f>MAX('Max rate concentrations'!Z:Z)</f>
        <v>21</v>
      </c>
      <c r="K760" s="69">
        <f t="shared" si="61"/>
        <v>0.3841387230904823</v>
      </c>
      <c r="L760" s="69">
        <f t="shared" si="62"/>
        <v>0.17926473744222507</v>
      </c>
      <c r="M760" s="69">
        <f>IF((((0.065*F760^0.726)/3.7-(0.301*F760^0.751)/(1-H760)*H760)*(MAX('Max rate concentrations'!$P$3:$P$368)))/F760&gt;0, (((0.065*F760^0.726)/3.7-(0.301*F760^0.751)/(1-H760)*H760)*(MAX('Max rate concentrations'!$P$3:$P$368)))/F760, 0)</f>
        <v>0</v>
      </c>
      <c r="N760" s="69">
        <f>IF((((0.065*F760^0.726)/3.7-(0.301*F760^0.751)/(1-H760)*H760)*(MAX('Max rate concentrations'!$Q$3:$Q$368)))/F760&gt;0, (((0.065*F760^0.726)/3.7-(0.301*F760^0.751)/(1-H760)*H760)*(MAX('Max rate concentrations'!$Q$3:$Q$368)))/F760, 0)</f>
        <v>0</v>
      </c>
      <c r="O760" s="69" t="s">
        <v>13</v>
      </c>
      <c r="P760" s="69" t="s">
        <v>13</v>
      </c>
      <c r="Q760" s="69">
        <f>(inputs!$C$18*11.2)*(25.05*F760^0.63)*0.5*1/F760</f>
        <v>19.320620576023671</v>
      </c>
      <c r="R760" s="59">
        <f>(60*76.9*((F760/1000)^0.76)*3*24*(MAX('Max rate concentrations'!$R$3:$R$368))/F760)</f>
        <v>1.8207640158719642E-3</v>
      </c>
      <c r="S760" s="59">
        <f>(IF(inputs!$C$17="aerial",((0.025*0.112*inputs!$C$18/3.3)*(3*60*76.9*((F760/1000)^0.76))*MAX(inputs!$I$14:$I$16))/F760,((0.0083*0.112*inputs!$C$18/1)*(3*60*76.9*((F760/1000)^0.76))*MAX(inputs!$I$14:$I$16))/F760))</f>
        <v>7.688119456212953E-3</v>
      </c>
      <c r="T760" s="63">
        <f>IF((((inputs!$P$13/(V760/MAX(K760:S760)))^(1/inputs!$O$13))-1)/inputs!$N$13&lt;0, 0, IF((((inputs!$P$13/(V760/MAX(K760:S760)))^(1/inputs!$O$13))-1)/inputs!$N$13&lt;inputs!$I$17, (((inputs!$P$13/(V760/MAX(K760:S760)))^(1/inputs!$O$13))-1)/inputs!$N$13, inputs!$I$17))</f>
        <v>67.524684143859716</v>
      </c>
      <c r="U760" s="63">
        <f>IF((((inputs!$P$13/(X760/MAX(K760:S760)))^(1/inputs!$O$13))-1)/inputs!$N$13&lt;0, 0, IF((((inputs!$P$13/(X760/MAX(K760:S760)))^(1/inputs!$O$13))-1)/inputs!$N$13&lt;inputs!$I$17, (((inputs!$P$13/(X760/MAX(K760:S760)))^(1/inputs!$O$13))-1)/inputs!$N$13, inputs!$I$17))</f>
        <v>18.822598587131228</v>
      </c>
      <c r="V760" s="21">
        <f>inputs!$E$87*(F760/inputs!$F$87)^(1)</f>
        <v>0.78564999999999996</v>
      </c>
      <c r="W760" s="21">
        <f>inputs!$E$90*(F760/inputs!$F$90)^(1)</f>
        <v>0.82700000000000007</v>
      </c>
      <c r="X760" s="21">
        <f>inputs!$E$89*(F760/inputs!$F$89)^(1)</f>
        <v>3.0881645569620253</v>
      </c>
      <c r="Y760" s="21" t="s">
        <v>13</v>
      </c>
      <c r="Z760" s="63">
        <f t="shared" si="59"/>
        <v>24.591892797077161</v>
      </c>
      <c r="AA760" s="63">
        <f t="shared" si="60"/>
        <v>23.3622981572233</v>
      </c>
    </row>
    <row r="761" spans="1:27" ht="13.2" x14ac:dyDescent="0.25">
      <c r="A761" s="103" t="s">
        <v>389</v>
      </c>
      <c r="B761" s="20" t="s">
        <v>390</v>
      </c>
      <c r="C761" s="21" t="s">
        <v>79</v>
      </c>
      <c r="D761" s="105" t="s">
        <v>378</v>
      </c>
      <c r="E761" s="15">
        <v>165</v>
      </c>
      <c r="F761" s="15">
        <v>4135</v>
      </c>
      <c r="G761" s="21" t="s">
        <v>177</v>
      </c>
      <c r="H761" s="20">
        <v>0.85</v>
      </c>
      <c r="I761" s="68">
        <f>MAX('Max rate concentrations'!$F$3:$F$368)</f>
        <v>405</v>
      </c>
      <c r="J761" s="68">
        <f>MAX('Max rate concentrations'!Y:Y)</f>
        <v>135</v>
      </c>
      <c r="K761" s="69">
        <f t="shared" si="61"/>
        <v>5.3011143786486539</v>
      </c>
      <c r="L761" s="69">
        <f t="shared" si="62"/>
        <v>1.767038126216218</v>
      </c>
      <c r="M761" s="69">
        <f>IF((((0.065*F761^0.726)/3.7-(0.301*F761^0.751)/(1-H761)*H761)*(MAX('Max rate concentrations'!$P$3:$P$368)))/F761&gt;0, (((0.065*F761^0.726)/3.7-(0.301*F761^0.751)/(1-H761)*H761)*(MAX('Max rate concentrations'!$P$3:$P$368)))/F761, 0)</f>
        <v>0</v>
      </c>
      <c r="N761" s="69">
        <f>IF((((0.065*F761^0.726)/3.7-(0.301*F761^0.751)/(1-H761)*H761)*(MAX('Max rate concentrations'!$Q$3:$Q$368)))/F761&gt;0, (((0.065*F761^0.726)/3.7-(0.301*F761^0.751)/(1-H761)*H761)*(MAX('Max rate concentrations'!$Q$3:$Q$368)))/F761, 0)</f>
        <v>0</v>
      </c>
      <c r="O761" s="69" t="s">
        <v>13</v>
      </c>
      <c r="P761" s="69" t="s">
        <v>13</v>
      </c>
      <c r="Q761" s="69">
        <f>(inputs!$C$18*11.2)*(25.05*F761^0.63)*0.5*1/F761</f>
        <v>19.320620576023671</v>
      </c>
      <c r="R761" s="59">
        <f>(60*76.9*((F761/1000)^0.76)*3*24*(MAX('Max rate concentrations'!$R$3:$R$368))/F761)</f>
        <v>1.8207640158719642E-3</v>
      </c>
      <c r="S761" s="59">
        <f>(IF(inputs!$C$17="aerial",((0.025*0.112*inputs!$C$18/3.3)*(3*60*76.9*((F761/1000)^0.76))*MAX(inputs!$I$14:$I$16))/F761,((0.0083*0.112*inputs!$C$18/1)*(3*60*76.9*((F761/1000)^0.76))*MAX(inputs!$I$14:$I$16))/F761))</f>
        <v>7.688119456212953E-3</v>
      </c>
      <c r="T761" s="63">
        <f>IF((((inputs!$P$13/(V761/MAX(K761:S761)))^(1/inputs!$O$13))-1)/inputs!$N$13&lt;0, 0, IF((((inputs!$P$13/(V761/MAX(K761:S761)))^(1/inputs!$O$13))-1)/inputs!$N$13&lt;inputs!$I$17, (((inputs!$P$13/(V761/MAX(K761:S761)))^(1/inputs!$O$13))-1)/inputs!$N$13, inputs!$I$17))</f>
        <v>67.524684143859716</v>
      </c>
      <c r="U761" s="63">
        <f>IF((((inputs!$P$13/(X761/MAX(K761:S761)))^(1/inputs!$O$13))-1)/inputs!$N$13&lt;0, 0, IF((((inputs!$P$13/(X761/MAX(K761:S761)))^(1/inputs!$O$13))-1)/inputs!$N$13&lt;inputs!$I$17, (((inputs!$P$13/(X761/MAX(K761:S761)))^(1/inputs!$O$13))-1)/inputs!$N$13, inputs!$I$17))</f>
        <v>18.822598587131228</v>
      </c>
      <c r="V761" s="21">
        <f>inputs!$E$87*(F761/inputs!$F$87)^(1)</f>
        <v>0.78564999999999996</v>
      </c>
      <c r="W761" s="21">
        <f>inputs!$E$90*(F761/inputs!$F$90)^(1)</f>
        <v>0.82700000000000007</v>
      </c>
      <c r="X761" s="21">
        <f>inputs!$E$89*(F761/inputs!$F$89)^(1)</f>
        <v>3.0881645569620253</v>
      </c>
      <c r="Y761" s="21" t="s">
        <v>13</v>
      </c>
      <c r="Z761" s="63">
        <f t="shared" si="59"/>
        <v>24.591892797077161</v>
      </c>
      <c r="AA761" s="63">
        <f t="shared" si="60"/>
        <v>23.3622981572233</v>
      </c>
    </row>
    <row r="762" spans="1:27" ht="13.2" x14ac:dyDescent="0.25">
      <c r="A762" s="120" t="s">
        <v>428</v>
      </c>
      <c r="B762" s="20" t="s">
        <v>429</v>
      </c>
      <c r="C762" s="21" t="s">
        <v>79</v>
      </c>
      <c r="D762" s="105" t="s">
        <v>378</v>
      </c>
      <c r="E762" s="15">
        <v>177</v>
      </c>
      <c r="F762" s="15">
        <v>0.15</v>
      </c>
      <c r="G762" s="21" t="s">
        <v>142</v>
      </c>
      <c r="H762" s="21">
        <v>0.69</v>
      </c>
      <c r="I762" s="68">
        <f>MAX('Max rate concentrations'!$H$3:$H$368)</f>
        <v>282</v>
      </c>
      <c r="J762" s="68">
        <f>MAX('Max rate concentrations'!AA:AA)</f>
        <v>195</v>
      </c>
      <c r="K762" s="69">
        <f t="shared" si="61"/>
        <v>18.191061871506765</v>
      </c>
      <c r="L762" s="69">
        <f t="shared" si="62"/>
        <v>12.578925762212124</v>
      </c>
      <c r="M762" s="69">
        <f>IF((((0.065*F762^0.726)/3.7-(0.301*F762^0.751)/(1-H762)*H762)*(MAX('Max rate concentrations'!$P$3:$P$368)))/F762&gt;0, (((0.065*F762^0.726)/3.7-(0.301*F762^0.751)/(1-H762)*H762)*(MAX('Max rate concentrations'!$P$3:$P$368)))/F762, 0)</f>
        <v>0</v>
      </c>
      <c r="N762" s="69">
        <f>IF((((0.065*F762^0.726)/3.7-(0.301*F762^0.751)/(1-H762)*H762)*(MAX('Max rate concentrations'!$Q$3:$Q$368)))/F762&gt;0, (((0.065*F762^0.726)/3.7-(0.301*F762^0.751)/(1-H762)*H762)*(MAX('Max rate concentrations'!$Q$3:$Q$368)))/F762, 0)</f>
        <v>0</v>
      </c>
      <c r="O762" s="69" t="s">
        <v>13</v>
      </c>
      <c r="P762" s="69" t="s">
        <v>13</v>
      </c>
      <c r="Q762" s="69">
        <f>(inputs!$C$18*11.2)*(25.05*F762^0.63)*0.5*1/F762</f>
        <v>849.10861275583613</v>
      </c>
      <c r="R762" s="59">
        <f>(60*76.9*((F762/1000)^0.76)*3*24*(MAX('Max rate concentrations'!$R$3:$R$368))/F762)</f>
        <v>2.118097184397218E-2</v>
      </c>
      <c r="S762" s="59">
        <f>(IF(inputs!$C$17="aerial",((0.025*0.112*inputs!$C$18/3.3)*(3*60*76.9*((F762/1000)^0.76))*MAX(inputs!$I$14:$I$16))/F762,((0.0083*0.112*inputs!$C$18/1)*(3*60*76.9*((F762/1000)^0.76))*MAX(inputs!$I$14:$I$16))/F762))</f>
        <v>8.9435995173243951E-2</v>
      </c>
      <c r="T762" s="63">
        <f>IF((((inputs!$P$13/(V762/MAX(K762:S762)))^(1/inputs!$O$13))-1)/inputs!$N$13&lt;0, 0, IF((((inputs!$P$13/(V762/MAX(K762:S762)))^(1/inputs!$O$13))-1)/inputs!$N$13&lt;inputs!$I$17, (((inputs!$P$13/(V762/MAX(K762:S762)))^(1/inputs!$O$13))-1)/inputs!$N$13, inputs!$I$17))</f>
        <v>1000</v>
      </c>
      <c r="U762" s="63">
        <f>IF((((inputs!$P$13/(X762/MAX(K762:S762)))^(1/inputs!$O$13))-1)/inputs!$N$13&lt;0, 0, IF((((inputs!$P$13/(X762/MAX(K762:S762)))^(1/inputs!$O$13))-1)/inputs!$N$13&lt;inputs!$I$17, (((inputs!$P$13/(X762/MAX(K762:S762)))^(1/inputs!$O$13))-1)/inputs!$N$13, inputs!$I$17))</f>
        <v>1000</v>
      </c>
      <c r="V762" s="21">
        <f>inputs!$E$87*(F762/inputs!$F$87)^(1)</f>
        <v>2.8500000000000002E-5</v>
      </c>
      <c r="W762" s="21">
        <f>inputs!$E$90*(F762/inputs!$F$90)^(1)</f>
        <v>3.0000000000000001E-5</v>
      </c>
      <c r="X762" s="21">
        <f>inputs!$E$89*(F762/inputs!$F$89)^(1)</f>
        <v>1.120253164556962E-4</v>
      </c>
      <c r="Y762" s="21" t="s">
        <v>13</v>
      </c>
      <c r="Z762" s="63">
        <f t="shared" si="59"/>
        <v>29793284.658099514</v>
      </c>
      <c r="AA762" s="63">
        <f t="shared" si="60"/>
        <v>28303620.425194535</v>
      </c>
    </row>
    <row r="763" spans="1:27" ht="13.2" x14ac:dyDescent="0.25">
      <c r="A763" s="119" t="s">
        <v>985</v>
      </c>
      <c r="B763" s="20" t="s">
        <v>641</v>
      </c>
      <c r="C763" s="21" t="s">
        <v>79</v>
      </c>
      <c r="D763" s="105" t="s">
        <v>378</v>
      </c>
      <c r="E763" s="15">
        <v>3271</v>
      </c>
      <c r="F763" s="15">
        <v>150</v>
      </c>
      <c r="G763" s="21" t="s">
        <v>182</v>
      </c>
      <c r="H763" s="20">
        <v>0.85</v>
      </c>
      <c r="I763" s="68">
        <f>MAX('Max rate concentrations'!$M$3:$M$368)</f>
        <v>17.092910873809167</v>
      </c>
      <c r="J763" s="68">
        <f>MAX('Max rate concentrations'!AE:AE)</f>
        <v>11.81956602976166</v>
      </c>
      <c r="K763" s="69">
        <f t="shared" si="61"/>
        <v>0.47500196428156283</v>
      </c>
      <c r="L763" s="69">
        <f t="shared" si="62"/>
        <v>0.32845880508831476</v>
      </c>
      <c r="M763" s="69">
        <f>IF((((0.065*F763^0.726)/3.7-(0.301*F763^0.751)/(1-H763)*H763)*(MAX('Max rate concentrations'!$P$3:$P$368)))/F763&gt;0, (((0.065*F763^0.726)/3.7-(0.301*F763^0.751)/(1-H763)*H763)*(MAX('Max rate concentrations'!$P$3:$P$368)))/F763, 0)</f>
        <v>0</v>
      </c>
      <c r="N763" s="69">
        <f>IF((((0.065*F763^0.726)/3.7-(0.301*F763^0.751)/(1-H763)*H763)*(MAX('Max rate concentrations'!$Q$3:$Q$368)))/F763&gt;0, (((0.065*F763^0.726)/3.7-(0.301*F763^0.751)/(1-H763)*H763)*(MAX('Max rate concentrations'!$Q$3:$Q$368)))/F763, 0)</f>
        <v>0</v>
      </c>
      <c r="O763" s="69" t="s">
        <v>13</v>
      </c>
      <c r="P763" s="69" t="s">
        <v>13</v>
      </c>
      <c r="Q763" s="69">
        <f>(inputs!$C$18*11.2)*(25.05*F763^0.63)*0.5*1/F763</f>
        <v>65.911811235630609</v>
      </c>
      <c r="R763" s="59">
        <f>(60*76.9*((F763/1000)^0.76)*3*24*(MAX('Max rate concentrations'!$R$3:$R$368))/F763)</f>
        <v>4.0359509816974542E-3</v>
      </c>
      <c r="S763" s="59">
        <f>(IF(inputs!$C$17="aerial",((0.025*0.112*inputs!$C$18/3.3)*(3*60*76.9*((F763/1000)^0.76))*MAX(inputs!$I$14:$I$16))/F763,((0.0083*0.112*inputs!$C$18/1)*(3*60*76.9*((F763/1000)^0.76))*MAX(inputs!$I$14:$I$16))/F763))</f>
        <v>1.7041677557456694E-2</v>
      </c>
      <c r="T763" s="63">
        <f>IF((((inputs!$P$13/(V763/MAX(K763:S763)))^(1/inputs!$O$13))-1)/inputs!$N$13&lt;0, 0, IF((((inputs!$P$13/(V763/MAX(K763:S763)))^(1/inputs!$O$13))-1)/inputs!$N$13&lt;inputs!$I$17, (((inputs!$P$13/(V763/MAX(K763:S763)))^(1/inputs!$O$13))-1)/inputs!$N$13, inputs!$I$17))</f>
        <v>1000</v>
      </c>
      <c r="U763" s="63">
        <f>IF((((inputs!$P$13/(X763/MAX(K763:S763)))^(1/inputs!$O$13))-1)/inputs!$N$13&lt;0, 0, IF((((inputs!$P$13/(X763/MAX(K763:S763)))^(1/inputs!$O$13))-1)/inputs!$N$13&lt;inputs!$I$17, (((inputs!$P$13/(X763/MAX(K763:S763)))^(1/inputs!$O$13))-1)/inputs!$N$13, inputs!$I$17))</f>
        <v>942.93489278823984</v>
      </c>
      <c r="V763" s="21">
        <f>inputs!$E$87*(F763/inputs!$F$87)^(1)</f>
        <v>2.8499999999999998E-2</v>
      </c>
      <c r="W763" s="21">
        <f>inputs!$E$90*(F763/inputs!$F$90)^(1)</f>
        <v>3.0000000000000002E-2</v>
      </c>
      <c r="X763" s="21">
        <f>inputs!$E$89*(F763/inputs!$F$89)^(1)</f>
        <v>0.1120253164556962</v>
      </c>
      <c r="Y763" s="21" t="s">
        <v>13</v>
      </c>
      <c r="Z763" s="63">
        <f t="shared" si="59"/>
        <v>2312.6951310747586</v>
      </c>
      <c r="AA763" s="63">
        <f t="shared" si="60"/>
        <v>2197.0603745210201</v>
      </c>
    </row>
    <row r="764" spans="1:27" ht="26.4" x14ac:dyDescent="0.25">
      <c r="A764" s="119" t="s">
        <v>985</v>
      </c>
      <c r="B764" s="20" t="s">
        <v>641</v>
      </c>
      <c r="C764" s="21" t="s">
        <v>79</v>
      </c>
      <c r="D764" s="105" t="s">
        <v>378</v>
      </c>
      <c r="E764" s="15">
        <v>3271</v>
      </c>
      <c r="F764" s="15">
        <v>150</v>
      </c>
      <c r="G764" s="21" t="s">
        <v>634</v>
      </c>
      <c r="H764" s="21">
        <v>0.75</v>
      </c>
      <c r="I764" s="68">
        <f>inputs!$C$66*inputs!$C$64/1000</f>
        <v>21.3</v>
      </c>
      <c r="J764" s="68">
        <f>inputs!$C$66*inputs!$C$63/1000</f>
        <v>8.8000000000000007</v>
      </c>
      <c r="K764" s="69">
        <f t="shared" si="61"/>
        <v>0.35514870160705125</v>
      </c>
      <c r="L764" s="69">
        <f t="shared" si="62"/>
        <v>0.14672810207239678</v>
      </c>
      <c r="M764" s="69">
        <f>IF((((0.065*F764^0.726)/3.7-(0.301*F764^0.751)/(1-H764)*H764)*(MAX('Max rate concentrations'!$P$3:$P$368)))/F764&gt;0, (((0.065*F764^0.726)/3.7-(0.301*F764^0.751)/(1-H764)*H764)*(MAX('Max rate concentrations'!$P$3:$P$368)))/F764, 0)</f>
        <v>0</v>
      </c>
      <c r="N764" s="69">
        <f>IF((((0.065*F764^0.726)/3.7-(0.301*F764^0.751)/(1-H764)*H764)*(MAX('Max rate concentrations'!$Q$3:$Q$368)))/F764&gt;0, (((0.065*F764^0.726)/3.7-(0.301*F764^0.751)/(1-H764)*H764)*(MAX('Max rate concentrations'!$Q$3:$Q$368)))/F764, 0)</f>
        <v>0</v>
      </c>
      <c r="O764" s="69" t="s">
        <v>13</v>
      </c>
      <c r="P764" s="69" t="s">
        <v>13</v>
      </c>
      <c r="Q764" s="69">
        <f>(inputs!$C$18*11.2)*(25.05*F764^0.63)*0.5*1/F764</f>
        <v>65.911811235630609</v>
      </c>
      <c r="R764" s="59">
        <f>(60*76.9*((F764/1000)^0.76)*3*24*(MAX('Max rate concentrations'!$R$3:$R$368))/F764)</f>
        <v>4.0359509816974542E-3</v>
      </c>
      <c r="S764" s="59">
        <f>(IF(inputs!$C$17="aerial",((0.025*0.112*inputs!$C$18/3.3)*(3*60*76.9*((F764/1000)^0.76))*MAX(inputs!$I$14:$I$16))/F764,((0.0083*0.112*inputs!$C$18/1)*(3*60*76.9*((F764/1000)^0.76))*MAX(inputs!$I$14:$I$16))/F764))</f>
        <v>1.7041677557456694E-2</v>
      </c>
      <c r="T764" s="63">
        <f>IF((((inputs!$P$13/(V764/MAX(K764:S764)))^(1/inputs!$O$13))-1)/inputs!$N$13&lt;0, 0, IF((((inputs!$P$13/(V764/MAX(K764:S764)))^(1/inputs!$O$13))-1)/inputs!$N$13&lt;inputs!$I$17, (((inputs!$P$13/(V764/MAX(K764:S764)))^(1/inputs!$O$13))-1)/inputs!$N$13, inputs!$I$17))</f>
        <v>1000</v>
      </c>
      <c r="U764" s="63">
        <f>IF((((inputs!$P$13/(X764/MAX(K764:S764)))^(1/inputs!$O$13))-1)/inputs!$N$13&lt;0, 0, IF((((inputs!$P$13/(X764/MAX(K764:S764)))^(1/inputs!$O$13))-1)/inputs!$N$13&lt;inputs!$I$17, (((inputs!$P$13/(X764/MAX(K764:S764)))^(1/inputs!$O$13))-1)/inputs!$N$13, inputs!$I$17))</f>
        <v>942.93489278823984</v>
      </c>
      <c r="V764" s="21">
        <f>inputs!$E$87*(F764/inputs!$F$87)^(1)</f>
        <v>2.8499999999999998E-2</v>
      </c>
      <c r="W764" s="21">
        <f>inputs!$E$90*(F764/inputs!$F$90)^(1)</f>
        <v>3.0000000000000002E-2</v>
      </c>
      <c r="X764" s="21">
        <f>inputs!$E$89*(F764/inputs!$F$89)^(1)</f>
        <v>0.1120253164556962</v>
      </c>
      <c r="Y764" s="21" t="s">
        <v>13</v>
      </c>
      <c r="Z764" s="63">
        <f t="shared" si="59"/>
        <v>2312.6951310747586</v>
      </c>
      <c r="AA764" s="63">
        <f t="shared" si="60"/>
        <v>2197.0603745210201</v>
      </c>
    </row>
    <row r="765" spans="1:27" ht="13.2" x14ac:dyDescent="0.25">
      <c r="A765" s="103" t="s">
        <v>387</v>
      </c>
      <c r="B765" s="20" t="s">
        <v>388</v>
      </c>
      <c r="C765" s="21" t="s">
        <v>79</v>
      </c>
      <c r="D765" s="105" t="s">
        <v>378</v>
      </c>
      <c r="E765" s="15">
        <v>166</v>
      </c>
      <c r="F765" s="15">
        <v>85</v>
      </c>
      <c r="G765" s="21" t="s">
        <v>142</v>
      </c>
      <c r="H765" s="21">
        <v>0.69</v>
      </c>
      <c r="I765" s="68">
        <f>MAX('Max rate concentrations'!$H$3:$H$368)</f>
        <v>282</v>
      </c>
      <c r="J765" s="68">
        <f>MAX('Max rate concentrations'!AA:AA)</f>
        <v>195</v>
      </c>
      <c r="K765" s="69">
        <f t="shared" si="61"/>
        <v>4.3137271383376987</v>
      </c>
      <c r="L765" s="69">
        <f t="shared" si="62"/>
        <v>2.9828964254462806</v>
      </c>
      <c r="M765" s="69">
        <f>IF((((0.065*F765^0.726)/3.7-(0.301*F765^0.751)/(1-H765)*H765)*(MAX('Max rate concentrations'!$P$3:$P$368)))/F765&gt;0, (((0.065*F765^0.726)/3.7-(0.301*F765^0.751)/(1-H765)*H765)*(MAX('Max rate concentrations'!$P$3:$P$368)))/F765, 0)</f>
        <v>0</v>
      </c>
      <c r="N765" s="69">
        <f>IF((((0.065*F765^0.726)/3.7-(0.301*F765^0.751)/(1-H765)*H765)*(MAX('Max rate concentrations'!$Q$3:$Q$368)))/F765&gt;0, (((0.065*F765^0.726)/3.7-(0.301*F765^0.751)/(1-H765)*H765)*(MAX('Max rate concentrations'!$Q$3:$Q$368)))/F765, 0)</f>
        <v>0</v>
      </c>
      <c r="O765" s="69" t="s">
        <v>13</v>
      </c>
      <c r="P765" s="69" t="s">
        <v>13</v>
      </c>
      <c r="Q765" s="69">
        <f>(inputs!$C$18*11.2)*(25.05*F765^0.63)*0.5*1/F765</f>
        <v>81.326486364523277</v>
      </c>
      <c r="R765" s="59">
        <f>(60*76.9*((F765/1000)^0.76)*3*24*(MAX('Max rate concentrations'!$R$3:$R$368))/F765)</f>
        <v>4.6253781333051797E-3</v>
      </c>
      <c r="S765" s="59">
        <f>(IF(inputs!$C$17="aerial",((0.025*0.112*inputs!$C$18/3.3)*(3*60*76.9*((F765/1000)^0.76))*MAX(inputs!$I$14:$I$16))/F765,((0.0083*0.112*inputs!$C$18/1)*(3*60*76.9*((F765/1000)^0.76))*MAX(inputs!$I$14:$I$16))/F765))</f>
        <v>1.953051538201429E-2</v>
      </c>
      <c r="T765" s="63">
        <f>IF((((inputs!$P$13/(V765/MAX(K765:S765)))^(1/inputs!$O$13))-1)/inputs!$N$13&lt;0, 0, IF((((inputs!$P$13/(V765/MAX(K765:S765)))^(1/inputs!$O$13))-1)/inputs!$N$13&lt;inputs!$I$17, (((inputs!$P$13/(V765/MAX(K765:S765)))^(1/inputs!$O$13))-1)/inputs!$N$13, inputs!$I$17))</f>
        <v>1000</v>
      </c>
      <c r="U765" s="63">
        <f>IF((((inputs!$P$13/(X765/MAX(K765:S765)))^(1/inputs!$O$13))-1)/inputs!$N$13&lt;0, 0, IF((((inputs!$P$13/(X765/MAX(K765:S765)))^(1/inputs!$O$13))-1)/inputs!$N$13&lt;inputs!$I$17, (((inputs!$P$13/(X765/MAX(K765:S765)))^(1/inputs!$O$13))-1)/inputs!$N$13, inputs!$I$17))</f>
        <v>1000</v>
      </c>
      <c r="V765" s="21">
        <f>inputs!$E$87*(F765/inputs!$F$87)^(1)</f>
        <v>1.6149999999999998E-2</v>
      </c>
      <c r="W765" s="21">
        <f>inputs!$E$90*(F765/inputs!$F$90)^(1)</f>
        <v>1.7000000000000001E-2</v>
      </c>
      <c r="X765" s="21">
        <f>inputs!$E$89*(F765/inputs!$F$89)^(1)</f>
        <v>6.3481012658227851E-2</v>
      </c>
      <c r="Y765" s="21" t="s">
        <v>13</v>
      </c>
      <c r="Z765" s="63">
        <f t="shared" si="59"/>
        <v>5035.6957501252809</v>
      </c>
      <c r="AA765" s="63">
        <f t="shared" si="60"/>
        <v>4783.9109626190157</v>
      </c>
    </row>
    <row r="766" spans="1:27" ht="13.2" x14ac:dyDescent="0.25">
      <c r="A766" s="103" t="s">
        <v>387</v>
      </c>
      <c r="B766" s="20" t="s">
        <v>388</v>
      </c>
      <c r="C766" s="21" t="s">
        <v>79</v>
      </c>
      <c r="D766" s="105" t="s">
        <v>378</v>
      </c>
      <c r="E766" s="15">
        <v>166</v>
      </c>
      <c r="F766" s="15">
        <v>85</v>
      </c>
      <c r="G766" s="21" t="s">
        <v>138</v>
      </c>
      <c r="H766" s="20">
        <v>0.68</v>
      </c>
      <c r="I766" s="68">
        <f>MAX('Max rate concentrations'!$L$3:$L$368)</f>
        <v>350.52744091332482</v>
      </c>
      <c r="J766" s="68">
        <f>MAX('Max rate concentrations'!AD:AD)</f>
        <v>242.38599637623525</v>
      </c>
      <c r="K766" s="69">
        <f t="shared" si="61"/>
        <v>5.1944228471405252</v>
      </c>
      <c r="L766" s="69">
        <f t="shared" si="62"/>
        <v>3.59188813898015</v>
      </c>
      <c r="M766" s="69">
        <f>IF((((0.065*F766^0.726)/3.7-(0.301*F766^0.751)/(1-H766)*H766)*(MAX('Max rate concentrations'!$P$3:$P$368)))/F766&gt;0, (((0.065*F766^0.726)/3.7-(0.301*F766^0.751)/(1-H766)*H766)*(MAX('Max rate concentrations'!$P$3:$P$368)))/F766, 0)</f>
        <v>0</v>
      </c>
      <c r="N766" s="69">
        <f>IF((((0.065*F766^0.726)/3.7-(0.301*F766^0.751)/(1-H766)*H766)*(MAX('Max rate concentrations'!$Q$3:$Q$368)))/F766&gt;0, (((0.065*F766^0.726)/3.7-(0.301*F766^0.751)/(1-H766)*H766)*(MAX('Max rate concentrations'!$Q$3:$Q$368)))/F766, 0)</f>
        <v>0</v>
      </c>
      <c r="O766" s="69" t="s">
        <v>13</v>
      </c>
      <c r="P766" s="69" t="s">
        <v>13</v>
      </c>
      <c r="Q766" s="69">
        <f>(inputs!$C$18*11.2)*(25.05*F766^0.63)*0.5*1/F766</f>
        <v>81.326486364523277</v>
      </c>
      <c r="R766" s="59">
        <f>(60*76.9*((F766/1000)^0.76)*3*24*(MAX('Max rate concentrations'!$R$3:$R$368))/F766)</f>
        <v>4.6253781333051797E-3</v>
      </c>
      <c r="S766" s="59">
        <f>(IF(inputs!$C$17="aerial",((0.025*0.112*inputs!$C$18/3.3)*(3*60*76.9*((F766/1000)^0.76))*MAX(inputs!$I$14:$I$16))/F766,((0.0083*0.112*inputs!$C$18/1)*(3*60*76.9*((F766/1000)^0.76))*MAX(inputs!$I$14:$I$16))/F766))</f>
        <v>1.953051538201429E-2</v>
      </c>
      <c r="T766" s="63">
        <f>IF((((inputs!$P$13/(V766/MAX(K766:S766)))^(1/inputs!$O$13))-1)/inputs!$N$13&lt;0, 0, IF((((inputs!$P$13/(V766/MAX(K766:S766)))^(1/inputs!$O$13))-1)/inputs!$N$13&lt;inputs!$I$17, (((inputs!$P$13/(V766/MAX(K766:S766)))^(1/inputs!$O$13))-1)/inputs!$N$13, inputs!$I$17))</f>
        <v>1000</v>
      </c>
      <c r="U766" s="63">
        <f>IF((((inputs!$P$13/(X766/MAX(K766:S766)))^(1/inputs!$O$13))-1)/inputs!$N$13&lt;0, 0, IF((((inputs!$P$13/(X766/MAX(K766:S766)))^(1/inputs!$O$13))-1)/inputs!$N$13&lt;inputs!$I$17, (((inputs!$P$13/(X766/MAX(K766:S766)))^(1/inputs!$O$13))-1)/inputs!$N$13, inputs!$I$17))</f>
        <v>1000</v>
      </c>
      <c r="V766" s="21">
        <f>inputs!$E$87*(F766/inputs!$F$87)^(1)</f>
        <v>1.6149999999999998E-2</v>
      </c>
      <c r="W766" s="21">
        <f>inputs!$E$90*(F766/inputs!$F$90)^(1)</f>
        <v>1.7000000000000001E-2</v>
      </c>
      <c r="X766" s="21">
        <f>inputs!$E$89*(F766/inputs!$F$89)^(1)</f>
        <v>6.3481012658227851E-2</v>
      </c>
      <c r="Y766" s="21" t="s">
        <v>13</v>
      </c>
      <c r="Z766" s="63">
        <f t="shared" si="59"/>
        <v>5035.6957501252809</v>
      </c>
      <c r="AA766" s="63">
        <f t="shared" si="60"/>
        <v>4783.9109626190157</v>
      </c>
    </row>
    <row r="767" spans="1:27" ht="13.2" x14ac:dyDescent="0.25">
      <c r="A767" s="103" t="s">
        <v>387</v>
      </c>
      <c r="B767" s="20" t="s">
        <v>388</v>
      </c>
      <c r="C767" s="21" t="s">
        <v>79</v>
      </c>
      <c r="D767" s="105" t="s">
        <v>378</v>
      </c>
      <c r="E767" s="15">
        <v>166</v>
      </c>
      <c r="F767" s="15">
        <v>85</v>
      </c>
      <c r="G767" s="21" t="s">
        <v>456</v>
      </c>
      <c r="H767" s="20">
        <v>0.68</v>
      </c>
      <c r="I767" s="68">
        <f>MAX('Max rate concentrations'!$J$3:$J$368)</f>
        <v>686.46486205830786</v>
      </c>
      <c r="J767" s="68">
        <f>MAX('Max rate concentrations'!AB:AB)</f>
        <v>243.122971978984</v>
      </c>
      <c r="K767" s="69">
        <f t="shared" si="61"/>
        <v>10.172637993601644</v>
      </c>
      <c r="L767" s="69">
        <f t="shared" si="62"/>
        <v>3.602809289400581</v>
      </c>
      <c r="M767" s="69">
        <f>IF((((0.065*F767^0.726)/3.7-(0.301*F767^0.751)/(1-H767)*H767)*(MAX('Max rate concentrations'!$P$3:$P$368)))/F767&gt;0, (((0.065*F767^0.726)/3.7-(0.301*F767^0.751)/(1-H767)*H767)*(MAX('Max rate concentrations'!$P$3:$P$368)))/F767, 0)</f>
        <v>0</v>
      </c>
      <c r="N767" s="69">
        <f>IF((((0.065*F767^0.726)/3.7-(0.301*F767^0.751)/(1-H767)*H767)*(MAX('Max rate concentrations'!$Q$3:$Q$368)))/F767&gt;0, (((0.065*F767^0.726)/3.7-(0.301*F767^0.751)/(1-H767)*H767)*(MAX('Max rate concentrations'!$Q$3:$Q$368)))/F767, 0)</f>
        <v>0</v>
      </c>
      <c r="O767" s="69" t="s">
        <v>13</v>
      </c>
      <c r="P767" s="69" t="s">
        <v>13</v>
      </c>
      <c r="Q767" s="69">
        <f>(inputs!$C$18*11.2)*(25.05*F767^0.63)*0.5*1/F767</f>
        <v>81.326486364523277</v>
      </c>
      <c r="R767" s="59">
        <f>(60*76.9*((F767/1000)^0.76)*3*24*(MAX('Max rate concentrations'!$R$3:$R$368))/F767)</f>
        <v>4.6253781333051797E-3</v>
      </c>
      <c r="S767" s="59">
        <f>(IF(inputs!$C$17="aerial",((0.025*0.112*inputs!$C$18/3.3)*(3*60*76.9*((F767/1000)^0.76))*MAX(inputs!$I$14:$I$16))/F767,((0.0083*0.112*inputs!$C$18/1)*(3*60*76.9*((F767/1000)^0.76))*MAX(inputs!$I$14:$I$16))/F767))</f>
        <v>1.953051538201429E-2</v>
      </c>
      <c r="T767" s="63">
        <f>IF((((inputs!$P$13/(V767/MAX(K767:S767)))^(1/inputs!$O$13))-1)/inputs!$N$13&lt;0, 0, IF((((inputs!$P$13/(V767/MAX(K767:S767)))^(1/inputs!$O$13))-1)/inputs!$N$13&lt;inputs!$I$17, (((inputs!$P$13/(V767/MAX(K767:S767)))^(1/inputs!$O$13))-1)/inputs!$N$13, inputs!$I$17))</f>
        <v>1000</v>
      </c>
      <c r="U767" s="63">
        <f>IF((((inputs!$P$13/(X767/MAX(K767:S767)))^(1/inputs!$O$13))-1)/inputs!$N$13&lt;0, 0, IF((((inputs!$P$13/(X767/MAX(K767:S767)))^(1/inputs!$O$13))-1)/inputs!$N$13&lt;inputs!$I$17, (((inputs!$P$13/(X767/MAX(K767:S767)))^(1/inputs!$O$13))-1)/inputs!$N$13, inputs!$I$17))</f>
        <v>1000</v>
      </c>
      <c r="V767" s="21">
        <f>inputs!$E$87*(F767/inputs!$F$87)^(1)</f>
        <v>1.6149999999999998E-2</v>
      </c>
      <c r="W767" s="21">
        <f>inputs!$E$90*(F767/inputs!$F$90)^(1)</f>
        <v>1.7000000000000001E-2</v>
      </c>
      <c r="X767" s="21">
        <f>inputs!$E$89*(F767/inputs!$F$89)^(1)</f>
        <v>6.3481012658227851E-2</v>
      </c>
      <c r="Y767" s="21" t="s">
        <v>13</v>
      </c>
      <c r="Z767" s="63">
        <f t="shared" si="59"/>
        <v>5035.6957501252809</v>
      </c>
      <c r="AA767" s="63">
        <f t="shared" si="60"/>
        <v>4783.9109626190157</v>
      </c>
    </row>
    <row r="768" spans="1:27" ht="13.2" x14ac:dyDescent="0.25">
      <c r="A768" s="103" t="s">
        <v>387</v>
      </c>
      <c r="B768" s="20" t="s">
        <v>388</v>
      </c>
      <c r="C768" s="21" t="s">
        <v>79</v>
      </c>
      <c r="D768" s="105" t="s">
        <v>378</v>
      </c>
      <c r="E768" s="15">
        <v>166</v>
      </c>
      <c r="F768" s="15">
        <v>85</v>
      </c>
      <c r="G768" s="21" t="s">
        <v>145</v>
      </c>
      <c r="H768" s="20">
        <v>0.66</v>
      </c>
      <c r="I768" s="68">
        <f>MAX('Max rate concentrations'!$M$3:$M$368)</f>
        <v>17.092910873809167</v>
      </c>
      <c r="J768" s="68">
        <f>MAX('Max rate concentrations'!AE:AE)</f>
        <v>11.81956602976166</v>
      </c>
      <c r="K768" s="69">
        <f t="shared" si="61"/>
        <v>0.23839786804293736</v>
      </c>
      <c r="L768" s="69">
        <f t="shared" si="62"/>
        <v>0.16484958960415882</v>
      </c>
      <c r="M768" s="69">
        <f>IF((((0.065*F768^0.726)/3.7-(0.301*F768^0.751)/(1-H768)*H768)*(MAX('Max rate concentrations'!$P$3:$P$368)))/F768&gt;0, (((0.065*F768^0.726)/3.7-(0.301*F768^0.751)/(1-H768)*H768)*(MAX('Max rate concentrations'!$P$3:$P$368)))/F768, 0)</f>
        <v>0</v>
      </c>
      <c r="N768" s="69">
        <f>IF((((0.065*F768^0.726)/3.7-(0.301*F768^0.751)/(1-H768)*H768)*(MAX('Max rate concentrations'!$Q$3:$Q$368)))/F768&gt;0, (((0.065*F768^0.726)/3.7-(0.301*F768^0.751)/(1-H768)*H768)*(MAX('Max rate concentrations'!$Q$3:$Q$368)))/F768, 0)</f>
        <v>0</v>
      </c>
      <c r="O768" s="69" t="s">
        <v>13</v>
      </c>
      <c r="P768" s="69" t="s">
        <v>13</v>
      </c>
      <c r="Q768" s="69">
        <f>(inputs!$C$18*11.2)*(25.05*F768^0.63)*0.5*1/F768</f>
        <v>81.326486364523277</v>
      </c>
      <c r="R768" s="59">
        <f>(60*76.9*((F768/1000)^0.76)*3*24*(MAX('Max rate concentrations'!$R$3:$R$368))/F768)</f>
        <v>4.6253781333051797E-3</v>
      </c>
      <c r="S768" s="59">
        <f>(IF(inputs!$C$17="aerial",((0.025*0.112*inputs!$C$18/3.3)*(3*60*76.9*((F768/1000)^0.76))*MAX(inputs!$I$14:$I$16))/F768,((0.0083*0.112*inputs!$C$18/1)*(3*60*76.9*((F768/1000)^0.76))*MAX(inputs!$I$14:$I$16))/F768))</f>
        <v>1.953051538201429E-2</v>
      </c>
      <c r="T768" s="63">
        <f>IF((((inputs!$P$13/(V768/MAX(K768:S768)))^(1/inputs!$O$13))-1)/inputs!$N$13&lt;0, 0, IF((((inputs!$P$13/(V768/MAX(K768:S768)))^(1/inputs!$O$13))-1)/inputs!$N$13&lt;inputs!$I$17, (((inputs!$P$13/(V768/MAX(K768:S768)))^(1/inputs!$O$13))-1)/inputs!$N$13, inputs!$I$17))</f>
        <v>1000</v>
      </c>
      <c r="U768" s="63">
        <f>IF((((inputs!$P$13/(X768/MAX(K768:S768)))^(1/inputs!$O$13))-1)/inputs!$N$13&lt;0, 0, IF((((inputs!$P$13/(X768/MAX(K768:S768)))^(1/inputs!$O$13))-1)/inputs!$N$13&lt;inputs!$I$17, (((inputs!$P$13/(X768/MAX(K768:S768)))^(1/inputs!$O$13))-1)/inputs!$N$13, inputs!$I$17))</f>
        <v>1000</v>
      </c>
      <c r="V768" s="21">
        <f>inputs!$E$87*(F768/inputs!$F$87)^(1)</f>
        <v>1.6149999999999998E-2</v>
      </c>
      <c r="W768" s="21">
        <f>inputs!$E$90*(F768/inputs!$F$90)^(1)</f>
        <v>1.7000000000000001E-2</v>
      </c>
      <c r="X768" s="21">
        <f>inputs!$E$89*(F768/inputs!$F$89)^(1)</f>
        <v>6.3481012658227851E-2</v>
      </c>
      <c r="Y768" s="21" t="s">
        <v>13</v>
      </c>
      <c r="Z768" s="63">
        <f t="shared" si="59"/>
        <v>5035.6957501252809</v>
      </c>
      <c r="AA768" s="63">
        <f t="shared" si="60"/>
        <v>4783.9109626190157</v>
      </c>
    </row>
    <row r="769" spans="1:27" ht="13.2" x14ac:dyDescent="0.25">
      <c r="A769" s="120" t="s">
        <v>430</v>
      </c>
      <c r="B769" s="20" t="s">
        <v>431</v>
      </c>
      <c r="C769" s="21" t="s">
        <v>79</v>
      </c>
      <c r="D769" s="105" t="s">
        <v>378</v>
      </c>
      <c r="E769" s="15">
        <v>1783</v>
      </c>
      <c r="F769" s="56">
        <v>104</v>
      </c>
      <c r="G769" s="21" t="s">
        <v>182</v>
      </c>
      <c r="H769" s="20">
        <v>0.85</v>
      </c>
      <c r="I769" s="68">
        <f>MAX('Max rate concentrations'!$M$3:$M$368)</f>
        <v>17.092910873809167</v>
      </c>
      <c r="J769" s="68">
        <f>MAX('Max rate concentrations'!AE:AE)</f>
        <v>11.81956602976166</v>
      </c>
      <c r="K769" s="69">
        <f t="shared" si="61"/>
        <v>0.51618045173468241</v>
      </c>
      <c r="L769" s="69">
        <f t="shared" si="62"/>
        <v>0.35693329109313154</v>
      </c>
      <c r="M769" s="69">
        <f>IF((((0.065*F769^0.726)/3.7-(0.301*F769^0.751)/(1-H769)*H769)*(MAX('Max rate concentrations'!$P$3:$P$368)))/F769&gt;0, (((0.065*F769^0.726)/3.7-(0.301*F769^0.751)/(1-H769)*H769)*(MAX('Max rate concentrations'!$P$3:$P$368)))/F769, 0)</f>
        <v>0</v>
      </c>
      <c r="N769" s="69">
        <f>IF((((0.065*F769^0.726)/3.7-(0.301*F769^0.751)/(1-H769)*H769)*(MAX('Max rate concentrations'!$Q$3:$Q$368)))/F769&gt;0, (((0.065*F769^0.726)/3.7-(0.301*F769^0.751)/(1-H769)*H769)*(MAX('Max rate concentrations'!$Q$3:$Q$368)))/F769, 0)</f>
        <v>0</v>
      </c>
      <c r="O769" s="69" t="s">
        <v>13</v>
      </c>
      <c r="P769" s="69" t="s">
        <v>13</v>
      </c>
      <c r="Q769" s="69">
        <f>(inputs!$C$18*11.2)*(25.05*F769^0.63)*0.5*1/F769</f>
        <v>75.477008089269717</v>
      </c>
      <c r="R769" s="59">
        <f>(60*76.9*((F769/1000)^0.76)*3*24*(MAX('Max rate concentrations'!$R$3:$R$368))/F769)</f>
        <v>4.4067639060531624E-3</v>
      </c>
      <c r="S769" s="59">
        <f>(IF(inputs!$C$17="aerial",((0.025*0.112*inputs!$C$18/3.3)*(3*60*76.9*((F769/1000)^0.76))*MAX(inputs!$I$14:$I$16))/F769,((0.0083*0.112*inputs!$C$18/1)*(3*60*76.9*((F769/1000)^0.76))*MAX(inputs!$I$14:$I$16))/F769))</f>
        <v>1.8607423603348893E-2</v>
      </c>
      <c r="T769" s="63">
        <f>IF((((inputs!$P$13/(V769/MAX(K769:S769)))^(1/inputs!$O$13))-1)/inputs!$N$13&lt;0, 0, IF((((inputs!$P$13/(V769/MAX(K769:S769)))^(1/inputs!$O$13))-1)/inputs!$N$13&lt;inputs!$I$17, (((inputs!$P$13/(V769/MAX(K769:S769)))^(1/inputs!$O$13))-1)/inputs!$N$13, inputs!$I$17))</f>
        <v>1000</v>
      </c>
      <c r="U769" s="63">
        <f>IF((((inputs!$P$13/(X769/MAX(K769:S769)))^(1/inputs!$O$13))-1)/inputs!$N$13&lt;0, 0, IF((((inputs!$P$13/(X769/MAX(K769:S769)))^(1/inputs!$O$13))-1)/inputs!$N$13&lt;inputs!$I$17, (((inputs!$P$13/(X769/MAX(K769:S769)))^(1/inputs!$O$13))-1)/inputs!$N$13, inputs!$I$17))</f>
        <v>1000</v>
      </c>
      <c r="V769" s="21">
        <f>inputs!$E$87*(F769/inputs!$F$87)^(1)</f>
        <v>1.976E-2</v>
      </c>
      <c r="W769" s="21">
        <f>inputs!$E$90*(F769/inputs!$F$90)^(1)</f>
        <v>2.0800000000000003E-2</v>
      </c>
      <c r="X769" s="21">
        <f>inputs!$E$89*(F769/inputs!$F$89)^(1)</f>
        <v>7.7670886075949366E-2</v>
      </c>
      <c r="Y769" s="21" t="s">
        <v>13</v>
      </c>
      <c r="Z769" s="63">
        <f t="shared" si="59"/>
        <v>3819.6866441938114</v>
      </c>
      <c r="AA769" s="63">
        <f t="shared" si="60"/>
        <v>3628.7023119841206</v>
      </c>
    </row>
    <row r="770" spans="1:27" ht="13.2" x14ac:dyDescent="0.25">
      <c r="A770" s="120" t="s">
        <v>430</v>
      </c>
      <c r="B770" s="20" t="s">
        <v>431</v>
      </c>
      <c r="C770" s="21" t="s">
        <v>79</v>
      </c>
      <c r="D770" s="105" t="s">
        <v>378</v>
      </c>
      <c r="E770" s="15">
        <v>1783</v>
      </c>
      <c r="F770" s="56">
        <v>104</v>
      </c>
      <c r="G770" s="21" t="s">
        <v>164</v>
      </c>
      <c r="H770" s="20">
        <v>0.78</v>
      </c>
      <c r="I770" s="68">
        <f>inputs!$C$66*(inputs!$C$62/1000)</f>
        <v>8.2000000000000011</v>
      </c>
      <c r="J770" s="68">
        <f>inputs!$C$66*(inputs!$C$61/1000)</f>
        <v>2.5</v>
      </c>
      <c r="K770" s="69">
        <f t="shared" si="61"/>
        <v>0.16883712794495315</v>
      </c>
      <c r="L770" s="69">
        <f t="shared" si="62"/>
        <v>5.1474734129558872E-2</v>
      </c>
      <c r="M770" s="69">
        <f>IF((((0.065*F770^0.726)/3.7-(0.301*F770^0.751)/(1-H770)*H770)*(MAX('Max rate concentrations'!$P$3:$P$368)))/F770&gt;0, (((0.065*F770^0.726)/3.7-(0.301*F770^0.751)/(1-H770)*H770)*(MAX('Max rate concentrations'!$P$3:$P$368)))/F770, 0)</f>
        <v>0</v>
      </c>
      <c r="N770" s="69">
        <f>IF((((0.065*F770^0.726)/3.7-(0.301*F770^0.751)/(1-H770)*H770)*(MAX('Max rate concentrations'!$Q$3:$Q$368)))/F770&gt;0, (((0.065*F770^0.726)/3.7-(0.301*F770^0.751)/(1-H770)*H770)*(MAX('Max rate concentrations'!$Q$3:$Q$368)))/F770, 0)</f>
        <v>0</v>
      </c>
      <c r="O770" s="69" t="s">
        <v>13</v>
      </c>
      <c r="P770" s="69" t="s">
        <v>13</v>
      </c>
      <c r="Q770" s="69">
        <f>(inputs!$C$18*11.2)*(25.05*F770^0.63)*0.5*1/F770</f>
        <v>75.477008089269717</v>
      </c>
      <c r="R770" s="59">
        <f>(60*76.9*((F770/1000)^0.76)*3*24*(MAX('Max rate concentrations'!$R$3:$R$368))/F770)</f>
        <v>4.4067639060531624E-3</v>
      </c>
      <c r="S770" s="59">
        <f>(IF(inputs!$C$17="aerial",((0.025*0.112*inputs!$C$18/3.3)*(3*60*76.9*((F770/1000)^0.76))*MAX(inputs!$I$14:$I$16))/F770,((0.0083*0.112*inputs!$C$18/1)*(3*60*76.9*((F770/1000)^0.76))*MAX(inputs!$I$14:$I$16))/F770))</f>
        <v>1.8607423603348893E-2</v>
      </c>
      <c r="T770" s="63">
        <f>IF((((inputs!$P$13/(V770/MAX(K770:S770)))^(1/inputs!$O$13))-1)/inputs!$N$13&lt;0, 0, IF((((inputs!$P$13/(V770/MAX(K770:S770)))^(1/inputs!$O$13))-1)/inputs!$N$13&lt;inputs!$I$17, (((inputs!$P$13/(V770/MAX(K770:S770)))^(1/inputs!$O$13))-1)/inputs!$N$13, inputs!$I$17))</f>
        <v>1000</v>
      </c>
      <c r="U770" s="63">
        <f>IF((((inputs!$P$13/(X770/MAX(K770:S770)))^(1/inputs!$O$13))-1)/inputs!$N$13&lt;0, 0, IF((((inputs!$P$13/(X770/MAX(K770:S770)))^(1/inputs!$O$13))-1)/inputs!$N$13&lt;inputs!$I$17, (((inputs!$P$13/(X770/MAX(K770:S770)))^(1/inputs!$O$13))-1)/inputs!$N$13, inputs!$I$17))</f>
        <v>1000</v>
      </c>
      <c r="V770" s="21">
        <f>inputs!$E$87*(F770/inputs!$F$87)^(1)</f>
        <v>1.976E-2</v>
      </c>
      <c r="W770" s="21">
        <f>inputs!$E$90*(F770/inputs!$F$90)^(1)</f>
        <v>2.0800000000000003E-2</v>
      </c>
      <c r="X770" s="21">
        <f>inputs!$E$89*(F770/inputs!$F$89)^(1)</f>
        <v>7.7670886075949366E-2</v>
      </c>
      <c r="Y770" s="21" t="s">
        <v>13</v>
      </c>
      <c r="Z770" s="63">
        <f t="shared" si="59"/>
        <v>3819.6866441938114</v>
      </c>
      <c r="AA770" s="63">
        <f t="shared" si="60"/>
        <v>3628.7023119841206</v>
      </c>
    </row>
    <row r="771" spans="1:27" ht="26.4" x14ac:dyDescent="0.25">
      <c r="A771" s="120" t="s">
        <v>430</v>
      </c>
      <c r="B771" s="20" t="s">
        <v>431</v>
      </c>
      <c r="C771" s="21" t="s">
        <v>79</v>
      </c>
      <c r="D771" s="105" t="s">
        <v>378</v>
      </c>
      <c r="E771" s="15">
        <v>1783</v>
      </c>
      <c r="F771" s="56">
        <v>104</v>
      </c>
      <c r="G771" s="21" t="s">
        <v>634</v>
      </c>
      <c r="H771" s="21">
        <v>0.75</v>
      </c>
      <c r="I771" s="68">
        <f>inputs!$C$66*inputs!$C$64/1000</f>
        <v>21.3</v>
      </c>
      <c r="J771" s="68">
        <f>inputs!$C$66*inputs!$C$63/1000</f>
        <v>8.8000000000000007</v>
      </c>
      <c r="K771" s="69">
        <f t="shared" si="61"/>
        <v>0.3859369666097805</v>
      </c>
      <c r="L771" s="69">
        <f t="shared" si="62"/>
        <v>0.15944813643972156</v>
      </c>
      <c r="M771" s="69">
        <f>IF((((0.065*F771^0.726)/3.7-(0.301*F771^0.751)/(1-H771)*H771)*(MAX('Max rate concentrations'!$P$3:$P$368)))/F771&gt;0, (((0.065*F771^0.726)/3.7-(0.301*F771^0.751)/(1-H771)*H771)*(MAX('Max rate concentrations'!$P$3:$P$368)))/F771, 0)</f>
        <v>0</v>
      </c>
      <c r="N771" s="69">
        <f>IF((((0.065*F771^0.726)/3.7-(0.301*F771^0.751)/(1-H771)*H771)*(MAX('Max rate concentrations'!$Q$3:$Q$368)))/F771&gt;0, (((0.065*F771^0.726)/3.7-(0.301*F771^0.751)/(1-H771)*H771)*(MAX('Max rate concentrations'!$Q$3:$Q$368)))/F771, 0)</f>
        <v>0</v>
      </c>
      <c r="O771" s="69" t="s">
        <v>13</v>
      </c>
      <c r="P771" s="69" t="s">
        <v>13</v>
      </c>
      <c r="Q771" s="69">
        <f>(inputs!$C$18*11.2)*(25.05*F771^0.63)*0.5*1/F771</f>
        <v>75.477008089269717</v>
      </c>
      <c r="R771" s="59">
        <f>(60*76.9*((F771/1000)^0.76)*3*24*(MAX('Max rate concentrations'!$R$3:$R$368))/F771)</f>
        <v>4.4067639060531624E-3</v>
      </c>
      <c r="S771" s="59">
        <f>(IF(inputs!$C$17="aerial",((0.025*0.112*inputs!$C$18/3.3)*(3*60*76.9*((F771/1000)^0.76))*MAX(inputs!$I$14:$I$16))/F771,((0.0083*0.112*inputs!$C$18/1)*(3*60*76.9*((F771/1000)^0.76))*MAX(inputs!$I$14:$I$16))/F771))</f>
        <v>1.8607423603348893E-2</v>
      </c>
      <c r="T771" s="63">
        <f>IF((((inputs!$P$13/(V771/MAX(K771:S771)))^(1/inputs!$O$13))-1)/inputs!$N$13&lt;0, 0, IF((((inputs!$P$13/(V771/MAX(K771:S771)))^(1/inputs!$O$13))-1)/inputs!$N$13&lt;inputs!$I$17, (((inputs!$P$13/(V771/MAX(K771:S771)))^(1/inputs!$O$13))-1)/inputs!$N$13, inputs!$I$17))</f>
        <v>1000</v>
      </c>
      <c r="U771" s="63">
        <f>IF((((inputs!$P$13/(X771/MAX(K771:S771)))^(1/inputs!$O$13))-1)/inputs!$N$13&lt;0, 0, IF((((inputs!$P$13/(X771/MAX(K771:S771)))^(1/inputs!$O$13))-1)/inputs!$N$13&lt;inputs!$I$17, (((inputs!$P$13/(X771/MAX(K771:S771)))^(1/inputs!$O$13))-1)/inputs!$N$13, inputs!$I$17))</f>
        <v>1000</v>
      </c>
      <c r="V771" s="21">
        <f>inputs!$E$87*(F771/inputs!$F$87)^(1)</f>
        <v>1.976E-2</v>
      </c>
      <c r="W771" s="21">
        <f>inputs!$E$90*(F771/inputs!$F$90)^(1)</f>
        <v>2.0800000000000003E-2</v>
      </c>
      <c r="X771" s="21">
        <f>inputs!$E$89*(F771/inputs!$F$89)^(1)</f>
        <v>7.7670886075949366E-2</v>
      </c>
      <c r="Y771" s="21" t="s">
        <v>13</v>
      </c>
      <c r="Z771" s="63">
        <f t="shared" si="59"/>
        <v>3819.6866441938114</v>
      </c>
      <c r="AA771" s="63">
        <f t="shared" si="60"/>
        <v>3628.7023119841206</v>
      </c>
    </row>
    <row r="772" spans="1:27" ht="13.2" x14ac:dyDescent="0.25">
      <c r="A772" s="120" t="s">
        <v>430</v>
      </c>
      <c r="B772" s="20" t="s">
        <v>431</v>
      </c>
      <c r="C772" s="21" t="s">
        <v>79</v>
      </c>
      <c r="D772" s="105" t="s">
        <v>378</v>
      </c>
      <c r="E772" s="15">
        <v>1783</v>
      </c>
      <c r="F772" s="56">
        <v>104</v>
      </c>
      <c r="G772" s="21" t="s">
        <v>456</v>
      </c>
      <c r="H772" s="20">
        <v>0.68</v>
      </c>
      <c r="I772" s="68">
        <f>MAX('Max rate concentrations'!$J$3:$J$368)</f>
        <v>686.46486205830786</v>
      </c>
      <c r="J772" s="68">
        <f>MAX('Max rate concentrations'!AB:AB)</f>
        <v>243.122971978984</v>
      </c>
      <c r="K772" s="69">
        <f t="shared" si="61"/>
        <v>9.7172889725273173</v>
      </c>
      <c r="L772" s="69">
        <f t="shared" si="62"/>
        <v>3.441539844436758</v>
      </c>
      <c r="M772" s="69">
        <f>IF((((0.065*F772^0.726)/3.7-(0.301*F772^0.751)/(1-H772)*H772)*(MAX('Max rate concentrations'!$P$3:$P$368)))/F772&gt;0, (((0.065*F772^0.726)/3.7-(0.301*F772^0.751)/(1-H772)*H772)*(MAX('Max rate concentrations'!$P$3:$P$368)))/F772, 0)</f>
        <v>0</v>
      </c>
      <c r="N772" s="69">
        <f>IF((((0.065*F772^0.726)/3.7-(0.301*F772^0.751)/(1-H772)*H772)*(MAX('Max rate concentrations'!$Q$3:$Q$368)))/F772&gt;0, (((0.065*F772^0.726)/3.7-(0.301*F772^0.751)/(1-H772)*H772)*(MAX('Max rate concentrations'!$Q$3:$Q$368)))/F772, 0)</f>
        <v>0</v>
      </c>
      <c r="O772" s="69" t="s">
        <v>13</v>
      </c>
      <c r="P772" s="69" t="s">
        <v>13</v>
      </c>
      <c r="Q772" s="69">
        <f>(inputs!$C$18*11.2)*(25.05*F772^0.63)*0.5*1/F772</f>
        <v>75.477008089269717</v>
      </c>
      <c r="R772" s="59">
        <f>(60*76.9*((F772/1000)^0.76)*3*24*(MAX('Max rate concentrations'!$R$3:$R$368))/F772)</f>
        <v>4.4067639060531624E-3</v>
      </c>
      <c r="S772" s="59">
        <f>(IF(inputs!$C$17="aerial",((0.025*0.112*inputs!$C$18/3.3)*(3*60*76.9*((F772/1000)^0.76))*MAX(inputs!$I$14:$I$16))/F772,((0.0083*0.112*inputs!$C$18/1)*(3*60*76.9*((F772/1000)^0.76))*MAX(inputs!$I$14:$I$16))/F772))</f>
        <v>1.8607423603348893E-2</v>
      </c>
      <c r="T772" s="63">
        <f>IF((((inputs!$P$13/(V772/MAX(K772:S772)))^(1/inputs!$O$13))-1)/inputs!$N$13&lt;0, 0, IF((((inputs!$P$13/(V772/MAX(K772:S772)))^(1/inputs!$O$13))-1)/inputs!$N$13&lt;inputs!$I$17, (((inputs!$P$13/(V772/MAX(K772:S772)))^(1/inputs!$O$13))-1)/inputs!$N$13, inputs!$I$17))</f>
        <v>1000</v>
      </c>
      <c r="U772" s="63">
        <f>IF((((inputs!$P$13/(X772/MAX(K772:S772)))^(1/inputs!$O$13))-1)/inputs!$N$13&lt;0, 0, IF((((inputs!$P$13/(X772/MAX(K772:S772)))^(1/inputs!$O$13))-1)/inputs!$N$13&lt;inputs!$I$17, (((inputs!$P$13/(X772/MAX(K772:S772)))^(1/inputs!$O$13))-1)/inputs!$N$13, inputs!$I$17))</f>
        <v>1000</v>
      </c>
      <c r="V772" s="21">
        <f>inputs!$E$87*(F772/inputs!$F$87)^(1)</f>
        <v>1.976E-2</v>
      </c>
      <c r="W772" s="21">
        <f>inputs!$E$90*(F772/inputs!$F$90)^(1)</f>
        <v>2.0800000000000003E-2</v>
      </c>
      <c r="X772" s="21">
        <f>inputs!$E$89*(F772/inputs!$F$89)^(1)</f>
        <v>7.7670886075949366E-2</v>
      </c>
      <c r="Y772" s="21" t="s">
        <v>13</v>
      </c>
      <c r="Z772" s="63">
        <f t="shared" ref="Z772:Z820" si="63">MAX(K772:S772)/V772</f>
        <v>3819.6866441938114</v>
      </c>
      <c r="AA772" s="63">
        <f t="shared" ref="AA772:AA820" si="64">MAX(K772:S772)/W772</f>
        <v>3628.7023119841206</v>
      </c>
    </row>
    <row r="773" spans="1:27" ht="13.2" x14ac:dyDescent="0.25">
      <c r="A773" s="120" t="s">
        <v>430</v>
      </c>
      <c r="B773" s="20" t="s">
        <v>431</v>
      </c>
      <c r="C773" s="21" t="s">
        <v>79</v>
      </c>
      <c r="D773" s="105" t="s">
        <v>378</v>
      </c>
      <c r="E773" s="15">
        <v>1783</v>
      </c>
      <c r="F773" s="56">
        <v>104</v>
      </c>
      <c r="G773" s="21" t="s">
        <v>145</v>
      </c>
      <c r="H773" s="20">
        <v>0.66</v>
      </c>
      <c r="I773" s="68">
        <f>MAX('Max rate concentrations'!$M$3:$M$368)</f>
        <v>17.092910873809167</v>
      </c>
      <c r="J773" s="68">
        <f>MAX('Max rate concentrations'!AE:AE)</f>
        <v>11.81956602976166</v>
      </c>
      <c r="K773" s="69">
        <f t="shared" si="61"/>
        <v>0.22772666988294818</v>
      </c>
      <c r="L773" s="69">
        <f t="shared" si="62"/>
        <v>0.15747056959991099</v>
      </c>
      <c r="M773" s="69">
        <f>IF((((0.065*F773^0.726)/3.7-(0.301*F773^0.751)/(1-H773)*H773)*(MAX('Max rate concentrations'!$P$3:$P$368)))/F773&gt;0, (((0.065*F773^0.726)/3.7-(0.301*F773^0.751)/(1-H773)*H773)*(MAX('Max rate concentrations'!$P$3:$P$368)))/F773, 0)</f>
        <v>0</v>
      </c>
      <c r="N773" s="69">
        <f>IF((((0.065*F773^0.726)/3.7-(0.301*F773^0.751)/(1-H773)*H773)*(MAX('Max rate concentrations'!$Q$3:$Q$368)))/F773&gt;0, (((0.065*F773^0.726)/3.7-(0.301*F773^0.751)/(1-H773)*H773)*(MAX('Max rate concentrations'!$Q$3:$Q$368)))/F773, 0)</f>
        <v>0</v>
      </c>
      <c r="O773" s="69" t="s">
        <v>13</v>
      </c>
      <c r="P773" s="69" t="s">
        <v>13</v>
      </c>
      <c r="Q773" s="69">
        <f>(inputs!$C$18*11.2)*(25.05*F773^0.63)*0.5*1/F773</f>
        <v>75.477008089269717</v>
      </c>
      <c r="R773" s="59">
        <f>(60*76.9*((F773/1000)^0.76)*3*24*(MAX('Max rate concentrations'!$R$3:$R$368))/F773)</f>
        <v>4.4067639060531624E-3</v>
      </c>
      <c r="S773" s="59">
        <f>(IF(inputs!$C$17="aerial",((0.025*0.112*inputs!$C$18/3.3)*(3*60*76.9*((F773/1000)^0.76))*MAX(inputs!$I$14:$I$16))/F773,((0.0083*0.112*inputs!$C$18/1)*(3*60*76.9*((F773/1000)^0.76))*MAX(inputs!$I$14:$I$16))/F773))</f>
        <v>1.8607423603348893E-2</v>
      </c>
      <c r="T773" s="63">
        <f>IF((((inputs!$P$13/(V773/MAX(K773:S773)))^(1/inputs!$O$13))-1)/inputs!$N$13&lt;0, 0, IF((((inputs!$P$13/(V773/MAX(K773:S773)))^(1/inputs!$O$13))-1)/inputs!$N$13&lt;inputs!$I$17, (((inputs!$P$13/(V773/MAX(K773:S773)))^(1/inputs!$O$13))-1)/inputs!$N$13, inputs!$I$17))</f>
        <v>1000</v>
      </c>
      <c r="U773" s="63">
        <f>IF((((inputs!$P$13/(X773/MAX(K773:S773)))^(1/inputs!$O$13))-1)/inputs!$N$13&lt;0, 0, IF((((inputs!$P$13/(X773/MAX(K773:S773)))^(1/inputs!$O$13))-1)/inputs!$N$13&lt;inputs!$I$17, (((inputs!$P$13/(X773/MAX(K773:S773)))^(1/inputs!$O$13))-1)/inputs!$N$13, inputs!$I$17))</f>
        <v>1000</v>
      </c>
      <c r="V773" s="21">
        <f>inputs!$E$87*(F773/inputs!$F$87)^(1)</f>
        <v>1.976E-2</v>
      </c>
      <c r="W773" s="21">
        <f>inputs!$E$90*(F773/inputs!$F$90)^(1)</f>
        <v>2.0800000000000003E-2</v>
      </c>
      <c r="X773" s="21">
        <f>inputs!$E$89*(F773/inputs!$F$89)^(1)</f>
        <v>7.7670886075949366E-2</v>
      </c>
      <c r="Y773" s="21" t="s">
        <v>13</v>
      </c>
      <c r="Z773" s="63">
        <f t="shared" si="63"/>
        <v>3819.6866441938114</v>
      </c>
      <c r="AA773" s="63">
        <f t="shared" si="64"/>
        <v>3628.7023119841206</v>
      </c>
    </row>
    <row r="774" spans="1:27" ht="13.2" x14ac:dyDescent="0.25">
      <c r="A774" s="120" t="s">
        <v>430</v>
      </c>
      <c r="B774" s="20" t="s">
        <v>431</v>
      </c>
      <c r="C774" s="21" t="s">
        <v>79</v>
      </c>
      <c r="D774" s="105" t="s">
        <v>378</v>
      </c>
      <c r="E774" s="15">
        <v>1783</v>
      </c>
      <c r="F774" s="56">
        <v>104</v>
      </c>
      <c r="G774" s="21" t="s">
        <v>146</v>
      </c>
      <c r="H774" s="20">
        <v>0.84</v>
      </c>
      <c r="I774" s="68">
        <f>MAX('Max rate concentrations'!$I$3:$I$368)</f>
        <v>56.865414300472793</v>
      </c>
      <c r="J774" s="68" t="s">
        <v>13</v>
      </c>
      <c r="K774" s="69">
        <f t="shared" si="61"/>
        <v>1.6099226452562279</v>
      </c>
      <c r="L774" s="69" t="s">
        <v>13</v>
      </c>
      <c r="M774" s="69">
        <f>IF((((0.065*F774^0.726)/3.7-(0.301*F774^0.751)/(1-H774)*H774)*(MAX('Max rate concentrations'!$P$3:$P$368)))/F774&gt;0, (((0.065*F774^0.726)/3.7-(0.301*F774^0.751)/(1-H774)*H774)*(MAX('Max rate concentrations'!$P$3:$P$368)))/F774, 0)</f>
        <v>0</v>
      </c>
      <c r="N774" s="69">
        <f>IF((((0.065*F774^0.726)/3.7-(0.301*F774^0.751)/(1-H774)*H774)*(MAX('Max rate concentrations'!$Q$3:$Q$368)))/F774&gt;0, (((0.065*F774^0.726)/3.7-(0.301*F774^0.751)/(1-H774)*H774)*(MAX('Max rate concentrations'!$Q$3:$Q$368)))/F774, 0)</f>
        <v>0</v>
      </c>
      <c r="O774" s="69" t="s">
        <v>13</v>
      </c>
      <c r="P774" s="69" t="s">
        <v>13</v>
      </c>
      <c r="Q774" s="69">
        <f>(inputs!$C$18*11.2)*(25.05*F774^0.63)*0.5*1/F774</f>
        <v>75.477008089269717</v>
      </c>
      <c r="R774" s="59">
        <f>(60*76.9*((F774/1000)^0.76)*3*24*(MAX('Max rate concentrations'!$R$3:$R$368))/F774)</f>
        <v>4.4067639060531624E-3</v>
      </c>
      <c r="S774" s="59">
        <f>(IF(inputs!$C$17="aerial",((0.025*0.112*inputs!$C$18/3.3)*(3*60*76.9*((F774/1000)^0.76))*MAX(inputs!$I$14:$I$16))/F774,((0.0083*0.112*inputs!$C$18/1)*(3*60*76.9*((F774/1000)^0.76))*MAX(inputs!$I$14:$I$16))/F774))</f>
        <v>1.8607423603348893E-2</v>
      </c>
      <c r="T774" s="63">
        <f>IF((((inputs!$P$13/(V774/MAX(K774:S774)))^(1/inputs!$O$13))-1)/inputs!$N$13&lt;0, 0, IF((((inputs!$P$13/(V774/MAX(K774:S774)))^(1/inputs!$O$13))-1)/inputs!$N$13&lt;inputs!$I$17, (((inputs!$P$13/(V774/MAX(K774:S774)))^(1/inputs!$O$13))-1)/inputs!$N$13, inputs!$I$17))</f>
        <v>1000</v>
      </c>
      <c r="U774" s="63">
        <f>IF((((inputs!$P$13/(X774/MAX(K774:S774)))^(1/inputs!$O$13))-1)/inputs!$N$13&lt;0, 0, IF((((inputs!$P$13/(X774/MAX(K774:S774)))^(1/inputs!$O$13))-1)/inputs!$N$13&lt;inputs!$I$17, (((inputs!$P$13/(X774/MAX(K774:S774)))^(1/inputs!$O$13))-1)/inputs!$N$13, inputs!$I$17))</f>
        <v>1000</v>
      </c>
      <c r="V774" s="21">
        <f>inputs!$E$87*(F774/inputs!$F$87)^(1)</f>
        <v>1.976E-2</v>
      </c>
      <c r="W774" s="21">
        <f>inputs!$E$90*(F774/inputs!$F$90)^(1)</f>
        <v>2.0800000000000003E-2</v>
      </c>
      <c r="X774" s="21">
        <f>inputs!$E$89*(F774/inputs!$F$89)^(1)</f>
        <v>7.7670886075949366E-2</v>
      </c>
      <c r="Y774" s="21" t="s">
        <v>13</v>
      </c>
      <c r="Z774" s="63">
        <f t="shared" si="63"/>
        <v>3819.6866441938114</v>
      </c>
      <c r="AA774" s="63">
        <f t="shared" si="64"/>
        <v>3628.7023119841206</v>
      </c>
    </row>
    <row r="775" spans="1:27" ht="13.2" x14ac:dyDescent="0.25">
      <c r="A775" s="103" t="s">
        <v>393</v>
      </c>
      <c r="B775" s="20" t="s">
        <v>394</v>
      </c>
      <c r="C775" s="21" t="s">
        <v>79</v>
      </c>
      <c r="D775" s="105" t="s">
        <v>378</v>
      </c>
      <c r="E775" s="15">
        <v>156</v>
      </c>
      <c r="F775" s="15">
        <v>140</v>
      </c>
      <c r="G775" s="21" t="s">
        <v>142</v>
      </c>
      <c r="H775" s="21">
        <v>0.69</v>
      </c>
      <c r="I775" s="68">
        <f>MAX('Max rate concentrations'!$H$3:$H$368)</f>
        <v>282</v>
      </c>
      <c r="J775" s="68">
        <f>MAX('Max rate concentrations'!AA:AA)</f>
        <v>195</v>
      </c>
      <c r="K775" s="69">
        <f t="shared" si="61"/>
        <v>3.851764291977239</v>
      </c>
      <c r="L775" s="69">
        <f t="shared" ref="L775:L785" si="65">(((0.013*F775^0.773)/(1-H775)))*J775/F775</f>
        <v>2.6634540316863884</v>
      </c>
      <c r="M775" s="69">
        <f>IF((((0.065*F775^0.726)/3.7-(0.301*F775^0.751)/(1-H775)*H775)*(MAX('Max rate concentrations'!$P$3:$P$368)))/F775&gt;0, (((0.065*F775^0.726)/3.7-(0.301*F775^0.751)/(1-H775)*H775)*(MAX('Max rate concentrations'!$P$3:$P$368)))/F775, 0)</f>
        <v>0</v>
      </c>
      <c r="N775" s="69">
        <f>IF((((0.065*F775^0.726)/3.7-(0.301*F775^0.751)/(1-H775)*H775)*(MAX('Max rate concentrations'!$Q$3:$Q$368)))/F775&gt;0, (((0.065*F775^0.726)/3.7-(0.301*F775^0.751)/(1-H775)*H775)*(MAX('Max rate concentrations'!$Q$3:$Q$368)))/F775, 0)</f>
        <v>0</v>
      </c>
      <c r="O775" s="69" t="s">
        <v>13</v>
      </c>
      <c r="P775" s="69" t="s">
        <v>13</v>
      </c>
      <c r="Q775" s="69">
        <f>(inputs!$C$18*11.2)*(25.05*F775^0.63)*0.5*1/F775</f>
        <v>67.616025433154491</v>
      </c>
      <c r="R775" s="59">
        <f>(60*76.9*((F775/1000)^0.76)*3*24*(MAX('Max rate concentrations'!$R$3:$R$368))/F775)</f>
        <v>4.1033357739064602E-3</v>
      </c>
      <c r="S775" s="59">
        <f>(IF(inputs!$C$17="aerial",((0.025*0.112*inputs!$C$18/3.3)*(3*60*76.9*((F775/1000)^0.76))*MAX(inputs!$I$14:$I$16))/F775,((0.0083*0.112*inputs!$C$18/1)*(3*60*76.9*((F775/1000)^0.76))*MAX(inputs!$I$14:$I$16))/F775))</f>
        <v>1.7326207747815722E-2</v>
      </c>
      <c r="T775" s="63">
        <f>IF((((inputs!$P$13/(V775/MAX(K775:S775)))^(1/inputs!$O$13))-1)/inputs!$N$13&lt;0, 0, IF((((inputs!$P$13/(V775/MAX(K775:S775)))^(1/inputs!$O$13))-1)/inputs!$N$13&lt;inputs!$I$17, (((inputs!$P$13/(V775/MAX(K775:S775)))^(1/inputs!$O$13))-1)/inputs!$N$13, inputs!$I$17))</f>
        <v>1000</v>
      </c>
      <c r="U775" s="63">
        <f>IF((((inputs!$P$13/(X775/MAX(K775:S775)))^(1/inputs!$O$13))-1)/inputs!$N$13&lt;0, 0, IF((((inputs!$P$13/(X775/MAX(K775:S775)))^(1/inputs!$O$13))-1)/inputs!$N$13&lt;inputs!$I$17, (((inputs!$P$13/(X775/MAX(K775:S775)))^(1/inputs!$O$13))-1)/inputs!$N$13, inputs!$I$17))</f>
        <v>1000</v>
      </c>
      <c r="V775" s="21">
        <f>inputs!$E$87*(F775/inputs!$F$87)^(1)</f>
        <v>2.6599999999999999E-2</v>
      </c>
      <c r="W775" s="21">
        <f>inputs!$E$90*(F775/inputs!$F$90)^(1)</f>
        <v>2.8000000000000001E-2</v>
      </c>
      <c r="X775" s="21">
        <f>inputs!$E$89*(F775/inputs!$F$89)^(1)</f>
        <v>0.10455696202531645</v>
      </c>
      <c r="Y775" s="21" t="s">
        <v>13</v>
      </c>
      <c r="Z775" s="63">
        <f t="shared" si="63"/>
        <v>2541.9558433516727</v>
      </c>
      <c r="AA775" s="63">
        <f t="shared" si="64"/>
        <v>2414.8580511840887</v>
      </c>
    </row>
    <row r="776" spans="1:27" ht="13.2" x14ac:dyDescent="0.25">
      <c r="A776" s="103" t="s">
        <v>393</v>
      </c>
      <c r="B776" s="20" t="s">
        <v>394</v>
      </c>
      <c r="C776" s="21" t="s">
        <v>79</v>
      </c>
      <c r="D776" s="105" t="s">
        <v>378</v>
      </c>
      <c r="E776" s="15">
        <v>156</v>
      </c>
      <c r="F776" s="15">
        <v>140</v>
      </c>
      <c r="G776" s="21" t="s">
        <v>138</v>
      </c>
      <c r="H776" s="20">
        <v>0.68</v>
      </c>
      <c r="I776" s="68">
        <f>MAX('Max rate concentrations'!$L$3:$L$368)</f>
        <v>350.52744091332482</v>
      </c>
      <c r="J776" s="68">
        <f>MAX('Max rate concentrations'!AD:AD)</f>
        <v>242.38599637623525</v>
      </c>
      <c r="K776" s="69">
        <f t="shared" si="61"/>
        <v>4.6381451117366241</v>
      </c>
      <c r="L776" s="69">
        <f t="shared" si="65"/>
        <v>3.2072280027966023</v>
      </c>
      <c r="M776" s="69">
        <f>IF((((0.065*F776^0.726)/3.7-(0.301*F776^0.751)/(1-H776)*H776)*(MAX('Max rate concentrations'!$P$3:$P$368)))/F776&gt;0, (((0.065*F776^0.726)/3.7-(0.301*F776^0.751)/(1-H776)*H776)*(MAX('Max rate concentrations'!$P$3:$P$368)))/F776, 0)</f>
        <v>0</v>
      </c>
      <c r="N776" s="69">
        <f>IF((((0.065*F776^0.726)/3.7-(0.301*F776^0.751)/(1-H776)*H776)*(MAX('Max rate concentrations'!$Q$3:$Q$368)))/F776&gt;0, (((0.065*F776^0.726)/3.7-(0.301*F776^0.751)/(1-H776)*H776)*(MAX('Max rate concentrations'!$Q$3:$Q$368)))/F776, 0)</f>
        <v>0</v>
      </c>
      <c r="O776" s="69" t="s">
        <v>13</v>
      </c>
      <c r="P776" s="69" t="s">
        <v>13</v>
      </c>
      <c r="Q776" s="69">
        <f>(inputs!$C$18*11.2)*(25.05*F776^0.63)*0.5*1/F776</f>
        <v>67.616025433154491</v>
      </c>
      <c r="R776" s="59">
        <f>(60*76.9*((F776/1000)^0.76)*3*24*(MAX('Max rate concentrations'!$R$3:$R$368))/F776)</f>
        <v>4.1033357739064602E-3</v>
      </c>
      <c r="S776" s="59">
        <f>(IF(inputs!$C$17="aerial",((0.025*0.112*inputs!$C$18/3.3)*(3*60*76.9*((F776/1000)^0.76))*MAX(inputs!$I$14:$I$16))/F776,((0.0083*0.112*inputs!$C$18/1)*(3*60*76.9*((F776/1000)^0.76))*MAX(inputs!$I$14:$I$16))/F776))</f>
        <v>1.7326207747815722E-2</v>
      </c>
      <c r="T776" s="63">
        <f>IF((((inputs!$P$13/(V776/MAX(K776:S776)))^(1/inputs!$O$13))-1)/inputs!$N$13&lt;0, 0, IF((((inputs!$P$13/(V776/MAX(K776:S776)))^(1/inputs!$O$13))-1)/inputs!$N$13&lt;inputs!$I$17, (((inputs!$P$13/(V776/MAX(K776:S776)))^(1/inputs!$O$13))-1)/inputs!$N$13, inputs!$I$17))</f>
        <v>1000</v>
      </c>
      <c r="U776" s="63">
        <f>IF((((inputs!$P$13/(X776/MAX(K776:S776)))^(1/inputs!$O$13))-1)/inputs!$N$13&lt;0, 0, IF((((inputs!$P$13/(X776/MAX(K776:S776)))^(1/inputs!$O$13))-1)/inputs!$N$13&lt;inputs!$I$17, (((inputs!$P$13/(X776/MAX(K776:S776)))^(1/inputs!$O$13))-1)/inputs!$N$13, inputs!$I$17))</f>
        <v>1000</v>
      </c>
      <c r="V776" s="21">
        <f>inputs!$E$87*(F776/inputs!$F$87)^(1)</f>
        <v>2.6599999999999999E-2</v>
      </c>
      <c r="W776" s="21">
        <f>inputs!$E$90*(F776/inputs!$F$90)^(1)</f>
        <v>2.8000000000000001E-2</v>
      </c>
      <c r="X776" s="21">
        <f>inputs!$E$89*(F776/inputs!$F$89)^(1)</f>
        <v>0.10455696202531645</v>
      </c>
      <c r="Y776" s="21" t="s">
        <v>13</v>
      </c>
      <c r="Z776" s="63">
        <f t="shared" si="63"/>
        <v>2541.9558433516727</v>
      </c>
      <c r="AA776" s="63">
        <f t="shared" si="64"/>
        <v>2414.8580511840887</v>
      </c>
    </row>
    <row r="777" spans="1:27" ht="13.2" x14ac:dyDescent="0.25">
      <c r="A777" s="103" t="s">
        <v>393</v>
      </c>
      <c r="B777" s="20" t="s">
        <v>394</v>
      </c>
      <c r="C777" s="21" t="s">
        <v>79</v>
      </c>
      <c r="D777" s="105" t="s">
        <v>378</v>
      </c>
      <c r="E777" s="15">
        <v>156</v>
      </c>
      <c r="F777" s="15">
        <v>140</v>
      </c>
      <c r="G777" s="21" t="s">
        <v>218</v>
      </c>
      <c r="H777" s="20">
        <v>0.68</v>
      </c>
      <c r="I777" s="68">
        <f>MAX('Max rate concentrations'!$K$3:$K$368)</f>
        <v>110.00035859694511</v>
      </c>
      <c r="J777" s="68">
        <f>MAX('Max rate concentrations'!AC:AC)</f>
        <v>38.958460336418057</v>
      </c>
      <c r="K777" s="69">
        <f t="shared" si="61"/>
        <v>1.4555140795435004</v>
      </c>
      <c r="L777" s="69">
        <f t="shared" si="65"/>
        <v>0.51549456983832298</v>
      </c>
      <c r="M777" s="69">
        <f>IF((((0.065*F777^0.726)/3.7-(0.301*F777^0.751)/(1-H777)*H777)*(MAX('Max rate concentrations'!$P$3:$P$368)))/F777&gt;0, (((0.065*F777^0.726)/3.7-(0.301*F777^0.751)/(1-H777)*H777)*(MAX('Max rate concentrations'!$P$3:$P$368)))/F777, 0)</f>
        <v>0</v>
      </c>
      <c r="N777" s="69">
        <f>IF((((0.065*F777^0.726)/3.7-(0.301*F777^0.751)/(1-H777)*H777)*(MAX('Max rate concentrations'!$Q$3:$Q$368)))/F777&gt;0, (((0.065*F777^0.726)/3.7-(0.301*F777^0.751)/(1-H777)*H777)*(MAX('Max rate concentrations'!$Q$3:$Q$368)))/F777, 0)</f>
        <v>0</v>
      </c>
      <c r="O777" s="69" t="s">
        <v>13</v>
      </c>
      <c r="P777" s="69" t="s">
        <v>13</v>
      </c>
      <c r="Q777" s="69">
        <f>(inputs!$C$18*11.2)*(25.05*F777^0.63)*0.5*1/F777</f>
        <v>67.616025433154491</v>
      </c>
      <c r="R777" s="59">
        <f>(60*76.9*((F777/1000)^0.76)*3*24*(MAX('Max rate concentrations'!$R$3:$R$368))/F777)</f>
        <v>4.1033357739064602E-3</v>
      </c>
      <c r="S777" s="59">
        <f>(IF(inputs!$C$17="aerial",((0.025*0.112*inputs!$C$18/3.3)*(3*60*76.9*((F777/1000)^0.76))*MAX(inputs!$I$14:$I$16))/F777,((0.0083*0.112*inputs!$C$18/1)*(3*60*76.9*((F777/1000)^0.76))*MAX(inputs!$I$14:$I$16))/F777))</f>
        <v>1.7326207747815722E-2</v>
      </c>
      <c r="T777" s="63">
        <f>IF((((inputs!$P$13/(V777/MAX(K777:S777)))^(1/inputs!$O$13))-1)/inputs!$N$13&lt;0, 0, IF((((inputs!$P$13/(V777/MAX(K777:S777)))^(1/inputs!$O$13))-1)/inputs!$N$13&lt;inputs!$I$17, (((inputs!$P$13/(V777/MAX(K777:S777)))^(1/inputs!$O$13))-1)/inputs!$N$13, inputs!$I$17))</f>
        <v>1000</v>
      </c>
      <c r="U777" s="63">
        <f>IF((((inputs!$P$13/(X777/MAX(K777:S777)))^(1/inputs!$O$13))-1)/inputs!$N$13&lt;0, 0, IF((((inputs!$P$13/(X777/MAX(K777:S777)))^(1/inputs!$O$13))-1)/inputs!$N$13&lt;inputs!$I$17, (((inputs!$P$13/(X777/MAX(K777:S777)))^(1/inputs!$O$13))-1)/inputs!$N$13, inputs!$I$17))</f>
        <v>1000</v>
      </c>
      <c r="V777" s="21">
        <f>inputs!$E$87*(F777/inputs!$F$87)^(1)</f>
        <v>2.6599999999999999E-2</v>
      </c>
      <c r="W777" s="21">
        <f>inputs!$E$90*(F777/inputs!$F$90)^(1)</f>
        <v>2.8000000000000001E-2</v>
      </c>
      <c r="X777" s="21">
        <f>inputs!$E$89*(F777/inputs!$F$89)^(1)</f>
        <v>0.10455696202531645</v>
      </c>
      <c r="Y777" s="21" t="s">
        <v>13</v>
      </c>
      <c r="Z777" s="63">
        <f t="shared" si="63"/>
        <v>2541.9558433516727</v>
      </c>
      <c r="AA777" s="63">
        <f t="shared" si="64"/>
        <v>2414.8580511840887</v>
      </c>
    </row>
    <row r="778" spans="1:27" ht="13.2" x14ac:dyDescent="0.25">
      <c r="A778" s="103" t="s">
        <v>393</v>
      </c>
      <c r="B778" s="20" t="s">
        <v>394</v>
      </c>
      <c r="C778" s="21" t="s">
        <v>79</v>
      </c>
      <c r="D778" s="105" t="s">
        <v>378</v>
      </c>
      <c r="E778" s="15">
        <v>156</v>
      </c>
      <c r="F778" s="15">
        <v>140</v>
      </c>
      <c r="G778" s="21" t="s">
        <v>456</v>
      </c>
      <c r="H778" s="20">
        <v>0.68</v>
      </c>
      <c r="I778" s="68">
        <f>MAX('Max rate concentrations'!$J$3:$J$368)</f>
        <v>686.46486205830786</v>
      </c>
      <c r="J778" s="68">
        <f>MAX('Max rate concentrations'!AB:AB)</f>
        <v>243.122971978984</v>
      </c>
      <c r="K778" s="69">
        <f t="shared" si="61"/>
        <v>9.083236496517225</v>
      </c>
      <c r="L778" s="69">
        <f t="shared" si="65"/>
        <v>3.2169795925165161</v>
      </c>
      <c r="M778" s="69">
        <f>IF((((0.065*F778^0.726)/3.7-(0.301*F778^0.751)/(1-H778)*H778)*(MAX('Max rate concentrations'!$P$3:$P$368)))/F778&gt;0, (((0.065*F778^0.726)/3.7-(0.301*F778^0.751)/(1-H778)*H778)*(MAX('Max rate concentrations'!$P$3:$P$368)))/F778, 0)</f>
        <v>0</v>
      </c>
      <c r="N778" s="69">
        <f>IF((((0.065*F778^0.726)/3.7-(0.301*F778^0.751)/(1-H778)*H778)*(MAX('Max rate concentrations'!$Q$3:$Q$368)))/F778&gt;0, (((0.065*F778^0.726)/3.7-(0.301*F778^0.751)/(1-H778)*H778)*(MAX('Max rate concentrations'!$Q$3:$Q$368)))/F778, 0)</f>
        <v>0</v>
      </c>
      <c r="O778" s="69" t="s">
        <v>13</v>
      </c>
      <c r="P778" s="69" t="s">
        <v>13</v>
      </c>
      <c r="Q778" s="69">
        <f>(inputs!$C$18*11.2)*(25.05*F778^0.63)*0.5*1/F778</f>
        <v>67.616025433154491</v>
      </c>
      <c r="R778" s="59">
        <f>(60*76.9*((F778/1000)^0.76)*3*24*(MAX('Max rate concentrations'!$R$3:$R$368))/F778)</f>
        <v>4.1033357739064602E-3</v>
      </c>
      <c r="S778" s="59">
        <f>(IF(inputs!$C$17="aerial",((0.025*0.112*inputs!$C$18/3.3)*(3*60*76.9*((F778/1000)^0.76))*MAX(inputs!$I$14:$I$16))/F778,((0.0083*0.112*inputs!$C$18/1)*(3*60*76.9*((F778/1000)^0.76))*MAX(inputs!$I$14:$I$16))/F778))</f>
        <v>1.7326207747815722E-2</v>
      </c>
      <c r="T778" s="63">
        <f>IF((((inputs!$P$13/(V778/MAX(K778:S778)))^(1/inputs!$O$13))-1)/inputs!$N$13&lt;0, 0, IF((((inputs!$P$13/(V778/MAX(K778:S778)))^(1/inputs!$O$13))-1)/inputs!$N$13&lt;inputs!$I$17, (((inputs!$P$13/(V778/MAX(K778:S778)))^(1/inputs!$O$13))-1)/inputs!$N$13, inputs!$I$17))</f>
        <v>1000</v>
      </c>
      <c r="U778" s="63">
        <f>IF((((inputs!$P$13/(X778/MAX(K778:S778)))^(1/inputs!$O$13))-1)/inputs!$N$13&lt;0, 0, IF((((inputs!$P$13/(X778/MAX(K778:S778)))^(1/inputs!$O$13))-1)/inputs!$N$13&lt;inputs!$I$17, (((inputs!$P$13/(X778/MAX(K778:S778)))^(1/inputs!$O$13))-1)/inputs!$N$13, inputs!$I$17))</f>
        <v>1000</v>
      </c>
      <c r="V778" s="21">
        <f>inputs!$E$87*(F778/inputs!$F$87)^(1)</f>
        <v>2.6599999999999999E-2</v>
      </c>
      <c r="W778" s="21">
        <f>inputs!$E$90*(F778/inputs!$F$90)^(1)</f>
        <v>2.8000000000000001E-2</v>
      </c>
      <c r="X778" s="21">
        <f>inputs!$E$89*(F778/inputs!$F$89)^(1)</f>
        <v>0.10455696202531645</v>
      </c>
      <c r="Y778" s="21" t="s">
        <v>13</v>
      </c>
      <c r="Z778" s="63">
        <f t="shared" si="63"/>
        <v>2541.9558433516727</v>
      </c>
      <c r="AA778" s="63">
        <f t="shared" si="64"/>
        <v>2414.8580511840887</v>
      </c>
    </row>
    <row r="779" spans="1:27" ht="13.2" x14ac:dyDescent="0.25">
      <c r="A779" s="103" t="s">
        <v>393</v>
      </c>
      <c r="B779" s="20" t="s">
        <v>394</v>
      </c>
      <c r="C779" s="21" t="s">
        <v>79</v>
      </c>
      <c r="D779" s="105" t="s">
        <v>378</v>
      </c>
      <c r="E779" s="15">
        <v>156</v>
      </c>
      <c r="F779" s="15">
        <v>140</v>
      </c>
      <c r="G779" s="21" t="s">
        <v>145</v>
      </c>
      <c r="H779" s="20">
        <v>0.66</v>
      </c>
      <c r="I779" s="68">
        <f>MAX('Max rate concentrations'!$M$3:$M$368)</f>
        <v>17.092910873809167</v>
      </c>
      <c r="J779" s="68">
        <f>MAX('Max rate concentrations'!AE:AE)</f>
        <v>11.81956602976166</v>
      </c>
      <c r="K779" s="69">
        <f t="shared" si="61"/>
        <v>0.21286751942431334</v>
      </c>
      <c r="L779" s="69">
        <f t="shared" si="65"/>
        <v>0.14719562513383372</v>
      </c>
      <c r="M779" s="69">
        <f>IF((((0.065*F779^0.726)/3.7-(0.301*F779^0.751)/(1-H779)*H779)*(MAX('Max rate concentrations'!$P$3:$P$368)))/F779&gt;0, (((0.065*F779^0.726)/3.7-(0.301*F779^0.751)/(1-H779)*H779)*(MAX('Max rate concentrations'!$P$3:$P$368)))/F779, 0)</f>
        <v>0</v>
      </c>
      <c r="N779" s="69">
        <f>IF((((0.065*F779^0.726)/3.7-(0.301*F779^0.751)/(1-H779)*H779)*(MAX('Max rate concentrations'!$Q$3:$Q$368)))/F779&gt;0, (((0.065*F779^0.726)/3.7-(0.301*F779^0.751)/(1-H779)*H779)*(MAX('Max rate concentrations'!$Q$3:$Q$368)))/F779, 0)</f>
        <v>0</v>
      </c>
      <c r="O779" s="69" t="s">
        <v>13</v>
      </c>
      <c r="P779" s="69" t="s">
        <v>13</v>
      </c>
      <c r="Q779" s="69">
        <f>(inputs!$C$18*11.2)*(25.05*F779^0.63)*0.5*1/F779</f>
        <v>67.616025433154491</v>
      </c>
      <c r="R779" s="59">
        <f>(60*76.9*((F779/1000)^0.76)*3*24*(MAX('Max rate concentrations'!$R$3:$R$368))/F779)</f>
        <v>4.1033357739064602E-3</v>
      </c>
      <c r="S779" s="59">
        <f>(IF(inputs!$C$17="aerial",((0.025*0.112*inputs!$C$18/3.3)*(3*60*76.9*((F779/1000)^0.76))*MAX(inputs!$I$14:$I$16))/F779,((0.0083*0.112*inputs!$C$18/1)*(3*60*76.9*((F779/1000)^0.76))*MAX(inputs!$I$14:$I$16))/F779))</f>
        <v>1.7326207747815722E-2</v>
      </c>
      <c r="T779" s="63">
        <f>IF((((inputs!$P$13/(V779/MAX(K779:S779)))^(1/inputs!$O$13))-1)/inputs!$N$13&lt;0, 0, IF((((inputs!$P$13/(V779/MAX(K779:S779)))^(1/inputs!$O$13))-1)/inputs!$N$13&lt;inputs!$I$17, (((inputs!$P$13/(V779/MAX(K779:S779)))^(1/inputs!$O$13))-1)/inputs!$N$13, inputs!$I$17))</f>
        <v>1000</v>
      </c>
      <c r="U779" s="63">
        <f>IF((((inputs!$P$13/(X779/MAX(K779:S779)))^(1/inputs!$O$13))-1)/inputs!$N$13&lt;0, 0, IF((((inputs!$P$13/(X779/MAX(K779:S779)))^(1/inputs!$O$13))-1)/inputs!$N$13&lt;inputs!$I$17, (((inputs!$P$13/(X779/MAX(K779:S779)))^(1/inputs!$O$13))-1)/inputs!$N$13, inputs!$I$17))</f>
        <v>1000</v>
      </c>
      <c r="V779" s="21">
        <f>inputs!$E$87*(F779/inputs!$F$87)^(1)</f>
        <v>2.6599999999999999E-2</v>
      </c>
      <c r="W779" s="21">
        <f>inputs!$E$90*(F779/inputs!$F$90)^(1)</f>
        <v>2.8000000000000001E-2</v>
      </c>
      <c r="X779" s="21">
        <f>inputs!$E$89*(F779/inputs!$F$89)^(1)</f>
        <v>0.10455696202531645</v>
      </c>
      <c r="Y779" s="21" t="s">
        <v>13</v>
      </c>
      <c r="Z779" s="63">
        <f t="shared" si="63"/>
        <v>2541.9558433516727</v>
      </c>
      <c r="AA779" s="63">
        <f t="shared" si="64"/>
        <v>2414.8580511840887</v>
      </c>
    </row>
    <row r="780" spans="1:27" ht="13.2" x14ac:dyDescent="0.25">
      <c r="A780" s="120" t="s">
        <v>434</v>
      </c>
      <c r="B780" s="20" t="s">
        <v>435</v>
      </c>
      <c r="C780" s="21" t="s">
        <v>79</v>
      </c>
      <c r="D780" s="105" t="s">
        <v>378</v>
      </c>
      <c r="E780" s="15">
        <v>152</v>
      </c>
      <c r="F780" s="15">
        <v>113</v>
      </c>
      <c r="G780" s="21" t="s">
        <v>182</v>
      </c>
      <c r="H780" s="20">
        <v>0.85</v>
      </c>
      <c r="I780" s="68">
        <f>MAX('Max rate concentrations'!$M$3:$M$368)</f>
        <v>17.092910873809167</v>
      </c>
      <c r="J780" s="68">
        <f>MAX('Max rate concentrations'!AE:AE)</f>
        <v>11.81956602976166</v>
      </c>
      <c r="K780" s="69">
        <f t="shared" si="61"/>
        <v>0.50654649507523675</v>
      </c>
      <c r="L780" s="69">
        <f t="shared" si="65"/>
        <v>0.35027151255202543</v>
      </c>
      <c r="M780" s="69">
        <f>IF((((0.065*F780^0.726)/3.7-(0.301*F780^0.751)/(1-H780)*H780)*(MAX('Max rate concentrations'!$P$3:$P$368)))/F780&gt;0, (((0.065*F780^0.726)/3.7-(0.301*F780^0.751)/(1-H780)*H780)*(MAX('Max rate concentrations'!$P$3:$P$368)))/F780, 0)</f>
        <v>0</v>
      </c>
      <c r="N780" s="69">
        <f>IF((((0.065*F780^0.726)/3.7-(0.301*F780^0.751)/(1-H780)*H780)*(MAX('Max rate concentrations'!$Q$3:$Q$368)))/F780&gt;0, (((0.065*F780^0.726)/3.7-(0.301*F780^0.751)/(1-H780)*H780)*(MAX('Max rate concentrations'!$Q$3:$Q$368)))/F780, 0)</f>
        <v>0</v>
      </c>
      <c r="O780" s="69" t="s">
        <v>13</v>
      </c>
      <c r="P780" s="69" t="s">
        <v>13</v>
      </c>
      <c r="Q780" s="69">
        <f>(inputs!$C$18*11.2)*(25.05*F780^0.63)*0.5*1/F780</f>
        <v>73.194422376115511</v>
      </c>
      <c r="R780" s="59">
        <f>(60*76.9*((F780/1000)^0.76)*3*24*(MAX('Max rate concentrations'!$R$3:$R$368))/F780)</f>
        <v>4.3198529021218181E-3</v>
      </c>
      <c r="S780" s="59">
        <f>(IF(inputs!$C$17="aerial",((0.025*0.112*inputs!$C$18/3.3)*(3*60*76.9*((F780/1000)^0.76))*MAX(inputs!$I$14:$I$16))/F780,((0.0083*0.112*inputs!$C$18/1)*(3*60*76.9*((F780/1000)^0.76))*MAX(inputs!$I$14:$I$16))/F780))</f>
        <v>1.8240444590989859E-2</v>
      </c>
      <c r="T780" s="63">
        <f>IF((((inputs!$P$13/(V780/MAX(K780:S780)))^(1/inputs!$O$13))-1)/inputs!$N$13&lt;0, 0, IF((((inputs!$P$13/(V780/MAX(K780:S780)))^(1/inputs!$O$13))-1)/inputs!$N$13&lt;inputs!$I$17, (((inputs!$P$13/(V780/MAX(K780:S780)))^(1/inputs!$O$13))-1)/inputs!$N$13, inputs!$I$17))</f>
        <v>1000</v>
      </c>
      <c r="U780" s="63">
        <f>IF((((inputs!$P$13/(X780/MAX(K780:S780)))^(1/inputs!$O$13))-1)/inputs!$N$13&lt;0, 0, IF((((inputs!$P$13/(X780/MAX(K780:S780)))^(1/inputs!$O$13))-1)/inputs!$N$13&lt;inputs!$I$17, (((inputs!$P$13/(X780/MAX(K780:S780)))^(1/inputs!$O$13))-1)/inputs!$N$13, inputs!$I$17))</f>
        <v>1000</v>
      </c>
      <c r="V780" s="21">
        <f>inputs!$E$87*(F780/inputs!$F$87)^(1)</f>
        <v>2.1469999999999996E-2</v>
      </c>
      <c r="W780" s="21">
        <f>inputs!$E$90*(F780/inputs!$F$90)^(1)</f>
        <v>2.2600000000000002E-2</v>
      </c>
      <c r="X780" s="21">
        <f>inputs!$E$89*(F780/inputs!$F$89)^(1)</f>
        <v>8.439240506329114E-2</v>
      </c>
      <c r="Y780" s="21" t="s">
        <v>13</v>
      </c>
      <c r="Z780" s="63">
        <f t="shared" si="63"/>
        <v>3409.1486900845612</v>
      </c>
      <c r="AA780" s="63">
        <f t="shared" si="64"/>
        <v>3238.6912555803319</v>
      </c>
    </row>
    <row r="781" spans="1:27" ht="26.4" x14ac:dyDescent="0.25">
      <c r="A781" s="120" t="s">
        <v>434</v>
      </c>
      <c r="B781" s="20" t="s">
        <v>435</v>
      </c>
      <c r="C781" s="21" t="s">
        <v>79</v>
      </c>
      <c r="D781" s="105" t="s">
        <v>378</v>
      </c>
      <c r="E781" s="15">
        <v>152</v>
      </c>
      <c r="F781" s="15">
        <v>113</v>
      </c>
      <c r="G781" s="21" t="s">
        <v>634</v>
      </c>
      <c r="H781" s="21">
        <v>0.75</v>
      </c>
      <c r="I781" s="68">
        <f>inputs!$C$66*inputs!$C$64/1000</f>
        <v>21.3</v>
      </c>
      <c r="J781" s="68">
        <f>inputs!$C$66*inputs!$C$63/1000</f>
        <v>8.8000000000000007</v>
      </c>
      <c r="K781" s="69">
        <f t="shared" si="61"/>
        <v>0.37873386545183951</v>
      </c>
      <c r="L781" s="69">
        <f t="shared" si="65"/>
        <v>0.15647220732282574</v>
      </c>
      <c r="M781" s="69">
        <f>IF((((0.065*F781^0.726)/3.7-(0.301*F781^0.751)/(1-H781)*H781)*(MAX('Max rate concentrations'!$P$3:$P$368)))/F781&gt;0, (((0.065*F781^0.726)/3.7-(0.301*F781^0.751)/(1-H781)*H781)*(MAX('Max rate concentrations'!$P$3:$P$368)))/F781, 0)</f>
        <v>0</v>
      </c>
      <c r="N781" s="69">
        <f>IF((((0.065*F781^0.726)/3.7-(0.301*F781^0.751)/(1-H781)*H781)*(MAX('Max rate concentrations'!$Q$3:$Q$368)))/F781&gt;0, (((0.065*F781^0.726)/3.7-(0.301*F781^0.751)/(1-H781)*H781)*(MAX('Max rate concentrations'!$Q$3:$Q$368)))/F781, 0)</f>
        <v>0</v>
      </c>
      <c r="O781" s="69" t="s">
        <v>13</v>
      </c>
      <c r="P781" s="69" t="s">
        <v>13</v>
      </c>
      <c r="Q781" s="69">
        <f>(inputs!$C$18*11.2)*(25.05*F781^0.63)*0.5*1/F781</f>
        <v>73.194422376115511</v>
      </c>
      <c r="R781" s="59">
        <f>(60*76.9*((F781/1000)^0.76)*3*24*(MAX('Max rate concentrations'!$R$3:$R$368))/F781)</f>
        <v>4.3198529021218181E-3</v>
      </c>
      <c r="S781" s="59">
        <f>(IF(inputs!$C$17="aerial",((0.025*0.112*inputs!$C$18/3.3)*(3*60*76.9*((F781/1000)^0.76))*MAX(inputs!$I$14:$I$16))/F781,((0.0083*0.112*inputs!$C$18/1)*(3*60*76.9*((F781/1000)^0.76))*MAX(inputs!$I$14:$I$16))/F781))</f>
        <v>1.8240444590989859E-2</v>
      </c>
      <c r="T781" s="63">
        <f>IF((((inputs!$P$13/(V781/MAX(K781:S781)))^(1/inputs!$O$13))-1)/inputs!$N$13&lt;0, 0, IF((((inputs!$P$13/(V781/MAX(K781:S781)))^(1/inputs!$O$13))-1)/inputs!$N$13&lt;inputs!$I$17, (((inputs!$P$13/(V781/MAX(K781:S781)))^(1/inputs!$O$13))-1)/inputs!$N$13, inputs!$I$17))</f>
        <v>1000</v>
      </c>
      <c r="U781" s="63">
        <f>IF((((inputs!$P$13/(X781/MAX(K781:S781)))^(1/inputs!$O$13))-1)/inputs!$N$13&lt;0, 0, IF((((inputs!$P$13/(X781/MAX(K781:S781)))^(1/inputs!$O$13))-1)/inputs!$N$13&lt;inputs!$I$17, (((inputs!$P$13/(X781/MAX(K781:S781)))^(1/inputs!$O$13))-1)/inputs!$N$13, inputs!$I$17))</f>
        <v>1000</v>
      </c>
      <c r="V781" s="21">
        <f>inputs!$E$87*(F781/inputs!$F$87)^(1)</f>
        <v>2.1469999999999996E-2</v>
      </c>
      <c r="W781" s="21">
        <f>inputs!$E$90*(F781/inputs!$F$90)^(1)</f>
        <v>2.2600000000000002E-2</v>
      </c>
      <c r="X781" s="21">
        <f>inputs!$E$89*(F781/inputs!$F$89)^(1)</f>
        <v>8.439240506329114E-2</v>
      </c>
      <c r="Y781" s="21" t="s">
        <v>13</v>
      </c>
      <c r="Z781" s="63">
        <f t="shared" si="63"/>
        <v>3409.1486900845612</v>
      </c>
      <c r="AA781" s="63">
        <f t="shared" si="64"/>
        <v>3238.6912555803319</v>
      </c>
    </row>
    <row r="782" spans="1:27" ht="13.2" x14ac:dyDescent="0.25">
      <c r="A782" s="120" t="s">
        <v>434</v>
      </c>
      <c r="B782" s="20" t="s">
        <v>435</v>
      </c>
      <c r="C782" s="21" t="s">
        <v>79</v>
      </c>
      <c r="D782" s="105" t="s">
        <v>378</v>
      </c>
      <c r="E782" s="15">
        <v>152</v>
      </c>
      <c r="F782" s="15">
        <v>113</v>
      </c>
      <c r="G782" s="21" t="s">
        <v>456</v>
      </c>
      <c r="H782" s="20">
        <v>0.68</v>
      </c>
      <c r="I782" s="68">
        <f>MAX('Max rate concentrations'!$J$3:$J$368)</f>
        <v>686.46486205830786</v>
      </c>
      <c r="J782" s="68">
        <f>MAX('Max rate concentrations'!AB:AB)</f>
        <v>243.122971978984</v>
      </c>
      <c r="K782" s="69">
        <f t="shared" si="61"/>
        <v>9.5359261555240185</v>
      </c>
      <c r="L782" s="69">
        <f t="shared" si="65"/>
        <v>3.3773071800814223</v>
      </c>
      <c r="M782" s="69">
        <f>IF((((0.065*F782^0.726)/3.7-(0.301*F782^0.751)/(1-H782)*H782)*(MAX('Max rate concentrations'!$P$3:$P$368)))/F782&gt;0, (((0.065*F782^0.726)/3.7-(0.301*F782^0.751)/(1-H782)*H782)*(MAX('Max rate concentrations'!$P$3:$P$368)))/F782, 0)</f>
        <v>0</v>
      </c>
      <c r="N782" s="69">
        <f>IF((((0.065*F782^0.726)/3.7-(0.301*F782^0.751)/(1-H782)*H782)*(MAX('Max rate concentrations'!$Q$3:$Q$368)))/F782&gt;0, (((0.065*F782^0.726)/3.7-(0.301*F782^0.751)/(1-H782)*H782)*(MAX('Max rate concentrations'!$Q$3:$Q$368)))/F782, 0)</f>
        <v>0</v>
      </c>
      <c r="O782" s="69" t="s">
        <v>13</v>
      </c>
      <c r="P782" s="69" t="s">
        <v>13</v>
      </c>
      <c r="Q782" s="69">
        <f>(inputs!$C$18*11.2)*(25.05*F782^0.63)*0.5*1/F782</f>
        <v>73.194422376115511</v>
      </c>
      <c r="R782" s="59">
        <f>(60*76.9*((F782/1000)^0.76)*3*24*(MAX('Max rate concentrations'!$R$3:$R$368))/F782)</f>
        <v>4.3198529021218181E-3</v>
      </c>
      <c r="S782" s="59">
        <f>(IF(inputs!$C$17="aerial",((0.025*0.112*inputs!$C$18/3.3)*(3*60*76.9*((F782/1000)^0.76))*MAX(inputs!$I$14:$I$16))/F782,((0.0083*0.112*inputs!$C$18/1)*(3*60*76.9*((F782/1000)^0.76))*MAX(inputs!$I$14:$I$16))/F782))</f>
        <v>1.8240444590989859E-2</v>
      </c>
      <c r="T782" s="63">
        <f>IF((((inputs!$P$13/(V782/MAX(K782:S782)))^(1/inputs!$O$13))-1)/inputs!$N$13&lt;0, 0, IF((((inputs!$P$13/(V782/MAX(K782:S782)))^(1/inputs!$O$13))-1)/inputs!$N$13&lt;inputs!$I$17, (((inputs!$P$13/(V782/MAX(K782:S782)))^(1/inputs!$O$13))-1)/inputs!$N$13, inputs!$I$17))</f>
        <v>1000</v>
      </c>
      <c r="U782" s="63">
        <f>IF((((inputs!$P$13/(X782/MAX(K782:S782)))^(1/inputs!$O$13))-1)/inputs!$N$13&lt;0, 0, IF((((inputs!$P$13/(X782/MAX(K782:S782)))^(1/inputs!$O$13))-1)/inputs!$N$13&lt;inputs!$I$17, (((inputs!$P$13/(X782/MAX(K782:S782)))^(1/inputs!$O$13))-1)/inputs!$N$13, inputs!$I$17))</f>
        <v>1000</v>
      </c>
      <c r="V782" s="21">
        <f>inputs!$E$87*(F782/inputs!$F$87)^(1)</f>
        <v>2.1469999999999996E-2</v>
      </c>
      <c r="W782" s="21">
        <f>inputs!$E$90*(F782/inputs!$F$90)^(1)</f>
        <v>2.2600000000000002E-2</v>
      </c>
      <c r="X782" s="21">
        <f>inputs!$E$89*(F782/inputs!$F$89)^(1)</f>
        <v>8.439240506329114E-2</v>
      </c>
      <c r="Y782" s="21" t="s">
        <v>13</v>
      </c>
      <c r="Z782" s="63">
        <f t="shared" si="63"/>
        <v>3409.1486900845612</v>
      </c>
      <c r="AA782" s="63">
        <f t="shared" si="64"/>
        <v>3238.6912555803319</v>
      </c>
    </row>
    <row r="783" spans="1:27" ht="13.2" x14ac:dyDescent="0.25">
      <c r="A783" s="103" t="s">
        <v>416</v>
      </c>
      <c r="B783" s="20" t="s">
        <v>417</v>
      </c>
      <c r="C783" s="21" t="s">
        <v>79</v>
      </c>
      <c r="D783" s="105" t="s">
        <v>378</v>
      </c>
      <c r="E783" s="15">
        <v>179</v>
      </c>
      <c r="F783" s="15">
        <v>1.5</v>
      </c>
      <c r="G783" s="21" t="s">
        <v>142</v>
      </c>
      <c r="H783" s="21">
        <v>0.69</v>
      </c>
      <c r="I783" s="68">
        <f>MAX('Max rate concentrations'!$H$3:$H$368)</f>
        <v>282</v>
      </c>
      <c r="J783" s="68">
        <f>MAX('Max rate concentrations'!AA:AA)</f>
        <v>195</v>
      </c>
      <c r="K783" s="69">
        <f t="shared" si="61"/>
        <v>10.785941264618009</v>
      </c>
      <c r="L783" s="69">
        <f t="shared" si="65"/>
        <v>7.4583636404273461</v>
      </c>
      <c r="M783" s="69">
        <f>IF((((0.065*F783^0.726)/3.7-(0.301*F783^0.751)/(1-H783)*H783)*(MAX('Max rate concentrations'!$P$3:$P$368)))/F783&gt;0, (((0.065*F783^0.726)/3.7-(0.301*F783^0.751)/(1-H783)*H783)*(MAX('Max rate concentrations'!$P$3:$P$368)))/F783, 0)</f>
        <v>0</v>
      </c>
      <c r="N783" s="69">
        <f>IF((((0.065*F783^0.726)/3.7-(0.301*F783^0.751)/(1-H783)*H783)*(MAX('Max rate concentrations'!$Q$3:$Q$368)))/F783&gt;0, (((0.065*F783^0.726)/3.7-(0.301*F783^0.751)/(1-H783)*H783)*(MAX('Max rate concentrations'!$Q$3:$Q$368)))/F783, 0)</f>
        <v>0</v>
      </c>
      <c r="O783" s="69" t="s">
        <v>13</v>
      </c>
      <c r="P783" s="69" t="s">
        <v>13</v>
      </c>
      <c r="Q783" s="69">
        <f>(inputs!$C$18*11.2)*(25.05*F783^0.63)*0.5*1/F783</f>
        <v>362.21234343967245</v>
      </c>
      <c r="R783" s="59">
        <f>(60*76.9*((F783/1000)^0.76)*3*24*(MAX('Max rate concentrations'!$R$3:$R$368))/F783)</f>
        <v>1.2188377110635447E-2</v>
      </c>
      <c r="S783" s="59">
        <f>(IF(inputs!$C$17="aerial",((0.025*0.112*inputs!$C$18/3.3)*(3*60*76.9*((F783/1000)^0.76))*MAX(inputs!$I$14:$I$16))/F783,((0.0083*0.112*inputs!$C$18/1)*(3*60*76.9*((F783/1000)^0.76))*MAX(inputs!$I$14:$I$16))/F783))</f>
        <v>5.1465043458177817E-2</v>
      </c>
      <c r="T783" s="63">
        <f>IF((((inputs!$P$13/(V783/MAX(K783:S783)))^(1/inputs!$O$13))-1)/inputs!$N$13&lt;0, 0, IF((((inputs!$P$13/(V783/MAX(K783:S783)))^(1/inputs!$O$13))-1)/inputs!$N$13&lt;inputs!$I$17, (((inputs!$P$13/(V783/MAX(K783:S783)))^(1/inputs!$O$13))-1)/inputs!$N$13, inputs!$I$17))</f>
        <v>1000</v>
      </c>
      <c r="U783" s="63">
        <f>IF((((inputs!$P$13/(X783/MAX(K783:S783)))^(1/inputs!$O$13))-1)/inputs!$N$13&lt;0, 0, IF((((inputs!$P$13/(X783/MAX(K783:S783)))^(1/inputs!$O$13))-1)/inputs!$N$13&lt;inputs!$I$17, (((inputs!$P$13/(X783/MAX(K783:S783)))^(1/inputs!$O$13))-1)/inputs!$N$13, inputs!$I$17))</f>
        <v>1000</v>
      </c>
      <c r="V783" s="21">
        <f>inputs!$E$87*(F783/inputs!$F$87)^(1)</f>
        <v>2.8499999999999999E-4</v>
      </c>
      <c r="W783" s="21">
        <f>inputs!$E$90*(F783/inputs!$F$90)^(1)</f>
        <v>2.9999999999999997E-4</v>
      </c>
      <c r="X783" s="21">
        <f>inputs!$E$89*(F783/inputs!$F$89)^(1)</f>
        <v>1.1202531645569619E-3</v>
      </c>
      <c r="Y783" s="21" t="s">
        <v>13</v>
      </c>
      <c r="Z783" s="63">
        <f t="shared" si="63"/>
        <v>1270920.5032970964</v>
      </c>
      <c r="AA783" s="63">
        <f t="shared" si="64"/>
        <v>1207374.4781322416</v>
      </c>
    </row>
    <row r="784" spans="1:27" ht="13.2" x14ac:dyDescent="0.25">
      <c r="A784" s="185" t="s">
        <v>871</v>
      </c>
      <c r="B784" s="54" t="s">
        <v>873</v>
      </c>
      <c r="C784" s="21" t="s">
        <v>79</v>
      </c>
      <c r="D784" s="186" t="s">
        <v>378</v>
      </c>
      <c r="E784" s="21">
        <v>10732</v>
      </c>
      <c r="F784" s="21">
        <v>8.9</v>
      </c>
      <c r="G784" s="21" t="s">
        <v>142</v>
      </c>
      <c r="H784" s="21">
        <v>0.69</v>
      </c>
      <c r="I784" s="68">
        <f>MAX('Max rate concentrations'!$H$3:$H$368)</f>
        <v>282</v>
      </c>
      <c r="J784" s="68">
        <f>MAX('Max rate concentrations'!AA:AA)</f>
        <v>195</v>
      </c>
      <c r="K784" s="69">
        <f t="shared" si="61"/>
        <v>7.1997801519246289</v>
      </c>
      <c r="L784" s="69">
        <f t="shared" si="65"/>
        <v>4.978571381650009</v>
      </c>
      <c r="M784" s="69">
        <f>IF((((0.065*F784^0.726)/3.7-(0.301*F784^0.751)/(1-H784)*H784)*(MAX('Max rate concentrations'!$P$3:$P$368)))/F784&gt;0, (((0.065*F784^0.726)/3.7-(0.301*F784^0.751)/(1-H784)*H784)*(MAX('Max rate concentrations'!$P$3:$P$368)))/F784, 0)</f>
        <v>0</v>
      </c>
      <c r="N784" s="69">
        <f>IF((((0.065*F784^0.726)/3.7-(0.301*F784^0.751)/(1-H784)*H784)*(MAX('Max rate concentrations'!$Q$3:$Q$368)))/F784&gt;0, (((0.065*F784^0.726)/3.7-(0.301*F784^0.751)/(1-H784)*H784)*(MAX('Max rate concentrations'!$Q$3:$Q$368)))/F784, 0)</f>
        <v>0</v>
      </c>
      <c r="O784" s="69" t="s">
        <v>13</v>
      </c>
      <c r="P784" s="69" t="s">
        <v>13</v>
      </c>
      <c r="Q784" s="69">
        <f>(inputs!$C$18*11.2)*(25.05*F784^0.63)*0.5*1/F784</f>
        <v>187.4315555210309</v>
      </c>
      <c r="R784" s="59">
        <f>(60*76.9*((F784/1000)^0.76)*3*24*(MAX('Max rate concentrations'!$R$3:$R$368))/F784)</f>
        <v>7.9497630350920407E-3</v>
      </c>
      <c r="S784" s="59">
        <f>(IF(inputs!$C$17="aerial",((0.025*0.112*inputs!$C$18/3.3)*(3*60*76.9*((F784/1000)^0.76))*MAX(inputs!$I$14:$I$16))/F784,((0.0083*0.112*inputs!$C$18/1)*(3*60*76.9*((F784/1000)^0.76))*MAX(inputs!$I$14:$I$16))/F784))</f>
        <v>3.3567627287001217E-2</v>
      </c>
      <c r="T784" s="63">
        <f>IF((((inputs!$P$13/(V784/MAX(K784:S784)))^(1/inputs!$O$13))-1)/inputs!$N$13&lt;0, 0, IF((((inputs!$P$13/(V784/MAX(K784:S784)))^(1/inputs!$O$13))-1)/inputs!$N$13&lt;inputs!$I$17, (((inputs!$P$13/(V784/MAX(K784:S784)))^(1/inputs!$O$13))-1)/inputs!$N$13, inputs!$I$17))</f>
        <v>1000</v>
      </c>
      <c r="U784" s="63">
        <f>IF((((inputs!$P$13/(X784/MAX(K784:S784)))^(1/inputs!$O$13))-1)/inputs!$N$13&lt;0, 0, IF((((inputs!$P$13/(X784/MAX(K784:S784)))^(1/inputs!$O$13))-1)/inputs!$N$13&lt;inputs!$I$17, (((inputs!$P$13/(X784/MAX(K784:S784)))^(1/inputs!$O$13))-1)/inputs!$N$13, inputs!$I$17))</f>
        <v>1000</v>
      </c>
      <c r="V784" s="21">
        <f>inputs!$E$87*(F784/inputs!$F$87)^(1)</f>
        <v>1.6910000000000002E-3</v>
      </c>
      <c r="W784" s="21">
        <f>inputs!$E$90*(F784/inputs!$F$90)^(1)</f>
        <v>1.7800000000000001E-3</v>
      </c>
      <c r="X784" s="21">
        <f>inputs!$E$89*(F784/inputs!$F$89)^(1)</f>
        <v>6.6468354430379746E-3</v>
      </c>
      <c r="Y784" s="21" t="s">
        <v>13</v>
      </c>
      <c r="Z784" s="63">
        <f t="shared" si="63"/>
        <v>110840.65968127195</v>
      </c>
      <c r="AA784" s="63">
        <f t="shared" si="64"/>
        <v>105298.62669720837</v>
      </c>
    </row>
    <row r="785" spans="1:27" ht="13.2" x14ac:dyDescent="0.25">
      <c r="A785" s="103" t="s">
        <v>376</v>
      </c>
      <c r="B785" s="20" t="s">
        <v>377</v>
      </c>
      <c r="C785" s="21" t="s">
        <v>79</v>
      </c>
      <c r="D785" s="105" t="s">
        <v>378</v>
      </c>
      <c r="E785" s="15">
        <v>163</v>
      </c>
      <c r="F785" s="15">
        <v>0.72</v>
      </c>
      <c r="G785" s="21" t="s">
        <v>142</v>
      </c>
      <c r="H785" s="21">
        <v>0.69</v>
      </c>
      <c r="I785" s="68">
        <f>MAX('Max rate concentrations'!$H$3:$H$368)</f>
        <v>282</v>
      </c>
      <c r="J785" s="68">
        <f>MAX('Max rate concentrations'!AA:AA)</f>
        <v>195</v>
      </c>
      <c r="K785" s="69">
        <f t="shared" ref="K785:K820" si="66">(((0.013*F785^0.773)/(1-H785)))*I785/F785</f>
        <v>12.741374770863935</v>
      </c>
      <c r="L785" s="69">
        <f t="shared" si="65"/>
        <v>8.8105251075122961</v>
      </c>
      <c r="M785" s="69">
        <f>IF((((0.065*F785^0.726)/3.7-(0.301*F785^0.751)/(1-H785)*H785)*(MAX('Max rate concentrations'!$P$3:$P$368)))/F785&gt;0, (((0.065*F785^0.726)/3.7-(0.301*F785^0.751)/(1-H785)*H785)*(MAX('Max rate concentrations'!$P$3:$P$368)))/F785, 0)</f>
        <v>0</v>
      </c>
      <c r="N785" s="69">
        <f>IF((((0.065*F785^0.726)/3.7-(0.301*F785^0.751)/(1-H785)*H785)*(MAX('Max rate concentrations'!$Q$3:$Q$368)))/F785&gt;0, (((0.065*F785^0.726)/3.7-(0.301*F785^0.751)/(1-H785)*H785)*(MAX('Max rate concentrations'!$Q$3:$Q$368)))/F785, 0)</f>
        <v>0</v>
      </c>
      <c r="O785" s="69" t="s">
        <v>13</v>
      </c>
      <c r="P785" s="69" t="s">
        <v>13</v>
      </c>
      <c r="Q785" s="69">
        <f>(inputs!$C$18*11.2)*(25.05*F785^0.63)*0.5*1/F785</f>
        <v>475.23015271559916</v>
      </c>
      <c r="R785" s="59">
        <f>(60*76.9*((F785/1000)^0.76)*3*24*(MAX('Max rate concentrations'!$R$3:$R$368))/F785)</f>
        <v>1.4536102809303833E-2</v>
      </c>
      <c r="S785" s="59">
        <f>(IF(inputs!$C$17="aerial",((0.025*0.112*inputs!$C$18/3.3)*(3*60*76.9*((F785/1000)^0.76))*MAX(inputs!$I$14:$I$16))/F785,((0.0083*0.112*inputs!$C$18/1)*(3*60*76.9*((F785/1000)^0.76))*MAX(inputs!$I$14:$I$16))/F785))</f>
        <v>6.1378242238712591E-2</v>
      </c>
      <c r="T785" s="63">
        <f>IF((((inputs!$P$13/(V785/MAX(K785:S785)))^(1/inputs!$O$13))-1)/inputs!$N$13&lt;0, 0, IF((((inputs!$P$13/(V785/MAX(K785:S785)))^(1/inputs!$O$13))-1)/inputs!$N$13&lt;inputs!$I$17, (((inputs!$P$13/(V785/MAX(K785:S785)))^(1/inputs!$O$13))-1)/inputs!$N$13, inputs!$I$17))</f>
        <v>1000</v>
      </c>
      <c r="U785" s="63">
        <f>IF((((inputs!$P$13/(X785/MAX(K785:S785)))^(1/inputs!$O$13))-1)/inputs!$N$13&lt;0, 0, IF((((inputs!$P$13/(X785/MAX(K785:S785)))^(1/inputs!$O$13))-1)/inputs!$N$13&lt;inputs!$I$17, (((inputs!$P$13/(X785/MAX(K785:S785)))^(1/inputs!$O$13))-1)/inputs!$N$13, inputs!$I$17))</f>
        <v>1000</v>
      </c>
      <c r="V785" s="21">
        <f>inputs!$E$87*(F785/inputs!$F$87)^(1)</f>
        <v>1.3679999999999999E-4</v>
      </c>
      <c r="W785" s="21">
        <f>inputs!$E$90*(F785/inputs!$F$90)^(1)</f>
        <v>1.44E-4</v>
      </c>
      <c r="X785" s="21">
        <f>inputs!$E$89*(F785/inputs!$F$89)^(1)</f>
        <v>5.3772151898734172E-4</v>
      </c>
      <c r="Y785" s="21" t="s">
        <v>13</v>
      </c>
      <c r="Z785" s="63">
        <f t="shared" si="63"/>
        <v>3473904.6251140293</v>
      </c>
      <c r="AA785" s="63">
        <f t="shared" si="64"/>
        <v>3300209.3938583275</v>
      </c>
    </row>
    <row r="786" spans="1:27" ht="13.2" x14ac:dyDescent="0.25">
      <c r="A786" s="103" t="s">
        <v>376</v>
      </c>
      <c r="B786" s="20" t="s">
        <v>377</v>
      </c>
      <c r="C786" s="21" t="s">
        <v>79</v>
      </c>
      <c r="D786" s="105" t="s">
        <v>378</v>
      </c>
      <c r="E786" s="15">
        <v>163</v>
      </c>
      <c r="F786" s="15">
        <v>0.72</v>
      </c>
      <c r="G786" s="21" t="s">
        <v>146</v>
      </c>
      <c r="H786" s="20">
        <v>0.84</v>
      </c>
      <c r="I786" s="68">
        <f>MAX('Max rate concentrations'!$I$3:$I$368)</f>
        <v>56.865414300472793</v>
      </c>
      <c r="J786" s="68" t="s">
        <v>13</v>
      </c>
      <c r="K786" s="69">
        <f t="shared" si="66"/>
        <v>4.9780253120979259</v>
      </c>
      <c r="L786" s="69" t="s">
        <v>13</v>
      </c>
      <c r="M786" s="69">
        <f>IF((((0.065*F786^0.726)/3.7-(0.301*F786^0.751)/(1-H786)*H786)*(MAX('Max rate concentrations'!$P$3:$P$368)))/F786&gt;0, (((0.065*F786^0.726)/3.7-(0.301*F786^0.751)/(1-H786)*H786)*(MAX('Max rate concentrations'!$P$3:$P$368)))/F786, 0)</f>
        <v>0</v>
      </c>
      <c r="N786" s="69">
        <f>IF((((0.065*F786^0.726)/3.7-(0.301*F786^0.751)/(1-H786)*H786)*(MAX('Max rate concentrations'!$Q$3:$Q$368)))/F786&gt;0, (((0.065*F786^0.726)/3.7-(0.301*F786^0.751)/(1-H786)*H786)*(MAX('Max rate concentrations'!$Q$3:$Q$368)))/F786, 0)</f>
        <v>0</v>
      </c>
      <c r="O786" s="69" t="s">
        <v>13</v>
      </c>
      <c r="P786" s="69" t="s">
        <v>13</v>
      </c>
      <c r="Q786" s="69">
        <f>(inputs!$C$18*11.2)*(25.05*F786^0.63)*0.5*1/F786</f>
        <v>475.23015271559916</v>
      </c>
      <c r="R786" s="59">
        <f>(60*76.9*((F786/1000)^0.76)*3*24*(MAX('Max rate concentrations'!$R$3:$R$368))/F786)</f>
        <v>1.4536102809303833E-2</v>
      </c>
      <c r="S786" s="59">
        <f>(IF(inputs!$C$17="aerial",((0.025*0.112*inputs!$C$18/3.3)*(3*60*76.9*((F786/1000)^0.76))*MAX(inputs!$I$14:$I$16))/F786,((0.0083*0.112*inputs!$C$18/1)*(3*60*76.9*((F786/1000)^0.76))*MAX(inputs!$I$14:$I$16))/F786))</f>
        <v>6.1378242238712591E-2</v>
      </c>
      <c r="T786" s="63">
        <f>IF((((inputs!$P$13/(V786/MAX(K786:S786)))^(1/inputs!$O$13))-1)/inputs!$N$13&lt;0, 0, IF((((inputs!$P$13/(V786/MAX(K786:S786)))^(1/inputs!$O$13))-1)/inputs!$N$13&lt;inputs!$I$17, (((inputs!$P$13/(V786/MAX(K786:S786)))^(1/inputs!$O$13))-1)/inputs!$N$13, inputs!$I$17))</f>
        <v>1000</v>
      </c>
      <c r="U786" s="63">
        <f>IF((((inputs!$P$13/(X786/MAX(K786:S786)))^(1/inputs!$O$13))-1)/inputs!$N$13&lt;0, 0, IF((((inputs!$P$13/(X786/MAX(K786:S786)))^(1/inputs!$O$13))-1)/inputs!$N$13&lt;inputs!$I$17, (((inputs!$P$13/(X786/MAX(K786:S786)))^(1/inputs!$O$13))-1)/inputs!$N$13, inputs!$I$17))</f>
        <v>1000</v>
      </c>
      <c r="V786" s="21">
        <f>inputs!$E$87*(F786/inputs!$F$87)^(1)</f>
        <v>1.3679999999999999E-4</v>
      </c>
      <c r="W786" s="21">
        <f>inputs!$E$90*(F786/inputs!$F$90)^(1)</f>
        <v>1.44E-4</v>
      </c>
      <c r="X786" s="21">
        <f>inputs!$E$89*(F786/inputs!$F$89)^(1)</f>
        <v>5.3772151898734172E-4</v>
      </c>
      <c r="Y786" s="21" t="s">
        <v>13</v>
      </c>
      <c r="Z786" s="63">
        <f t="shared" si="63"/>
        <v>3473904.6251140293</v>
      </c>
      <c r="AA786" s="63">
        <f t="shared" si="64"/>
        <v>3300209.3938583275</v>
      </c>
    </row>
    <row r="787" spans="1:27" ht="13.2" x14ac:dyDescent="0.25">
      <c r="A787" s="103" t="s">
        <v>395</v>
      </c>
      <c r="B787" s="20" t="s">
        <v>396</v>
      </c>
      <c r="C787" s="21" t="s">
        <v>79</v>
      </c>
      <c r="D787" s="105" t="s">
        <v>378</v>
      </c>
      <c r="E787" s="15">
        <v>174</v>
      </c>
      <c r="F787" s="15">
        <v>128</v>
      </c>
      <c r="G787" s="21" t="s">
        <v>138</v>
      </c>
      <c r="H787" s="20">
        <v>0.68</v>
      </c>
      <c r="I787" s="68">
        <f>MAX('Max rate concentrations'!$L$3:$L$368)</f>
        <v>350.52744091332482</v>
      </c>
      <c r="J787" s="68">
        <f>MAX('Max rate concentrations'!AD:AD)</f>
        <v>242.38599637623525</v>
      </c>
      <c r="K787" s="69">
        <f t="shared" si="66"/>
        <v>4.7334602356752606</v>
      </c>
      <c r="L787" s="69">
        <f t="shared" ref="L787:L796" si="67">(((0.013*F787^0.773)/(1-H787)))*J787/F787</f>
        <v>3.273137397009489</v>
      </c>
      <c r="M787" s="69">
        <f>IF((((0.065*F787^0.726)/3.7-(0.301*F787^0.751)/(1-H787)*H787)*(MAX('Max rate concentrations'!$P$3:$P$368)))/F787&gt;0, (((0.065*F787^0.726)/3.7-(0.301*F787^0.751)/(1-H787)*H787)*(MAX('Max rate concentrations'!$P$3:$P$368)))/F787, 0)</f>
        <v>0</v>
      </c>
      <c r="N787" s="69">
        <f>IF((((0.065*F787^0.726)/3.7-(0.301*F787^0.751)/(1-H787)*H787)*(MAX('Max rate concentrations'!$Q$3:$Q$368)))/F787&gt;0, (((0.065*F787^0.726)/3.7-(0.301*F787^0.751)/(1-H787)*H787)*(MAX('Max rate concentrations'!$Q$3:$Q$368)))/F787, 0)</f>
        <v>0</v>
      </c>
      <c r="O787" s="69" t="s">
        <v>13</v>
      </c>
      <c r="P787" s="69" t="s">
        <v>13</v>
      </c>
      <c r="Q787" s="69">
        <f>(inputs!$C$18*11.2)*(25.05*F787^0.63)*0.5*1/F787</f>
        <v>69.895517250546959</v>
      </c>
      <c r="R787" s="59">
        <f>(60*76.9*((F787/1000)^0.76)*3*24*(MAX('Max rate concentrations'!$R$3:$R$368))/F787)</f>
        <v>4.1925417142264672E-3</v>
      </c>
      <c r="S787" s="59">
        <f>(IF(inputs!$C$17="aerial",((0.025*0.112*inputs!$C$18/3.3)*(3*60*76.9*((F787/1000)^0.76))*MAX(inputs!$I$14:$I$16))/F787,((0.0083*0.112*inputs!$C$18/1)*(3*60*76.9*((F787/1000)^0.76))*MAX(inputs!$I$14:$I$16))/F787))</f>
        <v>1.7702877057734819E-2</v>
      </c>
      <c r="T787" s="63">
        <f>IF((((inputs!$P$13/(V787/MAX(K787:S787)))^(1/inputs!$O$13))-1)/inputs!$N$13&lt;0, 0, IF((((inputs!$P$13/(V787/MAX(K787:S787)))^(1/inputs!$O$13))-1)/inputs!$N$13&lt;inputs!$I$17, (((inputs!$P$13/(V787/MAX(K787:S787)))^(1/inputs!$O$13))-1)/inputs!$N$13, inputs!$I$17))</f>
        <v>1000</v>
      </c>
      <c r="U787" s="63">
        <f>IF((((inputs!$P$13/(X787/MAX(K787:S787)))^(1/inputs!$O$13))-1)/inputs!$N$13&lt;0, 0, IF((((inputs!$P$13/(X787/MAX(K787:S787)))^(1/inputs!$O$13))-1)/inputs!$N$13&lt;inputs!$I$17, (((inputs!$P$13/(X787/MAX(K787:S787)))^(1/inputs!$O$13))-1)/inputs!$N$13, inputs!$I$17))</f>
        <v>1000</v>
      </c>
      <c r="V787" s="21">
        <f>inputs!$E$87*(F787/inputs!$F$87)^(1)</f>
        <v>2.4320000000000001E-2</v>
      </c>
      <c r="W787" s="21">
        <f>inputs!$E$90*(F787/inputs!$F$90)^(1)</f>
        <v>2.5600000000000001E-2</v>
      </c>
      <c r="X787" s="21">
        <f>inputs!$E$89*(F787/inputs!$F$89)^(1)</f>
        <v>9.5594936708860753E-2</v>
      </c>
      <c r="Y787" s="21" t="s">
        <v>13</v>
      </c>
      <c r="Z787" s="63">
        <f t="shared" si="63"/>
        <v>2873.9933079994635</v>
      </c>
      <c r="AA787" s="63">
        <f t="shared" si="64"/>
        <v>2730.2936425994903</v>
      </c>
    </row>
    <row r="788" spans="1:27" ht="13.2" x14ac:dyDescent="0.25">
      <c r="A788" s="103" t="s">
        <v>395</v>
      </c>
      <c r="B788" s="20" t="s">
        <v>396</v>
      </c>
      <c r="C788" s="21" t="s">
        <v>79</v>
      </c>
      <c r="D788" s="105" t="s">
        <v>378</v>
      </c>
      <c r="E788" s="15">
        <v>174</v>
      </c>
      <c r="F788" s="15">
        <v>128</v>
      </c>
      <c r="G788" s="21" t="s">
        <v>456</v>
      </c>
      <c r="H788" s="20">
        <v>0.68</v>
      </c>
      <c r="I788" s="68">
        <f>MAX('Max rate concentrations'!$J$3:$J$368)</f>
        <v>686.46486205830786</v>
      </c>
      <c r="J788" s="68">
        <f>MAX('Max rate concentrations'!AB:AB)</f>
        <v>243.122971978984</v>
      </c>
      <c r="K788" s="69">
        <f t="shared" si="66"/>
        <v>9.2698994386142051</v>
      </c>
      <c r="L788" s="69">
        <f t="shared" si="67"/>
        <v>3.2830893845091969</v>
      </c>
      <c r="M788" s="69">
        <f>IF((((0.065*F788^0.726)/3.7-(0.301*F788^0.751)/(1-H788)*H788)*(MAX('Max rate concentrations'!$P$3:$P$368)))/F788&gt;0, (((0.065*F788^0.726)/3.7-(0.301*F788^0.751)/(1-H788)*H788)*(MAX('Max rate concentrations'!$P$3:$P$368)))/F788, 0)</f>
        <v>0</v>
      </c>
      <c r="N788" s="69">
        <f>IF((((0.065*F788^0.726)/3.7-(0.301*F788^0.751)/(1-H788)*H788)*(MAX('Max rate concentrations'!$Q$3:$Q$368)))/F788&gt;0, (((0.065*F788^0.726)/3.7-(0.301*F788^0.751)/(1-H788)*H788)*(MAX('Max rate concentrations'!$Q$3:$Q$368)))/F788, 0)</f>
        <v>0</v>
      </c>
      <c r="O788" s="69" t="s">
        <v>13</v>
      </c>
      <c r="P788" s="69" t="s">
        <v>13</v>
      </c>
      <c r="Q788" s="69">
        <f>(inputs!$C$18*11.2)*(25.05*F788^0.63)*0.5*1/F788</f>
        <v>69.895517250546959</v>
      </c>
      <c r="R788" s="59">
        <f>(60*76.9*((F788/1000)^0.76)*3*24*(MAX('Max rate concentrations'!$R$3:$R$368))/F788)</f>
        <v>4.1925417142264672E-3</v>
      </c>
      <c r="S788" s="59">
        <f>(IF(inputs!$C$17="aerial",((0.025*0.112*inputs!$C$18/3.3)*(3*60*76.9*((F788/1000)^0.76))*MAX(inputs!$I$14:$I$16))/F788,((0.0083*0.112*inputs!$C$18/1)*(3*60*76.9*((F788/1000)^0.76))*MAX(inputs!$I$14:$I$16))/F788))</f>
        <v>1.7702877057734819E-2</v>
      </c>
      <c r="T788" s="63">
        <f>IF((((inputs!$P$13/(V788/MAX(K788:S788)))^(1/inputs!$O$13))-1)/inputs!$N$13&lt;0, 0, IF((((inputs!$P$13/(V788/MAX(K788:S788)))^(1/inputs!$O$13))-1)/inputs!$N$13&lt;inputs!$I$17, (((inputs!$P$13/(V788/MAX(K788:S788)))^(1/inputs!$O$13))-1)/inputs!$N$13, inputs!$I$17))</f>
        <v>1000</v>
      </c>
      <c r="U788" s="63">
        <f>IF((((inputs!$P$13/(X788/MAX(K788:S788)))^(1/inputs!$O$13))-1)/inputs!$N$13&lt;0, 0, IF((((inputs!$P$13/(X788/MAX(K788:S788)))^(1/inputs!$O$13))-1)/inputs!$N$13&lt;inputs!$I$17, (((inputs!$P$13/(X788/MAX(K788:S788)))^(1/inputs!$O$13))-1)/inputs!$N$13, inputs!$I$17))</f>
        <v>1000</v>
      </c>
      <c r="V788" s="21">
        <f>inputs!$E$87*(F788/inputs!$F$87)^(1)</f>
        <v>2.4320000000000001E-2</v>
      </c>
      <c r="W788" s="21">
        <f>inputs!$E$90*(F788/inputs!$F$90)^(1)</f>
        <v>2.5600000000000001E-2</v>
      </c>
      <c r="X788" s="21">
        <f>inputs!$E$89*(F788/inputs!$F$89)^(1)</f>
        <v>9.5594936708860753E-2</v>
      </c>
      <c r="Y788" s="21" t="s">
        <v>13</v>
      </c>
      <c r="Z788" s="63">
        <f t="shared" si="63"/>
        <v>2873.9933079994635</v>
      </c>
      <c r="AA788" s="63">
        <f t="shared" si="64"/>
        <v>2730.2936425994903</v>
      </c>
    </row>
    <row r="789" spans="1:27" ht="13.2" x14ac:dyDescent="0.25">
      <c r="A789" s="103" t="s">
        <v>395</v>
      </c>
      <c r="B789" s="20" t="s">
        <v>396</v>
      </c>
      <c r="C789" s="21" t="s">
        <v>79</v>
      </c>
      <c r="D789" s="105" t="s">
        <v>378</v>
      </c>
      <c r="E789" s="15">
        <v>174</v>
      </c>
      <c r="F789" s="15">
        <v>128</v>
      </c>
      <c r="G789" s="21" t="s">
        <v>145</v>
      </c>
      <c r="H789" s="20">
        <v>0.66</v>
      </c>
      <c r="I789" s="68">
        <f>MAX('Max rate concentrations'!$M$3:$M$368)</f>
        <v>17.092910873809167</v>
      </c>
      <c r="J789" s="68">
        <f>MAX('Max rate concentrations'!AE:AE)</f>
        <v>11.81956602976166</v>
      </c>
      <c r="K789" s="69">
        <f t="shared" si="66"/>
        <v>0.21724200394509668</v>
      </c>
      <c r="L789" s="69">
        <f t="shared" si="67"/>
        <v>0.15022053464288601</v>
      </c>
      <c r="M789" s="69">
        <f>IF((((0.065*F789^0.726)/3.7-(0.301*F789^0.751)/(1-H789)*H789)*(MAX('Max rate concentrations'!$P$3:$P$368)))/F789&gt;0, (((0.065*F789^0.726)/3.7-(0.301*F789^0.751)/(1-H789)*H789)*(MAX('Max rate concentrations'!$P$3:$P$368)))/F789, 0)</f>
        <v>0</v>
      </c>
      <c r="N789" s="69">
        <f>IF((((0.065*F789^0.726)/3.7-(0.301*F789^0.751)/(1-H789)*H789)*(MAX('Max rate concentrations'!$Q$3:$Q$368)))/F789&gt;0, (((0.065*F789^0.726)/3.7-(0.301*F789^0.751)/(1-H789)*H789)*(MAX('Max rate concentrations'!$Q$3:$Q$368)))/F789, 0)</f>
        <v>0</v>
      </c>
      <c r="O789" s="69" t="s">
        <v>13</v>
      </c>
      <c r="P789" s="69" t="s">
        <v>13</v>
      </c>
      <c r="Q789" s="69">
        <f>(inputs!$C$18*11.2)*(25.05*F789^0.63)*0.5*1/F789</f>
        <v>69.895517250546959</v>
      </c>
      <c r="R789" s="59">
        <f>(60*76.9*((F789/1000)^0.76)*3*24*(MAX('Max rate concentrations'!$R$3:$R$368))/F789)</f>
        <v>4.1925417142264672E-3</v>
      </c>
      <c r="S789" s="59">
        <f>(IF(inputs!$C$17="aerial",((0.025*0.112*inputs!$C$18/3.3)*(3*60*76.9*((F789/1000)^0.76))*MAX(inputs!$I$14:$I$16))/F789,((0.0083*0.112*inputs!$C$18/1)*(3*60*76.9*((F789/1000)^0.76))*MAX(inputs!$I$14:$I$16))/F789))</f>
        <v>1.7702877057734819E-2</v>
      </c>
      <c r="T789" s="63">
        <f>IF((((inputs!$P$13/(V789/MAX(K789:S789)))^(1/inputs!$O$13))-1)/inputs!$N$13&lt;0, 0, IF((((inputs!$P$13/(V789/MAX(K789:S789)))^(1/inputs!$O$13))-1)/inputs!$N$13&lt;inputs!$I$17, (((inputs!$P$13/(V789/MAX(K789:S789)))^(1/inputs!$O$13))-1)/inputs!$N$13, inputs!$I$17))</f>
        <v>1000</v>
      </c>
      <c r="U789" s="63">
        <f>IF((((inputs!$P$13/(X789/MAX(K789:S789)))^(1/inputs!$O$13))-1)/inputs!$N$13&lt;0, 0, IF((((inputs!$P$13/(X789/MAX(K789:S789)))^(1/inputs!$O$13))-1)/inputs!$N$13&lt;inputs!$I$17, (((inputs!$P$13/(X789/MAX(K789:S789)))^(1/inputs!$O$13))-1)/inputs!$N$13, inputs!$I$17))</f>
        <v>1000</v>
      </c>
      <c r="V789" s="21">
        <f>inputs!$E$87*(F789/inputs!$F$87)^(1)</f>
        <v>2.4320000000000001E-2</v>
      </c>
      <c r="W789" s="21">
        <f>inputs!$E$90*(F789/inputs!$F$90)^(1)</f>
        <v>2.5600000000000001E-2</v>
      </c>
      <c r="X789" s="21">
        <f>inputs!$E$89*(F789/inputs!$F$89)^(1)</f>
        <v>9.5594936708860753E-2</v>
      </c>
      <c r="Y789" s="21" t="s">
        <v>13</v>
      </c>
      <c r="Z789" s="63">
        <f t="shared" si="63"/>
        <v>2873.9933079994635</v>
      </c>
      <c r="AA789" s="63">
        <f t="shared" si="64"/>
        <v>2730.2936425994903</v>
      </c>
    </row>
    <row r="790" spans="1:27" ht="13.2" x14ac:dyDescent="0.25">
      <c r="A790" s="114" t="s">
        <v>986</v>
      </c>
      <c r="B790" s="20" t="s">
        <v>635</v>
      </c>
      <c r="C790" s="21" t="s">
        <v>79</v>
      </c>
      <c r="D790" s="105" t="s">
        <v>383</v>
      </c>
      <c r="E790" s="15">
        <v>168</v>
      </c>
      <c r="F790" s="56">
        <v>2380</v>
      </c>
      <c r="G790" s="21" t="s">
        <v>241</v>
      </c>
      <c r="H790" s="20">
        <v>0.8</v>
      </c>
      <c r="I790" s="68">
        <f>inputs!$C$66*inputs!$C$60/1000</f>
        <v>28</v>
      </c>
      <c r="J790" s="68">
        <f>inputs!$C$66*inputs!$C$59/1000</f>
        <v>28</v>
      </c>
      <c r="K790" s="69">
        <f t="shared" si="66"/>
        <v>0.31159352098138926</v>
      </c>
      <c r="L790" s="69">
        <f t="shared" si="67"/>
        <v>0.31159352098138926</v>
      </c>
      <c r="M790" s="69">
        <f>IF((((0.065*F790^0.726)/3.7-(0.301*F790^0.751)/(1-H790)*H790)*(MAX('Max rate concentrations'!$P$3:$P$368)))/F790&gt;0, (((0.065*F790^0.726)/3.7-(0.301*F790^0.751)/(1-H790)*H790)*(MAX('Max rate concentrations'!$P$3:$P$368)))/F790, 0)</f>
        <v>0</v>
      </c>
      <c r="N790" s="69">
        <f>IF((((0.065*F790^0.726)/3.7-(0.301*F790^0.751)/(1-H790)*H790)*(MAX('Max rate concentrations'!$Q$3:$Q$368)))/F790&gt;0, (((0.065*F790^0.726)/3.7-(0.301*F790^0.751)/(1-H790)*H790)*(MAX('Max rate concentrations'!$Q$3:$Q$368)))/F790, 0)</f>
        <v>0</v>
      </c>
      <c r="O790" s="69" t="s">
        <v>13</v>
      </c>
      <c r="P790" s="69" t="s">
        <v>13</v>
      </c>
      <c r="Q790" s="69">
        <f>(inputs!$C$18*11.2)*(16.61*F790^0.61)*0.5*1/F790</f>
        <v>13.4528376438724</v>
      </c>
      <c r="R790" s="59">
        <f>(60*76.9*((F790/1000)^0.76)*3*24*(MAX('Max rate concentrations'!$R$3:$R$368))/F790)</f>
        <v>2.078879493960076E-3</v>
      </c>
      <c r="S790" s="59">
        <f>(IF(inputs!$C$17="aerial",((0.025*0.112*inputs!$C$18/3.3)*(3*60*76.9*((F790/1000)^0.76))*MAX(inputs!$I$14:$I$16))/F790,((0.0083*0.112*inputs!$C$18/1)*(3*60*76.9*((F790/1000)^0.76))*MAX(inputs!$I$14:$I$16))/F790))</f>
        <v>8.7780040385862373E-3</v>
      </c>
      <c r="T790" s="63">
        <f>IF((((inputs!$P$13/(V790/MAX(K790:S790)))^(1/inputs!$O$13))-1)/inputs!$N$13&lt;0, 0, IF((((inputs!$P$13/(V790/MAX(K790:S790)))^(1/inputs!$O$13))-1)/inputs!$N$13&lt;inputs!$I$17, (((inputs!$P$13/(V790/MAX(K790:S790)))^(1/inputs!$O$13))-1)/inputs!$N$13, inputs!$I$17))</f>
        <v>79.635014989996264</v>
      </c>
      <c r="U790" s="63">
        <f>IF((((inputs!$P$13/(X790/MAX(K790:S790)))^(1/inputs!$O$13))-1)/inputs!$N$13&lt;0, 0, IF((((inputs!$P$13/(X790/MAX(K790:S790)))^(1/inputs!$O$13))-1)/inputs!$N$13&lt;inputs!$I$17, (((inputs!$P$13/(X790/MAX(K790:S790)))^(1/inputs!$O$13))-1)/inputs!$N$13, inputs!$I$17))</f>
        <v>22.825966662615613</v>
      </c>
      <c r="V790" s="21">
        <f>inputs!$E$87*(F790/inputs!$F$87)^(1)</f>
        <v>0.45219999999999999</v>
      </c>
      <c r="W790" s="21">
        <f>inputs!$E$90*(F790/inputs!$F$90)^(1)</f>
        <v>0.47600000000000003</v>
      </c>
      <c r="X790" s="21">
        <f>inputs!$E$89*(F790/inputs!$F$89)^(1)</f>
        <v>1.7774683544303798</v>
      </c>
      <c r="Y790" s="21" t="s">
        <v>13</v>
      </c>
      <c r="Z790" s="63">
        <f t="shared" si="63"/>
        <v>29.749751534436975</v>
      </c>
      <c r="AA790" s="63">
        <f t="shared" si="64"/>
        <v>28.262263957715124</v>
      </c>
    </row>
    <row r="791" spans="1:27" ht="13.2" x14ac:dyDescent="0.25">
      <c r="A791" s="103" t="s">
        <v>381</v>
      </c>
      <c r="B791" s="20" t="s">
        <v>382</v>
      </c>
      <c r="C791" s="21" t="s">
        <v>79</v>
      </c>
      <c r="D791" s="105" t="s">
        <v>383</v>
      </c>
      <c r="E791" s="15">
        <v>182</v>
      </c>
      <c r="F791" s="15">
        <v>110</v>
      </c>
      <c r="G791" s="21" t="s">
        <v>182</v>
      </c>
      <c r="H791" s="20">
        <v>0.85</v>
      </c>
      <c r="I791" s="68">
        <f>MAX('Max rate concentrations'!$M$3:$M$368)</f>
        <v>17.092910873809167</v>
      </c>
      <c r="J791" s="68">
        <f>MAX('Max rate concentrations'!AE:AE)</f>
        <v>11.81956602976166</v>
      </c>
      <c r="K791" s="69">
        <f t="shared" si="66"/>
        <v>0.50964994519542561</v>
      </c>
      <c r="L791" s="69">
        <f t="shared" si="67"/>
        <v>0.35241751529470927</v>
      </c>
      <c r="M791" s="69">
        <f>IF((((0.065*F791^0.726)/3.7-(0.301*F791^0.751)/(1-H791)*H791)*(MAX('Max rate concentrations'!$P$3:$P$368)))/F791&gt;0, (((0.065*F791^0.726)/3.7-(0.301*F791^0.751)/(1-H791)*H791)*(MAX('Max rate concentrations'!$P$3:$P$368)))/F791, 0)</f>
        <v>0</v>
      </c>
      <c r="N791" s="69">
        <f>IF((((0.065*F791^0.726)/3.7-(0.301*F791^0.751)/(1-H791)*H791)*(MAX('Max rate concentrations'!$Q$3:$Q$368)))/F791&gt;0, (((0.065*F791^0.726)/3.7-(0.301*F791^0.751)/(1-H791)*H791)*(MAX('Max rate concentrations'!$Q$3:$Q$368)))/F791, 0)</f>
        <v>0</v>
      </c>
      <c r="O791" s="69" t="s">
        <v>13</v>
      </c>
      <c r="P791" s="69" t="s">
        <v>13</v>
      </c>
      <c r="Q791" s="69">
        <f>(inputs!$C$18*11.2)*(16.61*F791^0.61)*0.5*1/F791</f>
        <v>44.620637105461874</v>
      </c>
      <c r="R791" s="59">
        <f>(60*76.9*((F791/1000)^0.76)*3*24*(MAX('Max rate concentrations'!$R$3:$R$368))/F791)</f>
        <v>4.3478398690799565E-3</v>
      </c>
      <c r="S791" s="59">
        <f>(IF(inputs!$C$17="aerial",((0.025*0.112*inputs!$C$18/3.3)*(3*60*76.9*((F791/1000)^0.76))*MAX(inputs!$I$14:$I$16))/F791,((0.0083*0.112*inputs!$C$18/1)*(3*60*76.9*((F791/1000)^0.76))*MAX(inputs!$I$14:$I$16))/F791))</f>
        <v>1.8358618688959497E-2</v>
      </c>
      <c r="T791" s="63">
        <f>IF((((inputs!$P$13/(V791/MAX(K791:S791)))^(1/inputs!$O$13))-1)/inputs!$N$13&lt;0, 0, IF((((inputs!$P$13/(V791/MAX(K791:S791)))^(1/inputs!$O$13))-1)/inputs!$N$13&lt;inputs!$I$17, (((inputs!$P$13/(V791/MAX(K791:S791)))^(1/inputs!$O$13))-1)/inputs!$N$13, inputs!$I$17))</f>
        <v>1000</v>
      </c>
      <c r="U791" s="63">
        <f>IF((((inputs!$P$13/(X791/MAX(K791:S791)))^(1/inputs!$O$13))-1)/inputs!$N$13&lt;0, 0, IF((((inputs!$P$13/(X791/MAX(K791:S791)))^(1/inputs!$O$13))-1)/inputs!$N$13&lt;inputs!$I$17, (((inputs!$P$13/(X791/MAX(K791:S791)))^(1/inputs!$O$13))-1)/inputs!$N$13, inputs!$I$17))</f>
        <v>883.56123699707996</v>
      </c>
      <c r="V791" s="21">
        <f>inputs!$E$87*(F791/inputs!$F$87)^(1)</f>
        <v>2.0900000000000002E-2</v>
      </c>
      <c r="W791" s="21">
        <f>inputs!$E$90*(F791/inputs!$F$90)^(1)</f>
        <v>2.1999999999999999E-2</v>
      </c>
      <c r="X791" s="21">
        <f>inputs!$E$89*(F791/inputs!$F$89)^(1)</f>
        <v>8.2151898734177206E-2</v>
      </c>
      <c r="Y791" s="21" t="s">
        <v>13</v>
      </c>
      <c r="Z791" s="63">
        <f t="shared" si="63"/>
        <v>2134.958713179994</v>
      </c>
      <c r="AA791" s="63">
        <f t="shared" si="64"/>
        <v>2028.2107775209945</v>
      </c>
    </row>
    <row r="792" spans="1:27" ht="13.2" x14ac:dyDescent="0.25">
      <c r="A792" s="103" t="s">
        <v>381</v>
      </c>
      <c r="B792" s="20" t="s">
        <v>382</v>
      </c>
      <c r="C792" s="21" t="s">
        <v>79</v>
      </c>
      <c r="D792" s="105" t="s">
        <v>383</v>
      </c>
      <c r="E792" s="15">
        <v>182</v>
      </c>
      <c r="F792" s="15">
        <v>110</v>
      </c>
      <c r="G792" s="21" t="s">
        <v>142</v>
      </c>
      <c r="H792" s="21">
        <v>0.69</v>
      </c>
      <c r="I792" s="68">
        <f>MAX('Max rate concentrations'!$H$3:$H$368)</f>
        <v>282</v>
      </c>
      <c r="J792" s="68">
        <f>MAX('Max rate concentrations'!AA:AA)</f>
        <v>195</v>
      </c>
      <c r="K792" s="69">
        <f t="shared" si="66"/>
        <v>4.0685028753361108</v>
      </c>
      <c r="L792" s="69">
        <f t="shared" si="67"/>
        <v>2.8133264563494382</v>
      </c>
      <c r="M792" s="69">
        <f>IF((((0.065*F792^0.726)/3.7-(0.301*F792^0.751)/(1-H792)*H792)*(MAX('Max rate concentrations'!$P$3:$P$368)))/F792&gt;0, (((0.065*F792^0.726)/3.7-(0.301*F792^0.751)/(1-H792)*H792)*(MAX('Max rate concentrations'!$P$3:$P$368)))/F792, 0)</f>
        <v>0</v>
      </c>
      <c r="N792" s="69">
        <f>IF((((0.065*F792^0.726)/3.7-(0.301*F792^0.751)/(1-H792)*H792)*(MAX('Max rate concentrations'!$Q$3:$Q$368)))/F792&gt;0, (((0.065*F792^0.726)/3.7-(0.301*F792^0.751)/(1-H792)*H792)*(MAX('Max rate concentrations'!$Q$3:$Q$368)))/F792, 0)</f>
        <v>0</v>
      </c>
      <c r="O792" s="69" t="s">
        <v>13</v>
      </c>
      <c r="P792" s="69" t="s">
        <v>13</v>
      </c>
      <c r="Q792" s="69">
        <f>(inputs!$C$18*11.2)*(16.61*F792^0.61)*0.5*1/F792</f>
        <v>44.620637105461874</v>
      </c>
      <c r="R792" s="59">
        <f>(60*76.9*((F792/1000)^0.76)*3*24*(MAX('Max rate concentrations'!$R$3:$R$368))/F792)</f>
        <v>4.3478398690799565E-3</v>
      </c>
      <c r="S792" s="59">
        <f>(IF(inputs!$C$17="aerial",((0.025*0.112*inputs!$C$18/3.3)*(3*60*76.9*((F792/1000)^0.76))*MAX(inputs!$I$14:$I$16))/F792,((0.0083*0.112*inputs!$C$18/1)*(3*60*76.9*((F792/1000)^0.76))*MAX(inputs!$I$14:$I$16))/F792))</f>
        <v>1.8358618688959497E-2</v>
      </c>
      <c r="T792" s="63">
        <f>IF((((inputs!$P$13/(V792/MAX(K792:S792)))^(1/inputs!$O$13))-1)/inputs!$N$13&lt;0, 0, IF((((inputs!$P$13/(V792/MAX(K792:S792)))^(1/inputs!$O$13))-1)/inputs!$N$13&lt;inputs!$I$17, (((inputs!$P$13/(V792/MAX(K792:S792)))^(1/inputs!$O$13))-1)/inputs!$N$13, inputs!$I$17))</f>
        <v>1000</v>
      </c>
      <c r="U792" s="63">
        <f>IF((((inputs!$P$13/(X792/MAX(K792:S792)))^(1/inputs!$O$13))-1)/inputs!$N$13&lt;0, 0, IF((((inputs!$P$13/(X792/MAX(K792:S792)))^(1/inputs!$O$13))-1)/inputs!$N$13&lt;inputs!$I$17, (((inputs!$P$13/(X792/MAX(K792:S792)))^(1/inputs!$O$13))-1)/inputs!$N$13, inputs!$I$17))</f>
        <v>883.56123699707996</v>
      </c>
      <c r="V792" s="21">
        <f>inputs!$E$87*(F792/inputs!$F$87)^(1)</f>
        <v>2.0900000000000002E-2</v>
      </c>
      <c r="W792" s="21">
        <f>inputs!$E$90*(F792/inputs!$F$90)^(1)</f>
        <v>2.1999999999999999E-2</v>
      </c>
      <c r="X792" s="21">
        <f>inputs!$E$89*(F792/inputs!$F$89)^(1)</f>
        <v>8.2151898734177206E-2</v>
      </c>
      <c r="Y792" s="21" t="s">
        <v>13</v>
      </c>
      <c r="Z792" s="63">
        <f t="shared" si="63"/>
        <v>2134.958713179994</v>
      </c>
      <c r="AA792" s="63">
        <f t="shared" si="64"/>
        <v>2028.2107775209945</v>
      </c>
    </row>
    <row r="793" spans="1:27" ht="13.2" x14ac:dyDescent="0.25">
      <c r="A793" s="103" t="s">
        <v>381</v>
      </c>
      <c r="B793" s="20" t="s">
        <v>382</v>
      </c>
      <c r="C793" s="21" t="s">
        <v>79</v>
      </c>
      <c r="D793" s="105" t="s">
        <v>383</v>
      </c>
      <c r="E793" s="15">
        <v>182</v>
      </c>
      <c r="F793" s="15">
        <v>110</v>
      </c>
      <c r="G793" s="21" t="s">
        <v>164</v>
      </c>
      <c r="H793" s="20">
        <v>0.78</v>
      </c>
      <c r="I793" s="68">
        <f>inputs!$C$66*(inputs!$C$62/1000)</f>
        <v>8.2000000000000011</v>
      </c>
      <c r="J793" s="68">
        <f>inputs!$C$66*(inputs!$C$61/1000)</f>
        <v>2.5</v>
      </c>
      <c r="K793" s="69">
        <f t="shared" si="66"/>
        <v>0.16670106881212765</v>
      </c>
      <c r="L793" s="69">
        <f t="shared" si="67"/>
        <v>5.0823496589063294E-2</v>
      </c>
      <c r="M793" s="69">
        <f>IF((((0.065*F793^0.726)/3.7-(0.301*F793^0.751)/(1-H793)*H793)*(MAX('Max rate concentrations'!$P$3:$P$368)))/F793&gt;0, (((0.065*F793^0.726)/3.7-(0.301*F793^0.751)/(1-H793)*H793)*(MAX('Max rate concentrations'!$P$3:$P$368)))/F793, 0)</f>
        <v>0</v>
      </c>
      <c r="N793" s="69">
        <f>IF((((0.065*F793^0.726)/3.7-(0.301*F793^0.751)/(1-H793)*H793)*(MAX('Max rate concentrations'!$Q$3:$Q$368)))/F793&gt;0, (((0.065*F793^0.726)/3.7-(0.301*F793^0.751)/(1-H793)*H793)*(MAX('Max rate concentrations'!$Q$3:$Q$368)))/F793, 0)</f>
        <v>0</v>
      </c>
      <c r="O793" s="69" t="s">
        <v>13</v>
      </c>
      <c r="P793" s="69" t="s">
        <v>13</v>
      </c>
      <c r="Q793" s="69">
        <f>(inputs!$C$18*11.2)*(16.61*F793^0.61)*0.5*1/F793</f>
        <v>44.620637105461874</v>
      </c>
      <c r="R793" s="59">
        <f>(60*76.9*((F793/1000)^0.76)*3*24*(MAX('Max rate concentrations'!$R$3:$R$368))/F793)</f>
        <v>4.3478398690799565E-3</v>
      </c>
      <c r="S793" s="59">
        <f>(IF(inputs!$C$17="aerial",((0.025*0.112*inputs!$C$18/3.3)*(3*60*76.9*((F793/1000)^0.76))*MAX(inputs!$I$14:$I$16))/F793,((0.0083*0.112*inputs!$C$18/1)*(3*60*76.9*((F793/1000)^0.76))*MAX(inputs!$I$14:$I$16))/F793))</f>
        <v>1.8358618688959497E-2</v>
      </c>
      <c r="T793" s="63">
        <f>IF((((inputs!$P$13/(V793/MAX(K793:S793)))^(1/inputs!$O$13))-1)/inputs!$N$13&lt;0, 0, IF((((inputs!$P$13/(V793/MAX(K793:S793)))^(1/inputs!$O$13))-1)/inputs!$N$13&lt;inputs!$I$17, (((inputs!$P$13/(V793/MAX(K793:S793)))^(1/inputs!$O$13))-1)/inputs!$N$13, inputs!$I$17))</f>
        <v>1000</v>
      </c>
      <c r="U793" s="63">
        <f>IF((((inputs!$P$13/(X793/MAX(K793:S793)))^(1/inputs!$O$13))-1)/inputs!$N$13&lt;0, 0, IF((((inputs!$P$13/(X793/MAX(K793:S793)))^(1/inputs!$O$13))-1)/inputs!$N$13&lt;inputs!$I$17, (((inputs!$P$13/(X793/MAX(K793:S793)))^(1/inputs!$O$13))-1)/inputs!$N$13, inputs!$I$17))</f>
        <v>883.56123699707996</v>
      </c>
      <c r="V793" s="21">
        <f>inputs!$E$87*(F793/inputs!$F$87)^(1)</f>
        <v>2.0900000000000002E-2</v>
      </c>
      <c r="W793" s="21">
        <f>inputs!$E$90*(F793/inputs!$F$90)^(1)</f>
        <v>2.1999999999999999E-2</v>
      </c>
      <c r="X793" s="21">
        <f>inputs!$E$89*(F793/inputs!$F$89)^(1)</f>
        <v>8.2151898734177206E-2</v>
      </c>
      <c r="Y793" s="21" t="s">
        <v>13</v>
      </c>
      <c r="Z793" s="63">
        <f t="shared" si="63"/>
        <v>2134.958713179994</v>
      </c>
      <c r="AA793" s="63">
        <f t="shared" si="64"/>
        <v>2028.2107775209945</v>
      </c>
    </row>
    <row r="794" spans="1:27" ht="13.2" x14ac:dyDescent="0.25">
      <c r="A794" s="103" t="s">
        <v>381</v>
      </c>
      <c r="B794" s="20" t="s">
        <v>382</v>
      </c>
      <c r="C794" s="21" t="s">
        <v>79</v>
      </c>
      <c r="D794" s="105" t="s">
        <v>383</v>
      </c>
      <c r="E794" s="15">
        <v>182</v>
      </c>
      <c r="F794" s="15">
        <v>110</v>
      </c>
      <c r="G794" s="21" t="s">
        <v>218</v>
      </c>
      <c r="H794" s="20">
        <v>0.68</v>
      </c>
      <c r="I794" s="68">
        <f>MAX('Max rate concentrations'!$K$3:$K$368)</f>
        <v>110.00035859694511</v>
      </c>
      <c r="J794" s="68">
        <f>MAX('Max rate concentrations'!AC:AC)</f>
        <v>38.958460336418057</v>
      </c>
      <c r="K794" s="69">
        <f t="shared" si="66"/>
        <v>1.5374157837355842</v>
      </c>
      <c r="L794" s="69">
        <f t="shared" si="67"/>
        <v>0.54450142340635277</v>
      </c>
      <c r="M794" s="69">
        <f>IF((((0.065*F794^0.726)/3.7-(0.301*F794^0.751)/(1-H794)*H794)*(MAX('Max rate concentrations'!$P$3:$P$368)))/F794&gt;0, (((0.065*F794^0.726)/3.7-(0.301*F794^0.751)/(1-H794)*H794)*(MAX('Max rate concentrations'!$P$3:$P$368)))/F794, 0)</f>
        <v>0</v>
      </c>
      <c r="N794" s="69">
        <f>IF((((0.065*F794^0.726)/3.7-(0.301*F794^0.751)/(1-H794)*H794)*(MAX('Max rate concentrations'!$Q$3:$Q$368)))/F794&gt;0, (((0.065*F794^0.726)/3.7-(0.301*F794^0.751)/(1-H794)*H794)*(MAX('Max rate concentrations'!$Q$3:$Q$368)))/F794, 0)</f>
        <v>0</v>
      </c>
      <c r="O794" s="69" t="s">
        <v>13</v>
      </c>
      <c r="P794" s="69" t="s">
        <v>13</v>
      </c>
      <c r="Q794" s="69">
        <f>(inputs!$C$18*11.2)*(16.61*F794^0.61)*0.5*1/F794</f>
        <v>44.620637105461874</v>
      </c>
      <c r="R794" s="59">
        <f>(60*76.9*((F794/1000)^0.76)*3*24*(MAX('Max rate concentrations'!$R$3:$R$368))/F794)</f>
        <v>4.3478398690799565E-3</v>
      </c>
      <c r="S794" s="59">
        <f>(IF(inputs!$C$17="aerial",((0.025*0.112*inputs!$C$18/3.3)*(3*60*76.9*((F794/1000)^0.76))*MAX(inputs!$I$14:$I$16))/F794,((0.0083*0.112*inputs!$C$18/1)*(3*60*76.9*((F794/1000)^0.76))*MAX(inputs!$I$14:$I$16))/F794))</f>
        <v>1.8358618688959497E-2</v>
      </c>
      <c r="T794" s="63">
        <f>IF((((inputs!$P$13/(V794/MAX(K794:S794)))^(1/inputs!$O$13))-1)/inputs!$N$13&lt;0, 0, IF((((inputs!$P$13/(V794/MAX(K794:S794)))^(1/inputs!$O$13))-1)/inputs!$N$13&lt;inputs!$I$17, (((inputs!$P$13/(V794/MAX(K794:S794)))^(1/inputs!$O$13))-1)/inputs!$N$13, inputs!$I$17))</f>
        <v>1000</v>
      </c>
      <c r="U794" s="63">
        <f>IF((((inputs!$P$13/(X794/MAX(K794:S794)))^(1/inputs!$O$13))-1)/inputs!$N$13&lt;0, 0, IF((((inputs!$P$13/(X794/MAX(K794:S794)))^(1/inputs!$O$13))-1)/inputs!$N$13&lt;inputs!$I$17, (((inputs!$P$13/(X794/MAX(K794:S794)))^(1/inputs!$O$13))-1)/inputs!$N$13, inputs!$I$17))</f>
        <v>883.56123699707996</v>
      </c>
      <c r="V794" s="21">
        <f>inputs!$E$87*(F794/inputs!$F$87)^(1)</f>
        <v>2.0900000000000002E-2</v>
      </c>
      <c r="W794" s="21">
        <f>inputs!$E$90*(F794/inputs!$F$90)^(1)</f>
        <v>2.1999999999999999E-2</v>
      </c>
      <c r="X794" s="21">
        <f>inputs!$E$89*(F794/inputs!$F$89)^(1)</f>
        <v>8.2151898734177206E-2</v>
      </c>
      <c r="Y794" s="21" t="s">
        <v>13</v>
      </c>
      <c r="Z794" s="63">
        <f t="shared" si="63"/>
        <v>2134.958713179994</v>
      </c>
      <c r="AA794" s="63">
        <f t="shared" si="64"/>
        <v>2028.2107775209945</v>
      </c>
    </row>
    <row r="795" spans="1:27" ht="13.2" x14ac:dyDescent="0.25">
      <c r="A795" s="103" t="s">
        <v>381</v>
      </c>
      <c r="B795" s="20" t="s">
        <v>382</v>
      </c>
      <c r="C795" s="21" t="s">
        <v>79</v>
      </c>
      <c r="D795" s="105" t="s">
        <v>383</v>
      </c>
      <c r="E795" s="15">
        <v>182</v>
      </c>
      <c r="F795" s="15">
        <v>110</v>
      </c>
      <c r="G795" s="21" t="s">
        <v>177</v>
      </c>
      <c r="H795" s="20">
        <v>0.85</v>
      </c>
      <c r="I795" s="68">
        <f>MAX('Max rate concentrations'!$F$3:$F$368)</f>
        <v>405</v>
      </c>
      <c r="J795" s="68">
        <f>MAX('Max rate concentrations'!Y:Y)</f>
        <v>135</v>
      </c>
      <c r="K795" s="69">
        <f t="shared" si="66"/>
        <v>12.075662789561434</v>
      </c>
      <c r="L795" s="69">
        <f t="shared" si="67"/>
        <v>4.0252209298538117</v>
      </c>
      <c r="M795" s="69">
        <f>IF((((0.065*F795^0.726)/3.7-(0.301*F795^0.751)/(1-H795)*H795)*(MAX('Max rate concentrations'!$P$3:$P$368)))/F795&gt;0, (((0.065*F795^0.726)/3.7-(0.301*F795^0.751)/(1-H795)*H795)*(MAX('Max rate concentrations'!$P$3:$P$368)))/F795, 0)</f>
        <v>0</v>
      </c>
      <c r="N795" s="69">
        <f>IF((((0.065*F795^0.726)/3.7-(0.301*F795^0.751)/(1-H795)*H795)*(MAX('Max rate concentrations'!$Q$3:$Q$368)))/F795&gt;0, (((0.065*F795^0.726)/3.7-(0.301*F795^0.751)/(1-H795)*H795)*(MAX('Max rate concentrations'!$Q$3:$Q$368)))/F795, 0)</f>
        <v>0</v>
      </c>
      <c r="O795" s="69" t="s">
        <v>13</v>
      </c>
      <c r="P795" s="69" t="s">
        <v>13</v>
      </c>
      <c r="Q795" s="69">
        <f>(inputs!$C$18*11.2)*(16.61*F795^0.61)*0.5*1/F795</f>
        <v>44.620637105461874</v>
      </c>
      <c r="R795" s="59">
        <f>(60*76.9*((F795/1000)^0.76)*3*24*(MAX('Max rate concentrations'!$R$3:$R$368))/F795)</f>
        <v>4.3478398690799565E-3</v>
      </c>
      <c r="S795" s="59">
        <f>(IF(inputs!$C$17="aerial",((0.025*0.112*inputs!$C$18/3.3)*(3*60*76.9*((F795/1000)^0.76))*MAX(inputs!$I$14:$I$16))/F795,((0.0083*0.112*inputs!$C$18/1)*(3*60*76.9*((F795/1000)^0.76))*MAX(inputs!$I$14:$I$16))/F795))</f>
        <v>1.8358618688959497E-2</v>
      </c>
      <c r="T795" s="63">
        <f>IF((((inputs!$P$13/(V795/MAX(K795:S795)))^(1/inputs!$O$13))-1)/inputs!$N$13&lt;0, 0, IF((((inputs!$P$13/(V795/MAX(K795:S795)))^(1/inputs!$O$13))-1)/inputs!$N$13&lt;inputs!$I$17, (((inputs!$P$13/(V795/MAX(K795:S795)))^(1/inputs!$O$13))-1)/inputs!$N$13, inputs!$I$17))</f>
        <v>1000</v>
      </c>
      <c r="U795" s="63">
        <f>IF((((inputs!$P$13/(X795/MAX(K795:S795)))^(1/inputs!$O$13))-1)/inputs!$N$13&lt;0, 0, IF((((inputs!$P$13/(X795/MAX(K795:S795)))^(1/inputs!$O$13))-1)/inputs!$N$13&lt;inputs!$I$17, (((inputs!$P$13/(X795/MAX(K795:S795)))^(1/inputs!$O$13))-1)/inputs!$N$13, inputs!$I$17))</f>
        <v>883.56123699707996</v>
      </c>
      <c r="V795" s="21">
        <f>inputs!$E$87*(F795/inputs!$F$87)^(1)</f>
        <v>2.0900000000000002E-2</v>
      </c>
      <c r="W795" s="21">
        <f>inputs!$E$90*(F795/inputs!$F$90)^(1)</f>
        <v>2.1999999999999999E-2</v>
      </c>
      <c r="X795" s="21">
        <f>inputs!$E$89*(F795/inputs!$F$89)^(1)</f>
        <v>8.2151898734177206E-2</v>
      </c>
      <c r="Y795" s="21" t="s">
        <v>13</v>
      </c>
      <c r="Z795" s="63">
        <f t="shared" si="63"/>
        <v>2134.958713179994</v>
      </c>
      <c r="AA795" s="63">
        <f t="shared" si="64"/>
        <v>2028.2107775209945</v>
      </c>
    </row>
    <row r="796" spans="1:27" ht="13.2" x14ac:dyDescent="0.25">
      <c r="A796" s="103" t="s">
        <v>381</v>
      </c>
      <c r="B796" s="20" t="s">
        <v>382</v>
      </c>
      <c r="C796" s="21" t="s">
        <v>79</v>
      </c>
      <c r="D796" s="105" t="s">
        <v>383</v>
      </c>
      <c r="E796" s="15">
        <v>182</v>
      </c>
      <c r="F796" s="15">
        <v>110</v>
      </c>
      <c r="G796" s="21" t="s">
        <v>145</v>
      </c>
      <c r="H796" s="20">
        <v>0.66</v>
      </c>
      <c r="I796" s="68">
        <f>MAX('Max rate concentrations'!$M$3:$M$368)</f>
        <v>17.092910873809167</v>
      </c>
      <c r="J796" s="68">
        <f>MAX('Max rate concentrations'!AE:AE)</f>
        <v>11.81956602976166</v>
      </c>
      <c r="K796" s="69">
        <f t="shared" si="66"/>
        <v>0.22484556405680547</v>
      </c>
      <c r="L796" s="69">
        <f t="shared" si="67"/>
        <v>0.15547831557119532</v>
      </c>
      <c r="M796" s="69">
        <f>IF((((0.065*F796^0.726)/3.7-(0.301*F796^0.751)/(1-H796)*H796)*(MAX('Max rate concentrations'!$P$3:$P$368)))/F796&gt;0, (((0.065*F796^0.726)/3.7-(0.301*F796^0.751)/(1-H796)*H796)*(MAX('Max rate concentrations'!$P$3:$P$368)))/F796, 0)</f>
        <v>0</v>
      </c>
      <c r="N796" s="69">
        <f>IF((((0.065*F796^0.726)/3.7-(0.301*F796^0.751)/(1-H796)*H796)*(MAX('Max rate concentrations'!$Q$3:$Q$368)))/F796&gt;0, (((0.065*F796^0.726)/3.7-(0.301*F796^0.751)/(1-H796)*H796)*(MAX('Max rate concentrations'!$Q$3:$Q$368)))/F796, 0)</f>
        <v>0</v>
      </c>
      <c r="O796" s="69" t="s">
        <v>13</v>
      </c>
      <c r="P796" s="69" t="s">
        <v>13</v>
      </c>
      <c r="Q796" s="69">
        <f>(inputs!$C$18*11.2)*(16.61*F796^0.61)*0.5*1/F796</f>
        <v>44.620637105461874</v>
      </c>
      <c r="R796" s="59">
        <f>(60*76.9*((F796/1000)^0.76)*3*24*(MAX('Max rate concentrations'!$R$3:$R$368))/F796)</f>
        <v>4.3478398690799565E-3</v>
      </c>
      <c r="S796" s="59">
        <f>(IF(inputs!$C$17="aerial",((0.025*0.112*inputs!$C$18/3.3)*(3*60*76.9*((F796/1000)^0.76))*MAX(inputs!$I$14:$I$16))/F796,((0.0083*0.112*inputs!$C$18/1)*(3*60*76.9*((F796/1000)^0.76))*MAX(inputs!$I$14:$I$16))/F796))</f>
        <v>1.8358618688959497E-2</v>
      </c>
      <c r="T796" s="63">
        <f>IF((((inputs!$P$13/(V796/MAX(K796:S796)))^(1/inputs!$O$13))-1)/inputs!$N$13&lt;0, 0, IF((((inputs!$P$13/(V796/MAX(K796:S796)))^(1/inputs!$O$13))-1)/inputs!$N$13&lt;inputs!$I$17, (((inputs!$P$13/(V796/MAX(K796:S796)))^(1/inputs!$O$13))-1)/inputs!$N$13, inputs!$I$17))</f>
        <v>1000</v>
      </c>
      <c r="U796" s="63">
        <f>IF((((inputs!$P$13/(X796/MAX(K796:S796)))^(1/inputs!$O$13))-1)/inputs!$N$13&lt;0, 0, IF((((inputs!$P$13/(X796/MAX(K796:S796)))^(1/inputs!$O$13))-1)/inputs!$N$13&lt;inputs!$I$17, (((inputs!$P$13/(X796/MAX(K796:S796)))^(1/inputs!$O$13))-1)/inputs!$N$13, inputs!$I$17))</f>
        <v>883.56123699707996</v>
      </c>
      <c r="V796" s="21">
        <f>inputs!$E$87*(F796/inputs!$F$87)^(1)</f>
        <v>2.0900000000000002E-2</v>
      </c>
      <c r="W796" s="21">
        <f>inputs!$E$90*(F796/inputs!$F$90)^(1)</f>
        <v>2.1999999999999999E-2</v>
      </c>
      <c r="X796" s="21">
        <f>inputs!$E$89*(F796/inputs!$F$89)^(1)</f>
        <v>8.2151898734177206E-2</v>
      </c>
      <c r="Y796" s="21" t="s">
        <v>13</v>
      </c>
      <c r="Z796" s="63">
        <f t="shared" si="63"/>
        <v>2134.958713179994</v>
      </c>
      <c r="AA796" s="63">
        <f t="shared" si="64"/>
        <v>2028.2107775209945</v>
      </c>
    </row>
    <row r="797" spans="1:27" ht="13.2" x14ac:dyDescent="0.25">
      <c r="A797" s="103" t="s">
        <v>381</v>
      </c>
      <c r="B797" s="20" t="s">
        <v>382</v>
      </c>
      <c r="C797" s="21" t="s">
        <v>79</v>
      </c>
      <c r="D797" s="105" t="s">
        <v>383</v>
      </c>
      <c r="E797" s="15">
        <v>182</v>
      </c>
      <c r="F797" s="15">
        <v>110</v>
      </c>
      <c r="G797" s="21" t="s">
        <v>146</v>
      </c>
      <c r="H797" s="20">
        <v>0.84</v>
      </c>
      <c r="I797" s="68">
        <f>MAX('Max rate concentrations'!$I$3:$I$368)</f>
        <v>56.865414300472793</v>
      </c>
      <c r="J797" s="68" t="s">
        <v>13</v>
      </c>
      <c r="K797" s="69">
        <f t="shared" si="66"/>
        <v>1.5895545543546619</v>
      </c>
      <c r="L797" s="69" t="s">
        <v>13</v>
      </c>
      <c r="M797" s="69">
        <f>IF((((0.065*F797^0.726)/3.7-(0.301*F797^0.751)/(1-H797)*H797)*(MAX('Max rate concentrations'!$P$3:$P$368)))/F797&gt;0, (((0.065*F797^0.726)/3.7-(0.301*F797^0.751)/(1-H797)*H797)*(MAX('Max rate concentrations'!$P$3:$P$368)))/F797, 0)</f>
        <v>0</v>
      </c>
      <c r="N797" s="69">
        <f>IF((((0.065*F797^0.726)/3.7-(0.301*F797^0.751)/(1-H797)*H797)*(MAX('Max rate concentrations'!$Q$3:$Q$368)))/F797&gt;0, (((0.065*F797^0.726)/3.7-(0.301*F797^0.751)/(1-H797)*H797)*(MAX('Max rate concentrations'!$Q$3:$Q$368)))/F797, 0)</f>
        <v>0</v>
      </c>
      <c r="O797" s="69" t="s">
        <v>13</v>
      </c>
      <c r="P797" s="69" t="s">
        <v>13</v>
      </c>
      <c r="Q797" s="69">
        <f>(inputs!$C$18*11.2)*(16.61*F797^0.61)*0.5*1/F797</f>
        <v>44.620637105461874</v>
      </c>
      <c r="R797" s="59">
        <f>(60*76.9*((F797/1000)^0.76)*3*24*(MAX('Max rate concentrations'!$R$3:$R$368))/F797)</f>
        <v>4.3478398690799565E-3</v>
      </c>
      <c r="S797" s="59">
        <f>(IF(inputs!$C$17="aerial",((0.025*0.112*inputs!$C$18/3.3)*(3*60*76.9*((F797/1000)^0.76))*MAX(inputs!$I$14:$I$16))/F797,((0.0083*0.112*inputs!$C$18/1)*(3*60*76.9*((F797/1000)^0.76))*MAX(inputs!$I$14:$I$16))/F797))</f>
        <v>1.8358618688959497E-2</v>
      </c>
      <c r="T797" s="63">
        <f>IF((((inputs!$P$13/(V797/MAX(K797:S797)))^(1/inputs!$O$13))-1)/inputs!$N$13&lt;0, 0, IF((((inputs!$P$13/(V797/MAX(K797:S797)))^(1/inputs!$O$13))-1)/inputs!$N$13&lt;inputs!$I$17, (((inputs!$P$13/(V797/MAX(K797:S797)))^(1/inputs!$O$13))-1)/inputs!$N$13, inputs!$I$17))</f>
        <v>1000</v>
      </c>
      <c r="U797" s="63">
        <f>IF((((inputs!$P$13/(X797/MAX(K797:S797)))^(1/inputs!$O$13))-1)/inputs!$N$13&lt;0, 0, IF((((inputs!$P$13/(X797/MAX(K797:S797)))^(1/inputs!$O$13))-1)/inputs!$N$13&lt;inputs!$I$17, (((inputs!$P$13/(X797/MAX(K797:S797)))^(1/inputs!$O$13))-1)/inputs!$N$13, inputs!$I$17))</f>
        <v>883.56123699707996</v>
      </c>
      <c r="V797" s="21">
        <f>inputs!$E$87*(F797/inputs!$F$87)^(1)</f>
        <v>2.0900000000000002E-2</v>
      </c>
      <c r="W797" s="21">
        <f>inputs!$E$90*(F797/inputs!$F$90)^(1)</f>
        <v>2.1999999999999999E-2</v>
      </c>
      <c r="X797" s="21">
        <f>inputs!$E$89*(F797/inputs!$F$89)^(1)</f>
        <v>8.2151898734177206E-2</v>
      </c>
      <c r="Y797" s="21" t="s">
        <v>13</v>
      </c>
      <c r="Z797" s="63">
        <f t="shared" si="63"/>
        <v>2134.958713179994</v>
      </c>
      <c r="AA797" s="63">
        <f t="shared" si="64"/>
        <v>2028.2107775209945</v>
      </c>
    </row>
    <row r="798" spans="1:27" ht="26.4" x14ac:dyDescent="0.25">
      <c r="A798" s="103" t="s">
        <v>403</v>
      </c>
      <c r="B798" s="20" t="s">
        <v>404</v>
      </c>
      <c r="C798" s="21" t="s">
        <v>79</v>
      </c>
      <c r="D798" s="105" t="s">
        <v>383</v>
      </c>
      <c r="E798" s="15">
        <v>185</v>
      </c>
      <c r="F798" s="15">
        <v>3600</v>
      </c>
      <c r="G798" s="21" t="s">
        <v>169</v>
      </c>
      <c r="H798" s="20">
        <v>0.79</v>
      </c>
      <c r="I798" s="68">
        <f>MAX('Max rate concentrations'!$D$3:$D$368)</f>
        <v>720</v>
      </c>
      <c r="J798" s="68">
        <f>MAX('Max rate concentrations'!W:W)</f>
        <v>255</v>
      </c>
      <c r="K798" s="69">
        <f t="shared" si="66"/>
        <v>6.9466574921286339</v>
      </c>
      <c r="L798" s="69">
        <f t="shared" ref="L798:L812" si="68">(((0.013*F798^0.773)/(1-H798)))*J798/F798</f>
        <v>2.4602745284622243</v>
      </c>
      <c r="M798" s="69">
        <f>IF((((0.065*F798^0.726)/3.7-(0.301*F798^0.751)/(1-H798)*H798)*(MAX('Max rate concentrations'!$P$3:$P$368)))/F798&gt;0, (((0.065*F798^0.726)/3.7-(0.301*F798^0.751)/(1-H798)*H798)*(MAX('Max rate concentrations'!$P$3:$P$368)))/F798, 0)</f>
        <v>0</v>
      </c>
      <c r="N798" s="69">
        <f>IF((((0.065*F798^0.726)/3.7-(0.301*F798^0.751)/(1-H798)*H798)*(MAX('Max rate concentrations'!$Q$3:$Q$368)))/F798&gt;0, (((0.065*F798^0.726)/3.7-(0.301*F798^0.751)/(1-H798)*H798)*(MAX('Max rate concentrations'!$Q$3:$Q$368)))/F798, 0)</f>
        <v>0</v>
      </c>
      <c r="O798" s="69" t="s">
        <v>13</v>
      </c>
      <c r="P798" s="69" t="s">
        <v>13</v>
      </c>
      <c r="Q798" s="69">
        <f>(inputs!$C$18*11.2)*(16.61*F798^0.61)*0.5*1/F798</f>
        <v>11.447771148147446</v>
      </c>
      <c r="R798" s="59">
        <f>(60*76.9*((F798/1000)^0.76)*3*24*(MAX('Max rate concentrations'!$R$3:$R$368))/F798)</f>
        <v>1.8823274902847534E-3</v>
      </c>
      <c r="S798" s="59">
        <f>(IF(inputs!$C$17="aerial",((0.025*0.112*inputs!$C$18/3.3)*(3*60*76.9*((F798/1000)^0.76))*MAX(inputs!$I$14:$I$16))/F798,((0.0083*0.112*inputs!$C$18/1)*(3*60*76.9*((F798/1000)^0.76))*MAX(inputs!$I$14:$I$16))/F798))</f>
        <v>7.9480693131406596E-3</v>
      </c>
      <c r="T798" s="63">
        <f>IF((((inputs!$P$13/(V798/MAX(K798:S798)))^(1/inputs!$O$13))-1)/inputs!$N$13&lt;0, 0, IF((((inputs!$P$13/(V798/MAX(K798:S798)))^(1/inputs!$O$13))-1)/inputs!$N$13&lt;inputs!$I$17, (((inputs!$P$13/(V798/MAX(K798:S798)))^(1/inputs!$O$13))-1)/inputs!$N$13, inputs!$I$17))</f>
        <v>48.068640862101361</v>
      </c>
      <c r="U798" s="63">
        <f>IF((((inputs!$P$13/(X798/MAX(K798:S798)))^(1/inputs!$O$13))-1)/inputs!$N$13&lt;0, 0, IF((((inputs!$P$13/(X798/MAX(K798:S798)))^(1/inputs!$O$13))-1)/inputs!$N$13&lt;inputs!$I$17, (((inputs!$P$13/(X798/MAX(K798:S798)))^(1/inputs!$O$13))-1)/inputs!$N$13, inputs!$I$17))</f>
        <v>12.390924379462325</v>
      </c>
      <c r="V798" s="21">
        <f>inputs!$E$87*(F798/inputs!$F$87)^(1)</f>
        <v>0.68399999999999994</v>
      </c>
      <c r="W798" s="21">
        <f>inputs!$E$90*(F798/inputs!$F$90)^(1)</f>
        <v>0.72000000000000008</v>
      </c>
      <c r="X798" s="21">
        <f>inputs!$E$89*(F798/inputs!$F$89)^(1)</f>
        <v>2.688607594936709</v>
      </c>
      <c r="Y798" s="21" t="s">
        <v>13</v>
      </c>
      <c r="Z798" s="63">
        <f t="shared" si="63"/>
        <v>16.736507526531355</v>
      </c>
      <c r="AA798" s="63">
        <f t="shared" si="64"/>
        <v>15.899682150204784</v>
      </c>
    </row>
    <row r="799" spans="1:27" ht="26.4" x14ac:dyDescent="0.25">
      <c r="A799" s="103" t="s">
        <v>403</v>
      </c>
      <c r="B799" s="20" t="s">
        <v>404</v>
      </c>
      <c r="C799" s="21" t="s">
        <v>79</v>
      </c>
      <c r="D799" s="105" t="s">
        <v>383</v>
      </c>
      <c r="E799" s="15">
        <v>185</v>
      </c>
      <c r="F799" s="15">
        <v>3600</v>
      </c>
      <c r="G799" s="21" t="s">
        <v>158</v>
      </c>
      <c r="H799" s="20">
        <v>0.85</v>
      </c>
      <c r="I799" s="68">
        <f>MAX('Max rate concentrations'!$F$3:$F$368)</f>
        <v>405</v>
      </c>
      <c r="J799" s="68">
        <f>MAX('Max rate concentrations'!Y:Y)</f>
        <v>135</v>
      </c>
      <c r="K799" s="69">
        <f t="shared" si="66"/>
        <v>5.4704927750512971</v>
      </c>
      <c r="L799" s="69">
        <f t="shared" si="68"/>
        <v>1.8234975916837657</v>
      </c>
      <c r="M799" s="69">
        <f>IF((((0.065*F799^0.726)/3.7-(0.301*F799^0.751)/(1-H799)*H799)*(MAX('Max rate concentrations'!$P$3:$P$368)))/F799&gt;0, (((0.065*F799^0.726)/3.7-(0.301*F799^0.751)/(1-H799)*H799)*(MAX('Max rate concentrations'!$P$3:$P$368)))/F799, 0)</f>
        <v>0</v>
      </c>
      <c r="N799" s="69">
        <f>IF((((0.065*F799^0.726)/3.7-(0.301*F799^0.751)/(1-H799)*H799)*(MAX('Max rate concentrations'!$Q$3:$Q$368)))/F799&gt;0, (((0.065*F799^0.726)/3.7-(0.301*F799^0.751)/(1-H799)*H799)*(MAX('Max rate concentrations'!$Q$3:$Q$368)))/F799, 0)</f>
        <v>0</v>
      </c>
      <c r="O799" s="69" t="s">
        <v>13</v>
      </c>
      <c r="P799" s="69" t="s">
        <v>13</v>
      </c>
      <c r="Q799" s="69">
        <f>(inputs!$C$18*11.2)*(16.61*F799^0.61)*0.5*1/F799</f>
        <v>11.447771148147446</v>
      </c>
      <c r="R799" s="59">
        <f>(60*76.9*((F799/1000)^0.76)*3*24*(MAX('Max rate concentrations'!$R$3:$R$368))/F799)</f>
        <v>1.8823274902847534E-3</v>
      </c>
      <c r="S799" s="59">
        <f>(IF(inputs!$C$17="aerial",((0.025*0.112*inputs!$C$18/3.3)*(3*60*76.9*((F799/1000)^0.76))*MAX(inputs!$I$14:$I$16))/F799,((0.0083*0.112*inputs!$C$18/1)*(3*60*76.9*((F799/1000)^0.76))*MAX(inputs!$I$14:$I$16))/F799))</f>
        <v>7.9480693131406596E-3</v>
      </c>
      <c r="T799" s="63">
        <f>IF((((inputs!$P$13/(V799/MAX(K799:S799)))^(1/inputs!$O$13))-1)/inputs!$N$13&lt;0, 0, IF((((inputs!$P$13/(V799/MAX(K799:S799)))^(1/inputs!$O$13))-1)/inputs!$N$13&lt;inputs!$I$17, (((inputs!$P$13/(V799/MAX(K799:S799)))^(1/inputs!$O$13))-1)/inputs!$N$13, inputs!$I$17))</f>
        <v>48.068640862101361</v>
      </c>
      <c r="U799" s="63">
        <f>IF((((inputs!$P$13/(X799/MAX(K799:S799)))^(1/inputs!$O$13))-1)/inputs!$N$13&lt;0, 0, IF((((inputs!$P$13/(X799/MAX(K799:S799)))^(1/inputs!$O$13))-1)/inputs!$N$13&lt;inputs!$I$17, (((inputs!$P$13/(X799/MAX(K799:S799)))^(1/inputs!$O$13))-1)/inputs!$N$13, inputs!$I$17))</f>
        <v>12.390924379462325</v>
      </c>
      <c r="V799" s="21">
        <f>inputs!$E$87*(F799/inputs!$F$87)^(1)</f>
        <v>0.68399999999999994</v>
      </c>
      <c r="W799" s="21">
        <f>inputs!$E$90*(F799/inputs!$F$90)^(1)</f>
        <v>0.72000000000000008</v>
      </c>
      <c r="X799" s="21">
        <f>inputs!$E$89*(F799/inputs!$F$89)^(1)</f>
        <v>2.688607594936709</v>
      </c>
      <c r="Y799" s="21" t="s">
        <v>13</v>
      </c>
      <c r="Z799" s="63">
        <f t="shared" si="63"/>
        <v>16.736507526531355</v>
      </c>
      <c r="AA799" s="63">
        <f t="shared" si="64"/>
        <v>15.899682150204784</v>
      </c>
    </row>
    <row r="800" spans="1:27" ht="13.2" x14ac:dyDescent="0.25">
      <c r="A800" s="114" t="s">
        <v>640</v>
      </c>
      <c r="B800" s="20" t="s">
        <v>639</v>
      </c>
      <c r="C800" s="21" t="s">
        <v>79</v>
      </c>
      <c r="D800" s="105" t="s">
        <v>383</v>
      </c>
      <c r="E800" s="15">
        <v>169</v>
      </c>
      <c r="F800" s="15">
        <v>26</v>
      </c>
      <c r="G800" s="21" t="s">
        <v>164</v>
      </c>
      <c r="H800" s="20">
        <v>0.78</v>
      </c>
      <c r="I800" s="68">
        <f>inputs!$C$66*(inputs!$C$62/1000)</f>
        <v>8.2000000000000011</v>
      </c>
      <c r="J800" s="68">
        <f>inputs!$C$66*(inputs!$C$61/1000)</f>
        <v>2.5</v>
      </c>
      <c r="K800" s="69">
        <f t="shared" si="66"/>
        <v>0.23127866610166264</v>
      </c>
      <c r="L800" s="69">
        <f t="shared" si="68"/>
        <v>7.0511788445628845E-2</v>
      </c>
      <c r="M800" s="69">
        <f>IF((((0.065*F800^0.726)/3.7-(0.301*F800^0.751)/(1-H800)*H800)*(MAX('Max rate concentrations'!$P$3:$P$368)))/F800&gt;0, (((0.065*F800^0.726)/3.7-(0.301*F800^0.751)/(1-H800)*H800)*(MAX('Max rate concentrations'!$P$3:$P$368)))/F800, 0)</f>
        <v>0</v>
      </c>
      <c r="N800" s="69">
        <f>IF((((0.065*F800^0.726)/3.7-(0.301*F800^0.751)/(1-H800)*H800)*(MAX('Max rate concentrations'!$Q$3:$Q$368)))/F800&gt;0, (((0.065*F800^0.726)/3.7-(0.301*F800^0.751)/(1-H800)*H800)*(MAX('Max rate concentrations'!$Q$3:$Q$368)))/F800, 0)</f>
        <v>0</v>
      </c>
      <c r="O800" s="69" t="s">
        <v>13</v>
      </c>
      <c r="P800" s="69" t="s">
        <v>13</v>
      </c>
      <c r="Q800" s="69">
        <f>(inputs!$C$18*11.2)*(16.61*F800^0.61)*0.5*1/F800</f>
        <v>78.313982277767821</v>
      </c>
      <c r="R800" s="59">
        <f>(60*76.9*((F800/1000)^0.76)*3*24*(MAX('Max rate concentrations'!$R$3:$R$368))/F800)</f>
        <v>6.1463060470692216E-3</v>
      </c>
      <c r="S800" s="59">
        <f>(IF(inputs!$C$17="aerial",((0.025*0.112*inputs!$C$18/3.3)*(3*60*76.9*((F800/1000)^0.76))*MAX(inputs!$I$14:$I$16))/F800,((0.0083*0.112*inputs!$C$18/1)*(3*60*76.9*((F800/1000)^0.76))*MAX(inputs!$I$14:$I$16))/F800))</f>
        <v>2.5952586217869909E-2</v>
      </c>
      <c r="T800" s="63">
        <f>IF((((inputs!$P$13/(V800/MAX(K800:S800)))^(1/inputs!$O$13))-1)/inputs!$N$13&lt;0, 0, IF((((inputs!$P$13/(V800/MAX(K800:S800)))^(1/inputs!$O$13))-1)/inputs!$N$13&lt;inputs!$I$17, (((inputs!$P$13/(V800/MAX(K800:S800)))^(1/inputs!$O$13))-1)/inputs!$N$13, inputs!$I$17))</f>
        <v>1000</v>
      </c>
      <c r="U800" s="63">
        <f>IF((((inputs!$P$13/(X800/MAX(K800:S800)))^(1/inputs!$O$13))-1)/inputs!$N$13&lt;0, 0, IF((((inputs!$P$13/(X800/MAX(K800:S800)))^(1/inputs!$O$13))-1)/inputs!$N$13&lt;inputs!$I$17, (((inputs!$P$13/(X800/MAX(K800:S800)))^(1/inputs!$O$13))-1)/inputs!$N$13, inputs!$I$17))</f>
        <v>1000</v>
      </c>
      <c r="V800" s="21">
        <f>inputs!$E$87*(F800/inputs!$F$87)^(1)</f>
        <v>4.9399999999999999E-3</v>
      </c>
      <c r="W800" s="21">
        <f>inputs!$E$90*(F800/inputs!$F$90)^(1)</f>
        <v>5.2000000000000006E-3</v>
      </c>
      <c r="X800" s="21">
        <f>inputs!$E$89*(F800/inputs!$F$89)^(1)</f>
        <v>1.9417721518987342E-2</v>
      </c>
      <c r="Y800" s="21" t="s">
        <v>13</v>
      </c>
      <c r="Z800" s="63">
        <f t="shared" si="63"/>
        <v>15853.032849750571</v>
      </c>
      <c r="AA800" s="63">
        <f t="shared" si="64"/>
        <v>15060.381207263041</v>
      </c>
    </row>
    <row r="801" spans="1:27" ht="13.2" x14ac:dyDescent="0.25">
      <c r="A801" s="114" t="s">
        <v>640</v>
      </c>
      <c r="B801" s="20" t="s">
        <v>639</v>
      </c>
      <c r="C801" s="21" t="s">
        <v>79</v>
      </c>
      <c r="D801" s="105" t="s">
        <v>383</v>
      </c>
      <c r="E801" s="15">
        <v>169</v>
      </c>
      <c r="F801" s="15">
        <v>26</v>
      </c>
      <c r="G801" s="21" t="s">
        <v>195</v>
      </c>
      <c r="H801" s="20">
        <v>0.82</v>
      </c>
      <c r="I801" s="68">
        <f>inputs!$C$66*(inputs!$C$62/1000)</f>
        <v>8.2000000000000011</v>
      </c>
      <c r="J801" s="68">
        <f>inputs!$C$66*(inputs!$C$61/1000)</f>
        <v>2.5</v>
      </c>
      <c r="K801" s="69">
        <f t="shared" si="66"/>
        <v>0.28267392523536533</v>
      </c>
      <c r="L801" s="69">
        <f t="shared" si="68"/>
        <v>8.6181074766879667E-2</v>
      </c>
      <c r="M801" s="69">
        <f>IF((((0.065*F801^0.726)/3.7-(0.301*F801^0.751)/(1-H801)*H801)*(MAX('Max rate concentrations'!$P$3:$P$368)))/F801&gt;0, (((0.065*F801^0.726)/3.7-(0.301*F801^0.751)/(1-H801)*H801)*(MAX('Max rate concentrations'!$P$3:$P$368)))/F801, 0)</f>
        <v>0</v>
      </c>
      <c r="N801" s="69">
        <f>IF((((0.065*F801^0.726)/3.7-(0.301*F801^0.751)/(1-H801)*H801)*(MAX('Max rate concentrations'!$Q$3:$Q$368)))/F801&gt;0, (((0.065*F801^0.726)/3.7-(0.301*F801^0.751)/(1-H801)*H801)*(MAX('Max rate concentrations'!$Q$3:$Q$368)))/F801, 0)</f>
        <v>0</v>
      </c>
      <c r="O801" s="69" t="s">
        <v>13</v>
      </c>
      <c r="P801" s="69" t="s">
        <v>13</v>
      </c>
      <c r="Q801" s="69">
        <f>(inputs!$C$18*11.2)*(16.61*F801^0.61)*0.5*1/F801</f>
        <v>78.313982277767821</v>
      </c>
      <c r="R801" s="59">
        <f>(60*76.9*((F801/1000)^0.76)*3*24*(MAX('Max rate concentrations'!$R$3:$R$368))/F801)</f>
        <v>6.1463060470692216E-3</v>
      </c>
      <c r="S801" s="59">
        <f>(IF(inputs!$C$17="aerial",((0.025*0.112*inputs!$C$18/3.3)*(3*60*76.9*((F801/1000)^0.76))*MAX(inputs!$I$14:$I$16))/F801,((0.0083*0.112*inputs!$C$18/1)*(3*60*76.9*((F801/1000)^0.76))*MAX(inputs!$I$14:$I$16))/F801))</f>
        <v>2.5952586217869909E-2</v>
      </c>
      <c r="T801" s="63">
        <f>IF((((inputs!$P$13/(V801/MAX(K801:S801)))^(1/inputs!$O$13))-1)/inputs!$N$13&lt;0, 0, IF((((inputs!$P$13/(V801/MAX(K801:S801)))^(1/inputs!$O$13))-1)/inputs!$N$13&lt;inputs!$I$17, (((inputs!$P$13/(V801/MAX(K801:S801)))^(1/inputs!$O$13))-1)/inputs!$N$13, inputs!$I$17))</f>
        <v>1000</v>
      </c>
      <c r="U801" s="63">
        <f>IF((((inputs!$P$13/(X801/MAX(K801:S801)))^(1/inputs!$O$13))-1)/inputs!$N$13&lt;0, 0, IF((((inputs!$P$13/(X801/MAX(K801:S801)))^(1/inputs!$O$13))-1)/inputs!$N$13&lt;inputs!$I$17, (((inputs!$P$13/(X801/MAX(K801:S801)))^(1/inputs!$O$13))-1)/inputs!$N$13, inputs!$I$17))</f>
        <v>1000</v>
      </c>
      <c r="V801" s="21">
        <f>inputs!$E$87*(F801/inputs!$F$87)^(1)</f>
        <v>4.9399999999999999E-3</v>
      </c>
      <c r="W801" s="21">
        <f>inputs!$E$90*(F801/inputs!$F$90)^(1)</f>
        <v>5.2000000000000006E-3</v>
      </c>
      <c r="X801" s="21">
        <f>inputs!$E$89*(F801/inputs!$F$89)^(1)</f>
        <v>1.9417721518987342E-2</v>
      </c>
      <c r="Y801" s="21" t="s">
        <v>13</v>
      </c>
      <c r="Z801" s="63">
        <f t="shared" si="63"/>
        <v>15853.032849750571</v>
      </c>
      <c r="AA801" s="63">
        <f t="shared" si="64"/>
        <v>15060.381207263041</v>
      </c>
    </row>
    <row r="802" spans="1:27" ht="13.2" x14ac:dyDescent="0.25">
      <c r="A802" s="103" t="s">
        <v>407</v>
      </c>
      <c r="B802" s="20" t="s">
        <v>409</v>
      </c>
      <c r="C802" s="21" t="s">
        <v>79</v>
      </c>
      <c r="D802" s="105" t="s">
        <v>383</v>
      </c>
      <c r="E802" s="15">
        <v>3532</v>
      </c>
      <c r="F802" s="15">
        <v>4500</v>
      </c>
      <c r="G802" s="21" t="s">
        <v>152</v>
      </c>
      <c r="H802" s="20">
        <v>0.77</v>
      </c>
      <c r="I802" s="68">
        <f>MAX('Max rate concentrations'!$G$3:$G$368)</f>
        <v>45</v>
      </c>
      <c r="J802" s="68">
        <f>MAX('Max rate concentrations'!Z:Z)</f>
        <v>21</v>
      </c>
      <c r="K802" s="69">
        <f t="shared" si="66"/>
        <v>0.3768328799442161</v>
      </c>
      <c r="L802" s="69">
        <f t="shared" si="68"/>
        <v>0.17585534397396752</v>
      </c>
      <c r="M802" s="69">
        <f>IF((((0.065*F802^0.726)/3.7-(0.301*F802^0.751)/(1-H802)*H802)*(MAX('Max rate concentrations'!$P$3:$P$368)))/F802&gt;0, (((0.065*F802^0.726)/3.7-(0.301*F802^0.751)/(1-H802)*H802)*(MAX('Max rate concentrations'!$P$3:$P$368)))/F802, 0)</f>
        <v>0</v>
      </c>
      <c r="N802" s="69">
        <f>IF((((0.065*F802^0.726)/3.7-(0.301*F802^0.751)/(1-H802)*H802)*(MAX('Max rate concentrations'!$Q$3:$Q$368)))/F802&gt;0, (((0.065*F802^0.726)/3.7-(0.301*F802^0.751)/(1-H802)*H802)*(MAX('Max rate concentrations'!$Q$3:$Q$368)))/F802, 0)</f>
        <v>0</v>
      </c>
      <c r="O802" s="69" t="s">
        <v>13</v>
      </c>
      <c r="P802" s="69" t="s">
        <v>13</v>
      </c>
      <c r="Q802" s="69">
        <f>(inputs!$C$18*11.2)*(16.61*F802^0.61)*0.5*1/F802</f>
        <v>10.493636926726861</v>
      </c>
      <c r="R802" s="59">
        <f>(60*76.9*((F802/1000)^0.76)*3*24*(MAX('Max rate concentrations'!$R$3:$R$368))/F802)</f>
        <v>1.7841722560001346E-3</v>
      </c>
      <c r="S802" s="59">
        <f>(IF(inputs!$C$17="aerial",((0.025*0.112*inputs!$C$18/3.3)*(3*60*76.9*((F802/1000)^0.76))*MAX(inputs!$I$14:$I$16))/F802,((0.0083*0.112*inputs!$C$18/1)*(3*60*76.9*((F802/1000)^0.76))*MAX(inputs!$I$14:$I$16))/F802))</f>
        <v>7.5336118876563754E-3</v>
      </c>
      <c r="T802" s="63">
        <f>IF((((inputs!$P$13/(V802/MAX(K802:S802)))^(1/inputs!$O$13))-1)/inputs!$N$13&lt;0, 0, IF((((inputs!$P$13/(V802/MAX(K802:S802)))^(1/inputs!$O$13))-1)/inputs!$N$13&lt;inputs!$I$17, (((inputs!$P$13/(V802/MAX(K802:S802)))^(1/inputs!$O$13))-1)/inputs!$N$13, inputs!$I$17))</f>
        <v>36.245393174882516</v>
      </c>
      <c r="U802" s="63">
        <f>IF((((inputs!$P$13/(X802/MAX(K802:S802)))^(1/inputs!$O$13))-1)/inputs!$N$13&lt;0, 0, IF((((inputs!$P$13/(X802/MAX(K802:S802)))^(1/inputs!$O$13))-1)/inputs!$N$13&lt;inputs!$I$17, (((inputs!$P$13/(X802/MAX(K802:S802)))^(1/inputs!$O$13))-1)/inputs!$N$13, inputs!$I$17))</f>
        <v>8.482458711519282</v>
      </c>
      <c r="V802" s="21">
        <f>inputs!$E$87*(F802/inputs!$F$87)^(1)</f>
        <v>0.85499999999999998</v>
      </c>
      <c r="W802" s="21">
        <f>inputs!$E$90*(F802/inputs!$F$90)^(1)</f>
        <v>0.9</v>
      </c>
      <c r="X802" s="21">
        <f>inputs!$E$89*(F802/inputs!$F$89)^(1)</f>
        <v>3.3607594936708858</v>
      </c>
      <c r="Y802" s="21" t="s">
        <v>13</v>
      </c>
      <c r="Z802" s="63">
        <f t="shared" si="63"/>
        <v>12.273259563423229</v>
      </c>
      <c r="AA802" s="63">
        <f t="shared" si="64"/>
        <v>11.659596585252068</v>
      </c>
    </row>
    <row r="803" spans="1:27" ht="13.2" x14ac:dyDescent="0.25">
      <c r="A803" s="103" t="s">
        <v>407</v>
      </c>
      <c r="B803" s="20" t="s">
        <v>409</v>
      </c>
      <c r="C803" s="21" t="s">
        <v>79</v>
      </c>
      <c r="D803" s="105" t="s">
        <v>383</v>
      </c>
      <c r="E803" s="15">
        <v>3532</v>
      </c>
      <c r="F803" s="15">
        <v>4500</v>
      </c>
      <c r="G803" s="21" t="s">
        <v>169</v>
      </c>
      <c r="H803" s="20">
        <v>0.79</v>
      </c>
      <c r="I803" s="68">
        <f>MAX('Max rate concentrations'!$D$3:$D$368)</f>
        <v>720</v>
      </c>
      <c r="J803" s="68">
        <f>MAX('Max rate concentrations'!W:W)</f>
        <v>255</v>
      </c>
      <c r="K803" s="69">
        <f t="shared" si="66"/>
        <v>6.6035476104510256</v>
      </c>
      <c r="L803" s="69">
        <f t="shared" si="68"/>
        <v>2.3387564453680714</v>
      </c>
      <c r="M803" s="69">
        <f>IF((((0.065*F803^0.726)/3.7-(0.301*F803^0.751)/(1-H803)*H803)*(MAX('Max rate concentrations'!$P$3:$P$368)))/F803&gt;0, (((0.065*F803^0.726)/3.7-(0.301*F803^0.751)/(1-H803)*H803)*(MAX('Max rate concentrations'!$P$3:$P$368)))/F803, 0)</f>
        <v>0</v>
      </c>
      <c r="N803" s="69">
        <f>IF((((0.065*F803^0.726)/3.7-(0.301*F803^0.751)/(1-H803)*H803)*(MAX('Max rate concentrations'!$Q$3:$Q$368)))/F803&gt;0, (((0.065*F803^0.726)/3.7-(0.301*F803^0.751)/(1-H803)*H803)*(MAX('Max rate concentrations'!$Q$3:$Q$368)))/F803, 0)</f>
        <v>0</v>
      </c>
      <c r="O803" s="69" t="s">
        <v>13</v>
      </c>
      <c r="P803" s="69" t="s">
        <v>13</v>
      </c>
      <c r="Q803" s="69">
        <f>(inputs!$C$18*11.2)*(16.61*F803^0.61)*0.5*1/F803</f>
        <v>10.493636926726861</v>
      </c>
      <c r="R803" s="59">
        <f>(60*76.9*((F803/1000)^0.76)*3*24*(MAX('Max rate concentrations'!$R$3:$R$368))/F803)</f>
        <v>1.7841722560001346E-3</v>
      </c>
      <c r="S803" s="59">
        <f>(IF(inputs!$C$17="aerial",((0.025*0.112*inputs!$C$18/3.3)*(3*60*76.9*((F803/1000)^0.76))*MAX(inputs!$I$14:$I$16))/F803,((0.0083*0.112*inputs!$C$18/1)*(3*60*76.9*((F803/1000)^0.76))*MAX(inputs!$I$14:$I$16))/F803))</f>
        <v>7.5336118876563754E-3</v>
      </c>
      <c r="T803" s="63">
        <f>IF((((inputs!$P$13/(V803/MAX(K803:S803)))^(1/inputs!$O$13))-1)/inputs!$N$13&lt;0, 0, IF((((inputs!$P$13/(V803/MAX(K803:S803)))^(1/inputs!$O$13))-1)/inputs!$N$13&lt;inputs!$I$17, (((inputs!$P$13/(V803/MAX(K803:S803)))^(1/inputs!$O$13))-1)/inputs!$N$13, inputs!$I$17))</f>
        <v>36.245393174882516</v>
      </c>
      <c r="U803" s="63">
        <f>IF((((inputs!$P$13/(X803/MAX(K803:S803)))^(1/inputs!$O$13))-1)/inputs!$N$13&lt;0, 0, IF((((inputs!$P$13/(X803/MAX(K803:S803)))^(1/inputs!$O$13))-1)/inputs!$N$13&lt;inputs!$I$17, (((inputs!$P$13/(X803/MAX(K803:S803)))^(1/inputs!$O$13))-1)/inputs!$N$13, inputs!$I$17))</f>
        <v>8.482458711519282</v>
      </c>
      <c r="V803" s="21">
        <f>inputs!$E$87*(F803/inputs!$F$87)^(1)</f>
        <v>0.85499999999999998</v>
      </c>
      <c r="W803" s="21">
        <f>inputs!$E$90*(F803/inputs!$F$90)^(1)</f>
        <v>0.9</v>
      </c>
      <c r="X803" s="21">
        <f>inputs!$E$89*(F803/inputs!$F$89)^(1)</f>
        <v>3.3607594936708858</v>
      </c>
      <c r="Y803" s="21" t="s">
        <v>13</v>
      </c>
      <c r="Z803" s="63">
        <f t="shared" si="63"/>
        <v>12.273259563423229</v>
      </c>
      <c r="AA803" s="63">
        <f t="shared" si="64"/>
        <v>11.659596585252068</v>
      </c>
    </row>
    <row r="804" spans="1:27" ht="13.2" x14ac:dyDescent="0.25">
      <c r="A804" s="103" t="s">
        <v>407</v>
      </c>
      <c r="B804" s="20" t="s">
        <v>409</v>
      </c>
      <c r="C804" s="21" t="s">
        <v>79</v>
      </c>
      <c r="D804" s="105" t="s">
        <v>383</v>
      </c>
      <c r="E804" s="15">
        <v>3532</v>
      </c>
      <c r="F804" s="15">
        <v>4500</v>
      </c>
      <c r="G804" s="21" t="s">
        <v>177</v>
      </c>
      <c r="H804" s="20">
        <v>0.85</v>
      </c>
      <c r="I804" s="68">
        <f>MAX('Max rate concentrations'!$F$3:$F$368)</f>
        <v>405</v>
      </c>
      <c r="J804" s="68">
        <f>MAX('Max rate concentrations'!Y:Y)</f>
        <v>135</v>
      </c>
      <c r="K804" s="69">
        <f t="shared" si="66"/>
        <v>5.2002937432301817</v>
      </c>
      <c r="L804" s="69">
        <f t="shared" si="68"/>
        <v>1.7334312477433937</v>
      </c>
      <c r="M804" s="69">
        <f>IF((((0.065*F804^0.726)/3.7-(0.301*F804^0.751)/(1-H804)*H804)*(MAX('Max rate concentrations'!$P$3:$P$368)))/F804&gt;0, (((0.065*F804^0.726)/3.7-(0.301*F804^0.751)/(1-H804)*H804)*(MAX('Max rate concentrations'!$P$3:$P$368)))/F804, 0)</f>
        <v>0</v>
      </c>
      <c r="N804" s="69">
        <f>IF((((0.065*F804^0.726)/3.7-(0.301*F804^0.751)/(1-H804)*H804)*(MAX('Max rate concentrations'!$Q$3:$Q$368)))/F804&gt;0, (((0.065*F804^0.726)/3.7-(0.301*F804^0.751)/(1-H804)*H804)*(MAX('Max rate concentrations'!$Q$3:$Q$368)))/F804, 0)</f>
        <v>0</v>
      </c>
      <c r="O804" s="69" t="s">
        <v>13</v>
      </c>
      <c r="P804" s="69" t="s">
        <v>13</v>
      </c>
      <c r="Q804" s="69">
        <f>(inputs!$C$18*11.2)*(16.61*F804^0.61)*0.5*1/F804</f>
        <v>10.493636926726861</v>
      </c>
      <c r="R804" s="59">
        <f>(60*76.9*((F804/1000)^0.76)*3*24*(MAX('Max rate concentrations'!$R$3:$R$368))/F804)</f>
        <v>1.7841722560001346E-3</v>
      </c>
      <c r="S804" s="59">
        <f>(IF(inputs!$C$17="aerial",((0.025*0.112*inputs!$C$18/3.3)*(3*60*76.9*((F804/1000)^0.76))*MAX(inputs!$I$14:$I$16))/F804,((0.0083*0.112*inputs!$C$18/1)*(3*60*76.9*((F804/1000)^0.76))*MAX(inputs!$I$14:$I$16))/F804))</f>
        <v>7.5336118876563754E-3</v>
      </c>
      <c r="T804" s="63">
        <f>IF((((inputs!$P$13/(V804/MAX(K804:S804)))^(1/inputs!$O$13))-1)/inputs!$N$13&lt;0, 0, IF((((inputs!$P$13/(V804/MAX(K804:S804)))^(1/inputs!$O$13))-1)/inputs!$N$13&lt;inputs!$I$17, (((inputs!$P$13/(V804/MAX(K804:S804)))^(1/inputs!$O$13))-1)/inputs!$N$13, inputs!$I$17))</f>
        <v>36.245393174882516</v>
      </c>
      <c r="U804" s="63">
        <f>IF((((inputs!$P$13/(X804/MAX(K804:S804)))^(1/inputs!$O$13))-1)/inputs!$N$13&lt;0, 0, IF((((inputs!$P$13/(X804/MAX(K804:S804)))^(1/inputs!$O$13))-1)/inputs!$N$13&lt;inputs!$I$17, (((inputs!$P$13/(X804/MAX(K804:S804)))^(1/inputs!$O$13))-1)/inputs!$N$13, inputs!$I$17))</f>
        <v>8.482458711519282</v>
      </c>
      <c r="V804" s="21">
        <f>inputs!$E$87*(F804/inputs!$F$87)^(1)</f>
        <v>0.85499999999999998</v>
      </c>
      <c r="W804" s="21">
        <f>inputs!$E$90*(F804/inputs!$F$90)^(1)</f>
        <v>0.9</v>
      </c>
      <c r="X804" s="21">
        <f>inputs!$E$89*(F804/inputs!$F$89)^(1)</f>
        <v>3.3607594936708858</v>
      </c>
      <c r="Y804" s="21" t="s">
        <v>13</v>
      </c>
      <c r="Z804" s="63">
        <f t="shared" si="63"/>
        <v>12.273259563423229</v>
      </c>
      <c r="AA804" s="63">
        <f t="shared" si="64"/>
        <v>11.659596585252068</v>
      </c>
    </row>
    <row r="805" spans="1:27" ht="26.4" x14ac:dyDescent="0.25">
      <c r="A805" s="103" t="s">
        <v>407</v>
      </c>
      <c r="B805" s="20" t="s">
        <v>408</v>
      </c>
      <c r="C805" s="21" t="s">
        <v>79</v>
      </c>
      <c r="D805" s="105" t="s">
        <v>383</v>
      </c>
      <c r="E805" s="15">
        <v>181</v>
      </c>
      <c r="F805" s="15">
        <v>4500</v>
      </c>
      <c r="G805" s="21" t="s">
        <v>152</v>
      </c>
      <c r="H805" s="20">
        <v>0.77</v>
      </c>
      <c r="I805" s="68">
        <f>MAX('Max rate concentrations'!$G$3:$G$368)</f>
        <v>45</v>
      </c>
      <c r="J805" s="68">
        <f>MAX('Max rate concentrations'!Z:Z)</f>
        <v>21</v>
      </c>
      <c r="K805" s="69">
        <f t="shared" si="66"/>
        <v>0.3768328799442161</v>
      </c>
      <c r="L805" s="69">
        <f t="shared" si="68"/>
        <v>0.17585534397396752</v>
      </c>
      <c r="M805" s="69">
        <f>IF((((0.065*F805^0.726)/3.7-(0.301*F805^0.751)/(1-H805)*H805)*(MAX('Max rate concentrations'!$P$3:$P$368)))/F805&gt;0, (((0.065*F805^0.726)/3.7-(0.301*F805^0.751)/(1-H805)*H805)*(MAX('Max rate concentrations'!$P$3:$P$368)))/F805, 0)</f>
        <v>0</v>
      </c>
      <c r="N805" s="69">
        <f>IF((((0.065*F805^0.726)/3.7-(0.301*F805^0.751)/(1-H805)*H805)*(MAX('Max rate concentrations'!$Q$3:$Q$368)))/F805&gt;0, (((0.065*F805^0.726)/3.7-(0.301*F805^0.751)/(1-H805)*H805)*(MAX('Max rate concentrations'!$Q$3:$Q$368)))/F805, 0)</f>
        <v>0</v>
      </c>
      <c r="O805" s="69" t="s">
        <v>13</v>
      </c>
      <c r="P805" s="69" t="s">
        <v>13</v>
      </c>
      <c r="Q805" s="69">
        <f>(inputs!$C$18*11.2)*(16.61*F805^0.61)*0.5*1/F805</f>
        <v>10.493636926726861</v>
      </c>
      <c r="R805" s="59">
        <f>(60*76.9*((F805/1000)^0.76)*3*24*(MAX('Max rate concentrations'!$R$3:$R$368))/F805)</f>
        <v>1.7841722560001346E-3</v>
      </c>
      <c r="S805" s="59">
        <f>(IF(inputs!$C$17="aerial",((0.025*0.112*inputs!$C$18/3.3)*(3*60*76.9*((F805/1000)^0.76))*MAX(inputs!$I$14:$I$16))/F805,((0.0083*0.112*inputs!$C$18/1)*(3*60*76.9*((F805/1000)^0.76))*MAX(inputs!$I$14:$I$16))/F805))</f>
        <v>7.5336118876563754E-3</v>
      </c>
      <c r="T805" s="63">
        <f>IF((((inputs!$P$13/(V805/MAX(K805:S805)))^(1/inputs!$O$13))-1)/inputs!$N$13&lt;0, 0, IF((((inputs!$P$13/(V805/MAX(K805:S805)))^(1/inputs!$O$13))-1)/inputs!$N$13&lt;inputs!$I$17, (((inputs!$P$13/(V805/MAX(K805:S805)))^(1/inputs!$O$13))-1)/inputs!$N$13, inputs!$I$17))</f>
        <v>36.245393174882516</v>
      </c>
      <c r="U805" s="63">
        <f>IF((((inputs!$P$13/(X805/MAX(K805:S805)))^(1/inputs!$O$13))-1)/inputs!$N$13&lt;0, 0, IF((((inputs!$P$13/(X805/MAX(K805:S805)))^(1/inputs!$O$13))-1)/inputs!$N$13&lt;inputs!$I$17, (((inputs!$P$13/(X805/MAX(K805:S805)))^(1/inputs!$O$13))-1)/inputs!$N$13, inputs!$I$17))</f>
        <v>8.482458711519282</v>
      </c>
      <c r="V805" s="21">
        <f>inputs!$E$87*(F805/inputs!$F$87)^(1)</f>
        <v>0.85499999999999998</v>
      </c>
      <c r="W805" s="21">
        <f>inputs!$E$90*(F805/inputs!$F$90)^(1)</f>
        <v>0.9</v>
      </c>
      <c r="X805" s="21">
        <f>inputs!$E$89*(F805/inputs!$F$89)^(1)</f>
        <v>3.3607594936708858</v>
      </c>
      <c r="Y805" s="21" t="s">
        <v>13</v>
      </c>
      <c r="Z805" s="63">
        <f t="shared" si="63"/>
        <v>12.273259563423229</v>
      </c>
      <c r="AA805" s="63">
        <f t="shared" si="64"/>
        <v>11.659596585252068</v>
      </c>
    </row>
    <row r="806" spans="1:27" ht="26.4" x14ac:dyDescent="0.25">
      <c r="A806" s="103" t="s">
        <v>407</v>
      </c>
      <c r="B806" s="20" t="s">
        <v>408</v>
      </c>
      <c r="C806" s="21" t="s">
        <v>79</v>
      </c>
      <c r="D806" s="105" t="s">
        <v>383</v>
      </c>
      <c r="E806" s="15">
        <v>181</v>
      </c>
      <c r="F806" s="15">
        <v>4500</v>
      </c>
      <c r="G806" s="21" t="s">
        <v>169</v>
      </c>
      <c r="H806" s="20">
        <v>0.79</v>
      </c>
      <c r="I806" s="68">
        <f>MAX('Max rate concentrations'!$D$3:$D$368)</f>
        <v>720</v>
      </c>
      <c r="J806" s="68">
        <f>MAX('Max rate concentrations'!W:W)</f>
        <v>255</v>
      </c>
      <c r="K806" s="69">
        <f t="shared" si="66"/>
        <v>6.6035476104510256</v>
      </c>
      <c r="L806" s="69">
        <f t="shared" si="68"/>
        <v>2.3387564453680714</v>
      </c>
      <c r="M806" s="69">
        <f>IF((((0.065*F806^0.726)/3.7-(0.301*F806^0.751)/(1-H806)*H806)*(MAX('Max rate concentrations'!$P$3:$P$368)))/F806&gt;0, (((0.065*F806^0.726)/3.7-(0.301*F806^0.751)/(1-H806)*H806)*(MAX('Max rate concentrations'!$P$3:$P$368)))/F806, 0)</f>
        <v>0</v>
      </c>
      <c r="N806" s="69">
        <f>IF((((0.065*F806^0.726)/3.7-(0.301*F806^0.751)/(1-H806)*H806)*(MAX('Max rate concentrations'!$Q$3:$Q$368)))/F806&gt;0, (((0.065*F806^0.726)/3.7-(0.301*F806^0.751)/(1-H806)*H806)*(MAX('Max rate concentrations'!$Q$3:$Q$368)))/F806, 0)</f>
        <v>0</v>
      </c>
      <c r="O806" s="69" t="s">
        <v>13</v>
      </c>
      <c r="P806" s="69" t="s">
        <v>13</v>
      </c>
      <c r="Q806" s="69">
        <f>(inputs!$C$18*11.2)*(16.61*F806^0.61)*0.5*1/F806</f>
        <v>10.493636926726861</v>
      </c>
      <c r="R806" s="59">
        <f>(60*76.9*((F806/1000)^0.76)*3*24*(MAX('Max rate concentrations'!$R$3:$R$368))/F806)</f>
        <v>1.7841722560001346E-3</v>
      </c>
      <c r="S806" s="59">
        <f>(IF(inputs!$C$17="aerial",((0.025*0.112*inputs!$C$18/3.3)*(3*60*76.9*((F806/1000)^0.76))*MAX(inputs!$I$14:$I$16))/F806,((0.0083*0.112*inputs!$C$18/1)*(3*60*76.9*((F806/1000)^0.76))*MAX(inputs!$I$14:$I$16))/F806))</f>
        <v>7.5336118876563754E-3</v>
      </c>
      <c r="T806" s="63">
        <f>IF((((inputs!$P$13/(V806/MAX(K806:S806)))^(1/inputs!$O$13))-1)/inputs!$N$13&lt;0, 0, IF((((inputs!$P$13/(V806/MAX(K806:S806)))^(1/inputs!$O$13))-1)/inputs!$N$13&lt;inputs!$I$17, (((inputs!$P$13/(V806/MAX(K806:S806)))^(1/inputs!$O$13))-1)/inputs!$N$13, inputs!$I$17))</f>
        <v>36.245393174882516</v>
      </c>
      <c r="U806" s="63">
        <f>IF((((inputs!$P$13/(X806/MAX(K806:S806)))^(1/inputs!$O$13))-1)/inputs!$N$13&lt;0, 0, IF((((inputs!$P$13/(X806/MAX(K806:S806)))^(1/inputs!$O$13))-1)/inputs!$N$13&lt;inputs!$I$17, (((inputs!$P$13/(X806/MAX(K806:S806)))^(1/inputs!$O$13))-1)/inputs!$N$13, inputs!$I$17))</f>
        <v>8.482458711519282</v>
      </c>
      <c r="V806" s="21">
        <f>inputs!$E$87*(F806/inputs!$F$87)^(1)</f>
        <v>0.85499999999999998</v>
      </c>
      <c r="W806" s="21">
        <f>inputs!$E$90*(F806/inputs!$F$90)^(1)</f>
        <v>0.9</v>
      </c>
      <c r="X806" s="21">
        <f>inputs!$E$89*(F806/inputs!$F$89)^(1)</f>
        <v>3.3607594936708858</v>
      </c>
      <c r="Y806" s="21" t="s">
        <v>13</v>
      </c>
      <c r="Z806" s="63">
        <f t="shared" si="63"/>
        <v>12.273259563423229</v>
      </c>
      <c r="AA806" s="63">
        <f t="shared" si="64"/>
        <v>11.659596585252068</v>
      </c>
    </row>
    <row r="807" spans="1:27" ht="26.4" x14ac:dyDescent="0.25">
      <c r="A807" s="103" t="s">
        <v>407</v>
      </c>
      <c r="B807" s="20" t="s">
        <v>408</v>
      </c>
      <c r="C807" s="21" t="s">
        <v>79</v>
      </c>
      <c r="D807" s="105" t="s">
        <v>383</v>
      </c>
      <c r="E807" s="15">
        <v>181</v>
      </c>
      <c r="F807" s="15">
        <v>4500</v>
      </c>
      <c r="G807" s="21" t="s">
        <v>177</v>
      </c>
      <c r="H807" s="20">
        <v>0.85</v>
      </c>
      <c r="I807" s="68">
        <f>MAX('Max rate concentrations'!$F$3:$F$368)</f>
        <v>405</v>
      </c>
      <c r="J807" s="68">
        <f>MAX('Max rate concentrations'!Y:Y)</f>
        <v>135</v>
      </c>
      <c r="K807" s="69">
        <f t="shared" si="66"/>
        <v>5.2002937432301817</v>
      </c>
      <c r="L807" s="69">
        <f t="shared" si="68"/>
        <v>1.7334312477433937</v>
      </c>
      <c r="M807" s="69">
        <f>IF((((0.065*F807^0.726)/3.7-(0.301*F807^0.751)/(1-H807)*H807)*(MAX('Max rate concentrations'!$P$3:$P$368)))/F807&gt;0, (((0.065*F807^0.726)/3.7-(0.301*F807^0.751)/(1-H807)*H807)*(MAX('Max rate concentrations'!$P$3:$P$368)))/F807, 0)</f>
        <v>0</v>
      </c>
      <c r="N807" s="69">
        <f>IF((((0.065*F807^0.726)/3.7-(0.301*F807^0.751)/(1-H807)*H807)*(MAX('Max rate concentrations'!$Q$3:$Q$368)))/F807&gt;0, (((0.065*F807^0.726)/3.7-(0.301*F807^0.751)/(1-H807)*H807)*(MAX('Max rate concentrations'!$Q$3:$Q$368)))/F807, 0)</f>
        <v>0</v>
      </c>
      <c r="O807" s="69" t="s">
        <v>13</v>
      </c>
      <c r="P807" s="69" t="s">
        <v>13</v>
      </c>
      <c r="Q807" s="69">
        <f>(inputs!$C$18*11.2)*(16.61*F807^0.61)*0.5*1/F807</f>
        <v>10.493636926726861</v>
      </c>
      <c r="R807" s="59">
        <f>(60*76.9*((F807/1000)^0.76)*3*24*(MAX('Max rate concentrations'!$R$3:$R$368))/F807)</f>
        <v>1.7841722560001346E-3</v>
      </c>
      <c r="S807" s="59">
        <f>(IF(inputs!$C$17="aerial",((0.025*0.112*inputs!$C$18/3.3)*(3*60*76.9*((F807/1000)^0.76))*MAX(inputs!$I$14:$I$16))/F807,((0.0083*0.112*inputs!$C$18/1)*(3*60*76.9*((F807/1000)^0.76))*MAX(inputs!$I$14:$I$16))/F807))</f>
        <v>7.5336118876563754E-3</v>
      </c>
      <c r="T807" s="63">
        <f>IF((((inputs!$P$13/(V807/MAX(K807:S807)))^(1/inputs!$O$13))-1)/inputs!$N$13&lt;0, 0, IF((((inputs!$P$13/(V807/MAX(K807:S807)))^(1/inputs!$O$13))-1)/inputs!$N$13&lt;inputs!$I$17, (((inputs!$P$13/(V807/MAX(K807:S807)))^(1/inputs!$O$13))-1)/inputs!$N$13, inputs!$I$17))</f>
        <v>36.245393174882516</v>
      </c>
      <c r="U807" s="63">
        <f>IF((((inputs!$P$13/(X807/MAX(K807:S807)))^(1/inputs!$O$13))-1)/inputs!$N$13&lt;0, 0, IF((((inputs!$P$13/(X807/MAX(K807:S807)))^(1/inputs!$O$13))-1)/inputs!$N$13&lt;inputs!$I$17, (((inputs!$P$13/(X807/MAX(K807:S807)))^(1/inputs!$O$13))-1)/inputs!$N$13, inputs!$I$17))</f>
        <v>8.482458711519282</v>
      </c>
      <c r="V807" s="21">
        <f>inputs!$E$87*(F807/inputs!$F$87)^(1)</f>
        <v>0.85499999999999998</v>
      </c>
      <c r="W807" s="21">
        <f>inputs!$E$90*(F807/inputs!$F$90)^(1)</f>
        <v>0.9</v>
      </c>
      <c r="X807" s="21">
        <f>inputs!$E$89*(F807/inputs!$F$89)^(1)</f>
        <v>3.3607594936708858</v>
      </c>
      <c r="Y807" s="21" t="s">
        <v>13</v>
      </c>
      <c r="Z807" s="63">
        <f t="shared" si="63"/>
        <v>12.273259563423229</v>
      </c>
      <c r="AA807" s="63">
        <f t="shared" si="64"/>
        <v>11.659596585252068</v>
      </c>
    </row>
    <row r="808" spans="1:27" ht="13.2" x14ac:dyDescent="0.25">
      <c r="A808" s="114" t="s">
        <v>987</v>
      </c>
      <c r="B808" s="20" t="s">
        <v>637</v>
      </c>
      <c r="C808" s="21" t="s">
        <v>79</v>
      </c>
      <c r="D808" s="105" t="s">
        <v>383</v>
      </c>
      <c r="E808" s="15">
        <v>170</v>
      </c>
      <c r="F808" s="56">
        <v>2450</v>
      </c>
      <c r="G808" s="21" t="s">
        <v>241</v>
      </c>
      <c r="H808" s="20">
        <v>0.8</v>
      </c>
      <c r="I808" s="68">
        <f>inputs!$C$66*inputs!$C$60/1000</f>
        <v>28</v>
      </c>
      <c r="J808" s="68">
        <f>inputs!$C$66*inputs!$C$59/1000</f>
        <v>28</v>
      </c>
      <c r="K808" s="69">
        <f t="shared" si="66"/>
        <v>0.30954991338863347</v>
      </c>
      <c r="L808" s="69">
        <f t="shared" si="68"/>
        <v>0.30954991338863347</v>
      </c>
      <c r="M808" s="69">
        <f>IF((((0.065*F808^0.726)/3.7-(0.301*F808^0.751)/(1-H808)*H808)*(MAX('Max rate concentrations'!$P$3:$P$368)))/F808&gt;0, (((0.065*F808^0.726)/3.7-(0.301*F808^0.751)/(1-H808)*H808)*(MAX('Max rate concentrations'!$P$3:$P$368)))/F808, 0)</f>
        <v>0</v>
      </c>
      <c r="N808" s="69">
        <f>IF((((0.065*F808^0.726)/3.7-(0.301*F808^0.751)/(1-H808)*H808)*(MAX('Max rate concentrations'!$Q$3:$Q$368)))/F808&gt;0, (((0.065*F808^0.726)/3.7-(0.301*F808^0.751)/(1-H808)*H808)*(MAX('Max rate concentrations'!$Q$3:$Q$368)))/F808, 0)</f>
        <v>0</v>
      </c>
      <c r="O808" s="69" t="s">
        <v>13</v>
      </c>
      <c r="P808" s="69" t="s">
        <v>13</v>
      </c>
      <c r="Q808" s="69">
        <f>(inputs!$C$18*11.2)*(16.61*F808^0.61)*0.5*1/F808</f>
        <v>13.301607886657486</v>
      </c>
      <c r="R808" s="59">
        <f>(60*76.9*((F808/1000)^0.76)*3*24*(MAX('Max rate concentrations'!$R$3:$R$368))/F808)</f>
        <v>2.0644669033144198E-3</v>
      </c>
      <c r="S808" s="59">
        <f>(IF(inputs!$C$17="aerial",((0.025*0.112*inputs!$C$18/3.3)*(3*60*76.9*((F808/1000)^0.76))*MAX(inputs!$I$14:$I$16))/F808,((0.0083*0.112*inputs!$C$18/1)*(3*60*76.9*((F808/1000)^0.76))*MAX(inputs!$I$14:$I$16))/F808))</f>
        <v>8.717147322618992E-3</v>
      </c>
      <c r="T808" s="63">
        <f>IF((((inputs!$P$13/(V808/MAX(K808:S808)))^(1/inputs!$O$13))-1)/inputs!$N$13&lt;0, 0, IF((((inputs!$P$13/(V808/MAX(K808:S808)))^(1/inputs!$O$13))-1)/inputs!$N$13&lt;inputs!$I$17, (((inputs!$P$13/(V808/MAX(K808:S808)))^(1/inputs!$O$13))-1)/inputs!$N$13, inputs!$I$17))</f>
        <v>76.914469300541526</v>
      </c>
      <c r="U808" s="63">
        <f>IF((((inputs!$P$13/(X808/MAX(K808:S808)))^(1/inputs!$O$13))-1)/inputs!$N$13&lt;0, 0, IF((((inputs!$P$13/(X808/MAX(K808:S808)))^(1/inputs!$O$13))-1)/inputs!$N$13&lt;inputs!$I$17, (((inputs!$P$13/(X808/MAX(K808:S808)))^(1/inputs!$O$13))-1)/inputs!$N$13, inputs!$I$17))</f>
        <v>21.926623292113518</v>
      </c>
      <c r="V808" s="21">
        <f>inputs!$E$87*(F808/inputs!$F$87)^(1)</f>
        <v>0.46549999999999997</v>
      </c>
      <c r="W808" s="21">
        <f>inputs!$E$90*(F808/inputs!$F$90)^(1)</f>
        <v>0.49000000000000005</v>
      </c>
      <c r="X808" s="21">
        <f>inputs!$E$89*(F808/inputs!$F$89)^(1)</f>
        <v>1.829746835443038</v>
      </c>
      <c r="Y808" s="21" t="s">
        <v>13</v>
      </c>
      <c r="Z808" s="63">
        <f t="shared" si="63"/>
        <v>28.57488267810416</v>
      </c>
      <c r="AA808" s="63">
        <f t="shared" si="64"/>
        <v>27.146138544198948</v>
      </c>
    </row>
    <row r="809" spans="1:27" ht="13.2" x14ac:dyDescent="0.25">
      <c r="A809" s="114" t="s">
        <v>987</v>
      </c>
      <c r="B809" s="20" t="s">
        <v>637</v>
      </c>
      <c r="C809" s="21" t="s">
        <v>79</v>
      </c>
      <c r="D809" s="105" t="s">
        <v>383</v>
      </c>
      <c r="E809" s="15">
        <v>170</v>
      </c>
      <c r="F809" s="56">
        <v>2450</v>
      </c>
      <c r="G809" s="21" t="s">
        <v>164</v>
      </c>
      <c r="H809" s="20">
        <v>0.78</v>
      </c>
      <c r="I809" s="68">
        <f>inputs!$C$66*(inputs!$C$62/1000)</f>
        <v>8.2000000000000011</v>
      </c>
      <c r="J809" s="68">
        <f>inputs!$C$66*(inputs!$C$61/1000)</f>
        <v>2.5</v>
      </c>
      <c r="K809" s="69">
        <f t="shared" si="66"/>
        <v>8.2412639278792041E-2</v>
      </c>
      <c r="L809" s="69">
        <f t="shared" si="68"/>
        <v>2.5125804658168303E-2</v>
      </c>
      <c r="M809" s="69">
        <f>IF((((0.065*F809^0.726)/3.7-(0.301*F809^0.751)/(1-H809)*H809)*(MAX('Max rate concentrations'!$P$3:$P$368)))/F809&gt;0, (((0.065*F809^0.726)/3.7-(0.301*F809^0.751)/(1-H809)*H809)*(MAX('Max rate concentrations'!$P$3:$P$368)))/F809, 0)</f>
        <v>0</v>
      </c>
      <c r="N809" s="69">
        <f>IF((((0.065*F809^0.726)/3.7-(0.301*F809^0.751)/(1-H809)*H809)*(MAX('Max rate concentrations'!$Q$3:$Q$368)))/F809&gt;0, (((0.065*F809^0.726)/3.7-(0.301*F809^0.751)/(1-H809)*H809)*(MAX('Max rate concentrations'!$Q$3:$Q$368)))/F809, 0)</f>
        <v>0</v>
      </c>
      <c r="O809" s="69" t="s">
        <v>13</v>
      </c>
      <c r="P809" s="69" t="s">
        <v>13</v>
      </c>
      <c r="Q809" s="69">
        <f>(inputs!$C$18*11.2)*(16.61*F809^0.61)*0.5*1/F809</f>
        <v>13.301607886657486</v>
      </c>
      <c r="R809" s="59">
        <f>(60*76.9*((F809/1000)^0.76)*3*24*(MAX('Max rate concentrations'!$R$3:$R$368))/F809)</f>
        <v>2.0644669033144198E-3</v>
      </c>
      <c r="S809" s="59">
        <f>(IF(inputs!$C$17="aerial",((0.025*0.112*inputs!$C$18/3.3)*(3*60*76.9*((F809/1000)^0.76))*MAX(inputs!$I$14:$I$16))/F809,((0.0083*0.112*inputs!$C$18/1)*(3*60*76.9*((F809/1000)^0.76))*MAX(inputs!$I$14:$I$16))/F809))</f>
        <v>8.717147322618992E-3</v>
      </c>
      <c r="T809" s="63">
        <f>IF((((inputs!$P$13/(V809/MAX(K809:S809)))^(1/inputs!$O$13))-1)/inputs!$N$13&lt;0, 0, IF((((inputs!$P$13/(V809/MAX(K809:S809)))^(1/inputs!$O$13))-1)/inputs!$N$13&lt;inputs!$I$17, (((inputs!$P$13/(V809/MAX(K809:S809)))^(1/inputs!$O$13))-1)/inputs!$N$13, inputs!$I$17))</f>
        <v>76.914469300541526</v>
      </c>
      <c r="U809" s="63">
        <f>IF((((inputs!$P$13/(X809/MAX(K809:S809)))^(1/inputs!$O$13))-1)/inputs!$N$13&lt;0, 0, IF((((inputs!$P$13/(X809/MAX(K809:S809)))^(1/inputs!$O$13))-1)/inputs!$N$13&lt;inputs!$I$17, (((inputs!$P$13/(X809/MAX(K809:S809)))^(1/inputs!$O$13))-1)/inputs!$N$13, inputs!$I$17))</f>
        <v>21.926623292113518</v>
      </c>
      <c r="V809" s="21">
        <f>inputs!$E$87*(F809/inputs!$F$87)^(1)</f>
        <v>0.46549999999999997</v>
      </c>
      <c r="W809" s="21">
        <f>inputs!$E$90*(F809/inputs!$F$90)^(1)</f>
        <v>0.49000000000000005</v>
      </c>
      <c r="X809" s="21">
        <f>inputs!$E$89*(F809/inputs!$F$89)^(1)</f>
        <v>1.829746835443038</v>
      </c>
      <c r="Y809" s="21" t="s">
        <v>13</v>
      </c>
      <c r="Z809" s="63">
        <f t="shared" si="63"/>
        <v>28.57488267810416</v>
      </c>
      <c r="AA809" s="63">
        <f t="shared" si="64"/>
        <v>27.146138544198948</v>
      </c>
    </row>
    <row r="810" spans="1:27" ht="26.4" x14ac:dyDescent="0.25">
      <c r="A810" s="103" t="s">
        <v>410</v>
      </c>
      <c r="B810" s="20" t="s">
        <v>411</v>
      </c>
      <c r="C810" s="21" t="s">
        <v>79</v>
      </c>
      <c r="D810" s="105" t="s">
        <v>383</v>
      </c>
      <c r="E810" s="15">
        <v>171</v>
      </c>
      <c r="F810" s="15">
        <v>220</v>
      </c>
      <c r="G810" s="21" t="s">
        <v>632</v>
      </c>
      <c r="H810" s="20">
        <v>0.8</v>
      </c>
      <c r="I810" s="68">
        <f>inputs!$C$66*inputs!$C$60/1000</f>
        <v>28</v>
      </c>
      <c r="J810" s="68">
        <f>inputs!$C$66*inputs!$C$59/1000</f>
        <v>28</v>
      </c>
      <c r="K810" s="69">
        <f t="shared" si="66"/>
        <v>0.53498479559782874</v>
      </c>
      <c r="L810" s="69">
        <f t="shared" si="68"/>
        <v>0.53498479559782874</v>
      </c>
      <c r="M810" s="69">
        <f>IF((((0.065*F810^0.726)/3.7-(0.301*F810^0.751)/(1-H810)*H810)*(MAX('Max rate concentrations'!$P$3:$P$368)))/F810&gt;0, (((0.065*F810^0.726)/3.7-(0.301*F810^0.751)/(1-H810)*H810)*(MAX('Max rate concentrations'!$P$3:$P$368)))/F810, 0)</f>
        <v>0</v>
      </c>
      <c r="N810" s="69">
        <f>IF((((0.065*F810^0.726)/3.7-(0.301*F810^0.751)/(1-H810)*H810)*(MAX('Max rate concentrations'!$Q$3:$Q$368)))/F810&gt;0, (((0.065*F810^0.726)/3.7-(0.301*F810^0.751)/(1-H810)*H810)*(MAX('Max rate concentrations'!$Q$3:$Q$368)))/F810, 0)</f>
        <v>0</v>
      </c>
      <c r="O810" s="69" t="s">
        <v>13</v>
      </c>
      <c r="P810" s="69" t="s">
        <v>13</v>
      </c>
      <c r="Q810" s="69">
        <f>(inputs!$C$18*11.2)*(16.61*F810^0.61)*0.5*1/F810</f>
        <v>34.051329145949225</v>
      </c>
      <c r="R810" s="59">
        <f>(60*76.9*((F810/1000)^0.76)*3*24*(MAX('Max rate concentrations'!$R$3:$R$368))/F810)</f>
        <v>3.6815130280463569E-3</v>
      </c>
      <c r="S810" s="59">
        <f>(IF(inputs!$C$17="aerial",((0.025*0.112*inputs!$C$18/3.3)*(3*60*76.9*((F810/1000)^0.76))*MAX(inputs!$I$14:$I$16))/F810,((0.0083*0.112*inputs!$C$18/1)*(3*60*76.9*((F810/1000)^0.76))*MAX(inputs!$I$14:$I$16))/F810))</f>
        <v>1.5545074316327541E-2</v>
      </c>
      <c r="T810" s="63">
        <f>IF((((inputs!$P$13/(V810/MAX(K810:S810)))^(1/inputs!$O$13))-1)/inputs!$N$13&lt;0, 0, IF((((inputs!$P$13/(V810/MAX(K810:S810)))^(1/inputs!$O$13))-1)/inputs!$N$13&lt;inputs!$I$17, (((inputs!$P$13/(V810/MAX(K810:S810)))^(1/inputs!$O$13))-1)/inputs!$N$13, inputs!$I$17))</f>
        <v>1000</v>
      </c>
      <c r="U810" s="63">
        <f>IF((((inputs!$P$13/(X810/MAX(K810:S810)))^(1/inputs!$O$13))-1)/inputs!$N$13&lt;0, 0, IF((((inputs!$P$13/(X810/MAX(K810:S810)))^(1/inputs!$O$13))-1)/inputs!$N$13&lt;inputs!$I$17, (((inputs!$P$13/(X810/MAX(K810:S810)))^(1/inputs!$O$13))-1)/inputs!$N$13, inputs!$I$17))</f>
        <v>402.55247446488715</v>
      </c>
      <c r="V810" s="21">
        <f>inputs!$E$87*(F810/inputs!$F$87)^(1)</f>
        <v>4.1800000000000004E-2</v>
      </c>
      <c r="W810" s="21">
        <f>inputs!$E$90*(F810/inputs!$F$90)^(1)</f>
        <v>4.3999999999999997E-2</v>
      </c>
      <c r="X810" s="21">
        <f>inputs!$E$89*(F810/inputs!$F$89)^(1)</f>
        <v>0.16430379746835441</v>
      </c>
      <c r="Y810" s="21" t="s">
        <v>13</v>
      </c>
      <c r="Z810" s="63">
        <f t="shared" si="63"/>
        <v>814.62509918538808</v>
      </c>
      <c r="AA810" s="63">
        <f t="shared" si="64"/>
        <v>773.89384422611874</v>
      </c>
    </row>
    <row r="811" spans="1:27" ht="13.2" x14ac:dyDescent="0.25">
      <c r="A811" s="103" t="s">
        <v>410</v>
      </c>
      <c r="B811" s="20" t="s">
        <v>411</v>
      </c>
      <c r="C811" s="21" t="s">
        <v>79</v>
      </c>
      <c r="D811" s="105" t="s">
        <v>383</v>
      </c>
      <c r="E811" s="15">
        <v>171</v>
      </c>
      <c r="F811" s="15">
        <v>220</v>
      </c>
      <c r="G811" s="21" t="s">
        <v>142</v>
      </c>
      <c r="H811" s="21">
        <v>0.69</v>
      </c>
      <c r="I811" s="68">
        <f>MAX('Max rate concentrations'!$H$3:$H$368)</f>
        <v>282</v>
      </c>
      <c r="J811" s="68">
        <f>MAX('Max rate concentrations'!AA:AA)</f>
        <v>195</v>
      </c>
      <c r="K811" s="69">
        <f t="shared" si="66"/>
        <v>3.4761684875250611</v>
      </c>
      <c r="L811" s="69">
        <f t="shared" si="68"/>
        <v>2.4037335286077548</v>
      </c>
      <c r="M811" s="69">
        <f>IF((((0.065*F811^0.726)/3.7-(0.301*F811^0.751)/(1-H811)*H811)*(MAX('Max rate concentrations'!$P$3:$P$368)))/F811&gt;0, (((0.065*F811^0.726)/3.7-(0.301*F811^0.751)/(1-H811)*H811)*(MAX('Max rate concentrations'!$P$3:$P$368)))/F811, 0)</f>
        <v>0</v>
      </c>
      <c r="N811" s="69">
        <f>IF((((0.065*F811^0.726)/3.7-(0.301*F811^0.751)/(1-H811)*H811)*(MAX('Max rate concentrations'!$Q$3:$Q$368)))/F811&gt;0, (((0.065*F811^0.726)/3.7-(0.301*F811^0.751)/(1-H811)*H811)*(MAX('Max rate concentrations'!$Q$3:$Q$368)))/F811, 0)</f>
        <v>0</v>
      </c>
      <c r="O811" s="69" t="s">
        <v>13</v>
      </c>
      <c r="P811" s="69" t="s">
        <v>13</v>
      </c>
      <c r="Q811" s="69">
        <f>(inputs!$C$18*11.2)*(16.61*F811^0.61)*0.5*1/F811</f>
        <v>34.051329145949225</v>
      </c>
      <c r="R811" s="59">
        <f>(60*76.9*((F811/1000)^0.76)*3*24*(MAX('Max rate concentrations'!$R$3:$R$368))/F811)</f>
        <v>3.6815130280463569E-3</v>
      </c>
      <c r="S811" s="59">
        <f>(IF(inputs!$C$17="aerial",((0.025*0.112*inputs!$C$18/3.3)*(3*60*76.9*((F811/1000)^0.76))*MAX(inputs!$I$14:$I$16))/F811,((0.0083*0.112*inputs!$C$18/1)*(3*60*76.9*((F811/1000)^0.76))*MAX(inputs!$I$14:$I$16))/F811))</f>
        <v>1.5545074316327541E-2</v>
      </c>
      <c r="T811" s="63">
        <f>IF((((inputs!$P$13/(V811/MAX(K811:S811)))^(1/inputs!$O$13))-1)/inputs!$N$13&lt;0, 0, IF((((inputs!$P$13/(V811/MAX(K811:S811)))^(1/inputs!$O$13))-1)/inputs!$N$13&lt;inputs!$I$17, (((inputs!$P$13/(V811/MAX(K811:S811)))^(1/inputs!$O$13))-1)/inputs!$N$13, inputs!$I$17))</f>
        <v>1000</v>
      </c>
      <c r="U811" s="63">
        <f>IF((((inputs!$P$13/(X811/MAX(K811:S811)))^(1/inputs!$O$13))-1)/inputs!$N$13&lt;0, 0, IF((((inputs!$P$13/(X811/MAX(K811:S811)))^(1/inputs!$O$13))-1)/inputs!$N$13&lt;inputs!$I$17, (((inputs!$P$13/(X811/MAX(K811:S811)))^(1/inputs!$O$13))-1)/inputs!$N$13, inputs!$I$17))</f>
        <v>402.55247446488715</v>
      </c>
      <c r="V811" s="21">
        <f>inputs!$E$87*(F811/inputs!$F$87)^(1)</f>
        <v>4.1800000000000004E-2</v>
      </c>
      <c r="W811" s="21">
        <f>inputs!$E$90*(F811/inputs!$F$90)^(1)</f>
        <v>4.3999999999999997E-2</v>
      </c>
      <c r="X811" s="21">
        <f>inputs!$E$89*(F811/inputs!$F$89)^(1)</f>
        <v>0.16430379746835441</v>
      </c>
      <c r="Y811" s="21" t="s">
        <v>13</v>
      </c>
      <c r="Z811" s="63">
        <f t="shared" si="63"/>
        <v>814.62509918538808</v>
      </c>
      <c r="AA811" s="63">
        <f t="shared" si="64"/>
        <v>773.89384422611874</v>
      </c>
    </row>
    <row r="812" spans="1:27" ht="13.2" x14ac:dyDescent="0.25">
      <c r="A812" s="103" t="s">
        <v>410</v>
      </c>
      <c r="B812" s="20" t="s">
        <v>411</v>
      </c>
      <c r="C812" s="21" t="s">
        <v>79</v>
      </c>
      <c r="D812" s="105" t="s">
        <v>383</v>
      </c>
      <c r="E812" s="15">
        <v>171</v>
      </c>
      <c r="F812" s="15">
        <v>220</v>
      </c>
      <c r="G812" s="21" t="s">
        <v>164</v>
      </c>
      <c r="H812" s="20">
        <v>0.78</v>
      </c>
      <c r="I812" s="68">
        <f>inputs!$C$66*(inputs!$C$62/1000)</f>
        <v>8.2000000000000011</v>
      </c>
      <c r="J812" s="68">
        <f>inputs!$C$66*(inputs!$C$61/1000)</f>
        <v>2.5</v>
      </c>
      <c r="K812" s="69">
        <f t="shared" si="66"/>
        <v>0.14243101700981156</v>
      </c>
      <c r="L812" s="69">
        <f t="shared" si="68"/>
        <v>4.3424090551771807E-2</v>
      </c>
      <c r="M812" s="69">
        <f>IF((((0.065*F812^0.726)/3.7-(0.301*F812^0.751)/(1-H812)*H812)*(MAX('Max rate concentrations'!$P$3:$P$368)))/F812&gt;0, (((0.065*F812^0.726)/3.7-(0.301*F812^0.751)/(1-H812)*H812)*(MAX('Max rate concentrations'!$P$3:$P$368)))/F812, 0)</f>
        <v>0</v>
      </c>
      <c r="N812" s="69">
        <f>IF((((0.065*F812^0.726)/3.7-(0.301*F812^0.751)/(1-H812)*H812)*(MAX('Max rate concentrations'!$Q$3:$Q$368)))/F812&gt;0, (((0.065*F812^0.726)/3.7-(0.301*F812^0.751)/(1-H812)*H812)*(MAX('Max rate concentrations'!$Q$3:$Q$368)))/F812, 0)</f>
        <v>0</v>
      </c>
      <c r="O812" s="69" t="s">
        <v>13</v>
      </c>
      <c r="P812" s="69" t="s">
        <v>13</v>
      </c>
      <c r="Q812" s="69">
        <f>(inputs!$C$18*11.2)*(16.61*F812^0.61)*0.5*1/F812</f>
        <v>34.051329145949225</v>
      </c>
      <c r="R812" s="59">
        <f>(60*76.9*((F812/1000)^0.76)*3*24*(MAX('Max rate concentrations'!$R$3:$R$368))/F812)</f>
        <v>3.6815130280463569E-3</v>
      </c>
      <c r="S812" s="59">
        <f>(IF(inputs!$C$17="aerial",((0.025*0.112*inputs!$C$18/3.3)*(3*60*76.9*((F812/1000)^0.76))*MAX(inputs!$I$14:$I$16))/F812,((0.0083*0.112*inputs!$C$18/1)*(3*60*76.9*((F812/1000)^0.76))*MAX(inputs!$I$14:$I$16))/F812))</f>
        <v>1.5545074316327541E-2</v>
      </c>
      <c r="T812" s="63">
        <f>IF((((inputs!$P$13/(V812/MAX(K812:S812)))^(1/inputs!$O$13))-1)/inputs!$N$13&lt;0, 0, IF((((inputs!$P$13/(V812/MAX(K812:S812)))^(1/inputs!$O$13))-1)/inputs!$N$13&lt;inputs!$I$17, (((inputs!$P$13/(V812/MAX(K812:S812)))^(1/inputs!$O$13))-1)/inputs!$N$13, inputs!$I$17))</f>
        <v>1000</v>
      </c>
      <c r="U812" s="63">
        <f>IF((((inputs!$P$13/(X812/MAX(K812:S812)))^(1/inputs!$O$13))-1)/inputs!$N$13&lt;0, 0, IF((((inputs!$P$13/(X812/MAX(K812:S812)))^(1/inputs!$O$13))-1)/inputs!$N$13&lt;inputs!$I$17, (((inputs!$P$13/(X812/MAX(K812:S812)))^(1/inputs!$O$13))-1)/inputs!$N$13, inputs!$I$17))</f>
        <v>402.55247446488715</v>
      </c>
      <c r="V812" s="21">
        <f>inputs!$E$87*(F812/inputs!$F$87)^(1)</f>
        <v>4.1800000000000004E-2</v>
      </c>
      <c r="W812" s="21">
        <f>inputs!$E$90*(F812/inputs!$F$90)^(1)</f>
        <v>4.3999999999999997E-2</v>
      </c>
      <c r="X812" s="21">
        <f>inputs!$E$89*(F812/inputs!$F$89)^(1)</f>
        <v>0.16430379746835441</v>
      </c>
      <c r="Y812" s="21" t="s">
        <v>13</v>
      </c>
      <c r="Z812" s="63">
        <f t="shared" si="63"/>
        <v>814.62509918538808</v>
      </c>
      <c r="AA812" s="63">
        <f t="shared" si="64"/>
        <v>773.89384422611874</v>
      </c>
    </row>
    <row r="813" spans="1:27" ht="13.2" x14ac:dyDescent="0.25">
      <c r="A813" s="103" t="s">
        <v>410</v>
      </c>
      <c r="B813" s="20" t="s">
        <v>411</v>
      </c>
      <c r="C813" s="21" t="s">
        <v>79</v>
      </c>
      <c r="D813" s="105" t="s">
        <v>383</v>
      </c>
      <c r="E813" s="15">
        <v>171</v>
      </c>
      <c r="F813" s="15">
        <v>220</v>
      </c>
      <c r="G813" s="21" t="s">
        <v>146</v>
      </c>
      <c r="H813" s="20">
        <v>0.84</v>
      </c>
      <c r="I813" s="68">
        <f>MAX('Max rate concentrations'!$I$3:$I$368)</f>
        <v>56.865414300472793</v>
      </c>
      <c r="J813" s="68" t="s">
        <v>13</v>
      </c>
      <c r="K813" s="69">
        <f t="shared" si="66"/>
        <v>1.358130894916262</v>
      </c>
      <c r="L813" s="69" t="s">
        <v>13</v>
      </c>
      <c r="M813" s="69">
        <f>IF((((0.065*F813^0.726)/3.7-(0.301*F813^0.751)/(1-H813)*H813)*(MAX('Max rate concentrations'!$P$3:$P$368)))/F813&gt;0, (((0.065*F813^0.726)/3.7-(0.301*F813^0.751)/(1-H813)*H813)*(MAX('Max rate concentrations'!$P$3:$P$368)))/F813, 0)</f>
        <v>0</v>
      </c>
      <c r="N813" s="69">
        <f>IF((((0.065*F813^0.726)/3.7-(0.301*F813^0.751)/(1-H813)*H813)*(MAX('Max rate concentrations'!$Q$3:$Q$368)))/F813&gt;0, (((0.065*F813^0.726)/3.7-(0.301*F813^0.751)/(1-H813)*H813)*(MAX('Max rate concentrations'!$Q$3:$Q$368)))/F813, 0)</f>
        <v>0</v>
      </c>
      <c r="O813" s="69" t="s">
        <v>13</v>
      </c>
      <c r="P813" s="69" t="s">
        <v>13</v>
      </c>
      <c r="Q813" s="69">
        <f>(inputs!$C$18*11.2)*(16.61*F813^0.61)*0.5*1/F813</f>
        <v>34.051329145949225</v>
      </c>
      <c r="R813" s="59">
        <f>(60*76.9*((F813/1000)^0.76)*3*24*(MAX('Max rate concentrations'!$R$3:$R$368))/F813)</f>
        <v>3.6815130280463569E-3</v>
      </c>
      <c r="S813" s="59">
        <f>(IF(inputs!$C$17="aerial",((0.025*0.112*inputs!$C$18/3.3)*(3*60*76.9*((F813/1000)^0.76))*MAX(inputs!$I$14:$I$16))/F813,((0.0083*0.112*inputs!$C$18/1)*(3*60*76.9*((F813/1000)^0.76))*MAX(inputs!$I$14:$I$16))/F813))</f>
        <v>1.5545074316327541E-2</v>
      </c>
      <c r="T813" s="63">
        <f>IF((((inputs!$P$13/(V813/MAX(K813:S813)))^(1/inputs!$O$13))-1)/inputs!$N$13&lt;0, 0, IF((((inputs!$P$13/(V813/MAX(K813:S813)))^(1/inputs!$O$13))-1)/inputs!$N$13&lt;inputs!$I$17, (((inputs!$P$13/(V813/MAX(K813:S813)))^(1/inputs!$O$13))-1)/inputs!$N$13, inputs!$I$17))</f>
        <v>1000</v>
      </c>
      <c r="U813" s="63">
        <f>IF((((inputs!$P$13/(X813/MAX(K813:S813)))^(1/inputs!$O$13))-1)/inputs!$N$13&lt;0, 0, IF((((inputs!$P$13/(X813/MAX(K813:S813)))^(1/inputs!$O$13))-1)/inputs!$N$13&lt;inputs!$I$17, (((inputs!$P$13/(X813/MAX(K813:S813)))^(1/inputs!$O$13))-1)/inputs!$N$13, inputs!$I$17))</f>
        <v>402.55247446488715</v>
      </c>
      <c r="V813" s="21">
        <f>inputs!$E$87*(F813/inputs!$F$87)^(1)</f>
        <v>4.1800000000000004E-2</v>
      </c>
      <c r="W813" s="21">
        <f>inputs!$E$90*(F813/inputs!$F$90)^(1)</f>
        <v>4.3999999999999997E-2</v>
      </c>
      <c r="X813" s="21">
        <f>inputs!$E$89*(F813/inputs!$F$89)^(1)</f>
        <v>0.16430379746835441</v>
      </c>
      <c r="Y813" s="21" t="s">
        <v>13</v>
      </c>
      <c r="Z813" s="63">
        <f t="shared" si="63"/>
        <v>814.62509918538808</v>
      </c>
      <c r="AA813" s="63">
        <f t="shared" si="64"/>
        <v>773.89384422611874</v>
      </c>
    </row>
    <row r="814" spans="1:27" ht="13.2" x14ac:dyDescent="0.25">
      <c r="A814" s="103" t="s">
        <v>405</v>
      </c>
      <c r="B814" s="20" t="s">
        <v>406</v>
      </c>
      <c r="C814" s="21" t="s">
        <v>79</v>
      </c>
      <c r="D814" s="105" t="s">
        <v>383</v>
      </c>
      <c r="E814" s="15">
        <v>10291</v>
      </c>
      <c r="F814" s="15">
        <v>11000</v>
      </c>
      <c r="G814" s="21" t="s">
        <v>169</v>
      </c>
      <c r="H814" s="20">
        <v>0.79</v>
      </c>
      <c r="I814" s="68">
        <f>MAX('Max rate concentrations'!$D$3:$D$368)</f>
        <v>720</v>
      </c>
      <c r="J814" s="68">
        <f>MAX('Max rate concentrations'!W:W)</f>
        <v>255</v>
      </c>
      <c r="K814" s="69">
        <f t="shared" si="66"/>
        <v>5.3908893078976439</v>
      </c>
      <c r="L814" s="69">
        <f t="shared" ref="L814:L820" si="69">(((0.013*F814^0.773)/(1-H814)))*J814/F814</f>
        <v>1.9092732965470822</v>
      </c>
      <c r="M814" s="69">
        <f>IF((((0.065*F814^0.726)/3.7-(0.301*F814^0.751)/(1-H814)*H814)*(MAX('Max rate concentrations'!$P$3:$P$368)))/F814&gt;0, (((0.065*F814^0.726)/3.7-(0.301*F814^0.751)/(1-H814)*H814)*(MAX('Max rate concentrations'!$P$3:$P$368)))/F814, 0)</f>
        <v>0</v>
      </c>
      <c r="N814" s="69">
        <f>IF((((0.065*F814^0.726)/3.7-(0.301*F814^0.751)/(1-H814)*H814)*(MAX('Max rate concentrations'!$Q$3:$Q$368)))/F814&gt;0, (((0.065*F814^0.726)/3.7-(0.301*F814^0.751)/(1-H814)*H814)*(MAX('Max rate concentrations'!$Q$3:$Q$368)))/F814, 0)</f>
        <v>0</v>
      </c>
      <c r="O814" s="69" t="s">
        <v>13</v>
      </c>
      <c r="P814" s="69" t="s">
        <v>13</v>
      </c>
      <c r="Q814" s="69">
        <f>(inputs!$C$18*11.2)*(16.61*F814^0.61)*0.5*1/F814</f>
        <v>7.4051825141747107</v>
      </c>
      <c r="R814" s="59">
        <f>(60*76.9*((F814/1000)^0.76)*3*24*(MAX('Max rate concentrations'!$R$3:$R$368))/F814)</f>
        <v>1.439705091875168E-3</v>
      </c>
      <c r="S814" s="59">
        <f>(IF(inputs!$C$17="aerial",((0.025*0.112*inputs!$C$18/3.3)*(3*60*76.9*((F814/1000)^0.76))*MAX(inputs!$I$14:$I$16))/F814,((0.0083*0.112*inputs!$C$18/1)*(3*60*76.9*((F814/1000)^0.76))*MAX(inputs!$I$14:$I$16))/F814))</f>
        <v>6.0791099953464156E-3</v>
      </c>
      <c r="T814" s="63">
        <f>IF((((inputs!$P$13/(V814/MAX(K814:S814)))^(1/inputs!$O$13))-1)/inputs!$N$13&lt;0, 0, IF((((inputs!$P$13/(V814/MAX(K814:S814)))^(1/inputs!$O$13))-1)/inputs!$N$13&lt;inputs!$I$17, (((inputs!$P$13/(V814/MAX(K814:S814)))^(1/inputs!$O$13))-1)/inputs!$N$13, inputs!$I$17))</f>
        <v>9.9581172672067666</v>
      </c>
      <c r="U814" s="63">
        <f>IF((((inputs!$P$13/(X814/MAX(K814:S814)))^(1/inputs!$O$13))-1)/inputs!$N$13&lt;0, 0, IF((((inputs!$P$13/(X814/MAX(K814:S814)))^(1/inputs!$O$13))-1)/inputs!$N$13&lt;inputs!$I$17, (((inputs!$P$13/(X814/MAX(K814:S814)))^(1/inputs!$O$13))-1)/inputs!$N$13, inputs!$I$17))</f>
        <v>0</v>
      </c>
      <c r="V814" s="21">
        <f>inputs!$E$87*(F814/inputs!$F$87)^(1)</f>
        <v>2.09</v>
      </c>
      <c r="W814" s="21">
        <f>inputs!$E$90*(F814/inputs!$F$90)^(1)</f>
        <v>2.2000000000000002</v>
      </c>
      <c r="X814" s="21">
        <f>inputs!$E$89*(F814/inputs!$F$89)^(1)</f>
        <v>8.2151898734177209</v>
      </c>
      <c r="Y814" s="21" t="s">
        <v>13</v>
      </c>
      <c r="Z814" s="63">
        <f t="shared" si="63"/>
        <v>3.543149528313259</v>
      </c>
      <c r="AA814" s="63">
        <f t="shared" si="64"/>
        <v>3.3659920518975954</v>
      </c>
    </row>
    <row r="815" spans="1:27" ht="13.2" x14ac:dyDescent="0.25">
      <c r="A815" s="103" t="s">
        <v>405</v>
      </c>
      <c r="B815" s="20" t="s">
        <v>406</v>
      </c>
      <c r="C815" s="21" t="s">
        <v>79</v>
      </c>
      <c r="D815" s="105" t="s">
        <v>383</v>
      </c>
      <c r="E815" s="15">
        <v>10291</v>
      </c>
      <c r="F815" s="15">
        <v>11000</v>
      </c>
      <c r="G815" s="21" t="s">
        <v>177</v>
      </c>
      <c r="H815" s="20">
        <v>0.85</v>
      </c>
      <c r="I815" s="68">
        <f>MAX('Max rate concentrations'!$F$3:$F$368)</f>
        <v>405</v>
      </c>
      <c r="J815" s="68">
        <f>MAX('Max rate concentrations'!Y:Y)</f>
        <v>135</v>
      </c>
      <c r="K815" s="69">
        <f t="shared" si="66"/>
        <v>4.2453253299693934</v>
      </c>
      <c r="L815" s="69">
        <f t="shared" si="69"/>
        <v>1.4151084433231311</v>
      </c>
      <c r="M815" s="69">
        <f>IF((((0.065*F815^0.726)/3.7-(0.301*F815^0.751)/(1-H815)*H815)*(MAX('Max rate concentrations'!$P$3:$P$368)))/F815&gt;0, (((0.065*F815^0.726)/3.7-(0.301*F815^0.751)/(1-H815)*H815)*(MAX('Max rate concentrations'!$P$3:$P$368)))/F815, 0)</f>
        <v>0</v>
      </c>
      <c r="N815" s="69">
        <f>IF((((0.065*F815^0.726)/3.7-(0.301*F815^0.751)/(1-H815)*H815)*(MAX('Max rate concentrations'!$Q$3:$Q$368)))/F815&gt;0, (((0.065*F815^0.726)/3.7-(0.301*F815^0.751)/(1-H815)*H815)*(MAX('Max rate concentrations'!$Q$3:$Q$368)))/F815, 0)</f>
        <v>0</v>
      </c>
      <c r="O815" s="69" t="s">
        <v>13</v>
      </c>
      <c r="P815" s="69" t="s">
        <v>13</v>
      </c>
      <c r="Q815" s="69">
        <f>(inputs!$C$18*11.2)*(16.61*F815^0.61)*0.5*1/F815</f>
        <v>7.4051825141747107</v>
      </c>
      <c r="R815" s="59">
        <f>(60*76.9*((F815/1000)^0.76)*3*24*(MAX('Max rate concentrations'!$R$3:$R$368))/F815)</f>
        <v>1.439705091875168E-3</v>
      </c>
      <c r="S815" s="59">
        <f>(IF(inputs!$C$17="aerial",((0.025*0.112*inputs!$C$18/3.3)*(3*60*76.9*((F815/1000)^0.76))*MAX(inputs!$I$14:$I$16))/F815,((0.0083*0.112*inputs!$C$18/1)*(3*60*76.9*((F815/1000)^0.76))*MAX(inputs!$I$14:$I$16))/F815))</f>
        <v>6.0791099953464156E-3</v>
      </c>
      <c r="T815" s="63">
        <f>IF((((inputs!$P$13/(V815/MAX(K815:S815)))^(1/inputs!$O$13))-1)/inputs!$N$13&lt;0, 0, IF((((inputs!$P$13/(V815/MAX(K815:S815)))^(1/inputs!$O$13))-1)/inputs!$N$13&lt;inputs!$I$17, (((inputs!$P$13/(V815/MAX(K815:S815)))^(1/inputs!$O$13))-1)/inputs!$N$13, inputs!$I$17))</f>
        <v>9.9581172672067666</v>
      </c>
      <c r="U815" s="63">
        <f>IF((((inputs!$P$13/(X815/MAX(K815:S815)))^(1/inputs!$O$13))-1)/inputs!$N$13&lt;0, 0, IF((((inputs!$P$13/(X815/MAX(K815:S815)))^(1/inputs!$O$13))-1)/inputs!$N$13&lt;inputs!$I$17, (((inputs!$P$13/(X815/MAX(K815:S815)))^(1/inputs!$O$13))-1)/inputs!$N$13, inputs!$I$17))</f>
        <v>0</v>
      </c>
      <c r="V815" s="21">
        <f>inputs!$E$87*(F815/inputs!$F$87)^(1)</f>
        <v>2.09</v>
      </c>
      <c r="W815" s="21">
        <f>inputs!$E$90*(F815/inputs!$F$90)^(1)</f>
        <v>2.2000000000000002</v>
      </c>
      <c r="X815" s="21">
        <f>inputs!$E$89*(F815/inputs!$F$89)^(1)</f>
        <v>8.2151898734177209</v>
      </c>
      <c r="Y815" s="21" t="s">
        <v>13</v>
      </c>
      <c r="Z815" s="63">
        <f t="shared" si="63"/>
        <v>3.543149528313259</v>
      </c>
      <c r="AA815" s="63">
        <f t="shared" si="64"/>
        <v>3.3659920518975954</v>
      </c>
    </row>
    <row r="816" spans="1:27" ht="26.4" x14ac:dyDescent="0.25">
      <c r="A816" s="103" t="s">
        <v>412</v>
      </c>
      <c r="B816" s="20" t="s">
        <v>413</v>
      </c>
      <c r="C816" s="21" t="s">
        <v>79</v>
      </c>
      <c r="D816" s="105" t="s">
        <v>383</v>
      </c>
      <c r="E816" s="15">
        <v>6620</v>
      </c>
      <c r="F816" s="15">
        <v>88</v>
      </c>
      <c r="G816" s="21" t="s">
        <v>241</v>
      </c>
      <c r="H816" s="20">
        <v>0.8</v>
      </c>
      <c r="I816" s="68">
        <f>inputs!$C$66*inputs!$C$60/1000</f>
        <v>28</v>
      </c>
      <c r="J816" s="68">
        <f>inputs!$C$66*inputs!$C$59/1000</f>
        <v>28</v>
      </c>
      <c r="K816" s="69">
        <f t="shared" si="66"/>
        <v>0.65867900594361217</v>
      </c>
      <c r="L816" s="69">
        <f t="shared" si="69"/>
        <v>0.65867900594361217</v>
      </c>
      <c r="M816" s="69">
        <f>IF((((0.065*F816^0.726)/3.7-(0.301*F816^0.751)/(1-H816)*H816)*(MAX('Max rate concentrations'!$P$3:$P$368)))/F816&gt;0, (((0.065*F816^0.726)/3.7-(0.301*F816^0.751)/(1-H816)*H816)*(MAX('Max rate concentrations'!$P$3:$P$368)))/F816, 0)</f>
        <v>0</v>
      </c>
      <c r="N816" s="69">
        <f>IF((((0.065*F816^0.726)/3.7-(0.301*F816^0.751)/(1-H816)*H816)*(MAX('Max rate concentrations'!$Q$3:$Q$368)))/F816&gt;0, (((0.065*F816^0.726)/3.7-(0.301*F816^0.751)/(1-H816)*H816)*(MAX('Max rate concentrations'!$Q$3:$Q$368)))/F816, 0)</f>
        <v>0</v>
      </c>
      <c r="O816" s="69" t="s">
        <v>13</v>
      </c>
      <c r="P816" s="69" t="s">
        <v>13</v>
      </c>
      <c r="Q816" s="69">
        <f>(inputs!$C$18*11.2)*(16.61*F816^0.61)*0.5*1/F816</f>
        <v>48.677769741285807</v>
      </c>
      <c r="R816" s="59">
        <f>(60*76.9*((F816/1000)^0.76)*3*24*(MAX('Max rate concentrations'!$R$3:$R$368))/F816)</f>
        <v>4.5870338367847855E-3</v>
      </c>
      <c r="S816" s="59">
        <f>(IF(inputs!$C$17="aerial",((0.025*0.112*inputs!$C$18/3.3)*(3*60*76.9*((F816/1000)^0.76))*MAX(inputs!$I$14:$I$16))/F816,((0.0083*0.112*inputs!$C$18/1)*(3*60*76.9*((F816/1000)^0.76))*MAX(inputs!$I$14:$I$16))/F816))</f>
        <v>1.936860778193902E-2</v>
      </c>
      <c r="T816" s="63">
        <f>IF((((inputs!$P$13/(V816/MAX(K816:S816)))^(1/inputs!$O$13))-1)/inputs!$N$13&lt;0, 0, IF((((inputs!$P$13/(V816/MAX(K816:S816)))^(1/inputs!$O$13))-1)/inputs!$N$13&lt;inputs!$I$17, (((inputs!$P$13/(V816/MAX(K816:S816)))^(1/inputs!$O$13))-1)/inputs!$N$13, inputs!$I$17))</f>
        <v>1000</v>
      </c>
      <c r="U816" s="63">
        <f>IF((((inputs!$P$13/(X816/MAX(K816:S816)))^(1/inputs!$O$13))-1)/inputs!$N$13&lt;0, 0, IF((((inputs!$P$13/(X816/MAX(K816:S816)))^(1/inputs!$O$13))-1)/inputs!$N$13&lt;inputs!$I$17, (((inputs!$P$13/(X816/MAX(K816:S816)))^(1/inputs!$O$13))-1)/inputs!$N$13, inputs!$I$17))</f>
        <v>1000</v>
      </c>
      <c r="V816" s="21">
        <f>inputs!$E$87*(F816/inputs!$F$87)^(1)</f>
        <v>1.6719999999999999E-2</v>
      </c>
      <c r="W816" s="21">
        <f>inputs!$E$90*(F816/inputs!$F$90)^(1)</f>
        <v>1.7600000000000001E-2</v>
      </c>
      <c r="X816" s="21">
        <f>inputs!$E$89*(F816/inputs!$F$89)^(1)</f>
        <v>6.572151898734177E-2</v>
      </c>
      <c r="Y816" s="21" t="s">
        <v>13</v>
      </c>
      <c r="Z816" s="63">
        <f t="shared" si="63"/>
        <v>2911.3498649094386</v>
      </c>
      <c r="AA816" s="63">
        <f t="shared" si="64"/>
        <v>2765.7823716639664</v>
      </c>
    </row>
    <row r="817" spans="1:27" ht="26.4" x14ac:dyDescent="0.25">
      <c r="A817" s="103" t="s">
        <v>412</v>
      </c>
      <c r="B817" s="20" t="s">
        <v>413</v>
      </c>
      <c r="C817" s="21" t="s">
        <v>79</v>
      </c>
      <c r="D817" s="105" t="s">
        <v>383</v>
      </c>
      <c r="E817" s="15">
        <v>6620</v>
      </c>
      <c r="F817" s="15">
        <v>88</v>
      </c>
      <c r="G817" s="21" t="s">
        <v>164</v>
      </c>
      <c r="H817" s="20">
        <v>0.78</v>
      </c>
      <c r="I817" s="68">
        <f>inputs!$C$66*(inputs!$C$62/1000)</f>
        <v>8.2000000000000011</v>
      </c>
      <c r="J817" s="68">
        <f>inputs!$C$66*(inputs!$C$61/1000)</f>
        <v>2.5</v>
      </c>
      <c r="K817" s="69">
        <f t="shared" si="66"/>
        <v>0.1753625924914812</v>
      </c>
      <c r="L817" s="69">
        <f t="shared" si="69"/>
        <v>5.34642050278906E-2</v>
      </c>
      <c r="M817" s="69">
        <f>IF((((0.065*F817^0.726)/3.7-(0.301*F817^0.751)/(1-H817)*H817)*(MAX('Max rate concentrations'!$P$3:$P$368)))/F817&gt;0, (((0.065*F817^0.726)/3.7-(0.301*F817^0.751)/(1-H817)*H817)*(MAX('Max rate concentrations'!$P$3:$P$368)))/F817, 0)</f>
        <v>0</v>
      </c>
      <c r="N817" s="69">
        <f>IF((((0.065*F817^0.726)/3.7-(0.301*F817^0.751)/(1-H817)*H817)*(MAX('Max rate concentrations'!$Q$3:$Q$368)))/F817&gt;0, (((0.065*F817^0.726)/3.7-(0.301*F817^0.751)/(1-H817)*H817)*(MAX('Max rate concentrations'!$Q$3:$Q$368)))/F817, 0)</f>
        <v>0</v>
      </c>
      <c r="O817" s="69" t="s">
        <v>13</v>
      </c>
      <c r="P817" s="69" t="s">
        <v>13</v>
      </c>
      <c r="Q817" s="69">
        <f>(inputs!$C$18*11.2)*(16.61*F817^0.61)*0.5*1/F817</f>
        <v>48.677769741285807</v>
      </c>
      <c r="R817" s="59">
        <f>(60*76.9*((F817/1000)^0.76)*3*24*(MAX('Max rate concentrations'!$R$3:$R$368))/F817)</f>
        <v>4.5870338367847855E-3</v>
      </c>
      <c r="S817" s="59">
        <f>(IF(inputs!$C$17="aerial",((0.025*0.112*inputs!$C$18/3.3)*(3*60*76.9*((F817/1000)^0.76))*MAX(inputs!$I$14:$I$16))/F817,((0.0083*0.112*inputs!$C$18/1)*(3*60*76.9*((F817/1000)^0.76))*MAX(inputs!$I$14:$I$16))/F817))</f>
        <v>1.936860778193902E-2</v>
      </c>
      <c r="T817" s="63">
        <f>IF((((inputs!$P$13/(V817/MAX(K817:S817)))^(1/inputs!$O$13))-1)/inputs!$N$13&lt;0, 0, IF((((inputs!$P$13/(V817/MAX(K817:S817)))^(1/inputs!$O$13))-1)/inputs!$N$13&lt;inputs!$I$17, (((inputs!$P$13/(V817/MAX(K817:S817)))^(1/inputs!$O$13))-1)/inputs!$N$13, inputs!$I$17))</f>
        <v>1000</v>
      </c>
      <c r="U817" s="63">
        <f>IF((((inputs!$P$13/(X817/MAX(K817:S817)))^(1/inputs!$O$13))-1)/inputs!$N$13&lt;0, 0, IF((((inputs!$P$13/(X817/MAX(K817:S817)))^(1/inputs!$O$13))-1)/inputs!$N$13&lt;inputs!$I$17, (((inputs!$P$13/(X817/MAX(K817:S817)))^(1/inputs!$O$13))-1)/inputs!$N$13, inputs!$I$17))</f>
        <v>1000</v>
      </c>
      <c r="V817" s="21">
        <f>inputs!$E$87*(F817/inputs!$F$87)^(1)</f>
        <v>1.6719999999999999E-2</v>
      </c>
      <c r="W817" s="21">
        <f>inputs!$E$90*(F817/inputs!$F$90)^(1)</f>
        <v>1.7600000000000001E-2</v>
      </c>
      <c r="X817" s="21">
        <f>inputs!$E$89*(F817/inputs!$F$89)^(1)</f>
        <v>6.572151898734177E-2</v>
      </c>
      <c r="Y817" s="21" t="s">
        <v>13</v>
      </c>
      <c r="Z817" s="63">
        <f t="shared" si="63"/>
        <v>2911.3498649094386</v>
      </c>
      <c r="AA817" s="63">
        <f t="shared" si="64"/>
        <v>2765.7823716639664</v>
      </c>
    </row>
    <row r="818" spans="1:27" ht="26.4" x14ac:dyDescent="0.25">
      <c r="A818" s="103" t="s">
        <v>412</v>
      </c>
      <c r="B818" s="20" t="s">
        <v>413</v>
      </c>
      <c r="C818" s="21" t="s">
        <v>79</v>
      </c>
      <c r="D818" s="105" t="s">
        <v>383</v>
      </c>
      <c r="E818" s="15">
        <v>6620</v>
      </c>
      <c r="F818" s="15">
        <v>88</v>
      </c>
      <c r="G818" s="21" t="s">
        <v>633</v>
      </c>
      <c r="H818" s="21">
        <v>0.75</v>
      </c>
      <c r="I818" s="68">
        <f>inputs!$C$66*inputs!$C$64/1000</f>
        <v>21.3</v>
      </c>
      <c r="J818" s="68">
        <f>inputs!$C$66*inputs!$C$63/1000</f>
        <v>8.8000000000000007</v>
      </c>
      <c r="K818" s="69">
        <f t="shared" si="66"/>
        <v>0.40085322361711256</v>
      </c>
      <c r="L818" s="69">
        <f t="shared" si="69"/>
        <v>0.16561072149439393</v>
      </c>
      <c r="M818" s="69">
        <f>IF((((0.065*F818^0.726)/3.7-(0.301*F818^0.751)/(1-H818)*H818)*(MAX('Max rate concentrations'!$P$3:$P$368)))/F818&gt;0, (((0.065*F818^0.726)/3.7-(0.301*F818^0.751)/(1-H818)*H818)*(MAX('Max rate concentrations'!$P$3:$P$368)))/F818, 0)</f>
        <v>0</v>
      </c>
      <c r="N818" s="69">
        <f>IF((((0.065*F818^0.726)/3.7-(0.301*F818^0.751)/(1-H818)*H818)*(MAX('Max rate concentrations'!$Q$3:$Q$368)))/F818&gt;0, (((0.065*F818^0.726)/3.7-(0.301*F818^0.751)/(1-H818)*H818)*(MAX('Max rate concentrations'!$Q$3:$Q$368)))/F818, 0)</f>
        <v>0</v>
      </c>
      <c r="O818" s="69" t="s">
        <v>13</v>
      </c>
      <c r="P818" s="69" t="s">
        <v>13</v>
      </c>
      <c r="Q818" s="69">
        <f>(inputs!$C$18*11.2)*(16.61*F818^0.61)*0.5*1/F818</f>
        <v>48.677769741285807</v>
      </c>
      <c r="R818" s="59">
        <f>(60*76.9*((F818/1000)^0.76)*3*24*(MAX('Max rate concentrations'!$R$3:$R$368))/F818)</f>
        <v>4.5870338367847855E-3</v>
      </c>
      <c r="S818" s="59">
        <f>(IF(inputs!$C$17="aerial",((0.025*0.112*inputs!$C$18/3.3)*(3*60*76.9*((F818/1000)^0.76))*MAX(inputs!$I$14:$I$16))/F818,((0.0083*0.112*inputs!$C$18/1)*(3*60*76.9*((F818/1000)^0.76))*MAX(inputs!$I$14:$I$16))/F818))</f>
        <v>1.936860778193902E-2</v>
      </c>
      <c r="T818" s="63">
        <f>IF((((inputs!$P$13/(V818/MAX(K818:S818)))^(1/inputs!$O$13))-1)/inputs!$N$13&lt;0, 0, IF((((inputs!$P$13/(V818/MAX(K818:S818)))^(1/inputs!$O$13))-1)/inputs!$N$13&lt;inputs!$I$17, (((inputs!$P$13/(V818/MAX(K818:S818)))^(1/inputs!$O$13))-1)/inputs!$N$13, inputs!$I$17))</f>
        <v>1000</v>
      </c>
      <c r="U818" s="63">
        <f>IF((((inputs!$P$13/(X818/MAX(K818:S818)))^(1/inputs!$O$13))-1)/inputs!$N$13&lt;0, 0, IF((((inputs!$P$13/(X818/MAX(K818:S818)))^(1/inputs!$O$13))-1)/inputs!$N$13&lt;inputs!$I$17, (((inputs!$P$13/(X818/MAX(K818:S818)))^(1/inputs!$O$13))-1)/inputs!$N$13, inputs!$I$17))</f>
        <v>1000</v>
      </c>
      <c r="V818" s="21">
        <f>inputs!$E$87*(F818/inputs!$F$87)^(1)</f>
        <v>1.6719999999999999E-2</v>
      </c>
      <c r="W818" s="21">
        <f>inputs!$E$90*(F818/inputs!$F$90)^(1)</f>
        <v>1.7600000000000001E-2</v>
      </c>
      <c r="X818" s="21">
        <f>inputs!$E$89*(F818/inputs!$F$89)^(1)</f>
        <v>6.572151898734177E-2</v>
      </c>
      <c r="Y818" s="21" t="s">
        <v>13</v>
      </c>
      <c r="Z818" s="63">
        <f t="shared" si="63"/>
        <v>2911.3498649094386</v>
      </c>
      <c r="AA818" s="63">
        <f t="shared" si="64"/>
        <v>2765.7823716639664</v>
      </c>
    </row>
    <row r="819" spans="1:27" ht="26.4" x14ac:dyDescent="0.25">
      <c r="A819" s="114" t="s">
        <v>988</v>
      </c>
      <c r="B819" s="20" t="s">
        <v>630</v>
      </c>
      <c r="C819" s="21" t="s">
        <v>79</v>
      </c>
      <c r="D819" s="105" t="s">
        <v>383</v>
      </c>
      <c r="E819" s="15">
        <v>172</v>
      </c>
      <c r="F819" s="15">
        <v>200</v>
      </c>
      <c r="G819" s="21" t="s">
        <v>632</v>
      </c>
      <c r="H819" s="20">
        <v>0.8</v>
      </c>
      <c r="I819" s="68">
        <f>inputs!$C$66*inputs!$C$60/1000</f>
        <v>28</v>
      </c>
      <c r="J819" s="68">
        <f>inputs!$C$66*inputs!$C$59/1000</f>
        <v>28</v>
      </c>
      <c r="K819" s="69">
        <f t="shared" si="66"/>
        <v>0.54668553011593157</v>
      </c>
      <c r="L819" s="69">
        <f t="shared" si="69"/>
        <v>0.54668553011593157</v>
      </c>
      <c r="M819" s="69">
        <f>IF((((0.065*F819^0.726)/3.7-(0.301*F819^0.751)/(1-H819)*H819)*(MAX('Max rate concentrations'!$P$3:$P$368)))/F819&gt;0, (((0.065*F819^0.726)/3.7-(0.301*F819^0.751)/(1-H819)*H819)*(MAX('Max rate concentrations'!$P$3:$P$368)))/F819, 0)</f>
        <v>0</v>
      </c>
      <c r="N819" s="69">
        <f>IF((((0.065*F819^0.726)/3.7-(0.301*F819^0.751)/(1-H819)*H819)*(MAX('Max rate concentrations'!$Q$3:$Q$368)))/F819&gt;0, (((0.065*F819^0.726)/3.7-(0.301*F819^0.751)/(1-H819)*H819)*(MAX('Max rate concentrations'!$Q$3:$Q$368)))/F819, 0)</f>
        <v>0</v>
      </c>
      <c r="O819" s="69" t="s">
        <v>13</v>
      </c>
      <c r="P819" s="69" t="s">
        <v>13</v>
      </c>
      <c r="Q819" s="69">
        <f>(inputs!$C$18*11.2)*(16.61*F819^0.61)*0.5*1/F819</f>
        <v>35.340868321151277</v>
      </c>
      <c r="R819" s="59">
        <f>(60*76.9*((F819/1000)^0.76)*3*24*(MAX('Max rate concentrations'!$R$3:$R$368))/F819)</f>
        <v>3.7666961323258308E-3</v>
      </c>
      <c r="S819" s="59">
        <f>(IF(inputs!$C$17="aerial",((0.025*0.112*inputs!$C$18/3.3)*(3*60*76.9*((F819/1000)^0.76))*MAX(inputs!$I$14:$I$16))/F819,((0.0083*0.112*inputs!$C$18/1)*(3*60*76.9*((F819/1000)^0.76))*MAX(inputs!$I$14:$I$16))/F819))</f>
        <v>1.5904757326120553E-2</v>
      </c>
      <c r="T819" s="63">
        <f>IF((((inputs!$P$13/(V819/MAX(K819:S819)))^(1/inputs!$O$13))-1)/inputs!$N$13&lt;0, 0, IF((((inputs!$P$13/(V819/MAX(K819:S819)))^(1/inputs!$O$13))-1)/inputs!$N$13&lt;inputs!$I$17, (((inputs!$P$13/(V819/MAX(K819:S819)))^(1/inputs!$O$13))-1)/inputs!$N$13, inputs!$I$17))</f>
        <v>1000</v>
      </c>
      <c r="U819" s="63">
        <f>IF((((inputs!$P$13/(X819/MAX(K819:S819)))^(1/inputs!$O$13))-1)/inputs!$N$13&lt;0, 0, IF((((inputs!$P$13/(X819/MAX(K819:S819)))^(1/inputs!$O$13))-1)/inputs!$N$13&lt;inputs!$I$17, (((inputs!$P$13/(X819/MAX(K819:S819)))^(1/inputs!$O$13))-1)/inputs!$N$13, inputs!$I$17))</f>
        <v>448.66533028161462</v>
      </c>
      <c r="V819" s="21">
        <f>inputs!$E$87*(F819/inputs!$F$87)^(1)</f>
        <v>3.7999999999999999E-2</v>
      </c>
      <c r="W819" s="21">
        <f>inputs!$E$90*(F819/inputs!$F$90)^(1)</f>
        <v>0.04</v>
      </c>
      <c r="X819" s="21">
        <f>inputs!$E$89*(F819/inputs!$F$89)^(1)</f>
        <v>0.14936708860759493</v>
      </c>
      <c r="Y819" s="21" t="s">
        <v>13</v>
      </c>
      <c r="Z819" s="63">
        <f t="shared" si="63"/>
        <v>930.02285055661252</v>
      </c>
      <c r="AA819" s="63">
        <f t="shared" si="64"/>
        <v>883.52170802878186</v>
      </c>
    </row>
    <row r="820" spans="1:27" ht="13.2" x14ac:dyDescent="0.25">
      <c r="A820" s="114" t="s">
        <v>988</v>
      </c>
      <c r="B820" s="20" t="s">
        <v>630</v>
      </c>
      <c r="C820" s="21" t="s">
        <v>79</v>
      </c>
      <c r="D820" s="105" t="s">
        <v>383</v>
      </c>
      <c r="E820" s="15">
        <v>172</v>
      </c>
      <c r="F820" s="15">
        <v>200</v>
      </c>
      <c r="G820" s="21" t="s">
        <v>164</v>
      </c>
      <c r="H820" s="20">
        <v>0.78</v>
      </c>
      <c r="I820" s="68">
        <f>inputs!$C$66*(inputs!$C$62/1000)</f>
        <v>8.2000000000000011</v>
      </c>
      <c r="J820" s="68">
        <f>inputs!$C$66*(inputs!$C$61/1000)</f>
        <v>2.5</v>
      </c>
      <c r="K820" s="69">
        <f t="shared" si="66"/>
        <v>0.14554614762826748</v>
      </c>
      <c r="L820" s="69">
        <f t="shared" si="69"/>
        <v>4.4373825496423012E-2</v>
      </c>
      <c r="M820" s="69">
        <f>IF((((0.065*F820^0.726)/3.7-(0.301*F820^0.751)/(1-H820)*H820)*(MAX('Max rate concentrations'!$P$3:$P$368)))/F820&gt;0, (((0.065*F820^0.726)/3.7-(0.301*F820^0.751)/(1-H820)*H820)*(MAX('Max rate concentrations'!$P$3:$P$368)))/F820, 0)</f>
        <v>0</v>
      </c>
      <c r="N820" s="69">
        <f>IF((((0.065*F820^0.726)/3.7-(0.301*F820^0.751)/(1-H820)*H820)*(MAX('Max rate concentrations'!$Q$3:$Q$368)))/F820&gt;0, (((0.065*F820^0.726)/3.7-(0.301*F820^0.751)/(1-H820)*H820)*(MAX('Max rate concentrations'!$Q$3:$Q$368)))/F820, 0)</f>
        <v>0</v>
      </c>
      <c r="O820" s="69" t="s">
        <v>13</v>
      </c>
      <c r="P820" s="69" t="s">
        <v>13</v>
      </c>
      <c r="Q820" s="69">
        <f>(inputs!$C$18*11.2)*(16.61*F820^0.61)*0.5*1/F820</f>
        <v>35.340868321151277</v>
      </c>
      <c r="R820" s="59">
        <f>(60*76.9*((F820/1000)^0.76)*3*24*(MAX('Max rate concentrations'!$R$3:$R$368))/F820)</f>
        <v>3.7666961323258308E-3</v>
      </c>
      <c r="S820" s="59">
        <f>(IF(inputs!$C$17="aerial",((0.025*0.112*inputs!$C$18/3.3)*(3*60*76.9*((F820/1000)^0.76))*MAX(inputs!$I$14:$I$16))/F820,((0.0083*0.112*inputs!$C$18/1)*(3*60*76.9*((F820/1000)^0.76))*MAX(inputs!$I$14:$I$16))/F820))</f>
        <v>1.5904757326120553E-2</v>
      </c>
      <c r="T820" s="63">
        <f>IF((((inputs!$P$13/(V820/MAX(K820:S820)))^(1/inputs!$O$13))-1)/inputs!$N$13&lt;0, 0, IF((((inputs!$P$13/(V820/MAX(K820:S820)))^(1/inputs!$O$13))-1)/inputs!$N$13&lt;inputs!$I$17, (((inputs!$P$13/(V820/MAX(K820:S820)))^(1/inputs!$O$13))-1)/inputs!$N$13, inputs!$I$17))</f>
        <v>1000</v>
      </c>
      <c r="U820" s="63">
        <f>IF((((inputs!$P$13/(X820/MAX(K820:S820)))^(1/inputs!$O$13))-1)/inputs!$N$13&lt;0, 0, IF((((inputs!$P$13/(X820/MAX(K820:S820)))^(1/inputs!$O$13))-1)/inputs!$N$13&lt;inputs!$I$17, (((inputs!$P$13/(X820/MAX(K820:S820)))^(1/inputs!$O$13))-1)/inputs!$N$13, inputs!$I$17))</f>
        <v>448.66533028161462</v>
      </c>
      <c r="V820" s="21">
        <f>inputs!$E$87*(F820/inputs!$F$87)^(1)</f>
        <v>3.7999999999999999E-2</v>
      </c>
      <c r="W820" s="21">
        <f>inputs!$E$90*(F820/inputs!$F$90)^(1)</f>
        <v>0.04</v>
      </c>
      <c r="X820" s="21">
        <f>inputs!$E$89*(F820/inputs!$F$89)^(1)</f>
        <v>0.14936708860759493</v>
      </c>
      <c r="Y820" s="21" t="s">
        <v>13</v>
      </c>
      <c r="Z820" s="63">
        <f t="shared" si="63"/>
        <v>930.02285055661252</v>
      </c>
      <c r="AA820" s="63">
        <f t="shared" si="64"/>
        <v>883.52170802878186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READ ME</vt:lpstr>
      <vt:lpstr>inputs</vt:lpstr>
      <vt:lpstr>Plants</vt:lpstr>
      <vt:lpstr>Aquatic dependent sp thresholds</vt:lpstr>
      <vt:lpstr>aquatic organism tissue concs</vt:lpstr>
      <vt:lpstr>Min rate concentrations</vt:lpstr>
      <vt:lpstr>Max rate concentrations</vt:lpstr>
      <vt:lpstr>Min rate - dietary conc results</vt:lpstr>
      <vt:lpstr>Max rate - dietary conc results</vt:lpstr>
      <vt:lpstr>Min rate doses</vt:lpstr>
      <vt:lpstr>Sheet1</vt:lpstr>
      <vt:lpstr>Max rate doses</vt:lpstr>
      <vt:lpstr>Sheet2</vt:lpstr>
      <vt:lpstr>Application_methods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Kris Garber</dc:creator>
  <cp:keywords/>
  <dc:description/>
  <cp:lastModifiedBy>glaniak</cp:lastModifiedBy>
  <cp:revision/>
  <cp:lastPrinted>2015-12-07T13:55:16Z</cp:lastPrinted>
  <dcterms:created xsi:type="dcterms:W3CDTF">2015-04-02T11:11:07Z</dcterms:created>
  <dcterms:modified xsi:type="dcterms:W3CDTF">2017-10-23T14:44:38Z</dcterms:modified>
</cp:coreProperties>
</file>